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campeonato baiano 2022\"/>
    </mc:Choice>
  </mc:AlternateContent>
  <xr:revisionPtr revIDLastSave="0" documentId="13_ncr:1_{E9DCD993-537F-4282-8101-A3D7DC3618AE}" xr6:coauthVersionLast="47" xr6:coauthVersionMax="47" xr10:uidLastSave="{00000000-0000-0000-0000-000000000000}"/>
  <bookViews>
    <workbookView xWindow="-108" yWindow="-108" windowWidth="23256" windowHeight="12456" xr2:uid="{2FF3D64B-B66A-A74B-B5B9-C79817466D2B}"/>
  </bookViews>
  <sheets>
    <sheet name="Atletas" sheetId="2" r:id="rId1"/>
    <sheet name="Conferência" sheetId="3" r:id="rId2"/>
    <sheet name="Federação" sheetId="1" r:id="rId3"/>
  </sheets>
  <definedNames>
    <definedName name="ADAPTADO">Atletas!$EW$4:$EW$14</definedName>
    <definedName name="SDAF" localSheetId="0">Atletas!$BC$4:$BC$11</definedName>
    <definedName name="SDAF">Federação!#REF!</definedName>
    <definedName name="SDAM" localSheetId="0">Atletas!$BD$4:$BD$15</definedName>
    <definedName name="SDAM">Federação!#REF!</definedName>
    <definedName name="SDIF" localSheetId="0">Atletas!$AY$4:$AY$8</definedName>
    <definedName name="SDIF">Federação!#REF!</definedName>
    <definedName name="SDIM" localSheetId="0">Atletas!$AZ$4:$AZ$11</definedName>
    <definedName name="SDIM">Federação!#REF!</definedName>
    <definedName name="SDJF" localSheetId="0">Atletas!$BA$4:$BA$8</definedName>
    <definedName name="SDJF">Federação!#REF!</definedName>
    <definedName name="SDJM" localSheetId="0">Atletas!$BB$4:$BB$12</definedName>
    <definedName name="SDJM">Federação!#REF!</definedName>
    <definedName name="SJAF" localSheetId="0">Atletas!$BG$4:$BG$12</definedName>
    <definedName name="SJAF">Federação!#REF!</definedName>
    <definedName name="SJAM" localSheetId="0">Atletas!$BH$4:$BH$14</definedName>
    <definedName name="SJAM">Federação!#REF!</definedName>
    <definedName name="SJJF" localSheetId="0">Atletas!$BE$4:$BE$12</definedName>
    <definedName name="SJJF">Federação!#REF!</definedName>
    <definedName name="SJJM" localSheetId="0">Atletas!$BF$4:$BF$14</definedName>
    <definedName name="SJJM">Federação!#REF!</definedName>
    <definedName name="TEACA" localSheetId="0">Atletas!$BU$4:$BU$12</definedName>
    <definedName name="TEACA">Federação!#REF!</definedName>
    <definedName name="TEACB" localSheetId="0">Atletas!$BT$4:$BT$8</definedName>
    <definedName name="TEACB">Federação!#REF!</definedName>
    <definedName name="TEACC" localSheetId="0">Atletas!$BS$4:$BS$8</definedName>
    <definedName name="TEACC">Federação!#REF!</definedName>
    <definedName name="TEACM" localSheetId="0">Atletas!$BQ$4:$BQ$8</definedName>
    <definedName name="TEACM">Federação!#REF!</definedName>
    <definedName name="TEACMC" localSheetId="0">Atletas!$BR$4:$BR$12</definedName>
    <definedName name="TEACMC">Federação!#REF!</definedName>
    <definedName name="TEACOA" localSheetId="0">Atletas!$BV$4:$BV$12</definedName>
    <definedName name="TEACOA">Federação!#REF!</definedName>
    <definedName name="TEALA" localSheetId="0">Atletas!$CA$4:$CA$10</definedName>
    <definedName name="TEALA">Federação!#REF!</definedName>
    <definedName name="TEALB" localSheetId="0">Atletas!$BZ$4:$BZ$7</definedName>
    <definedName name="TEALB">Federação!#REF!</definedName>
    <definedName name="TEALC" localSheetId="0">Atletas!$BY$4:$BY$7</definedName>
    <definedName name="TEALC">Federação!#REF!</definedName>
    <definedName name="TEALM" localSheetId="0">Atletas!$BW$4:$BW$7</definedName>
    <definedName name="TEALM">Federação!#REF!</definedName>
    <definedName name="TEALMC" localSheetId="0">Atletas!$BX$4:$BX$10</definedName>
    <definedName name="TEALMC">Federação!#REF!</definedName>
    <definedName name="TEALOA" localSheetId="0">Atletas!$CB$4:$CB$10</definedName>
    <definedName name="TEALOA">Federação!#REF!</definedName>
    <definedName name="TEDLA" localSheetId="0">Atletas!$CD$4:$CD$6</definedName>
    <definedName name="TEDLA">Federação!#REF!</definedName>
    <definedName name="TEDLB" localSheetId="0">Atletas!$CC$4:$CC$6</definedName>
    <definedName name="TEDLB">Federação!#REF!</definedName>
    <definedName name="TEDLOA" localSheetId="0">Atletas!$CE$4:$CE$6</definedName>
    <definedName name="TEDLOA">Federação!#REF!</definedName>
    <definedName name="TEMA" localSheetId="0">Atletas!$BO$4:$BO$10</definedName>
    <definedName name="TEMA">Federação!#REF!</definedName>
    <definedName name="TEMB" localSheetId="0">Atletas!$BN$4:$BN$7</definedName>
    <definedName name="TEMB">Federação!#REF!</definedName>
    <definedName name="TEMC" localSheetId="0">Atletas!$BM$4:$BM$7</definedName>
    <definedName name="TEMC">Federação!#REF!</definedName>
    <definedName name="TEMM" localSheetId="0">Atletas!$BK$4:$BK$7</definedName>
    <definedName name="TEMM">Federação!#REF!</definedName>
    <definedName name="TEMMC" localSheetId="0">Atletas!$BL$4:$BL$10</definedName>
    <definedName name="TEMMC">Federação!#REF!</definedName>
    <definedName name="TEMOA" localSheetId="0">Atletas!$BP$4:$BP$10</definedName>
    <definedName name="TEMOA">Federação!#REF!</definedName>
    <definedName name="TSAF">Atletas!$BI$4:$BI$9</definedName>
    <definedName name="TSAM">Atletas!$BJ$4:$BJ$10</definedName>
    <definedName name="TTACA">Atletas!$DP$4:$DP$9</definedName>
    <definedName name="TTACB">Atletas!$DQ$4:$DQ$9</definedName>
    <definedName name="TTACC">Atletas!$DR$4:$DR$9</definedName>
    <definedName name="TTACD">Atletas!$DS$4:$DS$9</definedName>
    <definedName name="TTACE">Atletas!$DT$4:$DT$9</definedName>
    <definedName name="TTACF">Atletas!$DU$4:$DU$9</definedName>
    <definedName name="TTADMA" localSheetId="0">Atletas!$EB$4:$EB$6</definedName>
    <definedName name="TTADMA">Federação!#REF!</definedName>
    <definedName name="TTADMB" localSheetId="0">Atletas!$EC$4:$EC$6</definedName>
    <definedName name="TTADMB">Federação!#REF!</definedName>
    <definedName name="TTADMC" localSheetId="0">Atletas!$ED$4:$ED$6</definedName>
    <definedName name="TTADMC">Federação!#REF!</definedName>
    <definedName name="TTADMD" localSheetId="0">Atletas!$EE$4:$EE$6</definedName>
    <definedName name="TTADMD">Federação!#REF!</definedName>
    <definedName name="TTADME" localSheetId="0">Atletas!$EF$4:$EF$6</definedName>
    <definedName name="TTADME">Federação!#REF!</definedName>
    <definedName name="TTADMF" localSheetId="0">Atletas!$EG$4:$EG$6</definedName>
    <definedName name="TTADMF">Federação!#REF!</definedName>
    <definedName name="TTALA">Atletas!$DV$4:$DV$8</definedName>
    <definedName name="TTALB">Atletas!$DW$4:$DW$8</definedName>
    <definedName name="TTALC">Atletas!$DX$4:$DX$8</definedName>
    <definedName name="TTALD">Atletas!$DY$4:$DY$8</definedName>
    <definedName name="TTALE">Atletas!$DZ$4:$DZ$8</definedName>
    <definedName name="TTALF">Atletas!$EA$4:$EA$8</definedName>
    <definedName name="TTEEA" localSheetId="0">Atletas!$CR$4:$CR$7</definedName>
    <definedName name="TTEEA">Federação!#REF!</definedName>
    <definedName name="TTEEAB" localSheetId="0">Atletas!$ET$4:$ET$14</definedName>
    <definedName name="TTEEAB">Federação!#REF!</definedName>
    <definedName name="TTEEB" localSheetId="0">Atletas!$CS$4:$CS$7</definedName>
    <definedName name="TTEEB">Federação!#REF!</definedName>
    <definedName name="TTEEC" localSheetId="0">Atletas!$CT$4:$CT$7</definedName>
    <definedName name="TTEEC">Federação!#REF!</definedName>
    <definedName name="TTEECD" localSheetId="0">Atletas!$EU$4:$EU$14</definedName>
    <definedName name="TTEECD">Federação!#REF!</definedName>
    <definedName name="TTEED" localSheetId="0">Atletas!$CU$4:$CU$7</definedName>
    <definedName name="TTEED">Federação!#REF!</definedName>
    <definedName name="TTEEE" localSheetId="0">Atletas!$CV$4:$CV$7</definedName>
    <definedName name="TTEEE">Federação!#REF!</definedName>
    <definedName name="TTEEEF" localSheetId="0">Atletas!$EV$4:$EV$14</definedName>
    <definedName name="TTEEEF">Federação!#REF!</definedName>
    <definedName name="TTEEF" localSheetId="0">Atletas!$CW$4:$CW$7</definedName>
    <definedName name="TTEEF">Federação!#REF!</definedName>
    <definedName name="TTMSA" localSheetId="0">Atletas!$CF$4:$CF$9</definedName>
    <definedName name="TTMSA">Federação!#REF!</definedName>
    <definedName name="TTMSB" localSheetId="0">Atletas!$CG$4:$CG$9</definedName>
    <definedName name="TTMSB">Federação!#REF!</definedName>
    <definedName name="TTMSC" localSheetId="0">Atletas!$CH$4:$CH$9</definedName>
    <definedName name="TTMSC">Federação!#REF!</definedName>
    <definedName name="TTMSD" localSheetId="0">Atletas!$CI$4:$CI$9</definedName>
    <definedName name="TTMSD">Federação!#REF!</definedName>
    <definedName name="TTMSE" localSheetId="0">Atletas!$CJ$4:$CJ$9</definedName>
    <definedName name="TTMSE">Federação!#REF!</definedName>
    <definedName name="TTMSF" localSheetId="0">Atletas!$CK$4:$CK$9</definedName>
    <definedName name="TTMSF">Federação!#REF!</definedName>
    <definedName name="TTOMA" localSheetId="0">Atletas!$CL$4:$CL$17</definedName>
    <definedName name="TTOMA">Federação!#REF!</definedName>
    <definedName name="TTOMB" localSheetId="0">Atletas!$CM$4:$CM$17</definedName>
    <definedName name="TTOMB">Federação!#REF!</definedName>
    <definedName name="TTOMC" localSheetId="0">Atletas!$CN$4:$CN$17</definedName>
    <definedName name="TTOMC">Federação!#REF!</definedName>
    <definedName name="TTOMD" localSheetId="0">Atletas!$CO$4:$CO$17</definedName>
    <definedName name="TTOMD">Federação!#REF!</definedName>
    <definedName name="TTOME" localSheetId="0">Atletas!$CP$4:$CP$17</definedName>
    <definedName name="TTOME">Federação!#REF!</definedName>
    <definedName name="TTOMF" localSheetId="0">Atletas!$CQ$4:$CQ$17</definedName>
    <definedName name="TTOMF">Federação!#REF!</definedName>
    <definedName name="TTOMIA" localSheetId="0">Atletas!$DJ$4:$DJ$7</definedName>
    <definedName name="TTOMIA">Federação!#REF!</definedName>
    <definedName name="TTOMIB" localSheetId="0">Atletas!$DK$4:$DK$7</definedName>
    <definedName name="TTOMIB">Federação!#REF!</definedName>
    <definedName name="TTOMIC" localSheetId="0">Atletas!$DL$4:$DL$7</definedName>
    <definedName name="TTOMIC">Federação!#REF!</definedName>
    <definedName name="TTOMID" localSheetId="0">Atletas!$DM$4:$DM$7</definedName>
    <definedName name="TTOMID">Federação!#REF!</definedName>
    <definedName name="TTOMIE" localSheetId="0">Atletas!$DN$4:$DN$7</definedName>
    <definedName name="TTOMIE">Federação!#REF!</definedName>
    <definedName name="TTOMIF" localSheetId="0">Atletas!$DO$4:$DO$7</definedName>
    <definedName name="TTOMIF">Federação!#REF!</definedName>
    <definedName name="TTTA">Atletas!$EH$4:$EH$11</definedName>
    <definedName name="TTTB">Atletas!$EI$4:$EI$11</definedName>
    <definedName name="TTTC">Atletas!$EJ$4:$EJ$11</definedName>
    <definedName name="TTTD">Atletas!$EK$4:$EK$11</definedName>
    <definedName name="TTTE">Atletas!$EL$4:$EL$11</definedName>
    <definedName name="TTTF">Atletas!$EM$4:$EM$11</definedName>
    <definedName name="TTTOAA">Atletas!$EN$4:$EN$7</definedName>
    <definedName name="TTTOAB">Atletas!$EO$4:$EO$7</definedName>
    <definedName name="TTTOAC">Atletas!$EP$4:$EP$7</definedName>
    <definedName name="TTTOAD">Atletas!$EQ$4:$EQ$7</definedName>
    <definedName name="TTTOAE">Atletas!$ER$4:$ER$7</definedName>
    <definedName name="TTTOAF">Atletas!$ES$4:$ES$7</definedName>
    <definedName name="TTTPA">Atletas!$DD$4:$DD$16</definedName>
    <definedName name="TTTPB">Atletas!$DE$4:$DE$16</definedName>
    <definedName name="TTTPC">Atletas!$DF$4:$DF$16</definedName>
    <definedName name="TTTPD">Atletas!$DG$4:$DG$16</definedName>
    <definedName name="TTTPE">Atletas!$DH$4:$DH$16</definedName>
    <definedName name="TTTPF">Atletas!$DI$4:$DI$16</definedName>
    <definedName name="TTTTA" localSheetId="0">Atletas!$CX$4:$CX$10</definedName>
    <definedName name="TTTTA">Federação!#REF!</definedName>
    <definedName name="TTTTB" localSheetId="0">Atletas!$CY$4:$CY$10</definedName>
    <definedName name="TTTTB">Federação!#REF!</definedName>
    <definedName name="TTTTC" localSheetId="0">Atletas!$CZ$4:$CZ$10</definedName>
    <definedName name="TTTTC">Federação!#REF!</definedName>
    <definedName name="TTTTD" localSheetId="0">Atletas!$DA$4:$DA$10</definedName>
    <definedName name="TTTTD">Federação!#REF!</definedName>
    <definedName name="TTTTE" localSheetId="0">Atletas!$DB$4:$DB$10</definedName>
    <definedName name="TTTTE">Federação!#REF!</definedName>
    <definedName name="TTTTF" localSheetId="0">Atletas!$DC$4:$DC$10</definedName>
    <definedName name="TTTTF">Federação!#REF!</definedName>
    <definedName name="UF">Federação!$G$3:$G$25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F379" i="3" l="1"/>
  <c r="CF380" i="3"/>
  <c r="CF381" i="3"/>
  <c r="CF382" i="3"/>
  <c r="CF383" i="3"/>
  <c r="CF384" i="3"/>
  <c r="CF385" i="3"/>
  <c r="CF386" i="3"/>
  <c r="CF387" i="3"/>
  <c r="CF388" i="3"/>
  <c r="CF389" i="3"/>
  <c r="CF390" i="3"/>
  <c r="CF391" i="3"/>
  <c r="CF392" i="3"/>
  <c r="CF393" i="3"/>
  <c r="CF394" i="3"/>
  <c r="CF395" i="3"/>
  <c r="CF396" i="3"/>
  <c r="CF397" i="3"/>
  <c r="CF398" i="3"/>
  <c r="CF399" i="3"/>
  <c r="CF400" i="3"/>
  <c r="CF401" i="3"/>
  <c r="CF402" i="3"/>
  <c r="CF403" i="3"/>
  <c r="CF404" i="3"/>
  <c r="CF405" i="3"/>
  <c r="CF406" i="3"/>
  <c r="CF407" i="3"/>
  <c r="CF408" i="3"/>
  <c r="CF409" i="3"/>
  <c r="CF410" i="3"/>
  <c r="CF411" i="3"/>
  <c r="CF412" i="3"/>
  <c r="CF413" i="3"/>
  <c r="CF414" i="3"/>
  <c r="CF415" i="3"/>
  <c r="CF416" i="3"/>
  <c r="CF417" i="3"/>
  <c r="CF418" i="3"/>
  <c r="CF419" i="3"/>
  <c r="CF420" i="3"/>
  <c r="CF421" i="3"/>
  <c r="CF422" i="3"/>
  <c r="CF423" i="3"/>
  <c r="CF424" i="3"/>
  <c r="CF425" i="3"/>
  <c r="CF426" i="3"/>
  <c r="CF427" i="3"/>
  <c r="CF428" i="3"/>
  <c r="CF429" i="3"/>
  <c r="CF430" i="3"/>
  <c r="CF431" i="3"/>
  <c r="CF432" i="3"/>
  <c r="CF433" i="3"/>
  <c r="CF434" i="3"/>
  <c r="CF435" i="3"/>
  <c r="CF436" i="3"/>
  <c r="CF437" i="3"/>
  <c r="CF438" i="3"/>
  <c r="CF439" i="3"/>
  <c r="CF440" i="3"/>
  <c r="CF441" i="3"/>
  <c r="CF442" i="3"/>
  <c r="CF443" i="3"/>
  <c r="CF444" i="3"/>
  <c r="CF445" i="3"/>
  <c r="CF446" i="3"/>
  <c r="CF447" i="3"/>
  <c r="CF448" i="3"/>
  <c r="CF449" i="3"/>
  <c r="CF450" i="3"/>
  <c r="CF451" i="3"/>
  <c r="CF452" i="3"/>
  <c r="CF453" i="3"/>
  <c r="CF454" i="3"/>
  <c r="CF455" i="3"/>
  <c r="CF456" i="3"/>
  <c r="CF457" i="3"/>
  <c r="CF458" i="3"/>
  <c r="CF459" i="3"/>
  <c r="CF460" i="3"/>
  <c r="CF461" i="3"/>
  <c r="CF462" i="3"/>
  <c r="CF463" i="3"/>
  <c r="CF464" i="3"/>
  <c r="CF465" i="3"/>
  <c r="CF466" i="3"/>
  <c r="CF467" i="3"/>
  <c r="CF468" i="3"/>
  <c r="CF469" i="3"/>
  <c r="CF470" i="3"/>
  <c r="CF471" i="3"/>
  <c r="CF472" i="3"/>
  <c r="CF473" i="3"/>
  <c r="CF474" i="3"/>
  <c r="CF475" i="3"/>
  <c r="CF476" i="3"/>
  <c r="CF477" i="3"/>
  <c r="CF478" i="3"/>
  <c r="CF479" i="3"/>
  <c r="CF480" i="3"/>
  <c r="CF481" i="3"/>
  <c r="CF482" i="3"/>
  <c r="CF483" i="3"/>
  <c r="CF484" i="3"/>
  <c r="CF485" i="3"/>
  <c r="CF486" i="3"/>
  <c r="CF487" i="3"/>
  <c r="CF488" i="3"/>
  <c r="CF489" i="3"/>
  <c r="CF490" i="3"/>
  <c r="CF491" i="3"/>
  <c r="CF492" i="3"/>
  <c r="CF493" i="3"/>
  <c r="CF494" i="3"/>
  <c r="CF495" i="3"/>
  <c r="CF496" i="3"/>
  <c r="CF497" i="3"/>
  <c r="CF498" i="3"/>
  <c r="CF499" i="3"/>
  <c r="CF500" i="3"/>
  <c r="CF501" i="3"/>
  <c r="CF502" i="3"/>
  <c r="CF503" i="3"/>
  <c r="CF504" i="3"/>
  <c r="CF505" i="3"/>
  <c r="CF506" i="3"/>
  <c r="CF507" i="3"/>
  <c r="CF508" i="3"/>
  <c r="CF509" i="3"/>
  <c r="CF510" i="3"/>
  <c r="CF511" i="3"/>
  <c r="CF512" i="3"/>
  <c r="CF513" i="3"/>
  <c r="CF514" i="3"/>
  <c r="CF515" i="3"/>
  <c r="CF516" i="3"/>
  <c r="CF517" i="3"/>
  <c r="CF518" i="3"/>
  <c r="CF519" i="3"/>
  <c r="CF520" i="3"/>
  <c r="CF521" i="3"/>
  <c r="CF522" i="3"/>
  <c r="CF523" i="3"/>
  <c r="CF524" i="3"/>
  <c r="CF525" i="3"/>
  <c r="CF526" i="3"/>
  <c r="CF527" i="3"/>
  <c r="CF528" i="3"/>
  <c r="CF529" i="3"/>
  <c r="CF530" i="3"/>
  <c r="CF531" i="3"/>
  <c r="CF532" i="3"/>
  <c r="CF533" i="3"/>
  <c r="CF534" i="3"/>
  <c r="CF535" i="3"/>
  <c r="CF536" i="3"/>
  <c r="CF537" i="3"/>
  <c r="CF538" i="3"/>
  <c r="CF539" i="3"/>
  <c r="CF540" i="3"/>
  <c r="CF541" i="3"/>
  <c r="CF542" i="3"/>
  <c r="CF543" i="3"/>
  <c r="CF544" i="3"/>
  <c r="CF545" i="3"/>
  <c r="CF546" i="3"/>
  <c r="CF547" i="3"/>
  <c r="CF548" i="3"/>
  <c r="CF549" i="3"/>
  <c r="CF550" i="3"/>
  <c r="CF551" i="3"/>
  <c r="CF552" i="3"/>
  <c r="CF553" i="3"/>
  <c r="CF554" i="3"/>
  <c r="CF555" i="3"/>
  <c r="CF556" i="3"/>
  <c r="CF557" i="3"/>
  <c r="CF558" i="3"/>
  <c r="CF559" i="3"/>
  <c r="CF560" i="3"/>
  <c r="CF561" i="3"/>
  <c r="CF562" i="3"/>
  <c r="CF563" i="3"/>
  <c r="CF564" i="3"/>
  <c r="CF565" i="3"/>
  <c r="CF566" i="3"/>
  <c r="CF567" i="3"/>
  <c r="CF568" i="3"/>
  <c r="CF569" i="3"/>
  <c r="CF570" i="3"/>
  <c r="CF571" i="3"/>
  <c r="CF572" i="3"/>
  <c r="CF573" i="3"/>
  <c r="CF574" i="3"/>
  <c r="CF575" i="3"/>
  <c r="CF576" i="3"/>
  <c r="CF577" i="3"/>
  <c r="CF578" i="3"/>
  <c r="CF579" i="3"/>
  <c r="CF580" i="3"/>
  <c r="CF581" i="3"/>
  <c r="CF582" i="3"/>
  <c r="CF583" i="3"/>
  <c r="CF584" i="3"/>
  <c r="CF585" i="3"/>
  <c r="CF586" i="3"/>
  <c r="CF587" i="3"/>
  <c r="CF588" i="3"/>
  <c r="CF589" i="3"/>
  <c r="CF590" i="3"/>
  <c r="CF591" i="3"/>
  <c r="CF592" i="3"/>
  <c r="CF593" i="3"/>
  <c r="CF594" i="3"/>
  <c r="CF595" i="3"/>
  <c r="CF596" i="3"/>
  <c r="CF597" i="3"/>
  <c r="CF598" i="3"/>
  <c r="CF599" i="3"/>
  <c r="CF600" i="3"/>
  <c r="CF601" i="3"/>
  <c r="CF602" i="3"/>
  <c r="CF603" i="3"/>
  <c r="CF604" i="3"/>
  <c r="CF605" i="3"/>
  <c r="CF606" i="3"/>
  <c r="CF8" i="3"/>
  <c r="CF9" i="3"/>
  <c r="CF10" i="3"/>
  <c r="CF11" i="3"/>
  <c r="CF12" i="3"/>
  <c r="CF13" i="3"/>
  <c r="CF14" i="3"/>
  <c r="CF15" i="3"/>
  <c r="CF16" i="3"/>
  <c r="CF17" i="3"/>
  <c r="CF18" i="3"/>
  <c r="CF19" i="3"/>
  <c r="CF20" i="3"/>
  <c r="CF21" i="3"/>
  <c r="CF22" i="3"/>
  <c r="CF23" i="3"/>
  <c r="CF24" i="3"/>
  <c r="CF25" i="3"/>
  <c r="CF26" i="3"/>
  <c r="CF27" i="3"/>
  <c r="CF28" i="3"/>
  <c r="CF29" i="3"/>
  <c r="CF30" i="3"/>
  <c r="CF31" i="3"/>
  <c r="CF32" i="3"/>
  <c r="CF33" i="3"/>
  <c r="CF34" i="3"/>
  <c r="CF35" i="3"/>
  <c r="CF36" i="3"/>
  <c r="CF37" i="3"/>
  <c r="CF38" i="3"/>
  <c r="CF39" i="3"/>
  <c r="CF40" i="3"/>
  <c r="CF41" i="3"/>
  <c r="CF42" i="3"/>
  <c r="CF43" i="3"/>
  <c r="CF44" i="3"/>
  <c r="CF45" i="3"/>
  <c r="CF46" i="3"/>
  <c r="CF47" i="3"/>
  <c r="CF48" i="3"/>
  <c r="CF49" i="3"/>
  <c r="CF50" i="3"/>
  <c r="CF51" i="3"/>
  <c r="CF52" i="3"/>
  <c r="CF53" i="3"/>
  <c r="CF54" i="3"/>
  <c r="CF55" i="3"/>
  <c r="CF56" i="3"/>
  <c r="CF57" i="3"/>
  <c r="CF58" i="3"/>
  <c r="CF59" i="3"/>
  <c r="CF60" i="3"/>
  <c r="CF61" i="3"/>
  <c r="CF62" i="3"/>
  <c r="CF63" i="3"/>
  <c r="CF64" i="3"/>
  <c r="CF65" i="3"/>
  <c r="CF66" i="3"/>
  <c r="CF67" i="3"/>
  <c r="CF68" i="3"/>
  <c r="CF69" i="3"/>
  <c r="CF70" i="3"/>
  <c r="CF71" i="3"/>
  <c r="CF72" i="3"/>
  <c r="CF73" i="3"/>
  <c r="CF74" i="3"/>
  <c r="CF75" i="3"/>
  <c r="CF76" i="3"/>
  <c r="CF77" i="3"/>
  <c r="CF78" i="3"/>
  <c r="CF79" i="3"/>
  <c r="CF80" i="3"/>
  <c r="CF81" i="3"/>
  <c r="CF82" i="3"/>
  <c r="CF83" i="3"/>
  <c r="CF84" i="3"/>
  <c r="CF85" i="3"/>
  <c r="CF86" i="3"/>
  <c r="CF87" i="3"/>
  <c r="CF88" i="3"/>
  <c r="CF89" i="3"/>
  <c r="CF90" i="3"/>
  <c r="CF91" i="3"/>
  <c r="CF92" i="3"/>
  <c r="CF93" i="3"/>
  <c r="CF94" i="3"/>
  <c r="CF95" i="3"/>
  <c r="CF96" i="3"/>
  <c r="CF97" i="3"/>
  <c r="CF98" i="3"/>
  <c r="CF99" i="3"/>
  <c r="CF100" i="3"/>
  <c r="CF101" i="3"/>
  <c r="CF102" i="3"/>
  <c r="CF103" i="3"/>
  <c r="CF104" i="3"/>
  <c r="CF105" i="3"/>
  <c r="CF106" i="3"/>
  <c r="CF107" i="3"/>
  <c r="CF108" i="3"/>
  <c r="CF109" i="3"/>
  <c r="CF110" i="3"/>
  <c r="CF111" i="3"/>
  <c r="CF112" i="3"/>
  <c r="CF113" i="3"/>
  <c r="CF114" i="3"/>
  <c r="CF115" i="3"/>
  <c r="CF116" i="3"/>
  <c r="CF117" i="3"/>
  <c r="CF118" i="3"/>
  <c r="CF119" i="3"/>
  <c r="CF120" i="3"/>
  <c r="CF121" i="3"/>
  <c r="CF122" i="3"/>
  <c r="CF123" i="3"/>
  <c r="CF124" i="3"/>
  <c r="CF125" i="3"/>
  <c r="CF126" i="3"/>
  <c r="CF127" i="3"/>
  <c r="CF128" i="3"/>
  <c r="CF129" i="3"/>
  <c r="CF130" i="3"/>
  <c r="CF131" i="3"/>
  <c r="CF132" i="3"/>
  <c r="CF133" i="3"/>
  <c r="CF134" i="3"/>
  <c r="CF135" i="3"/>
  <c r="CF136" i="3"/>
  <c r="CF137" i="3"/>
  <c r="CF138" i="3"/>
  <c r="CF139" i="3"/>
  <c r="CF140" i="3"/>
  <c r="CF141" i="3"/>
  <c r="CF142" i="3"/>
  <c r="CF143" i="3"/>
  <c r="CF144" i="3"/>
  <c r="CF145" i="3"/>
  <c r="CF146" i="3"/>
  <c r="CF147" i="3"/>
  <c r="CF148" i="3"/>
  <c r="CF149" i="3"/>
  <c r="CF150" i="3"/>
  <c r="CF151" i="3"/>
  <c r="CF152" i="3"/>
  <c r="CF153" i="3"/>
  <c r="CF154" i="3"/>
  <c r="CF155" i="3"/>
  <c r="CF156" i="3"/>
  <c r="CF157" i="3"/>
  <c r="CF158" i="3"/>
  <c r="CF159" i="3"/>
  <c r="CF160" i="3"/>
  <c r="CF161" i="3"/>
  <c r="CF162" i="3"/>
  <c r="CF163" i="3"/>
  <c r="CF164" i="3"/>
  <c r="CF165" i="3"/>
  <c r="CF166" i="3"/>
  <c r="CF167" i="3"/>
  <c r="CF168" i="3"/>
  <c r="CF169" i="3"/>
  <c r="CF170" i="3"/>
  <c r="CF171" i="3"/>
  <c r="CF172" i="3"/>
  <c r="CF173" i="3"/>
  <c r="CF174" i="3"/>
  <c r="CF175" i="3"/>
  <c r="CF176" i="3"/>
  <c r="CF177" i="3"/>
  <c r="CF178" i="3"/>
  <c r="CF179" i="3"/>
  <c r="CF180" i="3"/>
  <c r="CF181" i="3"/>
  <c r="CF182" i="3"/>
  <c r="CF183" i="3"/>
  <c r="CF184" i="3"/>
  <c r="CF185" i="3"/>
  <c r="CF186" i="3"/>
  <c r="CF187" i="3"/>
  <c r="CF188" i="3"/>
  <c r="CF189" i="3"/>
  <c r="CF190" i="3"/>
  <c r="CF191" i="3"/>
  <c r="CF192" i="3"/>
  <c r="CF193" i="3"/>
  <c r="CF194" i="3"/>
  <c r="CF195" i="3"/>
  <c r="CF196" i="3"/>
  <c r="CF197" i="3"/>
  <c r="CF198" i="3"/>
  <c r="CF199" i="3"/>
  <c r="CF200" i="3"/>
  <c r="CF201" i="3"/>
  <c r="CF202" i="3"/>
  <c r="CF203" i="3"/>
  <c r="CF204" i="3"/>
  <c r="CF205" i="3"/>
  <c r="CF206" i="3"/>
  <c r="CF207" i="3"/>
  <c r="CF208" i="3"/>
  <c r="CF209" i="3"/>
  <c r="CF210" i="3"/>
  <c r="CF211" i="3"/>
  <c r="CF212" i="3"/>
  <c r="CF213" i="3"/>
  <c r="CF214" i="3"/>
  <c r="CF215" i="3"/>
  <c r="CF216" i="3"/>
  <c r="CF217" i="3"/>
  <c r="CF218" i="3"/>
  <c r="CF219" i="3"/>
  <c r="CF220" i="3"/>
  <c r="CF221" i="3"/>
  <c r="CF222" i="3"/>
  <c r="CF223" i="3"/>
  <c r="CF224" i="3"/>
  <c r="CF225" i="3"/>
  <c r="CF226" i="3"/>
  <c r="CF227" i="3"/>
  <c r="CF228" i="3"/>
  <c r="CF229" i="3"/>
  <c r="CF230" i="3"/>
  <c r="CF231" i="3"/>
  <c r="CF232" i="3"/>
  <c r="CF233" i="3"/>
  <c r="CF234" i="3"/>
  <c r="CF235" i="3"/>
  <c r="CF236" i="3"/>
  <c r="CF237" i="3"/>
  <c r="CF238" i="3"/>
  <c r="CF239" i="3"/>
  <c r="CF240" i="3"/>
  <c r="CF241" i="3"/>
  <c r="CF242" i="3"/>
  <c r="CF243" i="3"/>
  <c r="CF244" i="3"/>
  <c r="CF245" i="3"/>
  <c r="CF246" i="3"/>
  <c r="CF247" i="3"/>
  <c r="CF248" i="3"/>
  <c r="CF249" i="3"/>
  <c r="CF250" i="3"/>
  <c r="CF251" i="3"/>
  <c r="CF252" i="3"/>
  <c r="CF253" i="3"/>
  <c r="CF254" i="3"/>
  <c r="CF255" i="3"/>
  <c r="CF256" i="3"/>
  <c r="CF257" i="3"/>
  <c r="CF258" i="3"/>
  <c r="CF259" i="3"/>
  <c r="CF260" i="3"/>
  <c r="CF261" i="3"/>
  <c r="CF262" i="3"/>
  <c r="CF263" i="3"/>
  <c r="CF264" i="3"/>
  <c r="CF265" i="3"/>
  <c r="CF266" i="3"/>
  <c r="CF267" i="3"/>
  <c r="CF268" i="3"/>
  <c r="CF269" i="3"/>
  <c r="CF270" i="3"/>
  <c r="CF271" i="3"/>
  <c r="CF272" i="3"/>
  <c r="CF273" i="3"/>
  <c r="CF274" i="3"/>
  <c r="CF275" i="3"/>
  <c r="CF276" i="3"/>
  <c r="CF277" i="3"/>
  <c r="CF278" i="3"/>
  <c r="CF279" i="3"/>
  <c r="CF280" i="3"/>
  <c r="CF281" i="3"/>
  <c r="CF282" i="3"/>
  <c r="CF283" i="3"/>
  <c r="CF284" i="3"/>
  <c r="CF285" i="3"/>
  <c r="CF286" i="3"/>
  <c r="CF287" i="3"/>
  <c r="CF288" i="3"/>
  <c r="CF289" i="3"/>
  <c r="CF290" i="3"/>
  <c r="CF291" i="3"/>
  <c r="CF292" i="3"/>
  <c r="CF293" i="3"/>
  <c r="CF294" i="3"/>
  <c r="CF295" i="3"/>
  <c r="CF296" i="3"/>
  <c r="CF297" i="3"/>
  <c r="CF298" i="3"/>
  <c r="CF299" i="3"/>
  <c r="CF300" i="3"/>
  <c r="CF301" i="3"/>
  <c r="CF302" i="3"/>
  <c r="CF303" i="3"/>
  <c r="CF304" i="3"/>
  <c r="CF305" i="3"/>
  <c r="CF306" i="3"/>
  <c r="CF307" i="3"/>
  <c r="CF308" i="3"/>
  <c r="CF309" i="3"/>
  <c r="CF310" i="3"/>
  <c r="CF311" i="3"/>
  <c r="CF312" i="3"/>
  <c r="CF313" i="3"/>
  <c r="CF314" i="3"/>
  <c r="CF315" i="3"/>
  <c r="CF316" i="3"/>
  <c r="CF317" i="3"/>
  <c r="CF318" i="3"/>
  <c r="CF319" i="3"/>
  <c r="CF320" i="3"/>
  <c r="CF321" i="3"/>
  <c r="CF322" i="3"/>
  <c r="CF323" i="3"/>
  <c r="CF324" i="3"/>
  <c r="CF325" i="3"/>
  <c r="CF326" i="3"/>
  <c r="CF327" i="3"/>
  <c r="CF328" i="3"/>
  <c r="CF329" i="3"/>
  <c r="CF330" i="3"/>
  <c r="CF331" i="3"/>
  <c r="CF332" i="3"/>
  <c r="CF333" i="3"/>
  <c r="CF334" i="3"/>
  <c r="CF335" i="3"/>
  <c r="CF336" i="3"/>
  <c r="CF337" i="3"/>
  <c r="CF338" i="3"/>
  <c r="CF339" i="3"/>
  <c r="CF340" i="3"/>
  <c r="CF341" i="3"/>
  <c r="CF342" i="3"/>
  <c r="CF343" i="3"/>
  <c r="CF344" i="3"/>
  <c r="CF345" i="3"/>
  <c r="CF346" i="3"/>
  <c r="CF347" i="3"/>
  <c r="CF348" i="3"/>
  <c r="CF349" i="3"/>
  <c r="CF350" i="3"/>
  <c r="CF351" i="3"/>
  <c r="CF352" i="3"/>
  <c r="CF353" i="3"/>
  <c r="CF354" i="3"/>
  <c r="CF355" i="3"/>
  <c r="CF356" i="3"/>
  <c r="CF357" i="3"/>
  <c r="CF358" i="3"/>
  <c r="CF359" i="3"/>
  <c r="CF360" i="3"/>
  <c r="CF361" i="3"/>
  <c r="CF362" i="3"/>
  <c r="CF363" i="3"/>
  <c r="CF364" i="3"/>
  <c r="CF365" i="3"/>
  <c r="CF366" i="3"/>
  <c r="CF367" i="3"/>
  <c r="CF368" i="3"/>
  <c r="CF369" i="3"/>
  <c r="CF370" i="3"/>
  <c r="CF371" i="3"/>
  <c r="CF372" i="3"/>
  <c r="CF373" i="3"/>
  <c r="CF374" i="3"/>
  <c r="CF375" i="3"/>
  <c r="CF376" i="3"/>
  <c r="CF377" i="3"/>
  <c r="CF37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BW440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BW441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BW442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BW443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BW444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BW445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BW446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BW447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BW448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BW449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BW450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BW451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BW452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BW453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BW454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BW455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BW456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BW457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BW458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BW459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BW460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BW461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BW462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BW463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BW464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BW465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BW466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BW467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BW468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BW469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BW470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BW471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BW472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BW473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BW474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BW475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BW476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BW477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BW478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BW479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BW480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BW481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BW482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BW483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BW484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BW485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BW486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BW487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BW488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BW489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BW490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BW491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BW492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BW493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BW494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BW495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BW496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BW497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BW498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BW499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BW500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BW501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BW502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BW503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BW504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BW505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BW506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BW507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BW508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BW509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BW510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BW511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BW512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BW513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BW514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BW515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BW516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BW517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BW518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BW519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BW520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BW521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BW522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BW523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BW524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BW525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BW526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BW527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BW528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BW529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BW530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BW531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BW532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BW533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BW534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BW535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BW536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BW537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BW538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BW539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BW540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BW541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BW542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BW543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BW544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BW545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BW546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BW547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BW548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BW549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BW550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BW551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BW552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BW553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BW554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BW555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BW556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BW557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BW558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BW559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BW560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BW561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BW562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BW563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BW564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BW565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BW566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BW567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BW568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BW569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BW570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BW571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BW572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BW573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BW574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BW575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BW576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BW577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BW578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BW579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BW580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BW581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BW582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BW583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BW584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BW585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BW586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BW587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BW588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BW589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BW590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BW591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BW592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BW593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BW594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BW595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BW596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BW597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BW598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BW599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BW600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BW601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BW602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BW603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BW604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BW605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BW606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F307" i="3"/>
  <c r="BF308" i="3"/>
  <c r="BF309" i="3"/>
  <c r="BF310" i="3"/>
  <c r="BF311" i="3"/>
  <c r="BF312" i="3"/>
  <c r="BF313" i="3"/>
  <c r="BF314" i="3"/>
  <c r="BF315" i="3"/>
  <c r="BF316" i="3"/>
  <c r="BF317" i="3"/>
  <c r="BF318" i="3"/>
  <c r="BF319" i="3"/>
  <c r="BF320" i="3"/>
  <c r="BF321" i="3"/>
  <c r="BF322" i="3"/>
  <c r="BF323" i="3"/>
  <c r="BF324" i="3"/>
  <c r="BF325" i="3"/>
  <c r="BF326" i="3"/>
  <c r="BF327" i="3"/>
  <c r="BF328" i="3"/>
  <c r="BF329" i="3"/>
  <c r="BF330" i="3"/>
  <c r="BF331" i="3"/>
  <c r="BF332" i="3"/>
  <c r="BF333" i="3"/>
  <c r="BF334" i="3"/>
  <c r="BF335" i="3"/>
  <c r="BF336" i="3"/>
  <c r="BF337" i="3"/>
  <c r="BF338" i="3"/>
  <c r="BF339" i="3"/>
  <c r="BF340" i="3"/>
  <c r="BF341" i="3"/>
  <c r="BF342" i="3"/>
  <c r="BF343" i="3"/>
  <c r="BF344" i="3"/>
  <c r="BF345" i="3"/>
  <c r="BF346" i="3"/>
  <c r="BF347" i="3"/>
  <c r="BF348" i="3"/>
  <c r="BF349" i="3"/>
  <c r="BF350" i="3"/>
  <c r="BF351" i="3"/>
  <c r="BF352" i="3"/>
  <c r="BF353" i="3"/>
  <c r="BF354" i="3"/>
  <c r="BF355" i="3"/>
  <c r="BF356" i="3"/>
  <c r="BF357" i="3"/>
  <c r="BF358" i="3"/>
  <c r="BF359" i="3"/>
  <c r="BF360" i="3"/>
  <c r="BF361" i="3"/>
  <c r="BF362" i="3"/>
  <c r="BF363" i="3"/>
  <c r="BF364" i="3"/>
  <c r="BF365" i="3"/>
  <c r="BF366" i="3"/>
  <c r="BF367" i="3"/>
  <c r="BF368" i="3"/>
  <c r="BF369" i="3"/>
  <c r="BF370" i="3"/>
  <c r="BF371" i="3"/>
  <c r="BF372" i="3"/>
  <c r="BF373" i="3"/>
  <c r="BF374" i="3"/>
  <c r="BF375" i="3"/>
  <c r="BF376" i="3"/>
  <c r="BF377" i="3"/>
  <c r="BF378" i="3"/>
  <c r="BF379" i="3"/>
  <c r="BF380" i="3"/>
  <c r="BF381" i="3"/>
  <c r="BF382" i="3"/>
  <c r="BF383" i="3"/>
  <c r="BF384" i="3"/>
  <c r="BF385" i="3"/>
  <c r="BF386" i="3"/>
  <c r="BF387" i="3"/>
  <c r="BF388" i="3"/>
  <c r="BF389" i="3"/>
  <c r="BF390" i="3"/>
  <c r="BF391" i="3"/>
  <c r="BF392" i="3"/>
  <c r="BF393" i="3"/>
  <c r="BF394" i="3"/>
  <c r="BF395" i="3"/>
  <c r="BF396" i="3"/>
  <c r="BF397" i="3"/>
  <c r="BF398" i="3"/>
  <c r="BF399" i="3"/>
  <c r="BF400" i="3"/>
  <c r="BF401" i="3"/>
  <c r="BF402" i="3"/>
  <c r="BF403" i="3"/>
  <c r="BF404" i="3"/>
  <c r="BF405" i="3"/>
  <c r="BF406" i="3"/>
  <c r="BF407" i="3"/>
  <c r="BF408" i="3"/>
  <c r="BF409" i="3"/>
  <c r="BF410" i="3"/>
  <c r="BF411" i="3"/>
  <c r="BF412" i="3"/>
  <c r="BF413" i="3"/>
  <c r="BF414" i="3"/>
  <c r="BF415" i="3"/>
  <c r="BF416" i="3"/>
  <c r="BF417" i="3"/>
  <c r="BF418" i="3"/>
  <c r="BF419" i="3"/>
  <c r="BF420" i="3"/>
  <c r="BF421" i="3"/>
  <c r="BF422" i="3"/>
  <c r="BF423" i="3"/>
  <c r="BF424" i="3"/>
  <c r="BF425" i="3"/>
  <c r="BF426" i="3"/>
  <c r="BF427" i="3"/>
  <c r="BF428" i="3"/>
  <c r="BF429" i="3"/>
  <c r="BF430" i="3"/>
  <c r="BF431" i="3"/>
  <c r="BF432" i="3"/>
  <c r="BF433" i="3"/>
  <c r="BF434" i="3"/>
  <c r="BF435" i="3"/>
  <c r="BF436" i="3"/>
  <c r="BF437" i="3"/>
  <c r="BF438" i="3"/>
  <c r="BF439" i="3"/>
  <c r="BF440" i="3"/>
  <c r="BF441" i="3"/>
  <c r="BF442" i="3"/>
  <c r="BF443" i="3"/>
  <c r="BF444" i="3"/>
  <c r="BF445" i="3"/>
  <c r="BF446" i="3"/>
  <c r="BF447" i="3"/>
  <c r="BF448" i="3"/>
  <c r="BF449" i="3"/>
  <c r="BF450" i="3"/>
  <c r="BF451" i="3"/>
  <c r="BF452" i="3"/>
  <c r="BF453" i="3"/>
  <c r="BF454" i="3"/>
  <c r="BF455" i="3"/>
  <c r="BF456" i="3"/>
  <c r="BF457" i="3"/>
  <c r="BF458" i="3"/>
  <c r="BF459" i="3"/>
  <c r="BF460" i="3"/>
  <c r="BF461" i="3"/>
  <c r="BF462" i="3"/>
  <c r="BF463" i="3"/>
  <c r="BF464" i="3"/>
  <c r="BF465" i="3"/>
  <c r="BF466" i="3"/>
  <c r="BF467" i="3"/>
  <c r="BF468" i="3"/>
  <c r="BF469" i="3"/>
  <c r="BF470" i="3"/>
  <c r="BF471" i="3"/>
  <c r="BF472" i="3"/>
  <c r="BF473" i="3"/>
  <c r="BF474" i="3"/>
  <c r="BF475" i="3"/>
  <c r="BF476" i="3"/>
  <c r="BF477" i="3"/>
  <c r="BF478" i="3"/>
  <c r="BF479" i="3"/>
  <c r="BF480" i="3"/>
  <c r="BF481" i="3"/>
  <c r="BF482" i="3"/>
  <c r="BF483" i="3"/>
  <c r="BF484" i="3"/>
  <c r="BF485" i="3"/>
  <c r="BF486" i="3"/>
  <c r="BF487" i="3"/>
  <c r="BF488" i="3"/>
  <c r="BF489" i="3"/>
  <c r="BF490" i="3"/>
  <c r="BF491" i="3"/>
  <c r="BF492" i="3"/>
  <c r="BF493" i="3"/>
  <c r="BF494" i="3"/>
  <c r="BF495" i="3"/>
  <c r="BF496" i="3"/>
  <c r="BF497" i="3"/>
  <c r="BF498" i="3"/>
  <c r="BF499" i="3"/>
  <c r="BF500" i="3"/>
  <c r="BF501" i="3"/>
  <c r="BF502" i="3"/>
  <c r="BF503" i="3"/>
  <c r="BF504" i="3"/>
  <c r="BF505" i="3"/>
  <c r="BF506" i="3"/>
  <c r="BF507" i="3"/>
  <c r="BF508" i="3"/>
  <c r="BF509" i="3"/>
  <c r="BF510" i="3"/>
  <c r="BF511" i="3"/>
  <c r="BF512" i="3"/>
  <c r="BF513" i="3"/>
  <c r="BF514" i="3"/>
  <c r="BF515" i="3"/>
  <c r="BF516" i="3"/>
  <c r="BF517" i="3"/>
  <c r="BF518" i="3"/>
  <c r="BF519" i="3"/>
  <c r="BF520" i="3"/>
  <c r="BF521" i="3"/>
  <c r="BF522" i="3"/>
  <c r="BF523" i="3"/>
  <c r="BF524" i="3"/>
  <c r="BF525" i="3"/>
  <c r="BF526" i="3"/>
  <c r="BF527" i="3"/>
  <c r="BF528" i="3"/>
  <c r="BF529" i="3"/>
  <c r="BF530" i="3"/>
  <c r="BF531" i="3"/>
  <c r="BF532" i="3"/>
  <c r="BF533" i="3"/>
  <c r="BF534" i="3"/>
  <c r="BF535" i="3"/>
  <c r="BF536" i="3"/>
  <c r="BF537" i="3"/>
  <c r="BF538" i="3"/>
  <c r="BF539" i="3"/>
  <c r="BF540" i="3"/>
  <c r="BF541" i="3"/>
  <c r="BF542" i="3"/>
  <c r="BF543" i="3"/>
  <c r="BF544" i="3"/>
  <c r="BF545" i="3"/>
  <c r="BF546" i="3"/>
  <c r="BF547" i="3"/>
  <c r="BF548" i="3"/>
  <c r="BF549" i="3"/>
  <c r="BF550" i="3"/>
  <c r="BF551" i="3"/>
  <c r="BF552" i="3"/>
  <c r="BF553" i="3"/>
  <c r="BF554" i="3"/>
  <c r="BF555" i="3"/>
  <c r="BF556" i="3"/>
  <c r="BF557" i="3"/>
  <c r="BF558" i="3"/>
  <c r="BF559" i="3"/>
  <c r="BF560" i="3"/>
  <c r="BF561" i="3"/>
  <c r="BF562" i="3"/>
  <c r="BF563" i="3"/>
  <c r="BF564" i="3"/>
  <c r="BF565" i="3"/>
  <c r="BF566" i="3"/>
  <c r="BF567" i="3"/>
  <c r="BF568" i="3"/>
  <c r="BF569" i="3"/>
  <c r="BF570" i="3"/>
  <c r="BF571" i="3"/>
  <c r="BF572" i="3"/>
  <c r="BF573" i="3"/>
  <c r="BF574" i="3"/>
  <c r="BF575" i="3"/>
  <c r="BF576" i="3"/>
  <c r="BF577" i="3"/>
  <c r="BF578" i="3"/>
  <c r="BF579" i="3"/>
  <c r="BF580" i="3"/>
  <c r="BF581" i="3"/>
  <c r="BF582" i="3"/>
  <c r="BF583" i="3"/>
  <c r="BF584" i="3"/>
  <c r="BF585" i="3"/>
  <c r="BF586" i="3"/>
  <c r="BF587" i="3"/>
  <c r="BF588" i="3"/>
  <c r="BF589" i="3"/>
  <c r="BF590" i="3"/>
  <c r="BF591" i="3"/>
  <c r="BF592" i="3"/>
  <c r="BF593" i="3"/>
  <c r="BF594" i="3"/>
  <c r="BF595" i="3"/>
  <c r="BF596" i="3"/>
  <c r="BF597" i="3"/>
  <c r="BF598" i="3"/>
  <c r="BF599" i="3"/>
  <c r="BF600" i="3"/>
  <c r="BF601" i="3"/>
  <c r="BF602" i="3"/>
  <c r="BF603" i="3"/>
  <c r="BF604" i="3"/>
  <c r="BF605" i="3"/>
  <c r="BF606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F52" i="3"/>
  <c r="BF53" i="3"/>
  <c r="BF54" i="3"/>
  <c r="BF55" i="3"/>
  <c r="BF56" i="3"/>
  <c r="BF57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F70" i="3"/>
  <c r="BF71" i="3"/>
  <c r="BF72" i="3"/>
  <c r="BF73" i="3"/>
  <c r="BF74" i="3"/>
  <c r="BF75" i="3"/>
  <c r="BF76" i="3"/>
  <c r="BF77" i="3"/>
  <c r="BF78" i="3"/>
  <c r="BF79" i="3"/>
  <c r="BF80" i="3"/>
  <c r="BF81" i="3"/>
  <c r="BF82" i="3"/>
  <c r="BF83" i="3"/>
  <c r="BF84" i="3"/>
  <c r="BF85" i="3"/>
  <c r="BF86" i="3"/>
  <c r="BF87" i="3"/>
  <c r="BF88" i="3"/>
  <c r="BF89" i="3"/>
  <c r="BF90" i="3"/>
  <c r="BF91" i="3"/>
  <c r="BF92" i="3"/>
  <c r="BF93" i="3"/>
  <c r="BF94" i="3"/>
  <c r="BF95" i="3"/>
  <c r="BF96" i="3"/>
  <c r="BF97" i="3"/>
  <c r="BF98" i="3"/>
  <c r="BF99" i="3"/>
  <c r="BF100" i="3"/>
  <c r="BF101" i="3"/>
  <c r="BF102" i="3"/>
  <c r="BF103" i="3"/>
  <c r="BF104" i="3"/>
  <c r="BF105" i="3"/>
  <c r="BF106" i="3"/>
  <c r="BF107" i="3"/>
  <c r="BF108" i="3"/>
  <c r="BF109" i="3"/>
  <c r="BF110" i="3"/>
  <c r="BF111" i="3"/>
  <c r="BF112" i="3"/>
  <c r="BF113" i="3"/>
  <c r="BF114" i="3"/>
  <c r="BF115" i="3"/>
  <c r="BF116" i="3"/>
  <c r="BF117" i="3"/>
  <c r="BF118" i="3"/>
  <c r="BF119" i="3"/>
  <c r="BF120" i="3"/>
  <c r="BF121" i="3"/>
  <c r="BF122" i="3"/>
  <c r="BF123" i="3"/>
  <c r="BF124" i="3"/>
  <c r="BF125" i="3"/>
  <c r="BF126" i="3"/>
  <c r="BF127" i="3"/>
  <c r="BF128" i="3"/>
  <c r="BF129" i="3"/>
  <c r="BF130" i="3"/>
  <c r="BF131" i="3"/>
  <c r="BF132" i="3"/>
  <c r="BF133" i="3"/>
  <c r="BF134" i="3"/>
  <c r="BF135" i="3"/>
  <c r="BF136" i="3"/>
  <c r="BF137" i="3"/>
  <c r="BF138" i="3"/>
  <c r="BF139" i="3"/>
  <c r="BF140" i="3"/>
  <c r="BF141" i="3"/>
  <c r="BF142" i="3"/>
  <c r="BF143" i="3"/>
  <c r="BF144" i="3"/>
  <c r="BF145" i="3"/>
  <c r="BF146" i="3"/>
  <c r="BF147" i="3"/>
  <c r="BF148" i="3"/>
  <c r="BF149" i="3"/>
  <c r="BF150" i="3"/>
  <c r="BF151" i="3"/>
  <c r="BF152" i="3"/>
  <c r="BF153" i="3"/>
  <c r="BF154" i="3"/>
  <c r="BF155" i="3"/>
  <c r="BF156" i="3"/>
  <c r="BF157" i="3"/>
  <c r="BF158" i="3"/>
  <c r="BF159" i="3"/>
  <c r="BF160" i="3"/>
  <c r="BF161" i="3"/>
  <c r="BF162" i="3"/>
  <c r="BF163" i="3"/>
  <c r="BF164" i="3"/>
  <c r="BF165" i="3"/>
  <c r="BF166" i="3"/>
  <c r="BF167" i="3"/>
  <c r="BF168" i="3"/>
  <c r="BF169" i="3"/>
  <c r="BF170" i="3"/>
  <c r="BF171" i="3"/>
  <c r="BF172" i="3"/>
  <c r="BF173" i="3"/>
  <c r="BF174" i="3"/>
  <c r="BF175" i="3"/>
  <c r="BF176" i="3"/>
  <c r="BF177" i="3"/>
  <c r="BF178" i="3"/>
  <c r="BF179" i="3"/>
  <c r="BF180" i="3"/>
  <c r="BF181" i="3"/>
  <c r="BF182" i="3"/>
  <c r="BF183" i="3"/>
  <c r="BF184" i="3"/>
  <c r="BF185" i="3"/>
  <c r="BF186" i="3"/>
  <c r="BF187" i="3"/>
  <c r="BF188" i="3"/>
  <c r="BF189" i="3"/>
  <c r="BF190" i="3"/>
  <c r="BF191" i="3"/>
  <c r="BF192" i="3"/>
  <c r="BF193" i="3"/>
  <c r="BF194" i="3"/>
  <c r="BF195" i="3"/>
  <c r="BF196" i="3"/>
  <c r="BF197" i="3"/>
  <c r="BF198" i="3"/>
  <c r="BF199" i="3"/>
  <c r="BF200" i="3"/>
  <c r="BF201" i="3"/>
  <c r="BF202" i="3"/>
  <c r="BF203" i="3"/>
  <c r="BF204" i="3"/>
  <c r="BF205" i="3"/>
  <c r="BF206" i="3"/>
  <c r="BF207" i="3"/>
  <c r="BF208" i="3"/>
  <c r="BF209" i="3"/>
  <c r="BF210" i="3"/>
  <c r="BF211" i="3"/>
  <c r="BF212" i="3"/>
  <c r="BF213" i="3"/>
  <c r="BF214" i="3"/>
  <c r="BF215" i="3"/>
  <c r="BF216" i="3"/>
  <c r="BF217" i="3"/>
  <c r="BF218" i="3"/>
  <c r="BF219" i="3"/>
  <c r="BF220" i="3"/>
  <c r="BF221" i="3"/>
  <c r="BF222" i="3"/>
  <c r="BF223" i="3"/>
  <c r="BF224" i="3"/>
  <c r="BF225" i="3"/>
  <c r="BF226" i="3"/>
  <c r="BF227" i="3"/>
  <c r="BF228" i="3"/>
  <c r="BF229" i="3"/>
  <c r="BF230" i="3"/>
  <c r="BF231" i="3"/>
  <c r="BF232" i="3"/>
  <c r="BF233" i="3"/>
  <c r="BF234" i="3"/>
  <c r="BF235" i="3"/>
  <c r="BF236" i="3"/>
  <c r="BF237" i="3"/>
  <c r="BF238" i="3"/>
  <c r="BF239" i="3"/>
  <c r="BF240" i="3"/>
  <c r="BF241" i="3"/>
  <c r="BF242" i="3"/>
  <c r="BF243" i="3"/>
  <c r="BF244" i="3"/>
  <c r="BF245" i="3"/>
  <c r="BF246" i="3"/>
  <c r="BF247" i="3"/>
  <c r="BF248" i="3"/>
  <c r="BF249" i="3"/>
  <c r="BF250" i="3"/>
  <c r="BF251" i="3"/>
  <c r="BF252" i="3"/>
  <c r="BF253" i="3"/>
  <c r="BF254" i="3"/>
  <c r="BF255" i="3"/>
  <c r="BF256" i="3"/>
  <c r="BF257" i="3"/>
  <c r="BF258" i="3"/>
  <c r="BF259" i="3"/>
  <c r="BF260" i="3"/>
  <c r="BF261" i="3"/>
  <c r="BF262" i="3"/>
  <c r="BF263" i="3"/>
  <c r="BF264" i="3"/>
  <c r="BF265" i="3"/>
  <c r="BF266" i="3"/>
  <c r="BF267" i="3"/>
  <c r="BF268" i="3"/>
  <c r="BF269" i="3"/>
  <c r="BF270" i="3"/>
  <c r="BF271" i="3"/>
  <c r="BF272" i="3"/>
  <c r="BF273" i="3"/>
  <c r="BF274" i="3"/>
  <c r="BF275" i="3"/>
  <c r="BF276" i="3"/>
  <c r="BF277" i="3"/>
  <c r="BF278" i="3"/>
  <c r="BF279" i="3"/>
  <c r="BF280" i="3"/>
  <c r="BF281" i="3"/>
  <c r="BF282" i="3"/>
  <c r="BF283" i="3"/>
  <c r="BF284" i="3"/>
  <c r="BF285" i="3"/>
  <c r="BF286" i="3"/>
  <c r="BF287" i="3"/>
  <c r="BF288" i="3"/>
  <c r="BF289" i="3"/>
  <c r="BF290" i="3"/>
  <c r="BF291" i="3"/>
  <c r="BF292" i="3"/>
  <c r="BF293" i="3"/>
  <c r="BF294" i="3"/>
  <c r="BF295" i="3"/>
  <c r="BF296" i="3"/>
  <c r="BF297" i="3"/>
  <c r="BF298" i="3"/>
  <c r="BF299" i="3"/>
  <c r="BF300" i="3"/>
  <c r="BF301" i="3"/>
  <c r="BF302" i="3"/>
  <c r="BF303" i="3"/>
  <c r="BF304" i="3"/>
  <c r="BF305" i="3"/>
  <c r="BF306" i="3"/>
  <c r="AY606" i="3"/>
  <c r="AZ606" i="3"/>
  <c r="BA606" i="3"/>
  <c r="AY604" i="3"/>
  <c r="AZ604" i="3"/>
  <c r="BA604" i="3"/>
  <c r="AY605" i="3"/>
  <c r="AZ605" i="3"/>
  <c r="BA605" i="3"/>
  <c r="AY308" i="3"/>
  <c r="AZ308" i="3"/>
  <c r="BA308" i="3"/>
  <c r="AY309" i="3"/>
  <c r="AZ309" i="3"/>
  <c r="BA309" i="3"/>
  <c r="AY310" i="3"/>
  <c r="AZ310" i="3"/>
  <c r="BA310" i="3"/>
  <c r="AY311" i="3"/>
  <c r="AZ311" i="3"/>
  <c r="BA311" i="3"/>
  <c r="AY312" i="3"/>
  <c r="AZ312" i="3"/>
  <c r="BA312" i="3"/>
  <c r="AY313" i="3"/>
  <c r="AZ313" i="3"/>
  <c r="BA313" i="3"/>
  <c r="AY314" i="3"/>
  <c r="AZ314" i="3"/>
  <c r="BA314" i="3"/>
  <c r="AY315" i="3"/>
  <c r="AZ315" i="3"/>
  <c r="BA315" i="3"/>
  <c r="AY316" i="3"/>
  <c r="AZ316" i="3"/>
  <c r="BA316" i="3"/>
  <c r="AY317" i="3"/>
  <c r="AZ317" i="3"/>
  <c r="BA317" i="3"/>
  <c r="AY318" i="3"/>
  <c r="AZ318" i="3"/>
  <c r="BA318" i="3"/>
  <c r="AY319" i="3"/>
  <c r="AZ319" i="3"/>
  <c r="BA319" i="3"/>
  <c r="AY320" i="3"/>
  <c r="AZ320" i="3"/>
  <c r="BA320" i="3"/>
  <c r="AY321" i="3"/>
  <c r="AZ321" i="3"/>
  <c r="BA321" i="3"/>
  <c r="AY322" i="3"/>
  <c r="AZ322" i="3"/>
  <c r="BA322" i="3"/>
  <c r="AY323" i="3"/>
  <c r="AZ323" i="3"/>
  <c r="BA323" i="3"/>
  <c r="AY324" i="3"/>
  <c r="AZ324" i="3"/>
  <c r="BA324" i="3"/>
  <c r="AY325" i="3"/>
  <c r="AZ325" i="3"/>
  <c r="BA325" i="3"/>
  <c r="AY326" i="3"/>
  <c r="AZ326" i="3"/>
  <c r="BA326" i="3"/>
  <c r="AY327" i="3"/>
  <c r="AZ327" i="3"/>
  <c r="BA327" i="3"/>
  <c r="AY328" i="3"/>
  <c r="AZ328" i="3"/>
  <c r="BA328" i="3"/>
  <c r="AY329" i="3"/>
  <c r="AZ329" i="3"/>
  <c r="BA329" i="3"/>
  <c r="AY330" i="3"/>
  <c r="AZ330" i="3"/>
  <c r="BA330" i="3"/>
  <c r="AY331" i="3"/>
  <c r="AZ331" i="3"/>
  <c r="BA331" i="3"/>
  <c r="AY332" i="3"/>
  <c r="AZ332" i="3"/>
  <c r="BA332" i="3"/>
  <c r="AY333" i="3"/>
  <c r="AZ333" i="3"/>
  <c r="BA333" i="3"/>
  <c r="AY334" i="3"/>
  <c r="AZ334" i="3"/>
  <c r="BA334" i="3"/>
  <c r="AY335" i="3"/>
  <c r="AZ335" i="3"/>
  <c r="BA335" i="3"/>
  <c r="AY336" i="3"/>
  <c r="AZ336" i="3"/>
  <c r="BA336" i="3"/>
  <c r="AY337" i="3"/>
  <c r="AZ337" i="3"/>
  <c r="BA337" i="3"/>
  <c r="AY338" i="3"/>
  <c r="AZ338" i="3"/>
  <c r="BA338" i="3"/>
  <c r="AY339" i="3"/>
  <c r="AZ339" i="3"/>
  <c r="BA339" i="3"/>
  <c r="AY340" i="3"/>
  <c r="AZ340" i="3"/>
  <c r="BA340" i="3"/>
  <c r="AY341" i="3"/>
  <c r="AZ341" i="3"/>
  <c r="BA341" i="3"/>
  <c r="AY342" i="3"/>
  <c r="AZ342" i="3"/>
  <c r="BA342" i="3"/>
  <c r="AY343" i="3"/>
  <c r="AZ343" i="3"/>
  <c r="BA343" i="3"/>
  <c r="AY344" i="3"/>
  <c r="AZ344" i="3"/>
  <c r="BA344" i="3"/>
  <c r="AY345" i="3"/>
  <c r="AZ345" i="3"/>
  <c r="BA345" i="3"/>
  <c r="AY346" i="3"/>
  <c r="AZ346" i="3"/>
  <c r="BA346" i="3"/>
  <c r="AY347" i="3"/>
  <c r="AZ347" i="3"/>
  <c r="BA347" i="3"/>
  <c r="AY348" i="3"/>
  <c r="AZ348" i="3"/>
  <c r="BA348" i="3"/>
  <c r="AY349" i="3"/>
  <c r="AZ349" i="3"/>
  <c r="BA349" i="3"/>
  <c r="AY350" i="3"/>
  <c r="AZ350" i="3"/>
  <c r="BA350" i="3"/>
  <c r="AY351" i="3"/>
  <c r="AZ351" i="3"/>
  <c r="BA351" i="3"/>
  <c r="AY352" i="3"/>
  <c r="AZ352" i="3"/>
  <c r="BA352" i="3"/>
  <c r="AY353" i="3"/>
  <c r="AZ353" i="3"/>
  <c r="BA353" i="3"/>
  <c r="AY354" i="3"/>
  <c r="AZ354" i="3"/>
  <c r="BA354" i="3"/>
  <c r="AY355" i="3"/>
  <c r="AZ355" i="3"/>
  <c r="BA355" i="3"/>
  <c r="AY356" i="3"/>
  <c r="AZ356" i="3"/>
  <c r="BA356" i="3"/>
  <c r="AY357" i="3"/>
  <c r="AZ357" i="3"/>
  <c r="BA357" i="3"/>
  <c r="AY358" i="3"/>
  <c r="AZ358" i="3"/>
  <c r="BA358" i="3"/>
  <c r="AY359" i="3"/>
  <c r="AZ359" i="3"/>
  <c r="BA359" i="3"/>
  <c r="AY360" i="3"/>
  <c r="AZ360" i="3"/>
  <c r="BA360" i="3"/>
  <c r="AY361" i="3"/>
  <c r="AZ361" i="3"/>
  <c r="BA361" i="3"/>
  <c r="AY362" i="3"/>
  <c r="AZ362" i="3"/>
  <c r="BA362" i="3"/>
  <c r="AY363" i="3"/>
  <c r="AZ363" i="3"/>
  <c r="BA363" i="3"/>
  <c r="AY364" i="3"/>
  <c r="AZ364" i="3"/>
  <c r="BA364" i="3"/>
  <c r="AY365" i="3"/>
  <c r="AZ365" i="3"/>
  <c r="BA365" i="3"/>
  <c r="AY366" i="3"/>
  <c r="AZ366" i="3"/>
  <c r="BA366" i="3"/>
  <c r="AY367" i="3"/>
  <c r="AZ367" i="3"/>
  <c r="BA367" i="3"/>
  <c r="AY368" i="3"/>
  <c r="AZ368" i="3"/>
  <c r="BA368" i="3"/>
  <c r="AY369" i="3"/>
  <c r="AZ369" i="3"/>
  <c r="BA369" i="3"/>
  <c r="AY370" i="3"/>
  <c r="AZ370" i="3"/>
  <c r="BA370" i="3"/>
  <c r="AY371" i="3"/>
  <c r="AZ371" i="3"/>
  <c r="BA371" i="3"/>
  <c r="AY372" i="3"/>
  <c r="AZ372" i="3"/>
  <c r="BA372" i="3"/>
  <c r="AY373" i="3"/>
  <c r="AZ373" i="3"/>
  <c r="BA373" i="3"/>
  <c r="AY374" i="3"/>
  <c r="AZ374" i="3"/>
  <c r="BA374" i="3"/>
  <c r="AY375" i="3"/>
  <c r="AZ375" i="3"/>
  <c r="BA375" i="3"/>
  <c r="AY376" i="3"/>
  <c r="AZ376" i="3"/>
  <c r="BA376" i="3"/>
  <c r="AY377" i="3"/>
  <c r="AZ377" i="3"/>
  <c r="BA377" i="3"/>
  <c r="AY378" i="3"/>
  <c r="AZ378" i="3"/>
  <c r="BA378" i="3"/>
  <c r="AY379" i="3"/>
  <c r="AZ379" i="3"/>
  <c r="BA379" i="3"/>
  <c r="AY380" i="3"/>
  <c r="AZ380" i="3"/>
  <c r="BA380" i="3"/>
  <c r="AY381" i="3"/>
  <c r="AZ381" i="3"/>
  <c r="BA381" i="3"/>
  <c r="AY382" i="3"/>
  <c r="AZ382" i="3"/>
  <c r="BA382" i="3"/>
  <c r="AY383" i="3"/>
  <c r="AZ383" i="3"/>
  <c r="BA383" i="3"/>
  <c r="AY384" i="3"/>
  <c r="AZ384" i="3"/>
  <c r="BA384" i="3"/>
  <c r="AY385" i="3"/>
  <c r="AZ385" i="3"/>
  <c r="BA385" i="3"/>
  <c r="AY386" i="3"/>
  <c r="AZ386" i="3"/>
  <c r="BA386" i="3"/>
  <c r="AY387" i="3"/>
  <c r="AZ387" i="3"/>
  <c r="BA387" i="3"/>
  <c r="AY388" i="3"/>
  <c r="AZ388" i="3"/>
  <c r="BA388" i="3"/>
  <c r="AY389" i="3"/>
  <c r="AZ389" i="3"/>
  <c r="BA389" i="3"/>
  <c r="AY390" i="3"/>
  <c r="AZ390" i="3"/>
  <c r="BA390" i="3"/>
  <c r="AY391" i="3"/>
  <c r="AZ391" i="3"/>
  <c r="BA391" i="3"/>
  <c r="AY392" i="3"/>
  <c r="AZ392" i="3"/>
  <c r="BA392" i="3"/>
  <c r="AY393" i="3"/>
  <c r="AZ393" i="3"/>
  <c r="BA393" i="3"/>
  <c r="AY394" i="3"/>
  <c r="AZ394" i="3"/>
  <c r="BA394" i="3"/>
  <c r="AY395" i="3"/>
  <c r="AZ395" i="3"/>
  <c r="BA395" i="3"/>
  <c r="AY396" i="3"/>
  <c r="AZ396" i="3"/>
  <c r="BA396" i="3"/>
  <c r="AY397" i="3"/>
  <c r="AZ397" i="3"/>
  <c r="BA397" i="3"/>
  <c r="AY398" i="3"/>
  <c r="AZ398" i="3"/>
  <c r="BA398" i="3"/>
  <c r="AY399" i="3"/>
  <c r="AZ399" i="3"/>
  <c r="BA399" i="3"/>
  <c r="AY400" i="3"/>
  <c r="AZ400" i="3"/>
  <c r="BA400" i="3"/>
  <c r="AY401" i="3"/>
  <c r="AZ401" i="3"/>
  <c r="BA401" i="3"/>
  <c r="AY402" i="3"/>
  <c r="AZ402" i="3"/>
  <c r="BA402" i="3"/>
  <c r="AY403" i="3"/>
  <c r="AZ403" i="3"/>
  <c r="BA403" i="3"/>
  <c r="AY404" i="3"/>
  <c r="AZ404" i="3"/>
  <c r="BA404" i="3"/>
  <c r="AY405" i="3"/>
  <c r="AZ405" i="3"/>
  <c r="BA405" i="3"/>
  <c r="AY406" i="3"/>
  <c r="AZ406" i="3"/>
  <c r="BA406" i="3"/>
  <c r="AY407" i="3"/>
  <c r="AZ407" i="3"/>
  <c r="BA407" i="3"/>
  <c r="AY408" i="3"/>
  <c r="AZ408" i="3"/>
  <c r="BA408" i="3"/>
  <c r="AY409" i="3"/>
  <c r="AZ409" i="3"/>
  <c r="BA409" i="3"/>
  <c r="AY410" i="3"/>
  <c r="AZ410" i="3"/>
  <c r="BA410" i="3"/>
  <c r="AY411" i="3"/>
  <c r="AZ411" i="3"/>
  <c r="BA411" i="3"/>
  <c r="AY412" i="3"/>
  <c r="AZ412" i="3"/>
  <c r="BA412" i="3"/>
  <c r="AY413" i="3"/>
  <c r="AZ413" i="3"/>
  <c r="BA413" i="3"/>
  <c r="AY414" i="3"/>
  <c r="AZ414" i="3"/>
  <c r="BA414" i="3"/>
  <c r="AY415" i="3"/>
  <c r="AZ415" i="3"/>
  <c r="BA415" i="3"/>
  <c r="AY416" i="3"/>
  <c r="AZ416" i="3"/>
  <c r="BA416" i="3"/>
  <c r="AY417" i="3"/>
  <c r="AZ417" i="3"/>
  <c r="BA417" i="3"/>
  <c r="AY418" i="3"/>
  <c r="AZ418" i="3"/>
  <c r="BA418" i="3"/>
  <c r="AY419" i="3"/>
  <c r="AZ419" i="3"/>
  <c r="BA419" i="3"/>
  <c r="AY420" i="3"/>
  <c r="AZ420" i="3"/>
  <c r="BA420" i="3"/>
  <c r="AY421" i="3"/>
  <c r="AZ421" i="3"/>
  <c r="BA421" i="3"/>
  <c r="AY422" i="3"/>
  <c r="AZ422" i="3"/>
  <c r="BA422" i="3"/>
  <c r="AY423" i="3"/>
  <c r="AZ423" i="3"/>
  <c r="BA423" i="3"/>
  <c r="AY424" i="3"/>
  <c r="AZ424" i="3"/>
  <c r="BA424" i="3"/>
  <c r="AY425" i="3"/>
  <c r="AZ425" i="3"/>
  <c r="BA425" i="3"/>
  <c r="AY426" i="3"/>
  <c r="AZ426" i="3"/>
  <c r="BA426" i="3"/>
  <c r="AY427" i="3"/>
  <c r="AZ427" i="3"/>
  <c r="BA427" i="3"/>
  <c r="AY428" i="3"/>
  <c r="AZ428" i="3"/>
  <c r="BA428" i="3"/>
  <c r="AY429" i="3"/>
  <c r="AZ429" i="3"/>
  <c r="BA429" i="3"/>
  <c r="AY430" i="3"/>
  <c r="AZ430" i="3"/>
  <c r="BA430" i="3"/>
  <c r="AY431" i="3"/>
  <c r="AZ431" i="3"/>
  <c r="BA431" i="3"/>
  <c r="AY432" i="3"/>
  <c r="AZ432" i="3"/>
  <c r="BA432" i="3"/>
  <c r="AY433" i="3"/>
  <c r="AZ433" i="3"/>
  <c r="BA433" i="3"/>
  <c r="AY434" i="3"/>
  <c r="AZ434" i="3"/>
  <c r="BA434" i="3"/>
  <c r="AY435" i="3"/>
  <c r="AZ435" i="3"/>
  <c r="BA435" i="3"/>
  <c r="AY436" i="3"/>
  <c r="AZ436" i="3"/>
  <c r="BA436" i="3"/>
  <c r="AY437" i="3"/>
  <c r="AZ437" i="3"/>
  <c r="BA437" i="3"/>
  <c r="AY438" i="3"/>
  <c r="AZ438" i="3"/>
  <c r="BA438" i="3"/>
  <c r="AY439" i="3"/>
  <c r="AZ439" i="3"/>
  <c r="BA439" i="3"/>
  <c r="AY440" i="3"/>
  <c r="AZ440" i="3"/>
  <c r="BA440" i="3"/>
  <c r="AY441" i="3"/>
  <c r="AZ441" i="3"/>
  <c r="BA441" i="3"/>
  <c r="AY442" i="3"/>
  <c r="AZ442" i="3"/>
  <c r="BA442" i="3"/>
  <c r="AY443" i="3"/>
  <c r="AZ443" i="3"/>
  <c r="BA443" i="3"/>
  <c r="AY444" i="3"/>
  <c r="AZ444" i="3"/>
  <c r="BA444" i="3"/>
  <c r="AY445" i="3"/>
  <c r="AZ445" i="3"/>
  <c r="BA445" i="3"/>
  <c r="AY446" i="3"/>
  <c r="AZ446" i="3"/>
  <c r="BA446" i="3"/>
  <c r="AY447" i="3"/>
  <c r="AZ447" i="3"/>
  <c r="BA447" i="3"/>
  <c r="AY448" i="3"/>
  <c r="AZ448" i="3"/>
  <c r="BA448" i="3"/>
  <c r="AY449" i="3"/>
  <c r="AZ449" i="3"/>
  <c r="BA449" i="3"/>
  <c r="AY450" i="3"/>
  <c r="AZ450" i="3"/>
  <c r="BA450" i="3"/>
  <c r="AY451" i="3"/>
  <c r="AZ451" i="3"/>
  <c r="BA451" i="3"/>
  <c r="AY452" i="3"/>
  <c r="AZ452" i="3"/>
  <c r="BA452" i="3"/>
  <c r="AY453" i="3"/>
  <c r="AZ453" i="3"/>
  <c r="BA453" i="3"/>
  <c r="AY454" i="3"/>
  <c r="AZ454" i="3"/>
  <c r="BA454" i="3"/>
  <c r="AY455" i="3"/>
  <c r="AZ455" i="3"/>
  <c r="BA455" i="3"/>
  <c r="AY456" i="3"/>
  <c r="AZ456" i="3"/>
  <c r="BA456" i="3"/>
  <c r="AY457" i="3"/>
  <c r="AZ457" i="3"/>
  <c r="BA457" i="3"/>
  <c r="AY458" i="3"/>
  <c r="AZ458" i="3"/>
  <c r="BA458" i="3"/>
  <c r="AY459" i="3"/>
  <c r="AZ459" i="3"/>
  <c r="BA459" i="3"/>
  <c r="AY460" i="3"/>
  <c r="AZ460" i="3"/>
  <c r="BA460" i="3"/>
  <c r="AY461" i="3"/>
  <c r="AZ461" i="3"/>
  <c r="BA461" i="3"/>
  <c r="AY462" i="3"/>
  <c r="AZ462" i="3"/>
  <c r="BA462" i="3"/>
  <c r="AY463" i="3"/>
  <c r="AZ463" i="3"/>
  <c r="BA463" i="3"/>
  <c r="AY464" i="3"/>
  <c r="AZ464" i="3"/>
  <c r="BA464" i="3"/>
  <c r="AY465" i="3"/>
  <c r="AZ465" i="3"/>
  <c r="BA465" i="3"/>
  <c r="AY466" i="3"/>
  <c r="AZ466" i="3"/>
  <c r="BA466" i="3"/>
  <c r="AY467" i="3"/>
  <c r="AZ467" i="3"/>
  <c r="BA467" i="3"/>
  <c r="AY468" i="3"/>
  <c r="AZ468" i="3"/>
  <c r="BA468" i="3"/>
  <c r="AY469" i="3"/>
  <c r="AZ469" i="3"/>
  <c r="BA469" i="3"/>
  <c r="AY470" i="3"/>
  <c r="AZ470" i="3"/>
  <c r="BA470" i="3"/>
  <c r="AY471" i="3"/>
  <c r="AZ471" i="3"/>
  <c r="BA471" i="3"/>
  <c r="AY472" i="3"/>
  <c r="AZ472" i="3"/>
  <c r="BA472" i="3"/>
  <c r="AY473" i="3"/>
  <c r="AZ473" i="3"/>
  <c r="BA473" i="3"/>
  <c r="AY474" i="3"/>
  <c r="AZ474" i="3"/>
  <c r="BA474" i="3"/>
  <c r="AY475" i="3"/>
  <c r="AZ475" i="3"/>
  <c r="BA475" i="3"/>
  <c r="AY476" i="3"/>
  <c r="AZ476" i="3"/>
  <c r="BA476" i="3"/>
  <c r="AY477" i="3"/>
  <c r="AZ477" i="3"/>
  <c r="BA477" i="3"/>
  <c r="AY478" i="3"/>
  <c r="AZ478" i="3"/>
  <c r="BA478" i="3"/>
  <c r="AY479" i="3"/>
  <c r="AZ479" i="3"/>
  <c r="BA479" i="3"/>
  <c r="AY480" i="3"/>
  <c r="AZ480" i="3"/>
  <c r="BA480" i="3"/>
  <c r="AY481" i="3"/>
  <c r="AZ481" i="3"/>
  <c r="BA481" i="3"/>
  <c r="AY482" i="3"/>
  <c r="AZ482" i="3"/>
  <c r="BA482" i="3"/>
  <c r="AY483" i="3"/>
  <c r="AZ483" i="3"/>
  <c r="BA483" i="3"/>
  <c r="AY484" i="3"/>
  <c r="AZ484" i="3"/>
  <c r="BA484" i="3"/>
  <c r="AY485" i="3"/>
  <c r="AZ485" i="3"/>
  <c r="BA485" i="3"/>
  <c r="AY486" i="3"/>
  <c r="AZ486" i="3"/>
  <c r="BA486" i="3"/>
  <c r="AY487" i="3"/>
  <c r="AZ487" i="3"/>
  <c r="BA487" i="3"/>
  <c r="AY488" i="3"/>
  <c r="AZ488" i="3"/>
  <c r="BA488" i="3"/>
  <c r="AY489" i="3"/>
  <c r="AZ489" i="3"/>
  <c r="BA489" i="3"/>
  <c r="AY490" i="3"/>
  <c r="AZ490" i="3"/>
  <c r="BA490" i="3"/>
  <c r="AY491" i="3"/>
  <c r="AZ491" i="3"/>
  <c r="BA491" i="3"/>
  <c r="AY492" i="3"/>
  <c r="AZ492" i="3"/>
  <c r="BA492" i="3"/>
  <c r="AY493" i="3"/>
  <c r="AZ493" i="3"/>
  <c r="BA493" i="3"/>
  <c r="AY494" i="3"/>
  <c r="AZ494" i="3"/>
  <c r="BA494" i="3"/>
  <c r="AY495" i="3"/>
  <c r="AZ495" i="3"/>
  <c r="BA495" i="3"/>
  <c r="AY496" i="3"/>
  <c r="AZ496" i="3"/>
  <c r="BA496" i="3"/>
  <c r="AY497" i="3"/>
  <c r="AZ497" i="3"/>
  <c r="BA497" i="3"/>
  <c r="AY498" i="3"/>
  <c r="AZ498" i="3"/>
  <c r="BA498" i="3"/>
  <c r="AY499" i="3"/>
  <c r="AZ499" i="3"/>
  <c r="BA499" i="3"/>
  <c r="AY500" i="3"/>
  <c r="AZ500" i="3"/>
  <c r="BA500" i="3"/>
  <c r="AY501" i="3"/>
  <c r="AZ501" i="3"/>
  <c r="BA501" i="3"/>
  <c r="AY502" i="3"/>
  <c r="AZ502" i="3"/>
  <c r="BA502" i="3"/>
  <c r="AY503" i="3"/>
  <c r="AZ503" i="3"/>
  <c r="BA503" i="3"/>
  <c r="AY504" i="3"/>
  <c r="AZ504" i="3"/>
  <c r="BA504" i="3"/>
  <c r="AY505" i="3"/>
  <c r="AZ505" i="3"/>
  <c r="BA505" i="3"/>
  <c r="AY506" i="3"/>
  <c r="AZ506" i="3"/>
  <c r="BA506" i="3"/>
  <c r="AY507" i="3"/>
  <c r="AZ507" i="3"/>
  <c r="BA507" i="3"/>
  <c r="AY508" i="3"/>
  <c r="AZ508" i="3"/>
  <c r="BA508" i="3"/>
  <c r="AY509" i="3"/>
  <c r="AZ509" i="3"/>
  <c r="BA509" i="3"/>
  <c r="AY510" i="3"/>
  <c r="AZ510" i="3"/>
  <c r="BA510" i="3"/>
  <c r="AY511" i="3"/>
  <c r="AZ511" i="3"/>
  <c r="BA511" i="3"/>
  <c r="AY512" i="3"/>
  <c r="AZ512" i="3"/>
  <c r="BA512" i="3"/>
  <c r="AY513" i="3"/>
  <c r="AZ513" i="3"/>
  <c r="BA513" i="3"/>
  <c r="AY514" i="3"/>
  <c r="AZ514" i="3"/>
  <c r="BA514" i="3"/>
  <c r="AY515" i="3"/>
  <c r="AZ515" i="3"/>
  <c r="BA515" i="3"/>
  <c r="AY516" i="3"/>
  <c r="AZ516" i="3"/>
  <c r="BA516" i="3"/>
  <c r="AY517" i="3"/>
  <c r="AZ517" i="3"/>
  <c r="BA517" i="3"/>
  <c r="AY518" i="3"/>
  <c r="AZ518" i="3"/>
  <c r="BA518" i="3"/>
  <c r="AY519" i="3"/>
  <c r="AZ519" i="3"/>
  <c r="BA519" i="3"/>
  <c r="AY520" i="3"/>
  <c r="AZ520" i="3"/>
  <c r="BA520" i="3"/>
  <c r="AY521" i="3"/>
  <c r="AZ521" i="3"/>
  <c r="BA521" i="3"/>
  <c r="AY522" i="3"/>
  <c r="AZ522" i="3"/>
  <c r="BA522" i="3"/>
  <c r="AY523" i="3"/>
  <c r="AZ523" i="3"/>
  <c r="BA523" i="3"/>
  <c r="AY524" i="3"/>
  <c r="AZ524" i="3"/>
  <c r="BA524" i="3"/>
  <c r="AY525" i="3"/>
  <c r="AZ525" i="3"/>
  <c r="BA525" i="3"/>
  <c r="AY526" i="3"/>
  <c r="AZ526" i="3"/>
  <c r="BA526" i="3"/>
  <c r="AY527" i="3"/>
  <c r="AZ527" i="3"/>
  <c r="BA527" i="3"/>
  <c r="AY528" i="3"/>
  <c r="AZ528" i="3"/>
  <c r="BA528" i="3"/>
  <c r="AY529" i="3"/>
  <c r="AZ529" i="3"/>
  <c r="BA529" i="3"/>
  <c r="AY530" i="3"/>
  <c r="AZ530" i="3"/>
  <c r="BA530" i="3"/>
  <c r="AY531" i="3"/>
  <c r="AZ531" i="3"/>
  <c r="BA531" i="3"/>
  <c r="AY532" i="3"/>
  <c r="AZ532" i="3"/>
  <c r="BA532" i="3"/>
  <c r="AY533" i="3"/>
  <c r="AZ533" i="3"/>
  <c r="BA533" i="3"/>
  <c r="AY534" i="3"/>
  <c r="AZ534" i="3"/>
  <c r="BA534" i="3"/>
  <c r="AY535" i="3"/>
  <c r="AZ535" i="3"/>
  <c r="BA535" i="3"/>
  <c r="AY536" i="3"/>
  <c r="AZ536" i="3"/>
  <c r="BA536" i="3"/>
  <c r="AY537" i="3"/>
  <c r="AZ537" i="3"/>
  <c r="BA537" i="3"/>
  <c r="AY538" i="3"/>
  <c r="AZ538" i="3"/>
  <c r="BA538" i="3"/>
  <c r="AY539" i="3"/>
  <c r="AZ539" i="3"/>
  <c r="BA539" i="3"/>
  <c r="AY540" i="3"/>
  <c r="AZ540" i="3"/>
  <c r="BA540" i="3"/>
  <c r="AY541" i="3"/>
  <c r="AZ541" i="3"/>
  <c r="BA541" i="3"/>
  <c r="AY542" i="3"/>
  <c r="AZ542" i="3"/>
  <c r="BA542" i="3"/>
  <c r="AY543" i="3"/>
  <c r="AZ543" i="3"/>
  <c r="BA543" i="3"/>
  <c r="AY544" i="3"/>
  <c r="AZ544" i="3"/>
  <c r="BA544" i="3"/>
  <c r="AY545" i="3"/>
  <c r="AZ545" i="3"/>
  <c r="BA545" i="3"/>
  <c r="AY546" i="3"/>
  <c r="AZ546" i="3"/>
  <c r="BA546" i="3"/>
  <c r="AY547" i="3"/>
  <c r="AZ547" i="3"/>
  <c r="BA547" i="3"/>
  <c r="AY548" i="3"/>
  <c r="AZ548" i="3"/>
  <c r="BA548" i="3"/>
  <c r="AY549" i="3"/>
  <c r="AZ549" i="3"/>
  <c r="BA549" i="3"/>
  <c r="AY550" i="3"/>
  <c r="AZ550" i="3"/>
  <c r="BA550" i="3"/>
  <c r="AY551" i="3"/>
  <c r="AZ551" i="3"/>
  <c r="BA551" i="3"/>
  <c r="AY552" i="3"/>
  <c r="AZ552" i="3"/>
  <c r="BA552" i="3"/>
  <c r="AY553" i="3"/>
  <c r="AZ553" i="3"/>
  <c r="BA553" i="3"/>
  <c r="AY554" i="3"/>
  <c r="AZ554" i="3"/>
  <c r="BA554" i="3"/>
  <c r="AY555" i="3"/>
  <c r="AZ555" i="3"/>
  <c r="BA555" i="3"/>
  <c r="AY556" i="3"/>
  <c r="AZ556" i="3"/>
  <c r="BA556" i="3"/>
  <c r="AY557" i="3"/>
  <c r="AZ557" i="3"/>
  <c r="BA557" i="3"/>
  <c r="AY558" i="3"/>
  <c r="AZ558" i="3"/>
  <c r="BA558" i="3"/>
  <c r="AY559" i="3"/>
  <c r="AZ559" i="3"/>
  <c r="BA559" i="3"/>
  <c r="AY560" i="3"/>
  <c r="AZ560" i="3"/>
  <c r="BA560" i="3"/>
  <c r="AY561" i="3"/>
  <c r="AZ561" i="3"/>
  <c r="BA561" i="3"/>
  <c r="AY562" i="3"/>
  <c r="AZ562" i="3"/>
  <c r="BA562" i="3"/>
  <c r="AY563" i="3"/>
  <c r="AZ563" i="3"/>
  <c r="BA563" i="3"/>
  <c r="AY564" i="3"/>
  <c r="AZ564" i="3"/>
  <c r="BA564" i="3"/>
  <c r="AY565" i="3"/>
  <c r="AZ565" i="3"/>
  <c r="BA565" i="3"/>
  <c r="AY566" i="3"/>
  <c r="AZ566" i="3"/>
  <c r="BA566" i="3"/>
  <c r="AY567" i="3"/>
  <c r="AZ567" i="3"/>
  <c r="BA567" i="3"/>
  <c r="AY568" i="3"/>
  <c r="AZ568" i="3"/>
  <c r="BA568" i="3"/>
  <c r="AY569" i="3"/>
  <c r="AZ569" i="3"/>
  <c r="BA569" i="3"/>
  <c r="AY570" i="3"/>
  <c r="AZ570" i="3"/>
  <c r="BA570" i="3"/>
  <c r="AY571" i="3"/>
  <c r="AZ571" i="3"/>
  <c r="BA571" i="3"/>
  <c r="AY572" i="3"/>
  <c r="AZ572" i="3"/>
  <c r="BA572" i="3"/>
  <c r="AY573" i="3"/>
  <c r="AZ573" i="3"/>
  <c r="BA573" i="3"/>
  <c r="AY574" i="3"/>
  <c r="AZ574" i="3"/>
  <c r="BA574" i="3"/>
  <c r="AY575" i="3"/>
  <c r="AZ575" i="3"/>
  <c r="BA575" i="3"/>
  <c r="AY576" i="3"/>
  <c r="AZ576" i="3"/>
  <c r="BA576" i="3"/>
  <c r="AY577" i="3"/>
  <c r="AZ577" i="3"/>
  <c r="BA577" i="3"/>
  <c r="AY578" i="3"/>
  <c r="AZ578" i="3"/>
  <c r="BA578" i="3"/>
  <c r="AY579" i="3"/>
  <c r="AZ579" i="3"/>
  <c r="BA579" i="3"/>
  <c r="AY580" i="3"/>
  <c r="AZ580" i="3"/>
  <c r="BA580" i="3"/>
  <c r="AY581" i="3"/>
  <c r="AZ581" i="3"/>
  <c r="BA581" i="3"/>
  <c r="AY582" i="3"/>
  <c r="AZ582" i="3"/>
  <c r="BA582" i="3"/>
  <c r="AY583" i="3"/>
  <c r="AZ583" i="3"/>
  <c r="BA583" i="3"/>
  <c r="AY584" i="3"/>
  <c r="AZ584" i="3"/>
  <c r="BA584" i="3"/>
  <c r="AY585" i="3"/>
  <c r="AZ585" i="3"/>
  <c r="BA585" i="3"/>
  <c r="AY586" i="3"/>
  <c r="AZ586" i="3"/>
  <c r="BA586" i="3"/>
  <c r="AY587" i="3"/>
  <c r="AZ587" i="3"/>
  <c r="BA587" i="3"/>
  <c r="AY588" i="3"/>
  <c r="AZ588" i="3"/>
  <c r="BA588" i="3"/>
  <c r="AY589" i="3"/>
  <c r="AZ589" i="3"/>
  <c r="BA589" i="3"/>
  <c r="AY590" i="3"/>
  <c r="AZ590" i="3"/>
  <c r="BA590" i="3"/>
  <c r="AY591" i="3"/>
  <c r="AZ591" i="3"/>
  <c r="BA591" i="3"/>
  <c r="AY592" i="3"/>
  <c r="AZ592" i="3"/>
  <c r="BA592" i="3"/>
  <c r="AY593" i="3"/>
  <c r="AZ593" i="3"/>
  <c r="BA593" i="3"/>
  <c r="AY594" i="3"/>
  <c r="AZ594" i="3"/>
  <c r="BA594" i="3"/>
  <c r="AY595" i="3"/>
  <c r="AZ595" i="3"/>
  <c r="BA595" i="3"/>
  <c r="AY596" i="3"/>
  <c r="AZ596" i="3"/>
  <c r="BA596" i="3"/>
  <c r="AY597" i="3"/>
  <c r="AZ597" i="3"/>
  <c r="BA597" i="3"/>
  <c r="AY598" i="3"/>
  <c r="AZ598" i="3"/>
  <c r="BA598" i="3"/>
  <c r="AY599" i="3"/>
  <c r="AZ599" i="3"/>
  <c r="BA599" i="3"/>
  <c r="AY600" i="3"/>
  <c r="AZ600" i="3"/>
  <c r="BA600" i="3"/>
  <c r="AY601" i="3"/>
  <c r="AZ601" i="3"/>
  <c r="BA601" i="3"/>
  <c r="AY602" i="3"/>
  <c r="AZ602" i="3"/>
  <c r="BA602" i="3"/>
  <c r="AY603" i="3"/>
  <c r="AZ603" i="3"/>
  <c r="BA603" i="3"/>
  <c r="AY8" i="3"/>
  <c r="AZ8" i="3"/>
  <c r="BA8" i="3"/>
  <c r="AY9" i="3"/>
  <c r="AZ9" i="3"/>
  <c r="BA9" i="3"/>
  <c r="AY10" i="3"/>
  <c r="AZ10" i="3"/>
  <c r="BA10" i="3"/>
  <c r="AY11" i="3"/>
  <c r="AZ11" i="3"/>
  <c r="BA11" i="3"/>
  <c r="AY12" i="3"/>
  <c r="AZ12" i="3"/>
  <c r="BA12" i="3"/>
  <c r="AY13" i="3"/>
  <c r="AZ13" i="3"/>
  <c r="BA13" i="3"/>
  <c r="AY14" i="3"/>
  <c r="AZ14" i="3"/>
  <c r="BA14" i="3"/>
  <c r="AY15" i="3"/>
  <c r="AZ15" i="3"/>
  <c r="BA15" i="3"/>
  <c r="AY16" i="3"/>
  <c r="AZ16" i="3"/>
  <c r="BA16" i="3"/>
  <c r="AY17" i="3"/>
  <c r="AZ17" i="3"/>
  <c r="BA17" i="3"/>
  <c r="AY18" i="3"/>
  <c r="AZ18" i="3"/>
  <c r="BA18" i="3"/>
  <c r="AY19" i="3"/>
  <c r="AZ19" i="3"/>
  <c r="BA19" i="3"/>
  <c r="AY20" i="3"/>
  <c r="AZ20" i="3"/>
  <c r="BA20" i="3"/>
  <c r="AY21" i="3"/>
  <c r="AZ21" i="3"/>
  <c r="BA21" i="3"/>
  <c r="AY22" i="3"/>
  <c r="AZ22" i="3"/>
  <c r="BA22" i="3"/>
  <c r="AY23" i="3"/>
  <c r="AZ23" i="3"/>
  <c r="BA23" i="3"/>
  <c r="AY24" i="3"/>
  <c r="AZ24" i="3"/>
  <c r="BA24" i="3"/>
  <c r="AY25" i="3"/>
  <c r="AZ25" i="3"/>
  <c r="BA25" i="3"/>
  <c r="AY26" i="3"/>
  <c r="AZ26" i="3"/>
  <c r="BA26" i="3"/>
  <c r="AY27" i="3"/>
  <c r="AZ27" i="3"/>
  <c r="BA27" i="3"/>
  <c r="AY28" i="3"/>
  <c r="AZ28" i="3"/>
  <c r="BA28" i="3"/>
  <c r="AY29" i="3"/>
  <c r="AZ29" i="3"/>
  <c r="BA29" i="3"/>
  <c r="AY30" i="3"/>
  <c r="AZ30" i="3"/>
  <c r="BA30" i="3"/>
  <c r="AY31" i="3"/>
  <c r="AZ31" i="3"/>
  <c r="BA31" i="3"/>
  <c r="AY32" i="3"/>
  <c r="AZ32" i="3"/>
  <c r="BA32" i="3"/>
  <c r="AY33" i="3"/>
  <c r="AZ33" i="3"/>
  <c r="BA33" i="3"/>
  <c r="AY34" i="3"/>
  <c r="AZ34" i="3"/>
  <c r="BA34" i="3"/>
  <c r="AY35" i="3"/>
  <c r="AZ35" i="3"/>
  <c r="BA35" i="3"/>
  <c r="AY36" i="3"/>
  <c r="AZ36" i="3"/>
  <c r="BA36" i="3"/>
  <c r="AY37" i="3"/>
  <c r="AZ37" i="3"/>
  <c r="BA37" i="3"/>
  <c r="AY38" i="3"/>
  <c r="AZ38" i="3"/>
  <c r="BA38" i="3"/>
  <c r="AY39" i="3"/>
  <c r="AZ39" i="3"/>
  <c r="BA39" i="3"/>
  <c r="AY40" i="3"/>
  <c r="AZ40" i="3"/>
  <c r="BA40" i="3"/>
  <c r="AY41" i="3"/>
  <c r="AZ41" i="3"/>
  <c r="BA41" i="3"/>
  <c r="AY42" i="3"/>
  <c r="AZ42" i="3"/>
  <c r="BA42" i="3"/>
  <c r="AY43" i="3"/>
  <c r="AZ43" i="3"/>
  <c r="BA43" i="3"/>
  <c r="AY44" i="3"/>
  <c r="AZ44" i="3"/>
  <c r="BA44" i="3"/>
  <c r="AY45" i="3"/>
  <c r="AZ45" i="3"/>
  <c r="BA45" i="3"/>
  <c r="AY46" i="3"/>
  <c r="AZ46" i="3"/>
  <c r="BA46" i="3"/>
  <c r="AY47" i="3"/>
  <c r="AZ47" i="3"/>
  <c r="BA47" i="3"/>
  <c r="AY48" i="3"/>
  <c r="AZ48" i="3"/>
  <c r="BA48" i="3"/>
  <c r="AY49" i="3"/>
  <c r="AZ49" i="3"/>
  <c r="BA49" i="3"/>
  <c r="AY50" i="3"/>
  <c r="AZ50" i="3"/>
  <c r="BA50" i="3"/>
  <c r="AY51" i="3"/>
  <c r="AZ51" i="3"/>
  <c r="BA51" i="3"/>
  <c r="AY52" i="3"/>
  <c r="AZ52" i="3"/>
  <c r="BA52" i="3"/>
  <c r="AY53" i="3"/>
  <c r="AZ53" i="3"/>
  <c r="BA53" i="3"/>
  <c r="AY54" i="3"/>
  <c r="AZ54" i="3"/>
  <c r="BA54" i="3"/>
  <c r="AY55" i="3"/>
  <c r="AZ55" i="3"/>
  <c r="BA55" i="3"/>
  <c r="AY56" i="3"/>
  <c r="AZ56" i="3"/>
  <c r="BA56" i="3"/>
  <c r="AY57" i="3"/>
  <c r="AZ57" i="3"/>
  <c r="BA57" i="3"/>
  <c r="AY58" i="3"/>
  <c r="AZ58" i="3"/>
  <c r="BA58" i="3"/>
  <c r="AY59" i="3"/>
  <c r="AZ59" i="3"/>
  <c r="BA59" i="3"/>
  <c r="AY60" i="3"/>
  <c r="AZ60" i="3"/>
  <c r="BA60" i="3"/>
  <c r="AY61" i="3"/>
  <c r="AZ61" i="3"/>
  <c r="BA61" i="3"/>
  <c r="AY62" i="3"/>
  <c r="AZ62" i="3"/>
  <c r="BA62" i="3"/>
  <c r="AY63" i="3"/>
  <c r="AZ63" i="3"/>
  <c r="BA63" i="3"/>
  <c r="AY64" i="3"/>
  <c r="AZ64" i="3"/>
  <c r="BA64" i="3"/>
  <c r="AY65" i="3"/>
  <c r="AZ65" i="3"/>
  <c r="BA65" i="3"/>
  <c r="AY66" i="3"/>
  <c r="AZ66" i="3"/>
  <c r="BA66" i="3"/>
  <c r="AY67" i="3"/>
  <c r="AZ67" i="3"/>
  <c r="BA67" i="3"/>
  <c r="AY68" i="3"/>
  <c r="AZ68" i="3"/>
  <c r="BA68" i="3"/>
  <c r="AY69" i="3"/>
  <c r="AZ69" i="3"/>
  <c r="BA69" i="3"/>
  <c r="AY70" i="3"/>
  <c r="AZ70" i="3"/>
  <c r="BA70" i="3"/>
  <c r="AY71" i="3"/>
  <c r="AZ71" i="3"/>
  <c r="BA71" i="3"/>
  <c r="AY72" i="3"/>
  <c r="AZ72" i="3"/>
  <c r="BA72" i="3"/>
  <c r="AY73" i="3"/>
  <c r="AZ73" i="3"/>
  <c r="BA73" i="3"/>
  <c r="AY74" i="3"/>
  <c r="AZ74" i="3"/>
  <c r="BA74" i="3"/>
  <c r="AY75" i="3"/>
  <c r="AZ75" i="3"/>
  <c r="BA75" i="3"/>
  <c r="AY76" i="3"/>
  <c r="AZ76" i="3"/>
  <c r="BA76" i="3"/>
  <c r="AY77" i="3"/>
  <c r="AZ77" i="3"/>
  <c r="BA77" i="3"/>
  <c r="AY78" i="3"/>
  <c r="AZ78" i="3"/>
  <c r="BA78" i="3"/>
  <c r="AY79" i="3"/>
  <c r="AZ79" i="3"/>
  <c r="BA79" i="3"/>
  <c r="AY80" i="3"/>
  <c r="AZ80" i="3"/>
  <c r="BA80" i="3"/>
  <c r="AY81" i="3"/>
  <c r="AZ81" i="3"/>
  <c r="BA81" i="3"/>
  <c r="AY82" i="3"/>
  <c r="AZ82" i="3"/>
  <c r="BA82" i="3"/>
  <c r="AY83" i="3"/>
  <c r="AZ83" i="3"/>
  <c r="BA83" i="3"/>
  <c r="AY84" i="3"/>
  <c r="AZ84" i="3"/>
  <c r="BA84" i="3"/>
  <c r="AY85" i="3"/>
  <c r="AZ85" i="3"/>
  <c r="BA85" i="3"/>
  <c r="AY86" i="3"/>
  <c r="AZ86" i="3"/>
  <c r="BA86" i="3"/>
  <c r="AY87" i="3"/>
  <c r="AZ87" i="3"/>
  <c r="BA87" i="3"/>
  <c r="AY88" i="3"/>
  <c r="AZ88" i="3"/>
  <c r="BA88" i="3"/>
  <c r="AY89" i="3"/>
  <c r="AZ89" i="3"/>
  <c r="BA89" i="3"/>
  <c r="AY90" i="3"/>
  <c r="AZ90" i="3"/>
  <c r="BA90" i="3"/>
  <c r="AY91" i="3"/>
  <c r="AZ91" i="3"/>
  <c r="BA91" i="3"/>
  <c r="AY92" i="3"/>
  <c r="AZ92" i="3"/>
  <c r="BA92" i="3"/>
  <c r="AY93" i="3"/>
  <c r="AZ93" i="3"/>
  <c r="BA93" i="3"/>
  <c r="AY94" i="3"/>
  <c r="AZ94" i="3"/>
  <c r="BA94" i="3"/>
  <c r="AY95" i="3"/>
  <c r="AZ95" i="3"/>
  <c r="BA95" i="3"/>
  <c r="AY96" i="3"/>
  <c r="AZ96" i="3"/>
  <c r="BA96" i="3"/>
  <c r="AY97" i="3"/>
  <c r="AZ97" i="3"/>
  <c r="BA97" i="3"/>
  <c r="AY98" i="3"/>
  <c r="AZ98" i="3"/>
  <c r="BA98" i="3"/>
  <c r="AY99" i="3"/>
  <c r="AZ99" i="3"/>
  <c r="BA99" i="3"/>
  <c r="AY100" i="3"/>
  <c r="AZ100" i="3"/>
  <c r="BA100" i="3"/>
  <c r="AY101" i="3"/>
  <c r="AZ101" i="3"/>
  <c r="BA101" i="3"/>
  <c r="AY102" i="3"/>
  <c r="AZ102" i="3"/>
  <c r="BA102" i="3"/>
  <c r="AY103" i="3"/>
  <c r="AZ103" i="3"/>
  <c r="BA103" i="3"/>
  <c r="AY104" i="3"/>
  <c r="AZ104" i="3"/>
  <c r="BA104" i="3"/>
  <c r="AY105" i="3"/>
  <c r="AZ105" i="3"/>
  <c r="BA105" i="3"/>
  <c r="AY106" i="3"/>
  <c r="AZ106" i="3"/>
  <c r="BA106" i="3"/>
  <c r="AY107" i="3"/>
  <c r="AZ107" i="3"/>
  <c r="BA107" i="3"/>
  <c r="AY108" i="3"/>
  <c r="AZ108" i="3"/>
  <c r="BA108" i="3"/>
  <c r="AY109" i="3"/>
  <c r="AZ109" i="3"/>
  <c r="BA109" i="3"/>
  <c r="AY110" i="3"/>
  <c r="AZ110" i="3"/>
  <c r="BA110" i="3"/>
  <c r="AY111" i="3"/>
  <c r="AZ111" i="3"/>
  <c r="BA111" i="3"/>
  <c r="AY112" i="3"/>
  <c r="AZ112" i="3"/>
  <c r="BA112" i="3"/>
  <c r="AY113" i="3"/>
  <c r="AZ113" i="3"/>
  <c r="BA113" i="3"/>
  <c r="AY114" i="3"/>
  <c r="AZ114" i="3"/>
  <c r="BA114" i="3"/>
  <c r="AY115" i="3"/>
  <c r="AZ115" i="3"/>
  <c r="BA115" i="3"/>
  <c r="AY116" i="3"/>
  <c r="AZ116" i="3"/>
  <c r="BA116" i="3"/>
  <c r="AY117" i="3"/>
  <c r="AZ117" i="3"/>
  <c r="BA117" i="3"/>
  <c r="AY118" i="3"/>
  <c r="AZ118" i="3"/>
  <c r="BA118" i="3"/>
  <c r="AY119" i="3"/>
  <c r="AZ119" i="3"/>
  <c r="BA119" i="3"/>
  <c r="AY120" i="3"/>
  <c r="AZ120" i="3"/>
  <c r="BA120" i="3"/>
  <c r="AY121" i="3"/>
  <c r="AZ121" i="3"/>
  <c r="BA121" i="3"/>
  <c r="AY122" i="3"/>
  <c r="AZ122" i="3"/>
  <c r="BA122" i="3"/>
  <c r="AY123" i="3"/>
  <c r="AZ123" i="3"/>
  <c r="BA123" i="3"/>
  <c r="AY124" i="3"/>
  <c r="AZ124" i="3"/>
  <c r="BA124" i="3"/>
  <c r="AY125" i="3"/>
  <c r="AZ125" i="3"/>
  <c r="BA125" i="3"/>
  <c r="AY126" i="3"/>
  <c r="AZ126" i="3"/>
  <c r="BA126" i="3"/>
  <c r="AY127" i="3"/>
  <c r="AZ127" i="3"/>
  <c r="BA127" i="3"/>
  <c r="AY128" i="3"/>
  <c r="AZ128" i="3"/>
  <c r="BA128" i="3"/>
  <c r="AY129" i="3"/>
  <c r="AZ129" i="3"/>
  <c r="BA129" i="3"/>
  <c r="AY130" i="3"/>
  <c r="AZ130" i="3"/>
  <c r="BA130" i="3"/>
  <c r="AY131" i="3"/>
  <c r="AZ131" i="3"/>
  <c r="BA131" i="3"/>
  <c r="AY132" i="3"/>
  <c r="AZ132" i="3"/>
  <c r="BA132" i="3"/>
  <c r="AY133" i="3"/>
  <c r="AZ133" i="3"/>
  <c r="BA133" i="3"/>
  <c r="AY134" i="3"/>
  <c r="AZ134" i="3"/>
  <c r="BA134" i="3"/>
  <c r="AY135" i="3"/>
  <c r="AZ135" i="3"/>
  <c r="BA135" i="3"/>
  <c r="AY136" i="3"/>
  <c r="AZ136" i="3"/>
  <c r="BA136" i="3"/>
  <c r="AY137" i="3"/>
  <c r="AZ137" i="3"/>
  <c r="BA137" i="3"/>
  <c r="AY138" i="3"/>
  <c r="AZ138" i="3"/>
  <c r="BA138" i="3"/>
  <c r="AY139" i="3"/>
  <c r="AZ139" i="3"/>
  <c r="BA139" i="3"/>
  <c r="AY140" i="3"/>
  <c r="AZ140" i="3"/>
  <c r="BA140" i="3"/>
  <c r="AY141" i="3"/>
  <c r="AZ141" i="3"/>
  <c r="BA141" i="3"/>
  <c r="AY142" i="3"/>
  <c r="AZ142" i="3"/>
  <c r="BA142" i="3"/>
  <c r="AY143" i="3"/>
  <c r="AZ143" i="3"/>
  <c r="BA143" i="3"/>
  <c r="AY144" i="3"/>
  <c r="AZ144" i="3"/>
  <c r="BA144" i="3"/>
  <c r="AY145" i="3"/>
  <c r="AZ145" i="3"/>
  <c r="BA145" i="3"/>
  <c r="AY146" i="3"/>
  <c r="AZ146" i="3"/>
  <c r="BA146" i="3"/>
  <c r="AY147" i="3"/>
  <c r="AZ147" i="3"/>
  <c r="BA147" i="3"/>
  <c r="AY148" i="3"/>
  <c r="AZ148" i="3"/>
  <c r="BA148" i="3"/>
  <c r="AY149" i="3"/>
  <c r="AZ149" i="3"/>
  <c r="BA149" i="3"/>
  <c r="AY150" i="3"/>
  <c r="AZ150" i="3"/>
  <c r="BA150" i="3"/>
  <c r="AY151" i="3"/>
  <c r="AZ151" i="3"/>
  <c r="BA151" i="3"/>
  <c r="AY152" i="3"/>
  <c r="AZ152" i="3"/>
  <c r="BA152" i="3"/>
  <c r="AY153" i="3"/>
  <c r="AZ153" i="3"/>
  <c r="BA153" i="3"/>
  <c r="AY154" i="3"/>
  <c r="AZ154" i="3"/>
  <c r="BA154" i="3"/>
  <c r="AY155" i="3"/>
  <c r="AZ155" i="3"/>
  <c r="BA155" i="3"/>
  <c r="AY156" i="3"/>
  <c r="AZ156" i="3"/>
  <c r="BA156" i="3"/>
  <c r="AY157" i="3"/>
  <c r="AZ157" i="3"/>
  <c r="BA157" i="3"/>
  <c r="AY158" i="3"/>
  <c r="AZ158" i="3"/>
  <c r="BA158" i="3"/>
  <c r="AY159" i="3"/>
  <c r="AZ159" i="3"/>
  <c r="BA159" i="3"/>
  <c r="AY160" i="3"/>
  <c r="AZ160" i="3"/>
  <c r="BA160" i="3"/>
  <c r="AY161" i="3"/>
  <c r="AZ161" i="3"/>
  <c r="BA161" i="3"/>
  <c r="AY162" i="3"/>
  <c r="AZ162" i="3"/>
  <c r="BA162" i="3"/>
  <c r="AY163" i="3"/>
  <c r="AZ163" i="3"/>
  <c r="BA163" i="3"/>
  <c r="AY164" i="3"/>
  <c r="AZ164" i="3"/>
  <c r="BA164" i="3"/>
  <c r="AY165" i="3"/>
  <c r="AZ165" i="3"/>
  <c r="BA165" i="3"/>
  <c r="AY166" i="3"/>
  <c r="AZ166" i="3"/>
  <c r="BA166" i="3"/>
  <c r="AY167" i="3"/>
  <c r="AZ167" i="3"/>
  <c r="BA167" i="3"/>
  <c r="AY168" i="3"/>
  <c r="AZ168" i="3"/>
  <c r="BA168" i="3"/>
  <c r="AY169" i="3"/>
  <c r="AZ169" i="3"/>
  <c r="BA169" i="3"/>
  <c r="AY170" i="3"/>
  <c r="AZ170" i="3"/>
  <c r="BA170" i="3"/>
  <c r="AY171" i="3"/>
  <c r="AZ171" i="3"/>
  <c r="BA171" i="3"/>
  <c r="AY172" i="3"/>
  <c r="AZ172" i="3"/>
  <c r="BA172" i="3"/>
  <c r="AY173" i="3"/>
  <c r="AZ173" i="3"/>
  <c r="BA173" i="3"/>
  <c r="AY174" i="3"/>
  <c r="AZ174" i="3"/>
  <c r="BA174" i="3"/>
  <c r="AY175" i="3"/>
  <c r="AZ175" i="3"/>
  <c r="BA175" i="3"/>
  <c r="AY176" i="3"/>
  <c r="AZ176" i="3"/>
  <c r="BA176" i="3"/>
  <c r="AY177" i="3"/>
  <c r="AZ177" i="3"/>
  <c r="BA177" i="3"/>
  <c r="AY178" i="3"/>
  <c r="AZ178" i="3"/>
  <c r="BA178" i="3"/>
  <c r="AY179" i="3"/>
  <c r="AZ179" i="3"/>
  <c r="BA179" i="3"/>
  <c r="AY180" i="3"/>
  <c r="AZ180" i="3"/>
  <c r="BA180" i="3"/>
  <c r="AY181" i="3"/>
  <c r="AZ181" i="3"/>
  <c r="BA181" i="3"/>
  <c r="AY182" i="3"/>
  <c r="AZ182" i="3"/>
  <c r="BA182" i="3"/>
  <c r="AY183" i="3"/>
  <c r="AZ183" i="3"/>
  <c r="BA183" i="3"/>
  <c r="AY184" i="3"/>
  <c r="AZ184" i="3"/>
  <c r="BA184" i="3"/>
  <c r="AY185" i="3"/>
  <c r="AZ185" i="3"/>
  <c r="BA185" i="3"/>
  <c r="AY186" i="3"/>
  <c r="AZ186" i="3"/>
  <c r="BA186" i="3"/>
  <c r="AY187" i="3"/>
  <c r="AZ187" i="3"/>
  <c r="BA187" i="3"/>
  <c r="AY188" i="3"/>
  <c r="AZ188" i="3"/>
  <c r="BA188" i="3"/>
  <c r="AY189" i="3"/>
  <c r="AZ189" i="3"/>
  <c r="BA189" i="3"/>
  <c r="AY190" i="3"/>
  <c r="AZ190" i="3"/>
  <c r="BA190" i="3"/>
  <c r="AY191" i="3"/>
  <c r="AZ191" i="3"/>
  <c r="BA191" i="3"/>
  <c r="AY192" i="3"/>
  <c r="AZ192" i="3"/>
  <c r="BA192" i="3"/>
  <c r="AY193" i="3"/>
  <c r="AZ193" i="3"/>
  <c r="BA193" i="3"/>
  <c r="AY194" i="3"/>
  <c r="AZ194" i="3"/>
  <c r="BA194" i="3"/>
  <c r="AY195" i="3"/>
  <c r="AZ195" i="3"/>
  <c r="BA195" i="3"/>
  <c r="AY196" i="3"/>
  <c r="AZ196" i="3"/>
  <c r="BA196" i="3"/>
  <c r="AY197" i="3"/>
  <c r="AZ197" i="3"/>
  <c r="BA197" i="3"/>
  <c r="AY198" i="3"/>
  <c r="AZ198" i="3"/>
  <c r="BA198" i="3"/>
  <c r="AY199" i="3"/>
  <c r="AZ199" i="3"/>
  <c r="BA199" i="3"/>
  <c r="AY200" i="3"/>
  <c r="AZ200" i="3"/>
  <c r="BA200" i="3"/>
  <c r="AY201" i="3"/>
  <c r="AZ201" i="3"/>
  <c r="BA201" i="3"/>
  <c r="AY202" i="3"/>
  <c r="AZ202" i="3"/>
  <c r="BA202" i="3"/>
  <c r="AY203" i="3"/>
  <c r="AZ203" i="3"/>
  <c r="BA203" i="3"/>
  <c r="AY204" i="3"/>
  <c r="AZ204" i="3"/>
  <c r="BA204" i="3"/>
  <c r="AY205" i="3"/>
  <c r="AZ205" i="3"/>
  <c r="BA205" i="3"/>
  <c r="AY206" i="3"/>
  <c r="AZ206" i="3"/>
  <c r="BA206" i="3"/>
  <c r="AY207" i="3"/>
  <c r="AZ207" i="3"/>
  <c r="BA207" i="3"/>
  <c r="AY208" i="3"/>
  <c r="AZ208" i="3"/>
  <c r="BA208" i="3"/>
  <c r="AY209" i="3"/>
  <c r="AZ209" i="3"/>
  <c r="BA209" i="3"/>
  <c r="AY210" i="3"/>
  <c r="AZ210" i="3"/>
  <c r="BA210" i="3"/>
  <c r="AY211" i="3"/>
  <c r="AZ211" i="3"/>
  <c r="BA211" i="3"/>
  <c r="AY212" i="3"/>
  <c r="AZ212" i="3"/>
  <c r="BA212" i="3"/>
  <c r="AY213" i="3"/>
  <c r="AZ213" i="3"/>
  <c r="BA213" i="3"/>
  <c r="AY214" i="3"/>
  <c r="AZ214" i="3"/>
  <c r="BA214" i="3"/>
  <c r="AY215" i="3"/>
  <c r="AZ215" i="3"/>
  <c r="BA215" i="3"/>
  <c r="AY216" i="3"/>
  <c r="AZ216" i="3"/>
  <c r="BA216" i="3"/>
  <c r="AY217" i="3"/>
  <c r="AZ217" i="3"/>
  <c r="BA217" i="3"/>
  <c r="AY218" i="3"/>
  <c r="AZ218" i="3"/>
  <c r="BA218" i="3"/>
  <c r="AY219" i="3"/>
  <c r="AZ219" i="3"/>
  <c r="BA219" i="3"/>
  <c r="AY220" i="3"/>
  <c r="AZ220" i="3"/>
  <c r="BA220" i="3"/>
  <c r="AY221" i="3"/>
  <c r="AZ221" i="3"/>
  <c r="BA221" i="3"/>
  <c r="AY222" i="3"/>
  <c r="AZ222" i="3"/>
  <c r="BA222" i="3"/>
  <c r="AY223" i="3"/>
  <c r="AZ223" i="3"/>
  <c r="BA223" i="3"/>
  <c r="AY224" i="3"/>
  <c r="AZ224" i="3"/>
  <c r="BA224" i="3"/>
  <c r="AY225" i="3"/>
  <c r="AZ225" i="3"/>
  <c r="BA225" i="3"/>
  <c r="AY226" i="3"/>
  <c r="AZ226" i="3"/>
  <c r="BA226" i="3"/>
  <c r="AY227" i="3"/>
  <c r="AZ227" i="3"/>
  <c r="BA227" i="3"/>
  <c r="AY228" i="3"/>
  <c r="AZ228" i="3"/>
  <c r="BA228" i="3"/>
  <c r="AY229" i="3"/>
  <c r="AZ229" i="3"/>
  <c r="BA229" i="3"/>
  <c r="AY230" i="3"/>
  <c r="AZ230" i="3"/>
  <c r="BA230" i="3"/>
  <c r="AY231" i="3"/>
  <c r="AZ231" i="3"/>
  <c r="BA231" i="3"/>
  <c r="AY232" i="3"/>
  <c r="AZ232" i="3"/>
  <c r="BA232" i="3"/>
  <c r="AY233" i="3"/>
  <c r="AZ233" i="3"/>
  <c r="BA233" i="3"/>
  <c r="AY234" i="3"/>
  <c r="AZ234" i="3"/>
  <c r="BA234" i="3"/>
  <c r="AY235" i="3"/>
  <c r="AZ235" i="3"/>
  <c r="BA235" i="3"/>
  <c r="AY236" i="3"/>
  <c r="AZ236" i="3"/>
  <c r="BA236" i="3"/>
  <c r="AY237" i="3"/>
  <c r="AZ237" i="3"/>
  <c r="BA237" i="3"/>
  <c r="AY238" i="3"/>
  <c r="AZ238" i="3"/>
  <c r="BA238" i="3"/>
  <c r="AY239" i="3"/>
  <c r="AZ239" i="3"/>
  <c r="BA239" i="3"/>
  <c r="AY240" i="3"/>
  <c r="AZ240" i="3"/>
  <c r="BA240" i="3"/>
  <c r="AY241" i="3"/>
  <c r="AZ241" i="3"/>
  <c r="BA241" i="3"/>
  <c r="AY242" i="3"/>
  <c r="AZ242" i="3"/>
  <c r="BA242" i="3"/>
  <c r="AY243" i="3"/>
  <c r="AZ243" i="3"/>
  <c r="BA243" i="3"/>
  <c r="AY244" i="3"/>
  <c r="AZ244" i="3"/>
  <c r="BA244" i="3"/>
  <c r="AY245" i="3"/>
  <c r="AZ245" i="3"/>
  <c r="BA245" i="3"/>
  <c r="AY246" i="3"/>
  <c r="AZ246" i="3"/>
  <c r="BA246" i="3"/>
  <c r="AY247" i="3"/>
  <c r="AZ247" i="3"/>
  <c r="BA247" i="3"/>
  <c r="AY248" i="3"/>
  <c r="AZ248" i="3"/>
  <c r="BA248" i="3"/>
  <c r="AY249" i="3"/>
  <c r="AZ249" i="3"/>
  <c r="BA249" i="3"/>
  <c r="AY250" i="3"/>
  <c r="AZ250" i="3"/>
  <c r="BA250" i="3"/>
  <c r="AY251" i="3"/>
  <c r="AZ251" i="3"/>
  <c r="BA251" i="3"/>
  <c r="AY252" i="3"/>
  <c r="AZ252" i="3"/>
  <c r="BA252" i="3"/>
  <c r="AY253" i="3"/>
  <c r="AZ253" i="3"/>
  <c r="BA253" i="3"/>
  <c r="AY254" i="3"/>
  <c r="AZ254" i="3"/>
  <c r="BA254" i="3"/>
  <c r="AY255" i="3"/>
  <c r="AZ255" i="3"/>
  <c r="BA255" i="3"/>
  <c r="AY256" i="3"/>
  <c r="AZ256" i="3"/>
  <c r="BA256" i="3"/>
  <c r="AY257" i="3"/>
  <c r="AZ257" i="3"/>
  <c r="BA257" i="3"/>
  <c r="AY258" i="3"/>
  <c r="AZ258" i="3"/>
  <c r="BA258" i="3"/>
  <c r="AY259" i="3"/>
  <c r="AZ259" i="3"/>
  <c r="BA259" i="3"/>
  <c r="AY260" i="3"/>
  <c r="AZ260" i="3"/>
  <c r="BA260" i="3"/>
  <c r="AY261" i="3"/>
  <c r="AZ261" i="3"/>
  <c r="BA261" i="3"/>
  <c r="AY262" i="3"/>
  <c r="AZ262" i="3"/>
  <c r="BA262" i="3"/>
  <c r="AY263" i="3"/>
  <c r="AZ263" i="3"/>
  <c r="BA263" i="3"/>
  <c r="AY264" i="3"/>
  <c r="AZ264" i="3"/>
  <c r="BA264" i="3"/>
  <c r="AY265" i="3"/>
  <c r="AZ265" i="3"/>
  <c r="BA265" i="3"/>
  <c r="AY266" i="3"/>
  <c r="AZ266" i="3"/>
  <c r="BA266" i="3"/>
  <c r="AY267" i="3"/>
  <c r="AZ267" i="3"/>
  <c r="BA267" i="3"/>
  <c r="AY268" i="3"/>
  <c r="AZ268" i="3"/>
  <c r="BA268" i="3"/>
  <c r="AY269" i="3"/>
  <c r="AZ269" i="3"/>
  <c r="BA269" i="3"/>
  <c r="AY270" i="3"/>
  <c r="AZ270" i="3"/>
  <c r="BA270" i="3"/>
  <c r="AY271" i="3"/>
  <c r="AZ271" i="3"/>
  <c r="BA271" i="3"/>
  <c r="AY272" i="3"/>
  <c r="AZ272" i="3"/>
  <c r="BA272" i="3"/>
  <c r="AY273" i="3"/>
  <c r="AZ273" i="3"/>
  <c r="BA273" i="3"/>
  <c r="AY274" i="3"/>
  <c r="AZ274" i="3"/>
  <c r="BA274" i="3"/>
  <c r="AY275" i="3"/>
  <c r="AZ275" i="3"/>
  <c r="BA275" i="3"/>
  <c r="AY276" i="3"/>
  <c r="AZ276" i="3"/>
  <c r="BA276" i="3"/>
  <c r="AY277" i="3"/>
  <c r="AZ277" i="3"/>
  <c r="BA277" i="3"/>
  <c r="AY278" i="3"/>
  <c r="AZ278" i="3"/>
  <c r="BA278" i="3"/>
  <c r="AY279" i="3"/>
  <c r="AZ279" i="3"/>
  <c r="BA279" i="3"/>
  <c r="AY280" i="3"/>
  <c r="AZ280" i="3"/>
  <c r="BA280" i="3"/>
  <c r="AY281" i="3"/>
  <c r="AZ281" i="3"/>
  <c r="BA281" i="3"/>
  <c r="AY282" i="3"/>
  <c r="AZ282" i="3"/>
  <c r="BA282" i="3"/>
  <c r="AY283" i="3"/>
  <c r="AZ283" i="3"/>
  <c r="BA283" i="3"/>
  <c r="AY284" i="3"/>
  <c r="AZ284" i="3"/>
  <c r="BA284" i="3"/>
  <c r="AY285" i="3"/>
  <c r="AZ285" i="3"/>
  <c r="BA285" i="3"/>
  <c r="AY286" i="3"/>
  <c r="AZ286" i="3"/>
  <c r="BA286" i="3"/>
  <c r="AY287" i="3"/>
  <c r="AZ287" i="3"/>
  <c r="BA287" i="3"/>
  <c r="AY288" i="3"/>
  <c r="AZ288" i="3"/>
  <c r="BA288" i="3"/>
  <c r="AY289" i="3"/>
  <c r="AZ289" i="3"/>
  <c r="BA289" i="3"/>
  <c r="AY290" i="3"/>
  <c r="AZ290" i="3"/>
  <c r="BA290" i="3"/>
  <c r="AY291" i="3"/>
  <c r="AZ291" i="3"/>
  <c r="BA291" i="3"/>
  <c r="AY292" i="3"/>
  <c r="AZ292" i="3"/>
  <c r="BA292" i="3"/>
  <c r="AY293" i="3"/>
  <c r="AZ293" i="3"/>
  <c r="BA293" i="3"/>
  <c r="AY294" i="3"/>
  <c r="AZ294" i="3"/>
  <c r="BA294" i="3"/>
  <c r="AY295" i="3"/>
  <c r="AZ295" i="3"/>
  <c r="BA295" i="3"/>
  <c r="AY296" i="3"/>
  <c r="AZ296" i="3"/>
  <c r="BA296" i="3"/>
  <c r="AY297" i="3"/>
  <c r="AZ297" i="3"/>
  <c r="BA297" i="3"/>
  <c r="AY298" i="3"/>
  <c r="AZ298" i="3"/>
  <c r="BA298" i="3"/>
  <c r="AY299" i="3"/>
  <c r="AZ299" i="3"/>
  <c r="BA299" i="3"/>
  <c r="AY300" i="3"/>
  <c r="AZ300" i="3"/>
  <c r="BA300" i="3"/>
  <c r="AY301" i="3"/>
  <c r="AZ301" i="3"/>
  <c r="BA301" i="3"/>
  <c r="AY302" i="3"/>
  <c r="AZ302" i="3"/>
  <c r="BA302" i="3"/>
  <c r="AY303" i="3"/>
  <c r="AZ303" i="3"/>
  <c r="BA303" i="3"/>
  <c r="AY304" i="3"/>
  <c r="AZ304" i="3"/>
  <c r="BA304" i="3"/>
  <c r="AY305" i="3"/>
  <c r="AZ305" i="3"/>
  <c r="BA305" i="3"/>
  <c r="AY306" i="3"/>
  <c r="AZ306" i="3"/>
  <c r="BA306" i="3"/>
  <c r="AY307" i="3"/>
  <c r="AZ307" i="3"/>
  <c r="BA307" i="3"/>
  <c r="AT605" i="3"/>
  <c r="AT606" i="3"/>
  <c r="AT308" i="3"/>
  <c r="AT309" i="3"/>
  <c r="AT310" i="3"/>
  <c r="AT311" i="3"/>
  <c r="AT312" i="3"/>
  <c r="AT313" i="3"/>
  <c r="AT314" i="3"/>
  <c r="AT315" i="3"/>
  <c r="AT316" i="3"/>
  <c r="AT317" i="3"/>
  <c r="AT318" i="3"/>
  <c r="AT319" i="3"/>
  <c r="AT320" i="3"/>
  <c r="AT321" i="3"/>
  <c r="AT322" i="3"/>
  <c r="AT323" i="3"/>
  <c r="AT324" i="3"/>
  <c r="AT325" i="3"/>
  <c r="AT326" i="3"/>
  <c r="AT327" i="3"/>
  <c r="AT328" i="3"/>
  <c r="AT329" i="3"/>
  <c r="AT330" i="3"/>
  <c r="AT331" i="3"/>
  <c r="AT332" i="3"/>
  <c r="AT333" i="3"/>
  <c r="AT334" i="3"/>
  <c r="AT335" i="3"/>
  <c r="AT336" i="3"/>
  <c r="AT337" i="3"/>
  <c r="AT338" i="3"/>
  <c r="AT339" i="3"/>
  <c r="AT340" i="3"/>
  <c r="AT341" i="3"/>
  <c r="AT342" i="3"/>
  <c r="AT343" i="3"/>
  <c r="AT344" i="3"/>
  <c r="AT345" i="3"/>
  <c r="AT346" i="3"/>
  <c r="AT347" i="3"/>
  <c r="AT348" i="3"/>
  <c r="AT349" i="3"/>
  <c r="AT350" i="3"/>
  <c r="AT351" i="3"/>
  <c r="AT352" i="3"/>
  <c r="AT353" i="3"/>
  <c r="AT354" i="3"/>
  <c r="AT355" i="3"/>
  <c r="AT356" i="3"/>
  <c r="AT357" i="3"/>
  <c r="AT358" i="3"/>
  <c r="AT359" i="3"/>
  <c r="AT360" i="3"/>
  <c r="AT361" i="3"/>
  <c r="AT362" i="3"/>
  <c r="AT363" i="3"/>
  <c r="AT364" i="3"/>
  <c r="AT365" i="3"/>
  <c r="AT366" i="3"/>
  <c r="AT367" i="3"/>
  <c r="AT368" i="3"/>
  <c r="AT369" i="3"/>
  <c r="AT370" i="3"/>
  <c r="AT371" i="3"/>
  <c r="AT372" i="3"/>
  <c r="AT373" i="3"/>
  <c r="AT374" i="3"/>
  <c r="AT375" i="3"/>
  <c r="AT376" i="3"/>
  <c r="AT377" i="3"/>
  <c r="AT378" i="3"/>
  <c r="AT379" i="3"/>
  <c r="AT380" i="3"/>
  <c r="AT381" i="3"/>
  <c r="AT382" i="3"/>
  <c r="AT383" i="3"/>
  <c r="AT384" i="3"/>
  <c r="AT385" i="3"/>
  <c r="AT386" i="3"/>
  <c r="AT387" i="3"/>
  <c r="AT388" i="3"/>
  <c r="AT389" i="3"/>
  <c r="AT390" i="3"/>
  <c r="AT391" i="3"/>
  <c r="AT392" i="3"/>
  <c r="AT393" i="3"/>
  <c r="AT394" i="3"/>
  <c r="AT395" i="3"/>
  <c r="AT396" i="3"/>
  <c r="AT397" i="3"/>
  <c r="AT398" i="3"/>
  <c r="AT399" i="3"/>
  <c r="AT400" i="3"/>
  <c r="AT401" i="3"/>
  <c r="AT402" i="3"/>
  <c r="AT403" i="3"/>
  <c r="AT404" i="3"/>
  <c r="AT405" i="3"/>
  <c r="AT406" i="3"/>
  <c r="AT407" i="3"/>
  <c r="AT408" i="3"/>
  <c r="AT409" i="3"/>
  <c r="AT410" i="3"/>
  <c r="AT411" i="3"/>
  <c r="AT412" i="3"/>
  <c r="AT413" i="3"/>
  <c r="AT414" i="3"/>
  <c r="AT415" i="3"/>
  <c r="AT416" i="3"/>
  <c r="AT417" i="3"/>
  <c r="AT418" i="3"/>
  <c r="AT419" i="3"/>
  <c r="AT420" i="3"/>
  <c r="AT421" i="3"/>
  <c r="AT422" i="3"/>
  <c r="AT423" i="3"/>
  <c r="AT424" i="3"/>
  <c r="AT425" i="3"/>
  <c r="AT426" i="3"/>
  <c r="AT427" i="3"/>
  <c r="AT428" i="3"/>
  <c r="AT429" i="3"/>
  <c r="AT430" i="3"/>
  <c r="AT431" i="3"/>
  <c r="AT432" i="3"/>
  <c r="AT433" i="3"/>
  <c r="AT434" i="3"/>
  <c r="AT435" i="3"/>
  <c r="AT436" i="3"/>
  <c r="AT437" i="3"/>
  <c r="AT438" i="3"/>
  <c r="AT439" i="3"/>
  <c r="AT440" i="3"/>
  <c r="AT441" i="3"/>
  <c r="AT442" i="3"/>
  <c r="AT443" i="3"/>
  <c r="AT444" i="3"/>
  <c r="AT445" i="3"/>
  <c r="AT446" i="3"/>
  <c r="AT447" i="3"/>
  <c r="AT448" i="3"/>
  <c r="AT449" i="3"/>
  <c r="AT450" i="3"/>
  <c r="AT451" i="3"/>
  <c r="AT452" i="3"/>
  <c r="AT453" i="3"/>
  <c r="AT454" i="3"/>
  <c r="AT455" i="3"/>
  <c r="AT456" i="3"/>
  <c r="AT457" i="3"/>
  <c r="AT458" i="3"/>
  <c r="AT459" i="3"/>
  <c r="AT460" i="3"/>
  <c r="AT461" i="3"/>
  <c r="AT462" i="3"/>
  <c r="AT463" i="3"/>
  <c r="AT464" i="3"/>
  <c r="AT465" i="3"/>
  <c r="AT466" i="3"/>
  <c r="AT467" i="3"/>
  <c r="AT468" i="3"/>
  <c r="AT469" i="3"/>
  <c r="AT470" i="3"/>
  <c r="AT471" i="3"/>
  <c r="AT472" i="3"/>
  <c r="AT473" i="3"/>
  <c r="AT474" i="3"/>
  <c r="AT475" i="3"/>
  <c r="AT476" i="3"/>
  <c r="AT477" i="3"/>
  <c r="AT478" i="3"/>
  <c r="AT479" i="3"/>
  <c r="AT480" i="3"/>
  <c r="AT481" i="3"/>
  <c r="AT482" i="3"/>
  <c r="AT483" i="3"/>
  <c r="AT484" i="3"/>
  <c r="AT485" i="3"/>
  <c r="AT486" i="3"/>
  <c r="AT487" i="3"/>
  <c r="AT488" i="3"/>
  <c r="AT489" i="3"/>
  <c r="AT490" i="3"/>
  <c r="AT491" i="3"/>
  <c r="AT492" i="3"/>
  <c r="AT493" i="3"/>
  <c r="AT494" i="3"/>
  <c r="AT495" i="3"/>
  <c r="AT496" i="3"/>
  <c r="AT497" i="3"/>
  <c r="AT498" i="3"/>
  <c r="AT499" i="3"/>
  <c r="AT500" i="3"/>
  <c r="AT501" i="3"/>
  <c r="AT502" i="3"/>
  <c r="AT503" i="3"/>
  <c r="AT504" i="3"/>
  <c r="AT505" i="3"/>
  <c r="AT506" i="3"/>
  <c r="AT507" i="3"/>
  <c r="AT508" i="3"/>
  <c r="AT509" i="3"/>
  <c r="AT510" i="3"/>
  <c r="AT511" i="3"/>
  <c r="AT512" i="3"/>
  <c r="AT513" i="3"/>
  <c r="AT514" i="3"/>
  <c r="AT515" i="3"/>
  <c r="AT516" i="3"/>
  <c r="AT517" i="3"/>
  <c r="AT518" i="3"/>
  <c r="AT519" i="3"/>
  <c r="AT520" i="3"/>
  <c r="AT521" i="3"/>
  <c r="AT522" i="3"/>
  <c r="AT523" i="3"/>
  <c r="AT524" i="3"/>
  <c r="AT525" i="3"/>
  <c r="AT526" i="3"/>
  <c r="AT527" i="3"/>
  <c r="AT528" i="3"/>
  <c r="AT529" i="3"/>
  <c r="AT530" i="3"/>
  <c r="AT531" i="3"/>
  <c r="AT532" i="3"/>
  <c r="AT533" i="3"/>
  <c r="AT534" i="3"/>
  <c r="AT535" i="3"/>
  <c r="AT536" i="3"/>
  <c r="AT537" i="3"/>
  <c r="AT538" i="3"/>
  <c r="AT539" i="3"/>
  <c r="AT540" i="3"/>
  <c r="AT541" i="3"/>
  <c r="AT542" i="3"/>
  <c r="AT543" i="3"/>
  <c r="AT544" i="3"/>
  <c r="AT545" i="3"/>
  <c r="AT546" i="3"/>
  <c r="AT547" i="3"/>
  <c r="AT548" i="3"/>
  <c r="AT549" i="3"/>
  <c r="AT550" i="3"/>
  <c r="AT551" i="3"/>
  <c r="AT552" i="3"/>
  <c r="AT553" i="3"/>
  <c r="AT554" i="3"/>
  <c r="AT555" i="3"/>
  <c r="AT556" i="3"/>
  <c r="AT557" i="3"/>
  <c r="AT558" i="3"/>
  <c r="AT559" i="3"/>
  <c r="AT560" i="3"/>
  <c r="AT561" i="3"/>
  <c r="AT562" i="3"/>
  <c r="AT563" i="3"/>
  <c r="AT564" i="3"/>
  <c r="AT565" i="3"/>
  <c r="AT566" i="3"/>
  <c r="AT567" i="3"/>
  <c r="AT568" i="3"/>
  <c r="AT569" i="3"/>
  <c r="AT570" i="3"/>
  <c r="AT571" i="3"/>
  <c r="AT572" i="3"/>
  <c r="AT573" i="3"/>
  <c r="AT574" i="3"/>
  <c r="AT575" i="3"/>
  <c r="AT576" i="3"/>
  <c r="AT577" i="3"/>
  <c r="AT578" i="3"/>
  <c r="AT579" i="3"/>
  <c r="AT580" i="3"/>
  <c r="AT581" i="3"/>
  <c r="AT582" i="3"/>
  <c r="AT583" i="3"/>
  <c r="AT584" i="3"/>
  <c r="AT585" i="3"/>
  <c r="AT586" i="3"/>
  <c r="AT587" i="3"/>
  <c r="AT588" i="3"/>
  <c r="AT589" i="3"/>
  <c r="AT590" i="3"/>
  <c r="AT591" i="3"/>
  <c r="AT592" i="3"/>
  <c r="AT593" i="3"/>
  <c r="AT594" i="3"/>
  <c r="AT595" i="3"/>
  <c r="AT596" i="3"/>
  <c r="AT597" i="3"/>
  <c r="AT598" i="3"/>
  <c r="AT599" i="3"/>
  <c r="AT600" i="3"/>
  <c r="AT601" i="3"/>
  <c r="AT602" i="3"/>
  <c r="AT603" i="3"/>
  <c r="AT604" i="3"/>
  <c r="AT8" i="3"/>
  <c r="AT9" i="3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3" i="3"/>
  <c r="AT94" i="3"/>
  <c r="AT95" i="3"/>
  <c r="AT96" i="3"/>
  <c r="AT97" i="3"/>
  <c r="AT98" i="3"/>
  <c r="AT99" i="3"/>
  <c r="AT100" i="3"/>
  <c r="AT101" i="3"/>
  <c r="AT102" i="3"/>
  <c r="AT103" i="3"/>
  <c r="AT104" i="3"/>
  <c r="AT105" i="3"/>
  <c r="AT106" i="3"/>
  <c r="AT107" i="3"/>
  <c r="AT108" i="3"/>
  <c r="AT109" i="3"/>
  <c r="AT110" i="3"/>
  <c r="AT111" i="3"/>
  <c r="AT112" i="3"/>
  <c r="AT113" i="3"/>
  <c r="AT114" i="3"/>
  <c r="AT115" i="3"/>
  <c r="AT116" i="3"/>
  <c r="AT117" i="3"/>
  <c r="AT118" i="3"/>
  <c r="AT119" i="3"/>
  <c r="AT120" i="3"/>
  <c r="AT121" i="3"/>
  <c r="AT122" i="3"/>
  <c r="AT123" i="3"/>
  <c r="AT124" i="3"/>
  <c r="AT125" i="3"/>
  <c r="AT126" i="3"/>
  <c r="AT127" i="3"/>
  <c r="AT128" i="3"/>
  <c r="AT129" i="3"/>
  <c r="AT130" i="3"/>
  <c r="AT131" i="3"/>
  <c r="AT132" i="3"/>
  <c r="AT133" i="3"/>
  <c r="AT134" i="3"/>
  <c r="AT135" i="3"/>
  <c r="AT136" i="3"/>
  <c r="AT137" i="3"/>
  <c r="AT138" i="3"/>
  <c r="AT139" i="3"/>
  <c r="AT140" i="3"/>
  <c r="AT141" i="3"/>
  <c r="AT142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290" i="3"/>
  <c r="AT291" i="3"/>
  <c r="AT292" i="3"/>
  <c r="AT293" i="3"/>
  <c r="AT294" i="3"/>
  <c r="AT295" i="3"/>
  <c r="AT296" i="3"/>
  <c r="AT297" i="3"/>
  <c r="AT298" i="3"/>
  <c r="AT299" i="3"/>
  <c r="AT300" i="3"/>
  <c r="AT301" i="3"/>
  <c r="AT302" i="3"/>
  <c r="AT303" i="3"/>
  <c r="AT304" i="3"/>
  <c r="AT305" i="3"/>
  <c r="AT306" i="3"/>
  <c r="AT307" i="3"/>
  <c r="AO604" i="3"/>
  <c r="AO605" i="3"/>
  <c r="AO606" i="3"/>
  <c r="AO308" i="3"/>
  <c r="AO309" i="3"/>
  <c r="AO310" i="3"/>
  <c r="AO311" i="3"/>
  <c r="AO312" i="3"/>
  <c r="AO313" i="3"/>
  <c r="AO314" i="3"/>
  <c r="AO315" i="3"/>
  <c r="AO316" i="3"/>
  <c r="AO317" i="3"/>
  <c r="AO318" i="3"/>
  <c r="AO319" i="3"/>
  <c r="AO320" i="3"/>
  <c r="AO321" i="3"/>
  <c r="AO322" i="3"/>
  <c r="AO323" i="3"/>
  <c r="AO324" i="3"/>
  <c r="AO325" i="3"/>
  <c r="AO326" i="3"/>
  <c r="AO327" i="3"/>
  <c r="AO328" i="3"/>
  <c r="AO329" i="3"/>
  <c r="AO330" i="3"/>
  <c r="AO331" i="3"/>
  <c r="AO332" i="3"/>
  <c r="AO333" i="3"/>
  <c r="AO334" i="3"/>
  <c r="AO335" i="3"/>
  <c r="AO336" i="3"/>
  <c r="AO337" i="3"/>
  <c r="AO338" i="3"/>
  <c r="AO339" i="3"/>
  <c r="AO340" i="3"/>
  <c r="AO341" i="3"/>
  <c r="AO342" i="3"/>
  <c r="AO343" i="3"/>
  <c r="AO344" i="3"/>
  <c r="AO345" i="3"/>
  <c r="AO346" i="3"/>
  <c r="AO347" i="3"/>
  <c r="AO348" i="3"/>
  <c r="AO349" i="3"/>
  <c r="AO350" i="3"/>
  <c r="AO351" i="3"/>
  <c r="AO352" i="3"/>
  <c r="AO353" i="3"/>
  <c r="AO354" i="3"/>
  <c r="AO355" i="3"/>
  <c r="AO356" i="3"/>
  <c r="AO357" i="3"/>
  <c r="AO358" i="3"/>
  <c r="AO359" i="3"/>
  <c r="AO360" i="3"/>
  <c r="AO361" i="3"/>
  <c r="AO362" i="3"/>
  <c r="AO363" i="3"/>
  <c r="AO364" i="3"/>
  <c r="AO365" i="3"/>
  <c r="AO366" i="3"/>
  <c r="AO367" i="3"/>
  <c r="AO368" i="3"/>
  <c r="AO369" i="3"/>
  <c r="AO370" i="3"/>
  <c r="AO371" i="3"/>
  <c r="AO372" i="3"/>
  <c r="AO373" i="3"/>
  <c r="AO374" i="3"/>
  <c r="AO375" i="3"/>
  <c r="AO376" i="3"/>
  <c r="AO377" i="3"/>
  <c r="AO378" i="3"/>
  <c r="AO379" i="3"/>
  <c r="AO380" i="3"/>
  <c r="AO381" i="3"/>
  <c r="AO382" i="3"/>
  <c r="AO383" i="3"/>
  <c r="AO384" i="3"/>
  <c r="AO385" i="3"/>
  <c r="AO386" i="3"/>
  <c r="AO387" i="3"/>
  <c r="AO388" i="3"/>
  <c r="AO389" i="3"/>
  <c r="AO390" i="3"/>
  <c r="AO391" i="3"/>
  <c r="AO392" i="3"/>
  <c r="AO393" i="3"/>
  <c r="AO394" i="3"/>
  <c r="AO395" i="3"/>
  <c r="AO396" i="3"/>
  <c r="AO397" i="3"/>
  <c r="AO398" i="3"/>
  <c r="AO399" i="3"/>
  <c r="AO400" i="3"/>
  <c r="AO401" i="3"/>
  <c r="AO402" i="3"/>
  <c r="AO403" i="3"/>
  <c r="AO404" i="3"/>
  <c r="AO405" i="3"/>
  <c r="AO406" i="3"/>
  <c r="AO407" i="3"/>
  <c r="AO408" i="3"/>
  <c r="AO409" i="3"/>
  <c r="AO410" i="3"/>
  <c r="AO411" i="3"/>
  <c r="AO412" i="3"/>
  <c r="AO413" i="3"/>
  <c r="AO414" i="3"/>
  <c r="AO415" i="3"/>
  <c r="AO416" i="3"/>
  <c r="AO417" i="3"/>
  <c r="AO418" i="3"/>
  <c r="AO419" i="3"/>
  <c r="AO420" i="3"/>
  <c r="AO421" i="3"/>
  <c r="AO422" i="3"/>
  <c r="AO423" i="3"/>
  <c r="AO424" i="3"/>
  <c r="AO425" i="3"/>
  <c r="AO426" i="3"/>
  <c r="AO427" i="3"/>
  <c r="AO428" i="3"/>
  <c r="AO429" i="3"/>
  <c r="AO430" i="3"/>
  <c r="AO431" i="3"/>
  <c r="AO432" i="3"/>
  <c r="AO433" i="3"/>
  <c r="AO434" i="3"/>
  <c r="AO435" i="3"/>
  <c r="AO436" i="3"/>
  <c r="AO437" i="3"/>
  <c r="AO438" i="3"/>
  <c r="AO439" i="3"/>
  <c r="AO440" i="3"/>
  <c r="AO441" i="3"/>
  <c r="AO442" i="3"/>
  <c r="AO443" i="3"/>
  <c r="AO444" i="3"/>
  <c r="AO445" i="3"/>
  <c r="AO446" i="3"/>
  <c r="AO447" i="3"/>
  <c r="AO448" i="3"/>
  <c r="AO449" i="3"/>
  <c r="AO450" i="3"/>
  <c r="AO451" i="3"/>
  <c r="AO452" i="3"/>
  <c r="AO453" i="3"/>
  <c r="AO454" i="3"/>
  <c r="AO455" i="3"/>
  <c r="AO456" i="3"/>
  <c r="AO457" i="3"/>
  <c r="AO458" i="3"/>
  <c r="AO459" i="3"/>
  <c r="AO460" i="3"/>
  <c r="AO461" i="3"/>
  <c r="AO462" i="3"/>
  <c r="AO463" i="3"/>
  <c r="AO464" i="3"/>
  <c r="AO465" i="3"/>
  <c r="AO466" i="3"/>
  <c r="AO467" i="3"/>
  <c r="AO468" i="3"/>
  <c r="AO469" i="3"/>
  <c r="AO470" i="3"/>
  <c r="AO471" i="3"/>
  <c r="AO472" i="3"/>
  <c r="AO473" i="3"/>
  <c r="AO474" i="3"/>
  <c r="AO475" i="3"/>
  <c r="AO476" i="3"/>
  <c r="AO477" i="3"/>
  <c r="AO478" i="3"/>
  <c r="AO479" i="3"/>
  <c r="AO480" i="3"/>
  <c r="AO481" i="3"/>
  <c r="AO482" i="3"/>
  <c r="AO483" i="3"/>
  <c r="AO484" i="3"/>
  <c r="AO485" i="3"/>
  <c r="AO486" i="3"/>
  <c r="AO487" i="3"/>
  <c r="AO488" i="3"/>
  <c r="AO489" i="3"/>
  <c r="AO490" i="3"/>
  <c r="AO491" i="3"/>
  <c r="AO492" i="3"/>
  <c r="AO493" i="3"/>
  <c r="AO494" i="3"/>
  <c r="AO495" i="3"/>
  <c r="AO496" i="3"/>
  <c r="AO497" i="3"/>
  <c r="AO498" i="3"/>
  <c r="AO499" i="3"/>
  <c r="AO500" i="3"/>
  <c r="AO501" i="3"/>
  <c r="AO502" i="3"/>
  <c r="AO503" i="3"/>
  <c r="AO504" i="3"/>
  <c r="AO505" i="3"/>
  <c r="AO506" i="3"/>
  <c r="AO507" i="3"/>
  <c r="AO508" i="3"/>
  <c r="AO509" i="3"/>
  <c r="AO510" i="3"/>
  <c r="AO511" i="3"/>
  <c r="AO512" i="3"/>
  <c r="AO513" i="3"/>
  <c r="AO514" i="3"/>
  <c r="AO515" i="3"/>
  <c r="AO516" i="3"/>
  <c r="AO517" i="3"/>
  <c r="AO518" i="3"/>
  <c r="AO519" i="3"/>
  <c r="AO520" i="3"/>
  <c r="AO521" i="3"/>
  <c r="AO522" i="3"/>
  <c r="AO523" i="3"/>
  <c r="AO524" i="3"/>
  <c r="AO525" i="3"/>
  <c r="AO526" i="3"/>
  <c r="AO527" i="3"/>
  <c r="AO528" i="3"/>
  <c r="AO529" i="3"/>
  <c r="AO530" i="3"/>
  <c r="AO531" i="3"/>
  <c r="AO532" i="3"/>
  <c r="AO533" i="3"/>
  <c r="AO534" i="3"/>
  <c r="AO535" i="3"/>
  <c r="AO536" i="3"/>
  <c r="AO537" i="3"/>
  <c r="AO538" i="3"/>
  <c r="AO539" i="3"/>
  <c r="AO540" i="3"/>
  <c r="AO541" i="3"/>
  <c r="AO542" i="3"/>
  <c r="AO543" i="3"/>
  <c r="AO544" i="3"/>
  <c r="AO545" i="3"/>
  <c r="AO546" i="3"/>
  <c r="AO547" i="3"/>
  <c r="AO548" i="3"/>
  <c r="AO549" i="3"/>
  <c r="AO550" i="3"/>
  <c r="AO551" i="3"/>
  <c r="AO552" i="3"/>
  <c r="AO553" i="3"/>
  <c r="AO554" i="3"/>
  <c r="AO555" i="3"/>
  <c r="AO556" i="3"/>
  <c r="AO557" i="3"/>
  <c r="AO558" i="3"/>
  <c r="AO559" i="3"/>
  <c r="AO560" i="3"/>
  <c r="AO561" i="3"/>
  <c r="AO562" i="3"/>
  <c r="AO563" i="3"/>
  <c r="AO564" i="3"/>
  <c r="AO565" i="3"/>
  <c r="AO566" i="3"/>
  <c r="AO567" i="3"/>
  <c r="AO568" i="3"/>
  <c r="AO569" i="3"/>
  <c r="AO570" i="3"/>
  <c r="AO571" i="3"/>
  <c r="AO572" i="3"/>
  <c r="AO573" i="3"/>
  <c r="AO574" i="3"/>
  <c r="AO575" i="3"/>
  <c r="AO576" i="3"/>
  <c r="AO577" i="3"/>
  <c r="AO578" i="3"/>
  <c r="AO579" i="3"/>
  <c r="AO580" i="3"/>
  <c r="AO581" i="3"/>
  <c r="AO582" i="3"/>
  <c r="AO583" i="3"/>
  <c r="AO584" i="3"/>
  <c r="AO585" i="3"/>
  <c r="AO586" i="3"/>
  <c r="AO587" i="3"/>
  <c r="AO588" i="3"/>
  <c r="AO589" i="3"/>
  <c r="AO590" i="3"/>
  <c r="AO591" i="3"/>
  <c r="AO592" i="3"/>
  <c r="AO593" i="3"/>
  <c r="AO594" i="3"/>
  <c r="AO595" i="3"/>
  <c r="AO596" i="3"/>
  <c r="AO597" i="3"/>
  <c r="AO598" i="3"/>
  <c r="AO599" i="3"/>
  <c r="AO600" i="3"/>
  <c r="AO601" i="3"/>
  <c r="AO602" i="3"/>
  <c r="AO603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77" i="3"/>
  <c r="AO78" i="3"/>
  <c r="AO79" i="3"/>
  <c r="AO80" i="3"/>
  <c r="AO81" i="3"/>
  <c r="AO82" i="3"/>
  <c r="AO83" i="3"/>
  <c r="AO84" i="3"/>
  <c r="AO85" i="3"/>
  <c r="AO86" i="3"/>
  <c r="AO87" i="3"/>
  <c r="AO88" i="3"/>
  <c r="AO89" i="3"/>
  <c r="AO90" i="3"/>
  <c r="AO91" i="3"/>
  <c r="AO92" i="3"/>
  <c r="AO93" i="3"/>
  <c r="AO94" i="3"/>
  <c r="AO95" i="3"/>
  <c r="AO96" i="3"/>
  <c r="AO97" i="3"/>
  <c r="AO98" i="3"/>
  <c r="AO99" i="3"/>
  <c r="AO100" i="3"/>
  <c r="AO101" i="3"/>
  <c r="AO102" i="3"/>
  <c r="AO103" i="3"/>
  <c r="AO104" i="3"/>
  <c r="AO105" i="3"/>
  <c r="AO106" i="3"/>
  <c r="AO107" i="3"/>
  <c r="AO108" i="3"/>
  <c r="AO109" i="3"/>
  <c r="AO110" i="3"/>
  <c r="AO111" i="3"/>
  <c r="AO112" i="3"/>
  <c r="AO113" i="3"/>
  <c r="AO114" i="3"/>
  <c r="AO115" i="3"/>
  <c r="AO116" i="3"/>
  <c r="AO117" i="3"/>
  <c r="AO118" i="3"/>
  <c r="AO119" i="3"/>
  <c r="AO120" i="3"/>
  <c r="AO121" i="3"/>
  <c r="AO122" i="3"/>
  <c r="AO123" i="3"/>
  <c r="AO124" i="3"/>
  <c r="AO125" i="3"/>
  <c r="AO126" i="3"/>
  <c r="AO127" i="3"/>
  <c r="AO128" i="3"/>
  <c r="AO129" i="3"/>
  <c r="AO130" i="3"/>
  <c r="AO131" i="3"/>
  <c r="AO132" i="3"/>
  <c r="AO133" i="3"/>
  <c r="AO134" i="3"/>
  <c r="AO135" i="3"/>
  <c r="AO136" i="3"/>
  <c r="AO137" i="3"/>
  <c r="AO138" i="3"/>
  <c r="AO139" i="3"/>
  <c r="AO140" i="3"/>
  <c r="AO141" i="3"/>
  <c r="AO142" i="3"/>
  <c r="AO143" i="3"/>
  <c r="AO144" i="3"/>
  <c r="AO145" i="3"/>
  <c r="AO146" i="3"/>
  <c r="AO147" i="3"/>
  <c r="AO148" i="3"/>
  <c r="AO149" i="3"/>
  <c r="AO150" i="3"/>
  <c r="AO151" i="3"/>
  <c r="AO152" i="3"/>
  <c r="AO153" i="3"/>
  <c r="AO154" i="3"/>
  <c r="AO155" i="3"/>
  <c r="AO156" i="3"/>
  <c r="AO157" i="3"/>
  <c r="AO158" i="3"/>
  <c r="AO159" i="3"/>
  <c r="AO160" i="3"/>
  <c r="AO161" i="3"/>
  <c r="AO162" i="3"/>
  <c r="AO163" i="3"/>
  <c r="AO164" i="3"/>
  <c r="AO165" i="3"/>
  <c r="AO166" i="3"/>
  <c r="AO167" i="3"/>
  <c r="AO168" i="3"/>
  <c r="AO169" i="3"/>
  <c r="AO170" i="3"/>
  <c r="AO171" i="3"/>
  <c r="AO172" i="3"/>
  <c r="AO173" i="3"/>
  <c r="AO174" i="3"/>
  <c r="AO175" i="3"/>
  <c r="AO176" i="3"/>
  <c r="AO177" i="3"/>
  <c r="AO178" i="3"/>
  <c r="AO179" i="3"/>
  <c r="AO180" i="3"/>
  <c r="AO181" i="3"/>
  <c r="AO182" i="3"/>
  <c r="AO183" i="3"/>
  <c r="AO184" i="3"/>
  <c r="AO185" i="3"/>
  <c r="AO186" i="3"/>
  <c r="AO187" i="3"/>
  <c r="AO188" i="3"/>
  <c r="AO189" i="3"/>
  <c r="AO190" i="3"/>
  <c r="AO191" i="3"/>
  <c r="AO192" i="3"/>
  <c r="AO193" i="3"/>
  <c r="AO194" i="3"/>
  <c r="AO195" i="3"/>
  <c r="AO196" i="3"/>
  <c r="AO197" i="3"/>
  <c r="AO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264" i="3"/>
  <c r="AO265" i="3"/>
  <c r="AO266" i="3"/>
  <c r="AO267" i="3"/>
  <c r="AO268" i="3"/>
  <c r="AO269" i="3"/>
  <c r="AO270" i="3"/>
  <c r="AO271" i="3"/>
  <c r="AO272" i="3"/>
  <c r="AO273" i="3"/>
  <c r="AO274" i="3"/>
  <c r="AO275" i="3"/>
  <c r="AO276" i="3"/>
  <c r="AO277" i="3"/>
  <c r="AO278" i="3"/>
  <c r="AO279" i="3"/>
  <c r="AO280" i="3"/>
  <c r="AO281" i="3"/>
  <c r="AO282" i="3"/>
  <c r="AO283" i="3"/>
  <c r="AO284" i="3"/>
  <c r="AO285" i="3"/>
  <c r="AO286" i="3"/>
  <c r="AO287" i="3"/>
  <c r="AO288" i="3"/>
  <c r="AO289" i="3"/>
  <c r="AO290" i="3"/>
  <c r="AO291" i="3"/>
  <c r="AO292" i="3"/>
  <c r="AO293" i="3"/>
  <c r="AO294" i="3"/>
  <c r="AO295" i="3"/>
  <c r="AO296" i="3"/>
  <c r="AO297" i="3"/>
  <c r="AO298" i="3"/>
  <c r="AO299" i="3"/>
  <c r="AO300" i="3"/>
  <c r="AO301" i="3"/>
  <c r="AO302" i="3"/>
  <c r="AO303" i="3"/>
  <c r="AO304" i="3"/>
  <c r="AO305" i="3"/>
  <c r="AO306" i="3"/>
  <c r="AO307" i="3"/>
  <c r="AJ602" i="3"/>
  <c r="AJ603" i="3"/>
  <c r="AJ604" i="3"/>
  <c r="AJ605" i="3"/>
  <c r="AJ606" i="3"/>
  <c r="AJ307" i="3"/>
  <c r="AJ308" i="3"/>
  <c r="AJ309" i="3"/>
  <c r="AJ310" i="3"/>
  <c r="AJ311" i="3"/>
  <c r="AJ312" i="3"/>
  <c r="AJ313" i="3"/>
  <c r="AJ314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AJ437" i="3"/>
  <c r="AJ438" i="3"/>
  <c r="AJ439" i="3"/>
  <c r="AJ440" i="3"/>
  <c r="AJ441" i="3"/>
  <c r="AJ442" i="3"/>
  <c r="AJ443" i="3"/>
  <c r="AJ444" i="3"/>
  <c r="AJ445" i="3"/>
  <c r="AJ446" i="3"/>
  <c r="AJ447" i="3"/>
  <c r="AJ448" i="3"/>
  <c r="AJ449" i="3"/>
  <c r="AJ450" i="3"/>
  <c r="AJ451" i="3"/>
  <c r="AJ452" i="3"/>
  <c r="AJ453" i="3"/>
  <c r="AJ454" i="3"/>
  <c r="AJ455" i="3"/>
  <c r="AJ456" i="3"/>
  <c r="AJ457" i="3"/>
  <c r="AJ458" i="3"/>
  <c r="AJ459" i="3"/>
  <c r="AJ460" i="3"/>
  <c r="AJ461" i="3"/>
  <c r="AJ462" i="3"/>
  <c r="AJ463" i="3"/>
  <c r="AJ464" i="3"/>
  <c r="AJ465" i="3"/>
  <c r="AJ466" i="3"/>
  <c r="AJ467" i="3"/>
  <c r="AJ468" i="3"/>
  <c r="AJ469" i="3"/>
  <c r="AJ470" i="3"/>
  <c r="AJ471" i="3"/>
  <c r="AJ472" i="3"/>
  <c r="AJ473" i="3"/>
  <c r="AJ474" i="3"/>
  <c r="AJ475" i="3"/>
  <c r="AJ476" i="3"/>
  <c r="AJ477" i="3"/>
  <c r="AJ478" i="3"/>
  <c r="AJ479" i="3"/>
  <c r="AJ480" i="3"/>
  <c r="AJ481" i="3"/>
  <c r="AJ482" i="3"/>
  <c r="AJ483" i="3"/>
  <c r="AJ484" i="3"/>
  <c r="AJ485" i="3"/>
  <c r="AJ486" i="3"/>
  <c r="AJ487" i="3"/>
  <c r="AJ488" i="3"/>
  <c r="AJ489" i="3"/>
  <c r="AJ490" i="3"/>
  <c r="AJ491" i="3"/>
  <c r="AJ492" i="3"/>
  <c r="AJ493" i="3"/>
  <c r="AJ494" i="3"/>
  <c r="AJ495" i="3"/>
  <c r="AJ496" i="3"/>
  <c r="AJ497" i="3"/>
  <c r="AJ498" i="3"/>
  <c r="AJ499" i="3"/>
  <c r="AJ500" i="3"/>
  <c r="AJ501" i="3"/>
  <c r="AJ502" i="3"/>
  <c r="AJ503" i="3"/>
  <c r="AJ504" i="3"/>
  <c r="AJ505" i="3"/>
  <c r="AJ506" i="3"/>
  <c r="AJ507" i="3"/>
  <c r="AJ508" i="3"/>
  <c r="AJ509" i="3"/>
  <c r="AJ510" i="3"/>
  <c r="AJ511" i="3"/>
  <c r="AJ512" i="3"/>
  <c r="AJ513" i="3"/>
  <c r="AJ514" i="3"/>
  <c r="AJ515" i="3"/>
  <c r="AJ516" i="3"/>
  <c r="AJ517" i="3"/>
  <c r="AJ518" i="3"/>
  <c r="AJ519" i="3"/>
  <c r="AJ520" i="3"/>
  <c r="AJ521" i="3"/>
  <c r="AJ522" i="3"/>
  <c r="AJ523" i="3"/>
  <c r="AJ524" i="3"/>
  <c r="AJ525" i="3"/>
  <c r="AJ526" i="3"/>
  <c r="AJ527" i="3"/>
  <c r="AJ528" i="3"/>
  <c r="AJ529" i="3"/>
  <c r="AJ530" i="3"/>
  <c r="AJ531" i="3"/>
  <c r="AJ532" i="3"/>
  <c r="AJ533" i="3"/>
  <c r="AJ534" i="3"/>
  <c r="AJ535" i="3"/>
  <c r="AJ536" i="3"/>
  <c r="AJ537" i="3"/>
  <c r="AJ538" i="3"/>
  <c r="AJ539" i="3"/>
  <c r="AJ540" i="3"/>
  <c r="AJ541" i="3"/>
  <c r="AJ542" i="3"/>
  <c r="AJ543" i="3"/>
  <c r="AJ544" i="3"/>
  <c r="AJ545" i="3"/>
  <c r="AJ546" i="3"/>
  <c r="AJ547" i="3"/>
  <c r="AJ548" i="3"/>
  <c r="AJ549" i="3"/>
  <c r="AJ550" i="3"/>
  <c r="AJ551" i="3"/>
  <c r="AJ552" i="3"/>
  <c r="AJ553" i="3"/>
  <c r="AJ554" i="3"/>
  <c r="AJ555" i="3"/>
  <c r="AJ556" i="3"/>
  <c r="AJ557" i="3"/>
  <c r="AJ558" i="3"/>
  <c r="AJ559" i="3"/>
  <c r="AJ560" i="3"/>
  <c r="AJ561" i="3"/>
  <c r="AJ562" i="3"/>
  <c r="AJ563" i="3"/>
  <c r="AJ564" i="3"/>
  <c r="AJ565" i="3"/>
  <c r="AJ566" i="3"/>
  <c r="AJ567" i="3"/>
  <c r="AJ568" i="3"/>
  <c r="AJ569" i="3"/>
  <c r="AJ570" i="3"/>
  <c r="AJ571" i="3"/>
  <c r="AJ572" i="3"/>
  <c r="AJ573" i="3"/>
  <c r="AJ574" i="3"/>
  <c r="AJ575" i="3"/>
  <c r="AJ576" i="3"/>
  <c r="AJ577" i="3"/>
  <c r="AJ578" i="3"/>
  <c r="AJ579" i="3"/>
  <c r="AJ580" i="3"/>
  <c r="AJ581" i="3"/>
  <c r="AJ582" i="3"/>
  <c r="AJ583" i="3"/>
  <c r="AJ584" i="3"/>
  <c r="AJ585" i="3"/>
  <c r="AJ586" i="3"/>
  <c r="AJ587" i="3"/>
  <c r="AJ588" i="3"/>
  <c r="AJ589" i="3"/>
  <c r="AJ590" i="3"/>
  <c r="AJ591" i="3"/>
  <c r="AJ592" i="3"/>
  <c r="AJ593" i="3"/>
  <c r="AJ594" i="3"/>
  <c r="AJ595" i="3"/>
  <c r="AJ596" i="3"/>
  <c r="AJ597" i="3"/>
  <c r="AJ598" i="3"/>
  <c r="AJ599" i="3"/>
  <c r="AJ600" i="3"/>
  <c r="AJ601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Y5" i="2"/>
  <c r="Y11" i="2"/>
  <c r="Y12" i="2"/>
  <c r="Y13" i="2"/>
  <c r="Y14" i="2"/>
  <c r="Y15" i="2"/>
  <c r="Z15" i="2" s="1"/>
  <c r="Y16" i="2"/>
  <c r="Z16" i="2" s="1"/>
  <c r="Y17" i="2"/>
  <c r="Z17" i="2" s="1"/>
  <c r="Y18" i="2"/>
  <c r="Z18" i="2" s="1"/>
  <c r="Y19" i="2"/>
  <c r="Z19" i="2" s="1"/>
  <c r="Y20" i="2"/>
  <c r="Z20" i="2" s="1"/>
  <c r="Y21" i="2"/>
  <c r="Z21" i="2" s="1"/>
  <c r="Y22" i="2"/>
  <c r="Z22" i="2" s="1"/>
  <c r="Y23" i="2"/>
  <c r="Z23" i="2" s="1"/>
  <c r="Y24" i="2"/>
  <c r="Z24" i="2" s="1"/>
  <c r="Y25" i="2"/>
  <c r="Z25" i="2" s="1"/>
  <c r="Y26" i="2"/>
  <c r="Z26" i="2" s="1"/>
  <c r="Y27" i="2"/>
  <c r="Z27" i="2" s="1"/>
  <c r="Y28" i="2"/>
  <c r="Z28" i="2" s="1"/>
  <c r="Y29" i="2"/>
  <c r="Z29" i="2" s="1"/>
  <c r="Y30" i="2"/>
  <c r="Z30" i="2" s="1"/>
  <c r="Y31" i="2"/>
  <c r="Z31" i="2" s="1"/>
  <c r="Y32" i="2"/>
  <c r="Z32" i="2" s="1"/>
  <c r="Y33" i="2"/>
  <c r="Z33" i="2" s="1"/>
  <c r="Y34" i="2"/>
  <c r="Z34" i="2" s="1"/>
  <c r="Y35" i="2"/>
  <c r="Z35" i="2" s="1"/>
  <c r="Y36" i="2"/>
  <c r="Z36" i="2" s="1"/>
  <c r="Y37" i="2"/>
  <c r="Z37" i="2" s="1"/>
  <c r="Y38" i="2"/>
  <c r="Z38" i="2" s="1"/>
  <c r="Y39" i="2"/>
  <c r="Z39" i="2" s="1"/>
  <c r="Y40" i="2"/>
  <c r="Z40" i="2" s="1"/>
  <c r="Y41" i="2"/>
  <c r="Z41" i="2" s="1"/>
  <c r="Y42" i="2"/>
  <c r="Z42" i="2" s="1"/>
  <c r="Y43" i="2"/>
  <c r="Z43" i="2"/>
  <c r="Y44" i="2"/>
  <c r="Z44" i="2" s="1"/>
  <c r="Y45" i="2"/>
  <c r="Z45" i="2" s="1"/>
  <c r="Y46" i="2"/>
  <c r="Z46" i="2" s="1"/>
  <c r="Y47" i="2"/>
  <c r="Z47" i="2" s="1"/>
  <c r="Y48" i="2"/>
  <c r="Z48" i="2" s="1"/>
  <c r="Y49" i="2"/>
  <c r="Z49" i="2" s="1"/>
  <c r="Y50" i="2"/>
  <c r="Z50" i="2" s="1"/>
  <c r="Y51" i="2"/>
  <c r="Z51" i="2" s="1"/>
  <c r="Y52" i="2"/>
  <c r="Z52" i="2" s="1"/>
  <c r="Y53" i="2"/>
  <c r="Z53" i="2" s="1"/>
  <c r="Y54" i="2"/>
  <c r="Z54" i="2" s="1"/>
  <c r="Y55" i="2"/>
  <c r="Z55" i="2" s="1"/>
  <c r="Y56" i="2"/>
  <c r="Z56" i="2" s="1"/>
  <c r="Y57" i="2"/>
  <c r="Z57" i="2" s="1"/>
  <c r="Y58" i="2"/>
  <c r="Z58" i="2" s="1"/>
  <c r="Y59" i="2"/>
  <c r="Z59" i="2"/>
  <c r="Y60" i="2"/>
  <c r="Z60" i="2" s="1"/>
  <c r="Y61" i="2"/>
  <c r="Z61" i="2" s="1"/>
  <c r="Y62" i="2"/>
  <c r="Z62" i="2" s="1"/>
  <c r="Y63" i="2"/>
  <c r="Z63" i="2"/>
  <c r="Y64" i="2"/>
  <c r="Z64" i="2" s="1"/>
  <c r="Y65" i="2"/>
  <c r="Z65" i="2" s="1"/>
  <c r="Y66" i="2"/>
  <c r="Z66" i="2" s="1"/>
  <c r="Y67" i="2"/>
  <c r="Z67" i="2" s="1"/>
  <c r="Y68" i="2"/>
  <c r="Z68" i="2" s="1"/>
  <c r="Y69" i="2"/>
  <c r="Z69" i="2" s="1"/>
  <c r="Y70" i="2"/>
  <c r="Z70" i="2" s="1"/>
  <c r="Y71" i="2"/>
  <c r="Z71" i="2" s="1"/>
  <c r="Y72" i="2"/>
  <c r="Z72" i="2" s="1"/>
  <c r="Y73" i="2"/>
  <c r="Z73" i="2" s="1"/>
  <c r="Y74" i="2"/>
  <c r="Z74" i="2" s="1"/>
  <c r="Y75" i="2"/>
  <c r="Z75" i="2" s="1"/>
  <c r="Y76" i="2"/>
  <c r="Z76" i="2" s="1"/>
  <c r="Y77" i="2"/>
  <c r="Z77" i="2" s="1"/>
  <c r="Y78" i="2"/>
  <c r="Z78" i="2" s="1"/>
  <c r="Y79" i="2"/>
  <c r="Z79" i="2"/>
  <c r="Y80" i="2"/>
  <c r="Z80" i="2" s="1"/>
  <c r="Y81" i="2"/>
  <c r="Z81" i="2" s="1"/>
  <c r="Y82" i="2"/>
  <c r="Z82" i="2" s="1"/>
  <c r="Y83" i="2"/>
  <c r="Z83" i="2" s="1"/>
  <c r="Y84" i="2"/>
  <c r="Z84" i="2" s="1"/>
  <c r="Y85" i="2"/>
  <c r="Z85" i="2" s="1"/>
  <c r="Y86" i="2"/>
  <c r="Z86" i="2" s="1"/>
  <c r="Y87" i="2"/>
  <c r="Z87" i="2" s="1"/>
  <c r="Y88" i="2"/>
  <c r="Z88" i="2" s="1"/>
  <c r="Y89" i="2"/>
  <c r="Z89" i="2" s="1"/>
  <c r="Y90" i="2"/>
  <c r="Z90" i="2" s="1"/>
  <c r="Y91" i="2"/>
  <c r="Z91" i="2"/>
  <c r="Y92" i="2"/>
  <c r="Z92" i="2" s="1"/>
  <c r="Y93" i="2"/>
  <c r="Z93" i="2" s="1"/>
  <c r="Y94" i="2"/>
  <c r="Z94" i="2" s="1"/>
  <c r="Y95" i="2"/>
  <c r="Z95" i="2"/>
  <c r="Y96" i="2"/>
  <c r="Z96" i="2" s="1"/>
  <c r="Y97" i="2"/>
  <c r="Z97" i="2" s="1"/>
  <c r="Y98" i="2"/>
  <c r="Z98" i="2" s="1"/>
  <c r="Y99" i="2"/>
  <c r="Z99" i="2" s="1"/>
  <c r="Y100" i="2"/>
  <c r="Z100" i="2" s="1"/>
  <c r="Y101" i="2"/>
  <c r="Z101" i="2" s="1"/>
  <c r="Y102" i="2"/>
  <c r="Z102" i="2" s="1"/>
  <c r="Y103" i="2"/>
  <c r="Z103" i="2" s="1"/>
  <c r="Y104" i="2"/>
  <c r="Z104" i="2" s="1"/>
  <c r="Y105" i="2"/>
  <c r="Z105" i="2" s="1"/>
  <c r="Y106" i="2"/>
  <c r="Z106" i="2" s="1"/>
  <c r="Y107" i="2"/>
  <c r="Z107" i="2" s="1"/>
  <c r="Y108" i="2"/>
  <c r="Z108" i="2" s="1"/>
  <c r="Y109" i="2"/>
  <c r="Z109" i="2" s="1"/>
  <c r="Y110" i="2"/>
  <c r="Z110" i="2" s="1"/>
  <c r="Y111" i="2"/>
  <c r="Z111" i="2" s="1"/>
  <c r="Y112" i="2"/>
  <c r="Z112" i="2" s="1"/>
  <c r="Y113" i="2"/>
  <c r="Z113" i="2" s="1"/>
  <c r="Y114" i="2"/>
  <c r="Z114" i="2" s="1"/>
  <c r="Y115" i="2"/>
  <c r="Z115" i="2"/>
  <c r="Y116" i="2"/>
  <c r="Z116" i="2" s="1"/>
  <c r="Y117" i="2"/>
  <c r="Z117" i="2" s="1"/>
  <c r="Y118" i="2"/>
  <c r="Z118" i="2" s="1"/>
  <c r="Y119" i="2"/>
  <c r="Z119" i="2" s="1"/>
  <c r="Y120" i="2"/>
  <c r="Z120" i="2" s="1"/>
  <c r="Y121" i="2"/>
  <c r="Z121" i="2" s="1"/>
  <c r="Y122" i="2"/>
  <c r="Z122" i="2" s="1"/>
  <c r="Y123" i="2"/>
  <c r="Z123" i="2" s="1"/>
  <c r="Y124" i="2"/>
  <c r="Z124" i="2" s="1"/>
  <c r="Y125" i="2"/>
  <c r="Z125" i="2" s="1"/>
  <c r="Y126" i="2"/>
  <c r="Z126" i="2" s="1"/>
  <c r="Y127" i="2"/>
  <c r="Z127" i="2" s="1"/>
  <c r="Y128" i="2"/>
  <c r="Z128" i="2" s="1"/>
  <c r="Y129" i="2"/>
  <c r="Z129" i="2" s="1"/>
  <c r="Y130" i="2"/>
  <c r="Z130" i="2" s="1"/>
  <c r="Y131" i="2"/>
  <c r="Z131" i="2" s="1"/>
  <c r="Y132" i="2"/>
  <c r="Z132" i="2" s="1"/>
  <c r="Y133" i="2"/>
  <c r="Z133" i="2" s="1"/>
  <c r="Y134" i="2"/>
  <c r="Z134" i="2" s="1"/>
  <c r="Y135" i="2"/>
  <c r="Z135" i="2" s="1"/>
  <c r="Y136" i="2"/>
  <c r="Z136" i="2" s="1"/>
  <c r="Y137" i="2"/>
  <c r="Z137" i="2" s="1"/>
  <c r="Y138" i="2"/>
  <c r="Z138" i="2" s="1"/>
  <c r="Y139" i="2"/>
  <c r="Z139" i="2" s="1"/>
  <c r="Y140" i="2"/>
  <c r="Z140" i="2" s="1"/>
  <c r="Y141" i="2"/>
  <c r="Z141" i="2" s="1"/>
  <c r="Y142" i="2"/>
  <c r="Z142" i="2" s="1"/>
  <c r="Y143" i="2"/>
  <c r="Z143" i="2" s="1"/>
  <c r="Y144" i="2"/>
  <c r="Z144" i="2" s="1"/>
  <c r="Y145" i="2"/>
  <c r="Z145" i="2" s="1"/>
  <c r="Y146" i="2"/>
  <c r="Z146" i="2" s="1"/>
  <c r="Y147" i="2"/>
  <c r="Z147" i="2" s="1"/>
  <c r="Y148" i="2"/>
  <c r="Z148" i="2" s="1"/>
  <c r="Y149" i="2"/>
  <c r="Z149" i="2" s="1"/>
  <c r="Y150" i="2"/>
  <c r="Z150" i="2" s="1"/>
  <c r="Y151" i="2"/>
  <c r="Z151" i="2" s="1"/>
  <c r="Y152" i="2"/>
  <c r="Z152" i="2" s="1"/>
  <c r="Y153" i="2"/>
  <c r="Z153" i="2" s="1"/>
  <c r="Y154" i="2"/>
  <c r="Z154" i="2" s="1"/>
  <c r="Y155" i="2"/>
  <c r="Z155" i="2" s="1"/>
  <c r="Y156" i="2"/>
  <c r="Z156" i="2" s="1"/>
  <c r="Y157" i="2"/>
  <c r="Z157" i="2" s="1"/>
  <c r="Y158" i="2"/>
  <c r="Z158" i="2" s="1"/>
  <c r="Y159" i="2"/>
  <c r="Z159" i="2" s="1"/>
  <c r="Y160" i="2"/>
  <c r="Z160" i="2" s="1"/>
  <c r="Y161" i="2"/>
  <c r="Z161" i="2" s="1"/>
  <c r="Y162" i="2"/>
  <c r="Z162" i="2" s="1"/>
  <c r="Y163" i="2"/>
  <c r="Z163" i="2" s="1"/>
  <c r="Y164" i="2"/>
  <c r="Z164" i="2" s="1"/>
  <c r="Y165" i="2"/>
  <c r="Z165" i="2" s="1"/>
  <c r="Y166" i="2"/>
  <c r="Z166" i="2" s="1"/>
  <c r="Y167" i="2"/>
  <c r="Z167" i="2" s="1"/>
  <c r="Y168" i="2"/>
  <c r="Z168" i="2" s="1"/>
  <c r="Y169" i="2"/>
  <c r="Z169" i="2" s="1"/>
  <c r="Y170" i="2"/>
  <c r="Z170" i="2" s="1"/>
  <c r="Y171" i="2"/>
  <c r="Z171" i="2" s="1"/>
  <c r="Y172" i="2"/>
  <c r="Z172" i="2" s="1"/>
  <c r="Y173" i="2"/>
  <c r="Z173" i="2" s="1"/>
  <c r="Y174" i="2"/>
  <c r="Z174" i="2" s="1"/>
  <c r="Y175" i="2"/>
  <c r="Z175" i="2" s="1"/>
  <c r="Y176" i="2"/>
  <c r="Z176" i="2" s="1"/>
  <c r="Y177" i="2"/>
  <c r="Z177" i="2" s="1"/>
  <c r="Y178" i="2"/>
  <c r="Z178" i="2" s="1"/>
  <c r="Y179" i="2"/>
  <c r="Z179" i="2" s="1"/>
  <c r="Y180" i="2"/>
  <c r="Z180" i="2" s="1"/>
  <c r="Y181" i="2"/>
  <c r="Z181" i="2" s="1"/>
  <c r="Y182" i="2"/>
  <c r="Z182" i="2" s="1"/>
  <c r="Y183" i="2"/>
  <c r="Z183" i="2" s="1"/>
  <c r="Y184" i="2"/>
  <c r="Z184" i="2" s="1"/>
  <c r="Y185" i="2"/>
  <c r="Z185" i="2" s="1"/>
  <c r="Y186" i="2"/>
  <c r="Z186" i="2" s="1"/>
  <c r="Y187" i="2"/>
  <c r="Z187" i="2" s="1"/>
  <c r="Y188" i="2"/>
  <c r="Z188" i="2" s="1"/>
  <c r="Y189" i="2"/>
  <c r="Z189" i="2" s="1"/>
  <c r="Y190" i="2"/>
  <c r="Z190" i="2" s="1"/>
  <c r="Y191" i="2"/>
  <c r="Z191" i="2" s="1"/>
  <c r="Y192" i="2"/>
  <c r="Z192" i="2" s="1"/>
  <c r="Y193" i="2"/>
  <c r="Z193" i="2" s="1"/>
  <c r="Y194" i="2"/>
  <c r="Z194" i="2" s="1"/>
  <c r="Y195" i="2"/>
  <c r="Z195" i="2" s="1"/>
  <c r="Y196" i="2"/>
  <c r="Z196" i="2" s="1"/>
  <c r="Y197" i="2"/>
  <c r="Z197" i="2" s="1"/>
  <c r="Y198" i="2"/>
  <c r="Z198" i="2" s="1"/>
  <c r="Y199" i="2"/>
  <c r="Z199" i="2" s="1"/>
  <c r="Y200" i="2"/>
  <c r="Z200" i="2" s="1"/>
  <c r="Y201" i="2"/>
  <c r="Z201" i="2" s="1"/>
  <c r="Y202" i="2"/>
  <c r="Z202" i="2" s="1"/>
  <c r="Y203" i="2"/>
  <c r="Z203" i="2" s="1"/>
  <c r="Y204" i="2"/>
  <c r="Z204" i="2" s="1"/>
  <c r="Y205" i="2"/>
  <c r="Z205" i="2" s="1"/>
  <c r="Y206" i="2"/>
  <c r="Z206" i="2" s="1"/>
  <c r="Y207" i="2"/>
  <c r="Z207" i="2" s="1"/>
  <c r="Y208" i="2"/>
  <c r="Z208" i="2" s="1"/>
  <c r="Y209" i="2"/>
  <c r="Z209" i="2" s="1"/>
  <c r="Y210" i="2"/>
  <c r="Z210" i="2" s="1"/>
  <c r="Y211" i="2"/>
  <c r="Z211" i="2" s="1"/>
  <c r="Y212" i="2"/>
  <c r="Z212" i="2" s="1"/>
  <c r="Y213" i="2"/>
  <c r="Z213" i="2" s="1"/>
  <c r="Y214" i="2"/>
  <c r="Z214" i="2" s="1"/>
  <c r="Y215" i="2"/>
  <c r="Z215" i="2"/>
  <c r="Y216" i="2"/>
  <c r="Z216" i="2" s="1"/>
  <c r="Y217" i="2"/>
  <c r="Z217" i="2" s="1"/>
  <c r="Y218" i="2"/>
  <c r="Z218" i="2" s="1"/>
  <c r="Y219" i="2"/>
  <c r="Z219" i="2" s="1"/>
  <c r="Y220" i="2"/>
  <c r="Z220" i="2" s="1"/>
  <c r="Y221" i="2"/>
  <c r="Z221" i="2" s="1"/>
  <c r="Y222" i="2"/>
  <c r="Z222" i="2" s="1"/>
  <c r="Y223" i="2"/>
  <c r="Z223" i="2" s="1"/>
  <c r="Y224" i="2"/>
  <c r="Z224" i="2" s="1"/>
  <c r="Y225" i="2"/>
  <c r="Z225" i="2" s="1"/>
  <c r="Y226" i="2"/>
  <c r="Z226" i="2" s="1"/>
  <c r="Y227" i="2"/>
  <c r="Z227" i="2" s="1"/>
  <c r="Y228" i="2"/>
  <c r="Z228" i="2" s="1"/>
  <c r="Y229" i="2"/>
  <c r="Z229" i="2"/>
  <c r="Y230" i="2"/>
  <c r="Z230" i="2" s="1"/>
  <c r="Y231" i="2"/>
  <c r="Z231" i="2" s="1"/>
  <c r="Y232" i="2"/>
  <c r="Z232" i="2" s="1"/>
  <c r="Y233" i="2"/>
  <c r="Z233" i="2" s="1"/>
  <c r="Y234" i="2"/>
  <c r="Z234" i="2" s="1"/>
  <c r="Y235" i="2"/>
  <c r="Z235" i="2" s="1"/>
  <c r="Y236" i="2"/>
  <c r="Z236" i="2" s="1"/>
  <c r="Y237" i="2"/>
  <c r="Z237" i="2" s="1"/>
  <c r="Y238" i="2"/>
  <c r="Z238" i="2" s="1"/>
  <c r="Y239" i="2"/>
  <c r="Z239" i="2" s="1"/>
  <c r="Y240" i="2"/>
  <c r="Z240" i="2" s="1"/>
  <c r="Y241" i="2"/>
  <c r="Z241" i="2" s="1"/>
  <c r="Y242" i="2"/>
  <c r="Z242" i="2" s="1"/>
  <c r="Y243" i="2"/>
  <c r="Z243" i="2" s="1"/>
  <c r="Y244" i="2"/>
  <c r="Z244" i="2" s="1"/>
  <c r="Y245" i="2"/>
  <c r="Z245" i="2" s="1"/>
  <c r="Y246" i="2"/>
  <c r="Z246" i="2" s="1"/>
  <c r="Y247" i="2"/>
  <c r="Z247" i="2" s="1"/>
  <c r="Y248" i="2"/>
  <c r="Z248" i="2" s="1"/>
  <c r="Y249" i="2"/>
  <c r="Z249" i="2" s="1"/>
  <c r="Y250" i="2"/>
  <c r="Z250" i="2" s="1"/>
  <c r="Y251" i="2"/>
  <c r="Z251" i="2" s="1"/>
  <c r="Y252" i="2"/>
  <c r="Z252" i="2" s="1"/>
  <c r="Y253" i="2"/>
  <c r="Z253" i="2" s="1"/>
  <c r="Y254" i="2"/>
  <c r="Z254" i="2" s="1"/>
  <c r="Y255" i="2"/>
  <c r="Z255" i="2" s="1"/>
  <c r="Y256" i="2"/>
  <c r="Z256" i="2" s="1"/>
  <c r="Y257" i="2"/>
  <c r="Z257" i="2" s="1"/>
  <c r="Y258" i="2"/>
  <c r="Z258" i="2" s="1"/>
  <c r="Y259" i="2"/>
  <c r="Z259" i="2" s="1"/>
  <c r="Y260" i="2"/>
  <c r="Z260" i="2" s="1"/>
  <c r="Y261" i="2"/>
  <c r="Z261" i="2" s="1"/>
  <c r="Y262" i="2"/>
  <c r="Z262" i="2" s="1"/>
  <c r="Y263" i="2"/>
  <c r="Z263" i="2" s="1"/>
  <c r="Y264" i="2"/>
  <c r="Z264" i="2" s="1"/>
  <c r="Y265" i="2"/>
  <c r="Z265" i="2" s="1"/>
  <c r="Y266" i="2"/>
  <c r="Z266" i="2" s="1"/>
  <c r="Y267" i="2"/>
  <c r="Z267" i="2" s="1"/>
  <c r="Y268" i="2"/>
  <c r="Z268" i="2" s="1"/>
  <c r="Y269" i="2"/>
  <c r="Z269" i="2" s="1"/>
  <c r="Y270" i="2"/>
  <c r="Z270" i="2" s="1"/>
  <c r="Y271" i="2"/>
  <c r="Z271" i="2" s="1"/>
  <c r="Y272" i="2"/>
  <c r="Z272" i="2" s="1"/>
  <c r="Y273" i="2"/>
  <c r="Z273" i="2" s="1"/>
  <c r="Y274" i="2"/>
  <c r="Z274" i="2" s="1"/>
  <c r="Y275" i="2"/>
  <c r="Z275" i="2" s="1"/>
  <c r="Y276" i="2"/>
  <c r="Z276" i="2" s="1"/>
  <c r="Y277" i="2"/>
  <c r="Z277" i="2" s="1"/>
  <c r="Y278" i="2"/>
  <c r="Z278" i="2" s="1"/>
  <c r="Y279" i="2"/>
  <c r="Z279" i="2" s="1"/>
  <c r="Y280" i="2"/>
  <c r="Z280" i="2" s="1"/>
  <c r="Y281" i="2"/>
  <c r="Z281" i="2" s="1"/>
  <c r="Y282" i="2"/>
  <c r="Z282" i="2" s="1"/>
  <c r="Y283" i="2"/>
  <c r="Z283" i="2" s="1"/>
  <c r="Y284" i="2"/>
  <c r="Z284" i="2" s="1"/>
  <c r="Y285" i="2"/>
  <c r="Z285" i="2" s="1"/>
  <c r="Y286" i="2"/>
  <c r="Z286" i="2" s="1"/>
  <c r="Y287" i="2"/>
  <c r="Z287" i="2" s="1"/>
  <c r="Y288" i="2"/>
  <c r="Z288" i="2" s="1"/>
  <c r="Y289" i="2"/>
  <c r="Z289" i="2" s="1"/>
  <c r="Y290" i="2"/>
  <c r="Z290" i="2" s="1"/>
  <c r="Y291" i="2"/>
  <c r="Z291" i="2" s="1"/>
  <c r="Y292" i="2"/>
  <c r="Z292" i="2" s="1"/>
  <c r="Y293" i="2"/>
  <c r="Z293" i="2" s="1"/>
  <c r="Y294" i="2"/>
  <c r="Z294" i="2" s="1"/>
  <c r="Y295" i="2"/>
  <c r="Z295" i="2" s="1"/>
  <c r="Y296" i="2"/>
  <c r="Z296" i="2" s="1"/>
  <c r="Y297" i="2"/>
  <c r="Z297" i="2" s="1"/>
  <c r="Y298" i="2"/>
  <c r="Z298" i="2" s="1"/>
  <c r="Y299" i="2"/>
  <c r="Z299" i="2" s="1"/>
  <c r="Y300" i="2"/>
  <c r="Z300" i="2" s="1"/>
  <c r="Y301" i="2"/>
  <c r="Z301" i="2" s="1"/>
  <c r="Y302" i="2"/>
  <c r="Z302" i="2" s="1"/>
  <c r="Y303" i="2"/>
  <c r="Z303" i="2" s="1"/>
  <c r="Y304" i="2"/>
  <c r="Z304" i="2" s="1"/>
  <c r="Y305" i="2"/>
  <c r="Z305" i="2" s="1"/>
  <c r="Y306" i="2"/>
  <c r="Z306" i="2" s="1"/>
  <c r="Y307" i="2"/>
  <c r="Z307" i="2" s="1"/>
  <c r="Y308" i="2"/>
  <c r="Z308" i="2" s="1"/>
  <c r="Y309" i="2"/>
  <c r="Z309" i="2" s="1"/>
  <c r="Y310" i="2"/>
  <c r="Z310" i="2" s="1"/>
  <c r="Y311" i="2"/>
  <c r="Z311" i="2" s="1"/>
  <c r="Y312" i="2"/>
  <c r="Z312" i="2" s="1"/>
  <c r="Y313" i="2"/>
  <c r="Z313" i="2" s="1"/>
  <c r="Y314" i="2"/>
  <c r="Z314" i="2" s="1"/>
  <c r="Y315" i="2"/>
  <c r="Z315" i="2" s="1"/>
  <c r="Y316" i="2"/>
  <c r="Z316" i="2" s="1"/>
  <c r="Y317" i="2"/>
  <c r="Z317" i="2" s="1"/>
  <c r="Y318" i="2"/>
  <c r="Z318" i="2" s="1"/>
  <c r="Y319" i="2"/>
  <c r="Z319" i="2" s="1"/>
  <c r="Y320" i="2"/>
  <c r="Z320" i="2" s="1"/>
  <c r="Y321" i="2"/>
  <c r="Z321" i="2" s="1"/>
  <c r="Y322" i="2"/>
  <c r="Z322" i="2" s="1"/>
  <c r="Y323" i="2"/>
  <c r="Z323" i="2" s="1"/>
  <c r="Y324" i="2"/>
  <c r="Z324" i="2" s="1"/>
  <c r="Y325" i="2"/>
  <c r="Z325" i="2" s="1"/>
  <c r="Y326" i="2"/>
  <c r="Z326" i="2" s="1"/>
  <c r="Y327" i="2"/>
  <c r="Z327" i="2" s="1"/>
  <c r="Y328" i="2"/>
  <c r="Z328" i="2" s="1"/>
  <c r="Y329" i="2"/>
  <c r="Z329" i="2" s="1"/>
  <c r="Y330" i="2"/>
  <c r="Z330" i="2" s="1"/>
  <c r="Y331" i="2"/>
  <c r="Z331" i="2" s="1"/>
  <c r="Y332" i="2"/>
  <c r="Z332" i="2" s="1"/>
  <c r="Y333" i="2"/>
  <c r="Z333" i="2" s="1"/>
  <c r="Y334" i="2"/>
  <c r="Z334" i="2" s="1"/>
  <c r="Y335" i="2"/>
  <c r="Z335" i="2" s="1"/>
  <c r="Y336" i="2"/>
  <c r="Z336" i="2" s="1"/>
  <c r="Y337" i="2"/>
  <c r="Z337" i="2" s="1"/>
  <c r="Y338" i="2"/>
  <c r="Z338" i="2" s="1"/>
  <c r="Y339" i="2"/>
  <c r="Z339" i="2" s="1"/>
  <c r="Y340" i="2"/>
  <c r="Z340" i="2" s="1"/>
  <c r="Y341" i="2"/>
  <c r="Z341" i="2" s="1"/>
  <c r="Y342" i="2"/>
  <c r="Z342" i="2" s="1"/>
  <c r="Y343" i="2"/>
  <c r="Z343" i="2" s="1"/>
  <c r="Y344" i="2"/>
  <c r="Z344" i="2" s="1"/>
  <c r="Y345" i="2"/>
  <c r="Z345" i="2" s="1"/>
  <c r="Y346" i="2"/>
  <c r="Z346" i="2" s="1"/>
  <c r="Y347" i="2"/>
  <c r="Z347" i="2" s="1"/>
  <c r="Y348" i="2"/>
  <c r="Z348" i="2" s="1"/>
  <c r="Y349" i="2"/>
  <c r="Z349" i="2" s="1"/>
  <c r="Y350" i="2"/>
  <c r="Z350" i="2" s="1"/>
  <c r="Y351" i="2"/>
  <c r="Z351" i="2" s="1"/>
  <c r="Y352" i="2"/>
  <c r="Z352" i="2" s="1"/>
  <c r="Y353" i="2"/>
  <c r="Z353" i="2" s="1"/>
  <c r="Y354" i="2"/>
  <c r="Z354" i="2" s="1"/>
  <c r="Y355" i="2"/>
  <c r="Z355" i="2" s="1"/>
  <c r="Y356" i="2"/>
  <c r="Z356" i="2" s="1"/>
  <c r="Y357" i="2"/>
  <c r="Z357" i="2" s="1"/>
  <c r="Y358" i="2"/>
  <c r="Z358" i="2" s="1"/>
  <c r="Y359" i="2"/>
  <c r="Z359" i="2" s="1"/>
  <c r="Y360" i="2"/>
  <c r="Z360" i="2" s="1"/>
  <c r="Y361" i="2"/>
  <c r="Z361" i="2" s="1"/>
  <c r="Y362" i="2"/>
  <c r="Z362" i="2" s="1"/>
  <c r="Y363" i="2"/>
  <c r="Z363" i="2" s="1"/>
  <c r="Y364" i="2"/>
  <c r="Z364" i="2" s="1"/>
  <c r="Y365" i="2"/>
  <c r="Z365" i="2" s="1"/>
  <c r="Y366" i="2"/>
  <c r="Z366" i="2" s="1"/>
  <c r="Y367" i="2"/>
  <c r="Z367" i="2" s="1"/>
  <c r="Y368" i="2"/>
  <c r="Z368" i="2" s="1"/>
  <c r="Y369" i="2"/>
  <c r="Z369" i="2" s="1"/>
  <c r="Y370" i="2"/>
  <c r="Z370" i="2" s="1"/>
  <c r="Y371" i="2"/>
  <c r="Z371" i="2" s="1"/>
  <c r="Y372" i="2"/>
  <c r="Z372" i="2" s="1"/>
  <c r="Y373" i="2"/>
  <c r="Z373" i="2" s="1"/>
  <c r="Y374" i="2"/>
  <c r="Z374" i="2" s="1"/>
  <c r="Y375" i="2"/>
  <c r="Z375" i="2" s="1"/>
  <c r="Y376" i="2"/>
  <c r="Z376" i="2" s="1"/>
  <c r="Y377" i="2"/>
  <c r="Z377" i="2" s="1"/>
  <c r="Y378" i="2"/>
  <c r="Z378" i="2" s="1"/>
  <c r="Y379" i="2"/>
  <c r="Z379" i="2" s="1"/>
  <c r="Y380" i="2"/>
  <c r="Z380" i="2" s="1"/>
  <c r="Y381" i="2"/>
  <c r="Z381" i="2" s="1"/>
  <c r="Y382" i="2"/>
  <c r="Z382" i="2" s="1"/>
  <c r="Y383" i="2"/>
  <c r="Z383" i="2" s="1"/>
  <c r="Y384" i="2"/>
  <c r="Z384" i="2" s="1"/>
  <c r="Y385" i="2"/>
  <c r="Z385" i="2" s="1"/>
  <c r="Y386" i="2"/>
  <c r="Z386" i="2" s="1"/>
  <c r="Y387" i="2"/>
  <c r="Z387" i="2" s="1"/>
  <c r="Y388" i="2"/>
  <c r="Z388" i="2" s="1"/>
  <c r="Y389" i="2"/>
  <c r="Z389" i="2" s="1"/>
  <c r="Y390" i="2"/>
  <c r="Z390" i="2" s="1"/>
  <c r="Y391" i="2"/>
  <c r="Z391" i="2" s="1"/>
  <c r="Y392" i="2"/>
  <c r="Z392" i="2" s="1"/>
  <c r="Y393" i="2"/>
  <c r="Z393" i="2" s="1"/>
  <c r="Y394" i="2"/>
  <c r="Z394" i="2" s="1"/>
  <c r="Y395" i="2"/>
  <c r="Z395" i="2" s="1"/>
  <c r="Y396" i="2"/>
  <c r="Z396" i="2" s="1"/>
  <c r="Y397" i="2"/>
  <c r="Z397" i="2" s="1"/>
  <c r="Y398" i="2"/>
  <c r="Z398" i="2" s="1"/>
  <c r="Y399" i="2"/>
  <c r="Z399" i="2" s="1"/>
  <c r="Y400" i="2"/>
  <c r="Z400" i="2" s="1"/>
  <c r="Y401" i="2"/>
  <c r="Z401" i="2" s="1"/>
  <c r="Y402" i="2"/>
  <c r="Z402" i="2" s="1"/>
  <c r="Y403" i="2"/>
  <c r="Z403" i="2" s="1"/>
  <c r="Y404" i="2"/>
  <c r="Z404" i="2" s="1"/>
  <c r="Y405" i="2"/>
  <c r="Z405" i="2" s="1"/>
  <c r="Y406" i="2"/>
  <c r="Z406" i="2" s="1"/>
  <c r="Y407" i="2"/>
  <c r="Z407" i="2" s="1"/>
  <c r="Y408" i="2"/>
  <c r="Z408" i="2" s="1"/>
  <c r="Y409" i="2"/>
  <c r="Z409" i="2" s="1"/>
  <c r="Y410" i="2"/>
  <c r="Z410" i="2" s="1"/>
  <c r="Y411" i="2"/>
  <c r="Z411" i="2" s="1"/>
  <c r="Y412" i="2"/>
  <c r="Z412" i="2" s="1"/>
  <c r="Y413" i="2"/>
  <c r="Z413" i="2" s="1"/>
  <c r="Y414" i="2"/>
  <c r="Z414" i="2" s="1"/>
  <c r="Y415" i="2"/>
  <c r="Z415" i="2" s="1"/>
  <c r="Y416" i="2"/>
  <c r="Z416" i="2" s="1"/>
  <c r="Y417" i="2"/>
  <c r="Z417" i="2" s="1"/>
  <c r="Y418" i="2"/>
  <c r="Z418" i="2" s="1"/>
  <c r="Y419" i="2"/>
  <c r="Z419" i="2" s="1"/>
  <c r="Y420" i="2"/>
  <c r="Z420" i="2" s="1"/>
  <c r="Y421" i="2"/>
  <c r="Z421" i="2" s="1"/>
  <c r="Y422" i="2"/>
  <c r="Z422" i="2" s="1"/>
  <c r="Y423" i="2"/>
  <c r="Z423" i="2" s="1"/>
  <c r="Y424" i="2"/>
  <c r="Z424" i="2" s="1"/>
  <c r="Y425" i="2"/>
  <c r="Z425" i="2" s="1"/>
  <c r="Y426" i="2"/>
  <c r="Z426" i="2" s="1"/>
  <c r="Y427" i="2"/>
  <c r="Z427" i="2" s="1"/>
  <c r="Y428" i="2"/>
  <c r="Z428" i="2" s="1"/>
  <c r="Y429" i="2"/>
  <c r="Z429" i="2" s="1"/>
  <c r="Y430" i="2"/>
  <c r="Z430" i="2" s="1"/>
  <c r="Y431" i="2"/>
  <c r="Z431" i="2" s="1"/>
  <c r="Y432" i="2"/>
  <c r="Z432" i="2" s="1"/>
  <c r="Y433" i="2"/>
  <c r="Z433" i="2" s="1"/>
  <c r="Y434" i="2"/>
  <c r="Z434" i="2" s="1"/>
  <c r="Y435" i="2"/>
  <c r="Z435" i="2" s="1"/>
  <c r="Y436" i="2"/>
  <c r="Z436" i="2" s="1"/>
  <c r="Y437" i="2"/>
  <c r="Z437" i="2" s="1"/>
  <c r="Y438" i="2"/>
  <c r="Z438" i="2" s="1"/>
  <c r="Y439" i="2"/>
  <c r="Z439" i="2" s="1"/>
  <c r="Y440" i="2"/>
  <c r="Z440" i="2" s="1"/>
  <c r="Y441" i="2"/>
  <c r="Z441" i="2" s="1"/>
  <c r="Y442" i="2"/>
  <c r="Z442" i="2" s="1"/>
  <c r="Y443" i="2"/>
  <c r="Z443" i="2" s="1"/>
  <c r="Y444" i="2"/>
  <c r="Z444" i="2" s="1"/>
  <c r="Y445" i="2"/>
  <c r="Z445" i="2" s="1"/>
  <c r="Y446" i="2"/>
  <c r="Z446" i="2" s="1"/>
  <c r="Y447" i="2"/>
  <c r="Z447" i="2" s="1"/>
  <c r="Y448" i="2"/>
  <c r="Z448" i="2" s="1"/>
  <c r="Y449" i="2"/>
  <c r="Z449" i="2" s="1"/>
  <c r="Y450" i="2"/>
  <c r="Z450" i="2" s="1"/>
  <c r="Y451" i="2"/>
  <c r="Z451" i="2" s="1"/>
  <c r="Y452" i="2"/>
  <c r="Z452" i="2" s="1"/>
  <c r="Y453" i="2"/>
  <c r="Z453" i="2" s="1"/>
  <c r="Y454" i="2"/>
  <c r="Z454" i="2" s="1"/>
  <c r="Y455" i="2"/>
  <c r="Z455" i="2" s="1"/>
  <c r="Y456" i="2"/>
  <c r="Z456" i="2" s="1"/>
  <c r="Y457" i="2"/>
  <c r="Z457" i="2" s="1"/>
  <c r="Y458" i="2"/>
  <c r="Z458" i="2" s="1"/>
  <c r="Y459" i="2"/>
  <c r="Z459" i="2" s="1"/>
  <c r="Y460" i="2"/>
  <c r="Z460" i="2" s="1"/>
  <c r="Y461" i="2"/>
  <c r="Z461" i="2" s="1"/>
  <c r="Y462" i="2"/>
  <c r="Z462" i="2" s="1"/>
  <c r="Y463" i="2"/>
  <c r="Z463" i="2" s="1"/>
  <c r="Y464" i="2"/>
  <c r="Z464" i="2" s="1"/>
  <c r="Y465" i="2"/>
  <c r="Z465" i="2" s="1"/>
  <c r="Y466" i="2"/>
  <c r="Z466" i="2" s="1"/>
  <c r="Y467" i="2"/>
  <c r="Z467" i="2" s="1"/>
  <c r="Y468" i="2"/>
  <c r="Z468" i="2" s="1"/>
  <c r="Y469" i="2"/>
  <c r="Z469" i="2" s="1"/>
  <c r="Y470" i="2"/>
  <c r="Z470" i="2" s="1"/>
  <c r="Y471" i="2"/>
  <c r="Z471" i="2" s="1"/>
  <c r="Y472" i="2"/>
  <c r="Z472" i="2" s="1"/>
  <c r="Y473" i="2"/>
  <c r="Z473" i="2" s="1"/>
  <c r="Y474" i="2"/>
  <c r="Z474" i="2" s="1"/>
  <c r="Y475" i="2"/>
  <c r="Z475" i="2" s="1"/>
  <c r="Y476" i="2"/>
  <c r="Z476" i="2" s="1"/>
  <c r="Y477" i="2"/>
  <c r="Z477" i="2" s="1"/>
  <c r="Y478" i="2"/>
  <c r="Z478" i="2" s="1"/>
  <c r="Y479" i="2"/>
  <c r="Z479" i="2" s="1"/>
  <c r="Y480" i="2"/>
  <c r="Z480" i="2" s="1"/>
  <c r="Y481" i="2"/>
  <c r="Z481" i="2" s="1"/>
  <c r="Y482" i="2"/>
  <c r="Z482" i="2" s="1"/>
  <c r="Y483" i="2"/>
  <c r="Z483" i="2" s="1"/>
  <c r="Y484" i="2"/>
  <c r="Z484" i="2" s="1"/>
  <c r="Y485" i="2"/>
  <c r="Z485" i="2" s="1"/>
  <c r="Y486" i="2"/>
  <c r="Z486" i="2" s="1"/>
  <c r="Y487" i="2"/>
  <c r="Z487" i="2" s="1"/>
  <c r="Y488" i="2"/>
  <c r="Z488" i="2" s="1"/>
  <c r="Y489" i="2"/>
  <c r="Z489" i="2" s="1"/>
  <c r="Y490" i="2"/>
  <c r="Z490" i="2" s="1"/>
  <c r="Y491" i="2"/>
  <c r="Z491" i="2" s="1"/>
  <c r="Y492" i="2"/>
  <c r="Z492" i="2" s="1"/>
  <c r="Y493" i="2"/>
  <c r="Z493" i="2" s="1"/>
  <c r="Y494" i="2"/>
  <c r="Z494" i="2" s="1"/>
  <c r="Y495" i="2"/>
  <c r="Z495" i="2" s="1"/>
  <c r="Y496" i="2"/>
  <c r="Z496" i="2" s="1"/>
  <c r="Y497" i="2"/>
  <c r="Z497" i="2" s="1"/>
  <c r="Y498" i="2"/>
  <c r="Z498" i="2" s="1"/>
  <c r="Y499" i="2"/>
  <c r="Z499" i="2" s="1"/>
  <c r="Y500" i="2"/>
  <c r="Z500" i="2" s="1"/>
  <c r="Y501" i="2"/>
  <c r="Z501" i="2" s="1"/>
  <c r="Y502" i="2"/>
  <c r="Z502" i="2" s="1"/>
  <c r="Y503" i="2"/>
  <c r="Z503" i="2" s="1"/>
  <c r="Y504" i="2"/>
  <c r="Z504" i="2" s="1"/>
  <c r="Y505" i="2"/>
  <c r="Z505" i="2" s="1"/>
  <c r="Y506" i="2"/>
  <c r="Z506" i="2" s="1"/>
  <c r="Y507" i="2"/>
  <c r="Z507" i="2" s="1"/>
  <c r="Y508" i="2"/>
  <c r="Z508" i="2" s="1"/>
  <c r="Y509" i="2"/>
  <c r="Z509" i="2" s="1"/>
  <c r="Y510" i="2"/>
  <c r="Z510" i="2" s="1"/>
  <c r="Y511" i="2"/>
  <c r="Z511" i="2" s="1"/>
  <c r="Y512" i="2"/>
  <c r="Z512" i="2" s="1"/>
  <c r="Y513" i="2"/>
  <c r="Z513" i="2" s="1"/>
  <c r="Y514" i="2"/>
  <c r="Z514" i="2" s="1"/>
  <c r="Y515" i="2"/>
  <c r="Z515" i="2" s="1"/>
  <c r="Y516" i="2"/>
  <c r="Z516" i="2" s="1"/>
  <c r="Y517" i="2"/>
  <c r="Z517" i="2" s="1"/>
  <c r="Y518" i="2"/>
  <c r="Z518" i="2" s="1"/>
  <c r="Y519" i="2"/>
  <c r="Z519" i="2" s="1"/>
  <c r="Y520" i="2"/>
  <c r="Z520" i="2" s="1"/>
  <c r="Y521" i="2"/>
  <c r="Z521" i="2" s="1"/>
  <c r="Y522" i="2"/>
  <c r="Z522" i="2" s="1"/>
  <c r="Y523" i="2"/>
  <c r="Z523" i="2" s="1"/>
  <c r="Y524" i="2"/>
  <c r="Z524" i="2" s="1"/>
  <c r="Y525" i="2"/>
  <c r="Z525" i="2" s="1"/>
  <c r="Y526" i="2"/>
  <c r="Z526" i="2" s="1"/>
  <c r="Y527" i="2"/>
  <c r="Z527" i="2" s="1"/>
  <c r="Y528" i="2"/>
  <c r="Z528" i="2" s="1"/>
  <c r="Y529" i="2"/>
  <c r="Z529" i="2" s="1"/>
  <c r="Y530" i="2"/>
  <c r="Z530" i="2" s="1"/>
  <c r="Y531" i="2"/>
  <c r="Z531" i="2" s="1"/>
  <c r="Y532" i="2"/>
  <c r="Z532" i="2" s="1"/>
  <c r="Y533" i="2"/>
  <c r="Z533" i="2" s="1"/>
  <c r="Y534" i="2"/>
  <c r="Z534" i="2" s="1"/>
  <c r="Y535" i="2"/>
  <c r="Z535" i="2" s="1"/>
  <c r="Y536" i="2"/>
  <c r="Z536" i="2" s="1"/>
  <c r="Y537" i="2"/>
  <c r="Z537" i="2" s="1"/>
  <c r="Y538" i="2"/>
  <c r="Z538" i="2" s="1"/>
  <c r="Y539" i="2"/>
  <c r="Z539" i="2" s="1"/>
  <c r="Y540" i="2"/>
  <c r="Z540" i="2" s="1"/>
  <c r="Y541" i="2"/>
  <c r="Z541" i="2" s="1"/>
  <c r="Y542" i="2"/>
  <c r="Z542" i="2" s="1"/>
  <c r="Y543" i="2"/>
  <c r="Z543" i="2" s="1"/>
  <c r="Y544" i="2"/>
  <c r="Z544" i="2" s="1"/>
  <c r="Y545" i="2"/>
  <c r="Z545" i="2" s="1"/>
  <c r="Y546" i="2"/>
  <c r="Z546" i="2" s="1"/>
  <c r="Y547" i="2"/>
  <c r="Z547" i="2" s="1"/>
  <c r="Y548" i="2"/>
  <c r="Z548" i="2" s="1"/>
  <c r="Y549" i="2"/>
  <c r="Z549" i="2" s="1"/>
  <c r="Y550" i="2"/>
  <c r="Z550" i="2" s="1"/>
  <c r="Y551" i="2"/>
  <c r="Z551" i="2" s="1"/>
  <c r="Y552" i="2"/>
  <c r="Z552" i="2" s="1"/>
  <c r="Y553" i="2"/>
  <c r="Z553" i="2" s="1"/>
  <c r="Y554" i="2"/>
  <c r="Z554" i="2" s="1"/>
  <c r="Y555" i="2"/>
  <c r="Z555" i="2" s="1"/>
  <c r="Y556" i="2"/>
  <c r="Z556" i="2" s="1"/>
  <c r="Y557" i="2"/>
  <c r="Z557" i="2" s="1"/>
  <c r="Y558" i="2"/>
  <c r="Z558" i="2" s="1"/>
  <c r="Y559" i="2"/>
  <c r="Z559" i="2" s="1"/>
  <c r="Y560" i="2"/>
  <c r="Z560" i="2" s="1"/>
  <c r="Y561" i="2"/>
  <c r="Z561" i="2" s="1"/>
  <c r="Y562" i="2"/>
  <c r="Z562" i="2" s="1"/>
  <c r="Y563" i="2"/>
  <c r="Z563" i="2" s="1"/>
  <c r="Y564" i="2"/>
  <c r="Z564" i="2" s="1"/>
  <c r="Y565" i="2"/>
  <c r="Z565" i="2" s="1"/>
  <c r="Y566" i="2"/>
  <c r="Z566" i="2" s="1"/>
  <c r="Y567" i="2"/>
  <c r="Z567" i="2" s="1"/>
  <c r="Y568" i="2"/>
  <c r="Z568" i="2" s="1"/>
  <c r="Y569" i="2"/>
  <c r="Z569" i="2" s="1"/>
  <c r="Y570" i="2"/>
  <c r="Z570" i="2" s="1"/>
  <c r="Y571" i="2"/>
  <c r="Z571" i="2" s="1"/>
  <c r="Y572" i="2"/>
  <c r="Z572" i="2" s="1"/>
  <c r="Y573" i="2"/>
  <c r="Z573" i="2" s="1"/>
  <c r="Y574" i="2"/>
  <c r="Z574" i="2" s="1"/>
  <c r="Y575" i="2"/>
  <c r="Z575" i="2" s="1"/>
  <c r="Y576" i="2"/>
  <c r="Z576" i="2" s="1"/>
  <c r="Y577" i="2"/>
  <c r="Z577" i="2" s="1"/>
  <c r="Y578" i="2"/>
  <c r="Z578" i="2" s="1"/>
  <c r="Y579" i="2"/>
  <c r="Z579" i="2" s="1"/>
  <c r="Y580" i="2"/>
  <c r="Z580" i="2" s="1"/>
  <c r="Y581" i="2"/>
  <c r="Z581" i="2" s="1"/>
  <c r="Y582" i="2"/>
  <c r="Z582" i="2" s="1"/>
  <c r="Y583" i="2"/>
  <c r="Z583" i="2" s="1"/>
  <c r="Y584" i="2"/>
  <c r="Z584" i="2" s="1"/>
  <c r="Y585" i="2"/>
  <c r="Z585" i="2" s="1"/>
  <c r="Y586" i="2"/>
  <c r="Z586" i="2" s="1"/>
  <c r="Y587" i="2"/>
  <c r="Z587" i="2" s="1"/>
  <c r="Y588" i="2"/>
  <c r="Z588" i="2" s="1"/>
  <c r="Y589" i="2"/>
  <c r="Z589" i="2" s="1"/>
  <c r="Y590" i="2"/>
  <c r="Z590" i="2" s="1"/>
  <c r="Y591" i="2"/>
  <c r="Z591" i="2" s="1"/>
  <c r="Y592" i="2"/>
  <c r="Z592" i="2" s="1"/>
  <c r="Y593" i="2"/>
  <c r="Z593" i="2" s="1"/>
  <c r="Y594" i="2"/>
  <c r="Z594" i="2" s="1"/>
  <c r="Y595" i="2"/>
  <c r="Z595" i="2" s="1"/>
  <c r="Y596" i="2"/>
  <c r="Z596" i="2" s="1"/>
  <c r="Y597" i="2"/>
  <c r="Z597" i="2" s="1"/>
  <c r="Y598" i="2"/>
  <c r="Z598" i="2" s="1"/>
  <c r="Y599" i="2"/>
  <c r="Z599" i="2" s="1"/>
  <c r="Y600" i="2"/>
  <c r="Z600" i="2" s="1"/>
  <c r="Y601" i="2"/>
  <c r="Z601" i="2" s="1"/>
  <c r="Y602" i="2"/>
  <c r="Z602" i="2" s="1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A6" i="2"/>
  <c r="AK6" i="2" s="1"/>
  <c r="AB6" i="2"/>
  <c r="AC6" i="2"/>
  <c r="AD6" i="2"/>
  <c r="AE6" i="2"/>
  <c r="AF6" i="2"/>
  <c r="AG6" i="2"/>
  <c r="AH6" i="2"/>
  <c r="AI6" i="2"/>
  <c r="AJ6" i="2"/>
  <c r="AL6" i="2"/>
  <c r="AM6" i="2"/>
  <c r="AN6" i="2"/>
  <c r="AO6" i="2"/>
  <c r="AP6" i="2"/>
  <c r="AQ6" i="2"/>
  <c r="AR6" i="2"/>
  <c r="AS6" i="2"/>
  <c r="AT6" i="2"/>
  <c r="AU6" i="2"/>
  <c r="AV6" i="2"/>
  <c r="AW6" i="2"/>
  <c r="AA7" i="2"/>
  <c r="AK7" i="2" s="1"/>
  <c r="AB7" i="2"/>
  <c r="AC7" i="2"/>
  <c r="AD7" i="2"/>
  <c r="AE7" i="2"/>
  <c r="AF7" i="2"/>
  <c r="AG7" i="2"/>
  <c r="AH7" i="2"/>
  <c r="AI7" i="2"/>
  <c r="AJ7" i="2"/>
  <c r="AL7" i="2"/>
  <c r="AM7" i="2"/>
  <c r="AN7" i="2"/>
  <c r="AO7" i="2"/>
  <c r="AP7" i="2"/>
  <c r="AQ7" i="2"/>
  <c r="AR7" i="2"/>
  <c r="AS7" i="2"/>
  <c r="AT7" i="2"/>
  <c r="AU7" i="2"/>
  <c r="AV7" i="2"/>
  <c r="AW7" i="2"/>
  <c r="AA8" i="2"/>
  <c r="AK8" i="2" s="1"/>
  <c r="AB8" i="2"/>
  <c r="AC8" i="2"/>
  <c r="AD8" i="2"/>
  <c r="AE8" i="2"/>
  <c r="AF8" i="2"/>
  <c r="AG8" i="2"/>
  <c r="AH8" i="2"/>
  <c r="AI8" i="2"/>
  <c r="AJ8" i="2"/>
  <c r="AP8" i="2"/>
  <c r="AR8" i="2"/>
  <c r="AS8" i="2"/>
  <c r="AT8" i="2"/>
  <c r="AU8" i="2"/>
  <c r="AV8" i="2"/>
  <c r="AW8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A10" i="2"/>
  <c r="AK10" i="2" s="1"/>
  <c r="AB10" i="2"/>
  <c r="AC10" i="2"/>
  <c r="AD10" i="2"/>
  <c r="AE10" i="2"/>
  <c r="AF10" i="2"/>
  <c r="AG10" i="2"/>
  <c r="AH10" i="2"/>
  <c r="AI10" i="2"/>
  <c r="AJ10" i="2"/>
  <c r="AL10" i="2"/>
  <c r="AM10" i="2"/>
  <c r="AN10" i="2"/>
  <c r="AP10" i="2"/>
  <c r="AQ10" i="2"/>
  <c r="AR10" i="2"/>
  <c r="AT10" i="2"/>
  <c r="AU10" i="2"/>
  <c r="AV10" i="2"/>
  <c r="AW10" i="2"/>
  <c r="AA11" i="2"/>
  <c r="AK11" i="2" s="1"/>
  <c r="AB11" i="2"/>
  <c r="AC11" i="2"/>
  <c r="AD11" i="2"/>
  <c r="AE11" i="2"/>
  <c r="AF11" i="2"/>
  <c r="AG11" i="2"/>
  <c r="AH11" i="2"/>
  <c r="AI11" i="2"/>
  <c r="AJ11" i="2"/>
  <c r="AM11" i="2"/>
  <c r="AN11" i="2"/>
  <c r="AQ11" i="2"/>
  <c r="AR11" i="2"/>
  <c r="AS11" i="2"/>
  <c r="AU11" i="2"/>
  <c r="AV11" i="2"/>
  <c r="AW11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A577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A578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A579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A580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A581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A582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A583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A584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A585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A586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A587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A588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A589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A590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A591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A592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A593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A594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A595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A596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A597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A598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A599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A600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A601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A602" i="2"/>
  <c r="AK602" i="2" s="1"/>
  <c r="AB602" i="2"/>
  <c r="AC602" i="2"/>
  <c r="AD602" i="2"/>
  <c r="AE602" i="2"/>
  <c r="AF602" i="2"/>
  <c r="AG602" i="2"/>
  <c r="AH602" i="2"/>
  <c r="AI602" i="2"/>
  <c r="AJ602" i="2"/>
  <c r="AW602" i="2"/>
  <c r="AQ8" i="2" l="1"/>
  <c r="AO8" i="2"/>
  <c r="AM8" i="2"/>
  <c r="AN8" i="2"/>
  <c r="AL8" i="2"/>
  <c r="AT11" i="2"/>
  <c r="AP11" i="2"/>
  <c r="AL11" i="2"/>
  <c r="AS10" i="2"/>
  <c r="AO10" i="2"/>
  <c r="AO11" i="2"/>
  <c r="AV602" i="2"/>
  <c r="AR602" i="2"/>
  <c r="AQ602" i="2"/>
  <c r="AN602" i="2"/>
  <c r="AU602" i="2"/>
  <c r="AM602" i="2"/>
  <c r="AT602" i="2"/>
  <c r="AP602" i="2"/>
  <c r="AL602" i="2"/>
  <c r="AS602" i="2"/>
  <c r="AO602" i="2"/>
  <c r="Y603" i="2"/>
  <c r="Z603" i="2" s="1"/>
  <c r="BQ7" i="3"/>
  <c r="BW7" i="3"/>
  <c r="BV7" i="3"/>
  <c r="BU7" i="3"/>
  <c r="BT7" i="3"/>
  <c r="BS7" i="3"/>
  <c r="BR7" i="3"/>
  <c r="BP7" i="3"/>
  <c r="BO7" i="3"/>
  <c r="BN7" i="3"/>
  <c r="BL7" i="3"/>
  <c r="BK7" i="3"/>
  <c r="BF7" i="3"/>
  <c r="BA7" i="3"/>
  <c r="AZ7" i="3"/>
  <c r="AY7" i="3"/>
  <c r="CF7" i="3"/>
  <c r="AE3" i="2"/>
  <c r="AT7" i="3"/>
  <c r="AO7" i="3"/>
  <c r="AF3" i="2"/>
  <c r="BM7" i="3"/>
  <c r="AJ7" i="3"/>
  <c r="CA342" i="3" l="1"/>
  <c r="BZ342" i="3" s="1"/>
  <c r="BY328" i="3"/>
  <c r="BX328" i="3" s="1"/>
  <c r="BY320" i="3"/>
  <c r="BX320" i="3" s="1"/>
  <c r="BY312" i="3"/>
  <c r="BX312" i="3" s="1"/>
  <c r="BY304" i="3"/>
  <c r="BX304" i="3" s="1"/>
  <c r="CA295" i="3"/>
  <c r="BZ295" i="3" s="1"/>
  <c r="BY287" i="3"/>
  <c r="BX287" i="3" s="1"/>
  <c r="BY279" i="3"/>
  <c r="BX279" i="3" s="1"/>
  <c r="BY271" i="3"/>
  <c r="BX271" i="3" s="1"/>
  <c r="BY263" i="3"/>
  <c r="BX263" i="3" s="1"/>
  <c r="CA256" i="3"/>
  <c r="BZ256" i="3" s="1"/>
  <c r="CA248" i="3"/>
  <c r="BZ248" i="3" s="1"/>
  <c r="CA240" i="3"/>
  <c r="BZ240" i="3" s="1"/>
  <c r="CA232" i="3"/>
  <c r="BZ232" i="3" s="1"/>
  <c r="CA340" i="3"/>
  <c r="BZ340" i="3" s="1"/>
  <c r="CA332" i="3"/>
  <c r="BZ332" i="3" s="1"/>
  <c r="CA324" i="3"/>
  <c r="BZ324" i="3" s="1"/>
  <c r="CA316" i="3"/>
  <c r="BZ316" i="3" s="1"/>
  <c r="CA308" i="3"/>
  <c r="BZ308" i="3" s="1"/>
  <c r="BY300" i="3"/>
  <c r="BX300" i="3" s="1"/>
  <c r="BY293" i="3"/>
  <c r="BX293" i="3" s="1"/>
  <c r="BY285" i="3"/>
  <c r="BX285" i="3" s="1"/>
  <c r="BY277" i="3"/>
  <c r="BX277" i="3" s="1"/>
  <c r="BY269" i="3"/>
  <c r="BX269" i="3" s="1"/>
  <c r="BY261" i="3"/>
  <c r="BX261" i="3" s="1"/>
  <c r="BY254" i="3"/>
  <c r="BX254" i="3" s="1"/>
  <c r="BY246" i="3"/>
  <c r="BX246" i="3" s="1"/>
  <c r="BY337" i="3"/>
  <c r="BX337" i="3" s="1"/>
  <c r="BY329" i="3"/>
  <c r="BX329" i="3" s="1"/>
  <c r="BY321" i="3"/>
  <c r="BX321" i="3" s="1"/>
  <c r="BY313" i="3"/>
  <c r="BX313" i="3" s="1"/>
  <c r="BY305" i="3"/>
  <c r="BX305" i="3" s="1"/>
  <c r="CA296" i="3"/>
  <c r="BZ296" i="3" s="1"/>
  <c r="CA286" i="3"/>
  <c r="BZ286" i="3" s="1"/>
  <c r="CA278" i="3"/>
  <c r="BZ278" i="3" s="1"/>
  <c r="CA270" i="3"/>
  <c r="BZ270" i="3" s="1"/>
  <c r="CA262" i="3"/>
  <c r="BZ262" i="3" s="1"/>
  <c r="CA253" i="3"/>
  <c r="BZ253" i="3" s="1"/>
  <c r="CA245" i="3"/>
  <c r="BZ245" i="3" s="1"/>
  <c r="CA237" i="3"/>
  <c r="BZ237" i="3" s="1"/>
  <c r="CA229" i="3"/>
  <c r="BZ229" i="3" s="1"/>
  <c r="CA341" i="3"/>
  <c r="BZ341" i="3" s="1"/>
  <c r="CA333" i="3"/>
  <c r="BZ333" i="3" s="1"/>
  <c r="CA325" i="3"/>
  <c r="BZ325" i="3" s="1"/>
  <c r="CA317" i="3"/>
  <c r="BZ317" i="3" s="1"/>
  <c r="CA309" i="3"/>
  <c r="BZ309" i="3" s="1"/>
  <c r="BY301" i="3"/>
  <c r="BX301" i="3" s="1"/>
  <c r="CA292" i="3"/>
  <c r="BZ292" i="3" s="1"/>
  <c r="CA284" i="3"/>
  <c r="BZ284" i="3" s="1"/>
  <c r="CA276" i="3"/>
  <c r="BZ276" i="3" s="1"/>
  <c r="CA268" i="3"/>
  <c r="BZ268" i="3" s="1"/>
  <c r="CA260" i="3"/>
  <c r="BZ260" i="3" s="1"/>
  <c r="BY251" i="3"/>
  <c r="BX251" i="3" s="1"/>
  <c r="BY243" i="3"/>
  <c r="BX243" i="3" s="1"/>
  <c r="BY235" i="3"/>
  <c r="BX235" i="3" s="1"/>
  <c r="BY234" i="3"/>
  <c r="BX234" i="3" s="1"/>
  <c r="CA226" i="3"/>
  <c r="BZ226" i="3" s="1"/>
  <c r="BY236" i="3"/>
  <c r="BX236" i="3" s="1"/>
  <c r="BY223" i="3"/>
  <c r="BX223" i="3" s="1"/>
  <c r="CA326" i="3"/>
  <c r="BZ326" i="3" s="1"/>
  <c r="CA318" i="3"/>
  <c r="BZ318" i="3" s="1"/>
  <c r="CA310" i="3"/>
  <c r="BZ310" i="3" s="1"/>
  <c r="CA302" i="3"/>
  <c r="BZ302" i="3" s="1"/>
  <c r="CA293" i="3"/>
  <c r="BZ293" i="3" s="1"/>
  <c r="CA285" i="3"/>
  <c r="BZ285" i="3" s="1"/>
  <c r="CA277" i="3"/>
  <c r="BZ277" i="3" s="1"/>
  <c r="CA269" i="3"/>
  <c r="BZ269" i="3" s="1"/>
  <c r="CA261" i="3"/>
  <c r="BZ261" i="3" s="1"/>
  <c r="CA254" i="3"/>
  <c r="BZ254" i="3" s="1"/>
  <c r="CA246" i="3"/>
  <c r="BZ246" i="3" s="1"/>
  <c r="CA238" i="3"/>
  <c r="BZ238" i="3" s="1"/>
  <c r="CA230" i="3"/>
  <c r="BZ230" i="3" s="1"/>
  <c r="CA337" i="3"/>
  <c r="BZ337" i="3" s="1"/>
  <c r="CA329" i="3"/>
  <c r="BZ329" i="3" s="1"/>
  <c r="CA321" i="3"/>
  <c r="BZ321" i="3" s="1"/>
  <c r="CA313" i="3"/>
  <c r="BZ313" i="3" s="1"/>
  <c r="CA305" i="3"/>
  <c r="BZ305" i="3" s="1"/>
  <c r="CA298" i="3"/>
  <c r="BZ298" i="3" s="1"/>
  <c r="CA291" i="3"/>
  <c r="BZ291" i="3" s="1"/>
  <c r="CA283" i="3"/>
  <c r="BZ283" i="3" s="1"/>
  <c r="CA275" i="3"/>
  <c r="BZ275" i="3" s="1"/>
  <c r="CA267" i="3"/>
  <c r="BZ267" i="3" s="1"/>
  <c r="CA259" i="3"/>
  <c r="BZ259" i="3" s="1"/>
  <c r="BY252" i="3"/>
  <c r="BX252" i="3" s="1"/>
  <c r="BY244" i="3"/>
  <c r="BX244" i="3" s="1"/>
  <c r="BY335" i="3"/>
  <c r="BX335" i="3" s="1"/>
  <c r="BY327" i="3"/>
  <c r="BX327" i="3" s="1"/>
  <c r="BY319" i="3"/>
  <c r="BX319" i="3" s="1"/>
  <c r="BY311" i="3"/>
  <c r="BX311" i="3" s="1"/>
  <c r="BY303" i="3"/>
  <c r="BX303" i="3" s="1"/>
  <c r="BY291" i="3"/>
  <c r="BX291" i="3" s="1"/>
  <c r="BY283" i="3"/>
  <c r="BX283" i="3" s="1"/>
  <c r="BY275" i="3"/>
  <c r="BX275" i="3" s="1"/>
  <c r="BY267" i="3"/>
  <c r="BX267" i="3" s="1"/>
  <c r="BY259" i="3"/>
  <c r="BX259" i="3" s="1"/>
  <c r="CA251" i="3"/>
  <c r="BZ251" i="3" s="1"/>
  <c r="CA243" i="3"/>
  <c r="BZ243" i="3" s="1"/>
  <c r="CA235" i="3"/>
  <c r="BZ235" i="3" s="1"/>
  <c r="CA227" i="3"/>
  <c r="BZ227" i="3" s="1"/>
  <c r="CA339" i="3"/>
  <c r="BZ339" i="3" s="1"/>
  <c r="CA331" i="3"/>
  <c r="BZ331" i="3" s="1"/>
  <c r="CA323" i="3"/>
  <c r="BZ323" i="3" s="1"/>
  <c r="CA315" i="3"/>
  <c r="BZ315" i="3" s="1"/>
  <c r="CA307" i="3"/>
  <c r="BZ307" i="3" s="1"/>
  <c r="BY299" i="3"/>
  <c r="BX299" i="3" s="1"/>
  <c r="BY289" i="3"/>
  <c r="BX289" i="3" s="1"/>
  <c r="BY281" i="3"/>
  <c r="BX281" i="3" s="1"/>
  <c r="BY273" i="3"/>
  <c r="BX273" i="3" s="1"/>
  <c r="BY265" i="3"/>
  <c r="BX265" i="3" s="1"/>
  <c r="BY257" i="3"/>
  <c r="BX257" i="3" s="1"/>
  <c r="BY249" i="3"/>
  <c r="BX249" i="3" s="1"/>
  <c r="BY241" i="3"/>
  <c r="BX241" i="3" s="1"/>
  <c r="BY233" i="3"/>
  <c r="BX233" i="3" s="1"/>
  <c r="BY227" i="3"/>
  <c r="BX227" i="3" s="1"/>
  <c r="BY238" i="3"/>
  <c r="BX238" i="3" s="1"/>
  <c r="BY228" i="3"/>
  <c r="BX228" i="3" s="1"/>
  <c r="BY242" i="3"/>
  <c r="BX242" i="3" s="1"/>
  <c r="BY336" i="3"/>
  <c r="BX336" i="3" s="1"/>
  <c r="BY333" i="3"/>
  <c r="BX333" i="3" s="1"/>
  <c r="BY317" i="3"/>
  <c r="BX317" i="3" s="1"/>
  <c r="BY309" i="3"/>
  <c r="BX309" i="3" s="1"/>
  <c r="CA300" i="3"/>
  <c r="BZ300" i="3" s="1"/>
  <c r="BY292" i="3"/>
  <c r="BX292" i="3" s="1"/>
  <c r="BY284" i="3"/>
  <c r="BX284" i="3" s="1"/>
  <c r="BY276" i="3"/>
  <c r="BX276" i="3" s="1"/>
  <c r="BY268" i="3"/>
  <c r="BX268" i="3" s="1"/>
  <c r="BY260" i="3"/>
  <c r="BX260" i="3" s="1"/>
  <c r="CA252" i="3"/>
  <c r="BZ252" i="3" s="1"/>
  <c r="CA244" i="3"/>
  <c r="BZ244" i="3" s="1"/>
  <c r="CA236" i="3"/>
  <c r="BZ236" i="3" s="1"/>
  <c r="CA228" i="3"/>
  <c r="BZ228" i="3" s="1"/>
  <c r="CA335" i="3"/>
  <c r="BZ335" i="3" s="1"/>
  <c r="CA327" i="3"/>
  <c r="BZ327" i="3" s="1"/>
  <c r="CA319" i="3"/>
  <c r="BZ319" i="3" s="1"/>
  <c r="CA311" i="3"/>
  <c r="BZ311" i="3" s="1"/>
  <c r="CA303" i="3"/>
  <c r="BZ303" i="3" s="1"/>
  <c r="BY297" i="3"/>
  <c r="BX297" i="3" s="1"/>
  <c r="BY290" i="3"/>
  <c r="BX290" i="3" s="1"/>
  <c r="BY282" i="3"/>
  <c r="BX282" i="3" s="1"/>
  <c r="BY274" i="3"/>
  <c r="BX274" i="3" s="1"/>
  <c r="BY266" i="3"/>
  <c r="BX266" i="3" s="1"/>
  <c r="BY258" i="3"/>
  <c r="BX258" i="3" s="1"/>
  <c r="BY250" i="3"/>
  <c r="BX250" i="3" s="1"/>
  <c r="BY340" i="3"/>
  <c r="BX340" i="3" s="1"/>
  <c r="BY332" i="3"/>
  <c r="BX332" i="3" s="1"/>
  <c r="BY324" i="3"/>
  <c r="BX324" i="3" s="1"/>
  <c r="BY316" i="3"/>
  <c r="BX316" i="3" s="1"/>
  <c r="BY308" i="3"/>
  <c r="BX308" i="3" s="1"/>
  <c r="CA299" i="3"/>
  <c r="BZ299" i="3" s="1"/>
  <c r="CA289" i="3"/>
  <c r="BZ289" i="3" s="1"/>
  <c r="CA281" i="3"/>
  <c r="BZ281" i="3" s="1"/>
  <c r="CA273" i="3"/>
  <c r="BZ273" i="3" s="1"/>
  <c r="CA265" i="3"/>
  <c r="BZ265" i="3" s="1"/>
  <c r="CA257" i="3"/>
  <c r="BZ257" i="3" s="1"/>
  <c r="CA249" i="3"/>
  <c r="BZ249" i="3" s="1"/>
  <c r="CA241" i="3"/>
  <c r="BZ241" i="3" s="1"/>
  <c r="CA233" i="3"/>
  <c r="BZ233" i="3" s="1"/>
  <c r="CA225" i="3"/>
  <c r="BZ225" i="3" s="1"/>
  <c r="BY338" i="3"/>
  <c r="BX338" i="3" s="1"/>
  <c r="BY330" i="3"/>
  <c r="BX330" i="3" s="1"/>
  <c r="BY322" i="3"/>
  <c r="BX322" i="3" s="1"/>
  <c r="BY314" i="3"/>
  <c r="BX314" i="3" s="1"/>
  <c r="BY306" i="3"/>
  <c r="BX306" i="3" s="1"/>
  <c r="BY296" i="3"/>
  <c r="BX296" i="3" s="1"/>
  <c r="CA287" i="3"/>
  <c r="BZ287" i="3" s="1"/>
  <c r="CA279" i="3"/>
  <c r="BZ279" i="3" s="1"/>
  <c r="CA271" i="3"/>
  <c r="BZ271" i="3" s="1"/>
  <c r="CA263" i="3"/>
  <c r="BZ263" i="3" s="1"/>
  <c r="BY255" i="3"/>
  <c r="BX255" i="3" s="1"/>
  <c r="BY247" i="3"/>
  <c r="BX247" i="3" s="1"/>
  <c r="BY239" i="3"/>
  <c r="BX239" i="3" s="1"/>
  <c r="BY231" i="3"/>
  <c r="BX231" i="3" s="1"/>
  <c r="BY240" i="3"/>
  <c r="BX240" i="3" s="1"/>
  <c r="BY230" i="3"/>
  <c r="BX230" i="3" s="1"/>
  <c r="BY225" i="3"/>
  <c r="BX225" i="3" s="1"/>
  <c r="CA224" i="3"/>
  <c r="BZ224" i="3" s="1"/>
  <c r="CA334" i="3"/>
  <c r="BZ334" i="3" s="1"/>
  <c r="BY341" i="3"/>
  <c r="BX341" i="3" s="1"/>
  <c r="BY325" i="3"/>
  <c r="BX325" i="3" s="1"/>
  <c r="BY339" i="3"/>
  <c r="BX339" i="3" s="1"/>
  <c r="BY331" i="3"/>
  <c r="BX331" i="3" s="1"/>
  <c r="BY323" i="3"/>
  <c r="BX323" i="3" s="1"/>
  <c r="BY315" i="3"/>
  <c r="BX315" i="3" s="1"/>
  <c r="BY307" i="3"/>
  <c r="BX307" i="3" s="1"/>
  <c r="CA297" i="3"/>
  <c r="BZ297" i="3" s="1"/>
  <c r="CA290" i="3"/>
  <c r="BZ290" i="3" s="1"/>
  <c r="CA282" i="3"/>
  <c r="BZ282" i="3" s="1"/>
  <c r="CA274" i="3"/>
  <c r="BZ274" i="3" s="1"/>
  <c r="CA266" i="3"/>
  <c r="BZ266" i="3" s="1"/>
  <c r="CA258" i="3"/>
  <c r="BZ258" i="3" s="1"/>
  <c r="CA250" i="3"/>
  <c r="BZ250" i="3" s="1"/>
  <c r="CA242" i="3"/>
  <c r="BZ242" i="3" s="1"/>
  <c r="CA234" i="3"/>
  <c r="BZ234" i="3" s="1"/>
  <c r="BY342" i="3"/>
  <c r="BX342" i="3" s="1"/>
  <c r="BY334" i="3"/>
  <c r="BX334" i="3" s="1"/>
  <c r="BY326" i="3"/>
  <c r="BX326" i="3" s="1"/>
  <c r="BY318" i="3"/>
  <c r="BX318" i="3" s="1"/>
  <c r="BY310" i="3"/>
  <c r="BX310" i="3" s="1"/>
  <c r="BY302" i="3"/>
  <c r="BX302" i="3" s="1"/>
  <c r="BY295" i="3"/>
  <c r="BX295" i="3" s="1"/>
  <c r="CA288" i="3"/>
  <c r="BZ288" i="3" s="1"/>
  <c r="CA280" i="3"/>
  <c r="BZ280" i="3" s="1"/>
  <c r="CA272" i="3"/>
  <c r="BZ272" i="3" s="1"/>
  <c r="CA264" i="3"/>
  <c r="BZ264" i="3" s="1"/>
  <c r="BY256" i="3"/>
  <c r="BX256" i="3" s="1"/>
  <c r="BY248" i="3"/>
  <c r="BX248" i="3" s="1"/>
  <c r="CA338" i="3"/>
  <c r="BZ338" i="3" s="1"/>
  <c r="CA330" i="3"/>
  <c r="BZ330" i="3" s="1"/>
  <c r="CA322" i="3"/>
  <c r="BZ322" i="3" s="1"/>
  <c r="CA314" i="3"/>
  <c r="BZ314" i="3" s="1"/>
  <c r="CA306" i="3"/>
  <c r="BZ306" i="3" s="1"/>
  <c r="BY298" i="3"/>
  <c r="BX298" i="3" s="1"/>
  <c r="BY288" i="3"/>
  <c r="BX288" i="3" s="1"/>
  <c r="BY280" i="3"/>
  <c r="BX280" i="3" s="1"/>
  <c r="BY272" i="3"/>
  <c r="BX272" i="3" s="1"/>
  <c r="BY264" i="3"/>
  <c r="BX264" i="3" s="1"/>
  <c r="CA255" i="3"/>
  <c r="BZ255" i="3" s="1"/>
  <c r="CA247" i="3"/>
  <c r="BZ247" i="3" s="1"/>
  <c r="CA239" i="3"/>
  <c r="BZ239" i="3" s="1"/>
  <c r="CA231" i="3"/>
  <c r="BZ231" i="3" s="1"/>
  <c r="CA223" i="3"/>
  <c r="BZ223" i="3" s="1"/>
  <c r="CA336" i="3"/>
  <c r="BZ336" i="3" s="1"/>
  <c r="CA328" i="3"/>
  <c r="BZ328" i="3" s="1"/>
  <c r="CA320" i="3"/>
  <c r="BZ320" i="3" s="1"/>
  <c r="CA312" i="3"/>
  <c r="BZ312" i="3" s="1"/>
  <c r="CA304" i="3"/>
  <c r="BZ304" i="3" s="1"/>
  <c r="BY294" i="3"/>
  <c r="BX294" i="3" s="1"/>
  <c r="BY286" i="3"/>
  <c r="BX286" i="3" s="1"/>
  <c r="BY278" i="3"/>
  <c r="BX278" i="3" s="1"/>
  <c r="BY270" i="3"/>
  <c r="BX270" i="3" s="1"/>
  <c r="BY262" i="3"/>
  <c r="BX262" i="3" s="1"/>
  <c r="BY253" i="3"/>
  <c r="BX253" i="3" s="1"/>
  <c r="BY245" i="3"/>
  <c r="BX245" i="3" s="1"/>
  <c r="BY237" i="3"/>
  <c r="BX237" i="3" s="1"/>
  <c r="BY229" i="3"/>
  <c r="BX229" i="3" s="1"/>
  <c r="BY232" i="3"/>
  <c r="BX232" i="3" s="1"/>
  <c r="BY226" i="3"/>
  <c r="BX226" i="3" s="1"/>
  <c r="BY224" i="3"/>
  <c r="BX224" i="3" s="1"/>
  <c r="BE59" i="3"/>
  <c r="BD59" i="3" s="1"/>
  <c r="CC107" i="3"/>
  <c r="CB107" i="3" s="1"/>
  <c r="CE41" i="3"/>
  <c r="CD41" i="3" s="1"/>
  <c r="CE49" i="3"/>
  <c r="CD49" i="3" s="1"/>
  <c r="CE57" i="3"/>
  <c r="CD57" i="3" s="1"/>
  <c r="CE65" i="3"/>
  <c r="CD65" i="3" s="1"/>
  <c r="CC40" i="3"/>
  <c r="CB40" i="3" s="1"/>
  <c r="BE44" i="3"/>
  <c r="BD44" i="3" s="1"/>
  <c r="CA46" i="3"/>
  <c r="BZ46" i="3" s="1"/>
  <c r="CC48" i="3"/>
  <c r="CB48" i="3" s="1"/>
  <c r="BE52" i="3"/>
  <c r="BD52" i="3" s="1"/>
  <c r="CA54" i="3"/>
  <c r="BZ54" i="3" s="1"/>
  <c r="CC56" i="3"/>
  <c r="CB56" i="3" s="1"/>
  <c r="BE60" i="3"/>
  <c r="BD60" i="3" s="1"/>
  <c r="CA62" i="3"/>
  <c r="BZ62" i="3" s="1"/>
  <c r="CC64" i="3"/>
  <c r="CB64" i="3" s="1"/>
  <c r="BY41" i="3"/>
  <c r="BX41" i="3" s="1"/>
  <c r="CE43" i="3"/>
  <c r="CD43" i="3" s="1"/>
  <c r="BC47" i="3"/>
  <c r="BB47" i="3" s="1"/>
  <c r="BY49" i="3"/>
  <c r="BX49" i="3" s="1"/>
  <c r="CE51" i="3"/>
  <c r="CD51" i="3" s="1"/>
  <c r="BC55" i="3"/>
  <c r="BB55" i="3" s="1"/>
  <c r="BY57" i="3"/>
  <c r="BX57" i="3" s="1"/>
  <c r="BE61" i="3"/>
  <c r="BD61" i="3" s="1"/>
  <c r="BE65" i="3"/>
  <c r="BD65" i="3" s="1"/>
  <c r="CA40" i="3"/>
  <c r="BZ40" i="3" s="1"/>
  <c r="CC42" i="3"/>
  <c r="CB42" i="3" s="1"/>
  <c r="BE46" i="3"/>
  <c r="BD46" i="3" s="1"/>
  <c r="CA48" i="3"/>
  <c r="BZ48" i="3" s="1"/>
  <c r="CC50" i="3"/>
  <c r="CB50" i="3" s="1"/>
  <c r="BE54" i="3"/>
  <c r="BD54" i="3" s="1"/>
  <c r="CA56" i="3"/>
  <c r="BZ56" i="3" s="1"/>
  <c r="CC58" i="3"/>
  <c r="CB58" i="3" s="1"/>
  <c r="BE62" i="3"/>
  <c r="BD62" i="3" s="1"/>
  <c r="CA64" i="3"/>
  <c r="BZ64" i="3" s="1"/>
  <c r="CC66" i="3"/>
  <c r="CB66" i="3" s="1"/>
  <c r="CE71" i="3"/>
  <c r="CD71" i="3" s="1"/>
  <c r="CE75" i="3"/>
  <c r="CD75" i="3" s="1"/>
  <c r="CC89" i="3"/>
  <c r="CB89" i="3" s="1"/>
  <c r="CC97" i="3"/>
  <c r="CB97" i="3" s="1"/>
  <c r="CC105" i="3"/>
  <c r="CB105" i="3" s="1"/>
  <c r="CA41" i="3"/>
  <c r="BZ41" i="3" s="1"/>
  <c r="CA49" i="3"/>
  <c r="BZ49" i="3" s="1"/>
  <c r="CA57" i="3"/>
  <c r="BZ57" i="3" s="1"/>
  <c r="BC65" i="3"/>
  <c r="BB65" i="3" s="1"/>
  <c r="CC70" i="3"/>
  <c r="CB70" i="3" s="1"/>
  <c r="CC74" i="3"/>
  <c r="CB74" i="3" s="1"/>
  <c r="CC78" i="3"/>
  <c r="CB78" i="3" s="1"/>
  <c r="CC82" i="3"/>
  <c r="CB82" i="3" s="1"/>
  <c r="CC86" i="3"/>
  <c r="CB86" i="3" s="1"/>
  <c r="CC90" i="3"/>
  <c r="CB90" i="3" s="1"/>
  <c r="CC94" i="3"/>
  <c r="CB94" i="3" s="1"/>
  <c r="CC98" i="3"/>
  <c r="CB98" i="3" s="1"/>
  <c r="CA68" i="3"/>
  <c r="BZ68" i="3" s="1"/>
  <c r="CC71" i="3"/>
  <c r="CB71" i="3" s="1"/>
  <c r="CE77" i="3"/>
  <c r="CD77" i="3" s="1"/>
  <c r="BY83" i="3"/>
  <c r="BX83" i="3" s="1"/>
  <c r="BY87" i="3"/>
  <c r="BX87" i="3" s="1"/>
  <c r="BY91" i="3"/>
  <c r="BX91" i="3" s="1"/>
  <c r="BY95" i="3"/>
  <c r="BX95" i="3" s="1"/>
  <c r="BY99" i="3"/>
  <c r="BX99" i="3" s="1"/>
  <c r="BY103" i="3"/>
  <c r="BX103" i="3" s="1"/>
  <c r="BY107" i="3"/>
  <c r="BX107" i="3" s="1"/>
  <c r="BE51" i="3"/>
  <c r="BD51" i="3" s="1"/>
  <c r="CC43" i="3"/>
  <c r="CB43" i="3" s="1"/>
  <c r="CC51" i="3"/>
  <c r="CB51" i="3" s="1"/>
  <c r="CC59" i="3"/>
  <c r="CB59" i="3" s="1"/>
  <c r="CC67" i="3"/>
  <c r="CB67" i="3" s="1"/>
  <c r="BC42" i="3"/>
  <c r="BB42" i="3" s="1"/>
  <c r="BY44" i="3"/>
  <c r="BX44" i="3" s="1"/>
  <c r="CE46" i="3"/>
  <c r="CD46" i="3" s="1"/>
  <c r="BC50" i="3"/>
  <c r="BB50" i="3" s="1"/>
  <c r="BY52" i="3"/>
  <c r="BX52" i="3" s="1"/>
  <c r="CE54" i="3"/>
  <c r="CD54" i="3" s="1"/>
  <c r="BC58" i="3"/>
  <c r="BB58" i="3" s="1"/>
  <c r="BY60" i="3"/>
  <c r="BX60" i="3" s="1"/>
  <c r="CE62" i="3"/>
  <c r="CD62" i="3" s="1"/>
  <c r="CA66" i="3"/>
  <c r="BZ66" i="3" s="1"/>
  <c r="CC41" i="3"/>
  <c r="CB41" i="3" s="1"/>
  <c r="BE45" i="3"/>
  <c r="BD45" i="3" s="1"/>
  <c r="CA47" i="3"/>
  <c r="BZ47" i="3" s="1"/>
  <c r="CC49" i="3"/>
  <c r="CB49" i="3" s="1"/>
  <c r="BE53" i="3"/>
  <c r="BD53" i="3" s="1"/>
  <c r="CA55" i="3"/>
  <c r="BZ55" i="3" s="1"/>
  <c r="CC57" i="3"/>
  <c r="CB57" i="3" s="1"/>
  <c r="BY61" i="3"/>
  <c r="BX61" i="3" s="1"/>
  <c r="BY65" i="3"/>
  <c r="BX65" i="3" s="1"/>
  <c r="CE40" i="3"/>
  <c r="CD40" i="3" s="1"/>
  <c r="BC44" i="3"/>
  <c r="BB44" i="3" s="1"/>
  <c r="BY46" i="3"/>
  <c r="BX46" i="3" s="1"/>
  <c r="CE48" i="3"/>
  <c r="CD48" i="3" s="1"/>
  <c r="BC52" i="3"/>
  <c r="BB52" i="3" s="1"/>
  <c r="BY54" i="3"/>
  <c r="BX54" i="3" s="1"/>
  <c r="CE56" i="3"/>
  <c r="CD56" i="3" s="1"/>
  <c r="BC60" i="3"/>
  <c r="BB60" i="3" s="1"/>
  <c r="BY62" i="3"/>
  <c r="BX62" i="3" s="1"/>
  <c r="CE64" i="3"/>
  <c r="CD64" i="3" s="1"/>
  <c r="BY69" i="3"/>
  <c r="BX69" i="3" s="1"/>
  <c r="BY73" i="3"/>
  <c r="BX73" i="3" s="1"/>
  <c r="BY77" i="3"/>
  <c r="BX77" i="3" s="1"/>
  <c r="CE91" i="3"/>
  <c r="CD91" i="3" s="1"/>
  <c r="CE99" i="3"/>
  <c r="CD99" i="3" s="1"/>
  <c r="CE107" i="3"/>
  <c r="CD107" i="3" s="1"/>
  <c r="BC45" i="3"/>
  <c r="BB45" i="3" s="1"/>
  <c r="BC53" i="3"/>
  <c r="BB53" i="3" s="1"/>
  <c r="BC61" i="3"/>
  <c r="BB61" i="3" s="1"/>
  <c r="CA65" i="3"/>
  <c r="BZ65" i="3" s="1"/>
  <c r="CA72" i="3"/>
  <c r="BZ72" i="3" s="1"/>
  <c r="CA76" i="3"/>
  <c r="BZ76" i="3" s="1"/>
  <c r="CA80" i="3"/>
  <c r="BZ80" i="3" s="1"/>
  <c r="CA84" i="3"/>
  <c r="BZ84" i="3" s="1"/>
  <c r="CA88" i="3"/>
  <c r="BZ88" i="3" s="1"/>
  <c r="CA92" i="3"/>
  <c r="BZ92" i="3" s="1"/>
  <c r="CA96" i="3"/>
  <c r="BZ96" i="3" s="1"/>
  <c r="CA100" i="3"/>
  <c r="BZ100" i="3" s="1"/>
  <c r="CA69" i="3"/>
  <c r="BZ69" i="3" s="1"/>
  <c r="CA73" i="3"/>
  <c r="BZ73" i="3" s="1"/>
  <c r="BY79" i="3"/>
  <c r="BX79" i="3" s="1"/>
  <c r="CC83" i="3"/>
  <c r="CB83" i="3" s="1"/>
  <c r="CC87" i="3"/>
  <c r="CB87" i="3" s="1"/>
  <c r="CC91" i="3"/>
  <c r="CB91" i="3" s="1"/>
  <c r="CC95" i="3"/>
  <c r="CB95" i="3" s="1"/>
  <c r="CC99" i="3"/>
  <c r="CB99" i="3" s="1"/>
  <c r="CC103" i="3"/>
  <c r="CB103" i="3" s="1"/>
  <c r="BE63" i="3"/>
  <c r="BD63" i="3" s="1"/>
  <c r="BE55" i="3"/>
  <c r="BD55" i="3" s="1"/>
  <c r="BE47" i="3"/>
  <c r="BD47" i="3" s="1"/>
  <c r="BY171" i="3"/>
  <c r="BX171" i="3" s="1"/>
  <c r="CE169" i="3"/>
  <c r="CD169" i="3" s="1"/>
  <c r="CC171" i="3"/>
  <c r="CB171" i="3" s="1"/>
  <c r="CA150" i="3"/>
  <c r="BZ150" i="3" s="1"/>
  <c r="BY147" i="3"/>
  <c r="BX147" i="3" s="1"/>
  <c r="CC167" i="3"/>
  <c r="CB167" i="3" s="1"/>
  <c r="CC168" i="3"/>
  <c r="CB168" i="3" s="1"/>
  <c r="CC156" i="3"/>
  <c r="CB156" i="3" s="1"/>
  <c r="CE166" i="3"/>
  <c r="CD166" i="3" s="1"/>
  <c r="BY167" i="3"/>
  <c r="BX167" i="3" s="1"/>
  <c r="BY163" i="3"/>
  <c r="BX163" i="3" s="1"/>
  <c r="BY159" i="3"/>
  <c r="BX159" i="3" s="1"/>
  <c r="BY155" i="3"/>
  <c r="BX155" i="3" s="1"/>
  <c r="BY151" i="3"/>
  <c r="BX151" i="3" s="1"/>
  <c r="CA145" i="3"/>
  <c r="BZ145" i="3" s="1"/>
  <c r="CE135" i="3"/>
  <c r="CD135" i="3" s="1"/>
  <c r="CA127" i="3"/>
  <c r="BZ127" i="3" s="1"/>
  <c r="CE127" i="3"/>
  <c r="CD127" i="3" s="1"/>
  <c r="CC124" i="3"/>
  <c r="CB124" i="3" s="1"/>
  <c r="BY166" i="3"/>
  <c r="BX166" i="3" s="1"/>
  <c r="BY162" i="3"/>
  <c r="BX162" i="3" s="1"/>
  <c r="BY158" i="3"/>
  <c r="BX158" i="3" s="1"/>
  <c r="BY154" i="3"/>
  <c r="BX154" i="3" s="1"/>
  <c r="BY150" i="3"/>
  <c r="BX150" i="3" s="1"/>
  <c r="BY145" i="3"/>
  <c r="BX145" i="3" s="1"/>
  <c r="CA135" i="3"/>
  <c r="BZ135" i="3" s="1"/>
  <c r="BY140" i="3"/>
  <c r="BX140" i="3" s="1"/>
  <c r="BY132" i="3"/>
  <c r="BX132" i="3" s="1"/>
  <c r="CA171" i="3"/>
  <c r="BZ171" i="3" s="1"/>
  <c r="CA167" i="3"/>
  <c r="BZ167" i="3" s="1"/>
  <c r="CA163" i="3"/>
  <c r="BZ163" i="3" s="1"/>
  <c r="CA159" i="3"/>
  <c r="BZ159" i="3" s="1"/>
  <c r="CA155" i="3"/>
  <c r="BZ155" i="3" s="1"/>
  <c r="CA151" i="3"/>
  <c r="BZ151" i="3" s="1"/>
  <c r="CA143" i="3"/>
  <c r="BZ143" i="3" s="1"/>
  <c r="CC133" i="3"/>
  <c r="CB133" i="3" s="1"/>
  <c r="CE168" i="3"/>
  <c r="CD168" i="3" s="1"/>
  <c r="CA166" i="3"/>
  <c r="BZ166" i="3" s="1"/>
  <c r="CA158" i="3"/>
  <c r="BZ158" i="3" s="1"/>
  <c r="BY139" i="3"/>
  <c r="BX139" i="3" s="1"/>
  <c r="CC135" i="3"/>
  <c r="CB135" i="3" s="1"/>
  <c r="CC131" i="3"/>
  <c r="CB131" i="3" s="1"/>
  <c r="CC127" i="3"/>
  <c r="CB127" i="3" s="1"/>
  <c r="CC123" i="3"/>
  <c r="CB123" i="3" s="1"/>
  <c r="CC119" i="3"/>
  <c r="CB119" i="3" s="1"/>
  <c r="CC115" i="3"/>
  <c r="CB115" i="3" s="1"/>
  <c r="CC111" i="3"/>
  <c r="CB111" i="3" s="1"/>
  <c r="CA104" i="3"/>
  <c r="BZ104" i="3" s="1"/>
  <c r="CA99" i="3"/>
  <c r="BZ99" i="3" s="1"/>
  <c r="CE83" i="3"/>
  <c r="CD83" i="3" s="1"/>
  <c r="BY146" i="3"/>
  <c r="BX146" i="3" s="1"/>
  <c r="BY142" i="3"/>
  <c r="BX142" i="3" s="1"/>
  <c r="BY138" i="3"/>
  <c r="BX138" i="3" s="1"/>
  <c r="BY134" i="3"/>
  <c r="BX134" i="3" s="1"/>
  <c r="BY130" i="3"/>
  <c r="BX130" i="3" s="1"/>
  <c r="BY126" i="3"/>
  <c r="BX126" i="3" s="1"/>
  <c r="BY122" i="3"/>
  <c r="BX122" i="3" s="1"/>
  <c r="BY118" i="3"/>
  <c r="BX118" i="3" s="1"/>
  <c r="BY114" i="3"/>
  <c r="BX114" i="3" s="1"/>
  <c r="BY110" i="3"/>
  <c r="BX110" i="3" s="1"/>
  <c r="CC102" i="3"/>
  <c r="CB102" i="3" s="1"/>
  <c r="CA123" i="3"/>
  <c r="BZ123" i="3" s="1"/>
  <c r="CA119" i="3"/>
  <c r="BZ119" i="3" s="1"/>
  <c r="CA115" i="3"/>
  <c r="BZ115" i="3" s="1"/>
  <c r="CA111" i="3"/>
  <c r="BZ111" i="3" s="1"/>
  <c r="CE104" i="3"/>
  <c r="CD104" i="3" s="1"/>
  <c r="BY105" i="3"/>
  <c r="BX105" i="3" s="1"/>
  <c r="BY97" i="3"/>
  <c r="BX97" i="3" s="1"/>
  <c r="BY89" i="3"/>
  <c r="BX89" i="3" s="1"/>
  <c r="CA83" i="3"/>
  <c r="BZ83" i="3" s="1"/>
  <c r="CE70" i="3"/>
  <c r="CD70" i="3" s="1"/>
  <c r="BY68" i="3"/>
  <c r="BX68" i="3" s="1"/>
  <c r="CE138" i="3"/>
  <c r="CD138" i="3" s="1"/>
  <c r="CE130" i="3"/>
  <c r="CD130" i="3" s="1"/>
  <c r="CC120" i="3"/>
  <c r="CB120" i="3" s="1"/>
  <c r="CC116" i="3"/>
  <c r="CB116" i="3" s="1"/>
  <c r="CC112" i="3"/>
  <c r="CB112" i="3" s="1"/>
  <c r="CE109" i="3"/>
  <c r="CD109" i="3" s="1"/>
  <c r="CC100" i="3"/>
  <c r="CB100" i="3" s="1"/>
  <c r="BY96" i="3"/>
  <c r="BX96" i="3" s="1"/>
  <c r="CA90" i="3"/>
  <c r="BZ90" i="3" s="1"/>
  <c r="CC84" i="3"/>
  <c r="CB84" i="3" s="1"/>
  <c r="BY80" i="3"/>
  <c r="BX80" i="3" s="1"/>
  <c r="CA74" i="3"/>
  <c r="BZ74" i="3" s="1"/>
  <c r="CC68" i="3"/>
  <c r="CB68" i="3" s="1"/>
  <c r="BY55" i="3"/>
  <c r="BX55" i="3" s="1"/>
  <c r="BY47" i="3"/>
  <c r="BX47" i="3" s="1"/>
  <c r="CE147" i="3"/>
  <c r="CD147" i="3" s="1"/>
  <c r="CC145" i="3"/>
  <c r="CB145" i="3" s="1"/>
  <c r="CE172" i="3"/>
  <c r="CD172" i="3" s="1"/>
  <c r="CC164" i="3"/>
  <c r="CB164" i="3" s="1"/>
  <c r="CA154" i="3"/>
  <c r="BZ154" i="3" s="1"/>
  <c r="CE162" i="3"/>
  <c r="CD162" i="3" s="1"/>
  <c r="CE165" i="3"/>
  <c r="CD165" i="3" s="1"/>
  <c r="CE161" i="3"/>
  <c r="CD161" i="3" s="1"/>
  <c r="CE157" i="3"/>
  <c r="CD157" i="3" s="1"/>
  <c r="CE153" i="3"/>
  <c r="CD153" i="3" s="1"/>
  <c r="CE149" i="3"/>
  <c r="CD149" i="3" s="1"/>
  <c r="CE143" i="3"/>
  <c r="CD143" i="3" s="1"/>
  <c r="CE131" i="3"/>
  <c r="CD131" i="3" s="1"/>
  <c r="CC146" i="3"/>
  <c r="CB146" i="3" s="1"/>
  <c r="BY128" i="3"/>
  <c r="BX128" i="3" s="1"/>
  <c r="CC170" i="3"/>
  <c r="CB170" i="3" s="1"/>
  <c r="CE164" i="3"/>
  <c r="CD164" i="3" s="1"/>
  <c r="CE160" i="3"/>
  <c r="CD160" i="3" s="1"/>
  <c r="CE156" i="3"/>
  <c r="CD156" i="3" s="1"/>
  <c r="CE152" i="3"/>
  <c r="CD152" i="3" s="1"/>
  <c r="CE148" i="3"/>
  <c r="CD148" i="3" s="1"/>
  <c r="CC143" i="3"/>
  <c r="CB143" i="3" s="1"/>
  <c r="CA131" i="3"/>
  <c r="BZ131" i="3" s="1"/>
  <c r="CA138" i="3"/>
  <c r="BZ138" i="3" s="1"/>
  <c r="CA130" i="3"/>
  <c r="BZ130" i="3" s="1"/>
  <c r="CC169" i="3"/>
  <c r="CB169" i="3" s="1"/>
  <c r="CC165" i="3"/>
  <c r="CB165" i="3" s="1"/>
  <c r="CC161" i="3"/>
  <c r="CB161" i="3" s="1"/>
  <c r="CC157" i="3"/>
  <c r="CB157" i="3" s="1"/>
  <c r="CC153" i="3"/>
  <c r="CB153" i="3" s="1"/>
  <c r="CC149" i="3"/>
  <c r="CB149" i="3" s="1"/>
  <c r="CE141" i="3"/>
  <c r="CD141" i="3" s="1"/>
  <c r="CC129" i="3"/>
  <c r="CB129" i="3" s="1"/>
  <c r="BY172" i="3"/>
  <c r="BX172" i="3" s="1"/>
  <c r="BY164" i="3"/>
  <c r="BX164" i="3" s="1"/>
  <c r="BY156" i="3"/>
  <c r="BX156" i="3" s="1"/>
  <c r="BY137" i="3"/>
  <c r="BX137" i="3" s="1"/>
  <c r="BY135" i="3"/>
  <c r="BX135" i="3" s="1"/>
  <c r="BY131" i="3"/>
  <c r="BX131" i="3" s="1"/>
  <c r="BY127" i="3"/>
  <c r="BX127" i="3" s="1"/>
  <c r="BY123" i="3"/>
  <c r="BX123" i="3" s="1"/>
  <c r="BY119" i="3"/>
  <c r="BX119" i="3" s="1"/>
  <c r="BY115" i="3"/>
  <c r="BX115" i="3" s="1"/>
  <c r="BY111" i="3"/>
  <c r="BX111" i="3" s="1"/>
  <c r="CE102" i="3"/>
  <c r="CD102" i="3" s="1"/>
  <c r="CA95" i="3"/>
  <c r="BZ95" i="3" s="1"/>
  <c r="CE79" i="3"/>
  <c r="CD79" i="3" s="1"/>
  <c r="CE144" i="3"/>
  <c r="CD144" i="3" s="1"/>
  <c r="CE140" i="3"/>
  <c r="CD140" i="3" s="1"/>
  <c r="CE136" i="3"/>
  <c r="CD136" i="3" s="1"/>
  <c r="CE132" i="3"/>
  <c r="CD132" i="3" s="1"/>
  <c r="CE128" i="3"/>
  <c r="CD128" i="3" s="1"/>
  <c r="CE124" i="3"/>
  <c r="CD124" i="3" s="1"/>
  <c r="CE120" i="3"/>
  <c r="CD120" i="3" s="1"/>
  <c r="CE116" i="3"/>
  <c r="CD116" i="3" s="1"/>
  <c r="CE112" i="3"/>
  <c r="CD112" i="3" s="1"/>
  <c r="BY108" i="3"/>
  <c r="BX108" i="3" s="1"/>
  <c r="CC125" i="3"/>
  <c r="CB125" i="3" s="1"/>
  <c r="CC121" i="3"/>
  <c r="CB121" i="3" s="1"/>
  <c r="CC117" i="3"/>
  <c r="CB117" i="3" s="1"/>
  <c r="CC113" i="3"/>
  <c r="CB113" i="3" s="1"/>
  <c r="CA109" i="3"/>
  <c r="BZ109" i="3" s="1"/>
  <c r="CA102" i="3"/>
  <c r="BZ102" i="3" s="1"/>
  <c r="CE94" i="3"/>
  <c r="CD94" i="3" s="1"/>
  <c r="CE86" i="3"/>
  <c r="CD86" i="3" s="1"/>
  <c r="CE78" i="3"/>
  <c r="CD78" i="3" s="1"/>
  <c r="CA81" i="3"/>
  <c r="BZ81" i="3" s="1"/>
  <c r="CA77" i="3"/>
  <c r="BZ77" i="3" s="1"/>
  <c r="CC144" i="3"/>
  <c r="CB144" i="3" s="1"/>
  <c r="CC136" i="3"/>
  <c r="CB136" i="3" s="1"/>
  <c r="BY124" i="3"/>
  <c r="BX124" i="3" s="1"/>
  <c r="BY120" i="3"/>
  <c r="BX120" i="3" s="1"/>
  <c r="BY116" i="3"/>
  <c r="BX116" i="3" s="1"/>
  <c r="BY112" i="3"/>
  <c r="BX112" i="3" s="1"/>
  <c r="CC108" i="3"/>
  <c r="CB108" i="3" s="1"/>
  <c r="BY100" i="3"/>
  <c r="BX100" i="3" s="1"/>
  <c r="CA94" i="3"/>
  <c r="BZ94" i="3" s="1"/>
  <c r="CC88" i="3"/>
  <c r="CB88" i="3" s="1"/>
  <c r="BY84" i="3"/>
  <c r="BX84" i="3" s="1"/>
  <c r="CA78" i="3"/>
  <c r="BZ78" i="3" s="1"/>
  <c r="CC72" i="3"/>
  <c r="CB72" i="3" s="1"/>
  <c r="BY67" i="3"/>
  <c r="BX67" i="3" s="1"/>
  <c r="CE59" i="3"/>
  <c r="CD59" i="3" s="1"/>
  <c r="CC148" i="3"/>
  <c r="CB148" i="3" s="1"/>
  <c r="BY143" i="3"/>
  <c r="BX143" i="3" s="1"/>
  <c r="BY152" i="3"/>
  <c r="BX152" i="3" s="1"/>
  <c r="CC160" i="3"/>
  <c r="CB160" i="3" s="1"/>
  <c r="CA172" i="3"/>
  <c r="BZ172" i="3" s="1"/>
  <c r="CA169" i="3"/>
  <c r="BZ169" i="3" s="1"/>
  <c r="CA165" i="3"/>
  <c r="BZ165" i="3" s="1"/>
  <c r="CA161" i="3"/>
  <c r="BZ161" i="3" s="1"/>
  <c r="CA157" i="3"/>
  <c r="BZ157" i="3" s="1"/>
  <c r="CA153" i="3"/>
  <c r="BZ153" i="3" s="1"/>
  <c r="CA149" i="3"/>
  <c r="BZ149" i="3" s="1"/>
  <c r="CA141" i="3"/>
  <c r="BZ141" i="3" s="1"/>
  <c r="CA146" i="3"/>
  <c r="BZ146" i="3" s="1"/>
  <c r="CA137" i="3"/>
  <c r="BZ137" i="3" s="1"/>
  <c r="CE126" i="3"/>
  <c r="CD126" i="3" s="1"/>
  <c r="CA168" i="3"/>
  <c r="BZ168" i="3" s="1"/>
  <c r="CA164" i="3"/>
  <c r="BZ164" i="3" s="1"/>
  <c r="CA160" i="3"/>
  <c r="BZ160" i="3" s="1"/>
  <c r="CA156" i="3"/>
  <c r="BZ156" i="3" s="1"/>
  <c r="CA152" i="3"/>
  <c r="BZ152" i="3" s="1"/>
  <c r="CA148" i="3"/>
  <c r="BZ148" i="3" s="1"/>
  <c r="BY141" i="3"/>
  <c r="BX141" i="3" s="1"/>
  <c r="BY144" i="3"/>
  <c r="BX144" i="3" s="1"/>
  <c r="BY136" i="3"/>
  <c r="BX136" i="3" s="1"/>
  <c r="BY170" i="3"/>
  <c r="BX170" i="3" s="1"/>
  <c r="BY169" i="3"/>
  <c r="BX169" i="3" s="1"/>
  <c r="BY165" i="3"/>
  <c r="BX165" i="3" s="1"/>
  <c r="BY161" i="3"/>
  <c r="BX161" i="3" s="1"/>
  <c r="BY157" i="3"/>
  <c r="BX157" i="3" s="1"/>
  <c r="BY153" i="3"/>
  <c r="BX153" i="3" s="1"/>
  <c r="BY149" i="3"/>
  <c r="BX149" i="3" s="1"/>
  <c r="CA139" i="3"/>
  <c r="BZ139" i="3" s="1"/>
  <c r="CC128" i="3"/>
  <c r="CB128" i="3" s="1"/>
  <c r="CA170" i="3"/>
  <c r="BZ170" i="3" s="1"/>
  <c r="CA162" i="3"/>
  <c r="BZ162" i="3" s="1"/>
  <c r="CE154" i="3"/>
  <c r="CD154" i="3" s="1"/>
  <c r="BY133" i="3"/>
  <c r="BX133" i="3" s="1"/>
  <c r="CE133" i="3"/>
  <c r="CD133" i="3" s="1"/>
  <c r="CE129" i="3"/>
  <c r="CD129" i="3" s="1"/>
  <c r="CE125" i="3"/>
  <c r="CD125" i="3" s="1"/>
  <c r="CE121" i="3"/>
  <c r="CD121" i="3" s="1"/>
  <c r="CE117" i="3"/>
  <c r="CD117" i="3" s="1"/>
  <c r="CE113" i="3"/>
  <c r="CD113" i="3" s="1"/>
  <c r="CA108" i="3"/>
  <c r="BZ108" i="3" s="1"/>
  <c r="CA107" i="3"/>
  <c r="BZ107" i="3" s="1"/>
  <c r="CA91" i="3"/>
  <c r="BZ91" i="3" s="1"/>
  <c r="CC75" i="3"/>
  <c r="CB75" i="3" s="1"/>
  <c r="CA144" i="3"/>
  <c r="BZ144" i="3" s="1"/>
  <c r="CA140" i="3"/>
  <c r="BZ140" i="3" s="1"/>
  <c r="CA136" i="3"/>
  <c r="BZ136" i="3" s="1"/>
  <c r="CA132" i="3"/>
  <c r="BZ132" i="3" s="1"/>
  <c r="CA128" i="3"/>
  <c r="BZ128" i="3" s="1"/>
  <c r="CA124" i="3"/>
  <c r="BZ124" i="3" s="1"/>
  <c r="CA120" i="3"/>
  <c r="BZ120" i="3" s="1"/>
  <c r="CA116" i="3"/>
  <c r="BZ116" i="3" s="1"/>
  <c r="CA112" i="3"/>
  <c r="BZ112" i="3" s="1"/>
  <c r="CC106" i="3"/>
  <c r="CB106" i="3" s="1"/>
  <c r="BY125" i="3"/>
  <c r="BX125" i="3" s="1"/>
  <c r="BY121" i="3"/>
  <c r="BX121" i="3" s="1"/>
  <c r="BY117" i="3"/>
  <c r="BX117" i="3" s="1"/>
  <c r="BY113" i="3"/>
  <c r="BX113" i="3" s="1"/>
  <c r="CE108" i="3"/>
  <c r="CD108" i="3" s="1"/>
  <c r="BY109" i="3"/>
  <c r="BX109" i="3" s="1"/>
  <c r="BY101" i="3"/>
  <c r="BX101" i="3" s="1"/>
  <c r="BY93" i="3"/>
  <c r="BX93" i="3" s="1"/>
  <c r="BY85" i="3"/>
  <c r="BX85" i="3" s="1"/>
  <c r="CC81" i="3"/>
  <c r="CB81" i="3" s="1"/>
  <c r="CA79" i="3"/>
  <c r="BZ79" i="3" s="1"/>
  <c r="CE142" i="3"/>
  <c r="CD142" i="3" s="1"/>
  <c r="CE134" i="3"/>
  <c r="CD134" i="3" s="1"/>
  <c r="CE122" i="3"/>
  <c r="CD122" i="3" s="1"/>
  <c r="CE118" i="3"/>
  <c r="CD118" i="3" s="1"/>
  <c r="CE114" i="3"/>
  <c r="CD114" i="3" s="1"/>
  <c r="CE110" i="3"/>
  <c r="CD110" i="3" s="1"/>
  <c r="BY106" i="3"/>
  <c r="BX106" i="3" s="1"/>
  <c r="CA98" i="3"/>
  <c r="BZ98" i="3" s="1"/>
  <c r="CC92" i="3"/>
  <c r="CB92" i="3" s="1"/>
  <c r="BY88" i="3"/>
  <c r="BX88" i="3" s="1"/>
  <c r="CA82" i="3"/>
  <c r="BZ82" i="3" s="1"/>
  <c r="CC76" i="3"/>
  <c r="CB76" i="3" s="1"/>
  <c r="BY72" i="3"/>
  <c r="BX72" i="3" s="1"/>
  <c r="CE63" i="3"/>
  <c r="CD63" i="3" s="1"/>
  <c r="BY59" i="3"/>
  <c r="BX59" i="3" s="1"/>
  <c r="BY51" i="3"/>
  <c r="BX51" i="3" s="1"/>
  <c r="BY43" i="3"/>
  <c r="BX43" i="3" s="1"/>
  <c r="BY148" i="3"/>
  <c r="BX148" i="3" s="1"/>
  <c r="CE150" i="3"/>
  <c r="CD150" i="3" s="1"/>
  <c r="CC172" i="3"/>
  <c r="CB172" i="3" s="1"/>
  <c r="CE158" i="3"/>
  <c r="CD158" i="3" s="1"/>
  <c r="CE170" i="3"/>
  <c r="CD170" i="3" s="1"/>
  <c r="CC152" i="3"/>
  <c r="CB152" i="3" s="1"/>
  <c r="CC163" i="3"/>
  <c r="CB163" i="3" s="1"/>
  <c r="CC159" i="3"/>
  <c r="CB159" i="3" s="1"/>
  <c r="CC155" i="3"/>
  <c r="CB155" i="3" s="1"/>
  <c r="CC151" i="3"/>
  <c r="CB151" i="3" s="1"/>
  <c r="CC147" i="3"/>
  <c r="CB147" i="3" s="1"/>
  <c r="CE139" i="3"/>
  <c r="CD139" i="3" s="1"/>
  <c r="CE146" i="3"/>
  <c r="CD146" i="3" s="1"/>
  <c r="CE137" i="3"/>
  <c r="CD137" i="3" s="1"/>
  <c r="CA126" i="3"/>
  <c r="BZ126" i="3" s="1"/>
  <c r="CC166" i="3"/>
  <c r="CB166" i="3" s="1"/>
  <c r="CC162" i="3"/>
  <c r="CB162" i="3" s="1"/>
  <c r="CC158" i="3"/>
  <c r="CB158" i="3" s="1"/>
  <c r="CC154" i="3"/>
  <c r="CB154" i="3" s="1"/>
  <c r="CC150" i="3"/>
  <c r="CB150" i="3" s="1"/>
  <c r="CA147" i="3"/>
  <c r="BZ147" i="3" s="1"/>
  <c r="CC139" i="3"/>
  <c r="CB139" i="3" s="1"/>
  <c r="CA142" i="3"/>
  <c r="BZ142" i="3" s="1"/>
  <c r="CA134" i="3"/>
  <c r="BZ134" i="3" s="1"/>
  <c r="CE171" i="3"/>
  <c r="CD171" i="3" s="1"/>
  <c r="CE167" i="3"/>
  <c r="CD167" i="3" s="1"/>
  <c r="CE163" i="3"/>
  <c r="CD163" i="3" s="1"/>
  <c r="CE159" i="3"/>
  <c r="CD159" i="3" s="1"/>
  <c r="CE155" i="3"/>
  <c r="CD155" i="3" s="1"/>
  <c r="CE151" i="3"/>
  <c r="CD151" i="3" s="1"/>
  <c r="CE145" i="3"/>
  <c r="CD145" i="3" s="1"/>
  <c r="CC137" i="3"/>
  <c r="CB137" i="3" s="1"/>
  <c r="BY102" i="3"/>
  <c r="BX102" i="3" s="1"/>
  <c r="BY168" i="3"/>
  <c r="BX168" i="3" s="1"/>
  <c r="BY160" i="3"/>
  <c r="BX160" i="3" s="1"/>
  <c r="CC141" i="3"/>
  <c r="CB141" i="3" s="1"/>
  <c r="BY129" i="3"/>
  <c r="BX129" i="3" s="1"/>
  <c r="CA133" i="3"/>
  <c r="BZ133" i="3" s="1"/>
  <c r="CA129" i="3"/>
  <c r="BZ129" i="3" s="1"/>
  <c r="CA125" i="3"/>
  <c r="BZ125" i="3" s="1"/>
  <c r="CA121" i="3"/>
  <c r="BZ121" i="3" s="1"/>
  <c r="CA117" i="3"/>
  <c r="BZ117" i="3" s="1"/>
  <c r="CA113" i="3"/>
  <c r="BZ113" i="3" s="1"/>
  <c r="CE106" i="3"/>
  <c r="CD106" i="3" s="1"/>
  <c r="CA103" i="3"/>
  <c r="BZ103" i="3" s="1"/>
  <c r="CA87" i="3"/>
  <c r="BZ87" i="3" s="1"/>
  <c r="CC77" i="3"/>
  <c r="CB77" i="3" s="1"/>
  <c r="CC142" i="3"/>
  <c r="CB142" i="3" s="1"/>
  <c r="CC138" i="3"/>
  <c r="CB138" i="3" s="1"/>
  <c r="CC134" i="3"/>
  <c r="CB134" i="3" s="1"/>
  <c r="CC130" i="3"/>
  <c r="CB130" i="3" s="1"/>
  <c r="CC126" i="3"/>
  <c r="CB126" i="3" s="1"/>
  <c r="CC122" i="3"/>
  <c r="CB122" i="3" s="1"/>
  <c r="CC118" i="3"/>
  <c r="CB118" i="3" s="1"/>
  <c r="CC114" i="3"/>
  <c r="CB114" i="3" s="1"/>
  <c r="CC110" i="3"/>
  <c r="CB110" i="3" s="1"/>
  <c r="BY104" i="3"/>
  <c r="BX104" i="3" s="1"/>
  <c r="CE123" i="3"/>
  <c r="CD123" i="3" s="1"/>
  <c r="CE119" i="3"/>
  <c r="CD119" i="3" s="1"/>
  <c r="CE115" i="3"/>
  <c r="CD115" i="3" s="1"/>
  <c r="CE111" i="3"/>
  <c r="CD111" i="3" s="1"/>
  <c r="CA106" i="3"/>
  <c r="BZ106" i="3" s="1"/>
  <c r="CE98" i="3"/>
  <c r="CD98" i="3" s="1"/>
  <c r="CE90" i="3"/>
  <c r="CD90" i="3" s="1"/>
  <c r="CE82" i="3"/>
  <c r="CD82" i="3" s="1"/>
  <c r="CE74" i="3"/>
  <c r="CD74" i="3" s="1"/>
  <c r="BY81" i="3"/>
  <c r="BX81" i="3" s="1"/>
  <c r="CE68" i="3"/>
  <c r="CD68" i="3" s="1"/>
  <c r="CC140" i="3"/>
  <c r="CB140" i="3" s="1"/>
  <c r="CC132" i="3"/>
  <c r="CB132" i="3" s="1"/>
  <c r="CA122" i="3"/>
  <c r="BZ122" i="3" s="1"/>
  <c r="CA118" i="3"/>
  <c r="BZ118" i="3" s="1"/>
  <c r="CA114" i="3"/>
  <c r="BZ114" i="3" s="1"/>
  <c r="CA110" i="3"/>
  <c r="BZ110" i="3" s="1"/>
  <c r="CC104" i="3"/>
  <c r="CB104" i="3" s="1"/>
  <c r="CC96" i="3"/>
  <c r="CB96" i="3" s="1"/>
  <c r="BY92" i="3"/>
  <c r="BX92" i="3" s="1"/>
  <c r="CA86" i="3"/>
  <c r="BZ86" i="3" s="1"/>
  <c r="CC80" i="3"/>
  <c r="CB80" i="3" s="1"/>
  <c r="BY76" i="3"/>
  <c r="BX76" i="3" s="1"/>
  <c r="CE45" i="3"/>
  <c r="CD45" i="3" s="1"/>
  <c r="CE53" i="3"/>
  <c r="CD53" i="3" s="1"/>
  <c r="CE61" i="3"/>
  <c r="CD61" i="3" s="1"/>
  <c r="BE40" i="3"/>
  <c r="BD40" i="3" s="1"/>
  <c r="CA42" i="3"/>
  <c r="BZ42" i="3" s="1"/>
  <c r="CC44" i="3"/>
  <c r="CB44" i="3" s="1"/>
  <c r="BE48" i="3"/>
  <c r="BD48" i="3" s="1"/>
  <c r="CA50" i="3"/>
  <c r="BZ50" i="3" s="1"/>
  <c r="CC52" i="3"/>
  <c r="CB52" i="3" s="1"/>
  <c r="BE56" i="3"/>
  <c r="BD56" i="3" s="1"/>
  <c r="CA58" i="3"/>
  <c r="BZ58" i="3" s="1"/>
  <c r="CC60" i="3"/>
  <c r="CB60" i="3" s="1"/>
  <c r="BE64" i="3"/>
  <c r="BD64" i="3" s="1"/>
  <c r="CE66" i="3"/>
  <c r="CD66" i="3" s="1"/>
  <c r="BC43" i="3"/>
  <c r="BB43" i="3" s="1"/>
  <c r="BY45" i="3"/>
  <c r="BX45" i="3" s="1"/>
  <c r="CE47" i="3"/>
  <c r="CD47" i="3" s="1"/>
  <c r="BC51" i="3"/>
  <c r="BB51" i="3" s="1"/>
  <c r="BY53" i="3"/>
  <c r="BX53" i="3" s="1"/>
  <c r="CE55" i="3"/>
  <c r="CD55" i="3" s="1"/>
  <c r="BC59" i="3"/>
  <c r="BB59" i="3" s="1"/>
  <c r="BC63" i="3"/>
  <c r="BB63" i="3" s="1"/>
  <c r="CA67" i="3"/>
  <c r="BZ67" i="3" s="1"/>
  <c r="BE42" i="3"/>
  <c r="BD42" i="3" s="1"/>
  <c r="CA44" i="3"/>
  <c r="BZ44" i="3" s="1"/>
  <c r="CC46" i="3"/>
  <c r="CB46" i="3" s="1"/>
  <c r="BE50" i="3"/>
  <c r="BD50" i="3" s="1"/>
  <c r="CA52" i="3"/>
  <c r="BZ52" i="3" s="1"/>
  <c r="CC54" i="3"/>
  <c r="CB54" i="3" s="1"/>
  <c r="BE58" i="3"/>
  <c r="BD58" i="3" s="1"/>
  <c r="CA60" i="3"/>
  <c r="BZ60" i="3" s="1"/>
  <c r="CC62" i="3"/>
  <c r="CB62" i="3" s="1"/>
  <c r="BE66" i="3"/>
  <c r="BD66" i="3" s="1"/>
  <c r="CC69" i="3"/>
  <c r="CB69" i="3" s="1"/>
  <c r="CC73" i="3"/>
  <c r="CB73" i="3" s="1"/>
  <c r="CC85" i="3"/>
  <c r="CB85" i="3" s="1"/>
  <c r="CC93" i="3"/>
  <c r="CB93" i="3" s="1"/>
  <c r="CC101" i="3"/>
  <c r="CB101" i="3" s="1"/>
  <c r="CC109" i="3"/>
  <c r="CB109" i="3" s="1"/>
  <c r="CA45" i="3"/>
  <c r="BZ45" i="3" s="1"/>
  <c r="CA53" i="3"/>
  <c r="BZ53" i="3" s="1"/>
  <c r="CA61" i="3"/>
  <c r="BZ61" i="3" s="1"/>
  <c r="CC65" i="3"/>
  <c r="CB65" i="3" s="1"/>
  <c r="CE72" i="3"/>
  <c r="CD72" i="3" s="1"/>
  <c r="CE76" i="3"/>
  <c r="CD76" i="3" s="1"/>
  <c r="CE80" i="3"/>
  <c r="CD80" i="3" s="1"/>
  <c r="CE84" i="3"/>
  <c r="CD84" i="3" s="1"/>
  <c r="CE88" i="3"/>
  <c r="CD88" i="3" s="1"/>
  <c r="CE92" i="3"/>
  <c r="CD92" i="3" s="1"/>
  <c r="CE96" i="3"/>
  <c r="CD96" i="3" s="1"/>
  <c r="CE100" i="3"/>
  <c r="CD100" i="3" s="1"/>
  <c r="CE69" i="3"/>
  <c r="CD69" i="3" s="1"/>
  <c r="CE73" i="3"/>
  <c r="CD73" i="3" s="1"/>
  <c r="CC79" i="3"/>
  <c r="CB79" i="3" s="1"/>
  <c r="CA85" i="3"/>
  <c r="BZ85" i="3" s="1"/>
  <c r="CA89" i="3"/>
  <c r="BZ89" i="3" s="1"/>
  <c r="CA93" i="3"/>
  <c r="BZ93" i="3" s="1"/>
  <c r="CA97" i="3"/>
  <c r="BZ97" i="3" s="1"/>
  <c r="CA101" i="3"/>
  <c r="BZ101" i="3" s="1"/>
  <c r="CA105" i="3"/>
  <c r="BZ105" i="3" s="1"/>
  <c r="BC41" i="3"/>
  <c r="BB41" i="3" s="1"/>
  <c r="BY63" i="3"/>
  <c r="BX63" i="3" s="1"/>
  <c r="CC47" i="3"/>
  <c r="CB47" i="3" s="1"/>
  <c r="CC55" i="3"/>
  <c r="CB55" i="3" s="1"/>
  <c r="CC63" i="3"/>
  <c r="CB63" i="3" s="1"/>
  <c r="BY40" i="3"/>
  <c r="BX40" i="3" s="1"/>
  <c r="CE42" i="3"/>
  <c r="CD42" i="3" s="1"/>
  <c r="BC46" i="3"/>
  <c r="BB46" i="3" s="1"/>
  <c r="BY48" i="3"/>
  <c r="BX48" i="3" s="1"/>
  <c r="CE50" i="3"/>
  <c r="CD50" i="3" s="1"/>
  <c r="BC54" i="3"/>
  <c r="BB54" i="3" s="1"/>
  <c r="BY56" i="3"/>
  <c r="BX56" i="3" s="1"/>
  <c r="CE58" i="3"/>
  <c r="CD58" i="3" s="1"/>
  <c r="BC62" i="3"/>
  <c r="BB62" i="3" s="1"/>
  <c r="BY64" i="3"/>
  <c r="BX64" i="3" s="1"/>
  <c r="BE41" i="3"/>
  <c r="BD41" i="3" s="1"/>
  <c r="CA43" i="3"/>
  <c r="BZ43" i="3" s="1"/>
  <c r="CC45" i="3"/>
  <c r="CB45" i="3" s="1"/>
  <c r="BE49" i="3"/>
  <c r="BD49" i="3" s="1"/>
  <c r="CA51" i="3"/>
  <c r="BZ51" i="3" s="1"/>
  <c r="CC53" i="3"/>
  <c r="CB53" i="3" s="1"/>
  <c r="BE57" i="3"/>
  <c r="BD57" i="3" s="1"/>
  <c r="CA59" i="3"/>
  <c r="BZ59" i="3" s="1"/>
  <c r="CA63" i="3"/>
  <c r="BZ63" i="3" s="1"/>
  <c r="CE67" i="3"/>
  <c r="CD67" i="3" s="1"/>
  <c r="BY42" i="3"/>
  <c r="BX42" i="3" s="1"/>
  <c r="CE44" i="3"/>
  <c r="CD44" i="3" s="1"/>
  <c r="BC48" i="3"/>
  <c r="BB48" i="3" s="1"/>
  <c r="BY50" i="3"/>
  <c r="BX50" i="3" s="1"/>
  <c r="CE52" i="3"/>
  <c r="CD52" i="3" s="1"/>
  <c r="BC56" i="3"/>
  <c r="BB56" i="3" s="1"/>
  <c r="BY58" i="3"/>
  <c r="BX58" i="3" s="1"/>
  <c r="CE60" i="3"/>
  <c r="CD60" i="3" s="1"/>
  <c r="BC64" i="3"/>
  <c r="BB64" i="3" s="1"/>
  <c r="BY66" i="3"/>
  <c r="BX66" i="3" s="1"/>
  <c r="CA71" i="3"/>
  <c r="BZ71" i="3" s="1"/>
  <c r="CA75" i="3"/>
  <c r="BZ75" i="3" s="1"/>
  <c r="CE87" i="3"/>
  <c r="CD87" i="3" s="1"/>
  <c r="CE95" i="3"/>
  <c r="CD95" i="3" s="1"/>
  <c r="CE103" i="3"/>
  <c r="CD103" i="3" s="1"/>
  <c r="BC40" i="3"/>
  <c r="BB40" i="3" s="1"/>
  <c r="BC49" i="3"/>
  <c r="BB49" i="3" s="1"/>
  <c r="BC57" i="3"/>
  <c r="BB57" i="3" s="1"/>
  <c r="CC61" i="3"/>
  <c r="CB61" i="3" s="1"/>
  <c r="BY70" i="3"/>
  <c r="BX70" i="3" s="1"/>
  <c r="BY74" i="3"/>
  <c r="BX74" i="3" s="1"/>
  <c r="BY78" i="3"/>
  <c r="BX78" i="3" s="1"/>
  <c r="BY82" i="3"/>
  <c r="BX82" i="3" s="1"/>
  <c r="BY86" i="3"/>
  <c r="BX86" i="3" s="1"/>
  <c r="BY90" i="3"/>
  <c r="BX90" i="3" s="1"/>
  <c r="BY94" i="3"/>
  <c r="BX94" i="3" s="1"/>
  <c r="BY98" i="3"/>
  <c r="BX98" i="3" s="1"/>
  <c r="BC66" i="3"/>
  <c r="BB66" i="3" s="1"/>
  <c r="BY71" i="3"/>
  <c r="BX71" i="3" s="1"/>
  <c r="BY75" i="3"/>
  <c r="BX75" i="3" s="1"/>
  <c r="CE81" i="3"/>
  <c r="CD81" i="3" s="1"/>
  <c r="CE85" i="3"/>
  <c r="CD85" i="3" s="1"/>
  <c r="CE89" i="3"/>
  <c r="CD89" i="3" s="1"/>
  <c r="CE93" i="3"/>
  <c r="CD93" i="3" s="1"/>
  <c r="CE97" i="3"/>
  <c r="CD97" i="3" s="1"/>
  <c r="CE101" i="3"/>
  <c r="CD101" i="3" s="1"/>
  <c r="CE105" i="3"/>
  <c r="CD105" i="3" s="1"/>
  <c r="BE43" i="3"/>
  <c r="BD43" i="3" s="1"/>
  <c r="CA70" i="3"/>
  <c r="BZ70" i="3" s="1"/>
  <c r="CE408" i="3"/>
  <c r="CD408" i="3" s="1"/>
  <c r="CE404" i="3"/>
  <c r="CD404" i="3" s="1"/>
  <c r="CE400" i="3"/>
  <c r="CD400" i="3" s="1"/>
  <c r="CE396" i="3"/>
  <c r="CD396" i="3" s="1"/>
  <c r="CE392" i="3"/>
  <c r="CD392" i="3" s="1"/>
  <c r="CE388" i="3"/>
  <c r="CD388" i="3" s="1"/>
  <c r="CE384" i="3"/>
  <c r="CD384" i="3" s="1"/>
  <c r="CE380" i="3"/>
  <c r="CD380" i="3" s="1"/>
  <c r="CE376" i="3"/>
  <c r="CD376" i="3" s="1"/>
  <c r="CE372" i="3"/>
  <c r="CD372" i="3" s="1"/>
  <c r="CE368" i="3"/>
  <c r="CD368" i="3" s="1"/>
  <c r="CE364" i="3"/>
  <c r="CD364" i="3" s="1"/>
  <c r="CE360" i="3"/>
  <c r="CD360" i="3" s="1"/>
  <c r="CE356" i="3"/>
  <c r="CD356" i="3" s="1"/>
  <c r="CE352" i="3"/>
  <c r="CD352" i="3" s="1"/>
  <c r="CE348" i="3"/>
  <c r="CD348" i="3" s="1"/>
  <c r="CE344" i="3"/>
  <c r="CD344" i="3" s="1"/>
  <c r="CE340" i="3"/>
  <c r="CD340" i="3" s="1"/>
  <c r="CE336" i="3"/>
  <c r="CD336" i="3" s="1"/>
  <c r="CE332" i="3"/>
  <c r="CD332" i="3" s="1"/>
  <c r="CE328" i="3"/>
  <c r="CD328" i="3" s="1"/>
  <c r="CE324" i="3"/>
  <c r="CD324" i="3" s="1"/>
  <c r="CE320" i="3"/>
  <c r="CD320" i="3" s="1"/>
  <c r="CE316" i="3"/>
  <c r="CD316" i="3" s="1"/>
  <c r="CE312" i="3"/>
  <c r="CD312" i="3" s="1"/>
  <c r="CE308" i="3"/>
  <c r="CD308" i="3" s="1"/>
  <c r="CE304" i="3"/>
  <c r="CD304" i="3" s="1"/>
  <c r="CE300" i="3"/>
  <c r="CD300" i="3" s="1"/>
  <c r="CE296" i="3"/>
  <c r="CD296" i="3" s="1"/>
  <c r="CE292" i="3"/>
  <c r="CD292" i="3" s="1"/>
  <c r="CE288" i="3"/>
  <c r="CD288" i="3" s="1"/>
  <c r="CE284" i="3"/>
  <c r="CD284" i="3" s="1"/>
  <c r="CE280" i="3"/>
  <c r="CD280" i="3" s="1"/>
  <c r="CE276" i="3"/>
  <c r="CD276" i="3" s="1"/>
  <c r="CE272" i="3"/>
  <c r="CD272" i="3" s="1"/>
  <c r="CE268" i="3"/>
  <c r="CD268" i="3" s="1"/>
  <c r="CE264" i="3"/>
  <c r="CD264" i="3" s="1"/>
  <c r="CE260" i="3"/>
  <c r="CD260" i="3" s="1"/>
  <c r="CE256" i="3"/>
  <c r="CD256" i="3" s="1"/>
  <c r="CE252" i="3"/>
  <c r="CD252" i="3" s="1"/>
  <c r="CE248" i="3"/>
  <c r="CD248" i="3" s="1"/>
  <c r="CE244" i="3"/>
  <c r="CD244" i="3" s="1"/>
  <c r="CE240" i="3"/>
  <c r="CD240" i="3" s="1"/>
  <c r="CE236" i="3"/>
  <c r="CD236" i="3" s="1"/>
  <c r="CE232" i="3"/>
  <c r="CD232" i="3" s="1"/>
  <c r="CE228" i="3"/>
  <c r="CD228" i="3" s="1"/>
  <c r="CE224" i="3"/>
  <c r="CD224" i="3" s="1"/>
  <c r="CE220" i="3"/>
  <c r="CD220" i="3" s="1"/>
  <c r="CE216" i="3"/>
  <c r="CD216" i="3" s="1"/>
  <c r="CE212" i="3"/>
  <c r="CD212" i="3" s="1"/>
  <c r="CE208" i="3"/>
  <c r="CD208" i="3" s="1"/>
  <c r="CE204" i="3"/>
  <c r="CD204" i="3" s="1"/>
  <c r="CE200" i="3"/>
  <c r="CD200" i="3" s="1"/>
  <c r="CE196" i="3"/>
  <c r="CD196" i="3" s="1"/>
  <c r="CE192" i="3"/>
  <c r="CD192" i="3" s="1"/>
  <c r="CE188" i="3"/>
  <c r="CD188" i="3" s="1"/>
  <c r="CE184" i="3"/>
  <c r="CD184" i="3" s="1"/>
  <c r="CE180" i="3"/>
  <c r="CD180" i="3" s="1"/>
  <c r="CE176" i="3"/>
  <c r="CD176" i="3" s="1"/>
  <c r="CE407" i="3"/>
  <c r="CD407" i="3" s="1"/>
  <c r="CE403" i="3"/>
  <c r="CD403" i="3" s="1"/>
  <c r="CE399" i="3"/>
  <c r="CD399" i="3" s="1"/>
  <c r="CE395" i="3"/>
  <c r="CD395" i="3" s="1"/>
  <c r="CE391" i="3"/>
  <c r="CD391" i="3" s="1"/>
  <c r="CE387" i="3"/>
  <c r="CD387" i="3" s="1"/>
  <c r="CE383" i="3"/>
  <c r="CD383" i="3" s="1"/>
  <c r="CE379" i="3"/>
  <c r="CD379" i="3" s="1"/>
  <c r="CE375" i="3"/>
  <c r="CD375" i="3" s="1"/>
  <c r="CE371" i="3"/>
  <c r="CD371" i="3" s="1"/>
  <c r="CE367" i="3"/>
  <c r="CD367" i="3" s="1"/>
  <c r="CE363" i="3"/>
  <c r="CD363" i="3" s="1"/>
  <c r="CE359" i="3"/>
  <c r="CD359" i="3" s="1"/>
  <c r="CE355" i="3"/>
  <c r="CD355" i="3" s="1"/>
  <c r="CE351" i="3"/>
  <c r="CD351" i="3" s="1"/>
  <c r="CE347" i="3"/>
  <c r="CD347" i="3" s="1"/>
  <c r="CE343" i="3"/>
  <c r="CD343" i="3" s="1"/>
  <c r="CE339" i="3"/>
  <c r="CD339" i="3" s="1"/>
  <c r="CE335" i="3"/>
  <c r="CD335" i="3" s="1"/>
  <c r="CE331" i="3"/>
  <c r="CD331" i="3" s="1"/>
  <c r="CE327" i="3"/>
  <c r="CD327" i="3" s="1"/>
  <c r="CE323" i="3"/>
  <c r="CD323" i="3" s="1"/>
  <c r="CE319" i="3"/>
  <c r="CD319" i="3" s="1"/>
  <c r="CE315" i="3"/>
  <c r="CD315" i="3" s="1"/>
  <c r="CE311" i="3"/>
  <c r="CD311" i="3" s="1"/>
  <c r="CE307" i="3"/>
  <c r="CD307" i="3" s="1"/>
  <c r="CE303" i="3"/>
  <c r="CD303" i="3" s="1"/>
  <c r="CE299" i="3"/>
  <c r="CD299" i="3" s="1"/>
  <c r="CE295" i="3"/>
  <c r="CD295" i="3" s="1"/>
  <c r="CE291" i="3"/>
  <c r="CD291" i="3" s="1"/>
  <c r="CE287" i="3"/>
  <c r="CD287" i="3" s="1"/>
  <c r="CE283" i="3"/>
  <c r="CD283" i="3" s="1"/>
  <c r="CE279" i="3"/>
  <c r="CD279" i="3" s="1"/>
  <c r="CE275" i="3"/>
  <c r="CD275" i="3" s="1"/>
  <c r="CE271" i="3"/>
  <c r="CD271" i="3" s="1"/>
  <c r="CE267" i="3"/>
  <c r="CD267" i="3" s="1"/>
  <c r="CE263" i="3"/>
  <c r="CD263" i="3" s="1"/>
  <c r="CE259" i="3"/>
  <c r="CD259" i="3" s="1"/>
  <c r="CE255" i="3"/>
  <c r="CD255" i="3" s="1"/>
  <c r="CE251" i="3"/>
  <c r="CD251" i="3" s="1"/>
  <c r="CE247" i="3"/>
  <c r="CD247" i="3" s="1"/>
  <c r="CE243" i="3"/>
  <c r="CD243" i="3" s="1"/>
  <c r="CE239" i="3"/>
  <c r="CD239" i="3" s="1"/>
  <c r="CE235" i="3"/>
  <c r="CD235" i="3" s="1"/>
  <c r="CE231" i="3"/>
  <c r="CD231" i="3" s="1"/>
  <c r="CE227" i="3"/>
  <c r="CD227" i="3" s="1"/>
  <c r="CE223" i="3"/>
  <c r="CD223" i="3" s="1"/>
  <c r="CE219" i="3"/>
  <c r="CD219" i="3" s="1"/>
  <c r="CE215" i="3"/>
  <c r="CD215" i="3" s="1"/>
  <c r="CE211" i="3"/>
  <c r="CD211" i="3" s="1"/>
  <c r="CE207" i="3"/>
  <c r="CD207" i="3" s="1"/>
  <c r="CE203" i="3"/>
  <c r="CD203" i="3" s="1"/>
  <c r="CE199" i="3"/>
  <c r="CD199" i="3" s="1"/>
  <c r="CE195" i="3"/>
  <c r="CD195" i="3" s="1"/>
  <c r="CE191" i="3"/>
  <c r="CD191" i="3" s="1"/>
  <c r="CE187" i="3"/>
  <c r="CD187" i="3" s="1"/>
  <c r="CE183" i="3"/>
  <c r="CD183" i="3" s="1"/>
  <c r="CE179" i="3"/>
  <c r="CD179" i="3" s="1"/>
  <c r="CE175" i="3"/>
  <c r="CD175" i="3" s="1"/>
  <c r="CE406" i="3"/>
  <c r="CD406" i="3" s="1"/>
  <c r="CE402" i="3"/>
  <c r="CD402" i="3" s="1"/>
  <c r="CE398" i="3"/>
  <c r="CD398" i="3" s="1"/>
  <c r="CE394" i="3"/>
  <c r="CD394" i="3" s="1"/>
  <c r="CE390" i="3"/>
  <c r="CD390" i="3" s="1"/>
  <c r="CE386" i="3"/>
  <c r="CD386" i="3" s="1"/>
  <c r="CE382" i="3"/>
  <c r="CD382" i="3" s="1"/>
  <c r="CE378" i="3"/>
  <c r="CD378" i="3" s="1"/>
  <c r="CE374" i="3"/>
  <c r="CD374" i="3" s="1"/>
  <c r="CE370" i="3"/>
  <c r="CD370" i="3" s="1"/>
  <c r="CE366" i="3"/>
  <c r="CD366" i="3" s="1"/>
  <c r="CE362" i="3"/>
  <c r="CD362" i="3" s="1"/>
  <c r="CE358" i="3"/>
  <c r="CD358" i="3" s="1"/>
  <c r="CE354" i="3"/>
  <c r="CD354" i="3" s="1"/>
  <c r="CE350" i="3"/>
  <c r="CD350" i="3" s="1"/>
  <c r="CE346" i="3"/>
  <c r="CD346" i="3" s="1"/>
  <c r="CE342" i="3"/>
  <c r="CD342" i="3" s="1"/>
  <c r="CE338" i="3"/>
  <c r="CD338" i="3" s="1"/>
  <c r="CE334" i="3"/>
  <c r="CD334" i="3" s="1"/>
  <c r="CE330" i="3"/>
  <c r="CD330" i="3" s="1"/>
  <c r="CE326" i="3"/>
  <c r="CD326" i="3" s="1"/>
  <c r="CE322" i="3"/>
  <c r="CD322" i="3" s="1"/>
  <c r="CE318" i="3"/>
  <c r="CD318" i="3" s="1"/>
  <c r="CE314" i="3"/>
  <c r="CD314" i="3" s="1"/>
  <c r="CE310" i="3"/>
  <c r="CD310" i="3" s="1"/>
  <c r="CE306" i="3"/>
  <c r="CD306" i="3" s="1"/>
  <c r="CE302" i="3"/>
  <c r="CD302" i="3" s="1"/>
  <c r="CE298" i="3"/>
  <c r="CD298" i="3" s="1"/>
  <c r="CE294" i="3"/>
  <c r="CD294" i="3" s="1"/>
  <c r="CE290" i="3"/>
  <c r="CD290" i="3" s="1"/>
  <c r="CE286" i="3"/>
  <c r="CD286" i="3" s="1"/>
  <c r="CE282" i="3"/>
  <c r="CD282" i="3" s="1"/>
  <c r="CE278" i="3"/>
  <c r="CD278" i="3" s="1"/>
  <c r="CE274" i="3"/>
  <c r="CD274" i="3" s="1"/>
  <c r="CE270" i="3"/>
  <c r="CD270" i="3" s="1"/>
  <c r="CE266" i="3"/>
  <c r="CD266" i="3" s="1"/>
  <c r="CE262" i="3"/>
  <c r="CD262" i="3" s="1"/>
  <c r="CE258" i="3"/>
  <c r="CD258" i="3" s="1"/>
  <c r="CE254" i="3"/>
  <c r="CD254" i="3" s="1"/>
  <c r="CE250" i="3"/>
  <c r="CD250" i="3" s="1"/>
  <c r="CE246" i="3"/>
  <c r="CD246" i="3" s="1"/>
  <c r="CE242" i="3"/>
  <c r="CD242" i="3" s="1"/>
  <c r="CE238" i="3"/>
  <c r="CD238" i="3" s="1"/>
  <c r="CE234" i="3"/>
  <c r="CD234" i="3" s="1"/>
  <c r="CE230" i="3"/>
  <c r="CD230" i="3" s="1"/>
  <c r="CE226" i="3"/>
  <c r="CD226" i="3" s="1"/>
  <c r="CE222" i="3"/>
  <c r="CD222" i="3" s="1"/>
  <c r="CE218" i="3"/>
  <c r="CD218" i="3" s="1"/>
  <c r="CE214" i="3"/>
  <c r="CD214" i="3" s="1"/>
  <c r="CE210" i="3"/>
  <c r="CD210" i="3" s="1"/>
  <c r="CE206" i="3"/>
  <c r="CD206" i="3" s="1"/>
  <c r="CE202" i="3"/>
  <c r="CD202" i="3" s="1"/>
  <c r="CE198" i="3"/>
  <c r="CD198" i="3" s="1"/>
  <c r="CE194" i="3"/>
  <c r="CD194" i="3" s="1"/>
  <c r="CE190" i="3"/>
  <c r="CD190" i="3" s="1"/>
  <c r="CE186" i="3"/>
  <c r="CD186" i="3" s="1"/>
  <c r="CE182" i="3"/>
  <c r="CD182" i="3" s="1"/>
  <c r="CE178" i="3"/>
  <c r="CD178" i="3" s="1"/>
  <c r="CE174" i="3"/>
  <c r="CD174" i="3" s="1"/>
  <c r="CE405" i="3"/>
  <c r="CD405" i="3" s="1"/>
  <c r="CE401" i="3"/>
  <c r="CD401" i="3" s="1"/>
  <c r="CE397" i="3"/>
  <c r="CD397" i="3" s="1"/>
  <c r="CE393" i="3"/>
  <c r="CD393" i="3" s="1"/>
  <c r="CE389" i="3"/>
  <c r="CD389" i="3" s="1"/>
  <c r="CE385" i="3"/>
  <c r="CD385" i="3" s="1"/>
  <c r="CE381" i="3"/>
  <c r="CD381" i="3" s="1"/>
  <c r="CE377" i="3"/>
  <c r="CD377" i="3" s="1"/>
  <c r="CE373" i="3"/>
  <c r="CD373" i="3" s="1"/>
  <c r="CE369" i="3"/>
  <c r="CD369" i="3" s="1"/>
  <c r="CE365" i="3"/>
  <c r="CD365" i="3" s="1"/>
  <c r="CE361" i="3"/>
  <c r="CD361" i="3" s="1"/>
  <c r="CE357" i="3"/>
  <c r="CD357" i="3" s="1"/>
  <c r="CE353" i="3"/>
  <c r="CD353" i="3" s="1"/>
  <c r="CE349" i="3"/>
  <c r="CD349" i="3" s="1"/>
  <c r="CE345" i="3"/>
  <c r="CD345" i="3" s="1"/>
  <c r="CE341" i="3"/>
  <c r="CD341" i="3" s="1"/>
  <c r="CE337" i="3"/>
  <c r="CD337" i="3" s="1"/>
  <c r="CE333" i="3"/>
  <c r="CD333" i="3" s="1"/>
  <c r="CE329" i="3"/>
  <c r="CD329" i="3" s="1"/>
  <c r="CE325" i="3"/>
  <c r="CD325" i="3" s="1"/>
  <c r="CE321" i="3"/>
  <c r="CD321" i="3" s="1"/>
  <c r="CE317" i="3"/>
  <c r="CD317" i="3" s="1"/>
  <c r="CE313" i="3"/>
  <c r="CD313" i="3" s="1"/>
  <c r="CE309" i="3"/>
  <c r="CD309" i="3" s="1"/>
  <c r="CE305" i="3"/>
  <c r="CD305" i="3" s="1"/>
  <c r="CE301" i="3"/>
  <c r="CD301" i="3" s="1"/>
  <c r="CE297" i="3"/>
  <c r="CD297" i="3" s="1"/>
  <c r="CE293" i="3"/>
  <c r="CD293" i="3" s="1"/>
  <c r="CE289" i="3"/>
  <c r="CD289" i="3" s="1"/>
  <c r="CE285" i="3"/>
  <c r="CD285" i="3" s="1"/>
  <c r="CE281" i="3"/>
  <c r="CD281" i="3" s="1"/>
  <c r="CE277" i="3"/>
  <c r="CD277" i="3" s="1"/>
  <c r="CE273" i="3"/>
  <c r="CD273" i="3" s="1"/>
  <c r="CE269" i="3"/>
  <c r="CD269" i="3" s="1"/>
  <c r="CE265" i="3"/>
  <c r="CD265" i="3" s="1"/>
  <c r="CE261" i="3"/>
  <c r="CD261" i="3" s="1"/>
  <c r="CE257" i="3"/>
  <c r="CD257" i="3" s="1"/>
  <c r="CE253" i="3"/>
  <c r="CD253" i="3" s="1"/>
  <c r="CE249" i="3"/>
  <c r="CD249" i="3" s="1"/>
  <c r="CE245" i="3"/>
  <c r="CD245" i="3" s="1"/>
  <c r="CE241" i="3"/>
  <c r="CD241" i="3" s="1"/>
  <c r="CE237" i="3"/>
  <c r="CD237" i="3" s="1"/>
  <c r="CE233" i="3"/>
  <c r="CD233" i="3" s="1"/>
  <c r="CE229" i="3"/>
  <c r="CD229" i="3" s="1"/>
  <c r="CE225" i="3"/>
  <c r="CD225" i="3" s="1"/>
  <c r="CE221" i="3"/>
  <c r="CD221" i="3" s="1"/>
  <c r="CE217" i="3"/>
  <c r="CD217" i="3" s="1"/>
  <c r="CE213" i="3"/>
  <c r="CD213" i="3" s="1"/>
  <c r="CE209" i="3"/>
  <c r="CD209" i="3" s="1"/>
  <c r="CE205" i="3"/>
  <c r="CD205" i="3" s="1"/>
  <c r="CE201" i="3"/>
  <c r="CD201" i="3" s="1"/>
  <c r="CE197" i="3"/>
  <c r="CD197" i="3" s="1"/>
  <c r="CE193" i="3"/>
  <c r="CD193" i="3" s="1"/>
  <c r="CE189" i="3"/>
  <c r="CD189" i="3" s="1"/>
  <c r="CE185" i="3"/>
  <c r="CD185" i="3" s="1"/>
  <c r="CE181" i="3"/>
  <c r="CD181" i="3" s="1"/>
  <c r="CE177" i="3"/>
  <c r="CD177" i="3" s="1"/>
  <c r="CE173" i="3"/>
  <c r="CD173" i="3" s="1"/>
  <c r="CE38" i="3"/>
  <c r="CD38" i="3" s="1"/>
  <c r="CE34" i="3"/>
  <c r="CD34" i="3" s="1"/>
  <c r="CE30" i="3"/>
  <c r="CD30" i="3" s="1"/>
  <c r="CE26" i="3"/>
  <c r="CD26" i="3" s="1"/>
  <c r="CE22" i="3"/>
  <c r="CD22" i="3" s="1"/>
  <c r="CE18" i="3"/>
  <c r="CD18" i="3" s="1"/>
  <c r="CE14" i="3"/>
  <c r="CD14" i="3" s="1"/>
  <c r="CE10" i="3"/>
  <c r="CD10" i="3" s="1"/>
  <c r="CC407" i="3"/>
  <c r="CB407" i="3" s="1"/>
  <c r="CC403" i="3"/>
  <c r="CB403" i="3" s="1"/>
  <c r="CC399" i="3"/>
  <c r="CB399" i="3" s="1"/>
  <c r="CC395" i="3"/>
  <c r="CB395" i="3" s="1"/>
  <c r="CC391" i="3"/>
  <c r="CB391" i="3" s="1"/>
  <c r="CC387" i="3"/>
  <c r="CB387" i="3" s="1"/>
  <c r="CC383" i="3"/>
  <c r="CB383" i="3" s="1"/>
  <c r="CC379" i="3"/>
  <c r="CB379" i="3" s="1"/>
  <c r="CC375" i="3"/>
  <c r="CB375" i="3" s="1"/>
  <c r="CC371" i="3"/>
  <c r="CB371" i="3" s="1"/>
  <c r="CC367" i="3"/>
  <c r="CC363" i="3"/>
  <c r="CC359" i="3"/>
  <c r="CB359" i="3" s="1"/>
  <c r="CC355" i="3"/>
  <c r="CB355" i="3" s="1"/>
  <c r="CC351" i="3"/>
  <c r="CB351" i="3" s="1"/>
  <c r="CC347" i="3"/>
  <c r="CB347" i="3" s="1"/>
  <c r="CC343" i="3"/>
  <c r="CB343" i="3" s="1"/>
  <c r="CC339" i="3"/>
  <c r="CB339" i="3" s="1"/>
  <c r="CC335" i="3"/>
  <c r="CB335" i="3" s="1"/>
  <c r="CC331" i="3"/>
  <c r="CB331" i="3" s="1"/>
  <c r="CC327" i="3"/>
  <c r="CB327" i="3" s="1"/>
  <c r="CC323" i="3"/>
  <c r="CB323" i="3" s="1"/>
  <c r="CC319" i="3"/>
  <c r="CB319" i="3" s="1"/>
  <c r="CC315" i="3"/>
  <c r="CB315" i="3" s="1"/>
  <c r="CC311" i="3"/>
  <c r="CB311" i="3" s="1"/>
  <c r="CC307" i="3"/>
  <c r="CB307" i="3" s="1"/>
  <c r="CC303" i="3"/>
  <c r="CB303" i="3" s="1"/>
  <c r="CC299" i="3"/>
  <c r="CB299" i="3" s="1"/>
  <c r="CC295" i="3"/>
  <c r="CB295" i="3" s="1"/>
  <c r="CC291" i="3"/>
  <c r="CB291" i="3" s="1"/>
  <c r="CC287" i="3"/>
  <c r="CB287" i="3" s="1"/>
  <c r="CC283" i="3"/>
  <c r="CB283" i="3" s="1"/>
  <c r="CC279" i="3"/>
  <c r="CB279" i="3" s="1"/>
  <c r="CC275" i="3"/>
  <c r="CB275" i="3" s="1"/>
  <c r="CC271" i="3"/>
  <c r="CB271" i="3" s="1"/>
  <c r="CC267" i="3"/>
  <c r="CB267" i="3" s="1"/>
  <c r="CC263" i="3"/>
  <c r="CB263" i="3" s="1"/>
  <c r="CC259" i="3"/>
  <c r="CB259" i="3" s="1"/>
  <c r="CC255" i="3"/>
  <c r="CB255" i="3" s="1"/>
  <c r="CC251" i="3"/>
  <c r="CB251" i="3" s="1"/>
  <c r="CC247" i="3"/>
  <c r="CB247" i="3" s="1"/>
  <c r="CC243" i="3"/>
  <c r="CB243" i="3" s="1"/>
  <c r="CC239" i="3"/>
  <c r="CB239" i="3" s="1"/>
  <c r="CC235" i="3"/>
  <c r="CB235" i="3" s="1"/>
  <c r="CC231" i="3"/>
  <c r="CB231" i="3" s="1"/>
  <c r="CC227" i="3"/>
  <c r="CB227" i="3" s="1"/>
  <c r="CC223" i="3"/>
  <c r="CB223" i="3" s="1"/>
  <c r="CC219" i="3"/>
  <c r="CB219" i="3" s="1"/>
  <c r="CC215" i="3"/>
  <c r="CB215" i="3" s="1"/>
  <c r="CC211" i="3"/>
  <c r="CB211" i="3" s="1"/>
  <c r="CC207" i="3"/>
  <c r="CB207" i="3" s="1"/>
  <c r="CC203" i="3"/>
  <c r="CB203" i="3" s="1"/>
  <c r="CC199" i="3"/>
  <c r="CB199" i="3" s="1"/>
  <c r="CC195" i="3"/>
  <c r="CB195" i="3" s="1"/>
  <c r="CC191" i="3"/>
  <c r="CB191" i="3" s="1"/>
  <c r="CC187" i="3"/>
  <c r="CB187" i="3" s="1"/>
  <c r="CC183" i="3"/>
  <c r="CB183" i="3" s="1"/>
  <c r="CC179" i="3"/>
  <c r="CB179" i="3" s="1"/>
  <c r="CC175" i="3"/>
  <c r="CB175" i="3" s="1"/>
  <c r="CE37" i="3"/>
  <c r="CD37" i="3" s="1"/>
  <c r="CE33" i="3"/>
  <c r="CD33" i="3" s="1"/>
  <c r="CE29" i="3"/>
  <c r="CD29" i="3" s="1"/>
  <c r="CE25" i="3"/>
  <c r="CD25" i="3" s="1"/>
  <c r="CE21" i="3"/>
  <c r="CD21" i="3" s="1"/>
  <c r="CE17" i="3"/>
  <c r="CD17" i="3" s="1"/>
  <c r="CE13" i="3"/>
  <c r="CD13" i="3" s="1"/>
  <c r="CE9" i="3"/>
  <c r="CD9" i="3" s="1"/>
  <c r="CC406" i="3"/>
  <c r="CB406" i="3" s="1"/>
  <c r="CC402" i="3"/>
  <c r="CB402" i="3" s="1"/>
  <c r="CC398" i="3"/>
  <c r="CB398" i="3" s="1"/>
  <c r="CC394" i="3"/>
  <c r="CB394" i="3" s="1"/>
  <c r="CC390" i="3"/>
  <c r="CB390" i="3" s="1"/>
  <c r="CC386" i="3"/>
  <c r="CB386" i="3" s="1"/>
  <c r="CC382" i="3"/>
  <c r="CB382" i="3" s="1"/>
  <c r="CC378" i="3"/>
  <c r="CB378" i="3" s="1"/>
  <c r="CC374" i="3"/>
  <c r="CB374" i="3" s="1"/>
  <c r="CC370" i="3"/>
  <c r="CB370" i="3" s="1"/>
  <c r="CC366" i="3"/>
  <c r="CC362" i="3"/>
  <c r="CC358" i="3"/>
  <c r="CB358" i="3" s="1"/>
  <c r="CC354" i="3"/>
  <c r="CB354" i="3" s="1"/>
  <c r="CC350" i="3"/>
  <c r="CB350" i="3" s="1"/>
  <c r="CC346" i="3"/>
  <c r="CB346" i="3" s="1"/>
  <c r="CC342" i="3"/>
  <c r="CB342" i="3" s="1"/>
  <c r="CC338" i="3"/>
  <c r="CB338" i="3" s="1"/>
  <c r="CC334" i="3"/>
  <c r="CB334" i="3" s="1"/>
  <c r="CC330" i="3"/>
  <c r="CB330" i="3" s="1"/>
  <c r="CC326" i="3"/>
  <c r="CB326" i="3" s="1"/>
  <c r="CC322" i="3"/>
  <c r="CB322" i="3" s="1"/>
  <c r="CC318" i="3"/>
  <c r="CB318" i="3" s="1"/>
  <c r="CC314" i="3"/>
  <c r="CB314" i="3" s="1"/>
  <c r="CC310" i="3"/>
  <c r="CB310" i="3" s="1"/>
  <c r="CC306" i="3"/>
  <c r="CB306" i="3" s="1"/>
  <c r="CC302" i="3"/>
  <c r="CB302" i="3" s="1"/>
  <c r="CC298" i="3"/>
  <c r="CB298" i="3" s="1"/>
  <c r="CC294" i="3"/>
  <c r="CB294" i="3" s="1"/>
  <c r="CC290" i="3"/>
  <c r="CB290" i="3" s="1"/>
  <c r="CC286" i="3"/>
  <c r="CB286" i="3" s="1"/>
  <c r="CC282" i="3"/>
  <c r="CB282" i="3" s="1"/>
  <c r="CC278" i="3"/>
  <c r="CB278" i="3" s="1"/>
  <c r="CC274" i="3"/>
  <c r="CB274" i="3" s="1"/>
  <c r="CC270" i="3"/>
  <c r="CB270" i="3" s="1"/>
  <c r="CC266" i="3"/>
  <c r="CB266" i="3" s="1"/>
  <c r="CC262" i="3"/>
  <c r="CB262" i="3" s="1"/>
  <c r="CC258" i="3"/>
  <c r="CB258" i="3" s="1"/>
  <c r="CC254" i="3"/>
  <c r="CB254" i="3" s="1"/>
  <c r="CC250" i="3"/>
  <c r="CB250" i="3" s="1"/>
  <c r="CC246" i="3"/>
  <c r="CB246" i="3" s="1"/>
  <c r="CC242" i="3"/>
  <c r="CB242" i="3" s="1"/>
  <c r="CC238" i="3"/>
  <c r="CB238" i="3" s="1"/>
  <c r="CC234" i="3"/>
  <c r="CB234" i="3" s="1"/>
  <c r="CC230" i="3"/>
  <c r="CB230" i="3" s="1"/>
  <c r="CC226" i="3"/>
  <c r="CB226" i="3" s="1"/>
  <c r="CC222" i="3"/>
  <c r="CB222" i="3" s="1"/>
  <c r="CC218" i="3"/>
  <c r="CB218" i="3" s="1"/>
  <c r="CC214" i="3"/>
  <c r="CB214" i="3" s="1"/>
  <c r="CC210" i="3"/>
  <c r="CB210" i="3" s="1"/>
  <c r="CC206" i="3"/>
  <c r="CB206" i="3" s="1"/>
  <c r="CC202" i="3"/>
  <c r="CB202" i="3" s="1"/>
  <c r="CC198" i="3"/>
  <c r="CB198" i="3" s="1"/>
  <c r="CC194" i="3"/>
  <c r="CB194" i="3" s="1"/>
  <c r="CC190" i="3"/>
  <c r="CB190" i="3" s="1"/>
  <c r="CC186" i="3"/>
  <c r="CB186" i="3" s="1"/>
  <c r="CC182" i="3"/>
  <c r="CB182" i="3" s="1"/>
  <c r="CC178" i="3"/>
  <c r="CB178" i="3" s="1"/>
  <c r="CC174" i="3"/>
  <c r="CB174" i="3" s="1"/>
  <c r="CE36" i="3"/>
  <c r="CD36" i="3" s="1"/>
  <c r="CE32" i="3"/>
  <c r="CD32" i="3" s="1"/>
  <c r="CE28" i="3"/>
  <c r="CD28" i="3" s="1"/>
  <c r="CE24" i="3"/>
  <c r="CD24" i="3" s="1"/>
  <c r="CE20" i="3"/>
  <c r="CD20" i="3" s="1"/>
  <c r="CE16" i="3"/>
  <c r="CD16" i="3" s="1"/>
  <c r="CE12" i="3"/>
  <c r="CD12" i="3" s="1"/>
  <c r="CE8" i="3"/>
  <c r="CD8" i="3" s="1"/>
  <c r="CC405" i="3"/>
  <c r="CB405" i="3" s="1"/>
  <c r="CC401" i="3"/>
  <c r="CB401" i="3" s="1"/>
  <c r="CC397" i="3"/>
  <c r="CB397" i="3" s="1"/>
  <c r="CC393" i="3"/>
  <c r="CB393" i="3" s="1"/>
  <c r="CC389" i="3"/>
  <c r="CB389" i="3" s="1"/>
  <c r="CC385" i="3"/>
  <c r="CB385" i="3" s="1"/>
  <c r="CC381" i="3"/>
  <c r="CB381" i="3" s="1"/>
  <c r="CC377" i="3"/>
  <c r="CB377" i="3" s="1"/>
  <c r="CC373" i="3"/>
  <c r="CB373" i="3" s="1"/>
  <c r="CC369" i="3"/>
  <c r="CB369" i="3" s="1"/>
  <c r="CC365" i="3"/>
  <c r="CC361" i="3"/>
  <c r="CC357" i="3"/>
  <c r="CB357" i="3" s="1"/>
  <c r="CC353" i="3"/>
  <c r="CB353" i="3" s="1"/>
  <c r="CC349" i="3"/>
  <c r="CB349" i="3" s="1"/>
  <c r="CC345" i="3"/>
  <c r="CB345" i="3" s="1"/>
  <c r="CC341" i="3"/>
  <c r="CB341" i="3" s="1"/>
  <c r="CC337" i="3"/>
  <c r="CB337" i="3" s="1"/>
  <c r="CC333" i="3"/>
  <c r="CB333" i="3" s="1"/>
  <c r="CC329" i="3"/>
  <c r="CB329" i="3" s="1"/>
  <c r="CC325" i="3"/>
  <c r="CB325" i="3" s="1"/>
  <c r="CC321" i="3"/>
  <c r="CB321" i="3" s="1"/>
  <c r="CC317" i="3"/>
  <c r="CB317" i="3" s="1"/>
  <c r="CC313" i="3"/>
  <c r="CB313" i="3" s="1"/>
  <c r="CC309" i="3"/>
  <c r="CB309" i="3" s="1"/>
  <c r="CC305" i="3"/>
  <c r="CB305" i="3" s="1"/>
  <c r="CC301" i="3"/>
  <c r="CB301" i="3" s="1"/>
  <c r="CC297" i="3"/>
  <c r="CB297" i="3" s="1"/>
  <c r="CC293" i="3"/>
  <c r="CB293" i="3" s="1"/>
  <c r="CC289" i="3"/>
  <c r="CB289" i="3" s="1"/>
  <c r="CC285" i="3"/>
  <c r="CB285" i="3" s="1"/>
  <c r="CC281" i="3"/>
  <c r="CB281" i="3" s="1"/>
  <c r="CC277" i="3"/>
  <c r="CB277" i="3" s="1"/>
  <c r="CC273" i="3"/>
  <c r="CB273" i="3" s="1"/>
  <c r="CC269" i="3"/>
  <c r="CB269" i="3" s="1"/>
  <c r="CC265" i="3"/>
  <c r="CB265" i="3" s="1"/>
  <c r="CC261" i="3"/>
  <c r="CB261" i="3" s="1"/>
  <c r="CC257" i="3"/>
  <c r="CB257" i="3" s="1"/>
  <c r="CC253" i="3"/>
  <c r="CB253" i="3" s="1"/>
  <c r="CC249" i="3"/>
  <c r="CB249" i="3" s="1"/>
  <c r="CC245" i="3"/>
  <c r="CB245" i="3" s="1"/>
  <c r="CC241" i="3"/>
  <c r="CB241" i="3" s="1"/>
  <c r="CC237" i="3"/>
  <c r="CB237" i="3" s="1"/>
  <c r="CC233" i="3"/>
  <c r="CB233" i="3" s="1"/>
  <c r="CC229" i="3"/>
  <c r="CB229" i="3" s="1"/>
  <c r="CC225" i="3"/>
  <c r="CB225" i="3" s="1"/>
  <c r="CC221" i="3"/>
  <c r="CB221" i="3" s="1"/>
  <c r="CC217" i="3"/>
  <c r="CB217" i="3" s="1"/>
  <c r="CC213" i="3"/>
  <c r="CB213" i="3" s="1"/>
  <c r="CC209" i="3"/>
  <c r="CB209" i="3" s="1"/>
  <c r="CC205" i="3"/>
  <c r="CB205" i="3" s="1"/>
  <c r="CC201" i="3"/>
  <c r="CB201" i="3" s="1"/>
  <c r="CC197" i="3"/>
  <c r="CB197" i="3" s="1"/>
  <c r="CC193" i="3"/>
  <c r="CB193" i="3" s="1"/>
  <c r="CC189" i="3"/>
  <c r="CB189" i="3" s="1"/>
  <c r="CC185" i="3"/>
  <c r="CB185" i="3" s="1"/>
  <c r="CC181" i="3"/>
  <c r="CB181" i="3" s="1"/>
  <c r="CC177" i="3"/>
  <c r="CB177" i="3" s="1"/>
  <c r="CC173" i="3"/>
  <c r="CB173" i="3" s="1"/>
  <c r="CE39" i="3"/>
  <c r="CD39" i="3" s="1"/>
  <c r="CE35" i="3"/>
  <c r="CD35" i="3" s="1"/>
  <c r="CE31" i="3"/>
  <c r="CD31" i="3" s="1"/>
  <c r="CE27" i="3"/>
  <c r="CD27" i="3" s="1"/>
  <c r="CE23" i="3"/>
  <c r="CD23" i="3" s="1"/>
  <c r="CE19" i="3"/>
  <c r="CD19" i="3" s="1"/>
  <c r="CE15" i="3"/>
  <c r="CD15" i="3" s="1"/>
  <c r="CE11" i="3"/>
  <c r="CD11" i="3" s="1"/>
  <c r="CE7" i="3"/>
  <c r="CD7" i="3" s="1"/>
  <c r="CC408" i="3"/>
  <c r="CB408" i="3" s="1"/>
  <c r="CC404" i="3"/>
  <c r="CB404" i="3" s="1"/>
  <c r="CC400" i="3"/>
  <c r="CB400" i="3" s="1"/>
  <c r="CC396" i="3"/>
  <c r="CB396" i="3" s="1"/>
  <c r="CC392" i="3"/>
  <c r="CB392" i="3" s="1"/>
  <c r="CC388" i="3"/>
  <c r="CB388" i="3" s="1"/>
  <c r="CC384" i="3"/>
  <c r="CB384" i="3" s="1"/>
  <c r="CC380" i="3"/>
  <c r="CB380" i="3" s="1"/>
  <c r="CC376" i="3"/>
  <c r="CB376" i="3" s="1"/>
  <c r="CC372" i="3"/>
  <c r="CB372" i="3" s="1"/>
  <c r="CC368" i="3"/>
  <c r="CB368" i="3" s="1"/>
  <c r="CC364" i="3"/>
  <c r="CC360" i="3"/>
  <c r="CB360" i="3" s="1"/>
  <c r="CC356" i="3"/>
  <c r="CB356" i="3" s="1"/>
  <c r="CC352" i="3"/>
  <c r="CB352" i="3" s="1"/>
  <c r="CC348" i="3"/>
  <c r="CB348" i="3" s="1"/>
  <c r="CC344" i="3"/>
  <c r="CB344" i="3" s="1"/>
  <c r="CC340" i="3"/>
  <c r="CB340" i="3" s="1"/>
  <c r="CC336" i="3"/>
  <c r="CB336" i="3" s="1"/>
  <c r="CC332" i="3"/>
  <c r="CB332" i="3" s="1"/>
  <c r="CC328" i="3"/>
  <c r="CB328" i="3" s="1"/>
  <c r="CC324" i="3"/>
  <c r="CB324" i="3" s="1"/>
  <c r="CC320" i="3"/>
  <c r="CB320" i="3" s="1"/>
  <c r="CC316" i="3"/>
  <c r="CB316" i="3" s="1"/>
  <c r="CC312" i="3"/>
  <c r="CB312" i="3" s="1"/>
  <c r="CC308" i="3"/>
  <c r="CB308" i="3" s="1"/>
  <c r="CC304" i="3"/>
  <c r="CB304" i="3" s="1"/>
  <c r="CC300" i="3"/>
  <c r="CB300" i="3" s="1"/>
  <c r="CC296" i="3"/>
  <c r="CB296" i="3" s="1"/>
  <c r="CC292" i="3"/>
  <c r="CB292" i="3" s="1"/>
  <c r="CC288" i="3"/>
  <c r="CB288" i="3" s="1"/>
  <c r="CC284" i="3"/>
  <c r="CB284" i="3" s="1"/>
  <c r="CC280" i="3"/>
  <c r="CB280" i="3" s="1"/>
  <c r="CC276" i="3"/>
  <c r="CB276" i="3" s="1"/>
  <c r="CC272" i="3"/>
  <c r="CB272" i="3" s="1"/>
  <c r="CC268" i="3"/>
  <c r="CB268" i="3" s="1"/>
  <c r="CC264" i="3"/>
  <c r="CB264" i="3" s="1"/>
  <c r="CC260" i="3"/>
  <c r="CB260" i="3" s="1"/>
  <c r="CC256" i="3"/>
  <c r="CB256" i="3" s="1"/>
  <c r="CC252" i="3"/>
  <c r="CB252" i="3" s="1"/>
  <c r="CC248" i="3"/>
  <c r="CB248" i="3" s="1"/>
  <c r="CC244" i="3"/>
  <c r="CB244" i="3" s="1"/>
  <c r="CC240" i="3"/>
  <c r="CB240" i="3" s="1"/>
  <c r="CC236" i="3"/>
  <c r="CB236" i="3" s="1"/>
  <c r="CC232" i="3"/>
  <c r="CB232" i="3" s="1"/>
  <c r="CC228" i="3"/>
  <c r="CB228" i="3" s="1"/>
  <c r="CC224" i="3"/>
  <c r="CB224" i="3" s="1"/>
  <c r="CC220" i="3"/>
  <c r="CB220" i="3" s="1"/>
  <c r="CC216" i="3"/>
  <c r="CB216" i="3" s="1"/>
  <c r="CC212" i="3"/>
  <c r="CB212" i="3" s="1"/>
  <c r="CC208" i="3"/>
  <c r="CB208" i="3" s="1"/>
  <c r="CC204" i="3"/>
  <c r="CB204" i="3" s="1"/>
  <c r="CC200" i="3"/>
  <c r="CB200" i="3" s="1"/>
  <c r="CC196" i="3"/>
  <c r="CB196" i="3" s="1"/>
  <c r="CC192" i="3"/>
  <c r="CB192" i="3" s="1"/>
  <c r="CC188" i="3"/>
  <c r="CB188" i="3" s="1"/>
  <c r="CC184" i="3"/>
  <c r="CB184" i="3" s="1"/>
  <c r="CC180" i="3"/>
  <c r="CB180" i="3" s="1"/>
  <c r="CC176" i="3"/>
  <c r="CB176" i="3" s="1"/>
  <c r="CC37" i="3"/>
  <c r="CB37" i="3" s="1"/>
  <c r="CC33" i="3"/>
  <c r="CB33" i="3" s="1"/>
  <c r="CC29" i="3"/>
  <c r="CB29" i="3" s="1"/>
  <c r="CC25" i="3"/>
  <c r="CB25" i="3" s="1"/>
  <c r="CC21" i="3"/>
  <c r="CB21" i="3" s="1"/>
  <c r="CC17" i="3"/>
  <c r="CB17" i="3" s="1"/>
  <c r="CC13" i="3"/>
  <c r="CB13" i="3" s="1"/>
  <c r="CC9" i="3"/>
  <c r="CB9" i="3" s="1"/>
  <c r="CC36" i="3"/>
  <c r="CB36" i="3" s="1"/>
  <c r="CC32" i="3"/>
  <c r="CB32" i="3" s="1"/>
  <c r="CC28" i="3"/>
  <c r="CB28" i="3" s="1"/>
  <c r="CC24" i="3"/>
  <c r="CB24" i="3" s="1"/>
  <c r="CC20" i="3"/>
  <c r="CB20" i="3" s="1"/>
  <c r="CC16" i="3"/>
  <c r="CB16" i="3" s="1"/>
  <c r="CC12" i="3"/>
  <c r="CB12" i="3" s="1"/>
  <c r="CC8" i="3"/>
  <c r="CB8" i="3" s="1"/>
  <c r="CC39" i="3"/>
  <c r="CB39" i="3" s="1"/>
  <c r="CC35" i="3"/>
  <c r="CB35" i="3" s="1"/>
  <c r="CC31" i="3"/>
  <c r="CB31" i="3" s="1"/>
  <c r="CC27" i="3"/>
  <c r="CB27" i="3" s="1"/>
  <c r="CC23" i="3"/>
  <c r="CB23" i="3" s="1"/>
  <c r="CC19" i="3"/>
  <c r="CB19" i="3" s="1"/>
  <c r="CC15" i="3"/>
  <c r="CB15" i="3" s="1"/>
  <c r="CC11" i="3"/>
  <c r="CB11" i="3" s="1"/>
  <c r="CC7" i="3"/>
  <c r="CB7" i="3" s="1"/>
  <c r="CC38" i="3"/>
  <c r="CB38" i="3" s="1"/>
  <c r="CC34" i="3"/>
  <c r="CB34" i="3" s="1"/>
  <c r="CC30" i="3"/>
  <c r="CB30" i="3" s="1"/>
  <c r="CC26" i="3"/>
  <c r="CB26" i="3" s="1"/>
  <c r="CC22" i="3"/>
  <c r="CB22" i="3" s="1"/>
  <c r="CC18" i="3"/>
  <c r="CB18" i="3" s="1"/>
  <c r="CC14" i="3"/>
  <c r="CB14" i="3" s="1"/>
  <c r="CC10" i="3"/>
  <c r="CB10" i="3" s="1"/>
  <c r="CH7" i="3"/>
  <c r="CJ7" i="3"/>
  <c r="CL10" i="3"/>
  <c r="CK10" i="3" s="1"/>
  <c r="CH13" i="3"/>
  <c r="CG13" i="3" s="1"/>
  <c r="CL11" i="3"/>
  <c r="CK11" i="3" s="1"/>
  <c r="CH15" i="3"/>
  <c r="CG15" i="3" s="1"/>
  <c r="CH8" i="3"/>
  <c r="CG8" i="3" s="1"/>
  <c r="CJ8" i="3"/>
  <c r="CI8" i="3" s="1"/>
  <c r="CL9" i="3"/>
  <c r="CK9" i="3" s="1"/>
  <c r="CH14" i="3"/>
  <c r="CG14" i="3" s="1"/>
  <c r="CL12" i="3"/>
  <c r="CK12" i="3" s="1"/>
  <c r="CH16" i="3"/>
  <c r="CG16" i="3" s="1"/>
  <c r="CH9" i="3"/>
  <c r="CG9" i="3" s="1"/>
  <c r="CL7" i="3"/>
  <c r="CH11" i="3"/>
  <c r="CG11" i="3" s="1"/>
  <c r="CL13" i="3"/>
  <c r="CK13" i="3" s="1"/>
  <c r="CH17" i="3"/>
  <c r="CG17" i="3" s="1"/>
  <c r="CH10" i="3"/>
  <c r="CG10" i="3" s="1"/>
  <c r="CL8" i="3"/>
  <c r="CK8" i="3" s="1"/>
  <c r="CH12" i="3"/>
  <c r="CG12" i="3" s="1"/>
  <c r="CL14" i="3"/>
  <c r="CK14" i="3" s="1"/>
  <c r="CH18" i="3"/>
  <c r="CG18" i="3" s="1"/>
  <c r="AN8" i="3"/>
  <c r="AS24" i="3"/>
  <c r="AR24" i="3" s="1"/>
  <c r="AQ7" i="3"/>
  <c r="AQ12" i="3"/>
  <c r="AP12" i="3" s="1"/>
  <c r="AQ16" i="3"/>
  <c r="AP16" i="3" s="1"/>
  <c r="AQ20" i="3"/>
  <c r="AP20" i="3" s="1"/>
  <c r="AS8" i="3"/>
  <c r="AR8" i="3" s="1"/>
  <c r="AS12" i="3"/>
  <c r="AR12" i="3" s="1"/>
  <c r="AS16" i="3"/>
  <c r="AR16" i="3" s="1"/>
  <c r="AS21" i="3"/>
  <c r="AR21" i="3" s="1"/>
  <c r="AS25" i="3"/>
  <c r="AR25" i="3" s="1"/>
  <c r="AQ9" i="3"/>
  <c r="AP9" i="3" s="1"/>
  <c r="AQ13" i="3"/>
  <c r="AP13" i="3" s="1"/>
  <c r="AQ17" i="3"/>
  <c r="AP17" i="3" s="1"/>
  <c r="AQ21" i="3"/>
  <c r="AP21" i="3" s="1"/>
  <c r="AS9" i="3"/>
  <c r="AR9" i="3" s="1"/>
  <c r="AS13" i="3"/>
  <c r="AR13" i="3" s="1"/>
  <c r="AS18" i="3"/>
  <c r="AR18" i="3" s="1"/>
  <c r="AS22" i="3"/>
  <c r="AR22" i="3" s="1"/>
  <c r="AS26" i="3"/>
  <c r="AR26" i="3" s="1"/>
  <c r="AQ14" i="3"/>
  <c r="AP14" i="3" s="1"/>
  <c r="AQ18" i="3"/>
  <c r="AP18" i="3" s="1"/>
  <c r="AQ22" i="3"/>
  <c r="AP22" i="3" s="1"/>
  <c r="AS10" i="3"/>
  <c r="AR10" i="3" s="1"/>
  <c r="AS14" i="3"/>
  <c r="AR14" i="3" s="1"/>
  <c r="AS19" i="3"/>
  <c r="AR19" i="3" s="1"/>
  <c r="AS23" i="3"/>
  <c r="AR23" i="3" s="1"/>
  <c r="AQ11" i="3"/>
  <c r="AP11" i="3" s="1"/>
  <c r="AQ15" i="3"/>
  <c r="AP15" i="3" s="1"/>
  <c r="AQ19" i="3"/>
  <c r="AP19" i="3" s="1"/>
  <c r="AS7" i="3"/>
  <c r="AS11" i="3"/>
  <c r="AR11" i="3" s="1"/>
  <c r="AS15" i="3"/>
  <c r="AR15" i="3" s="1"/>
  <c r="AS17" i="3"/>
  <c r="AR17" i="3" s="1"/>
  <c r="AS20" i="3"/>
  <c r="AR20" i="3" s="1"/>
  <c r="AX12" i="3"/>
  <c r="AW12" i="3" s="1"/>
  <c r="AV8" i="3"/>
  <c r="AU8" i="3" s="1"/>
  <c r="AX9" i="3"/>
  <c r="AW9" i="3" s="1"/>
  <c r="AV9" i="3"/>
  <c r="AU9" i="3" s="1"/>
  <c r="AX10" i="3"/>
  <c r="AW10" i="3" s="1"/>
  <c r="AV10" i="3"/>
  <c r="AU10" i="3" s="1"/>
  <c r="AX7" i="3"/>
  <c r="AX11" i="3"/>
  <c r="AW11" i="3" s="1"/>
  <c r="AV7" i="3"/>
  <c r="AV11" i="3"/>
  <c r="AU11" i="3" s="1"/>
  <c r="AX8" i="3"/>
  <c r="AW8" i="3" s="1"/>
  <c r="AQ8" i="3"/>
  <c r="AP8" i="3" s="1"/>
  <c r="AQ10" i="3"/>
  <c r="AP10" i="3" s="1"/>
  <c r="BY220" i="3"/>
  <c r="BX220" i="3" s="1"/>
  <c r="BY216" i="3"/>
  <c r="BX216" i="3" s="1"/>
  <c r="BY212" i="3"/>
  <c r="BX212" i="3" s="1"/>
  <c r="BY208" i="3"/>
  <c r="BX208" i="3" s="1"/>
  <c r="BY219" i="3"/>
  <c r="BX219" i="3" s="1"/>
  <c r="BY215" i="3"/>
  <c r="BX215" i="3" s="1"/>
  <c r="BY211" i="3"/>
  <c r="BX211" i="3" s="1"/>
  <c r="BY207" i="3"/>
  <c r="BX207" i="3" s="1"/>
  <c r="BY222" i="3"/>
  <c r="BX222" i="3" s="1"/>
  <c r="BY218" i="3"/>
  <c r="BX218" i="3" s="1"/>
  <c r="BY214" i="3"/>
  <c r="BX214" i="3" s="1"/>
  <c r="BY210" i="3"/>
  <c r="BX210" i="3" s="1"/>
  <c r="BY206" i="3"/>
  <c r="BX206" i="3" s="1"/>
  <c r="CA220" i="3"/>
  <c r="BZ220" i="3" s="1"/>
  <c r="CA216" i="3"/>
  <c r="BZ216" i="3" s="1"/>
  <c r="CA212" i="3"/>
  <c r="BZ212" i="3" s="1"/>
  <c r="CA208" i="3"/>
  <c r="BZ208" i="3" s="1"/>
  <c r="CA202" i="3"/>
  <c r="BZ202" i="3" s="1"/>
  <c r="CA198" i="3"/>
  <c r="BZ198" i="3" s="1"/>
  <c r="CA194" i="3"/>
  <c r="BZ194" i="3" s="1"/>
  <c r="CA190" i="3"/>
  <c r="BZ190" i="3" s="1"/>
  <c r="CA186" i="3"/>
  <c r="BZ186" i="3" s="1"/>
  <c r="CA182" i="3"/>
  <c r="BZ182" i="3" s="1"/>
  <c r="CA178" i="3"/>
  <c r="BZ178" i="3" s="1"/>
  <c r="CA174" i="3"/>
  <c r="BZ174" i="3" s="1"/>
  <c r="CA219" i="3"/>
  <c r="BZ219" i="3" s="1"/>
  <c r="CA215" i="3"/>
  <c r="BZ215" i="3" s="1"/>
  <c r="CA211" i="3"/>
  <c r="BZ211" i="3" s="1"/>
  <c r="CA207" i="3"/>
  <c r="BZ207" i="3" s="1"/>
  <c r="CA201" i="3"/>
  <c r="BZ201" i="3" s="1"/>
  <c r="CA197" i="3"/>
  <c r="BZ197" i="3" s="1"/>
  <c r="CA193" i="3"/>
  <c r="BZ193" i="3" s="1"/>
  <c r="CA189" i="3"/>
  <c r="BZ189" i="3" s="1"/>
  <c r="CA185" i="3"/>
  <c r="BZ185" i="3" s="1"/>
  <c r="CA181" i="3"/>
  <c r="BZ181" i="3" s="1"/>
  <c r="CA177" i="3"/>
  <c r="BZ177" i="3" s="1"/>
  <c r="CA173" i="3"/>
  <c r="BZ173" i="3" s="1"/>
  <c r="CA222" i="3"/>
  <c r="BZ222" i="3" s="1"/>
  <c r="CA218" i="3"/>
  <c r="BZ218" i="3" s="1"/>
  <c r="CA214" i="3"/>
  <c r="BZ214" i="3" s="1"/>
  <c r="CA210" i="3"/>
  <c r="BZ210" i="3" s="1"/>
  <c r="CA206" i="3"/>
  <c r="BZ206" i="3" s="1"/>
  <c r="CA204" i="3"/>
  <c r="BZ204" i="3" s="1"/>
  <c r="CA200" i="3"/>
  <c r="BZ200" i="3" s="1"/>
  <c r="CA196" i="3"/>
  <c r="BZ196" i="3" s="1"/>
  <c r="CA192" i="3"/>
  <c r="BZ192" i="3" s="1"/>
  <c r="CA188" i="3"/>
  <c r="BZ188" i="3" s="1"/>
  <c r="CA184" i="3"/>
  <c r="BZ184" i="3" s="1"/>
  <c r="CA180" i="3"/>
  <c r="BZ180" i="3" s="1"/>
  <c r="CA176" i="3"/>
  <c r="BZ176" i="3" s="1"/>
  <c r="CA221" i="3"/>
  <c r="BZ221" i="3" s="1"/>
  <c r="CA205" i="3"/>
  <c r="BZ205" i="3" s="1"/>
  <c r="CA199" i="3"/>
  <c r="BZ199" i="3" s="1"/>
  <c r="CA183" i="3"/>
  <c r="BZ183" i="3" s="1"/>
  <c r="CA36" i="3"/>
  <c r="BZ36" i="3" s="1"/>
  <c r="CA32" i="3"/>
  <c r="BZ32" i="3" s="1"/>
  <c r="CA28" i="3"/>
  <c r="BZ28" i="3" s="1"/>
  <c r="CA24" i="3"/>
  <c r="BZ24" i="3" s="1"/>
  <c r="CA20" i="3"/>
  <c r="BZ20" i="3" s="1"/>
  <c r="CA16" i="3"/>
  <c r="BZ16" i="3" s="1"/>
  <c r="CA12" i="3"/>
  <c r="BZ12" i="3" s="1"/>
  <c r="CA8" i="3"/>
  <c r="BZ8" i="3" s="1"/>
  <c r="CA217" i="3"/>
  <c r="BZ217" i="3" s="1"/>
  <c r="CA195" i="3"/>
  <c r="BZ195" i="3" s="1"/>
  <c r="CA179" i="3"/>
  <c r="BZ179" i="3" s="1"/>
  <c r="CA39" i="3"/>
  <c r="BZ39" i="3" s="1"/>
  <c r="CA35" i="3"/>
  <c r="BZ35" i="3" s="1"/>
  <c r="CA31" i="3"/>
  <c r="BZ31" i="3" s="1"/>
  <c r="CA27" i="3"/>
  <c r="BZ27" i="3" s="1"/>
  <c r="CA23" i="3"/>
  <c r="BZ23" i="3" s="1"/>
  <c r="CA19" i="3"/>
  <c r="BZ19" i="3" s="1"/>
  <c r="CA15" i="3"/>
  <c r="BZ15" i="3" s="1"/>
  <c r="CA11" i="3"/>
  <c r="BZ11" i="3" s="1"/>
  <c r="CA7" i="3"/>
  <c r="BZ7" i="3" s="1"/>
  <c r="CA213" i="3"/>
  <c r="BZ213" i="3" s="1"/>
  <c r="CA191" i="3"/>
  <c r="BZ191" i="3" s="1"/>
  <c r="CA175" i="3"/>
  <c r="BZ175" i="3" s="1"/>
  <c r="CA38" i="3"/>
  <c r="BZ38" i="3" s="1"/>
  <c r="CA34" i="3"/>
  <c r="BZ34" i="3" s="1"/>
  <c r="CA30" i="3"/>
  <c r="BZ30" i="3" s="1"/>
  <c r="CA26" i="3"/>
  <c r="BZ26" i="3" s="1"/>
  <c r="CA22" i="3"/>
  <c r="BZ22" i="3" s="1"/>
  <c r="CA18" i="3"/>
  <c r="BZ18" i="3" s="1"/>
  <c r="CA14" i="3"/>
  <c r="BZ14" i="3" s="1"/>
  <c r="CA10" i="3"/>
  <c r="BZ10" i="3" s="1"/>
  <c r="BY7" i="3"/>
  <c r="BX7" i="3" s="1"/>
  <c r="CA209" i="3"/>
  <c r="BZ209" i="3" s="1"/>
  <c r="CA203" i="3"/>
  <c r="BZ203" i="3" s="1"/>
  <c r="CA187" i="3"/>
  <c r="BZ187" i="3" s="1"/>
  <c r="CA37" i="3"/>
  <c r="BZ37" i="3" s="1"/>
  <c r="CA33" i="3"/>
  <c r="BZ33" i="3" s="1"/>
  <c r="CA29" i="3"/>
  <c r="BZ29" i="3" s="1"/>
  <c r="CA25" i="3"/>
  <c r="BZ25" i="3" s="1"/>
  <c r="CA21" i="3"/>
  <c r="BZ21" i="3" s="1"/>
  <c r="CA17" i="3"/>
  <c r="BZ17" i="3" s="1"/>
  <c r="CA13" i="3"/>
  <c r="BZ13" i="3" s="1"/>
  <c r="CA9" i="3"/>
  <c r="BZ9" i="3" s="1"/>
  <c r="BY11" i="3"/>
  <c r="BX11" i="3" s="1"/>
  <c r="BY15" i="3"/>
  <c r="BX15" i="3" s="1"/>
  <c r="BY19" i="3"/>
  <c r="BX19" i="3" s="1"/>
  <c r="BY23" i="3"/>
  <c r="BX23" i="3" s="1"/>
  <c r="BY27" i="3"/>
  <c r="BX27" i="3" s="1"/>
  <c r="BY31" i="3"/>
  <c r="BX31" i="3" s="1"/>
  <c r="BY35" i="3"/>
  <c r="BX35" i="3" s="1"/>
  <c r="BY39" i="3"/>
  <c r="BX39" i="3" s="1"/>
  <c r="BY175" i="3"/>
  <c r="BX175" i="3" s="1"/>
  <c r="BY179" i="3"/>
  <c r="BX179" i="3" s="1"/>
  <c r="BY183" i="3"/>
  <c r="BX183" i="3" s="1"/>
  <c r="BY187" i="3"/>
  <c r="BX187" i="3" s="1"/>
  <c r="BY191" i="3"/>
  <c r="BX191" i="3" s="1"/>
  <c r="BY195" i="3"/>
  <c r="BX195" i="3" s="1"/>
  <c r="BY199" i="3"/>
  <c r="BX199" i="3" s="1"/>
  <c r="BY203" i="3"/>
  <c r="BX203" i="3" s="1"/>
  <c r="BY8" i="3"/>
  <c r="BX8" i="3" s="1"/>
  <c r="BY12" i="3"/>
  <c r="BX12" i="3" s="1"/>
  <c r="BY16" i="3"/>
  <c r="BX16" i="3" s="1"/>
  <c r="BY20" i="3"/>
  <c r="BX20" i="3" s="1"/>
  <c r="BY24" i="3"/>
  <c r="BX24" i="3" s="1"/>
  <c r="BY28" i="3"/>
  <c r="BX28" i="3" s="1"/>
  <c r="BY32" i="3"/>
  <c r="BX32" i="3" s="1"/>
  <c r="BY36" i="3"/>
  <c r="BX36" i="3" s="1"/>
  <c r="BY176" i="3"/>
  <c r="BX176" i="3" s="1"/>
  <c r="BY180" i="3"/>
  <c r="BX180" i="3" s="1"/>
  <c r="BY184" i="3"/>
  <c r="BX184" i="3" s="1"/>
  <c r="BY188" i="3"/>
  <c r="BX188" i="3" s="1"/>
  <c r="BY192" i="3"/>
  <c r="BX192" i="3" s="1"/>
  <c r="BY196" i="3"/>
  <c r="BX196" i="3" s="1"/>
  <c r="BY200" i="3"/>
  <c r="BX200" i="3" s="1"/>
  <c r="BY204" i="3"/>
  <c r="BX204" i="3" s="1"/>
  <c r="BY9" i="3"/>
  <c r="BX9" i="3" s="1"/>
  <c r="BY13" i="3"/>
  <c r="BX13" i="3" s="1"/>
  <c r="BY17" i="3"/>
  <c r="BX17" i="3" s="1"/>
  <c r="BY21" i="3"/>
  <c r="BX21" i="3" s="1"/>
  <c r="BY25" i="3"/>
  <c r="BX25" i="3" s="1"/>
  <c r="BY29" i="3"/>
  <c r="BX29" i="3" s="1"/>
  <c r="BY33" i="3"/>
  <c r="BX33" i="3" s="1"/>
  <c r="BY37" i="3"/>
  <c r="BX37" i="3" s="1"/>
  <c r="BY173" i="3"/>
  <c r="BX173" i="3" s="1"/>
  <c r="BY177" i="3"/>
  <c r="BX177" i="3" s="1"/>
  <c r="BY181" i="3"/>
  <c r="BX181" i="3" s="1"/>
  <c r="BY185" i="3"/>
  <c r="BX185" i="3" s="1"/>
  <c r="BY189" i="3"/>
  <c r="BX189" i="3" s="1"/>
  <c r="BY193" i="3"/>
  <c r="BX193" i="3" s="1"/>
  <c r="BY197" i="3"/>
  <c r="BX197" i="3" s="1"/>
  <c r="BY201" i="3"/>
  <c r="BX201" i="3" s="1"/>
  <c r="BY10" i="3"/>
  <c r="BX10" i="3" s="1"/>
  <c r="BY14" i="3"/>
  <c r="BX14" i="3" s="1"/>
  <c r="BY18" i="3"/>
  <c r="BX18" i="3" s="1"/>
  <c r="BY22" i="3"/>
  <c r="BX22" i="3" s="1"/>
  <c r="BY26" i="3"/>
  <c r="BX26" i="3" s="1"/>
  <c r="BY30" i="3"/>
  <c r="BX30" i="3" s="1"/>
  <c r="BY34" i="3"/>
  <c r="BX34" i="3" s="1"/>
  <c r="BY38" i="3"/>
  <c r="BX38" i="3" s="1"/>
  <c r="BY174" i="3"/>
  <c r="BX174" i="3" s="1"/>
  <c r="BY178" i="3"/>
  <c r="BX178" i="3" s="1"/>
  <c r="BY182" i="3"/>
  <c r="BX182" i="3" s="1"/>
  <c r="BY186" i="3"/>
  <c r="BX186" i="3" s="1"/>
  <c r="BY190" i="3"/>
  <c r="BX190" i="3" s="1"/>
  <c r="BY194" i="3"/>
  <c r="BX194" i="3" s="1"/>
  <c r="BY198" i="3"/>
  <c r="BX198" i="3" s="1"/>
  <c r="BY202" i="3"/>
  <c r="BX202" i="3" s="1"/>
  <c r="BY221" i="3"/>
  <c r="BX221" i="3" s="1"/>
  <c r="BY217" i="3"/>
  <c r="BX217" i="3" s="1"/>
  <c r="BY213" i="3"/>
  <c r="BX213" i="3" s="1"/>
  <c r="BY209" i="3"/>
  <c r="BX209" i="3" s="1"/>
  <c r="BY205" i="3"/>
  <c r="BX205" i="3" s="1"/>
  <c r="BH10" i="3"/>
  <c r="BG10" i="3" s="1"/>
  <c r="BJ10" i="3"/>
  <c r="BI10" i="3" s="1"/>
  <c r="BJ11" i="3"/>
  <c r="BI11" i="3" s="1"/>
  <c r="BH9" i="3"/>
  <c r="BG9" i="3" s="1"/>
  <c r="BJ7" i="3"/>
  <c r="BJ12" i="3"/>
  <c r="BI12" i="3" s="1"/>
  <c r="BH11" i="3"/>
  <c r="BG11" i="3" s="1"/>
  <c r="BH8" i="3"/>
  <c r="BG8" i="3" s="1"/>
  <c r="BJ8" i="3"/>
  <c r="BI8" i="3" s="1"/>
  <c r="BH7" i="3"/>
  <c r="BG7" i="3" s="1"/>
  <c r="BH12" i="3"/>
  <c r="BG12" i="3" s="1"/>
  <c r="BJ9" i="3"/>
  <c r="BI9" i="3" s="1"/>
  <c r="BC13" i="3"/>
  <c r="BB13" i="3" s="1"/>
  <c r="BC8" i="3"/>
  <c r="BB8" i="3" s="1"/>
  <c r="BC12" i="3"/>
  <c r="BB12" i="3" s="1"/>
  <c r="BC16" i="3"/>
  <c r="BB16" i="3" s="1"/>
  <c r="BC20" i="3"/>
  <c r="BB20" i="3" s="1"/>
  <c r="BC24" i="3"/>
  <c r="BB24" i="3" s="1"/>
  <c r="BC28" i="3"/>
  <c r="BB28" i="3" s="1"/>
  <c r="BC32" i="3"/>
  <c r="BB32" i="3" s="1"/>
  <c r="BC36" i="3"/>
  <c r="BB36" i="3" s="1"/>
  <c r="BE7" i="3"/>
  <c r="BD7" i="3" s="1"/>
  <c r="BE11" i="3"/>
  <c r="BD11" i="3" s="1"/>
  <c r="BE15" i="3"/>
  <c r="BD15" i="3" s="1"/>
  <c r="BE19" i="3"/>
  <c r="BD19" i="3" s="1"/>
  <c r="BE23" i="3"/>
  <c r="BD23" i="3" s="1"/>
  <c r="BE27" i="3"/>
  <c r="BD27" i="3" s="1"/>
  <c r="BE31" i="3"/>
  <c r="BD31" i="3" s="1"/>
  <c r="BE35" i="3"/>
  <c r="BD35" i="3" s="1"/>
  <c r="BE39" i="3"/>
  <c r="BD39" i="3" s="1"/>
  <c r="BC9" i="3"/>
  <c r="BB9" i="3" s="1"/>
  <c r="BC17" i="3"/>
  <c r="BB17" i="3" s="1"/>
  <c r="BC21" i="3"/>
  <c r="BB21" i="3" s="1"/>
  <c r="BC25" i="3"/>
  <c r="BB25" i="3" s="1"/>
  <c r="BC29" i="3"/>
  <c r="BB29" i="3" s="1"/>
  <c r="BC33" i="3"/>
  <c r="BB33" i="3" s="1"/>
  <c r="BC37" i="3"/>
  <c r="BB37" i="3" s="1"/>
  <c r="BE8" i="3"/>
  <c r="BD8" i="3" s="1"/>
  <c r="BE12" i="3"/>
  <c r="BD12" i="3" s="1"/>
  <c r="BE16" i="3"/>
  <c r="BD16" i="3" s="1"/>
  <c r="BE20" i="3"/>
  <c r="BD20" i="3" s="1"/>
  <c r="BE24" i="3"/>
  <c r="BD24" i="3" s="1"/>
  <c r="BE28" i="3"/>
  <c r="BD28" i="3" s="1"/>
  <c r="BE32" i="3"/>
  <c r="BD32" i="3" s="1"/>
  <c r="BE36" i="3"/>
  <c r="BD36" i="3" s="1"/>
  <c r="BC10" i="3"/>
  <c r="BC14" i="3"/>
  <c r="BB14" i="3" s="1"/>
  <c r="BC18" i="3"/>
  <c r="BB18" i="3" s="1"/>
  <c r="BC22" i="3"/>
  <c r="BB22" i="3" s="1"/>
  <c r="BC26" i="3"/>
  <c r="BB26" i="3" s="1"/>
  <c r="BC30" i="3"/>
  <c r="BB30" i="3" s="1"/>
  <c r="BC34" i="3"/>
  <c r="BB34" i="3" s="1"/>
  <c r="BC38" i="3"/>
  <c r="BB38" i="3" s="1"/>
  <c r="BE9" i="3"/>
  <c r="BD9" i="3" s="1"/>
  <c r="BE13" i="3"/>
  <c r="BD13" i="3" s="1"/>
  <c r="BE17" i="3"/>
  <c r="BD17" i="3" s="1"/>
  <c r="BE21" i="3"/>
  <c r="BD21" i="3" s="1"/>
  <c r="BE25" i="3"/>
  <c r="BD25" i="3" s="1"/>
  <c r="BE29" i="3"/>
  <c r="BD29" i="3" s="1"/>
  <c r="BE33" i="3"/>
  <c r="BD33" i="3" s="1"/>
  <c r="BE37" i="3"/>
  <c r="BD37" i="3" s="1"/>
  <c r="BC7" i="3"/>
  <c r="BC11" i="3"/>
  <c r="BB11" i="3" s="1"/>
  <c r="BC15" i="3"/>
  <c r="BB15" i="3" s="1"/>
  <c r="BC19" i="3"/>
  <c r="BB19" i="3" s="1"/>
  <c r="BC23" i="3"/>
  <c r="BB23" i="3" s="1"/>
  <c r="BC27" i="3"/>
  <c r="BB27" i="3" s="1"/>
  <c r="BC31" i="3"/>
  <c r="BB31" i="3" s="1"/>
  <c r="BC35" i="3"/>
  <c r="BB35" i="3" s="1"/>
  <c r="BC39" i="3"/>
  <c r="BB39" i="3" s="1"/>
  <c r="BE10" i="3"/>
  <c r="BD10" i="3" s="1"/>
  <c r="BE14" i="3"/>
  <c r="BD14" i="3" s="1"/>
  <c r="BE18" i="3"/>
  <c r="BD18" i="3" s="1"/>
  <c r="BE22" i="3"/>
  <c r="BD22" i="3" s="1"/>
  <c r="BE26" i="3"/>
  <c r="BD26" i="3" s="1"/>
  <c r="BE30" i="3"/>
  <c r="BD30" i="3" s="1"/>
  <c r="BE34" i="3"/>
  <c r="BD34" i="3" s="1"/>
  <c r="BE38" i="3"/>
  <c r="BD38" i="3" s="1"/>
  <c r="CA294" i="3" l="1"/>
  <c r="BZ294" i="3" s="1"/>
  <c r="CA301" i="3"/>
  <c r="BZ301" i="3" s="1"/>
  <c r="AA14" i="3" a="1"/>
  <c r="AA14" i="3" s="1"/>
  <c r="AA17" i="3" a="1"/>
  <c r="AA17" i="3" s="1"/>
  <c r="AA20" i="3" a="1"/>
  <c r="AA20" i="3" s="1"/>
  <c r="AA24" i="3" a="1"/>
  <c r="AA24" i="3" s="1"/>
  <c r="AA11" i="3" a="1"/>
  <c r="AA11" i="3" s="1"/>
  <c r="AA15" i="3" a="1"/>
  <c r="AA15" i="3" s="1"/>
  <c r="AA18" i="3" a="1"/>
  <c r="AA18" i="3" s="1"/>
  <c r="AA21" i="3" a="1"/>
  <c r="AA21" i="3" s="1"/>
  <c r="AA9" i="3" a="1"/>
  <c r="AA9" i="3" s="1"/>
  <c r="AA12" i="3" a="1"/>
  <c r="AA12" i="3" s="1"/>
  <c r="AA16" i="3" a="1"/>
  <c r="AA16" i="3" s="1"/>
  <c r="AA22" i="3" a="1"/>
  <c r="AA22" i="3" s="1"/>
  <c r="AA25" i="3" a="1"/>
  <c r="AA25" i="3" s="1"/>
  <c r="AA10" i="3" a="1"/>
  <c r="AA10" i="3" s="1"/>
  <c r="AA13" i="3" a="1"/>
  <c r="AA13" i="3" s="1"/>
  <c r="AA19" i="3" a="1"/>
  <c r="AA19" i="3" s="1"/>
  <c r="AA23" i="3" a="1"/>
  <c r="AA23" i="3" s="1"/>
  <c r="AA26" i="3" a="1"/>
  <c r="AA26" i="3" s="1"/>
  <c r="AA29" i="3" a="1"/>
  <c r="AA29" i="3" s="1"/>
  <c r="AA35" i="3" a="1"/>
  <c r="AA35" i="3" s="1"/>
  <c r="AA39" i="3" a="1"/>
  <c r="AA39" i="3" s="1"/>
  <c r="AA42" i="3" a="1"/>
  <c r="AA42" i="3" s="1"/>
  <c r="AA45" i="3" a="1"/>
  <c r="AA45" i="3" s="1"/>
  <c r="AA51" i="3" a="1"/>
  <c r="AA51" i="3" s="1"/>
  <c r="AA55" i="3" a="1"/>
  <c r="AA55" i="3" s="1"/>
  <c r="AA58" i="3" a="1"/>
  <c r="AA58" i="3" s="1"/>
  <c r="AA61" i="3" a="1"/>
  <c r="AA61" i="3" s="1"/>
  <c r="AA67" i="3" a="1"/>
  <c r="AA67" i="3" s="1"/>
  <c r="AA71" i="3" a="1"/>
  <c r="AA71" i="3" s="1"/>
  <c r="AA74" i="3" a="1"/>
  <c r="AA74" i="3" s="1"/>
  <c r="AA77" i="3" a="1"/>
  <c r="AA77" i="3" s="1"/>
  <c r="AA83" i="3" a="1"/>
  <c r="AA83" i="3" s="1"/>
  <c r="AA87" i="3" a="1"/>
  <c r="AA87" i="3" s="1"/>
  <c r="AA90" i="3" a="1"/>
  <c r="AA90" i="3" s="1"/>
  <c r="AA93" i="3" a="1"/>
  <c r="AA93" i="3" s="1"/>
  <c r="AA99" i="3" a="1"/>
  <c r="AA99" i="3" s="1"/>
  <c r="AA103" i="3" a="1"/>
  <c r="AA103" i="3" s="1"/>
  <c r="AA106" i="3" a="1"/>
  <c r="AA106" i="3" s="1"/>
  <c r="AA109" i="3" a="1"/>
  <c r="AA109" i="3" s="1"/>
  <c r="AA115" i="3" a="1"/>
  <c r="AA115" i="3" s="1"/>
  <c r="AA119" i="3" a="1"/>
  <c r="AA119" i="3" s="1"/>
  <c r="AA122" i="3" a="1"/>
  <c r="AA122" i="3" s="1"/>
  <c r="AA125" i="3" a="1"/>
  <c r="AA125" i="3" s="1"/>
  <c r="AA131" i="3" a="1"/>
  <c r="AA131" i="3" s="1"/>
  <c r="AA135" i="3" a="1"/>
  <c r="AA135" i="3" s="1"/>
  <c r="AA138" i="3" a="1"/>
  <c r="AA138" i="3" s="1"/>
  <c r="AA141" i="3" a="1"/>
  <c r="AA141" i="3" s="1"/>
  <c r="AA147" i="3" a="1"/>
  <c r="AA147" i="3" s="1"/>
  <c r="AA151" i="3" a="1"/>
  <c r="AA151" i="3" s="1"/>
  <c r="AA154" i="3" a="1"/>
  <c r="AA154" i="3" s="1"/>
  <c r="AA157" i="3" a="1"/>
  <c r="AA157" i="3" s="1"/>
  <c r="AA163" i="3" a="1"/>
  <c r="AA163" i="3" s="1"/>
  <c r="AA167" i="3" a="1"/>
  <c r="AA167" i="3" s="1"/>
  <c r="AA170" i="3" a="1"/>
  <c r="AA170" i="3" s="1"/>
  <c r="AA173" i="3" a="1"/>
  <c r="AA173" i="3" s="1"/>
  <c r="AA179" i="3" a="1"/>
  <c r="AA179" i="3" s="1"/>
  <c r="AA183" i="3" a="1"/>
  <c r="AA183" i="3" s="1"/>
  <c r="AA187" i="3" a="1"/>
  <c r="AA187" i="3" s="1"/>
  <c r="AA191" i="3" a="1"/>
  <c r="AA191" i="3" s="1"/>
  <c r="AA195" i="3" a="1"/>
  <c r="AA195" i="3" s="1"/>
  <c r="AA199" i="3" a="1"/>
  <c r="AA199" i="3" s="1"/>
  <c r="AA203" i="3" a="1"/>
  <c r="AA203" i="3" s="1"/>
  <c r="AA207" i="3" a="1"/>
  <c r="AA207" i="3" s="1"/>
  <c r="AA211" i="3" a="1"/>
  <c r="AA211" i="3" s="1"/>
  <c r="AA215" i="3" a="1"/>
  <c r="AA215" i="3" s="1"/>
  <c r="AA219" i="3" a="1"/>
  <c r="AA219" i="3" s="1"/>
  <c r="AA223" i="3" a="1"/>
  <c r="AA223" i="3" s="1"/>
  <c r="AA227" i="3" a="1"/>
  <c r="AA227" i="3" s="1"/>
  <c r="AA231" i="3" a="1"/>
  <c r="AA231" i="3" s="1"/>
  <c r="AA235" i="3" a="1"/>
  <c r="AA235" i="3" s="1"/>
  <c r="AA239" i="3" a="1"/>
  <c r="AA239" i="3" s="1"/>
  <c r="AA243" i="3" a="1"/>
  <c r="AA243" i="3" s="1"/>
  <c r="AA247" i="3" a="1"/>
  <c r="AA247" i="3" s="1"/>
  <c r="AA251" i="3" a="1"/>
  <c r="AA251" i="3" s="1"/>
  <c r="AA255" i="3" a="1"/>
  <c r="AA255" i="3" s="1"/>
  <c r="AA259" i="3" a="1"/>
  <c r="AA259" i="3" s="1"/>
  <c r="AA263" i="3" a="1"/>
  <c r="AA263" i="3" s="1"/>
  <c r="AA267" i="3" a="1"/>
  <c r="AA267" i="3" s="1"/>
  <c r="AA271" i="3" a="1"/>
  <c r="AA271" i="3" s="1"/>
  <c r="AA275" i="3" a="1"/>
  <c r="AA275" i="3" s="1"/>
  <c r="AA279" i="3" a="1"/>
  <c r="AA279" i="3" s="1"/>
  <c r="AA283" i="3" a="1"/>
  <c r="AA283" i="3" s="1"/>
  <c r="AA287" i="3" a="1"/>
  <c r="AA287" i="3" s="1"/>
  <c r="AA291" i="3" a="1"/>
  <c r="AA291" i="3" s="1"/>
  <c r="AA295" i="3" a="1"/>
  <c r="AA295" i="3" s="1"/>
  <c r="AA299" i="3" a="1"/>
  <c r="AA299" i="3" s="1"/>
  <c r="AA27" i="3" a="1"/>
  <c r="AA27" i="3" s="1"/>
  <c r="AA30" i="3" a="1"/>
  <c r="AA30" i="3" s="1"/>
  <c r="AA33" i="3" a="1"/>
  <c r="AA33" i="3" s="1"/>
  <c r="AA36" i="3" a="1"/>
  <c r="AA36" i="3" s="1"/>
  <c r="AA40" i="3" a="1"/>
  <c r="AA40" i="3" s="1"/>
  <c r="AA46" i="3" a="1"/>
  <c r="AA46" i="3" s="1"/>
  <c r="AA49" i="3" a="1"/>
  <c r="AA49" i="3" s="1"/>
  <c r="AA52" i="3" a="1"/>
  <c r="AA52" i="3" s="1"/>
  <c r="AA56" i="3" a="1"/>
  <c r="AA56" i="3" s="1"/>
  <c r="AA62" i="3" a="1"/>
  <c r="AA62" i="3" s="1"/>
  <c r="AA65" i="3" a="1"/>
  <c r="AA65" i="3" s="1"/>
  <c r="AA68" i="3" a="1"/>
  <c r="AA68" i="3" s="1"/>
  <c r="AA72" i="3" a="1"/>
  <c r="AA72" i="3" s="1"/>
  <c r="AA78" i="3" a="1"/>
  <c r="AA78" i="3" s="1"/>
  <c r="AA81" i="3" a="1"/>
  <c r="AA81" i="3" s="1"/>
  <c r="AA84" i="3" a="1"/>
  <c r="AA84" i="3" s="1"/>
  <c r="AA88" i="3" a="1"/>
  <c r="AA88" i="3" s="1"/>
  <c r="AA94" i="3" a="1"/>
  <c r="AA94" i="3" s="1"/>
  <c r="AA97" i="3" a="1"/>
  <c r="AA97" i="3" s="1"/>
  <c r="AA100" i="3" a="1"/>
  <c r="AA100" i="3" s="1"/>
  <c r="AA104" i="3" a="1"/>
  <c r="AA104" i="3" s="1"/>
  <c r="AA110" i="3" a="1"/>
  <c r="AA110" i="3" s="1"/>
  <c r="AA113" i="3" a="1"/>
  <c r="AA113" i="3" s="1"/>
  <c r="AA116" i="3" a="1"/>
  <c r="AA116" i="3" s="1"/>
  <c r="AA120" i="3" a="1"/>
  <c r="AA120" i="3" s="1"/>
  <c r="AA126" i="3" a="1"/>
  <c r="AA126" i="3" s="1"/>
  <c r="AA129" i="3" a="1"/>
  <c r="AA129" i="3" s="1"/>
  <c r="AA132" i="3" a="1"/>
  <c r="AA132" i="3" s="1"/>
  <c r="AA136" i="3" a="1"/>
  <c r="AA136" i="3" s="1"/>
  <c r="AA142" i="3" a="1"/>
  <c r="AA142" i="3" s="1"/>
  <c r="AA145" i="3" a="1"/>
  <c r="AA145" i="3" s="1"/>
  <c r="AA148" i="3" a="1"/>
  <c r="AA148" i="3" s="1"/>
  <c r="AA152" i="3" a="1"/>
  <c r="AA152" i="3" s="1"/>
  <c r="AA158" i="3" a="1"/>
  <c r="AA158" i="3" s="1"/>
  <c r="AA161" i="3" a="1"/>
  <c r="AA161" i="3" s="1"/>
  <c r="AA164" i="3" a="1"/>
  <c r="AA164" i="3" s="1"/>
  <c r="AA168" i="3" a="1"/>
  <c r="AA168" i="3" s="1"/>
  <c r="AA174" i="3" a="1"/>
  <c r="AA174" i="3" s="1"/>
  <c r="AA177" i="3" a="1"/>
  <c r="AA177" i="3" s="1"/>
  <c r="AA180" i="3" a="1"/>
  <c r="AA180" i="3" s="1"/>
  <c r="AA184" i="3" a="1"/>
  <c r="AA184" i="3" s="1"/>
  <c r="AA188" i="3" a="1"/>
  <c r="AA188" i="3" s="1"/>
  <c r="AA192" i="3" a="1"/>
  <c r="AA192" i="3" s="1"/>
  <c r="AA196" i="3" a="1"/>
  <c r="AA196" i="3" s="1"/>
  <c r="AA200" i="3" a="1"/>
  <c r="AA200" i="3" s="1"/>
  <c r="AA204" i="3" a="1"/>
  <c r="AA204" i="3" s="1"/>
  <c r="AA208" i="3" a="1"/>
  <c r="AA208" i="3" s="1"/>
  <c r="AA212" i="3" a="1"/>
  <c r="AA212" i="3" s="1"/>
  <c r="AA216" i="3" a="1"/>
  <c r="AA216" i="3" s="1"/>
  <c r="AA220" i="3" a="1"/>
  <c r="AA220" i="3" s="1"/>
  <c r="AA224" i="3" a="1"/>
  <c r="AA224" i="3" s="1"/>
  <c r="AA228" i="3" a="1"/>
  <c r="AA228" i="3" s="1"/>
  <c r="AA232" i="3" a="1"/>
  <c r="AA232" i="3" s="1"/>
  <c r="AA236" i="3" a="1"/>
  <c r="AA236" i="3" s="1"/>
  <c r="AA240" i="3" a="1"/>
  <c r="AA240" i="3" s="1"/>
  <c r="AA244" i="3" a="1"/>
  <c r="AA244" i="3" s="1"/>
  <c r="AA248" i="3" a="1"/>
  <c r="AA248" i="3" s="1"/>
  <c r="AA252" i="3" a="1"/>
  <c r="AA252" i="3" s="1"/>
  <c r="AA256" i="3" a="1"/>
  <c r="AA256" i="3" s="1"/>
  <c r="AA260" i="3" a="1"/>
  <c r="AA260" i="3" s="1"/>
  <c r="AA264" i="3" a="1"/>
  <c r="AA264" i="3" s="1"/>
  <c r="AA268" i="3" a="1"/>
  <c r="AA268" i="3" s="1"/>
  <c r="AA272" i="3" a="1"/>
  <c r="AA272" i="3" s="1"/>
  <c r="AA276" i="3" a="1"/>
  <c r="AA276" i="3" s="1"/>
  <c r="AA280" i="3" a="1"/>
  <c r="AA280" i="3" s="1"/>
  <c r="AA284" i="3" a="1"/>
  <c r="AA284" i="3" s="1"/>
  <c r="AA288" i="3" a="1"/>
  <c r="AA288" i="3" s="1"/>
  <c r="AA292" i="3" a="1"/>
  <c r="AA292" i="3" s="1"/>
  <c r="AA296" i="3" a="1"/>
  <c r="AA296" i="3" s="1"/>
  <c r="AA300" i="3" a="1"/>
  <c r="AA300" i="3" s="1"/>
  <c r="AA28" i="3" a="1"/>
  <c r="AA28" i="3" s="1"/>
  <c r="AA31" i="3" a="1"/>
  <c r="AA31" i="3" s="1"/>
  <c r="AA34" i="3" a="1"/>
  <c r="AA34" i="3" s="1"/>
  <c r="AA37" i="3" a="1"/>
  <c r="AA37" i="3" s="1"/>
  <c r="AA43" i="3" a="1"/>
  <c r="AA43" i="3" s="1"/>
  <c r="AA47" i="3" a="1"/>
  <c r="AA47" i="3" s="1"/>
  <c r="AA50" i="3" a="1"/>
  <c r="AA50" i="3" s="1"/>
  <c r="AA53" i="3" a="1"/>
  <c r="AA53" i="3" s="1"/>
  <c r="AA59" i="3" a="1"/>
  <c r="AA59" i="3" s="1"/>
  <c r="AA63" i="3" a="1"/>
  <c r="AA63" i="3" s="1"/>
  <c r="AA66" i="3" a="1"/>
  <c r="AA66" i="3" s="1"/>
  <c r="AA69" i="3" a="1"/>
  <c r="AA69" i="3" s="1"/>
  <c r="AA75" i="3" a="1"/>
  <c r="AA75" i="3" s="1"/>
  <c r="AA79" i="3" a="1"/>
  <c r="AA79" i="3" s="1"/>
  <c r="AA82" i="3" a="1"/>
  <c r="AA82" i="3" s="1"/>
  <c r="AA85" i="3" a="1"/>
  <c r="AA85" i="3" s="1"/>
  <c r="AA91" i="3" a="1"/>
  <c r="AA91" i="3" s="1"/>
  <c r="AA95" i="3" a="1"/>
  <c r="AA95" i="3" s="1"/>
  <c r="AA98" i="3" a="1"/>
  <c r="AA98" i="3" s="1"/>
  <c r="AA101" i="3" a="1"/>
  <c r="AA101" i="3" s="1"/>
  <c r="AA107" i="3" a="1"/>
  <c r="AA107" i="3" s="1"/>
  <c r="AA111" i="3" a="1"/>
  <c r="AA111" i="3" s="1"/>
  <c r="AA114" i="3" a="1"/>
  <c r="AA114" i="3" s="1"/>
  <c r="AA117" i="3" a="1"/>
  <c r="AA117" i="3" s="1"/>
  <c r="AA123" i="3" a="1"/>
  <c r="AA123" i="3" s="1"/>
  <c r="AA127" i="3" a="1"/>
  <c r="AA127" i="3" s="1"/>
  <c r="AA130" i="3" a="1"/>
  <c r="AA130" i="3" s="1"/>
  <c r="AA133" i="3" a="1"/>
  <c r="AA133" i="3" s="1"/>
  <c r="AA139" i="3" a="1"/>
  <c r="AA139" i="3" s="1"/>
  <c r="AA143" i="3" a="1"/>
  <c r="AA143" i="3" s="1"/>
  <c r="AA146" i="3" a="1"/>
  <c r="AA146" i="3" s="1"/>
  <c r="AA149" i="3" a="1"/>
  <c r="AA149" i="3" s="1"/>
  <c r="AA155" i="3" a="1"/>
  <c r="AA155" i="3" s="1"/>
  <c r="AA159" i="3" a="1"/>
  <c r="AA159" i="3" s="1"/>
  <c r="AA162" i="3" a="1"/>
  <c r="AA162" i="3" s="1"/>
  <c r="AA165" i="3" a="1"/>
  <c r="AA165" i="3" s="1"/>
  <c r="AA171" i="3" a="1"/>
  <c r="AA171" i="3" s="1"/>
  <c r="AA175" i="3" a="1"/>
  <c r="AA175" i="3" s="1"/>
  <c r="AA178" i="3" a="1"/>
  <c r="AA178" i="3" s="1"/>
  <c r="AA181" i="3" a="1"/>
  <c r="AA181" i="3" s="1"/>
  <c r="AA185" i="3" a="1"/>
  <c r="AA185" i="3" s="1"/>
  <c r="AA189" i="3" a="1"/>
  <c r="AA189" i="3" s="1"/>
  <c r="AA193" i="3" a="1"/>
  <c r="AA193" i="3" s="1"/>
  <c r="AA197" i="3" a="1"/>
  <c r="AA197" i="3" s="1"/>
  <c r="AA201" i="3" a="1"/>
  <c r="AA201" i="3" s="1"/>
  <c r="AA205" i="3" a="1"/>
  <c r="AA205" i="3" s="1"/>
  <c r="AA209" i="3" a="1"/>
  <c r="AA209" i="3" s="1"/>
  <c r="AA213" i="3" a="1"/>
  <c r="AA213" i="3" s="1"/>
  <c r="AA217" i="3" a="1"/>
  <c r="AA217" i="3" s="1"/>
  <c r="AA221" i="3" a="1"/>
  <c r="AA221" i="3" s="1"/>
  <c r="AA225" i="3" a="1"/>
  <c r="AA225" i="3" s="1"/>
  <c r="AA229" i="3" a="1"/>
  <c r="AA229" i="3" s="1"/>
  <c r="AA233" i="3" a="1"/>
  <c r="AA233" i="3" s="1"/>
  <c r="AA237" i="3" a="1"/>
  <c r="AA237" i="3" s="1"/>
  <c r="AA241" i="3" a="1"/>
  <c r="AA241" i="3" s="1"/>
  <c r="AA245" i="3" a="1"/>
  <c r="AA245" i="3" s="1"/>
  <c r="AA249" i="3" a="1"/>
  <c r="AA249" i="3" s="1"/>
  <c r="AA253" i="3" a="1"/>
  <c r="AA253" i="3" s="1"/>
  <c r="AA257" i="3" a="1"/>
  <c r="AA257" i="3" s="1"/>
  <c r="AA261" i="3" a="1"/>
  <c r="AA261" i="3" s="1"/>
  <c r="AA265" i="3" a="1"/>
  <c r="AA265" i="3" s="1"/>
  <c r="AA269" i="3" a="1"/>
  <c r="AA269" i="3" s="1"/>
  <c r="AA273" i="3" a="1"/>
  <c r="AA273" i="3" s="1"/>
  <c r="AA277" i="3" a="1"/>
  <c r="AA277" i="3" s="1"/>
  <c r="AA281" i="3" a="1"/>
  <c r="AA281" i="3" s="1"/>
  <c r="AA285" i="3" a="1"/>
  <c r="AA285" i="3" s="1"/>
  <c r="AA289" i="3" a="1"/>
  <c r="AA289" i="3" s="1"/>
  <c r="AA293" i="3" a="1"/>
  <c r="AA293" i="3" s="1"/>
  <c r="AA297" i="3" a="1"/>
  <c r="AA297" i="3" s="1"/>
  <c r="AA32" i="3" a="1"/>
  <c r="AA32" i="3" s="1"/>
  <c r="AA38" i="3" a="1"/>
  <c r="AA38" i="3" s="1"/>
  <c r="AA41" i="3" a="1"/>
  <c r="AA41" i="3" s="1"/>
  <c r="AA44" i="3" a="1"/>
  <c r="AA44" i="3" s="1"/>
  <c r="AA48" i="3" a="1"/>
  <c r="AA48" i="3" s="1"/>
  <c r="AA54" i="3" a="1"/>
  <c r="AA54" i="3" s="1"/>
  <c r="AA57" i="3" a="1"/>
  <c r="AA57" i="3" s="1"/>
  <c r="AA60" i="3" a="1"/>
  <c r="AA60" i="3" s="1"/>
  <c r="AA64" i="3" a="1"/>
  <c r="AA64" i="3" s="1"/>
  <c r="AA70" i="3" a="1"/>
  <c r="AA70" i="3" s="1"/>
  <c r="AA73" i="3" a="1"/>
  <c r="AA73" i="3" s="1"/>
  <c r="AA76" i="3" a="1"/>
  <c r="AA76" i="3" s="1"/>
  <c r="AA80" i="3" a="1"/>
  <c r="AA80" i="3" s="1"/>
  <c r="AA86" i="3" a="1"/>
  <c r="AA86" i="3" s="1"/>
  <c r="AA89" i="3" a="1"/>
  <c r="AA89" i="3" s="1"/>
  <c r="AA92" i="3" a="1"/>
  <c r="AA92" i="3" s="1"/>
  <c r="AA96" i="3" a="1"/>
  <c r="AA96" i="3" s="1"/>
  <c r="AA102" i="3" a="1"/>
  <c r="AA102" i="3" s="1"/>
  <c r="AA105" i="3" a="1"/>
  <c r="AA105" i="3" s="1"/>
  <c r="AA108" i="3" a="1"/>
  <c r="AA108" i="3" s="1"/>
  <c r="AA112" i="3" a="1"/>
  <c r="AA112" i="3" s="1"/>
  <c r="AA118" i="3" a="1"/>
  <c r="AA118" i="3" s="1"/>
  <c r="AA121" i="3" a="1"/>
  <c r="AA121" i="3" s="1"/>
  <c r="AA124" i="3" a="1"/>
  <c r="AA124" i="3" s="1"/>
  <c r="AA128" i="3" a="1"/>
  <c r="AA128" i="3" s="1"/>
  <c r="AA134" i="3" a="1"/>
  <c r="AA134" i="3" s="1"/>
  <c r="AA137" i="3" a="1"/>
  <c r="AA137" i="3" s="1"/>
  <c r="AA140" i="3" a="1"/>
  <c r="AA140" i="3" s="1"/>
  <c r="AA144" i="3" a="1"/>
  <c r="AA144" i="3" s="1"/>
  <c r="AA150" i="3" a="1"/>
  <c r="AA150" i="3" s="1"/>
  <c r="AA153" i="3" a="1"/>
  <c r="AA153" i="3" s="1"/>
  <c r="AA156" i="3" a="1"/>
  <c r="AA156" i="3" s="1"/>
  <c r="AA160" i="3" a="1"/>
  <c r="AA160" i="3" s="1"/>
  <c r="AA166" i="3" a="1"/>
  <c r="AA166" i="3" s="1"/>
  <c r="AA169" i="3" a="1"/>
  <c r="AA169" i="3" s="1"/>
  <c r="AA172" i="3" a="1"/>
  <c r="AA172" i="3" s="1"/>
  <c r="AA176" i="3" a="1"/>
  <c r="AA176" i="3" s="1"/>
  <c r="AA182" i="3" a="1"/>
  <c r="AA182" i="3" s="1"/>
  <c r="AA186" i="3" a="1"/>
  <c r="AA186" i="3" s="1"/>
  <c r="AA190" i="3" a="1"/>
  <c r="AA190" i="3" s="1"/>
  <c r="AA194" i="3" a="1"/>
  <c r="AA194" i="3" s="1"/>
  <c r="AA198" i="3" a="1"/>
  <c r="AA198" i="3" s="1"/>
  <c r="AA202" i="3" a="1"/>
  <c r="AA202" i="3" s="1"/>
  <c r="AA206" i="3" a="1"/>
  <c r="AA206" i="3" s="1"/>
  <c r="AA210" i="3" a="1"/>
  <c r="AA210" i="3" s="1"/>
  <c r="AA214" i="3" a="1"/>
  <c r="AA214" i="3" s="1"/>
  <c r="AA218" i="3" a="1"/>
  <c r="AA218" i="3" s="1"/>
  <c r="AA222" i="3" a="1"/>
  <c r="AA222" i="3" s="1"/>
  <c r="AA226" i="3" a="1"/>
  <c r="AA226" i="3" s="1"/>
  <c r="AA230" i="3" a="1"/>
  <c r="AA230" i="3" s="1"/>
  <c r="AA234" i="3" a="1"/>
  <c r="AA234" i="3" s="1"/>
  <c r="AA238" i="3" a="1"/>
  <c r="AA238" i="3" s="1"/>
  <c r="AA242" i="3" a="1"/>
  <c r="AA242" i="3" s="1"/>
  <c r="AA246" i="3" a="1"/>
  <c r="AA246" i="3" s="1"/>
  <c r="AA250" i="3" a="1"/>
  <c r="AA250" i="3" s="1"/>
  <c r="AA254" i="3" a="1"/>
  <c r="AA254" i="3" s="1"/>
  <c r="AA258" i="3" a="1"/>
  <c r="AA258" i="3" s="1"/>
  <c r="AA262" i="3" a="1"/>
  <c r="AA262" i="3" s="1"/>
  <c r="AA266" i="3" a="1"/>
  <c r="AA266" i="3" s="1"/>
  <c r="AA270" i="3" a="1"/>
  <c r="AA270" i="3" s="1"/>
  <c r="AA274" i="3" a="1"/>
  <c r="AA274" i="3" s="1"/>
  <c r="AA278" i="3" a="1"/>
  <c r="AA278" i="3" s="1"/>
  <c r="AA282" i="3" a="1"/>
  <c r="AA282" i="3" s="1"/>
  <c r="AA286" i="3" a="1"/>
  <c r="AA286" i="3" s="1"/>
  <c r="AA290" i="3" a="1"/>
  <c r="AA290" i="3" s="1"/>
  <c r="AA294" i="3" a="1"/>
  <c r="AA294" i="3" s="1"/>
  <c r="AA298" i="3" a="1"/>
  <c r="AA298" i="3" s="1"/>
  <c r="AA8" i="3" a="1"/>
  <c r="AA8" i="3" s="1"/>
  <c r="AC10" i="3" a="1"/>
  <c r="AC10" i="3" s="1"/>
  <c r="AC13" i="3" a="1"/>
  <c r="AC13" i="3" s="1"/>
  <c r="AC20" i="3" a="1"/>
  <c r="AC20" i="3" s="1"/>
  <c r="AC24" i="3" a="1"/>
  <c r="AC24" i="3" s="1"/>
  <c r="AC27" i="3" a="1"/>
  <c r="AC27" i="3" s="1"/>
  <c r="AC30" i="3" a="1"/>
  <c r="AC30" i="3" s="1"/>
  <c r="AC33" i="3" a="1"/>
  <c r="AC33" i="3" s="1"/>
  <c r="AC40" i="3" a="1"/>
  <c r="AC40" i="3" s="1"/>
  <c r="AC43" i="3" a="1"/>
  <c r="AC43" i="3" s="1"/>
  <c r="AC46" i="3" a="1"/>
  <c r="AC46" i="3" s="1"/>
  <c r="AC49" i="3" a="1"/>
  <c r="AC49" i="3" s="1"/>
  <c r="AC56" i="3" a="1"/>
  <c r="AC56" i="3" s="1"/>
  <c r="AC59" i="3" a="1"/>
  <c r="AC59" i="3" s="1"/>
  <c r="AC62" i="3" a="1"/>
  <c r="AC62" i="3" s="1"/>
  <c r="AC65" i="3" a="1"/>
  <c r="AC65" i="3" s="1"/>
  <c r="AC72" i="3" a="1"/>
  <c r="AC72" i="3" s="1"/>
  <c r="AC75" i="3" a="1"/>
  <c r="AC75" i="3" s="1"/>
  <c r="AC78" i="3" a="1"/>
  <c r="AC78" i="3" s="1"/>
  <c r="AC81" i="3" a="1"/>
  <c r="AC81" i="3" s="1"/>
  <c r="AC88" i="3" a="1"/>
  <c r="AC88" i="3" s="1"/>
  <c r="AC91" i="3" a="1"/>
  <c r="AC91" i="3" s="1"/>
  <c r="AC94" i="3" a="1"/>
  <c r="AC94" i="3" s="1"/>
  <c r="AC97" i="3" a="1"/>
  <c r="AC97" i="3" s="1"/>
  <c r="AC104" i="3" a="1"/>
  <c r="AC104" i="3" s="1"/>
  <c r="AC107" i="3" a="1"/>
  <c r="AC107" i="3" s="1"/>
  <c r="AC110" i="3" a="1"/>
  <c r="AC110" i="3" s="1"/>
  <c r="AC113" i="3" a="1"/>
  <c r="AC113" i="3" s="1"/>
  <c r="AC120" i="3" a="1"/>
  <c r="AC120" i="3" s="1"/>
  <c r="AC123" i="3" a="1"/>
  <c r="AC123" i="3" s="1"/>
  <c r="AC126" i="3" a="1"/>
  <c r="AC126" i="3" s="1"/>
  <c r="AC129" i="3" a="1"/>
  <c r="AC129" i="3" s="1"/>
  <c r="AC136" i="3" a="1"/>
  <c r="AC136" i="3" s="1"/>
  <c r="AC139" i="3" a="1"/>
  <c r="AC139" i="3" s="1"/>
  <c r="AC142" i="3" a="1"/>
  <c r="AC142" i="3" s="1"/>
  <c r="AC145" i="3" a="1"/>
  <c r="AC145" i="3" s="1"/>
  <c r="AC152" i="3" a="1"/>
  <c r="AC152" i="3" s="1"/>
  <c r="AC155" i="3" a="1"/>
  <c r="AC155" i="3" s="1"/>
  <c r="AC158" i="3" a="1"/>
  <c r="AC158" i="3" s="1"/>
  <c r="AC161" i="3" a="1"/>
  <c r="AC161" i="3" s="1"/>
  <c r="AC168" i="3" a="1"/>
  <c r="AC168" i="3" s="1"/>
  <c r="AC171" i="3" a="1"/>
  <c r="AC171" i="3" s="1"/>
  <c r="AC174" i="3" a="1"/>
  <c r="AC174" i="3" s="1"/>
  <c r="AC177" i="3" a="1"/>
  <c r="AC177" i="3" s="1"/>
  <c r="AC181" i="3" a="1"/>
  <c r="AC181" i="3" s="1"/>
  <c r="AC185" i="3" a="1"/>
  <c r="AC185" i="3" s="1"/>
  <c r="AC189" i="3" a="1"/>
  <c r="AC189" i="3" s="1"/>
  <c r="AC193" i="3" a="1"/>
  <c r="AC193" i="3" s="1"/>
  <c r="AC197" i="3" a="1"/>
  <c r="AC197" i="3" s="1"/>
  <c r="AC201" i="3" a="1"/>
  <c r="AC201" i="3" s="1"/>
  <c r="AC205" i="3" a="1"/>
  <c r="AC205" i="3" s="1"/>
  <c r="AC209" i="3" a="1"/>
  <c r="AC209" i="3" s="1"/>
  <c r="AC213" i="3" a="1"/>
  <c r="AC213" i="3" s="1"/>
  <c r="AC217" i="3" a="1"/>
  <c r="AC217" i="3" s="1"/>
  <c r="AC221" i="3" a="1"/>
  <c r="AC221" i="3" s="1"/>
  <c r="AC225" i="3" a="1"/>
  <c r="AC225" i="3" s="1"/>
  <c r="AC229" i="3" a="1"/>
  <c r="AC229" i="3" s="1"/>
  <c r="AC233" i="3" a="1"/>
  <c r="AC233" i="3" s="1"/>
  <c r="AC237" i="3" a="1"/>
  <c r="AC237" i="3" s="1"/>
  <c r="AC241" i="3" a="1"/>
  <c r="AC241" i="3" s="1"/>
  <c r="AC245" i="3" a="1"/>
  <c r="AC245" i="3" s="1"/>
  <c r="AC249" i="3" a="1"/>
  <c r="AC249" i="3" s="1"/>
  <c r="AC253" i="3" a="1"/>
  <c r="AC253" i="3" s="1"/>
  <c r="AC257" i="3" a="1"/>
  <c r="AC257" i="3" s="1"/>
  <c r="AC261" i="3" a="1"/>
  <c r="AC261" i="3" s="1"/>
  <c r="AC265" i="3" a="1"/>
  <c r="AC265" i="3" s="1"/>
  <c r="AC269" i="3" a="1"/>
  <c r="AC269" i="3" s="1"/>
  <c r="AC273" i="3" a="1"/>
  <c r="AC273" i="3" s="1"/>
  <c r="AC277" i="3" a="1"/>
  <c r="AC277" i="3" s="1"/>
  <c r="AC281" i="3" a="1"/>
  <c r="AC281" i="3" s="1"/>
  <c r="AC285" i="3" a="1"/>
  <c r="AC285" i="3" s="1"/>
  <c r="AC289" i="3" a="1"/>
  <c r="AC289" i="3" s="1"/>
  <c r="AC293" i="3" a="1"/>
  <c r="AC293" i="3" s="1"/>
  <c r="AC297" i="3" a="1"/>
  <c r="AC297" i="3" s="1"/>
  <c r="AC14" i="3" a="1"/>
  <c r="AC14" i="3" s="1"/>
  <c r="AC17" i="3" a="1"/>
  <c r="AC17" i="3" s="1"/>
  <c r="AC21" i="3" a="1"/>
  <c r="AC21" i="3" s="1"/>
  <c r="AC28" i="3" a="1"/>
  <c r="AC28" i="3" s="1"/>
  <c r="AC31" i="3" a="1"/>
  <c r="AC31" i="3" s="1"/>
  <c r="AC34" i="3" a="1"/>
  <c r="AC34" i="3" s="1"/>
  <c r="AC37" i="3" a="1"/>
  <c r="AC37" i="3" s="1"/>
  <c r="AC44" i="3" a="1"/>
  <c r="AC44" i="3" s="1"/>
  <c r="AC47" i="3" a="1"/>
  <c r="AC47" i="3" s="1"/>
  <c r="AC50" i="3" a="1"/>
  <c r="AC50" i="3" s="1"/>
  <c r="AC53" i="3" a="1"/>
  <c r="AC53" i="3" s="1"/>
  <c r="AC60" i="3" a="1"/>
  <c r="AC60" i="3" s="1"/>
  <c r="AC63" i="3" a="1"/>
  <c r="AC63" i="3" s="1"/>
  <c r="AC66" i="3" a="1"/>
  <c r="AC66" i="3" s="1"/>
  <c r="AC69" i="3" a="1"/>
  <c r="AC69" i="3" s="1"/>
  <c r="AC76" i="3" a="1"/>
  <c r="AC76" i="3" s="1"/>
  <c r="AC79" i="3" a="1"/>
  <c r="AC79" i="3" s="1"/>
  <c r="AC82" i="3" a="1"/>
  <c r="AC82" i="3" s="1"/>
  <c r="AC85" i="3" a="1"/>
  <c r="AC85" i="3" s="1"/>
  <c r="AC92" i="3" a="1"/>
  <c r="AC92" i="3" s="1"/>
  <c r="AC95" i="3" a="1"/>
  <c r="AC95" i="3" s="1"/>
  <c r="AC98" i="3" a="1"/>
  <c r="AC98" i="3" s="1"/>
  <c r="AC101" i="3" a="1"/>
  <c r="AC101" i="3" s="1"/>
  <c r="AC108" i="3" a="1"/>
  <c r="AC108" i="3" s="1"/>
  <c r="AC111" i="3" a="1"/>
  <c r="AC111" i="3" s="1"/>
  <c r="AC114" i="3" a="1"/>
  <c r="AC114" i="3" s="1"/>
  <c r="AC117" i="3" a="1"/>
  <c r="AC117" i="3" s="1"/>
  <c r="AC124" i="3" a="1"/>
  <c r="AC124" i="3" s="1"/>
  <c r="AC127" i="3" a="1"/>
  <c r="AC127" i="3" s="1"/>
  <c r="AC130" i="3" a="1"/>
  <c r="AC130" i="3" s="1"/>
  <c r="AC133" i="3" a="1"/>
  <c r="AC133" i="3" s="1"/>
  <c r="AC140" i="3" a="1"/>
  <c r="AC140" i="3" s="1"/>
  <c r="AC143" i="3" a="1"/>
  <c r="AC143" i="3" s="1"/>
  <c r="AC146" i="3" a="1"/>
  <c r="AC146" i="3" s="1"/>
  <c r="AC149" i="3" a="1"/>
  <c r="AC149" i="3" s="1"/>
  <c r="AC156" i="3" a="1"/>
  <c r="AC156" i="3" s="1"/>
  <c r="AC159" i="3" a="1"/>
  <c r="AC159" i="3" s="1"/>
  <c r="AC162" i="3" a="1"/>
  <c r="AC162" i="3" s="1"/>
  <c r="AC165" i="3" a="1"/>
  <c r="AC165" i="3" s="1"/>
  <c r="AC172" i="3" a="1"/>
  <c r="AC172" i="3" s="1"/>
  <c r="AC175" i="3" a="1"/>
  <c r="AC175" i="3" s="1"/>
  <c r="AC178" i="3" a="1"/>
  <c r="AC178" i="3" s="1"/>
  <c r="AC182" i="3" a="1"/>
  <c r="AC182" i="3" s="1"/>
  <c r="AC186" i="3" a="1"/>
  <c r="AC186" i="3" s="1"/>
  <c r="AC190" i="3" a="1"/>
  <c r="AC190" i="3" s="1"/>
  <c r="AC194" i="3" a="1"/>
  <c r="AC194" i="3" s="1"/>
  <c r="AC198" i="3" a="1"/>
  <c r="AC198" i="3" s="1"/>
  <c r="AC202" i="3" a="1"/>
  <c r="AC202" i="3" s="1"/>
  <c r="AC206" i="3" a="1"/>
  <c r="AC206" i="3" s="1"/>
  <c r="AC210" i="3" a="1"/>
  <c r="AC210" i="3" s="1"/>
  <c r="AC214" i="3" a="1"/>
  <c r="AC214" i="3" s="1"/>
  <c r="AC218" i="3" a="1"/>
  <c r="AC218" i="3" s="1"/>
  <c r="AC222" i="3" a="1"/>
  <c r="AC222" i="3" s="1"/>
  <c r="AC226" i="3" a="1"/>
  <c r="AC226" i="3" s="1"/>
  <c r="AC230" i="3" a="1"/>
  <c r="AC230" i="3" s="1"/>
  <c r="AC234" i="3" a="1"/>
  <c r="AC234" i="3" s="1"/>
  <c r="AC238" i="3" a="1"/>
  <c r="AC238" i="3" s="1"/>
  <c r="AC242" i="3" a="1"/>
  <c r="AC242" i="3" s="1"/>
  <c r="AC246" i="3" a="1"/>
  <c r="AC246" i="3" s="1"/>
  <c r="AC250" i="3" a="1"/>
  <c r="AC250" i="3" s="1"/>
  <c r="AC254" i="3" a="1"/>
  <c r="AC254" i="3" s="1"/>
  <c r="AC258" i="3" a="1"/>
  <c r="AC258" i="3" s="1"/>
  <c r="AC262" i="3" a="1"/>
  <c r="AC262" i="3" s="1"/>
  <c r="AC266" i="3" a="1"/>
  <c r="AC266" i="3" s="1"/>
  <c r="AC270" i="3" a="1"/>
  <c r="AC270" i="3" s="1"/>
  <c r="AC274" i="3" a="1"/>
  <c r="AC274" i="3" s="1"/>
  <c r="AC278" i="3" a="1"/>
  <c r="AC278" i="3" s="1"/>
  <c r="AC282" i="3" a="1"/>
  <c r="AC282" i="3" s="1"/>
  <c r="AC286" i="3" a="1"/>
  <c r="AC286" i="3" s="1"/>
  <c r="AC290" i="3" a="1"/>
  <c r="AC290" i="3" s="1"/>
  <c r="AC294" i="3" a="1"/>
  <c r="AC294" i="3" s="1"/>
  <c r="AC298" i="3" a="1"/>
  <c r="AC298" i="3" s="1"/>
  <c r="AC11" i="3" a="1"/>
  <c r="AC11" i="3" s="1"/>
  <c r="AC15" i="3" a="1"/>
  <c r="AC15" i="3" s="1"/>
  <c r="AC18" i="3" a="1"/>
  <c r="AC18" i="3" s="1"/>
  <c r="AC22" i="3" a="1"/>
  <c r="AC22" i="3" s="1"/>
  <c r="AC25" i="3" a="1"/>
  <c r="AC25" i="3" s="1"/>
  <c r="AC32" i="3" a="1"/>
  <c r="AC32" i="3" s="1"/>
  <c r="AC35" i="3" a="1"/>
  <c r="AC35" i="3" s="1"/>
  <c r="AC38" i="3" a="1"/>
  <c r="AC38" i="3" s="1"/>
  <c r="AC41" i="3" a="1"/>
  <c r="AC41" i="3" s="1"/>
  <c r="AC48" i="3" a="1"/>
  <c r="AC48" i="3" s="1"/>
  <c r="AC51" i="3" a="1"/>
  <c r="AC51" i="3" s="1"/>
  <c r="AC54" i="3" a="1"/>
  <c r="AC54" i="3" s="1"/>
  <c r="AC57" i="3" a="1"/>
  <c r="AC57" i="3" s="1"/>
  <c r="AC64" i="3" a="1"/>
  <c r="AC64" i="3" s="1"/>
  <c r="AC67" i="3" a="1"/>
  <c r="AC67" i="3" s="1"/>
  <c r="AC70" i="3" a="1"/>
  <c r="AC70" i="3" s="1"/>
  <c r="AC73" i="3" a="1"/>
  <c r="AC73" i="3" s="1"/>
  <c r="AC80" i="3" a="1"/>
  <c r="AC80" i="3" s="1"/>
  <c r="AC83" i="3" a="1"/>
  <c r="AC83" i="3" s="1"/>
  <c r="AC86" i="3" a="1"/>
  <c r="AC86" i="3" s="1"/>
  <c r="AC89" i="3" a="1"/>
  <c r="AC89" i="3" s="1"/>
  <c r="AC96" i="3" a="1"/>
  <c r="AC96" i="3" s="1"/>
  <c r="AC99" i="3" a="1"/>
  <c r="AC99" i="3" s="1"/>
  <c r="AC102" i="3" a="1"/>
  <c r="AC102" i="3" s="1"/>
  <c r="AC105" i="3" a="1"/>
  <c r="AC105" i="3" s="1"/>
  <c r="AC112" i="3" a="1"/>
  <c r="AC112" i="3" s="1"/>
  <c r="AC115" i="3" a="1"/>
  <c r="AC115" i="3" s="1"/>
  <c r="AC118" i="3" a="1"/>
  <c r="AC118" i="3" s="1"/>
  <c r="AC121" i="3" a="1"/>
  <c r="AC121" i="3" s="1"/>
  <c r="AC128" i="3" a="1"/>
  <c r="AC128" i="3" s="1"/>
  <c r="AC131" i="3" a="1"/>
  <c r="AC131" i="3" s="1"/>
  <c r="AC134" i="3" a="1"/>
  <c r="AC134" i="3" s="1"/>
  <c r="AC137" i="3" a="1"/>
  <c r="AC137" i="3" s="1"/>
  <c r="AC144" i="3" a="1"/>
  <c r="AC144" i="3" s="1"/>
  <c r="AC147" i="3" a="1"/>
  <c r="AC147" i="3" s="1"/>
  <c r="AC150" i="3" a="1"/>
  <c r="AC150" i="3" s="1"/>
  <c r="AC153" i="3" a="1"/>
  <c r="AC153" i="3" s="1"/>
  <c r="AC160" i="3" a="1"/>
  <c r="AC160" i="3" s="1"/>
  <c r="AC163" i="3" a="1"/>
  <c r="AC163" i="3" s="1"/>
  <c r="AC166" i="3" a="1"/>
  <c r="AC166" i="3" s="1"/>
  <c r="AC169" i="3" a="1"/>
  <c r="AC169" i="3" s="1"/>
  <c r="AC176" i="3" a="1"/>
  <c r="AC176" i="3" s="1"/>
  <c r="AC179" i="3" a="1"/>
  <c r="AC179" i="3" s="1"/>
  <c r="AC183" i="3" a="1"/>
  <c r="AC183" i="3" s="1"/>
  <c r="AC187" i="3" a="1"/>
  <c r="AC187" i="3" s="1"/>
  <c r="AC191" i="3" a="1"/>
  <c r="AC191" i="3" s="1"/>
  <c r="AC195" i="3" a="1"/>
  <c r="AC195" i="3" s="1"/>
  <c r="AC199" i="3" a="1"/>
  <c r="AC199" i="3" s="1"/>
  <c r="AC203" i="3" a="1"/>
  <c r="AC203" i="3" s="1"/>
  <c r="AC207" i="3" a="1"/>
  <c r="AC207" i="3" s="1"/>
  <c r="AC211" i="3" a="1"/>
  <c r="AC211" i="3" s="1"/>
  <c r="AC215" i="3" a="1"/>
  <c r="AC215" i="3" s="1"/>
  <c r="AC219" i="3" a="1"/>
  <c r="AC219" i="3" s="1"/>
  <c r="AC223" i="3" a="1"/>
  <c r="AC223" i="3" s="1"/>
  <c r="AC227" i="3" a="1"/>
  <c r="AC227" i="3" s="1"/>
  <c r="AC231" i="3" a="1"/>
  <c r="AC231" i="3" s="1"/>
  <c r="AC235" i="3" a="1"/>
  <c r="AC235" i="3" s="1"/>
  <c r="AC239" i="3" a="1"/>
  <c r="AC239" i="3" s="1"/>
  <c r="AC243" i="3" a="1"/>
  <c r="AC243" i="3" s="1"/>
  <c r="AC247" i="3" a="1"/>
  <c r="AC247" i="3" s="1"/>
  <c r="AC251" i="3" a="1"/>
  <c r="AC251" i="3" s="1"/>
  <c r="AC255" i="3" a="1"/>
  <c r="AC255" i="3" s="1"/>
  <c r="AC259" i="3" a="1"/>
  <c r="AC259" i="3" s="1"/>
  <c r="AC263" i="3" a="1"/>
  <c r="AC263" i="3" s="1"/>
  <c r="AC267" i="3" a="1"/>
  <c r="AC267" i="3" s="1"/>
  <c r="AC271" i="3" a="1"/>
  <c r="AC271" i="3" s="1"/>
  <c r="AC275" i="3" a="1"/>
  <c r="AC275" i="3" s="1"/>
  <c r="AC279" i="3" a="1"/>
  <c r="AC279" i="3" s="1"/>
  <c r="AC283" i="3" a="1"/>
  <c r="AC283" i="3" s="1"/>
  <c r="AC287" i="3" a="1"/>
  <c r="AC287" i="3" s="1"/>
  <c r="AC291" i="3" a="1"/>
  <c r="AC291" i="3" s="1"/>
  <c r="AC295" i="3" a="1"/>
  <c r="AC295" i="3" s="1"/>
  <c r="AC299" i="3" a="1"/>
  <c r="AC299" i="3" s="1"/>
  <c r="AC9" i="3" a="1"/>
  <c r="AC9" i="3" s="1"/>
  <c r="AC12" i="3" a="1"/>
  <c r="AC12" i="3" s="1"/>
  <c r="AC16" i="3" a="1"/>
  <c r="AC16" i="3" s="1"/>
  <c r="AC19" i="3" a="1"/>
  <c r="AC19" i="3" s="1"/>
  <c r="AC23" i="3" a="1"/>
  <c r="AC23" i="3" s="1"/>
  <c r="AC26" i="3" a="1"/>
  <c r="AC26" i="3" s="1"/>
  <c r="AC29" i="3" a="1"/>
  <c r="AC29" i="3" s="1"/>
  <c r="AC36" i="3" a="1"/>
  <c r="AC36" i="3" s="1"/>
  <c r="AC39" i="3" a="1"/>
  <c r="AC39" i="3" s="1"/>
  <c r="AC42" i="3" a="1"/>
  <c r="AC42" i="3" s="1"/>
  <c r="AC45" i="3" a="1"/>
  <c r="AC45" i="3" s="1"/>
  <c r="AC52" i="3" a="1"/>
  <c r="AC52" i="3" s="1"/>
  <c r="AC55" i="3" a="1"/>
  <c r="AC55" i="3" s="1"/>
  <c r="AC58" i="3" a="1"/>
  <c r="AC58" i="3" s="1"/>
  <c r="AC61" i="3" a="1"/>
  <c r="AC61" i="3" s="1"/>
  <c r="AC68" i="3" a="1"/>
  <c r="AC68" i="3" s="1"/>
  <c r="AC71" i="3" a="1"/>
  <c r="AC71" i="3" s="1"/>
  <c r="AC74" i="3" a="1"/>
  <c r="AC74" i="3" s="1"/>
  <c r="AC77" i="3" a="1"/>
  <c r="AC77" i="3" s="1"/>
  <c r="AC84" i="3" a="1"/>
  <c r="AC84" i="3" s="1"/>
  <c r="AC87" i="3" a="1"/>
  <c r="AC87" i="3" s="1"/>
  <c r="AC90" i="3" a="1"/>
  <c r="AC90" i="3" s="1"/>
  <c r="AC93" i="3" a="1"/>
  <c r="AC93" i="3" s="1"/>
  <c r="AC100" i="3" a="1"/>
  <c r="AC100" i="3" s="1"/>
  <c r="AC103" i="3" a="1"/>
  <c r="AC103" i="3" s="1"/>
  <c r="AC106" i="3" a="1"/>
  <c r="AC106" i="3" s="1"/>
  <c r="AC109" i="3" a="1"/>
  <c r="AC109" i="3" s="1"/>
  <c r="AC116" i="3" a="1"/>
  <c r="AC116" i="3" s="1"/>
  <c r="AC119" i="3" a="1"/>
  <c r="AC119" i="3" s="1"/>
  <c r="AC122" i="3" a="1"/>
  <c r="AC122" i="3" s="1"/>
  <c r="AC125" i="3" a="1"/>
  <c r="AC125" i="3" s="1"/>
  <c r="AC132" i="3" a="1"/>
  <c r="AC132" i="3" s="1"/>
  <c r="AC135" i="3" a="1"/>
  <c r="AC135" i="3" s="1"/>
  <c r="AC138" i="3" a="1"/>
  <c r="AC138" i="3" s="1"/>
  <c r="AC141" i="3" a="1"/>
  <c r="AC141" i="3" s="1"/>
  <c r="AC148" i="3" a="1"/>
  <c r="AC148" i="3" s="1"/>
  <c r="AC151" i="3" a="1"/>
  <c r="AC151" i="3" s="1"/>
  <c r="AC154" i="3" a="1"/>
  <c r="AC154" i="3" s="1"/>
  <c r="AC157" i="3" a="1"/>
  <c r="AC157" i="3" s="1"/>
  <c r="AC164" i="3" a="1"/>
  <c r="AC164" i="3" s="1"/>
  <c r="AC167" i="3" a="1"/>
  <c r="AC167" i="3" s="1"/>
  <c r="AC170" i="3" a="1"/>
  <c r="AC170" i="3" s="1"/>
  <c r="AC173" i="3" a="1"/>
  <c r="AC173" i="3" s="1"/>
  <c r="AC180" i="3" a="1"/>
  <c r="AC180" i="3" s="1"/>
  <c r="AC184" i="3" a="1"/>
  <c r="AC184" i="3" s="1"/>
  <c r="AC188" i="3" a="1"/>
  <c r="AC188" i="3" s="1"/>
  <c r="AC192" i="3" a="1"/>
  <c r="AC192" i="3" s="1"/>
  <c r="AC196" i="3" a="1"/>
  <c r="AC196" i="3" s="1"/>
  <c r="AC200" i="3" a="1"/>
  <c r="AC200" i="3" s="1"/>
  <c r="AC204" i="3" a="1"/>
  <c r="AC204" i="3" s="1"/>
  <c r="AC208" i="3" a="1"/>
  <c r="AC208" i="3" s="1"/>
  <c r="AC212" i="3" a="1"/>
  <c r="AC212" i="3" s="1"/>
  <c r="AC216" i="3" a="1"/>
  <c r="AC216" i="3" s="1"/>
  <c r="AC220" i="3" a="1"/>
  <c r="AC220" i="3" s="1"/>
  <c r="AC224" i="3" a="1"/>
  <c r="AC224" i="3" s="1"/>
  <c r="AC228" i="3" a="1"/>
  <c r="AC228" i="3" s="1"/>
  <c r="AC232" i="3" a="1"/>
  <c r="AC232" i="3" s="1"/>
  <c r="AC236" i="3" a="1"/>
  <c r="AC236" i="3" s="1"/>
  <c r="AC240" i="3" a="1"/>
  <c r="AC240" i="3" s="1"/>
  <c r="AC244" i="3" a="1"/>
  <c r="AC244" i="3" s="1"/>
  <c r="AC248" i="3" a="1"/>
  <c r="AC248" i="3" s="1"/>
  <c r="AC252" i="3" a="1"/>
  <c r="AC252" i="3" s="1"/>
  <c r="AC256" i="3" a="1"/>
  <c r="AC256" i="3" s="1"/>
  <c r="AC260" i="3" a="1"/>
  <c r="AC260" i="3" s="1"/>
  <c r="AC264" i="3" a="1"/>
  <c r="AC264" i="3" s="1"/>
  <c r="AC268" i="3" a="1"/>
  <c r="AC268" i="3" s="1"/>
  <c r="AC272" i="3" a="1"/>
  <c r="AC272" i="3" s="1"/>
  <c r="AC276" i="3" a="1"/>
  <c r="AC276" i="3" s="1"/>
  <c r="AC280" i="3" a="1"/>
  <c r="AC280" i="3" s="1"/>
  <c r="AC284" i="3" a="1"/>
  <c r="AC284" i="3" s="1"/>
  <c r="AC288" i="3" a="1"/>
  <c r="AC288" i="3" s="1"/>
  <c r="AC292" i="3" a="1"/>
  <c r="AC292" i="3" s="1"/>
  <c r="AC296" i="3" a="1"/>
  <c r="AC296" i="3" s="1"/>
  <c r="AC300" i="3" a="1"/>
  <c r="AC300" i="3" s="1"/>
  <c r="AC8" i="3" a="1"/>
  <c r="AC8" i="3" s="1"/>
  <c r="Y8" i="3" a="1"/>
  <c r="Y8" i="3" s="1"/>
  <c r="P62" i="3" a="1"/>
  <c r="P62" i="3" s="1"/>
  <c r="P66" i="3" a="1"/>
  <c r="P66" i="3" s="1"/>
  <c r="P53" i="3" a="1"/>
  <c r="P53" i="3" s="1"/>
  <c r="P57" i="3" a="1"/>
  <c r="P57" i="3" s="1"/>
  <c r="P38" i="3" a="1"/>
  <c r="P38" i="3" s="1"/>
  <c r="P42" i="3" a="1"/>
  <c r="P42" i="3" s="1"/>
  <c r="P46" i="3" a="1"/>
  <c r="P46" i="3" s="1"/>
  <c r="P50" i="3" a="1"/>
  <c r="P50" i="3" s="1"/>
  <c r="P59" i="3" a="1"/>
  <c r="P59" i="3" s="1"/>
  <c r="P63" i="3" a="1"/>
  <c r="P63" i="3" s="1"/>
  <c r="P67" i="3" a="1"/>
  <c r="P67" i="3" s="1"/>
  <c r="P54" i="3" a="1"/>
  <c r="P54" i="3" s="1"/>
  <c r="P58" i="3" a="1"/>
  <c r="P58" i="3" s="1"/>
  <c r="P39" i="3" a="1"/>
  <c r="P39" i="3" s="1"/>
  <c r="P43" i="3" a="1"/>
  <c r="P43" i="3" s="1"/>
  <c r="P47" i="3" a="1"/>
  <c r="P47" i="3" s="1"/>
  <c r="P60" i="3" a="1"/>
  <c r="P60" i="3" s="1"/>
  <c r="P64" i="3" a="1"/>
  <c r="P64" i="3" s="1"/>
  <c r="P51" i="3" a="1"/>
  <c r="P51" i="3" s="1"/>
  <c r="P55" i="3" a="1"/>
  <c r="P55" i="3" s="1"/>
  <c r="P40" i="3" a="1"/>
  <c r="P40" i="3" s="1"/>
  <c r="P44" i="3" a="1"/>
  <c r="P44" i="3" s="1"/>
  <c r="P48" i="3" a="1"/>
  <c r="P48" i="3" s="1"/>
  <c r="P61" i="3" a="1"/>
  <c r="P61" i="3" s="1"/>
  <c r="P65" i="3" a="1"/>
  <c r="P65" i="3" s="1"/>
  <c r="P52" i="3" a="1"/>
  <c r="P52" i="3" s="1"/>
  <c r="P56" i="3" a="1"/>
  <c r="P56" i="3" s="1"/>
  <c r="P41" i="3" a="1"/>
  <c r="P41" i="3" s="1"/>
  <c r="P45" i="3" a="1"/>
  <c r="P45" i="3" s="1"/>
  <c r="P49" i="3" a="1"/>
  <c r="P49" i="3" s="1"/>
  <c r="Q61" i="3" a="1"/>
  <c r="Q61" i="3" s="1"/>
  <c r="Q65" i="3" a="1"/>
  <c r="Q65" i="3" s="1"/>
  <c r="Q53" i="3" a="1"/>
  <c r="Q53" i="3" s="1"/>
  <c r="Q57" i="3" a="1"/>
  <c r="Q57" i="3" s="1"/>
  <c r="Q41" i="3" a="1"/>
  <c r="Q41" i="3" s="1"/>
  <c r="Q45" i="3" a="1"/>
  <c r="Q45" i="3" s="1"/>
  <c r="Q49" i="3" a="1"/>
  <c r="Q49" i="3" s="1"/>
  <c r="Q62" i="3" a="1"/>
  <c r="Q62" i="3" s="1"/>
  <c r="Q66" i="3" a="1"/>
  <c r="Q66" i="3" s="1"/>
  <c r="Q54" i="3" a="1"/>
  <c r="Q54" i="3" s="1"/>
  <c r="Q58" i="3" a="1"/>
  <c r="Q58" i="3" s="1"/>
  <c r="Q38" i="3" a="1"/>
  <c r="Q38" i="3" s="1"/>
  <c r="Q42" i="3" a="1"/>
  <c r="Q42" i="3" s="1"/>
  <c r="Q46" i="3" a="1"/>
  <c r="Q46" i="3" s="1"/>
  <c r="Q50" i="3" a="1"/>
  <c r="Q50" i="3" s="1"/>
  <c r="Q59" i="3" a="1"/>
  <c r="Q59" i="3" s="1"/>
  <c r="Q63" i="3" a="1"/>
  <c r="Q63" i="3" s="1"/>
  <c r="Q67" i="3" a="1"/>
  <c r="Q67" i="3" s="1"/>
  <c r="Q51" i="3" a="1"/>
  <c r="Q51" i="3" s="1"/>
  <c r="Q55" i="3" a="1"/>
  <c r="Q55" i="3" s="1"/>
  <c r="Q39" i="3" a="1"/>
  <c r="Q39" i="3" s="1"/>
  <c r="Q43" i="3" a="1"/>
  <c r="Q43" i="3" s="1"/>
  <c r="Q47" i="3" a="1"/>
  <c r="Q47" i="3" s="1"/>
  <c r="Q60" i="3" a="1"/>
  <c r="Q60" i="3" s="1"/>
  <c r="Q64" i="3" a="1"/>
  <c r="Q64" i="3" s="1"/>
  <c r="Q52" i="3" a="1"/>
  <c r="Q52" i="3" s="1"/>
  <c r="Q56" i="3" a="1"/>
  <c r="Q56" i="3" s="1"/>
  <c r="Q40" i="3" a="1"/>
  <c r="Q40" i="3" s="1"/>
  <c r="Q44" i="3" a="1"/>
  <c r="Q44" i="3" s="1"/>
  <c r="Q48" i="3" a="1"/>
  <c r="Q48" i="3" s="1"/>
  <c r="O61" i="3" a="1"/>
  <c r="O61" i="3" s="1"/>
  <c r="O67" i="3" a="1"/>
  <c r="O67" i="3" s="1"/>
  <c r="O52" i="3" a="1"/>
  <c r="O52" i="3" s="1"/>
  <c r="O57" i="3" a="1"/>
  <c r="O57" i="3" s="1"/>
  <c r="O39" i="3" a="1"/>
  <c r="O39" i="3" s="1"/>
  <c r="O43" i="3" a="1"/>
  <c r="O43" i="3" s="1"/>
  <c r="O47" i="3" a="1"/>
  <c r="O47" i="3" s="1"/>
  <c r="O59" i="3" a="1"/>
  <c r="O59" i="3" s="1"/>
  <c r="O64" i="3" a="1"/>
  <c r="O64" i="3" s="1"/>
  <c r="O55" i="3" a="1"/>
  <c r="O55" i="3" s="1"/>
  <c r="O58" i="3" a="1"/>
  <c r="O58" i="3" s="1"/>
  <c r="O40" i="3" a="1"/>
  <c r="O40" i="3" s="1"/>
  <c r="O44" i="3" a="1"/>
  <c r="O44" i="3" s="1"/>
  <c r="O48" i="3" a="1"/>
  <c r="O48" i="3" s="1"/>
  <c r="O62" i="3" a="1"/>
  <c r="O62" i="3" s="1"/>
  <c r="O65" i="3" a="1"/>
  <c r="O65" i="3" s="1"/>
  <c r="O53" i="3" a="1"/>
  <c r="O53" i="3" s="1"/>
  <c r="O56" i="3" a="1"/>
  <c r="O56" i="3" s="1"/>
  <c r="O41" i="3" a="1"/>
  <c r="O41" i="3" s="1"/>
  <c r="O45" i="3" a="1"/>
  <c r="O45" i="3" s="1"/>
  <c r="O49" i="3" a="1"/>
  <c r="O49" i="3" s="1"/>
  <c r="O60" i="3" a="1"/>
  <c r="O60" i="3" s="1"/>
  <c r="O63" i="3" a="1"/>
  <c r="O63" i="3" s="1"/>
  <c r="O66" i="3" a="1"/>
  <c r="O66" i="3" s="1"/>
  <c r="O51" i="3" a="1"/>
  <c r="O51" i="3" s="1"/>
  <c r="O54" i="3" a="1"/>
  <c r="O54" i="3" s="1"/>
  <c r="O38" i="3" a="1"/>
  <c r="O38" i="3" s="1"/>
  <c r="O42" i="3" a="1"/>
  <c r="O42" i="3" s="1"/>
  <c r="O46" i="3" a="1"/>
  <c r="O46" i="3" s="1"/>
  <c r="O50" i="3" a="1"/>
  <c r="O50" i="3" s="1"/>
  <c r="CK7" i="3"/>
  <c r="AI10" i="3" a="1"/>
  <c r="AI10" i="3" s="1"/>
  <c r="AI14" i="3" a="1"/>
  <c r="AI14" i="3" s="1"/>
  <c r="AI9" i="3" a="1"/>
  <c r="AI9" i="3" s="1"/>
  <c r="AI13" i="3" a="1"/>
  <c r="AI13" i="3" s="1"/>
  <c r="AI8" i="3" a="1"/>
  <c r="AI8" i="3" s="1"/>
  <c r="AI12" i="3" a="1"/>
  <c r="AI12" i="3" s="1"/>
  <c r="AI11" i="3" a="1"/>
  <c r="AI11" i="3" s="1"/>
  <c r="AI15" i="3" a="1"/>
  <c r="AI15" i="3" s="1"/>
  <c r="AG9" i="3" a="1"/>
  <c r="AG9" i="3" s="1"/>
  <c r="AG8" i="3" a="1"/>
  <c r="AG8" i="3" s="1"/>
  <c r="CI7" i="3"/>
  <c r="AE10" i="3" a="1"/>
  <c r="AE10" i="3" s="1"/>
  <c r="AE14" i="3" a="1"/>
  <c r="AE14" i="3" s="1"/>
  <c r="AE18" i="3" a="1"/>
  <c r="AE18" i="3" s="1"/>
  <c r="AE24" i="3" a="1"/>
  <c r="AE24" i="3" s="1"/>
  <c r="AE27" i="3" a="1"/>
  <c r="AE27" i="3" s="1"/>
  <c r="AE32" i="3" a="1"/>
  <c r="AE32" i="3" s="1"/>
  <c r="AE35" i="3" a="1"/>
  <c r="AE35" i="3" s="1"/>
  <c r="AE11" i="3" a="1"/>
  <c r="AE11" i="3" s="1"/>
  <c r="AE15" i="3" a="1"/>
  <c r="AE15" i="3" s="1"/>
  <c r="AE19" i="3" a="1"/>
  <c r="AE19" i="3" s="1"/>
  <c r="AE29" i="3" a="1"/>
  <c r="AE29" i="3" s="1"/>
  <c r="AE9" i="3" a="1"/>
  <c r="AE9" i="3" s="1"/>
  <c r="AE13" i="3" a="1"/>
  <c r="AE13" i="3" s="1"/>
  <c r="AE17" i="3" a="1"/>
  <c r="AE17" i="3" s="1"/>
  <c r="AE8" i="3" a="1"/>
  <c r="AE8" i="3" s="1"/>
  <c r="AE22" i="3" a="1"/>
  <c r="AE22" i="3" s="1"/>
  <c r="AE25" i="3" a="1"/>
  <c r="AE25" i="3" s="1"/>
  <c r="AE30" i="3" a="1"/>
  <c r="AE30" i="3" s="1"/>
  <c r="AE33" i="3" a="1"/>
  <c r="AE33" i="3" s="1"/>
  <c r="AE21" i="3" a="1"/>
  <c r="AE21" i="3" s="1"/>
  <c r="AE34" i="3" a="1"/>
  <c r="AE34" i="3" s="1"/>
  <c r="AE12" i="3" a="1"/>
  <c r="AE12" i="3" s="1"/>
  <c r="AE16" i="3" a="1"/>
  <c r="AE16" i="3" s="1"/>
  <c r="AE20" i="3" a="1"/>
  <c r="AE20" i="3" s="1"/>
  <c r="AE23" i="3" a="1"/>
  <c r="AE23" i="3" s="1"/>
  <c r="AE28" i="3" a="1"/>
  <c r="AE28" i="3" s="1"/>
  <c r="AE31" i="3" a="1"/>
  <c r="AE31" i="3" s="1"/>
  <c r="AE36" i="3" a="1"/>
  <c r="AE36" i="3" s="1"/>
  <c r="AE26" i="3" a="1"/>
  <c r="AE26" i="3" s="1"/>
  <c r="AE37" i="3" a="1"/>
  <c r="AE37" i="3" s="1"/>
  <c r="BI7" i="3"/>
  <c r="U9" i="3" a="1"/>
  <c r="U9" i="3" s="1"/>
  <c r="U12" i="3" a="1"/>
  <c r="U12" i="3" s="1"/>
  <c r="U10" i="3" a="1"/>
  <c r="U10" i="3" s="1"/>
  <c r="U13" i="3" a="1"/>
  <c r="U13" i="3" s="1"/>
  <c r="U11" i="3" a="1"/>
  <c r="U11" i="3" s="1"/>
  <c r="CG7" i="3"/>
  <c r="AR7" i="3"/>
  <c r="I10" i="3" a="1"/>
  <c r="I10" i="3" s="1"/>
  <c r="I15" i="3" a="1"/>
  <c r="I15" i="3" s="1"/>
  <c r="I18" i="3" a="1"/>
  <c r="I18" i="3" s="1"/>
  <c r="I23" i="3" a="1"/>
  <c r="I23" i="3" s="1"/>
  <c r="I27" i="3" a="1"/>
  <c r="I27" i="3" s="1"/>
  <c r="I31" i="3" a="1"/>
  <c r="I31" i="3" s="1"/>
  <c r="I35" i="3" a="1"/>
  <c r="I35" i="3" s="1"/>
  <c r="J28" i="3" a="1"/>
  <c r="J28" i="3" s="1"/>
  <c r="J32" i="3" a="1"/>
  <c r="J32" i="3" s="1"/>
  <c r="J36" i="3" a="1"/>
  <c r="J36" i="3" s="1"/>
  <c r="I13" i="3" a="1"/>
  <c r="I13" i="3" s="1"/>
  <c r="I16" i="3" a="1"/>
  <c r="I16" i="3" s="1"/>
  <c r="I21" i="3" a="1"/>
  <c r="I21" i="3" s="1"/>
  <c r="I24" i="3" a="1"/>
  <c r="I24" i="3" s="1"/>
  <c r="I28" i="3" a="1"/>
  <c r="I28" i="3" s="1"/>
  <c r="I32" i="3" a="1"/>
  <c r="I32" i="3" s="1"/>
  <c r="I36" i="3" a="1"/>
  <c r="I36" i="3" s="1"/>
  <c r="J29" i="3" a="1"/>
  <c r="J29" i="3" s="1"/>
  <c r="J33" i="3" a="1"/>
  <c r="J33" i="3" s="1"/>
  <c r="J37" i="3" a="1"/>
  <c r="J37" i="3" s="1"/>
  <c r="I11" i="3" a="1"/>
  <c r="I11" i="3" s="1"/>
  <c r="I14" i="3" a="1"/>
  <c r="I14" i="3" s="1"/>
  <c r="I19" i="3" a="1"/>
  <c r="I19" i="3" s="1"/>
  <c r="I22" i="3" a="1"/>
  <c r="I22" i="3" s="1"/>
  <c r="I25" i="3" a="1"/>
  <c r="I25" i="3" s="1"/>
  <c r="I29" i="3" a="1"/>
  <c r="I29" i="3" s="1"/>
  <c r="I33" i="3" a="1"/>
  <c r="I33" i="3" s="1"/>
  <c r="I37" i="3" a="1"/>
  <c r="I37" i="3" s="1"/>
  <c r="J30" i="3" a="1"/>
  <c r="J30" i="3" s="1"/>
  <c r="J34" i="3" a="1"/>
  <c r="J34" i="3" s="1"/>
  <c r="I9" i="3" a="1"/>
  <c r="I9" i="3" s="1"/>
  <c r="I12" i="3" a="1"/>
  <c r="I12" i="3" s="1"/>
  <c r="I17" i="3" a="1"/>
  <c r="I17" i="3" s="1"/>
  <c r="I20" i="3" a="1"/>
  <c r="I20" i="3" s="1"/>
  <c r="I26" i="3" a="1"/>
  <c r="I26" i="3" s="1"/>
  <c r="I30" i="3" a="1"/>
  <c r="I30" i="3" s="1"/>
  <c r="I34" i="3" a="1"/>
  <c r="I34" i="3" s="1"/>
  <c r="I8" i="3" a="1"/>
  <c r="I8" i="3" s="1"/>
  <c r="J31" i="3" a="1"/>
  <c r="J31" i="3" s="1"/>
  <c r="J35" i="3" a="1"/>
  <c r="J35" i="3" s="1"/>
  <c r="G13" i="3" a="1"/>
  <c r="G13" i="3" s="1"/>
  <c r="G16" i="3" a="1"/>
  <c r="G16" i="3" s="1"/>
  <c r="G21" i="3" a="1"/>
  <c r="G21" i="3" s="1"/>
  <c r="G24" i="3" a="1"/>
  <c r="G24" i="3" s="1"/>
  <c r="G29" i="3" a="1"/>
  <c r="G29" i="3" s="1"/>
  <c r="G32" i="3" a="1"/>
  <c r="G32" i="3" s="1"/>
  <c r="G36" i="3" a="1"/>
  <c r="G36" i="3" s="1"/>
  <c r="AP7" i="3"/>
  <c r="G11" i="3" a="1"/>
  <c r="G11" i="3" s="1"/>
  <c r="G14" i="3" a="1"/>
  <c r="G14" i="3" s="1"/>
  <c r="G19" i="3" a="1"/>
  <c r="G19" i="3" s="1"/>
  <c r="G22" i="3" a="1"/>
  <c r="G22" i="3" s="1"/>
  <c r="G27" i="3" a="1"/>
  <c r="G27" i="3" s="1"/>
  <c r="G30" i="3" a="1"/>
  <c r="G30" i="3" s="1"/>
  <c r="G33" i="3" a="1"/>
  <c r="G33" i="3" s="1"/>
  <c r="G37" i="3" a="1"/>
  <c r="G37" i="3" s="1"/>
  <c r="G9" i="3" a="1"/>
  <c r="G9" i="3" s="1"/>
  <c r="G12" i="3" a="1"/>
  <c r="G12" i="3" s="1"/>
  <c r="G17" i="3" a="1"/>
  <c r="G17" i="3" s="1"/>
  <c r="G20" i="3" a="1"/>
  <c r="G20" i="3" s="1"/>
  <c r="G25" i="3" a="1"/>
  <c r="G25" i="3" s="1"/>
  <c r="G28" i="3" a="1"/>
  <c r="G28" i="3" s="1"/>
  <c r="G34" i="3" a="1"/>
  <c r="G34" i="3" s="1"/>
  <c r="G8" i="3" a="1"/>
  <c r="G8" i="3" s="1"/>
  <c r="G10" i="3" a="1"/>
  <c r="G10" i="3" s="1"/>
  <c r="G15" i="3" a="1"/>
  <c r="G15" i="3" s="1"/>
  <c r="G18" i="3" a="1"/>
  <c r="G18" i="3" s="1"/>
  <c r="G23" i="3" a="1"/>
  <c r="G23" i="3" s="1"/>
  <c r="G26" i="3" a="1"/>
  <c r="G26" i="3" s="1"/>
  <c r="G31" i="3" a="1"/>
  <c r="G31" i="3" s="1"/>
  <c r="G35" i="3" a="1"/>
  <c r="G35" i="3" s="1"/>
  <c r="K22" i="3" a="1"/>
  <c r="K22" i="3" s="1"/>
  <c r="K14" i="3" a="1"/>
  <c r="K14" i="3" s="1"/>
  <c r="K9" i="3" a="1"/>
  <c r="K9" i="3" s="1"/>
  <c r="K16" i="3" a="1"/>
  <c r="K16" i="3" s="1"/>
  <c r="K23" i="3" a="1"/>
  <c r="K23" i="3" s="1"/>
  <c r="M15" i="3" a="1"/>
  <c r="M15" i="3" s="1"/>
  <c r="AW7" i="3"/>
  <c r="L25" i="3" s="1" a="1"/>
  <c r="L25" i="3" s="1"/>
  <c r="M18" i="3" a="1"/>
  <c r="M18" i="3" s="1"/>
  <c r="M34" i="3" a="1"/>
  <c r="M34" i="3" s="1"/>
  <c r="M16" i="3" a="1"/>
  <c r="M16" i="3" s="1"/>
  <c r="M21" i="3" a="1"/>
  <c r="M21" i="3" s="1"/>
  <c r="K18" i="3" a="1"/>
  <c r="K18" i="3" s="1"/>
  <c r="K19" i="3" a="1"/>
  <c r="K19" i="3" s="1"/>
  <c r="K17" i="3" a="1"/>
  <c r="K17" i="3" s="1"/>
  <c r="M17" i="3" a="1"/>
  <c r="M17" i="3" s="1"/>
  <c r="M11" i="3" a="1"/>
  <c r="M11" i="3" s="1"/>
  <c r="K11" i="3" a="1"/>
  <c r="K11" i="3" s="1"/>
  <c r="K20" i="3" a="1"/>
  <c r="K20" i="3" s="1"/>
  <c r="K24" i="3" a="1"/>
  <c r="K24" i="3" s="1"/>
  <c r="K25" i="3" a="1"/>
  <c r="K25" i="3" s="1"/>
  <c r="M12" i="3" a="1"/>
  <c r="M12" i="3" s="1"/>
  <c r="K15" i="3" a="1"/>
  <c r="K15" i="3" s="1"/>
  <c r="K13" i="3" a="1"/>
  <c r="K13" i="3" s="1"/>
  <c r="M13" i="3" a="1"/>
  <c r="M13" i="3" s="1"/>
  <c r="M14" i="3" a="1"/>
  <c r="M14" i="3" s="1"/>
  <c r="M22" i="3" a="1"/>
  <c r="M22" i="3" s="1"/>
  <c r="M24" i="3" a="1"/>
  <c r="M24" i="3" s="1"/>
  <c r="M28" i="3" a="1"/>
  <c r="M28" i="3" s="1"/>
  <c r="M20" i="3" a="1"/>
  <c r="M20" i="3" s="1"/>
  <c r="M26" i="3" a="1"/>
  <c r="M26" i="3" s="1"/>
  <c r="M10" i="3" a="1"/>
  <c r="M10" i="3" s="1"/>
  <c r="M23" i="3" a="1"/>
  <c r="M23" i="3" s="1"/>
  <c r="M9" i="3" a="1"/>
  <c r="M9" i="3" s="1"/>
  <c r="M29" i="3" a="1"/>
  <c r="M29" i="3" s="1"/>
  <c r="M32" i="3" a="1"/>
  <c r="M32" i="3" s="1"/>
  <c r="M19" i="3" a="1"/>
  <c r="M19" i="3" s="1"/>
  <c r="M25" i="3" a="1"/>
  <c r="M25" i="3" s="1"/>
  <c r="M27" i="3" a="1"/>
  <c r="M27" i="3" s="1"/>
  <c r="M31" i="3" a="1"/>
  <c r="M31" i="3" s="1"/>
  <c r="K10" i="3" a="1"/>
  <c r="K10" i="3" s="1"/>
  <c r="K28" i="3" a="1"/>
  <c r="K28" i="3" s="1"/>
  <c r="K32" i="3" a="1"/>
  <c r="K32" i="3" s="1"/>
  <c r="K36" i="3" a="1"/>
  <c r="K36" i="3" s="1"/>
  <c r="AU7" i="3"/>
  <c r="K12" i="3" a="1"/>
  <c r="K12" i="3" s="1"/>
  <c r="K29" i="3" a="1"/>
  <c r="K29" i="3" s="1"/>
  <c r="K33" i="3" a="1"/>
  <c r="K33" i="3" s="1"/>
  <c r="K37" i="3" a="1"/>
  <c r="K37" i="3" s="1"/>
  <c r="K26" i="3" a="1"/>
  <c r="K26" i="3" s="1"/>
  <c r="K30" i="3" a="1"/>
  <c r="K30" i="3" s="1"/>
  <c r="K34" i="3" a="1"/>
  <c r="K34" i="3" s="1"/>
  <c r="K8" i="3" a="1"/>
  <c r="K8" i="3" s="1"/>
  <c r="K27" i="3" a="1"/>
  <c r="K27" i="3" s="1"/>
  <c r="K31" i="3" a="1"/>
  <c r="K31" i="3" s="1"/>
  <c r="K35" i="3" a="1"/>
  <c r="K35" i="3" s="1"/>
  <c r="M35" i="3" a="1"/>
  <c r="M35" i="3" s="1"/>
  <c r="M37" i="3" a="1"/>
  <c r="M37" i="3" s="1"/>
  <c r="M30" i="3" a="1"/>
  <c r="M30" i="3" s="1"/>
  <c r="M33" i="3" a="1"/>
  <c r="M33" i="3" s="1"/>
  <c r="M36" i="3" a="1"/>
  <c r="M36" i="3" s="1"/>
  <c r="M8" i="3" a="1"/>
  <c r="M8" i="3" s="1"/>
  <c r="K21" i="3" a="1"/>
  <c r="K21" i="3" s="1"/>
  <c r="BB7" i="3"/>
  <c r="W9" i="3" a="1"/>
  <c r="W9" i="3" s="1"/>
  <c r="W13" i="3" a="1"/>
  <c r="W13" i="3" s="1"/>
  <c r="W17" i="3" a="1"/>
  <c r="W17" i="3" s="1"/>
  <c r="W20" i="3" a="1"/>
  <c r="W20" i="3" s="1"/>
  <c r="W24" i="3" a="1"/>
  <c r="W24" i="3" s="1"/>
  <c r="W28" i="3" a="1"/>
  <c r="W28" i="3" s="1"/>
  <c r="W32" i="3" a="1"/>
  <c r="W32" i="3" s="1"/>
  <c r="W35" i="3" a="1"/>
  <c r="W35" i="3" s="1"/>
  <c r="W39" i="3" a="1"/>
  <c r="W39" i="3" s="1"/>
  <c r="W43" i="3" a="1"/>
  <c r="W43" i="3" s="1"/>
  <c r="W47" i="3" a="1"/>
  <c r="W47" i="3" s="1"/>
  <c r="W50" i="3" a="1"/>
  <c r="W50" i="3" s="1"/>
  <c r="W54" i="3" a="1"/>
  <c r="W54" i="3" s="1"/>
  <c r="W58" i="3" a="1"/>
  <c r="W58" i="3" s="1"/>
  <c r="W62" i="3" a="1"/>
  <c r="W62" i="3" s="1"/>
  <c r="W69" i="3" a="1"/>
  <c r="W69" i="3" s="1"/>
  <c r="W73" i="3" a="1"/>
  <c r="W73" i="3" s="1"/>
  <c r="W77" i="3" a="1"/>
  <c r="W77" i="3" s="1"/>
  <c r="W81" i="3" a="1"/>
  <c r="W81" i="3" s="1"/>
  <c r="W85" i="3" a="1"/>
  <c r="W85" i="3" s="1"/>
  <c r="W89" i="3" a="1"/>
  <c r="W89" i="3" s="1"/>
  <c r="W93" i="3" a="1"/>
  <c r="W93" i="3" s="1"/>
  <c r="W97" i="3" a="1"/>
  <c r="W97" i="3" s="1"/>
  <c r="W101" i="3" a="1"/>
  <c r="W101" i="3" s="1"/>
  <c r="W105" i="3" a="1"/>
  <c r="W105" i="3" s="1"/>
  <c r="W108" i="3" a="1"/>
  <c r="W108" i="3" s="1"/>
  <c r="W112" i="3" a="1"/>
  <c r="W112" i="3" s="1"/>
  <c r="W116" i="3" a="1"/>
  <c r="W116" i="3" s="1"/>
  <c r="W120" i="3" a="1"/>
  <c r="W120" i="3" s="1"/>
  <c r="W124" i="3" a="1"/>
  <c r="W124" i="3" s="1"/>
  <c r="W128" i="3" a="1"/>
  <c r="W128" i="3" s="1"/>
  <c r="W132" i="3" a="1"/>
  <c r="W132" i="3" s="1"/>
  <c r="W136" i="3" a="1"/>
  <c r="W136" i="3" s="1"/>
  <c r="W143" i="3" a="1"/>
  <c r="W143" i="3" s="1"/>
  <c r="W147" i="3" a="1"/>
  <c r="W147" i="3" s="1"/>
  <c r="W151" i="3" a="1"/>
  <c r="W151" i="3" s="1"/>
  <c r="W155" i="3" a="1"/>
  <c r="W155" i="3" s="1"/>
  <c r="W159" i="3" a="1"/>
  <c r="W159" i="3" s="1"/>
  <c r="W163" i="3" a="1"/>
  <c r="W163" i="3" s="1"/>
  <c r="W167" i="3" a="1"/>
  <c r="W167" i="3" s="1"/>
  <c r="W171" i="3" a="1"/>
  <c r="W171" i="3" s="1"/>
  <c r="W175" i="3" a="1"/>
  <c r="W175" i="3" s="1"/>
  <c r="W179" i="3" a="1"/>
  <c r="W179" i="3" s="1"/>
  <c r="W183" i="3" a="1"/>
  <c r="W183" i="3" s="1"/>
  <c r="W187" i="3" a="1"/>
  <c r="W187" i="3" s="1"/>
  <c r="W191" i="3" a="1"/>
  <c r="W191" i="3" s="1"/>
  <c r="W195" i="3" a="1"/>
  <c r="W195" i="3" s="1"/>
  <c r="W10" i="3" a="1"/>
  <c r="W10" i="3" s="1"/>
  <c r="W14" i="3" a="1"/>
  <c r="W14" i="3" s="1"/>
  <c r="W21" i="3" a="1"/>
  <c r="W21" i="3" s="1"/>
  <c r="W25" i="3" a="1"/>
  <c r="W25" i="3" s="1"/>
  <c r="W29" i="3" a="1"/>
  <c r="W29" i="3" s="1"/>
  <c r="W33" i="3" a="1"/>
  <c r="W33" i="3" s="1"/>
  <c r="W36" i="3" a="1"/>
  <c r="W36" i="3" s="1"/>
  <c r="W40" i="3" a="1"/>
  <c r="W40" i="3" s="1"/>
  <c r="W44" i="3" a="1"/>
  <c r="W44" i="3" s="1"/>
  <c r="W48" i="3" a="1"/>
  <c r="W48" i="3" s="1"/>
  <c r="W51" i="3" a="1"/>
  <c r="W51" i="3" s="1"/>
  <c r="W55" i="3" a="1"/>
  <c r="W55" i="3" s="1"/>
  <c r="W59" i="3" a="1"/>
  <c r="W59" i="3" s="1"/>
  <c r="W63" i="3" a="1"/>
  <c r="W63" i="3" s="1"/>
  <c r="W66" i="3" a="1"/>
  <c r="W66" i="3" s="1"/>
  <c r="W70" i="3" a="1"/>
  <c r="W70" i="3" s="1"/>
  <c r="W74" i="3" a="1"/>
  <c r="W74" i="3" s="1"/>
  <c r="W78" i="3" a="1"/>
  <c r="W78" i="3" s="1"/>
  <c r="W82" i="3" a="1"/>
  <c r="W82" i="3" s="1"/>
  <c r="W86" i="3" a="1"/>
  <c r="W86" i="3" s="1"/>
  <c r="W90" i="3" a="1"/>
  <c r="W90" i="3" s="1"/>
  <c r="W94" i="3" a="1"/>
  <c r="W94" i="3" s="1"/>
  <c r="W98" i="3" a="1"/>
  <c r="W98" i="3" s="1"/>
  <c r="W102" i="3" a="1"/>
  <c r="W102" i="3" s="1"/>
  <c r="W106" i="3" a="1"/>
  <c r="W106" i="3" s="1"/>
  <c r="W109" i="3" a="1"/>
  <c r="W109" i="3" s="1"/>
  <c r="W113" i="3" a="1"/>
  <c r="W113" i="3" s="1"/>
  <c r="W117" i="3" a="1"/>
  <c r="W117" i="3" s="1"/>
  <c r="W121" i="3" a="1"/>
  <c r="W121" i="3" s="1"/>
  <c r="W125" i="3" a="1"/>
  <c r="W125" i="3" s="1"/>
  <c r="W129" i="3" a="1"/>
  <c r="W129" i="3" s="1"/>
  <c r="W133" i="3" a="1"/>
  <c r="W133" i="3" s="1"/>
  <c r="W137" i="3" a="1"/>
  <c r="W137" i="3" s="1"/>
  <c r="W140" i="3" a="1"/>
  <c r="W140" i="3" s="1"/>
  <c r="W144" i="3" a="1"/>
  <c r="W144" i="3" s="1"/>
  <c r="W148" i="3" a="1"/>
  <c r="W148" i="3" s="1"/>
  <c r="W152" i="3" a="1"/>
  <c r="W152" i="3" s="1"/>
  <c r="W156" i="3" a="1"/>
  <c r="W156" i="3" s="1"/>
  <c r="W160" i="3" a="1"/>
  <c r="W160" i="3" s="1"/>
  <c r="W164" i="3" a="1"/>
  <c r="W164" i="3" s="1"/>
  <c r="W168" i="3" a="1"/>
  <c r="W168" i="3" s="1"/>
  <c r="W172" i="3" a="1"/>
  <c r="W172" i="3" s="1"/>
  <c r="W176" i="3" a="1"/>
  <c r="W176" i="3" s="1"/>
  <c r="W180" i="3" a="1"/>
  <c r="W180" i="3" s="1"/>
  <c r="W184" i="3" a="1"/>
  <c r="W184" i="3" s="1"/>
  <c r="W188" i="3" a="1"/>
  <c r="W188" i="3" s="1"/>
  <c r="W192" i="3" a="1"/>
  <c r="W192" i="3" s="1"/>
  <c r="W11" i="3" a="1"/>
  <c r="W11" i="3" s="1"/>
  <c r="W15" i="3" a="1"/>
  <c r="W15" i="3" s="1"/>
  <c r="W18" i="3" a="1"/>
  <c r="W18" i="3" s="1"/>
  <c r="W22" i="3" a="1"/>
  <c r="W22" i="3" s="1"/>
  <c r="W26" i="3" a="1"/>
  <c r="W26" i="3" s="1"/>
  <c r="W30" i="3" a="1"/>
  <c r="W30" i="3" s="1"/>
  <c r="W37" i="3" a="1"/>
  <c r="W37" i="3" s="1"/>
  <c r="W41" i="3" a="1"/>
  <c r="W41" i="3" s="1"/>
  <c r="W45" i="3" a="1"/>
  <c r="W45" i="3" s="1"/>
  <c r="W49" i="3" a="1"/>
  <c r="W49" i="3" s="1"/>
  <c r="W52" i="3" a="1"/>
  <c r="W52" i="3" s="1"/>
  <c r="W56" i="3" a="1"/>
  <c r="W56" i="3" s="1"/>
  <c r="W60" i="3" a="1"/>
  <c r="W60" i="3" s="1"/>
  <c r="W64" i="3" a="1"/>
  <c r="W64" i="3" s="1"/>
  <c r="W67" i="3" a="1"/>
  <c r="W67" i="3" s="1"/>
  <c r="W71" i="3" a="1"/>
  <c r="W71" i="3" s="1"/>
  <c r="W75" i="3" a="1"/>
  <c r="W75" i="3" s="1"/>
  <c r="W79" i="3" a="1"/>
  <c r="W79" i="3" s="1"/>
  <c r="W83" i="3" a="1"/>
  <c r="W83" i="3" s="1"/>
  <c r="W87" i="3" a="1"/>
  <c r="W87" i="3" s="1"/>
  <c r="W91" i="3" a="1"/>
  <c r="W91" i="3" s="1"/>
  <c r="W95" i="3" a="1"/>
  <c r="W95" i="3" s="1"/>
  <c r="W99" i="3" a="1"/>
  <c r="W99" i="3" s="1"/>
  <c r="W103" i="3" a="1"/>
  <c r="W103" i="3" s="1"/>
  <c r="W107" i="3" a="1"/>
  <c r="W107" i="3" s="1"/>
  <c r="W110" i="3" a="1"/>
  <c r="W110" i="3" s="1"/>
  <c r="W114" i="3" a="1"/>
  <c r="W114" i="3" s="1"/>
  <c r="W118" i="3" a="1"/>
  <c r="W118" i="3" s="1"/>
  <c r="W122" i="3" a="1"/>
  <c r="W122" i="3" s="1"/>
  <c r="W126" i="3" a="1"/>
  <c r="W126" i="3" s="1"/>
  <c r="W130" i="3" a="1"/>
  <c r="W130" i="3" s="1"/>
  <c r="W134" i="3" a="1"/>
  <c r="W134" i="3" s="1"/>
  <c r="W138" i="3" a="1"/>
  <c r="W138" i="3" s="1"/>
  <c r="W141" i="3" a="1"/>
  <c r="W141" i="3" s="1"/>
  <c r="W145" i="3" a="1"/>
  <c r="W145" i="3" s="1"/>
  <c r="W149" i="3" a="1"/>
  <c r="W149" i="3" s="1"/>
  <c r="W153" i="3" a="1"/>
  <c r="W153" i="3" s="1"/>
  <c r="W157" i="3" a="1"/>
  <c r="W157" i="3" s="1"/>
  <c r="W161" i="3" a="1"/>
  <c r="W161" i="3" s="1"/>
  <c r="W165" i="3" a="1"/>
  <c r="W165" i="3" s="1"/>
  <c r="W169" i="3" a="1"/>
  <c r="W169" i="3" s="1"/>
  <c r="W173" i="3" a="1"/>
  <c r="W173" i="3" s="1"/>
  <c r="W177" i="3" a="1"/>
  <c r="W177" i="3" s="1"/>
  <c r="W181" i="3" a="1"/>
  <c r="W181" i="3" s="1"/>
  <c r="W185" i="3" a="1"/>
  <c r="W185" i="3" s="1"/>
  <c r="W189" i="3" a="1"/>
  <c r="W189" i="3" s="1"/>
  <c r="W193" i="3" a="1"/>
  <c r="W193" i="3" s="1"/>
  <c r="W8" i="3" a="1"/>
  <c r="W8" i="3" s="1"/>
  <c r="W12" i="3" a="1"/>
  <c r="W12" i="3" s="1"/>
  <c r="W16" i="3" a="1"/>
  <c r="W16" i="3" s="1"/>
  <c r="W19" i="3" a="1"/>
  <c r="W19" i="3" s="1"/>
  <c r="W23" i="3" a="1"/>
  <c r="W23" i="3" s="1"/>
  <c r="W27" i="3" a="1"/>
  <c r="W27" i="3" s="1"/>
  <c r="W31" i="3" a="1"/>
  <c r="W31" i="3" s="1"/>
  <c r="W34" i="3" a="1"/>
  <c r="W34" i="3" s="1"/>
  <c r="W38" i="3" a="1"/>
  <c r="W38" i="3" s="1"/>
  <c r="W42" i="3" a="1"/>
  <c r="W42" i="3" s="1"/>
  <c r="W46" i="3" a="1"/>
  <c r="W46" i="3" s="1"/>
  <c r="W53" i="3" a="1"/>
  <c r="W53" i="3" s="1"/>
  <c r="W57" i="3" a="1"/>
  <c r="W57" i="3" s="1"/>
  <c r="W61" i="3" a="1"/>
  <c r="W61" i="3" s="1"/>
  <c r="W65" i="3" a="1"/>
  <c r="W65" i="3" s="1"/>
  <c r="W68" i="3" a="1"/>
  <c r="W68" i="3" s="1"/>
  <c r="W72" i="3" a="1"/>
  <c r="W72" i="3" s="1"/>
  <c r="W76" i="3" a="1"/>
  <c r="W76" i="3" s="1"/>
  <c r="W80" i="3" a="1"/>
  <c r="W80" i="3" s="1"/>
  <c r="W84" i="3" a="1"/>
  <c r="W84" i="3" s="1"/>
  <c r="W88" i="3" a="1"/>
  <c r="W88" i="3" s="1"/>
  <c r="W92" i="3" a="1"/>
  <c r="W92" i="3" s="1"/>
  <c r="W96" i="3" a="1"/>
  <c r="W96" i="3" s="1"/>
  <c r="W100" i="3" a="1"/>
  <c r="W100" i="3" s="1"/>
  <c r="W104" i="3" a="1"/>
  <c r="W104" i="3" s="1"/>
  <c r="W111" i="3" a="1"/>
  <c r="W111" i="3" s="1"/>
  <c r="W115" i="3" a="1"/>
  <c r="W115" i="3" s="1"/>
  <c r="W119" i="3" a="1"/>
  <c r="W119" i="3" s="1"/>
  <c r="W123" i="3" a="1"/>
  <c r="W123" i="3" s="1"/>
  <c r="W127" i="3" a="1"/>
  <c r="W127" i="3" s="1"/>
  <c r="W131" i="3" a="1"/>
  <c r="W131" i="3" s="1"/>
  <c r="W135" i="3" a="1"/>
  <c r="W135" i="3" s="1"/>
  <c r="W139" i="3" a="1"/>
  <c r="W139" i="3" s="1"/>
  <c r="W142" i="3" a="1"/>
  <c r="W142" i="3" s="1"/>
  <c r="W146" i="3" a="1"/>
  <c r="W146" i="3" s="1"/>
  <c r="W150" i="3" a="1"/>
  <c r="W150" i="3" s="1"/>
  <c r="W154" i="3" a="1"/>
  <c r="W154" i="3" s="1"/>
  <c r="W158" i="3" a="1"/>
  <c r="W158" i="3" s="1"/>
  <c r="W162" i="3" a="1"/>
  <c r="W162" i="3" s="1"/>
  <c r="W166" i="3" a="1"/>
  <c r="W166" i="3" s="1"/>
  <c r="W170" i="3" a="1"/>
  <c r="W170" i="3" s="1"/>
  <c r="W174" i="3" a="1"/>
  <c r="W174" i="3" s="1"/>
  <c r="W178" i="3" a="1"/>
  <c r="W178" i="3" s="1"/>
  <c r="W182" i="3" a="1"/>
  <c r="W182" i="3" s="1"/>
  <c r="W186" i="3" a="1"/>
  <c r="W186" i="3" s="1"/>
  <c r="W190" i="3" a="1"/>
  <c r="W190" i="3" s="1"/>
  <c r="W194" i="3" a="1"/>
  <c r="W194" i="3" s="1"/>
  <c r="W196" i="3" a="1"/>
  <c r="W196" i="3" s="1"/>
  <c r="W200" i="3" a="1"/>
  <c r="W200" i="3" s="1"/>
  <c r="W204" i="3" a="1"/>
  <c r="W204" i="3" s="1"/>
  <c r="W208" i="3" a="1"/>
  <c r="W208" i="3" s="1"/>
  <c r="W212" i="3" a="1"/>
  <c r="W212" i="3" s="1"/>
  <c r="W216" i="3" a="1"/>
  <c r="W216" i="3" s="1"/>
  <c r="W220" i="3" a="1"/>
  <c r="W220" i="3" s="1"/>
  <c r="W224" i="3" a="1"/>
  <c r="W224" i="3" s="1"/>
  <c r="W228" i="3" a="1"/>
  <c r="W228" i="3" s="1"/>
  <c r="W232" i="3" a="1"/>
  <c r="W232" i="3" s="1"/>
  <c r="W236" i="3" a="1"/>
  <c r="W236" i="3" s="1"/>
  <c r="W240" i="3" a="1"/>
  <c r="W240" i="3" s="1"/>
  <c r="W244" i="3" a="1"/>
  <c r="W244" i="3" s="1"/>
  <c r="W248" i="3" a="1"/>
  <c r="W248" i="3" s="1"/>
  <c r="W252" i="3" a="1"/>
  <c r="W252" i="3" s="1"/>
  <c r="W256" i="3" a="1"/>
  <c r="W256" i="3" s="1"/>
  <c r="W260" i="3" a="1"/>
  <c r="W260" i="3" s="1"/>
  <c r="W264" i="3" a="1"/>
  <c r="W264" i="3" s="1"/>
  <c r="W268" i="3" a="1"/>
  <c r="W268" i="3" s="1"/>
  <c r="W272" i="3" a="1"/>
  <c r="W272" i="3" s="1"/>
  <c r="W276" i="3" a="1"/>
  <c r="W276" i="3" s="1"/>
  <c r="W280" i="3" a="1"/>
  <c r="W280" i="3" s="1"/>
  <c r="W284" i="3" a="1"/>
  <c r="W284" i="3" s="1"/>
  <c r="W288" i="3" a="1"/>
  <c r="W288" i="3" s="1"/>
  <c r="W292" i="3" a="1"/>
  <c r="W292" i="3" s="1"/>
  <c r="W296" i="3" a="1"/>
  <c r="W296" i="3" s="1"/>
  <c r="W300" i="3" a="1"/>
  <c r="W300" i="3" s="1"/>
  <c r="W197" i="3" a="1"/>
  <c r="W197" i="3" s="1"/>
  <c r="W201" i="3" a="1"/>
  <c r="W201" i="3" s="1"/>
  <c r="W205" i="3" a="1"/>
  <c r="W205" i="3" s="1"/>
  <c r="W209" i="3" a="1"/>
  <c r="W209" i="3" s="1"/>
  <c r="W213" i="3" a="1"/>
  <c r="W213" i="3" s="1"/>
  <c r="W217" i="3" a="1"/>
  <c r="W217" i="3" s="1"/>
  <c r="W221" i="3" a="1"/>
  <c r="W221" i="3" s="1"/>
  <c r="W225" i="3" a="1"/>
  <c r="W225" i="3" s="1"/>
  <c r="W229" i="3" a="1"/>
  <c r="W229" i="3" s="1"/>
  <c r="W233" i="3" a="1"/>
  <c r="W233" i="3" s="1"/>
  <c r="W237" i="3" a="1"/>
  <c r="W237" i="3" s="1"/>
  <c r="W241" i="3" a="1"/>
  <c r="W241" i="3" s="1"/>
  <c r="W245" i="3" a="1"/>
  <c r="W245" i="3" s="1"/>
  <c r="W249" i="3" a="1"/>
  <c r="W249" i="3" s="1"/>
  <c r="W253" i="3" a="1"/>
  <c r="W253" i="3" s="1"/>
  <c r="W257" i="3" a="1"/>
  <c r="W257" i="3" s="1"/>
  <c r="W261" i="3" a="1"/>
  <c r="W261" i="3" s="1"/>
  <c r="W265" i="3" a="1"/>
  <c r="W265" i="3" s="1"/>
  <c r="W269" i="3" a="1"/>
  <c r="W269" i="3" s="1"/>
  <c r="W273" i="3" a="1"/>
  <c r="W273" i="3" s="1"/>
  <c r="W277" i="3" a="1"/>
  <c r="W277" i="3" s="1"/>
  <c r="W281" i="3" a="1"/>
  <c r="W281" i="3" s="1"/>
  <c r="W285" i="3" a="1"/>
  <c r="W285" i="3" s="1"/>
  <c r="W289" i="3" a="1"/>
  <c r="W289" i="3" s="1"/>
  <c r="W293" i="3" a="1"/>
  <c r="W293" i="3" s="1"/>
  <c r="W297" i="3" a="1"/>
  <c r="W297" i="3" s="1"/>
  <c r="W198" i="3" a="1"/>
  <c r="W198" i="3" s="1"/>
  <c r="W202" i="3" a="1"/>
  <c r="W202" i="3" s="1"/>
  <c r="W206" i="3" a="1"/>
  <c r="W206" i="3" s="1"/>
  <c r="W210" i="3" a="1"/>
  <c r="W210" i="3" s="1"/>
  <c r="W214" i="3" a="1"/>
  <c r="W214" i="3" s="1"/>
  <c r="W218" i="3" a="1"/>
  <c r="W218" i="3" s="1"/>
  <c r="W222" i="3" a="1"/>
  <c r="W222" i="3" s="1"/>
  <c r="W226" i="3" a="1"/>
  <c r="W226" i="3" s="1"/>
  <c r="W230" i="3" a="1"/>
  <c r="W230" i="3" s="1"/>
  <c r="W234" i="3" a="1"/>
  <c r="W234" i="3" s="1"/>
  <c r="W238" i="3" a="1"/>
  <c r="W238" i="3" s="1"/>
  <c r="W242" i="3" a="1"/>
  <c r="W242" i="3" s="1"/>
  <c r="W246" i="3" a="1"/>
  <c r="W246" i="3" s="1"/>
  <c r="W250" i="3" a="1"/>
  <c r="W250" i="3" s="1"/>
  <c r="W254" i="3" a="1"/>
  <c r="W254" i="3" s="1"/>
  <c r="W258" i="3" a="1"/>
  <c r="W258" i="3" s="1"/>
  <c r="W262" i="3" a="1"/>
  <c r="W262" i="3" s="1"/>
  <c r="W266" i="3" a="1"/>
  <c r="W266" i="3" s="1"/>
  <c r="W270" i="3" a="1"/>
  <c r="W270" i="3" s="1"/>
  <c r="W274" i="3" a="1"/>
  <c r="W274" i="3" s="1"/>
  <c r="W278" i="3" a="1"/>
  <c r="W278" i="3" s="1"/>
  <c r="W282" i="3" a="1"/>
  <c r="W282" i="3" s="1"/>
  <c r="W286" i="3" a="1"/>
  <c r="W286" i="3" s="1"/>
  <c r="W290" i="3" a="1"/>
  <c r="W290" i="3" s="1"/>
  <c r="W294" i="3" a="1"/>
  <c r="W294" i="3" s="1"/>
  <c r="W298" i="3" a="1"/>
  <c r="W298" i="3" s="1"/>
  <c r="W199" i="3" a="1"/>
  <c r="W199" i="3" s="1"/>
  <c r="W203" i="3" a="1"/>
  <c r="W203" i="3" s="1"/>
  <c r="W207" i="3" a="1"/>
  <c r="W207" i="3" s="1"/>
  <c r="W211" i="3" a="1"/>
  <c r="W211" i="3" s="1"/>
  <c r="W215" i="3" a="1"/>
  <c r="W215" i="3" s="1"/>
  <c r="W219" i="3" a="1"/>
  <c r="W219" i="3" s="1"/>
  <c r="W223" i="3" a="1"/>
  <c r="W223" i="3" s="1"/>
  <c r="W227" i="3" a="1"/>
  <c r="W227" i="3" s="1"/>
  <c r="W231" i="3" a="1"/>
  <c r="W231" i="3" s="1"/>
  <c r="W235" i="3" a="1"/>
  <c r="W235" i="3" s="1"/>
  <c r="W239" i="3" a="1"/>
  <c r="W239" i="3" s="1"/>
  <c r="W243" i="3" a="1"/>
  <c r="W243" i="3" s="1"/>
  <c r="W247" i="3" a="1"/>
  <c r="W247" i="3" s="1"/>
  <c r="W251" i="3" a="1"/>
  <c r="W251" i="3" s="1"/>
  <c r="W255" i="3" a="1"/>
  <c r="W255" i="3" s="1"/>
  <c r="W259" i="3" a="1"/>
  <c r="W259" i="3" s="1"/>
  <c r="W263" i="3" a="1"/>
  <c r="W263" i="3" s="1"/>
  <c r="W267" i="3" a="1"/>
  <c r="W267" i="3" s="1"/>
  <c r="W271" i="3" a="1"/>
  <c r="W271" i="3" s="1"/>
  <c r="W275" i="3" a="1"/>
  <c r="W275" i="3" s="1"/>
  <c r="W279" i="3" a="1"/>
  <c r="W279" i="3" s="1"/>
  <c r="W283" i="3" a="1"/>
  <c r="W283" i="3" s="1"/>
  <c r="W287" i="3" a="1"/>
  <c r="W287" i="3" s="1"/>
  <c r="W291" i="3" a="1"/>
  <c r="W291" i="3" s="1"/>
  <c r="W295" i="3" a="1"/>
  <c r="W295" i="3" s="1"/>
  <c r="W299" i="3" a="1"/>
  <c r="W299" i="3" s="1"/>
  <c r="V23" i="3" a="1"/>
  <c r="V23" i="3" s="1"/>
  <c r="V25" i="3" a="1"/>
  <c r="V25" i="3" s="1"/>
  <c r="V27" i="3" a="1"/>
  <c r="V27" i="3" s="1"/>
  <c r="V29" i="3" a="1"/>
  <c r="V29" i="3" s="1"/>
  <c r="V31" i="3" a="1"/>
  <c r="V31" i="3" s="1"/>
  <c r="V33" i="3" a="1"/>
  <c r="V33" i="3" s="1"/>
  <c r="V35" i="3" a="1"/>
  <c r="V35" i="3" s="1"/>
  <c r="V37" i="3" a="1"/>
  <c r="V37" i="3" s="1"/>
  <c r="V39" i="3" a="1"/>
  <c r="V39" i="3" s="1"/>
  <c r="V41" i="3" a="1"/>
  <c r="V41" i="3" s="1"/>
  <c r="V43" i="3" a="1"/>
  <c r="V43" i="3" s="1"/>
  <c r="V45" i="3" a="1"/>
  <c r="V45" i="3" s="1"/>
  <c r="V47" i="3" a="1"/>
  <c r="V47" i="3" s="1"/>
  <c r="V49" i="3" a="1"/>
  <c r="V49" i="3" s="1"/>
  <c r="V51" i="3" a="1"/>
  <c r="V51" i="3" s="1"/>
  <c r="V53" i="3" a="1"/>
  <c r="V53" i="3" s="1"/>
  <c r="V55" i="3" a="1"/>
  <c r="V55" i="3" s="1"/>
  <c r="V57" i="3" a="1"/>
  <c r="V57" i="3" s="1"/>
  <c r="V59" i="3" a="1"/>
  <c r="V59" i="3" s="1"/>
  <c r="V61" i="3" a="1"/>
  <c r="V61" i="3" s="1"/>
  <c r="V63" i="3" a="1"/>
  <c r="V63" i="3" s="1"/>
  <c r="V66" i="3" a="1"/>
  <c r="V66" i="3" s="1"/>
  <c r="V70" i="3" a="1"/>
  <c r="V70" i="3" s="1"/>
  <c r="V74" i="3" a="1"/>
  <c r="V74" i="3" s="1"/>
  <c r="V75" i="3" a="1"/>
  <c r="V75" i="3" s="1"/>
  <c r="V79" i="3" a="1"/>
  <c r="V79" i="3" s="1"/>
  <c r="V83" i="3" a="1"/>
  <c r="V83" i="3" s="1"/>
  <c r="V87" i="3" a="1"/>
  <c r="V87" i="3" s="1"/>
  <c r="V91" i="3" a="1"/>
  <c r="V91" i="3" s="1"/>
  <c r="V95" i="3" a="1"/>
  <c r="V95" i="3" s="1"/>
  <c r="V99" i="3" a="1"/>
  <c r="V99" i="3" s="1"/>
  <c r="V102" i="3" a="1"/>
  <c r="V102" i="3" s="1"/>
  <c r="V107" i="3" a="1"/>
  <c r="V107" i="3" s="1"/>
  <c r="V110" i="3" a="1"/>
  <c r="V110" i="3" s="1"/>
  <c r="V119" i="3" a="1"/>
  <c r="V119" i="3" s="1"/>
  <c r="V122" i="3" a="1"/>
  <c r="V122" i="3" s="1"/>
  <c r="V127" i="3" a="1"/>
  <c r="V127" i="3" s="1"/>
  <c r="V65" i="3" a="1"/>
  <c r="V65" i="3" s="1"/>
  <c r="V69" i="3" a="1"/>
  <c r="V69" i="3" s="1"/>
  <c r="V73" i="3" a="1"/>
  <c r="V73" i="3" s="1"/>
  <c r="V78" i="3" a="1"/>
  <c r="V78" i="3" s="1"/>
  <c r="V82" i="3" a="1"/>
  <c r="V82" i="3" s="1"/>
  <c r="V86" i="3" a="1"/>
  <c r="V86" i="3" s="1"/>
  <c r="V90" i="3" a="1"/>
  <c r="V90" i="3" s="1"/>
  <c r="V94" i="3" a="1"/>
  <c r="V94" i="3" s="1"/>
  <c r="V98" i="3" a="1"/>
  <c r="V98" i="3" s="1"/>
  <c r="V101" i="3" a="1"/>
  <c r="V101" i="3" s="1"/>
  <c r="V104" i="3" a="1"/>
  <c r="V104" i="3" s="1"/>
  <c r="V109" i="3" a="1"/>
  <c r="V109" i="3" s="1"/>
  <c r="V112" i="3" a="1"/>
  <c r="V112" i="3" s="1"/>
  <c r="V114" i="3" a="1"/>
  <c r="V114" i="3" s="1"/>
  <c r="V116" i="3" a="1"/>
  <c r="V116" i="3" s="1"/>
  <c r="V121" i="3" a="1"/>
  <c r="V121" i="3" s="1"/>
  <c r="V124" i="3" a="1"/>
  <c r="V124" i="3" s="1"/>
  <c r="V129" i="3" a="1"/>
  <c r="V129" i="3" s="1"/>
  <c r="V132" i="3" a="1"/>
  <c r="V132" i="3" s="1"/>
  <c r="V133" i="3" a="1"/>
  <c r="V133" i="3" s="1"/>
  <c r="V136" i="3" a="1"/>
  <c r="V136" i="3" s="1"/>
  <c r="V137" i="3" a="1"/>
  <c r="V137" i="3" s="1"/>
  <c r="V140" i="3" a="1"/>
  <c r="V140" i="3" s="1"/>
  <c r="V141" i="3" a="1"/>
  <c r="V141" i="3" s="1"/>
  <c r="V144" i="3" a="1"/>
  <c r="V144" i="3" s="1"/>
  <c r="V145" i="3" a="1"/>
  <c r="V145" i="3" s="1"/>
  <c r="V151" i="3" a="1"/>
  <c r="V151" i="3" s="1"/>
  <c r="V22" i="3" a="1"/>
  <c r="V22" i="3" s="1"/>
  <c r="V24" i="3" a="1"/>
  <c r="V24" i="3" s="1"/>
  <c r="V26" i="3" a="1"/>
  <c r="V26" i="3" s="1"/>
  <c r="V28" i="3" a="1"/>
  <c r="V28" i="3" s="1"/>
  <c r="V30" i="3" a="1"/>
  <c r="V30" i="3" s="1"/>
  <c r="V32" i="3" a="1"/>
  <c r="V32" i="3" s="1"/>
  <c r="V34" i="3" a="1"/>
  <c r="V34" i="3" s="1"/>
  <c r="V36" i="3" a="1"/>
  <c r="V36" i="3" s="1"/>
  <c r="V38" i="3" a="1"/>
  <c r="V38" i="3" s="1"/>
  <c r="V40" i="3" a="1"/>
  <c r="V40" i="3" s="1"/>
  <c r="V42" i="3" a="1"/>
  <c r="V42" i="3" s="1"/>
  <c r="V44" i="3" a="1"/>
  <c r="V44" i="3" s="1"/>
  <c r="V46" i="3" a="1"/>
  <c r="V46" i="3" s="1"/>
  <c r="V48" i="3" a="1"/>
  <c r="V48" i="3" s="1"/>
  <c r="V50" i="3" a="1"/>
  <c r="V50" i="3" s="1"/>
  <c r="V52" i="3" a="1"/>
  <c r="V52" i="3" s="1"/>
  <c r="V54" i="3" a="1"/>
  <c r="V54" i="3" s="1"/>
  <c r="V56" i="3" a="1"/>
  <c r="V56" i="3" s="1"/>
  <c r="V58" i="3" a="1"/>
  <c r="V58" i="3" s="1"/>
  <c r="V60" i="3" a="1"/>
  <c r="V60" i="3" s="1"/>
  <c r="V62" i="3" a="1"/>
  <c r="V62" i="3" s="1"/>
  <c r="V64" i="3" a="1"/>
  <c r="V64" i="3" s="1"/>
  <c r="V68" i="3" a="1"/>
  <c r="V68" i="3" s="1"/>
  <c r="V72" i="3" a="1"/>
  <c r="V72" i="3" s="1"/>
  <c r="V77" i="3" a="1"/>
  <c r="V77" i="3" s="1"/>
  <c r="V81" i="3" a="1"/>
  <c r="V81" i="3" s="1"/>
  <c r="V85" i="3" a="1"/>
  <c r="V85" i="3" s="1"/>
  <c r="V89" i="3" a="1"/>
  <c r="V89" i="3" s="1"/>
  <c r="V93" i="3" a="1"/>
  <c r="V93" i="3" s="1"/>
  <c r="V97" i="3" a="1"/>
  <c r="V97" i="3" s="1"/>
  <c r="V103" i="3" a="1"/>
  <c r="V103" i="3" s="1"/>
  <c r="V106" i="3" a="1"/>
  <c r="V106" i="3" s="1"/>
  <c r="V111" i="3" a="1"/>
  <c r="V111" i="3" s="1"/>
  <c r="V118" i="3" a="1"/>
  <c r="V118" i="3" s="1"/>
  <c r="V123" i="3" a="1"/>
  <c r="V123" i="3" s="1"/>
  <c r="V126" i="3" a="1"/>
  <c r="V126" i="3" s="1"/>
  <c r="V131" i="3" a="1"/>
  <c r="V131" i="3" s="1"/>
  <c r="V67" i="3" a="1"/>
  <c r="V67" i="3" s="1"/>
  <c r="V71" i="3" a="1"/>
  <c r="V71" i="3" s="1"/>
  <c r="V76" i="3" a="1"/>
  <c r="V76" i="3" s="1"/>
  <c r="V80" i="3" a="1"/>
  <c r="V80" i="3" s="1"/>
  <c r="V84" i="3" a="1"/>
  <c r="V84" i="3" s="1"/>
  <c r="V88" i="3" a="1"/>
  <c r="V88" i="3" s="1"/>
  <c r="V92" i="3" a="1"/>
  <c r="V92" i="3" s="1"/>
  <c r="V96" i="3" a="1"/>
  <c r="V96" i="3" s="1"/>
  <c r="V100" i="3" a="1"/>
  <c r="V100" i="3" s="1"/>
  <c r="V105" i="3" a="1"/>
  <c r="V105" i="3" s="1"/>
  <c r="V108" i="3" a="1"/>
  <c r="V108" i="3" s="1"/>
  <c r="V113" i="3" a="1"/>
  <c r="V113" i="3" s="1"/>
  <c r="V115" i="3" a="1"/>
  <c r="V115" i="3" s="1"/>
  <c r="V117" i="3" a="1"/>
  <c r="V117" i="3" s="1"/>
  <c r="V120" i="3" a="1"/>
  <c r="V120" i="3" s="1"/>
  <c r="V125" i="3" a="1"/>
  <c r="V125" i="3" s="1"/>
  <c r="V128" i="3" a="1"/>
  <c r="V128" i="3" s="1"/>
  <c r="V147" i="3" a="1"/>
  <c r="V147" i="3" s="1"/>
  <c r="V152" i="3" a="1"/>
  <c r="V152" i="3" s="1"/>
  <c r="V155" i="3" a="1"/>
  <c r="V155" i="3" s="1"/>
  <c r="V159" i="3" a="1"/>
  <c r="V159" i="3" s="1"/>
  <c r="V163" i="3" a="1"/>
  <c r="V163" i="3" s="1"/>
  <c r="V167" i="3" a="1"/>
  <c r="V167" i="3" s="1"/>
  <c r="V172" i="3" a="1"/>
  <c r="V172" i="3" s="1"/>
  <c r="V173" i="3" a="1"/>
  <c r="V173" i="3" s="1"/>
  <c r="V180" i="3" a="1"/>
  <c r="V180" i="3" s="1"/>
  <c r="V184" i="3" a="1"/>
  <c r="V184" i="3" s="1"/>
  <c r="V188" i="3" a="1"/>
  <c r="V188" i="3" s="1"/>
  <c r="V192" i="3" a="1"/>
  <c r="V192" i="3" s="1"/>
  <c r="V196" i="3" a="1"/>
  <c r="V196" i="3" s="1"/>
  <c r="V200" i="3" a="1"/>
  <c r="V200" i="3" s="1"/>
  <c r="V204" i="3" a="1"/>
  <c r="V204" i="3" s="1"/>
  <c r="V135" i="3" a="1"/>
  <c r="V135" i="3" s="1"/>
  <c r="V138" i="3" a="1"/>
  <c r="V138" i="3" s="1"/>
  <c r="V143" i="3" a="1"/>
  <c r="V143" i="3" s="1"/>
  <c r="V149" i="3" a="1"/>
  <c r="V149" i="3" s="1"/>
  <c r="V154" i="3" a="1"/>
  <c r="V154" i="3" s="1"/>
  <c r="V158" i="3" a="1"/>
  <c r="V158" i="3" s="1"/>
  <c r="V162" i="3" a="1"/>
  <c r="V162" i="3" s="1"/>
  <c r="V166" i="3" a="1"/>
  <c r="V166" i="3" s="1"/>
  <c r="V170" i="3" a="1"/>
  <c r="V170" i="3" s="1"/>
  <c r="V171" i="3" a="1"/>
  <c r="V171" i="3" s="1"/>
  <c r="V178" i="3" a="1"/>
  <c r="V178" i="3" s="1"/>
  <c r="V179" i="3" a="1"/>
  <c r="V179" i="3" s="1"/>
  <c r="V183" i="3" a="1"/>
  <c r="V183" i="3" s="1"/>
  <c r="V187" i="3" a="1"/>
  <c r="V187" i="3" s="1"/>
  <c r="V191" i="3" a="1"/>
  <c r="V191" i="3" s="1"/>
  <c r="V195" i="3" a="1"/>
  <c r="V195" i="3" s="1"/>
  <c r="V199" i="3" a="1"/>
  <c r="V199" i="3" s="1"/>
  <c r="V203" i="3" a="1"/>
  <c r="V203" i="3" s="1"/>
  <c r="V207" i="3" a="1"/>
  <c r="V207" i="3" s="1"/>
  <c r="V208" i="3" a="1"/>
  <c r="V208" i="3" s="1"/>
  <c r="V210" i="3" a="1"/>
  <c r="V210" i="3" s="1"/>
  <c r="V212" i="3" a="1"/>
  <c r="V212" i="3" s="1"/>
  <c r="V214" i="3" a="1"/>
  <c r="V214" i="3" s="1"/>
  <c r="V216" i="3" a="1"/>
  <c r="V216" i="3" s="1"/>
  <c r="V218" i="3" a="1"/>
  <c r="V218" i="3" s="1"/>
  <c r="V220" i="3" a="1"/>
  <c r="V220" i="3" s="1"/>
  <c r="V222" i="3" a="1"/>
  <c r="V222" i="3" s="1"/>
  <c r="V224" i="3" a="1"/>
  <c r="V224" i="3" s="1"/>
  <c r="V130" i="3" a="1"/>
  <c r="V130" i="3" s="1"/>
  <c r="V146" i="3" a="1"/>
  <c r="V146" i="3" s="1"/>
  <c r="V148" i="3" a="1"/>
  <c r="V148" i="3" s="1"/>
  <c r="V153" i="3" a="1"/>
  <c r="V153" i="3" s="1"/>
  <c r="V157" i="3" a="1"/>
  <c r="V157" i="3" s="1"/>
  <c r="V161" i="3" a="1"/>
  <c r="V161" i="3" s="1"/>
  <c r="V165" i="3" a="1"/>
  <c r="V165" i="3" s="1"/>
  <c r="V169" i="3" a="1"/>
  <c r="V169" i="3" s="1"/>
  <c r="V176" i="3" a="1"/>
  <c r="V176" i="3" s="1"/>
  <c r="V177" i="3" a="1"/>
  <c r="V177" i="3" s="1"/>
  <c r="V182" i="3" a="1"/>
  <c r="V182" i="3" s="1"/>
  <c r="V186" i="3" a="1"/>
  <c r="V186" i="3" s="1"/>
  <c r="V190" i="3" a="1"/>
  <c r="V190" i="3" s="1"/>
  <c r="V194" i="3" a="1"/>
  <c r="V194" i="3" s="1"/>
  <c r="V198" i="3" a="1"/>
  <c r="V198" i="3" s="1"/>
  <c r="V202" i="3" a="1"/>
  <c r="V202" i="3" s="1"/>
  <c r="V206" i="3" a="1"/>
  <c r="V206" i="3" s="1"/>
  <c r="V134" i="3" a="1"/>
  <c r="V134" i="3" s="1"/>
  <c r="V139" i="3" a="1"/>
  <c r="V139" i="3" s="1"/>
  <c r="V142" i="3" a="1"/>
  <c r="V142" i="3" s="1"/>
  <c r="V150" i="3" a="1"/>
  <c r="V150" i="3" s="1"/>
  <c r="V156" i="3" a="1"/>
  <c r="V156" i="3" s="1"/>
  <c r="V160" i="3" a="1"/>
  <c r="V160" i="3" s="1"/>
  <c r="V164" i="3" a="1"/>
  <c r="V164" i="3" s="1"/>
  <c r="V168" i="3" a="1"/>
  <c r="V168" i="3" s="1"/>
  <c r="V174" i="3" a="1"/>
  <c r="V174" i="3" s="1"/>
  <c r="V175" i="3" a="1"/>
  <c r="V175" i="3" s="1"/>
  <c r="V181" i="3" a="1"/>
  <c r="V181" i="3" s="1"/>
  <c r="V185" i="3" a="1"/>
  <c r="V185" i="3" s="1"/>
  <c r="V189" i="3" a="1"/>
  <c r="V189" i="3" s="1"/>
  <c r="V193" i="3" a="1"/>
  <c r="V193" i="3" s="1"/>
  <c r="V197" i="3" a="1"/>
  <c r="V197" i="3" s="1"/>
  <c r="V201" i="3" a="1"/>
  <c r="V201" i="3" s="1"/>
  <c r="V205" i="3" a="1"/>
  <c r="V205" i="3" s="1"/>
  <c r="V213" i="3" a="1"/>
  <c r="V213" i="3" s="1"/>
  <c r="V221" i="3" a="1"/>
  <c r="V221" i="3" s="1"/>
  <c r="V227" i="3" a="1"/>
  <c r="V227" i="3" s="1"/>
  <c r="V231" i="3" a="1"/>
  <c r="V231" i="3" s="1"/>
  <c r="V235" i="3" a="1"/>
  <c r="V235" i="3" s="1"/>
  <c r="V239" i="3" a="1"/>
  <c r="V239" i="3" s="1"/>
  <c r="V243" i="3" a="1"/>
  <c r="V243" i="3" s="1"/>
  <c r="V247" i="3" a="1"/>
  <c r="V247" i="3" s="1"/>
  <c r="V251" i="3" a="1"/>
  <c r="V251" i="3" s="1"/>
  <c r="V255" i="3" a="1"/>
  <c r="V255" i="3" s="1"/>
  <c r="V259" i="3" a="1"/>
  <c r="V259" i="3" s="1"/>
  <c r="V262" i="3" a="1"/>
  <c r="V262" i="3" s="1"/>
  <c r="V267" i="3" a="1"/>
  <c r="V267" i="3" s="1"/>
  <c r="V270" i="3" a="1"/>
  <c r="V270" i="3" s="1"/>
  <c r="V272" i="3" a="1"/>
  <c r="V272" i="3" s="1"/>
  <c r="V274" i="3" a="1"/>
  <c r="V274" i="3" s="1"/>
  <c r="V276" i="3" a="1"/>
  <c r="V276" i="3" s="1"/>
  <c r="V278" i="3" a="1"/>
  <c r="V278" i="3" s="1"/>
  <c r="V280" i="3" a="1"/>
  <c r="V280" i="3" s="1"/>
  <c r="V282" i="3" a="1"/>
  <c r="V282" i="3" s="1"/>
  <c r="V284" i="3" a="1"/>
  <c r="V284" i="3" s="1"/>
  <c r="V286" i="3" a="1"/>
  <c r="V286" i="3" s="1"/>
  <c r="V288" i="3" a="1"/>
  <c r="V288" i="3" s="1"/>
  <c r="V290" i="3" a="1"/>
  <c r="V290" i="3" s="1"/>
  <c r="V292" i="3" a="1"/>
  <c r="V292" i="3" s="1"/>
  <c r="V294" i="3" a="1"/>
  <c r="V294" i="3" s="1"/>
  <c r="V296" i="3" a="1"/>
  <c r="V296" i="3" s="1"/>
  <c r="V298" i="3" a="1"/>
  <c r="V298" i="3" s="1"/>
  <c r="V300" i="3" a="1"/>
  <c r="V300" i="3" s="1"/>
  <c r="V9" i="3" a="1"/>
  <c r="V9" i="3" s="1"/>
  <c r="V215" i="3" a="1"/>
  <c r="V215" i="3" s="1"/>
  <c r="V223" i="3" a="1"/>
  <c r="V223" i="3" s="1"/>
  <c r="V228" i="3" a="1"/>
  <c r="V228" i="3" s="1"/>
  <c r="V232" i="3" a="1"/>
  <c r="V232" i="3" s="1"/>
  <c r="V236" i="3" a="1"/>
  <c r="V236" i="3" s="1"/>
  <c r="V240" i="3" a="1"/>
  <c r="V240" i="3" s="1"/>
  <c r="V244" i="3" a="1"/>
  <c r="V244" i="3" s="1"/>
  <c r="V248" i="3" a="1"/>
  <c r="V248" i="3" s="1"/>
  <c r="V252" i="3" a="1"/>
  <c r="V252" i="3" s="1"/>
  <c r="V256" i="3" a="1"/>
  <c r="V256" i="3" s="1"/>
  <c r="V260" i="3" a="1"/>
  <c r="V260" i="3" s="1"/>
  <c r="V265" i="3" a="1"/>
  <c r="V265" i="3" s="1"/>
  <c r="V268" i="3" a="1"/>
  <c r="V268" i="3" s="1"/>
  <c r="V10" i="3" a="1"/>
  <c r="V10" i="3" s="1"/>
  <c r="V14" i="3" a="1"/>
  <c r="V14" i="3" s="1"/>
  <c r="V18" i="3" a="1"/>
  <c r="V18" i="3" s="1"/>
  <c r="V8" i="3" a="1"/>
  <c r="V8" i="3" s="1"/>
  <c r="V209" i="3" a="1"/>
  <c r="V209" i="3" s="1"/>
  <c r="V217" i="3" a="1"/>
  <c r="V217" i="3" s="1"/>
  <c r="V225" i="3" a="1"/>
  <c r="V225" i="3" s="1"/>
  <c r="V229" i="3" a="1"/>
  <c r="V229" i="3" s="1"/>
  <c r="V233" i="3" a="1"/>
  <c r="V233" i="3" s="1"/>
  <c r="V237" i="3" a="1"/>
  <c r="V237" i="3" s="1"/>
  <c r="V241" i="3" a="1"/>
  <c r="V241" i="3" s="1"/>
  <c r="V245" i="3" a="1"/>
  <c r="V245" i="3" s="1"/>
  <c r="V249" i="3" a="1"/>
  <c r="V249" i="3" s="1"/>
  <c r="V253" i="3" a="1"/>
  <c r="V253" i="3" s="1"/>
  <c r="V257" i="3" a="1"/>
  <c r="V257" i="3" s="1"/>
  <c r="V263" i="3" a="1"/>
  <c r="V263" i="3" s="1"/>
  <c r="V266" i="3" a="1"/>
  <c r="V266" i="3" s="1"/>
  <c r="V271" i="3" a="1"/>
  <c r="V271" i="3" s="1"/>
  <c r="V273" i="3" a="1"/>
  <c r="V273" i="3" s="1"/>
  <c r="V275" i="3" a="1"/>
  <c r="V275" i="3" s="1"/>
  <c r="V277" i="3" a="1"/>
  <c r="V277" i="3" s="1"/>
  <c r="V279" i="3" a="1"/>
  <c r="V279" i="3" s="1"/>
  <c r="V281" i="3" a="1"/>
  <c r="V281" i="3" s="1"/>
  <c r="V283" i="3" a="1"/>
  <c r="V283" i="3" s="1"/>
  <c r="V285" i="3" a="1"/>
  <c r="V285" i="3" s="1"/>
  <c r="V287" i="3" a="1"/>
  <c r="V287" i="3" s="1"/>
  <c r="V289" i="3" a="1"/>
  <c r="V289" i="3" s="1"/>
  <c r="V291" i="3" a="1"/>
  <c r="V291" i="3" s="1"/>
  <c r="V293" i="3" a="1"/>
  <c r="V293" i="3" s="1"/>
  <c r="V295" i="3" a="1"/>
  <c r="V295" i="3" s="1"/>
  <c r="V211" i="3" a="1"/>
  <c r="V211" i="3" s="1"/>
  <c r="V219" i="3" a="1"/>
  <c r="V219" i="3" s="1"/>
  <c r="V226" i="3" a="1"/>
  <c r="V226" i="3" s="1"/>
  <c r="V230" i="3" a="1"/>
  <c r="V230" i="3" s="1"/>
  <c r="V234" i="3" a="1"/>
  <c r="V234" i="3" s="1"/>
  <c r="V238" i="3" a="1"/>
  <c r="V238" i="3" s="1"/>
  <c r="V242" i="3" a="1"/>
  <c r="V242" i="3" s="1"/>
  <c r="V246" i="3" a="1"/>
  <c r="V246" i="3" s="1"/>
  <c r="V250" i="3" a="1"/>
  <c r="V250" i="3" s="1"/>
  <c r="V254" i="3" a="1"/>
  <c r="V254" i="3" s="1"/>
  <c r="V258" i="3" a="1"/>
  <c r="V258" i="3" s="1"/>
  <c r="V261" i="3" a="1"/>
  <c r="V261" i="3" s="1"/>
  <c r="V264" i="3" a="1"/>
  <c r="V264" i="3" s="1"/>
  <c r="V269" i="3" a="1"/>
  <c r="V269" i="3" s="1"/>
  <c r="V12" i="3" a="1"/>
  <c r="V12" i="3" s="1"/>
  <c r="V16" i="3" a="1"/>
  <c r="V16" i="3" s="1"/>
  <c r="V20" i="3" a="1"/>
  <c r="V20" i="3" s="1"/>
  <c r="V297" i="3" a="1"/>
  <c r="V297" i="3" s="1"/>
  <c r="V15" i="3" a="1"/>
  <c r="V15" i="3" s="1"/>
  <c r="V299" i="3" a="1"/>
  <c r="V299" i="3" s="1"/>
  <c r="V17" i="3" a="1"/>
  <c r="V17" i="3" s="1"/>
  <c r="V11" i="3" a="1"/>
  <c r="V11" i="3" s="1"/>
  <c r="V19" i="3" a="1"/>
  <c r="V19" i="3" s="1"/>
  <c r="V13" i="3" a="1"/>
  <c r="V13" i="3" s="1"/>
  <c r="V21" i="3" a="1"/>
  <c r="V21" i="3" s="1"/>
  <c r="T9" i="3" a="1"/>
  <c r="T9" i="3" s="1"/>
  <c r="S11" i="3" a="1"/>
  <c r="S11" i="3" s="1"/>
  <c r="S9" i="3" a="1"/>
  <c r="S9" i="3" s="1"/>
  <c r="S8" i="3" a="1"/>
  <c r="S8" i="3" s="1"/>
  <c r="S10" i="3" a="1"/>
  <c r="S10" i="3" s="1"/>
  <c r="S12" i="3" a="1"/>
  <c r="S12" i="3" s="1"/>
  <c r="S13" i="3" a="1"/>
  <c r="S13" i="3" s="1"/>
  <c r="T13" i="3" a="1"/>
  <c r="T13" i="3" s="1"/>
  <c r="T8" i="3" a="1"/>
  <c r="T8" i="3" s="1"/>
  <c r="T10" i="3" a="1"/>
  <c r="T10" i="3" s="1"/>
  <c r="T11" i="3" a="1"/>
  <c r="T11" i="3" s="1"/>
  <c r="U8" i="3" a="1"/>
  <c r="U8" i="3" s="1"/>
  <c r="U6" i="3" s="1"/>
  <c r="R13" i="3" a="1"/>
  <c r="R13" i="3" s="1"/>
  <c r="R11" i="3" a="1"/>
  <c r="R11" i="3" s="1"/>
  <c r="R8" i="3" a="1"/>
  <c r="R8" i="3" s="1"/>
  <c r="R9" i="3" a="1"/>
  <c r="R9" i="3" s="1"/>
  <c r="R12" i="3" a="1"/>
  <c r="R12" i="3" s="1"/>
  <c r="R10" i="3" a="1"/>
  <c r="R10" i="3" s="1"/>
  <c r="T12" i="3" a="1"/>
  <c r="T12" i="3" s="1"/>
  <c r="P9" i="3" a="1"/>
  <c r="P9" i="3" s="1"/>
  <c r="P12" i="3" a="1"/>
  <c r="P12" i="3" s="1"/>
  <c r="P17" i="3" a="1"/>
  <c r="P17" i="3" s="1"/>
  <c r="P20" i="3" a="1"/>
  <c r="P20" i="3" s="1"/>
  <c r="P25" i="3" a="1"/>
  <c r="P25" i="3" s="1"/>
  <c r="P28" i="3" a="1"/>
  <c r="P28" i="3" s="1"/>
  <c r="P34" i="3" a="1"/>
  <c r="P34" i="3" s="1"/>
  <c r="P8" i="3" a="1"/>
  <c r="P8" i="3" s="1"/>
  <c r="P10" i="3" a="1"/>
  <c r="P10" i="3" s="1"/>
  <c r="P15" i="3" a="1"/>
  <c r="P15" i="3" s="1"/>
  <c r="P18" i="3" a="1"/>
  <c r="P18" i="3" s="1"/>
  <c r="P23" i="3" a="1"/>
  <c r="P23" i="3" s="1"/>
  <c r="P26" i="3" a="1"/>
  <c r="P26" i="3" s="1"/>
  <c r="P31" i="3" a="1"/>
  <c r="P31" i="3" s="1"/>
  <c r="P35" i="3" a="1"/>
  <c r="P35" i="3" s="1"/>
  <c r="P13" i="3" a="1"/>
  <c r="P13" i="3" s="1"/>
  <c r="P16" i="3" a="1"/>
  <c r="P16" i="3" s="1"/>
  <c r="P21" i="3" a="1"/>
  <c r="P21" i="3" s="1"/>
  <c r="P24" i="3" a="1"/>
  <c r="P24" i="3" s="1"/>
  <c r="P29" i="3" a="1"/>
  <c r="P29" i="3" s="1"/>
  <c r="P32" i="3" a="1"/>
  <c r="P32" i="3" s="1"/>
  <c r="P36" i="3" a="1"/>
  <c r="P36" i="3" s="1"/>
  <c r="P11" i="3" a="1"/>
  <c r="P11" i="3" s="1"/>
  <c r="P14" i="3" a="1"/>
  <c r="P14" i="3" s="1"/>
  <c r="P19" i="3" a="1"/>
  <c r="P19" i="3" s="1"/>
  <c r="P22" i="3" a="1"/>
  <c r="P22" i="3" s="1"/>
  <c r="P27" i="3" a="1"/>
  <c r="P27" i="3" s="1"/>
  <c r="P30" i="3" a="1"/>
  <c r="P30" i="3" s="1"/>
  <c r="P33" i="3" a="1"/>
  <c r="P33" i="3" s="1"/>
  <c r="P37" i="3" a="1"/>
  <c r="P37" i="3" s="1"/>
  <c r="O8" i="3" a="1"/>
  <c r="O8" i="3" s="1"/>
  <c r="O9" i="3" a="1"/>
  <c r="O9" i="3" s="1"/>
  <c r="O12" i="3" a="1"/>
  <c r="O12" i="3" s="1"/>
  <c r="O17" i="3" a="1"/>
  <c r="O17" i="3" s="1"/>
  <c r="O20" i="3" a="1"/>
  <c r="O20" i="3" s="1"/>
  <c r="O25" i="3" a="1"/>
  <c r="O25" i="3" s="1"/>
  <c r="O28" i="3" a="1"/>
  <c r="O28" i="3" s="1"/>
  <c r="O33" i="3" a="1"/>
  <c r="O33" i="3" s="1"/>
  <c r="O36" i="3" a="1"/>
  <c r="O36" i="3" s="1"/>
  <c r="O10" i="3" a="1"/>
  <c r="O10" i="3" s="1"/>
  <c r="O15" i="3" a="1"/>
  <c r="O15" i="3" s="1"/>
  <c r="O18" i="3" a="1"/>
  <c r="O18" i="3" s="1"/>
  <c r="O23" i="3" a="1"/>
  <c r="O23" i="3" s="1"/>
  <c r="O26" i="3" a="1"/>
  <c r="O26" i="3" s="1"/>
  <c r="O31" i="3" a="1"/>
  <c r="O31" i="3" s="1"/>
  <c r="O34" i="3" a="1"/>
  <c r="O34" i="3" s="1"/>
  <c r="O27" i="3" a="1"/>
  <c r="O27" i="3" s="1"/>
  <c r="O13" i="3" a="1"/>
  <c r="O13" i="3" s="1"/>
  <c r="O16" i="3" a="1"/>
  <c r="O16" i="3" s="1"/>
  <c r="O21" i="3" a="1"/>
  <c r="O21" i="3" s="1"/>
  <c r="O24" i="3" a="1"/>
  <c r="O24" i="3" s="1"/>
  <c r="O29" i="3" a="1"/>
  <c r="O29" i="3" s="1"/>
  <c r="O32" i="3" a="1"/>
  <c r="O32" i="3" s="1"/>
  <c r="O37" i="3" a="1"/>
  <c r="O37" i="3" s="1"/>
  <c r="O14" i="3" a="1"/>
  <c r="O14" i="3" s="1"/>
  <c r="O11" i="3" a="1"/>
  <c r="O11" i="3" s="1"/>
  <c r="O19" i="3" a="1"/>
  <c r="O19" i="3" s="1"/>
  <c r="O22" i="3" a="1"/>
  <c r="O22" i="3" s="1"/>
  <c r="O30" i="3" a="1"/>
  <c r="O30" i="3" s="1"/>
  <c r="O35" i="3" a="1"/>
  <c r="O35" i="3" s="1"/>
  <c r="Q9" i="3" a="1"/>
  <c r="Q9" i="3" s="1"/>
  <c r="Q12" i="3" a="1"/>
  <c r="Q12" i="3" s="1"/>
  <c r="Q17" i="3" a="1"/>
  <c r="Q17" i="3" s="1"/>
  <c r="Q20" i="3" a="1"/>
  <c r="Q20" i="3" s="1"/>
  <c r="Q25" i="3" a="1"/>
  <c r="Q25" i="3" s="1"/>
  <c r="Q28" i="3" a="1"/>
  <c r="Q28" i="3" s="1"/>
  <c r="Q34" i="3" a="1"/>
  <c r="Q34" i="3" s="1"/>
  <c r="Q10" i="3" a="1"/>
  <c r="Q10" i="3" s="1"/>
  <c r="Q15" i="3" a="1"/>
  <c r="Q15" i="3" s="1"/>
  <c r="Q18" i="3" a="1"/>
  <c r="Q18" i="3" s="1"/>
  <c r="Q23" i="3" a="1"/>
  <c r="Q23" i="3" s="1"/>
  <c r="Q26" i="3" a="1"/>
  <c r="Q26" i="3" s="1"/>
  <c r="Q31" i="3" a="1"/>
  <c r="Q31" i="3" s="1"/>
  <c r="Q35" i="3" a="1"/>
  <c r="Q35" i="3" s="1"/>
  <c r="Q13" i="3" a="1"/>
  <c r="Q13" i="3" s="1"/>
  <c r="Q16" i="3" a="1"/>
  <c r="Q16" i="3" s="1"/>
  <c r="Q21" i="3" a="1"/>
  <c r="Q21" i="3" s="1"/>
  <c r="Q24" i="3" a="1"/>
  <c r="Q24" i="3" s="1"/>
  <c r="Q29" i="3" a="1"/>
  <c r="Q29" i="3" s="1"/>
  <c r="Q32" i="3" a="1"/>
  <c r="Q32" i="3" s="1"/>
  <c r="Q36" i="3" a="1"/>
  <c r="Q36" i="3" s="1"/>
  <c r="Q8" i="3" a="1"/>
  <c r="Q8" i="3" s="1"/>
  <c r="Q11" i="3" a="1"/>
  <c r="Q11" i="3" s="1"/>
  <c r="Q14" i="3" a="1"/>
  <c r="Q14" i="3" s="1"/>
  <c r="Q19" i="3" a="1"/>
  <c r="Q19" i="3" s="1"/>
  <c r="Q22" i="3" a="1"/>
  <c r="Q22" i="3" s="1"/>
  <c r="Q27" i="3" a="1"/>
  <c r="Q27" i="3" s="1"/>
  <c r="Q30" i="3" a="1"/>
  <c r="Q30" i="3" s="1"/>
  <c r="Q33" i="3" a="1"/>
  <c r="Q33" i="3" s="1"/>
  <c r="Q37" i="3" a="1"/>
  <c r="Q37" i="3" s="1"/>
  <c r="BB10" i="3"/>
  <c r="AD3" i="2"/>
  <c r="AB3" i="2"/>
  <c r="AA3" i="2"/>
  <c r="AC3" i="2"/>
  <c r="AG6" i="3" l="1"/>
  <c r="AA6" i="3"/>
  <c r="K6" i="3"/>
  <c r="AC6" i="3"/>
  <c r="O6" i="3"/>
  <c r="Q6" i="3"/>
  <c r="I6" i="3"/>
  <c r="S6" i="3"/>
  <c r="AE6" i="3"/>
  <c r="W6" i="3"/>
  <c r="M6" i="3"/>
  <c r="G6" i="3"/>
  <c r="AI6" i="3"/>
  <c r="AB9" i="3" a="1"/>
  <c r="AB9" i="3" s="1"/>
  <c r="AB10" i="3" a="1"/>
  <c r="AB10" i="3" s="1"/>
  <c r="AB13" i="3" a="1"/>
  <c r="AB13" i="3" s="1"/>
  <c r="AB14" i="3" a="1"/>
  <c r="AB14" i="3" s="1"/>
  <c r="AB12" i="3" a="1"/>
  <c r="AB12" i="3" s="1"/>
  <c r="AB17" i="3" a="1"/>
  <c r="AB17" i="3" s="1"/>
  <c r="AB20" i="3" a="1"/>
  <c r="AB20" i="3" s="1"/>
  <c r="AB24" i="3" a="1"/>
  <c r="AB24" i="3" s="1"/>
  <c r="AB30" i="3" a="1"/>
  <c r="AB30" i="3" s="1"/>
  <c r="AB33" i="3" a="1"/>
  <c r="AB33" i="3" s="1"/>
  <c r="AB36" i="3" a="1"/>
  <c r="AB36" i="3" s="1"/>
  <c r="AB40" i="3" a="1"/>
  <c r="AB40" i="3" s="1"/>
  <c r="AB46" i="3" a="1"/>
  <c r="AB46" i="3" s="1"/>
  <c r="AB49" i="3" a="1"/>
  <c r="AB49" i="3" s="1"/>
  <c r="AB52" i="3" a="1"/>
  <c r="AB52" i="3" s="1"/>
  <c r="AB56" i="3" a="1"/>
  <c r="AB56" i="3" s="1"/>
  <c r="AB62" i="3" a="1"/>
  <c r="AB62" i="3" s="1"/>
  <c r="AB66" i="3" a="1"/>
  <c r="AB66" i="3" s="1"/>
  <c r="AB69" i="3" a="1"/>
  <c r="AB69" i="3" s="1"/>
  <c r="AB73" i="3" a="1"/>
  <c r="AB73" i="3" s="1"/>
  <c r="AB76" i="3" a="1"/>
  <c r="AB76" i="3" s="1"/>
  <c r="AB80" i="3" a="1"/>
  <c r="AB80" i="3" s="1"/>
  <c r="AB83" i="3" a="1"/>
  <c r="AB83" i="3" s="1"/>
  <c r="AB87" i="3" a="1"/>
  <c r="AB87" i="3" s="1"/>
  <c r="AB94" i="3" a="1"/>
  <c r="AB94" i="3" s="1"/>
  <c r="AB98" i="3" a="1"/>
  <c r="AB98" i="3" s="1"/>
  <c r="AB101" i="3" a="1"/>
  <c r="AB101" i="3" s="1"/>
  <c r="AB105" i="3" a="1"/>
  <c r="AB105" i="3" s="1"/>
  <c r="AB108" i="3" a="1"/>
  <c r="AB108" i="3" s="1"/>
  <c r="AB112" i="3" a="1"/>
  <c r="AB112" i="3" s="1"/>
  <c r="AB115" i="3" a="1"/>
  <c r="AB115" i="3" s="1"/>
  <c r="AB119" i="3" a="1"/>
  <c r="AB119" i="3" s="1"/>
  <c r="AB126" i="3" a="1"/>
  <c r="AB126" i="3" s="1"/>
  <c r="AB130" i="3" a="1"/>
  <c r="AB130" i="3" s="1"/>
  <c r="AB133" i="3" a="1"/>
  <c r="AB133" i="3" s="1"/>
  <c r="AB137" i="3" a="1"/>
  <c r="AB137" i="3" s="1"/>
  <c r="AB140" i="3" a="1"/>
  <c r="AB140" i="3" s="1"/>
  <c r="AB144" i="3" a="1"/>
  <c r="AB144" i="3" s="1"/>
  <c r="AB147" i="3" a="1"/>
  <c r="AB147" i="3" s="1"/>
  <c r="AB151" i="3" a="1"/>
  <c r="AB151" i="3" s="1"/>
  <c r="AB158" i="3" a="1"/>
  <c r="AB158" i="3" s="1"/>
  <c r="AB162" i="3" a="1"/>
  <c r="AB162" i="3" s="1"/>
  <c r="AB165" i="3" a="1"/>
  <c r="AB165" i="3" s="1"/>
  <c r="AB169" i="3" a="1"/>
  <c r="AB169" i="3" s="1"/>
  <c r="AB172" i="3" a="1"/>
  <c r="AB172" i="3" s="1"/>
  <c r="AB176" i="3" a="1"/>
  <c r="AB176" i="3" s="1"/>
  <c r="AB179" i="3" a="1"/>
  <c r="AB179" i="3" s="1"/>
  <c r="AB183" i="3" a="1"/>
  <c r="AB183" i="3" s="1"/>
  <c r="AB187" i="3" a="1"/>
  <c r="AB187" i="3" s="1"/>
  <c r="AB191" i="3" a="1"/>
  <c r="AB191" i="3" s="1"/>
  <c r="AB195" i="3" a="1"/>
  <c r="AB195" i="3" s="1"/>
  <c r="AB199" i="3" a="1"/>
  <c r="AB199" i="3" s="1"/>
  <c r="AB203" i="3" a="1"/>
  <c r="AB203" i="3" s="1"/>
  <c r="AB207" i="3" a="1"/>
  <c r="AB207" i="3" s="1"/>
  <c r="AB211" i="3" a="1"/>
  <c r="AB211" i="3" s="1"/>
  <c r="AB215" i="3" a="1"/>
  <c r="AB215" i="3" s="1"/>
  <c r="AB219" i="3" a="1"/>
  <c r="AB219" i="3" s="1"/>
  <c r="AB223" i="3" a="1"/>
  <c r="AB223" i="3" s="1"/>
  <c r="AB227" i="3" a="1"/>
  <c r="AB227" i="3" s="1"/>
  <c r="AB231" i="3" a="1"/>
  <c r="AB231" i="3" s="1"/>
  <c r="AB235" i="3" a="1"/>
  <c r="AB235" i="3" s="1"/>
  <c r="AB239" i="3" a="1"/>
  <c r="AB239" i="3" s="1"/>
  <c r="AB243" i="3" a="1"/>
  <c r="AB243" i="3" s="1"/>
  <c r="AB247" i="3" a="1"/>
  <c r="AB247" i="3" s="1"/>
  <c r="AB251" i="3" a="1"/>
  <c r="AB251" i="3" s="1"/>
  <c r="AB255" i="3" a="1"/>
  <c r="AB255" i="3" s="1"/>
  <c r="AB259" i="3" a="1"/>
  <c r="AB259" i="3" s="1"/>
  <c r="AB263" i="3" a="1"/>
  <c r="AB263" i="3" s="1"/>
  <c r="AB267" i="3" a="1"/>
  <c r="AB267" i="3" s="1"/>
  <c r="AB271" i="3" a="1"/>
  <c r="AB271" i="3" s="1"/>
  <c r="AB275" i="3" a="1"/>
  <c r="AB275" i="3" s="1"/>
  <c r="AB279" i="3" a="1"/>
  <c r="AB279" i="3" s="1"/>
  <c r="AB283" i="3" a="1"/>
  <c r="AB283" i="3" s="1"/>
  <c r="AB287" i="3" a="1"/>
  <c r="AB287" i="3" s="1"/>
  <c r="AB291" i="3" a="1"/>
  <c r="AB291" i="3" s="1"/>
  <c r="AB295" i="3" a="1"/>
  <c r="AB295" i="3" s="1"/>
  <c r="AB299" i="3" a="1"/>
  <c r="AB299" i="3" s="1"/>
  <c r="AB15" i="3" a="1"/>
  <c r="AB15" i="3" s="1"/>
  <c r="AB18" i="3" a="1"/>
  <c r="AB18" i="3" s="1"/>
  <c r="AB21" i="3" a="1"/>
  <c r="AB21" i="3" s="1"/>
  <c r="AB27" i="3" a="1"/>
  <c r="AB27" i="3" s="1"/>
  <c r="AB31" i="3" a="1"/>
  <c r="AB31" i="3" s="1"/>
  <c r="AB34" i="3" a="1"/>
  <c r="AB34" i="3" s="1"/>
  <c r="AB37" i="3" a="1"/>
  <c r="AB37" i="3" s="1"/>
  <c r="AB43" i="3" a="1"/>
  <c r="AB43" i="3" s="1"/>
  <c r="AB47" i="3" a="1"/>
  <c r="AB47" i="3" s="1"/>
  <c r="AB50" i="3" a="1"/>
  <c r="AB50" i="3" s="1"/>
  <c r="AB53" i="3" a="1"/>
  <c r="AB53" i="3" s="1"/>
  <c r="AB59" i="3" a="1"/>
  <c r="AB59" i="3" s="1"/>
  <c r="AB63" i="3" a="1"/>
  <c r="AB63" i="3" s="1"/>
  <c r="AB70" i="3" a="1"/>
  <c r="AB70" i="3" s="1"/>
  <c r="AB74" i="3" a="1"/>
  <c r="AB74" i="3" s="1"/>
  <c r="AB77" i="3" a="1"/>
  <c r="AB77" i="3" s="1"/>
  <c r="AB81" i="3" a="1"/>
  <c r="AB81" i="3" s="1"/>
  <c r="AB84" i="3" a="1"/>
  <c r="AB84" i="3" s="1"/>
  <c r="AB88" i="3" a="1"/>
  <c r="AB88" i="3" s="1"/>
  <c r="AB91" i="3" a="1"/>
  <c r="AB91" i="3" s="1"/>
  <c r="AB95" i="3" a="1"/>
  <c r="AB95" i="3" s="1"/>
  <c r="AB102" i="3" a="1"/>
  <c r="AB102" i="3" s="1"/>
  <c r="AB106" i="3" a="1"/>
  <c r="AB106" i="3" s="1"/>
  <c r="AB109" i="3" a="1"/>
  <c r="AB109" i="3" s="1"/>
  <c r="AB113" i="3" a="1"/>
  <c r="AB113" i="3" s="1"/>
  <c r="AB116" i="3" a="1"/>
  <c r="AB116" i="3" s="1"/>
  <c r="AB120" i="3" a="1"/>
  <c r="AB120" i="3" s="1"/>
  <c r="AB123" i="3" a="1"/>
  <c r="AB123" i="3" s="1"/>
  <c r="AB127" i="3" a="1"/>
  <c r="AB127" i="3" s="1"/>
  <c r="AB134" i="3" a="1"/>
  <c r="AB134" i="3" s="1"/>
  <c r="AB138" i="3" a="1"/>
  <c r="AB138" i="3" s="1"/>
  <c r="AB141" i="3" a="1"/>
  <c r="AB141" i="3" s="1"/>
  <c r="AB145" i="3" a="1"/>
  <c r="AB145" i="3" s="1"/>
  <c r="AB148" i="3" a="1"/>
  <c r="AB148" i="3" s="1"/>
  <c r="AB152" i="3" a="1"/>
  <c r="AB152" i="3" s="1"/>
  <c r="AB155" i="3" a="1"/>
  <c r="AB155" i="3" s="1"/>
  <c r="AB159" i="3" a="1"/>
  <c r="AB159" i="3" s="1"/>
  <c r="AB166" i="3" a="1"/>
  <c r="AB166" i="3" s="1"/>
  <c r="AB170" i="3" a="1"/>
  <c r="AB170" i="3" s="1"/>
  <c r="AB173" i="3" a="1"/>
  <c r="AB173" i="3" s="1"/>
  <c r="AB177" i="3" a="1"/>
  <c r="AB177" i="3" s="1"/>
  <c r="AB180" i="3" a="1"/>
  <c r="AB180" i="3" s="1"/>
  <c r="AB184" i="3" a="1"/>
  <c r="AB184" i="3" s="1"/>
  <c r="AB188" i="3" a="1"/>
  <c r="AB188" i="3" s="1"/>
  <c r="AB192" i="3" a="1"/>
  <c r="AB192" i="3" s="1"/>
  <c r="AB196" i="3" a="1"/>
  <c r="AB196" i="3" s="1"/>
  <c r="AB200" i="3" a="1"/>
  <c r="AB200" i="3" s="1"/>
  <c r="AB204" i="3" a="1"/>
  <c r="AB204" i="3" s="1"/>
  <c r="AB208" i="3" a="1"/>
  <c r="AB208" i="3" s="1"/>
  <c r="AB212" i="3" a="1"/>
  <c r="AB212" i="3" s="1"/>
  <c r="AB216" i="3" a="1"/>
  <c r="AB216" i="3" s="1"/>
  <c r="AB220" i="3" a="1"/>
  <c r="AB220" i="3" s="1"/>
  <c r="AB224" i="3" a="1"/>
  <c r="AB224" i="3" s="1"/>
  <c r="AB228" i="3" a="1"/>
  <c r="AB228" i="3" s="1"/>
  <c r="AB232" i="3" a="1"/>
  <c r="AB232" i="3" s="1"/>
  <c r="AB236" i="3" a="1"/>
  <c r="AB236" i="3" s="1"/>
  <c r="AB240" i="3" a="1"/>
  <c r="AB240" i="3" s="1"/>
  <c r="AB244" i="3" a="1"/>
  <c r="AB244" i="3" s="1"/>
  <c r="AB248" i="3" a="1"/>
  <c r="AB248" i="3" s="1"/>
  <c r="AB252" i="3" a="1"/>
  <c r="AB252" i="3" s="1"/>
  <c r="AB256" i="3" a="1"/>
  <c r="AB256" i="3" s="1"/>
  <c r="AB260" i="3" a="1"/>
  <c r="AB260" i="3" s="1"/>
  <c r="AB264" i="3" a="1"/>
  <c r="AB264" i="3" s="1"/>
  <c r="AB268" i="3" a="1"/>
  <c r="AB268" i="3" s="1"/>
  <c r="AB272" i="3" a="1"/>
  <c r="AB272" i="3" s="1"/>
  <c r="AB276" i="3" a="1"/>
  <c r="AB276" i="3" s="1"/>
  <c r="AB280" i="3" a="1"/>
  <c r="AB280" i="3" s="1"/>
  <c r="AB284" i="3" a="1"/>
  <c r="AB284" i="3" s="1"/>
  <c r="AB288" i="3" a="1"/>
  <c r="AB288" i="3" s="1"/>
  <c r="AB292" i="3" a="1"/>
  <c r="AB292" i="3" s="1"/>
  <c r="AB296" i="3" a="1"/>
  <c r="AB296" i="3" s="1"/>
  <c r="AB300" i="3" a="1"/>
  <c r="AB300" i="3" s="1"/>
  <c r="AB16" i="3" a="1"/>
  <c r="AB16" i="3" s="1"/>
  <c r="AB22" i="3" a="1"/>
  <c r="AB22" i="3" s="1"/>
  <c r="AB25" i="3" a="1"/>
  <c r="AB25" i="3" s="1"/>
  <c r="AB28" i="3" a="1"/>
  <c r="AB28" i="3" s="1"/>
  <c r="AB32" i="3" a="1"/>
  <c r="AB32" i="3" s="1"/>
  <c r="AB38" i="3" a="1"/>
  <c r="AB38" i="3" s="1"/>
  <c r="AB41" i="3" a="1"/>
  <c r="AB41" i="3" s="1"/>
  <c r="AB44" i="3" a="1"/>
  <c r="AB44" i="3" s="1"/>
  <c r="AB48" i="3" a="1"/>
  <c r="AB48" i="3" s="1"/>
  <c r="AB54" i="3" a="1"/>
  <c r="AB54" i="3" s="1"/>
  <c r="AB57" i="3" a="1"/>
  <c r="AB57" i="3" s="1"/>
  <c r="AB60" i="3" a="1"/>
  <c r="AB60" i="3" s="1"/>
  <c r="AB64" i="3" a="1"/>
  <c r="AB64" i="3" s="1"/>
  <c r="AB67" i="3" a="1"/>
  <c r="AB67" i="3" s="1"/>
  <c r="AB71" i="3" a="1"/>
  <c r="AB71" i="3" s="1"/>
  <c r="AB78" i="3" a="1"/>
  <c r="AB78" i="3" s="1"/>
  <c r="AB82" i="3" a="1"/>
  <c r="AB82" i="3" s="1"/>
  <c r="AB85" i="3" a="1"/>
  <c r="AB85" i="3" s="1"/>
  <c r="AB89" i="3" a="1"/>
  <c r="AB89" i="3" s="1"/>
  <c r="AB92" i="3" a="1"/>
  <c r="AB92" i="3" s="1"/>
  <c r="AB96" i="3" a="1"/>
  <c r="AB96" i="3" s="1"/>
  <c r="AB99" i="3" a="1"/>
  <c r="AB99" i="3" s="1"/>
  <c r="AB103" i="3" a="1"/>
  <c r="AB103" i="3" s="1"/>
  <c r="AB110" i="3" a="1"/>
  <c r="AB110" i="3" s="1"/>
  <c r="AB114" i="3" a="1"/>
  <c r="AB114" i="3" s="1"/>
  <c r="AB117" i="3" a="1"/>
  <c r="AB117" i="3" s="1"/>
  <c r="AB121" i="3" a="1"/>
  <c r="AB121" i="3" s="1"/>
  <c r="AB124" i="3" a="1"/>
  <c r="AB124" i="3" s="1"/>
  <c r="AB128" i="3" a="1"/>
  <c r="AB128" i="3" s="1"/>
  <c r="AB131" i="3" a="1"/>
  <c r="AB131" i="3" s="1"/>
  <c r="AB135" i="3" a="1"/>
  <c r="AB135" i="3" s="1"/>
  <c r="AB142" i="3" a="1"/>
  <c r="AB142" i="3" s="1"/>
  <c r="AB146" i="3" a="1"/>
  <c r="AB146" i="3" s="1"/>
  <c r="AB149" i="3" a="1"/>
  <c r="AB149" i="3" s="1"/>
  <c r="AB153" i="3" a="1"/>
  <c r="AB153" i="3" s="1"/>
  <c r="AB156" i="3" a="1"/>
  <c r="AB156" i="3" s="1"/>
  <c r="AB160" i="3" a="1"/>
  <c r="AB160" i="3" s="1"/>
  <c r="AB163" i="3" a="1"/>
  <c r="AB163" i="3" s="1"/>
  <c r="AB167" i="3" a="1"/>
  <c r="AB167" i="3" s="1"/>
  <c r="AB174" i="3" a="1"/>
  <c r="AB174" i="3" s="1"/>
  <c r="AB178" i="3" a="1"/>
  <c r="AB178" i="3" s="1"/>
  <c r="AB181" i="3" a="1"/>
  <c r="AB181" i="3" s="1"/>
  <c r="AB185" i="3" a="1"/>
  <c r="AB185" i="3" s="1"/>
  <c r="AB189" i="3" a="1"/>
  <c r="AB189" i="3" s="1"/>
  <c r="AB193" i="3" a="1"/>
  <c r="AB193" i="3" s="1"/>
  <c r="AB197" i="3" a="1"/>
  <c r="AB197" i="3" s="1"/>
  <c r="AB201" i="3" a="1"/>
  <c r="AB201" i="3" s="1"/>
  <c r="AB205" i="3" a="1"/>
  <c r="AB205" i="3" s="1"/>
  <c r="AB209" i="3" a="1"/>
  <c r="AB209" i="3" s="1"/>
  <c r="AB213" i="3" a="1"/>
  <c r="AB213" i="3" s="1"/>
  <c r="AB217" i="3" a="1"/>
  <c r="AB217" i="3" s="1"/>
  <c r="AB221" i="3" a="1"/>
  <c r="AB221" i="3" s="1"/>
  <c r="AB225" i="3" a="1"/>
  <c r="AB225" i="3" s="1"/>
  <c r="AB229" i="3" a="1"/>
  <c r="AB229" i="3" s="1"/>
  <c r="AB233" i="3" a="1"/>
  <c r="AB233" i="3" s="1"/>
  <c r="AB237" i="3" a="1"/>
  <c r="AB237" i="3" s="1"/>
  <c r="AB241" i="3" a="1"/>
  <c r="AB241" i="3" s="1"/>
  <c r="AB245" i="3" a="1"/>
  <c r="AB245" i="3" s="1"/>
  <c r="AB249" i="3" a="1"/>
  <c r="AB249" i="3" s="1"/>
  <c r="AB253" i="3" a="1"/>
  <c r="AB253" i="3" s="1"/>
  <c r="AB257" i="3" a="1"/>
  <c r="AB257" i="3" s="1"/>
  <c r="AB261" i="3" a="1"/>
  <c r="AB261" i="3" s="1"/>
  <c r="AB265" i="3" a="1"/>
  <c r="AB265" i="3" s="1"/>
  <c r="AB269" i="3" a="1"/>
  <c r="AB269" i="3" s="1"/>
  <c r="AB273" i="3" a="1"/>
  <c r="AB273" i="3" s="1"/>
  <c r="AB277" i="3" a="1"/>
  <c r="AB277" i="3" s="1"/>
  <c r="AB281" i="3" a="1"/>
  <c r="AB281" i="3" s="1"/>
  <c r="AB285" i="3" a="1"/>
  <c r="AB285" i="3" s="1"/>
  <c r="AB289" i="3" a="1"/>
  <c r="AB289" i="3" s="1"/>
  <c r="AB293" i="3" a="1"/>
  <c r="AB293" i="3" s="1"/>
  <c r="AB297" i="3" a="1"/>
  <c r="AB297" i="3" s="1"/>
  <c r="AB11" i="3" a="1"/>
  <c r="AB11" i="3" s="1"/>
  <c r="AB19" i="3" a="1"/>
  <c r="AB19" i="3" s="1"/>
  <c r="AB23" i="3" a="1"/>
  <c r="AB23" i="3" s="1"/>
  <c r="AB26" i="3" a="1"/>
  <c r="AB26" i="3" s="1"/>
  <c r="AB29" i="3" a="1"/>
  <c r="AB29" i="3" s="1"/>
  <c r="AB35" i="3" a="1"/>
  <c r="AB35" i="3" s="1"/>
  <c r="AB39" i="3" a="1"/>
  <c r="AB39" i="3" s="1"/>
  <c r="AB42" i="3" a="1"/>
  <c r="AB42" i="3" s="1"/>
  <c r="AB45" i="3" a="1"/>
  <c r="AB45" i="3" s="1"/>
  <c r="AB51" i="3" a="1"/>
  <c r="AB51" i="3" s="1"/>
  <c r="AB55" i="3" a="1"/>
  <c r="AB55" i="3" s="1"/>
  <c r="AB58" i="3" a="1"/>
  <c r="AB58" i="3" s="1"/>
  <c r="AB61" i="3" a="1"/>
  <c r="AB61" i="3" s="1"/>
  <c r="AB65" i="3" a="1"/>
  <c r="AB65" i="3" s="1"/>
  <c r="AB68" i="3" a="1"/>
  <c r="AB68" i="3" s="1"/>
  <c r="AB72" i="3" a="1"/>
  <c r="AB72" i="3" s="1"/>
  <c r="AB75" i="3" a="1"/>
  <c r="AB75" i="3" s="1"/>
  <c r="AB79" i="3" a="1"/>
  <c r="AB79" i="3" s="1"/>
  <c r="AB86" i="3" a="1"/>
  <c r="AB86" i="3" s="1"/>
  <c r="AB90" i="3" a="1"/>
  <c r="AB90" i="3" s="1"/>
  <c r="AB93" i="3" a="1"/>
  <c r="AB93" i="3" s="1"/>
  <c r="AB97" i="3" a="1"/>
  <c r="AB97" i="3" s="1"/>
  <c r="AB100" i="3" a="1"/>
  <c r="AB100" i="3" s="1"/>
  <c r="AB104" i="3" a="1"/>
  <c r="AB104" i="3" s="1"/>
  <c r="AB107" i="3" a="1"/>
  <c r="AB107" i="3" s="1"/>
  <c r="AB111" i="3" a="1"/>
  <c r="AB111" i="3" s="1"/>
  <c r="AB118" i="3" a="1"/>
  <c r="AB118" i="3" s="1"/>
  <c r="AB122" i="3" a="1"/>
  <c r="AB122" i="3" s="1"/>
  <c r="AB125" i="3" a="1"/>
  <c r="AB125" i="3" s="1"/>
  <c r="AB129" i="3" a="1"/>
  <c r="AB129" i="3" s="1"/>
  <c r="AB132" i="3" a="1"/>
  <c r="AB132" i="3" s="1"/>
  <c r="AB136" i="3" a="1"/>
  <c r="AB136" i="3" s="1"/>
  <c r="AB139" i="3" a="1"/>
  <c r="AB139" i="3" s="1"/>
  <c r="AB143" i="3" a="1"/>
  <c r="AB143" i="3" s="1"/>
  <c r="AB150" i="3" a="1"/>
  <c r="AB150" i="3" s="1"/>
  <c r="AB154" i="3" a="1"/>
  <c r="AB154" i="3" s="1"/>
  <c r="AB157" i="3" a="1"/>
  <c r="AB157" i="3" s="1"/>
  <c r="AB161" i="3" a="1"/>
  <c r="AB161" i="3" s="1"/>
  <c r="AB164" i="3" a="1"/>
  <c r="AB164" i="3" s="1"/>
  <c r="AB168" i="3" a="1"/>
  <c r="AB168" i="3" s="1"/>
  <c r="AB171" i="3" a="1"/>
  <c r="AB171" i="3" s="1"/>
  <c r="AB175" i="3" a="1"/>
  <c r="AB175" i="3" s="1"/>
  <c r="AB182" i="3" a="1"/>
  <c r="AB182" i="3" s="1"/>
  <c r="AB186" i="3" a="1"/>
  <c r="AB186" i="3" s="1"/>
  <c r="AB190" i="3" a="1"/>
  <c r="AB190" i="3" s="1"/>
  <c r="AB194" i="3" a="1"/>
  <c r="AB194" i="3" s="1"/>
  <c r="AB198" i="3" a="1"/>
  <c r="AB198" i="3" s="1"/>
  <c r="AB202" i="3" a="1"/>
  <c r="AB202" i="3" s="1"/>
  <c r="AB206" i="3" a="1"/>
  <c r="AB206" i="3" s="1"/>
  <c r="AB210" i="3" a="1"/>
  <c r="AB210" i="3" s="1"/>
  <c r="AB214" i="3" a="1"/>
  <c r="AB214" i="3" s="1"/>
  <c r="AB218" i="3" a="1"/>
  <c r="AB218" i="3" s="1"/>
  <c r="AB222" i="3" a="1"/>
  <c r="AB222" i="3" s="1"/>
  <c r="AB226" i="3" a="1"/>
  <c r="AB226" i="3" s="1"/>
  <c r="AB230" i="3" a="1"/>
  <c r="AB230" i="3" s="1"/>
  <c r="AB234" i="3" a="1"/>
  <c r="AB234" i="3" s="1"/>
  <c r="AB238" i="3" a="1"/>
  <c r="AB238" i="3" s="1"/>
  <c r="AB242" i="3" a="1"/>
  <c r="AB242" i="3" s="1"/>
  <c r="AB246" i="3" a="1"/>
  <c r="AB246" i="3" s="1"/>
  <c r="AB250" i="3" a="1"/>
  <c r="AB250" i="3" s="1"/>
  <c r="AB254" i="3" a="1"/>
  <c r="AB254" i="3" s="1"/>
  <c r="AB258" i="3" a="1"/>
  <c r="AB258" i="3" s="1"/>
  <c r="AB262" i="3" a="1"/>
  <c r="AB262" i="3" s="1"/>
  <c r="AB266" i="3" a="1"/>
  <c r="AB266" i="3" s="1"/>
  <c r="AB270" i="3" a="1"/>
  <c r="AB270" i="3" s="1"/>
  <c r="AB274" i="3" a="1"/>
  <c r="AB274" i="3" s="1"/>
  <c r="AB278" i="3" a="1"/>
  <c r="AB278" i="3" s="1"/>
  <c r="AB282" i="3" a="1"/>
  <c r="AB282" i="3" s="1"/>
  <c r="AB286" i="3" a="1"/>
  <c r="AB286" i="3" s="1"/>
  <c r="AB290" i="3" a="1"/>
  <c r="AB290" i="3" s="1"/>
  <c r="AB294" i="3" a="1"/>
  <c r="AB294" i="3" s="1"/>
  <c r="AB298" i="3" a="1"/>
  <c r="AB298" i="3" s="1"/>
  <c r="AB8" i="3" a="1"/>
  <c r="AB8" i="3" s="1"/>
  <c r="Z14" i="3" a="1"/>
  <c r="Z14" i="3" s="1"/>
  <c r="Z17" i="3" a="1"/>
  <c r="Z17" i="3" s="1"/>
  <c r="Z20" i="3" a="1"/>
  <c r="Z20" i="3" s="1"/>
  <c r="Z24" i="3" a="1"/>
  <c r="Z24" i="3" s="1"/>
  <c r="Z11" i="3" a="1"/>
  <c r="Z11" i="3" s="1"/>
  <c r="Z15" i="3" a="1"/>
  <c r="Z15" i="3" s="1"/>
  <c r="Z18" i="3" a="1"/>
  <c r="Z18" i="3" s="1"/>
  <c r="Z21" i="3" a="1"/>
  <c r="Z21" i="3" s="1"/>
  <c r="Z9" i="3" a="1"/>
  <c r="Z9" i="3" s="1"/>
  <c r="Z12" i="3" a="1"/>
  <c r="Z12" i="3" s="1"/>
  <c r="Z16" i="3" a="1"/>
  <c r="Z16" i="3" s="1"/>
  <c r="Z22" i="3" a="1"/>
  <c r="Z22" i="3" s="1"/>
  <c r="Z25" i="3" a="1"/>
  <c r="Z25" i="3" s="1"/>
  <c r="Z10" i="3" a="1"/>
  <c r="Z10" i="3" s="1"/>
  <c r="Z13" i="3" a="1"/>
  <c r="Z13" i="3" s="1"/>
  <c r="Z19" i="3" a="1"/>
  <c r="Z19" i="3" s="1"/>
  <c r="Z23" i="3" a="1"/>
  <c r="Z23" i="3" s="1"/>
  <c r="Z26" i="3" a="1"/>
  <c r="Z26" i="3" s="1"/>
  <c r="Z30" i="3" a="1"/>
  <c r="Z30" i="3" s="1"/>
  <c r="Z33" i="3" a="1"/>
  <c r="Z33" i="3" s="1"/>
  <c r="Z36" i="3" a="1"/>
  <c r="Z36" i="3" s="1"/>
  <c r="Z40" i="3" a="1"/>
  <c r="Z40" i="3" s="1"/>
  <c r="Z46" i="3" a="1"/>
  <c r="Z46" i="3" s="1"/>
  <c r="Z49" i="3" a="1"/>
  <c r="Z49" i="3" s="1"/>
  <c r="Z52" i="3" a="1"/>
  <c r="Z52" i="3" s="1"/>
  <c r="Z56" i="3" a="1"/>
  <c r="Z56" i="3" s="1"/>
  <c r="Z62" i="3" a="1"/>
  <c r="Z62" i="3" s="1"/>
  <c r="Z65" i="3" a="1"/>
  <c r="Z65" i="3" s="1"/>
  <c r="Z68" i="3" a="1"/>
  <c r="Z68" i="3" s="1"/>
  <c r="Z72" i="3" a="1"/>
  <c r="Z72" i="3" s="1"/>
  <c r="Z78" i="3" a="1"/>
  <c r="Z78" i="3" s="1"/>
  <c r="Z81" i="3" a="1"/>
  <c r="Z81" i="3" s="1"/>
  <c r="Z85" i="3" a="1"/>
  <c r="Z85" i="3" s="1"/>
  <c r="Z92" i="3" a="1"/>
  <c r="Z92" i="3" s="1"/>
  <c r="Z96" i="3" a="1"/>
  <c r="Z96" i="3" s="1"/>
  <c r="Z99" i="3" a="1"/>
  <c r="Z99" i="3" s="1"/>
  <c r="Z103" i="3" a="1"/>
  <c r="Z103" i="3" s="1"/>
  <c r="Z106" i="3" a="1"/>
  <c r="Z106" i="3" s="1"/>
  <c r="Z110" i="3" a="1"/>
  <c r="Z110" i="3" s="1"/>
  <c r="Z113" i="3" a="1"/>
  <c r="Z113" i="3" s="1"/>
  <c r="Z117" i="3" a="1"/>
  <c r="Z117" i="3" s="1"/>
  <c r="Z124" i="3" a="1"/>
  <c r="Z124" i="3" s="1"/>
  <c r="Z128" i="3" a="1"/>
  <c r="Z128" i="3" s="1"/>
  <c r="Z131" i="3" a="1"/>
  <c r="Z131" i="3" s="1"/>
  <c r="Z135" i="3" a="1"/>
  <c r="Z135" i="3" s="1"/>
  <c r="Z138" i="3" a="1"/>
  <c r="Z138" i="3" s="1"/>
  <c r="Z142" i="3" a="1"/>
  <c r="Z142" i="3" s="1"/>
  <c r="Z145" i="3" a="1"/>
  <c r="Z145" i="3" s="1"/>
  <c r="Z149" i="3" a="1"/>
  <c r="Z149" i="3" s="1"/>
  <c r="Z156" i="3" a="1"/>
  <c r="Z156" i="3" s="1"/>
  <c r="Z160" i="3" a="1"/>
  <c r="Z160" i="3" s="1"/>
  <c r="Z163" i="3" a="1"/>
  <c r="Z163" i="3" s="1"/>
  <c r="Z167" i="3" a="1"/>
  <c r="Z167" i="3" s="1"/>
  <c r="Z170" i="3" a="1"/>
  <c r="Z170" i="3" s="1"/>
  <c r="Z174" i="3" a="1"/>
  <c r="Z174" i="3" s="1"/>
  <c r="Z177" i="3" a="1"/>
  <c r="Z177" i="3" s="1"/>
  <c r="Z181" i="3" a="1"/>
  <c r="Z181" i="3" s="1"/>
  <c r="Z185" i="3" a="1"/>
  <c r="Z185" i="3" s="1"/>
  <c r="Z189" i="3" a="1"/>
  <c r="Z189" i="3" s="1"/>
  <c r="Z193" i="3" a="1"/>
  <c r="Z193" i="3" s="1"/>
  <c r="Z197" i="3" a="1"/>
  <c r="Z197" i="3" s="1"/>
  <c r="Z201" i="3" a="1"/>
  <c r="Z201" i="3" s="1"/>
  <c r="Z205" i="3" a="1"/>
  <c r="Z205" i="3" s="1"/>
  <c r="Z209" i="3" a="1"/>
  <c r="Z209" i="3" s="1"/>
  <c r="Z213" i="3" a="1"/>
  <c r="Z213" i="3" s="1"/>
  <c r="Z217" i="3" a="1"/>
  <c r="Z217" i="3" s="1"/>
  <c r="Z221" i="3" a="1"/>
  <c r="Z221" i="3" s="1"/>
  <c r="Z225" i="3" a="1"/>
  <c r="Z225" i="3" s="1"/>
  <c r="Z229" i="3" a="1"/>
  <c r="Z229" i="3" s="1"/>
  <c r="Z233" i="3" a="1"/>
  <c r="Z233" i="3" s="1"/>
  <c r="Z237" i="3" a="1"/>
  <c r="Z237" i="3" s="1"/>
  <c r="Z241" i="3" a="1"/>
  <c r="Z241" i="3" s="1"/>
  <c r="Z245" i="3" a="1"/>
  <c r="Z245" i="3" s="1"/>
  <c r="Z249" i="3" a="1"/>
  <c r="Z249" i="3" s="1"/>
  <c r="Z253" i="3" a="1"/>
  <c r="Z253" i="3" s="1"/>
  <c r="Z257" i="3" a="1"/>
  <c r="Z257" i="3" s="1"/>
  <c r="Z261" i="3" a="1"/>
  <c r="Z261" i="3" s="1"/>
  <c r="Z265" i="3" a="1"/>
  <c r="Z265" i="3" s="1"/>
  <c r="Z269" i="3" a="1"/>
  <c r="Z269" i="3" s="1"/>
  <c r="Z273" i="3" a="1"/>
  <c r="Z273" i="3" s="1"/>
  <c r="Z277" i="3" a="1"/>
  <c r="Z277" i="3" s="1"/>
  <c r="Z281" i="3" a="1"/>
  <c r="Z281" i="3" s="1"/>
  <c r="Z285" i="3" a="1"/>
  <c r="Z285" i="3" s="1"/>
  <c r="Z289" i="3" a="1"/>
  <c r="Z289" i="3" s="1"/>
  <c r="Z293" i="3" a="1"/>
  <c r="Z293" i="3" s="1"/>
  <c r="Z297" i="3" a="1"/>
  <c r="Z297" i="3" s="1"/>
  <c r="Z27" i="3" a="1"/>
  <c r="Z27" i="3" s="1"/>
  <c r="Z31" i="3" a="1"/>
  <c r="Z31" i="3" s="1"/>
  <c r="Z34" i="3" a="1"/>
  <c r="Z34" i="3" s="1"/>
  <c r="Z37" i="3" a="1"/>
  <c r="Z37" i="3" s="1"/>
  <c r="Z43" i="3" a="1"/>
  <c r="Z43" i="3" s="1"/>
  <c r="Z47" i="3" a="1"/>
  <c r="Z47" i="3" s="1"/>
  <c r="Z50" i="3" a="1"/>
  <c r="Z50" i="3" s="1"/>
  <c r="Z53" i="3" a="1"/>
  <c r="Z53" i="3" s="1"/>
  <c r="Z59" i="3" a="1"/>
  <c r="Z59" i="3" s="1"/>
  <c r="Z63" i="3" a="1"/>
  <c r="Z63" i="3" s="1"/>
  <c r="Z66" i="3" a="1"/>
  <c r="Z66" i="3" s="1"/>
  <c r="Z69" i="3" a="1"/>
  <c r="Z69" i="3" s="1"/>
  <c r="Z75" i="3" a="1"/>
  <c r="Z75" i="3" s="1"/>
  <c r="Z79" i="3" a="1"/>
  <c r="Z79" i="3" s="1"/>
  <c r="Z82" i="3" a="1"/>
  <c r="Z82" i="3" s="1"/>
  <c r="Z86" i="3" a="1"/>
  <c r="Z86" i="3" s="1"/>
  <c r="Z89" i="3" a="1"/>
  <c r="Z89" i="3" s="1"/>
  <c r="Z93" i="3" a="1"/>
  <c r="Z93" i="3" s="1"/>
  <c r="Z100" i="3" a="1"/>
  <c r="Z100" i="3" s="1"/>
  <c r="Z104" i="3" a="1"/>
  <c r="Z104" i="3" s="1"/>
  <c r="Z107" i="3" a="1"/>
  <c r="Z107" i="3" s="1"/>
  <c r="Z111" i="3" a="1"/>
  <c r="Z111" i="3" s="1"/>
  <c r="Z114" i="3" a="1"/>
  <c r="Z114" i="3" s="1"/>
  <c r="Z118" i="3" a="1"/>
  <c r="Z118" i="3" s="1"/>
  <c r="Z121" i="3" a="1"/>
  <c r="Z121" i="3" s="1"/>
  <c r="Z125" i="3" a="1"/>
  <c r="Z125" i="3" s="1"/>
  <c r="Z132" i="3" a="1"/>
  <c r="Z132" i="3" s="1"/>
  <c r="Z136" i="3" a="1"/>
  <c r="Z136" i="3" s="1"/>
  <c r="Z139" i="3" a="1"/>
  <c r="Z139" i="3" s="1"/>
  <c r="Z143" i="3" a="1"/>
  <c r="Z143" i="3" s="1"/>
  <c r="Z146" i="3" a="1"/>
  <c r="Z146" i="3" s="1"/>
  <c r="Z150" i="3" a="1"/>
  <c r="Z150" i="3" s="1"/>
  <c r="Z153" i="3" a="1"/>
  <c r="Z153" i="3" s="1"/>
  <c r="Z157" i="3" a="1"/>
  <c r="Z157" i="3" s="1"/>
  <c r="Z164" i="3" a="1"/>
  <c r="Z164" i="3" s="1"/>
  <c r="Z168" i="3" a="1"/>
  <c r="Z168" i="3" s="1"/>
  <c r="Z171" i="3" a="1"/>
  <c r="Z171" i="3" s="1"/>
  <c r="Z175" i="3" a="1"/>
  <c r="Z175" i="3" s="1"/>
  <c r="Z178" i="3" a="1"/>
  <c r="Z178" i="3" s="1"/>
  <c r="Z182" i="3" a="1"/>
  <c r="Z182" i="3" s="1"/>
  <c r="Z186" i="3" a="1"/>
  <c r="Z186" i="3" s="1"/>
  <c r="Z190" i="3" a="1"/>
  <c r="Z190" i="3" s="1"/>
  <c r="Z194" i="3" a="1"/>
  <c r="Z194" i="3" s="1"/>
  <c r="Z198" i="3" a="1"/>
  <c r="Z198" i="3" s="1"/>
  <c r="Z202" i="3" a="1"/>
  <c r="Z202" i="3" s="1"/>
  <c r="Z206" i="3" a="1"/>
  <c r="Z206" i="3" s="1"/>
  <c r="Z210" i="3" a="1"/>
  <c r="Z210" i="3" s="1"/>
  <c r="Z214" i="3" a="1"/>
  <c r="Z214" i="3" s="1"/>
  <c r="Z218" i="3" a="1"/>
  <c r="Z218" i="3" s="1"/>
  <c r="Z222" i="3" a="1"/>
  <c r="Z222" i="3" s="1"/>
  <c r="Z226" i="3" a="1"/>
  <c r="Z226" i="3" s="1"/>
  <c r="Z230" i="3" a="1"/>
  <c r="Z230" i="3" s="1"/>
  <c r="Z234" i="3" a="1"/>
  <c r="Z234" i="3" s="1"/>
  <c r="Z238" i="3" a="1"/>
  <c r="Z238" i="3" s="1"/>
  <c r="Z242" i="3" a="1"/>
  <c r="Z242" i="3" s="1"/>
  <c r="Z246" i="3" a="1"/>
  <c r="Z246" i="3" s="1"/>
  <c r="Z250" i="3" a="1"/>
  <c r="Z250" i="3" s="1"/>
  <c r="Z254" i="3" a="1"/>
  <c r="Z254" i="3" s="1"/>
  <c r="Z258" i="3" a="1"/>
  <c r="Z258" i="3" s="1"/>
  <c r="Z262" i="3" a="1"/>
  <c r="Z262" i="3" s="1"/>
  <c r="Z266" i="3" a="1"/>
  <c r="Z266" i="3" s="1"/>
  <c r="Z270" i="3" a="1"/>
  <c r="Z270" i="3" s="1"/>
  <c r="Z274" i="3" a="1"/>
  <c r="Z274" i="3" s="1"/>
  <c r="Z278" i="3" a="1"/>
  <c r="Z278" i="3" s="1"/>
  <c r="Z282" i="3" a="1"/>
  <c r="Z282" i="3" s="1"/>
  <c r="Z286" i="3" a="1"/>
  <c r="Z286" i="3" s="1"/>
  <c r="Z290" i="3" a="1"/>
  <c r="Z290" i="3" s="1"/>
  <c r="Z294" i="3" a="1"/>
  <c r="Z294" i="3" s="1"/>
  <c r="Z298" i="3" a="1"/>
  <c r="Z298" i="3" s="1"/>
  <c r="Z8" i="3" a="1"/>
  <c r="Z8" i="3" s="1"/>
  <c r="Z28" i="3" a="1"/>
  <c r="Z28" i="3" s="1"/>
  <c r="Z32" i="3" a="1"/>
  <c r="Z32" i="3" s="1"/>
  <c r="Z38" i="3" a="1"/>
  <c r="Z38" i="3" s="1"/>
  <c r="Z41" i="3" a="1"/>
  <c r="Z41" i="3" s="1"/>
  <c r="Z44" i="3" a="1"/>
  <c r="Z44" i="3" s="1"/>
  <c r="Z48" i="3" a="1"/>
  <c r="Z48" i="3" s="1"/>
  <c r="Z54" i="3" a="1"/>
  <c r="Z54" i="3" s="1"/>
  <c r="Z57" i="3" a="1"/>
  <c r="Z57" i="3" s="1"/>
  <c r="Z60" i="3" a="1"/>
  <c r="Z60" i="3" s="1"/>
  <c r="Z64" i="3" a="1"/>
  <c r="Z64" i="3" s="1"/>
  <c r="Z70" i="3" a="1"/>
  <c r="Z70" i="3" s="1"/>
  <c r="Z73" i="3" a="1"/>
  <c r="Z73" i="3" s="1"/>
  <c r="Z76" i="3" a="1"/>
  <c r="Z76" i="3" s="1"/>
  <c r="Z80" i="3" a="1"/>
  <c r="Z80" i="3" s="1"/>
  <c r="Z83" i="3" a="1"/>
  <c r="Z83" i="3" s="1"/>
  <c r="Z87" i="3" a="1"/>
  <c r="Z87" i="3" s="1"/>
  <c r="Z90" i="3" a="1"/>
  <c r="Z90" i="3" s="1"/>
  <c r="Z94" i="3" a="1"/>
  <c r="Z94" i="3" s="1"/>
  <c r="Z97" i="3" a="1"/>
  <c r="Z97" i="3" s="1"/>
  <c r="Z101" i="3" a="1"/>
  <c r="Z101" i="3" s="1"/>
  <c r="Z108" i="3" a="1"/>
  <c r="Z108" i="3" s="1"/>
  <c r="Z112" i="3" a="1"/>
  <c r="Z112" i="3" s="1"/>
  <c r="Z115" i="3" a="1"/>
  <c r="Z115" i="3" s="1"/>
  <c r="Z119" i="3" a="1"/>
  <c r="Z119" i="3" s="1"/>
  <c r="Z122" i="3" a="1"/>
  <c r="Z122" i="3" s="1"/>
  <c r="Z126" i="3" a="1"/>
  <c r="Z126" i="3" s="1"/>
  <c r="Z129" i="3" a="1"/>
  <c r="Z129" i="3" s="1"/>
  <c r="Z133" i="3" a="1"/>
  <c r="Z133" i="3" s="1"/>
  <c r="Z140" i="3" a="1"/>
  <c r="Z140" i="3" s="1"/>
  <c r="Z144" i="3" a="1"/>
  <c r="Z144" i="3" s="1"/>
  <c r="Z147" i="3" a="1"/>
  <c r="Z147" i="3" s="1"/>
  <c r="Z151" i="3" a="1"/>
  <c r="Z151" i="3" s="1"/>
  <c r="Z154" i="3" a="1"/>
  <c r="Z154" i="3" s="1"/>
  <c r="Z158" i="3" a="1"/>
  <c r="Z158" i="3" s="1"/>
  <c r="Z161" i="3" a="1"/>
  <c r="Z161" i="3" s="1"/>
  <c r="Z165" i="3" a="1"/>
  <c r="Z165" i="3" s="1"/>
  <c r="Z172" i="3" a="1"/>
  <c r="Z172" i="3" s="1"/>
  <c r="Z176" i="3" a="1"/>
  <c r="Z176" i="3" s="1"/>
  <c r="Z179" i="3" a="1"/>
  <c r="Z179" i="3" s="1"/>
  <c r="Z183" i="3" a="1"/>
  <c r="Z183" i="3" s="1"/>
  <c r="Z187" i="3" a="1"/>
  <c r="Z187" i="3" s="1"/>
  <c r="Z191" i="3" a="1"/>
  <c r="Z191" i="3" s="1"/>
  <c r="Z195" i="3" a="1"/>
  <c r="Z195" i="3" s="1"/>
  <c r="Z199" i="3" a="1"/>
  <c r="Z199" i="3" s="1"/>
  <c r="Z203" i="3" a="1"/>
  <c r="Z203" i="3" s="1"/>
  <c r="Z207" i="3" a="1"/>
  <c r="Z207" i="3" s="1"/>
  <c r="Z211" i="3" a="1"/>
  <c r="Z211" i="3" s="1"/>
  <c r="Z215" i="3" a="1"/>
  <c r="Z215" i="3" s="1"/>
  <c r="Z219" i="3" a="1"/>
  <c r="Z219" i="3" s="1"/>
  <c r="Z223" i="3" a="1"/>
  <c r="Z223" i="3" s="1"/>
  <c r="Z227" i="3" a="1"/>
  <c r="Z227" i="3" s="1"/>
  <c r="Z231" i="3" a="1"/>
  <c r="Z231" i="3" s="1"/>
  <c r="Z235" i="3" a="1"/>
  <c r="Z235" i="3" s="1"/>
  <c r="Z239" i="3" a="1"/>
  <c r="Z239" i="3" s="1"/>
  <c r="Z243" i="3" a="1"/>
  <c r="Z243" i="3" s="1"/>
  <c r="Z247" i="3" a="1"/>
  <c r="Z247" i="3" s="1"/>
  <c r="Z251" i="3" a="1"/>
  <c r="Z251" i="3" s="1"/>
  <c r="Z255" i="3" a="1"/>
  <c r="Z255" i="3" s="1"/>
  <c r="Z259" i="3" a="1"/>
  <c r="Z259" i="3" s="1"/>
  <c r="Z263" i="3" a="1"/>
  <c r="Z263" i="3" s="1"/>
  <c r="Z267" i="3" a="1"/>
  <c r="Z267" i="3" s="1"/>
  <c r="Z271" i="3" a="1"/>
  <c r="Z271" i="3" s="1"/>
  <c r="Z275" i="3" a="1"/>
  <c r="Z275" i="3" s="1"/>
  <c r="Z279" i="3" a="1"/>
  <c r="Z279" i="3" s="1"/>
  <c r="Z283" i="3" a="1"/>
  <c r="Z283" i="3" s="1"/>
  <c r="Z287" i="3" a="1"/>
  <c r="Z287" i="3" s="1"/>
  <c r="Z291" i="3" a="1"/>
  <c r="Z291" i="3" s="1"/>
  <c r="Z295" i="3" a="1"/>
  <c r="Z295" i="3" s="1"/>
  <c r="Z299" i="3" a="1"/>
  <c r="Z299" i="3" s="1"/>
  <c r="Z29" i="3" a="1"/>
  <c r="Z29" i="3" s="1"/>
  <c r="Z35" i="3" a="1"/>
  <c r="Z35" i="3" s="1"/>
  <c r="Z39" i="3" a="1"/>
  <c r="Z39" i="3" s="1"/>
  <c r="Z42" i="3" a="1"/>
  <c r="Z42" i="3" s="1"/>
  <c r="Z45" i="3" a="1"/>
  <c r="Z45" i="3" s="1"/>
  <c r="Z51" i="3" a="1"/>
  <c r="Z51" i="3" s="1"/>
  <c r="Z55" i="3" a="1"/>
  <c r="Z55" i="3" s="1"/>
  <c r="Z58" i="3" a="1"/>
  <c r="Z58" i="3" s="1"/>
  <c r="Z61" i="3" a="1"/>
  <c r="Z61" i="3" s="1"/>
  <c r="Z67" i="3" a="1"/>
  <c r="Z67" i="3" s="1"/>
  <c r="Z71" i="3" a="1"/>
  <c r="Z71" i="3" s="1"/>
  <c r="Z74" i="3" a="1"/>
  <c r="Z74" i="3" s="1"/>
  <c r="Z77" i="3" a="1"/>
  <c r="Z77" i="3" s="1"/>
  <c r="Z84" i="3" a="1"/>
  <c r="Z84" i="3" s="1"/>
  <c r="Z88" i="3" a="1"/>
  <c r="Z88" i="3" s="1"/>
  <c r="Z91" i="3" a="1"/>
  <c r="Z91" i="3" s="1"/>
  <c r="Z95" i="3" a="1"/>
  <c r="Z95" i="3" s="1"/>
  <c r="Z98" i="3" a="1"/>
  <c r="Z98" i="3" s="1"/>
  <c r="Z102" i="3" a="1"/>
  <c r="Z102" i="3" s="1"/>
  <c r="Z105" i="3" a="1"/>
  <c r="Z105" i="3" s="1"/>
  <c r="Z109" i="3" a="1"/>
  <c r="Z109" i="3" s="1"/>
  <c r="Z116" i="3" a="1"/>
  <c r="Z116" i="3" s="1"/>
  <c r="Z120" i="3" a="1"/>
  <c r="Z120" i="3" s="1"/>
  <c r="Z123" i="3" a="1"/>
  <c r="Z123" i="3" s="1"/>
  <c r="Z127" i="3" a="1"/>
  <c r="Z127" i="3" s="1"/>
  <c r="Z130" i="3" a="1"/>
  <c r="Z130" i="3" s="1"/>
  <c r="Z134" i="3" a="1"/>
  <c r="Z134" i="3" s="1"/>
  <c r="Z137" i="3" a="1"/>
  <c r="Z137" i="3" s="1"/>
  <c r="Z141" i="3" a="1"/>
  <c r="Z141" i="3" s="1"/>
  <c r="Z148" i="3" a="1"/>
  <c r="Z148" i="3" s="1"/>
  <c r="Z152" i="3" a="1"/>
  <c r="Z152" i="3" s="1"/>
  <c r="Z155" i="3" a="1"/>
  <c r="Z155" i="3" s="1"/>
  <c r="Z159" i="3" a="1"/>
  <c r="Z159" i="3" s="1"/>
  <c r="Z162" i="3" a="1"/>
  <c r="Z162" i="3" s="1"/>
  <c r="Z166" i="3" a="1"/>
  <c r="Z166" i="3" s="1"/>
  <c r="Z169" i="3" a="1"/>
  <c r="Z169" i="3" s="1"/>
  <c r="Z173" i="3" a="1"/>
  <c r="Z173" i="3" s="1"/>
  <c r="Z180" i="3" a="1"/>
  <c r="Z180" i="3" s="1"/>
  <c r="Z184" i="3" a="1"/>
  <c r="Z184" i="3" s="1"/>
  <c r="Z188" i="3" a="1"/>
  <c r="Z188" i="3" s="1"/>
  <c r="Z192" i="3" a="1"/>
  <c r="Z192" i="3" s="1"/>
  <c r="Z196" i="3" a="1"/>
  <c r="Z196" i="3" s="1"/>
  <c r="Z200" i="3" a="1"/>
  <c r="Z200" i="3" s="1"/>
  <c r="Z204" i="3" a="1"/>
  <c r="Z204" i="3" s="1"/>
  <c r="Z208" i="3" a="1"/>
  <c r="Z208" i="3" s="1"/>
  <c r="Z212" i="3" a="1"/>
  <c r="Z212" i="3" s="1"/>
  <c r="Z216" i="3" a="1"/>
  <c r="Z216" i="3" s="1"/>
  <c r="Z220" i="3" a="1"/>
  <c r="Z220" i="3" s="1"/>
  <c r="Z224" i="3" a="1"/>
  <c r="Z224" i="3" s="1"/>
  <c r="Z228" i="3" a="1"/>
  <c r="Z228" i="3" s="1"/>
  <c r="Z232" i="3" a="1"/>
  <c r="Z232" i="3" s="1"/>
  <c r="Z236" i="3" a="1"/>
  <c r="Z236" i="3" s="1"/>
  <c r="Z240" i="3" a="1"/>
  <c r="Z240" i="3" s="1"/>
  <c r="Z244" i="3" a="1"/>
  <c r="Z244" i="3" s="1"/>
  <c r="Z248" i="3" a="1"/>
  <c r="Z248" i="3" s="1"/>
  <c r="Z252" i="3" a="1"/>
  <c r="Z252" i="3" s="1"/>
  <c r="Z256" i="3" a="1"/>
  <c r="Z256" i="3" s="1"/>
  <c r="Z260" i="3" a="1"/>
  <c r="Z260" i="3" s="1"/>
  <c r="Z264" i="3" a="1"/>
  <c r="Z264" i="3" s="1"/>
  <c r="Z268" i="3" a="1"/>
  <c r="Z268" i="3" s="1"/>
  <c r="Z272" i="3" a="1"/>
  <c r="Z272" i="3" s="1"/>
  <c r="Z276" i="3" a="1"/>
  <c r="Z276" i="3" s="1"/>
  <c r="Z280" i="3" a="1"/>
  <c r="Z280" i="3" s="1"/>
  <c r="Z284" i="3" a="1"/>
  <c r="Z284" i="3" s="1"/>
  <c r="Z288" i="3" a="1"/>
  <c r="Z288" i="3" s="1"/>
  <c r="Z292" i="3" a="1"/>
  <c r="Z292" i="3" s="1"/>
  <c r="Z296" i="3" a="1"/>
  <c r="Z296" i="3" s="1"/>
  <c r="Z300" i="3" a="1"/>
  <c r="Z300" i="3" s="1"/>
  <c r="N59" i="3" a="1"/>
  <c r="N59" i="3" s="1"/>
  <c r="N62" i="3" a="1"/>
  <c r="N62" i="3" s="1"/>
  <c r="N67" i="3" a="1"/>
  <c r="N67" i="3" s="1"/>
  <c r="N52" i="3" a="1"/>
  <c r="N52" i="3" s="1"/>
  <c r="N57" i="3" a="1"/>
  <c r="N57" i="3" s="1"/>
  <c r="N40" i="3" a="1"/>
  <c r="N40" i="3" s="1"/>
  <c r="N44" i="3" a="1"/>
  <c r="N44" i="3" s="1"/>
  <c r="N48" i="3" a="1"/>
  <c r="N48" i="3" s="1"/>
  <c r="N60" i="3" a="1"/>
  <c r="N60" i="3" s="1"/>
  <c r="N65" i="3" a="1"/>
  <c r="N65" i="3" s="1"/>
  <c r="N55" i="3" a="1"/>
  <c r="N55" i="3" s="1"/>
  <c r="N58" i="3" a="1"/>
  <c r="N58" i="3" s="1"/>
  <c r="N41" i="3" a="1"/>
  <c r="N41" i="3" s="1"/>
  <c r="N45" i="3" a="1"/>
  <c r="N45" i="3" s="1"/>
  <c r="N49" i="3" a="1"/>
  <c r="N49" i="3" s="1"/>
  <c r="N63" i="3" a="1"/>
  <c r="N63" i="3" s="1"/>
  <c r="N66" i="3" a="1"/>
  <c r="N66" i="3" s="1"/>
  <c r="N53" i="3" a="1"/>
  <c r="N53" i="3" s="1"/>
  <c r="N56" i="3" a="1"/>
  <c r="N56" i="3" s="1"/>
  <c r="N38" i="3" a="1"/>
  <c r="N38" i="3" s="1"/>
  <c r="N42" i="3" a="1"/>
  <c r="N42" i="3" s="1"/>
  <c r="N46" i="3" a="1"/>
  <c r="N46" i="3" s="1"/>
  <c r="N50" i="3" a="1"/>
  <c r="N50" i="3" s="1"/>
  <c r="N61" i="3" a="1"/>
  <c r="N61" i="3" s="1"/>
  <c r="N64" i="3" a="1"/>
  <c r="N64" i="3" s="1"/>
  <c r="N51" i="3" a="1"/>
  <c r="N51" i="3" s="1"/>
  <c r="N54" i="3" a="1"/>
  <c r="N54" i="3" s="1"/>
  <c r="N39" i="3" a="1"/>
  <c r="N39" i="3" s="1"/>
  <c r="N43" i="3" a="1"/>
  <c r="N43" i="3" s="1"/>
  <c r="N47" i="3" a="1"/>
  <c r="N47" i="3" s="1"/>
  <c r="N18" i="3" a="1"/>
  <c r="N18" i="3" s="1"/>
  <c r="L9" i="3" a="1"/>
  <c r="L9" i="3" s="1"/>
  <c r="L23" i="3" a="1"/>
  <c r="L23" i="3" s="1"/>
  <c r="L14" i="3" a="1"/>
  <c r="L14" i="3" s="1"/>
  <c r="L8" i="3" a="1"/>
  <c r="L8" i="3" s="1"/>
  <c r="L24" i="3" a="1"/>
  <c r="L24" i="3" s="1"/>
  <c r="L17" i="3" a="1"/>
  <c r="L17" i="3" s="1"/>
  <c r="L10" i="3" a="1"/>
  <c r="L10" i="3" s="1"/>
  <c r="L15" i="3" a="1"/>
  <c r="L15" i="3" s="1"/>
  <c r="AH9" i="3" a="1"/>
  <c r="AH9" i="3" s="1"/>
  <c r="AH13" i="3" a="1"/>
  <c r="AH13" i="3" s="1"/>
  <c r="AH17" i="3" a="1"/>
  <c r="AH17" i="3" s="1"/>
  <c r="AH22" i="3" a="1"/>
  <c r="AH22" i="3" s="1"/>
  <c r="AH25" i="3" a="1"/>
  <c r="AH25" i="3" s="1"/>
  <c r="AH30" i="3" a="1"/>
  <c r="AH30" i="3" s="1"/>
  <c r="AH33" i="3" a="1"/>
  <c r="AH33" i="3" s="1"/>
  <c r="AH12" i="3" a="1"/>
  <c r="AH12" i="3" s="1"/>
  <c r="AH20" i="3" a="1"/>
  <c r="AH20" i="3" s="1"/>
  <c r="AH23" i="3" a="1"/>
  <c r="AH23" i="3" s="1"/>
  <c r="AH28" i="3" a="1"/>
  <c r="AH28" i="3" s="1"/>
  <c r="AH31" i="3" a="1"/>
  <c r="AH31" i="3" s="1"/>
  <c r="AH36" i="3" a="1"/>
  <c r="AH36" i="3" s="1"/>
  <c r="AH11" i="3" a="1"/>
  <c r="AH11" i="3" s="1"/>
  <c r="AH15" i="3" a="1"/>
  <c r="AH15" i="3" s="1"/>
  <c r="AH8" i="3" a="1"/>
  <c r="AH8" i="3" s="1"/>
  <c r="AH18" i="3" a="1"/>
  <c r="AH18" i="3" s="1"/>
  <c r="AH21" i="3" a="1"/>
  <c r="AH21" i="3" s="1"/>
  <c r="AH26" i="3" a="1"/>
  <c r="AH26" i="3" s="1"/>
  <c r="AH29" i="3" a="1"/>
  <c r="AH29" i="3" s="1"/>
  <c r="AH34" i="3" a="1"/>
  <c r="AH34" i="3" s="1"/>
  <c r="AH37" i="3" a="1"/>
  <c r="AH37" i="3" s="1"/>
  <c r="AH10" i="3" a="1"/>
  <c r="AH10" i="3" s="1"/>
  <c r="AH14" i="3" a="1"/>
  <c r="AH14" i="3" s="1"/>
  <c r="AH16" i="3" a="1"/>
  <c r="AH16" i="3" s="1"/>
  <c r="AH19" i="3" a="1"/>
  <c r="AH19" i="3" s="1"/>
  <c r="AH24" i="3" a="1"/>
  <c r="AH24" i="3" s="1"/>
  <c r="AH27" i="3" a="1"/>
  <c r="AH27" i="3" s="1"/>
  <c r="AH32" i="3" a="1"/>
  <c r="AH32" i="3" s="1"/>
  <c r="AH35" i="3" a="1"/>
  <c r="AH35" i="3" s="1"/>
  <c r="AF9" i="3" a="1"/>
  <c r="AF9" i="3" s="1"/>
  <c r="AF8" i="3" a="1"/>
  <c r="AF8" i="3" s="1"/>
  <c r="AF23" i="3" a="1"/>
  <c r="AF23" i="3" s="1"/>
  <c r="AF28" i="3" a="1"/>
  <c r="AF28" i="3" s="1"/>
  <c r="AF31" i="3" a="1"/>
  <c r="AF31" i="3" s="1"/>
  <c r="AF36" i="3" a="1"/>
  <c r="AF36" i="3" s="1"/>
  <c r="AF21" i="3" a="1"/>
  <c r="AF21" i="3" s="1"/>
  <c r="AF26" i="3" a="1"/>
  <c r="AF26" i="3" s="1"/>
  <c r="AF29" i="3" a="1"/>
  <c r="AF29" i="3" s="1"/>
  <c r="AF34" i="3" a="1"/>
  <c r="AF34" i="3" s="1"/>
  <c r="AF37" i="3" a="1"/>
  <c r="AF37" i="3" s="1"/>
  <c r="AF24" i="3" a="1"/>
  <c r="AF24" i="3" s="1"/>
  <c r="AF27" i="3" a="1"/>
  <c r="AF27" i="3" s="1"/>
  <c r="AF32" i="3" a="1"/>
  <c r="AF32" i="3" s="1"/>
  <c r="AF35" i="3" a="1"/>
  <c r="AF35" i="3" s="1"/>
  <c r="AF22" i="3" a="1"/>
  <c r="AF22" i="3" s="1"/>
  <c r="AF25" i="3" a="1"/>
  <c r="AF25" i="3" s="1"/>
  <c r="AF30" i="3" a="1"/>
  <c r="AF30" i="3" s="1"/>
  <c r="AF33" i="3" a="1"/>
  <c r="AF33" i="3" s="1"/>
  <c r="AD9" i="3" a="1"/>
  <c r="AD9" i="3" s="1"/>
  <c r="AD13" i="3" a="1"/>
  <c r="AD13" i="3" s="1"/>
  <c r="AD17" i="3" a="1"/>
  <c r="AD17" i="3" s="1"/>
  <c r="AD24" i="3" a="1"/>
  <c r="AD24" i="3" s="1"/>
  <c r="AD27" i="3" a="1"/>
  <c r="AD27" i="3" s="1"/>
  <c r="AD32" i="3" a="1"/>
  <c r="AD32" i="3" s="1"/>
  <c r="AD35" i="3" a="1"/>
  <c r="AD35" i="3" s="1"/>
  <c r="AD21" i="3" a="1"/>
  <c r="AD21" i="3" s="1"/>
  <c r="AD29" i="3" a="1"/>
  <c r="AD29" i="3" s="1"/>
  <c r="AD12" i="3" a="1"/>
  <c r="AD12" i="3" s="1"/>
  <c r="AD16" i="3" a="1"/>
  <c r="AD16" i="3" s="1"/>
  <c r="AD8" i="3" a="1"/>
  <c r="AD8" i="3" s="1"/>
  <c r="AD22" i="3" a="1"/>
  <c r="AD22" i="3" s="1"/>
  <c r="AD25" i="3" a="1"/>
  <c r="AD25" i="3" s="1"/>
  <c r="AD30" i="3" a="1"/>
  <c r="AD30" i="3" s="1"/>
  <c r="AD33" i="3" a="1"/>
  <c r="AD33" i="3" s="1"/>
  <c r="AD14" i="3" a="1"/>
  <c r="AD14" i="3" s="1"/>
  <c r="AD34" i="3" a="1"/>
  <c r="AD34" i="3" s="1"/>
  <c r="AD11" i="3" a="1"/>
  <c r="AD11" i="3" s="1"/>
  <c r="AD15" i="3" a="1"/>
  <c r="AD15" i="3" s="1"/>
  <c r="AD19" i="3" a="1"/>
  <c r="AD19" i="3" s="1"/>
  <c r="AD20" i="3" a="1"/>
  <c r="AD20" i="3" s="1"/>
  <c r="AD23" i="3" a="1"/>
  <c r="AD23" i="3" s="1"/>
  <c r="AD28" i="3" a="1"/>
  <c r="AD28" i="3" s="1"/>
  <c r="AD31" i="3" a="1"/>
  <c r="AD31" i="3" s="1"/>
  <c r="AD36" i="3" a="1"/>
  <c r="AD36" i="3" s="1"/>
  <c r="AD10" i="3" a="1"/>
  <c r="AD10" i="3" s="1"/>
  <c r="AD18" i="3" a="1"/>
  <c r="AD18" i="3" s="1"/>
  <c r="AD26" i="3" a="1"/>
  <c r="AD26" i="3" s="1"/>
  <c r="AD37" i="3" a="1"/>
  <c r="AD37" i="3" s="1"/>
  <c r="L19" i="3" a="1"/>
  <c r="L19" i="3" s="1"/>
  <c r="L27" i="3" a="1"/>
  <c r="L27" i="3" s="1"/>
  <c r="L22" i="3" a="1"/>
  <c r="L22" i="3" s="1"/>
  <c r="L13" i="3" a="1"/>
  <c r="L13" i="3" s="1"/>
  <c r="L18" i="3" a="1"/>
  <c r="L18" i="3" s="1"/>
  <c r="L26" i="3" a="1"/>
  <c r="L26" i="3" s="1"/>
  <c r="L30" i="3" a="1"/>
  <c r="L30" i="3" s="1"/>
  <c r="L11" i="3" a="1"/>
  <c r="L11" i="3" s="1"/>
  <c r="L33" i="3" a="1"/>
  <c r="L33" i="3" s="1"/>
  <c r="L29" i="3" a="1"/>
  <c r="L29" i="3" s="1"/>
  <c r="L16" i="3" a="1"/>
  <c r="L16" i="3" s="1"/>
  <c r="L12" i="3" a="1"/>
  <c r="L12" i="3" s="1"/>
  <c r="L21" i="3" a="1"/>
  <c r="L21" i="3" s="1"/>
  <c r="L32" i="3" a="1"/>
  <c r="L32" i="3" s="1"/>
  <c r="L36" i="3" a="1"/>
  <c r="L36" i="3" s="1"/>
  <c r="L35" i="3" a="1"/>
  <c r="L35" i="3" s="1"/>
  <c r="L34" i="3" a="1"/>
  <c r="L34" i="3" s="1"/>
  <c r="L28" i="3" a="1"/>
  <c r="L28" i="3" s="1"/>
  <c r="L20" i="3" a="1"/>
  <c r="L20" i="3" s="1"/>
  <c r="L31" i="3" a="1"/>
  <c r="L31" i="3" s="1"/>
  <c r="L37" i="3" a="1"/>
  <c r="L37" i="3" s="1"/>
  <c r="F13" i="3" a="1"/>
  <c r="F13" i="3" s="1"/>
  <c r="F16" i="3" a="1"/>
  <c r="F16" i="3" s="1"/>
  <c r="F21" i="3" a="1"/>
  <c r="F21" i="3" s="1"/>
  <c r="F24" i="3" a="1"/>
  <c r="F24" i="3" s="1"/>
  <c r="F28" i="3" a="1"/>
  <c r="F28" i="3" s="1"/>
  <c r="F32" i="3" a="1"/>
  <c r="F32" i="3" s="1"/>
  <c r="F36" i="3" a="1"/>
  <c r="F36" i="3" s="1"/>
  <c r="F11" i="3" a="1"/>
  <c r="F11" i="3" s="1"/>
  <c r="F14" i="3" a="1"/>
  <c r="F14" i="3" s="1"/>
  <c r="F19" i="3" a="1"/>
  <c r="F19" i="3" s="1"/>
  <c r="F22" i="3" a="1"/>
  <c r="F22" i="3" s="1"/>
  <c r="F25" i="3" a="1"/>
  <c r="F25" i="3" s="1"/>
  <c r="F29" i="3" a="1"/>
  <c r="F29" i="3" s="1"/>
  <c r="F33" i="3" a="1"/>
  <c r="F33" i="3" s="1"/>
  <c r="F37" i="3" a="1"/>
  <c r="F37" i="3" s="1"/>
  <c r="F9" i="3" a="1"/>
  <c r="F9" i="3" s="1"/>
  <c r="F12" i="3" a="1"/>
  <c r="F12" i="3" s="1"/>
  <c r="F17" i="3" a="1"/>
  <c r="F17" i="3" s="1"/>
  <c r="F20" i="3" a="1"/>
  <c r="F20" i="3" s="1"/>
  <c r="F26" i="3" a="1"/>
  <c r="F26" i="3" s="1"/>
  <c r="F30" i="3" a="1"/>
  <c r="F30" i="3" s="1"/>
  <c r="F34" i="3" a="1"/>
  <c r="F34" i="3" s="1"/>
  <c r="F8" i="3" a="1"/>
  <c r="F8" i="3" s="1"/>
  <c r="F10" i="3" a="1"/>
  <c r="F10" i="3" s="1"/>
  <c r="F15" i="3" a="1"/>
  <c r="F15" i="3" s="1"/>
  <c r="F18" i="3" a="1"/>
  <c r="F18" i="3" s="1"/>
  <c r="F23" i="3" a="1"/>
  <c r="F23" i="3" s="1"/>
  <c r="F27" i="3" a="1"/>
  <c r="F27" i="3" s="1"/>
  <c r="F31" i="3" a="1"/>
  <c r="F31" i="3" s="1"/>
  <c r="F35" i="3" a="1"/>
  <c r="F35" i="3" s="1"/>
  <c r="H13" i="3" a="1"/>
  <c r="H13" i="3" s="1"/>
  <c r="H16" i="3" a="1"/>
  <c r="H16" i="3" s="1"/>
  <c r="H21" i="3" a="1"/>
  <c r="H21" i="3" s="1"/>
  <c r="H24" i="3" a="1"/>
  <c r="H24" i="3" s="1"/>
  <c r="H29" i="3" a="1"/>
  <c r="H29" i="3" s="1"/>
  <c r="H32" i="3" a="1"/>
  <c r="H32" i="3" s="1"/>
  <c r="H36" i="3" a="1"/>
  <c r="H36" i="3" s="1"/>
  <c r="H11" i="3" a="1"/>
  <c r="H11" i="3" s="1"/>
  <c r="H14" i="3" a="1"/>
  <c r="H14" i="3" s="1"/>
  <c r="H19" i="3" a="1"/>
  <c r="H19" i="3" s="1"/>
  <c r="H22" i="3" a="1"/>
  <c r="H22" i="3" s="1"/>
  <c r="H27" i="3" a="1"/>
  <c r="H27" i="3" s="1"/>
  <c r="H30" i="3" a="1"/>
  <c r="H30" i="3" s="1"/>
  <c r="H33" i="3" a="1"/>
  <c r="H33" i="3" s="1"/>
  <c r="H37" i="3" a="1"/>
  <c r="H37" i="3" s="1"/>
  <c r="H9" i="3" a="1"/>
  <c r="H9" i="3" s="1"/>
  <c r="H12" i="3" a="1"/>
  <c r="H12" i="3" s="1"/>
  <c r="H17" i="3" a="1"/>
  <c r="H17" i="3" s="1"/>
  <c r="H20" i="3" a="1"/>
  <c r="H20" i="3" s="1"/>
  <c r="H25" i="3" a="1"/>
  <c r="H25" i="3" s="1"/>
  <c r="H28" i="3" a="1"/>
  <c r="H28" i="3" s="1"/>
  <c r="H34" i="3" a="1"/>
  <c r="H34" i="3" s="1"/>
  <c r="H10" i="3" a="1"/>
  <c r="H10" i="3" s="1"/>
  <c r="H15" i="3" a="1"/>
  <c r="H15" i="3" s="1"/>
  <c r="H18" i="3" a="1"/>
  <c r="H18" i="3" s="1"/>
  <c r="H23" i="3" a="1"/>
  <c r="H23" i="3" s="1"/>
  <c r="H26" i="3" a="1"/>
  <c r="H26" i="3" s="1"/>
  <c r="H31" i="3" a="1"/>
  <c r="H31" i="3" s="1"/>
  <c r="H35" i="3" a="1"/>
  <c r="H35" i="3" s="1"/>
  <c r="H8" i="3" a="1"/>
  <c r="H8" i="3" s="1"/>
  <c r="J10" i="3" a="1"/>
  <c r="J10" i="3" s="1"/>
  <c r="J15" i="3" a="1"/>
  <c r="J15" i="3" s="1"/>
  <c r="J17" i="3" a="1"/>
  <c r="J17" i="3" s="1"/>
  <c r="J22" i="3" a="1"/>
  <c r="J22" i="3" s="1"/>
  <c r="J14" i="3" a="1"/>
  <c r="J14" i="3" s="1"/>
  <c r="J19" i="3" a="1"/>
  <c r="J19" i="3" s="1"/>
  <c r="J20" i="3" a="1"/>
  <c r="J20" i="3" s="1"/>
  <c r="J21" i="3" a="1"/>
  <c r="J21" i="3" s="1"/>
  <c r="J26" i="3" a="1"/>
  <c r="J26" i="3" s="1"/>
  <c r="J11" i="3" a="1"/>
  <c r="J11" i="3" s="1"/>
  <c r="J23" i="3" a="1"/>
  <c r="J23" i="3" s="1"/>
  <c r="J24" i="3" a="1"/>
  <c r="J24" i="3" s="1"/>
  <c r="J25" i="3" a="1"/>
  <c r="J25" i="3" s="1"/>
  <c r="J12" i="3" a="1"/>
  <c r="J12" i="3" s="1"/>
  <c r="J16" i="3" a="1"/>
  <c r="J16" i="3" s="1"/>
  <c r="J13" i="3" a="1"/>
  <c r="J13" i="3" s="1"/>
  <c r="J27" i="3" a="1"/>
  <c r="J27" i="3" s="1"/>
  <c r="J8" i="3" a="1"/>
  <c r="J8" i="3" s="1"/>
  <c r="J18" i="3" a="1"/>
  <c r="J18" i="3" s="1"/>
  <c r="J9" i="3" a="1"/>
  <c r="J9" i="3" s="1"/>
  <c r="AU3" i="2"/>
  <c r="Y10" i="3" a="1"/>
  <c r="Y10" i="3" s="1"/>
  <c r="Y14" i="3" a="1"/>
  <c r="Y14" i="3" s="1"/>
  <c r="Y21" i="3" a="1"/>
  <c r="Y21" i="3" s="1"/>
  <c r="Y25" i="3" a="1"/>
  <c r="Y25" i="3" s="1"/>
  <c r="Y28" i="3" a="1"/>
  <c r="Y28" i="3" s="1"/>
  <c r="Y32" i="3" a="1"/>
  <c r="Y32" i="3" s="1"/>
  <c r="Y35" i="3" a="1"/>
  <c r="Y35" i="3" s="1"/>
  <c r="Y39" i="3" a="1"/>
  <c r="Y39" i="3" s="1"/>
  <c r="Y42" i="3" a="1"/>
  <c r="Y42" i="3" s="1"/>
  <c r="Y46" i="3" a="1"/>
  <c r="Y46" i="3" s="1"/>
  <c r="Y53" i="3" a="1"/>
  <c r="Y53" i="3" s="1"/>
  <c r="Y57" i="3" a="1"/>
  <c r="Y57" i="3" s="1"/>
  <c r="Y60" i="3" a="1"/>
  <c r="Y60" i="3" s="1"/>
  <c r="Y64" i="3" a="1"/>
  <c r="Y64" i="3" s="1"/>
  <c r="Y67" i="3" a="1"/>
  <c r="Y67" i="3" s="1"/>
  <c r="Y71" i="3" a="1"/>
  <c r="Y71" i="3" s="1"/>
  <c r="Y74" i="3" a="1"/>
  <c r="Y74" i="3" s="1"/>
  <c r="Y78" i="3" a="1"/>
  <c r="Y78" i="3" s="1"/>
  <c r="Y85" i="3" a="1"/>
  <c r="Y85" i="3" s="1"/>
  <c r="Y89" i="3" a="1"/>
  <c r="Y89" i="3" s="1"/>
  <c r="Y92" i="3" a="1"/>
  <c r="Y92" i="3" s="1"/>
  <c r="Y96" i="3" a="1"/>
  <c r="Y96" i="3" s="1"/>
  <c r="Y99" i="3" a="1"/>
  <c r="Y99" i="3" s="1"/>
  <c r="Y103" i="3" a="1"/>
  <c r="Y103" i="3" s="1"/>
  <c r="Y106" i="3" a="1"/>
  <c r="Y106" i="3" s="1"/>
  <c r="Y110" i="3" a="1"/>
  <c r="Y110" i="3" s="1"/>
  <c r="Y117" i="3" a="1"/>
  <c r="Y117" i="3" s="1"/>
  <c r="Y121" i="3" a="1"/>
  <c r="Y121" i="3" s="1"/>
  <c r="Y124" i="3" a="1"/>
  <c r="Y124" i="3" s="1"/>
  <c r="Y128" i="3" a="1"/>
  <c r="Y128" i="3" s="1"/>
  <c r="Y131" i="3" a="1"/>
  <c r="Y131" i="3" s="1"/>
  <c r="Y135" i="3" a="1"/>
  <c r="Y135" i="3" s="1"/>
  <c r="Y138" i="3" a="1"/>
  <c r="Y138" i="3" s="1"/>
  <c r="Y142" i="3" a="1"/>
  <c r="Y142" i="3" s="1"/>
  <c r="Y149" i="3" a="1"/>
  <c r="Y149" i="3" s="1"/>
  <c r="Y153" i="3" a="1"/>
  <c r="Y153" i="3" s="1"/>
  <c r="Y156" i="3" a="1"/>
  <c r="Y156" i="3" s="1"/>
  <c r="Y160" i="3" a="1"/>
  <c r="Y160" i="3" s="1"/>
  <c r="Y163" i="3" a="1"/>
  <c r="Y163" i="3" s="1"/>
  <c r="Y167" i="3" a="1"/>
  <c r="Y167" i="3" s="1"/>
  <c r="Y170" i="3" a="1"/>
  <c r="Y170" i="3" s="1"/>
  <c r="Y174" i="3" a="1"/>
  <c r="Y174" i="3" s="1"/>
  <c r="Y180" i="3" a="1"/>
  <c r="Y180" i="3" s="1"/>
  <c r="Y184" i="3" a="1"/>
  <c r="Y184" i="3" s="1"/>
  <c r="Y188" i="3" a="1"/>
  <c r="Y188" i="3" s="1"/>
  <c r="Y192" i="3" a="1"/>
  <c r="Y192" i="3" s="1"/>
  <c r="Y196" i="3" a="1"/>
  <c r="Y196" i="3" s="1"/>
  <c r="Y200" i="3" a="1"/>
  <c r="Y200" i="3" s="1"/>
  <c r="Y204" i="3" a="1"/>
  <c r="Y204" i="3" s="1"/>
  <c r="Y208" i="3" a="1"/>
  <c r="Y208" i="3" s="1"/>
  <c r="Y212" i="3" a="1"/>
  <c r="Y212" i="3" s="1"/>
  <c r="Y216" i="3" a="1"/>
  <c r="Y216" i="3" s="1"/>
  <c r="Y220" i="3" a="1"/>
  <c r="Y220" i="3" s="1"/>
  <c r="Y224" i="3" a="1"/>
  <c r="Y224" i="3" s="1"/>
  <c r="Y228" i="3" a="1"/>
  <c r="Y228" i="3" s="1"/>
  <c r="Y232" i="3" a="1"/>
  <c r="Y232" i="3" s="1"/>
  <c r="Y236" i="3" a="1"/>
  <c r="Y236" i="3" s="1"/>
  <c r="Y240" i="3" a="1"/>
  <c r="Y240" i="3" s="1"/>
  <c r="Y244" i="3" a="1"/>
  <c r="Y244" i="3" s="1"/>
  <c r="Y248" i="3" a="1"/>
  <c r="Y248" i="3" s="1"/>
  <c r="Y252" i="3" a="1"/>
  <c r="Y252" i="3" s="1"/>
  <c r="Y256" i="3" a="1"/>
  <c r="Y256" i="3" s="1"/>
  <c r="Y260" i="3" a="1"/>
  <c r="Y260" i="3" s="1"/>
  <c r="Y264" i="3" a="1"/>
  <c r="Y264" i="3" s="1"/>
  <c r="Y268" i="3" a="1"/>
  <c r="Y268" i="3" s="1"/>
  <c r="Y272" i="3" a="1"/>
  <c r="Y272" i="3" s="1"/>
  <c r="Y276" i="3" a="1"/>
  <c r="Y276" i="3" s="1"/>
  <c r="Y280" i="3" a="1"/>
  <c r="Y280" i="3" s="1"/>
  <c r="Y284" i="3" a="1"/>
  <c r="Y284" i="3" s="1"/>
  <c r="Y288" i="3" a="1"/>
  <c r="Y288" i="3" s="1"/>
  <c r="Y292" i="3" a="1"/>
  <c r="Y292" i="3" s="1"/>
  <c r="Y296" i="3" a="1"/>
  <c r="Y296" i="3" s="1"/>
  <c r="Y300" i="3" a="1"/>
  <c r="Y300" i="3" s="1"/>
  <c r="Y11" i="3" a="1"/>
  <c r="Y11" i="3" s="1"/>
  <c r="Y15" i="3" a="1"/>
  <c r="Y15" i="3" s="1"/>
  <c r="Y18" i="3" a="1"/>
  <c r="Y18" i="3" s="1"/>
  <c r="Y22" i="3" a="1"/>
  <c r="Y22" i="3" s="1"/>
  <c r="Y29" i="3" a="1"/>
  <c r="Y29" i="3" s="1"/>
  <c r="Y33" i="3" a="1"/>
  <c r="Y33" i="3" s="1"/>
  <c r="Y36" i="3" a="1"/>
  <c r="Y36" i="3" s="1"/>
  <c r="Y40" i="3" a="1"/>
  <c r="Y40" i="3" s="1"/>
  <c r="Y43" i="3" a="1"/>
  <c r="Y43" i="3" s="1"/>
  <c r="Y47" i="3" a="1"/>
  <c r="Y47" i="3" s="1"/>
  <c r="Y50" i="3" a="1"/>
  <c r="Y50" i="3" s="1"/>
  <c r="Y54" i="3" a="1"/>
  <c r="Y54" i="3" s="1"/>
  <c r="Y61" i="3" a="1"/>
  <c r="Y61" i="3" s="1"/>
  <c r="Y65" i="3" a="1"/>
  <c r="Y65" i="3" s="1"/>
  <c r="Y68" i="3" a="1"/>
  <c r="Y68" i="3" s="1"/>
  <c r="Y72" i="3" a="1"/>
  <c r="Y72" i="3" s="1"/>
  <c r="Y75" i="3" a="1"/>
  <c r="Y75" i="3" s="1"/>
  <c r="Y79" i="3" a="1"/>
  <c r="Y79" i="3" s="1"/>
  <c r="Y82" i="3" a="1"/>
  <c r="Y82" i="3" s="1"/>
  <c r="Y86" i="3" a="1"/>
  <c r="Y86" i="3" s="1"/>
  <c r="Y93" i="3" a="1"/>
  <c r="Y93" i="3" s="1"/>
  <c r="Y97" i="3" a="1"/>
  <c r="Y97" i="3" s="1"/>
  <c r="Y100" i="3" a="1"/>
  <c r="Y100" i="3" s="1"/>
  <c r="Y104" i="3" a="1"/>
  <c r="Y104" i="3" s="1"/>
  <c r="Y107" i="3" a="1"/>
  <c r="Y107" i="3" s="1"/>
  <c r="Y111" i="3" a="1"/>
  <c r="Y111" i="3" s="1"/>
  <c r="Y114" i="3" a="1"/>
  <c r="Y114" i="3" s="1"/>
  <c r="Y118" i="3" a="1"/>
  <c r="Y118" i="3" s="1"/>
  <c r="Y125" i="3" a="1"/>
  <c r="Y125" i="3" s="1"/>
  <c r="Y129" i="3" a="1"/>
  <c r="Y129" i="3" s="1"/>
  <c r="Y132" i="3" a="1"/>
  <c r="Y132" i="3" s="1"/>
  <c r="Y136" i="3" a="1"/>
  <c r="Y136" i="3" s="1"/>
  <c r="Y139" i="3" a="1"/>
  <c r="Y139" i="3" s="1"/>
  <c r="Y143" i="3" a="1"/>
  <c r="Y143" i="3" s="1"/>
  <c r="Y146" i="3" a="1"/>
  <c r="Y146" i="3" s="1"/>
  <c r="Y150" i="3" a="1"/>
  <c r="Y150" i="3" s="1"/>
  <c r="Y157" i="3" a="1"/>
  <c r="Y157" i="3" s="1"/>
  <c r="Y161" i="3" a="1"/>
  <c r="Y161" i="3" s="1"/>
  <c r="Y164" i="3" a="1"/>
  <c r="Y164" i="3" s="1"/>
  <c r="Y168" i="3" a="1"/>
  <c r="Y168" i="3" s="1"/>
  <c r="Y171" i="3" a="1"/>
  <c r="Y171" i="3" s="1"/>
  <c r="Y175" i="3" a="1"/>
  <c r="Y175" i="3" s="1"/>
  <c r="Y178" i="3" a="1"/>
  <c r="Y178" i="3" s="1"/>
  <c r="Y181" i="3" a="1"/>
  <c r="Y181" i="3" s="1"/>
  <c r="Y185" i="3" a="1"/>
  <c r="Y185" i="3" s="1"/>
  <c r="Y189" i="3" a="1"/>
  <c r="Y189" i="3" s="1"/>
  <c r="Y193" i="3" a="1"/>
  <c r="Y193" i="3" s="1"/>
  <c r="Y197" i="3" a="1"/>
  <c r="Y197" i="3" s="1"/>
  <c r="Y201" i="3" a="1"/>
  <c r="Y201" i="3" s="1"/>
  <c r="Y205" i="3" a="1"/>
  <c r="Y205" i="3" s="1"/>
  <c r="Y209" i="3" a="1"/>
  <c r="Y209" i="3" s="1"/>
  <c r="Y213" i="3" a="1"/>
  <c r="Y213" i="3" s="1"/>
  <c r="Y217" i="3" a="1"/>
  <c r="Y217" i="3" s="1"/>
  <c r="Y221" i="3" a="1"/>
  <c r="Y221" i="3" s="1"/>
  <c r="Y225" i="3" a="1"/>
  <c r="Y225" i="3" s="1"/>
  <c r="Y229" i="3" a="1"/>
  <c r="Y229" i="3" s="1"/>
  <c r="Y233" i="3" a="1"/>
  <c r="Y233" i="3" s="1"/>
  <c r="Y237" i="3" a="1"/>
  <c r="Y237" i="3" s="1"/>
  <c r="Y241" i="3" a="1"/>
  <c r="Y241" i="3" s="1"/>
  <c r="Y245" i="3" a="1"/>
  <c r="Y245" i="3" s="1"/>
  <c r="Y249" i="3" a="1"/>
  <c r="Y249" i="3" s="1"/>
  <c r="Y253" i="3" a="1"/>
  <c r="Y253" i="3" s="1"/>
  <c r="Y257" i="3" a="1"/>
  <c r="Y257" i="3" s="1"/>
  <c r="Y261" i="3" a="1"/>
  <c r="Y261" i="3" s="1"/>
  <c r="Y265" i="3" a="1"/>
  <c r="Y265" i="3" s="1"/>
  <c r="Y269" i="3" a="1"/>
  <c r="Y269" i="3" s="1"/>
  <c r="Y273" i="3" a="1"/>
  <c r="Y273" i="3" s="1"/>
  <c r="Y277" i="3" a="1"/>
  <c r="Y277" i="3" s="1"/>
  <c r="Y281" i="3" a="1"/>
  <c r="Y281" i="3" s="1"/>
  <c r="Y285" i="3" a="1"/>
  <c r="Y285" i="3" s="1"/>
  <c r="Y289" i="3" a="1"/>
  <c r="Y289" i="3" s="1"/>
  <c r="Y293" i="3" a="1"/>
  <c r="Y293" i="3" s="1"/>
  <c r="Y297" i="3" a="1"/>
  <c r="Y297" i="3" s="1"/>
  <c r="Y9" i="3" a="1"/>
  <c r="Y9" i="3" s="1"/>
  <c r="Y12" i="3" a="1"/>
  <c r="Y12" i="3" s="1"/>
  <c r="Y16" i="3" a="1"/>
  <c r="Y16" i="3" s="1"/>
  <c r="Y19" i="3" a="1"/>
  <c r="Y19" i="3" s="1"/>
  <c r="Y23" i="3" a="1"/>
  <c r="Y23" i="3" s="1"/>
  <c r="Y26" i="3" a="1"/>
  <c r="Y26" i="3" s="1"/>
  <c r="Y30" i="3" a="1"/>
  <c r="Y30" i="3" s="1"/>
  <c r="Y37" i="3" a="1"/>
  <c r="Y37" i="3" s="1"/>
  <c r="Y41" i="3" a="1"/>
  <c r="Y41" i="3" s="1"/>
  <c r="Y44" i="3" a="1"/>
  <c r="Y44" i="3" s="1"/>
  <c r="Y48" i="3" a="1"/>
  <c r="Y48" i="3" s="1"/>
  <c r="Y51" i="3" a="1"/>
  <c r="Y51" i="3" s="1"/>
  <c r="Y55" i="3" a="1"/>
  <c r="Y55" i="3" s="1"/>
  <c r="Y58" i="3" a="1"/>
  <c r="Y58" i="3" s="1"/>
  <c r="Y62" i="3" a="1"/>
  <c r="Y62" i="3" s="1"/>
  <c r="Y69" i="3" a="1"/>
  <c r="Y69" i="3" s="1"/>
  <c r="Y73" i="3" a="1"/>
  <c r="Y73" i="3" s="1"/>
  <c r="Y76" i="3" a="1"/>
  <c r="Y76" i="3" s="1"/>
  <c r="Y80" i="3" a="1"/>
  <c r="Y80" i="3" s="1"/>
  <c r="Y83" i="3" a="1"/>
  <c r="Y83" i="3" s="1"/>
  <c r="Y87" i="3" a="1"/>
  <c r="Y87" i="3" s="1"/>
  <c r="Y90" i="3" a="1"/>
  <c r="Y90" i="3" s="1"/>
  <c r="Y94" i="3" a="1"/>
  <c r="Y94" i="3" s="1"/>
  <c r="Y101" i="3" a="1"/>
  <c r="Y101" i="3" s="1"/>
  <c r="Y105" i="3" a="1"/>
  <c r="Y105" i="3" s="1"/>
  <c r="Y108" i="3" a="1"/>
  <c r="Y108" i="3" s="1"/>
  <c r="Y112" i="3" a="1"/>
  <c r="Y112" i="3" s="1"/>
  <c r="Y115" i="3" a="1"/>
  <c r="Y115" i="3" s="1"/>
  <c r="Y119" i="3" a="1"/>
  <c r="Y119" i="3" s="1"/>
  <c r="Y122" i="3" a="1"/>
  <c r="Y122" i="3" s="1"/>
  <c r="Y126" i="3" a="1"/>
  <c r="Y126" i="3" s="1"/>
  <c r="Y133" i="3" a="1"/>
  <c r="Y133" i="3" s="1"/>
  <c r="Y137" i="3" a="1"/>
  <c r="Y137" i="3" s="1"/>
  <c r="Y140" i="3" a="1"/>
  <c r="Y140" i="3" s="1"/>
  <c r="Y144" i="3" a="1"/>
  <c r="Y144" i="3" s="1"/>
  <c r="Y147" i="3" a="1"/>
  <c r="Y147" i="3" s="1"/>
  <c r="Y151" i="3" a="1"/>
  <c r="Y151" i="3" s="1"/>
  <c r="Y154" i="3" a="1"/>
  <c r="Y154" i="3" s="1"/>
  <c r="Y158" i="3" a="1"/>
  <c r="Y158" i="3" s="1"/>
  <c r="Y165" i="3" a="1"/>
  <c r="Y165" i="3" s="1"/>
  <c r="Y169" i="3" a="1"/>
  <c r="Y169" i="3" s="1"/>
  <c r="Y172" i="3" a="1"/>
  <c r="Y172" i="3" s="1"/>
  <c r="Y176" i="3" a="1"/>
  <c r="Y176" i="3" s="1"/>
  <c r="Y179" i="3" a="1"/>
  <c r="Y179" i="3" s="1"/>
  <c r="Y182" i="3" a="1"/>
  <c r="Y182" i="3" s="1"/>
  <c r="Y186" i="3" a="1"/>
  <c r="Y186" i="3" s="1"/>
  <c r="Y190" i="3" a="1"/>
  <c r="Y190" i="3" s="1"/>
  <c r="Y194" i="3" a="1"/>
  <c r="Y194" i="3" s="1"/>
  <c r="Y198" i="3" a="1"/>
  <c r="Y198" i="3" s="1"/>
  <c r="Y202" i="3" a="1"/>
  <c r="Y202" i="3" s="1"/>
  <c r="Y206" i="3" a="1"/>
  <c r="Y206" i="3" s="1"/>
  <c r="Y210" i="3" a="1"/>
  <c r="Y210" i="3" s="1"/>
  <c r="Y214" i="3" a="1"/>
  <c r="Y214" i="3" s="1"/>
  <c r="Y218" i="3" a="1"/>
  <c r="Y218" i="3" s="1"/>
  <c r="Y222" i="3" a="1"/>
  <c r="Y222" i="3" s="1"/>
  <c r="Y226" i="3" a="1"/>
  <c r="Y226" i="3" s="1"/>
  <c r="Y230" i="3" a="1"/>
  <c r="Y230" i="3" s="1"/>
  <c r="Y234" i="3" a="1"/>
  <c r="Y234" i="3" s="1"/>
  <c r="Y238" i="3" a="1"/>
  <c r="Y238" i="3" s="1"/>
  <c r="Y242" i="3" a="1"/>
  <c r="Y242" i="3" s="1"/>
  <c r="Y246" i="3" a="1"/>
  <c r="Y246" i="3" s="1"/>
  <c r="Y250" i="3" a="1"/>
  <c r="Y250" i="3" s="1"/>
  <c r="Y254" i="3" a="1"/>
  <c r="Y254" i="3" s="1"/>
  <c r="Y258" i="3" a="1"/>
  <c r="Y258" i="3" s="1"/>
  <c r="Y262" i="3" a="1"/>
  <c r="Y262" i="3" s="1"/>
  <c r="Y266" i="3" a="1"/>
  <c r="Y266" i="3" s="1"/>
  <c r="Y270" i="3" a="1"/>
  <c r="Y270" i="3" s="1"/>
  <c r="Y274" i="3" a="1"/>
  <c r="Y274" i="3" s="1"/>
  <c r="Y278" i="3" a="1"/>
  <c r="Y278" i="3" s="1"/>
  <c r="Y282" i="3" a="1"/>
  <c r="Y282" i="3" s="1"/>
  <c r="Y286" i="3" a="1"/>
  <c r="Y286" i="3" s="1"/>
  <c r="Y290" i="3" a="1"/>
  <c r="Y290" i="3" s="1"/>
  <c r="Y294" i="3" a="1"/>
  <c r="Y294" i="3" s="1"/>
  <c r="Y298" i="3" a="1"/>
  <c r="Y298" i="3" s="1"/>
  <c r="Y13" i="3" a="1"/>
  <c r="Y13" i="3" s="1"/>
  <c r="Y17" i="3" a="1"/>
  <c r="Y17" i="3" s="1"/>
  <c r="Y20" i="3" a="1"/>
  <c r="Y20" i="3" s="1"/>
  <c r="Y24" i="3" a="1"/>
  <c r="Y24" i="3" s="1"/>
  <c r="Y27" i="3" a="1"/>
  <c r="Y27" i="3" s="1"/>
  <c r="Y31" i="3" a="1"/>
  <c r="Y31" i="3" s="1"/>
  <c r="Y34" i="3" a="1"/>
  <c r="Y34" i="3" s="1"/>
  <c r="Y38" i="3" a="1"/>
  <c r="Y38" i="3" s="1"/>
  <c r="Y45" i="3" a="1"/>
  <c r="Y45" i="3" s="1"/>
  <c r="Y49" i="3" a="1"/>
  <c r="Y49" i="3" s="1"/>
  <c r="Y52" i="3" a="1"/>
  <c r="Y52" i="3" s="1"/>
  <c r="Y56" i="3" a="1"/>
  <c r="Y56" i="3" s="1"/>
  <c r="Y59" i="3" a="1"/>
  <c r="Y59" i="3" s="1"/>
  <c r="Y63" i="3" a="1"/>
  <c r="Y63" i="3" s="1"/>
  <c r="Y66" i="3" a="1"/>
  <c r="Y66" i="3" s="1"/>
  <c r="Y70" i="3" a="1"/>
  <c r="Y70" i="3" s="1"/>
  <c r="Y77" i="3" a="1"/>
  <c r="Y77" i="3" s="1"/>
  <c r="Y81" i="3" a="1"/>
  <c r="Y81" i="3" s="1"/>
  <c r="Y84" i="3" a="1"/>
  <c r="Y84" i="3" s="1"/>
  <c r="Y88" i="3" a="1"/>
  <c r="Y88" i="3" s="1"/>
  <c r="Y91" i="3" a="1"/>
  <c r="Y91" i="3" s="1"/>
  <c r="Y95" i="3" a="1"/>
  <c r="Y95" i="3" s="1"/>
  <c r="Y98" i="3" a="1"/>
  <c r="Y98" i="3" s="1"/>
  <c r="Y102" i="3" a="1"/>
  <c r="Y102" i="3" s="1"/>
  <c r="Y109" i="3" a="1"/>
  <c r="Y109" i="3" s="1"/>
  <c r="Y113" i="3" a="1"/>
  <c r="Y113" i="3" s="1"/>
  <c r="Y116" i="3" a="1"/>
  <c r="Y116" i="3" s="1"/>
  <c r="Y120" i="3" a="1"/>
  <c r="Y120" i="3" s="1"/>
  <c r="Y123" i="3" a="1"/>
  <c r="Y123" i="3" s="1"/>
  <c r="Y127" i="3" a="1"/>
  <c r="Y127" i="3" s="1"/>
  <c r="Y130" i="3" a="1"/>
  <c r="Y130" i="3" s="1"/>
  <c r="Y134" i="3" a="1"/>
  <c r="Y134" i="3" s="1"/>
  <c r="Y141" i="3" a="1"/>
  <c r="Y141" i="3" s="1"/>
  <c r="Y145" i="3" a="1"/>
  <c r="Y145" i="3" s="1"/>
  <c r="Y148" i="3" a="1"/>
  <c r="Y148" i="3" s="1"/>
  <c r="Y152" i="3" a="1"/>
  <c r="Y152" i="3" s="1"/>
  <c r="Y155" i="3" a="1"/>
  <c r="Y155" i="3" s="1"/>
  <c r="Y159" i="3" a="1"/>
  <c r="Y159" i="3" s="1"/>
  <c r="Y162" i="3" a="1"/>
  <c r="Y162" i="3" s="1"/>
  <c r="Y166" i="3" a="1"/>
  <c r="Y166" i="3" s="1"/>
  <c r="Y173" i="3" a="1"/>
  <c r="Y173" i="3" s="1"/>
  <c r="Y177" i="3" a="1"/>
  <c r="Y177" i="3" s="1"/>
  <c r="Y183" i="3" a="1"/>
  <c r="Y183" i="3" s="1"/>
  <c r="Y187" i="3" a="1"/>
  <c r="Y187" i="3" s="1"/>
  <c r="Y191" i="3" a="1"/>
  <c r="Y191" i="3" s="1"/>
  <c r="Y195" i="3" a="1"/>
  <c r="Y195" i="3" s="1"/>
  <c r="Y199" i="3" a="1"/>
  <c r="Y199" i="3" s="1"/>
  <c r="Y203" i="3" a="1"/>
  <c r="Y203" i="3" s="1"/>
  <c r="Y207" i="3" a="1"/>
  <c r="Y207" i="3" s="1"/>
  <c r="Y211" i="3" a="1"/>
  <c r="Y211" i="3" s="1"/>
  <c r="Y215" i="3" a="1"/>
  <c r="Y215" i="3" s="1"/>
  <c r="Y219" i="3" a="1"/>
  <c r="Y219" i="3" s="1"/>
  <c r="Y223" i="3" a="1"/>
  <c r="Y223" i="3" s="1"/>
  <c r="Y227" i="3" a="1"/>
  <c r="Y227" i="3" s="1"/>
  <c r="Y231" i="3" a="1"/>
  <c r="Y231" i="3" s="1"/>
  <c r="Y235" i="3" a="1"/>
  <c r="Y235" i="3" s="1"/>
  <c r="Y239" i="3" a="1"/>
  <c r="Y239" i="3" s="1"/>
  <c r="Y243" i="3" a="1"/>
  <c r="Y243" i="3" s="1"/>
  <c r="Y247" i="3" a="1"/>
  <c r="Y247" i="3" s="1"/>
  <c r="Y251" i="3" a="1"/>
  <c r="Y251" i="3" s="1"/>
  <c r="Y255" i="3" a="1"/>
  <c r="Y255" i="3" s="1"/>
  <c r="Y259" i="3" a="1"/>
  <c r="Y259" i="3" s="1"/>
  <c r="Y263" i="3" a="1"/>
  <c r="Y263" i="3" s="1"/>
  <c r="Y267" i="3" a="1"/>
  <c r="Y267" i="3" s="1"/>
  <c r="Y271" i="3" a="1"/>
  <c r="Y271" i="3" s="1"/>
  <c r="Y275" i="3" a="1"/>
  <c r="Y275" i="3" s="1"/>
  <c r="Y279" i="3" a="1"/>
  <c r="Y279" i="3" s="1"/>
  <c r="Y283" i="3" a="1"/>
  <c r="Y283" i="3" s="1"/>
  <c r="Y287" i="3" a="1"/>
  <c r="Y287" i="3" s="1"/>
  <c r="Y291" i="3" a="1"/>
  <c r="Y291" i="3" s="1"/>
  <c r="Y295" i="3" a="1"/>
  <c r="Y295" i="3" s="1"/>
  <c r="Y299" i="3" a="1"/>
  <c r="Y299" i="3" s="1"/>
  <c r="N36" i="3" a="1"/>
  <c r="N36" i="3" s="1"/>
  <c r="N35" i="3" a="1"/>
  <c r="N35" i="3" s="1"/>
  <c r="N19" i="3" a="1"/>
  <c r="N19" i="3" s="1"/>
  <c r="N12" i="3" a="1"/>
  <c r="N12" i="3" s="1"/>
  <c r="N24" i="3" a="1"/>
  <c r="N24" i="3" s="1"/>
  <c r="N33" i="3" a="1"/>
  <c r="N33" i="3" s="1"/>
  <c r="N31" i="3" a="1"/>
  <c r="N31" i="3" s="1"/>
  <c r="N15" i="3" a="1"/>
  <c r="N15" i="3" s="1"/>
  <c r="N20" i="3" a="1"/>
  <c r="N20" i="3" s="1"/>
  <c r="N30" i="3" a="1"/>
  <c r="N30" i="3" s="1"/>
  <c r="N14" i="3" a="1"/>
  <c r="N14" i="3" s="1"/>
  <c r="N8" i="3" a="1"/>
  <c r="N8" i="3" s="1"/>
  <c r="N21" i="3" a="1"/>
  <c r="N21" i="3" s="1"/>
  <c r="N17" i="3" a="1"/>
  <c r="N17" i="3" s="1"/>
  <c r="N26" i="3" a="1"/>
  <c r="N26" i="3" s="1"/>
  <c r="N10" i="3" a="1"/>
  <c r="N10" i="3" s="1"/>
  <c r="N25" i="3" a="1"/>
  <c r="N25" i="3" s="1"/>
  <c r="N27" i="3" a="1"/>
  <c r="N27" i="3" s="1"/>
  <c r="N11" i="3" a="1"/>
  <c r="N11" i="3" s="1"/>
  <c r="N32" i="3" a="1"/>
  <c r="N32" i="3" s="1"/>
  <c r="N16" i="3" a="1"/>
  <c r="N16" i="3" s="1"/>
  <c r="N37" i="3" a="1"/>
  <c r="N37" i="3" s="1"/>
  <c r="N23" i="3" a="1"/>
  <c r="N23" i="3" s="1"/>
  <c r="N9" i="3" a="1"/>
  <c r="N9" i="3" s="1"/>
  <c r="N22" i="3" a="1"/>
  <c r="N22" i="3" s="1"/>
  <c r="N28" i="3" a="1"/>
  <c r="N28" i="3" s="1"/>
  <c r="N29" i="3" a="1"/>
  <c r="N29" i="3" s="1"/>
  <c r="N13" i="3" a="1"/>
  <c r="N13" i="3" s="1"/>
  <c r="N34" i="3" a="1"/>
  <c r="N34" i="3" s="1"/>
  <c r="AN32" i="3"/>
  <c r="AM32" i="3" s="1"/>
  <c r="AL8" i="3"/>
  <c r="AK8" i="3" s="1"/>
  <c r="AL7" i="3"/>
  <c r="AL21" i="3"/>
  <c r="AK21" i="3" s="1"/>
  <c r="AL17" i="3"/>
  <c r="AK17" i="3" s="1"/>
  <c r="AL13" i="3"/>
  <c r="AK13" i="3" s="1"/>
  <c r="AL9" i="3"/>
  <c r="AK9" i="3" s="1"/>
  <c r="AN30" i="3"/>
  <c r="AM30" i="3" s="1"/>
  <c r="AN26" i="3"/>
  <c r="AM26" i="3" s="1"/>
  <c r="AN22" i="3"/>
  <c r="AM22" i="3" s="1"/>
  <c r="AN18" i="3"/>
  <c r="AM18" i="3" s="1"/>
  <c r="AN14" i="3"/>
  <c r="AM14" i="3" s="1"/>
  <c r="AN10" i="3"/>
  <c r="AM10" i="3" s="1"/>
  <c r="AN7" i="3"/>
  <c r="AL20" i="3"/>
  <c r="AK20" i="3" s="1"/>
  <c r="AL12" i="3"/>
  <c r="AK12" i="3" s="1"/>
  <c r="AN29" i="3"/>
  <c r="AM29" i="3" s="1"/>
  <c r="AN25" i="3"/>
  <c r="AM25" i="3" s="1"/>
  <c r="AN21" i="3"/>
  <c r="AM21" i="3" s="1"/>
  <c r="AN17" i="3"/>
  <c r="AM17" i="3" s="1"/>
  <c r="AN13" i="3"/>
  <c r="AM13" i="3" s="1"/>
  <c r="AN9" i="3"/>
  <c r="AM9" i="3" s="1"/>
  <c r="AL15" i="3"/>
  <c r="AK15" i="3" s="1"/>
  <c r="AL11" i="3"/>
  <c r="AK11" i="3" s="1"/>
  <c r="AN28" i="3"/>
  <c r="AM28" i="3" s="1"/>
  <c r="AN20" i="3"/>
  <c r="AM20" i="3" s="1"/>
  <c r="AM8" i="3"/>
  <c r="AL18" i="3"/>
  <c r="AK18" i="3" s="1"/>
  <c r="AN31" i="3"/>
  <c r="AM31" i="3" s="1"/>
  <c r="AN19" i="3"/>
  <c r="AM19" i="3" s="1"/>
  <c r="AL16" i="3"/>
  <c r="AK16" i="3" s="1"/>
  <c r="AN16" i="3"/>
  <c r="AM16" i="3" s="1"/>
  <c r="AL14" i="3"/>
  <c r="AK14" i="3" s="1"/>
  <c r="AN23" i="3"/>
  <c r="AM23" i="3" s="1"/>
  <c r="AN11" i="3"/>
  <c r="AM11" i="3" s="1"/>
  <c r="AL19" i="3"/>
  <c r="AK19" i="3" s="1"/>
  <c r="AN24" i="3"/>
  <c r="AM24" i="3" s="1"/>
  <c r="AN12" i="3"/>
  <c r="AM12" i="3" s="1"/>
  <c r="AL10" i="3"/>
  <c r="AK10" i="3" s="1"/>
  <c r="AN27" i="3"/>
  <c r="AM27" i="3" s="1"/>
  <c r="AN15" i="3"/>
  <c r="AM15" i="3" s="1"/>
  <c r="AT3" i="2"/>
  <c r="AM3" i="2"/>
  <c r="AQ3" i="2"/>
  <c r="AN3" i="2"/>
  <c r="AR3" i="2"/>
  <c r="AK3" i="2"/>
  <c r="AO3" i="2"/>
  <c r="AS3" i="2"/>
  <c r="AL3" i="2"/>
  <c r="AP3" i="2"/>
  <c r="AV3" i="2"/>
  <c r="Y6" i="3" l="1"/>
  <c r="X76" i="3" a="1"/>
  <c r="X76" i="3" s="1"/>
  <c r="X77" i="3" a="1"/>
  <c r="X77" i="3" s="1"/>
  <c r="X80" i="3" a="1"/>
  <c r="X80" i="3" s="1"/>
  <c r="X81" i="3" a="1"/>
  <c r="X81" i="3" s="1"/>
  <c r="X84" i="3" a="1"/>
  <c r="X84" i="3" s="1"/>
  <c r="X85" i="3" a="1"/>
  <c r="X85" i="3" s="1"/>
  <c r="X88" i="3" a="1"/>
  <c r="X88" i="3" s="1"/>
  <c r="X89" i="3" a="1"/>
  <c r="X89" i="3" s="1"/>
  <c r="X92" i="3" a="1"/>
  <c r="X92" i="3" s="1"/>
  <c r="X93" i="3" a="1"/>
  <c r="X93" i="3" s="1"/>
  <c r="X96" i="3" a="1"/>
  <c r="X96" i="3" s="1"/>
  <c r="X100" i="3" a="1"/>
  <c r="X100" i="3" s="1"/>
  <c r="X105" i="3" a="1"/>
  <c r="X105" i="3" s="1"/>
  <c r="X108" i="3" a="1"/>
  <c r="X108" i="3" s="1"/>
  <c r="X113" i="3" a="1"/>
  <c r="X113" i="3" s="1"/>
  <c r="X115" i="3" a="1"/>
  <c r="X115" i="3" s="1"/>
  <c r="X120" i="3" a="1"/>
  <c r="X120" i="3" s="1"/>
  <c r="X123" i="3" a="1"/>
  <c r="X123" i="3" s="1"/>
  <c r="X128" i="3" a="1"/>
  <c r="X128" i="3" s="1"/>
  <c r="X8" i="3" a="1"/>
  <c r="X8" i="3" s="1"/>
  <c r="X23" i="3" a="1"/>
  <c r="X23" i="3" s="1"/>
  <c r="X25" i="3" a="1"/>
  <c r="X25" i="3" s="1"/>
  <c r="X27" i="3" a="1"/>
  <c r="X27" i="3" s="1"/>
  <c r="X29" i="3" a="1"/>
  <c r="X29" i="3" s="1"/>
  <c r="X31" i="3" a="1"/>
  <c r="X31" i="3" s="1"/>
  <c r="X33" i="3" a="1"/>
  <c r="X33" i="3" s="1"/>
  <c r="X35" i="3" a="1"/>
  <c r="X35" i="3" s="1"/>
  <c r="X37" i="3" a="1"/>
  <c r="X37" i="3" s="1"/>
  <c r="X39" i="3" a="1"/>
  <c r="X39" i="3" s="1"/>
  <c r="X41" i="3" a="1"/>
  <c r="X41" i="3" s="1"/>
  <c r="X43" i="3" a="1"/>
  <c r="X43" i="3" s="1"/>
  <c r="X45" i="3" a="1"/>
  <c r="X45" i="3" s="1"/>
  <c r="X47" i="3" a="1"/>
  <c r="X47" i="3" s="1"/>
  <c r="X49" i="3" a="1"/>
  <c r="X49" i="3" s="1"/>
  <c r="X51" i="3" a="1"/>
  <c r="X51" i="3" s="1"/>
  <c r="X53" i="3" a="1"/>
  <c r="X53" i="3" s="1"/>
  <c r="X55" i="3" a="1"/>
  <c r="X55" i="3" s="1"/>
  <c r="X57" i="3" a="1"/>
  <c r="X57" i="3" s="1"/>
  <c r="X59" i="3" a="1"/>
  <c r="X59" i="3" s="1"/>
  <c r="X61" i="3" a="1"/>
  <c r="X61" i="3" s="1"/>
  <c r="X63" i="3" a="1"/>
  <c r="X63" i="3" s="1"/>
  <c r="X66" i="3" a="1"/>
  <c r="X66" i="3" s="1"/>
  <c r="X67" i="3" a="1"/>
  <c r="X67" i="3" s="1"/>
  <c r="X70" i="3" a="1"/>
  <c r="X70" i="3" s="1"/>
  <c r="X71" i="3" a="1"/>
  <c r="X71" i="3" s="1"/>
  <c r="X99" i="3" a="1"/>
  <c r="X99" i="3" s="1"/>
  <c r="X102" i="3" a="1"/>
  <c r="X102" i="3" s="1"/>
  <c r="X107" i="3" a="1"/>
  <c r="X107" i="3" s="1"/>
  <c r="X110" i="3" a="1"/>
  <c r="X110" i="3" s="1"/>
  <c r="X117" i="3" a="1"/>
  <c r="X117" i="3" s="1"/>
  <c r="X122" i="3" a="1"/>
  <c r="X122" i="3" s="1"/>
  <c r="X125" i="3" a="1"/>
  <c r="X125" i="3" s="1"/>
  <c r="X130" i="3" a="1"/>
  <c r="X130" i="3" s="1"/>
  <c r="X134" i="3" a="1"/>
  <c r="X134" i="3" s="1"/>
  <c r="X138" i="3" a="1"/>
  <c r="X138" i="3" s="1"/>
  <c r="X142" i="3" a="1"/>
  <c r="X142" i="3" s="1"/>
  <c r="X148" i="3" a="1"/>
  <c r="X148" i="3" s="1"/>
  <c r="X149" i="3" a="1"/>
  <c r="X149" i="3" s="1"/>
  <c r="X74" i="3" a="1"/>
  <c r="X74" i="3" s="1"/>
  <c r="X75" i="3" a="1"/>
  <c r="X75" i="3" s="1"/>
  <c r="X78" i="3" a="1"/>
  <c r="X78" i="3" s="1"/>
  <c r="X79" i="3" a="1"/>
  <c r="X79" i="3" s="1"/>
  <c r="X82" i="3" a="1"/>
  <c r="X82" i="3" s="1"/>
  <c r="X83" i="3" a="1"/>
  <c r="X83" i="3" s="1"/>
  <c r="X86" i="3" a="1"/>
  <c r="X86" i="3" s="1"/>
  <c r="X87" i="3" a="1"/>
  <c r="X87" i="3" s="1"/>
  <c r="X90" i="3" a="1"/>
  <c r="X90" i="3" s="1"/>
  <c r="X91" i="3" a="1"/>
  <c r="X91" i="3" s="1"/>
  <c r="X94" i="3" a="1"/>
  <c r="X94" i="3" s="1"/>
  <c r="X95" i="3" a="1"/>
  <c r="X95" i="3" s="1"/>
  <c r="X98" i="3" a="1"/>
  <c r="X98" i="3" s="1"/>
  <c r="X101" i="3" a="1"/>
  <c r="X101" i="3" s="1"/>
  <c r="X104" i="3" a="1"/>
  <c r="X104" i="3" s="1"/>
  <c r="X109" i="3" a="1"/>
  <c r="X109" i="3" s="1"/>
  <c r="X112" i="3" a="1"/>
  <c r="X112" i="3" s="1"/>
  <c r="X114" i="3" a="1"/>
  <c r="X114" i="3" s="1"/>
  <c r="X116" i="3" a="1"/>
  <c r="X116" i="3" s="1"/>
  <c r="X119" i="3" a="1"/>
  <c r="X119" i="3" s="1"/>
  <c r="X124" i="3" a="1"/>
  <c r="X124" i="3" s="1"/>
  <c r="X127" i="3" a="1"/>
  <c r="X127" i="3" s="1"/>
  <c r="X133" i="3" a="1"/>
  <c r="X133" i="3" s="1"/>
  <c r="X137" i="3" a="1"/>
  <c r="X137" i="3" s="1"/>
  <c r="X141" i="3" a="1"/>
  <c r="X141" i="3" s="1"/>
  <c r="X146" i="3" a="1"/>
  <c r="X146" i="3" s="1"/>
  <c r="X22" i="3" a="1"/>
  <c r="X22" i="3" s="1"/>
  <c r="X24" i="3" a="1"/>
  <c r="X24" i="3" s="1"/>
  <c r="X26" i="3" a="1"/>
  <c r="X26" i="3" s="1"/>
  <c r="X28" i="3" a="1"/>
  <c r="X28" i="3" s="1"/>
  <c r="X30" i="3" a="1"/>
  <c r="X30" i="3" s="1"/>
  <c r="X32" i="3" a="1"/>
  <c r="X32" i="3" s="1"/>
  <c r="X34" i="3" a="1"/>
  <c r="X34" i="3" s="1"/>
  <c r="X36" i="3" a="1"/>
  <c r="X36" i="3" s="1"/>
  <c r="X38" i="3" a="1"/>
  <c r="X38" i="3" s="1"/>
  <c r="X40" i="3" a="1"/>
  <c r="X40" i="3" s="1"/>
  <c r="X42" i="3" a="1"/>
  <c r="X42" i="3" s="1"/>
  <c r="X44" i="3" a="1"/>
  <c r="X44" i="3" s="1"/>
  <c r="X46" i="3" a="1"/>
  <c r="X46" i="3" s="1"/>
  <c r="X48" i="3" a="1"/>
  <c r="X48" i="3" s="1"/>
  <c r="X50" i="3" a="1"/>
  <c r="X50" i="3" s="1"/>
  <c r="X52" i="3" a="1"/>
  <c r="X52" i="3" s="1"/>
  <c r="X54" i="3" a="1"/>
  <c r="X54" i="3" s="1"/>
  <c r="X56" i="3" a="1"/>
  <c r="X56" i="3" s="1"/>
  <c r="X58" i="3" a="1"/>
  <c r="X58" i="3" s="1"/>
  <c r="X60" i="3" a="1"/>
  <c r="X60" i="3" s="1"/>
  <c r="X62" i="3" a="1"/>
  <c r="X62" i="3" s="1"/>
  <c r="X64" i="3" a="1"/>
  <c r="X64" i="3" s="1"/>
  <c r="X65" i="3" a="1"/>
  <c r="X65" i="3" s="1"/>
  <c r="X68" i="3" a="1"/>
  <c r="X68" i="3" s="1"/>
  <c r="X69" i="3" a="1"/>
  <c r="X69" i="3" s="1"/>
  <c r="X72" i="3" a="1"/>
  <c r="X72" i="3" s="1"/>
  <c r="X73" i="3" a="1"/>
  <c r="X73" i="3" s="1"/>
  <c r="X97" i="3" a="1"/>
  <c r="X97" i="3" s="1"/>
  <c r="X103" i="3" a="1"/>
  <c r="X103" i="3" s="1"/>
  <c r="X106" i="3" a="1"/>
  <c r="X106" i="3" s="1"/>
  <c r="X111" i="3" a="1"/>
  <c r="X111" i="3" s="1"/>
  <c r="X118" i="3" a="1"/>
  <c r="X118" i="3" s="1"/>
  <c r="X121" i="3" a="1"/>
  <c r="X121" i="3" s="1"/>
  <c r="X126" i="3" a="1"/>
  <c r="X126" i="3" s="1"/>
  <c r="X131" i="3" a="1"/>
  <c r="X131" i="3" s="1"/>
  <c r="X139" i="3" a="1"/>
  <c r="X139" i="3" s="1"/>
  <c r="X153" i="3" a="1"/>
  <c r="X153" i="3" s="1"/>
  <c r="X157" i="3" a="1"/>
  <c r="X157" i="3" s="1"/>
  <c r="X161" i="3" a="1"/>
  <c r="X161" i="3" s="1"/>
  <c r="X165" i="3" a="1"/>
  <c r="X165" i="3" s="1"/>
  <c r="X169" i="3" a="1"/>
  <c r="X169" i="3" s="1"/>
  <c r="X176" i="3" a="1"/>
  <c r="X176" i="3" s="1"/>
  <c r="X177" i="3" a="1"/>
  <c r="X177" i="3" s="1"/>
  <c r="X182" i="3" a="1"/>
  <c r="X182" i="3" s="1"/>
  <c r="X186" i="3" a="1"/>
  <c r="X186" i="3" s="1"/>
  <c r="X190" i="3" a="1"/>
  <c r="X190" i="3" s="1"/>
  <c r="X194" i="3" a="1"/>
  <c r="X194" i="3" s="1"/>
  <c r="X198" i="3" a="1"/>
  <c r="X198" i="3" s="1"/>
  <c r="X202" i="3" a="1"/>
  <c r="X202" i="3" s="1"/>
  <c r="X206" i="3" a="1"/>
  <c r="X206" i="3" s="1"/>
  <c r="X209" i="3" a="1"/>
  <c r="X209" i="3" s="1"/>
  <c r="X211" i="3" a="1"/>
  <c r="X211" i="3" s="1"/>
  <c r="X213" i="3" a="1"/>
  <c r="X213" i="3" s="1"/>
  <c r="X215" i="3" a="1"/>
  <c r="X215" i="3" s="1"/>
  <c r="X217" i="3" a="1"/>
  <c r="X217" i="3" s="1"/>
  <c r="X219" i="3" a="1"/>
  <c r="X219" i="3" s="1"/>
  <c r="X221" i="3" a="1"/>
  <c r="X221" i="3" s="1"/>
  <c r="X223" i="3" a="1"/>
  <c r="X223" i="3" s="1"/>
  <c r="X225" i="3" a="1"/>
  <c r="X225" i="3" s="1"/>
  <c r="X227" i="3" a="1"/>
  <c r="X227" i="3" s="1"/>
  <c r="X229" i="3" a="1"/>
  <c r="X229" i="3" s="1"/>
  <c r="X231" i="3" a="1"/>
  <c r="X231" i="3" s="1"/>
  <c r="X233" i="3" a="1"/>
  <c r="X233" i="3" s="1"/>
  <c r="X235" i="3" a="1"/>
  <c r="X235" i="3" s="1"/>
  <c r="X237" i="3" a="1"/>
  <c r="X237" i="3" s="1"/>
  <c r="X239" i="3" a="1"/>
  <c r="X239" i="3" s="1"/>
  <c r="X241" i="3" a="1"/>
  <c r="X241" i="3" s="1"/>
  <c r="X243" i="3" a="1"/>
  <c r="X243" i="3" s="1"/>
  <c r="X245" i="3" a="1"/>
  <c r="X245" i="3" s="1"/>
  <c r="X247" i="3" a="1"/>
  <c r="X247" i="3" s="1"/>
  <c r="X249" i="3" a="1"/>
  <c r="X249" i="3" s="1"/>
  <c r="X251" i="3" a="1"/>
  <c r="X251" i="3" s="1"/>
  <c r="X253" i="3" a="1"/>
  <c r="X253" i="3" s="1"/>
  <c r="X255" i="3" a="1"/>
  <c r="X255" i="3" s="1"/>
  <c r="X257" i="3" a="1"/>
  <c r="X257" i="3" s="1"/>
  <c r="X259" i="3" a="1"/>
  <c r="X259" i="3" s="1"/>
  <c r="X261" i="3" a="1"/>
  <c r="X261" i="3" s="1"/>
  <c r="X263" i="3" a="1"/>
  <c r="X263" i="3" s="1"/>
  <c r="X265" i="3" a="1"/>
  <c r="X265" i="3" s="1"/>
  <c r="X267" i="3" a="1"/>
  <c r="X267" i="3" s="1"/>
  <c r="X269" i="3" a="1"/>
  <c r="X269" i="3" s="1"/>
  <c r="X129" i="3" a="1"/>
  <c r="X129" i="3" s="1"/>
  <c r="X132" i="3" a="1"/>
  <c r="X132" i="3" s="1"/>
  <c r="X140" i="3" a="1"/>
  <c r="X140" i="3" s="1"/>
  <c r="X145" i="3" a="1"/>
  <c r="X145" i="3" s="1"/>
  <c r="X147" i="3" a="1"/>
  <c r="X147" i="3" s="1"/>
  <c r="X150" i="3" a="1"/>
  <c r="X150" i="3" s="1"/>
  <c r="X152" i="3" a="1"/>
  <c r="X152" i="3" s="1"/>
  <c r="X156" i="3" a="1"/>
  <c r="X156" i="3" s="1"/>
  <c r="X160" i="3" a="1"/>
  <c r="X160" i="3" s="1"/>
  <c r="X164" i="3" a="1"/>
  <c r="X164" i="3" s="1"/>
  <c r="X168" i="3" a="1"/>
  <c r="X168" i="3" s="1"/>
  <c r="X174" i="3" a="1"/>
  <c r="X174" i="3" s="1"/>
  <c r="X175" i="3" a="1"/>
  <c r="X175" i="3" s="1"/>
  <c r="X181" i="3" a="1"/>
  <c r="X181" i="3" s="1"/>
  <c r="X185" i="3" a="1"/>
  <c r="X185" i="3" s="1"/>
  <c r="X189" i="3" a="1"/>
  <c r="X189" i="3" s="1"/>
  <c r="X193" i="3" a="1"/>
  <c r="X193" i="3" s="1"/>
  <c r="X197" i="3" a="1"/>
  <c r="X197" i="3" s="1"/>
  <c r="X201" i="3" a="1"/>
  <c r="X201" i="3" s="1"/>
  <c r="X205" i="3" a="1"/>
  <c r="X205" i="3" s="1"/>
  <c r="X135" i="3" a="1"/>
  <c r="X135" i="3" s="1"/>
  <c r="X143" i="3" a="1"/>
  <c r="X143" i="3" s="1"/>
  <c r="X155" i="3" a="1"/>
  <c r="X155" i="3" s="1"/>
  <c r="X159" i="3" a="1"/>
  <c r="X159" i="3" s="1"/>
  <c r="X163" i="3" a="1"/>
  <c r="X163" i="3" s="1"/>
  <c r="X167" i="3" a="1"/>
  <c r="X167" i="3" s="1"/>
  <c r="X172" i="3" a="1"/>
  <c r="X172" i="3" s="1"/>
  <c r="X173" i="3" a="1"/>
  <c r="X173" i="3" s="1"/>
  <c r="X180" i="3" a="1"/>
  <c r="X180" i="3" s="1"/>
  <c r="X184" i="3" a="1"/>
  <c r="X184" i="3" s="1"/>
  <c r="X188" i="3" a="1"/>
  <c r="X188" i="3" s="1"/>
  <c r="X192" i="3" a="1"/>
  <c r="X192" i="3" s="1"/>
  <c r="X196" i="3" a="1"/>
  <c r="X196" i="3" s="1"/>
  <c r="X200" i="3" a="1"/>
  <c r="X200" i="3" s="1"/>
  <c r="X204" i="3" a="1"/>
  <c r="X204" i="3" s="1"/>
  <c r="X208" i="3" a="1"/>
  <c r="X208" i="3" s="1"/>
  <c r="X210" i="3" a="1"/>
  <c r="X210" i="3" s="1"/>
  <c r="X212" i="3" a="1"/>
  <c r="X212" i="3" s="1"/>
  <c r="X214" i="3" a="1"/>
  <c r="X214" i="3" s="1"/>
  <c r="X216" i="3" a="1"/>
  <c r="X216" i="3" s="1"/>
  <c r="X218" i="3" a="1"/>
  <c r="X218" i="3" s="1"/>
  <c r="X220" i="3" a="1"/>
  <c r="X220" i="3" s="1"/>
  <c r="X222" i="3" a="1"/>
  <c r="X222" i="3" s="1"/>
  <c r="X224" i="3" a="1"/>
  <c r="X224" i="3" s="1"/>
  <c r="X226" i="3" a="1"/>
  <c r="X226" i="3" s="1"/>
  <c r="X228" i="3" a="1"/>
  <c r="X228" i="3" s="1"/>
  <c r="X230" i="3" a="1"/>
  <c r="X230" i="3" s="1"/>
  <c r="X232" i="3" a="1"/>
  <c r="X232" i="3" s="1"/>
  <c r="X234" i="3" a="1"/>
  <c r="X234" i="3" s="1"/>
  <c r="X236" i="3" a="1"/>
  <c r="X236" i="3" s="1"/>
  <c r="X238" i="3" a="1"/>
  <c r="X238" i="3" s="1"/>
  <c r="X240" i="3" a="1"/>
  <c r="X240" i="3" s="1"/>
  <c r="X242" i="3" a="1"/>
  <c r="X242" i="3" s="1"/>
  <c r="X244" i="3" a="1"/>
  <c r="X244" i="3" s="1"/>
  <c r="X246" i="3" a="1"/>
  <c r="X246" i="3" s="1"/>
  <c r="X248" i="3" a="1"/>
  <c r="X248" i="3" s="1"/>
  <c r="X250" i="3" a="1"/>
  <c r="X250" i="3" s="1"/>
  <c r="X252" i="3" a="1"/>
  <c r="X252" i="3" s="1"/>
  <c r="X254" i="3" a="1"/>
  <c r="X254" i="3" s="1"/>
  <c r="X256" i="3" a="1"/>
  <c r="X256" i="3" s="1"/>
  <c r="X258" i="3" a="1"/>
  <c r="X258" i="3" s="1"/>
  <c r="X136" i="3" a="1"/>
  <c r="X136" i="3" s="1"/>
  <c r="X144" i="3" a="1"/>
  <c r="X144" i="3" s="1"/>
  <c r="X151" i="3" a="1"/>
  <c r="X151" i="3" s="1"/>
  <c r="X154" i="3" a="1"/>
  <c r="X154" i="3" s="1"/>
  <c r="X158" i="3" a="1"/>
  <c r="X158" i="3" s="1"/>
  <c r="X162" i="3" a="1"/>
  <c r="X162" i="3" s="1"/>
  <c r="X166" i="3" a="1"/>
  <c r="X166" i="3" s="1"/>
  <c r="X170" i="3" a="1"/>
  <c r="X170" i="3" s="1"/>
  <c r="X171" i="3" a="1"/>
  <c r="X171" i="3" s="1"/>
  <c r="X178" i="3" a="1"/>
  <c r="X178" i="3" s="1"/>
  <c r="X179" i="3" a="1"/>
  <c r="X179" i="3" s="1"/>
  <c r="X183" i="3" a="1"/>
  <c r="X183" i="3" s="1"/>
  <c r="X187" i="3" a="1"/>
  <c r="X187" i="3" s="1"/>
  <c r="X191" i="3" a="1"/>
  <c r="X191" i="3" s="1"/>
  <c r="X195" i="3" a="1"/>
  <c r="X195" i="3" s="1"/>
  <c r="X199" i="3" a="1"/>
  <c r="X199" i="3" s="1"/>
  <c r="X203" i="3" a="1"/>
  <c r="X203" i="3" s="1"/>
  <c r="X264" i="3" a="1"/>
  <c r="X264" i="3" s="1"/>
  <c r="X14" i="3" a="1"/>
  <c r="X14" i="3" s="1"/>
  <c r="X18" i="3" a="1"/>
  <c r="X18" i="3" s="1"/>
  <c r="X207" i="3" a="1"/>
  <c r="X207" i="3" s="1"/>
  <c r="X262" i="3" a="1"/>
  <c r="X262" i="3" s="1"/>
  <c r="X270" i="3" a="1"/>
  <c r="X270" i="3" s="1"/>
  <c r="X272" i="3" a="1"/>
  <c r="X272" i="3" s="1"/>
  <c r="X274" i="3" a="1"/>
  <c r="X274" i="3" s="1"/>
  <c r="X276" i="3" a="1"/>
  <c r="X276" i="3" s="1"/>
  <c r="X278" i="3" a="1"/>
  <c r="X278" i="3" s="1"/>
  <c r="X280" i="3" a="1"/>
  <c r="X280" i="3" s="1"/>
  <c r="X282" i="3" a="1"/>
  <c r="X282" i="3" s="1"/>
  <c r="X284" i="3" a="1"/>
  <c r="X284" i="3" s="1"/>
  <c r="X286" i="3" a="1"/>
  <c r="X286" i="3" s="1"/>
  <c r="X288" i="3" a="1"/>
  <c r="X288" i="3" s="1"/>
  <c r="X290" i="3" a="1"/>
  <c r="X290" i="3" s="1"/>
  <c r="X292" i="3" a="1"/>
  <c r="X292" i="3" s="1"/>
  <c r="X294" i="3" a="1"/>
  <c r="X294" i="3" s="1"/>
  <c r="X296" i="3" a="1"/>
  <c r="X296" i="3" s="1"/>
  <c r="X298" i="3" a="1"/>
  <c r="X298" i="3" s="1"/>
  <c r="X300" i="3" a="1"/>
  <c r="X300" i="3" s="1"/>
  <c r="X11" i="3" a="1"/>
  <c r="X11" i="3" s="1"/>
  <c r="X15" i="3" a="1"/>
  <c r="X15" i="3" s="1"/>
  <c r="X19" i="3" a="1"/>
  <c r="X19" i="3" s="1"/>
  <c r="X260" i="3" a="1"/>
  <c r="X260" i="3" s="1"/>
  <c r="X268" i="3" a="1"/>
  <c r="X268" i="3" s="1"/>
  <c r="X266" i="3" a="1"/>
  <c r="X266" i="3" s="1"/>
  <c r="X271" i="3" a="1"/>
  <c r="X271" i="3" s="1"/>
  <c r="X273" i="3" a="1"/>
  <c r="X273" i="3" s="1"/>
  <c r="X275" i="3" a="1"/>
  <c r="X275" i="3" s="1"/>
  <c r="X277" i="3" a="1"/>
  <c r="X277" i="3" s="1"/>
  <c r="X279" i="3" a="1"/>
  <c r="X279" i="3" s="1"/>
  <c r="X281" i="3" a="1"/>
  <c r="X281" i="3" s="1"/>
  <c r="X283" i="3" a="1"/>
  <c r="X283" i="3" s="1"/>
  <c r="X285" i="3" a="1"/>
  <c r="X285" i="3" s="1"/>
  <c r="X287" i="3" a="1"/>
  <c r="X287" i="3" s="1"/>
  <c r="X289" i="3" a="1"/>
  <c r="X289" i="3" s="1"/>
  <c r="X291" i="3" a="1"/>
  <c r="X291" i="3" s="1"/>
  <c r="X293" i="3" a="1"/>
  <c r="X293" i="3" s="1"/>
  <c r="X295" i="3" a="1"/>
  <c r="X295" i="3" s="1"/>
  <c r="X297" i="3" a="1"/>
  <c r="X297" i="3" s="1"/>
  <c r="X299" i="3" a="1"/>
  <c r="X299" i="3" s="1"/>
  <c r="X10" i="3" a="1"/>
  <c r="X10" i="3" s="1"/>
  <c r="X13" i="3" a="1"/>
  <c r="X13" i="3" s="1"/>
  <c r="X17" i="3" a="1"/>
  <c r="X17" i="3" s="1"/>
  <c r="X21" i="3" a="1"/>
  <c r="X21" i="3" s="1"/>
  <c r="X16" i="3" a="1"/>
  <c r="X16" i="3" s="1"/>
  <c r="X20" i="3" a="1"/>
  <c r="X20" i="3" s="1"/>
  <c r="X9" i="3" a="1"/>
  <c r="X9" i="3" s="1"/>
  <c r="X12" i="3" a="1"/>
  <c r="X12" i="3" s="1"/>
  <c r="C36" i="3" a="1"/>
  <c r="C36" i="3" s="1"/>
  <c r="C34" i="3" a="1"/>
  <c r="C34" i="3" s="1"/>
  <c r="C37" i="3" a="1"/>
  <c r="C37" i="3" s="1"/>
  <c r="C35" i="3" a="1"/>
  <c r="C35" i="3" s="1"/>
  <c r="E36" i="3" a="1"/>
  <c r="E36" i="3" s="1"/>
  <c r="E37" i="3" a="1"/>
  <c r="E37" i="3" s="1"/>
  <c r="E34" i="3" a="1"/>
  <c r="E34" i="3" s="1"/>
  <c r="E35" i="3" a="1"/>
  <c r="E35" i="3" s="1"/>
  <c r="AM7" i="3"/>
  <c r="E10" i="3" a="1"/>
  <c r="E10" i="3" s="1"/>
  <c r="E14" i="3" a="1"/>
  <c r="E14" i="3" s="1"/>
  <c r="E18" i="3" a="1"/>
  <c r="E18" i="3" s="1"/>
  <c r="E21" i="3" a="1"/>
  <c r="E21" i="3" s="1"/>
  <c r="E23" i="3" a="1"/>
  <c r="E23" i="3" s="1"/>
  <c r="E25" i="3" a="1"/>
  <c r="E25" i="3" s="1"/>
  <c r="E27" i="3" a="1"/>
  <c r="E27" i="3" s="1"/>
  <c r="E29" i="3" a="1"/>
  <c r="E29" i="3" s="1"/>
  <c r="E31" i="3" a="1"/>
  <c r="E31" i="3" s="1"/>
  <c r="E33" i="3" a="1"/>
  <c r="E33" i="3" s="1"/>
  <c r="E9" i="3" a="1"/>
  <c r="E9" i="3" s="1"/>
  <c r="E13" i="3" a="1"/>
  <c r="E13" i="3" s="1"/>
  <c r="E17" i="3" a="1"/>
  <c r="E17" i="3" s="1"/>
  <c r="E8" i="3" a="1"/>
  <c r="E8" i="3" s="1"/>
  <c r="E12" i="3" a="1"/>
  <c r="E12" i="3" s="1"/>
  <c r="E16" i="3" a="1"/>
  <c r="E16" i="3" s="1"/>
  <c r="E20" i="3" a="1"/>
  <c r="E20" i="3" s="1"/>
  <c r="E22" i="3" a="1"/>
  <c r="E22" i="3" s="1"/>
  <c r="E24" i="3" a="1"/>
  <c r="E24" i="3" s="1"/>
  <c r="E26" i="3" a="1"/>
  <c r="E26" i="3" s="1"/>
  <c r="E28" i="3" a="1"/>
  <c r="E28" i="3" s="1"/>
  <c r="E30" i="3" a="1"/>
  <c r="E30" i="3" s="1"/>
  <c r="E32" i="3" a="1"/>
  <c r="E32" i="3" s="1"/>
  <c r="E11" i="3" a="1"/>
  <c r="E11" i="3" s="1"/>
  <c r="E15" i="3" a="1"/>
  <c r="E15" i="3" s="1"/>
  <c r="E19" i="3" a="1"/>
  <c r="E19" i="3" s="1"/>
  <c r="C9" i="3" a="1"/>
  <c r="C9" i="3" s="1"/>
  <c r="C13" i="3" a="1"/>
  <c r="C13" i="3" s="1"/>
  <c r="C17" i="3" a="1"/>
  <c r="C17" i="3" s="1"/>
  <c r="C21" i="3" a="1"/>
  <c r="C21" i="3" s="1"/>
  <c r="C30" i="3" a="1"/>
  <c r="C30" i="3" s="1"/>
  <c r="C12" i="3" a="1"/>
  <c r="C12" i="3" s="1"/>
  <c r="C16" i="3" a="1"/>
  <c r="C16" i="3" s="1"/>
  <c r="C20" i="3" a="1"/>
  <c r="C20" i="3" s="1"/>
  <c r="C23" i="3" a="1"/>
  <c r="C23" i="3" s="1"/>
  <c r="C25" i="3" a="1"/>
  <c r="C25" i="3" s="1"/>
  <c r="C27" i="3" a="1"/>
  <c r="C27" i="3" s="1"/>
  <c r="C29" i="3" a="1"/>
  <c r="C29" i="3" s="1"/>
  <c r="C31" i="3" a="1"/>
  <c r="C31" i="3" s="1"/>
  <c r="C33" i="3" a="1"/>
  <c r="C33" i="3" s="1"/>
  <c r="C8" i="3" a="1"/>
  <c r="C8" i="3" s="1"/>
  <c r="C11" i="3" a="1"/>
  <c r="C11" i="3" s="1"/>
  <c r="C15" i="3" a="1"/>
  <c r="C15" i="3" s="1"/>
  <c r="C19" i="3" a="1"/>
  <c r="C19" i="3" s="1"/>
  <c r="C32" i="3" a="1"/>
  <c r="C32" i="3" s="1"/>
  <c r="C10" i="3" a="1"/>
  <c r="C10" i="3" s="1"/>
  <c r="C14" i="3" a="1"/>
  <c r="C14" i="3" s="1"/>
  <c r="C18" i="3" a="1"/>
  <c r="C18" i="3" s="1"/>
  <c r="C22" i="3" a="1"/>
  <c r="C22" i="3" s="1"/>
  <c r="C24" i="3" a="1"/>
  <c r="C24" i="3" s="1"/>
  <c r="C26" i="3" a="1"/>
  <c r="C26" i="3" s="1"/>
  <c r="C28" i="3" a="1"/>
  <c r="C28" i="3" s="1"/>
  <c r="AK7" i="3"/>
  <c r="AW3" i="2"/>
  <c r="AJ3" i="2"/>
  <c r="AI3" i="2"/>
  <c r="AH3" i="2"/>
  <c r="AG3" i="2"/>
  <c r="E6" i="3" l="1"/>
  <c r="C6" i="3"/>
  <c r="B34" i="3" a="1"/>
  <c r="B34" i="3" s="1"/>
  <c r="B37" i="3" a="1"/>
  <c r="B37" i="3" s="1"/>
  <c r="B35" i="3" a="1"/>
  <c r="B35" i="3" s="1"/>
  <c r="B36" i="3" a="1"/>
  <c r="B36" i="3" s="1"/>
  <c r="D34" i="3" a="1"/>
  <c r="D34" i="3" s="1"/>
  <c r="D37" i="3" a="1"/>
  <c r="D37" i="3" s="1"/>
  <c r="D35" i="3" a="1"/>
  <c r="D35" i="3" s="1"/>
  <c r="D36" i="3" a="1"/>
  <c r="D36" i="3" s="1"/>
  <c r="B12" i="3" a="1"/>
  <c r="B12" i="3" s="1"/>
  <c r="B16" i="3" a="1"/>
  <c r="B16" i="3" s="1"/>
  <c r="B20" i="3" a="1"/>
  <c r="B20" i="3" s="1"/>
  <c r="B23" i="3" a="1"/>
  <c r="B23" i="3" s="1"/>
  <c r="B25" i="3" a="1"/>
  <c r="B25" i="3" s="1"/>
  <c r="B27" i="3" a="1"/>
  <c r="B27" i="3" s="1"/>
  <c r="B29" i="3" a="1"/>
  <c r="B29" i="3" s="1"/>
  <c r="B31" i="3" a="1"/>
  <c r="B31" i="3" s="1"/>
  <c r="B33" i="3" a="1"/>
  <c r="B33" i="3" s="1"/>
  <c r="B11" i="3" a="1"/>
  <c r="B11" i="3" s="1"/>
  <c r="B15" i="3" a="1"/>
  <c r="B15" i="3" s="1"/>
  <c r="B19" i="3" a="1"/>
  <c r="B19" i="3" s="1"/>
  <c r="B10" i="3" a="1"/>
  <c r="B10" i="3" s="1"/>
  <c r="B14" i="3" a="1"/>
  <c r="B14" i="3" s="1"/>
  <c r="B18" i="3" a="1"/>
  <c r="B18" i="3" s="1"/>
  <c r="B22" i="3" a="1"/>
  <c r="B22" i="3" s="1"/>
  <c r="B24" i="3" a="1"/>
  <c r="B24" i="3" s="1"/>
  <c r="B26" i="3" a="1"/>
  <c r="B26" i="3" s="1"/>
  <c r="B28" i="3" a="1"/>
  <c r="B28" i="3" s="1"/>
  <c r="B30" i="3" a="1"/>
  <c r="B30" i="3" s="1"/>
  <c r="B32" i="3" a="1"/>
  <c r="B32" i="3" s="1"/>
  <c r="B9" i="3" a="1"/>
  <c r="B9" i="3" s="1"/>
  <c r="B13" i="3" a="1"/>
  <c r="B13" i="3" s="1"/>
  <c r="B17" i="3" a="1"/>
  <c r="B17" i="3" s="1"/>
  <c r="B21" i="3" a="1"/>
  <c r="B21" i="3" s="1"/>
  <c r="B8" i="3" a="1"/>
  <c r="B8" i="3" s="1"/>
  <c r="D9" i="3" a="1"/>
  <c r="D9" i="3" s="1"/>
  <c r="D13" i="3" a="1"/>
  <c r="D13" i="3" s="1"/>
  <c r="D17" i="3" a="1"/>
  <c r="D17" i="3" s="1"/>
  <c r="D12" i="3" a="1"/>
  <c r="D12" i="3" s="1"/>
  <c r="D16" i="3" a="1"/>
  <c r="D16" i="3" s="1"/>
  <c r="D20" i="3" a="1"/>
  <c r="D20" i="3" s="1"/>
  <c r="D22" i="3" a="1"/>
  <c r="D22" i="3" s="1"/>
  <c r="D24" i="3" a="1"/>
  <c r="D24" i="3" s="1"/>
  <c r="D26" i="3" a="1"/>
  <c r="D26" i="3" s="1"/>
  <c r="D28" i="3" a="1"/>
  <c r="D28" i="3" s="1"/>
  <c r="D30" i="3" a="1"/>
  <c r="D30" i="3" s="1"/>
  <c r="D32" i="3" a="1"/>
  <c r="D32" i="3" s="1"/>
  <c r="D11" i="3" a="1"/>
  <c r="D11" i="3" s="1"/>
  <c r="D15" i="3" a="1"/>
  <c r="D15" i="3" s="1"/>
  <c r="D19" i="3" a="1"/>
  <c r="D19" i="3" s="1"/>
  <c r="D8" i="3" a="1"/>
  <c r="D8" i="3" s="1"/>
  <c r="D10" i="3" a="1"/>
  <c r="D10" i="3" s="1"/>
  <c r="D14" i="3" a="1"/>
  <c r="D14" i="3" s="1"/>
  <c r="D18" i="3" a="1"/>
  <c r="D18" i="3" s="1"/>
  <c r="D21" i="3" a="1"/>
  <c r="D21" i="3" s="1"/>
  <c r="D23" i="3" a="1"/>
  <c r="D23" i="3" s="1"/>
  <c r="D25" i="3" a="1"/>
  <c r="D25" i="3" s="1"/>
  <c r="D27" i="3" a="1"/>
  <c r="D27" i="3" s="1"/>
  <c r="D29" i="3" a="1"/>
  <c r="D29" i="3" s="1"/>
  <c r="D31" i="3" a="1"/>
  <c r="D31" i="3" s="1"/>
  <c r="D33" i="3" a="1"/>
  <c r="D33" i="3" s="1"/>
</calcChain>
</file>

<file path=xl/sharedStrings.xml><?xml version="1.0" encoding="utf-8"?>
<sst xmlns="http://schemas.openxmlformats.org/spreadsheetml/2006/main" count="878" uniqueCount="738">
  <si>
    <t>Nome</t>
  </si>
  <si>
    <t>Telefone</t>
  </si>
  <si>
    <t>e-mail</t>
  </si>
  <si>
    <t>Financeiro</t>
  </si>
  <si>
    <t>Sanda</t>
  </si>
  <si>
    <t>Shuaijiao</t>
  </si>
  <si>
    <t>Nome Completo</t>
  </si>
  <si>
    <t>UF</t>
  </si>
  <si>
    <t>Gênero</t>
  </si>
  <si>
    <t>Nascimento</t>
  </si>
  <si>
    <t>Categoria</t>
  </si>
  <si>
    <t>SANDA</t>
  </si>
  <si>
    <t>SHUAIJIAO</t>
  </si>
  <si>
    <t>TAOLU ESPORTIVO</t>
  </si>
  <si>
    <t>Mãos</t>
  </si>
  <si>
    <t>Arma Longa</t>
  </si>
  <si>
    <t>Duilian</t>
  </si>
  <si>
    <t>Outras Mãos</t>
  </si>
  <si>
    <t>Taijiquan Tradicional</t>
  </si>
  <si>
    <t>Armas Longas</t>
  </si>
  <si>
    <t>Evento em Equipe</t>
  </si>
  <si>
    <t>Valor Total</t>
  </si>
  <si>
    <t>RESUMO</t>
  </si>
  <si>
    <t>Mãos do Sul</t>
  </si>
  <si>
    <t>AC</t>
  </si>
  <si>
    <t>AL</t>
  </si>
  <si>
    <t>AM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</si>
  <si>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</si>
  <si>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</si>
  <si>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</si>
  <si>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</si>
  <si>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</si>
  <si>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</si>
  <si>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</si>
  <si>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</si>
  <si>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</si>
  <si>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</si>
  <si>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PE</t>
  </si>
  <si>
    <t>PI</t>
  </si>
  <si>
    <t>PR</t>
  </si>
  <si>
    <t>RJ</t>
  </si>
  <si>
    <t>RN</t>
  </si>
  <si>
    <t>RO</t>
  </si>
  <si>
    <t>RS</t>
  </si>
  <si>
    <t>SC</t>
  </si>
  <si>
    <t>SP</t>
  </si>
  <si>
    <t>Feminino</t>
  </si>
  <si>
    <t>Masculino</t>
  </si>
  <si>
    <t>SDIF</t>
  </si>
  <si>
    <t>SDIM</t>
  </si>
  <si>
    <t>SDJF</t>
  </si>
  <si>
    <t>SDJM</t>
  </si>
  <si>
    <t>SDAM</t>
  </si>
  <si>
    <t>SDAF</t>
  </si>
  <si>
    <t>SJJF</t>
  </si>
  <si>
    <t>SJJM</t>
  </si>
  <si>
    <t>SJAF</t>
  </si>
  <si>
    <t>SJAM</t>
  </si>
  <si>
    <t>Infantil 39kg</t>
  </si>
  <si>
    <t>Juvenil 48kg</t>
  </si>
  <si>
    <t>Adulto 48kg</t>
  </si>
  <si>
    <t>Infantil 42kg</t>
  </si>
  <si>
    <t>Juvenil 52kg</t>
  </si>
  <si>
    <t>Adulto 52kg</t>
  </si>
  <si>
    <t>Infantil 45kg</t>
  </si>
  <si>
    <t>Juvenil 56kg</t>
  </si>
  <si>
    <t>Adulto 56kg</t>
  </si>
  <si>
    <t>Infantil 48kg</t>
  </si>
  <si>
    <t>Juvenil 60kg</t>
  </si>
  <si>
    <t>Adulto 60kg</t>
  </si>
  <si>
    <t>Infantil 52kg</t>
  </si>
  <si>
    <t>Juvenil 65kg</t>
  </si>
  <si>
    <t>Adulto 65kg</t>
  </si>
  <si>
    <t>Infantil 56kg</t>
  </si>
  <si>
    <t>Juvenil 70kg</t>
  </si>
  <si>
    <t>Adulto 70kg</t>
  </si>
  <si>
    <t>Infantil 60kg</t>
  </si>
  <si>
    <t>Juvenil 75kg</t>
  </si>
  <si>
    <t>Adulto 75kg</t>
  </si>
  <si>
    <t>Juvenil 80kg</t>
  </si>
  <si>
    <t>Adulto 80kg</t>
  </si>
  <si>
    <t>Adulto 85kg</t>
  </si>
  <si>
    <t>Adulto 90kg</t>
  </si>
  <si>
    <t>Adulto +90kg</t>
  </si>
  <si>
    <t>Juvenil 44kg</t>
  </si>
  <si>
    <t>Juvenil 82kg</t>
  </si>
  <si>
    <t>Juvenil 90kg</t>
  </si>
  <si>
    <t>Juvenil 100kg</t>
  </si>
  <si>
    <t>Adulto 82kg</t>
  </si>
  <si>
    <t>Adulto +100kg</t>
  </si>
  <si>
    <t>Adulto 100kg</t>
  </si>
  <si>
    <t>Changquan Mirim</t>
  </si>
  <si>
    <t>Nanquan Mirim</t>
  </si>
  <si>
    <t>Taijiquan Mirim</t>
  </si>
  <si>
    <t>Changquan Grupo C</t>
  </si>
  <si>
    <t>Nanquan Grupo C</t>
  </si>
  <si>
    <t>Taijiquan Grupo C</t>
  </si>
  <si>
    <t>Nanquan Grupo B</t>
  </si>
  <si>
    <t>Taijiquan Grupo B</t>
  </si>
  <si>
    <t>Nanquan Grupo A</t>
  </si>
  <si>
    <t>Taijiquan Grupo A</t>
  </si>
  <si>
    <t>Changquan Opcional</t>
  </si>
  <si>
    <t>Nanquan Opcional</t>
  </si>
  <si>
    <t>Taijiquan Opcional</t>
  </si>
  <si>
    <t>Changquan Adulto</t>
  </si>
  <si>
    <t>Nanquan Adulto</t>
  </si>
  <si>
    <t>Taijiquan Adulto</t>
  </si>
  <si>
    <t>TEMM</t>
  </si>
  <si>
    <t>TEMMC</t>
  </si>
  <si>
    <t>TEMC</t>
  </si>
  <si>
    <t>TEMB</t>
  </si>
  <si>
    <t>TEMA</t>
  </si>
  <si>
    <t>TEMOA</t>
  </si>
  <si>
    <t>TEACM</t>
  </si>
  <si>
    <t>TEACMC</t>
  </si>
  <si>
    <t>TEACC</t>
  </si>
  <si>
    <t>TEACB</t>
  </si>
  <si>
    <t>TEACA</t>
  </si>
  <si>
    <t>TEACOA</t>
  </si>
  <si>
    <t>TEALM</t>
  </si>
  <si>
    <t>TEALMC</t>
  </si>
  <si>
    <t>TEALC</t>
  </si>
  <si>
    <t>TEALB</t>
  </si>
  <si>
    <t>TEALA</t>
  </si>
  <si>
    <t>TEALOA</t>
  </si>
  <si>
    <t>Daoshu Mirim</t>
  </si>
  <si>
    <t>Nandao Mirim</t>
  </si>
  <si>
    <t>Jianshu Mirim</t>
  </si>
  <si>
    <t>Taijijian Mirim</t>
  </si>
  <si>
    <t>Daoshu Grupo C</t>
  </si>
  <si>
    <t>Jianshu Grupo C</t>
  </si>
  <si>
    <t>Nandao Grupo C</t>
  </si>
  <si>
    <t>Taijijian Grupo C</t>
  </si>
  <si>
    <t>Daoshu Grupo B</t>
  </si>
  <si>
    <t>Jianshu Grupo B</t>
  </si>
  <si>
    <t>Nandao Grupo B</t>
  </si>
  <si>
    <t>Taijijian Grupo B</t>
  </si>
  <si>
    <t>Daoshu Grupo A</t>
  </si>
  <si>
    <t>Jianshu Grupo A</t>
  </si>
  <si>
    <t>Nandao Grupo A</t>
  </si>
  <si>
    <t>Taijijian Grupo A</t>
  </si>
  <si>
    <t>Daoshu Opcional</t>
  </si>
  <si>
    <t>Jianshu Opcional</t>
  </si>
  <si>
    <t>Nandao Opcional</t>
  </si>
  <si>
    <t>Taijijian Opcional</t>
  </si>
  <si>
    <t>Daoshu Adulto</t>
  </si>
  <si>
    <t>Jianshu Adulto</t>
  </si>
  <si>
    <t>Nandao Adulto</t>
  </si>
  <si>
    <t>Taijijian Adulto</t>
  </si>
  <si>
    <t>Gunshu Mirim</t>
  </si>
  <si>
    <t>Gunshu Grupo C</t>
  </si>
  <si>
    <t>Gunshu Opcional</t>
  </si>
  <si>
    <t>Gunshu Adulto</t>
  </si>
  <si>
    <t>Qiangshu Mirim</t>
  </si>
  <si>
    <t>Qiangshu Grupo C</t>
  </si>
  <si>
    <t>Qiangshu Grupo B</t>
  </si>
  <si>
    <t>Qiangshu Grupo A</t>
  </si>
  <si>
    <t>Qiangshu Opcional</t>
  </si>
  <si>
    <t>Qiangshu Adulto</t>
  </si>
  <si>
    <t>Nangun Mirim</t>
  </si>
  <si>
    <t>Nangun Grupo C</t>
  </si>
  <si>
    <t>Nangun Grupo B</t>
  </si>
  <si>
    <t>Nangun Grupo A</t>
  </si>
  <si>
    <t>Nangun Opcional</t>
  </si>
  <si>
    <t>Nangun Adulto</t>
  </si>
  <si>
    <t>Gunshu Grupo B</t>
  </si>
  <si>
    <t>Gunshu Grupo A</t>
  </si>
  <si>
    <t>Changquan Grupo A</t>
  </si>
  <si>
    <t>Changquan Grupo B</t>
  </si>
  <si>
    <t>Arma Curta</t>
  </si>
  <si>
    <t>TEDLB</t>
  </si>
  <si>
    <t>TEDLA</t>
  </si>
  <si>
    <t>TEDLOA</t>
  </si>
  <si>
    <t>Equipe 1 Grupo B</t>
  </si>
  <si>
    <t>Equipe 2 Grupo B</t>
  </si>
  <si>
    <t>Equipe 1 Grupo A</t>
  </si>
  <si>
    <t>Equipe 2 Grupo A</t>
  </si>
  <si>
    <t>Equipe 1 Adulto</t>
  </si>
  <si>
    <t>Equipe 2 Adulto</t>
  </si>
  <si>
    <t>Adaptado</t>
  </si>
  <si>
    <t>Inscrição Regular</t>
  </si>
  <si>
    <t>Estilos Especiais</t>
  </si>
  <si>
    <t>Outras Mãos de Interno</t>
  </si>
  <si>
    <t>Armas Duplas e Maleáveis</t>
  </si>
  <si>
    <t>Armas Curtas</t>
  </si>
  <si>
    <t>Choylayfut A</t>
  </si>
  <si>
    <t>Hunggar A</t>
  </si>
  <si>
    <t>Wuzuquan A</t>
  </si>
  <si>
    <t>Wingchun A</t>
  </si>
  <si>
    <t xml:space="preserve"> </t>
  </si>
  <si>
    <t>TTMSA</t>
  </si>
  <si>
    <t>Outra Mão de Sul A</t>
  </si>
  <si>
    <t>TTMSB</t>
  </si>
  <si>
    <t>Wingchun B</t>
  </si>
  <si>
    <t>Choylayfut B</t>
  </si>
  <si>
    <t>Hunggar B</t>
  </si>
  <si>
    <t>Wuzuquan B</t>
  </si>
  <si>
    <t>Outra Mão de Sul B</t>
  </si>
  <si>
    <t>TTMSC</t>
  </si>
  <si>
    <t>Choylayfut C</t>
  </si>
  <si>
    <t>Hunggar C</t>
  </si>
  <si>
    <t>Wuzuquan C</t>
  </si>
  <si>
    <t>Wingchun C</t>
  </si>
  <si>
    <t>Outra Mão de Sul C</t>
  </si>
  <si>
    <t>TTMSD</t>
  </si>
  <si>
    <t>Choylayfut D</t>
  </si>
  <si>
    <t>Hunggar D</t>
  </si>
  <si>
    <t>Wuzuquan D</t>
  </si>
  <si>
    <t>Wingchun D</t>
  </si>
  <si>
    <t>Outra Mão de Sul D</t>
  </si>
  <si>
    <t>TTMSE</t>
  </si>
  <si>
    <t>Choylayfut E</t>
  </si>
  <si>
    <t>Wuzuquan E</t>
  </si>
  <si>
    <t>Hunggar E</t>
  </si>
  <si>
    <t>Wingchun E</t>
  </si>
  <si>
    <t>Outra Mão de Sul E</t>
  </si>
  <si>
    <t>TTMSF</t>
  </si>
  <si>
    <t>Choylayfut F</t>
  </si>
  <si>
    <t>Hunggar F</t>
  </si>
  <si>
    <t>Wuzuquan F</t>
  </si>
  <si>
    <t>Wingchun F</t>
  </si>
  <si>
    <t>Outra Mão de Sul F</t>
  </si>
  <si>
    <t>Chaquan A</t>
  </si>
  <si>
    <t>Emeiquan A</t>
  </si>
  <si>
    <t>Fanziquan A</t>
  </si>
  <si>
    <t>Huaquan A</t>
  </si>
  <si>
    <t>Hongquan A</t>
  </si>
  <si>
    <t>Paochui A</t>
  </si>
  <si>
    <t>Piguaquan A</t>
  </si>
  <si>
    <t>Shaolinquan A</t>
  </si>
  <si>
    <t>Tanglangquan A</t>
  </si>
  <si>
    <t>Yinzhaophai A</t>
  </si>
  <si>
    <t>Tongbeiquan A</t>
  </si>
  <si>
    <t>Wudangquan A</t>
  </si>
  <si>
    <t>Outros Estilos A</t>
  </si>
  <si>
    <t>Chaquan B</t>
  </si>
  <si>
    <t>Emeiquan B</t>
  </si>
  <si>
    <t>Fanziquan B</t>
  </si>
  <si>
    <t>Huaquan B</t>
  </si>
  <si>
    <t>Hongquan B</t>
  </si>
  <si>
    <t>Paochui B</t>
  </si>
  <si>
    <t>Piguaquan B</t>
  </si>
  <si>
    <t>Shaolinquan B</t>
  </si>
  <si>
    <t>Tanglangquan B</t>
  </si>
  <si>
    <t>Yinzhaophai B</t>
  </si>
  <si>
    <t>Tongbeiquan B</t>
  </si>
  <si>
    <t>Wudangquan B</t>
  </si>
  <si>
    <t>Outros Estilos B</t>
  </si>
  <si>
    <t>Chaquan C</t>
  </si>
  <si>
    <t>Emeiquan C</t>
  </si>
  <si>
    <t>Fanziquan C</t>
  </si>
  <si>
    <t>Huaquan C</t>
  </si>
  <si>
    <t>Hongquan C</t>
  </si>
  <si>
    <t>Paochui C</t>
  </si>
  <si>
    <t>Piguaquan C</t>
  </si>
  <si>
    <t>Shaolinquan C</t>
  </si>
  <si>
    <t>Tanglangquan C</t>
  </si>
  <si>
    <t>Yinzhaophai C</t>
  </si>
  <si>
    <t>Tongbeiquan C</t>
  </si>
  <si>
    <t>Wudangquan C</t>
  </si>
  <si>
    <t>Outros Estilos C</t>
  </si>
  <si>
    <t>Chaquan D</t>
  </si>
  <si>
    <t>Emeiquan D</t>
  </si>
  <si>
    <t>Fanziquan D</t>
  </si>
  <si>
    <t>Huaquan D</t>
  </si>
  <si>
    <t>Hongquan D</t>
  </si>
  <si>
    <t>Paochui D</t>
  </si>
  <si>
    <t>Piguaquan D</t>
  </si>
  <si>
    <t>Shaolinquan D</t>
  </si>
  <si>
    <t>Tanglangquan D</t>
  </si>
  <si>
    <t>Yinzhaophai D</t>
  </si>
  <si>
    <t>Tongbeiquan D</t>
  </si>
  <si>
    <t>Wudangquan D</t>
  </si>
  <si>
    <t>Outros Estilos D</t>
  </si>
  <si>
    <t>Chaquan E</t>
  </si>
  <si>
    <t>Emeiquan E</t>
  </si>
  <si>
    <t>Fanziquan E</t>
  </si>
  <si>
    <t>Huaquan E</t>
  </si>
  <si>
    <t>Hongquan E</t>
  </si>
  <si>
    <t>Paochui E</t>
  </si>
  <si>
    <t>Piguaquan E</t>
  </si>
  <si>
    <t>Shaolinquan E</t>
  </si>
  <si>
    <t>Tanglangquan E</t>
  </si>
  <si>
    <t>Yinzhaophai E</t>
  </si>
  <si>
    <t>Tongbeiquan E</t>
  </si>
  <si>
    <t>Wudangquan E</t>
  </si>
  <si>
    <t>Outros Estilos E</t>
  </si>
  <si>
    <t>Chaquan F</t>
  </si>
  <si>
    <t>Emeiquan F</t>
  </si>
  <si>
    <t>Fanziquan F</t>
  </si>
  <si>
    <t>Huaquan F</t>
  </si>
  <si>
    <t>Hongquan F</t>
  </si>
  <si>
    <t>Paochui F</t>
  </si>
  <si>
    <t>Piguaquan F</t>
  </si>
  <si>
    <t>Shaolinquan F</t>
  </si>
  <si>
    <t>Tanglangquan F</t>
  </si>
  <si>
    <t>Yinzhaophai F</t>
  </si>
  <si>
    <t>Tongbeiquan F</t>
  </si>
  <si>
    <t>Wudangquan F</t>
  </si>
  <si>
    <t>Outros Estilos F</t>
  </si>
  <si>
    <t>TTOMF</t>
  </si>
  <si>
    <t>TTOMA</t>
  </si>
  <si>
    <t>TTOMB</t>
  </si>
  <si>
    <t>TTOMC</t>
  </si>
  <si>
    <t>TTOMD</t>
  </si>
  <si>
    <t>TTOME</t>
  </si>
  <si>
    <t>TTEEA</t>
  </si>
  <si>
    <t>Ditangquan A</t>
  </si>
  <si>
    <t>Houquan A</t>
  </si>
  <si>
    <t>Zuiquan A</t>
  </si>
  <si>
    <t>TTOMIA</t>
  </si>
  <si>
    <t>Xingyiquan A</t>
  </si>
  <si>
    <t>Outro Estilo Interno A</t>
  </si>
  <si>
    <t>TTACA</t>
  </si>
  <si>
    <t>Dao A</t>
  </si>
  <si>
    <t>Jian A</t>
  </si>
  <si>
    <t>Outra Arma Curta A</t>
  </si>
  <si>
    <t>TTALA</t>
  </si>
  <si>
    <t>Gun A</t>
  </si>
  <si>
    <t>Qiang A</t>
  </si>
  <si>
    <t>Outra Arma Longa A</t>
  </si>
  <si>
    <t>TTADMA</t>
  </si>
  <si>
    <t>Arma Dupla A</t>
  </si>
  <si>
    <t>Arma Maleável A</t>
  </si>
  <si>
    <t>Taijidao A</t>
  </si>
  <si>
    <t>Taijishan A</t>
  </si>
  <si>
    <t>Taijiqiang A</t>
  </si>
  <si>
    <t>Taijidao B</t>
  </si>
  <si>
    <t>Taijishan B</t>
  </si>
  <si>
    <t>Taijiqiang B</t>
  </si>
  <si>
    <t>TTADMB</t>
  </si>
  <si>
    <t>Arma Dupla B</t>
  </si>
  <si>
    <t>Arma Maleável B</t>
  </si>
  <si>
    <t>TTALB</t>
  </si>
  <si>
    <t>Gun B</t>
  </si>
  <si>
    <t>Qiang B</t>
  </si>
  <si>
    <t>Outra Arma Longa B</t>
  </si>
  <si>
    <t>TTACB</t>
  </si>
  <si>
    <t>Dao B</t>
  </si>
  <si>
    <t>Jian B</t>
  </si>
  <si>
    <t>Outra Arma Curta B</t>
  </si>
  <si>
    <t>TTOMIB</t>
  </si>
  <si>
    <t>Xingyiquan B</t>
  </si>
  <si>
    <t>Outro Estilo Interno B</t>
  </si>
  <si>
    <t>TTEEB</t>
  </si>
  <si>
    <t>Ditangquan B</t>
  </si>
  <si>
    <t>Houquan B</t>
  </si>
  <si>
    <t>Zuiquan B</t>
  </si>
  <si>
    <t>TTEEC</t>
  </si>
  <si>
    <t>Ditangquan C</t>
  </si>
  <si>
    <t>Houquan C</t>
  </si>
  <si>
    <t>Zuiquan C</t>
  </si>
  <si>
    <t>TTOMIC</t>
  </si>
  <si>
    <t>Xingyiquan C</t>
  </si>
  <si>
    <t>Outro Estilo Interno C</t>
  </si>
  <si>
    <t>TTACC</t>
  </si>
  <si>
    <t>Dao C</t>
  </si>
  <si>
    <t>Jian C</t>
  </si>
  <si>
    <t>Outra Arma Curta C</t>
  </si>
  <si>
    <t>TTALC</t>
  </si>
  <si>
    <t>Gun C</t>
  </si>
  <si>
    <t>Qiang C</t>
  </si>
  <si>
    <t>Outra Arma Longa C</t>
  </si>
  <si>
    <t>TTADMC</t>
  </si>
  <si>
    <t>Arma Dupla C</t>
  </si>
  <si>
    <t>Arma Maleável C</t>
  </si>
  <si>
    <t>Taijidao C</t>
  </si>
  <si>
    <t>Taijishan C</t>
  </si>
  <si>
    <t>Taijiqiang C</t>
  </si>
  <si>
    <t>Taijidao D</t>
  </si>
  <si>
    <t>Taijishan D</t>
  </si>
  <si>
    <t>Taijiqiang D</t>
  </si>
  <si>
    <t>TTADMD</t>
  </si>
  <si>
    <t>Arma Dupla D</t>
  </si>
  <si>
    <t>Arma Maleável D</t>
  </si>
  <si>
    <t>TTALD</t>
  </si>
  <si>
    <t>Gun D</t>
  </si>
  <si>
    <t>Qiang D</t>
  </si>
  <si>
    <t>Outra Arma Longa D</t>
  </si>
  <si>
    <t>TTACD</t>
  </si>
  <si>
    <t>Dao D</t>
  </si>
  <si>
    <t>Jian D</t>
  </si>
  <si>
    <t>Outra Arma Curta D</t>
  </si>
  <si>
    <t>TTOMID</t>
  </si>
  <si>
    <t>Xingyiquan D</t>
  </si>
  <si>
    <t>Outro Estilo Interno D</t>
  </si>
  <si>
    <t>TTEED</t>
  </si>
  <si>
    <t>Ditangquan D</t>
  </si>
  <si>
    <t>Houquan D</t>
  </si>
  <si>
    <t>Zuiquan D</t>
  </si>
  <si>
    <t>TTEEE</t>
  </si>
  <si>
    <t>Ditangquan E</t>
  </si>
  <si>
    <t>Houquan E</t>
  </si>
  <si>
    <t>Zuiquan E</t>
  </si>
  <si>
    <t>TTOMIE</t>
  </si>
  <si>
    <t>Xingyiquan E</t>
  </si>
  <si>
    <t>Outro Estilo Interno E</t>
  </si>
  <si>
    <t>TTACE</t>
  </si>
  <si>
    <t>Dao E</t>
  </si>
  <si>
    <t>Jian E</t>
  </si>
  <si>
    <t>Outra Arma Curta E</t>
  </si>
  <si>
    <t>TTALE</t>
  </si>
  <si>
    <t>Gun E</t>
  </si>
  <si>
    <t>Qiang E</t>
  </si>
  <si>
    <t>Outra Arma Longa E</t>
  </si>
  <si>
    <t>TTADME</t>
  </si>
  <si>
    <t>Arma Dupla E</t>
  </si>
  <si>
    <t>Arma Maleável E</t>
  </si>
  <si>
    <t>Taijidao E</t>
  </si>
  <si>
    <t>Taijishan E</t>
  </si>
  <si>
    <t>Taijiqiang E</t>
  </si>
  <si>
    <t>Taijidao F</t>
  </si>
  <si>
    <t>Taijishan F</t>
  </si>
  <si>
    <t>Taijiqiang F</t>
  </si>
  <si>
    <t>TTADMF</t>
  </si>
  <si>
    <t>Arma Dupla F</t>
  </si>
  <si>
    <t>Arma Maleável F</t>
  </si>
  <si>
    <t>TTALF</t>
  </si>
  <si>
    <t>Gun F</t>
  </si>
  <si>
    <t>Qiang F</t>
  </si>
  <si>
    <t>Outra Arma Longa F</t>
  </si>
  <si>
    <t>TTACF</t>
  </si>
  <si>
    <t>Dao F</t>
  </si>
  <si>
    <t>Jian F</t>
  </si>
  <si>
    <t>Outra Arma Curta F</t>
  </si>
  <si>
    <t>TTOMIF</t>
  </si>
  <si>
    <t>Xingyiquan F</t>
  </si>
  <si>
    <t>Outro Estilo Interno F</t>
  </si>
  <si>
    <t>TTEEF</t>
  </si>
  <si>
    <t>Ditangquan F</t>
  </si>
  <si>
    <t>Houquan F</t>
  </si>
  <si>
    <t>Zuiquan F</t>
  </si>
  <si>
    <t>TTTTF</t>
  </si>
  <si>
    <t>Yang F</t>
  </si>
  <si>
    <t>Chen F</t>
  </si>
  <si>
    <t>Sun F</t>
  </si>
  <si>
    <t>Wu F</t>
  </si>
  <si>
    <t>Wu-Hao F</t>
  </si>
  <si>
    <t>Outro Taijiquan F</t>
  </si>
  <si>
    <t>Taijiquan 24 F</t>
  </si>
  <si>
    <t>Taijiquan 42 F</t>
  </si>
  <si>
    <t>Wu 45 F</t>
  </si>
  <si>
    <t>Wu-Hao 46 F</t>
  </si>
  <si>
    <t>Sun 73 F</t>
  </si>
  <si>
    <t>Taijiquan 24 E</t>
  </si>
  <si>
    <t>Taijiquan 42 E</t>
  </si>
  <si>
    <t>Wu 45 E</t>
  </si>
  <si>
    <t>Wu-Hao 46 E</t>
  </si>
  <si>
    <t>Sun 73 E</t>
  </si>
  <si>
    <t>TTTTE</t>
  </si>
  <si>
    <t>Yang E</t>
  </si>
  <si>
    <t>Chen E</t>
  </si>
  <si>
    <t>Sun E</t>
  </si>
  <si>
    <t>Wu E</t>
  </si>
  <si>
    <t>Wu-Hao E</t>
  </si>
  <si>
    <t>Outro Taijiquan E</t>
  </si>
  <si>
    <t>TTTTD</t>
  </si>
  <si>
    <t>Yang D</t>
  </si>
  <si>
    <t>Chen D</t>
  </si>
  <si>
    <t>Sun D</t>
  </si>
  <si>
    <t>Wu D</t>
  </si>
  <si>
    <t>Wu-Hao D</t>
  </si>
  <si>
    <t>Outro Taijiquan D</t>
  </si>
  <si>
    <t>Taijiquan 24 D</t>
  </si>
  <si>
    <t>Taijiquan 42 D</t>
  </si>
  <si>
    <t>Wu 45 D</t>
  </si>
  <si>
    <t>Wu-Hao 46 D</t>
  </si>
  <si>
    <t>Sun 73 D</t>
  </si>
  <si>
    <t>Taijiquan 24 C</t>
  </si>
  <si>
    <t>Taijiquan 42 C</t>
  </si>
  <si>
    <t>Wu 45 C</t>
  </si>
  <si>
    <t>Wu-Hao 46 C</t>
  </si>
  <si>
    <t>Sun 73 C</t>
  </si>
  <si>
    <t>TTTTC</t>
  </si>
  <si>
    <t>Yang C</t>
  </si>
  <si>
    <t>Chen C</t>
  </si>
  <si>
    <t>Sun C</t>
  </si>
  <si>
    <t>Wu C</t>
  </si>
  <si>
    <t>Wu-Hao C</t>
  </si>
  <si>
    <t>Outro Taijiquan C</t>
  </si>
  <si>
    <t>TTTTB</t>
  </si>
  <si>
    <t>Yang B</t>
  </si>
  <si>
    <t>Chen B</t>
  </si>
  <si>
    <t>Sun B</t>
  </si>
  <si>
    <t>Wu B</t>
  </si>
  <si>
    <t>Wu-Hao B</t>
  </si>
  <si>
    <t>Outro Taijiquan B</t>
  </si>
  <si>
    <t>Taijiquan 24 B</t>
  </si>
  <si>
    <t>Taijiquan 42 B</t>
  </si>
  <si>
    <t>Wu 45 B</t>
  </si>
  <si>
    <t>Wu-Hao 46 B</t>
  </si>
  <si>
    <t>Sun 73 B</t>
  </si>
  <si>
    <t>Taijiquan 24 A</t>
  </si>
  <si>
    <t>Taijiquan 42 A</t>
  </si>
  <si>
    <t>Wu 45 A</t>
  </si>
  <si>
    <t>Wu-Hao 46 A</t>
  </si>
  <si>
    <t>Sun 73 A</t>
  </si>
  <si>
    <t>TTTTA</t>
  </si>
  <si>
    <t>Outro Taijiquan A</t>
  </si>
  <si>
    <t>Wu-Hao A</t>
  </si>
  <si>
    <t>Wu A</t>
  </si>
  <si>
    <t>Sun A</t>
  </si>
  <si>
    <t>Chen A</t>
  </si>
  <si>
    <t>Yang A</t>
  </si>
  <si>
    <t>TTEEAB</t>
  </si>
  <si>
    <t>TTEECD</t>
  </si>
  <si>
    <t>TTEEEF</t>
  </si>
  <si>
    <t>Duilian de Mãos AB - Equipe 1</t>
  </si>
  <si>
    <t>Duilian de Mãos AB - Equipe 2</t>
  </si>
  <si>
    <t>Duilian de Tuishou - Equipe 1</t>
  </si>
  <si>
    <t>Duilian de Tuishou - Equipe 2</t>
  </si>
  <si>
    <t>Grupo Externo AB - Equipe 1</t>
  </si>
  <si>
    <t>Grupo Externo AB - Equipe 2</t>
  </si>
  <si>
    <t>Grupo Interno AB - Equipe 1</t>
  </si>
  <si>
    <t>Grupo Interno AB - Equipe 2</t>
  </si>
  <si>
    <t>Duilian de Mãos CD - Equipe 1</t>
  </si>
  <si>
    <t>Duilian de Mãos CD - Equipe 2</t>
  </si>
  <si>
    <t>Grupo Externo CDEF - Equipe 1</t>
  </si>
  <si>
    <t>Grupo Externo CDEF - Equipe 2</t>
  </si>
  <si>
    <t>Grupo Interno CDEF - Equipe 1</t>
  </si>
  <si>
    <t>Grupo Interno CDEF - Equipe 2</t>
  </si>
  <si>
    <t>Duilian de Mãos EF - Equipe 1</t>
  </si>
  <si>
    <t>Duilian de Mãos EF - Equipe 2</t>
  </si>
  <si>
    <t>Duilian de Armas AB - Equipe 1</t>
  </si>
  <si>
    <t>Duilian de Armas CD - Equipe 1</t>
  </si>
  <si>
    <t>Duilian de Armas EF - Equipe 1</t>
  </si>
  <si>
    <t>Duilian de Armas AB - Equipe 2</t>
  </si>
  <si>
    <t>Duilian de Armas CD - Equipe 2</t>
  </si>
  <si>
    <t>Duilian de Armas EF - Equipe 2</t>
  </si>
  <si>
    <t>ADAPTADO</t>
  </si>
  <si>
    <t>TAOLU TRADICIONAL (MÁXIMO 3 CATEGORIAS - ATÉ 2 MÃOS , ATÉ 2 ARMAS, ATÉ 1 DE EQUIPE)</t>
  </si>
  <si>
    <t>Taolu Esportivo</t>
  </si>
  <si>
    <t>Taolu Tradicional</t>
  </si>
  <si>
    <t>FEDERAÇÃO ACREANA DE KUNGFU WUSHU - FAKF</t>
  </si>
  <si>
    <t>FEDERAÇÃO ALAGOANA DE KUNGFU WUSHU - FAKFU</t>
  </si>
  <si>
    <t>FEDERAÇÃO AMAZONENSE DE KUNG FU WUSHU - FAKW</t>
  </si>
  <si>
    <t>FEDERAÇÃO BAIANA DE WUSHU SANDA - FBWS</t>
  </si>
  <si>
    <t>FEDERAÇÃO CEARENSE DE KUNG FU WUSHU - FCKW</t>
  </si>
  <si>
    <t>FEDERAÇÃO DE KUNGFU WUSHU DO DISTRITO FEDERAL - FWDF</t>
  </si>
  <si>
    <t>FEDERAÇÃO DO ESPÍRITO SANTO DE KUNG FU WUSHU - FESKW</t>
  </si>
  <si>
    <t>FEDERAÇÃO DE KUNG FU DO ESTADO DE GOIÁS - FKFEGO</t>
  </si>
  <si>
    <t>FEDERAÇÃO MARANHENSE DE KUNG FU WUSHU - FMKW</t>
  </si>
  <si>
    <t>FEDERAÇÃO MATOGROSSENSE DE KUNG FU WUSHU - FMTKW</t>
  </si>
  <si>
    <t>FEDERAÇÃO SUL-MATOGROSSENSE DE KUNG FU WUSHU - FSKFW</t>
  </si>
  <si>
    <t>FEDERAÇÃO MINEIRA DE KUNG-FU WUSHU - FMKFW</t>
  </si>
  <si>
    <t>FEDERAÇÃO PARAENSE DE ARTES MARCIAIS CHINESAS - FEPAMC</t>
  </si>
  <si>
    <t>FEDERAÇÃO PARANAENSE DE KUNG FU - FPRKW</t>
  </si>
  <si>
    <t>FEDERAÇÃO PERNAMBUCANA DE KUNG FU WU SHU E TAI CHI CHUAN - FPKW</t>
  </si>
  <si>
    <t>FEDERAÇÃO DE WUSHU DO ESTADO DO PIAUÍ - FEWEPI</t>
  </si>
  <si>
    <t>FEDERAÇÃO DE KUNG FU DO ESTADO DO RIO DE JANEIRO - FKFERJ</t>
  </si>
  <si>
    <t>FEDERAÇÃO POTIGUAR DE KUNG FU WUSHU - FPKW</t>
  </si>
  <si>
    <t>FEDERAÇÃO GAÚCHA DE KUNGFU WUSHU - FGKW</t>
  </si>
  <si>
    <t>FEDERAÇÃO RONDONIENSE DE KUNG FU WUSHU - FRKW</t>
  </si>
  <si>
    <t>FEDERAÇÃO DE KUNG FU WUSHU DE SANTA CATARINA - FKWSC</t>
  </si>
  <si>
    <t>Responsáveis</t>
  </si>
  <si>
    <t>-</t>
  </si>
  <si>
    <t>Sanda 1</t>
  </si>
  <si>
    <t>Sanda 2</t>
  </si>
  <si>
    <t>Shuaijiao 1</t>
  </si>
  <si>
    <t>Shuaijiao 2</t>
  </si>
  <si>
    <t>Taolu Esportivo 1</t>
  </si>
  <si>
    <t>Taolu Esportivo 2</t>
  </si>
  <si>
    <t>Taolu Tradicional 1</t>
  </si>
  <si>
    <t>Taolu Tradicional 2</t>
  </si>
  <si>
    <t>Chefe de Delegação</t>
  </si>
  <si>
    <t>Inscrição 1º Lugar</t>
  </si>
  <si>
    <t>VALOR TOTAL</t>
  </si>
  <si>
    <t>FEDERAÇÃO</t>
  </si>
  <si>
    <t>Bishou A</t>
  </si>
  <si>
    <t>Shan A</t>
  </si>
  <si>
    <t>Bishou B</t>
  </si>
  <si>
    <t>Shan B</t>
  </si>
  <si>
    <t>Shan C</t>
  </si>
  <si>
    <t>Shan D</t>
  </si>
  <si>
    <t>Shan E</t>
  </si>
  <si>
    <t>Shan F</t>
  </si>
  <si>
    <t>Bishou C</t>
  </si>
  <si>
    <t>Bishou D</t>
  </si>
  <si>
    <t>Bishou E</t>
  </si>
  <si>
    <t>Bishou F</t>
  </si>
  <si>
    <t>FML</t>
  </si>
  <si>
    <t>DM</t>
  </si>
  <si>
    <t>DCP</t>
  </si>
  <si>
    <t>BE</t>
  </si>
  <si>
    <t>HT</t>
  </si>
  <si>
    <t>ATX</t>
  </si>
  <si>
    <t>ATT</t>
  </si>
  <si>
    <t>LAMP</t>
  </si>
  <si>
    <t>DI</t>
  </si>
  <si>
    <t>DV</t>
  </si>
  <si>
    <t>SELECIONE A "UF" AO LADO</t>
  </si>
  <si>
    <t>FEDERAÇÃO PAULISTA DE KUNG FU WUSHU - FPKF</t>
  </si>
  <si>
    <t>TTTOAA</t>
  </si>
  <si>
    <t>TTTOAB</t>
  </si>
  <si>
    <t>TTTOAC</t>
  </si>
  <si>
    <t>TTTOAD</t>
  </si>
  <si>
    <t>TTTOAE</t>
  </si>
  <si>
    <t>TTTOAF</t>
  </si>
  <si>
    <t>Taijiquan 32 A</t>
  </si>
  <si>
    <t>Taijiquan 32 B</t>
  </si>
  <si>
    <t>Taijiquan 32 C</t>
  </si>
  <si>
    <t>Taijiquan 32 D</t>
  </si>
  <si>
    <t>Taijiquan 32 E</t>
  </si>
  <si>
    <t>Taijiquan 32 F</t>
  </si>
  <si>
    <t>Comissão Técnica</t>
  </si>
  <si>
    <t>Médico 1</t>
  </si>
  <si>
    <t>Médico 2</t>
  </si>
  <si>
    <t>LIMITE COM CAMPEÃO</t>
  </si>
  <si>
    <t>ACIMA DO PERMITIDO</t>
  </si>
  <si>
    <t>EM CONFORMIDADE</t>
  </si>
  <si>
    <t>#</t>
  </si>
  <si>
    <r>
      <t>#</t>
    </r>
    <r>
      <rPr>
        <sz val="12"/>
        <color theme="4"/>
        <rFont val="Calibri (Corpo)"/>
      </rPr>
      <t>.</t>
    </r>
  </si>
  <si>
    <r>
      <t>#</t>
    </r>
    <r>
      <rPr>
        <sz val="12"/>
        <color theme="8"/>
        <rFont val="Calibri (Corpo)"/>
      </rPr>
      <t>.</t>
    </r>
  </si>
  <si>
    <t>ABAIXO DO NECESSÁRIO</t>
  </si>
  <si>
    <t>TAOLU ESPORTIVO INDIVIDUAL</t>
  </si>
  <si>
    <r>
      <t>#</t>
    </r>
    <r>
      <rPr>
        <b/>
        <sz val="12"/>
        <color theme="8"/>
        <rFont val="Calibri (Corpo)"/>
      </rPr>
      <t>.</t>
    </r>
  </si>
  <si>
    <t>Pudao / Guandao A</t>
  </si>
  <si>
    <t>Pudao / Guandao B</t>
  </si>
  <si>
    <t>Pudao / Guandao C</t>
  </si>
  <si>
    <t>Pudao / Guandao D</t>
  </si>
  <si>
    <t>Pudao / Guandao E</t>
  </si>
  <si>
    <t>Pudao / Guandao F</t>
  </si>
  <si>
    <t>TAOLU ESPORTIVO MEMBROS POR EQUIPE</t>
  </si>
  <si>
    <t>TAOLU TRADICIONAL MEMBROS POR EQUIPE</t>
  </si>
  <si>
    <t>QUANTIDADE DE ATLETAS POR CATEGORIA</t>
  </si>
  <si>
    <t>Yang 40 A</t>
  </si>
  <si>
    <t>Yang 26 A</t>
  </si>
  <si>
    <t>Taijiquan 16 A</t>
  </si>
  <si>
    <t>Yang 26 B</t>
  </si>
  <si>
    <t>Yang 40 B</t>
  </si>
  <si>
    <t>Chen 25 A</t>
  </si>
  <si>
    <t>Chen 36 A</t>
  </si>
  <si>
    <t>Chen 56 A</t>
  </si>
  <si>
    <t>Chen 25 B</t>
  </si>
  <si>
    <t>Chen 36 B</t>
  </si>
  <si>
    <t>Chen 56 B</t>
  </si>
  <si>
    <t>Taijiquan 16 B</t>
  </si>
  <si>
    <t>Yang 26 C</t>
  </si>
  <si>
    <t>Yang 40 C</t>
  </si>
  <si>
    <t>Chen 25 C</t>
  </si>
  <si>
    <t>Chen 36 C</t>
  </si>
  <si>
    <t>Chen 56 C</t>
  </si>
  <si>
    <t>Taijiquan 16 C</t>
  </si>
  <si>
    <t>Yang 26 D</t>
  </si>
  <si>
    <t>Yang 40 D</t>
  </si>
  <si>
    <t>Chen 25 D</t>
  </si>
  <si>
    <t>Chen 36 D</t>
  </si>
  <si>
    <t>Chen 56 D</t>
  </si>
  <si>
    <t>Taijiquan 16 D</t>
  </si>
  <si>
    <t>Yang 26 E</t>
  </si>
  <si>
    <t>Yang 40 E</t>
  </si>
  <si>
    <t>Chen 25 E</t>
  </si>
  <si>
    <t>Chen 36 E</t>
  </si>
  <si>
    <t>Chen 56 E</t>
  </si>
  <si>
    <t>Taijiquan 16 E</t>
  </si>
  <si>
    <t>Yang 26 F</t>
  </si>
  <si>
    <t>Yang 40 F</t>
  </si>
  <si>
    <t>Chen 25 F</t>
  </si>
  <si>
    <t>Chen 36 F</t>
  </si>
  <si>
    <t>Chen 56 F</t>
  </si>
  <si>
    <t>Taijiquan 16 F</t>
  </si>
  <si>
    <t>TTTPA</t>
  </si>
  <si>
    <t>TTTPB</t>
  </si>
  <si>
    <t>TTTPC</t>
  </si>
  <si>
    <t>TTTPD</t>
  </si>
  <si>
    <t>TTTPE</t>
  </si>
  <si>
    <t>TTTPF</t>
  </si>
  <si>
    <t>Taijiquan Padronizado</t>
  </si>
  <si>
    <t>Taijijian</t>
  </si>
  <si>
    <t>Taiji de Armas</t>
  </si>
  <si>
    <t>Taijijian Yang A</t>
  </si>
  <si>
    <t>TTTA</t>
  </si>
  <si>
    <t>TTTB</t>
  </si>
  <si>
    <t>TTTC</t>
  </si>
  <si>
    <t>TTTD</t>
  </si>
  <si>
    <t>TTTE</t>
  </si>
  <si>
    <t>TTTF</t>
  </si>
  <si>
    <t>Taijijian 32 A</t>
  </si>
  <si>
    <t>Taijijian 42 A</t>
  </si>
  <si>
    <t>Taijijian Chen A</t>
  </si>
  <si>
    <t>Taijijian Sun A</t>
  </si>
  <si>
    <t>Taijijian Wu A</t>
  </si>
  <si>
    <t>Taijijian Wu-Hao A</t>
  </si>
  <si>
    <t>Taijijian Yang B</t>
  </si>
  <si>
    <t>Taijijian Chen B</t>
  </si>
  <si>
    <t>Taijijian Sun B</t>
  </si>
  <si>
    <t>Taijijian Wu B</t>
  </si>
  <si>
    <t>Taijijian Wu-Hao B</t>
  </si>
  <si>
    <t>Taijijian 32 B</t>
  </si>
  <si>
    <t>Taijijian 42 B</t>
  </si>
  <si>
    <t>Taijijian Yang C</t>
  </si>
  <si>
    <t>Taijijian Chen C</t>
  </si>
  <si>
    <t>Taijijian Sun C</t>
  </si>
  <si>
    <t>Taijijian Wu C</t>
  </si>
  <si>
    <t>Taijijian Wu-Hao C</t>
  </si>
  <si>
    <t>Taijijian 32 C</t>
  </si>
  <si>
    <t>Taijijian 42 C</t>
  </si>
  <si>
    <t>Taijijian Yang D</t>
  </si>
  <si>
    <t>Taijijian Chen D</t>
  </si>
  <si>
    <t>Taijijian Sun D</t>
  </si>
  <si>
    <t>Taijijian Wu D</t>
  </si>
  <si>
    <t>Taijijian Wu-Hao D</t>
  </si>
  <si>
    <t>Taijijian 32 D</t>
  </si>
  <si>
    <t>Taijijian 42 D</t>
  </si>
  <si>
    <t>Taijijian Yang E</t>
  </si>
  <si>
    <t>Taijijian Chen E</t>
  </si>
  <si>
    <t>Taijijian Sun E</t>
  </si>
  <si>
    <t>Taijijian Wu E</t>
  </si>
  <si>
    <t>Taijijian Wu-Hao E</t>
  </si>
  <si>
    <t>Taijijian 32 E</t>
  </si>
  <si>
    <t>Taijijian 42 E</t>
  </si>
  <si>
    <t>Taijijian Yang F</t>
  </si>
  <si>
    <t>Taijijian Chen F</t>
  </si>
  <si>
    <t>Taijijian Sun F</t>
  </si>
  <si>
    <t>Taijijian Wu F</t>
  </si>
  <si>
    <t>Taijijian Wu-Hao F</t>
  </si>
  <si>
    <t>Taijijian 32 F</t>
  </si>
  <si>
    <t>Taijijian 42 F</t>
  </si>
  <si>
    <t>TUISHOU</t>
  </si>
  <si>
    <r>
      <t>Categoria</t>
    </r>
    <r>
      <rPr>
        <sz val="12"/>
        <color theme="4"/>
        <rFont val="Calibri (Corpo)"/>
      </rPr>
      <t>..</t>
    </r>
  </si>
  <si>
    <r>
      <t>Categoria</t>
    </r>
    <r>
      <rPr>
        <sz val="12"/>
        <color theme="4"/>
        <rFont val="Calibri (Corpo)"/>
      </rPr>
      <t>.</t>
    </r>
  </si>
  <si>
    <t>Adulto +75kg</t>
  </si>
  <si>
    <t>TSAF</t>
  </si>
  <si>
    <t>TSAM</t>
  </si>
  <si>
    <t>Grupo</t>
  </si>
  <si>
    <t>Dulian de Tuishou</t>
  </si>
  <si>
    <t>Baguazhang A</t>
  </si>
  <si>
    <t>Baguazhang B</t>
  </si>
  <si>
    <t>Baguazhang C</t>
  </si>
  <si>
    <t>Baguazhang D</t>
  </si>
  <si>
    <t>Baguazhang E</t>
  </si>
  <si>
    <t>Baguazhang F</t>
  </si>
  <si>
    <t>TAOLU TRADICIONAL INDIVIDUAL</t>
  </si>
  <si>
    <t>TAOLU TRADICIONAL ADADPTADO INDIVIDUAL</t>
  </si>
  <si>
    <r>
      <t>#</t>
    </r>
    <r>
      <rPr>
        <sz val="12"/>
        <color theme="8"/>
        <rFont val="Calibri (Corpo)"/>
      </rPr>
      <t>..</t>
    </r>
  </si>
  <si>
    <t>Atletas</t>
  </si>
  <si>
    <t>Apresentações</t>
  </si>
  <si>
    <t>PREENCHA ESTES CAMPOS PARA HABILITAR AS CATEGORIAS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</si>
</sst>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+100kg&quot;"/>
    <numFmt numFmtId="165" formatCode="&quot;Adulto +90kg&quot;"/>
    <numFmt numFmtId="166" formatCode="&quot;R$&quot;\ #,##0.00"/>
    <numFmt numFmtId="167" formatCode="0;\-0;;@"/>
    <numFmt numFmtId="168" formatCode="&quot;R$&quot;0.00;\-0.00;;@"/>
  </numFmts>
  <fonts count="22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 (Corpo)"/>
    </font>
    <font>
      <sz val="12"/>
      <color theme="1"/>
      <name val="Calibri (Corpo)"/>
    </font>
    <font>
      <sz val="12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theme="4"/>
      <name val="Calibri (Corpo)"/>
    </font>
    <font>
      <sz val="12"/>
      <color theme="8"/>
      <name val="Calibri (Corpo)"/>
    </font>
    <font>
      <sz val="12"/>
      <color rgb="FF7030A0"/>
      <name val="Calibri"/>
      <family val="2"/>
      <scheme val="minor"/>
    </font>
    <font>
      <sz val="10"/>
      <color theme="1"/>
      <name val="Calibri (Corpo)"/>
    </font>
    <font>
      <b/>
      <sz val="12"/>
      <color theme="8"/>
      <name val="Calibri (Corpo)"/>
    </font>
    <font>
      <sz val="12"/>
      <color theme="0"/>
      <name val="Calibri (Corpo)"/>
    </font>
    <font>
      <sz val="11"/>
      <color theme="0"/>
      <name val="Calibri (Corpo)"/>
    </font>
    <font>
      <b/>
      <sz val="12"/>
      <color rgb="FFFFFF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E0B1FF"/>
        <bgColor indexed="64"/>
      </patternFill>
    </fill>
    <fill>
      <patternFill patternType="solid">
        <fgColor rgb="FF0070C0"/>
        <bgColor indexed="64"/>
      </patternFill>
    </fill>
  </fills>
  <borders count="8">
    <border>
      <left/>
      <right/>
      <top/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0" xfId="0" applyNumberFormat="1"/>
    <xf numFmtId="0" fontId="6" fillId="0" borderId="0" xfId="0" applyFont="1" applyAlignment="1">
      <alignment horizontal="center"/>
    </xf>
    <xf numFmtId="0" fontId="6" fillId="0" borderId="0" xfId="0" applyFont="1"/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5" fillId="0" borderId="0" xfId="0" applyFont="1"/>
    <xf numFmtId="0" fontId="5" fillId="0" borderId="0" xfId="0" applyFont="1" applyBorder="1" applyAlignment="1">
      <alignment horizontal="center"/>
    </xf>
    <xf numFmtId="0" fontId="5" fillId="0" borderId="0" xfId="0" applyFont="1" applyAlignment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/>
    </xf>
    <xf numFmtId="0" fontId="0" fillId="3" borderId="0" xfId="0" applyFill="1" applyBorder="1"/>
    <xf numFmtId="0" fontId="0" fillId="3" borderId="0" xfId="0" applyFill="1" applyBorder="1" applyAlignment="1" applyProtection="1">
      <alignment horizontal="center"/>
      <protection locked="0"/>
    </xf>
    <xf numFmtId="167" fontId="0" fillId="0" borderId="0" xfId="0" applyNumberFormat="1" applyAlignment="1">
      <alignment horizontal="center"/>
    </xf>
    <xf numFmtId="0" fontId="0" fillId="0" borderId="0" xfId="0" applyFont="1"/>
    <xf numFmtId="0" fontId="9" fillId="0" borderId="0" xfId="0" applyFont="1"/>
    <xf numFmtId="168" fontId="0" fillId="0" borderId="0" xfId="0" applyNumberFormat="1" applyFont="1" applyAlignment="1">
      <alignment horizontal="center"/>
    </xf>
    <xf numFmtId="0" fontId="0" fillId="0" borderId="0" xfId="0" applyFont="1" applyBorder="1"/>
    <xf numFmtId="0" fontId="11" fillId="0" borderId="0" xfId="0" applyFont="1"/>
    <xf numFmtId="0" fontId="9" fillId="0" borderId="0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/>
    <xf numFmtId="0" fontId="9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2" fillId="8" borderId="0" xfId="0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 wrapText="1"/>
    </xf>
    <xf numFmtId="0" fontId="3" fillId="8" borderId="0" xfId="0" applyFont="1" applyFill="1" applyBorder="1" applyAlignment="1">
      <alignment horizontal="center" wrapText="1"/>
    </xf>
    <xf numFmtId="0" fontId="10" fillId="8" borderId="0" xfId="0" applyFont="1" applyFill="1" applyBorder="1" applyAlignment="1">
      <alignment horizontal="center" wrapText="1"/>
    </xf>
    <xf numFmtId="0" fontId="2" fillId="8" borderId="5" xfId="0" applyFont="1" applyFill="1" applyBorder="1" applyAlignment="1">
      <alignment horizontal="center" vertical="center"/>
    </xf>
    <xf numFmtId="0" fontId="3" fillId="8" borderId="0" xfId="0" applyFont="1" applyFill="1" applyBorder="1"/>
    <xf numFmtId="0" fontId="19" fillId="0" borderId="0" xfId="0" applyFont="1"/>
    <xf numFmtId="14" fontId="19" fillId="0" borderId="0" xfId="0" applyNumberFormat="1" applyFont="1"/>
    <xf numFmtId="0" fontId="8" fillId="0" borderId="0" xfId="0" applyFont="1" applyAlignment="1">
      <alignment horizontal="center"/>
    </xf>
    <xf numFmtId="0" fontId="19" fillId="0" borderId="0" xfId="0" applyFont="1" applyFill="1" applyBorder="1" applyAlignment="1">
      <alignment horizontal="center" wrapText="1"/>
    </xf>
    <xf numFmtId="0" fontId="19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0" fillId="0" borderId="0" xfId="0" applyFont="1"/>
    <xf numFmtId="0" fontId="19" fillId="0" borderId="0" xfId="0" applyFont="1" applyAlignment="1"/>
    <xf numFmtId="165" fontId="19" fillId="0" borderId="0" xfId="0" applyNumberFormat="1" applyFont="1" applyAlignment="1">
      <alignment horizontal="center"/>
    </xf>
    <xf numFmtId="0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Fill="1" applyBorder="1" applyAlignment="1"/>
    <xf numFmtId="0" fontId="0" fillId="0" borderId="0" xfId="0" applyFill="1" applyAlignment="1">
      <alignment horizontal="center"/>
    </xf>
    <xf numFmtId="0" fontId="5" fillId="0" borderId="0" xfId="0" applyFont="1" applyAlignment="1">
      <alignment vertical="center"/>
    </xf>
    <xf numFmtId="164" fontId="17" fillId="0" borderId="0" xfId="0" applyNumberFormat="1" applyFont="1" applyAlignment="1">
      <alignment horizontal="center"/>
    </xf>
    <xf numFmtId="165" fontId="17" fillId="0" borderId="0" xfId="0" applyNumberFormat="1" applyFont="1" applyAlignment="1">
      <alignment horizontal="center"/>
    </xf>
    <xf numFmtId="0" fontId="4" fillId="6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6" fillId="0" borderId="0" xfId="0" applyFont="1" applyAlignment="1">
      <alignment horizontal="center" shrinkToFit="1"/>
    </xf>
    <xf numFmtId="0" fontId="0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/>
    <xf numFmtId="167" fontId="0" fillId="0" borderId="0" xfId="0" applyNumberFormat="1"/>
    <xf numFmtId="168" fontId="0" fillId="0" borderId="0" xfId="0" applyNumberFormat="1" applyFont="1"/>
    <xf numFmtId="0" fontId="5" fillId="4" borderId="0" xfId="0" applyFont="1" applyFill="1" applyAlignment="1">
      <alignment vertical="center"/>
    </xf>
    <xf numFmtId="0" fontId="0" fillId="0" borderId="0" xfId="0" applyFont="1" applyBorder="1" applyAlignment="1">
      <alignment horizontal="center"/>
    </xf>
    <xf numFmtId="0" fontId="0" fillId="0" borderId="0" xfId="0" applyFont="1" applyAlignment="1"/>
    <xf numFmtId="0" fontId="6" fillId="0" borderId="0" xfId="0" applyFont="1" applyAlignment="1"/>
    <xf numFmtId="0" fontId="0" fillId="0" borderId="0" xfId="0" applyBorder="1" applyAlignment="1" applyProtection="1">
      <alignment shrinkToFit="1"/>
      <protection locked="0"/>
    </xf>
    <xf numFmtId="0" fontId="0" fillId="0" borderId="0" xfId="0" applyBorder="1" applyAlignment="1" applyProtection="1">
      <alignment horizontal="center" shrinkToFit="1"/>
      <protection locked="0"/>
    </xf>
    <xf numFmtId="0" fontId="0" fillId="3" borderId="0" xfId="0" applyFill="1" applyBorder="1" applyAlignment="1" applyProtection="1">
      <alignment shrinkToFit="1"/>
      <protection locked="0"/>
    </xf>
    <xf numFmtId="0" fontId="0" fillId="3" borderId="0" xfId="0" applyFill="1" applyBorder="1" applyAlignment="1" applyProtection="1">
      <alignment horizontal="center" shrinkToFit="1"/>
      <protection locked="0"/>
    </xf>
    <xf numFmtId="0" fontId="2" fillId="8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6" fillId="7" borderId="4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1" fillId="0" borderId="0" xfId="0" applyFont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>
      <alignment horizontal="center"/>
    </xf>
    <xf numFmtId="0" fontId="1" fillId="0" borderId="0" xfId="0" applyFont="1" applyBorder="1" applyAlignment="1" applyProtection="1">
      <alignment horizontal="center" vertical="center" wrapText="1"/>
    </xf>
    <xf numFmtId="166" fontId="0" fillId="0" borderId="0" xfId="0" applyNumberFormat="1" applyFont="1" applyBorder="1" applyAlignment="1" applyProtection="1">
      <alignment horizontal="center" vertical="center" wrapText="1"/>
    </xf>
    <xf numFmtId="166" fontId="1" fillId="0" borderId="0" xfId="0" applyNumberFormat="1" applyFont="1" applyBorder="1" applyAlignment="1" applyProtection="1">
      <alignment horizontal="center" vertical="center" wrapText="1"/>
    </xf>
  </cellXfs>
  <cellStyles count="1">
    <cellStyle name="Normal" xfId="0" builtinId="0"/>
  </cellStyles>
  <dxfs count="84"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rgb="FFE0B1FF"/>
        </patternFill>
      </fill>
    </dxf>
    <dxf>
      <font>
        <color rgb="FF7030A0"/>
      </font>
      <fill>
        <patternFill>
          <bgColor rgb="FFE0B1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rgb="FFE0B1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fgColor auto="1"/>
          <bgColor rgb="FFE0B1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(Corpo)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(Corpo)"/>
        <scheme val="none"/>
      </font>
      <fill>
        <patternFill patternType="none">
          <fgColor theme="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(Corpo)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(Corpo)"/>
        <scheme val="none"/>
      </font>
      <numFmt numFmtId="0" formatCode="General"/>
      <alignment horizontal="center" vertical="bottom" textRotation="0" wrapText="0" indent="0" justifyLastLine="0" shrinkToFit="1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(Corpo)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(Corpo)"/>
        <scheme val="none"/>
      </font>
      <fill>
        <patternFill patternType="none">
          <fgColor theme="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(Corpo)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1"/>
      </font>
      <numFmt numFmtId="168" formatCode="&quot;R$&quot;0.00;\-0.00;;@"/>
    </dxf>
    <dxf>
      <numFmt numFmtId="167" formatCode="0;\-0;;@"/>
    </dxf>
    <dxf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fill>
        <patternFill patternType="solid">
          <fgColor indexed="64"/>
          <bgColor rgb="FF0070C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C7CE"/>
      <color rgb="FFE0B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90A460-A5D3-8D41-9465-67FDC99CE82C}" name="Tabela1" displayName="Tabela1" ref="A2:Z302" totalsRowShown="0" headerRowDxfId="83">
  <autoFilter ref="A2:Z302" xr:uid="{586B7874-6051-A444-B4BF-43836CCCDDF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27" xr3:uid="{AF777F65-87FB-6B48-A777-952F9FA8B0C2}" name="Nome Completo"/>
    <tableColumn id="3" xr3:uid="{6016B9E7-EFA6-894A-B789-31F5FF6B8A55}" name="Gênero"/>
    <tableColumn id="4" xr3:uid="{74881569-4477-F541-B61D-02F8FDBC7FB2}" name="Nascimento"/>
    <tableColumn id="5" xr3:uid="{7FF1EEC6-AA0D-5E46-B89F-C1302D083001}" name="Categoria" dataDxfId="82"/>
    <tableColumn id="6" xr3:uid="{93B42BDC-887B-B943-811E-9F0BAD6A72BC}" name="Categoria." dataDxfId="81"/>
    <tableColumn id="26" xr3:uid="{E6EB901D-701C-6748-9ECF-133083FA77AF}" name="Categoria.." dataDxfId="80"/>
    <tableColumn id="7" xr3:uid="{2766A1B2-7DE7-1F4B-9059-CF1FDA5B61B1}" name="Mãos" dataDxfId="79"/>
    <tableColumn id="8" xr3:uid="{74644EED-367B-6742-ABE0-DDF545964C61}" name="Arma Curta" dataDxfId="78"/>
    <tableColumn id="9" xr3:uid="{99C47A11-C330-6A44-A756-F43538605FAF}" name="Arma Longa" dataDxfId="77"/>
    <tableColumn id="10" xr3:uid="{B6FC84FC-8576-5144-B45C-984A8FA7DC38}" name="Duilian" dataDxfId="76"/>
    <tableColumn id="11" xr3:uid="{3550D98C-3FDB-174B-953F-404B3AD6AD94}" name="Mãos do Sul" dataDxfId="75"/>
    <tableColumn id="12" xr3:uid="{A0B98D82-2C42-6D45-9E75-8A4D8801F568}" name="Outras Mãos" dataDxfId="74"/>
    <tableColumn id="13" xr3:uid="{953A08C2-EDE0-2341-80F3-991FAF284899}" name="Estilos Especiais" dataDxfId="73"/>
    <tableColumn id="14" xr3:uid="{4EA43991-ACB4-EB42-AF32-A434753B79BD}" name="Taijiquan Tradicional" dataDxfId="72"/>
    <tableColumn id="15" xr3:uid="{8C9E74D6-7AF7-D143-88DC-CD8286AC7E22}" name="Taijiquan Padronizado" dataDxfId="71"/>
    <tableColumn id="16" xr3:uid="{DABA413A-0A18-C841-92E8-9AA0CBF27C62}" name="Outras Mãos de Interno" dataDxfId="70"/>
    <tableColumn id="17" xr3:uid="{ADDF3C7E-B836-9948-8319-517B7E24B73E}" name="Armas Curtas" dataDxfId="69"/>
    <tableColumn id="18" xr3:uid="{E562018A-C2A2-1F48-B08D-57C56BC48E8C}" name="Armas Longas" dataDxfId="68"/>
    <tableColumn id="19" xr3:uid="{49401359-27B4-3C4B-ABD6-F5C822C1F0AC}" name="Armas Duplas e Maleáveis" dataDxfId="67"/>
    <tableColumn id="20" xr3:uid="{D4308EE4-FC67-4A45-A8EE-29F5C2F2E8B8}" name="Taijijian"/>
    <tableColumn id="2" xr3:uid="{72340CEB-7A29-B646-BAB5-9BE0266008EE}" name="Taiji de Armas" dataDxfId="66"/>
    <tableColumn id="21" xr3:uid="{A9C76D7B-95B4-8B4C-814F-B6D3A7ABA553}" name="Evento em Equipe"/>
    <tableColumn id="22" xr3:uid="{4073FAE6-CF70-CB47-B042-81A45A0F27B8}" name="Adaptado" dataDxfId="65"/>
    <tableColumn id="23" xr3:uid="{05ECD1A9-281A-D444-B16B-DFBDA5AED884}" name="Inscrição 1º Lugar"/>
    <tableColumn id="24" xr3:uid="{EDAACA4A-8881-9C4B-94DF-7F9AD0BA7F07}" name="Inscrição Regular" dataDxfId="64">
      <calculatedColumnFormula>COUNTA(D3:V3)-X3</calculatedColumnFormula>
    </tableColumn>
    <tableColumn id="25" xr3:uid="{3EC5AD2E-B627-5C44-B1CE-668C3FE85340}" name="Valor Total" dataDxfId="6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9AC1037-00F2-0246-9891-9DA983B67A2E}" name="Tabela2" displayName="Tabela2" ref="B7:E37" totalsRowShown="0" headerRowDxfId="62" dataDxfId="61">
  <autoFilter ref="B7:E37" xr:uid="{D21B74FF-3B3A-844D-8FE8-0AEFB3EEFA34}">
    <filterColumn colId="0" hiddenButton="1"/>
    <filterColumn colId="1" hiddenButton="1"/>
    <filterColumn colId="2" hiddenButton="1"/>
    <filterColumn colId="3" hiddenButton="1"/>
  </autoFilter>
  <tableColumns count="4">
    <tableColumn id="1" xr3:uid="{3CAA1990-D1F9-504A-80ED-910636AC37A3}" name="Feminino" dataDxfId="60">
      <calculatedColumnFormula array="1">IFERROR(INDEX(AK$7:AK$36,SMALL(IF(AK$7:AK$36&lt;&gt;"",ROW(AK$7:AK$36)-ROW(AK$7)+1),ROWS(AK$7:AK7))),"")</calculatedColumnFormula>
    </tableColumn>
    <tableColumn id="2" xr3:uid="{9CF36C9F-3BCD-6747-AC4F-2B743FB929DD}" name="#" dataDxfId="59">
      <calculatedColumnFormula array="1">IFERROR(INDEX(AL$7:AL$36,SMALL(IF(AL$7:AL$36&lt;&gt;"",ROW(AL$7:AL$36)-ROW(AL$7)+1),ROWS(AL$7:AL7))),"")</calculatedColumnFormula>
    </tableColumn>
    <tableColumn id="3" xr3:uid="{D8685E94-33FC-B041-9EEB-601E32C17C1E}" name="Masculino" dataDxfId="58">
      <calculatedColumnFormula array="1">IFERROR(INDEX(AM$7:AM$36,SMALL(IF(AM$7:AM$36&lt;&gt;"",ROW(AM$7:AM$36)-ROW(AM$7)+1),ROWS(AM$7:AM7))),"")</calculatedColumnFormula>
    </tableColumn>
    <tableColumn id="4" xr3:uid="{72DF6FF7-0074-0E42-A0F5-6C62BC03B346}" name="#." dataDxfId="57">
      <calculatedColumnFormula array="1">IFERROR(INDEX(AN$7:AN$36,SMALL(IF(AN$7:AN$36&lt;&gt;"",ROW(AN$7:AN$36)-ROW(AN$7)+1),ROWS(AN$7:AN7))),"")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7E2146-CA0F-2E4D-9BEE-D81BBDF42C19}" name="Tabela4" displayName="Tabela4" ref="N7:Q66" totalsRowShown="0" headerRowDxfId="56" dataDxfId="55">
  <autoFilter ref="N7:Q66" xr:uid="{6A9FC69A-E26A-8143-BE55-10119BBA2BC4}">
    <filterColumn colId="0" hiddenButton="1"/>
    <filterColumn colId="1" hiddenButton="1"/>
    <filterColumn colId="2" hiddenButton="1"/>
    <filterColumn colId="3" hiddenButton="1"/>
  </autoFilter>
  <tableColumns count="4">
    <tableColumn id="1" xr3:uid="{A6F925E3-17FF-5940-A94C-9797F3F110FC}" name="Feminino" dataDxfId="54">
      <calculatedColumnFormula array="1">IFERROR(INDEX(BB$7:BB$66,SMALL(IF(BB$7:BB$66&lt;&gt;"",ROW(BB$7:BB$66)-ROW(BB$7)+1),ROWS(BB$7:BB7))),"")</calculatedColumnFormula>
    </tableColumn>
    <tableColumn id="2" xr3:uid="{2A59A725-75E9-9041-8852-7D16CFD143E5}" name="#" dataDxfId="53">
      <calculatedColumnFormula array="1">IFERROR(INDEX(BC$7:BC$66,SMALL(IF(BC$7:BC$66&lt;&gt;"",ROW(BC$7:BC$66)-ROW(BC$7)+1),ROWS(BC$7:BC7))),"")</calculatedColumnFormula>
    </tableColumn>
    <tableColumn id="3" xr3:uid="{D97BD1BA-0E97-B140-8304-56E9D4963C75}" name="Masculino" dataDxfId="52">
      <calculatedColumnFormula array="1">IFERROR(INDEX(BD$7:BD$66,SMALL(IF(BD$7:BD$66&lt;&gt;"",ROW(BD$7:BD$66)-ROW(BD$7)+1),ROWS(BD$7:BD7))),"")</calculatedColumnFormula>
    </tableColumn>
    <tableColumn id="4" xr3:uid="{981B08E7-5E3D-DD4B-8CD5-8CE4DC6CDCC3}" name="#." dataDxfId="51">
      <calculatedColumnFormula array="1">IFERROR(INDEX(BE$7:BE$66,SMALL(IF(BE$7:BE$66&lt;&gt;"",ROW(BE$7:BE$66)-ROW(BE$7)+1),ROWS(BE$7:BE7))),"")</calculatedColumnFormula>
    </tableColumn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4C42038-51FE-B148-9E56-5F00BA0884DE}" name="Tabela6" displayName="Tabela6" ref="R7:U37" totalsRowShown="0" headerRowDxfId="50" dataDxfId="49">
  <autoFilter ref="R7:U37" xr:uid="{4B1E82D3-37DF-4144-9385-6B4B10A69245}">
    <filterColumn colId="0" hiddenButton="1"/>
    <filterColumn colId="1" hiddenButton="1"/>
    <filterColumn colId="2" hiddenButton="1"/>
    <filterColumn colId="3" hiddenButton="1"/>
  </autoFilter>
  <tableColumns count="4">
    <tableColumn id="1" xr3:uid="{A540B9C1-B23D-724A-8287-1FF2E8D3E913}" name="Feminino" dataDxfId="48"/>
    <tableColumn id="2" xr3:uid="{99C5C62E-9394-784C-A89D-BFE4F6C451D6}" name="#" dataDxfId="47"/>
    <tableColumn id="3" xr3:uid="{366EE6C7-1DB1-934F-B308-234152E0C36F}" name="Masculino" dataDxfId="46"/>
    <tableColumn id="4" xr3:uid="{EE73C665-0C60-4944-A8CF-D66E536B3162}" name="#." dataDxfId="4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107BA25-B512-7347-8AB9-7ABDFA0FACED}" name="Tabela7" displayName="Tabela7" ref="V7:Y300" totalsRowShown="0" dataDxfId="44">
  <autoFilter ref="V7:Y300" xr:uid="{036D987F-4737-7C4E-8FE5-B9A124132677}">
    <filterColumn colId="0" hiddenButton="1"/>
    <filterColumn colId="1" hiddenButton="1"/>
    <filterColumn colId="2" hiddenButton="1"/>
    <filterColumn colId="3" hiddenButton="1"/>
  </autoFilter>
  <tableColumns count="4">
    <tableColumn id="1" xr3:uid="{C5BD8C81-B11B-CF48-AE86-9C5119179948}" name="Feminino" dataDxfId="43">
      <calculatedColumnFormula array="1">IFERROR(INDEX(BX$7:BX$336,SMALL(IF(BX$7:BX$336&lt;&gt;"",ROW(BX$7:BX$336)-ROW(BX$7)+1),ROWS(BX$7:BX7))),"")</calculatedColumnFormula>
    </tableColumn>
    <tableColumn id="2" xr3:uid="{4553EFF3-A816-4C4F-BD6E-B6F6D36518CA}" name="#" dataDxfId="42">
      <calculatedColumnFormula array="1">IFERROR(INDEX(BY$7:BY$336,SMALL(IF(BY$7:BY$336&lt;&gt;"",ROW(BY$7:BY$336)-ROW(BY$7)+1),ROWS(BY$7:BY7))),"")</calculatedColumnFormula>
    </tableColumn>
    <tableColumn id="3" xr3:uid="{BA092392-C0E0-464B-9AF6-45EF98EB33B1}" name="Masculino" dataDxfId="41">
      <calculatedColumnFormula array="1">IFERROR(INDEX(BZ$7:BZ$336,SMALL(IF(BZ$7:BZ$336&lt;&gt;"",ROW(BZ$7:BZ$336)-ROW(BZ$7)+1),ROWS(BZ$7:BZ7))),"")</calculatedColumnFormula>
    </tableColumn>
    <tableColumn id="4" xr3:uid="{2451C095-88E1-224F-A355-EA4D43311A4A}" name="#." dataDxfId="40">
      <calculatedColumnFormula array="1">IFERROR(INDEX(CA$7:CA$336,SMALL(IF(CA$7:CA$336&lt;&gt;"",ROW(CA$7:CA$336)-ROW(CA$7)+1),ROWS(CA$7:CA7))),"")</calculatedColumnFormula>
    </tableColumn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0CECBBC-955E-FC49-BDEF-8933DA4D3687}" name="Tabela9" displayName="Tabela9" ref="AD7:AI37" totalsRowShown="0" dataDxfId="39">
  <autoFilter ref="AD7:AI37" xr:uid="{2BEBDCD2-88B9-E540-94B4-AE929681916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BD0490FA-53DC-1546-8475-A48B2822C11B}" name="Duilian" dataDxfId="38">
      <calculatedColumnFormula array="1">IFERROR(INDEX(CG$7:CG$18,SMALL(IF(CG$7:CG$18&lt;&gt;"",ROW(CG$7:CG$18)-ROW(CG$7)+1),ROWS(CG$7:CG7))),"")</calculatedColumnFormula>
    </tableColumn>
    <tableColumn id="4" xr3:uid="{B29B2E65-105D-0F4A-B8DE-7135B58B1E34}" name="#" dataDxfId="37">
      <calculatedColumnFormula array="1">IFERROR(INDEX(CH$7:CH$18,SMALL(IF(CH$7:CH$18&lt;&gt;"",ROW(CH$7:CH$18)-ROW(CH$7)+1),ROWS(CH$7:CH7))),"")</calculatedColumnFormula>
    </tableColumn>
    <tableColumn id="5" xr3:uid="{97BCAD64-BA75-3146-A51A-F04014894C86}" name="Dulian de Tuishou" dataDxfId="36">
      <calculatedColumnFormula array="1">IFERROR(INDEX(CI$7:CI$8,SMALL(IF(CI$7:CI$8&lt;&gt;"",ROW(CI$7:CI$8)-ROW(CI$7)+1),ROWS(CI$7:CI7))),"")</calculatedColumnFormula>
    </tableColumn>
    <tableColumn id="6" xr3:uid="{8B64C8CB-1662-5241-B316-4FCCF21E466F}" name="#." dataDxfId="35"/>
    <tableColumn id="3" xr3:uid="{9093538B-7639-0943-9E73-62834F11531B}" name="Grupo" dataDxfId="34">
      <calculatedColumnFormula array="1">IFERROR(INDEX(CK$7:CK$14,SMALL(IF(CK$7:CK$14&lt;&gt;"",ROW(CK$7:CK$14)-ROW(CK$7)+1),ROWS(CK$7:CK7))),"")</calculatedColumnFormula>
    </tableColumn>
    <tableColumn id="2" xr3:uid="{43EDEC4F-E1FF-D94F-8531-15DE5E4A72B1}" name="#.." dataDxfId="33"/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5079022-1928-364C-B476-B81AC2D570FA}" name="Tabela24" displayName="Tabela24" ref="J7:M37" totalsRowShown="0" headerRowDxfId="32" dataDxfId="31">
  <autoFilter ref="J7:M37" xr:uid="{DD68EFFC-2662-E342-A934-375BBFE9C178}"/>
  <tableColumns count="4">
    <tableColumn id="1" xr3:uid="{3BB0A425-B6E5-EE46-BE14-88B7AFB00648}" name="Feminino" dataDxfId="30">
      <calculatedColumnFormula array="1">IFERROR(INDEX(AS$7:AS$36,SMALL(IF(AS$7:AS$36&lt;&gt;"",ROW(AS$7:AS$36)-ROW(AS$7)+1),ROWS(AS$7:AS7))),"")</calculatedColumnFormula>
    </tableColumn>
    <tableColumn id="2" xr3:uid="{A06345D8-9F1D-C64A-AA2C-15DEE99ED4D3}" name="#" dataDxfId="29">
      <calculatedColumnFormula array="1">IFERROR(INDEX(AV$7:AV$36,SMALL(IF(AV$7:AV$36&lt;&gt;"",ROW(AV$7:AV$36)-ROW(AV$7)+1),ROWS(AV$7:AV7))),"")</calculatedColumnFormula>
    </tableColumn>
    <tableColumn id="3" xr3:uid="{28963F2B-F87A-5C47-8E36-A177FA73E52E}" name="Masculino" dataDxfId="28">
      <calculatedColumnFormula array="1">IFERROR(INDEX(AW$7:AW$36,SMALL(IF(AW$7:AW$36&lt;&gt;"",ROW(AW$7:AW$36)-ROW(AW$7)+1),ROWS(AW$7:AW7))),"")</calculatedColumnFormula>
    </tableColumn>
    <tableColumn id="4" xr3:uid="{C571F4AD-FDAA-D34D-8284-E90979E93BFF}" name="#." dataDxfId="27">
      <calculatedColumnFormula array="1">IFERROR(INDEX(AX$7:AX$36,SMALL(IF(AX$7:AX$36&lt;&gt;"",ROW(AX$7:AX$36)-ROW(AX$7)+1),ROWS(AX$7:AX7))),"")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96F5D96-A772-954D-92D1-B2888A285386}" name="Tabela46" displayName="Tabela46" ref="F7:I37" totalsRowShown="0" headerRowDxfId="26" dataDxfId="25">
  <autoFilter ref="F7:I37" xr:uid="{042DD6AD-5090-5F42-A0D3-E2D40F3E76EC}"/>
  <tableColumns count="4">
    <tableColumn id="1" xr3:uid="{BAB1FC7D-9C13-064A-B973-B70BC2BF9AA0}" name="Feminino" dataDxfId="24">
      <calculatedColumnFormula array="1">IFERROR(INDEX(AP$7:AP$36,SMALL(IF(AP$7:AP$36&lt;&gt;"",ROW(AP$7:AP$36)-ROW(AP$7)+1),ROWS(AP$7:AP7))),"")</calculatedColumnFormula>
    </tableColumn>
    <tableColumn id="2" xr3:uid="{24E69CF8-08E0-4E47-9435-3B673A65DCB5}" name="#" dataDxfId="23">
      <calculatedColumnFormula array="1">IFERROR(INDEX(AQ$7:AQ$36,SMALL(IF(AQ$7:AQ$36&lt;&gt;"",ROW(AQ$7:AQ$36)-ROW(AQ$7)+1),ROWS(AQ$7:AQ7))),"")</calculatedColumnFormula>
    </tableColumn>
    <tableColumn id="3" xr3:uid="{3E40DD73-F638-5F43-AD37-7929A72EAD63}" name="Masculino" dataDxfId="22">
      <calculatedColumnFormula array="1">IFERROR(INDEX(AR$7:AR$36,SMALL(IF(AR$7:AR$36&lt;&gt;"",ROW(AR$7:AR$36)-ROW(AR$7)+1),ROWS(AR$7:AR7))),"")</calculatedColumnFormula>
    </tableColumn>
    <tableColumn id="4" xr3:uid="{FE6E9B13-F72D-B34E-9FB7-BC4EB80B56AB}" name="#." dataDxfId="21">
      <calculatedColumnFormula array="1">IFERROR(INDEX(AS$7:AS$36,SMALL(IF(AS$7:AS$36&lt;&gt;"",ROW(AS$7:AS$36)-ROW(AS$7)+1),ROWS(AS$7:AS7))),"")</calculatedColumnFormula>
    </tableColumn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7BFB65A-A516-AA4D-98BE-E289446AE124}" name="Tabela249" displayName="Tabela249" ref="Z7:AC300" totalsRowShown="0" headerRowDxfId="20" dataDxfId="19">
  <autoFilter ref="Z7:AC300" xr:uid="{07BFB65A-A516-AA4D-98BE-E289446AE124}"/>
  <tableColumns count="4">
    <tableColumn id="1" xr3:uid="{D5EA4BDA-D236-BC43-ABF4-5C58654266C3}" name="Feminino" dataDxfId="18">
      <calculatedColumnFormula array="1">IFERROR(INDEX(CB$7:CB$378,SMALL(IF(CB$7:CB$378&lt;&gt;"",ROW(CB$7:CB$378)-ROW(CB$7)+1),ROWS(CB$7:CB7))),"")</calculatedColumnFormula>
    </tableColumn>
    <tableColumn id="2" xr3:uid="{60AD2EF2-8245-0E4C-A1D6-577CAEB2F51A}" name="#" dataDxfId="17">
      <calculatedColumnFormula array="1">IFERROR(INDEX(CC$7:CC$378,SMALL(IF(CC$7:CC$378&lt;&gt;"",ROW(CC$7:CC$378)-ROW(CC$7)+1),ROWS(CC$7:CC7))),"")</calculatedColumnFormula>
    </tableColumn>
    <tableColumn id="3" xr3:uid="{6B63BDB0-47B4-A349-93F0-E0EBEDE40069}" name="Masculino" dataDxfId="16">
      <calculatedColumnFormula array="1">IFERROR(INDEX(CD$7:CD$378,SMALL(IF(CD$7:CD$378&lt;&gt;"",ROW(CD$7:CD$378)-ROW(CD$7)+1),ROWS(CD$7:CD7))),"")</calculatedColumnFormula>
    </tableColumn>
    <tableColumn id="4" xr3:uid="{7F23E1D3-4098-3D44-90D7-0FDB350D74D1}" name="#." dataDxfId="15">
      <calculatedColumnFormula array="1">IFERROR(INDEX(CE$7:CE$378,SMALL(IF(CE$7:CE$378&lt;&gt;"",ROW(CE$7:CE$378)-ROW(CE$7)+1),ROWS(CE$7:CE7))),"")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AAE8E-85F9-234A-9233-2BD0BB664600}">
  <dimension ref="A1:FI997"/>
  <sheetViews>
    <sheetView showGridLines="0"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4" sqref="A4"/>
    </sheetView>
  </sheetViews>
  <sheetFormatPr defaultColWidth="11.19921875" defaultRowHeight="15.6"/>
  <cols>
    <col min="1" max="1" width="40.796875" customWidth="1"/>
    <col min="2" max="2" width="9.5" customWidth="1"/>
    <col min="3" max="3" width="10.796875" customWidth="1"/>
    <col min="4" max="6" width="11" style="36" customWidth="1"/>
    <col min="7" max="7" width="13.796875" style="36" customWidth="1"/>
    <col min="8" max="10" width="13.796875" customWidth="1"/>
    <col min="11" max="11" width="13.796875" style="36" customWidth="1"/>
    <col min="12" max="21" width="13.796875" customWidth="1"/>
    <col min="22" max="22" width="20.796875" customWidth="1"/>
    <col min="23" max="23" width="9.19921875" style="36" customWidth="1"/>
    <col min="24" max="25" width="9.19921875" customWidth="1"/>
    <col min="26" max="26" width="12.69921875" style="19" customWidth="1"/>
    <col min="27" max="55" width="10.796875" style="10" hidden="1" customWidth="1"/>
    <col min="56" max="56" width="13" style="10" hidden="1" customWidth="1"/>
    <col min="57" max="153" width="10.796875" style="10" hidden="1" customWidth="1"/>
    <col min="154" max="156" width="10.796875" style="19" customWidth="1"/>
    <col min="157" max="165" width="10.796875" style="19"/>
  </cols>
  <sheetData>
    <row r="1" spans="1:154">
      <c r="A1" s="85" t="s">
        <v>737</v>
      </c>
      <c r="B1" s="85"/>
      <c r="C1" s="85"/>
      <c r="D1" s="44" t="s">
        <v>11</v>
      </c>
      <c r="E1" s="44" t="s">
        <v>12</v>
      </c>
      <c r="F1" s="38" t="s">
        <v>718</v>
      </c>
      <c r="G1" s="84" t="s">
        <v>13</v>
      </c>
      <c r="H1" s="84"/>
      <c r="I1" s="84"/>
      <c r="J1" s="84"/>
      <c r="K1" s="84" t="s">
        <v>530</v>
      </c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 t="s">
        <v>22</v>
      </c>
      <c r="X1" s="84"/>
      <c r="Y1" s="84"/>
      <c r="Z1" s="84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7"/>
      <c r="BA1" s="46"/>
      <c r="BB1" s="47"/>
      <c r="BC1" s="46"/>
      <c r="BD1" s="47"/>
      <c r="BE1" s="46"/>
      <c r="BF1" s="46"/>
      <c r="BG1" s="46"/>
      <c r="BH1" s="46"/>
      <c r="BI1" s="46"/>
      <c r="BJ1" s="46"/>
      <c r="BK1" s="46"/>
      <c r="BL1" s="47">
        <v>40544</v>
      </c>
      <c r="BM1" s="47">
        <v>40179</v>
      </c>
      <c r="BN1" s="47">
        <v>39083</v>
      </c>
      <c r="BO1" s="47">
        <v>37987</v>
      </c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7">
        <v>40179</v>
      </c>
      <c r="CH1" s="47">
        <v>37987</v>
      </c>
      <c r="CI1" s="47">
        <v>29952</v>
      </c>
      <c r="CJ1" s="47">
        <v>22647</v>
      </c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20"/>
    </row>
    <row r="2" spans="1:154" ht="31.95" customHeight="1">
      <c r="A2" s="45" t="s">
        <v>6</v>
      </c>
      <c r="B2" s="40" t="s">
        <v>8</v>
      </c>
      <c r="C2" s="40" t="s">
        <v>9</v>
      </c>
      <c r="D2" s="39" t="s">
        <v>10</v>
      </c>
      <c r="E2" s="39" t="s">
        <v>720</v>
      </c>
      <c r="F2" s="39" t="s">
        <v>719</v>
      </c>
      <c r="G2" s="39" t="s">
        <v>14</v>
      </c>
      <c r="H2" s="40" t="s">
        <v>169</v>
      </c>
      <c r="I2" s="40" t="s">
        <v>15</v>
      </c>
      <c r="J2" s="40" t="s">
        <v>16</v>
      </c>
      <c r="K2" s="41" t="s">
        <v>23</v>
      </c>
      <c r="L2" s="42" t="s">
        <v>17</v>
      </c>
      <c r="M2" s="42" t="s">
        <v>181</v>
      </c>
      <c r="N2" s="42" t="s">
        <v>18</v>
      </c>
      <c r="O2" s="42" t="s">
        <v>667</v>
      </c>
      <c r="P2" s="42" t="s">
        <v>182</v>
      </c>
      <c r="Q2" s="42" t="s">
        <v>184</v>
      </c>
      <c r="R2" s="42" t="s">
        <v>19</v>
      </c>
      <c r="S2" s="42" t="s">
        <v>183</v>
      </c>
      <c r="T2" s="42" t="s">
        <v>668</v>
      </c>
      <c r="U2" s="42" t="s">
        <v>669</v>
      </c>
      <c r="V2" s="42" t="s">
        <v>20</v>
      </c>
      <c r="W2" s="41" t="s">
        <v>179</v>
      </c>
      <c r="X2" s="42" t="s">
        <v>565</v>
      </c>
      <c r="Y2" s="42" t="s">
        <v>180</v>
      </c>
      <c r="Z2" s="43" t="s">
        <v>21</v>
      </c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7">
        <v>39083</v>
      </c>
      <c r="AZ2" s="47">
        <v>40178</v>
      </c>
      <c r="BA2" s="47">
        <v>37987</v>
      </c>
      <c r="BB2" s="47">
        <v>39082</v>
      </c>
      <c r="BC2" s="47">
        <v>29587</v>
      </c>
      <c r="BD2" s="47">
        <v>37986</v>
      </c>
      <c r="BE2" s="46"/>
      <c r="BF2" s="46"/>
      <c r="BG2" s="46"/>
      <c r="BH2" s="46"/>
      <c r="BI2" s="47">
        <v>22282</v>
      </c>
      <c r="BJ2" s="47">
        <v>37986</v>
      </c>
      <c r="BK2" s="47">
        <v>42370</v>
      </c>
      <c r="BL2" s="47">
        <v>42369</v>
      </c>
      <c r="BM2" s="47">
        <v>40543</v>
      </c>
      <c r="BN2" s="47">
        <v>40178</v>
      </c>
      <c r="BO2" s="47">
        <v>39082</v>
      </c>
      <c r="BP2" s="47">
        <v>37986</v>
      </c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7">
        <v>41275</v>
      </c>
      <c r="CG2" s="47">
        <v>41274</v>
      </c>
      <c r="CH2" s="47">
        <v>40178</v>
      </c>
      <c r="CI2" s="47">
        <v>37986</v>
      </c>
      <c r="CJ2" s="47">
        <v>29951</v>
      </c>
      <c r="CK2" s="47">
        <v>22646</v>
      </c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20"/>
    </row>
    <row r="3" spans="1:154" ht="16.05" customHeight="1">
      <c r="B3" s="1"/>
      <c r="C3" s="2"/>
      <c r="D3" s="34"/>
      <c r="E3" s="34"/>
      <c r="F3" s="34"/>
      <c r="G3" s="34"/>
      <c r="H3" s="4"/>
      <c r="I3" s="4"/>
      <c r="J3" s="4"/>
      <c r="K3" s="3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37"/>
      <c r="X3" s="1"/>
      <c r="Y3" s="18"/>
      <c r="Z3" s="21"/>
      <c r="AA3" s="10">
        <f t="shared" ref="AA3" si="0">COUNTA(K3:V3)</f>
        <v>0</v>
      </c>
      <c r="AB3" s="10">
        <f t="shared" ref="AB3" si="1">COUNTA(K3:P3)</f>
        <v>0</v>
      </c>
      <c r="AC3" s="10">
        <f>COUNTA(Q3:U3)</f>
        <v>0</v>
      </c>
      <c r="AD3" s="46" t="str">
        <f t="shared" ref="AD3" si="2">IF(AND(B3="Feminino",C3&gt;=$AY$2,C3&lt;=$AZ$2),$AY$3,IF(AND(B3="Masculino",C3&gt;=$AY$2,C3&lt;=$AZ$2),$AZ$3,IF(AND(B3="Feminino",C3&gt;=$BA$2,C3&lt;=$BB$2),$BA$3,IF(AND(B3="Masculino",C3&gt;=$BA$2,C3&lt;=$BB$2),$BB$3,IF(AND(B3="Feminino",C3&gt;=$BC$2,C3&lt;=$BD$2),$BC$3,IF(AND(B3="Masculino",C3&gt;=$BC$2,C3&lt;=$BD$2),$BD$3,""))))))</f>
        <v/>
      </c>
      <c r="AE3" s="46" t="str">
        <f t="shared" ref="AE3" si="3">IF(AND(B3="Feminino",C3&gt;=$BA$2,C3&lt;=$BB$2),$BE$3,IF(AND(B3="Masculino",C3&gt;=$BA$2,C3&lt;=$BB$2),$BF$3,IF(AND(B3="Feminino",C3&lt;=$BD$2),$BG$3,IF(AND(B3="Masculino",C3&lt;=$BD$2),$BH$3,""))))</f>
        <v/>
      </c>
      <c r="AF3" s="46" t="str">
        <f t="shared" ref="AF3" si="4">IF(AND(B3="Feminino",C3&gt;=$BI$2,C3&lt;=$BJ$2),$BI$3,IF(AND(B3="Masculino",C3&gt;=$BI$2,C3&lt;=$BJ$2),$BJ$3,""))</f>
        <v/>
      </c>
      <c r="AG3" s="46" t="str">
        <f t="shared" ref="AG3" si="5">IF(C3="","",IF(C3&gt;=$BK$2,$BK$3,IF(AND(C3&gt;=$BL$1,C3&lt;=$BL$2),$BL$3,IF(AND(C3&gt;=$BM$1,C3&lt;=$BM$2),$BM$3,IF(AND(C3&gt;=$BN$1,C3&lt;=$BN$2),$BN$3,IF(AND(C3&gt;=$BO$1,C3&lt;=$BO$2),$BO$3,IF(C3&lt;=$BP$2,$BP$3,"")))))))</f>
        <v/>
      </c>
      <c r="AH3" s="46" t="str">
        <f t="shared" ref="AH3" si="6">IF(C3="","",IF(C3&gt;=$BK$2,$BQ$3,IF(AND(C3&gt;=$BL$1,C3&lt;=$BL$2),$BR$3,IF(AND(C3&gt;=$BM$1,C3&lt;=$BM$2),$BS$3,IF(AND(C3&gt;=$BN$1,C3&lt;=$BN$2),$BT$3,IF(AND(C3&gt;=$BO$1,C3&lt;=$BO$2),$BU$3,IF(C3&lt;=$BP$2,$BV$3,"")))))))</f>
        <v/>
      </c>
      <c r="AI3" s="46" t="str">
        <f t="shared" ref="AI3" si="7">IF(C3="","",IF(C3&gt;=$BK$2,$BW$3,IF(AND(C3&gt;=$BL$1,C3&lt;=$BL$2),$BX$3,IF(AND(C3&gt;=$BM$1,C3&lt;=$BM$2),$BY$3,IF(AND(C3&gt;=$BN$1,C3&lt;=$BN$2),$BZ$3,IF(AND(C3&gt;=$BO$1,C3&lt;=$BO$2),$CA$3,IF(C3&lt;=$BP$2,$CB$3,"")))))))</f>
        <v/>
      </c>
      <c r="AJ3" s="46" t="str">
        <f t="shared" ref="AJ3" si="8">IF(C3="","",IF(AND(C3&gt;=$BN$1,C3&lt;=$BN$2),$CC$3,IF(AND(C3&gt;=$BO$1,C3&lt;=$BO$2),$CD$3,IF(C3&lt;=$BP$2,$CE$3,""))))</f>
        <v/>
      </c>
      <c r="AK3" s="46" t="str">
        <f t="shared" ref="AK3" si="9">IF(C3="","",IF(AA3&gt;=3,"",IF(AB3&gt;=2,"",IF(C3&gt;=$CF$2,$CF$3,IF(AND(C3&gt;=$CG$1,C3&lt;=$CG$2),$CG$3,IF(AND(C3&gt;=$CH$1,C3&lt;=$CH$2),$CH$3,IF(AND(C3&gt;=$CI$1,C3&lt;=$CI$2),$CI$3,IF(AND(C3&gt;=$CJ$1,C3&lt;=$CJ$2),$CJ$3,IF(C3&lt;=$CK$2,$CK$3,"")))))))))</f>
        <v/>
      </c>
      <c r="AL3" s="46" t="str">
        <f t="shared" ref="AL3" si="10">IF(C3="","",IF(AA3&gt;=3,"",IF(AB3&gt;=2,"",IF(C3&gt;=$CF$2,$CL$3,IF(AND(C3&gt;=$CG$1,C3&lt;=$CG$2),$CM$3,IF(AND(C3&gt;=$CH$1,C3&lt;=$CH$2),$CN$3,IF(AND(C3&gt;=$CI$1,C3&lt;=$CI$2),$CO$3,IF(AND(C3&gt;=$CJ$1,C3&lt;=$CJ$2),$CP$3,IF(C3&lt;=$CK$2,$CQ$3,"")))))))))</f>
        <v/>
      </c>
      <c r="AM3" s="46" t="str">
        <f t="shared" ref="AM3" si="11">IF(C3="","",IF(AA3&gt;=3,"",IF(AB3&gt;=2,"",IF(C3&gt;=$CF$2,$CR$3,IF(AND(C3&gt;=$CG$1,C3&lt;=$CG$2),$CS$3,IF(AND(C3&gt;=$CH$1,C3&lt;=$CH$2),$CT$3,IF(AND(C3&gt;=$CI$1,C3&lt;=$CI$2),$CU$3,IF(AND(C3&gt;=$CJ$1,C3&lt;=$CJ$2),$CV$3,IF(C3&lt;=$CK$2,$CW$3,"")))))))))</f>
        <v/>
      </c>
      <c r="AN3" s="46" t="str">
        <f t="shared" ref="AN3" si="12">IF(C3="","",IF(AA3&gt;=3,"",IF(AB3&gt;=2,"",IF(C3&gt;=$CF$2,$CX$3,IF(AND(C3&gt;=$CG$1,C3&lt;=$CG$2),$CY$3,IF(AND(C3&gt;=$CH$1,C3&lt;=$CH$2),$CZ$3,IF(AND(C3&gt;=$CI$1,C3&lt;=$CI$2),$DA$3,IF(AND(C3&gt;=$CJ$1,C3&lt;=$CJ$2),$DB$3,IF(C3&lt;=$CK$2,$DC$3,"")))))))))</f>
        <v/>
      </c>
      <c r="AO3" s="46" t="str">
        <f t="shared" ref="AO3" si="13">IF(C3="","",IF(AA3&gt;=3,"",IF(AB3&gt;=2,"",IF(C3&gt;=$CF$2,$DD$3,IF(AND(C3&gt;=$CG$1,C3&lt;=$CG$2),$DE$3,IF(AND(C3&gt;=$CH$1,C3&lt;=$CH$2),$DF$3,IF(AND(C3&gt;=$CI$1,C3&lt;=$CI$2),$DG$3,IF(AND(C3&gt;=$CJ$1,C3&lt;=$CJ$2),$DH$3,IF(C3&lt;=$CK$2,$DI$3,"")))))))))</f>
        <v/>
      </c>
      <c r="AP3" s="46" t="str">
        <f t="shared" ref="AP3" si="14">IF(C3="","",IF(AA3&gt;=3,"",IF(AB3&gt;=2,"",IF(C3&gt;=$CF$2,$DJ$3,IF(AND(C3&gt;=$CG$1,C3&lt;=$CG$2),$DK$3,IF(AND(C3&gt;=$CH$1,C3&lt;=$CH$2),$DL$3,IF(AND(C3&gt;=$CI$1,C3&lt;=$CI$2),$DM$3,IF(AND(C3&gt;=$CJ$1,C3&lt;=$CJ$2),$DN$3,IF(C3&lt;=$CK$2,$DO$3,"")))))))))</f>
        <v/>
      </c>
      <c r="AQ3" s="46" t="str">
        <f t="shared" ref="AQ3" si="15">IF(C3="","",IF(AA3&gt;=3,"",IF(AC3&gt;=2,"",IF(C3&gt;=$CF$2,$DP$3,IF(AND(C3&gt;=$CG$1,C3&lt;=$CG$2),$DQ$3,IF(AND(C3&gt;=$CH$1,C3&lt;=$CH$2),$DR$3,IF(AND(C3&gt;=$CI$1,C3&lt;=$CI$2),$DS$3,IF(AND(C3&gt;=$CJ$1,C3&lt;=$CJ$2),$DT$3,IF(C3&lt;=$CK$2,$DU$3,"")))))))))</f>
        <v/>
      </c>
      <c r="AR3" s="46" t="str">
        <f t="shared" ref="AR3" si="16">IF(C3="","",IF(AA3&gt;=3,"",IF(AC3&gt;=2,"",IF(C3&gt;=$CF$2,$DV$3,IF(AND(C3&gt;=$CG$1,C3&lt;=$CG$2),$DW$3,IF(AND(C3&gt;=$CH$1,C3&lt;=$CH$2),$DX$3,IF(AND(C3&gt;=$CI$1,C3&lt;=$CI$2),$DY$3,IF(AND(C3&gt;=$CJ$1,C3&lt;=$CJ$2),$DZ$3,IF(C3&lt;=$CK$2,$EA$3,"")))))))))</f>
        <v/>
      </c>
      <c r="AS3" s="46" t="str">
        <f t="shared" ref="AS3" si="17">IF(C3="","",IF(AA3&gt;=3,"",IF(AC3&gt;=2,"",IF(C3&gt;=$CF$2,$EB$3,IF(AND(C3&gt;=$CG$1,C3&lt;=$CG$2),$EC$3,IF(AND(C3&gt;=$CH$1,C3&lt;=$CH$2),$ED$3,IF(AND(C3&gt;=$CI$1,C3&lt;=$CI$2),$EE$3,IF(AND(C3&gt;=$CJ$1,C3&lt;=$CJ$2),$EF$3,IF(C3&lt;=$CK$2,$EG$3,"")))))))))</f>
        <v/>
      </c>
      <c r="AT3" s="46" t="str">
        <f t="shared" ref="AT3" si="18">IF(C3="","",IF(AA3&gt;=3,"",IF(AC3&gt;=2,"",IF(C3&gt;=$CF$2,$EH$3,IF(AND(C3&gt;=$CG$1,C3&lt;=$CG$2),$EI$3,IF(AND(C3&gt;=$CH$1,C3&lt;=$CH$2),$EJ$3,IF(AND(C3&gt;=$CI$1,C3&lt;=$CI$2),$EK$3,IF(AND(C3&gt;=$CJ$1,C3&lt;=$CJ$2),$EL$3,IF(C3&lt;=$CK$2,$EM$3,"")))))))))</f>
        <v/>
      </c>
      <c r="AU3" s="46" t="str">
        <f t="shared" ref="AU3" si="19">IF(C3="","",IF(AA3&gt;=3,"",IF(AC3&gt;=2,"",IF(C3&gt;=$CF$2,$EN$3,IF(AND(C3&gt;=$CG$1,C3&lt;=$CG$2),$EO$3,IF(AND(C3&gt;=$CH$1,C3&lt;=$CH$2),$EP$3,IF(AND(C3&gt;=$CI$1,C3&lt;=$CI$2),$EQ$3,IF(AND(C3&gt;=$CJ$1,C3&lt;=$CJ$2),$ER$3,IF(C3&lt;=$CK$2,$ES$3,"")))))))))</f>
        <v/>
      </c>
      <c r="AV3" s="46" t="str">
        <f t="shared" ref="AV3" si="20">IF(C3="","",IF(AA3&gt;=3,"",IF(C3&gt;=$CG$1,$ET$3,IF(AND(C3&gt;=$CI$1,C3&lt;=$CH$2),$EU$3,IF(C3&lt;=$CJ$2,$EV$3,"")))))</f>
        <v/>
      </c>
      <c r="AW3" s="46" t="str">
        <f>IF(C3="","",IF(AND(D3="",E3="",G3="",H3="",I3="",J3=""),"ADAPTADO",""))</f>
        <v/>
      </c>
      <c r="AX3" s="48" t="s">
        <v>8</v>
      </c>
      <c r="AY3" s="49" t="s">
        <v>48</v>
      </c>
      <c r="AZ3" s="49" t="s">
        <v>49</v>
      </c>
      <c r="BA3" s="49" t="s">
        <v>50</v>
      </c>
      <c r="BB3" s="49" t="s">
        <v>51</v>
      </c>
      <c r="BC3" s="49" t="s">
        <v>53</v>
      </c>
      <c r="BD3" s="49" t="s">
        <v>52</v>
      </c>
      <c r="BE3" s="49" t="s">
        <v>54</v>
      </c>
      <c r="BF3" s="49" t="s">
        <v>55</v>
      </c>
      <c r="BG3" s="49" t="s">
        <v>56</v>
      </c>
      <c r="BH3" s="49" t="s">
        <v>57</v>
      </c>
      <c r="BI3" s="49" t="s">
        <v>722</v>
      </c>
      <c r="BJ3" s="49" t="s">
        <v>723</v>
      </c>
      <c r="BK3" s="50" t="s">
        <v>107</v>
      </c>
      <c r="BL3" s="50" t="s">
        <v>108</v>
      </c>
      <c r="BM3" s="50" t="s">
        <v>109</v>
      </c>
      <c r="BN3" s="50" t="s">
        <v>110</v>
      </c>
      <c r="BO3" s="50" t="s">
        <v>111</v>
      </c>
      <c r="BP3" s="50" t="s">
        <v>112</v>
      </c>
      <c r="BQ3" s="50" t="s">
        <v>113</v>
      </c>
      <c r="BR3" s="50" t="s">
        <v>114</v>
      </c>
      <c r="BS3" s="50" t="s">
        <v>115</v>
      </c>
      <c r="BT3" s="50" t="s">
        <v>116</v>
      </c>
      <c r="BU3" s="50" t="s">
        <v>117</v>
      </c>
      <c r="BV3" s="50" t="s">
        <v>118</v>
      </c>
      <c r="BW3" s="50" t="s">
        <v>119</v>
      </c>
      <c r="BX3" s="50" t="s">
        <v>120</v>
      </c>
      <c r="BY3" s="50" t="s">
        <v>121</v>
      </c>
      <c r="BZ3" s="50" t="s">
        <v>122</v>
      </c>
      <c r="CA3" s="50" t="s">
        <v>123</v>
      </c>
      <c r="CB3" s="50" t="s">
        <v>124</v>
      </c>
      <c r="CC3" s="50" t="s">
        <v>170</v>
      </c>
      <c r="CD3" s="50" t="s">
        <v>171</v>
      </c>
      <c r="CE3" s="50" t="s">
        <v>172</v>
      </c>
      <c r="CF3" s="51" t="s">
        <v>190</v>
      </c>
      <c r="CG3" s="51" t="s">
        <v>192</v>
      </c>
      <c r="CH3" s="51" t="s">
        <v>198</v>
      </c>
      <c r="CI3" s="51" t="s">
        <v>204</v>
      </c>
      <c r="CJ3" s="51" t="s">
        <v>210</v>
      </c>
      <c r="CK3" s="51" t="s">
        <v>216</v>
      </c>
      <c r="CL3" s="51" t="s">
        <v>301</v>
      </c>
      <c r="CM3" s="51" t="s">
        <v>302</v>
      </c>
      <c r="CN3" s="51" t="s">
        <v>303</v>
      </c>
      <c r="CO3" s="51" t="s">
        <v>304</v>
      </c>
      <c r="CP3" s="51" t="s">
        <v>305</v>
      </c>
      <c r="CQ3" s="51" t="s">
        <v>300</v>
      </c>
      <c r="CR3" s="51" t="s">
        <v>306</v>
      </c>
      <c r="CS3" s="51" t="s">
        <v>344</v>
      </c>
      <c r="CT3" s="51" t="s">
        <v>348</v>
      </c>
      <c r="CU3" s="51" t="s">
        <v>386</v>
      </c>
      <c r="CV3" s="51" t="s">
        <v>390</v>
      </c>
      <c r="CW3" s="51" t="s">
        <v>428</v>
      </c>
      <c r="CX3" s="51" t="s">
        <v>497</v>
      </c>
      <c r="CY3" s="51" t="s">
        <v>480</v>
      </c>
      <c r="CZ3" s="51" t="s">
        <v>473</v>
      </c>
      <c r="DA3" s="51" t="s">
        <v>456</v>
      </c>
      <c r="DB3" s="51" t="s">
        <v>449</v>
      </c>
      <c r="DC3" s="51" t="s">
        <v>432</v>
      </c>
      <c r="DD3" s="51" t="s">
        <v>661</v>
      </c>
      <c r="DE3" s="51" t="s">
        <v>662</v>
      </c>
      <c r="DF3" s="51" t="s">
        <v>663</v>
      </c>
      <c r="DG3" s="51" t="s">
        <v>664</v>
      </c>
      <c r="DH3" s="51" t="s">
        <v>665</v>
      </c>
      <c r="DI3" s="51" t="s">
        <v>666</v>
      </c>
      <c r="DJ3" s="51" t="s">
        <v>310</v>
      </c>
      <c r="DK3" s="51" t="s">
        <v>341</v>
      </c>
      <c r="DL3" s="51" t="s">
        <v>352</v>
      </c>
      <c r="DM3" s="51" t="s">
        <v>383</v>
      </c>
      <c r="DN3" s="51" t="s">
        <v>394</v>
      </c>
      <c r="DO3" s="51" t="s">
        <v>425</v>
      </c>
      <c r="DP3" s="51" t="s">
        <v>313</v>
      </c>
      <c r="DQ3" s="51" t="s">
        <v>337</v>
      </c>
      <c r="DR3" s="51" t="s">
        <v>355</v>
      </c>
      <c r="DS3" s="51" t="s">
        <v>379</v>
      </c>
      <c r="DT3" s="51" t="s">
        <v>397</v>
      </c>
      <c r="DU3" s="51" t="s">
        <v>421</v>
      </c>
      <c r="DV3" s="51" t="s">
        <v>317</v>
      </c>
      <c r="DW3" s="51" t="s">
        <v>333</v>
      </c>
      <c r="DX3" s="51" t="s">
        <v>359</v>
      </c>
      <c r="DY3" s="51" t="s">
        <v>375</v>
      </c>
      <c r="DZ3" s="51" t="s">
        <v>401</v>
      </c>
      <c r="EA3" s="51" t="s">
        <v>417</v>
      </c>
      <c r="EB3" s="51" t="s">
        <v>321</v>
      </c>
      <c r="EC3" s="51" t="s">
        <v>330</v>
      </c>
      <c r="ED3" s="51" t="s">
        <v>363</v>
      </c>
      <c r="EE3" s="51" t="s">
        <v>372</v>
      </c>
      <c r="EF3" s="51" t="s">
        <v>405</v>
      </c>
      <c r="EG3" s="51" t="s">
        <v>414</v>
      </c>
      <c r="EH3" s="51" t="s">
        <v>671</v>
      </c>
      <c r="EI3" s="51" t="s">
        <v>672</v>
      </c>
      <c r="EJ3" s="51" t="s">
        <v>673</v>
      </c>
      <c r="EK3" s="51" t="s">
        <v>674</v>
      </c>
      <c r="EL3" s="51" t="s">
        <v>675</v>
      </c>
      <c r="EM3" s="51" t="s">
        <v>676</v>
      </c>
      <c r="EN3" s="51" t="s">
        <v>592</v>
      </c>
      <c r="EO3" s="51" t="s">
        <v>593</v>
      </c>
      <c r="EP3" s="51" t="s">
        <v>594</v>
      </c>
      <c r="EQ3" s="51" t="s">
        <v>595</v>
      </c>
      <c r="ER3" s="51" t="s">
        <v>596</v>
      </c>
      <c r="ES3" s="51" t="s">
        <v>597</v>
      </c>
      <c r="ET3" s="51" t="s">
        <v>504</v>
      </c>
      <c r="EU3" s="51" t="s">
        <v>505</v>
      </c>
      <c r="EV3" s="51" t="s">
        <v>506</v>
      </c>
      <c r="EW3" s="51" t="s">
        <v>529</v>
      </c>
      <c r="EX3" s="20"/>
    </row>
    <row r="4" spans="1:154">
      <c r="B4" s="1"/>
      <c r="C4" s="2"/>
      <c r="D4" s="34"/>
      <c r="E4" s="34"/>
      <c r="F4" s="34"/>
      <c r="G4" s="34"/>
      <c r="H4" s="4"/>
      <c r="I4" s="4"/>
      <c r="J4" s="4"/>
      <c r="K4" s="3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37"/>
      <c r="X4" s="1"/>
      <c r="Y4" s="18"/>
      <c r="Z4" s="21"/>
      <c r="AA4" s="10">
        <f t="shared" ref="AA4:AA67" si="21">COUNTA(K4:V4)</f>
        <v>0</v>
      </c>
      <c r="AB4" s="10">
        <f t="shared" ref="AB4:AB67" si="22">COUNTA(K4:P4)</f>
        <v>0</v>
      </c>
      <c r="AC4" s="10">
        <f t="shared" ref="AC4:AC67" si="23">COUNTA(Q4:U4)</f>
        <v>0</v>
      </c>
      <c r="AD4" s="46" t="str">
        <f t="shared" ref="AD4:AD67" si="24">IF(AND(B4="Feminino",C4&gt;=$AY$2,C4&lt;=$AZ$2),$AY$3,IF(AND(B4="Masculino",C4&gt;=$AY$2,C4&lt;=$AZ$2),$AZ$3,IF(AND(B4="Feminino",C4&gt;=$BA$2,C4&lt;=$BB$2),$BA$3,IF(AND(B4="Masculino",C4&gt;=$BA$2,C4&lt;=$BB$2),$BB$3,IF(AND(B4="Feminino",C4&gt;=$BC$2,C4&lt;=$BD$2),$BC$3,IF(AND(B4="Masculino",C4&gt;=$BC$2,C4&lt;=$BD$2),$BD$3,""))))))</f>
        <v/>
      </c>
      <c r="AE4" s="46" t="str">
        <f t="shared" ref="AE4:AE67" si="25">IF(AND(B4="Feminino",C4&gt;=$BA$2,C4&lt;=$BB$2),$BE$3,IF(AND(B4="Masculino",C4&gt;=$BA$2,C4&lt;=$BB$2),$BF$3,IF(AND(B4="Feminino",C4&lt;=$BD$2),$BG$3,IF(AND(B4="Masculino",C4&lt;=$BD$2),$BH$3,""))))</f>
        <v/>
      </c>
      <c r="AF4" s="46" t="str">
        <f t="shared" ref="AF4:AF67" si="26">IF(AND(B4="Feminino",C4&gt;=$BI$2,C4&lt;=$BJ$2),$BI$3,IF(AND(B4="Masculino",C4&gt;=$BI$2,C4&lt;=$BJ$2),$BJ$3,""))</f>
        <v/>
      </c>
      <c r="AG4" s="46" t="str">
        <f t="shared" ref="AG4:AG67" si="27">IF(C4="","",IF(C4&gt;=$BK$2,$BK$3,IF(AND(C4&gt;=$BL$1,C4&lt;=$BL$2),$BL$3,IF(AND(C4&gt;=$BM$1,C4&lt;=$BM$2),$BM$3,IF(AND(C4&gt;=$BN$1,C4&lt;=$BN$2),$BN$3,IF(AND(C4&gt;=$BO$1,C4&lt;=$BO$2),$BO$3,IF(C4&lt;=$BP$2,$BP$3,"")))))))</f>
        <v/>
      </c>
      <c r="AH4" s="46" t="str">
        <f t="shared" ref="AH4:AH67" si="28">IF(C4="","",IF(C4&gt;=$BK$2,$BQ$3,IF(AND(C4&gt;=$BL$1,C4&lt;=$BL$2),$BR$3,IF(AND(C4&gt;=$BM$1,C4&lt;=$BM$2),$BS$3,IF(AND(C4&gt;=$BN$1,C4&lt;=$BN$2),$BT$3,IF(AND(C4&gt;=$BO$1,C4&lt;=$BO$2),$BU$3,IF(C4&lt;=$BP$2,$BV$3,"")))))))</f>
        <v/>
      </c>
      <c r="AI4" s="46" t="str">
        <f t="shared" ref="AI4:AI67" si="29">IF(C4="","",IF(C4&gt;=$BK$2,$BW$3,IF(AND(C4&gt;=$BL$1,C4&lt;=$BL$2),$BX$3,IF(AND(C4&gt;=$BM$1,C4&lt;=$BM$2),$BY$3,IF(AND(C4&gt;=$BN$1,C4&lt;=$BN$2),$BZ$3,IF(AND(C4&gt;=$BO$1,C4&lt;=$BO$2),$CA$3,IF(C4&lt;=$BP$2,$CB$3,"")))))))</f>
        <v/>
      </c>
      <c r="AJ4" s="46" t="str">
        <f t="shared" ref="AJ4:AJ67" si="30">IF(C4="","",IF(AND(C4&gt;=$BN$1,C4&lt;=$BN$2),$CC$3,IF(AND(C4&gt;=$BO$1,C4&lt;=$BO$2),$CD$3,IF(C4&lt;=$BP$2,$CE$3,""))))</f>
        <v/>
      </c>
      <c r="AK4" s="46" t="str">
        <f t="shared" ref="AK4:AK67" si="31">IF(C4="","",IF(AA4&gt;=3,"",IF(AB4&gt;=2,"",IF(C4&gt;=$CF$2,$CF$3,IF(AND(C4&gt;=$CG$1,C4&lt;=$CG$2),$CG$3,IF(AND(C4&gt;=$CH$1,C4&lt;=$CH$2),$CH$3,IF(AND(C4&gt;=$CI$1,C4&lt;=$CI$2),$CI$3,IF(AND(C4&gt;=$CJ$1,C4&lt;=$CJ$2),$CJ$3,IF(C4&lt;=$CK$2,$CK$3,"")))))))))</f>
        <v/>
      </c>
      <c r="AL4" s="46" t="str">
        <f t="shared" ref="AL4:AL67" si="32">IF(C4="","",IF(AA4&gt;=3,"",IF(AB4&gt;=2,"",IF(C4&gt;=$CF$2,$CL$3,IF(AND(C4&gt;=$CG$1,C4&lt;=$CG$2),$CM$3,IF(AND(C4&gt;=$CH$1,C4&lt;=$CH$2),$CN$3,IF(AND(C4&gt;=$CI$1,C4&lt;=$CI$2),$CO$3,IF(AND(C4&gt;=$CJ$1,C4&lt;=$CJ$2),$CP$3,IF(C4&lt;=$CK$2,$CQ$3,"")))))))))</f>
        <v/>
      </c>
      <c r="AM4" s="46" t="str">
        <f t="shared" ref="AM4:AM67" si="33">IF(C4="","",IF(AA4&gt;=3,"",IF(AB4&gt;=2,"",IF(C4&gt;=$CF$2,$CR$3,IF(AND(C4&gt;=$CG$1,C4&lt;=$CG$2),$CS$3,IF(AND(C4&gt;=$CH$1,C4&lt;=$CH$2),$CT$3,IF(AND(C4&gt;=$CI$1,C4&lt;=$CI$2),$CU$3,IF(AND(C4&gt;=$CJ$1,C4&lt;=$CJ$2),$CV$3,IF(C4&lt;=$CK$2,$CW$3,"")))))))))</f>
        <v/>
      </c>
      <c r="AN4" s="46" t="str">
        <f t="shared" ref="AN4:AN67" si="34">IF(C4="","",IF(AA4&gt;=3,"",IF(AB4&gt;=2,"",IF(C4&gt;=$CF$2,$CX$3,IF(AND(C4&gt;=$CG$1,C4&lt;=$CG$2),$CY$3,IF(AND(C4&gt;=$CH$1,C4&lt;=$CH$2),$CZ$3,IF(AND(C4&gt;=$CI$1,C4&lt;=$CI$2),$DA$3,IF(AND(C4&gt;=$CJ$1,C4&lt;=$CJ$2),$DB$3,IF(C4&lt;=$CK$2,$DC$3,"")))))))))</f>
        <v/>
      </c>
      <c r="AO4" s="46" t="str">
        <f t="shared" ref="AO4:AO67" si="35">IF(C4="","",IF(AA4&gt;=3,"",IF(AB4&gt;=2,"",IF(C4&gt;=$CF$2,$DD$3,IF(AND(C4&gt;=$CG$1,C4&lt;=$CG$2),$DE$3,IF(AND(C4&gt;=$CH$1,C4&lt;=$CH$2),$DF$3,IF(AND(C4&gt;=$CI$1,C4&lt;=$CI$2),$DG$3,IF(AND(C4&gt;=$CJ$1,C4&lt;=$CJ$2),$DH$3,IF(C4&lt;=$CK$2,$DI$3,"")))))))))</f>
        <v/>
      </c>
      <c r="AP4" s="46" t="str">
        <f t="shared" ref="AP4:AP67" si="36">IF(C4="","",IF(AA4&gt;=3,"",IF(AB4&gt;=2,"",IF(C4&gt;=$CF$2,$DJ$3,IF(AND(C4&gt;=$CG$1,C4&lt;=$CG$2),$DK$3,IF(AND(C4&gt;=$CH$1,C4&lt;=$CH$2),$DL$3,IF(AND(C4&gt;=$CI$1,C4&lt;=$CI$2),$DM$3,IF(AND(C4&gt;=$CJ$1,C4&lt;=$CJ$2),$DN$3,IF(C4&lt;=$CK$2,$DO$3,"")))))))))</f>
        <v/>
      </c>
      <c r="AQ4" s="46" t="str">
        <f t="shared" ref="AQ4:AQ67" si="37">IF(C4="","",IF(AA4&gt;=3,"",IF(AC4&gt;=2,"",IF(C4&gt;=$CF$2,$DP$3,IF(AND(C4&gt;=$CG$1,C4&lt;=$CG$2),$DQ$3,IF(AND(C4&gt;=$CH$1,C4&lt;=$CH$2),$DR$3,IF(AND(C4&gt;=$CI$1,C4&lt;=$CI$2),$DS$3,IF(AND(C4&gt;=$CJ$1,C4&lt;=$CJ$2),$DT$3,IF(C4&lt;=$CK$2,$DU$3,"")))))))))</f>
        <v/>
      </c>
      <c r="AR4" s="46" t="str">
        <f t="shared" ref="AR4:AR67" si="38">IF(C4="","",IF(AA4&gt;=3,"",IF(AC4&gt;=2,"",IF(C4&gt;=$CF$2,$DV$3,IF(AND(C4&gt;=$CG$1,C4&lt;=$CG$2),$DW$3,IF(AND(C4&gt;=$CH$1,C4&lt;=$CH$2),$DX$3,IF(AND(C4&gt;=$CI$1,C4&lt;=$CI$2),$DY$3,IF(AND(C4&gt;=$CJ$1,C4&lt;=$CJ$2),$DZ$3,IF(C4&lt;=$CK$2,$EA$3,"")))))))))</f>
        <v/>
      </c>
      <c r="AS4" s="46" t="str">
        <f t="shared" ref="AS4:AS67" si="39">IF(C4="","",IF(AA4&gt;=3,"",IF(AC4&gt;=2,"",IF(C4&gt;=$CF$2,$EB$3,IF(AND(C4&gt;=$CG$1,C4&lt;=$CG$2),$EC$3,IF(AND(C4&gt;=$CH$1,C4&lt;=$CH$2),$ED$3,IF(AND(C4&gt;=$CI$1,C4&lt;=$CI$2),$EE$3,IF(AND(C4&gt;=$CJ$1,C4&lt;=$CJ$2),$EF$3,IF(C4&lt;=$CK$2,$EG$3,"")))))))))</f>
        <v/>
      </c>
      <c r="AT4" s="46" t="str">
        <f t="shared" ref="AT4:AT67" si="40">IF(C4="","",IF(AA4&gt;=3,"",IF(AC4&gt;=2,"",IF(C4&gt;=$CF$2,$EH$3,IF(AND(C4&gt;=$CG$1,C4&lt;=$CG$2),$EI$3,IF(AND(C4&gt;=$CH$1,C4&lt;=$CH$2),$EJ$3,IF(AND(C4&gt;=$CI$1,C4&lt;=$CI$2),$EK$3,IF(AND(C4&gt;=$CJ$1,C4&lt;=$CJ$2),$EL$3,IF(C4&lt;=$CK$2,$EM$3,"")))))))))</f>
        <v/>
      </c>
      <c r="AU4" s="46" t="str">
        <f t="shared" ref="AU4:AU67" si="41">IF(C4="","",IF(AA4&gt;=3,"",IF(AC4&gt;=2,"",IF(C4&gt;=$CF$2,$EN$3,IF(AND(C4&gt;=$CG$1,C4&lt;=$CG$2),$EO$3,IF(AND(C4&gt;=$CH$1,C4&lt;=$CH$2),$EP$3,IF(AND(C4&gt;=$CI$1,C4&lt;=$CI$2),$EQ$3,IF(AND(C4&gt;=$CJ$1,C4&lt;=$CJ$2),$ER$3,IF(C4&lt;=$CK$2,$ES$3,"")))))))))</f>
        <v/>
      </c>
      <c r="AV4" s="46" t="str">
        <f t="shared" ref="AV4:AV67" si="42">IF(C4="","",IF(AA4&gt;=3,"",IF(C4&gt;=$CG$1,$ET$3,IF(AND(C4&gt;=$CI$1,C4&lt;=$CH$2),$EU$3,IF(C4&lt;=$CJ$2,$EV$3,"")))))</f>
        <v/>
      </c>
      <c r="AW4" s="46" t="str">
        <f>IF(C4="","",IF(AND(D4="",E4="",G4="",H4="",I4="",J4=""),"ADAPTADO",""))</f>
        <v/>
      </c>
      <c r="AX4" s="52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46"/>
      <c r="EV4" s="46"/>
      <c r="EW4" s="46"/>
      <c r="EX4" s="20"/>
    </row>
    <row r="5" spans="1:154">
      <c r="B5" s="1"/>
      <c r="C5" s="2"/>
      <c r="D5" s="34"/>
      <c r="E5" s="34"/>
      <c r="F5" s="34"/>
      <c r="G5" s="34"/>
      <c r="H5" s="4"/>
      <c r="I5" s="4"/>
      <c r="J5" s="4"/>
      <c r="K5" s="3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7"/>
      <c r="X5" s="1"/>
      <c r="Y5" s="18">
        <f t="shared" ref="Y5:Y67" si="43">COUNTA(D5:V5)-X5</f>
        <v>0</v>
      </c>
      <c r="Z5" s="21"/>
      <c r="AA5" s="10">
        <f t="shared" si="21"/>
        <v>0</v>
      </c>
      <c r="AB5" s="10">
        <f t="shared" si="22"/>
        <v>0</v>
      </c>
      <c r="AC5" s="10">
        <f t="shared" si="23"/>
        <v>0</v>
      </c>
      <c r="AD5" s="46" t="str">
        <f t="shared" si="24"/>
        <v/>
      </c>
      <c r="AE5" s="46" t="str">
        <f t="shared" si="25"/>
        <v/>
      </c>
      <c r="AF5" s="46" t="str">
        <f t="shared" si="26"/>
        <v/>
      </c>
      <c r="AG5" s="46" t="str">
        <f t="shared" si="27"/>
        <v/>
      </c>
      <c r="AH5" s="46" t="str">
        <f t="shared" si="28"/>
        <v/>
      </c>
      <c r="AI5" s="46" t="str">
        <f t="shared" si="29"/>
        <v/>
      </c>
      <c r="AJ5" s="46" t="str">
        <f t="shared" si="30"/>
        <v/>
      </c>
      <c r="AK5" s="46" t="str">
        <f t="shared" si="31"/>
        <v/>
      </c>
      <c r="AL5" s="46" t="str">
        <f t="shared" si="32"/>
        <v/>
      </c>
      <c r="AM5" s="46" t="str">
        <f t="shared" si="33"/>
        <v/>
      </c>
      <c r="AN5" s="46" t="str">
        <f t="shared" si="34"/>
        <v/>
      </c>
      <c r="AO5" s="46" t="str">
        <f t="shared" si="35"/>
        <v/>
      </c>
      <c r="AP5" s="46" t="str">
        <f t="shared" si="36"/>
        <v/>
      </c>
      <c r="AQ5" s="46" t="str">
        <f t="shared" si="37"/>
        <v/>
      </c>
      <c r="AR5" s="46" t="str">
        <f t="shared" si="38"/>
        <v/>
      </c>
      <c r="AS5" s="46" t="str">
        <f t="shared" si="39"/>
        <v/>
      </c>
      <c r="AT5" s="46" t="str">
        <f t="shared" si="40"/>
        <v/>
      </c>
      <c r="AU5" s="46" t="str">
        <f t="shared" si="41"/>
        <v/>
      </c>
      <c r="AV5" s="46" t="str">
        <f t="shared" si="42"/>
        <v/>
      </c>
      <c r="AW5" s="46" t="str">
        <f t="shared" ref="AW5:AW67" si="44">IF(C5="","",IF(AND(D5="",E5="",G5="",H5="",I5="",J5=""),"ADAPTADO",""))</f>
        <v/>
      </c>
      <c r="AX5" s="52" t="s">
        <v>46</v>
      </c>
      <c r="AY5" s="52" t="s">
        <v>58</v>
      </c>
      <c r="AZ5" s="52" t="s">
        <v>58</v>
      </c>
      <c r="BA5" s="52" t="s">
        <v>59</v>
      </c>
      <c r="BB5" s="52" t="s">
        <v>59</v>
      </c>
      <c r="BC5" s="52" t="s">
        <v>60</v>
      </c>
      <c r="BD5" s="52" t="s">
        <v>60</v>
      </c>
      <c r="BE5" s="52" t="s">
        <v>84</v>
      </c>
      <c r="BF5" s="52" t="s">
        <v>59</v>
      </c>
      <c r="BG5" s="52" t="s">
        <v>60</v>
      </c>
      <c r="BH5" s="52" t="s">
        <v>63</v>
      </c>
      <c r="BI5" s="52" t="s">
        <v>60</v>
      </c>
      <c r="BJ5" s="52" t="s">
        <v>63</v>
      </c>
      <c r="BK5" s="52" t="s">
        <v>91</v>
      </c>
      <c r="BL5" s="52" t="s">
        <v>91</v>
      </c>
      <c r="BM5" s="52" t="s">
        <v>94</v>
      </c>
      <c r="BN5" s="52" t="s">
        <v>168</v>
      </c>
      <c r="BO5" s="52" t="s">
        <v>167</v>
      </c>
      <c r="BP5" s="52" t="s">
        <v>101</v>
      </c>
      <c r="BQ5" s="52" t="s">
        <v>125</v>
      </c>
      <c r="BR5" s="52" t="s">
        <v>125</v>
      </c>
      <c r="BS5" s="52" t="s">
        <v>129</v>
      </c>
      <c r="BT5" s="52" t="s">
        <v>133</v>
      </c>
      <c r="BU5" s="52" t="s">
        <v>137</v>
      </c>
      <c r="BV5" s="52" t="s">
        <v>141</v>
      </c>
      <c r="BW5" s="52" t="s">
        <v>149</v>
      </c>
      <c r="BX5" s="52" t="s">
        <v>149</v>
      </c>
      <c r="BY5" s="52" t="s">
        <v>150</v>
      </c>
      <c r="BZ5" s="52" t="s">
        <v>165</v>
      </c>
      <c r="CA5" s="52" t="s">
        <v>166</v>
      </c>
      <c r="CB5" s="52" t="s">
        <v>151</v>
      </c>
      <c r="CC5" s="52" t="s">
        <v>173</v>
      </c>
      <c r="CD5" s="52" t="s">
        <v>175</v>
      </c>
      <c r="CE5" s="52" t="s">
        <v>177</v>
      </c>
      <c r="CF5" s="53" t="s">
        <v>185</v>
      </c>
      <c r="CG5" s="53" t="s">
        <v>194</v>
      </c>
      <c r="CH5" s="53" t="s">
        <v>199</v>
      </c>
      <c r="CI5" s="53" t="s">
        <v>205</v>
      </c>
      <c r="CJ5" s="53" t="s">
        <v>211</v>
      </c>
      <c r="CK5" s="53" t="s">
        <v>217</v>
      </c>
      <c r="CL5" s="53" t="s">
        <v>222</v>
      </c>
      <c r="CM5" s="53" t="s">
        <v>235</v>
      </c>
      <c r="CN5" s="53" t="s">
        <v>248</v>
      </c>
      <c r="CO5" s="53" t="s">
        <v>261</v>
      </c>
      <c r="CP5" s="53" t="s">
        <v>274</v>
      </c>
      <c r="CQ5" s="53" t="s">
        <v>287</v>
      </c>
      <c r="CR5" s="53" t="s">
        <v>307</v>
      </c>
      <c r="CS5" s="53" t="s">
        <v>345</v>
      </c>
      <c r="CT5" s="53" t="s">
        <v>349</v>
      </c>
      <c r="CU5" s="53" t="s">
        <v>387</v>
      </c>
      <c r="CV5" s="53" t="s">
        <v>391</v>
      </c>
      <c r="CW5" s="53" t="s">
        <v>429</v>
      </c>
      <c r="CX5" s="53" t="s">
        <v>503</v>
      </c>
      <c r="CY5" s="53" t="s">
        <v>481</v>
      </c>
      <c r="CZ5" s="53" t="s">
        <v>474</v>
      </c>
      <c r="DA5" s="53" t="s">
        <v>457</v>
      </c>
      <c r="DB5" s="53" t="s">
        <v>450</v>
      </c>
      <c r="DC5" s="53" t="s">
        <v>433</v>
      </c>
      <c r="DD5" s="53" t="s">
        <v>626</v>
      </c>
      <c r="DE5" s="53" t="s">
        <v>628</v>
      </c>
      <c r="DF5" s="53" t="s">
        <v>637</v>
      </c>
      <c r="DG5" s="53" t="s">
        <v>643</v>
      </c>
      <c r="DH5" s="53" t="s">
        <v>649</v>
      </c>
      <c r="DI5" s="53" t="s">
        <v>655</v>
      </c>
      <c r="DJ5" s="53" t="s">
        <v>311</v>
      </c>
      <c r="DK5" s="53" t="s">
        <v>342</v>
      </c>
      <c r="DL5" s="53" t="s">
        <v>353</v>
      </c>
      <c r="DM5" s="53" t="s">
        <v>384</v>
      </c>
      <c r="DN5" s="53" t="s">
        <v>395</v>
      </c>
      <c r="DO5" s="53" t="s">
        <v>426</v>
      </c>
      <c r="DP5" s="53" t="s">
        <v>314</v>
      </c>
      <c r="DQ5" s="53" t="s">
        <v>338</v>
      </c>
      <c r="DR5" s="53" t="s">
        <v>356</v>
      </c>
      <c r="DS5" s="53" t="s">
        <v>380</v>
      </c>
      <c r="DT5" s="53" t="s">
        <v>398</v>
      </c>
      <c r="DU5" s="53" t="s">
        <v>422</v>
      </c>
      <c r="DV5" s="53" t="s">
        <v>318</v>
      </c>
      <c r="DW5" s="53" t="s">
        <v>334</v>
      </c>
      <c r="DX5" s="53" t="s">
        <v>360</v>
      </c>
      <c r="DY5" s="53" t="s">
        <v>376</v>
      </c>
      <c r="DZ5" s="53" t="s">
        <v>402</v>
      </c>
      <c r="EA5" s="53" t="s">
        <v>418</v>
      </c>
      <c r="EB5" s="53" t="s">
        <v>322</v>
      </c>
      <c r="EC5" s="53" t="s">
        <v>331</v>
      </c>
      <c r="ED5" s="53" t="s">
        <v>364</v>
      </c>
      <c r="EE5" s="53" t="s">
        <v>373</v>
      </c>
      <c r="EF5" s="53" t="s">
        <v>406</v>
      </c>
      <c r="EG5" s="53" t="s">
        <v>415</v>
      </c>
      <c r="EH5" s="53" t="s">
        <v>670</v>
      </c>
      <c r="EI5" s="53" t="s">
        <v>683</v>
      </c>
      <c r="EJ5" s="53" t="s">
        <v>690</v>
      </c>
      <c r="EK5" s="53" t="s">
        <v>697</v>
      </c>
      <c r="EL5" s="53" t="s">
        <v>704</v>
      </c>
      <c r="EM5" s="53" t="s">
        <v>711</v>
      </c>
      <c r="EN5" s="53" t="s">
        <v>324</v>
      </c>
      <c r="EO5" s="53" t="s">
        <v>327</v>
      </c>
      <c r="EP5" s="53" t="s">
        <v>366</v>
      </c>
      <c r="EQ5" s="53" t="s">
        <v>369</v>
      </c>
      <c r="ER5" s="53" t="s">
        <v>408</v>
      </c>
      <c r="ES5" s="53" t="s">
        <v>411</v>
      </c>
      <c r="ET5" s="52" t="s">
        <v>507</v>
      </c>
      <c r="EU5" s="52" t="s">
        <v>515</v>
      </c>
      <c r="EV5" s="52" t="s">
        <v>521</v>
      </c>
      <c r="EW5" s="52" t="s">
        <v>580</v>
      </c>
      <c r="EX5" s="20"/>
    </row>
    <row r="6" spans="1:154">
      <c r="B6" s="1"/>
      <c r="C6" s="2"/>
      <c r="D6" s="34"/>
      <c r="E6" s="34"/>
      <c r="F6" s="34"/>
      <c r="G6" s="34"/>
      <c r="H6" s="4"/>
      <c r="I6" s="4"/>
      <c r="J6" s="4"/>
      <c r="K6" s="3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37"/>
      <c r="X6" s="1"/>
      <c r="Y6" s="18"/>
      <c r="Z6" s="21"/>
      <c r="AA6" s="10">
        <f t="shared" si="21"/>
        <v>0</v>
      </c>
      <c r="AB6" s="10">
        <f t="shared" si="22"/>
        <v>0</v>
      </c>
      <c r="AC6" s="10">
        <f t="shared" si="23"/>
        <v>0</v>
      </c>
      <c r="AD6" s="46" t="str">
        <f t="shared" si="24"/>
        <v/>
      </c>
      <c r="AE6" s="46" t="str">
        <f t="shared" si="25"/>
        <v/>
      </c>
      <c r="AF6" s="46" t="str">
        <f t="shared" si="26"/>
        <v/>
      </c>
      <c r="AG6" s="46" t="str">
        <f t="shared" si="27"/>
        <v/>
      </c>
      <c r="AH6" s="46" t="str">
        <f t="shared" si="28"/>
        <v/>
      </c>
      <c r="AI6" s="46" t="str">
        <f t="shared" si="29"/>
        <v/>
      </c>
      <c r="AJ6" s="46" t="str">
        <f t="shared" si="30"/>
        <v/>
      </c>
      <c r="AK6" s="46" t="str">
        <f t="shared" si="31"/>
        <v/>
      </c>
      <c r="AL6" s="46" t="str">
        <f t="shared" si="32"/>
        <v/>
      </c>
      <c r="AM6" s="46" t="str">
        <f t="shared" si="33"/>
        <v/>
      </c>
      <c r="AN6" s="46" t="str">
        <f t="shared" si="34"/>
        <v/>
      </c>
      <c r="AO6" s="46" t="str">
        <f t="shared" si="35"/>
        <v/>
      </c>
      <c r="AP6" s="46" t="str">
        <f t="shared" si="36"/>
        <v/>
      </c>
      <c r="AQ6" s="46" t="str">
        <f t="shared" si="37"/>
        <v/>
      </c>
      <c r="AR6" s="46" t="str">
        <f t="shared" si="38"/>
        <v/>
      </c>
      <c r="AS6" s="46" t="str">
        <f t="shared" si="39"/>
        <v/>
      </c>
      <c r="AT6" s="46" t="str">
        <f t="shared" si="40"/>
        <v/>
      </c>
      <c r="AU6" s="46" t="str">
        <f t="shared" si="41"/>
        <v/>
      </c>
      <c r="AV6" s="46" t="str">
        <f t="shared" si="42"/>
        <v/>
      </c>
      <c r="AW6" s="46" t="str">
        <f t="shared" si="44"/>
        <v/>
      </c>
      <c r="AX6" s="52" t="s">
        <v>47</v>
      </c>
      <c r="AY6" s="52" t="s">
        <v>61</v>
      </c>
      <c r="AZ6" s="52" t="s">
        <v>61</v>
      </c>
      <c r="BA6" s="52" t="s">
        <v>62</v>
      </c>
      <c r="BB6" s="52" t="s">
        <v>62</v>
      </c>
      <c r="BC6" s="52" t="s">
        <v>63</v>
      </c>
      <c r="BD6" s="52" t="s">
        <v>63</v>
      </c>
      <c r="BE6" s="52" t="s">
        <v>59</v>
      </c>
      <c r="BF6" s="52" t="s">
        <v>62</v>
      </c>
      <c r="BG6" s="52" t="s">
        <v>63</v>
      </c>
      <c r="BH6" s="52" t="s">
        <v>66</v>
      </c>
      <c r="BI6" s="52" t="s">
        <v>66</v>
      </c>
      <c r="BJ6" s="52" t="s">
        <v>69</v>
      </c>
      <c r="BK6" s="52" t="s">
        <v>92</v>
      </c>
      <c r="BL6" s="52" t="s">
        <v>92</v>
      </c>
      <c r="BM6" s="52" t="s">
        <v>95</v>
      </c>
      <c r="BN6" s="52" t="s">
        <v>97</v>
      </c>
      <c r="BO6" s="52" t="s">
        <v>99</v>
      </c>
      <c r="BP6" s="52" t="s">
        <v>102</v>
      </c>
      <c r="BQ6" s="52" t="s">
        <v>127</v>
      </c>
      <c r="BR6" s="52" t="s">
        <v>127</v>
      </c>
      <c r="BS6" s="52" t="s">
        <v>130</v>
      </c>
      <c r="BT6" s="52" t="s">
        <v>134</v>
      </c>
      <c r="BU6" s="52" t="s">
        <v>138</v>
      </c>
      <c r="BV6" s="52" t="s">
        <v>142</v>
      </c>
      <c r="BW6" s="52" t="s">
        <v>153</v>
      </c>
      <c r="BX6" s="52" t="s">
        <v>153</v>
      </c>
      <c r="BY6" s="52" t="s">
        <v>154</v>
      </c>
      <c r="BZ6" s="52" t="s">
        <v>155</v>
      </c>
      <c r="CA6" s="52" t="s">
        <v>156</v>
      </c>
      <c r="CB6" s="52" t="s">
        <v>157</v>
      </c>
      <c r="CC6" s="52" t="s">
        <v>174</v>
      </c>
      <c r="CD6" s="52" t="s">
        <v>176</v>
      </c>
      <c r="CE6" s="52" t="s">
        <v>178</v>
      </c>
      <c r="CF6" s="53" t="s">
        <v>186</v>
      </c>
      <c r="CG6" s="53" t="s">
        <v>195</v>
      </c>
      <c r="CH6" s="53" t="s">
        <v>200</v>
      </c>
      <c r="CI6" s="53" t="s">
        <v>206</v>
      </c>
      <c r="CJ6" s="53" t="s">
        <v>213</v>
      </c>
      <c r="CK6" s="53" t="s">
        <v>218</v>
      </c>
      <c r="CL6" s="53" t="s">
        <v>223</v>
      </c>
      <c r="CM6" s="53" t="s">
        <v>236</v>
      </c>
      <c r="CN6" s="53" t="s">
        <v>249</v>
      </c>
      <c r="CO6" s="53" t="s">
        <v>262</v>
      </c>
      <c r="CP6" s="53" t="s">
        <v>275</v>
      </c>
      <c r="CQ6" s="53" t="s">
        <v>288</v>
      </c>
      <c r="CR6" s="53" t="s">
        <v>308</v>
      </c>
      <c r="CS6" s="53" t="s">
        <v>346</v>
      </c>
      <c r="CT6" s="53" t="s">
        <v>350</v>
      </c>
      <c r="CU6" s="53" t="s">
        <v>388</v>
      </c>
      <c r="CV6" s="53" t="s">
        <v>392</v>
      </c>
      <c r="CW6" s="53" t="s">
        <v>430</v>
      </c>
      <c r="CX6" s="53" t="s">
        <v>502</v>
      </c>
      <c r="CY6" s="53" t="s">
        <v>482</v>
      </c>
      <c r="CZ6" s="53" t="s">
        <v>475</v>
      </c>
      <c r="DA6" s="53" t="s">
        <v>458</v>
      </c>
      <c r="DB6" s="53" t="s">
        <v>451</v>
      </c>
      <c r="DC6" s="53" t="s">
        <v>434</v>
      </c>
      <c r="DD6" s="54" t="s">
        <v>625</v>
      </c>
      <c r="DE6" s="54" t="s">
        <v>629</v>
      </c>
      <c r="DF6" s="54" t="s">
        <v>638</v>
      </c>
      <c r="DG6" s="54" t="s">
        <v>644</v>
      </c>
      <c r="DH6" s="54" t="s">
        <v>650</v>
      </c>
      <c r="DI6" s="54" t="s">
        <v>656</v>
      </c>
      <c r="DJ6" s="53" t="s">
        <v>726</v>
      </c>
      <c r="DK6" s="53" t="s">
        <v>727</v>
      </c>
      <c r="DL6" s="53" t="s">
        <v>728</v>
      </c>
      <c r="DM6" s="53" t="s">
        <v>729</v>
      </c>
      <c r="DN6" s="53" t="s">
        <v>730</v>
      </c>
      <c r="DO6" s="53" t="s">
        <v>731</v>
      </c>
      <c r="DP6" s="53" t="s">
        <v>315</v>
      </c>
      <c r="DQ6" s="53" t="s">
        <v>339</v>
      </c>
      <c r="DR6" s="53" t="s">
        <v>357</v>
      </c>
      <c r="DS6" s="53" t="s">
        <v>381</v>
      </c>
      <c r="DT6" s="53" t="s">
        <v>399</v>
      </c>
      <c r="DU6" s="53" t="s">
        <v>423</v>
      </c>
      <c r="DV6" s="53" t="s">
        <v>319</v>
      </c>
      <c r="DW6" s="53" t="s">
        <v>335</v>
      </c>
      <c r="DX6" s="53" t="s">
        <v>361</v>
      </c>
      <c r="DY6" s="53" t="s">
        <v>377</v>
      </c>
      <c r="DZ6" s="53" t="s">
        <v>403</v>
      </c>
      <c r="EA6" s="53" t="s">
        <v>419</v>
      </c>
      <c r="EB6" s="53" t="s">
        <v>323</v>
      </c>
      <c r="EC6" s="53" t="s">
        <v>332</v>
      </c>
      <c r="ED6" s="53" t="s">
        <v>365</v>
      </c>
      <c r="EE6" s="53" t="s">
        <v>374</v>
      </c>
      <c r="EF6" s="53" t="s">
        <v>407</v>
      </c>
      <c r="EG6" s="53" t="s">
        <v>416</v>
      </c>
      <c r="EH6" s="53" t="s">
        <v>679</v>
      </c>
      <c r="EI6" s="53" t="s">
        <v>684</v>
      </c>
      <c r="EJ6" s="53" t="s">
        <v>691</v>
      </c>
      <c r="EK6" s="53" t="s">
        <v>698</v>
      </c>
      <c r="EL6" s="53" t="s">
        <v>705</v>
      </c>
      <c r="EM6" s="53" t="s">
        <v>712</v>
      </c>
      <c r="EN6" s="53" t="s">
        <v>325</v>
      </c>
      <c r="EO6" s="53" t="s">
        <v>328</v>
      </c>
      <c r="EP6" s="53" t="s">
        <v>367</v>
      </c>
      <c r="EQ6" s="53" t="s">
        <v>370</v>
      </c>
      <c r="ER6" s="53" t="s">
        <v>409</v>
      </c>
      <c r="ES6" s="53" t="s">
        <v>412</v>
      </c>
      <c r="ET6" s="52" t="s">
        <v>508</v>
      </c>
      <c r="EU6" s="52" t="s">
        <v>516</v>
      </c>
      <c r="EV6" s="52" t="s">
        <v>522</v>
      </c>
      <c r="EW6" s="52" t="s">
        <v>581</v>
      </c>
      <c r="EX6" s="20"/>
    </row>
    <row r="7" spans="1:154">
      <c r="B7" s="1"/>
      <c r="C7" s="2"/>
      <c r="D7" s="34"/>
      <c r="E7" s="34"/>
      <c r="F7" s="34"/>
      <c r="G7" s="34"/>
      <c r="H7" s="4"/>
      <c r="I7" s="4"/>
      <c r="J7" s="4"/>
      <c r="K7" s="3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7"/>
      <c r="X7" s="1"/>
      <c r="Y7" s="18"/>
      <c r="Z7" s="21"/>
      <c r="AA7" s="10">
        <f t="shared" si="21"/>
        <v>0</v>
      </c>
      <c r="AB7" s="10">
        <f t="shared" si="22"/>
        <v>0</v>
      </c>
      <c r="AC7" s="10">
        <f t="shared" si="23"/>
        <v>0</v>
      </c>
      <c r="AD7" s="46" t="str">
        <f t="shared" si="24"/>
        <v/>
      </c>
      <c r="AE7" s="46" t="str">
        <f t="shared" si="25"/>
        <v/>
      </c>
      <c r="AF7" s="46" t="str">
        <f t="shared" si="26"/>
        <v/>
      </c>
      <c r="AG7" s="46" t="str">
        <f t="shared" si="27"/>
        <v/>
      </c>
      <c r="AH7" s="46" t="str">
        <f t="shared" si="28"/>
        <v/>
      </c>
      <c r="AI7" s="46" t="str">
        <f t="shared" si="29"/>
        <v/>
      </c>
      <c r="AJ7" s="46" t="str">
        <f t="shared" si="30"/>
        <v/>
      </c>
      <c r="AK7" s="46" t="str">
        <f t="shared" si="31"/>
        <v/>
      </c>
      <c r="AL7" s="46" t="str">
        <f t="shared" si="32"/>
        <v/>
      </c>
      <c r="AM7" s="46" t="str">
        <f t="shared" si="33"/>
        <v/>
      </c>
      <c r="AN7" s="46" t="str">
        <f t="shared" si="34"/>
        <v/>
      </c>
      <c r="AO7" s="46" t="str">
        <f t="shared" si="35"/>
        <v/>
      </c>
      <c r="AP7" s="46" t="str">
        <f t="shared" si="36"/>
        <v/>
      </c>
      <c r="AQ7" s="46" t="str">
        <f t="shared" si="37"/>
        <v/>
      </c>
      <c r="AR7" s="46" t="str">
        <f t="shared" si="38"/>
        <v/>
      </c>
      <c r="AS7" s="46" t="str">
        <f t="shared" si="39"/>
        <v/>
      </c>
      <c r="AT7" s="46" t="str">
        <f t="shared" si="40"/>
        <v/>
      </c>
      <c r="AU7" s="46" t="str">
        <f t="shared" si="41"/>
        <v/>
      </c>
      <c r="AV7" s="46" t="str">
        <f t="shared" si="42"/>
        <v/>
      </c>
      <c r="AW7" s="46" t="str">
        <f t="shared" si="44"/>
        <v/>
      </c>
      <c r="AX7" s="46"/>
      <c r="AY7" s="52" t="s">
        <v>64</v>
      </c>
      <c r="AZ7" s="52" t="s">
        <v>64</v>
      </c>
      <c r="BA7" s="52" t="s">
        <v>65</v>
      </c>
      <c r="BB7" s="52" t="s">
        <v>65</v>
      </c>
      <c r="BC7" s="52" t="s">
        <v>66</v>
      </c>
      <c r="BD7" s="52" t="s">
        <v>66</v>
      </c>
      <c r="BE7" s="52" t="s">
        <v>62</v>
      </c>
      <c r="BF7" s="52" t="s">
        <v>65</v>
      </c>
      <c r="BG7" s="52" t="s">
        <v>66</v>
      </c>
      <c r="BH7" s="52" t="s">
        <v>69</v>
      </c>
      <c r="BI7" s="52" t="s">
        <v>72</v>
      </c>
      <c r="BJ7" s="52" t="s">
        <v>75</v>
      </c>
      <c r="BK7" s="52" t="s">
        <v>93</v>
      </c>
      <c r="BL7" s="52" t="s">
        <v>93</v>
      </c>
      <c r="BM7" s="52" t="s">
        <v>96</v>
      </c>
      <c r="BN7" s="52" t="s">
        <v>98</v>
      </c>
      <c r="BO7" s="52" t="s">
        <v>100</v>
      </c>
      <c r="BP7" s="52" t="s">
        <v>103</v>
      </c>
      <c r="BQ7" s="52" t="s">
        <v>126</v>
      </c>
      <c r="BR7" s="52" t="s">
        <v>126</v>
      </c>
      <c r="BS7" s="52" t="s">
        <v>131</v>
      </c>
      <c r="BT7" s="52" t="s">
        <v>135</v>
      </c>
      <c r="BU7" s="52" t="s">
        <v>139</v>
      </c>
      <c r="BV7" s="52" t="s">
        <v>143</v>
      </c>
      <c r="BW7" s="52" t="s">
        <v>159</v>
      </c>
      <c r="BX7" s="52" t="s">
        <v>159</v>
      </c>
      <c r="BY7" s="52" t="s">
        <v>160</v>
      </c>
      <c r="BZ7" s="52" t="s">
        <v>161</v>
      </c>
      <c r="CA7" s="52" t="s">
        <v>162</v>
      </c>
      <c r="CB7" s="52" t="s">
        <v>163</v>
      </c>
      <c r="CC7" s="46"/>
      <c r="CD7" s="46"/>
      <c r="CE7" s="46"/>
      <c r="CF7" s="53" t="s">
        <v>187</v>
      </c>
      <c r="CG7" s="53" t="s">
        <v>196</v>
      </c>
      <c r="CH7" s="53" t="s">
        <v>201</v>
      </c>
      <c r="CI7" s="53" t="s">
        <v>207</v>
      </c>
      <c r="CJ7" s="53" t="s">
        <v>212</v>
      </c>
      <c r="CK7" s="53" t="s">
        <v>219</v>
      </c>
      <c r="CL7" s="53" t="s">
        <v>224</v>
      </c>
      <c r="CM7" s="53" t="s">
        <v>237</v>
      </c>
      <c r="CN7" s="53" t="s">
        <v>250</v>
      </c>
      <c r="CO7" s="53" t="s">
        <v>263</v>
      </c>
      <c r="CP7" s="53" t="s">
        <v>276</v>
      </c>
      <c r="CQ7" s="53" t="s">
        <v>289</v>
      </c>
      <c r="CR7" s="53" t="s">
        <v>309</v>
      </c>
      <c r="CS7" s="53" t="s">
        <v>347</v>
      </c>
      <c r="CT7" s="53" t="s">
        <v>351</v>
      </c>
      <c r="CU7" s="53" t="s">
        <v>389</v>
      </c>
      <c r="CV7" s="53" t="s">
        <v>393</v>
      </c>
      <c r="CW7" s="53" t="s">
        <v>431</v>
      </c>
      <c r="CX7" s="53" t="s">
        <v>501</v>
      </c>
      <c r="CY7" s="53" t="s">
        <v>483</v>
      </c>
      <c r="CZ7" s="53" t="s">
        <v>476</v>
      </c>
      <c r="DA7" s="53" t="s">
        <v>459</v>
      </c>
      <c r="DB7" s="53" t="s">
        <v>452</v>
      </c>
      <c r="DC7" s="53" t="s">
        <v>435</v>
      </c>
      <c r="DD7" s="53" t="s">
        <v>630</v>
      </c>
      <c r="DE7" s="53" t="s">
        <v>633</v>
      </c>
      <c r="DF7" s="53" t="s">
        <v>639</v>
      </c>
      <c r="DG7" s="53" t="s">
        <v>645</v>
      </c>
      <c r="DH7" s="53" t="s">
        <v>651</v>
      </c>
      <c r="DI7" s="53" t="s">
        <v>657</v>
      </c>
      <c r="DJ7" s="53" t="s">
        <v>312</v>
      </c>
      <c r="DK7" s="53" t="s">
        <v>343</v>
      </c>
      <c r="DL7" s="53" t="s">
        <v>354</v>
      </c>
      <c r="DM7" s="53" t="s">
        <v>385</v>
      </c>
      <c r="DN7" s="53" t="s">
        <v>396</v>
      </c>
      <c r="DO7" s="53" t="s">
        <v>427</v>
      </c>
      <c r="DP7" s="53" t="s">
        <v>568</v>
      </c>
      <c r="DQ7" s="53" t="s">
        <v>570</v>
      </c>
      <c r="DR7" s="53" t="s">
        <v>576</v>
      </c>
      <c r="DS7" s="53" t="s">
        <v>577</v>
      </c>
      <c r="DT7" s="53" t="s">
        <v>578</v>
      </c>
      <c r="DU7" s="53" t="s">
        <v>579</v>
      </c>
      <c r="DV7" s="53" t="s">
        <v>616</v>
      </c>
      <c r="DW7" s="53" t="s">
        <v>617</v>
      </c>
      <c r="DX7" s="54" t="s">
        <v>618</v>
      </c>
      <c r="DY7" s="53" t="s">
        <v>619</v>
      </c>
      <c r="DZ7" s="53" t="s">
        <v>620</v>
      </c>
      <c r="EA7" s="53" t="s">
        <v>621</v>
      </c>
      <c r="EB7" s="55"/>
      <c r="EC7" s="55"/>
      <c r="ED7" s="55"/>
      <c r="EE7" s="55"/>
      <c r="EF7" s="55"/>
      <c r="EG7" s="55"/>
      <c r="EH7" s="53" t="s">
        <v>680</v>
      </c>
      <c r="EI7" s="53" t="s">
        <v>685</v>
      </c>
      <c r="EJ7" s="53" t="s">
        <v>692</v>
      </c>
      <c r="EK7" s="53" t="s">
        <v>699</v>
      </c>
      <c r="EL7" s="53" t="s">
        <v>706</v>
      </c>
      <c r="EM7" s="53" t="s">
        <v>713</v>
      </c>
      <c r="EN7" s="53" t="s">
        <v>326</v>
      </c>
      <c r="EO7" s="53" t="s">
        <v>329</v>
      </c>
      <c r="EP7" s="53" t="s">
        <v>368</v>
      </c>
      <c r="EQ7" s="53" t="s">
        <v>371</v>
      </c>
      <c r="ER7" s="53" t="s">
        <v>410</v>
      </c>
      <c r="ES7" s="53" t="s">
        <v>413</v>
      </c>
      <c r="ET7" s="53" t="s">
        <v>523</v>
      </c>
      <c r="EU7" s="53" t="s">
        <v>524</v>
      </c>
      <c r="EV7" s="53" t="s">
        <v>525</v>
      </c>
      <c r="EW7" s="52" t="s">
        <v>582</v>
      </c>
      <c r="EX7" s="20"/>
    </row>
    <row r="8" spans="1:154">
      <c r="B8" s="1"/>
      <c r="C8" s="2"/>
      <c r="D8" s="34"/>
      <c r="E8" s="34"/>
      <c r="F8" s="34"/>
      <c r="G8" s="34"/>
      <c r="H8" s="4"/>
      <c r="I8" s="4"/>
      <c r="J8" s="4"/>
      <c r="K8" s="3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7"/>
      <c r="X8" s="1"/>
      <c r="Y8" s="18"/>
      <c r="Z8" s="21"/>
      <c r="AA8" s="10">
        <f t="shared" si="21"/>
        <v>0</v>
      </c>
      <c r="AB8" s="10">
        <f t="shared" si="22"/>
        <v>0</v>
      </c>
      <c r="AC8" s="10">
        <f t="shared" si="23"/>
        <v>0</v>
      </c>
      <c r="AD8" s="46" t="str">
        <f t="shared" si="24"/>
        <v/>
      </c>
      <c r="AE8" s="46" t="str">
        <f t="shared" si="25"/>
        <v/>
      </c>
      <c r="AF8" s="46" t="str">
        <f t="shared" si="26"/>
        <v/>
      </c>
      <c r="AG8" s="46" t="str">
        <f t="shared" si="27"/>
        <v/>
      </c>
      <c r="AH8" s="46" t="str">
        <f t="shared" si="28"/>
        <v/>
      </c>
      <c r="AI8" s="46" t="str">
        <f t="shared" si="29"/>
        <v/>
      </c>
      <c r="AJ8" s="46" t="str">
        <f t="shared" si="30"/>
        <v/>
      </c>
      <c r="AK8" s="46" t="str">
        <f t="shared" si="31"/>
        <v/>
      </c>
      <c r="AL8" s="46" t="str">
        <f t="shared" si="32"/>
        <v/>
      </c>
      <c r="AM8" s="46" t="str">
        <f t="shared" si="33"/>
        <v/>
      </c>
      <c r="AN8" s="46" t="str">
        <f t="shared" si="34"/>
        <v/>
      </c>
      <c r="AO8" s="46" t="str">
        <f t="shared" si="35"/>
        <v/>
      </c>
      <c r="AP8" s="46" t="str">
        <f t="shared" si="36"/>
        <v/>
      </c>
      <c r="AQ8" s="46" t="str">
        <f t="shared" si="37"/>
        <v/>
      </c>
      <c r="AR8" s="46" t="str">
        <f t="shared" si="38"/>
        <v/>
      </c>
      <c r="AS8" s="46" t="str">
        <f t="shared" si="39"/>
        <v/>
      </c>
      <c r="AT8" s="46" t="str">
        <f t="shared" si="40"/>
        <v/>
      </c>
      <c r="AU8" s="46" t="str">
        <f t="shared" si="41"/>
        <v/>
      </c>
      <c r="AV8" s="46" t="str">
        <f t="shared" si="42"/>
        <v/>
      </c>
      <c r="AW8" s="46" t="str">
        <f t="shared" si="44"/>
        <v/>
      </c>
      <c r="AX8" s="46"/>
      <c r="AY8" s="52" t="s">
        <v>67</v>
      </c>
      <c r="AZ8" s="52" t="s">
        <v>67</v>
      </c>
      <c r="BA8" s="52" t="s">
        <v>68</v>
      </c>
      <c r="BB8" s="52" t="s">
        <v>68</v>
      </c>
      <c r="BC8" s="52" t="s">
        <v>69</v>
      </c>
      <c r="BD8" s="52" t="s">
        <v>69</v>
      </c>
      <c r="BE8" s="52" t="s">
        <v>65</v>
      </c>
      <c r="BF8" s="52" t="s">
        <v>68</v>
      </c>
      <c r="BG8" s="52" t="s">
        <v>69</v>
      </c>
      <c r="BH8" s="52" t="s">
        <v>72</v>
      </c>
      <c r="BI8" s="52" t="s">
        <v>78</v>
      </c>
      <c r="BJ8" s="52" t="s">
        <v>80</v>
      </c>
      <c r="BK8" s="46"/>
      <c r="BL8" s="52" t="s">
        <v>94</v>
      </c>
      <c r="BM8" s="46"/>
      <c r="BN8" s="46"/>
      <c r="BO8" s="52" t="s">
        <v>101</v>
      </c>
      <c r="BP8" s="52" t="s">
        <v>104</v>
      </c>
      <c r="BQ8" s="52" t="s">
        <v>128</v>
      </c>
      <c r="BR8" s="52" t="s">
        <v>128</v>
      </c>
      <c r="BS8" s="52" t="s">
        <v>132</v>
      </c>
      <c r="BT8" s="52" t="s">
        <v>136</v>
      </c>
      <c r="BU8" s="52" t="s">
        <v>140</v>
      </c>
      <c r="BV8" s="52" t="s">
        <v>144</v>
      </c>
      <c r="BW8" s="46"/>
      <c r="BX8" s="52" t="s">
        <v>150</v>
      </c>
      <c r="BY8" s="46"/>
      <c r="BZ8" s="46"/>
      <c r="CA8" s="52" t="s">
        <v>151</v>
      </c>
      <c r="CB8" s="52" t="s">
        <v>152</v>
      </c>
      <c r="CC8" s="46"/>
      <c r="CD8" s="46"/>
      <c r="CE8" s="46"/>
      <c r="CF8" s="53" t="s">
        <v>188</v>
      </c>
      <c r="CG8" s="53" t="s">
        <v>193</v>
      </c>
      <c r="CH8" s="53" t="s">
        <v>202</v>
      </c>
      <c r="CI8" s="53" t="s">
        <v>208</v>
      </c>
      <c r="CJ8" s="53" t="s">
        <v>214</v>
      </c>
      <c r="CK8" s="53" t="s">
        <v>220</v>
      </c>
      <c r="CL8" s="53" t="s">
        <v>225</v>
      </c>
      <c r="CM8" s="53" t="s">
        <v>238</v>
      </c>
      <c r="CN8" s="53" t="s">
        <v>251</v>
      </c>
      <c r="CO8" s="53" t="s">
        <v>264</v>
      </c>
      <c r="CP8" s="53" t="s">
        <v>277</v>
      </c>
      <c r="CQ8" s="53" t="s">
        <v>290</v>
      </c>
      <c r="CR8" s="53"/>
      <c r="CS8" s="55"/>
      <c r="CT8" s="55"/>
      <c r="CU8" s="55"/>
      <c r="CV8" s="55"/>
      <c r="CW8" s="55"/>
      <c r="CX8" s="53" t="s">
        <v>500</v>
      </c>
      <c r="CY8" s="53" t="s">
        <v>484</v>
      </c>
      <c r="CZ8" s="53" t="s">
        <v>477</v>
      </c>
      <c r="DA8" s="53" t="s">
        <v>460</v>
      </c>
      <c r="DB8" s="53" t="s">
        <v>453</v>
      </c>
      <c r="DC8" s="53" t="s">
        <v>436</v>
      </c>
      <c r="DD8" s="53" t="s">
        <v>631</v>
      </c>
      <c r="DE8" s="53" t="s">
        <v>634</v>
      </c>
      <c r="DF8" s="53" t="s">
        <v>640</v>
      </c>
      <c r="DG8" s="53" t="s">
        <v>646</v>
      </c>
      <c r="DH8" s="53" t="s">
        <v>652</v>
      </c>
      <c r="DI8" s="53" t="s">
        <v>658</v>
      </c>
      <c r="DJ8" s="53"/>
      <c r="DK8" s="53"/>
      <c r="DL8" s="53"/>
      <c r="DM8" s="53"/>
      <c r="DN8" s="53"/>
      <c r="DO8" s="53"/>
      <c r="DP8" s="53" t="s">
        <v>569</v>
      </c>
      <c r="DQ8" s="53" t="s">
        <v>571</v>
      </c>
      <c r="DR8" s="53" t="s">
        <v>572</v>
      </c>
      <c r="DS8" s="53" t="s">
        <v>573</v>
      </c>
      <c r="DT8" s="53" t="s">
        <v>574</v>
      </c>
      <c r="DU8" s="53" t="s">
        <v>575</v>
      </c>
      <c r="DV8" s="53" t="s">
        <v>320</v>
      </c>
      <c r="DW8" s="53" t="s">
        <v>336</v>
      </c>
      <c r="DX8" s="53" t="s">
        <v>362</v>
      </c>
      <c r="DY8" s="53" t="s">
        <v>378</v>
      </c>
      <c r="DZ8" s="53" t="s">
        <v>404</v>
      </c>
      <c r="EA8" s="53" t="s">
        <v>420</v>
      </c>
      <c r="EB8" s="55"/>
      <c r="EC8" s="55"/>
      <c r="ED8" s="55"/>
      <c r="EE8" s="55"/>
      <c r="EF8" s="55"/>
      <c r="EG8" s="55"/>
      <c r="EH8" s="53" t="s">
        <v>681</v>
      </c>
      <c r="EI8" s="53" t="s">
        <v>686</v>
      </c>
      <c r="EJ8" s="53" t="s">
        <v>693</v>
      </c>
      <c r="EK8" s="53" t="s">
        <v>700</v>
      </c>
      <c r="EL8" s="53" t="s">
        <v>707</v>
      </c>
      <c r="EM8" s="53" t="s">
        <v>714</v>
      </c>
      <c r="EN8" s="53"/>
      <c r="EO8" s="53"/>
      <c r="EP8" s="53"/>
      <c r="EQ8" s="53"/>
      <c r="ER8" s="53"/>
      <c r="ES8" s="53"/>
      <c r="ET8" s="53" t="s">
        <v>526</v>
      </c>
      <c r="EU8" s="53" t="s">
        <v>527</v>
      </c>
      <c r="EV8" s="53" t="s">
        <v>528</v>
      </c>
      <c r="EW8" s="52" t="s">
        <v>583</v>
      </c>
      <c r="EX8" s="20"/>
    </row>
    <row r="9" spans="1:154">
      <c r="B9" s="1"/>
      <c r="C9" s="2"/>
      <c r="D9" s="34"/>
      <c r="E9" s="34"/>
      <c r="F9" s="34"/>
      <c r="G9" s="34"/>
      <c r="H9" s="4"/>
      <c r="I9" s="4"/>
      <c r="J9" s="4"/>
      <c r="K9" s="3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7"/>
      <c r="X9" s="1"/>
      <c r="Y9" s="18"/>
      <c r="Z9" s="21"/>
      <c r="AA9" s="10">
        <f t="shared" si="21"/>
        <v>0</v>
      </c>
      <c r="AB9" s="10">
        <f t="shared" si="22"/>
        <v>0</v>
      </c>
      <c r="AC9" s="10">
        <f t="shared" si="23"/>
        <v>0</v>
      </c>
      <c r="AD9" s="46" t="str">
        <f t="shared" si="24"/>
        <v/>
      </c>
      <c r="AE9" s="46" t="str">
        <f t="shared" si="25"/>
        <v/>
      </c>
      <c r="AF9" s="46" t="str">
        <f t="shared" si="26"/>
        <v/>
      </c>
      <c r="AG9" s="46" t="str">
        <f t="shared" si="27"/>
        <v/>
      </c>
      <c r="AH9" s="46" t="str">
        <f t="shared" si="28"/>
        <v/>
      </c>
      <c r="AI9" s="46" t="str">
        <f t="shared" si="29"/>
        <v/>
      </c>
      <c r="AJ9" s="46" t="str">
        <f t="shared" si="30"/>
        <v/>
      </c>
      <c r="AK9" s="46" t="str">
        <f t="shared" si="31"/>
        <v/>
      </c>
      <c r="AL9" s="46" t="str">
        <f t="shared" si="32"/>
        <v/>
      </c>
      <c r="AM9" s="46" t="str">
        <f t="shared" si="33"/>
        <v/>
      </c>
      <c r="AN9" s="46" t="str">
        <f t="shared" si="34"/>
        <v/>
      </c>
      <c r="AO9" s="46" t="str">
        <f t="shared" si="35"/>
        <v/>
      </c>
      <c r="AP9" s="46" t="str">
        <f t="shared" si="36"/>
        <v/>
      </c>
      <c r="AQ9" s="46" t="str">
        <f t="shared" si="37"/>
        <v/>
      </c>
      <c r="AR9" s="46" t="str">
        <f t="shared" si="38"/>
        <v/>
      </c>
      <c r="AS9" s="46" t="str">
        <f t="shared" si="39"/>
        <v/>
      </c>
      <c r="AT9" s="46" t="str">
        <f t="shared" si="40"/>
        <v/>
      </c>
      <c r="AU9" s="46" t="str">
        <f t="shared" si="41"/>
        <v/>
      </c>
      <c r="AV9" s="46" t="str">
        <f t="shared" si="42"/>
        <v/>
      </c>
      <c r="AW9" s="46" t="str">
        <f t="shared" si="44"/>
        <v/>
      </c>
      <c r="AX9" s="46"/>
      <c r="AY9" s="52"/>
      <c r="AZ9" s="52" t="s">
        <v>70</v>
      </c>
      <c r="BA9" s="56"/>
      <c r="BB9" s="52" t="s">
        <v>71</v>
      </c>
      <c r="BC9" s="52" t="s">
        <v>72</v>
      </c>
      <c r="BD9" s="52" t="s">
        <v>72</v>
      </c>
      <c r="BE9" s="52" t="s">
        <v>68</v>
      </c>
      <c r="BF9" s="52" t="s">
        <v>71</v>
      </c>
      <c r="BG9" s="52" t="s">
        <v>72</v>
      </c>
      <c r="BH9" s="52" t="s">
        <v>75</v>
      </c>
      <c r="BI9" s="52" t="s">
        <v>721</v>
      </c>
      <c r="BJ9" s="52" t="s">
        <v>82</v>
      </c>
      <c r="BK9" s="46"/>
      <c r="BL9" s="52" t="s">
        <v>95</v>
      </c>
      <c r="BM9" s="46"/>
      <c r="BN9" s="46"/>
      <c r="BO9" s="52" t="s">
        <v>102</v>
      </c>
      <c r="BP9" s="52" t="s">
        <v>105</v>
      </c>
      <c r="BQ9" s="46"/>
      <c r="BR9" s="52" t="s">
        <v>129</v>
      </c>
      <c r="BS9" s="46"/>
      <c r="BT9" s="46"/>
      <c r="BU9" s="52" t="s">
        <v>141</v>
      </c>
      <c r="BV9" s="52" t="s">
        <v>145</v>
      </c>
      <c r="BW9" s="46"/>
      <c r="BX9" s="52" t="s">
        <v>154</v>
      </c>
      <c r="BY9" s="46"/>
      <c r="BZ9" s="46"/>
      <c r="CA9" s="52" t="s">
        <v>157</v>
      </c>
      <c r="CB9" s="52" t="s">
        <v>158</v>
      </c>
      <c r="CC9" s="46"/>
      <c r="CD9" s="46"/>
      <c r="CE9" s="46"/>
      <c r="CF9" s="53" t="s">
        <v>191</v>
      </c>
      <c r="CG9" s="53" t="s">
        <v>197</v>
      </c>
      <c r="CH9" s="53" t="s">
        <v>203</v>
      </c>
      <c r="CI9" s="53" t="s">
        <v>209</v>
      </c>
      <c r="CJ9" s="53" t="s">
        <v>215</v>
      </c>
      <c r="CK9" s="53" t="s">
        <v>221</v>
      </c>
      <c r="CL9" s="53" t="s">
        <v>226</v>
      </c>
      <c r="CM9" s="53" t="s">
        <v>239</v>
      </c>
      <c r="CN9" s="53" t="s">
        <v>252</v>
      </c>
      <c r="CO9" s="53" t="s">
        <v>265</v>
      </c>
      <c r="CP9" s="53" t="s">
        <v>278</v>
      </c>
      <c r="CQ9" s="53" t="s">
        <v>291</v>
      </c>
      <c r="CR9" s="53"/>
      <c r="CS9" s="55"/>
      <c r="CT9" s="55"/>
      <c r="CU9" s="55"/>
      <c r="CV9" s="55"/>
      <c r="CW9" s="55"/>
      <c r="CX9" s="53" t="s">
        <v>499</v>
      </c>
      <c r="CY9" s="53" t="s">
        <v>485</v>
      </c>
      <c r="CZ9" s="53" t="s">
        <v>478</v>
      </c>
      <c r="DA9" s="53" t="s">
        <v>461</v>
      </c>
      <c r="DB9" s="53" t="s">
        <v>454</v>
      </c>
      <c r="DC9" s="53" t="s">
        <v>437</v>
      </c>
      <c r="DD9" s="53" t="s">
        <v>632</v>
      </c>
      <c r="DE9" s="53" t="s">
        <v>635</v>
      </c>
      <c r="DF9" s="53" t="s">
        <v>641</v>
      </c>
      <c r="DG9" s="53" t="s">
        <v>647</v>
      </c>
      <c r="DH9" s="53" t="s">
        <v>653</v>
      </c>
      <c r="DI9" s="53" t="s">
        <v>659</v>
      </c>
      <c r="DJ9" s="53"/>
      <c r="DK9" s="53"/>
      <c r="DL9" s="53"/>
      <c r="DM9" s="53"/>
      <c r="DN9" s="53"/>
      <c r="DO9" s="53"/>
      <c r="DP9" s="53" t="s">
        <v>316</v>
      </c>
      <c r="DQ9" s="53" t="s">
        <v>340</v>
      </c>
      <c r="DR9" s="53" t="s">
        <v>358</v>
      </c>
      <c r="DS9" s="53" t="s">
        <v>382</v>
      </c>
      <c r="DT9" s="53" t="s">
        <v>400</v>
      </c>
      <c r="DU9" s="53" t="s">
        <v>424</v>
      </c>
      <c r="DV9" s="53"/>
      <c r="DW9" s="53"/>
      <c r="DX9" s="53"/>
      <c r="DY9" s="55"/>
      <c r="DZ9" s="55"/>
      <c r="EA9" s="55"/>
      <c r="EB9" s="55"/>
      <c r="EC9" s="55"/>
      <c r="ED9" s="55"/>
      <c r="EE9" s="55"/>
      <c r="EF9" s="55"/>
      <c r="EG9" s="55"/>
      <c r="EH9" s="53" t="s">
        <v>682</v>
      </c>
      <c r="EI9" s="53" t="s">
        <v>687</v>
      </c>
      <c r="EJ9" s="53" t="s">
        <v>694</v>
      </c>
      <c r="EK9" s="53" t="s">
        <v>701</v>
      </c>
      <c r="EL9" s="53" t="s">
        <v>708</v>
      </c>
      <c r="EM9" s="53" t="s">
        <v>715</v>
      </c>
      <c r="EN9" s="53"/>
      <c r="EO9" s="53"/>
      <c r="EP9" s="53"/>
      <c r="EQ9" s="53"/>
      <c r="ER9" s="53"/>
      <c r="ES9" s="53"/>
      <c r="ET9" s="52" t="s">
        <v>509</v>
      </c>
      <c r="EU9" s="52" t="s">
        <v>509</v>
      </c>
      <c r="EV9" s="52" t="s">
        <v>509</v>
      </c>
      <c r="EW9" s="52" t="s">
        <v>584</v>
      </c>
      <c r="EX9" s="20"/>
    </row>
    <row r="10" spans="1:154">
      <c r="B10" s="1"/>
      <c r="C10" s="2"/>
      <c r="D10" s="34"/>
      <c r="E10" s="34"/>
      <c r="F10" s="34"/>
      <c r="G10" s="34"/>
      <c r="H10" s="4"/>
      <c r="I10" s="4"/>
      <c r="J10" s="4"/>
      <c r="K10" s="3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7"/>
      <c r="X10" s="1"/>
      <c r="Y10" s="18"/>
      <c r="Z10" s="21"/>
      <c r="AA10" s="10">
        <f t="shared" si="21"/>
        <v>0</v>
      </c>
      <c r="AB10" s="10">
        <f t="shared" si="22"/>
        <v>0</v>
      </c>
      <c r="AC10" s="10">
        <f t="shared" si="23"/>
        <v>0</v>
      </c>
      <c r="AD10" s="46" t="str">
        <f t="shared" si="24"/>
        <v/>
      </c>
      <c r="AE10" s="46" t="str">
        <f t="shared" si="25"/>
        <v/>
      </c>
      <c r="AF10" s="46" t="str">
        <f t="shared" si="26"/>
        <v/>
      </c>
      <c r="AG10" s="46" t="str">
        <f t="shared" si="27"/>
        <v/>
      </c>
      <c r="AH10" s="46" t="str">
        <f t="shared" si="28"/>
        <v/>
      </c>
      <c r="AI10" s="46" t="str">
        <f t="shared" si="29"/>
        <v/>
      </c>
      <c r="AJ10" s="46" t="str">
        <f t="shared" si="30"/>
        <v/>
      </c>
      <c r="AK10" s="46" t="str">
        <f t="shared" si="31"/>
        <v/>
      </c>
      <c r="AL10" s="46" t="str">
        <f t="shared" si="32"/>
        <v/>
      </c>
      <c r="AM10" s="46" t="str">
        <f t="shared" si="33"/>
        <v/>
      </c>
      <c r="AN10" s="46" t="str">
        <f t="shared" si="34"/>
        <v/>
      </c>
      <c r="AO10" s="46" t="str">
        <f t="shared" si="35"/>
        <v/>
      </c>
      <c r="AP10" s="46" t="str">
        <f t="shared" si="36"/>
        <v/>
      </c>
      <c r="AQ10" s="46" t="str">
        <f t="shared" si="37"/>
        <v/>
      </c>
      <c r="AR10" s="46" t="str">
        <f t="shared" si="38"/>
        <v/>
      </c>
      <c r="AS10" s="46" t="str">
        <f t="shared" si="39"/>
        <v/>
      </c>
      <c r="AT10" s="46" t="str">
        <f t="shared" si="40"/>
        <v/>
      </c>
      <c r="AU10" s="46" t="str">
        <f t="shared" si="41"/>
        <v/>
      </c>
      <c r="AV10" s="46" t="str">
        <f t="shared" si="42"/>
        <v/>
      </c>
      <c r="AW10" s="46" t="str">
        <f t="shared" si="44"/>
        <v/>
      </c>
      <c r="AX10" s="46"/>
      <c r="AY10" s="52"/>
      <c r="AZ10" s="52" t="s">
        <v>73</v>
      </c>
      <c r="BA10" s="56"/>
      <c r="BB10" s="52" t="s">
        <v>74</v>
      </c>
      <c r="BC10" s="52" t="s">
        <v>75</v>
      </c>
      <c r="BD10" s="52" t="s">
        <v>75</v>
      </c>
      <c r="BE10" s="52" t="s">
        <v>71</v>
      </c>
      <c r="BF10" s="52" t="s">
        <v>74</v>
      </c>
      <c r="BG10" s="52" t="s">
        <v>75</v>
      </c>
      <c r="BH10" s="52" t="s">
        <v>78</v>
      </c>
      <c r="BI10" s="52"/>
      <c r="BJ10" s="57" t="s">
        <v>83</v>
      </c>
      <c r="BK10" s="46"/>
      <c r="BL10" s="52" t="s">
        <v>96</v>
      </c>
      <c r="BM10" s="46"/>
      <c r="BN10" s="46"/>
      <c r="BO10" s="52" t="s">
        <v>103</v>
      </c>
      <c r="BP10" s="52" t="s">
        <v>106</v>
      </c>
      <c r="BQ10" s="46"/>
      <c r="BR10" s="52" t="s">
        <v>130</v>
      </c>
      <c r="BS10" s="46"/>
      <c r="BT10" s="46"/>
      <c r="BU10" s="52" t="s">
        <v>142</v>
      </c>
      <c r="BV10" s="52" t="s">
        <v>146</v>
      </c>
      <c r="BW10" s="46"/>
      <c r="BX10" s="52" t="s">
        <v>160</v>
      </c>
      <c r="BY10" s="46"/>
      <c r="BZ10" s="46"/>
      <c r="CA10" s="52" t="s">
        <v>163</v>
      </c>
      <c r="CB10" s="52" t="s">
        <v>164</v>
      </c>
      <c r="CC10" s="46"/>
      <c r="CD10" s="46"/>
      <c r="CE10" s="46"/>
      <c r="CF10" s="46"/>
      <c r="CG10" s="55" t="s">
        <v>189</v>
      </c>
      <c r="CH10" s="55"/>
      <c r="CI10" s="55"/>
      <c r="CJ10" s="55"/>
      <c r="CK10" s="55"/>
      <c r="CL10" s="53" t="s">
        <v>227</v>
      </c>
      <c r="CM10" s="53" t="s">
        <v>240</v>
      </c>
      <c r="CN10" s="53" t="s">
        <v>253</v>
      </c>
      <c r="CO10" s="53" t="s">
        <v>266</v>
      </c>
      <c r="CP10" s="53" t="s">
        <v>279</v>
      </c>
      <c r="CQ10" s="53" t="s">
        <v>292</v>
      </c>
      <c r="CR10" s="53"/>
      <c r="CS10" s="55"/>
      <c r="CT10" s="55"/>
      <c r="CU10" s="55"/>
      <c r="CV10" s="55"/>
      <c r="CW10" s="55"/>
      <c r="CX10" s="53" t="s">
        <v>498</v>
      </c>
      <c r="CY10" s="53" t="s">
        <v>486</v>
      </c>
      <c r="CZ10" s="53" t="s">
        <v>479</v>
      </c>
      <c r="DA10" s="53" t="s">
        <v>462</v>
      </c>
      <c r="DB10" s="53" t="s">
        <v>455</v>
      </c>
      <c r="DC10" s="53" t="s">
        <v>438</v>
      </c>
      <c r="DD10" s="53" t="s">
        <v>496</v>
      </c>
      <c r="DE10" s="53" t="s">
        <v>491</v>
      </c>
      <c r="DF10" s="53" t="s">
        <v>472</v>
      </c>
      <c r="DG10" s="53" t="s">
        <v>467</v>
      </c>
      <c r="DH10" s="53" t="s">
        <v>448</v>
      </c>
      <c r="DI10" s="53" t="s">
        <v>443</v>
      </c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5"/>
      <c r="DZ10" s="55"/>
      <c r="EA10" s="55"/>
      <c r="EB10" s="55"/>
      <c r="EC10" s="55"/>
      <c r="ED10" s="55"/>
      <c r="EE10" s="55"/>
      <c r="EF10" s="55"/>
      <c r="EG10" s="55"/>
      <c r="EH10" s="53" t="s">
        <v>677</v>
      </c>
      <c r="EI10" s="53" t="s">
        <v>688</v>
      </c>
      <c r="EJ10" s="53" t="s">
        <v>695</v>
      </c>
      <c r="EK10" s="53" t="s">
        <v>702</v>
      </c>
      <c r="EL10" s="53" t="s">
        <v>709</v>
      </c>
      <c r="EM10" s="53" t="s">
        <v>716</v>
      </c>
      <c r="EN10" s="55"/>
      <c r="EO10" s="55"/>
      <c r="EP10" s="55"/>
      <c r="EQ10" s="55"/>
      <c r="ER10" s="55"/>
      <c r="ES10" s="55"/>
      <c r="ET10" s="52" t="s">
        <v>510</v>
      </c>
      <c r="EU10" s="52" t="s">
        <v>510</v>
      </c>
      <c r="EV10" s="52" t="s">
        <v>510</v>
      </c>
      <c r="EW10" s="52" t="s">
        <v>585</v>
      </c>
      <c r="EX10" s="20"/>
    </row>
    <row r="11" spans="1:154">
      <c r="B11" s="1"/>
      <c r="C11" s="2"/>
      <c r="D11" s="34"/>
      <c r="E11" s="34"/>
      <c r="F11" s="34"/>
      <c r="G11" s="34"/>
      <c r="H11" s="4"/>
      <c r="I11" s="4"/>
      <c r="J11" s="4"/>
      <c r="K11" s="3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37"/>
      <c r="X11" s="1"/>
      <c r="Y11" s="18">
        <f t="shared" si="43"/>
        <v>0</v>
      </c>
      <c r="Z11" s="21"/>
      <c r="AA11" s="10">
        <f t="shared" si="21"/>
        <v>0</v>
      </c>
      <c r="AB11" s="10">
        <f t="shared" si="22"/>
        <v>0</v>
      </c>
      <c r="AC11" s="10">
        <f t="shared" si="23"/>
        <v>0</v>
      </c>
      <c r="AD11" s="46" t="str">
        <f t="shared" si="24"/>
        <v/>
      </c>
      <c r="AE11" s="46" t="str">
        <f t="shared" si="25"/>
        <v/>
      </c>
      <c r="AF11" s="46" t="str">
        <f t="shared" si="26"/>
        <v/>
      </c>
      <c r="AG11" s="46" t="str">
        <f t="shared" si="27"/>
        <v/>
      </c>
      <c r="AH11" s="46" t="str">
        <f t="shared" si="28"/>
        <v/>
      </c>
      <c r="AI11" s="46" t="str">
        <f t="shared" si="29"/>
        <v/>
      </c>
      <c r="AJ11" s="46" t="str">
        <f t="shared" si="30"/>
        <v/>
      </c>
      <c r="AK11" s="46" t="str">
        <f t="shared" si="31"/>
        <v/>
      </c>
      <c r="AL11" s="46" t="str">
        <f t="shared" si="32"/>
        <v/>
      </c>
      <c r="AM11" s="46" t="str">
        <f t="shared" si="33"/>
        <v/>
      </c>
      <c r="AN11" s="46" t="str">
        <f t="shared" si="34"/>
        <v/>
      </c>
      <c r="AO11" s="46" t="str">
        <f t="shared" si="35"/>
        <v/>
      </c>
      <c r="AP11" s="46" t="str">
        <f t="shared" si="36"/>
        <v/>
      </c>
      <c r="AQ11" s="46" t="str">
        <f t="shared" si="37"/>
        <v/>
      </c>
      <c r="AR11" s="46" t="str">
        <f t="shared" si="38"/>
        <v/>
      </c>
      <c r="AS11" s="46" t="str">
        <f t="shared" si="39"/>
        <v/>
      </c>
      <c r="AT11" s="46" t="str">
        <f t="shared" si="40"/>
        <v/>
      </c>
      <c r="AU11" s="46" t="str">
        <f t="shared" si="41"/>
        <v/>
      </c>
      <c r="AV11" s="46" t="str">
        <f t="shared" si="42"/>
        <v/>
      </c>
      <c r="AW11" s="46" t="str">
        <f t="shared" si="44"/>
        <v/>
      </c>
      <c r="AX11" s="46"/>
      <c r="AY11" s="52"/>
      <c r="AZ11" s="52" t="s">
        <v>76</v>
      </c>
      <c r="BA11" s="56"/>
      <c r="BB11" s="52" t="s">
        <v>77</v>
      </c>
      <c r="BC11" s="52" t="s">
        <v>78</v>
      </c>
      <c r="BD11" s="52" t="s">
        <v>78</v>
      </c>
      <c r="BE11" s="52" t="s">
        <v>74</v>
      </c>
      <c r="BF11" s="52" t="s">
        <v>77</v>
      </c>
      <c r="BG11" s="52" t="s">
        <v>78</v>
      </c>
      <c r="BH11" s="52" t="s">
        <v>88</v>
      </c>
      <c r="BI11" s="52"/>
      <c r="BJ11" s="52"/>
      <c r="BK11" s="46"/>
      <c r="BL11" s="46"/>
      <c r="BM11" s="46"/>
      <c r="BN11" s="46"/>
      <c r="BO11" s="46"/>
      <c r="BP11" s="46"/>
      <c r="BQ11" s="46"/>
      <c r="BR11" s="52" t="s">
        <v>131</v>
      </c>
      <c r="BS11" s="46"/>
      <c r="BT11" s="46"/>
      <c r="BU11" s="52" t="s">
        <v>143</v>
      </c>
      <c r="BV11" s="52" t="s">
        <v>147</v>
      </c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55"/>
      <c r="CH11" s="55"/>
      <c r="CI11" s="55"/>
      <c r="CJ11" s="55"/>
      <c r="CK11" s="55"/>
      <c r="CL11" s="53" t="s">
        <v>228</v>
      </c>
      <c r="CM11" s="53" t="s">
        <v>241</v>
      </c>
      <c r="CN11" s="53" t="s">
        <v>254</v>
      </c>
      <c r="CO11" s="53" t="s">
        <v>267</v>
      </c>
      <c r="CP11" s="53" t="s">
        <v>280</v>
      </c>
      <c r="CQ11" s="53" t="s">
        <v>293</v>
      </c>
      <c r="CR11" s="53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3" t="s">
        <v>494</v>
      </c>
      <c r="DE11" s="53" t="s">
        <v>489</v>
      </c>
      <c r="DF11" s="53" t="s">
        <v>470</v>
      </c>
      <c r="DG11" s="53" t="s">
        <v>465</v>
      </c>
      <c r="DH11" s="53" t="s">
        <v>446</v>
      </c>
      <c r="DI11" s="53" t="s">
        <v>441</v>
      </c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5"/>
      <c r="DZ11" s="58"/>
      <c r="EA11" s="58"/>
      <c r="EB11" s="58"/>
      <c r="EC11" s="58"/>
      <c r="ED11" s="58"/>
      <c r="EE11" s="58"/>
      <c r="EF11" s="58"/>
      <c r="EG11" s="58"/>
      <c r="EH11" s="53" t="s">
        <v>678</v>
      </c>
      <c r="EI11" s="53" t="s">
        <v>689</v>
      </c>
      <c r="EJ11" s="53" t="s">
        <v>696</v>
      </c>
      <c r="EK11" s="53" t="s">
        <v>703</v>
      </c>
      <c r="EL11" s="53" t="s">
        <v>710</v>
      </c>
      <c r="EM11" s="53" t="s">
        <v>717</v>
      </c>
      <c r="EN11" s="58"/>
      <c r="EO11" s="58"/>
      <c r="EP11" s="58"/>
      <c r="EQ11" s="58"/>
      <c r="ER11" s="58"/>
      <c r="ES11" s="58"/>
      <c r="ET11" s="52" t="s">
        <v>511</v>
      </c>
      <c r="EU11" s="52" t="s">
        <v>517</v>
      </c>
      <c r="EV11" s="52" t="s">
        <v>517</v>
      </c>
      <c r="EW11" s="52" t="s">
        <v>586</v>
      </c>
      <c r="EX11" s="20"/>
    </row>
    <row r="12" spans="1:154">
      <c r="B12" s="1"/>
      <c r="C12" s="2"/>
      <c r="D12" s="34"/>
      <c r="E12" s="34"/>
      <c r="F12" s="34"/>
      <c r="G12" s="34"/>
      <c r="H12" s="4"/>
      <c r="I12" s="4"/>
      <c r="J12" s="4"/>
      <c r="K12" s="3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7"/>
      <c r="X12" s="1"/>
      <c r="Y12" s="18">
        <f t="shared" si="43"/>
        <v>0</v>
      </c>
      <c r="Z12" s="21"/>
      <c r="AA12" s="10">
        <f t="shared" si="21"/>
        <v>0</v>
      </c>
      <c r="AB12" s="10">
        <f t="shared" si="22"/>
        <v>0</v>
      </c>
      <c r="AC12" s="10">
        <f t="shared" si="23"/>
        <v>0</v>
      </c>
      <c r="AD12" s="46" t="str">
        <f t="shared" si="24"/>
        <v/>
      </c>
      <c r="AE12" s="46" t="str">
        <f t="shared" si="25"/>
        <v/>
      </c>
      <c r="AF12" s="46" t="str">
        <f t="shared" si="26"/>
        <v/>
      </c>
      <c r="AG12" s="46" t="str">
        <f t="shared" si="27"/>
        <v/>
      </c>
      <c r="AH12" s="46" t="str">
        <f t="shared" si="28"/>
        <v/>
      </c>
      <c r="AI12" s="46" t="str">
        <f t="shared" si="29"/>
        <v/>
      </c>
      <c r="AJ12" s="46" t="str">
        <f t="shared" si="30"/>
        <v/>
      </c>
      <c r="AK12" s="46" t="str">
        <f t="shared" si="31"/>
        <v/>
      </c>
      <c r="AL12" s="46" t="str">
        <f t="shared" si="32"/>
        <v/>
      </c>
      <c r="AM12" s="46" t="str">
        <f t="shared" si="33"/>
        <v/>
      </c>
      <c r="AN12" s="46" t="str">
        <f t="shared" si="34"/>
        <v/>
      </c>
      <c r="AO12" s="46" t="str">
        <f t="shared" si="35"/>
        <v/>
      </c>
      <c r="AP12" s="46" t="str">
        <f t="shared" si="36"/>
        <v/>
      </c>
      <c r="AQ12" s="46" t="str">
        <f t="shared" si="37"/>
        <v/>
      </c>
      <c r="AR12" s="46" t="str">
        <f t="shared" si="38"/>
        <v/>
      </c>
      <c r="AS12" s="46" t="str">
        <f t="shared" si="39"/>
        <v/>
      </c>
      <c r="AT12" s="46" t="str">
        <f t="shared" si="40"/>
        <v/>
      </c>
      <c r="AU12" s="46" t="str">
        <f t="shared" si="41"/>
        <v/>
      </c>
      <c r="AV12" s="46" t="str">
        <f t="shared" si="42"/>
        <v/>
      </c>
      <c r="AW12" s="46" t="str">
        <f t="shared" si="44"/>
        <v/>
      </c>
      <c r="AX12" s="46"/>
      <c r="AY12" s="52"/>
      <c r="AZ12" s="56"/>
      <c r="BA12" s="56"/>
      <c r="BB12" s="52" t="s">
        <v>79</v>
      </c>
      <c r="BC12" s="52"/>
      <c r="BD12" s="52" t="s">
        <v>80</v>
      </c>
      <c r="BE12" s="52" t="s">
        <v>77</v>
      </c>
      <c r="BF12" s="52" t="s">
        <v>85</v>
      </c>
      <c r="BG12" s="52" t="s">
        <v>88</v>
      </c>
      <c r="BH12" s="52" t="s">
        <v>82</v>
      </c>
      <c r="BI12" s="52"/>
      <c r="BJ12" s="52"/>
      <c r="BK12" s="46"/>
      <c r="BL12" s="46"/>
      <c r="BM12" s="46"/>
      <c r="BN12" s="46"/>
      <c r="BO12" s="46"/>
      <c r="BP12" s="46"/>
      <c r="BQ12" s="46"/>
      <c r="BR12" s="52" t="s">
        <v>132</v>
      </c>
      <c r="BS12" s="46"/>
      <c r="BT12" s="46"/>
      <c r="BU12" s="52" t="s">
        <v>144</v>
      </c>
      <c r="BV12" s="52" t="s">
        <v>148</v>
      </c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55"/>
      <c r="CH12" s="55"/>
      <c r="CI12" s="55"/>
      <c r="CJ12" s="55"/>
      <c r="CK12" s="55"/>
      <c r="CL12" s="53" t="s">
        <v>229</v>
      </c>
      <c r="CM12" s="53" t="s">
        <v>242</v>
      </c>
      <c r="CN12" s="53" t="s">
        <v>255</v>
      </c>
      <c r="CO12" s="53" t="s">
        <v>268</v>
      </c>
      <c r="CP12" s="53" t="s">
        <v>281</v>
      </c>
      <c r="CQ12" s="53" t="s">
        <v>294</v>
      </c>
      <c r="CR12" s="53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3" t="s">
        <v>495</v>
      </c>
      <c r="DE12" s="53" t="s">
        <v>490</v>
      </c>
      <c r="DF12" s="53" t="s">
        <v>471</v>
      </c>
      <c r="DG12" s="53" t="s">
        <v>466</v>
      </c>
      <c r="DH12" s="53" t="s">
        <v>447</v>
      </c>
      <c r="DI12" s="53" t="s">
        <v>442</v>
      </c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5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2" t="s">
        <v>512</v>
      </c>
      <c r="EU12" s="52" t="s">
        <v>518</v>
      </c>
      <c r="EV12" s="52" t="s">
        <v>518</v>
      </c>
      <c r="EW12" s="52" t="s">
        <v>587</v>
      </c>
      <c r="EX12" s="20"/>
    </row>
    <row r="13" spans="1:154">
      <c r="B13" s="1"/>
      <c r="C13" s="2"/>
      <c r="D13" s="34"/>
      <c r="E13" s="34"/>
      <c r="F13" s="34"/>
      <c r="G13" s="34"/>
      <c r="H13" s="4"/>
      <c r="I13" s="4"/>
      <c r="J13" s="4"/>
      <c r="K13" s="3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7"/>
      <c r="X13" s="1"/>
      <c r="Y13" s="18">
        <f t="shared" si="43"/>
        <v>0</v>
      </c>
      <c r="Z13" s="21"/>
      <c r="AA13" s="10">
        <f t="shared" si="21"/>
        <v>0</v>
      </c>
      <c r="AB13" s="10">
        <f t="shared" si="22"/>
        <v>0</v>
      </c>
      <c r="AC13" s="10">
        <f t="shared" si="23"/>
        <v>0</v>
      </c>
      <c r="AD13" s="46" t="str">
        <f t="shared" si="24"/>
        <v/>
      </c>
      <c r="AE13" s="46" t="str">
        <f t="shared" si="25"/>
        <v/>
      </c>
      <c r="AF13" s="46" t="str">
        <f t="shared" si="26"/>
        <v/>
      </c>
      <c r="AG13" s="46" t="str">
        <f t="shared" si="27"/>
        <v/>
      </c>
      <c r="AH13" s="46" t="str">
        <f t="shared" si="28"/>
        <v/>
      </c>
      <c r="AI13" s="46" t="str">
        <f t="shared" si="29"/>
        <v/>
      </c>
      <c r="AJ13" s="46" t="str">
        <f t="shared" si="30"/>
        <v/>
      </c>
      <c r="AK13" s="46" t="str">
        <f t="shared" si="31"/>
        <v/>
      </c>
      <c r="AL13" s="46" t="str">
        <f t="shared" si="32"/>
        <v/>
      </c>
      <c r="AM13" s="46" t="str">
        <f t="shared" si="33"/>
        <v/>
      </c>
      <c r="AN13" s="46" t="str">
        <f t="shared" si="34"/>
        <v/>
      </c>
      <c r="AO13" s="46" t="str">
        <f t="shared" si="35"/>
        <v/>
      </c>
      <c r="AP13" s="46" t="str">
        <f t="shared" si="36"/>
        <v/>
      </c>
      <c r="AQ13" s="46" t="str">
        <f t="shared" si="37"/>
        <v/>
      </c>
      <c r="AR13" s="46" t="str">
        <f t="shared" si="38"/>
        <v/>
      </c>
      <c r="AS13" s="46" t="str">
        <f t="shared" si="39"/>
        <v/>
      </c>
      <c r="AT13" s="46" t="str">
        <f t="shared" si="40"/>
        <v/>
      </c>
      <c r="AU13" s="46" t="str">
        <f t="shared" si="41"/>
        <v/>
      </c>
      <c r="AV13" s="46" t="str">
        <f t="shared" si="42"/>
        <v/>
      </c>
      <c r="AW13" s="46" t="str">
        <f t="shared" si="44"/>
        <v/>
      </c>
      <c r="AX13" s="46"/>
      <c r="AY13" s="56"/>
      <c r="AZ13" s="56"/>
      <c r="BA13" s="56"/>
      <c r="BB13" s="52"/>
      <c r="BC13" s="52"/>
      <c r="BD13" s="52" t="s">
        <v>81</v>
      </c>
      <c r="BE13" s="46"/>
      <c r="BF13" s="52" t="s">
        <v>86</v>
      </c>
      <c r="BG13" s="46"/>
      <c r="BH13" s="52" t="s">
        <v>90</v>
      </c>
      <c r="BI13" s="52"/>
      <c r="BJ13" s="52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55"/>
      <c r="CH13" s="55"/>
      <c r="CI13" s="55"/>
      <c r="CJ13" s="55"/>
      <c r="CK13" s="55"/>
      <c r="CL13" s="53" t="s">
        <v>230</v>
      </c>
      <c r="CM13" s="53" t="s">
        <v>243</v>
      </c>
      <c r="CN13" s="53" t="s">
        <v>256</v>
      </c>
      <c r="CO13" s="53" t="s">
        <v>269</v>
      </c>
      <c r="CP13" s="53" t="s">
        <v>282</v>
      </c>
      <c r="CQ13" s="53" t="s">
        <v>295</v>
      </c>
      <c r="CR13" s="53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3" t="s">
        <v>627</v>
      </c>
      <c r="DE13" s="53" t="s">
        <v>636</v>
      </c>
      <c r="DF13" s="53" t="s">
        <v>642</v>
      </c>
      <c r="DG13" s="53" t="s">
        <v>648</v>
      </c>
      <c r="DH13" s="53" t="s">
        <v>654</v>
      </c>
      <c r="DI13" s="53" t="s">
        <v>660</v>
      </c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5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2" t="s">
        <v>513</v>
      </c>
      <c r="EU13" s="52" t="s">
        <v>519</v>
      </c>
      <c r="EV13" s="52" t="s">
        <v>519</v>
      </c>
      <c r="EW13" s="52" t="s">
        <v>588</v>
      </c>
      <c r="EX13" s="20"/>
    </row>
    <row r="14" spans="1:154">
      <c r="B14" s="1"/>
      <c r="C14" s="2"/>
      <c r="D14" s="34"/>
      <c r="E14" s="34"/>
      <c r="F14" s="34"/>
      <c r="G14" s="34"/>
      <c r="H14" s="4"/>
      <c r="I14" s="4"/>
      <c r="J14" s="4"/>
      <c r="K14" s="3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7"/>
      <c r="X14" s="1"/>
      <c r="Y14" s="18">
        <f t="shared" si="43"/>
        <v>0</v>
      </c>
      <c r="Z14" s="21"/>
      <c r="AA14" s="10">
        <f t="shared" si="21"/>
        <v>0</v>
      </c>
      <c r="AB14" s="10">
        <f t="shared" si="22"/>
        <v>0</v>
      </c>
      <c r="AC14" s="10">
        <f t="shared" si="23"/>
        <v>0</v>
      </c>
      <c r="AD14" s="46" t="str">
        <f t="shared" si="24"/>
        <v/>
      </c>
      <c r="AE14" s="46" t="str">
        <f t="shared" si="25"/>
        <v/>
      </c>
      <c r="AF14" s="46" t="str">
        <f t="shared" si="26"/>
        <v/>
      </c>
      <c r="AG14" s="46" t="str">
        <f t="shared" si="27"/>
        <v/>
      </c>
      <c r="AH14" s="46" t="str">
        <f t="shared" si="28"/>
        <v/>
      </c>
      <c r="AI14" s="46" t="str">
        <f t="shared" si="29"/>
        <v/>
      </c>
      <c r="AJ14" s="46" t="str">
        <f t="shared" si="30"/>
        <v/>
      </c>
      <c r="AK14" s="46" t="str">
        <f t="shared" si="31"/>
        <v/>
      </c>
      <c r="AL14" s="46" t="str">
        <f t="shared" si="32"/>
        <v/>
      </c>
      <c r="AM14" s="46" t="str">
        <f t="shared" si="33"/>
        <v/>
      </c>
      <c r="AN14" s="46" t="str">
        <f t="shared" si="34"/>
        <v/>
      </c>
      <c r="AO14" s="46" t="str">
        <f t="shared" si="35"/>
        <v/>
      </c>
      <c r="AP14" s="46" t="str">
        <f t="shared" si="36"/>
        <v/>
      </c>
      <c r="AQ14" s="46" t="str">
        <f t="shared" si="37"/>
        <v/>
      </c>
      <c r="AR14" s="46" t="str">
        <f t="shared" si="38"/>
        <v/>
      </c>
      <c r="AS14" s="46" t="str">
        <f t="shared" si="39"/>
        <v/>
      </c>
      <c r="AT14" s="46" t="str">
        <f t="shared" si="40"/>
        <v/>
      </c>
      <c r="AU14" s="46" t="str">
        <f t="shared" si="41"/>
        <v/>
      </c>
      <c r="AV14" s="46" t="str">
        <f t="shared" si="42"/>
        <v/>
      </c>
      <c r="AW14" s="46" t="str">
        <f t="shared" si="44"/>
        <v/>
      </c>
      <c r="AX14" s="46"/>
      <c r="AY14" s="56"/>
      <c r="AZ14" s="56"/>
      <c r="BA14" s="56"/>
      <c r="BB14" s="52"/>
      <c r="BC14" s="52"/>
      <c r="BD14" s="52" t="s">
        <v>82</v>
      </c>
      <c r="BE14" s="46"/>
      <c r="BF14" s="52" t="s">
        <v>87</v>
      </c>
      <c r="BG14" s="46"/>
      <c r="BH14" s="59" t="s">
        <v>89</v>
      </c>
      <c r="BI14" s="52"/>
      <c r="BJ14" s="52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55"/>
      <c r="CH14" s="55"/>
      <c r="CI14" s="55"/>
      <c r="CJ14" s="55"/>
      <c r="CK14" s="55"/>
      <c r="CL14" s="53" t="s">
        <v>231</v>
      </c>
      <c r="CM14" s="53" t="s">
        <v>244</v>
      </c>
      <c r="CN14" s="53" t="s">
        <v>257</v>
      </c>
      <c r="CO14" s="53" t="s">
        <v>270</v>
      </c>
      <c r="CP14" s="53" t="s">
        <v>283</v>
      </c>
      <c r="CQ14" s="53" t="s">
        <v>296</v>
      </c>
      <c r="CR14" s="53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3" t="s">
        <v>492</v>
      </c>
      <c r="DE14" s="53" t="s">
        <v>487</v>
      </c>
      <c r="DF14" s="53" t="s">
        <v>468</v>
      </c>
      <c r="DG14" s="53" t="s">
        <v>463</v>
      </c>
      <c r="DH14" s="53" t="s">
        <v>444</v>
      </c>
      <c r="DI14" s="53" t="s">
        <v>439</v>
      </c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5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2" t="s">
        <v>514</v>
      </c>
      <c r="EU14" s="52" t="s">
        <v>520</v>
      </c>
      <c r="EV14" s="52" t="s">
        <v>520</v>
      </c>
      <c r="EW14" s="52" t="s">
        <v>589</v>
      </c>
      <c r="EX14" s="20"/>
    </row>
    <row r="15" spans="1:154">
      <c r="B15" s="1"/>
      <c r="C15" s="2"/>
      <c r="D15" s="34"/>
      <c r="E15" s="34"/>
      <c r="F15" s="34"/>
      <c r="G15" s="34"/>
      <c r="H15" s="4"/>
      <c r="I15" s="4"/>
      <c r="J15" s="4"/>
      <c r="K15" s="3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7"/>
      <c r="X15" s="1"/>
      <c r="Y15" s="18">
        <f t="shared" si="43"/>
        <v>0</v>
      </c>
      <c r="Z15" s="21">
        <f t="shared" ref="Z15:Z67" si="45">IF(W15&lt;&gt;"",0.0001,IF(X15+Y15=0,0,IF(X15=0,70+(Y15*50),IF(X15&gt;0,80+(Y15*50)))))</f>
        <v>0</v>
      </c>
      <c r="AA15" s="10">
        <f t="shared" si="21"/>
        <v>0</v>
      </c>
      <c r="AB15" s="10">
        <f t="shared" si="22"/>
        <v>0</v>
      </c>
      <c r="AC15" s="10">
        <f t="shared" si="23"/>
        <v>0</v>
      </c>
      <c r="AD15" s="46" t="str">
        <f t="shared" si="24"/>
        <v/>
      </c>
      <c r="AE15" s="46" t="str">
        <f t="shared" si="25"/>
        <v/>
      </c>
      <c r="AF15" s="46" t="str">
        <f t="shared" si="26"/>
        <v/>
      </c>
      <c r="AG15" s="46" t="str">
        <f t="shared" si="27"/>
        <v/>
      </c>
      <c r="AH15" s="46" t="str">
        <f t="shared" si="28"/>
        <v/>
      </c>
      <c r="AI15" s="46" t="str">
        <f t="shared" si="29"/>
        <v/>
      </c>
      <c r="AJ15" s="46" t="str">
        <f t="shared" si="30"/>
        <v/>
      </c>
      <c r="AK15" s="46" t="str">
        <f t="shared" si="31"/>
        <v/>
      </c>
      <c r="AL15" s="46" t="str">
        <f t="shared" si="32"/>
        <v/>
      </c>
      <c r="AM15" s="46" t="str">
        <f t="shared" si="33"/>
        <v/>
      </c>
      <c r="AN15" s="46" t="str">
        <f t="shared" si="34"/>
        <v/>
      </c>
      <c r="AO15" s="46" t="str">
        <f t="shared" si="35"/>
        <v/>
      </c>
      <c r="AP15" s="46" t="str">
        <f t="shared" si="36"/>
        <v/>
      </c>
      <c r="AQ15" s="46" t="str">
        <f t="shared" si="37"/>
        <v/>
      </c>
      <c r="AR15" s="46" t="str">
        <f t="shared" si="38"/>
        <v/>
      </c>
      <c r="AS15" s="46" t="str">
        <f t="shared" si="39"/>
        <v/>
      </c>
      <c r="AT15" s="46" t="str">
        <f t="shared" si="40"/>
        <v/>
      </c>
      <c r="AU15" s="46" t="str">
        <f t="shared" si="41"/>
        <v/>
      </c>
      <c r="AV15" s="46" t="str">
        <f t="shared" si="42"/>
        <v/>
      </c>
      <c r="AW15" s="46" t="str">
        <f t="shared" si="44"/>
        <v/>
      </c>
      <c r="AX15" s="46"/>
      <c r="AY15" s="56"/>
      <c r="AZ15" s="56"/>
      <c r="BA15" s="56"/>
      <c r="BB15" s="52"/>
      <c r="BC15" s="52"/>
      <c r="BD15" s="57" t="s">
        <v>83</v>
      </c>
      <c r="BE15" s="46"/>
      <c r="BF15" s="46"/>
      <c r="BG15" s="46"/>
      <c r="BH15" s="46"/>
      <c r="BI15" s="52"/>
      <c r="BJ15" s="57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55"/>
      <c r="CH15" s="55"/>
      <c r="CI15" s="55"/>
      <c r="CJ15" s="55"/>
      <c r="CK15" s="55"/>
      <c r="CL15" s="53" t="s">
        <v>232</v>
      </c>
      <c r="CM15" s="53" t="s">
        <v>245</v>
      </c>
      <c r="CN15" s="53" t="s">
        <v>258</v>
      </c>
      <c r="CO15" s="53" t="s">
        <v>271</v>
      </c>
      <c r="CP15" s="53" t="s">
        <v>284</v>
      </c>
      <c r="CQ15" s="53" t="s">
        <v>297</v>
      </c>
      <c r="CR15" s="53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3" t="s">
        <v>598</v>
      </c>
      <c r="DE15" s="53" t="s">
        <v>599</v>
      </c>
      <c r="DF15" s="53" t="s">
        <v>600</v>
      </c>
      <c r="DG15" s="53" t="s">
        <v>601</v>
      </c>
      <c r="DH15" s="53" t="s">
        <v>602</v>
      </c>
      <c r="DI15" s="53" t="s">
        <v>603</v>
      </c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5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2"/>
      <c r="EU15" s="46"/>
      <c r="EV15" s="46"/>
      <c r="EW15" s="46"/>
      <c r="EX15" s="20"/>
    </row>
    <row r="16" spans="1:154">
      <c r="B16" s="1"/>
      <c r="C16" s="2"/>
      <c r="D16" s="34"/>
      <c r="E16" s="34"/>
      <c r="F16" s="34"/>
      <c r="G16" s="34"/>
      <c r="H16" s="4"/>
      <c r="I16" s="4"/>
      <c r="J16" s="4"/>
      <c r="K16" s="3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7"/>
      <c r="X16" s="1"/>
      <c r="Y16" s="18">
        <f t="shared" si="43"/>
        <v>0</v>
      </c>
      <c r="Z16" s="21">
        <f t="shared" si="45"/>
        <v>0</v>
      </c>
      <c r="AA16" s="10">
        <f t="shared" si="21"/>
        <v>0</v>
      </c>
      <c r="AB16" s="10">
        <f t="shared" si="22"/>
        <v>0</v>
      </c>
      <c r="AC16" s="10">
        <f t="shared" si="23"/>
        <v>0</v>
      </c>
      <c r="AD16" s="46" t="str">
        <f t="shared" si="24"/>
        <v/>
      </c>
      <c r="AE16" s="46" t="str">
        <f t="shared" si="25"/>
        <v/>
      </c>
      <c r="AF16" s="46" t="str">
        <f t="shared" si="26"/>
        <v/>
      </c>
      <c r="AG16" s="46" t="str">
        <f t="shared" si="27"/>
        <v/>
      </c>
      <c r="AH16" s="46" t="str">
        <f t="shared" si="28"/>
        <v/>
      </c>
      <c r="AI16" s="46" t="str">
        <f t="shared" si="29"/>
        <v/>
      </c>
      <c r="AJ16" s="46" t="str">
        <f t="shared" si="30"/>
        <v/>
      </c>
      <c r="AK16" s="46" t="str">
        <f t="shared" si="31"/>
        <v/>
      </c>
      <c r="AL16" s="46" t="str">
        <f t="shared" si="32"/>
        <v/>
      </c>
      <c r="AM16" s="46" t="str">
        <f t="shared" si="33"/>
        <v/>
      </c>
      <c r="AN16" s="46" t="str">
        <f t="shared" si="34"/>
        <v/>
      </c>
      <c r="AO16" s="46" t="str">
        <f t="shared" si="35"/>
        <v/>
      </c>
      <c r="AP16" s="46" t="str">
        <f t="shared" si="36"/>
        <v/>
      </c>
      <c r="AQ16" s="46" t="str">
        <f t="shared" si="37"/>
        <v/>
      </c>
      <c r="AR16" s="46" t="str">
        <f t="shared" si="38"/>
        <v/>
      </c>
      <c r="AS16" s="46" t="str">
        <f t="shared" si="39"/>
        <v/>
      </c>
      <c r="AT16" s="46" t="str">
        <f t="shared" si="40"/>
        <v/>
      </c>
      <c r="AU16" s="46" t="str">
        <f t="shared" si="41"/>
        <v/>
      </c>
      <c r="AV16" s="46" t="str">
        <f t="shared" si="42"/>
        <v/>
      </c>
      <c r="AW16" s="46" t="str">
        <f t="shared" si="44"/>
        <v/>
      </c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55"/>
      <c r="CH16" s="55"/>
      <c r="CI16" s="55"/>
      <c r="CJ16" s="55"/>
      <c r="CK16" s="55"/>
      <c r="CL16" s="53" t="s">
        <v>233</v>
      </c>
      <c r="CM16" s="53" t="s">
        <v>246</v>
      </c>
      <c r="CN16" s="53" t="s">
        <v>259</v>
      </c>
      <c r="CO16" s="53" t="s">
        <v>272</v>
      </c>
      <c r="CP16" s="53" t="s">
        <v>285</v>
      </c>
      <c r="CQ16" s="53" t="s">
        <v>298</v>
      </c>
      <c r="CR16" s="53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3" t="s">
        <v>493</v>
      </c>
      <c r="DE16" s="53" t="s">
        <v>488</v>
      </c>
      <c r="DF16" s="53" t="s">
        <v>469</v>
      </c>
      <c r="DG16" s="53" t="s">
        <v>464</v>
      </c>
      <c r="DH16" s="53" t="s">
        <v>445</v>
      </c>
      <c r="DI16" s="53" t="s">
        <v>440</v>
      </c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5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2"/>
      <c r="EU16" s="46"/>
      <c r="EV16" s="46"/>
      <c r="EW16" s="46"/>
      <c r="EX16" s="20"/>
    </row>
    <row r="17" spans="2:154">
      <c r="B17" s="1"/>
      <c r="C17" s="2"/>
      <c r="D17" s="34"/>
      <c r="E17" s="34"/>
      <c r="F17" s="34"/>
      <c r="G17" s="34"/>
      <c r="H17" s="4"/>
      <c r="I17" s="4"/>
      <c r="J17" s="4"/>
      <c r="K17" s="3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7"/>
      <c r="X17" s="1"/>
      <c r="Y17" s="18">
        <f t="shared" si="43"/>
        <v>0</v>
      </c>
      <c r="Z17" s="21">
        <f t="shared" si="45"/>
        <v>0</v>
      </c>
      <c r="AA17" s="10">
        <f t="shared" si="21"/>
        <v>0</v>
      </c>
      <c r="AB17" s="10">
        <f t="shared" si="22"/>
        <v>0</v>
      </c>
      <c r="AC17" s="10">
        <f t="shared" si="23"/>
        <v>0</v>
      </c>
      <c r="AD17" s="46" t="str">
        <f t="shared" si="24"/>
        <v/>
      </c>
      <c r="AE17" s="46" t="str">
        <f t="shared" si="25"/>
        <v/>
      </c>
      <c r="AF17" s="46" t="str">
        <f t="shared" si="26"/>
        <v/>
      </c>
      <c r="AG17" s="46" t="str">
        <f t="shared" si="27"/>
        <v/>
      </c>
      <c r="AH17" s="46" t="str">
        <f t="shared" si="28"/>
        <v/>
      </c>
      <c r="AI17" s="46" t="str">
        <f t="shared" si="29"/>
        <v/>
      </c>
      <c r="AJ17" s="46" t="str">
        <f t="shared" si="30"/>
        <v/>
      </c>
      <c r="AK17" s="46" t="str">
        <f t="shared" si="31"/>
        <v/>
      </c>
      <c r="AL17" s="46" t="str">
        <f t="shared" si="32"/>
        <v/>
      </c>
      <c r="AM17" s="46" t="str">
        <f t="shared" si="33"/>
        <v/>
      </c>
      <c r="AN17" s="46" t="str">
        <f t="shared" si="34"/>
        <v/>
      </c>
      <c r="AO17" s="46" t="str">
        <f t="shared" si="35"/>
        <v/>
      </c>
      <c r="AP17" s="46" t="str">
        <f t="shared" si="36"/>
        <v/>
      </c>
      <c r="AQ17" s="46" t="str">
        <f t="shared" si="37"/>
        <v/>
      </c>
      <c r="AR17" s="46" t="str">
        <f t="shared" si="38"/>
        <v/>
      </c>
      <c r="AS17" s="46" t="str">
        <f t="shared" si="39"/>
        <v/>
      </c>
      <c r="AT17" s="46" t="str">
        <f t="shared" si="40"/>
        <v/>
      </c>
      <c r="AU17" s="46" t="str">
        <f t="shared" si="41"/>
        <v/>
      </c>
      <c r="AV17" s="46" t="str">
        <f t="shared" si="42"/>
        <v/>
      </c>
      <c r="AW17" s="46" t="str">
        <f t="shared" si="44"/>
        <v/>
      </c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55"/>
      <c r="CH17" s="55"/>
      <c r="CI17" s="55"/>
      <c r="CJ17" s="55"/>
      <c r="CK17" s="55"/>
      <c r="CL17" s="53" t="s">
        <v>234</v>
      </c>
      <c r="CM17" s="53" t="s">
        <v>247</v>
      </c>
      <c r="CN17" s="53" t="s">
        <v>260</v>
      </c>
      <c r="CO17" s="53" t="s">
        <v>273</v>
      </c>
      <c r="CP17" s="53" t="s">
        <v>286</v>
      </c>
      <c r="CQ17" s="53" t="s">
        <v>299</v>
      </c>
      <c r="CR17" s="53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3"/>
      <c r="DE17" s="53"/>
      <c r="DF17" s="53"/>
      <c r="DG17" s="53"/>
      <c r="DH17" s="53"/>
      <c r="DI17" s="53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2"/>
      <c r="EU17" s="46"/>
      <c r="EV17" s="46"/>
      <c r="EW17" s="46"/>
      <c r="EX17" s="20"/>
    </row>
    <row r="18" spans="2:154">
      <c r="B18" s="1"/>
      <c r="C18" s="2"/>
      <c r="D18" s="34"/>
      <c r="E18" s="34"/>
      <c r="F18" s="34"/>
      <c r="G18" s="34"/>
      <c r="H18" s="4"/>
      <c r="I18" s="4"/>
      <c r="J18" s="4"/>
      <c r="K18" s="3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7"/>
      <c r="X18" s="1"/>
      <c r="Y18" s="18">
        <f t="shared" si="43"/>
        <v>0</v>
      </c>
      <c r="Z18" s="21">
        <f t="shared" si="45"/>
        <v>0</v>
      </c>
      <c r="AA18" s="10">
        <f t="shared" si="21"/>
        <v>0</v>
      </c>
      <c r="AB18" s="10">
        <f t="shared" si="22"/>
        <v>0</v>
      </c>
      <c r="AC18" s="10">
        <f t="shared" si="23"/>
        <v>0</v>
      </c>
      <c r="AD18" s="46" t="str">
        <f t="shared" si="24"/>
        <v/>
      </c>
      <c r="AE18" s="46" t="str">
        <f t="shared" si="25"/>
        <v/>
      </c>
      <c r="AF18" s="46" t="str">
        <f t="shared" si="26"/>
        <v/>
      </c>
      <c r="AG18" s="46" t="str">
        <f t="shared" si="27"/>
        <v/>
      </c>
      <c r="AH18" s="46" t="str">
        <f t="shared" si="28"/>
        <v/>
      </c>
      <c r="AI18" s="46" t="str">
        <f t="shared" si="29"/>
        <v/>
      </c>
      <c r="AJ18" s="46" t="str">
        <f t="shared" si="30"/>
        <v/>
      </c>
      <c r="AK18" s="46" t="str">
        <f t="shared" si="31"/>
        <v/>
      </c>
      <c r="AL18" s="46" t="str">
        <f t="shared" si="32"/>
        <v/>
      </c>
      <c r="AM18" s="46" t="str">
        <f t="shared" si="33"/>
        <v/>
      </c>
      <c r="AN18" s="46" t="str">
        <f t="shared" si="34"/>
        <v/>
      </c>
      <c r="AO18" s="46" t="str">
        <f t="shared" si="35"/>
        <v/>
      </c>
      <c r="AP18" s="46" t="str">
        <f t="shared" si="36"/>
        <v/>
      </c>
      <c r="AQ18" s="46" t="str">
        <f t="shared" si="37"/>
        <v/>
      </c>
      <c r="AR18" s="46" t="str">
        <f t="shared" si="38"/>
        <v/>
      </c>
      <c r="AS18" s="46" t="str">
        <f t="shared" si="39"/>
        <v/>
      </c>
      <c r="AT18" s="46" t="str">
        <f t="shared" si="40"/>
        <v/>
      </c>
      <c r="AU18" s="46" t="str">
        <f t="shared" si="41"/>
        <v/>
      </c>
      <c r="AV18" s="46" t="str">
        <f t="shared" si="42"/>
        <v/>
      </c>
      <c r="AW18" s="46" t="str">
        <f t="shared" si="44"/>
        <v/>
      </c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3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46"/>
      <c r="EV18" s="46"/>
      <c r="EW18" s="46"/>
      <c r="EX18" s="20"/>
    </row>
    <row r="19" spans="2:154">
      <c r="B19" s="1"/>
      <c r="C19" s="2"/>
      <c r="D19" s="34"/>
      <c r="E19" s="34"/>
      <c r="F19" s="34"/>
      <c r="G19" s="34"/>
      <c r="H19" s="4"/>
      <c r="I19" s="4"/>
      <c r="J19" s="4"/>
      <c r="K19" s="3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7"/>
      <c r="X19" s="1"/>
      <c r="Y19" s="18">
        <f t="shared" si="43"/>
        <v>0</v>
      </c>
      <c r="Z19" s="21">
        <f t="shared" si="45"/>
        <v>0</v>
      </c>
      <c r="AA19" s="10">
        <f t="shared" si="21"/>
        <v>0</v>
      </c>
      <c r="AB19" s="10">
        <f t="shared" si="22"/>
        <v>0</v>
      </c>
      <c r="AC19" s="10">
        <f t="shared" si="23"/>
        <v>0</v>
      </c>
      <c r="AD19" s="46" t="str">
        <f t="shared" si="24"/>
        <v/>
      </c>
      <c r="AE19" s="46" t="str">
        <f t="shared" si="25"/>
        <v/>
      </c>
      <c r="AF19" s="46" t="str">
        <f t="shared" si="26"/>
        <v/>
      </c>
      <c r="AG19" s="46" t="str">
        <f t="shared" si="27"/>
        <v/>
      </c>
      <c r="AH19" s="46" t="str">
        <f t="shared" si="28"/>
        <v/>
      </c>
      <c r="AI19" s="46" t="str">
        <f t="shared" si="29"/>
        <v/>
      </c>
      <c r="AJ19" s="46" t="str">
        <f t="shared" si="30"/>
        <v/>
      </c>
      <c r="AK19" s="46" t="str">
        <f t="shared" si="31"/>
        <v/>
      </c>
      <c r="AL19" s="46" t="str">
        <f t="shared" si="32"/>
        <v/>
      </c>
      <c r="AM19" s="46" t="str">
        <f t="shared" si="33"/>
        <v/>
      </c>
      <c r="AN19" s="46" t="str">
        <f t="shared" si="34"/>
        <v/>
      </c>
      <c r="AO19" s="46" t="str">
        <f t="shared" si="35"/>
        <v/>
      </c>
      <c r="AP19" s="46" t="str">
        <f t="shared" si="36"/>
        <v/>
      </c>
      <c r="AQ19" s="46" t="str">
        <f t="shared" si="37"/>
        <v/>
      </c>
      <c r="AR19" s="46" t="str">
        <f t="shared" si="38"/>
        <v/>
      </c>
      <c r="AS19" s="46" t="str">
        <f t="shared" si="39"/>
        <v/>
      </c>
      <c r="AT19" s="46" t="str">
        <f t="shared" si="40"/>
        <v/>
      </c>
      <c r="AU19" s="46" t="str">
        <f t="shared" si="41"/>
        <v/>
      </c>
      <c r="AV19" s="46" t="str">
        <f t="shared" si="42"/>
        <v/>
      </c>
      <c r="AW19" s="46" t="str">
        <f t="shared" si="44"/>
        <v/>
      </c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3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46"/>
      <c r="EV19" s="46"/>
      <c r="EW19" s="46"/>
      <c r="EX19" s="20"/>
    </row>
    <row r="20" spans="2:154">
      <c r="B20" s="1"/>
      <c r="C20" s="2"/>
      <c r="D20" s="34"/>
      <c r="E20" s="34"/>
      <c r="F20" s="34"/>
      <c r="G20" s="34"/>
      <c r="H20" s="4"/>
      <c r="I20" s="4"/>
      <c r="J20" s="4"/>
      <c r="K20" s="3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7"/>
      <c r="X20" s="1"/>
      <c r="Y20" s="18">
        <f t="shared" si="43"/>
        <v>0</v>
      </c>
      <c r="Z20" s="21">
        <f t="shared" si="45"/>
        <v>0</v>
      </c>
      <c r="AA20" s="10">
        <f t="shared" si="21"/>
        <v>0</v>
      </c>
      <c r="AB20" s="10">
        <f t="shared" si="22"/>
        <v>0</v>
      </c>
      <c r="AC20" s="10">
        <f t="shared" si="23"/>
        <v>0</v>
      </c>
      <c r="AD20" s="46" t="str">
        <f t="shared" si="24"/>
        <v/>
      </c>
      <c r="AE20" s="46" t="str">
        <f t="shared" si="25"/>
        <v/>
      </c>
      <c r="AF20" s="46" t="str">
        <f t="shared" si="26"/>
        <v/>
      </c>
      <c r="AG20" s="46" t="str">
        <f t="shared" si="27"/>
        <v/>
      </c>
      <c r="AH20" s="46" t="str">
        <f t="shared" si="28"/>
        <v/>
      </c>
      <c r="AI20" s="46" t="str">
        <f t="shared" si="29"/>
        <v/>
      </c>
      <c r="AJ20" s="46" t="str">
        <f t="shared" si="30"/>
        <v/>
      </c>
      <c r="AK20" s="46" t="str">
        <f t="shared" si="31"/>
        <v/>
      </c>
      <c r="AL20" s="46" t="str">
        <f t="shared" si="32"/>
        <v/>
      </c>
      <c r="AM20" s="46" t="str">
        <f t="shared" si="33"/>
        <v/>
      </c>
      <c r="AN20" s="46" t="str">
        <f t="shared" si="34"/>
        <v/>
      </c>
      <c r="AO20" s="46" t="str">
        <f t="shared" si="35"/>
        <v/>
      </c>
      <c r="AP20" s="46" t="str">
        <f t="shared" si="36"/>
        <v/>
      </c>
      <c r="AQ20" s="46" t="str">
        <f t="shared" si="37"/>
        <v/>
      </c>
      <c r="AR20" s="46" t="str">
        <f t="shared" si="38"/>
        <v/>
      </c>
      <c r="AS20" s="46" t="str">
        <f t="shared" si="39"/>
        <v/>
      </c>
      <c r="AT20" s="46" t="str">
        <f t="shared" si="40"/>
        <v/>
      </c>
      <c r="AU20" s="46" t="str">
        <f t="shared" si="41"/>
        <v/>
      </c>
      <c r="AV20" s="46" t="str">
        <f t="shared" si="42"/>
        <v/>
      </c>
      <c r="AW20" s="46" t="str">
        <f t="shared" si="44"/>
        <v/>
      </c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3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46"/>
      <c r="EV20" s="46"/>
      <c r="EW20" s="46"/>
      <c r="EX20" s="20"/>
    </row>
    <row r="21" spans="2:154">
      <c r="B21" s="1"/>
      <c r="C21" s="2"/>
      <c r="D21" s="34"/>
      <c r="E21" s="34"/>
      <c r="F21" s="34"/>
      <c r="G21" s="34"/>
      <c r="H21" s="4"/>
      <c r="I21" s="4"/>
      <c r="J21" s="4"/>
      <c r="K21" s="3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7"/>
      <c r="X21" s="1"/>
      <c r="Y21" s="18">
        <f t="shared" si="43"/>
        <v>0</v>
      </c>
      <c r="Z21" s="21">
        <f t="shared" si="45"/>
        <v>0</v>
      </c>
      <c r="AA21" s="10">
        <f t="shared" si="21"/>
        <v>0</v>
      </c>
      <c r="AB21" s="10">
        <f t="shared" si="22"/>
        <v>0</v>
      </c>
      <c r="AC21" s="10">
        <f t="shared" si="23"/>
        <v>0</v>
      </c>
      <c r="AD21" s="46" t="str">
        <f t="shared" si="24"/>
        <v/>
      </c>
      <c r="AE21" s="46" t="str">
        <f t="shared" si="25"/>
        <v/>
      </c>
      <c r="AF21" s="46" t="str">
        <f t="shared" si="26"/>
        <v/>
      </c>
      <c r="AG21" s="46" t="str">
        <f t="shared" si="27"/>
        <v/>
      </c>
      <c r="AH21" s="46" t="str">
        <f t="shared" si="28"/>
        <v/>
      </c>
      <c r="AI21" s="46" t="str">
        <f t="shared" si="29"/>
        <v/>
      </c>
      <c r="AJ21" s="46" t="str">
        <f t="shared" si="30"/>
        <v/>
      </c>
      <c r="AK21" s="46" t="str">
        <f t="shared" si="31"/>
        <v/>
      </c>
      <c r="AL21" s="46" t="str">
        <f t="shared" si="32"/>
        <v/>
      </c>
      <c r="AM21" s="46" t="str">
        <f t="shared" si="33"/>
        <v/>
      </c>
      <c r="AN21" s="46" t="str">
        <f t="shared" si="34"/>
        <v/>
      </c>
      <c r="AO21" s="46" t="str">
        <f t="shared" si="35"/>
        <v/>
      </c>
      <c r="AP21" s="46" t="str">
        <f t="shared" si="36"/>
        <v/>
      </c>
      <c r="AQ21" s="46" t="str">
        <f t="shared" si="37"/>
        <v/>
      </c>
      <c r="AR21" s="46" t="str">
        <f t="shared" si="38"/>
        <v/>
      </c>
      <c r="AS21" s="46" t="str">
        <f t="shared" si="39"/>
        <v/>
      </c>
      <c r="AT21" s="46" t="str">
        <f t="shared" si="40"/>
        <v/>
      </c>
      <c r="AU21" s="46" t="str">
        <f t="shared" si="41"/>
        <v/>
      </c>
      <c r="AV21" s="46" t="str">
        <f t="shared" si="42"/>
        <v/>
      </c>
      <c r="AW21" s="46" t="str">
        <f t="shared" si="44"/>
        <v/>
      </c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46"/>
      <c r="EV21" s="46"/>
      <c r="EW21" s="46"/>
      <c r="EX21" s="20"/>
    </row>
    <row r="22" spans="2:154">
      <c r="B22" s="1"/>
      <c r="C22" s="2"/>
      <c r="D22" s="34"/>
      <c r="E22" s="34"/>
      <c r="F22" s="34"/>
      <c r="G22" s="34"/>
      <c r="H22" s="4"/>
      <c r="I22" s="4"/>
      <c r="J22" s="4"/>
      <c r="K22" s="3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7"/>
      <c r="X22" s="1"/>
      <c r="Y22" s="18">
        <f t="shared" si="43"/>
        <v>0</v>
      </c>
      <c r="Z22" s="21">
        <f t="shared" si="45"/>
        <v>0</v>
      </c>
      <c r="AA22" s="10">
        <f t="shared" si="21"/>
        <v>0</v>
      </c>
      <c r="AB22" s="10">
        <f t="shared" si="22"/>
        <v>0</v>
      </c>
      <c r="AC22" s="10">
        <f t="shared" si="23"/>
        <v>0</v>
      </c>
      <c r="AD22" s="46" t="str">
        <f t="shared" si="24"/>
        <v/>
      </c>
      <c r="AE22" s="46" t="str">
        <f t="shared" si="25"/>
        <v/>
      </c>
      <c r="AF22" s="46" t="str">
        <f t="shared" si="26"/>
        <v/>
      </c>
      <c r="AG22" s="46" t="str">
        <f t="shared" si="27"/>
        <v/>
      </c>
      <c r="AH22" s="46" t="str">
        <f t="shared" si="28"/>
        <v/>
      </c>
      <c r="AI22" s="46" t="str">
        <f t="shared" si="29"/>
        <v/>
      </c>
      <c r="AJ22" s="46" t="str">
        <f t="shared" si="30"/>
        <v/>
      </c>
      <c r="AK22" s="46" t="str">
        <f t="shared" si="31"/>
        <v/>
      </c>
      <c r="AL22" s="46" t="str">
        <f t="shared" si="32"/>
        <v/>
      </c>
      <c r="AM22" s="46" t="str">
        <f t="shared" si="33"/>
        <v/>
      </c>
      <c r="AN22" s="46" t="str">
        <f t="shared" si="34"/>
        <v/>
      </c>
      <c r="AO22" s="46" t="str">
        <f t="shared" si="35"/>
        <v/>
      </c>
      <c r="AP22" s="46" t="str">
        <f t="shared" si="36"/>
        <v/>
      </c>
      <c r="AQ22" s="46" t="str">
        <f t="shared" si="37"/>
        <v/>
      </c>
      <c r="AR22" s="46" t="str">
        <f t="shared" si="38"/>
        <v/>
      </c>
      <c r="AS22" s="46" t="str">
        <f t="shared" si="39"/>
        <v/>
      </c>
      <c r="AT22" s="46" t="str">
        <f t="shared" si="40"/>
        <v/>
      </c>
      <c r="AU22" s="46" t="str">
        <f t="shared" si="41"/>
        <v/>
      </c>
      <c r="AV22" s="46" t="str">
        <f t="shared" si="42"/>
        <v/>
      </c>
      <c r="AW22" s="46" t="str">
        <f t="shared" si="44"/>
        <v/>
      </c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46"/>
      <c r="EV22" s="46"/>
      <c r="EW22" s="46"/>
      <c r="EX22" s="20"/>
    </row>
    <row r="23" spans="2:154">
      <c r="B23" s="1"/>
      <c r="C23" s="2"/>
      <c r="D23" s="34"/>
      <c r="E23" s="34"/>
      <c r="F23" s="34"/>
      <c r="G23" s="34"/>
      <c r="H23" s="4"/>
      <c r="I23" s="4"/>
      <c r="J23" s="4"/>
      <c r="K23" s="3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7"/>
      <c r="X23" s="1"/>
      <c r="Y23" s="18">
        <f t="shared" si="43"/>
        <v>0</v>
      </c>
      <c r="Z23" s="21">
        <f t="shared" si="45"/>
        <v>0</v>
      </c>
      <c r="AA23" s="10">
        <f t="shared" si="21"/>
        <v>0</v>
      </c>
      <c r="AB23" s="10">
        <f t="shared" si="22"/>
        <v>0</v>
      </c>
      <c r="AC23" s="10">
        <f t="shared" si="23"/>
        <v>0</v>
      </c>
      <c r="AD23" s="46" t="str">
        <f t="shared" si="24"/>
        <v/>
      </c>
      <c r="AE23" s="46" t="str">
        <f t="shared" si="25"/>
        <v/>
      </c>
      <c r="AF23" s="46" t="str">
        <f t="shared" si="26"/>
        <v/>
      </c>
      <c r="AG23" s="46" t="str">
        <f t="shared" si="27"/>
        <v/>
      </c>
      <c r="AH23" s="46" t="str">
        <f t="shared" si="28"/>
        <v/>
      </c>
      <c r="AI23" s="46" t="str">
        <f t="shared" si="29"/>
        <v/>
      </c>
      <c r="AJ23" s="46" t="str">
        <f t="shared" si="30"/>
        <v/>
      </c>
      <c r="AK23" s="46" t="str">
        <f t="shared" si="31"/>
        <v/>
      </c>
      <c r="AL23" s="46" t="str">
        <f t="shared" si="32"/>
        <v/>
      </c>
      <c r="AM23" s="46" t="str">
        <f t="shared" si="33"/>
        <v/>
      </c>
      <c r="AN23" s="46" t="str">
        <f t="shared" si="34"/>
        <v/>
      </c>
      <c r="AO23" s="46" t="str">
        <f t="shared" si="35"/>
        <v/>
      </c>
      <c r="AP23" s="46" t="str">
        <f t="shared" si="36"/>
        <v/>
      </c>
      <c r="AQ23" s="46" t="str">
        <f t="shared" si="37"/>
        <v/>
      </c>
      <c r="AR23" s="46" t="str">
        <f t="shared" si="38"/>
        <v/>
      </c>
      <c r="AS23" s="46" t="str">
        <f t="shared" si="39"/>
        <v/>
      </c>
      <c r="AT23" s="46" t="str">
        <f t="shared" si="40"/>
        <v/>
      </c>
      <c r="AU23" s="46" t="str">
        <f t="shared" si="41"/>
        <v/>
      </c>
      <c r="AV23" s="46" t="str">
        <f t="shared" si="42"/>
        <v/>
      </c>
      <c r="AW23" s="46" t="str">
        <f t="shared" si="44"/>
        <v/>
      </c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20"/>
    </row>
    <row r="24" spans="2:154">
      <c r="B24" s="1"/>
      <c r="C24" s="2"/>
      <c r="D24" s="34"/>
      <c r="E24" s="34"/>
      <c r="F24" s="34"/>
      <c r="G24" s="34"/>
      <c r="H24" s="4"/>
      <c r="I24" s="4"/>
      <c r="J24" s="4"/>
      <c r="K24" s="3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37"/>
      <c r="X24" s="1"/>
      <c r="Y24" s="18">
        <f t="shared" si="43"/>
        <v>0</v>
      </c>
      <c r="Z24" s="21">
        <f t="shared" si="45"/>
        <v>0</v>
      </c>
      <c r="AA24" s="10">
        <f t="shared" si="21"/>
        <v>0</v>
      </c>
      <c r="AB24" s="10">
        <f t="shared" si="22"/>
        <v>0</v>
      </c>
      <c r="AC24" s="10">
        <f t="shared" si="23"/>
        <v>0</v>
      </c>
      <c r="AD24" s="46" t="str">
        <f t="shared" si="24"/>
        <v/>
      </c>
      <c r="AE24" s="46" t="str">
        <f t="shared" si="25"/>
        <v/>
      </c>
      <c r="AF24" s="46" t="str">
        <f t="shared" si="26"/>
        <v/>
      </c>
      <c r="AG24" s="46" t="str">
        <f t="shared" si="27"/>
        <v/>
      </c>
      <c r="AH24" s="46" t="str">
        <f t="shared" si="28"/>
        <v/>
      </c>
      <c r="AI24" s="46" t="str">
        <f t="shared" si="29"/>
        <v/>
      </c>
      <c r="AJ24" s="46" t="str">
        <f t="shared" si="30"/>
        <v/>
      </c>
      <c r="AK24" s="46" t="str">
        <f t="shared" si="31"/>
        <v/>
      </c>
      <c r="AL24" s="46" t="str">
        <f t="shared" si="32"/>
        <v/>
      </c>
      <c r="AM24" s="46" t="str">
        <f t="shared" si="33"/>
        <v/>
      </c>
      <c r="AN24" s="46" t="str">
        <f t="shared" si="34"/>
        <v/>
      </c>
      <c r="AO24" s="46" t="str">
        <f t="shared" si="35"/>
        <v/>
      </c>
      <c r="AP24" s="46" t="str">
        <f t="shared" si="36"/>
        <v/>
      </c>
      <c r="AQ24" s="46" t="str">
        <f t="shared" si="37"/>
        <v/>
      </c>
      <c r="AR24" s="46" t="str">
        <f t="shared" si="38"/>
        <v/>
      </c>
      <c r="AS24" s="46" t="str">
        <f t="shared" si="39"/>
        <v/>
      </c>
      <c r="AT24" s="46" t="str">
        <f t="shared" si="40"/>
        <v/>
      </c>
      <c r="AU24" s="46" t="str">
        <f t="shared" si="41"/>
        <v/>
      </c>
      <c r="AV24" s="46" t="str">
        <f t="shared" si="42"/>
        <v/>
      </c>
      <c r="AW24" s="46" t="str">
        <f t="shared" si="44"/>
        <v/>
      </c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20"/>
    </row>
    <row r="25" spans="2:154">
      <c r="B25" s="1"/>
      <c r="C25" s="2"/>
      <c r="D25" s="34"/>
      <c r="E25" s="34"/>
      <c r="F25" s="34"/>
      <c r="G25" s="34"/>
      <c r="H25" s="4"/>
      <c r="I25" s="4"/>
      <c r="J25" s="4"/>
      <c r="K25" s="3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7"/>
      <c r="X25" s="1"/>
      <c r="Y25" s="18">
        <f t="shared" si="43"/>
        <v>0</v>
      </c>
      <c r="Z25" s="21">
        <f t="shared" si="45"/>
        <v>0</v>
      </c>
      <c r="AA25" s="10">
        <f t="shared" si="21"/>
        <v>0</v>
      </c>
      <c r="AB25" s="10">
        <f t="shared" si="22"/>
        <v>0</v>
      </c>
      <c r="AC25" s="10">
        <f t="shared" si="23"/>
        <v>0</v>
      </c>
      <c r="AD25" s="46" t="str">
        <f t="shared" si="24"/>
        <v/>
      </c>
      <c r="AE25" s="46" t="str">
        <f t="shared" si="25"/>
        <v/>
      </c>
      <c r="AF25" s="46" t="str">
        <f t="shared" si="26"/>
        <v/>
      </c>
      <c r="AG25" s="46" t="str">
        <f t="shared" si="27"/>
        <v/>
      </c>
      <c r="AH25" s="46" t="str">
        <f t="shared" si="28"/>
        <v/>
      </c>
      <c r="AI25" s="46" t="str">
        <f t="shared" si="29"/>
        <v/>
      </c>
      <c r="AJ25" s="46" t="str">
        <f t="shared" si="30"/>
        <v/>
      </c>
      <c r="AK25" s="46" t="str">
        <f t="shared" si="31"/>
        <v/>
      </c>
      <c r="AL25" s="46" t="str">
        <f t="shared" si="32"/>
        <v/>
      </c>
      <c r="AM25" s="46" t="str">
        <f t="shared" si="33"/>
        <v/>
      </c>
      <c r="AN25" s="46" t="str">
        <f t="shared" si="34"/>
        <v/>
      </c>
      <c r="AO25" s="46" t="str">
        <f t="shared" si="35"/>
        <v/>
      </c>
      <c r="AP25" s="46" t="str">
        <f t="shared" si="36"/>
        <v/>
      </c>
      <c r="AQ25" s="46" t="str">
        <f t="shared" si="37"/>
        <v/>
      </c>
      <c r="AR25" s="46" t="str">
        <f t="shared" si="38"/>
        <v/>
      </c>
      <c r="AS25" s="46" t="str">
        <f t="shared" si="39"/>
        <v/>
      </c>
      <c r="AT25" s="46" t="str">
        <f t="shared" si="40"/>
        <v/>
      </c>
      <c r="AU25" s="46" t="str">
        <f t="shared" si="41"/>
        <v/>
      </c>
      <c r="AV25" s="46" t="str">
        <f t="shared" si="42"/>
        <v/>
      </c>
      <c r="AW25" s="46" t="str">
        <f t="shared" si="44"/>
        <v/>
      </c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20"/>
    </row>
    <row r="26" spans="2:154">
      <c r="B26" s="1"/>
      <c r="C26" s="2"/>
      <c r="D26" s="34"/>
      <c r="E26" s="34"/>
      <c r="F26" s="34"/>
      <c r="G26" s="34"/>
      <c r="H26" s="4"/>
      <c r="I26" s="4"/>
      <c r="J26" s="4"/>
      <c r="K26" s="3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7"/>
      <c r="X26" s="1"/>
      <c r="Y26" s="18">
        <f t="shared" si="43"/>
        <v>0</v>
      </c>
      <c r="Z26" s="21">
        <f t="shared" si="45"/>
        <v>0</v>
      </c>
      <c r="AA26" s="10">
        <f t="shared" si="21"/>
        <v>0</v>
      </c>
      <c r="AB26" s="10">
        <f t="shared" si="22"/>
        <v>0</v>
      </c>
      <c r="AC26" s="10">
        <f t="shared" si="23"/>
        <v>0</v>
      </c>
      <c r="AD26" s="46" t="str">
        <f t="shared" si="24"/>
        <v/>
      </c>
      <c r="AE26" s="46" t="str">
        <f t="shared" si="25"/>
        <v/>
      </c>
      <c r="AF26" s="46" t="str">
        <f t="shared" si="26"/>
        <v/>
      </c>
      <c r="AG26" s="46" t="str">
        <f t="shared" si="27"/>
        <v/>
      </c>
      <c r="AH26" s="46" t="str">
        <f t="shared" si="28"/>
        <v/>
      </c>
      <c r="AI26" s="46" t="str">
        <f t="shared" si="29"/>
        <v/>
      </c>
      <c r="AJ26" s="46" t="str">
        <f t="shared" si="30"/>
        <v/>
      </c>
      <c r="AK26" s="46" t="str">
        <f t="shared" si="31"/>
        <v/>
      </c>
      <c r="AL26" s="46" t="str">
        <f t="shared" si="32"/>
        <v/>
      </c>
      <c r="AM26" s="46" t="str">
        <f t="shared" si="33"/>
        <v/>
      </c>
      <c r="AN26" s="46" t="str">
        <f t="shared" si="34"/>
        <v/>
      </c>
      <c r="AO26" s="46" t="str">
        <f t="shared" si="35"/>
        <v/>
      </c>
      <c r="AP26" s="46" t="str">
        <f t="shared" si="36"/>
        <v/>
      </c>
      <c r="AQ26" s="46" t="str">
        <f t="shared" si="37"/>
        <v/>
      </c>
      <c r="AR26" s="46" t="str">
        <f t="shared" si="38"/>
        <v/>
      </c>
      <c r="AS26" s="46" t="str">
        <f t="shared" si="39"/>
        <v/>
      </c>
      <c r="AT26" s="46" t="str">
        <f t="shared" si="40"/>
        <v/>
      </c>
      <c r="AU26" s="46" t="str">
        <f t="shared" si="41"/>
        <v/>
      </c>
      <c r="AV26" s="46" t="str">
        <f t="shared" si="42"/>
        <v/>
      </c>
      <c r="AW26" s="46" t="str">
        <f t="shared" si="44"/>
        <v/>
      </c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20"/>
    </row>
    <row r="27" spans="2:154">
      <c r="B27" s="1"/>
      <c r="C27" s="2"/>
      <c r="D27" s="34"/>
      <c r="E27" s="34"/>
      <c r="F27" s="34"/>
      <c r="G27" s="34"/>
      <c r="H27" s="4"/>
      <c r="I27" s="4"/>
      <c r="J27" s="4"/>
      <c r="K27" s="3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37"/>
      <c r="X27" s="1"/>
      <c r="Y27" s="18">
        <f t="shared" si="43"/>
        <v>0</v>
      </c>
      <c r="Z27" s="21">
        <f t="shared" si="45"/>
        <v>0</v>
      </c>
      <c r="AA27" s="10">
        <f t="shared" si="21"/>
        <v>0</v>
      </c>
      <c r="AB27" s="10">
        <f t="shared" si="22"/>
        <v>0</v>
      </c>
      <c r="AC27" s="10">
        <f t="shared" si="23"/>
        <v>0</v>
      </c>
      <c r="AD27" s="46" t="str">
        <f t="shared" si="24"/>
        <v/>
      </c>
      <c r="AE27" s="46" t="str">
        <f t="shared" si="25"/>
        <v/>
      </c>
      <c r="AF27" s="46" t="str">
        <f t="shared" si="26"/>
        <v/>
      </c>
      <c r="AG27" s="46" t="str">
        <f t="shared" si="27"/>
        <v/>
      </c>
      <c r="AH27" s="46" t="str">
        <f t="shared" si="28"/>
        <v/>
      </c>
      <c r="AI27" s="46" t="str">
        <f t="shared" si="29"/>
        <v/>
      </c>
      <c r="AJ27" s="46" t="str">
        <f t="shared" si="30"/>
        <v/>
      </c>
      <c r="AK27" s="46" t="str">
        <f t="shared" si="31"/>
        <v/>
      </c>
      <c r="AL27" s="46" t="str">
        <f t="shared" si="32"/>
        <v/>
      </c>
      <c r="AM27" s="46" t="str">
        <f t="shared" si="33"/>
        <v/>
      </c>
      <c r="AN27" s="46" t="str">
        <f t="shared" si="34"/>
        <v/>
      </c>
      <c r="AO27" s="46" t="str">
        <f t="shared" si="35"/>
        <v/>
      </c>
      <c r="AP27" s="46" t="str">
        <f t="shared" si="36"/>
        <v/>
      </c>
      <c r="AQ27" s="46" t="str">
        <f t="shared" si="37"/>
        <v/>
      </c>
      <c r="AR27" s="46" t="str">
        <f t="shared" si="38"/>
        <v/>
      </c>
      <c r="AS27" s="46" t="str">
        <f t="shared" si="39"/>
        <v/>
      </c>
      <c r="AT27" s="46" t="str">
        <f t="shared" si="40"/>
        <v/>
      </c>
      <c r="AU27" s="46" t="str">
        <f t="shared" si="41"/>
        <v/>
      </c>
      <c r="AV27" s="46" t="str">
        <f t="shared" si="42"/>
        <v/>
      </c>
      <c r="AW27" s="46" t="str">
        <f t="shared" si="44"/>
        <v/>
      </c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20"/>
    </row>
    <row r="28" spans="2:154">
      <c r="B28" s="1"/>
      <c r="C28" s="2"/>
      <c r="D28" s="34"/>
      <c r="E28" s="34"/>
      <c r="F28" s="34"/>
      <c r="G28" s="34"/>
      <c r="H28" s="4"/>
      <c r="I28" s="4"/>
      <c r="J28" s="4"/>
      <c r="K28" s="3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37"/>
      <c r="X28" s="1"/>
      <c r="Y28" s="18">
        <f t="shared" si="43"/>
        <v>0</v>
      </c>
      <c r="Z28" s="21">
        <f t="shared" si="45"/>
        <v>0</v>
      </c>
      <c r="AA28" s="10">
        <f t="shared" si="21"/>
        <v>0</v>
      </c>
      <c r="AB28" s="10">
        <f t="shared" si="22"/>
        <v>0</v>
      </c>
      <c r="AC28" s="10">
        <f t="shared" si="23"/>
        <v>0</v>
      </c>
      <c r="AD28" s="46" t="str">
        <f t="shared" si="24"/>
        <v/>
      </c>
      <c r="AE28" s="46" t="str">
        <f t="shared" si="25"/>
        <v/>
      </c>
      <c r="AF28" s="46" t="str">
        <f t="shared" si="26"/>
        <v/>
      </c>
      <c r="AG28" s="46" t="str">
        <f t="shared" si="27"/>
        <v/>
      </c>
      <c r="AH28" s="46" t="str">
        <f t="shared" si="28"/>
        <v/>
      </c>
      <c r="AI28" s="46" t="str">
        <f t="shared" si="29"/>
        <v/>
      </c>
      <c r="AJ28" s="46" t="str">
        <f t="shared" si="30"/>
        <v/>
      </c>
      <c r="AK28" s="46" t="str">
        <f t="shared" si="31"/>
        <v/>
      </c>
      <c r="AL28" s="46" t="str">
        <f t="shared" si="32"/>
        <v/>
      </c>
      <c r="AM28" s="46" t="str">
        <f t="shared" si="33"/>
        <v/>
      </c>
      <c r="AN28" s="46" t="str">
        <f t="shared" si="34"/>
        <v/>
      </c>
      <c r="AO28" s="46" t="str">
        <f t="shared" si="35"/>
        <v/>
      </c>
      <c r="AP28" s="46" t="str">
        <f t="shared" si="36"/>
        <v/>
      </c>
      <c r="AQ28" s="46" t="str">
        <f t="shared" si="37"/>
        <v/>
      </c>
      <c r="AR28" s="46" t="str">
        <f t="shared" si="38"/>
        <v/>
      </c>
      <c r="AS28" s="46" t="str">
        <f t="shared" si="39"/>
        <v/>
      </c>
      <c r="AT28" s="46" t="str">
        <f t="shared" si="40"/>
        <v/>
      </c>
      <c r="AU28" s="46" t="str">
        <f t="shared" si="41"/>
        <v/>
      </c>
      <c r="AV28" s="46" t="str">
        <f t="shared" si="42"/>
        <v/>
      </c>
      <c r="AW28" s="46" t="str">
        <f t="shared" si="44"/>
        <v/>
      </c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20"/>
    </row>
    <row r="29" spans="2:154">
      <c r="B29" s="1"/>
      <c r="C29" s="2"/>
      <c r="D29" s="34"/>
      <c r="E29" s="34"/>
      <c r="F29" s="34"/>
      <c r="G29" s="34"/>
      <c r="H29" s="4"/>
      <c r="I29" s="4"/>
      <c r="J29" s="4"/>
      <c r="K29" s="3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37"/>
      <c r="X29" s="1"/>
      <c r="Y29" s="18">
        <f t="shared" si="43"/>
        <v>0</v>
      </c>
      <c r="Z29" s="21">
        <f t="shared" si="45"/>
        <v>0</v>
      </c>
      <c r="AA29" s="10">
        <f t="shared" si="21"/>
        <v>0</v>
      </c>
      <c r="AB29" s="10">
        <f t="shared" si="22"/>
        <v>0</v>
      </c>
      <c r="AC29" s="10">
        <f t="shared" si="23"/>
        <v>0</v>
      </c>
      <c r="AD29" s="46" t="str">
        <f t="shared" si="24"/>
        <v/>
      </c>
      <c r="AE29" s="46" t="str">
        <f t="shared" si="25"/>
        <v/>
      </c>
      <c r="AF29" s="46" t="str">
        <f t="shared" si="26"/>
        <v/>
      </c>
      <c r="AG29" s="46" t="str">
        <f t="shared" si="27"/>
        <v/>
      </c>
      <c r="AH29" s="46" t="str">
        <f t="shared" si="28"/>
        <v/>
      </c>
      <c r="AI29" s="46" t="str">
        <f t="shared" si="29"/>
        <v/>
      </c>
      <c r="AJ29" s="46" t="str">
        <f t="shared" si="30"/>
        <v/>
      </c>
      <c r="AK29" s="46" t="str">
        <f t="shared" si="31"/>
        <v/>
      </c>
      <c r="AL29" s="46" t="str">
        <f t="shared" si="32"/>
        <v/>
      </c>
      <c r="AM29" s="46" t="str">
        <f t="shared" si="33"/>
        <v/>
      </c>
      <c r="AN29" s="46" t="str">
        <f t="shared" si="34"/>
        <v/>
      </c>
      <c r="AO29" s="46" t="str">
        <f t="shared" si="35"/>
        <v/>
      </c>
      <c r="AP29" s="46" t="str">
        <f t="shared" si="36"/>
        <v/>
      </c>
      <c r="AQ29" s="46" t="str">
        <f t="shared" si="37"/>
        <v/>
      </c>
      <c r="AR29" s="46" t="str">
        <f t="shared" si="38"/>
        <v/>
      </c>
      <c r="AS29" s="46" t="str">
        <f t="shared" si="39"/>
        <v/>
      </c>
      <c r="AT29" s="46" t="str">
        <f t="shared" si="40"/>
        <v/>
      </c>
      <c r="AU29" s="46" t="str">
        <f t="shared" si="41"/>
        <v/>
      </c>
      <c r="AV29" s="46" t="str">
        <f t="shared" si="42"/>
        <v/>
      </c>
      <c r="AW29" s="46" t="str">
        <f t="shared" si="44"/>
        <v/>
      </c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20"/>
    </row>
    <row r="30" spans="2:154">
      <c r="B30" s="1"/>
      <c r="C30" s="2"/>
      <c r="D30" s="34"/>
      <c r="E30" s="34"/>
      <c r="F30" s="34"/>
      <c r="G30" s="34"/>
      <c r="H30" s="4"/>
      <c r="I30" s="4"/>
      <c r="J30" s="4"/>
      <c r="K30" s="3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37"/>
      <c r="X30" s="1"/>
      <c r="Y30" s="18">
        <f t="shared" si="43"/>
        <v>0</v>
      </c>
      <c r="Z30" s="21">
        <f t="shared" si="45"/>
        <v>0</v>
      </c>
      <c r="AA30" s="10">
        <f t="shared" si="21"/>
        <v>0</v>
      </c>
      <c r="AB30" s="10">
        <f t="shared" si="22"/>
        <v>0</v>
      </c>
      <c r="AC30" s="10">
        <f t="shared" si="23"/>
        <v>0</v>
      </c>
      <c r="AD30" s="46" t="str">
        <f t="shared" si="24"/>
        <v/>
      </c>
      <c r="AE30" s="46" t="str">
        <f t="shared" si="25"/>
        <v/>
      </c>
      <c r="AF30" s="46" t="str">
        <f t="shared" si="26"/>
        <v/>
      </c>
      <c r="AG30" s="46" t="str">
        <f t="shared" si="27"/>
        <v/>
      </c>
      <c r="AH30" s="46" t="str">
        <f t="shared" si="28"/>
        <v/>
      </c>
      <c r="AI30" s="46" t="str">
        <f t="shared" si="29"/>
        <v/>
      </c>
      <c r="AJ30" s="46" t="str">
        <f t="shared" si="30"/>
        <v/>
      </c>
      <c r="AK30" s="46" t="str">
        <f t="shared" si="31"/>
        <v/>
      </c>
      <c r="AL30" s="46" t="str">
        <f t="shared" si="32"/>
        <v/>
      </c>
      <c r="AM30" s="46" t="str">
        <f t="shared" si="33"/>
        <v/>
      </c>
      <c r="AN30" s="46" t="str">
        <f t="shared" si="34"/>
        <v/>
      </c>
      <c r="AO30" s="46" t="str">
        <f t="shared" si="35"/>
        <v/>
      </c>
      <c r="AP30" s="46" t="str">
        <f t="shared" si="36"/>
        <v/>
      </c>
      <c r="AQ30" s="46" t="str">
        <f t="shared" si="37"/>
        <v/>
      </c>
      <c r="AR30" s="46" t="str">
        <f t="shared" si="38"/>
        <v/>
      </c>
      <c r="AS30" s="46" t="str">
        <f t="shared" si="39"/>
        <v/>
      </c>
      <c r="AT30" s="46" t="str">
        <f t="shared" si="40"/>
        <v/>
      </c>
      <c r="AU30" s="46" t="str">
        <f t="shared" si="41"/>
        <v/>
      </c>
      <c r="AV30" s="46" t="str">
        <f t="shared" si="42"/>
        <v/>
      </c>
      <c r="AW30" s="46" t="str">
        <f t="shared" si="44"/>
        <v/>
      </c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20"/>
    </row>
    <row r="31" spans="2:154">
      <c r="B31" s="1"/>
      <c r="C31" s="2"/>
      <c r="D31" s="34"/>
      <c r="E31" s="34"/>
      <c r="F31" s="34"/>
      <c r="G31" s="34"/>
      <c r="H31" s="4"/>
      <c r="I31" s="4"/>
      <c r="J31" s="4"/>
      <c r="K31" s="3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37"/>
      <c r="X31" s="1"/>
      <c r="Y31" s="18">
        <f t="shared" si="43"/>
        <v>0</v>
      </c>
      <c r="Z31" s="21">
        <f t="shared" si="45"/>
        <v>0</v>
      </c>
      <c r="AA31" s="10">
        <f t="shared" si="21"/>
        <v>0</v>
      </c>
      <c r="AB31" s="10">
        <f t="shared" si="22"/>
        <v>0</v>
      </c>
      <c r="AC31" s="10">
        <f t="shared" si="23"/>
        <v>0</v>
      </c>
      <c r="AD31" s="46" t="str">
        <f t="shared" si="24"/>
        <v/>
      </c>
      <c r="AE31" s="46" t="str">
        <f t="shared" si="25"/>
        <v/>
      </c>
      <c r="AF31" s="46" t="str">
        <f t="shared" si="26"/>
        <v/>
      </c>
      <c r="AG31" s="46" t="str">
        <f t="shared" si="27"/>
        <v/>
      </c>
      <c r="AH31" s="46" t="str">
        <f t="shared" si="28"/>
        <v/>
      </c>
      <c r="AI31" s="46" t="str">
        <f t="shared" si="29"/>
        <v/>
      </c>
      <c r="AJ31" s="46" t="str">
        <f t="shared" si="30"/>
        <v/>
      </c>
      <c r="AK31" s="46" t="str">
        <f t="shared" si="31"/>
        <v/>
      </c>
      <c r="AL31" s="46" t="str">
        <f t="shared" si="32"/>
        <v/>
      </c>
      <c r="AM31" s="46" t="str">
        <f t="shared" si="33"/>
        <v/>
      </c>
      <c r="AN31" s="46" t="str">
        <f t="shared" si="34"/>
        <v/>
      </c>
      <c r="AO31" s="46" t="str">
        <f t="shared" si="35"/>
        <v/>
      </c>
      <c r="AP31" s="46" t="str">
        <f t="shared" si="36"/>
        <v/>
      </c>
      <c r="AQ31" s="46" t="str">
        <f t="shared" si="37"/>
        <v/>
      </c>
      <c r="AR31" s="46" t="str">
        <f t="shared" si="38"/>
        <v/>
      </c>
      <c r="AS31" s="46" t="str">
        <f t="shared" si="39"/>
        <v/>
      </c>
      <c r="AT31" s="46" t="str">
        <f t="shared" si="40"/>
        <v/>
      </c>
      <c r="AU31" s="46" t="str">
        <f t="shared" si="41"/>
        <v/>
      </c>
      <c r="AV31" s="46" t="str">
        <f t="shared" si="42"/>
        <v/>
      </c>
      <c r="AW31" s="46" t="str">
        <f t="shared" si="44"/>
        <v/>
      </c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20"/>
    </row>
    <row r="32" spans="2:154">
      <c r="B32" s="1"/>
      <c r="C32" s="2"/>
      <c r="D32" s="34"/>
      <c r="E32" s="34"/>
      <c r="F32" s="34"/>
      <c r="G32" s="34"/>
      <c r="H32" s="4"/>
      <c r="I32" s="4"/>
      <c r="J32" s="4"/>
      <c r="K32" s="3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37"/>
      <c r="X32" s="1"/>
      <c r="Y32" s="18">
        <f t="shared" si="43"/>
        <v>0</v>
      </c>
      <c r="Z32" s="21">
        <f t="shared" si="45"/>
        <v>0</v>
      </c>
      <c r="AA32" s="10">
        <f t="shared" si="21"/>
        <v>0</v>
      </c>
      <c r="AB32" s="10">
        <f t="shared" si="22"/>
        <v>0</v>
      </c>
      <c r="AC32" s="10">
        <f t="shared" si="23"/>
        <v>0</v>
      </c>
      <c r="AD32" s="46" t="str">
        <f t="shared" si="24"/>
        <v/>
      </c>
      <c r="AE32" s="46" t="str">
        <f t="shared" si="25"/>
        <v/>
      </c>
      <c r="AF32" s="46" t="str">
        <f t="shared" si="26"/>
        <v/>
      </c>
      <c r="AG32" s="46" t="str">
        <f t="shared" si="27"/>
        <v/>
      </c>
      <c r="AH32" s="46" t="str">
        <f t="shared" si="28"/>
        <v/>
      </c>
      <c r="AI32" s="46" t="str">
        <f t="shared" si="29"/>
        <v/>
      </c>
      <c r="AJ32" s="46" t="str">
        <f t="shared" si="30"/>
        <v/>
      </c>
      <c r="AK32" s="46" t="str">
        <f t="shared" si="31"/>
        <v/>
      </c>
      <c r="AL32" s="46" t="str">
        <f t="shared" si="32"/>
        <v/>
      </c>
      <c r="AM32" s="46" t="str">
        <f t="shared" si="33"/>
        <v/>
      </c>
      <c r="AN32" s="46" t="str">
        <f t="shared" si="34"/>
        <v/>
      </c>
      <c r="AO32" s="46" t="str">
        <f t="shared" si="35"/>
        <v/>
      </c>
      <c r="AP32" s="46" t="str">
        <f t="shared" si="36"/>
        <v/>
      </c>
      <c r="AQ32" s="46" t="str">
        <f t="shared" si="37"/>
        <v/>
      </c>
      <c r="AR32" s="46" t="str">
        <f t="shared" si="38"/>
        <v/>
      </c>
      <c r="AS32" s="46" t="str">
        <f t="shared" si="39"/>
        <v/>
      </c>
      <c r="AT32" s="46" t="str">
        <f t="shared" si="40"/>
        <v/>
      </c>
      <c r="AU32" s="46" t="str">
        <f t="shared" si="41"/>
        <v/>
      </c>
      <c r="AV32" s="46" t="str">
        <f t="shared" si="42"/>
        <v/>
      </c>
      <c r="AW32" s="46" t="str">
        <f t="shared" si="44"/>
        <v/>
      </c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20"/>
    </row>
    <row r="33" spans="2:154">
      <c r="B33" s="1"/>
      <c r="C33" s="2"/>
      <c r="D33" s="34"/>
      <c r="E33" s="34"/>
      <c r="F33" s="34"/>
      <c r="G33" s="34"/>
      <c r="H33" s="4"/>
      <c r="I33" s="4"/>
      <c r="J33" s="4"/>
      <c r="K33" s="3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37"/>
      <c r="X33" s="1"/>
      <c r="Y33" s="18">
        <f t="shared" si="43"/>
        <v>0</v>
      </c>
      <c r="Z33" s="21">
        <f t="shared" si="45"/>
        <v>0</v>
      </c>
      <c r="AA33" s="10">
        <f t="shared" si="21"/>
        <v>0</v>
      </c>
      <c r="AB33" s="10">
        <f t="shared" si="22"/>
        <v>0</v>
      </c>
      <c r="AC33" s="10">
        <f t="shared" si="23"/>
        <v>0</v>
      </c>
      <c r="AD33" s="46" t="str">
        <f t="shared" si="24"/>
        <v/>
      </c>
      <c r="AE33" s="46" t="str">
        <f t="shared" si="25"/>
        <v/>
      </c>
      <c r="AF33" s="46" t="str">
        <f t="shared" si="26"/>
        <v/>
      </c>
      <c r="AG33" s="46" t="str">
        <f t="shared" si="27"/>
        <v/>
      </c>
      <c r="AH33" s="46" t="str">
        <f t="shared" si="28"/>
        <v/>
      </c>
      <c r="AI33" s="46" t="str">
        <f t="shared" si="29"/>
        <v/>
      </c>
      <c r="AJ33" s="46" t="str">
        <f t="shared" si="30"/>
        <v/>
      </c>
      <c r="AK33" s="46" t="str">
        <f t="shared" si="31"/>
        <v/>
      </c>
      <c r="AL33" s="46" t="str">
        <f t="shared" si="32"/>
        <v/>
      </c>
      <c r="AM33" s="46" t="str">
        <f t="shared" si="33"/>
        <v/>
      </c>
      <c r="AN33" s="46" t="str">
        <f t="shared" si="34"/>
        <v/>
      </c>
      <c r="AO33" s="46" t="str">
        <f t="shared" si="35"/>
        <v/>
      </c>
      <c r="AP33" s="46" t="str">
        <f t="shared" si="36"/>
        <v/>
      </c>
      <c r="AQ33" s="46" t="str">
        <f t="shared" si="37"/>
        <v/>
      </c>
      <c r="AR33" s="46" t="str">
        <f t="shared" si="38"/>
        <v/>
      </c>
      <c r="AS33" s="46" t="str">
        <f t="shared" si="39"/>
        <v/>
      </c>
      <c r="AT33" s="46" t="str">
        <f t="shared" si="40"/>
        <v/>
      </c>
      <c r="AU33" s="46" t="str">
        <f t="shared" si="41"/>
        <v/>
      </c>
      <c r="AV33" s="46" t="str">
        <f t="shared" si="42"/>
        <v/>
      </c>
      <c r="AW33" s="46" t="str">
        <f t="shared" si="44"/>
        <v/>
      </c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20"/>
    </row>
    <row r="34" spans="2:154">
      <c r="B34" s="1"/>
      <c r="C34" s="2"/>
      <c r="D34" s="34"/>
      <c r="E34" s="34"/>
      <c r="F34" s="34"/>
      <c r="G34" s="34"/>
      <c r="H34" s="4"/>
      <c r="I34" s="4"/>
      <c r="J34" s="4"/>
      <c r="K34" s="3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37"/>
      <c r="X34" s="1"/>
      <c r="Y34" s="18">
        <f t="shared" si="43"/>
        <v>0</v>
      </c>
      <c r="Z34" s="21">
        <f t="shared" si="45"/>
        <v>0</v>
      </c>
      <c r="AA34" s="10">
        <f t="shared" si="21"/>
        <v>0</v>
      </c>
      <c r="AB34" s="10">
        <f t="shared" si="22"/>
        <v>0</v>
      </c>
      <c r="AC34" s="10">
        <f t="shared" si="23"/>
        <v>0</v>
      </c>
      <c r="AD34" s="46" t="str">
        <f t="shared" si="24"/>
        <v/>
      </c>
      <c r="AE34" s="46" t="str">
        <f t="shared" si="25"/>
        <v/>
      </c>
      <c r="AF34" s="46" t="str">
        <f t="shared" si="26"/>
        <v/>
      </c>
      <c r="AG34" s="46" t="str">
        <f t="shared" si="27"/>
        <v/>
      </c>
      <c r="AH34" s="46" t="str">
        <f t="shared" si="28"/>
        <v/>
      </c>
      <c r="AI34" s="46" t="str">
        <f t="shared" si="29"/>
        <v/>
      </c>
      <c r="AJ34" s="46" t="str">
        <f t="shared" si="30"/>
        <v/>
      </c>
      <c r="AK34" s="46" t="str">
        <f t="shared" si="31"/>
        <v/>
      </c>
      <c r="AL34" s="46" t="str">
        <f t="shared" si="32"/>
        <v/>
      </c>
      <c r="AM34" s="46" t="str">
        <f t="shared" si="33"/>
        <v/>
      </c>
      <c r="AN34" s="46" t="str">
        <f t="shared" si="34"/>
        <v/>
      </c>
      <c r="AO34" s="46" t="str">
        <f t="shared" si="35"/>
        <v/>
      </c>
      <c r="AP34" s="46" t="str">
        <f t="shared" si="36"/>
        <v/>
      </c>
      <c r="AQ34" s="46" t="str">
        <f t="shared" si="37"/>
        <v/>
      </c>
      <c r="AR34" s="46" t="str">
        <f t="shared" si="38"/>
        <v/>
      </c>
      <c r="AS34" s="46" t="str">
        <f t="shared" si="39"/>
        <v/>
      </c>
      <c r="AT34" s="46" t="str">
        <f t="shared" si="40"/>
        <v/>
      </c>
      <c r="AU34" s="46" t="str">
        <f t="shared" si="41"/>
        <v/>
      </c>
      <c r="AV34" s="46" t="str">
        <f t="shared" si="42"/>
        <v/>
      </c>
      <c r="AW34" s="46" t="str">
        <f t="shared" si="44"/>
        <v/>
      </c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20"/>
    </row>
    <row r="35" spans="2:154">
      <c r="B35" s="1"/>
      <c r="C35" s="2"/>
      <c r="D35" s="34"/>
      <c r="E35" s="34"/>
      <c r="F35" s="34"/>
      <c r="G35" s="34"/>
      <c r="H35" s="4"/>
      <c r="I35" s="4"/>
      <c r="J35" s="4"/>
      <c r="K35" s="3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37"/>
      <c r="X35" s="1"/>
      <c r="Y35" s="18">
        <f t="shared" si="43"/>
        <v>0</v>
      </c>
      <c r="Z35" s="21">
        <f t="shared" si="45"/>
        <v>0</v>
      </c>
      <c r="AA35" s="10">
        <f t="shared" si="21"/>
        <v>0</v>
      </c>
      <c r="AB35" s="10">
        <f t="shared" si="22"/>
        <v>0</v>
      </c>
      <c r="AC35" s="10">
        <f t="shared" si="23"/>
        <v>0</v>
      </c>
      <c r="AD35" s="46" t="str">
        <f t="shared" si="24"/>
        <v/>
      </c>
      <c r="AE35" s="46" t="str">
        <f t="shared" si="25"/>
        <v/>
      </c>
      <c r="AF35" s="46" t="str">
        <f t="shared" si="26"/>
        <v/>
      </c>
      <c r="AG35" s="46" t="str">
        <f t="shared" si="27"/>
        <v/>
      </c>
      <c r="AH35" s="46" t="str">
        <f t="shared" si="28"/>
        <v/>
      </c>
      <c r="AI35" s="46" t="str">
        <f t="shared" si="29"/>
        <v/>
      </c>
      <c r="AJ35" s="46" t="str">
        <f t="shared" si="30"/>
        <v/>
      </c>
      <c r="AK35" s="46" t="str">
        <f t="shared" si="31"/>
        <v/>
      </c>
      <c r="AL35" s="46" t="str">
        <f t="shared" si="32"/>
        <v/>
      </c>
      <c r="AM35" s="46" t="str">
        <f t="shared" si="33"/>
        <v/>
      </c>
      <c r="AN35" s="46" t="str">
        <f t="shared" si="34"/>
        <v/>
      </c>
      <c r="AO35" s="46" t="str">
        <f t="shared" si="35"/>
        <v/>
      </c>
      <c r="AP35" s="46" t="str">
        <f t="shared" si="36"/>
        <v/>
      </c>
      <c r="AQ35" s="46" t="str">
        <f t="shared" si="37"/>
        <v/>
      </c>
      <c r="AR35" s="46" t="str">
        <f t="shared" si="38"/>
        <v/>
      </c>
      <c r="AS35" s="46" t="str">
        <f t="shared" si="39"/>
        <v/>
      </c>
      <c r="AT35" s="46" t="str">
        <f t="shared" si="40"/>
        <v/>
      </c>
      <c r="AU35" s="46" t="str">
        <f t="shared" si="41"/>
        <v/>
      </c>
      <c r="AV35" s="46" t="str">
        <f t="shared" si="42"/>
        <v/>
      </c>
      <c r="AW35" s="46" t="str">
        <f t="shared" si="44"/>
        <v/>
      </c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20"/>
    </row>
    <row r="36" spans="2:154">
      <c r="B36" s="1"/>
      <c r="C36" s="2"/>
      <c r="D36" s="34"/>
      <c r="E36" s="34"/>
      <c r="F36" s="34"/>
      <c r="G36" s="34"/>
      <c r="H36" s="4"/>
      <c r="I36" s="4"/>
      <c r="J36" s="4"/>
      <c r="K36" s="3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37"/>
      <c r="X36" s="1"/>
      <c r="Y36" s="18">
        <f t="shared" si="43"/>
        <v>0</v>
      </c>
      <c r="Z36" s="21">
        <f t="shared" si="45"/>
        <v>0</v>
      </c>
      <c r="AA36" s="10">
        <f t="shared" si="21"/>
        <v>0</v>
      </c>
      <c r="AB36" s="10">
        <f t="shared" si="22"/>
        <v>0</v>
      </c>
      <c r="AC36" s="10">
        <f t="shared" si="23"/>
        <v>0</v>
      </c>
      <c r="AD36" s="46" t="str">
        <f t="shared" si="24"/>
        <v/>
      </c>
      <c r="AE36" s="46" t="str">
        <f t="shared" si="25"/>
        <v/>
      </c>
      <c r="AF36" s="46" t="str">
        <f t="shared" si="26"/>
        <v/>
      </c>
      <c r="AG36" s="46" t="str">
        <f t="shared" si="27"/>
        <v/>
      </c>
      <c r="AH36" s="46" t="str">
        <f t="shared" si="28"/>
        <v/>
      </c>
      <c r="AI36" s="46" t="str">
        <f t="shared" si="29"/>
        <v/>
      </c>
      <c r="AJ36" s="46" t="str">
        <f t="shared" si="30"/>
        <v/>
      </c>
      <c r="AK36" s="46" t="str">
        <f t="shared" si="31"/>
        <v/>
      </c>
      <c r="AL36" s="46" t="str">
        <f t="shared" si="32"/>
        <v/>
      </c>
      <c r="AM36" s="46" t="str">
        <f t="shared" si="33"/>
        <v/>
      </c>
      <c r="AN36" s="46" t="str">
        <f t="shared" si="34"/>
        <v/>
      </c>
      <c r="AO36" s="46" t="str">
        <f t="shared" si="35"/>
        <v/>
      </c>
      <c r="AP36" s="46" t="str">
        <f t="shared" si="36"/>
        <v/>
      </c>
      <c r="AQ36" s="46" t="str">
        <f t="shared" si="37"/>
        <v/>
      </c>
      <c r="AR36" s="46" t="str">
        <f t="shared" si="38"/>
        <v/>
      </c>
      <c r="AS36" s="46" t="str">
        <f t="shared" si="39"/>
        <v/>
      </c>
      <c r="AT36" s="46" t="str">
        <f t="shared" si="40"/>
        <v/>
      </c>
      <c r="AU36" s="46" t="str">
        <f t="shared" si="41"/>
        <v/>
      </c>
      <c r="AV36" s="46" t="str">
        <f t="shared" si="42"/>
        <v/>
      </c>
      <c r="AW36" s="46" t="str">
        <f t="shared" si="44"/>
        <v/>
      </c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20"/>
    </row>
    <row r="37" spans="2:154">
      <c r="B37" s="1"/>
      <c r="C37" s="2"/>
      <c r="D37" s="34"/>
      <c r="E37" s="34"/>
      <c r="F37" s="34"/>
      <c r="G37" s="34"/>
      <c r="H37" s="4"/>
      <c r="I37" s="4"/>
      <c r="J37" s="4"/>
      <c r="K37" s="3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37"/>
      <c r="X37" s="1"/>
      <c r="Y37" s="18">
        <f t="shared" si="43"/>
        <v>0</v>
      </c>
      <c r="Z37" s="21">
        <f t="shared" si="45"/>
        <v>0</v>
      </c>
      <c r="AA37" s="10">
        <f t="shared" si="21"/>
        <v>0</v>
      </c>
      <c r="AB37" s="10">
        <f t="shared" si="22"/>
        <v>0</v>
      </c>
      <c r="AC37" s="10">
        <f t="shared" si="23"/>
        <v>0</v>
      </c>
      <c r="AD37" s="46" t="str">
        <f t="shared" si="24"/>
        <v/>
      </c>
      <c r="AE37" s="46" t="str">
        <f t="shared" si="25"/>
        <v/>
      </c>
      <c r="AF37" s="46" t="str">
        <f t="shared" si="26"/>
        <v/>
      </c>
      <c r="AG37" s="46" t="str">
        <f t="shared" si="27"/>
        <v/>
      </c>
      <c r="AH37" s="46" t="str">
        <f t="shared" si="28"/>
        <v/>
      </c>
      <c r="AI37" s="46" t="str">
        <f t="shared" si="29"/>
        <v/>
      </c>
      <c r="AJ37" s="46" t="str">
        <f t="shared" si="30"/>
        <v/>
      </c>
      <c r="AK37" s="46" t="str">
        <f t="shared" si="31"/>
        <v/>
      </c>
      <c r="AL37" s="46" t="str">
        <f t="shared" si="32"/>
        <v/>
      </c>
      <c r="AM37" s="46" t="str">
        <f t="shared" si="33"/>
        <v/>
      </c>
      <c r="AN37" s="46" t="str">
        <f t="shared" si="34"/>
        <v/>
      </c>
      <c r="AO37" s="46" t="str">
        <f t="shared" si="35"/>
        <v/>
      </c>
      <c r="AP37" s="46" t="str">
        <f t="shared" si="36"/>
        <v/>
      </c>
      <c r="AQ37" s="46" t="str">
        <f t="shared" si="37"/>
        <v/>
      </c>
      <c r="AR37" s="46" t="str">
        <f t="shared" si="38"/>
        <v/>
      </c>
      <c r="AS37" s="46" t="str">
        <f t="shared" si="39"/>
        <v/>
      </c>
      <c r="AT37" s="46" t="str">
        <f t="shared" si="40"/>
        <v/>
      </c>
      <c r="AU37" s="46" t="str">
        <f t="shared" si="41"/>
        <v/>
      </c>
      <c r="AV37" s="46" t="str">
        <f t="shared" si="42"/>
        <v/>
      </c>
      <c r="AW37" s="46" t="str">
        <f t="shared" si="44"/>
        <v/>
      </c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20"/>
    </row>
    <row r="38" spans="2:154">
      <c r="B38" s="1"/>
      <c r="C38" s="2"/>
      <c r="D38" s="34"/>
      <c r="E38" s="34"/>
      <c r="F38" s="34"/>
      <c r="G38" s="34"/>
      <c r="H38" s="4"/>
      <c r="I38" s="4"/>
      <c r="J38" s="4"/>
      <c r="K38" s="3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37"/>
      <c r="X38" s="1"/>
      <c r="Y38" s="18">
        <f t="shared" si="43"/>
        <v>0</v>
      </c>
      <c r="Z38" s="21">
        <f t="shared" si="45"/>
        <v>0</v>
      </c>
      <c r="AA38" s="10">
        <f t="shared" si="21"/>
        <v>0</v>
      </c>
      <c r="AB38" s="10">
        <f t="shared" si="22"/>
        <v>0</v>
      </c>
      <c r="AC38" s="10">
        <f t="shared" si="23"/>
        <v>0</v>
      </c>
      <c r="AD38" s="46" t="str">
        <f t="shared" si="24"/>
        <v/>
      </c>
      <c r="AE38" s="46" t="str">
        <f t="shared" si="25"/>
        <v/>
      </c>
      <c r="AF38" s="46" t="str">
        <f t="shared" si="26"/>
        <v/>
      </c>
      <c r="AG38" s="46" t="str">
        <f t="shared" si="27"/>
        <v/>
      </c>
      <c r="AH38" s="46" t="str">
        <f t="shared" si="28"/>
        <v/>
      </c>
      <c r="AI38" s="46" t="str">
        <f t="shared" si="29"/>
        <v/>
      </c>
      <c r="AJ38" s="46" t="str">
        <f t="shared" si="30"/>
        <v/>
      </c>
      <c r="AK38" s="46" t="str">
        <f t="shared" si="31"/>
        <v/>
      </c>
      <c r="AL38" s="46" t="str">
        <f t="shared" si="32"/>
        <v/>
      </c>
      <c r="AM38" s="46" t="str">
        <f t="shared" si="33"/>
        <v/>
      </c>
      <c r="AN38" s="46" t="str">
        <f t="shared" si="34"/>
        <v/>
      </c>
      <c r="AO38" s="46" t="str">
        <f t="shared" si="35"/>
        <v/>
      </c>
      <c r="AP38" s="46" t="str">
        <f t="shared" si="36"/>
        <v/>
      </c>
      <c r="AQ38" s="46" t="str">
        <f t="shared" si="37"/>
        <v/>
      </c>
      <c r="AR38" s="46" t="str">
        <f t="shared" si="38"/>
        <v/>
      </c>
      <c r="AS38" s="46" t="str">
        <f t="shared" si="39"/>
        <v/>
      </c>
      <c r="AT38" s="46" t="str">
        <f t="shared" si="40"/>
        <v/>
      </c>
      <c r="AU38" s="46" t="str">
        <f t="shared" si="41"/>
        <v/>
      </c>
      <c r="AV38" s="46" t="str">
        <f t="shared" si="42"/>
        <v/>
      </c>
      <c r="AW38" s="46" t="str">
        <f t="shared" si="44"/>
        <v/>
      </c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20"/>
    </row>
    <row r="39" spans="2:154">
      <c r="B39" s="1"/>
      <c r="C39" s="2"/>
      <c r="D39" s="34"/>
      <c r="E39" s="34"/>
      <c r="F39" s="34"/>
      <c r="G39" s="34"/>
      <c r="H39" s="4"/>
      <c r="I39" s="4"/>
      <c r="J39" s="4"/>
      <c r="K39" s="3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37"/>
      <c r="X39" s="1"/>
      <c r="Y39" s="18">
        <f t="shared" si="43"/>
        <v>0</v>
      </c>
      <c r="Z39" s="21">
        <f t="shared" si="45"/>
        <v>0</v>
      </c>
      <c r="AA39" s="10">
        <f t="shared" si="21"/>
        <v>0</v>
      </c>
      <c r="AB39" s="10">
        <f t="shared" si="22"/>
        <v>0</v>
      </c>
      <c r="AC39" s="10">
        <f t="shared" si="23"/>
        <v>0</v>
      </c>
      <c r="AD39" s="46" t="str">
        <f t="shared" si="24"/>
        <v/>
      </c>
      <c r="AE39" s="46" t="str">
        <f t="shared" si="25"/>
        <v/>
      </c>
      <c r="AF39" s="46" t="str">
        <f t="shared" si="26"/>
        <v/>
      </c>
      <c r="AG39" s="46" t="str">
        <f t="shared" si="27"/>
        <v/>
      </c>
      <c r="AH39" s="46" t="str">
        <f t="shared" si="28"/>
        <v/>
      </c>
      <c r="AI39" s="46" t="str">
        <f t="shared" si="29"/>
        <v/>
      </c>
      <c r="AJ39" s="46" t="str">
        <f t="shared" si="30"/>
        <v/>
      </c>
      <c r="AK39" s="46" t="str">
        <f t="shared" si="31"/>
        <v/>
      </c>
      <c r="AL39" s="46" t="str">
        <f t="shared" si="32"/>
        <v/>
      </c>
      <c r="AM39" s="46" t="str">
        <f t="shared" si="33"/>
        <v/>
      </c>
      <c r="AN39" s="46" t="str">
        <f t="shared" si="34"/>
        <v/>
      </c>
      <c r="AO39" s="46" t="str">
        <f t="shared" si="35"/>
        <v/>
      </c>
      <c r="AP39" s="46" t="str">
        <f t="shared" si="36"/>
        <v/>
      </c>
      <c r="AQ39" s="46" t="str">
        <f t="shared" si="37"/>
        <v/>
      </c>
      <c r="AR39" s="46" t="str">
        <f t="shared" si="38"/>
        <v/>
      </c>
      <c r="AS39" s="46" t="str">
        <f t="shared" si="39"/>
        <v/>
      </c>
      <c r="AT39" s="46" t="str">
        <f t="shared" si="40"/>
        <v/>
      </c>
      <c r="AU39" s="46" t="str">
        <f t="shared" si="41"/>
        <v/>
      </c>
      <c r="AV39" s="46" t="str">
        <f t="shared" si="42"/>
        <v/>
      </c>
      <c r="AW39" s="46" t="str">
        <f t="shared" si="44"/>
        <v/>
      </c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20"/>
    </row>
    <row r="40" spans="2:154">
      <c r="B40" s="1"/>
      <c r="C40" s="2"/>
      <c r="D40" s="34"/>
      <c r="E40" s="34"/>
      <c r="F40" s="34"/>
      <c r="G40" s="34"/>
      <c r="H40" s="4"/>
      <c r="I40" s="4"/>
      <c r="J40" s="4"/>
      <c r="K40" s="3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37"/>
      <c r="X40" s="1"/>
      <c r="Y40" s="18">
        <f t="shared" si="43"/>
        <v>0</v>
      </c>
      <c r="Z40" s="21">
        <f t="shared" si="45"/>
        <v>0</v>
      </c>
      <c r="AA40" s="10">
        <f t="shared" si="21"/>
        <v>0</v>
      </c>
      <c r="AB40" s="10">
        <f t="shared" si="22"/>
        <v>0</v>
      </c>
      <c r="AC40" s="10">
        <f t="shared" si="23"/>
        <v>0</v>
      </c>
      <c r="AD40" s="46" t="str">
        <f t="shared" si="24"/>
        <v/>
      </c>
      <c r="AE40" s="46" t="str">
        <f t="shared" si="25"/>
        <v/>
      </c>
      <c r="AF40" s="46" t="str">
        <f t="shared" si="26"/>
        <v/>
      </c>
      <c r="AG40" s="46" t="str">
        <f t="shared" si="27"/>
        <v/>
      </c>
      <c r="AH40" s="46" t="str">
        <f t="shared" si="28"/>
        <v/>
      </c>
      <c r="AI40" s="46" t="str">
        <f t="shared" si="29"/>
        <v/>
      </c>
      <c r="AJ40" s="46" t="str">
        <f t="shared" si="30"/>
        <v/>
      </c>
      <c r="AK40" s="46" t="str">
        <f t="shared" si="31"/>
        <v/>
      </c>
      <c r="AL40" s="46" t="str">
        <f t="shared" si="32"/>
        <v/>
      </c>
      <c r="AM40" s="46" t="str">
        <f t="shared" si="33"/>
        <v/>
      </c>
      <c r="AN40" s="46" t="str">
        <f t="shared" si="34"/>
        <v/>
      </c>
      <c r="AO40" s="46" t="str">
        <f t="shared" si="35"/>
        <v/>
      </c>
      <c r="AP40" s="46" t="str">
        <f t="shared" si="36"/>
        <v/>
      </c>
      <c r="AQ40" s="46" t="str">
        <f t="shared" si="37"/>
        <v/>
      </c>
      <c r="AR40" s="46" t="str">
        <f t="shared" si="38"/>
        <v/>
      </c>
      <c r="AS40" s="46" t="str">
        <f t="shared" si="39"/>
        <v/>
      </c>
      <c r="AT40" s="46" t="str">
        <f t="shared" si="40"/>
        <v/>
      </c>
      <c r="AU40" s="46" t="str">
        <f t="shared" si="41"/>
        <v/>
      </c>
      <c r="AV40" s="46" t="str">
        <f t="shared" si="42"/>
        <v/>
      </c>
      <c r="AW40" s="46" t="str">
        <f t="shared" si="44"/>
        <v/>
      </c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20"/>
    </row>
    <row r="41" spans="2:154">
      <c r="B41" s="1"/>
      <c r="C41" s="2"/>
      <c r="D41" s="34"/>
      <c r="E41" s="34"/>
      <c r="F41" s="34"/>
      <c r="G41" s="34"/>
      <c r="H41" s="4"/>
      <c r="I41" s="4"/>
      <c r="J41" s="4"/>
      <c r="K41" s="3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37"/>
      <c r="X41" s="1"/>
      <c r="Y41" s="18">
        <f t="shared" si="43"/>
        <v>0</v>
      </c>
      <c r="Z41" s="21">
        <f t="shared" si="45"/>
        <v>0</v>
      </c>
      <c r="AA41" s="10">
        <f t="shared" si="21"/>
        <v>0</v>
      </c>
      <c r="AB41" s="10">
        <f t="shared" si="22"/>
        <v>0</v>
      </c>
      <c r="AC41" s="10">
        <f t="shared" si="23"/>
        <v>0</v>
      </c>
      <c r="AD41" s="46" t="str">
        <f t="shared" si="24"/>
        <v/>
      </c>
      <c r="AE41" s="46" t="str">
        <f t="shared" si="25"/>
        <v/>
      </c>
      <c r="AF41" s="46" t="str">
        <f t="shared" si="26"/>
        <v/>
      </c>
      <c r="AG41" s="46" t="str">
        <f t="shared" si="27"/>
        <v/>
      </c>
      <c r="AH41" s="46" t="str">
        <f t="shared" si="28"/>
        <v/>
      </c>
      <c r="AI41" s="46" t="str">
        <f t="shared" si="29"/>
        <v/>
      </c>
      <c r="AJ41" s="46" t="str">
        <f t="shared" si="30"/>
        <v/>
      </c>
      <c r="AK41" s="46" t="str">
        <f t="shared" si="31"/>
        <v/>
      </c>
      <c r="AL41" s="46" t="str">
        <f t="shared" si="32"/>
        <v/>
      </c>
      <c r="AM41" s="46" t="str">
        <f t="shared" si="33"/>
        <v/>
      </c>
      <c r="AN41" s="46" t="str">
        <f t="shared" si="34"/>
        <v/>
      </c>
      <c r="AO41" s="46" t="str">
        <f t="shared" si="35"/>
        <v/>
      </c>
      <c r="AP41" s="46" t="str">
        <f t="shared" si="36"/>
        <v/>
      </c>
      <c r="AQ41" s="46" t="str">
        <f t="shared" si="37"/>
        <v/>
      </c>
      <c r="AR41" s="46" t="str">
        <f t="shared" si="38"/>
        <v/>
      </c>
      <c r="AS41" s="46" t="str">
        <f t="shared" si="39"/>
        <v/>
      </c>
      <c r="AT41" s="46" t="str">
        <f t="shared" si="40"/>
        <v/>
      </c>
      <c r="AU41" s="46" t="str">
        <f t="shared" si="41"/>
        <v/>
      </c>
      <c r="AV41" s="46" t="str">
        <f t="shared" si="42"/>
        <v/>
      </c>
      <c r="AW41" s="46" t="str">
        <f t="shared" si="44"/>
        <v/>
      </c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20"/>
    </row>
    <row r="42" spans="2:154">
      <c r="B42" s="1"/>
      <c r="C42" s="2"/>
      <c r="D42" s="34"/>
      <c r="E42" s="34"/>
      <c r="F42" s="34"/>
      <c r="G42" s="34"/>
      <c r="H42" s="4"/>
      <c r="I42" s="4"/>
      <c r="J42" s="4"/>
      <c r="K42" s="3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37"/>
      <c r="X42" s="1"/>
      <c r="Y42" s="18">
        <f t="shared" si="43"/>
        <v>0</v>
      </c>
      <c r="Z42" s="21">
        <f t="shared" si="45"/>
        <v>0</v>
      </c>
      <c r="AA42" s="10">
        <f t="shared" si="21"/>
        <v>0</v>
      </c>
      <c r="AB42" s="10">
        <f t="shared" si="22"/>
        <v>0</v>
      </c>
      <c r="AC42" s="10">
        <f t="shared" si="23"/>
        <v>0</v>
      </c>
      <c r="AD42" s="46" t="str">
        <f t="shared" si="24"/>
        <v/>
      </c>
      <c r="AE42" s="46" t="str">
        <f t="shared" si="25"/>
        <v/>
      </c>
      <c r="AF42" s="46" t="str">
        <f t="shared" si="26"/>
        <v/>
      </c>
      <c r="AG42" s="46" t="str">
        <f t="shared" si="27"/>
        <v/>
      </c>
      <c r="AH42" s="46" t="str">
        <f t="shared" si="28"/>
        <v/>
      </c>
      <c r="AI42" s="46" t="str">
        <f t="shared" si="29"/>
        <v/>
      </c>
      <c r="AJ42" s="46" t="str">
        <f t="shared" si="30"/>
        <v/>
      </c>
      <c r="AK42" s="46" t="str">
        <f t="shared" si="31"/>
        <v/>
      </c>
      <c r="AL42" s="46" t="str">
        <f t="shared" si="32"/>
        <v/>
      </c>
      <c r="AM42" s="46" t="str">
        <f t="shared" si="33"/>
        <v/>
      </c>
      <c r="AN42" s="46" t="str">
        <f t="shared" si="34"/>
        <v/>
      </c>
      <c r="AO42" s="46" t="str">
        <f t="shared" si="35"/>
        <v/>
      </c>
      <c r="AP42" s="46" t="str">
        <f t="shared" si="36"/>
        <v/>
      </c>
      <c r="AQ42" s="46" t="str">
        <f t="shared" si="37"/>
        <v/>
      </c>
      <c r="AR42" s="46" t="str">
        <f t="shared" si="38"/>
        <v/>
      </c>
      <c r="AS42" s="46" t="str">
        <f t="shared" si="39"/>
        <v/>
      </c>
      <c r="AT42" s="46" t="str">
        <f t="shared" si="40"/>
        <v/>
      </c>
      <c r="AU42" s="46" t="str">
        <f t="shared" si="41"/>
        <v/>
      </c>
      <c r="AV42" s="46" t="str">
        <f t="shared" si="42"/>
        <v/>
      </c>
      <c r="AW42" s="46" t="str">
        <f t="shared" si="44"/>
        <v/>
      </c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20"/>
    </row>
    <row r="43" spans="2:154">
      <c r="B43" s="1"/>
      <c r="C43" s="2"/>
      <c r="D43" s="34"/>
      <c r="E43" s="34"/>
      <c r="F43" s="34"/>
      <c r="G43" s="34"/>
      <c r="H43" s="4"/>
      <c r="I43" s="4"/>
      <c r="J43" s="4"/>
      <c r="K43" s="3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37"/>
      <c r="X43" s="1"/>
      <c r="Y43" s="18">
        <f t="shared" si="43"/>
        <v>0</v>
      </c>
      <c r="Z43" s="21">
        <f t="shared" si="45"/>
        <v>0</v>
      </c>
      <c r="AA43" s="10">
        <f t="shared" si="21"/>
        <v>0</v>
      </c>
      <c r="AB43" s="10">
        <f t="shared" si="22"/>
        <v>0</v>
      </c>
      <c r="AC43" s="10">
        <f t="shared" si="23"/>
        <v>0</v>
      </c>
      <c r="AD43" s="46" t="str">
        <f t="shared" si="24"/>
        <v/>
      </c>
      <c r="AE43" s="46" t="str">
        <f t="shared" si="25"/>
        <v/>
      </c>
      <c r="AF43" s="46" t="str">
        <f t="shared" si="26"/>
        <v/>
      </c>
      <c r="AG43" s="46" t="str">
        <f t="shared" si="27"/>
        <v/>
      </c>
      <c r="AH43" s="46" t="str">
        <f t="shared" si="28"/>
        <v/>
      </c>
      <c r="AI43" s="46" t="str">
        <f t="shared" si="29"/>
        <v/>
      </c>
      <c r="AJ43" s="46" t="str">
        <f t="shared" si="30"/>
        <v/>
      </c>
      <c r="AK43" s="46" t="str">
        <f t="shared" si="31"/>
        <v/>
      </c>
      <c r="AL43" s="46" t="str">
        <f t="shared" si="32"/>
        <v/>
      </c>
      <c r="AM43" s="46" t="str">
        <f t="shared" si="33"/>
        <v/>
      </c>
      <c r="AN43" s="46" t="str">
        <f t="shared" si="34"/>
        <v/>
      </c>
      <c r="AO43" s="46" t="str">
        <f t="shared" si="35"/>
        <v/>
      </c>
      <c r="AP43" s="46" t="str">
        <f t="shared" si="36"/>
        <v/>
      </c>
      <c r="AQ43" s="46" t="str">
        <f t="shared" si="37"/>
        <v/>
      </c>
      <c r="AR43" s="46" t="str">
        <f t="shared" si="38"/>
        <v/>
      </c>
      <c r="AS43" s="46" t="str">
        <f t="shared" si="39"/>
        <v/>
      </c>
      <c r="AT43" s="46" t="str">
        <f t="shared" si="40"/>
        <v/>
      </c>
      <c r="AU43" s="46" t="str">
        <f t="shared" si="41"/>
        <v/>
      </c>
      <c r="AV43" s="46" t="str">
        <f t="shared" si="42"/>
        <v/>
      </c>
      <c r="AW43" s="46" t="str">
        <f t="shared" si="44"/>
        <v/>
      </c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20"/>
    </row>
    <row r="44" spans="2:154">
      <c r="B44" s="1"/>
      <c r="C44" s="2"/>
      <c r="D44" s="34"/>
      <c r="E44" s="34"/>
      <c r="F44" s="34"/>
      <c r="G44" s="34"/>
      <c r="H44" s="4"/>
      <c r="I44" s="4"/>
      <c r="J44" s="4"/>
      <c r="K44" s="3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37"/>
      <c r="X44" s="1"/>
      <c r="Y44" s="18">
        <f t="shared" si="43"/>
        <v>0</v>
      </c>
      <c r="Z44" s="21">
        <f t="shared" si="45"/>
        <v>0</v>
      </c>
      <c r="AA44" s="10">
        <f t="shared" si="21"/>
        <v>0</v>
      </c>
      <c r="AB44" s="10">
        <f t="shared" si="22"/>
        <v>0</v>
      </c>
      <c r="AC44" s="10">
        <f t="shared" si="23"/>
        <v>0</v>
      </c>
      <c r="AD44" s="46" t="str">
        <f t="shared" si="24"/>
        <v/>
      </c>
      <c r="AE44" s="46" t="str">
        <f t="shared" si="25"/>
        <v/>
      </c>
      <c r="AF44" s="46" t="str">
        <f t="shared" si="26"/>
        <v/>
      </c>
      <c r="AG44" s="46" t="str">
        <f t="shared" si="27"/>
        <v/>
      </c>
      <c r="AH44" s="46" t="str">
        <f t="shared" si="28"/>
        <v/>
      </c>
      <c r="AI44" s="46" t="str">
        <f t="shared" si="29"/>
        <v/>
      </c>
      <c r="AJ44" s="46" t="str">
        <f t="shared" si="30"/>
        <v/>
      </c>
      <c r="AK44" s="46" t="str">
        <f t="shared" si="31"/>
        <v/>
      </c>
      <c r="AL44" s="46" t="str">
        <f t="shared" si="32"/>
        <v/>
      </c>
      <c r="AM44" s="46" t="str">
        <f t="shared" si="33"/>
        <v/>
      </c>
      <c r="AN44" s="46" t="str">
        <f t="shared" si="34"/>
        <v/>
      </c>
      <c r="AO44" s="46" t="str">
        <f t="shared" si="35"/>
        <v/>
      </c>
      <c r="AP44" s="46" t="str">
        <f t="shared" si="36"/>
        <v/>
      </c>
      <c r="AQ44" s="46" t="str">
        <f t="shared" si="37"/>
        <v/>
      </c>
      <c r="AR44" s="46" t="str">
        <f t="shared" si="38"/>
        <v/>
      </c>
      <c r="AS44" s="46" t="str">
        <f t="shared" si="39"/>
        <v/>
      </c>
      <c r="AT44" s="46" t="str">
        <f t="shared" si="40"/>
        <v/>
      </c>
      <c r="AU44" s="46" t="str">
        <f t="shared" si="41"/>
        <v/>
      </c>
      <c r="AV44" s="46" t="str">
        <f t="shared" si="42"/>
        <v/>
      </c>
      <c r="AW44" s="46" t="str">
        <f t="shared" si="44"/>
        <v/>
      </c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20"/>
    </row>
    <row r="45" spans="2:154">
      <c r="B45" s="1"/>
      <c r="C45" s="2"/>
      <c r="D45" s="34"/>
      <c r="E45" s="34"/>
      <c r="F45" s="34"/>
      <c r="G45" s="34"/>
      <c r="H45" s="4"/>
      <c r="I45" s="4"/>
      <c r="J45" s="4"/>
      <c r="K45" s="3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37"/>
      <c r="X45" s="1"/>
      <c r="Y45" s="18">
        <f t="shared" si="43"/>
        <v>0</v>
      </c>
      <c r="Z45" s="21">
        <f t="shared" si="45"/>
        <v>0</v>
      </c>
      <c r="AA45" s="10">
        <f t="shared" si="21"/>
        <v>0</v>
      </c>
      <c r="AB45" s="10">
        <f t="shared" si="22"/>
        <v>0</v>
      </c>
      <c r="AC45" s="10">
        <f t="shared" si="23"/>
        <v>0</v>
      </c>
      <c r="AD45" s="46" t="str">
        <f t="shared" si="24"/>
        <v/>
      </c>
      <c r="AE45" s="46" t="str">
        <f t="shared" si="25"/>
        <v/>
      </c>
      <c r="AF45" s="46" t="str">
        <f t="shared" si="26"/>
        <v/>
      </c>
      <c r="AG45" s="46" t="str">
        <f t="shared" si="27"/>
        <v/>
      </c>
      <c r="AH45" s="46" t="str">
        <f t="shared" si="28"/>
        <v/>
      </c>
      <c r="AI45" s="46" t="str">
        <f t="shared" si="29"/>
        <v/>
      </c>
      <c r="AJ45" s="46" t="str">
        <f t="shared" si="30"/>
        <v/>
      </c>
      <c r="AK45" s="46" t="str">
        <f t="shared" si="31"/>
        <v/>
      </c>
      <c r="AL45" s="46" t="str">
        <f t="shared" si="32"/>
        <v/>
      </c>
      <c r="AM45" s="46" t="str">
        <f t="shared" si="33"/>
        <v/>
      </c>
      <c r="AN45" s="46" t="str">
        <f t="shared" si="34"/>
        <v/>
      </c>
      <c r="AO45" s="46" t="str">
        <f t="shared" si="35"/>
        <v/>
      </c>
      <c r="AP45" s="46" t="str">
        <f t="shared" si="36"/>
        <v/>
      </c>
      <c r="AQ45" s="46" t="str">
        <f t="shared" si="37"/>
        <v/>
      </c>
      <c r="AR45" s="46" t="str">
        <f t="shared" si="38"/>
        <v/>
      </c>
      <c r="AS45" s="46" t="str">
        <f t="shared" si="39"/>
        <v/>
      </c>
      <c r="AT45" s="46" t="str">
        <f t="shared" si="40"/>
        <v/>
      </c>
      <c r="AU45" s="46" t="str">
        <f t="shared" si="41"/>
        <v/>
      </c>
      <c r="AV45" s="46" t="str">
        <f t="shared" si="42"/>
        <v/>
      </c>
      <c r="AW45" s="46" t="str">
        <f t="shared" si="44"/>
        <v/>
      </c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20"/>
    </row>
    <row r="46" spans="2:154">
      <c r="B46" s="1"/>
      <c r="C46" s="2"/>
      <c r="D46" s="34"/>
      <c r="E46" s="34"/>
      <c r="F46" s="34"/>
      <c r="G46" s="34"/>
      <c r="H46" s="4"/>
      <c r="I46" s="4"/>
      <c r="J46" s="4"/>
      <c r="K46" s="3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37"/>
      <c r="X46" s="1"/>
      <c r="Y46" s="18">
        <f t="shared" si="43"/>
        <v>0</v>
      </c>
      <c r="Z46" s="21">
        <f t="shared" si="45"/>
        <v>0</v>
      </c>
      <c r="AA46" s="10">
        <f t="shared" si="21"/>
        <v>0</v>
      </c>
      <c r="AB46" s="10">
        <f t="shared" si="22"/>
        <v>0</v>
      </c>
      <c r="AC46" s="10">
        <f t="shared" si="23"/>
        <v>0</v>
      </c>
      <c r="AD46" s="46" t="str">
        <f t="shared" si="24"/>
        <v/>
      </c>
      <c r="AE46" s="46" t="str">
        <f t="shared" si="25"/>
        <v/>
      </c>
      <c r="AF46" s="46" t="str">
        <f t="shared" si="26"/>
        <v/>
      </c>
      <c r="AG46" s="46" t="str">
        <f t="shared" si="27"/>
        <v/>
      </c>
      <c r="AH46" s="46" t="str">
        <f t="shared" si="28"/>
        <v/>
      </c>
      <c r="AI46" s="46" t="str">
        <f t="shared" si="29"/>
        <v/>
      </c>
      <c r="AJ46" s="46" t="str">
        <f t="shared" si="30"/>
        <v/>
      </c>
      <c r="AK46" s="46" t="str">
        <f t="shared" si="31"/>
        <v/>
      </c>
      <c r="AL46" s="46" t="str">
        <f t="shared" si="32"/>
        <v/>
      </c>
      <c r="AM46" s="46" t="str">
        <f t="shared" si="33"/>
        <v/>
      </c>
      <c r="AN46" s="46" t="str">
        <f t="shared" si="34"/>
        <v/>
      </c>
      <c r="AO46" s="46" t="str">
        <f t="shared" si="35"/>
        <v/>
      </c>
      <c r="AP46" s="46" t="str">
        <f t="shared" si="36"/>
        <v/>
      </c>
      <c r="AQ46" s="46" t="str">
        <f t="shared" si="37"/>
        <v/>
      </c>
      <c r="AR46" s="46" t="str">
        <f t="shared" si="38"/>
        <v/>
      </c>
      <c r="AS46" s="46" t="str">
        <f t="shared" si="39"/>
        <v/>
      </c>
      <c r="AT46" s="46" t="str">
        <f t="shared" si="40"/>
        <v/>
      </c>
      <c r="AU46" s="46" t="str">
        <f t="shared" si="41"/>
        <v/>
      </c>
      <c r="AV46" s="46" t="str">
        <f t="shared" si="42"/>
        <v/>
      </c>
      <c r="AW46" s="46" t="str">
        <f t="shared" si="44"/>
        <v/>
      </c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20"/>
    </row>
    <row r="47" spans="2:154">
      <c r="B47" s="1"/>
      <c r="C47" s="2"/>
      <c r="D47" s="34"/>
      <c r="E47" s="34"/>
      <c r="F47" s="34"/>
      <c r="G47" s="34"/>
      <c r="H47" s="4"/>
      <c r="I47" s="4"/>
      <c r="J47" s="4"/>
      <c r="K47" s="3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37"/>
      <c r="X47" s="1"/>
      <c r="Y47" s="18">
        <f t="shared" si="43"/>
        <v>0</v>
      </c>
      <c r="Z47" s="21">
        <f t="shared" si="45"/>
        <v>0</v>
      </c>
      <c r="AA47" s="10">
        <f t="shared" si="21"/>
        <v>0</v>
      </c>
      <c r="AB47" s="10">
        <f t="shared" si="22"/>
        <v>0</v>
      </c>
      <c r="AC47" s="10">
        <f t="shared" si="23"/>
        <v>0</v>
      </c>
      <c r="AD47" s="46" t="str">
        <f t="shared" si="24"/>
        <v/>
      </c>
      <c r="AE47" s="46" t="str">
        <f t="shared" si="25"/>
        <v/>
      </c>
      <c r="AF47" s="46" t="str">
        <f t="shared" si="26"/>
        <v/>
      </c>
      <c r="AG47" s="46" t="str">
        <f t="shared" si="27"/>
        <v/>
      </c>
      <c r="AH47" s="46" t="str">
        <f t="shared" si="28"/>
        <v/>
      </c>
      <c r="AI47" s="46" t="str">
        <f t="shared" si="29"/>
        <v/>
      </c>
      <c r="AJ47" s="46" t="str">
        <f t="shared" si="30"/>
        <v/>
      </c>
      <c r="AK47" s="46" t="str">
        <f t="shared" si="31"/>
        <v/>
      </c>
      <c r="AL47" s="46" t="str">
        <f t="shared" si="32"/>
        <v/>
      </c>
      <c r="AM47" s="46" t="str">
        <f t="shared" si="33"/>
        <v/>
      </c>
      <c r="AN47" s="46" t="str">
        <f t="shared" si="34"/>
        <v/>
      </c>
      <c r="AO47" s="46" t="str">
        <f t="shared" si="35"/>
        <v/>
      </c>
      <c r="AP47" s="46" t="str">
        <f t="shared" si="36"/>
        <v/>
      </c>
      <c r="AQ47" s="46" t="str">
        <f t="shared" si="37"/>
        <v/>
      </c>
      <c r="AR47" s="46" t="str">
        <f t="shared" si="38"/>
        <v/>
      </c>
      <c r="AS47" s="46" t="str">
        <f t="shared" si="39"/>
        <v/>
      </c>
      <c r="AT47" s="46" t="str">
        <f t="shared" si="40"/>
        <v/>
      </c>
      <c r="AU47" s="46" t="str">
        <f t="shared" si="41"/>
        <v/>
      </c>
      <c r="AV47" s="46" t="str">
        <f t="shared" si="42"/>
        <v/>
      </c>
      <c r="AW47" s="46" t="str">
        <f t="shared" si="44"/>
        <v/>
      </c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20"/>
    </row>
    <row r="48" spans="2:154">
      <c r="B48" s="1"/>
      <c r="C48" s="2"/>
      <c r="D48" s="34"/>
      <c r="E48" s="34"/>
      <c r="F48" s="34"/>
      <c r="G48" s="34"/>
      <c r="H48" s="4"/>
      <c r="I48" s="4"/>
      <c r="J48" s="4"/>
      <c r="K48" s="3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37"/>
      <c r="X48" s="1"/>
      <c r="Y48" s="18">
        <f t="shared" si="43"/>
        <v>0</v>
      </c>
      <c r="Z48" s="21">
        <f t="shared" si="45"/>
        <v>0</v>
      </c>
      <c r="AA48" s="10">
        <f t="shared" si="21"/>
        <v>0</v>
      </c>
      <c r="AB48" s="10">
        <f t="shared" si="22"/>
        <v>0</v>
      </c>
      <c r="AC48" s="10">
        <f t="shared" si="23"/>
        <v>0</v>
      </c>
      <c r="AD48" s="46" t="str">
        <f t="shared" si="24"/>
        <v/>
      </c>
      <c r="AE48" s="46" t="str">
        <f t="shared" si="25"/>
        <v/>
      </c>
      <c r="AF48" s="46" t="str">
        <f t="shared" si="26"/>
        <v/>
      </c>
      <c r="AG48" s="46" t="str">
        <f t="shared" si="27"/>
        <v/>
      </c>
      <c r="AH48" s="46" t="str">
        <f t="shared" si="28"/>
        <v/>
      </c>
      <c r="AI48" s="46" t="str">
        <f t="shared" si="29"/>
        <v/>
      </c>
      <c r="AJ48" s="46" t="str">
        <f t="shared" si="30"/>
        <v/>
      </c>
      <c r="AK48" s="46" t="str">
        <f t="shared" si="31"/>
        <v/>
      </c>
      <c r="AL48" s="46" t="str">
        <f t="shared" si="32"/>
        <v/>
      </c>
      <c r="AM48" s="46" t="str">
        <f t="shared" si="33"/>
        <v/>
      </c>
      <c r="AN48" s="46" t="str">
        <f t="shared" si="34"/>
        <v/>
      </c>
      <c r="AO48" s="46" t="str">
        <f t="shared" si="35"/>
        <v/>
      </c>
      <c r="AP48" s="46" t="str">
        <f t="shared" si="36"/>
        <v/>
      </c>
      <c r="AQ48" s="46" t="str">
        <f t="shared" si="37"/>
        <v/>
      </c>
      <c r="AR48" s="46" t="str">
        <f t="shared" si="38"/>
        <v/>
      </c>
      <c r="AS48" s="46" t="str">
        <f t="shared" si="39"/>
        <v/>
      </c>
      <c r="AT48" s="46" t="str">
        <f t="shared" si="40"/>
        <v/>
      </c>
      <c r="AU48" s="46" t="str">
        <f t="shared" si="41"/>
        <v/>
      </c>
      <c r="AV48" s="46" t="str">
        <f t="shared" si="42"/>
        <v/>
      </c>
      <c r="AW48" s="46" t="str">
        <f t="shared" si="44"/>
        <v/>
      </c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20"/>
    </row>
    <row r="49" spans="2:154">
      <c r="B49" s="1"/>
      <c r="C49" s="2"/>
      <c r="D49" s="34"/>
      <c r="E49" s="34"/>
      <c r="F49" s="34"/>
      <c r="G49" s="34"/>
      <c r="H49" s="4"/>
      <c r="I49" s="4"/>
      <c r="J49" s="4"/>
      <c r="K49" s="3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37"/>
      <c r="X49" s="1"/>
      <c r="Y49" s="18">
        <f t="shared" si="43"/>
        <v>0</v>
      </c>
      <c r="Z49" s="21">
        <f t="shared" si="45"/>
        <v>0</v>
      </c>
      <c r="AA49" s="10">
        <f t="shared" si="21"/>
        <v>0</v>
      </c>
      <c r="AB49" s="10">
        <f t="shared" si="22"/>
        <v>0</v>
      </c>
      <c r="AC49" s="10">
        <f t="shared" si="23"/>
        <v>0</v>
      </c>
      <c r="AD49" s="46" t="str">
        <f t="shared" si="24"/>
        <v/>
      </c>
      <c r="AE49" s="46" t="str">
        <f t="shared" si="25"/>
        <v/>
      </c>
      <c r="AF49" s="46" t="str">
        <f t="shared" si="26"/>
        <v/>
      </c>
      <c r="AG49" s="46" t="str">
        <f t="shared" si="27"/>
        <v/>
      </c>
      <c r="AH49" s="46" t="str">
        <f t="shared" si="28"/>
        <v/>
      </c>
      <c r="AI49" s="46" t="str">
        <f t="shared" si="29"/>
        <v/>
      </c>
      <c r="AJ49" s="46" t="str">
        <f t="shared" si="30"/>
        <v/>
      </c>
      <c r="AK49" s="46" t="str">
        <f t="shared" si="31"/>
        <v/>
      </c>
      <c r="AL49" s="46" t="str">
        <f t="shared" si="32"/>
        <v/>
      </c>
      <c r="AM49" s="46" t="str">
        <f t="shared" si="33"/>
        <v/>
      </c>
      <c r="AN49" s="46" t="str">
        <f t="shared" si="34"/>
        <v/>
      </c>
      <c r="AO49" s="46" t="str">
        <f t="shared" si="35"/>
        <v/>
      </c>
      <c r="AP49" s="46" t="str">
        <f t="shared" si="36"/>
        <v/>
      </c>
      <c r="AQ49" s="46" t="str">
        <f t="shared" si="37"/>
        <v/>
      </c>
      <c r="AR49" s="46" t="str">
        <f t="shared" si="38"/>
        <v/>
      </c>
      <c r="AS49" s="46" t="str">
        <f t="shared" si="39"/>
        <v/>
      </c>
      <c r="AT49" s="46" t="str">
        <f t="shared" si="40"/>
        <v/>
      </c>
      <c r="AU49" s="46" t="str">
        <f t="shared" si="41"/>
        <v/>
      </c>
      <c r="AV49" s="46" t="str">
        <f t="shared" si="42"/>
        <v/>
      </c>
      <c r="AW49" s="46" t="str">
        <f t="shared" si="44"/>
        <v/>
      </c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20"/>
    </row>
    <row r="50" spans="2:154">
      <c r="B50" s="1"/>
      <c r="C50" s="2"/>
      <c r="D50" s="34"/>
      <c r="E50" s="34"/>
      <c r="F50" s="34"/>
      <c r="G50" s="34"/>
      <c r="H50" s="4"/>
      <c r="I50" s="4"/>
      <c r="J50" s="4"/>
      <c r="K50" s="3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37"/>
      <c r="X50" s="1"/>
      <c r="Y50" s="18">
        <f t="shared" si="43"/>
        <v>0</v>
      </c>
      <c r="Z50" s="21">
        <f t="shared" si="45"/>
        <v>0</v>
      </c>
      <c r="AA50" s="10">
        <f t="shared" si="21"/>
        <v>0</v>
      </c>
      <c r="AB50" s="10">
        <f t="shared" si="22"/>
        <v>0</v>
      </c>
      <c r="AC50" s="10">
        <f t="shared" si="23"/>
        <v>0</v>
      </c>
      <c r="AD50" s="46" t="str">
        <f t="shared" si="24"/>
        <v/>
      </c>
      <c r="AE50" s="46" t="str">
        <f t="shared" si="25"/>
        <v/>
      </c>
      <c r="AF50" s="46" t="str">
        <f t="shared" si="26"/>
        <v/>
      </c>
      <c r="AG50" s="46" t="str">
        <f t="shared" si="27"/>
        <v/>
      </c>
      <c r="AH50" s="46" t="str">
        <f t="shared" si="28"/>
        <v/>
      </c>
      <c r="AI50" s="46" t="str">
        <f t="shared" si="29"/>
        <v/>
      </c>
      <c r="AJ50" s="46" t="str">
        <f t="shared" si="30"/>
        <v/>
      </c>
      <c r="AK50" s="46" t="str">
        <f t="shared" si="31"/>
        <v/>
      </c>
      <c r="AL50" s="46" t="str">
        <f t="shared" si="32"/>
        <v/>
      </c>
      <c r="AM50" s="46" t="str">
        <f t="shared" si="33"/>
        <v/>
      </c>
      <c r="AN50" s="46" t="str">
        <f t="shared" si="34"/>
        <v/>
      </c>
      <c r="AO50" s="46" t="str">
        <f t="shared" si="35"/>
        <v/>
      </c>
      <c r="AP50" s="46" t="str">
        <f t="shared" si="36"/>
        <v/>
      </c>
      <c r="AQ50" s="46" t="str">
        <f t="shared" si="37"/>
        <v/>
      </c>
      <c r="AR50" s="46" t="str">
        <f t="shared" si="38"/>
        <v/>
      </c>
      <c r="AS50" s="46" t="str">
        <f t="shared" si="39"/>
        <v/>
      </c>
      <c r="AT50" s="46" t="str">
        <f t="shared" si="40"/>
        <v/>
      </c>
      <c r="AU50" s="46" t="str">
        <f t="shared" si="41"/>
        <v/>
      </c>
      <c r="AV50" s="46" t="str">
        <f t="shared" si="42"/>
        <v/>
      </c>
      <c r="AW50" s="46" t="str">
        <f t="shared" si="44"/>
        <v/>
      </c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20"/>
    </row>
    <row r="51" spans="2:154">
      <c r="B51" s="1"/>
      <c r="C51" s="2"/>
      <c r="D51" s="34"/>
      <c r="E51" s="34"/>
      <c r="F51" s="34"/>
      <c r="G51" s="34"/>
      <c r="H51" s="4"/>
      <c r="I51" s="4"/>
      <c r="J51" s="4"/>
      <c r="K51" s="3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37"/>
      <c r="X51" s="1"/>
      <c r="Y51" s="18">
        <f t="shared" si="43"/>
        <v>0</v>
      </c>
      <c r="Z51" s="21">
        <f t="shared" si="45"/>
        <v>0</v>
      </c>
      <c r="AA51" s="10">
        <f t="shared" si="21"/>
        <v>0</v>
      </c>
      <c r="AB51" s="10">
        <f t="shared" si="22"/>
        <v>0</v>
      </c>
      <c r="AC51" s="10">
        <f t="shared" si="23"/>
        <v>0</v>
      </c>
      <c r="AD51" s="46" t="str">
        <f t="shared" si="24"/>
        <v/>
      </c>
      <c r="AE51" s="46" t="str">
        <f t="shared" si="25"/>
        <v/>
      </c>
      <c r="AF51" s="46" t="str">
        <f t="shared" si="26"/>
        <v/>
      </c>
      <c r="AG51" s="46" t="str">
        <f t="shared" si="27"/>
        <v/>
      </c>
      <c r="AH51" s="46" t="str">
        <f t="shared" si="28"/>
        <v/>
      </c>
      <c r="AI51" s="46" t="str">
        <f t="shared" si="29"/>
        <v/>
      </c>
      <c r="AJ51" s="46" t="str">
        <f t="shared" si="30"/>
        <v/>
      </c>
      <c r="AK51" s="46" t="str">
        <f t="shared" si="31"/>
        <v/>
      </c>
      <c r="AL51" s="46" t="str">
        <f t="shared" si="32"/>
        <v/>
      </c>
      <c r="AM51" s="46" t="str">
        <f t="shared" si="33"/>
        <v/>
      </c>
      <c r="AN51" s="46" t="str">
        <f t="shared" si="34"/>
        <v/>
      </c>
      <c r="AO51" s="46" t="str">
        <f t="shared" si="35"/>
        <v/>
      </c>
      <c r="AP51" s="46" t="str">
        <f t="shared" si="36"/>
        <v/>
      </c>
      <c r="AQ51" s="46" t="str">
        <f t="shared" si="37"/>
        <v/>
      </c>
      <c r="AR51" s="46" t="str">
        <f t="shared" si="38"/>
        <v/>
      </c>
      <c r="AS51" s="46" t="str">
        <f t="shared" si="39"/>
        <v/>
      </c>
      <c r="AT51" s="46" t="str">
        <f t="shared" si="40"/>
        <v/>
      </c>
      <c r="AU51" s="46" t="str">
        <f t="shared" si="41"/>
        <v/>
      </c>
      <c r="AV51" s="46" t="str">
        <f t="shared" si="42"/>
        <v/>
      </c>
      <c r="AW51" s="46" t="str">
        <f t="shared" si="44"/>
        <v/>
      </c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20"/>
    </row>
    <row r="52" spans="2:154">
      <c r="B52" s="1"/>
      <c r="C52" s="2"/>
      <c r="D52" s="34"/>
      <c r="E52" s="34"/>
      <c r="F52" s="34"/>
      <c r="G52" s="34"/>
      <c r="H52" s="4"/>
      <c r="I52" s="4"/>
      <c r="J52" s="4"/>
      <c r="K52" s="3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37"/>
      <c r="X52" s="1"/>
      <c r="Y52" s="18">
        <f t="shared" si="43"/>
        <v>0</v>
      </c>
      <c r="Z52" s="21">
        <f t="shared" si="45"/>
        <v>0</v>
      </c>
      <c r="AA52" s="10">
        <f t="shared" si="21"/>
        <v>0</v>
      </c>
      <c r="AB52" s="10">
        <f t="shared" si="22"/>
        <v>0</v>
      </c>
      <c r="AC52" s="10">
        <f t="shared" si="23"/>
        <v>0</v>
      </c>
      <c r="AD52" s="46" t="str">
        <f t="shared" si="24"/>
        <v/>
      </c>
      <c r="AE52" s="46" t="str">
        <f t="shared" si="25"/>
        <v/>
      </c>
      <c r="AF52" s="46" t="str">
        <f t="shared" si="26"/>
        <v/>
      </c>
      <c r="AG52" s="46" t="str">
        <f t="shared" si="27"/>
        <v/>
      </c>
      <c r="AH52" s="46" t="str">
        <f t="shared" si="28"/>
        <v/>
      </c>
      <c r="AI52" s="46" t="str">
        <f t="shared" si="29"/>
        <v/>
      </c>
      <c r="AJ52" s="46" t="str">
        <f t="shared" si="30"/>
        <v/>
      </c>
      <c r="AK52" s="46" t="str">
        <f t="shared" si="31"/>
        <v/>
      </c>
      <c r="AL52" s="46" t="str">
        <f t="shared" si="32"/>
        <v/>
      </c>
      <c r="AM52" s="46" t="str">
        <f t="shared" si="33"/>
        <v/>
      </c>
      <c r="AN52" s="46" t="str">
        <f t="shared" si="34"/>
        <v/>
      </c>
      <c r="AO52" s="46" t="str">
        <f t="shared" si="35"/>
        <v/>
      </c>
      <c r="AP52" s="46" t="str">
        <f t="shared" si="36"/>
        <v/>
      </c>
      <c r="AQ52" s="46" t="str">
        <f t="shared" si="37"/>
        <v/>
      </c>
      <c r="AR52" s="46" t="str">
        <f t="shared" si="38"/>
        <v/>
      </c>
      <c r="AS52" s="46" t="str">
        <f t="shared" si="39"/>
        <v/>
      </c>
      <c r="AT52" s="46" t="str">
        <f t="shared" si="40"/>
        <v/>
      </c>
      <c r="AU52" s="46" t="str">
        <f t="shared" si="41"/>
        <v/>
      </c>
      <c r="AV52" s="46" t="str">
        <f t="shared" si="42"/>
        <v/>
      </c>
      <c r="AW52" s="46" t="str">
        <f t="shared" si="44"/>
        <v/>
      </c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20"/>
    </row>
    <row r="53" spans="2:154">
      <c r="B53" s="1"/>
      <c r="C53" s="2"/>
      <c r="D53" s="34"/>
      <c r="E53" s="34"/>
      <c r="F53" s="34"/>
      <c r="G53" s="34"/>
      <c r="H53" s="4"/>
      <c r="I53" s="4"/>
      <c r="J53" s="4"/>
      <c r="K53" s="3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37"/>
      <c r="X53" s="1"/>
      <c r="Y53" s="18">
        <f t="shared" si="43"/>
        <v>0</v>
      </c>
      <c r="Z53" s="21">
        <f t="shared" si="45"/>
        <v>0</v>
      </c>
      <c r="AA53" s="10">
        <f t="shared" si="21"/>
        <v>0</v>
      </c>
      <c r="AB53" s="10">
        <f t="shared" si="22"/>
        <v>0</v>
      </c>
      <c r="AC53" s="10">
        <f t="shared" si="23"/>
        <v>0</v>
      </c>
      <c r="AD53" s="46" t="str">
        <f t="shared" si="24"/>
        <v/>
      </c>
      <c r="AE53" s="46" t="str">
        <f t="shared" si="25"/>
        <v/>
      </c>
      <c r="AF53" s="46" t="str">
        <f t="shared" si="26"/>
        <v/>
      </c>
      <c r="AG53" s="46" t="str">
        <f t="shared" si="27"/>
        <v/>
      </c>
      <c r="AH53" s="46" t="str">
        <f t="shared" si="28"/>
        <v/>
      </c>
      <c r="AI53" s="46" t="str">
        <f t="shared" si="29"/>
        <v/>
      </c>
      <c r="AJ53" s="46" t="str">
        <f t="shared" si="30"/>
        <v/>
      </c>
      <c r="AK53" s="46" t="str">
        <f t="shared" si="31"/>
        <v/>
      </c>
      <c r="AL53" s="46" t="str">
        <f t="shared" si="32"/>
        <v/>
      </c>
      <c r="AM53" s="46" t="str">
        <f t="shared" si="33"/>
        <v/>
      </c>
      <c r="AN53" s="46" t="str">
        <f t="shared" si="34"/>
        <v/>
      </c>
      <c r="AO53" s="46" t="str">
        <f t="shared" si="35"/>
        <v/>
      </c>
      <c r="AP53" s="46" t="str">
        <f t="shared" si="36"/>
        <v/>
      </c>
      <c r="AQ53" s="46" t="str">
        <f t="shared" si="37"/>
        <v/>
      </c>
      <c r="AR53" s="46" t="str">
        <f t="shared" si="38"/>
        <v/>
      </c>
      <c r="AS53" s="46" t="str">
        <f t="shared" si="39"/>
        <v/>
      </c>
      <c r="AT53" s="46" t="str">
        <f t="shared" si="40"/>
        <v/>
      </c>
      <c r="AU53" s="46" t="str">
        <f t="shared" si="41"/>
        <v/>
      </c>
      <c r="AV53" s="46" t="str">
        <f t="shared" si="42"/>
        <v/>
      </c>
      <c r="AW53" s="46" t="str">
        <f t="shared" si="44"/>
        <v/>
      </c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20"/>
    </row>
    <row r="54" spans="2:154">
      <c r="B54" s="1"/>
      <c r="C54" s="2"/>
      <c r="D54" s="34"/>
      <c r="E54" s="34"/>
      <c r="F54" s="34"/>
      <c r="G54" s="34"/>
      <c r="H54" s="4"/>
      <c r="I54" s="4"/>
      <c r="J54" s="4"/>
      <c r="K54" s="3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37"/>
      <c r="X54" s="1"/>
      <c r="Y54" s="18">
        <f t="shared" si="43"/>
        <v>0</v>
      </c>
      <c r="Z54" s="21">
        <f t="shared" si="45"/>
        <v>0</v>
      </c>
      <c r="AA54" s="10">
        <f t="shared" si="21"/>
        <v>0</v>
      </c>
      <c r="AB54" s="10">
        <f t="shared" si="22"/>
        <v>0</v>
      </c>
      <c r="AC54" s="10">
        <f t="shared" si="23"/>
        <v>0</v>
      </c>
      <c r="AD54" s="46" t="str">
        <f t="shared" si="24"/>
        <v/>
      </c>
      <c r="AE54" s="46" t="str">
        <f t="shared" si="25"/>
        <v/>
      </c>
      <c r="AF54" s="46" t="str">
        <f t="shared" si="26"/>
        <v/>
      </c>
      <c r="AG54" s="46" t="str">
        <f t="shared" si="27"/>
        <v/>
      </c>
      <c r="AH54" s="46" t="str">
        <f t="shared" si="28"/>
        <v/>
      </c>
      <c r="AI54" s="46" t="str">
        <f t="shared" si="29"/>
        <v/>
      </c>
      <c r="AJ54" s="46" t="str">
        <f t="shared" si="30"/>
        <v/>
      </c>
      <c r="AK54" s="46" t="str">
        <f t="shared" si="31"/>
        <v/>
      </c>
      <c r="AL54" s="46" t="str">
        <f t="shared" si="32"/>
        <v/>
      </c>
      <c r="AM54" s="46" t="str">
        <f t="shared" si="33"/>
        <v/>
      </c>
      <c r="AN54" s="46" t="str">
        <f t="shared" si="34"/>
        <v/>
      </c>
      <c r="AO54" s="46" t="str">
        <f t="shared" si="35"/>
        <v/>
      </c>
      <c r="AP54" s="46" t="str">
        <f t="shared" si="36"/>
        <v/>
      </c>
      <c r="AQ54" s="46" t="str">
        <f t="shared" si="37"/>
        <v/>
      </c>
      <c r="AR54" s="46" t="str">
        <f t="shared" si="38"/>
        <v/>
      </c>
      <c r="AS54" s="46" t="str">
        <f t="shared" si="39"/>
        <v/>
      </c>
      <c r="AT54" s="46" t="str">
        <f t="shared" si="40"/>
        <v/>
      </c>
      <c r="AU54" s="46" t="str">
        <f t="shared" si="41"/>
        <v/>
      </c>
      <c r="AV54" s="46" t="str">
        <f t="shared" si="42"/>
        <v/>
      </c>
      <c r="AW54" s="46" t="str">
        <f t="shared" si="44"/>
        <v/>
      </c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20"/>
    </row>
    <row r="55" spans="2:154">
      <c r="B55" s="1"/>
      <c r="C55" s="2"/>
      <c r="D55" s="34"/>
      <c r="E55" s="34"/>
      <c r="F55" s="34"/>
      <c r="G55" s="34"/>
      <c r="H55" s="4"/>
      <c r="I55" s="4"/>
      <c r="J55" s="4"/>
      <c r="K55" s="3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37"/>
      <c r="X55" s="1"/>
      <c r="Y55" s="18">
        <f t="shared" si="43"/>
        <v>0</v>
      </c>
      <c r="Z55" s="21">
        <f t="shared" si="45"/>
        <v>0</v>
      </c>
      <c r="AA55" s="10">
        <f t="shared" si="21"/>
        <v>0</v>
      </c>
      <c r="AB55" s="10">
        <f t="shared" si="22"/>
        <v>0</v>
      </c>
      <c r="AC55" s="10">
        <f t="shared" si="23"/>
        <v>0</v>
      </c>
      <c r="AD55" s="46" t="str">
        <f t="shared" si="24"/>
        <v/>
      </c>
      <c r="AE55" s="46" t="str">
        <f t="shared" si="25"/>
        <v/>
      </c>
      <c r="AF55" s="46" t="str">
        <f t="shared" si="26"/>
        <v/>
      </c>
      <c r="AG55" s="46" t="str">
        <f t="shared" si="27"/>
        <v/>
      </c>
      <c r="AH55" s="46" t="str">
        <f t="shared" si="28"/>
        <v/>
      </c>
      <c r="AI55" s="46" t="str">
        <f t="shared" si="29"/>
        <v/>
      </c>
      <c r="AJ55" s="46" t="str">
        <f t="shared" si="30"/>
        <v/>
      </c>
      <c r="AK55" s="46" t="str">
        <f t="shared" si="31"/>
        <v/>
      </c>
      <c r="AL55" s="46" t="str">
        <f t="shared" si="32"/>
        <v/>
      </c>
      <c r="AM55" s="46" t="str">
        <f t="shared" si="33"/>
        <v/>
      </c>
      <c r="AN55" s="46" t="str">
        <f t="shared" si="34"/>
        <v/>
      </c>
      <c r="AO55" s="46" t="str">
        <f t="shared" si="35"/>
        <v/>
      </c>
      <c r="AP55" s="46" t="str">
        <f t="shared" si="36"/>
        <v/>
      </c>
      <c r="AQ55" s="46" t="str">
        <f t="shared" si="37"/>
        <v/>
      </c>
      <c r="AR55" s="46" t="str">
        <f t="shared" si="38"/>
        <v/>
      </c>
      <c r="AS55" s="46" t="str">
        <f t="shared" si="39"/>
        <v/>
      </c>
      <c r="AT55" s="46" t="str">
        <f t="shared" si="40"/>
        <v/>
      </c>
      <c r="AU55" s="46" t="str">
        <f t="shared" si="41"/>
        <v/>
      </c>
      <c r="AV55" s="46" t="str">
        <f t="shared" si="42"/>
        <v/>
      </c>
      <c r="AW55" s="46" t="str">
        <f t="shared" si="44"/>
        <v/>
      </c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20"/>
    </row>
    <row r="56" spans="2:154">
      <c r="B56" s="1"/>
      <c r="C56" s="2"/>
      <c r="D56" s="34"/>
      <c r="E56" s="34"/>
      <c r="F56" s="34"/>
      <c r="G56" s="34"/>
      <c r="H56" s="4"/>
      <c r="I56" s="4"/>
      <c r="J56" s="4"/>
      <c r="K56" s="3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37"/>
      <c r="X56" s="1"/>
      <c r="Y56" s="18">
        <f t="shared" si="43"/>
        <v>0</v>
      </c>
      <c r="Z56" s="21">
        <f t="shared" si="45"/>
        <v>0</v>
      </c>
      <c r="AA56" s="10">
        <f t="shared" si="21"/>
        <v>0</v>
      </c>
      <c r="AB56" s="10">
        <f t="shared" si="22"/>
        <v>0</v>
      </c>
      <c r="AC56" s="10">
        <f t="shared" si="23"/>
        <v>0</v>
      </c>
      <c r="AD56" s="46" t="str">
        <f t="shared" si="24"/>
        <v/>
      </c>
      <c r="AE56" s="46" t="str">
        <f t="shared" si="25"/>
        <v/>
      </c>
      <c r="AF56" s="46" t="str">
        <f t="shared" si="26"/>
        <v/>
      </c>
      <c r="AG56" s="46" t="str">
        <f t="shared" si="27"/>
        <v/>
      </c>
      <c r="AH56" s="46" t="str">
        <f t="shared" si="28"/>
        <v/>
      </c>
      <c r="AI56" s="46" t="str">
        <f t="shared" si="29"/>
        <v/>
      </c>
      <c r="AJ56" s="46" t="str">
        <f t="shared" si="30"/>
        <v/>
      </c>
      <c r="AK56" s="46" t="str">
        <f t="shared" si="31"/>
        <v/>
      </c>
      <c r="AL56" s="46" t="str">
        <f t="shared" si="32"/>
        <v/>
      </c>
      <c r="AM56" s="46" t="str">
        <f t="shared" si="33"/>
        <v/>
      </c>
      <c r="AN56" s="46" t="str">
        <f t="shared" si="34"/>
        <v/>
      </c>
      <c r="AO56" s="46" t="str">
        <f t="shared" si="35"/>
        <v/>
      </c>
      <c r="AP56" s="46" t="str">
        <f t="shared" si="36"/>
        <v/>
      </c>
      <c r="AQ56" s="46" t="str">
        <f t="shared" si="37"/>
        <v/>
      </c>
      <c r="AR56" s="46" t="str">
        <f t="shared" si="38"/>
        <v/>
      </c>
      <c r="AS56" s="46" t="str">
        <f t="shared" si="39"/>
        <v/>
      </c>
      <c r="AT56" s="46" t="str">
        <f t="shared" si="40"/>
        <v/>
      </c>
      <c r="AU56" s="46" t="str">
        <f t="shared" si="41"/>
        <v/>
      </c>
      <c r="AV56" s="46" t="str">
        <f t="shared" si="42"/>
        <v/>
      </c>
      <c r="AW56" s="46" t="str">
        <f t="shared" si="44"/>
        <v/>
      </c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20"/>
    </row>
    <row r="57" spans="2:154">
      <c r="B57" s="1"/>
      <c r="C57" s="2"/>
      <c r="D57" s="34"/>
      <c r="E57" s="34"/>
      <c r="F57" s="34"/>
      <c r="G57" s="34"/>
      <c r="H57" s="4"/>
      <c r="I57" s="4"/>
      <c r="J57" s="4"/>
      <c r="K57" s="3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37"/>
      <c r="X57" s="1"/>
      <c r="Y57" s="18">
        <f t="shared" si="43"/>
        <v>0</v>
      </c>
      <c r="Z57" s="21">
        <f t="shared" si="45"/>
        <v>0</v>
      </c>
      <c r="AA57" s="10">
        <f t="shared" si="21"/>
        <v>0</v>
      </c>
      <c r="AB57" s="10">
        <f t="shared" si="22"/>
        <v>0</v>
      </c>
      <c r="AC57" s="10">
        <f t="shared" si="23"/>
        <v>0</v>
      </c>
      <c r="AD57" s="46" t="str">
        <f t="shared" si="24"/>
        <v/>
      </c>
      <c r="AE57" s="46" t="str">
        <f t="shared" si="25"/>
        <v/>
      </c>
      <c r="AF57" s="46" t="str">
        <f t="shared" si="26"/>
        <v/>
      </c>
      <c r="AG57" s="46" t="str">
        <f t="shared" si="27"/>
        <v/>
      </c>
      <c r="AH57" s="46" t="str">
        <f t="shared" si="28"/>
        <v/>
      </c>
      <c r="AI57" s="46" t="str">
        <f t="shared" si="29"/>
        <v/>
      </c>
      <c r="AJ57" s="46" t="str">
        <f t="shared" si="30"/>
        <v/>
      </c>
      <c r="AK57" s="46" t="str">
        <f t="shared" si="31"/>
        <v/>
      </c>
      <c r="AL57" s="46" t="str">
        <f t="shared" si="32"/>
        <v/>
      </c>
      <c r="AM57" s="46" t="str">
        <f t="shared" si="33"/>
        <v/>
      </c>
      <c r="AN57" s="46" t="str">
        <f t="shared" si="34"/>
        <v/>
      </c>
      <c r="AO57" s="46" t="str">
        <f t="shared" si="35"/>
        <v/>
      </c>
      <c r="AP57" s="46" t="str">
        <f t="shared" si="36"/>
        <v/>
      </c>
      <c r="AQ57" s="46" t="str">
        <f t="shared" si="37"/>
        <v/>
      </c>
      <c r="AR57" s="46" t="str">
        <f t="shared" si="38"/>
        <v/>
      </c>
      <c r="AS57" s="46" t="str">
        <f t="shared" si="39"/>
        <v/>
      </c>
      <c r="AT57" s="46" t="str">
        <f t="shared" si="40"/>
        <v/>
      </c>
      <c r="AU57" s="46" t="str">
        <f t="shared" si="41"/>
        <v/>
      </c>
      <c r="AV57" s="46" t="str">
        <f t="shared" si="42"/>
        <v/>
      </c>
      <c r="AW57" s="46" t="str">
        <f t="shared" si="44"/>
        <v/>
      </c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20"/>
    </row>
    <row r="58" spans="2:154">
      <c r="B58" s="1"/>
      <c r="C58" s="2"/>
      <c r="D58" s="34"/>
      <c r="E58" s="34"/>
      <c r="F58" s="34"/>
      <c r="G58" s="34"/>
      <c r="H58" s="4"/>
      <c r="I58" s="4"/>
      <c r="J58" s="4"/>
      <c r="K58" s="3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37"/>
      <c r="X58" s="1"/>
      <c r="Y58" s="18">
        <f t="shared" si="43"/>
        <v>0</v>
      </c>
      <c r="Z58" s="21">
        <f t="shared" si="45"/>
        <v>0</v>
      </c>
      <c r="AA58" s="10">
        <f t="shared" si="21"/>
        <v>0</v>
      </c>
      <c r="AB58" s="10">
        <f t="shared" si="22"/>
        <v>0</v>
      </c>
      <c r="AC58" s="10">
        <f t="shared" si="23"/>
        <v>0</v>
      </c>
      <c r="AD58" s="46" t="str">
        <f t="shared" si="24"/>
        <v/>
      </c>
      <c r="AE58" s="46" t="str">
        <f t="shared" si="25"/>
        <v/>
      </c>
      <c r="AF58" s="46" t="str">
        <f t="shared" si="26"/>
        <v/>
      </c>
      <c r="AG58" s="46" t="str">
        <f t="shared" si="27"/>
        <v/>
      </c>
      <c r="AH58" s="46" t="str">
        <f t="shared" si="28"/>
        <v/>
      </c>
      <c r="AI58" s="46" t="str">
        <f t="shared" si="29"/>
        <v/>
      </c>
      <c r="AJ58" s="46" t="str">
        <f t="shared" si="30"/>
        <v/>
      </c>
      <c r="AK58" s="46" t="str">
        <f t="shared" si="31"/>
        <v/>
      </c>
      <c r="AL58" s="46" t="str">
        <f t="shared" si="32"/>
        <v/>
      </c>
      <c r="AM58" s="46" t="str">
        <f t="shared" si="33"/>
        <v/>
      </c>
      <c r="AN58" s="46" t="str">
        <f t="shared" si="34"/>
        <v/>
      </c>
      <c r="AO58" s="46" t="str">
        <f t="shared" si="35"/>
        <v/>
      </c>
      <c r="AP58" s="46" t="str">
        <f t="shared" si="36"/>
        <v/>
      </c>
      <c r="AQ58" s="46" t="str">
        <f t="shared" si="37"/>
        <v/>
      </c>
      <c r="AR58" s="46" t="str">
        <f t="shared" si="38"/>
        <v/>
      </c>
      <c r="AS58" s="46" t="str">
        <f t="shared" si="39"/>
        <v/>
      </c>
      <c r="AT58" s="46" t="str">
        <f t="shared" si="40"/>
        <v/>
      </c>
      <c r="AU58" s="46" t="str">
        <f t="shared" si="41"/>
        <v/>
      </c>
      <c r="AV58" s="46" t="str">
        <f t="shared" si="42"/>
        <v/>
      </c>
      <c r="AW58" s="46" t="str">
        <f t="shared" si="44"/>
        <v/>
      </c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20"/>
    </row>
    <row r="59" spans="2:154">
      <c r="B59" s="1"/>
      <c r="C59" s="2"/>
      <c r="D59" s="34"/>
      <c r="E59" s="34"/>
      <c r="F59" s="34"/>
      <c r="G59" s="34"/>
      <c r="H59" s="4"/>
      <c r="I59" s="4"/>
      <c r="J59" s="4"/>
      <c r="K59" s="3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37"/>
      <c r="X59" s="1"/>
      <c r="Y59" s="18">
        <f t="shared" si="43"/>
        <v>0</v>
      </c>
      <c r="Z59" s="21">
        <f t="shared" si="45"/>
        <v>0</v>
      </c>
      <c r="AA59" s="10">
        <f t="shared" si="21"/>
        <v>0</v>
      </c>
      <c r="AB59" s="10">
        <f t="shared" si="22"/>
        <v>0</v>
      </c>
      <c r="AC59" s="10">
        <f t="shared" si="23"/>
        <v>0</v>
      </c>
      <c r="AD59" s="46" t="str">
        <f t="shared" si="24"/>
        <v/>
      </c>
      <c r="AE59" s="46" t="str">
        <f t="shared" si="25"/>
        <v/>
      </c>
      <c r="AF59" s="46" t="str">
        <f t="shared" si="26"/>
        <v/>
      </c>
      <c r="AG59" s="46" t="str">
        <f t="shared" si="27"/>
        <v/>
      </c>
      <c r="AH59" s="46" t="str">
        <f t="shared" si="28"/>
        <v/>
      </c>
      <c r="AI59" s="46" t="str">
        <f t="shared" si="29"/>
        <v/>
      </c>
      <c r="AJ59" s="46" t="str">
        <f t="shared" si="30"/>
        <v/>
      </c>
      <c r="AK59" s="46" t="str">
        <f t="shared" si="31"/>
        <v/>
      </c>
      <c r="AL59" s="46" t="str">
        <f t="shared" si="32"/>
        <v/>
      </c>
      <c r="AM59" s="46" t="str">
        <f t="shared" si="33"/>
        <v/>
      </c>
      <c r="AN59" s="46" t="str">
        <f t="shared" si="34"/>
        <v/>
      </c>
      <c r="AO59" s="46" t="str">
        <f t="shared" si="35"/>
        <v/>
      </c>
      <c r="AP59" s="46" t="str">
        <f t="shared" si="36"/>
        <v/>
      </c>
      <c r="AQ59" s="46" t="str">
        <f t="shared" si="37"/>
        <v/>
      </c>
      <c r="AR59" s="46" t="str">
        <f t="shared" si="38"/>
        <v/>
      </c>
      <c r="AS59" s="46" t="str">
        <f t="shared" si="39"/>
        <v/>
      </c>
      <c r="AT59" s="46" t="str">
        <f t="shared" si="40"/>
        <v/>
      </c>
      <c r="AU59" s="46" t="str">
        <f t="shared" si="41"/>
        <v/>
      </c>
      <c r="AV59" s="46" t="str">
        <f t="shared" si="42"/>
        <v/>
      </c>
      <c r="AW59" s="46" t="str">
        <f t="shared" si="44"/>
        <v/>
      </c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20"/>
    </row>
    <row r="60" spans="2:154">
      <c r="B60" s="1"/>
      <c r="C60" s="2"/>
      <c r="D60" s="34"/>
      <c r="E60" s="34"/>
      <c r="F60" s="34"/>
      <c r="G60" s="34"/>
      <c r="H60" s="4"/>
      <c r="I60" s="4"/>
      <c r="J60" s="4"/>
      <c r="K60" s="3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37"/>
      <c r="X60" s="1"/>
      <c r="Y60" s="18">
        <f t="shared" si="43"/>
        <v>0</v>
      </c>
      <c r="Z60" s="21">
        <f t="shared" si="45"/>
        <v>0</v>
      </c>
      <c r="AA60" s="10">
        <f t="shared" si="21"/>
        <v>0</v>
      </c>
      <c r="AB60" s="10">
        <f t="shared" si="22"/>
        <v>0</v>
      </c>
      <c r="AC60" s="10">
        <f t="shared" si="23"/>
        <v>0</v>
      </c>
      <c r="AD60" s="46" t="str">
        <f t="shared" si="24"/>
        <v/>
      </c>
      <c r="AE60" s="46" t="str">
        <f t="shared" si="25"/>
        <v/>
      </c>
      <c r="AF60" s="46" t="str">
        <f t="shared" si="26"/>
        <v/>
      </c>
      <c r="AG60" s="46" t="str">
        <f t="shared" si="27"/>
        <v/>
      </c>
      <c r="AH60" s="46" t="str">
        <f t="shared" si="28"/>
        <v/>
      </c>
      <c r="AI60" s="46" t="str">
        <f t="shared" si="29"/>
        <v/>
      </c>
      <c r="AJ60" s="46" t="str">
        <f t="shared" si="30"/>
        <v/>
      </c>
      <c r="AK60" s="46" t="str">
        <f t="shared" si="31"/>
        <v/>
      </c>
      <c r="AL60" s="46" t="str">
        <f t="shared" si="32"/>
        <v/>
      </c>
      <c r="AM60" s="46" t="str">
        <f t="shared" si="33"/>
        <v/>
      </c>
      <c r="AN60" s="46" t="str">
        <f t="shared" si="34"/>
        <v/>
      </c>
      <c r="AO60" s="46" t="str">
        <f t="shared" si="35"/>
        <v/>
      </c>
      <c r="AP60" s="46" t="str">
        <f t="shared" si="36"/>
        <v/>
      </c>
      <c r="AQ60" s="46" t="str">
        <f t="shared" si="37"/>
        <v/>
      </c>
      <c r="AR60" s="46" t="str">
        <f t="shared" si="38"/>
        <v/>
      </c>
      <c r="AS60" s="46" t="str">
        <f t="shared" si="39"/>
        <v/>
      </c>
      <c r="AT60" s="46" t="str">
        <f t="shared" si="40"/>
        <v/>
      </c>
      <c r="AU60" s="46" t="str">
        <f t="shared" si="41"/>
        <v/>
      </c>
      <c r="AV60" s="46" t="str">
        <f t="shared" si="42"/>
        <v/>
      </c>
      <c r="AW60" s="46" t="str">
        <f t="shared" si="44"/>
        <v/>
      </c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20"/>
    </row>
    <row r="61" spans="2:154">
      <c r="B61" s="1"/>
      <c r="C61" s="2"/>
      <c r="D61" s="34"/>
      <c r="E61" s="34"/>
      <c r="F61" s="34"/>
      <c r="G61" s="34"/>
      <c r="H61" s="4"/>
      <c r="I61" s="4"/>
      <c r="J61" s="4"/>
      <c r="K61" s="3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37"/>
      <c r="X61" s="1"/>
      <c r="Y61" s="18">
        <f t="shared" si="43"/>
        <v>0</v>
      </c>
      <c r="Z61" s="21">
        <f t="shared" si="45"/>
        <v>0</v>
      </c>
      <c r="AA61" s="10">
        <f t="shared" si="21"/>
        <v>0</v>
      </c>
      <c r="AB61" s="10">
        <f t="shared" si="22"/>
        <v>0</v>
      </c>
      <c r="AC61" s="10">
        <f t="shared" si="23"/>
        <v>0</v>
      </c>
      <c r="AD61" s="46" t="str">
        <f t="shared" si="24"/>
        <v/>
      </c>
      <c r="AE61" s="46" t="str">
        <f t="shared" si="25"/>
        <v/>
      </c>
      <c r="AF61" s="46" t="str">
        <f t="shared" si="26"/>
        <v/>
      </c>
      <c r="AG61" s="46" t="str">
        <f t="shared" si="27"/>
        <v/>
      </c>
      <c r="AH61" s="46" t="str">
        <f t="shared" si="28"/>
        <v/>
      </c>
      <c r="AI61" s="46" t="str">
        <f t="shared" si="29"/>
        <v/>
      </c>
      <c r="AJ61" s="46" t="str">
        <f t="shared" si="30"/>
        <v/>
      </c>
      <c r="AK61" s="46" t="str">
        <f t="shared" si="31"/>
        <v/>
      </c>
      <c r="AL61" s="46" t="str">
        <f t="shared" si="32"/>
        <v/>
      </c>
      <c r="AM61" s="46" t="str">
        <f t="shared" si="33"/>
        <v/>
      </c>
      <c r="AN61" s="46" t="str">
        <f t="shared" si="34"/>
        <v/>
      </c>
      <c r="AO61" s="46" t="str">
        <f t="shared" si="35"/>
        <v/>
      </c>
      <c r="AP61" s="46" t="str">
        <f t="shared" si="36"/>
        <v/>
      </c>
      <c r="AQ61" s="46" t="str">
        <f t="shared" si="37"/>
        <v/>
      </c>
      <c r="AR61" s="46" t="str">
        <f t="shared" si="38"/>
        <v/>
      </c>
      <c r="AS61" s="46" t="str">
        <f t="shared" si="39"/>
        <v/>
      </c>
      <c r="AT61" s="46" t="str">
        <f t="shared" si="40"/>
        <v/>
      </c>
      <c r="AU61" s="46" t="str">
        <f t="shared" si="41"/>
        <v/>
      </c>
      <c r="AV61" s="46" t="str">
        <f t="shared" si="42"/>
        <v/>
      </c>
      <c r="AW61" s="46" t="str">
        <f t="shared" si="44"/>
        <v/>
      </c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20"/>
    </row>
    <row r="62" spans="2:154">
      <c r="B62" s="1"/>
      <c r="C62" s="2"/>
      <c r="D62" s="34"/>
      <c r="E62" s="34"/>
      <c r="F62" s="34"/>
      <c r="G62" s="34"/>
      <c r="H62" s="4"/>
      <c r="I62" s="4"/>
      <c r="J62" s="4"/>
      <c r="K62" s="3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37"/>
      <c r="X62" s="1"/>
      <c r="Y62" s="18">
        <f t="shared" si="43"/>
        <v>0</v>
      </c>
      <c r="Z62" s="21">
        <f t="shared" si="45"/>
        <v>0</v>
      </c>
      <c r="AA62" s="10">
        <f t="shared" si="21"/>
        <v>0</v>
      </c>
      <c r="AB62" s="10">
        <f t="shared" si="22"/>
        <v>0</v>
      </c>
      <c r="AC62" s="10">
        <f t="shared" si="23"/>
        <v>0</v>
      </c>
      <c r="AD62" s="46" t="str">
        <f t="shared" si="24"/>
        <v/>
      </c>
      <c r="AE62" s="46" t="str">
        <f t="shared" si="25"/>
        <v/>
      </c>
      <c r="AF62" s="46" t="str">
        <f t="shared" si="26"/>
        <v/>
      </c>
      <c r="AG62" s="46" t="str">
        <f t="shared" si="27"/>
        <v/>
      </c>
      <c r="AH62" s="46" t="str">
        <f t="shared" si="28"/>
        <v/>
      </c>
      <c r="AI62" s="46" t="str">
        <f t="shared" si="29"/>
        <v/>
      </c>
      <c r="AJ62" s="46" t="str">
        <f t="shared" si="30"/>
        <v/>
      </c>
      <c r="AK62" s="46" t="str">
        <f t="shared" si="31"/>
        <v/>
      </c>
      <c r="AL62" s="46" t="str">
        <f t="shared" si="32"/>
        <v/>
      </c>
      <c r="AM62" s="46" t="str">
        <f t="shared" si="33"/>
        <v/>
      </c>
      <c r="AN62" s="46" t="str">
        <f t="shared" si="34"/>
        <v/>
      </c>
      <c r="AO62" s="46" t="str">
        <f t="shared" si="35"/>
        <v/>
      </c>
      <c r="AP62" s="46" t="str">
        <f t="shared" si="36"/>
        <v/>
      </c>
      <c r="AQ62" s="46" t="str">
        <f t="shared" si="37"/>
        <v/>
      </c>
      <c r="AR62" s="46" t="str">
        <f t="shared" si="38"/>
        <v/>
      </c>
      <c r="AS62" s="46" t="str">
        <f t="shared" si="39"/>
        <v/>
      </c>
      <c r="AT62" s="46" t="str">
        <f t="shared" si="40"/>
        <v/>
      </c>
      <c r="AU62" s="46" t="str">
        <f t="shared" si="41"/>
        <v/>
      </c>
      <c r="AV62" s="46" t="str">
        <f t="shared" si="42"/>
        <v/>
      </c>
      <c r="AW62" s="46" t="str">
        <f t="shared" si="44"/>
        <v/>
      </c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20"/>
    </row>
    <row r="63" spans="2:154">
      <c r="B63" s="1"/>
      <c r="C63" s="2"/>
      <c r="D63" s="34"/>
      <c r="E63" s="34"/>
      <c r="F63" s="34"/>
      <c r="G63" s="34"/>
      <c r="H63" s="4"/>
      <c r="I63" s="4"/>
      <c r="J63" s="4"/>
      <c r="K63" s="3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37"/>
      <c r="X63" s="1"/>
      <c r="Y63" s="18">
        <f t="shared" si="43"/>
        <v>0</v>
      </c>
      <c r="Z63" s="21">
        <f t="shared" si="45"/>
        <v>0</v>
      </c>
      <c r="AA63" s="10">
        <f t="shared" si="21"/>
        <v>0</v>
      </c>
      <c r="AB63" s="10">
        <f t="shared" si="22"/>
        <v>0</v>
      </c>
      <c r="AC63" s="10">
        <f t="shared" si="23"/>
        <v>0</v>
      </c>
      <c r="AD63" s="46" t="str">
        <f t="shared" si="24"/>
        <v/>
      </c>
      <c r="AE63" s="46" t="str">
        <f t="shared" si="25"/>
        <v/>
      </c>
      <c r="AF63" s="46" t="str">
        <f t="shared" si="26"/>
        <v/>
      </c>
      <c r="AG63" s="46" t="str">
        <f t="shared" si="27"/>
        <v/>
      </c>
      <c r="AH63" s="46" t="str">
        <f t="shared" si="28"/>
        <v/>
      </c>
      <c r="AI63" s="46" t="str">
        <f t="shared" si="29"/>
        <v/>
      </c>
      <c r="AJ63" s="46" t="str">
        <f t="shared" si="30"/>
        <v/>
      </c>
      <c r="AK63" s="46" t="str">
        <f t="shared" si="31"/>
        <v/>
      </c>
      <c r="AL63" s="46" t="str">
        <f t="shared" si="32"/>
        <v/>
      </c>
      <c r="AM63" s="46" t="str">
        <f t="shared" si="33"/>
        <v/>
      </c>
      <c r="AN63" s="46" t="str">
        <f t="shared" si="34"/>
        <v/>
      </c>
      <c r="AO63" s="46" t="str">
        <f t="shared" si="35"/>
        <v/>
      </c>
      <c r="AP63" s="46" t="str">
        <f t="shared" si="36"/>
        <v/>
      </c>
      <c r="AQ63" s="46" t="str">
        <f t="shared" si="37"/>
        <v/>
      </c>
      <c r="AR63" s="46" t="str">
        <f t="shared" si="38"/>
        <v/>
      </c>
      <c r="AS63" s="46" t="str">
        <f t="shared" si="39"/>
        <v/>
      </c>
      <c r="AT63" s="46" t="str">
        <f t="shared" si="40"/>
        <v/>
      </c>
      <c r="AU63" s="46" t="str">
        <f t="shared" si="41"/>
        <v/>
      </c>
      <c r="AV63" s="46" t="str">
        <f t="shared" si="42"/>
        <v/>
      </c>
      <c r="AW63" s="46" t="str">
        <f t="shared" si="44"/>
        <v/>
      </c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20"/>
    </row>
    <row r="64" spans="2:154">
      <c r="B64" s="1"/>
      <c r="C64" s="2"/>
      <c r="D64" s="34"/>
      <c r="E64" s="34"/>
      <c r="F64" s="34"/>
      <c r="G64" s="34"/>
      <c r="H64" s="4"/>
      <c r="I64" s="4"/>
      <c r="J64" s="4"/>
      <c r="K64" s="3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37"/>
      <c r="X64" s="1"/>
      <c r="Y64" s="18">
        <f t="shared" si="43"/>
        <v>0</v>
      </c>
      <c r="Z64" s="21">
        <f t="shared" si="45"/>
        <v>0</v>
      </c>
      <c r="AA64" s="10">
        <f t="shared" si="21"/>
        <v>0</v>
      </c>
      <c r="AB64" s="10">
        <f t="shared" si="22"/>
        <v>0</v>
      </c>
      <c r="AC64" s="10">
        <f t="shared" si="23"/>
        <v>0</v>
      </c>
      <c r="AD64" s="46" t="str">
        <f t="shared" si="24"/>
        <v/>
      </c>
      <c r="AE64" s="46" t="str">
        <f t="shared" si="25"/>
        <v/>
      </c>
      <c r="AF64" s="46" t="str">
        <f t="shared" si="26"/>
        <v/>
      </c>
      <c r="AG64" s="46" t="str">
        <f t="shared" si="27"/>
        <v/>
      </c>
      <c r="AH64" s="46" t="str">
        <f t="shared" si="28"/>
        <v/>
      </c>
      <c r="AI64" s="46" t="str">
        <f t="shared" si="29"/>
        <v/>
      </c>
      <c r="AJ64" s="46" t="str">
        <f t="shared" si="30"/>
        <v/>
      </c>
      <c r="AK64" s="46" t="str">
        <f t="shared" si="31"/>
        <v/>
      </c>
      <c r="AL64" s="46" t="str">
        <f t="shared" si="32"/>
        <v/>
      </c>
      <c r="AM64" s="46" t="str">
        <f t="shared" si="33"/>
        <v/>
      </c>
      <c r="AN64" s="46" t="str">
        <f t="shared" si="34"/>
        <v/>
      </c>
      <c r="AO64" s="46" t="str">
        <f t="shared" si="35"/>
        <v/>
      </c>
      <c r="AP64" s="46" t="str">
        <f t="shared" si="36"/>
        <v/>
      </c>
      <c r="AQ64" s="46" t="str">
        <f t="shared" si="37"/>
        <v/>
      </c>
      <c r="AR64" s="46" t="str">
        <f t="shared" si="38"/>
        <v/>
      </c>
      <c r="AS64" s="46" t="str">
        <f t="shared" si="39"/>
        <v/>
      </c>
      <c r="AT64" s="46" t="str">
        <f t="shared" si="40"/>
        <v/>
      </c>
      <c r="AU64" s="46" t="str">
        <f t="shared" si="41"/>
        <v/>
      </c>
      <c r="AV64" s="46" t="str">
        <f t="shared" si="42"/>
        <v/>
      </c>
      <c r="AW64" s="46" t="str">
        <f t="shared" si="44"/>
        <v/>
      </c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20"/>
    </row>
    <row r="65" spans="2:154">
      <c r="B65" s="1"/>
      <c r="C65" s="2"/>
      <c r="D65" s="34"/>
      <c r="E65" s="34"/>
      <c r="F65" s="34"/>
      <c r="G65" s="34"/>
      <c r="H65" s="4"/>
      <c r="I65" s="4"/>
      <c r="J65" s="4"/>
      <c r="K65" s="3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37"/>
      <c r="X65" s="1"/>
      <c r="Y65" s="18">
        <f t="shared" si="43"/>
        <v>0</v>
      </c>
      <c r="Z65" s="21">
        <f t="shared" si="45"/>
        <v>0</v>
      </c>
      <c r="AA65" s="10">
        <f t="shared" si="21"/>
        <v>0</v>
      </c>
      <c r="AB65" s="10">
        <f t="shared" si="22"/>
        <v>0</v>
      </c>
      <c r="AC65" s="10">
        <f t="shared" si="23"/>
        <v>0</v>
      </c>
      <c r="AD65" s="46" t="str">
        <f t="shared" si="24"/>
        <v/>
      </c>
      <c r="AE65" s="46" t="str">
        <f t="shared" si="25"/>
        <v/>
      </c>
      <c r="AF65" s="46" t="str">
        <f t="shared" si="26"/>
        <v/>
      </c>
      <c r="AG65" s="46" t="str">
        <f t="shared" si="27"/>
        <v/>
      </c>
      <c r="AH65" s="46" t="str">
        <f t="shared" si="28"/>
        <v/>
      </c>
      <c r="AI65" s="46" t="str">
        <f t="shared" si="29"/>
        <v/>
      </c>
      <c r="AJ65" s="46" t="str">
        <f t="shared" si="30"/>
        <v/>
      </c>
      <c r="AK65" s="46" t="str">
        <f t="shared" si="31"/>
        <v/>
      </c>
      <c r="AL65" s="46" t="str">
        <f t="shared" si="32"/>
        <v/>
      </c>
      <c r="AM65" s="46" t="str">
        <f t="shared" si="33"/>
        <v/>
      </c>
      <c r="AN65" s="46" t="str">
        <f t="shared" si="34"/>
        <v/>
      </c>
      <c r="AO65" s="46" t="str">
        <f t="shared" si="35"/>
        <v/>
      </c>
      <c r="AP65" s="46" t="str">
        <f t="shared" si="36"/>
        <v/>
      </c>
      <c r="AQ65" s="46" t="str">
        <f t="shared" si="37"/>
        <v/>
      </c>
      <c r="AR65" s="46" t="str">
        <f t="shared" si="38"/>
        <v/>
      </c>
      <c r="AS65" s="46" t="str">
        <f t="shared" si="39"/>
        <v/>
      </c>
      <c r="AT65" s="46" t="str">
        <f t="shared" si="40"/>
        <v/>
      </c>
      <c r="AU65" s="46" t="str">
        <f t="shared" si="41"/>
        <v/>
      </c>
      <c r="AV65" s="46" t="str">
        <f t="shared" si="42"/>
        <v/>
      </c>
      <c r="AW65" s="46" t="str">
        <f t="shared" si="44"/>
        <v/>
      </c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20"/>
    </row>
    <row r="66" spans="2:154">
      <c r="B66" s="1"/>
      <c r="C66" s="2"/>
      <c r="D66" s="34"/>
      <c r="E66" s="34"/>
      <c r="F66" s="34"/>
      <c r="G66" s="34"/>
      <c r="H66" s="4"/>
      <c r="I66" s="4"/>
      <c r="J66" s="4"/>
      <c r="K66" s="3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37"/>
      <c r="X66" s="1"/>
      <c r="Y66" s="18">
        <f t="shared" si="43"/>
        <v>0</v>
      </c>
      <c r="Z66" s="21">
        <f t="shared" si="45"/>
        <v>0</v>
      </c>
      <c r="AA66" s="10">
        <f t="shared" si="21"/>
        <v>0</v>
      </c>
      <c r="AB66" s="10">
        <f t="shared" si="22"/>
        <v>0</v>
      </c>
      <c r="AC66" s="10">
        <f t="shared" si="23"/>
        <v>0</v>
      </c>
      <c r="AD66" s="46" t="str">
        <f t="shared" si="24"/>
        <v/>
      </c>
      <c r="AE66" s="46" t="str">
        <f t="shared" si="25"/>
        <v/>
      </c>
      <c r="AF66" s="46" t="str">
        <f t="shared" si="26"/>
        <v/>
      </c>
      <c r="AG66" s="46" t="str">
        <f t="shared" si="27"/>
        <v/>
      </c>
      <c r="AH66" s="46" t="str">
        <f t="shared" si="28"/>
        <v/>
      </c>
      <c r="AI66" s="46" t="str">
        <f t="shared" si="29"/>
        <v/>
      </c>
      <c r="AJ66" s="46" t="str">
        <f t="shared" si="30"/>
        <v/>
      </c>
      <c r="AK66" s="46" t="str">
        <f t="shared" si="31"/>
        <v/>
      </c>
      <c r="AL66" s="46" t="str">
        <f t="shared" si="32"/>
        <v/>
      </c>
      <c r="AM66" s="46" t="str">
        <f t="shared" si="33"/>
        <v/>
      </c>
      <c r="AN66" s="46" t="str">
        <f t="shared" si="34"/>
        <v/>
      </c>
      <c r="AO66" s="46" t="str">
        <f t="shared" si="35"/>
        <v/>
      </c>
      <c r="AP66" s="46" t="str">
        <f t="shared" si="36"/>
        <v/>
      </c>
      <c r="AQ66" s="46" t="str">
        <f t="shared" si="37"/>
        <v/>
      </c>
      <c r="AR66" s="46" t="str">
        <f t="shared" si="38"/>
        <v/>
      </c>
      <c r="AS66" s="46" t="str">
        <f t="shared" si="39"/>
        <v/>
      </c>
      <c r="AT66" s="46" t="str">
        <f t="shared" si="40"/>
        <v/>
      </c>
      <c r="AU66" s="46" t="str">
        <f t="shared" si="41"/>
        <v/>
      </c>
      <c r="AV66" s="46" t="str">
        <f t="shared" si="42"/>
        <v/>
      </c>
      <c r="AW66" s="46" t="str">
        <f t="shared" si="44"/>
        <v/>
      </c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20"/>
    </row>
    <row r="67" spans="2:154">
      <c r="B67" s="1"/>
      <c r="C67" s="2"/>
      <c r="D67" s="34"/>
      <c r="E67" s="34"/>
      <c r="F67" s="34"/>
      <c r="G67" s="34"/>
      <c r="H67" s="4"/>
      <c r="I67" s="4"/>
      <c r="J67" s="4"/>
      <c r="K67" s="3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37"/>
      <c r="X67" s="1"/>
      <c r="Y67" s="18">
        <f t="shared" si="43"/>
        <v>0</v>
      </c>
      <c r="Z67" s="21">
        <f t="shared" si="45"/>
        <v>0</v>
      </c>
      <c r="AA67" s="10">
        <f t="shared" si="21"/>
        <v>0</v>
      </c>
      <c r="AB67" s="10">
        <f t="shared" si="22"/>
        <v>0</v>
      </c>
      <c r="AC67" s="10">
        <f t="shared" si="23"/>
        <v>0</v>
      </c>
      <c r="AD67" s="46" t="str">
        <f t="shared" si="24"/>
        <v/>
      </c>
      <c r="AE67" s="46" t="str">
        <f t="shared" si="25"/>
        <v/>
      </c>
      <c r="AF67" s="46" t="str">
        <f t="shared" si="26"/>
        <v/>
      </c>
      <c r="AG67" s="46" t="str">
        <f t="shared" si="27"/>
        <v/>
      </c>
      <c r="AH67" s="46" t="str">
        <f t="shared" si="28"/>
        <v/>
      </c>
      <c r="AI67" s="46" t="str">
        <f t="shared" si="29"/>
        <v/>
      </c>
      <c r="AJ67" s="46" t="str">
        <f t="shared" si="30"/>
        <v/>
      </c>
      <c r="AK67" s="46" t="str">
        <f t="shared" si="31"/>
        <v/>
      </c>
      <c r="AL67" s="46" t="str">
        <f t="shared" si="32"/>
        <v/>
      </c>
      <c r="AM67" s="46" t="str">
        <f t="shared" si="33"/>
        <v/>
      </c>
      <c r="AN67" s="46" t="str">
        <f t="shared" si="34"/>
        <v/>
      </c>
      <c r="AO67" s="46" t="str">
        <f t="shared" si="35"/>
        <v/>
      </c>
      <c r="AP67" s="46" t="str">
        <f t="shared" si="36"/>
        <v/>
      </c>
      <c r="AQ67" s="46" t="str">
        <f t="shared" si="37"/>
        <v/>
      </c>
      <c r="AR67" s="46" t="str">
        <f t="shared" si="38"/>
        <v/>
      </c>
      <c r="AS67" s="46" t="str">
        <f t="shared" si="39"/>
        <v/>
      </c>
      <c r="AT67" s="46" t="str">
        <f t="shared" si="40"/>
        <v/>
      </c>
      <c r="AU67" s="46" t="str">
        <f t="shared" si="41"/>
        <v/>
      </c>
      <c r="AV67" s="46" t="str">
        <f t="shared" si="42"/>
        <v/>
      </c>
      <c r="AW67" s="46" t="str">
        <f t="shared" si="44"/>
        <v/>
      </c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20"/>
    </row>
    <row r="68" spans="2:154">
      <c r="B68" s="1"/>
      <c r="C68" s="2"/>
      <c r="D68" s="34"/>
      <c r="E68" s="34"/>
      <c r="F68" s="34"/>
      <c r="G68" s="34"/>
      <c r="H68" s="4"/>
      <c r="I68" s="4"/>
      <c r="J68" s="4"/>
      <c r="K68" s="3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37"/>
      <c r="X68" s="1"/>
      <c r="Y68" s="18">
        <f t="shared" ref="Y68:Y131" si="46">COUNTA(D68:V68)-X68</f>
        <v>0</v>
      </c>
      <c r="Z68" s="21">
        <f t="shared" ref="Z68:Z131" si="47">IF(W68&lt;&gt;"",0.0001,IF(X68+Y68=0,0,IF(X68=0,70+(Y68*50),IF(X68&gt;0,80+(Y68*50)))))</f>
        <v>0</v>
      </c>
      <c r="AA68" s="10">
        <f t="shared" ref="AA68:AA131" si="48">COUNTA(K68:V68)</f>
        <v>0</v>
      </c>
      <c r="AB68" s="10">
        <f t="shared" ref="AB68:AB131" si="49">COUNTA(K68:P68)</f>
        <v>0</v>
      </c>
      <c r="AC68" s="10">
        <f t="shared" ref="AC68:AC131" si="50">COUNTA(Q68:U68)</f>
        <v>0</v>
      </c>
      <c r="AD68" s="46" t="str">
        <f t="shared" ref="AD68:AD131" si="51">IF(AND(B68="Feminino",C68&gt;=$AY$2,C68&lt;=$AZ$2),$AY$3,IF(AND(B68="Masculino",C68&gt;=$AY$2,C68&lt;=$AZ$2),$AZ$3,IF(AND(B68="Feminino",C68&gt;=$BA$2,C68&lt;=$BB$2),$BA$3,IF(AND(B68="Masculino",C68&gt;=$BA$2,C68&lt;=$BB$2),$BB$3,IF(AND(B68="Feminino",C68&gt;=$BC$2,C68&lt;=$BD$2),$BC$3,IF(AND(B68="Masculino",C68&gt;=$BC$2,C68&lt;=$BD$2),$BD$3,""))))))</f>
        <v/>
      </c>
      <c r="AE68" s="46" t="str">
        <f t="shared" ref="AE68:AE131" si="52">IF(AND(B68="Feminino",C68&gt;=$BA$2,C68&lt;=$BB$2),$BE$3,IF(AND(B68="Masculino",C68&gt;=$BA$2,C68&lt;=$BB$2),$BF$3,IF(AND(B68="Feminino",C68&lt;=$BD$2),$BG$3,IF(AND(B68="Masculino",C68&lt;=$BD$2),$BH$3,""))))</f>
        <v/>
      </c>
      <c r="AF68" s="46" t="str">
        <f t="shared" ref="AF68:AF131" si="53">IF(AND(B68="Feminino",C68&gt;=$BI$2,C68&lt;=$BJ$2),$BI$3,IF(AND(B68="Masculino",C68&gt;=$BI$2,C68&lt;=$BJ$2),$BJ$3,""))</f>
        <v/>
      </c>
      <c r="AG68" s="46" t="str">
        <f t="shared" ref="AG68:AG131" si="54">IF(C68="","",IF(C68&gt;=$BK$2,$BK$3,IF(AND(C68&gt;=$BL$1,C68&lt;=$BL$2),$BL$3,IF(AND(C68&gt;=$BM$1,C68&lt;=$BM$2),$BM$3,IF(AND(C68&gt;=$BN$1,C68&lt;=$BN$2),$BN$3,IF(AND(C68&gt;=$BO$1,C68&lt;=$BO$2),$BO$3,IF(C68&lt;=$BP$2,$BP$3,"")))))))</f>
        <v/>
      </c>
      <c r="AH68" s="46" t="str">
        <f t="shared" ref="AH68:AH131" si="55">IF(C68="","",IF(C68&gt;=$BK$2,$BQ$3,IF(AND(C68&gt;=$BL$1,C68&lt;=$BL$2),$BR$3,IF(AND(C68&gt;=$BM$1,C68&lt;=$BM$2),$BS$3,IF(AND(C68&gt;=$BN$1,C68&lt;=$BN$2),$BT$3,IF(AND(C68&gt;=$BO$1,C68&lt;=$BO$2),$BU$3,IF(C68&lt;=$BP$2,$BV$3,"")))))))</f>
        <v/>
      </c>
      <c r="AI68" s="46" t="str">
        <f t="shared" ref="AI68:AI131" si="56">IF(C68="","",IF(C68&gt;=$BK$2,$BW$3,IF(AND(C68&gt;=$BL$1,C68&lt;=$BL$2),$BX$3,IF(AND(C68&gt;=$BM$1,C68&lt;=$BM$2),$BY$3,IF(AND(C68&gt;=$BN$1,C68&lt;=$BN$2),$BZ$3,IF(AND(C68&gt;=$BO$1,C68&lt;=$BO$2),$CA$3,IF(C68&lt;=$BP$2,$CB$3,"")))))))</f>
        <v/>
      </c>
      <c r="AJ68" s="46" t="str">
        <f t="shared" ref="AJ68:AJ131" si="57">IF(C68="","",IF(AND(C68&gt;=$BN$1,C68&lt;=$BN$2),$CC$3,IF(AND(C68&gt;=$BO$1,C68&lt;=$BO$2),$CD$3,IF(C68&lt;=$BP$2,$CE$3,""))))</f>
        <v/>
      </c>
      <c r="AK68" s="46" t="str">
        <f t="shared" ref="AK68:AK131" si="58">IF(C68="","",IF(AA68&gt;=3,"",IF(AB68&gt;=2,"",IF(C68&gt;=$CF$2,$CF$3,IF(AND(C68&gt;=$CG$1,C68&lt;=$CG$2),$CG$3,IF(AND(C68&gt;=$CH$1,C68&lt;=$CH$2),$CH$3,IF(AND(C68&gt;=$CI$1,C68&lt;=$CI$2),$CI$3,IF(AND(C68&gt;=$CJ$1,C68&lt;=$CJ$2),$CJ$3,IF(C68&lt;=$CK$2,$CK$3,"")))))))))</f>
        <v/>
      </c>
      <c r="AL68" s="46" t="str">
        <f t="shared" ref="AL68:AL131" si="59">IF(C68="","",IF(AA68&gt;=3,"",IF(AB68&gt;=2,"",IF(C68&gt;=$CF$2,$CL$3,IF(AND(C68&gt;=$CG$1,C68&lt;=$CG$2),$CM$3,IF(AND(C68&gt;=$CH$1,C68&lt;=$CH$2),$CN$3,IF(AND(C68&gt;=$CI$1,C68&lt;=$CI$2),$CO$3,IF(AND(C68&gt;=$CJ$1,C68&lt;=$CJ$2),$CP$3,IF(C68&lt;=$CK$2,$CQ$3,"")))))))))</f>
        <v/>
      </c>
      <c r="AM68" s="46" t="str">
        <f t="shared" ref="AM68:AM131" si="60">IF(C68="","",IF(AA68&gt;=3,"",IF(AB68&gt;=2,"",IF(C68&gt;=$CF$2,$CR$3,IF(AND(C68&gt;=$CG$1,C68&lt;=$CG$2),$CS$3,IF(AND(C68&gt;=$CH$1,C68&lt;=$CH$2),$CT$3,IF(AND(C68&gt;=$CI$1,C68&lt;=$CI$2),$CU$3,IF(AND(C68&gt;=$CJ$1,C68&lt;=$CJ$2),$CV$3,IF(C68&lt;=$CK$2,$CW$3,"")))))))))</f>
        <v/>
      </c>
      <c r="AN68" s="46" t="str">
        <f t="shared" ref="AN68:AN131" si="61">IF(C68="","",IF(AA68&gt;=3,"",IF(AB68&gt;=2,"",IF(C68&gt;=$CF$2,$CX$3,IF(AND(C68&gt;=$CG$1,C68&lt;=$CG$2),$CY$3,IF(AND(C68&gt;=$CH$1,C68&lt;=$CH$2),$CZ$3,IF(AND(C68&gt;=$CI$1,C68&lt;=$CI$2),$DA$3,IF(AND(C68&gt;=$CJ$1,C68&lt;=$CJ$2),$DB$3,IF(C68&lt;=$CK$2,$DC$3,"")))))))))</f>
        <v/>
      </c>
      <c r="AO68" s="46" t="str">
        <f t="shared" ref="AO68:AO131" si="62">IF(C68="","",IF(AA68&gt;=3,"",IF(AB68&gt;=2,"",IF(C68&gt;=$CF$2,$DD$3,IF(AND(C68&gt;=$CG$1,C68&lt;=$CG$2),$DE$3,IF(AND(C68&gt;=$CH$1,C68&lt;=$CH$2),$DF$3,IF(AND(C68&gt;=$CI$1,C68&lt;=$CI$2),$DG$3,IF(AND(C68&gt;=$CJ$1,C68&lt;=$CJ$2),$DH$3,IF(C68&lt;=$CK$2,$DI$3,"")))))))))</f>
        <v/>
      </c>
      <c r="AP68" s="46" t="str">
        <f t="shared" ref="AP68:AP131" si="63">IF(C68="","",IF(AA68&gt;=3,"",IF(AB68&gt;=2,"",IF(C68&gt;=$CF$2,$DJ$3,IF(AND(C68&gt;=$CG$1,C68&lt;=$CG$2),$DK$3,IF(AND(C68&gt;=$CH$1,C68&lt;=$CH$2),$DL$3,IF(AND(C68&gt;=$CI$1,C68&lt;=$CI$2),$DM$3,IF(AND(C68&gt;=$CJ$1,C68&lt;=$CJ$2),$DN$3,IF(C68&lt;=$CK$2,$DO$3,"")))))))))</f>
        <v/>
      </c>
      <c r="AQ68" s="46" t="str">
        <f t="shared" ref="AQ68:AQ131" si="64">IF(C68="","",IF(AA68&gt;=3,"",IF(AC68&gt;=2,"",IF(C68&gt;=$CF$2,$DP$3,IF(AND(C68&gt;=$CG$1,C68&lt;=$CG$2),$DQ$3,IF(AND(C68&gt;=$CH$1,C68&lt;=$CH$2),$DR$3,IF(AND(C68&gt;=$CI$1,C68&lt;=$CI$2),$DS$3,IF(AND(C68&gt;=$CJ$1,C68&lt;=$CJ$2),$DT$3,IF(C68&lt;=$CK$2,$DU$3,"")))))))))</f>
        <v/>
      </c>
      <c r="AR68" s="46" t="str">
        <f t="shared" ref="AR68:AR131" si="65">IF(C68="","",IF(AA68&gt;=3,"",IF(AC68&gt;=2,"",IF(C68&gt;=$CF$2,$DV$3,IF(AND(C68&gt;=$CG$1,C68&lt;=$CG$2),$DW$3,IF(AND(C68&gt;=$CH$1,C68&lt;=$CH$2),$DX$3,IF(AND(C68&gt;=$CI$1,C68&lt;=$CI$2),$DY$3,IF(AND(C68&gt;=$CJ$1,C68&lt;=$CJ$2),$DZ$3,IF(C68&lt;=$CK$2,$EA$3,"")))))))))</f>
        <v/>
      </c>
      <c r="AS68" s="46" t="str">
        <f t="shared" ref="AS68:AS131" si="66">IF(C68="","",IF(AA68&gt;=3,"",IF(AC68&gt;=2,"",IF(C68&gt;=$CF$2,$EB$3,IF(AND(C68&gt;=$CG$1,C68&lt;=$CG$2),$EC$3,IF(AND(C68&gt;=$CH$1,C68&lt;=$CH$2),$ED$3,IF(AND(C68&gt;=$CI$1,C68&lt;=$CI$2),$EE$3,IF(AND(C68&gt;=$CJ$1,C68&lt;=$CJ$2),$EF$3,IF(C68&lt;=$CK$2,$EG$3,"")))))))))</f>
        <v/>
      </c>
      <c r="AT68" s="46" t="str">
        <f t="shared" ref="AT68:AT131" si="67">IF(C68="","",IF(AA68&gt;=3,"",IF(AC68&gt;=2,"",IF(C68&gt;=$CF$2,$EH$3,IF(AND(C68&gt;=$CG$1,C68&lt;=$CG$2),$EI$3,IF(AND(C68&gt;=$CH$1,C68&lt;=$CH$2),$EJ$3,IF(AND(C68&gt;=$CI$1,C68&lt;=$CI$2),$EK$3,IF(AND(C68&gt;=$CJ$1,C68&lt;=$CJ$2),$EL$3,IF(C68&lt;=$CK$2,$EM$3,"")))))))))</f>
        <v/>
      </c>
      <c r="AU68" s="46" t="str">
        <f t="shared" ref="AU68:AU131" si="68">IF(C68="","",IF(AA68&gt;=3,"",IF(AC68&gt;=2,"",IF(C68&gt;=$CF$2,$EN$3,IF(AND(C68&gt;=$CG$1,C68&lt;=$CG$2),$EO$3,IF(AND(C68&gt;=$CH$1,C68&lt;=$CH$2),$EP$3,IF(AND(C68&gt;=$CI$1,C68&lt;=$CI$2),$EQ$3,IF(AND(C68&gt;=$CJ$1,C68&lt;=$CJ$2),$ER$3,IF(C68&lt;=$CK$2,$ES$3,"")))))))))</f>
        <v/>
      </c>
      <c r="AV68" s="46" t="str">
        <f t="shared" ref="AV68:AV131" si="69">IF(C68="","",IF(AA68&gt;=3,"",IF(C68&gt;=$CG$1,$ET$3,IF(AND(C68&gt;=$CI$1,C68&lt;=$CH$2),$EU$3,IF(C68&lt;=$CJ$2,$EV$3,"")))))</f>
        <v/>
      </c>
      <c r="AW68" s="46" t="str">
        <f t="shared" ref="AW68:AW131" si="70">IF(C68="","",IF(AND(D68="",E68="",G68="",H68="",I68="",J68=""),"ADAPTADO",""))</f>
        <v/>
      </c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20"/>
    </row>
    <row r="69" spans="2:154">
      <c r="B69" s="1"/>
      <c r="C69" s="2"/>
      <c r="D69" s="34"/>
      <c r="E69" s="34"/>
      <c r="F69" s="34"/>
      <c r="G69" s="34"/>
      <c r="H69" s="4"/>
      <c r="I69" s="4"/>
      <c r="J69" s="4"/>
      <c r="K69" s="3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37"/>
      <c r="X69" s="1"/>
      <c r="Y69" s="18">
        <f t="shared" si="46"/>
        <v>0</v>
      </c>
      <c r="Z69" s="21">
        <f t="shared" si="47"/>
        <v>0</v>
      </c>
      <c r="AA69" s="10">
        <f t="shared" si="48"/>
        <v>0</v>
      </c>
      <c r="AB69" s="10">
        <f t="shared" si="49"/>
        <v>0</v>
      </c>
      <c r="AC69" s="10">
        <f t="shared" si="50"/>
        <v>0</v>
      </c>
      <c r="AD69" s="46" t="str">
        <f t="shared" si="51"/>
        <v/>
      </c>
      <c r="AE69" s="46" t="str">
        <f t="shared" si="52"/>
        <v/>
      </c>
      <c r="AF69" s="46" t="str">
        <f t="shared" si="53"/>
        <v/>
      </c>
      <c r="AG69" s="46" t="str">
        <f t="shared" si="54"/>
        <v/>
      </c>
      <c r="AH69" s="46" t="str">
        <f t="shared" si="55"/>
        <v/>
      </c>
      <c r="AI69" s="46" t="str">
        <f t="shared" si="56"/>
        <v/>
      </c>
      <c r="AJ69" s="46" t="str">
        <f t="shared" si="57"/>
        <v/>
      </c>
      <c r="AK69" s="46" t="str">
        <f t="shared" si="58"/>
        <v/>
      </c>
      <c r="AL69" s="46" t="str">
        <f t="shared" si="59"/>
        <v/>
      </c>
      <c r="AM69" s="46" t="str">
        <f t="shared" si="60"/>
        <v/>
      </c>
      <c r="AN69" s="46" t="str">
        <f t="shared" si="61"/>
        <v/>
      </c>
      <c r="AO69" s="46" t="str">
        <f t="shared" si="62"/>
        <v/>
      </c>
      <c r="AP69" s="46" t="str">
        <f t="shared" si="63"/>
        <v/>
      </c>
      <c r="AQ69" s="46" t="str">
        <f t="shared" si="64"/>
        <v/>
      </c>
      <c r="AR69" s="46" t="str">
        <f t="shared" si="65"/>
        <v/>
      </c>
      <c r="AS69" s="46" t="str">
        <f t="shared" si="66"/>
        <v/>
      </c>
      <c r="AT69" s="46" t="str">
        <f t="shared" si="67"/>
        <v/>
      </c>
      <c r="AU69" s="46" t="str">
        <f t="shared" si="68"/>
        <v/>
      </c>
      <c r="AV69" s="46" t="str">
        <f t="shared" si="69"/>
        <v/>
      </c>
      <c r="AW69" s="46" t="str">
        <f t="shared" si="70"/>
        <v/>
      </c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20"/>
    </row>
    <row r="70" spans="2:154">
      <c r="B70" s="1"/>
      <c r="C70" s="2"/>
      <c r="D70" s="34"/>
      <c r="E70" s="34"/>
      <c r="F70" s="34"/>
      <c r="G70" s="34"/>
      <c r="H70" s="4"/>
      <c r="I70" s="4"/>
      <c r="J70" s="4"/>
      <c r="K70" s="3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37"/>
      <c r="X70" s="1"/>
      <c r="Y70" s="18">
        <f t="shared" si="46"/>
        <v>0</v>
      </c>
      <c r="Z70" s="21">
        <f t="shared" si="47"/>
        <v>0</v>
      </c>
      <c r="AA70" s="10">
        <f t="shared" si="48"/>
        <v>0</v>
      </c>
      <c r="AB70" s="10">
        <f t="shared" si="49"/>
        <v>0</v>
      </c>
      <c r="AC70" s="10">
        <f t="shared" si="50"/>
        <v>0</v>
      </c>
      <c r="AD70" s="46" t="str">
        <f t="shared" si="51"/>
        <v/>
      </c>
      <c r="AE70" s="46" t="str">
        <f t="shared" si="52"/>
        <v/>
      </c>
      <c r="AF70" s="46" t="str">
        <f t="shared" si="53"/>
        <v/>
      </c>
      <c r="AG70" s="46" t="str">
        <f t="shared" si="54"/>
        <v/>
      </c>
      <c r="AH70" s="46" t="str">
        <f t="shared" si="55"/>
        <v/>
      </c>
      <c r="AI70" s="46" t="str">
        <f t="shared" si="56"/>
        <v/>
      </c>
      <c r="AJ70" s="46" t="str">
        <f t="shared" si="57"/>
        <v/>
      </c>
      <c r="AK70" s="46" t="str">
        <f t="shared" si="58"/>
        <v/>
      </c>
      <c r="AL70" s="46" t="str">
        <f t="shared" si="59"/>
        <v/>
      </c>
      <c r="AM70" s="46" t="str">
        <f t="shared" si="60"/>
        <v/>
      </c>
      <c r="AN70" s="46" t="str">
        <f t="shared" si="61"/>
        <v/>
      </c>
      <c r="AO70" s="46" t="str">
        <f t="shared" si="62"/>
        <v/>
      </c>
      <c r="AP70" s="46" t="str">
        <f t="shared" si="63"/>
        <v/>
      </c>
      <c r="AQ70" s="46" t="str">
        <f t="shared" si="64"/>
        <v/>
      </c>
      <c r="AR70" s="46" t="str">
        <f t="shared" si="65"/>
        <v/>
      </c>
      <c r="AS70" s="46" t="str">
        <f t="shared" si="66"/>
        <v/>
      </c>
      <c r="AT70" s="46" t="str">
        <f t="shared" si="67"/>
        <v/>
      </c>
      <c r="AU70" s="46" t="str">
        <f t="shared" si="68"/>
        <v/>
      </c>
      <c r="AV70" s="46" t="str">
        <f t="shared" si="69"/>
        <v/>
      </c>
      <c r="AW70" s="46" t="str">
        <f t="shared" si="70"/>
        <v/>
      </c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20"/>
    </row>
    <row r="71" spans="2:154">
      <c r="B71" s="1"/>
      <c r="C71" s="2"/>
      <c r="D71" s="34"/>
      <c r="E71" s="34"/>
      <c r="F71" s="34"/>
      <c r="G71" s="34"/>
      <c r="H71" s="4"/>
      <c r="I71" s="4"/>
      <c r="J71" s="4"/>
      <c r="K71" s="3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37"/>
      <c r="X71" s="1"/>
      <c r="Y71" s="18">
        <f t="shared" si="46"/>
        <v>0</v>
      </c>
      <c r="Z71" s="21">
        <f t="shared" si="47"/>
        <v>0</v>
      </c>
      <c r="AA71" s="10">
        <f t="shared" si="48"/>
        <v>0</v>
      </c>
      <c r="AB71" s="10">
        <f t="shared" si="49"/>
        <v>0</v>
      </c>
      <c r="AC71" s="10">
        <f t="shared" si="50"/>
        <v>0</v>
      </c>
      <c r="AD71" s="46" t="str">
        <f t="shared" si="51"/>
        <v/>
      </c>
      <c r="AE71" s="46" t="str">
        <f t="shared" si="52"/>
        <v/>
      </c>
      <c r="AF71" s="46" t="str">
        <f t="shared" si="53"/>
        <v/>
      </c>
      <c r="AG71" s="46" t="str">
        <f t="shared" si="54"/>
        <v/>
      </c>
      <c r="AH71" s="46" t="str">
        <f t="shared" si="55"/>
        <v/>
      </c>
      <c r="AI71" s="46" t="str">
        <f t="shared" si="56"/>
        <v/>
      </c>
      <c r="AJ71" s="46" t="str">
        <f t="shared" si="57"/>
        <v/>
      </c>
      <c r="AK71" s="46" t="str">
        <f t="shared" si="58"/>
        <v/>
      </c>
      <c r="AL71" s="46" t="str">
        <f t="shared" si="59"/>
        <v/>
      </c>
      <c r="AM71" s="46" t="str">
        <f t="shared" si="60"/>
        <v/>
      </c>
      <c r="AN71" s="46" t="str">
        <f t="shared" si="61"/>
        <v/>
      </c>
      <c r="AO71" s="46" t="str">
        <f t="shared" si="62"/>
        <v/>
      </c>
      <c r="AP71" s="46" t="str">
        <f t="shared" si="63"/>
        <v/>
      </c>
      <c r="AQ71" s="46" t="str">
        <f t="shared" si="64"/>
        <v/>
      </c>
      <c r="AR71" s="46" t="str">
        <f t="shared" si="65"/>
        <v/>
      </c>
      <c r="AS71" s="46" t="str">
        <f t="shared" si="66"/>
        <v/>
      </c>
      <c r="AT71" s="46" t="str">
        <f t="shared" si="67"/>
        <v/>
      </c>
      <c r="AU71" s="46" t="str">
        <f t="shared" si="68"/>
        <v/>
      </c>
      <c r="AV71" s="46" t="str">
        <f t="shared" si="69"/>
        <v/>
      </c>
      <c r="AW71" s="46" t="str">
        <f t="shared" si="70"/>
        <v/>
      </c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20"/>
    </row>
    <row r="72" spans="2:154">
      <c r="B72" s="1"/>
      <c r="C72" s="2"/>
      <c r="D72" s="34"/>
      <c r="E72" s="34"/>
      <c r="F72" s="34"/>
      <c r="G72" s="34"/>
      <c r="H72" s="4"/>
      <c r="I72" s="4"/>
      <c r="J72" s="4"/>
      <c r="K72" s="3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37"/>
      <c r="X72" s="1"/>
      <c r="Y72" s="18">
        <f t="shared" si="46"/>
        <v>0</v>
      </c>
      <c r="Z72" s="21">
        <f t="shared" si="47"/>
        <v>0</v>
      </c>
      <c r="AA72" s="10">
        <f t="shared" si="48"/>
        <v>0</v>
      </c>
      <c r="AB72" s="10">
        <f t="shared" si="49"/>
        <v>0</v>
      </c>
      <c r="AC72" s="10">
        <f t="shared" si="50"/>
        <v>0</v>
      </c>
      <c r="AD72" s="46" t="str">
        <f t="shared" si="51"/>
        <v/>
      </c>
      <c r="AE72" s="46" t="str">
        <f t="shared" si="52"/>
        <v/>
      </c>
      <c r="AF72" s="46" t="str">
        <f t="shared" si="53"/>
        <v/>
      </c>
      <c r="AG72" s="46" t="str">
        <f t="shared" si="54"/>
        <v/>
      </c>
      <c r="AH72" s="46" t="str">
        <f t="shared" si="55"/>
        <v/>
      </c>
      <c r="AI72" s="46" t="str">
        <f t="shared" si="56"/>
        <v/>
      </c>
      <c r="AJ72" s="46" t="str">
        <f t="shared" si="57"/>
        <v/>
      </c>
      <c r="AK72" s="46" t="str">
        <f t="shared" si="58"/>
        <v/>
      </c>
      <c r="AL72" s="46" t="str">
        <f t="shared" si="59"/>
        <v/>
      </c>
      <c r="AM72" s="46" t="str">
        <f t="shared" si="60"/>
        <v/>
      </c>
      <c r="AN72" s="46" t="str">
        <f t="shared" si="61"/>
        <v/>
      </c>
      <c r="AO72" s="46" t="str">
        <f t="shared" si="62"/>
        <v/>
      </c>
      <c r="AP72" s="46" t="str">
        <f t="shared" si="63"/>
        <v/>
      </c>
      <c r="AQ72" s="46" t="str">
        <f t="shared" si="64"/>
        <v/>
      </c>
      <c r="AR72" s="46" t="str">
        <f t="shared" si="65"/>
        <v/>
      </c>
      <c r="AS72" s="46" t="str">
        <f t="shared" si="66"/>
        <v/>
      </c>
      <c r="AT72" s="46" t="str">
        <f t="shared" si="67"/>
        <v/>
      </c>
      <c r="AU72" s="46" t="str">
        <f t="shared" si="68"/>
        <v/>
      </c>
      <c r="AV72" s="46" t="str">
        <f t="shared" si="69"/>
        <v/>
      </c>
      <c r="AW72" s="46" t="str">
        <f t="shared" si="70"/>
        <v/>
      </c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20"/>
    </row>
    <row r="73" spans="2:154">
      <c r="B73" s="1"/>
      <c r="C73" s="2"/>
      <c r="D73" s="34"/>
      <c r="E73" s="34"/>
      <c r="F73" s="34"/>
      <c r="G73" s="34"/>
      <c r="H73" s="4"/>
      <c r="I73" s="4"/>
      <c r="J73" s="4"/>
      <c r="K73" s="3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37"/>
      <c r="X73" s="1"/>
      <c r="Y73" s="18">
        <f t="shared" si="46"/>
        <v>0</v>
      </c>
      <c r="Z73" s="21">
        <f t="shared" si="47"/>
        <v>0</v>
      </c>
      <c r="AA73" s="10">
        <f t="shared" si="48"/>
        <v>0</v>
      </c>
      <c r="AB73" s="10">
        <f t="shared" si="49"/>
        <v>0</v>
      </c>
      <c r="AC73" s="10">
        <f t="shared" si="50"/>
        <v>0</v>
      </c>
      <c r="AD73" s="46" t="str">
        <f t="shared" si="51"/>
        <v/>
      </c>
      <c r="AE73" s="46" t="str">
        <f t="shared" si="52"/>
        <v/>
      </c>
      <c r="AF73" s="46" t="str">
        <f t="shared" si="53"/>
        <v/>
      </c>
      <c r="AG73" s="46" t="str">
        <f t="shared" si="54"/>
        <v/>
      </c>
      <c r="AH73" s="46" t="str">
        <f t="shared" si="55"/>
        <v/>
      </c>
      <c r="AI73" s="46" t="str">
        <f t="shared" si="56"/>
        <v/>
      </c>
      <c r="AJ73" s="46" t="str">
        <f t="shared" si="57"/>
        <v/>
      </c>
      <c r="AK73" s="46" t="str">
        <f t="shared" si="58"/>
        <v/>
      </c>
      <c r="AL73" s="46" t="str">
        <f t="shared" si="59"/>
        <v/>
      </c>
      <c r="AM73" s="46" t="str">
        <f t="shared" si="60"/>
        <v/>
      </c>
      <c r="AN73" s="46" t="str">
        <f t="shared" si="61"/>
        <v/>
      </c>
      <c r="AO73" s="46" t="str">
        <f t="shared" si="62"/>
        <v/>
      </c>
      <c r="AP73" s="46" t="str">
        <f t="shared" si="63"/>
        <v/>
      </c>
      <c r="AQ73" s="46" t="str">
        <f t="shared" si="64"/>
        <v/>
      </c>
      <c r="AR73" s="46" t="str">
        <f t="shared" si="65"/>
        <v/>
      </c>
      <c r="AS73" s="46" t="str">
        <f t="shared" si="66"/>
        <v/>
      </c>
      <c r="AT73" s="46" t="str">
        <f t="shared" si="67"/>
        <v/>
      </c>
      <c r="AU73" s="46" t="str">
        <f t="shared" si="68"/>
        <v/>
      </c>
      <c r="AV73" s="46" t="str">
        <f t="shared" si="69"/>
        <v/>
      </c>
      <c r="AW73" s="46" t="str">
        <f t="shared" si="70"/>
        <v/>
      </c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20"/>
    </row>
    <row r="74" spans="2:154">
      <c r="B74" s="1"/>
      <c r="C74" s="2"/>
      <c r="D74" s="34"/>
      <c r="E74" s="34"/>
      <c r="F74" s="34"/>
      <c r="G74" s="34"/>
      <c r="H74" s="4"/>
      <c r="I74" s="4"/>
      <c r="J74" s="4"/>
      <c r="K74" s="3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37"/>
      <c r="X74" s="1"/>
      <c r="Y74" s="18">
        <f t="shared" si="46"/>
        <v>0</v>
      </c>
      <c r="Z74" s="21">
        <f t="shared" si="47"/>
        <v>0</v>
      </c>
      <c r="AA74" s="10">
        <f t="shared" si="48"/>
        <v>0</v>
      </c>
      <c r="AB74" s="10">
        <f t="shared" si="49"/>
        <v>0</v>
      </c>
      <c r="AC74" s="10">
        <f t="shared" si="50"/>
        <v>0</v>
      </c>
      <c r="AD74" s="46" t="str">
        <f t="shared" si="51"/>
        <v/>
      </c>
      <c r="AE74" s="46" t="str">
        <f t="shared" si="52"/>
        <v/>
      </c>
      <c r="AF74" s="46" t="str">
        <f t="shared" si="53"/>
        <v/>
      </c>
      <c r="AG74" s="46" t="str">
        <f t="shared" si="54"/>
        <v/>
      </c>
      <c r="AH74" s="46" t="str">
        <f t="shared" si="55"/>
        <v/>
      </c>
      <c r="AI74" s="46" t="str">
        <f t="shared" si="56"/>
        <v/>
      </c>
      <c r="AJ74" s="46" t="str">
        <f t="shared" si="57"/>
        <v/>
      </c>
      <c r="AK74" s="46" t="str">
        <f t="shared" si="58"/>
        <v/>
      </c>
      <c r="AL74" s="46" t="str">
        <f t="shared" si="59"/>
        <v/>
      </c>
      <c r="AM74" s="46" t="str">
        <f t="shared" si="60"/>
        <v/>
      </c>
      <c r="AN74" s="46" t="str">
        <f t="shared" si="61"/>
        <v/>
      </c>
      <c r="AO74" s="46" t="str">
        <f t="shared" si="62"/>
        <v/>
      </c>
      <c r="AP74" s="46" t="str">
        <f t="shared" si="63"/>
        <v/>
      </c>
      <c r="AQ74" s="46" t="str">
        <f t="shared" si="64"/>
        <v/>
      </c>
      <c r="AR74" s="46" t="str">
        <f t="shared" si="65"/>
        <v/>
      </c>
      <c r="AS74" s="46" t="str">
        <f t="shared" si="66"/>
        <v/>
      </c>
      <c r="AT74" s="46" t="str">
        <f t="shared" si="67"/>
        <v/>
      </c>
      <c r="AU74" s="46" t="str">
        <f t="shared" si="68"/>
        <v/>
      </c>
      <c r="AV74" s="46" t="str">
        <f t="shared" si="69"/>
        <v/>
      </c>
      <c r="AW74" s="46" t="str">
        <f t="shared" si="70"/>
        <v/>
      </c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20"/>
    </row>
    <row r="75" spans="2:154">
      <c r="B75" s="1"/>
      <c r="C75" s="2"/>
      <c r="D75" s="34"/>
      <c r="E75" s="34"/>
      <c r="F75" s="34"/>
      <c r="G75" s="34"/>
      <c r="H75" s="4"/>
      <c r="I75" s="4"/>
      <c r="J75" s="4"/>
      <c r="K75" s="3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37"/>
      <c r="X75" s="1"/>
      <c r="Y75" s="18">
        <f t="shared" si="46"/>
        <v>0</v>
      </c>
      <c r="Z75" s="21">
        <f t="shared" si="47"/>
        <v>0</v>
      </c>
      <c r="AA75" s="10">
        <f t="shared" si="48"/>
        <v>0</v>
      </c>
      <c r="AB75" s="10">
        <f t="shared" si="49"/>
        <v>0</v>
      </c>
      <c r="AC75" s="10">
        <f t="shared" si="50"/>
        <v>0</v>
      </c>
      <c r="AD75" s="46" t="str">
        <f t="shared" si="51"/>
        <v/>
      </c>
      <c r="AE75" s="46" t="str">
        <f t="shared" si="52"/>
        <v/>
      </c>
      <c r="AF75" s="46" t="str">
        <f t="shared" si="53"/>
        <v/>
      </c>
      <c r="AG75" s="46" t="str">
        <f t="shared" si="54"/>
        <v/>
      </c>
      <c r="AH75" s="46" t="str">
        <f t="shared" si="55"/>
        <v/>
      </c>
      <c r="AI75" s="46" t="str">
        <f t="shared" si="56"/>
        <v/>
      </c>
      <c r="AJ75" s="46" t="str">
        <f t="shared" si="57"/>
        <v/>
      </c>
      <c r="AK75" s="46" t="str">
        <f t="shared" si="58"/>
        <v/>
      </c>
      <c r="AL75" s="46" t="str">
        <f t="shared" si="59"/>
        <v/>
      </c>
      <c r="AM75" s="46" t="str">
        <f t="shared" si="60"/>
        <v/>
      </c>
      <c r="AN75" s="46" t="str">
        <f t="shared" si="61"/>
        <v/>
      </c>
      <c r="AO75" s="46" t="str">
        <f t="shared" si="62"/>
        <v/>
      </c>
      <c r="AP75" s="46" t="str">
        <f t="shared" si="63"/>
        <v/>
      </c>
      <c r="AQ75" s="46" t="str">
        <f t="shared" si="64"/>
        <v/>
      </c>
      <c r="AR75" s="46" t="str">
        <f t="shared" si="65"/>
        <v/>
      </c>
      <c r="AS75" s="46" t="str">
        <f t="shared" si="66"/>
        <v/>
      </c>
      <c r="AT75" s="46" t="str">
        <f t="shared" si="67"/>
        <v/>
      </c>
      <c r="AU75" s="46" t="str">
        <f t="shared" si="68"/>
        <v/>
      </c>
      <c r="AV75" s="46" t="str">
        <f t="shared" si="69"/>
        <v/>
      </c>
      <c r="AW75" s="46" t="str">
        <f t="shared" si="70"/>
        <v/>
      </c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20"/>
    </row>
    <row r="76" spans="2:154">
      <c r="B76" s="1"/>
      <c r="C76" s="2"/>
      <c r="D76" s="34"/>
      <c r="E76" s="34"/>
      <c r="F76" s="34"/>
      <c r="G76" s="34"/>
      <c r="H76" s="4"/>
      <c r="I76" s="4"/>
      <c r="J76" s="4"/>
      <c r="K76" s="3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37"/>
      <c r="X76" s="1"/>
      <c r="Y76" s="18">
        <f t="shared" si="46"/>
        <v>0</v>
      </c>
      <c r="Z76" s="21">
        <f t="shared" si="47"/>
        <v>0</v>
      </c>
      <c r="AA76" s="10">
        <f t="shared" si="48"/>
        <v>0</v>
      </c>
      <c r="AB76" s="10">
        <f t="shared" si="49"/>
        <v>0</v>
      </c>
      <c r="AC76" s="10">
        <f t="shared" si="50"/>
        <v>0</v>
      </c>
      <c r="AD76" s="46" t="str">
        <f t="shared" si="51"/>
        <v/>
      </c>
      <c r="AE76" s="46" t="str">
        <f t="shared" si="52"/>
        <v/>
      </c>
      <c r="AF76" s="46" t="str">
        <f t="shared" si="53"/>
        <v/>
      </c>
      <c r="AG76" s="46" t="str">
        <f t="shared" si="54"/>
        <v/>
      </c>
      <c r="AH76" s="46" t="str">
        <f t="shared" si="55"/>
        <v/>
      </c>
      <c r="AI76" s="46" t="str">
        <f t="shared" si="56"/>
        <v/>
      </c>
      <c r="AJ76" s="46" t="str">
        <f t="shared" si="57"/>
        <v/>
      </c>
      <c r="AK76" s="46" t="str">
        <f t="shared" si="58"/>
        <v/>
      </c>
      <c r="AL76" s="46" t="str">
        <f t="shared" si="59"/>
        <v/>
      </c>
      <c r="AM76" s="46" t="str">
        <f t="shared" si="60"/>
        <v/>
      </c>
      <c r="AN76" s="46" t="str">
        <f t="shared" si="61"/>
        <v/>
      </c>
      <c r="AO76" s="46" t="str">
        <f t="shared" si="62"/>
        <v/>
      </c>
      <c r="AP76" s="46" t="str">
        <f t="shared" si="63"/>
        <v/>
      </c>
      <c r="AQ76" s="46" t="str">
        <f t="shared" si="64"/>
        <v/>
      </c>
      <c r="AR76" s="46" t="str">
        <f t="shared" si="65"/>
        <v/>
      </c>
      <c r="AS76" s="46" t="str">
        <f t="shared" si="66"/>
        <v/>
      </c>
      <c r="AT76" s="46" t="str">
        <f t="shared" si="67"/>
        <v/>
      </c>
      <c r="AU76" s="46" t="str">
        <f t="shared" si="68"/>
        <v/>
      </c>
      <c r="AV76" s="46" t="str">
        <f t="shared" si="69"/>
        <v/>
      </c>
      <c r="AW76" s="46" t="str">
        <f t="shared" si="70"/>
        <v/>
      </c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20"/>
    </row>
    <row r="77" spans="2:154">
      <c r="B77" s="1"/>
      <c r="C77" s="2"/>
      <c r="D77" s="34"/>
      <c r="E77" s="34"/>
      <c r="F77" s="34"/>
      <c r="G77" s="34"/>
      <c r="H77" s="4"/>
      <c r="I77" s="4"/>
      <c r="J77" s="4"/>
      <c r="K77" s="3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37"/>
      <c r="X77" s="1"/>
      <c r="Y77" s="18">
        <f t="shared" si="46"/>
        <v>0</v>
      </c>
      <c r="Z77" s="21">
        <f t="shared" si="47"/>
        <v>0</v>
      </c>
      <c r="AA77" s="10">
        <f t="shared" si="48"/>
        <v>0</v>
      </c>
      <c r="AB77" s="10">
        <f t="shared" si="49"/>
        <v>0</v>
      </c>
      <c r="AC77" s="10">
        <f t="shared" si="50"/>
        <v>0</v>
      </c>
      <c r="AD77" s="46" t="str">
        <f t="shared" si="51"/>
        <v/>
      </c>
      <c r="AE77" s="46" t="str">
        <f t="shared" si="52"/>
        <v/>
      </c>
      <c r="AF77" s="46" t="str">
        <f t="shared" si="53"/>
        <v/>
      </c>
      <c r="AG77" s="46" t="str">
        <f t="shared" si="54"/>
        <v/>
      </c>
      <c r="AH77" s="46" t="str">
        <f t="shared" si="55"/>
        <v/>
      </c>
      <c r="AI77" s="46" t="str">
        <f t="shared" si="56"/>
        <v/>
      </c>
      <c r="AJ77" s="46" t="str">
        <f t="shared" si="57"/>
        <v/>
      </c>
      <c r="AK77" s="46" t="str">
        <f t="shared" si="58"/>
        <v/>
      </c>
      <c r="AL77" s="46" t="str">
        <f t="shared" si="59"/>
        <v/>
      </c>
      <c r="AM77" s="46" t="str">
        <f t="shared" si="60"/>
        <v/>
      </c>
      <c r="AN77" s="46" t="str">
        <f t="shared" si="61"/>
        <v/>
      </c>
      <c r="AO77" s="46" t="str">
        <f t="shared" si="62"/>
        <v/>
      </c>
      <c r="AP77" s="46" t="str">
        <f t="shared" si="63"/>
        <v/>
      </c>
      <c r="AQ77" s="46" t="str">
        <f t="shared" si="64"/>
        <v/>
      </c>
      <c r="AR77" s="46" t="str">
        <f t="shared" si="65"/>
        <v/>
      </c>
      <c r="AS77" s="46" t="str">
        <f t="shared" si="66"/>
        <v/>
      </c>
      <c r="AT77" s="46" t="str">
        <f t="shared" si="67"/>
        <v/>
      </c>
      <c r="AU77" s="46" t="str">
        <f t="shared" si="68"/>
        <v/>
      </c>
      <c r="AV77" s="46" t="str">
        <f t="shared" si="69"/>
        <v/>
      </c>
      <c r="AW77" s="46" t="str">
        <f t="shared" si="70"/>
        <v/>
      </c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20"/>
    </row>
    <row r="78" spans="2:154">
      <c r="B78" s="1"/>
      <c r="C78" s="2"/>
      <c r="D78" s="34"/>
      <c r="E78" s="34"/>
      <c r="F78" s="34"/>
      <c r="G78" s="34"/>
      <c r="H78" s="4"/>
      <c r="I78" s="4"/>
      <c r="J78" s="4"/>
      <c r="K78" s="3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37"/>
      <c r="X78" s="1"/>
      <c r="Y78" s="18">
        <f t="shared" si="46"/>
        <v>0</v>
      </c>
      <c r="Z78" s="21">
        <f t="shared" si="47"/>
        <v>0</v>
      </c>
      <c r="AA78" s="10">
        <f t="shared" si="48"/>
        <v>0</v>
      </c>
      <c r="AB78" s="10">
        <f t="shared" si="49"/>
        <v>0</v>
      </c>
      <c r="AC78" s="10">
        <f t="shared" si="50"/>
        <v>0</v>
      </c>
      <c r="AD78" s="46" t="str">
        <f t="shared" si="51"/>
        <v/>
      </c>
      <c r="AE78" s="46" t="str">
        <f t="shared" si="52"/>
        <v/>
      </c>
      <c r="AF78" s="46" t="str">
        <f t="shared" si="53"/>
        <v/>
      </c>
      <c r="AG78" s="46" t="str">
        <f t="shared" si="54"/>
        <v/>
      </c>
      <c r="AH78" s="46" t="str">
        <f t="shared" si="55"/>
        <v/>
      </c>
      <c r="AI78" s="46" t="str">
        <f t="shared" si="56"/>
        <v/>
      </c>
      <c r="AJ78" s="46" t="str">
        <f t="shared" si="57"/>
        <v/>
      </c>
      <c r="AK78" s="46" t="str">
        <f t="shared" si="58"/>
        <v/>
      </c>
      <c r="AL78" s="46" t="str">
        <f t="shared" si="59"/>
        <v/>
      </c>
      <c r="AM78" s="46" t="str">
        <f t="shared" si="60"/>
        <v/>
      </c>
      <c r="AN78" s="46" t="str">
        <f t="shared" si="61"/>
        <v/>
      </c>
      <c r="AO78" s="46" t="str">
        <f t="shared" si="62"/>
        <v/>
      </c>
      <c r="AP78" s="46" t="str">
        <f t="shared" si="63"/>
        <v/>
      </c>
      <c r="AQ78" s="46" t="str">
        <f t="shared" si="64"/>
        <v/>
      </c>
      <c r="AR78" s="46" t="str">
        <f t="shared" si="65"/>
        <v/>
      </c>
      <c r="AS78" s="46" t="str">
        <f t="shared" si="66"/>
        <v/>
      </c>
      <c r="AT78" s="46" t="str">
        <f t="shared" si="67"/>
        <v/>
      </c>
      <c r="AU78" s="46" t="str">
        <f t="shared" si="68"/>
        <v/>
      </c>
      <c r="AV78" s="46" t="str">
        <f t="shared" si="69"/>
        <v/>
      </c>
      <c r="AW78" s="46" t="str">
        <f t="shared" si="70"/>
        <v/>
      </c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20"/>
    </row>
    <row r="79" spans="2:154">
      <c r="B79" s="1"/>
      <c r="C79" s="2"/>
      <c r="D79" s="34"/>
      <c r="E79" s="34"/>
      <c r="F79" s="34"/>
      <c r="G79" s="34"/>
      <c r="H79" s="4"/>
      <c r="I79" s="4"/>
      <c r="J79" s="4"/>
      <c r="K79" s="3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37"/>
      <c r="X79" s="1"/>
      <c r="Y79" s="18">
        <f t="shared" si="46"/>
        <v>0</v>
      </c>
      <c r="Z79" s="21">
        <f t="shared" si="47"/>
        <v>0</v>
      </c>
      <c r="AA79" s="10">
        <f t="shared" si="48"/>
        <v>0</v>
      </c>
      <c r="AB79" s="10">
        <f t="shared" si="49"/>
        <v>0</v>
      </c>
      <c r="AC79" s="10">
        <f t="shared" si="50"/>
        <v>0</v>
      </c>
      <c r="AD79" s="46" t="str">
        <f t="shared" si="51"/>
        <v/>
      </c>
      <c r="AE79" s="46" t="str">
        <f t="shared" si="52"/>
        <v/>
      </c>
      <c r="AF79" s="46" t="str">
        <f t="shared" si="53"/>
        <v/>
      </c>
      <c r="AG79" s="46" t="str">
        <f t="shared" si="54"/>
        <v/>
      </c>
      <c r="AH79" s="46" t="str">
        <f t="shared" si="55"/>
        <v/>
      </c>
      <c r="AI79" s="46" t="str">
        <f t="shared" si="56"/>
        <v/>
      </c>
      <c r="AJ79" s="46" t="str">
        <f t="shared" si="57"/>
        <v/>
      </c>
      <c r="AK79" s="46" t="str">
        <f t="shared" si="58"/>
        <v/>
      </c>
      <c r="AL79" s="46" t="str">
        <f t="shared" si="59"/>
        <v/>
      </c>
      <c r="AM79" s="46" t="str">
        <f t="shared" si="60"/>
        <v/>
      </c>
      <c r="AN79" s="46" t="str">
        <f t="shared" si="61"/>
        <v/>
      </c>
      <c r="AO79" s="46" t="str">
        <f t="shared" si="62"/>
        <v/>
      </c>
      <c r="AP79" s="46" t="str">
        <f t="shared" si="63"/>
        <v/>
      </c>
      <c r="AQ79" s="46" t="str">
        <f t="shared" si="64"/>
        <v/>
      </c>
      <c r="AR79" s="46" t="str">
        <f t="shared" si="65"/>
        <v/>
      </c>
      <c r="AS79" s="46" t="str">
        <f t="shared" si="66"/>
        <v/>
      </c>
      <c r="AT79" s="46" t="str">
        <f t="shared" si="67"/>
        <v/>
      </c>
      <c r="AU79" s="46" t="str">
        <f t="shared" si="68"/>
        <v/>
      </c>
      <c r="AV79" s="46" t="str">
        <f t="shared" si="69"/>
        <v/>
      </c>
      <c r="AW79" s="46" t="str">
        <f t="shared" si="70"/>
        <v/>
      </c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20"/>
    </row>
    <row r="80" spans="2:154">
      <c r="B80" s="1"/>
      <c r="C80" s="2"/>
      <c r="D80" s="34"/>
      <c r="E80" s="34"/>
      <c r="F80" s="34"/>
      <c r="G80" s="34"/>
      <c r="H80" s="4"/>
      <c r="I80" s="4"/>
      <c r="J80" s="4"/>
      <c r="K80" s="3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37"/>
      <c r="X80" s="1"/>
      <c r="Y80" s="18">
        <f t="shared" si="46"/>
        <v>0</v>
      </c>
      <c r="Z80" s="21">
        <f t="shared" si="47"/>
        <v>0</v>
      </c>
      <c r="AA80" s="10">
        <f t="shared" si="48"/>
        <v>0</v>
      </c>
      <c r="AB80" s="10">
        <f t="shared" si="49"/>
        <v>0</v>
      </c>
      <c r="AC80" s="10">
        <f t="shared" si="50"/>
        <v>0</v>
      </c>
      <c r="AD80" s="46" t="str">
        <f t="shared" si="51"/>
        <v/>
      </c>
      <c r="AE80" s="46" t="str">
        <f t="shared" si="52"/>
        <v/>
      </c>
      <c r="AF80" s="46" t="str">
        <f t="shared" si="53"/>
        <v/>
      </c>
      <c r="AG80" s="46" t="str">
        <f t="shared" si="54"/>
        <v/>
      </c>
      <c r="AH80" s="46" t="str">
        <f t="shared" si="55"/>
        <v/>
      </c>
      <c r="AI80" s="46" t="str">
        <f t="shared" si="56"/>
        <v/>
      </c>
      <c r="AJ80" s="46" t="str">
        <f t="shared" si="57"/>
        <v/>
      </c>
      <c r="AK80" s="46" t="str">
        <f t="shared" si="58"/>
        <v/>
      </c>
      <c r="AL80" s="46" t="str">
        <f t="shared" si="59"/>
        <v/>
      </c>
      <c r="AM80" s="46" t="str">
        <f t="shared" si="60"/>
        <v/>
      </c>
      <c r="AN80" s="46" t="str">
        <f t="shared" si="61"/>
        <v/>
      </c>
      <c r="AO80" s="46" t="str">
        <f t="shared" si="62"/>
        <v/>
      </c>
      <c r="AP80" s="46" t="str">
        <f t="shared" si="63"/>
        <v/>
      </c>
      <c r="AQ80" s="46" t="str">
        <f t="shared" si="64"/>
        <v/>
      </c>
      <c r="AR80" s="46" t="str">
        <f t="shared" si="65"/>
        <v/>
      </c>
      <c r="AS80" s="46" t="str">
        <f t="shared" si="66"/>
        <v/>
      </c>
      <c r="AT80" s="46" t="str">
        <f t="shared" si="67"/>
        <v/>
      </c>
      <c r="AU80" s="46" t="str">
        <f t="shared" si="68"/>
        <v/>
      </c>
      <c r="AV80" s="46" t="str">
        <f t="shared" si="69"/>
        <v/>
      </c>
      <c r="AW80" s="46" t="str">
        <f t="shared" si="70"/>
        <v/>
      </c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20"/>
    </row>
    <row r="81" spans="2:154">
      <c r="B81" s="1"/>
      <c r="C81" s="2"/>
      <c r="D81" s="34"/>
      <c r="E81" s="34"/>
      <c r="F81" s="34"/>
      <c r="G81" s="34"/>
      <c r="H81" s="4"/>
      <c r="I81" s="4"/>
      <c r="J81" s="4"/>
      <c r="K81" s="3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37"/>
      <c r="X81" s="1"/>
      <c r="Y81" s="18">
        <f t="shared" si="46"/>
        <v>0</v>
      </c>
      <c r="Z81" s="21">
        <f t="shared" si="47"/>
        <v>0</v>
      </c>
      <c r="AA81" s="10">
        <f t="shared" si="48"/>
        <v>0</v>
      </c>
      <c r="AB81" s="10">
        <f t="shared" si="49"/>
        <v>0</v>
      </c>
      <c r="AC81" s="10">
        <f t="shared" si="50"/>
        <v>0</v>
      </c>
      <c r="AD81" s="46" t="str">
        <f t="shared" si="51"/>
        <v/>
      </c>
      <c r="AE81" s="46" t="str">
        <f t="shared" si="52"/>
        <v/>
      </c>
      <c r="AF81" s="46" t="str">
        <f t="shared" si="53"/>
        <v/>
      </c>
      <c r="AG81" s="46" t="str">
        <f t="shared" si="54"/>
        <v/>
      </c>
      <c r="AH81" s="46" t="str">
        <f t="shared" si="55"/>
        <v/>
      </c>
      <c r="AI81" s="46" t="str">
        <f t="shared" si="56"/>
        <v/>
      </c>
      <c r="AJ81" s="46" t="str">
        <f t="shared" si="57"/>
        <v/>
      </c>
      <c r="AK81" s="46" t="str">
        <f t="shared" si="58"/>
        <v/>
      </c>
      <c r="AL81" s="46" t="str">
        <f t="shared" si="59"/>
        <v/>
      </c>
      <c r="AM81" s="46" t="str">
        <f t="shared" si="60"/>
        <v/>
      </c>
      <c r="AN81" s="46" t="str">
        <f t="shared" si="61"/>
        <v/>
      </c>
      <c r="AO81" s="46" t="str">
        <f t="shared" si="62"/>
        <v/>
      </c>
      <c r="AP81" s="46" t="str">
        <f t="shared" si="63"/>
        <v/>
      </c>
      <c r="AQ81" s="46" t="str">
        <f t="shared" si="64"/>
        <v/>
      </c>
      <c r="AR81" s="46" t="str">
        <f t="shared" si="65"/>
        <v/>
      </c>
      <c r="AS81" s="46" t="str">
        <f t="shared" si="66"/>
        <v/>
      </c>
      <c r="AT81" s="46" t="str">
        <f t="shared" si="67"/>
        <v/>
      </c>
      <c r="AU81" s="46" t="str">
        <f t="shared" si="68"/>
        <v/>
      </c>
      <c r="AV81" s="46" t="str">
        <f t="shared" si="69"/>
        <v/>
      </c>
      <c r="AW81" s="46" t="str">
        <f t="shared" si="70"/>
        <v/>
      </c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20"/>
    </row>
    <row r="82" spans="2:154">
      <c r="B82" s="1"/>
      <c r="C82" s="2"/>
      <c r="D82" s="34"/>
      <c r="E82" s="34"/>
      <c r="F82" s="34"/>
      <c r="G82" s="34"/>
      <c r="H82" s="4"/>
      <c r="I82" s="4"/>
      <c r="J82" s="4"/>
      <c r="K82" s="3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37"/>
      <c r="X82" s="1"/>
      <c r="Y82" s="18">
        <f t="shared" si="46"/>
        <v>0</v>
      </c>
      <c r="Z82" s="21">
        <f t="shared" si="47"/>
        <v>0</v>
      </c>
      <c r="AA82" s="10">
        <f t="shared" si="48"/>
        <v>0</v>
      </c>
      <c r="AB82" s="10">
        <f t="shared" si="49"/>
        <v>0</v>
      </c>
      <c r="AC82" s="10">
        <f t="shared" si="50"/>
        <v>0</v>
      </c>
      <c r="AD82" s="46" t="str">
        <f t="shared" si="51"/>
        <v/>
      </c>
      <c r="AE82" s="46" t="str">
        <f t="shared" si="52"/>
        <v/>
      </c>
      <c r="AF82" s="46" t="str">
        <f t="shared" si="53"/>
        <v/>
      </c>
      <c r="AG82" s="46" t="str">
        <f t="shared" si="54"/>
        <v/>
      </c>
      <c r="AH82" s="46" t="str">
        <f t="shared" si="55"/>
        <v/>
      </c>
      <c r="AI82" s="46" t="str">
        <f t="shared" si="56"/>
        <v/>
      </c>
      <c r="AJ82" s="46" t="str">
        <f t="shared" si="57"/>
        <v/>
      </c>
      <c r="AK82" s="46" t="str">
        <f t="shared" si="58"/>
        <v/>
      </c>
      <c r="AL82" s="46" t="str">
        <f t="shared" si="59"/>
        <v/>
      </c>
      <c r="AM82" s="46" t="str">
        <f t="shared" si="60"/>
        <v/>
      </c>
      <c r="AN82" s="46" t="str">
        <f t="shared" si="61"/>
        <v/>
      </c>
      <c r="AO82" s="46" t="str">
        <f t="shared" si="62"/>
        <v/>
      </c>
      <c r="AP82" s="46" t="str">
        <f t="shared" si="63"/>
        <v/>
      </c>
      <c r="AQ82" s="46" t="str">
        <f t="shared" si="64"/>
        <v/>
      </c>
      <c r="AR82" s="46" t="str">
        <f t="shared" si="65"/>
        <v/>
      </c>
      <c r="AS82" s="46" t="str">
        <f t="shared" si="66"/>
        <v/>
      </c>
      <c r="AT82" s="46" t="str">
        <f t="shared" si="67"/>
        <v/>
      </c>
      <c r="AU82" s="46" t="str">
        <f t="shared" si="68"/>
        <v/>
      </c>
      <c r="AV82" s="46" t="str">
        <f t="shared" si="69"/>
        <v/>
      </c>
      <c r="AW82" s="46" t="str">
        <f t="shared" si="70"/>
        <v/>
      </c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20"/>
    </row>
    <row r="83" spans="2:154">
      <c r="B83" s="1"/>
      <c r="C83" s="2"/>
      <c r="D83" s="34"/>
      <c r="E83" s="34"/>
      <c r="F83" s="34"/>
      <c r="G83" s="34"/>
      <c r="H83" s="4"/>
      <c r="I83" s="4"/>
      <c r="J83" s="4"/>
      <c r="K83" s="3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37"/>
      <c r="X83" s="1"/>
      <c r="Y83" s="18">
        <f t="shared" si="46"/>
        <v>0</v>
      </c>
      <c r="Z83" s="21">
        <f t="shared" si="47"/>
        <v>0</v>
      </c>
      <c r="AA83" s="10">
        <f t="shared" si="48"/>
        <v>0</v>
      </c>
      <c r="AB83" s="10">
        <f t="shared" si="49"/>
        <v>0</v>
      </c>
      <c r="AC83" s="10">
        <f t="shared" si="50"/>
        <v>0</v>
      </c>
      <c r="AD83" s="46" t="str">
        <f t="shared" si="51"/>
        <v/>
      </c>
      <c r="AE83" s="46" t="str">
        <f t="shared" si="52"/>
        <v/>
      </c>
      <c r="AF83" s="46" t="str">
        <f t="shared" si="53"/>
        <v/>
      </c>
      <c r="AG83" s="46" t="str">
        <f t="shared" si="54"/>
        <v/>
      </c>
      <c r="AH83" s="46" t="str">
        <f t="shared" si="55"/>
        <v/>
      </c>
      <c r="AI83" s="46" t="str">
        <f t="shared" si="56"/>
        <v/>
      </c>
      <c r="AJ83" s="46" t="str">
        <f t="shared" si="57"/>
        <v/>
      </c>
      <c r="AK83" s="46" t="str">
        <f t="shared" si="58"/>
        <v/>
      </c>
      <c r="AL83" s="46" t="str">
        <f t="shared" si="59"/>
        <v/>
      </c>
      <c r="AM83" s="46" t="str">
        <f t="shared" si="60"/>
        <v/>
      </c>
      <c r="AN83" s="46" t="str">
        <f t="shared" si="61"/>
        <v/>
      </c>
      <c r="AO83" s="46" t="str">
        <f t="shared" si="62"/>
        <v/>
      </c>
      <c r="AP83" s="46" t="str">
        <f t="shared" si="63"/>
        <v/>
      </c>
      <c r="AQ83" s="46" t="str">
        <f t="shared" si="64"/>
        <v/>
      </c>
      <c r="AR83" s="46" t="str">
        <f t="shared" si="65"/>
        <v/>
      </c>
      <c r="AS83" s="46" t="str">
        <f t="shared" si="66"/>
        <v/>
      </c>
      <c r="AT83" s="46" t="str">
        <f t="shared" si="67"/>
        <v/>
      </c>
      <c r="AU83" s="46" t="str">
        <f t="shared" si="68"/>
        <v/>
      </c>
      <c r="AV83" s="46" t="str">
        <f t="shared" si="69"/>
        <v/>
      </c>
      <c r="AW83" s="46" t="str">
        <f t="shared" si="70"/>
        <v/>
      </c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20"/>
    </row>
    <row r="84" spans="2:154">
      <c r="B84" s="1"/>
      <c r="C84" s="2"/>
      <c r="D84" s="34"/>
      <c r="E84" s="34"/>
      <c r="F84" s="34"/>
      <c r="G84" s="34"/>
      <c r="H84" s="4"/>
      <c r="I84" s="4"/>
      <c r="J84" s="4"/>
      <c r="K84" s="3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37"/>
      <c r="X84" s="1"/>
      <c r="Y84" s="18">
        <f t="shared" si="46"/>
        <v>0</v>
      </c>
      <c r="Z84" s="21">
        <f t="shared" si="47"/>
        <v>0</v>
      </c>
      <c r="AA84" s="10">
        <f t="shared" si="48"/>
        <v>0</v>
      </c>
      <c r="AB84" s="10">
        <f t="shared" si="49"/>
        <v>0</v>
      </c>
      <c r="AC84" s="10">
        <f t="shared" si="50"/>
        <v>0</v>
      </c>
      <c r="AD84" s="46" t="str">
        <f t="shared" si="51"/>
        <v/>
      </c>
      <c r="AE84" s="46" t="str">
        <f t="shared" si="52"/>
        <v/>
      </c>
      <c r="AF84" s="46" t="str">
        <f t="shared" si="53"/>
        <v/>
      </c>
      <c r="AG84" s="46" t="str">
        <f t="shared" si="54"/>
        <v/>
      </c>
      <c r="AH84" s="46" t="str">
        <f t="shared" si="55"/>
        <v/>
      </c>
      <c r="AI84" s="46" t="str">
        <f t="shared" si="56"/>
        <v/>
      </c>
      <c r="AJ84" s="46" t="str">
        <f t="shared" si="57"/>
        <v/>
      </c>
      <c r="AK84" s="46" t="str">
        <f t="shared" si="58"/>
        <v/>
      </c>
      <c r="AL84" s="46" t="str">
        <f t="shared" si="59"/>
        <v/>
      </c>
      <c r="AM84" s="46" t="str">
        <f t="shared" si="60"/>
        <v/>
      </c>
      <c r="AN84" s="46" t="str">
        <f t="shared" si="61"/>
        <v/>
      </c>
      <c r="AO84" s="46" t="str">
        <f t="shared" si="62"/>
        <v/>
      </c>
      <c r="AP84" s="46" t="str">
        <f t="shared" si="63"/>
        <v/>
      </c>
      <c r="AQ84" s="46" t="str">
        <f t="shared" si="64"/>
        <v/>
      </c>
      <c r="AR84" s="46" t="str">
        <f t="shared" si="65"/>
        <v/>
      </c>
      <c r="AS84" s="46" t="str">
        <f t="shared" si="66"/>
        <v/>
      </c>
      <c r="AT84" s="46" t="str">
        <f t="shared" si="67"/>
        <v/>
      </c>
      <c r="AU84" s="46" t="str">
        <f t="shared" si="68"/>
        <v/>
      </c>
      <c r="AV84" s="46" t="str">
        <f t="shared" si="69"/>
        <v/>
      </c>
      <c r="AW84" s="46" t="str">
        <f t="shared" si="70"/>
        <v/>
      </c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20"/>
    </row>
    <row r="85" spans="2:154">
      <c r="B85" s="1"/>
      <c r="C85" s="2"/>
      <c r="D85" s="34"/>
      <c r="E85" s="34"/>
      <c r="F85" s="34"/>
      <c r="G85" s="34"/>
      <c r="H85" s="4"/>
      <c r="I85" s="4"/>
      <c r="J85" s="4"/>
      <c r="K85" s="3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37"/>
      <c r="X85" s="1"/>
      <c r="Y85" s="18">
        <f t="shared" si="46"/>
        <v>0</v>
      </c>
      <c r="Z85" s="21">
        <f t="shared" si="47"/>
        <v>0</v>
      </c>
      <c r="AA85" s="10">
        <f t="shared" si="48"/>
        <v>0</v>
      </c>
      <c r="AB85" s="10">
        <f t="shared" si="49"/>
        <v>0</v>
      </c>
      <c r="AC85" s="10">
        <f t="shared" si="50"/>
        <v>0</v>
      </c>
      <c r="AD85" s="46" t="str">
        <f t="shared" si="51"/>
        <v/>
      </c>
      <c r="AE85" s="46" t="str">
        <f t="shared" si="52"/>
        <v/>
      </c>
      <c r="AF85" s="46" t="str">
        <f t="shared" si="53"/>
        <v/>
      </c>
      <c r="AG85" s="46" t="str">
        <f t="shared" si="54"/>
        <v/>
      </c>
      <c r="AH85" s="46" t="str">
        <f t="shared" si="55"/>
        <v/>
      </c>
      <c r="AI85" s="46" t="str">
        <f t="shared" si="56"/>
        <v/>
      </c>
      <c r="AJ85" s="46" t="str">
        <f t="shared" si="57"/>
        <v/>
      </c>
      <c r="AK85" s="46" t="str">
        <f t="shared" si="58"/>
        <v/>
      </c>
      <c r="AL85" s="46" t="str">
        <f t="shared" si="59"/>
        <v/>
      </c>
      <c r="AM85" s="46" t="str">
        <f t="shared" si="60"/>
        <v/>
      </c>
      <c r="AN85" s="46" t="str">
        <f t="shared" si="61"/>
        <v/>
      </c>
      <c r="AO85" s="46" t="str">
        <f t="shared" si="62"/>
        <v/>
      </c>
      <c r="AP85" s="46" t="str">
        <f t="shared" si="63"/>
        <v/>
      </c>
      <c r="AQ85" s="46" t="str">
        <f t="shared" si="64"/>
        <v/>
      </c>
      <c r="AR85" s="46" t="str">
        <f t="shared" si="65"/>
        <v/>
      </c>
      <c r="AS85" s="46" t="str">
        <f t="shared" si="66"/>
        <v/>
      </c>
      <c r="AT85" s="46" t="str">
        <f t="shared" si="67"/>
        <v/>
      </c>
      <c r="AU85" s="46" t="str">
        <f t="shared" si="68"/>
        <v/>
      </c>
      <c r="AV85" s="46" t="str">
        <f t="shared" si="69"/>
        <v/>
      </c>
      <c r="AW85" s="46" t="str">
        <f t="shared" si="70"/>
        <v/>
      </c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20"/>
    </row>
    <row r="86" spans="2:154">
      <c r="B86" s="1"/>
      <c r="C86" s="2"/>
      <c r="D86" s="34"/>
      <c r="E86" s="34"/>
      <c r="F86" s="34"/>
      <c r="G86" s="34"/>
      <c r="H86" s="4"/>
      <c r="I86" s="4"/>
      <c r="J86" s="4"/>
      <c r="K86" s="3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37"/>
      <c r="X86" s="1"/>
      <c r="Y86" s="18">
        <f t="shared" si="46"/>
        <v>0</v>
      </c>
      <c r="Z86" s="21">
        <f t="shared" si="47"/>
        <v>0</v>
      </c>
      <c r="AA86" s="10">
        <f t="shared" si="48"/>
        <v>0</v>
      </c>
      <c r="AB86" s="10">
        <f t="shared" si="49"/>
        <v>0</v>
      </c>
      <c r="AC86" s="10">
        <f t="shared" si="50"/>
        <v>0</v>
      </c>
      <c r="AD86" s="46" t="str">
        <f t="shared" si="51"/>
        <v/>
      </c>
      <c r="AE86" s="46" t="str">
        <f t="shared" si="52"/>
        <v/>
      </c>
      <c r="AF86" s="46" t="str">
        <f t="shared" si="53"/>
        <v/>
      </c>
      <c r="AG86" s="46" t="str">
        <f t="shared" si="54"/>
        <v/>
      </c>
      <c r="AH86" s="46" t="str">
        <f t="shared" si="55"/>
        <v/>
      </c>
      <c r="AI86" s="46" t="str">
        <f t="shared" si="56"/>
        <v/>
      </c>
      <c r="AJ86" s="46" t="str">
        <f t="shared" si="57"/>
        <v/>
      </c>
      <c r="AK86" s="46" t="str">
        <f t="shared" si="58"/>
        <v/>
      </c>
      <c r="AL86" s="46" t="str">
        <f t="shared" si="59"/>
        <v/>
      </c>
      <c r="AM86" s="46" t="str">
        <f t="shared" si="60"/>
        <v/>
      </c>
      <c r="AN86" s="46" t="str">
        <f t="shared" si="61"/>
        <v/>
      </c>
      <c r="AO86" s="46" t="str">
        <f t="shared" si="62"/>
        <v/>
      </c>
      <c r="AP86" s="46" t="str">
        <f t="shared" si="63"/>
        <v/>
      </c>
      <c r="AQ86" s="46" t="str">
        <f t="shared" si="64"/>
        <v/>
      </c>
      <c r="AR86" s="46" t="str">
        <f t="shared" si="65"/>
        <v/>
      </c>
      <c r="AS86" s="46" t="str">
        <f t="shared" si="66"/>
        <v/>
      </c>
      <c r="AT86" s="46" t="str">
        <f t="shared" si="67"/>
        <v/>
      </c>
      <c r="AU86" s="46" t="str">
        <f t="shared" si="68"/>
        <v/>
      </c>
      <c r="AV86" s="46" t="str">
        <f t="shared" si="69"/>
        <v/>
      </c>
      <c r="AW86" s="46" t="str">
        <f t="shared" si="70"/>
        <v/>
      </c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20"/>
    </row>
    <row r="87" spans="2:154">
      <c r="B87" s="1"/>
      <c r="C87" s="2"/>
      <c r="D87" s="34"/>
      <c r="E87" s="34"/>
      <c r="F87" s="34"/>
      <c r="G87" s="34"/>
      <c r="H87" s="4"/>
      <c r="I87" s="4"/>
      <c r="J87" s="4"/>
      <c r="K87" s="3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37"/>
      <c r="X87" s="1"/>
      <c r="Y87" s="18">
        <f t="shared" si="46"/>
        <v>0</v>
      </c>
      <c r="Z87" s="21">
        <f t="shared" si="47"/>
        <v>0</v>
      </c>
      <c r="AA87" s="10">
        <f t="shared" si="48"/>
        <v>0</v>
      </c>
      <c r="AB87" s="10">
        <f t="shared" si="49"/>
        <v>0</v>
      </c>
      <c r="AC87" s="10">
        <f t="shared" si="50"/>
        <v>0</v>
      </c>
      <c r="AD87" s="46" t="str">
        <f t="shared" si="51"/>
        <v/>
      </c>
      <c r="AE87" s="46" t="str">
        <f t="shared" si="52"/>
        <v/>
      </c>
      <c r="AF87" s="46" t="str">
        <f t="shared" si="53"/>
        <v/>
      </c>
      <c r="AG87" s="46" t="str">
        <f t="shared" si="54"/>
        <v/>
      </c>
      <c r="AH87" s="46" t="str">
        <f t="shared" si="55"/>
        <v/>
      </c>
      <c r="AI87" s="46" t="str">
        <f t="shared" si="56"/>
        <v/>
      </c>
      <c r="AJ87" s="46" t="str">
        <f t="shared" si="57"/>
        <v/>
      </c>
      <c r="AK87" s="46" t="str">
        <f t="shared" si="58"/>
        <v/>
      </c>
      <c r="AL87" s="46" t="str">
        <f t="shared" si="59"/>
        <v/>
      </c>
      <c r="AM87" s="46" t="str">
        <f t="shared" si="60"/>
        <v/>
      </c>
      <c r="AN87" s="46" t="str">
        <f t="shared" si="61"/>
        <v/>
      </c>
      <c r="AO87" s="46" t="str">
        <f t="shared" si="62"/>
        <v/>
      </c>
      <c r="AP87" s="46" t="str">
        <f t="shared" si="63"/>
        <v/>
      </c>
      <c r="AQ87" s="46" t="str">
        <f t="shared" si="64"/>
        <v/>
      </c>
      <c r="AR87" s="46" t="str">
        <f t="shared" si="65"/>
        <v/>
      </c>
      <c r="AS87" s="46" t="str">
        <f t="shared" si="66"/>
        <v/>
      </c>
      <c r="AT87" s="46" t="str">
        <f t="shared" si="67"/>
        <v/>
      </c>
      <c r="AU87" s="46" t="str">
        <f t="shared" si="68"/>
        <v/>
      </c>
      <c r="AV87" s="46" t="str">
        <f t="shared" si="69"/>
        <v/>
      </c>
      <c r="AW87" s="46" t="str">
        <f t="shared" si="70"/>
        <v/>
      </c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20"/>
    </row>
    <row r="88" spans="2:154">
      <c r="B88" s="1"/>
      <c r="C88" s="2"/>
      <c r="D88" s="34"/>
      <c r="E88" s="34"/>
      <c r="F88" s="34"/>
      <c r="G88" s="34"/>
      <c r="H88" s="4"/>
      <c r="I88" s="4"/>
      <c r="J88" s="4"/>
      <c r="K88" s="3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37"/>
      <c r="X88" s="1"/>
      <c r="Y88" s="18">
        <f t="shared" si="46"/>
        <v>0</v>
      </c>
      <c r="Z88" s="21">
        <f t="shared" si="47"/>
        <v>0</v>
      </c>
      <c r="AA88" s="10">
        <f t="shared" si="48"/>
        <v>0</v>
      </c>
      <c r="AB88" s="10">
        <f t="shared" si="49"/>
        <v>0</v>
      </c>
      <c r="AC88" s="10">
        <f t="shared" si="50"/>
        <v>0</v>
      </c>
      <c r="AD88" s="46" t="str">
        <f t="shared" si="51"/>
        <v/>
      </c>
      <c r="AE88" s="46" t="str">
        <f t="shared" si="52"/>
        <v/>
      </c>
      <c r="AF88" s="46" t="str">
        <f t="shared" si="53"/>
        <v/>
      </c>
      <c r="AG88" s="46" t="str">
        <f t="shared" si="54"/>
        <v/>
      </c>
      <c r="AH88" s="46" t="str">
        <f t="shared" si="55"/>
        <v/>
      </c>
      <c r="AI88" s="46" t="str">
        <f t="shared" si="56"/>
        <v/>
      </c>
      <c r="AJ88" s="46" t="str">
        <f t="shared" si="57"/>
        <v/>
      </c>
      <c r="AK88" s="46" t="str">
        <f t="shared" si="58"/>
        <v/>
      </c>
      <c r="AL88" s="46" t="str">
        <f t="shared" si="59"/>
        <v/>
      </c>
      <c r="AM88" s="46" t="str">
        <f t="shared" si="60"/>
        <v/>
      </c>
      <c r="AN88" s="46" t="str">
        <f t="shared" si="61"/>
        <v/>
      </c>
      <c r="AO88" s="46" t="str">
        <f t="shared" si="62"/>
        <v/>
      </c>
      <c r="AP88" s="46" t="str">
        <f t="shared" si="63"/>
        <v/>
      </c>
      <c r="AQ88" s="46" t="str">
        <f t="shared" si="64"/>
        <v/>
      </c>
      <c r="AR88" s="46" t="str">
        <f t="shared" si="65"/>
        <v/>
      </c>
      <c r="AS88" s="46" t="str">
        <f t="shared" si="66"/>
        <v/>
      </c>
      <c r="AT88" s="46" t="str">
        <f t="shared" si="67"/>
        <v/>
      </c>
      <c r="AU88" s="46" t="str">
        <f t="shared" si="68"/>
        <v/>
      </c>
      <c r="AV88" s="46" t="str">
        <f t="shared" si="69"/>
        <v/>
      </c>
      <c r="AW88" s="46" t="str">
        <f t="shared" si="70"/>
        <v/>
      </c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20"/>
    </row>
    <row r="89" spans="2:154">
      <c r="B89" s="1"/>
      <c r="C89" s="2"/>
      <c r="D89" s="34"/>
      <c r="E89" s="34"/>
      <c r="F89" s="34"/>
      <c r="G89" s="34"/>
      <c r="H89" s="4"/>
      <c r="I89" s="4"/>
      <c r="J89" s="4"/>
      <c r="K89" s="3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37"/>
      <c r="X89" s="1"/>
      <c r="Y89" s="18">
        <f t="shared" si="46"/>
        <v>0</v>
      </c>
      <c r="Z89" s="21">
        <f t="shared" si="47"/>
        <v>0</v>
      </c>
      <c r="AA89" s="10">
        <f t="shared" si="48"/>
        <v>0</v>
      </c>
      <c r="AB89" s="10">
        <f t="shared" si="49"/>
        <v>0</v>
      </c>
      <c r="AC89" s="10">
        <f t="shared" si="50"/>
        <v>0</v>
      </c>
      <c r="AD89" s="46" t="str">
        <f t="shared" si="51"/>
        <v/>
      </c>
      <c r="AE89" s="46" t="str">
        <f t="shared" si="52"/>
        <v/>
      </c>
      <c r="AF89" s="46" t="str">
        <f t="shared" si="53"/>
        <v/>
      </c>
      <c r="AG89" s="46" t="str">
        <f t="shared" si="54"/>
        <v/>
      </c>
      <c r="AH89" s="46" t="str">
        <f t="shared" si="55"/>
        <v/>
      </c>
      <c r="AI89" s="46" t="str">
        <f t="shared" si="56"/>
        <v/>
      </c>
      <c r="AJ89" s="46" t="str">
        <f t="shared" si="57"/>
        <v/>
      </c>
      <c r="AK89" s="46" t="str">
        <f t="shared" si="58"/>
        <v/>
      </c>
      <c r="AL89" s="46" t="str">
        <f t="shared" si="59"/>
        <v/>
      </c>
      <c r="AM89" s="46" t="str">
        <f t="shared" si="60"/>
        <v/>
      </c>
      <c r="AN89" s="46" t="str">
        <f t="shared" si="61"/>
        <v/>
      </c>
      <c r="AO89" s="46" t="str">
        <f t="shared" si="62"/>
        <v/>
      </c>
      <c r="AP89" s="46" t="str">
        <f t="shared" si="63"/>
        <v/>
      </c>
      <c r="AQ89" s="46" t="str">
        <f t="shared" si="64"/>
        <v/>
      </c>
      <c r="AR89" s="46" t="str">
        <f t="shared" si="65"/>
        <v/>
      </c>
      <c r="AS89" s="46" t="str">
        <f t="shared" si="66"/>
        <v/>
      </c>
      <c r="AT89" s="46" t="str">
        <f t="shared" si="67"/>
        <v/>
      </c>
      <c r="AU89" s="46" t="str">
        <f t="shared" si="68"/>
        <v/>
      </c>
      <c r="AV89" s="46" t="str">
        <f t="shared" si="69"/>
        <v/>
      </c>
      <c r="AW89" s="46" t="str">
        <f t="shared" si="70"/>
        <v/>
      </c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20"/>
    </row>
    <row r="90" spans="2:154">
      <c r="B90" s="1"/>
      <c r="C90" s="2"/>
      <c r="D90" s="34"/>
      <c r="E90" s="34"/>
      <c r="F90" s="34"/>
      <c r="G90" s="34"/>
      <c r="H90" s="4"/>
      <c r="I90" s="4"/>
      <c r="J90" s="4"/>
      <c r="K90" s="3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37"/>
      <c r="X90" s="1"/>
      <c r="Y90" s="18">
        <f t="shared" si="46"/>
        <v>0</v>
      </c>
      <c r="Z90" s="21">
        <f t="shared" si="47"/>
        <v>0</v>
      </c>
      <c r="AA90" s="10">
        <f t="shared" si="48"/>
        <v>0</v>
      </c>
      <c r="AB90" s="10">
        <f t="shared" si="49"/>
        <v>0</v>
      </c>
      <c r="AC90" s="10">
        <f t="shared" si="50"/>
        <v>0</v>
      </c>
      <c r="AD90" s="46" t="str">
        <f t="shared" si="51"/>
        <v/>
      </c>
      <c r="AE90" s="46" t="str">
        <f t="shared" si="52"/>
        <v/>
      </c>
      <c r="AF90" s="46" t="str">
        <f t="shared" si="53"/>
        <v/>
      </c>
      <c r="AG90" s="46" t="str">
        <f t="shared" si="54"/>
        <v/>
      </c>
      <c r="AH90" s="46" t="str">
        <f t="shared" si="55"/>
        <v/>
      </c>
      <c r="AI90" s="46" t="str">
        <f t="shared" si="56"/>
        <v/>
      </c>
      <c r="AJ90" s="46" t="str">
        <f t="shared" si="57"/>
        <v/>
      </c>
      <c r="AK90" s="46" t="str">
        <f t="shared" si="58"/>
        <v/>
      </c>
      <c r="AL90" s="46" t="str">
        <f t="shared" si="59"/>
        <v/>
      </c>
      <c r="AM90" s="46" t="str">
        <f t="shared" si="60"/>
        <v/>
      </c>
      <c r="AN90" s="46" t="str">
        <f t="shared" si="61"/>
        <v/>
      </c>
      <c r="AO90" s="46" t="str">
        <f t="shared" si="62"/>
        <v/>
      </c>
      <c r="AP90" s="46" t="str">
        <f t="shared" si="63"/>
        <v/>
      </c>
      <c r="AQ90" s="46" t="str">
        <f t="shared" si="64"/>
        <v/>
      </c>
      <c r="AR90" s="46" t="str">
        <f t="shared" si="65"/>
        <v/>
      </c>
      <c r="AS90" s="46" t="str">
        <f t="shared" si="66"/>
        <v/>
      </c>
      <c r="AT90" s="46" t="str">
        <f t="shared" si="67"/>
        <v/>
      </c>
      <c r="AU90" s="46" t="str">
        <f t="shared" si="68"/>
        <v/>
      </c>
      <c r="AV90" s="46" t="str">
        <f t="shared" si="69"/>
        <v/>
      </c>
      <c r="AW90" s="46" t="str">
        <f t="shared" si="70"/>
        <v/>
      </c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20"/>
    </row>
    <row r="91" spans="2:154">
      <c r="B91" s="1"/>
      <c r="C91" s="2"/>
      <c r="D91" s="34"/>
      <c r="E91" s="34"/>
      <c r="F91" s="34"/>
      <c r="G91" s="34"/>
      <c r="H91" s="4"/>
      <c r="I91" s="4"/>
      <c r="J91" s="4"/>
      <c r="K91" s="3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37"/>
      <c r="X91" s="1"/>
      <c r="Y91" s="18">
        <f t="shared" si="46"/>
        <v>0</v>
      </c>
      <c r="Z91" s="21">
        <f t="shared" si="47"/>
        <v>0</v>
      </c>
      <c r="AA91" s="10">
        <f t="shared" si="48"/>
        <v>0</v>
      </c>
      <c r="AB91" s="10">
        <f t="shared" si="49"/>
        <v>0</v>
      </c>
      <c r="AC91" s="10">
        <f t="shared" si="50"/>
        <v>0</v>
      </c>
      <c r="AD91" s="46" t="str">
        <f t="shared" si="51"/>
        <v/>
      </c>
      <c r="AE91" s="46" t="str">
        <f t="shared" si="52"/>
        <v/>
      </c>
      <c r="AF91" s="46" t="str">
        <f t="shared" si="53"/>
        <v/>
      </c>
      <c r="AG91" s="46" t="str">
        <f t="shared" si="54"/>
        <v/>
      </c>
      <c r="AH91" s="46" t="str">
        <f t="shared" si="55"/>
        <v/>
      </c>
      <c r="AI91" s="46" t="str">
        <f t="shared" si="56"/>
        <v/>
      </c>
      <c r="AJ91" s="46" t="str">
        <f t="shared" si="57"/>
        <v/>
      </c>
      <c r="AK91" s="46" t="str">
        <f t="shared" si="58"/>
        <v/>
      </c>
      <c r="AL91" s="46" t="str">
        <f t="shared" si="59"/>
        <v/>
      </c>
      <c r="AM91" s="46" t="str">
        <f t="shared" si="60"/>
        <v/>
      </c>
      <c r="AN91" s="46" t="str">
        <f t="shared" si="61"/>
        <v/>
      </c>
      <c r="AO91" s="46" t="str">
        <f t="shared" si="62"/>
        <v/>
      </c>
      <c r="AP91" s="46" t="str">
        <f t="shared" si="63"/>
        <v/>
      </c>
      <c r="AQ91" s="46" t="str">
        <f t="shared" si="64"/>
        <v/>
      </c>
      <c r="AR91" s="46" t="str">
        <f t="shared" si="65"/>
        <v/>
      </c>
      <c r="AS91" s="46" t="str">
        <f t="shared" si="66"/>
        <v/>
      </c>
      <c r="AT91" s="46" t="str">
        <f t="shared" si="67"/>
        <v/>
      </c>
      <c r="AU91" s="46" t="str">
        <f t="shared" si="68"/>
        <v/>
      </c>
      <c r="AV91" s="46" t="str">
        <f t="shared" si="69"/>
        <v/>
      </c>
      <c r="AW91" s="46" t="str">
        <f t="shared" si="70"/>
        <v/>
      </c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20"/>
    </row>
    <row r="92" spans="2:154">
      <c r="B92" s="1"/>
      <c r="C92" s="2"/>
      <c r="D92" s="34"/>
      <c r="E92" s="34"/>
      <c r="F92" s="34"/>
      <c r="G92" s="34"/>
      <c r="H92" s="4"/>
      <c r="I92" s="4"/>
      <c r="J92" s="4"/>
      <c r="K92" s="3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37"/>
      <c r="X92" s="1"/>
      <c r="Y92" s="18">
        <f t="shared" si="46"/>
        <v>0</v>
      </c>
      <c r="Z92" s="21">
        <f t="shared" si="47"/>
        <v>0</v>
      </c>
      <c r="AA92" s="10">
        <f t="shared" si="48"/>
        <v>0</v>
      </c>
      <c r="AB92" s="10">
        <f t="shared" si="49"/>
        <v>0</v>
      </c>
      <c r="AC92" s="10">
        <f t="shared" si="50"/>
        <v>0</v>
      </c>
      <c r="AD92" s="46" t="str">
        <f t="shared" si="51"/>
        <v/>
      </c>
      <c r="AE92" s="46" t="str">
        <f t="shared" si="52"/>
        <v/>
      </c>
      <c r="AF92" s="46" t="str">
        <f t="shared" si="53"/>
        <v/>
      </c>
      <c r="AG92" s="46" t="str">
        <f t="shared" si="54"/>
        <v/>
      </c>
      <c r="AH92" s="46" t="str">
        <f t="shared" si="55"/>
        <v/>
      </c>
      <c r="AI92" s="46" t="str">
        <f t="shared" si="56"/>
        <v/>
      </c>
      <c r="AJ92" s="46" t="str">
        <f t="shared" si="57"/>
        <v/>
      </c>
      <c r="AK92" s="46" t="str">
        <f t="shared" si="58"/>
        <v/>
      </c>
      <c r="AL92" s="46" t="str">
        <f t="shared" si="59"/>
        <v/>
      </c>
      <c r="AM92" s="46" t="str">
        <f t="shared" si="60"/>
        <v/>
      </c>
      <c r="AN92" s="46" t="str">
        <f t="shared" si="61"/>
        <v/>
      </c>
      <c r="AO92" s="46" t="str">
        <f t="shared" si="62"/>
        <v/>
      </c>
      <c r="AP92" s="46" t="str">
        <f t="shared" si="63"/>
        <v/>
      </c>
      <c r="AQ92" s="46" t="str">
        <f t="shared" si="64"/>
        <v/>
      </c>
      <c r="AR92" s="46" t="str">
        <f t="shared" si="65"/>
        <v/>
      </c>
      <c r="AS92" s="46" t="str">
        <f t="shared" si="66"/>
        <v/>
      </c>
      <c r="AT92" s="46" t="str">
        <f t="shared" si="67"/>
        <v/>
      </c>
      <c r="AU92" s="46" t="str">
        <f t="shared" si="68"/>
        <v/>
      </c>
      <c r="AV92" s="46" t="str">
        <f t="shared" si="69"/>
        <v/>
      </c>
      <c r="AW92" s="46" t="str">
        <f t="shared" si="70"/>
        <v/>
      </c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20"/>
    </row>
    <row r="93" spans="2:154">
      <c r="B93" s="1"/>
      <c r="C93" s="2"/>
      <c r="D93" s="34"/>
      <c r="E93" s="34"/>
      <c r="F93" s="34"/>
      <c r="G93" s="34"/>
      <c r="H93" s="4"/>
      <c r="I93" s="4"/>
      <c r="J93" s="4"/>
      <c r="K93" s="3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37"/>
      <c r="X93" s="1"/>
      <c r="Y93" s="18">
        <f t="shared" si="46"/>
        <v>0</v>
      </c>
      <c r="Z93" s="21">
        <f t="shared" si="47"/>
        <v>0</v>
      </c>
      <c r="AA93" s="10">
        <f t="shared" si="48"/>
        <v>0</v>
      </c>
      <c r="AB93" s="10">
        <f t="shared" si="49"/>
        <v>0</v>
      </c>
      <c r="AC93" s="10">
        <f t="shared" si="50"/>
        <v>0</v>
      </c>
      <c r="AD93" s="46" t="str">
        <f t="shared" si="51"/>
        <v/>
      </c>
      <c r="AE93" s="46" t="str">
        <f t="shared" si="52"/>
        <v/>
      </c>
      <c r="AF93" s="46" t="str">
        <f t="shared" si="53"/>
        <v/>
      </c>
      <c r="AG93" s="46" t="str">
        <f t="shared" si="54"/>
        <v/>
      </c>
      <c r="AH93" s="46" t="str">
        <f t="shared" si="55"/>
        <v/>
      </c>
      <c r="AI93" s="46" t="str">
        <f t="shared" si="56"/>
        <v/>
      </c>
      <c r="AJ93" s="46" t="str">
        <f t="shared" si="57"/>
        <v/>
      </c>
      <c r="AK93" s="46" t="str">
        <f t="shared" si="58"/>
        <v/>
      </c>
      <c r="AL93" s="46" t="str">
        <f t="shared" si="59"/>
        <v/>
      </c>
      <c r="AM93" s="46" t="str">
        <f t="shared" si="60"/>
        <v/>
      </c>
      <c r="AN93" s="46" t="str">
        <f t="shared" si="61"/>
        <v/>
      </c>
      <c r="AO93" s="46" t="str">
        <f t="shared" si="62"/>
        <v/>
      </c>
      <c r="AP93" s="46" t="str">
        <f t="shared" si="63"/>
        <v/>
      </c>
      <c r="AQ93" s="46" t="str">
        <f t="shared" si="64"/>
        <v/>
      </c>
      <c r="AR93" s="46" t="str">
        <f t="shared" si="65"/>
        <v/>
      </c>
      <c r="AS93" s="46" t="str">
        <f t="shared" si="66"/>
        <v/>
      </c>
      <c r="AT93" s="46" t="str">
        <f t="shared" si="67"/>
        <v/>
      </c>
      <c r="AU93" s="46" t="str">
        <f t="shared" si="68"/>
        <v/>
      </c>
      <c r="AV93" s="46" t="str">
        <f t="shared" si="69"/>
        <v/>
      </c>
      <c r="AW93" s="46" t="str">
        <f t="shared" si="70"/>
        <v/>
      </c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20"/>
    </row>
    <row r="94" spans="2:154">
      <c r="B94" s="1"/>
      <c r="C94" s="2"/>
      <c r="D94" s="34"/>
      <c r="E94" s="34"/>
      <c r="F94" s="34"/>
      <c r="G94" s="34"/>
      <c r="H94" s="4"/>
      <c r="I94" s="4"/>
      <c r="J94" s="4"/>
      <c r="K94" s="3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37"/>
      <c r="X94" s="1"/>
      <c r="Y94" s="18">
        <f t="shared" si="46"/>
        <v>0</v>
      </c>
      <c r="Z94" s="21">
        <f t="shared" si="47"/>
        <v>0</v>
      </c>
      <c r="AA94" s="10">
        <f t="shared" si="48"/>
        <v>0</v>
      </c>
      <c r="AB94" s="10">
        <f t="shared" si="49"/>
        <v>0</v>
      </c>
      <c r="AC94" s="10">
        <f t="shared" si="50"/>
        <v>0</v>
      </c>
      <c r="AD94" s="46" t="str">
        <f t="shared" si="51"/>
        <v/>
      </c>
      <c r="AE94" s="46" t="str">
        <f t="shared" si="52"/>
        <v/>
      </c>
      <c r="AF94" s="46" t="str">
        <f t="shared" si="53"/>
        <v/>
      </c>
      <c r="AG94" s="46" t="str">
        <f t="shared" si="54"/>
        <v/>
      </c>
      <c r="AH94" s="46" t="str">
        <f t="shared" si="55"/>
        <v/>
      </c>
      <c r="AI94" s="46" t="str">
        <f t="shared" si="56"/>
        <v/>
      </c>
      <c r="AJ94" s="46" t="str">
        <f t="shared" si="57"/>
        <v/>
      </c>
      <c r="AK94" s="46" t="str">
        <f t="shared" si="58"/>
        <v/>
      </c>
      <c r="AL94" s="46" t="str">
        <f t="shared" si="59"/>
        <v/>
      </c>
      <c r="AM94" s="46" t="str">
        <f t="shared" si="60"/>
        <v/>
      </c>
      <c r="AN94" s="46" t="str">
        <f t="shared" si="61"/>
        <v/>
      </c>
      <c r="AO94" s="46" t="str">
        <f t="shared" si="62"/>
        <v/>
      </c>
      <c r="AP94" s="46" t="str">
        <f t="shared" si="63"/>
        <v/>
      </c>
      <c r="AQ94" s="46" t="str">
        <f t="shared" si="64"/>
        <v/>
      </c>
      <c r="AR94" s="46" t="str">
        <f t="shared" si="65"/>
        <v/>
      </c>
      <c r="AS94" s="46" t="str">
        <f t="shared" si="66"/>
        <v/>
      </c>
      <c r="AT94" s="46" t="str">
        <f t="shared" si="67"/>
        <v/>
      </c>
      <c r="AU94" s="46" t="str">
        <f t="shared" si="68"/>
        <v/>
      </c>
      <c r="AV94" s="46" t="str">
        <f t="shared" si="69"/>
        <v/>
      </c>
      <c r="AW94" s="46" t="str">
        <f t="shared" si="70"/>
        <v/>
      </c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20"/>
    </row>
    <row r="95" spans="2:154">
      <c r="B95" s="1"/>
      <c r="C95" s="2"/>
      <c r="D95" s="34"/>
      <c r="E95" s="34"/>
      <c r="F95" s="34"/>
      <c r="G95" s="34"/>
      <c r="H95" s="4"/>
      <c r="I95" s="4"/>
      <c r="J95" s="4"/>
      <c r="K95" s="3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37"/>
      <c r="X95" s="1"/>
      <c r="Y95" s="18">
        <f t="shared" si="46"/>
        <v>0</v>
      </c>
      <c r="Z95" s="21">
        <f t="shared" si="47"/>
        <v>0</v>
      </c>
      <c r="AA95" s="10">
        <f t="shared" si="48"/>
        <v>0</v>
      </c>
      <c r="AB95" s="10">
        <f t="shared" si="49"/>
        <v>0</v>
      </c>
      <c r="AC95" s="10">
        <f t="shared" si="50"/>
        <v>0</v>
      </c>
      <c r="AD95" s="46" t="str">
        <f t="shared" si="51"/>
        <v/>
      </c>
      <c r="AE95" s="46" t="str">
        <f t="shared" si="52"/>
        <v/>
      </c>
      <c r="AF95" s="46" t="str">
        <f t="shared" si="53"/>
        <v/>
      </c>
      <c r="AG95" s="46" t="str">
        <f t="shared" si="54"/>
        <v/>
      </c>
      <c r="AH95" s="46" t="str">
        <f t="shared" si="55"/>
        <v/>
      </c>
      <c r="AI95" s="46" t="str">
        <f t="shared" si="56"/>
        <v/>
      </c>
      <c r="AJ95" s="46" t="str">
        <f t="shared" si="57"/>
        <v/>
      </c>
      <c r="AK95" s="46" t="str">
        <f t="shared" si="58"/>
        <v/>
      </c>
      <c r="AL95" s="46" t="str">
        <f t="shared" si="59"/>
        <v/>
      </c>
      <c r="AM95" s="46" t="str">
        <f t="shared" si="60"/>
        <v/>
      </c>
      <c r="AN95" s="46" t="str">
        <f t="shared" si="61"/>
        <v/>
      </c>
      <c r="AO95" s="46" t="str">
        <f t="shared" si="62"/>
        <v/>
      </c>
      <c r="AP95" s="46" t="str">
        <f t="shared" si="63"/>
        <v/>
      </c>
      <c r="AQ95" s="46" t="str">
        <f t="shared" si="64"/>
        <v/>
      </c>
      <c r="AR95" s="46" t="str">
        <f t="shared" si="65"/>
        <v/>
      </c>
      <c r="AS95" s="46" t="str">
        <f t="shared" si="66"/>
        <v/>
      </c>
      <c r="AT95" s="46" t="str">
        <f t="shared" si="67"/>
        <v/>
      </c>
      <c r="AU95" s="46" t="str">
        <f t="shared" si="68"/>
        <v/>
      </c>
      <c r="AV95" s="46" t="str">
        <f t="shared" si="69"/>
        <v/>
      </c>
      <c r="AW95" s="46" t="str">
        <f t="shared" si="70"/>
        <v/>
      </c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20"/>
    </row>
    <row r="96" spans="2:154">
      <c r="B96" s="1"/>
      <c r="C96" s="2"/>
      <c r="D96" s="34"/>
      <c r="E96" s="34"/>
      <c r="F96" s="34"/>
      <c r="G96" s="34"/>
      <c r="H96" s="4"/>
      <c r="I96" s="4"/>
      <c r="J96" s="4"/>
      <c r="K96" s="3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37"/>
      <c r="X96" s="1"/>
      <c r="Y96" s="18">
        <f t="shared" si="46"/>
        <v>0</v>
      </c>
      <c r="Z96" s="21">
        <f t="shared" si="47"/>
        <v>0</v>
      </c>
      <c r="AA96" s="10">
        <f t="shared" si="48"/>
        <v>0</v>
      </c>
      <c r="AB96" s="10">
        <f t="shared" si="49"/>
        <v>0</v>
      </c>
      <c r="AC96" s="10">
        <f t="shared" si="50"/>
        <v>0</v>
      </c>
      <c r="AD96" s="46" t="str">
        <f t="shared" si="51"/>
        <v/>
      </c>
      <c r="AE96" s="46" t="str">
        <f t="shared" si="52"/>
        <v/>
      </c>
      <c r="AF96" s="46" t="str">
        <f t="shared" si="53"/>
        <v/>
      </c>
      <c r="AG96" s="46" t="str">
        <f t="shared" si="54"/>
        <v/>
      </c>
      <c r="AH96" s="46" t="str">
        <f t="shared" si="55"/>
        <v/>
      </c>
      <c r="AI96" s="46" t="str">
        <f t="shared" si="56"/>
        <v/>
      </c>
      <c r="AJ96" s="46" t="str">
        <f t="shared" si="57"/>
        <v/>
      </c>
      <c r="AK96" s="46" t="str">
        <f t="shared" si="58"/>
        <v/>
      </c>
      <c r="AL96" s="46" t="str">
        <f t="shared" si="59"/>
        <v/>
      </c>
      <c r="AM96" s="46" t="str">
        <f t="shared" si="60"/>
        <v/>
      </c>
      <c r="AN96" s="46" t="str">
        <f t="shared" si="61"/>
        <v/>
      </c>
      <c r="AO96" s="46" t="str">
        <f t="shared" si="62"/>
        <v/>
      </c>
      <c r="AP96" s="46" t="str">
        <f t="shared" si="63"/>
        <v/>
      </c>
      <c r="AQ96" s="46" t="str">
        <f t="shared" si="64"/>
        <v/>
      </c>
      <c r="AR96" s="46" t="str">
        <f t="shared" si="65"/>
        <v/>
      </c>
      <c r="AS96" s="46" t="str">
        <f t="shared" si="66"/>
        <v/>
      </c>
      <c r="AT96" s="46" t="str">
        <f t="shared" si="67"/>
        <v/>
      </c>
      <c r="AU96" s="46" t="str">
        <f t="shared" si="68"/>
        <v/>
      </c>
      <c r="AV96" s="46" t="str">
        <f t="shared" si="69"/>
        <v/>
      </c>
      <c r="AW96" s="46" t="str">
        <f t="shared" si="70"/>
        <v/>
      </c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20"/>
    </row>
    <row r="97" spans="2:154">
      <c r="B97" s="1"/>
      <c r="C97" s="2"/>
      <c r="D97" s="34"/>
      <c r="E97" s="34"/>
      <c r="F97" s="34"/>
      <c r="G97" s="34"/>
      <c r="H97" s="4"/>
      <c r="I97" s="4"/>
      <c r="J97" s="4"/>
      <c r="K97" s="3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37"/>
      <c r="X97" s="1"/>
      <c r="Y97" s="18">
        <f t="shared" si="46"/>
        <v>0</v>
      </c>
      <c r="Z97" s="21">
        <f t="shared" si="47"/>
        <v>0</v>
      </c>
      <c r="AA97" s="10">
        <f t="shared" si="48"/>
        <v>0</v>
      </c>
      <c r="AB97" s="10">
        <f t="shared" si="49"/>
        <v>0</v>
      </c>
      <c r="AC97" s="10">
        <f t="shared" si="50"/>
        <v>0</v>
      </c>
      <c r="AD97" s="46" t="str">
        <f t="shared" si="51"/>
        <v/>
      </c>
      <c r="AE97" s="46" t="str">
        <f t="shared" si="52"/>
        <v/>
      </c>
      <c r="AF97" s="46" t="str">
        <f t="shared" si="53"/>
        <v/>
      </c>
      <c r="AG97" s="46" t="str">
        <f t="shared" si="54"/>
        <v/>
      </c>
      <c r="AH97" s="46" t="str">
        <f t="shared" si="55"/>
        <v/>
      </c>
      <c r="AI97" s="46" t="str">
        <f t="shared" si="56"/>
        <v/>
      </c>
      <c r="AJ97" s="46" t="str">
        <f t="shared" si="57"/>
        <v/>
      </c>
      <c r="AK97" s="46" t="str">
        <f t="shared" si="58"/>
        <v/>
      </c>
      <c r="AL97" s="46" t="str">
        <f t="shared" si="59"/>
        <v/>
      </c>
      <c r="AM97" s="46" t="str">
        <f t="shared" si="60"/>
        <v/>
      </c>
      <c r="AN97" s="46" t="str">
        <f t="shared" si="61"/>
        <v/>
      </c>
      <c r="AO97" s="46" t="str">
        <f t="shared" si="62"/>
        <v/>
      </c>
      <c r="AP97" s="46" t="str">
        <f t="shared" si="63"/>
        <v/>
      </c>
      <c r="AQ97" s="46" t="str">
        <f t="shared" si="64"/>
        <v/>
      </c>
      <c r="AR97" s="46" t="str">
        <f t="shared" si="65"/>
        <v/>
      </c>
      <c r="AS97" s="46" t="str">
        <f t="shared" si="66"/>
        <v/>
      </c>
      <c r="AT97" s="46" t="str">
        <f t="shared" si="67"/>
        <v/>
      </c>
      <c r="AU97" s="46" t="str">
        <f t="shared" si="68"/>
        <v/>
      </c>
      <c r="AV97" s="46" t="str">
        <f t="shared" si="69"/>
        <v/>
      </c>
      <c r="AW97" s="46" t="str">
        <f t="shared" si="70"/>
        <v/>
      </c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20"/>
    </row>
    <row r="98" spans="2:154">
      <c r="B98" s="1"/>
      <c r="C98" s="2"/>
      <c r="D98" s="34"/>
      <c r="E98" s="34"/>
      <c r="F98" s="34"/>
      <c r="G98" s="34"/>
      <c r="H98" s="4"/>
      <c r="I98" s="4"/>
      <c r="J98" s="4"/>
      <c r="K98" s="3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37"/>
      <c r="X98" s="1"/>
      <c r="Y98" s="18">
        <f t="shared" si="46"/>
        <v>0</v>
      </c>
      <c r="Z98" s="21">
        <f t="shared" si="47"/>
        <v>0</v>
      </c>
      <c r="AA98" s="10">
        <f t="shared" si="48"/>
        <v>0</v>
      </c>
      <c r="AB98" s="10">
        <f t="shared" si="49"/>
        <v>0</v>
      </c>
      <c r="AC98" s="10">
        <f t="shared" si="50"/>
        <v>0</v>
      </c>
      <c r="AD98" s="46" t="str">
        <f t="shared" si="51"/>
        <v/>
      </c>
      <c r="AE98" s="46" t="str">
        <f t="shared" si="52"/>
        <v/>
      </c>
      <c r="AF98" s="46" t="str">
        <f t="shared" si="53"/>
        <v/>
      </c>
      <c r="AG98" s="46" t="str">
        <f t="shared" si="54"/>
        <v/>
      </c>
      <c r="AH98" s="46" t="str">
        <f t="shared" si="55"/>
        <v/>
      </c>
      <c r="AI98" s="46" t="str">
        <f t="shared" si="56"/>
        <v/>
      </c>
      <c r="AJ98" s="46" t="str">
        <f t="shared" si="57"/>
        <v/>
      </c>
      <c r="AK98" s="46" t="str">
        <f t="shared" si="58"/>
        <v/>
      </c>
      <c r="AL98" s="46" t="str">
        <f t="shared" si="59"/>
        <v/>
      </c>
      <c r="AM98" s="46" t="str">
        <f t="shared" si="60"/>
        <v/>
      </c>
      <c r="AN98" s="46" t="str">
        <f t="shared" si="61"/>
        <v/>
      </c>
      <c r="AO98" s="46" t="str">
        <f t="shared" si="62"/>
        <v/>
      </c>
      <c r="AP98" s="46" t="str">
        <f t="shared" si="63"/>
        <v/>
      </c>
      <c r="AQ98" s="46" t="str">
        <f t="shared" si="64"/>
        <v/>
      </c>
      <c r="AR98" s="46" t="str">
        <f t="shared" si="65"/>
        <v/>
      </c>
      <c r="AS98" s="46" t="str">
        <f t="shared" si="66"/>
        <v/>
      </c>
      <c r="AT98" s="46" t="str">
        <f t="shared" si="67"/>
        <v/>
      </c>
      <c r="AU98" s="46" t="str">
        <f t="shared" si="68"/>
        <v/>
      </c>
      <c r="AV98" s="46" t="str">
        <f t="shared" si="69"/>
        <v/>
      </c>
      <c r="AW98" s="46" t="str">
        <f t="shared" si="70"/>
        <v/>
      </c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20"/>
    </row>
    <row r="99" spans="2:154">
      <c r="B99" s="1"/>
      <c r="C99" s="2"/>
      <c r="D99" s="34"/>
      <c r="E99" s="34"/>
      <c r="F99" s="34"/>
      <c r="G99" s="34"/>
      <c r="H99" s="4"/>
      <c r="I99" s="4"/>
      <c r="J99" s="4"/>
      <c r="K99" s="3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37"/>
      <c r="X99" s="1"/>
      <c r="Y99" s="18">
        <f t="shared" si="46"/>
        <v>0</v>
      </c>
      <c r="Z99" s="21">
        <f t="shared" si="47"/>
        <v>0</v>
      </c>
      <c r="AA99" s="10">
        <f t="shared" si="48"/>
        <v>0</v>
      </c>
      <c r="AB99" s="10">
        <f t="shared" si="49"/>
        <v>0</v>
      </c>
      <c r="AC99" s="10">
        <f t="shared" si="50"/>
        <v>0</v>
      </c>
      <c r="AD99" s="46" t="str">
        <f t="shared" si="51"/>
        <v/>
      </c>
      <c r="AE99" s="46" t="str">
        <f t="shared" si="52"/>
        <v/>
      </c>
      <c r="AF99" s="46" t="str">
        <f t="shared" si="53"/>
        <v/>
      </c>
      <c r="AG99" s="46" t="str">
        <f t="shared" si="54"/>
        <v/>
      </c>
      <c r="AH99" s="46" t="str">
        <f t="shared" si="55"/>
        <v/>
      </c>
      <c r="AI99" s="46" t="str">
        <f t="shared" si="56"/>
        <v/>
      </c>
      <c r="AJ99" s="46" t="str">
        <f t="shared" si="57"/>
        <v/>
      </c>
      <c r="AK99" s="46" t="str">
        <f t="shared" si="58"/>
        <v/>
      </c>
      <c r="AL99" s="46" t="str">
        <f t="shared" si="59"/>
        <v/>
      </c>
      <c r="AM99" s="46" t="str">
        <f t="shared" si="60"/>
        <v/>
      </c>
      <c r="AN99" s="46" t="str">
        <f t="shared" si="61"/>
        <v/>
      </c>
      <c r="AO99" s="46" t="str">
        <f t="shared" si="62"/>
        <v/>
      </c>
      <c r="AP99" s="46" t="str">
        <f t="shared" si="63"/>
        <v/>
      </c>
      <c r="AQ99" s="46" t="str">
        <f t="shared" si="64"/>
        <v/>
      </c>
      <c r="AR99" s="46" t="str">
        <f t="shared" si="65"/>
        <v/>
      </c>
      <c r="AS99" s="46" t="str">
        <f t="shared" si="66"/>
        <v/>
      </c>
      <c r="AT99" s="46" t="str">
        <f t="shared" si="67"/>
        <v/>
      </c>
      <c r="AU99" s="46" t="str">
        <f t="shared" si="68"/>
        <v/>
      </c>
      <c r="AV99" s="46" t="str">
        <f t="shared" si="69"/>
        <v/>
      </c>
      <c r="AW99" s="46" t="str">
        <f t="shared" si="70"/>
        <v/>
      </c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20"/>
    </row>
    <row r="100" spans="2:154">
      <c r="B100" s="1"/>
      <c r="C100" s="2"/>
      <c r="D100" s="34"/>
      <c r="E100" s="34"/>
      <c r="F100" s="34"/>
      <c r="G100" s="34"/>
      <c r="H100" s="4"/>
      <c r="I100" s="4"/>
      <c r="J100" s="4"/>
      <c r="K100" s="3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37"/>
      <c r="X100" s="1"/>
      <c r="Y100" s="18">
        <f t="shared" si="46"/>
        <v>0</v>
      </c>
      <c r="Z100" s="21">
        <f t="shared" si="47"/>
        <v>0</v>
      </c>
      <c r="AA100" s="10">
        <f t="shared" si="48"/>
        <v>0</v>
      </c>
      <c r="AB100" s="10">
        <f t="shared" si="49"/>
        <v>0</v>
      </c>
      <c r="AC100" s="10">
        <f t="shared" si="50"/>
        <v>0</v>
      </c>
      <c r="AD100" s="46" t="str">
        <f t="shared" si="51"/>
        <v/>
      </c>
      <c r="AE100" s="46" t="str">
        <f t="shared" si="52"/>
        <v/>
      </c>
      <c r="AF100" s="46" t="str">
        <f t="shared" si="53"/>
        <v/>
      </c>
      <c r="AG100" s="46" t="str">
        <f t="shared" si="54"/>
        <v/>
      </c>
      <c r="AH100" s="46" t="str">
        <f t="shared" si="55"/>
        <v/>
      </c>
      <c r="AI100" s="46" t="str">
        <f t="shared" si="56"/>
        <v/>
      </c>
      <c r="AJ100" s="46" t="str">
        <f t="shared" si="57"/>
        <v/>
      </c>
      <c r="AK100" s="46" t="str">
        <f t="shared" si="58"/>
        <v/>
      </c>
      <c r="AL100" s="46" t="str">
        <f t="shared" si="59"/>
        <v/>
      </c>
      <c r="AM100" s="46" t="str">
        <f t="shared" si="60"/>
        <v/>
      </c>
      <c r="AN100" s="46" t="str">
        <f t="shared" si="61"/>
        <v/>
      </c>
      <c r="AO100" s="46" t="str">
        <f t="shared" si="62"/>
        <v/>
      </c>
      <c r="AP100" s="46" t="str">
        <f t="shared" si="63"/>
        <v/>
      </c>
      <c r="AQ100" s="46" t="str">
        <f t="shared" si="64"/>
        <v/>
      </c>
      <c r="AR100" s="46" t="str">
        <f t="shared" si="65"/>
        <v/>
      </c>
      <c r="AS100" s="46" t="str">
        <f t="shared" si="66"/>
        <v/>
      </c>
      <c r="AT100" s="46" t="str">
        <f t="shared" si="67"/>
        <v/>
      </c>
      <c r="AU100" s="46" t="str">
        <f t="shared" si="68"/>
        <v/>
      </c>
      <c r="AV100" s="46" t="str">
        <f t="shared" si="69"/>
        <v/>
      </c>
      <c r="AW100" s="46" t="str">
        <f t="shared" si="70"/>
        <v/>
      </c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20"/>
    </row>
    <row r="101" spans="2:154">
      <c r="B101" s="1"/>
      <c r="C101" s="2"/>
      <c r="D101" s="34"/>
      <c r="E101" s="34"/>
      <c r="F101" s="34"/>
      <c r="G101" s="34"/>
      <c r="H101" s="4"/>
      <c r="I101" s="4"/>
      <c r="J101" s="4"/>
      <c r="K101" s="3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37"/>
      <c r="X101" s="1"/>
      <c r="Y101" s="18">
        <f t="shared" si="46"/>
        <v>0</v>
      </c>
      <c r="Z101" s="21">
        <f t="shared" si="47"/>
        <v>0</v>
      </c>
      <c r="AA101" s="10">
        <f t="shared" si="48"/>
        <v>0</v>
      </c>
      <c r="AB101" s="10">
        <f t="shared" si="49"/>
        <v>0</v>
      </c>
      <c r="AC101" s="10">
        <f t="shared" si="50"/>
        <v>0</v>
      </c>
      <c r="AD101" s="46" t="str">
        <f t="shared" si="51"/>
        <v/>
      </c>
      <c r="AE101" s="46" t="str">
        <f t="shared" si="52"/>
        <v/>
      </c>
      <c r="AF101" s="46" t="str">
        <f t="shared" si="53"/>
        <v/>
      </c>
      <c r="AG101" s="46" t="str">
        <f t="shared" si="54"/>
        <v/>
      </c>
      <c r="AH101" s="46" t="str">
        <f t="shared" si="55"/>
        <v/>
      </c>
      <c r="AI101" s="46" t="str">
        <f t="shared" si="56"/>
        <v/>
      </c>
      <c r="AJ101" s="46" t="str">
        <f t="shared" si="57"/>
        <v/>
      </c>
      <c r="AK101" s="46" t="str">
        <f t="shared" si="58"/>
        <v/>
      </c>
      <c r="AL101" s="46" t="str">
        <f t="shared" si="59"/>
        <v/>
      </c>
      <c r="AM101" s="46" t="str">
        <f t="shared" si="60"/>
        <v/>
      </c>
      <c r="AN101" s="46" t="str">
        <f t="shared" si="61"/>
        <v/>
      </c>
      <c r="AO101" s="46" t="str">
        <f t="shared" si="62"/>
        <v/>
      </c>
      <c r="AP101" s="46" t="str">
        <f t="shared" si="63"/>
        <v/>
      </c>
      <c r="AQ101" s="46" t="str">
        <f t="shared" si="64"/>
        <v/>
      </c>
      <c r="AR101" s="46" t="str">
        <f t="shared" si="65"/>
        <v/>
      </c>
      <c r="AS101" s="46" t="str">
        <f t="shared" si="66"/>
        <v/>
      </c>
      <c r="AT101" s="46" t="str">
        <f t="shared" si="67"/>
        <v/>
      </c>
      <c r="AU101" s="46" t="str">
        <f t="shared" si="68"/>
        <v/>
      </c>
      <c r="AV101" s="46" t="str">
        <f t="shared" si="69"/>
        <v/>
      </c>
      <c r="AW101" s="46" t="str">
        <f t="shared" si="70"/>
        <v/>
      </c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20"/>
    </row>
    <row r="102" spans="2:154">
      <c r="B102" s="1"/>
      <c r="C102" s="2"/>
      <c r="D102" s="34"/>
      <c r="E102" s="34"/>
      <c r="F102" s="34"/>
      <c r="G102" s="34"/>
      <c r="H102" s="4"/>
      <c r="I102" s="4"/>
      <c r="J102" s="4"/>
      <c r="K102" s="3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37"/>
      <c r="X102" s="1"/>
      <c r="Y102" s="18">
        <f t="shared" si="46"/>
        <v>0</v>
      </c>
      <c r="Z102" s="21">
        <f t="shared" si="47"/>
        <v>0</v>
      </c>
      <c r="AA102" s="10">
        <f t="shared" si="48"/>
        <v>0</v>
      </c>
      <c r="AB102" s="10">
        <f t="shared" si="49"/>
        <v>0</v>
      </c>
      <c r="AC102" s="10">
        <f t="shared" si="50"/>
        <v>0</v>
      </c>
      <c r="AD102" s="46" t="str">
        <f t="shared" si="51"/>
        <v/>
      </c>
      <c r="AE102" s="46" t="str">
        <f t="shared" si="52"/>
        <v/>
      </c>
      <c r="AF102" s="46" t="str">
        <f t="shared" si="53"/>
        <v/>
      </c>
      <c r="AG102" s="46" t="str">
        <f t="shared" si="54"/>
        <v/>
      </c>
      <c r="AH102" s="46" t="str">
        <f t="shared" si="55"/>
        <v/>
      </c>
      <c r="AI102" s="46" t="str">
        <f t="shared" si="56"/>
        <v/>
      </c>
      <c r="AJ102" s="46" t="str">
        <f t="shared" si="57"/>
        <v/>
      </c>
      <c r="AK102" s="46" t="str">
        <f t="shared" si="58"/>
        <v/>
      </c>
      <c r="AL102" s="46" t="str">
        <f t="shared" si="59"/>
        <v/>
      </c>
      <c r="AM102" s="46" t="str">
        <f t="shared" si="60"/>
        <v/>
      </c>
      <c r="AN102" s="46" t="str">
        <f t="shared" si="61"/>
        <v/>
      </c>
      <c r="AO102" s="46" t="str">
        <f t="shared" si="62"/>
        <v/>
      </c>
      <c r="AP102" s="46" t="str">
        <f t="shared" si="63"/>
        <v/>
      </c>
      <c r="AQ102" s="46" t="str">
        <f t="shared" si="64"/>
        <v/>
      </c>
      <c r="AR102" s="46" t="str">
        <f t="shared" si="65"/>
        <v/>
      </c>
      <c r="AS102" s="46" t="str">
        <f t="shared" si="66"/>
        <v/>
      </c>
      <c r="AT102" s="46" t="str">
        <f t="shared" si="67"/>
        <v/>
      </c>
      <c r="AU102" s="46" t="str">
        <f t="shared" si="68"/>
        <v/>
      </c>
      <c r="AV102" s="46" t="str">
        <f t="shared" si="69"/>
        <v/>
      </c>
      <c r="AW102" s="46" t="str">
        <f t="shared" si="70"/>
        <v/>
      </c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20"/>
    </row>
    <row r="103" spans="2:154">
      <c r="B103" s="1"/>
      <c r="C103" s="2"/>
      <c r="D103" s="34"/>
      <c r="E103" s="34"/>
      <c r="F103" s="34"/>
      <c r="G103" s="34"/>
      <c r="H103" s="4"/>
      <c r="I103" s="4"/>
      <c r="J103" s="4"/>
      <c r="K103" s="3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37"/>
      <c r="X103" s="1"/>
      <c r="Y103" s="18">
        <f t="shared" si="46"/>
        <v>0</v>
      </c>
      <c r="Z103" s="21">
        <f t="shared" si="47"/>
        <v>0</v>
      </c>
      <c r="AA103" s="10">
        <f t="shared" si="48"/>
        <v>0</v>
      </c>
      <c r="AB103" s="10">
        <f t="shared" si="49"/>
        <v>0</v>
      </c>
      <c r="AC103" s="10">
        <f t="shared" si="50"/>
        <v>0</v>
      </c>
      <c r="AD103" s="46" t="str">
        <f t="shared" si="51"/>
        <v/>
      </c>
      <c r="AE103" s="46" t="str">
        <f t="shared" si="52"/>
        <v/>
      </c>
      <c r="AF103" s="46" t="str">
        <f t="shared" si="53"/>
        <v/>
      </c>
      <c r="AG103" s="46" t="str">
        <f t="shared" si="54"/>
        <v/>
      </c>
      <c r="AH103" s="46" t="str">
        <f t="shared" si="55"/>
        <v/>
      </c>
      <c r="AI103" s="46" t="str">
        <f t="shared" si="56"/>
        <v/>
      </c>
      <c r="AJ103" s="46" t="str">
        <f t="shared" si="57"/>
        <v/>
      </c>
      <c r="AK103" s="46" t="str">
        <f t="shared" si="58"/>
        <v/>
      </c>
      <c r="AL103" s="46" t="str">
        <f t="shared" si="59"/>
        <v/>
      </c>
      <c r="AM103" s="46" t="str">
        <f t="shared" si="60"/>
        <v/>
      </c>
      <c r="AN103" s="46" t="str">
        <f t="shared" si="61"/>
        <v/>
      </c>
      <c r="AO103" s="46" t="str">
        <f t="shared" si="62"/>
        <v/>
      </c>
      <c r="AP103" s="46" t="str">
        <f t="shared" si="63"/>
        <v/>
      </c>
      <c r="AQ103" s="46" t="str">
        <f t="shared" si="64"/>
        <v/>
      </c>
      <c r="AR103" s="46" t="str">
        <f t="shared" si="65"/>
        <v/>
      </c>
      <c r="AS103" s="46" t="str">
        <f t="shared" si="66"/>
        <v/>
      </c>
      <c r="AT103" s="46" t="str">
        <f t="shared" si="67"/>
        <v/>
      </c>
      <c r="AU103" s="46" t="str">
        <f t="shared" si="68"/>
        <v/>
      </c>
      <c r="AV103" s="46" t="str">
        <f t="shared" si="69"/>
        <v/>
      </c>
      <c r="AW103" s="46" t="str">
        <f t="shared" si="70"/>
        <v/>
      </c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20"/>
    </row>
    <row r="104" spans="2:154">
      <c r="B104" s="1"/>
      <c r="C104" s="2"/>
      <c r="D104" s="34"/>
      <c r="E104" s="34"/>
      <c r="F104" s="34"/>
      <c r="G104" s="34"/>
      <c r="H104" s="4"/>
      <c r="I104" s="4"/>
      <c r="J104" s="4"/>
      <c r="K104" s="3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37"/>
      <c r="X104" s="1"/>
      <c r="Y104" s="18">
        <f t="shared" si="46"/>
        <v>0</v>
      </c>
      <c r="Z104" s="21">
        <f t="shared" si="47"/>
        <v>0</v>
      </c>
      <c r="AA104" s="10">
        <f t="shared" si="48"/>
        <v>0</v>
      </c>
      <c r="AB104" s="10">
        <f t="shared" si="49"/>
        <v>0</v>
      </c>
      <c r="AC104" s="10">
        <f t="shared" si="50"/>
        <v>0</v>
      </c>
      <c r="AD104" s="46" t="str">
        <f t="shared" si="51"/>
        <v/>
      </c>
      <c r="AE104" s="46" t="str">
        <f t="shared" si="52"/>
        <v/>
      </c>
      <c r="AF104" s="46" t="str">
        <f t="shared" si="53"/>
        <v/>
      </c>
      <c r="AG104" s="46" t="str">
        <f t="shared" si="54"/>
        <v/>
      </c>
      <c r="AH104" s="46" t="str">
        <f t="shared" si="55"/>
        <v/>
      </c>
      <c r="AI104" s="46" t="str">
        <f t="shared" si="56"/>
        <v/>
      </c>
      <c r="AJ104" s="46" t="str">
        <f t="shared" si="57"/>
        <v/>
      </c>
      <c r="AK104" s="46" t="str">
        <f t="shared" si="58"/>
        <v/>
      </c>
      <c r="AL104" s="46" t="str">
        <f t="shared" si="59"/>
        <v/>
      </c>
      <c r="AM104" s="46" t="str">
        <f t="shared" si="60"/>
        <v/>
      </c>
      <c r="AN104" s="46" t="str">
        <f t="shared" si="61"/>
        <v/>
      </c>
      <c r="AO104" s="46" t="str">
        <f t="shared" si="62"/>
        <v/>
      </c>
      <c r="AP104" s="46" t="str">
        <f t="shared" si="63"/>
        <v/>
      </c>
      <c r="AQ104" s="46" t="str">
        <f t="shared" si="64"/>
        <v/>
      </c>
      <c r="AR104" s="46" t="str">
        <f t="shared" si="65"/>
        <v/>
      </c>
      <c r="AS104" s="46" t="str">
        <f t="shared" si="66"/>
        <v/>
      </c>
      <c r="AT104" s="46" t="str">
        <f t="shared" si="67"/>
        <v/>
      </c>
      <c r="AU104" s="46" t="str">
        <f t="shared" si="68"/>
        <v/>
      </c>
      <c r="AV104" s="46" t="str">
        <f t="shared" si="69"/>
        <v/>
      </c>
      <c r="AW104" s="46" t="str">
        <f t="shared" si="70"/>
        <v/>
      </c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20"/>
    </row>
    <row r="105" spans="2:154">
      <c r="B105" s="1"/>
      <c r="C105" s="2"/>
      <c r="D105" s="34"/>
      <c r="E105" s="34"/>
      <c r="F105" s="34"/>
      <c r="G105" s="34"/>
      <c r="H105" s="4"/>
      <c r="I105" s="4"/>
      <c r="J105" s="4"/>
      <c r="K105" s="3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37"/>
      <c r="X105" s="1"/>
      <c r="Y105" s="18">
        <f t="shared" si="46"/>
        <v>0</v>
      </c>
      <c r="Z105" s="21">
        <f t="shared" si="47"/>
        <v>0</v>
      </c>
      <c r="AA105" s="10">
        <f t="shared" si="48"/>
        <v>0</v>
      </c>
      <c r="AB105" s="10">
        <f t="shared" si="49"/>
        <v>0</v>
      </c>
      <c r="AC105" s="10">
        <f t="shared" si="50"/>
        <v>0</v>
      </c>
      <c r="AD105" s="46" t="str">
        <f t="shared" si="51"/>
        <v/>
      </c>
      <c r="AE105" s="46" t="str">
        <f t="shared" si="52"/>
        <v/>
      </c>
      <c r="AF105" s="46" t="str">
        <f t="shared" si="53"/>
        <v/>
      </c>
      <c r="AG105" s="46" t="str">
        <f t="shared" si="54"/>
        <v/>
      </c>
      <c r="AH105" s="46" t="str">
        <f t="shared" si="55"/>
        <v/>
      </c>
      <c r="AI105" s="46" t="str">
        <f t="shared" si="56"/>
        <v/>
      </c>
      <c r="AJ105" s="46" t="str">
        <f t="shared" si="57"/>
        <v/>
      </c>
      <c r="AK105" s="46" t="str">
        <f t="shared" si="58"/>
        <v/>
      </c>
      <c r="AL105" s="46" t="str">
        <f t="shared" si="59"/>
        <v/>
      </c>
      <c r="AM105" s="46" t="str">
        <f t="shared" si="60"/>
        <v/>
      </c>
      <c r="AN105" s="46" t="str">
        <f t="shared" si="61"/>
        <v/>
      </c>
      <c r="AO105" s="46" t="str">
        <f t="shared" si="62"/>
        <v/>
      </c>
      <c r="AP105" s="46" t="str">
        <f t="shared" si="63"/>
        <v/>
      </c>
      <c r="AQ105" s="46" t="str">
        <f t="shared" si="64"/>
        <v/>
      </c>
      <c r="AR105" s="46" t="str">
        <f t="shared" si="65"/>
        <v/>
      </c>
      <c r="AS105" s="46" t="str">
        <f t="shared" si="66"/>
        <v/>
      </c>
      <c r="AT105" s="46" t="str">
        <f t="shared" si="67"/>
        <v/>
      </c>
      <c r="AU105" s="46" t="str">
        <f t="shared" si="68"/>
        <v/>
      </c>
      <c r="AV105" s="46" t="str">
        <f t="shared" si="69"/>
        <v/>
      </c>
      <c r="AW105" s="46" t="str">
        <f t="shared" si="70"/>
        <v/>
      </c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20"/>
    </row>
    <row r="106" spans="2:154">
      <c r="B106" s="1"/>
      <c r="C106" s="2"/>
      <c r="D106" s="34"/>
      <c r="E106" s="34"/>
      <c r="F106" s="34"/>
      <c r="G106" s="34"/>
      <c r="H106" s="4"/>
      <c r="I106" s="4"/>
      <c r="J106" s="4"/>
      <c r="K106" s="3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37"/>
      <c r="X106" s="1"/>
      <c r="Y106" s="18">
        <f t="shared" si="46"/>
        <v>0</v>
      </c>
      <c r="Z106" s="21">
        <f t="shared" si="47"/>
        <v>0</v>
      </c>
      <c r="AA106" s="10">
        <f t="shared" si="48"/>
        <v>0</v>
      </c>
      <c r="AB106" s="10">
        <f t="shared" si="49"/>
        <v>0</v>
      </c>
      <c r="AC106" s="10">
        <f t="shared" si="50"/>
        <v>0</v>
      </c>
      <c r="AD106" s="46" t="str">
        <f t="shared" si="51"/>
        <v/>
      </c>
      <c r="AE106" s="46" t="str">
        <f t="shared" si="52"/>
        <v/>
      </c>
      <c r="AF106" s="46" t="str">
        <f t="shared" si="53"/>
        <v/>
      </c>
      <c r="AG106" s="46" t="str">
        <f t="shared" si="54"/>
        <v/>
      </c>
      <c r="AH106" s="46" t="str">
        <f t="shared" si="55"/>
        <v/>
      </c>
      <c r="AI106" s="46" t="str">
        <f t="shared" si="56"/>
        <v/>
      </c>
      <c r="AJ106" s="46" t="str">
        <f t="shared" si="57"/>
        <v/>
      </c>
      <c r="AK106" s="46" t="str">
        <f t="shared" si="58"/>
        <v/>
      </c>
      <c r="AL106" s="46" t="str">
        <f t="shared" si="59"/>
        <v/>
      </c>
      <c r="AM106" s="46" t="str">
        <f t="shared" si="60"/>
        <v/>
      </c>
      <c r="AN106" s="46" t="str">
        <f t="shared" si="61"/>
        <v/>
      </c>
      <c r="AO106" s="46" t="str">
        <f t="shared" si="62"/>
        <v/>
      </c>
      <c r="AP106" s="46" t="str">
        <f t="shared" si="63"/>
        <v/>
      </c>
      <c r="AQ106" s="46" t="str">
        <f t="shared" si="64"/>
        <v/>
      </c>
      <c r="AR106" s="46" t="str">
        <f t="shared" si="65"/>
        <v/>
      </c>
      <c r="AS106" s="46" t="str">
        <f t="shared" si="66"/>
        <v/>
      </c>
      <c r="AT106" s="46" t="str">
        <f t="shared" si="67"/>
        <v/>
      </c>
      <c r="AU106" s="46" t="str">
        <f t="shared" si="68"/>
        <v/>
      </c>
      <c r="AV106" s="46" t="str">
        <f t="shared" si="69"/>
        <v/>
      </c>
      <c r="AW106" s="46" t="str">
        <f t="shared" si="70"/>
        <v/>
      </c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20"/>
    </row>
    <row r="107" spans="2:154">
      <c r="B107" s="1"/>
      <c r="C107" s="2"/>
      <c r="D107" s="34"/>
      <c r="E107" s="34"/>
      <c r="F107" s="34"/>
      <c r="G107" s="34"/>
      <c r="H107" s="4"/>
      <c r="I107" s="4"/>
      <c r="J107" s="4"/>
      <c r="K107" s="3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37"/>
      <c r="X107" s="1"/>
      <c r="Y107" s="18">
        <f t="shared" si="46"/>
        <v>0</v>
      </c>
      <c r="Z107" s="21">
        <f t="shared" si="47"/>
        <v>0</v>
      </c>
      <c r="AA107" s="10">
        <f t="shared" si="48"/>
        <v>0</v>
      </c>
      <c r="AB107" s="10">
        <f t="shared" si="49"/>
        <v>0</v>
      </c>
      <c r="AC107" s="10">
        <f t="shared" si="50"/>
        <v>0</v>
      </c>
      <c r="AD107" s="46" t="str">
        <f t="shared" si="51"/>
        <v/>
      </c>
      <c r="AE107" s="46" t="str">
        <f t="shared" si="52"/>
        <v/>
      </c>
      <c r="AF107" s="46" t="str">
        <f t="shared" si="53"/>
        <v/>
      </c>
      <c r="AG107" s="46" t="str">
        <f t="shared" si="54"/>
        <v/>
      </c>
      <c r="AH107" s="46" t="str">
        <f t="shared" si="55"/>
        <v/>
      </c>
      <c r="AI107" s="46" t="str">
        <f t="shared" si="56"/>
        <v/>
      </c>
      <c r="AJ107" s="46" t="str">
        <f t="shared" si="57"/>
        <v/>
      </c>
      <c r="AK107" s="46" t="str">
        <f t="shared" si="58"/>
        <v/>
      </c>
      <c r="AL107" s="46" t="str">
        <f t="shared" si="59"/>
        <v/>
      </c>
      <c r="AM107" s="46" t="str">
        <f t="shared" si="60"/>
        <v/>
      </c>
      <c r="AN107" s="46" t="str">
        <f t="shared" si="61"/>
        <v/>
      </c>
      <c r="AO107" s="46" t="str">
        <f t="shared" si="62"/>
        <v/>
      </c>
      <c r="AP107" s="46" t="str">
        <f t="shared" si="63"/>
        <v/>
      </c>
      <c r="AQ107" s="46" t="str">
        <f t="shared" si="64"/>
        <v/>
      </c>
      <c r="AR107" s="46" t="str">
        <f t="shared" si="65"/>
        <v/>
      </c>
      <c r="AS107" s="46" t="str">
        <f t="shared" si="66"/>
        <v/>
      </c>
      <c r="AT107" s="46" t="str">
        <f t="shared" si="67"/>
        <v/>
      </c>
      <c r="AU107" s="46" t="str">
        <f t="shared" si="68"/>
        <v/>
      </c>
      <c r="AV107" s="46" t="str">
        <f t="shared" si="69"/>
        <v/>
      </c>
      <c r="AW107" s="46" t="str">
        <f t="shared" si="70"/>
        <v/>
      </c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20"/>
    </row>
    <row r="108" spans="2:154">
      <c r="B108" s="1"/>
      <c r="C108" s="2"/>
      <c r="D108" s="34"/>
      <c r="E108" s="34"/>
      <c r="F108" s="34"/>
      <c r="G108" s="34"/>
      <c r="H108" s="4"/>
      <c r="I108" s="4"/>
      <c r="J108" s="4"/>
      <c r="K108" s="3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37"/>
      <c r="X108" s="1"/>
      <c r="Y108" s="18">
        <f t="shared" si="46"/>
        <v>0</v>
      </c>
      <c r="Z108" s="21">
        <f t="shared" si="47"/>
        <v>0</v>
      </c>
      <c r="AA108" s="10">
        <f t="shared" si="48"/>
        <v>0</v>
      </c>
      <c r="AB108" s="10">
        <f t="shared" si="49"/>
        <v>0</v>
      </c>
      <c r="AC108" s="10">
        <f t="shared" si="50"/>
        <v>0</v>
      </c>
      <c r="AD108" s="46" t="str">
        <f t="shared" si="51"/>
        <v/>
      </c>
      <c r="AE108" s="46" t="str">
        <f t="shared" si="52"/>
        <v/>
      </c>
      <c r="AF108" s="46" t="str">
        <f t="shared" si="53"/>
        <v/>
      </c>
      <c r="AG108" s="46" t="str">
        <f t="shared" si="54"/>
        <v/>
      </c>
      <c r="AH108" s="46" t="str">
        <f t="shared" si="55"/>
        <v/>
      </c>
      <c r="AI108" s="46" t="str">
        <f t="shared" si="56"/>
        <v/>
      </c>
      <c r="AJ108" s="46" t="str">
        <f t="shared" si="57"/>
        <v/>
      </c>
      <c r="AK108" s="46" t="str">
        <f t="shared" si="58"/>
        <v/>
      </c>
      <c r="AL108" s="46" t="str">
        <f t="shared" si="59"/>
        <v/>
      </c>
      <c r="AM108" s="46" t="str">
        <f t="shared" si="60"/>
        <v/>
      </c>
      <c r="AN108" s="46" t="str">
        <f t="shared" si="61"/>
        <v/>
      </c>
      <c r="AO108" s="46" t="str">
        <f t="shared" si="62"/>
        <v/>
      </c>
      <c r="AP108" s="46" t="str">
        <f t="shared" si="63"/>
        <v/>
      </c>
      <c r="AQ108" s="46" t="str">
        <f t="shared" si="64"/>
        <v/>
      </c>
      <c r="AR108" s="46" t="str">
        <f t="shared" si="65"/>
        <v/>
      </c>
      <c r="AS108" s="46" t="str">
        <f t="shared" si="66"/>
        <v/>
      </c>
      <c r="AT108" s="46" t="str">
        <f t="shared" si="67"/>
        <v/>
      </c>
      <c r="AU108" s="46" t="str">
        <f t="shared" si="68"/>
        <v/>
      </c>
      <c r="AV108" s="46" t="str">
        <f t="shared" si="69"/>
        <v/>
      </c>
      <c r="AW108" s="46" t="str">
        <f t="shared" si="70"/>
        <v/>
      </c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20"/>
    </row>
    <row r="109" spans="2:154">
      <c r="B109" s="1"/>
      <c r="C109" s="2"/>
      <c r="D109" s="34"/>
      <c r="E109" s="34"/>
      <c r="F109" s="34"/>
      <c r="G109" s="34"/>
      <c r="H109" s="4"/>
      <c r="I109" s="4"/>
      <c r="J109" s="4"/>
      <c r="K109" s="3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37"/>
      <c r="X109" s="1"/>
      <c r="Y109" s="18">
        <f t="shared" si="46"/>
        <v>0</v>
      </c>
      <c r="Z109" s="21">
        <f t="shared" si="47"/>
        <v>0</v>
      </c>
      <c r="AA109" s="10">
        <f t="shared" si="48"/>
        <v>0</v>
      </c>
      <c r="AB109" s="10">
        <f t="shared" si="49"/>
        <v>0</v>
      </c>
      <c r="AC109" s="10">
        <f t="shared" si="50"/>
        <v>0</v>
      </c>
      <c r="AD109" s="46" t="str">
        <f t="shared" si="51"/>
        <v/>
      </c>
      <c r="AE109" s="46" t="str">
        <f t="shared" si="52"/>
        <v/>
      </c>
      <c r="AF109" s="46" t="str">
        <f t="shared" si="53"/>
        <v/>
      </c>
      <c r="AG109" s="46" t="str">
        <f t="shared" si="54"/>
        <v/>
      </c>
      <c r="AH109" s="46" t="str">
        <f t="shared" si="55"/>
        <v/>
      </c>
      <c r="AI109" s="46" t="str">
        <f t="shared" si="56"/>
        <v/>
      </c>
      <c r="AJ109" s="46" t="str">
        <f t="shared" si="57"/>
        <v/>
      </c>
      <c r="AK109" s="46" t="str">
        <f t="shared" si="58"/>
        <v/>
      </c>
      <c r="AL109" s="46" t="str">
        <f t="shared" si="59"/>
        <v/>
      </c>
      <c r="AM109" s="46" t="str">
        <f t="shared" si="60"/>
        <v/>
      </c>
      <c r="AN109" s="46" t="str">
        <f t="shared" si="61"/>
        <v/>
      </c>
      <c r="AO109" s="46" t="str">
        <f t="shared" si="62"/>
        <v/>
      </c>
      <c r="AP109" s="46" t="str">
        <f t="shared" si="63"/>
        <v/>
      </c>
      <c r="AQ109" s="46" t="str">
        <f t="shared" si="64"/>
        <v/>
      </c>
      <c r="AR109" s="46" t="str">
        <f t="shared" si="65"/>
        <v/>
      </c>
      <c r="AS109" s="46" t="str">
        <f t="shared" si="66"/>
        <v/>
      </c>
      <c r="AT109" s="46" t="str">
        <f t="shared" si="67"/>
        <v/>
      </c>
      <c r="AU109" s="46" t="str">
        <f t="shared" si="68"/>
        <v/>
      </c>
      <c r="AV109" s="46" t="str">
        <f t="shared" si="69"/>
        <v/>
      </c>
      <c r="AW109" s="46" t="str">
        <f t="shared" si="70"/>
        <v/>
      </c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20"/>
    </row>
    <row r="110" spans="2:154">
      <c r="B110" s="1"/>
      <c r="C110" s="2"/>
      <c r="D110" s="34"/>
      <c r="E110" s="34"/>
      <c r="F110" s="34"/>
      <c r="G110" s="34"/>
      <c r="H110" s="4"/>
      <c r="I110" s="4"/>
      <c r="J110" s="4"/>
      <c r="K110" s="3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37"/>
      <c r="X110" s="1"/>
      <c r="Y110" s="18">
        <f t="shared" si="46"/>
        <v>0</v>
      </c>
      <c r="Z110" s="21">
        <f t="shared" si="47"/>
        <v>0</v>
      </c>
      <c r="AA110" s="10">
        <f t="shared" si="48"/>
        <v>0</v>
      </c>
      <c r="AB110" s="10">
        <f t="shared" si="49"/>
        <v>0</v>
      </c>
      <c r="AC110" s="10">
        <f t="shared" si="50"/>
        <v>0</v>
      </c>
      <c r="AD110" s="46" t="str">
        <f t="shared" si="51"/>
        <v/>
      </c>
      <c r="AE110" s="46" t="str">
        <f t="shared" si="52"/>
        <v/>
      </c>
      <c r="AF110" s="46" t="str">
        <f t="shared" si="53"/>
        <v/>
      </c>
      <c r="AG110" s="46" t="str">
        <f t="shared" si="54"/>
        <v/>
      </c>
      <c r="AH110" s="46" t="str">
        <f t="shared" si="55"/>
        <v/>
      </c>
      <c r="AI110" s="46" t="str">
        <f t="shared" si="56"/>
        <v/>
      </c>
      <c r="AJ110" s="46" t="str">
        <f t="shared" si="57"/>
        <v/>
      </c>
      <c r="AK110" s="46" t="str">
        <f t="shared" si="58"/>
        <v/>
      </c>
      <c r="AL110" s="46" t="str">
        <f t="shared" si="59"/>
        <v/>
      </c>
      <c r="AM110" s="46" t="str">
        <f t="shared" si="60"/>
        <v/>
      </c>
      <c r="AN110" s="46" t="str">
        <f t="shared" si="61"/>
        <v/>
      </c>
      <c r="AO110" s="46" t="str">
        <f t="shared" si="62"/>
        <v/>
      </c>
      <c r="AP110" s="46" t="str">
        <f t="shared" si="63"/>
        <v/>
      </c>
      <c r="AQ110" s="46" t="str">
        <f t="shared" si="64"/>
        <v/>
      </c>
      <c r="AR110" s="46" t="str">
        <f t="shared" si="65"/>
        <v/>
      </c>
      <c r="AS110" s="46" t="str">
        <f t="shared" si="66"/>
        <v/>
      </c>
      <c r="AT110" s="46" t="str">
        <f t="shared" si="67"/>
        <v/>
      </c>
      <c r="AU110" s="46" t="str">
        <f t="shared" si="68"/>
        <v/>
      </c>
      <c r="AV110" s="46" t="str">
        <f t="shared" si="69"/>
        <v/>
      </c>
      <c r="AW110" s="46" t="str">
        <f t="shared" si="70"/>
        <v/>
      </c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20"/>
    </row>
    <row r="111" spans="2:154">
      <c r="B111" s="1"/>
      <c r="C111" s="2"/>
      <c r="D111" s="34"/>
      <c r="E111" s="34"/>
      <c r="F111" s="34"/>
      <c r="G111" s="34"/>
      <c r="H111" s="4"/>
      <c r="I111" s="4"/>
      <c r="J111" s="4"/>
      <c r="K111" s="3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37"/>
      <c r="X111" s="1"/>
      <c r="Y111" s="18">
        <f t="shared" si="46"/>
        <v>0</v>
      </c>
      <c r="Z111" s="21">
        <f t="shared" si="47"/>
        <v>0</v>
      </c>
      <c r="AA111" s="10">
        <f t="shared" si="48"/>
        <v>0</v>
      </c>
      <c r="AB111" s="10">
        <f t="shared" si="49"/>
        <v>0</v>
      </c>
      <c r="AC111" s="10">
        <f t="shared" si="50"/>
        <v>0</v>
      </c>
      <c r="AD111" s="46" t="str">
        <f t="shared" si="51"/>
        <v/>
      </c>
      <c r="AE111" s="46" t="str">
        <f t="shared" si="52"/>
        <v/>
      </c>
      <c r="AF111" s="46" t="str">
        <f t="shared" si="53"/>
        <v/>
      </c>
      <c r="AG111" s="46" t="str">
        <f t="shared" si="54"/>
        <v/>
      </c>
      <c r="AH111" s="46" t="str">
        <f t="shared" si="55"/>
        <v/>
      </c>
      <c r="AI111" s="46" t="str">
        <f t="shared" si="56"/>
        <v/>
      </c>
      <c r="AJ111" s="46" t="str">
        <f t="shared" si="57"/>
        <v/>
      </c>
      <c r="AK111" s="46" t="str">
        <f t="shared" si="58"/>
        <v/>
      </c>
      <c r="AL111" s="46" t="str">
        <f t="shared" si="59"/>
        <v/>
      </c>
      <c r="AM111" s="46" t="str">
        <f t="shared" si="60"/>
        <v/>
      </c>
      <c r="AN111" s="46" t="str">
        <f t="shared" si="61"/>
        <v/>
      </c>
      <c r="AO111" s="46" t="str">
        <f t="shared" si="62"/>
        <v/>
      </c>
      <c r="AP111" s="46" t="str">
        <f t="shared" si="63"/>
        <v/>
      </c>
      <c r="AQ111" s="46" t="str">
        <f t="shared" si="64"/>
        <v/>
      </c>
      <c r="AR111" s="46" t="str">
        <f t="shared" si="65"/>
        <v/>
      </c>
      <c r="AS111" s="46" t="str">
        <f t="shared" si="66"/>
        <v/>
      </c>
      <c r="AT111" s="46" t="str">
        <f t="shared" si="67"/>
        <v/>
      </c>
      <c r="AU111" s="46" t="str">
        <f t="shared" si="68"/>
        <v/>
      </c>
      <c r="AV111" s="46" t="str">
        <f t="shared" si="69"/>
        <v/>
      </c>
      <c r="AW111" s="46" t="str">
        <f t="shared" si="70"/>
        <v/>
      </c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20"/>
    </row>
    <row r="112" spans="2:154">
      <c r="B112" s="1"/>
      <c r="C112" s="2"/>
      <c r="D112" s="34"/>
      <c r="E112" s="34"/>
      <c r="F112" s="34"/>
      <c r="G112" s="34"/>
      <c r="H112" s="4"/>
      <c r="I112" s="4"/>
      <c r="J112" s="4"/>
      <c r="K112" s="3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37"/>
      <c r="X112" s="1"/>
      <c r="Y112" s="18">
        <f t="shared" si="46"/>
        <v>0</v>
      </c>
      <c r="Z112" s="21">
        <f t="shared" si="47"/>
        <v>0</v>
      </c>
      <c r="AA112" s="10">
        <f t="shared" si="48"/>
        <v>0</v>
      </c>
      <c r="AB112" s="10">
        <f t="shared" si="49"/>
        <v>0</v>
      </c>
      <c r="AC112" s="10">
        <f t="shared" si="50"/>
        <v>0</v>
      </c>
      <c r="AD112" s="46" t="str">
        <f t="shared" si="51"/>
        <v/>
      </c>
      <c r="AE112" s="46" t="str">
        <f t="shared" si="52"/>
        <v/>
      </c>
      <c r="AF112" s="46" t="str">
        <f t="shared" si="53"/>
        <v/>
      </c>
      <c r="AG112" s="46" t="str">
        <f t="shared" si="54"/>
        <v/>
      </c>
      <c r="AH112" s="46" t="str">
        <f t="shared" si="55"/>
        <v/>
      </c>
      <c r="AI112" s="46" t="str">
        <f t="shared" si="56"/>
        <v/>
      </c>
      <c r="AJ112" s="46" t="str">
        <f t="shared" si="57"/>
        <v/>
      </c>
      <c r="AK112" s="46" t="str">
        <f t="shared" si="58"/>
        <v/>
      </c>
      <c r="AL112" s="46" t="str">
        <f t="shared" si="59"/>
        <v/>
      </c>
      <c r="AM112" s="46" t="str">
        <f t="shared" si="60"/>
        <v/>
      </c>
      <c r="AN112" s="46" t="str">
        <f t="shared" si="61"/>
        <v/>
      </c>
      <c r="AO112" s="46" t="str">
        <f t="shared" si="62"/>
        <v/>
      </c>
      <c r="AP112" s="46" t="str">
        <f t="shared" si="63"/>
        <v/>
      </c>
      <c r="AQ112" s="46" t="str">
        <f t="shared" si="64"/>
        <v/>
      </c>
      <c r="AR112" s="46" t="str">
        <f t="shared" si="65"/>
        <v/>
      </c>
      <c r="AS112" s="46" t="str">
        <f t="shared" si="66"/>
        <v/>
      </c>
      <c r="AT112" s="46" t="str">
        <f t="shared" si="67"/>
        <v/>
      </c>
      <c r="AU112" s="46" t="str">
        <f t="shared" si="68"/>
        <v/>
      </c>
      <c r="AV112" s="46" t="str">
        <f t="shared" si="69"/>
        <v/>
      </c>
      <c r="AW112" s="46" t="str">
        <f t="shared" si="70"/>
        <v/>
      </c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20"/>
    </row>
    <row r="113" spans="2:154">
      <c r="B113" s="1"/>
      <c r="C113" s="2"/>
      <c r="D113" s="34"/>
      <c r="E113" s="34"/>
      <c r="F113" s="34"/>
      <c r="G113" s="34"/>
      <c r="H113" s="4"/>
      <c r="I113" s="4"/>
      <c r="J113" s="4"/>
      <c r="K113" s="3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37"/>
      <c r="X113" s="1"/>
      <c r="Y113" s="18">
        <f t="shared" si="46"/>
        <v>0</v>
      </c>
      <c r="Z113" s="21">
        <f t="shared" si="47"/>
        <v>0</v>
      </c>
      <c r="AA113" s="10">
        <f t="shared" si="48"/>
        <v>0</v>
      </c>
      <c r="AB113" s="10">
        <f t="shared" si="49"/>
        <v>0</v>
      </c>
      <c r="AC113" s="10">
        <f t="shared" si="50"/>
        <v>0</v>
      </c>
      <c r="AD113" s="46" t="str">
        <f t="shared" si="51"/>
        <v/>
      </c>
      <c r="AE113" s="46" t="str">
        <f t="shared" si="52"/>
        <v/>
      </c>
      <c r="AF113" s="46" t="str">
        <f t="shared" si="53"/>
        <v/>
      </c>
      <c r="AG113" s="46" t="str">
        <f t="shared" si="54"/>
        <v/>
      </c>
      <c r="AH113" s="46" t="str">
        <f t="shared" si="55"/>
        <v/>
      </c>
      <c r="AI113" s="46" t="str">
        <f t="shared" si="56"/>
        <v/>
      </c>
      <c r="AJ113" s="46" t="str">
        <f t="shared" si="57"/>
        <v/>
      </c>
      <c r="AK113" s="46" t="str">
        <f t="shared" si="58"/>
        <v/>
      </c>
      <c r="AL113" s="46" t="str">
        <f t="shared" si="59"/>
        <v/>
      </c>
      <c r="AM113" s="46" t="str">
        <f t="shared" si="60"/>
        <v/>
      </c>
      <c r="AN113" s="46" t="str">
        <f t="shared" si="61"/>
        <v/>
      </c>
      <c r="AO113" s="46" t="str">
        <f t="shared" si="62"/>
        <v/>
      </c>
      <c r="AP113" s="46" t="str">
        <f t="shared" si="63"/>
        <v/>
      </c>
      <c r="AQ113" s="46" t="str">
        <f t="shared" si="64"/>
        <v/>
      </c>
      <c r="AR113" s="46" t="str">
        <f t="shared" si="65"/>
        <v/>
      </c>
      <c r="AS113" s="46" t="str">
        <f t="shared" si="66"/>
        <v/>
      </c>
      <c r="AT113" s="46" t="str">
        <f t="shared" si="67"/>
        <v/>
      </c>
      <c r="AU113" s="46" t="str">
        <f t="shared" si="68"/>
        <v/>
      </c>
      <c r="AV113" s="46" t="str">
        <f t="shared" si="69"/>
        <v/>
      </c>
      <c r="AW113" s="46" t="str">
        <f t="shared" si="70"/>
        <v/>
      </c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20"/>
    </row>
    <row r="114" spans="2:154">
      <c r="B114" s="1"/>
      <c r="C114" s="2"/>
      <c r="D114" s="34"/>
      <c r="E114" s="34"/>
      <c r="F114" s="34"/>
      <c r="G114" s="34"/>
      <c r="H114" s="4"/>
      <c r="I114" s="4"/>
      <c r="J114" s="4"/>
      <c r="K114" s="3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37"/>
      <c r="X114" s="1"/>
      <c r="Y114" s="18">
        <f t="shared" si="46"/>
        <v>0</v>
      </c>
      <c r="Z114" s="21">
        <f t="shared" si="47"/>
        <v>0</v>
      </c>
      <c r="AA114" s="10">
        <f t="shared" si="48"/>
        <v>0</v>
      </c>
      <c r="AB114" s="10">
        <f t="shared" si="49"/>
        <v>0</v>
      </c>
      <c r="AC114" s="10">
        <f t="shared" si="50"/>
        <v>0</v>
      </c>
      <c r="AD114" s="46" t="str">
        <f t="shared" si="51"/>
        <v/>
      </c>
      <c r="AE114" s="46" t="str">
        <f t="shared" si="52"/>
        <v/>
      </c>
      <c r="AF114" s="46" t="str">
        <f t="shared" si="53"/>
        <v/>
      </c>
      <c r="AG114" s="46" t="str">
        <f t="shared" si="54"/>
        <v/>
      </c>
      <c r="AH114" s="46" t="str">
        <f t="shared" si="55"/>
        <v/>
      </c>
      <c r="AI114" s="46" t="str">
        <f t="shared" si="56"/>
        <v/>
      </c>
      <c r="AJ114" s="46" t="str">
        <f t="shared" si="57"/>
        <v/>
      </c>
      <c r="AK114" s="46" t="str">
        <f t="shared" si="58"/>
        <v/>
      </c>
      <c r="AL114" s="46" t="str">
        <f t="shared" si="59"/>
        <v/>
      </c>
      <c r="AM114" s="46" t="str">
        <f t="shared" si="60"/>
        <v/>
      </c>
      <c r="AN114" s="46" t="str">
        <f t="shared" si="61"/>
        <v/>
      </c>
      <c r="AO114" s="46" t="str">
        <f t="shared" si="62"/>
        <v/>
      </c>
      <c r="AP114" s="46" t="str">
        <f t="shared" si="63"/>
        <v/>
      </c>
      <c r="AQ114" s="46" t="str">
        <f t="shared" si="64"/>
        <v/>
      </c>
      <c r="AR114" s="46" t="str">
        <f t="shared" si="65"/>
        <v/>
      </c>
      <c r="AS114" s="46" t="str">
        <f t="shared" si="66"/>
        <v/>
      </c>
      <c r="AT114" s="46" t="str">
        <f t="shared" si="67"/>
        <v/>
      </c>
      <c r="AU114" s="46" t="str">
        <f t="shared" si="68"/>
        <v/>
      </c>
      <c r="AV114" s="46" t="str">
        <f t="shared" si="69"/>
        <v/>
      </c>
      <c r="AW114" s="46" t="str">
        <f t="shared" si="70"/>
        <v/>
      </c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20"/>
    </row>
    <row r="115" spans="2:154">
      <c r="B115" s="1"/>
      <c r="C115" s="2"/>
      <c r="D115" s="34"/>
      <c r="E115" s="34"/>
      <c r="F115" s="34"/>
      <c r="G115" s="34"/>
      <c r="H115" s="4"/>
      <c r="I115" s="4"/>
      <c r="J115" s="4"/>
      <c r="K115" s="3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37"/>
      <c r="X115" s="1"/>
      <c r="Y115" s="18">
        <f t="shared" si="46"/>
        <v>0</v>
      </c>
      <c r="Z115" s="21">
        <f t="shared" si="47"/>
        <v>0</v>
      </c>
      <c r="AA115" s="10">
        <f t="shared" si="48"/>
        <v>0</v>
      </c>
      <c r="AB115" s="10">
        <f t="shared" si="49"/>
        <v>0</v>
      </c>
      <c r="AC115" s="10">
        <f t="shared" si="50"/>
        <v>0</v>
      </c>
      <c r="AD115" s="46" t="str">
        <f t="shared" si="51"/>
        <v/>
      </c>
      <c r="AE115" s="46" t="str">
        <f t="shared" si="52"/>
        <v/>
      </c>
      <c r="AF115" s="46" t="str">
        <f t="shared" si="53"/>
        <v/>
      </c>
      <c r="AG115" s="46" t="str">
        <f t="shared" si="54"/>
        <v/>
      </c>
      <c r="AH115" s="46" t="str">
        <f t="shared" si="55"/>
        <v/>
      </c>
      <c r="AI115" s="46" t="str">
        <f t="shared" si="56"/>
        <v/>
      </c>
      <c r="AJ115" s="46" t="str">
        <f t="shared" si="57"/>
        <v/>
      </c>
      <c r="AK115" s="46" t="str">
        <f t="shared" si="58"/>
        <v/>
      </c>
      <c r="AL115" s="46" t="str">
        <f t="shared" si="59"/>
        <v/>
      </c>
      <c r="AM115" s="46" t="str">
        <f t="shared" si="60"/>
        <v/>
      </c>
      <c r="AN115" s="46" t="str">
        <f t="shared" si="61"/>
        <v/>
      </c>
      <c r="AO115" s="46" t="str">
        <f t="shared" si="62"/>
        <v/>
      </c>
      <c r="AP115" s="46" t="str">
        <f t="shared" si="63"/>
        <v/>
      </c>
      <c r="AQ115" s="46" t="str">
        <f t="shared" si="64"/>
        <v/>
      </c>
      <c r="AR115" s="46" t="str">
        <f t="shared" si="65"/>
        <v/>
      </c>
      <c r="AS115" s="46" t="str">
        <f t="shared" si="66"/>
        <v/>
      </c>
      <c r="AT115" s="46" t="str">
        <f t="shared" si="67"/>
        <v/>
      </c>
      <c r="AU115" s="46" t="str">
        <f t="shared" si="68"/>
        <v/>
      </c>
      <c r="AV115" s="46" t="str">
        <f t="shared" si="69"/>
        <v/>
      </c>
      <c r="AW115" s="46" t="str">
        <f t="shared" si="70"/>
        <v/>
      </c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20"/>
    </row>
    <row r="116" spans="2:154">
      <c r="B116" s="1"/>
      <c r="C116" s="2"/>
      <c r="D116" s="34"/>
      <c r="E116" s="34"/>
      <c r="F116" s="34"/>
      <c r="G116" s="34"/>
      <c r="H116" s="4"/>
      <c r="I116" s="4"/>
      <c r="J116" s="4"/>
      <c r="K116" s="3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37"/>
      <c r="X116" s="1"/>
      <c r="Y116" s="18">
        <f t="shared" si="46"/>
        <v>0</v>
      </c>
      <c r="Z116" s="21">
        <f t="shared" si="47"/>
        <v>0</v>
      </c>
      <c r="AA116" s="10">
        <f t="shared" si="48"/>
        <v>0</v>
      </c>
      <c r="AB116" s="10">
        <f t="shared" si="49"/>
        <v>0</v>
      </c>
      <c r="AC116" s="10">
        <f t="shared" si="50"/>
        <v>0</v>
      </c>
      <c r="AD116" s="46" t="str">
        <f t="shared" si="51"/>
        <v/>
      </c>
      <c r="AE116" s="46" t="str">
        <f t="shared" si="52"/>
        <v/>
      </c>
      <c r="AF116" s="46" t="str">
        <f t="shared" si="53"/>
        <v/>
      </c>
      <c r="AG116" s="46" t="str">
        <f t="shared" si="54"/>
        <v/>
      </c>
      <c r="AH116" s="46" t="str">
        <f t="shared" si="55"/>
        <v/>
      </c>
      <c r="AI116" s="46" t="str">
        <f t="shared" si="56"/>
        <v/>
      </c>
      <c r="AJ116" s="46" t="str">
        <f t="shared" si="57"/>
        <v/>
      </c>
      <c r="AK116" s="46" t="str">
        <f t="shared" si="58"/>
        <v/>
      </c>
      <c r="AL116" s="46" t="str">
        <f t="shared" si="59"/>
        <v/>
      </c>
      <c r="AM116" s="46" t="str">
        <f t="shared" si="60"/>
        <v/>
      </c>
      <c r="AN116" s="46" t="str">
        <f t="shared" si="61"/>
        <v/>
      </c>
      <c r="AO116" s="46" t="str">
        <f t="shared" si="62"/>
        <v/>
      </c>
      <c r="AP116" s="46" t="str">
        <f t="shared" si="63"/>
        <v/>
      </c>
      <c r="AQ116" s="46" t="str">
        <f t="shared" si="64"/>
        <v/>
      </c>
      <c r="AR116" s="46" t="str">
        <f t="shared" si="65"/>
        <v/>
      </c>
      <c r="AS116" s="46" t="str">
        <f t="shared" si="66"/>
        <v/>
      </c>
      <c r="AT116" s="46" t="str">
        <f t="shared" si="67"/>
        <v/>
      </c>
      <c r="AU116" s="46" t="str">
        <f t="shared" si="68"/>
        <v/>
      </c>
      <c r="AV116" s="46" t="str">
        <f t="shared" si="69"/>
        <v/>
      </c>
      <c r="AW116" s="46" t="str">
        <f t="shared" si="70"/>
        <v/>
      </c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20"/>
    </row>
    <row r="117" spans="2:154">
      <c r="B117" s="1"/>
      <c r="C117" s="2"/>
      <c r="D117" s="34"/>
      <c r="E117" s="34"/>
      <c r="F117" s="34"/>
      <c r="G117" s="34"/>
      <c r="H117" s="4"/>
      <c r="I117" s="4"/>
      <c r="J117" s="4"/>
      <c r="K117" s="3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37"/>
      <c r="X117" s="1"/>
      <c r="Y117" s="18">
        <f t="shared" si="46"/>
        <v>0</v>
      </c>
      <c r="Z117" s="21">
        <f t="shared" si="47"/>
        <v>0</v>
      </c>
      <c r="AA117" s="10">
        <f t="shared" si="48"/>
        <v>0</v>
      </c>
      <c r="AB117" s="10">
        <f t="shared" si="49"/>
        <v>0</v>
      </c>
      <c r="AC117" s="10">
        <f t="shared" si="50"/>
        <v>0</v>
      </c>
      <c r="AD117" s="46" t="str">
        <f t="shared" si="51"/>
        <v/>
      </c>
      <c r="AE117" s="46" t="str">
        <f t="shared" si="52"/>
        <v/>
      </c>
      <c r="AF117" s="46" t="str">
        <f t="shared" si="53"/>
        <v/>
      </c>
      <c r="AG117" s="46" t="str">
        <f t="shared" si="54"/>
        <v/>
      </c>
      <c r="AH117" s="46" t="str">
        <f t="shared" si="55"/>
        <v/>
      </c>
      <c r="AI117" s="46" t="str">
        <f t="shared" si="56"/>
        <v/>
      </c>
      <c r="AJ117" s="46" t="str">
        <f t="shared" si="57"/>
        <v/>
      </c>
      <c r="AK117" s="46" t="str">
        <f t="shared" si="58"/>
        <v/>
      </c>
      <c r="AL117" s="46" t="str">
        <f t="shared" si="59"/>
        <v/>
      </c>
      <c r="AM117" s="46" t="str">
        <f t="shared" si="60"/>
        <v/>
      </c>
      <c r="AN117" s="46" t="str">
        <f t="shared" si="61"/>
        <v/>
      </c>
      <c r="AO117" s="46" t="str">
        <f t="shared" si="62"/>
        <v/>
      </c>
      <c r="AP117" s="46" t="str">
        <f t="shared" si="63"/>
        <v/>
      </c>
      <c r="AQ117" s="46" t="str">
        <f t="shared" si="64"/>
        <v/>
      </c>
      <c r="AR117" s="46" t="str">
        <f t="shared" si="65"/>
        <v/>
      </c>
      <c r="AS117" s="46" t="str">
        <f t="shared" si="66"/>
        <v/>
      </c>
      <c r="AT117" s="46" t="str">
        <f t="shared" si="67"/>
        <v/>
      </c>
      <c r="AU117" s="46" t="str">
        <f t="shared" si="68"/>
        <v/>
      </c>
      <c r="AV117" s="46" t="str">
        <f t="shared" si="69"/>
        <v/>
      </c>
      <c r="AW117" s="46" t="str">
        <f t="shared" si="70"/>
        <v/>
      </c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20"/>
    </row>
    <row r="118" spans="2:154">
      <c r="B118" s="1"/>
      <c r="C118" s="2"/>
      <c r="D118" s="34"/>
      <c r="E118" s="34"/>
      <c r="F118" s="34"/>
      <c r="G118" s="34"/>
      <c r="H118" s="4"/>
      <c r="I118" s="4"/>
      <c r="J118" s="4"/>
      <c r="K118" s="3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37"/>
      <c r="X118" s="1"/>
      <c r="Y118" s="18">
        <f t="shared" si="46"/>
        <v>0</v>
      </c>
      <c r="Z118" s="21">
        <f t="shared" si="47"/>
        <v>0</v>
      </c>
      <c r="AA118" s="10">
        <f t="shared" si="48"/>
        <v>0</v>
      </c>
      <c r="AB118" s="10">
        <f t="shared" si="49"/>
        <v>0</v>
      </c>
      <c r="AC118" s="10">
        <f t="shared" si="50"/>
        <v>0</v>
      </c>
      <c r="AD118" s="46" t="str">
        <f t="shared" si="51"/>
        <v/>
      </c>
      <c r="AE118" s="46" t="str">
        <f t="shared" si="52"/>
        <v/>
      </c>
      <c r="AF118" s="46" t="str">
        <f t="shared" si="53"/>
        <v/>
      </c>
      <c r="AG118" s="46" t="str">
        <f t="shared" si="54"/>
        <v/>
      </c>
      <c r="AH118" s="46" t="str">
        <f t="shared" si="55"/>
        <v/>
      </c>
      <c r="AI118" s="46" t="str">
        <f t="shared" si="56"/>
        <v/>
      </c>
      <c r="AJ118" s="46" t="str">
        <f t="shared" si="57"/>
        <v/>
      </c>
      <c r="AK118" s="46" t="str">
        <f t="shared" si="58"/>
        <v/>
      </c>
      <c r="AL118" s="46" t="str">
        <f t="shared" si="59"/>
        <v/>
      </c>
      <c r="AM118" s="46" t="str">
        <f t="shared" si="60"/>
        <v/>
      </c>
      <c r="AN118" s="46" t="str">
        <f t="shared" si="61"/>
        <v/>
      </c>
      <c r="AO118" s="46" t="str">
        <f t="shared" si="62"/>
        <v/>
      </c>
      <c r="AP118" s="46" t="str">
        <f t="shared" si="63"/>
        <v/>
      </c>
      <c r="AQ118" s="46" t="str">
        <f t="shared" si="64"/>
        <v/>
      </c>
      <c r="AR118" s="46" t="str">
        <f t="shared" si="65"/>
        <v/>
      </c>
      <c r="AS118" s="46" t="str">
        <f t="shared" si="66"/>
        <v/>
      </c>
      <c r="AT118" s="46" t="str">
        <f t="shared" si="67"/>
        <v/>
      </c>
      <c r="AU118" s="46" t="str">
        <f t="shared" si="68"/>
        <v/>
      </c>
      <c r="AV118" s="46" t="str">
        <f t="shared" si="69"/>
        <v/>
      </c>
      <c r="AW118" s="46" t="str">
        <f t="shared" si="70"/>
        <v/>
      </c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20"/>
    </row>
    <row r="119" spans="2:154">
      <c r="B119" s="1"/>
      <c r="C119" s="2"/>
      <c r="D119" s="34"/>
      <c r="E119" s="34"/>
      <c r="F119" s="34"/>
      <c r="G119" s="34"/>
      <c r="H119" s="4"/>
      <c r="I119" s="4"/>
      <c r="J119" s="4"/>
      <c r="K119" s="3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37"/>
      <c r="X119" s="1"/>
      <c r="Y119" s="18">
        <f t="shared" si="46"/>
        <v>0</v>
      </c>
      <c r="Z119" s="21">
        <f t="shared" si="47"/>
        <v>0</v>
      </c>
      <c r="AA119" s="10">
        <f t="shared" si="48"/>
        <v>0</v>
      </c>
      <c r="AB119" s="10">
        <f t="shared" si="49"/>
        <v>0</v>
      </c>
      <c r="AC119" s="10">
        <f t="shared" si="50"/>
        <v>0</v>
      </c>
      <c r="AD119" s="46" t="str">
        <f t="shared" si="51"/>
        <v/>
      </c>
      <c r="AE119" s="46" t="str">
        <f t="shared" si="52"/>
        <v/>
      </c>
      <c r="AF119" s="46" t="str">
        <f t="shared" si="53"/>
        <v/>
      </c>
      <c r="AG119" s="46" t="str">
        <f t="shared" si="54"/>
        <v/>
      </c>
      <c r="AH119" s="46" t="str">
        <f t="shared" si="55"/>
        <v/>
      </c>
      <c r="AI119" s="46" t="str">
        <f t="shared" si="56"/>
        <v/>
      </c>
      <c r="AJ119" s="46" t="str">
        <f t="shared" si="57"/>
        <v/>
      </c>
      <c r="AK119" s="46" t="str">
        <f t="shared" si="58"/>
        <v/>
      </c>
      <c r="AL119" s="46" t="str">
        <f t="shared" si="59"/>
        <v/>
      </c>
      <c r="AM119" s="46" t="str">
        <f t="shared" si="60"/>
        <v/>
      </c>
      <c r="AN119" s="46" t="str">
        <f t="shared" si="61"/>
        <v/>
      </c>
      <c r="AO119" s="46" t="str">
        <f t="shared" si="62"/>
        <v/>
      </c>
      <c r="AP119" s="46" t="str">
        <f t="shared" si="63"/>
        <v/>
      </c>
      <c r="AQ119" s="46" t="str">
        <f t="shared" si="64"/>
        <v/>
      </c>
      <c r="AR119" s="46" t="str">
        <f t="shared" si="65"/>
        <v/>
      </c>
      <c r="AS119" s="46" t="str">
        <f t="shared" si="66"/>
        <v/>
      </c>
      <c r="AT119" s="46" t="str">
        <f t="shared" si="67"/>
        <v/>
      </c>
      <c r="AU119" s="46" t="str">
        <f t="shared" si="68"/>
        <v/>
      </c>
      <c r="AV119" s="46" t="str">
        <f t="shared" si="69"/>
        <v/>
      </c>
      <c r="AW119" s="46" t="str">
        <f t="shared" si="70"/>
        <v/>
      </c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20"/>
    </row>
    <row r="120" spans="2:154">
      <c r="B120" s="1"/>
      <c r="C120" s="2"/>
      <c r="D120" s="34"/>
      <c r="E120" s="34"/>
      <c r="F120" s="34"/>
      <c r="G120" s="34"/>
      <c r="H120" s="4"/>
      <c r="I120" s="4"/>
      <c r="J120" s="4"/>
      <c r="K120" s="3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37"/>
      <c r="X120" s="1"/>
      <c r="Y120" s="18">
        <f t="shared" si="46"/>
        <v>0</v>
      </c>
      <c r="Z120" s="21">
        <f t="shared" si="47"/>
        <v>0</v>
      </c>
      <c r="AA120" s="10">
        <f t="shared" si="48"/>
        <v>0</v>
      </c>
      <c r="AB120" s="10">
        <f t="shared" si="49"/>
        <v>0</v>
      </c>
      <c r="AC120" s="10">
        <f t="shared" si="50"/>
        <v>0</v>
      </c>
      <c r="AD120" s="46" t="str">
        <f t="shared" si="51"/>
        <v/>
      </c>
      <c r="AE120" s="46" t="str">
        <f t="shared" si="52"/>
        <v/>
      </c>
      <c r="AF120" s="46" t="str">
        <f t="shared" si="53"/>
        <v/>
      </c>
      <c r="AG120" s="46" t="str">
        <f t="shared" si="54"/>
        <v/>
      </c>
      <c r="AH120" s="46" t="str">
        <f t="shared" si="55"/>
        <v/>
      </c>
      <c r="AI120" s="46" t="str">
        <f t="shared" si="56"/>
        <v/>
      </c>
      <c r="AJ120" s="46" t="str">
        <f t="shared" si="57"/>
        <v/>
      </c>
      <c r="AK120" s="46" t="str">
        <f t="shared" si="58"/>
        <v/>
      </c>
      <c r="AL120" s="46" t="str">
        <f t="shared" si="59"/>
        <v/>
      </c>
      <c r="AM120" s="46" t="str">
        <f t="shared" si="60"/>
        <v/>
      </c>
      <c r="AN120" s="46" t="str">
        <f t="shared" si="61"/>
        <v/>
      </c>
      <c r="AO120" s="46" t="str">
        <f t="shared" si="62"/>
        <v/>
      </c>
      <c r="AP120" s="46" t="str">
        <f t="shared" si="63"/>
        <v/>
      </c>
      <c r="AQ120" s="46" t="str">
        <f t="shared" si="64"/>
        <v/>
      </c>
      <c r="AR120" s="46" t="str">
        <f t="shared" si="65"/>
        <v/>
      </c>
      <c r="AS120" s="46" t="str">
        <f t="shared" si="66"/>
        <v/>
      </c>
      <c r="AT120" s="46" t="str">
        <f t="shared" si="67"/>
        <v/>
      </c>
      <c r="AU120" s="46" t="str">
        <f t="shared" si="68"/>
        <v/>
      </c>
      <c r="AV120" s="46" t="str">
        <f t="shared" si="69"/>
        <v/>
      </c>
      <c r="AW120" s="46" t="str">
        <f t="shared" si="70"/>
        <v/>
      </c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20"/>
    </row>
    <row r="121" spans="2:154">
      <c r="B121" s="1"/>
      <c r="C121" s="2"/>
      <c r="D121" s="34"/>
      <c r="E121" s="34"/>
      <c r="F121" s="34"/>
      <c r="G121" s="34"/>
      <c r="H121" s="4"/>
      <c r="I121" s="4"/>
      <c r="J121" s="4"/>
      <c r="K121" s="3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37"/>
      <c r="X121" s="1"/>
      <c r="Y121" s="18">
        <f t="shared" si="46"/>
        <v>0</v>
      </c>
      <c r="Z121" s="21">
        <f t="shared" si="47"/>
        <v>0</v>
      </c>
      <c r="AA121" s="10">
        <f t="shared" si="48"/>
        <v>0</v>
      </c>
      <c r="AB121" s="10">
        <f t="shared" si="49"/>
        <v>0</v>
      </c>
      <c r="AC121" s="10">
        <f t="shared" si="50"/>
        <v>0</v>
      </c>
      <c r="AD121" s="46" t="str">
        <f t="shared" si="51"/>
        <v/>
      </c>
      <c r="AE121" s="46" t="str">
        <f t="shared" si="52"/>
        <v/>
      </c>
      <c r="AF121" s="46" t="str">
        <f t="shared" si="53"/>
        <v/>
      </c>
      <c r="AG121" s="46" t="str">
        <f t="shared" si="54"/>
        <v/>
      </c>
      <c r="AH121" s="46" t="str">
        <f t="shared" si="55"/>
        <v/>
      </c>
      <c r="AI121" s="46" t="str">
        <f t="shared" si="56"/>
        <v/>
      </c>
      <c r="AJ121" s="46" t="str">
        <f t="shared" si="57"/>
        <v/>
      </c>
      <c r="AK121" s="46" t="str">
        <f t="shared" si="58"/>
        <v/>
      </c>
      <c r="AL121" s="46" t="str">
        <f t="shared" si="59"/>
        <v/>
      </c>
      <c r="AM121" s="46" t="str">
        <f t="shared" si="60"/>
        <v/>
      </c>
      <c r="AN121" s="46" t="str">
        <f t="shared" si="61"/>
        <v/>
      </c>
      <c r="AO121" s="46" t="str">
        <f t="shared" si="62"/>
        <v/>
      </c>
      <c r="AP121" s="46" t="str">
        <f t="shared" si="63"/>
        <v/>
      </c>
      <c r="AQ121" s="46" t="str">
        <f t="shared" si="64"/>
        <v/>
      </c>
      <c r="AR121" s="46" t="str">
        <f t="shared" si="65"/>
        <v/>
      </c>
      <c r="AS121" s="46" t="str">
        <f t="shared" si="66"/>
        <v/>
      </c>
      <c r="AT121" s="46" t="str">
        <f t="shared" si="67"/>
        <v/>
      </c>
      <c r="AU121" s="46" t="str">
        <f t="shared" si="68"/>
        <v/>
      </c>
      <c r="AV121" s="46" t="str">
        <f t="shared" si="69"/>
        <v/>
      </c>
      <c r="AW121" s="46" t="str">
        <f t="shared" si="70"/>
        <v/>
      </c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20"/>
    </row>
    <row r="122" spans="2:154">
      <c r="B122" s="1"/>
      <c r="C122" s="2"/>
      <c r="D122" s="34"/>
      <c r="E122" s="34"/>
      <c r="F122" s="34"/>
      <c r="G122" s="34"/>
      <c r="H122" s="4"/>
      <c r="I122" s="4"/>
      <c r="J122" s="4"/>
      <c r="K122" s="3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37"/>
      <c r="X122" s="1"/>
      <c r="Y122" s="18">
        <f t="shared" si="46"/>
        <v>0</v>
      </c>
      <c r="Z122" s="21">
        <f t="shared" si="47"/>
        <v>0</v>
      </c>
      <c r="AA122" s="10">
        <f t="shared" si="48"/>
        <v>0</v>
      </c>
      <c r="AB122" s="10">
        <f t="shared" si="49"/>
        <v>0</v>
      </c>
      <c r="AC122" s="10">
        <f t="shared" si="50"/>
        <v>0</v>
      </c>
      <c r="AD122" s="46" t="str">
        <f t="shared" si="51"/>
        <v/>
      </c>
      <c r="AE122" s="46" t="str">
        <f t="shared" si="52"/>
        <v/>
      </c>
      <c r="AF122" s="46" t="str">
        <f t="shared" si="53"/>
        <v/>
      </c>
      <c r="AG122" s="46" t="str">
        <f t="shared" si="54"/>
        <v/>
      </c>
      <c r="AH122" s="46" t="str">
        <f t="shared" si="55"/>
        <v/>
      </c>
      <c r="AI122" s="46" t="str">
        <f t="shared" si="56"/>
        <v/>
      </c>
      <c r="AJ122" s="46" t="str">
        <f t="shared" si="57"/>
        <v/>
      </c>
      <c r="AK122" s="46" t="str">
        <f t="shared" si="58"/>
        <v/>
      </c>
      <c r="AL122" s="46" t="str">
        <f t="shared" si="59"/>
        <v/>
      </c>
      <c r="AM122" s="46" t="str">
        <f t="shared" si="60"/>
        <v/>
      </c>
      <c r="AN122" s="46" t="str">
        <f t="shared" si="61"/>
        <v/>
      </c>
      <c r="AO122" s="46" t="str">
        <f t="shared" si="62"/>
        <v/>
      </c>
      <c r="AP122" s="46" t="str">
        <f t="shared" si="63"/>
        <v/>
      </c>
      <c r="AQ122" s="46" t="str">
        <f t="shared" si="64"/>
        <v/>
      </c>
      <c r="AR122" s="46" t="str">
        <f t="shared" si="65"/>
        <v/>
      </c>
      <c r="AS122" s="46" t="str">
        <f t="shared" si="66"/>
        <v/>
      </c>
      <c r="AT122" s="46" t="str">
        <f t="shared" si="67"/>
        <v/>
      </c>
      <c r="AU122" s="46" t="str">
        <f t="shared" si="68"/>
        <v/>
      </c>
      <c r="AV122" s="46" t="str">
        <f t="shared" si="69"/>
        <v/>
      </c>
      <c r="AW122" s="46" t="str">
        <f t="shared" si="70"/>
        <v/>
      </c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20"/>
    </row>
    <row r="123" spans="2:154">
      <c r="B123" s="1"/>
      <c r="C123" s="2"/>
      <c r="D123" s="34"/>
      <c r="E123" s="34"/>
      <c r="F123" s="34"/>
      <c r="G123" s="34"/>
      <c r="H123" s="4"/>
      <c r="I123" s="4"/>
      <c r="J123" s="4"/>
      <c r="K123" s="3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37"/>
      <c r="X123" s="1"/>
      <c r="Y123" s="18">
        <f t="shared" si="46"/>
        <v>0</v>
      </c>
      <c r="Z123" s="21">
        <f t="shared" si="47"/>
        <v>0</v>
      </c>
      <c r="AA123" s="10">
        <f t="shared" si="48"/>
        <v>0</v>
      </c>
      <c r="AB123" s="10">
        <f t="shared" si="49"/>
        <v>0</v>
      </c>
      <c r="AC123" s="10">
        <f t="shared" si="50"/>
        <v>0</v>
      </c>
      <c r="AD123" s="46" t="str">
        <f t="shared" si="51"/>
        <v/>
      </c>
      <c r="AE123" s="46" t="str">
        <f t="shared" si="52"/>
        <v/>
      </c>
      <c r="AF123" s="46" t="str">
        <f t="shared" si="53"/>
        <v/>
      </c>
      <c r="AG123" s="46" t="str">
        <f t="shared" si="54"/>
        <v/>
      </c>
      <c r="AH123" s="46" t="str">
        <f t="shared" si="55"/>
        <v/>
      </c>
      <c r="AI123" s="46" t="str">
        <f t="shared" si="56"/>
        <v/>
      </c>
      <c r="AJ123" s="46" t="str">
        <f t="shared" si="57"/>
        <v/>
      </c>
      <c r="AK123" s="46" t="str">
        <f t="shared" si="58"/>
        <v/>
      </c>
      <c r="AL123" s="46" t="str">
        <f t="shared" si="59"/>
        <v/>
      </c>
      <c r="AM123" s="46" t="str">
        <f t="shared" si="60"/>
        <v/>
      </c>
      <c r="AN123" s="46" t="str">
        <f t="shared" si="61"/>
        <v/>
      </c>
      <c r="AO123" s="46" t="str">
        <f t="shared" si="62"/>
        <v/>
      </c>
      <c r="AP123" s="46" t="str">
        <f t="shared" si="63"/>
        <v/>
      </c>
      <c r="AQ123" s="46" t="str">
        <f t="shared" si="64"/>
        <v/>
      </c>
      <c r="AR123" s="46" t="str">
        <f t="shared" si="65"/>
        <v/>
      </c>
      <c r="AS123" s="46" t="str">
        <f t="shared" si="66"/>
        <v/>
      </c>
      <c r="AT123" s="46" t="str">
        <f t="shared" si="67"/>
        <v/>
      </c>
      <c r="AU123" s="46" t="str">
        <f t="shared" si="68"/>
        <v/>
      </c>
      <c r="AV123" s="46" t="str">
        <f t="shared" si="69"/>
        <v/>
      </c>
      <c r="AW123" s="46" t="str">
        <f t="shared" si="70"/>
        <v/>
      </c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20"/>
    </row>
    <row r="124" spans="2:154">
      <c r="B124" s="1"/>
      <c r="C124" s="2"/>
      <c r="D124" s="34"/>
      <c r="E124" s="34"/>
      <c r="F124" s="34"/>
      <c r="G124" s="34"/>
      <c r="H124" s="4"/>
      <c r="I124" s="4"/>
      <c r="J124" s="4"/>
      <c r="K124" s="3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37"/>
      <c r="X124" s="1"/>
      <c r="Y124" s="18">
        <f t="shared" si="46"/>
        <v>0</v>
      </c>
      <c r="Z124" s="21">
        <f t="shared" si="47"/>
        <v>0</v>
      </c>
      <c r="AA124" s="10">
        <f t="shared" si="48"/>
        <v>0</v>
      </c>
      <c r="AB124" s="10">
        <f t="shared" si="49"/>
        <v>0</v>
      </c>
      <c r="AC124" s="10">
        <f t="shared" si="50"/>
        <v>0</v>
      </c>
      <c r="AD124" s="46" t="str">
        <f t="shared" si="51"/>
        <v/>
      </c>
      <c r="AE124" s="46" t="str">
        <f t="shared" si="52"/>
        <v/>
      </c>
      <c r="AF124" s="46" t="str">
        <f t="shared" si="53"/>
        <v/>
      </c>
      <c r="AG124" s="46" t="str">
        <f t="shared" si="54"/>
        <v/>
      </c>
      <c r="AH124" s="46" t="str">
        <f t="shared" si="55"/>
        <v/>
      </c>
      <c r="AI124" s="46" t="str">
        <f t="shared" si="56"/>
        <v/>
      </c>
      <c r="AJ124" s="46" t="str">
        <f t="shared" si="57"/>
        <v/>
      </c>
      <c r="AK124" s="46" t="str">
        <f t="shared" si="58"/>
        <v/>
      </c>
      <c r="AL124" s="46" t="str">
        <f t="shared" si="59"/>
        <v/>
      </c>
      <c r="AM124" s="46" t="str">
        <f t="shared" si="60"/>
        <v/>
      </c>
      <c r="AN124" s="46" t="str">
        <f t="shared" si="61"/>
        <v/>
      </c>
      <c r="AO124" s="46" t="str">
        <f t="shared" si="62"/>
        <v/>
      </c>
      <c r="AP124" s="46" t="str">
        <f t="shared" si="63"/>
        <v/>
      </c>
      <c r="AQ124" s="46" t="str">
        <f t="shared" si="64"/>
        <v/>
      </c>
      <c r="AR124" s="46" t="str">
        <f t="shared" si="65"/>
        <v/>
      </c>
      <c r="AS124" s="46" t="str">
        <f t="shared" si="66"/>
        <v/>
      </c>
      <c r="AT124" s="46" t="str">
        <f t="shared" si="67"/>
        <v/>
      </c>
      <c r="AU124" s="46" t="str">
        <f t="shared" si="68"/>
        <v/>
      </c>
      <c r="AV124" s="46" t="str">
        <f t="shared" si="69"/>
        <v/>
      </c>
      <c r="AW124" s="46" t="str">
        <f t="shared" si="70"/>
        <v/>
      </c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20"/>
    </row>
    <row r="125" spans="2:154">
      <c r="B125" s="1"/>
      <c r="C125" s="2"/>
      <c r="D125" s="34"/>
      <c r="E125" s="34"/>
      <c r="F125" s="34"/>
      <c r="G125" s="34"/>
      <c r="H125" s="4"/>
      <c r="I125" s="4"/>
      <c r="J125" s="4"/>
      <c r="K125" s="3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37"/>
      <c r="X125" s="1"/>
      <c r="Y125" s="18">
        <f t="shared" si="46"/>
        <v>0</v>
      </c>
      <c r="Z125" s="21">
        <f t="shared" si="47"/>
        <v>0</v>
      </c>
      <c r="AA125" s="10">
        <f t="shared" si="48"/>
        <v>0</v>
      </c>
      <c r="AB125" s="10">
        <f t="shared" si="49"/>
        <v>0</v>
      </c>
      <c r="AC125" s="10">
        <f t="shared" si="50"/>
        <v>0</v>
      </c>
      <c r="AD125" s="46" t="str">
        <f t="shared" si="51"/>
        <v/>
      </c>
      <c r="AE125" s="46" t="str">
        <f t="shared" si="52"/>
        <v/>
      </c>
      <c r="AF125" s="46" t="str">
        <f t="shared" si="53"/>
        <v/>
      </c>
      <c r="AG125" s="46" t="str">
        <f t="shared" si="54"/>
        <v/>
      </c>
      <c r="AH125" s="46" t="str">
        <f t="shared" si="55"/>
        <v/>
      </c>
      <c r="AI125" s="46" t="str">
        <f t="shared" si="56"/>
        <v/>
      </c>
      <c r="AJ125" s="46" t="str">
        <f t="shared" si="57"/>
        <v/>
      </c>
      <c r="AK125" s="46" t="str">
        <f t="shared" si="58"/>
        <v/>
      </c>
      <c r="AL125" s="46" t="str">
        <f t="shared" si="59"/>
        <v/>
      </c>
      <c r="AM125" s="46" t="str">
        <f t="shared" si="60"/>
        <v/>
      </c>
      <c r="AN125" s="46" t="str">
        <f t="shared" si="61"/>
        <v/>
      </c>
      <c r="AO125" s="46" t="str">
        <f t="shared" si="62"/>
        <v/>
      </c>
      <c r="AP125" s="46" t="str">
        <f t="shared" si="63"/>
        <v/>
      </c>
      <c r="AQ125" s="46" t="str">
        <f t="shared" si="64"/>
        <v/>
      </c>
      <c r="AR125" s="46" t="str">
        <f t="shared" si="65"/>
        <v/>
      </c>
      <c r="AS125" s="46" t="str">
        <f t="shared" si="66"/>
        <v/>
      </c>
      <c r="AT125" s="46" t="str">
        <f t="shared" si="67"/>
        <v/>
      </c>
      <c r="AU125" s="46" t="str">
        <f t="shared" si="68"/>
        <v/>
      </c>
      <c r="AV125" s="46" t="str">
        <f t="shared" si="69"/>
        <v/>
      </c>
      <c r="AW125" s="46" t="str">
        <f t="shared" si="70"/>
        <v/>
      </c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20"/>
    </row>
    <row r="126" spans="2:154">
      <c r="B126" s="1"/>
      <c r="C126" s="2"/>
      <c r="D126" s="34"/>
      <c r="E126" s="34"/>
      <c r="F126" s="34"/>
      <c r="G126" s="34"/>
      <c r="H126" s="4"/>
      <c r="I126" s="4"/>
      <c r="J126" s="4"/>
      <c r="K126" s="3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37"/>
      <c r="X126" s="1"/>
      <c r="Y126" s="18">
        <f t="shared" si="46"/>
        <v>0</v>
      </c>
      <c r="Z126" s="21">
        <f t="shared" si="47"/>
        <v>0</v>
      </c>
      <c r="AA126" s="10">
        <f t="shared" si="48"/>
        <v>0</v>
      </c>
      <c r="AB126" s="10">
        <f t="shared" si="49"/>
        <v>0</v>
      </c>
      <c r="AC126" s="10">
        <f t="shared" si="50"/>
        <v>0</v>
      </c>
      <c r="AD126" s="46" t="str">
        <f t="shared" si="51"/>
        <v/>
      </c>
      <c r="AE126" s="46" t="str">
        <f t="shared" si="52"/>
        <v/>
      </c>
      <c r="AF126" s="46" t="str">
        <f t="shared" si="53"/>
        <v/>
      </c>
      <c r="AG126" s="46" t="str">
        <f t="shared" si="54"/>
        <v/>
      </c>
      <c r="AH126" s="46" t="str">
        <f t="shared" si="55"/>
        <v/>
      </c>
      <c r="AI126" s="46" t="str">
        <f t="shared" si="56"/>
        <v/>
      </c>
      <c r="AJ126" s="46" t="str">
        <f t="shared" si="57"/>
        <v/>
      </c>
      <c r="AK126" s="46" t="str">
        <f t="shared" si="58"/>
        <v/>
      </c>
      <c r="AL126" s="46" t="str">
        <f t="shared" si="59"/>
        <v/>
      </c>
      <c r="AM126" s="46" t="str">
        <f t="shared" si="60"/>
        <v/>
      </c>
      <c r="AN126" s="46" t="str">
        <f t="shared" si="61"/>
        <v/>
      </c>
      <c r="AO126" s="46" t="str">
        <f t="shared" si="62"/>
        <v/>
      </c>
      <c r="AP126" s="46" t="str">
        <f t="shared" si="63"/>
        <v/>
      </c>
      <c r="AQ126" s="46" t="str">
        <f t="shared" si="64"/>
        <v/>
      </c>
      <c r="AR126" s="46" t="str">
        <f t="shared" si="65"/>
        <v/>
      </c>
      <c r="AS126" s="46" t="str">
        <f t="shared" si="66"/>
        <v/>
      </c>
      <c r="AT126" s="46" t="str">
        <f t="shared" si="67"/>
        <v/>
      </c>
      <c r="AU126" s="46" t="str">
        <f t="shared" si="68"/>
        <v/>
      </c>
      <c r="AV126" s="46" t="str">
        <f t="shared" si="69"/>
        <v/>
      </c>
      <c r="AW126" s="46" t="str">
        <f t="shared" si="70"/>
        <v/>
      </c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20"/>
    </row>
    <row r="127" spans="2:154">
      <c r="B127" s="1"/>
      <c r="C127" s="2"/>
      <c r="D127" s="34"/>
      <c r="E127" s="34"/>
      <c r="F127" s="34"/>
      <c r="G127" s="34"/>
      <c r="H127" s="4"/>
      <c r="I127" s="4"/>
      <c r="J127" s="4"/>
      <c r="K127" s="3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37"/>
      <c r="X127" s="1"/>
      <c r="Y127" s="18">
        <f t="shared" si="46"/>
        <v>0</v>
      </c>
      <c r="Z127" s="21">
        <f t="shared" si="47"/>
        <v>0</v>
      </c>
      <c r="AA127" s="10">
        <f t="shared" si="48"/>
        <v>0</v>
      </c>
      <c r="AB127" s="10">
        <f t="shared" si="49"/>
        <v>0</v>
      </c>
      <c r="AC127" s="10">
        <f t="shared" si="50"/>
        <v>0</v>
      </c>
      <c r="AD127" s="46" t="str">
        <f t="shared" si="51"/>
        <v/>
      </c>
      <c r="AE127" s="46" t="str">
        <f t="shared" si="52"/>
        <v/>
      </c>
      <c r="AF127" s="46" t="str">
        <f t="shared" si="53"/>
        <v/>
      </c>
      <c r="AG127" s="46" t="str">
        <f t="shared" si="54"/>
        <v/>
      </c>
      <c r="AH127" s="46" t="str">
        <f t="shared" si="55"/>
        <v/>
      </c>
      <c r="AI127" s="46" t="str">
        <f t="shared" si="56"/>
        <v/>
      </c>
      <c r="AJ127" s="46" t="str">
        <f t="shared" si="57"/>
        <v/>
      </c>
      <c r="AK127" s="46" t="str">
        <f t="shared" si="58"/>
        <v/>
      </c>
      <c r="AL127" s="46" t="str">
        <f t="shared" si="59"/>
        <v/>
      </c>
      <c r="AM127" s="46" t="str">
        <f t="shared" si="60"/>
        <v/>
      </c>
      <c r="AN127" s="46" t="str">
        <f t="shared" si="61"/>
        <v/>
      </c>
      <c r="AO127" s="46" t="str">
        <f t="shared" si="62"/>
        <v/>
      </c>
      <c r="AP127" s="46" t="str">
        <f t="shared" si="63"/>
        <v/>
      </c>
      <c r="AQ127" s="46" t="str">
        <f t="shared" si="64"/>
        <v/>
      </c>
      <c r="AR127" s="46" t="str">
        <f t="shared" si="65"/>
        <v/>
      </c>
      <c r="AS127" s="46" t="str">
        <f t="shared" si="66"/>
        <v/>
      </c>
      <c r="AT127" s="46" t="str">
        <f t="shared" si="67"/>
        <v/>
      </c>
      <c r="AU127" s="46" t="str">
        <f t="shared" si="68"/>
        <v/>
      </c>
      <c r="AV127" s="46" t="str">
        <f t="shared" si="69"/>
        <v/>
      </c>
      <c r="AW127" s="46" t="str">
        <f t="shared" si="70"/>
        <v/>
      </c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20"/>
    </row>
    <row r="128" spans="2:154">
      <c r="B128" s="1"/>
      <c r="C128" s="2"/>
      <c r="D128" s="34"/>
      <c r="E128" s="34"/>
      <c r="F128" s="34"/>
      <c r="G128" s="34"/>
      <c r="H128" s="4"/>
      <c r="I128" s="4"/>
      <c r="J128" s="4"/>
      <c r="K128" s="3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37"/>
      <c r="X128" s="1"/>
      <c r="Y128" s="18">
        <f t="shared" si="46"/>
        <v>0</v>
      </c>
      <c r="Z128" s="21">
        <f t="shared" si="47"/>
        <v>0</v>
      </c>
      <c r="AA128" s="10">
        <f t="shared" si="48"/>
        <v>0</v>
      </c>
      <c r="AB128" s="10">
        <f t="shared" si="49"/>
        <v>0</v>
      </c>
      <c r="AC128" s="10">
        <f t="shared" si="50"/>
        <v>0</v>
      </c>
      <c r="AD128" s="46" t="str">
        <f t="shared" si="51"/>
        <v/>
      </c>
      <c r="AE128" s="46" t="str">
        <f t="shared" si="52"/>
        <v/>
      </c>
      <c r="AF128" s="46" t="str">
        <f t="shared" si="53"/>
        <v/>
      </c>
      <c r="AG128" s="46" t="str">
        <f t="shared" si="54"/>
        <v/>
      </c>
      <c r="AH128" s="46" t="str">
        <f t="shared" si="55"/>
        <v/>
      </c>
      <c r="AI128" s="46" t="str">
        <f t="shared" si="56"/>
        <v/>
      </c>
      <c r="AJ128" s="46" t="str">
        <f t="shared" si="57"/>
        <v/>
      </c>
      <c r="AK128" s="46" t="str">
        <f t="shared" si="58"/>
        <v/>
      </c>
      <c r="AL128" s="46" t="str">
        <f t="shared" si="59"/>
        <v/>
      </c>
      <c r="AM128" s="46" t="str">
        <f t="shared" si="60"/>
        <v/>
      </c>
      <c r="AN128" s="46" t="str">
        <f t="shared" si="61"/>
        <v/>
      </c>
      <c r="AO128" s="46" t="str">
        <f t="shared" si="62"/>
        <v/>
      </c>
      <c r="AP128" s="46" t="str">
        <f t="shared" si="63"/>
        <v/>
      </c>
      <c r="AQ128" s="46" t="str">
        <f t="shared" si="64"/>
        <v/>
      </c>
      <c r="AR128" s="46" t="str">
        <f t="shared" si="65"/>
        <v/>
      </c>
      <c r="AS128" s="46" t="str">
        <f t="shared" si="66"/>
        <v/>
      </c>
      <c r="AT128" s="46" t="str">
        <f t="shared" si="67"/>
        <v/>
      </c>
      <c r="AU128" s="46" t="str">
        <f t="shared" si="68"/>
        <v/>
      </c>
      <c r="AV128" s="46" t="str">
        <f t="shared" si="69"/>
        <v/>
      </c>
      <c r="AW128" s="46" t="str">
        <f t="shared" si="70"/>
        <v/>
      </c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20"/>
    </row>
    <row r="129" spans="2:154">
      <c r="B129" s="1"/>
      <c r="C129" s="2"/>
      <c r="D129" s="34"/>
      <c r="E129" s="34"/>
      <c r="F129" s="34"/>
      <c r="G129" s="34"/>
      <c r="H129" s="4"/>
      <c r="I129" s="4"/>
      <c r="J129" s="4"/>
      <c r="K129" s="3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37"/>
      <c r="X129" s="1"/>
      <c r="Y129" s="18">
        <f t="shared" si="46"/>
        <v>0</v>
      </c>
      <c r="Z129" s="21">
        <f t="shared" si="47"/>
        <v>0</v>
      </c>
      <c r="AA129" s="10">
        <f t="shared" si="48"/>
        <v>0</v>
      </c>
      <c r="AB129" s="10">
        <f t="shared" si="49"/>
        <v>0</v>
      </c>
      <c r="AC129" s="10">
        <f t="shared" si="50"/>
        <v>0</v>
      </c>
      <c r="AD129" s="46" t="str">
        <f t="shared" si="51"/>
        <v/>
      </c>
      <c r="AE129" s="46" t="str">
        <f t="shared" si="52"/>
        <v/>
      </c>
      <c r="AF129" s="46" t="str">
        <f t="shared" si="53"/>
        <v/>
      </c>
      <c r="AG129" s="46" t="str">
        <f t="shared" si="54"/>
        <v/>
      </c>
      <c r="AH129" s="46" t="str">
        <f t="shared" si="55"/>
        <v/>
      </c>
      <c r="AI129" s="46" t="str">
        <f t="shared" si="56"/>
        <v/>
      </c>
      <c r="AJ129" s="46" t="str">
        <f t="shared" si="57"/>
        <v/>
      </c>
      <c r="AK129" s="46" t="str">
        <f t="shared" si="58"/>
        <v/>
      </c>
      <c r="AL129" s="46" t="str">
        <f t="shared" si="59"/>
        <v/>
      </c>
      <c r="AM129" s="46" t="str">
        <f t="shared" si="60"/>
        <v/>
      </c>
      <c r="AN129" s="46" t="str">
        <f t="shared" si="61"/>
        <v/>
      </c>
      <c r="AO129" s="46" t="str">
        <f t="shared" si="62"/>
        <v/>
      </c>
      <c r="AP129" s="46" t="str">
        <f t="shared" si="63"/>
        <v/>
      </c>
      <c r="AQ129" s="46" t="str">
        <f t="shared" si="64"/>
        <v/>
      </c>
      <c r="AR129" s="46" t="str">
        <f t="shared" si="65"/>
        <v/>
      </c>
      <c r="AS129" s="46" t="str">
        <f t="shared" si="66"/>
        <v/>
      </c>
      <c r="AT129" s="46" t="str">
        <f t="shared" si="67"/>
        <v/>
      </c>
      <c r="AU129" s="46" t="str">
        <f t="shared" si="68"/>
        <v/>
      </c>
      <c r="AV129" s="46" t="str">
        <f t="shared" si="69"/>
        <v/>
      </c>
      <c r="AW129" s="46" t="str">
        <f t="shared" si="70"/>
        <v/>
      </c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20"/>
    </row>
    <row r="130" spans="2:154">
      <c r="B130" s="1"/>
      <c r="C130" s="2"/>
      <c r="D130" s="34"/>
      <c r="E130" s="34"/>
      <c r="F130" s="34"/>
      <c r="G130" s="34"/>
      <c r="H130" s="4"/>
      <c r="I130" s="4"/>
      <c r="J130" s="4"/>
      <c r="K130" s="3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37"/>
      <c r="X130" s="1"/>
      <c r="Y130" s="18">
        <f t="shared" si="46"/>
        <v>0</v>
      </c>
      <c r="Z130" s="21">
        <f t="shared" si="47"/>
        <v>0</v>
      </c>
      <c r="AA130" s="10">
        <f t="shared" si="48"/>
        <v>0</v>
      </c>
      <c r="AB130" s="10">
        <f t="shared" si="49"/>
        <v>0</v>
      </c>
      <c r="AC130" s="10">
        <f t="shared" si="50"/>
        <v>0</v>
      </c>
      <c r="AD130" s="46" t="str">
        <f t="shared" si="51"/>
        <v/>
      </c>
      <c r="AE130" s="46" t="str">
        <f t="shared" si="52"/>
        <v/>
      </c>
      <c r="AF130" s="46" t="str">
        <f t="shared" si="53"/>
        <v/>
      </c>
      <c r="AG130" s="46" t="str">
        <f t="shared" si="54"/>
        <v/>
      </c>
      <c r="AH130" s="46" t="str">
        <f t="shared" si="55"/>
        <v/>
      </c>
      <c r="AI130" s="46" t="str">
        <f t="shared" si="56"/>
        <v/>
      </c>
      <c r="AJ130" s="46" t="str">
        <f t="shared" si="57"/>
        <v/>
      </c>
      <c r="AK130" s="46" t="str">
        <f t="shared" si="58"/>
        <v/>
      </c>
      <c r="AL130" s="46" t="str">
        <f t="shared" si="59"/>
        <v/>
      </c>
      <c r="AM130" s="46" t="str">
        <f t="shared" si="60"/>
        <v/>
      </c>
      <c r="AN130" s="46" t="str">
        <f t="shared" si="61"/>
        <v/>
      </c>
      <c r="AO130" s="46" t="str">
        <f t="shared" si="62"/>
        <v/>
      </c>
      <c r="AP130" s="46" t="str">
        <f t="shared" si="63"/>
        <v/>
      </c>
      <c r="AQ130" s="46" t="str">
        <f t="shared" si="64"/>
        <v/>
      </c>
      <c r="AR130" s="46" t="str">
        <f t="shared" si="65"/>
        <v/>
      </c>
      <c r="AS130" s="46" t="str">
        <f t="shared" si="66"/>
        <v/>
      </c>
      <c r="AT130" s="46" t="str">
        <f t="shared" si="67"/>
        <v/>
      </c>
      <c r="AU130" s="46" t="str">
        <f t="shared" si="68"/>
        <v/>
      </c>
      <c r="AV130" s="46" t="str">
        <f t="shared" si="69"/>
        <v/>
      </c>
      <c r="AW130" s="46" t="str">
        <f t="shared" si="70"/>
        <v/>
      </c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20"/>
    </row>
    <row r="131" spans="2:154">
      <c r="B131" s="1"/>
      <c r="C131" s="2"/>
      <c r="D131" s="34"/>
      <c r="E131" s="34"/>
      <c r="F131" s="34"/>
      <c r="G131" s="34"/>
      <c r="H131" s="4"/>
      <c r="I131" s="4"/>
      <c r="J131" s="4"/>
      <c r="K131" s="3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37"/>
      <c r="X131" s="1"/>
      <c r="Y131" s="18">
        <f t="shared" si="46"/>
        <v>0</v>
      </c>
      <c r="Z131" s="21">
        <f t="shared" si="47"/>
        <v>0</v>
      </c>
      <c r="AA131" s="10">
        <f t="shared" si="48"/>
        <v>0</v>
      </c>
      <c r="AB131" s="10">
        <f t="shared" si="49"/>
        <v>0</v>
      </c>
      <c r="AC131" s="10">
        <f t="shared" si="50"/>
        <v>0</v>
      </c>
      <c r="AD131" s="46" t="str">
        <f t="shared" si="51"/>
        <v/>
      </c>
      <c r="AE131" s="46" t="str">
        <f t="shared" si="52"/>
        <v/>
      </c>
      <c r="AF131" s="46" t="str">
        <f t="shared" si="53"/>
        <v/>
      </c>
      <c r="AG131" s="46" t="str">
        <f t="shared" si="54"/>
        <v/>
      </c>
      <c r="AH131" s="46" t="str">
        <f t="shared" si="55"/>
        <v/>
      </c>
      <c r="AI131" s="46" t="str">
        <f t="shared" si="56"/>
        <v/>
      </c>
      <c r="AJ131" s="46" t="str">
        <f t="shared" si="57"/>
        <v/>
      </c>
      <c r="AK131" s="46" t="str">
        <f t="shared" si="58"/>
        <v/>
      </c>
      <c r="AL131" s="46" t="str">
        <f t="shared" si="59"/>
        <v/>
      </c>
      <c r="AM131" s="46" t="str">
        <f t="shared" si="60"/>
        <v/>
      </c>
      <c r="AN131" s="46" t="str">
        <f t="shared" si="61"/>
        <v/>
      </c>
      <c r="AO131" s="46" t="str">
        <f t="shared" si="62"/>
        <v/>
      </c>
      <c r="AP131" s="46" t="str">
        <f t="shared" si="63"/>
        <v/>
      </c>
      <c r="AQ131" s="46" t="str">
        <f t="shared" si="64"/>
        <v/>
      </c>
      <c r="AR131" s="46" t="str">
        <f t="shared" si="65"/>
        <v/>
      </c>
      <c r="AS131" s="46" t="str">
        <f t="shared" si="66"/>
        <v/>
      </c>
      <c r="AT131" s="46" t="str">
        <f t="shared" si="67"/>
        <v/>
      </c>
      <c r="AU131" s="46" t="str">
        <f t="shared" si="68"/>
        <v/>
      </c>
      <c r="AV131" s="46" t="str">
        <f t="shared" si="69"/>
        <v/>
      </c>
      <c r="AW131" s="46" t="str">
        <f t="shared" si="70"/>
        <v/>
      </c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20"/>
    </row>
    <row r="132" spans="2:154">
      <c r="B132" s="1"/>
      <c r="C132" s="2"/>
      <c r="D132" s="34"/>
      <c r="E132" s="34"/>
      <c r="F132" s="34"/>
      <c r="G132" s="34"/>
      <c r="H132" s="4"/>
      <c r="I132" s="4"/>
      <c r="J132" s="4"/>
      <c r="K132" s="3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37"/>
      <c r="X132" s="1"/>
      <c r="Y132" s="18">
        <f t="shared" ref="Y132:Y195" si="71">COUNTA(D132:V132)-X132</f>
        <v>0</v>
      </c>
      <c r="Z132" s="21">
        <f t="shared" ref="Z132:Z195" si="72">IF(W132&lt;&gt;"",0.0001,IF(X132+Y132=0,0,IF(X132=0,70+(Y132*50),IF(X132&gt;0,80+(Y132*50)))))</f>
        <v>0</v>
      </c>
      <c r="AA132" s="10">
        <f t="shared" ref="AA132:AA195" si="73">COUNTA(K132:V132)</f>
        <v>0</v>
      </c>
      <c r="AB132" s="10">
        <f t="shared" ref="AB132:AB195" si="74">COUNTA(K132:P132)</f>
        <v>0</v>
      </c>
      <c r="AC132" s="10">
        <f t="shared" ref="AC132:AC195" si="75">COUNTA(Q132:U132)</f>
        <v>0</v>
      </c>
      <c r="AD132" s="46" t="str">
        <f t="shared" ref="AD132:AD195" si="76">IF(AND(B132="Feminino",C132&gt;=$AY$2,C132&lt;=$AZ$2),$AY$3,IF(AND(B132="Masculino",C132&gt;=$AY$2,C132&lt;=$AZ$2),$AZ$3,IF(AND(B132="Feminino",C132&gt;=$BA$2,C132&lt;=$BB$2),$BA$3,IF(AND(B132="Masculino",C132&gt;=$BA$2,C132&lt;=$BB$2),$BB$3,IF(AND(B132="Feminino",C132&gt;=$BC$2,C132&lt;=$BD$2),$BC$3,IF(AND(B132="Masculino",C132&gt;=$BC$2,C132&lt;=$BD$2),$BD$3,""))))))</f>
        <v/>
      </c>
      <c r="AE132" s="46" t="str">
        <f t="shared" ref="AE132:AE195" si="77">IF(AND(B132="Feminino",C132&gt;=$BA$2,C132&lt;=$BB$2),$BE$3,IF(AND(B132="Masculino",C132&gt;=$BA$2,C132&lt;=$BB$2),$BF$3,IF(AND(B132="Feminino",C132&lt;=$BD$2),$BG$3,IF(AND(B132="Masculino",C132&lt;=$BD$2),$BH$3,""))))</f>
        <v/>
      </c>
      <c r="AF132" s="46" t="str">
        <f t="shared" ref="AF132:AF195" si="78">IF(AND(B132="Feminino",C132&gt;=$BI$2,C132&lt;=$BJ$2),$BI$3,IF(AND(B132="Masculino",C132&gt;=$BI$2,C132&lt;=$BJ$2),$BJ$3,""))</f>
        <v/>
      </c>
      <c r="AG132" s="46" t="str">
        <f t="shared" ref="AG132:AG195" si="79">IF(C132="","",IF(C132&gt;=$BK$2,$BK$3,IF(AND(C132&gt;=$BL$1,C132&lt;=$BL$2),$BL$3,IF(AND(C132&gt;=$BM$1,C132&lt;=$BM$2),$BM$3,IF(AND(C132&gt;=$BN$1,C132&lt;=$BN$2),$BN$3,IF(AND(C132&gt;=$BO$1,C132&lt;=$BO$2),$BO$3,IF(C132&lt;=$BP$2,$BP$3,"")))))))</f>
        <v/>
      </c>
      <c r="AH132" s="46" t="str">
        <f t="shared" ref="AH132:AH195" si="80">IF(C132="","",IF(C132&gt;=$BK$2,$BQ$3,IF(AND(C132&gt;=$BL$1,C132&lt;=$BL$2),$BR$3,IF(AND(C132&gt;=$BM$1,C132&lt;=$BM$2),$BS$3,IF(AND(C132&gt;=$BN$1,C132&lt;=$BN$2),$BT$3,IF(AND(C132&gt;=$BO$1,C132&lt;=$BO$2),$BU$3,IF(C132&lt;=$BP$2,$BV$3,"")))))))</f>
        <v/>
      </c>
      <c r="AI132" s="46" t="str">
        <f t="shared" ref="AI132:AI195" si="81">IF(C132="","",IF(C132&gt;=$BK$2,$BW$3,IF(AND(C132&gt;=$BL$1,C132&lt;=$BL$2),$BX$3,IF(AND(C132&gt;=$BM$1,C132&lt;=$BM$2),$BY$3,IF(AND(C132&gt;=$BN$1,C132&lt;=$BN$2),$BZ$3,IF(AND(C132&gt;=$BO$1,C132&lt;=$BO$2),$CA$3,IF(C132&lt;=$BP$2,$CB$3,"")))))))</f>
        <v/>
      </c>
      <c r="AJ132" s="46" t="str">
        <f t="shared" ref="AJ132:AJ195" si="82">IF(C132="","",IF(AND(C132&gt;=$BN$1,C132&lt;=$BN$2),$CC$3,IF(AND(C132&gt;=$BO$1,C132&lt;=$BO$2),$CD$3,IF(C132&lt;=$BP$2,$CE$3,""))))</f>
        <v/>
      </c>
      <c r="AK132" s="46" t="str">
        <f t="shared" ref="AK132:AK195" si="83">IF(C132="","",IF(AA132&gt;=3,"",IF(AB132&gt;=2,"",IF(C132&gt;=$CF$2,$CF$3,IF(AND(C132&gt;=$CG$1,C132&lt;=$CG$2),$CG$3,IF(AND(C132&gt;=$CH$1,C132&lt;=$CH$2),$CH$3,IF(AND(C132&gt;=$CI$1,C132&lt;=$CI$2),$CI$3,IF(AND(C132&gt;=$CJ$1,C132&lt;=$CJ$2),$CJ$3,IF(C132&lt;=$CK$2,$CK$3,"")))))))))</f>
        <v/>
      </c>
      <c r="AL132" s="46" t="str">
        <f t="shared" ref="AL132:AL195" si="84">IF(C132="","",IF(AA132&gt;=3,"",IF(AB132&gt;=2,"",IF(C132&gt;=$CF$2,$CL$3,IF(AND(C132&gt;=$CG$1,C132&lt;=$CG$2),$CM$3,IF(AND(C132&gt;=$CH$1,C132&lt;=$CH$2),$CN$3,IF(AND(C132&gt;=$CI$1,C132&lt;=$CI$2),$CO$3,IF(AND(C132&gt;=$CJ$1,C132&lt;=$CJ$2),$CP$3,IF(C132&lt;=$CK$2,$CQ$3,"")))))))))</f>
        <v/>
      </c>
      <c r="AM132" s="46" t="str">
        <f t="shared" ref="AM132:AM195" si="85">IF(C132="","",IF(AA132&gt;=3,"",IF(AB132&gt;=2,"",IF(C132&gt;=$CF$2,$CR$3,IF(AND(C132&gt;=$CG$1,C132&lt;=$CG$2),$CS$3,IF(AND(C132&gt;=$CH$1,C132&lt;=$CH$2),$CT$3,IF(AND(C132&gt;=$CI$1,C132&lt;=$CI$2),$CU$3,IF(AND(C132&gt;=$CJ$1,C132&lt;=$CJ$2),$CV$3,IF(C132&lt;=$CK$2,$CW$3,"")))))))))</f>
        <v/>
      </c>
      <c r="AN132" s="46" t="str">
        <f t="shared" ref="AN132:AN195" si="86">IF(C132="","",IF(AA132&gt;=3,"",IF(AB132&gt;=2,"",IF(C132&gt;=$CF$2,$CX$3,IF(AND(C132&gt;=$CG$1,C132&lt;=$CG$2),$CY$3,IF(AND(C132&gt;=$CH$1,C132&lt;=$CH$2),$CZ$3,IF(AND(C132&gt;=$CI$1,C132&lt;=$CI$2),$DA$3,IF(AND(C132&gt;=$CJ$1,C132&lt;=$CJ$2),$DB$3,IF(C132&lt;=$CK$2,$DC$3,"")))))))))</f>
        <v/>
      </c>
      <c r="AO132" s="46" t="str">
        <f t="shared" ref="AO132:AO195" si="87">IF(C132="","",IF(AA132&gt;=3,"",IF(AB132&gt;=2,"",IF(C132&gt;=$CF$2,$DD$3,IF(AND(C132&gt;=$CG$1,C132&lt;=$CG$2),$DE$3,IF(AND(C132&gt;=$CH$1,C132&lt;=$CH$2),$DF$3,IF(AND(C132&gt;=$CI$1,C132&lt;=$CI$2),$DG$3,IF(AND(C132&gt;=$CJ$1,C132&lt;=$CJ$2),$DH$3,IF(C132&lt;=$CK$2,$DI$3,"")))))))))</f>
        <v/>
      </c>
      <c r="AP132" s="46" t="str">
        <f t="shared" ref="AP132:AP195" si="88">IF(C132="","",IF(AA132&gt;=3,"",IF(AB132&gt;=2,"",IF(C132&gt;=$CF$2,$DJ$3,IF(AND(C132&gt;=$CG$1,C132&lt;=$CG$2),$DK$3,IF(AND(C132&gt;=$CH$1,C132&lt;=$CH$2),$DL$3,IF(AND(C132&gt;=$CI$1,C132&lt;=$CI$2),$DM$3,IF(AND(C132&gt;=$CJ$1,C132&lt;=$CJ$2),$DN$3,IF(C132&lt;=$CK$2,$DO$3,"")))))))))</f>
        <v/>
      </c>
      <c r="AQ132" s="46" t="str">
        <f t="shared" ref="AQ132:AQ195" si="89">IF(C132="","",IF(AA132&gt;=3,"",IF(AC132&gt;=2,"",IF(C132&gt;=$CF$2,$DP$3,IF(AND(C132&gt;=$CG$1,C132&lt;=$CG$2),$DQ$3,IF(AND(C132&gt;=$CH$1,C132&lt;=$CH$2),$DR$3,IF(AND(C132&gt;=$CI$1,C132&lt;=$CI$2),$DS$3,IF(AND(C132&gt;=$CJ$1,C132&lt;=$CJ$2),$DT$3,IF(C132&lt;=$CK$2,$DU$3,"")))))))))</f>
        <v/>
      </c>
      <c r="AR132" s="46" t="str">
        <f t="shared" ref="AR132:AR195" si="90">IF(C132="","",IF(AA132&gt;=3,"",IF(AC132&gt;=2,"",IF(C132&gt;=$CF$2,$DV$3,IF(AND(C132&gt;=$CG$1,C132&lt;=$CG$2),$DW$3,IF(AND(C132&gt;=$CH$1,C132&lt;=$CH$2),$DX$3,IF(AND(C132&gt;=$CI$1,C132&lt;=$CI$2),$DY$3,IF(AND(C132&gt;=$CJ$1,C132&lt;=$CJ$2),$DZ$3,IF(C132&lt;=$CK$2,$EA$3,"")))))))))</f>
        <v/>
      </c>
      <c r="AS132" s="46" t="str">
        <f t="shared" ref="AS132:AS195" si="91">IF(C132="","",IF(AA132&gt;=3,"",IF(AC132&gt;=2,"",IF(C132&gt;=$CF$2,$EB$3,IF(AND(C132&gt;=$CG$1,C132&lt;=$CG$2),$EC$3,IF(AND(C132&gt;=$CH$1,C132&lt;=$CH$2),$ED$3,IF(AND(C132&gt;=$CI$1,C132&lt;=$CI$2),$EE$3,IF(AND(C132&gt;=$CJ$1,C132&lt;=$CJ$2),$EF$3,IF(C132&lt;=$CK$2,$EG$3,"")))))))))</f>
        <v/>
      </c>
      <c r="AT132" s="46" t="str">
        <f t="shared" ref="AT132:AT195" si="92">IF(C132="","",IF(AA132&gt;=3,"",IF(AC132&gt;=2,"",IF(C132&gt;=$CF$2,$EH$3,IF(AND(C132&gt;=$CG$1,C132&lt;=$CG$2),$EI$3,IF(AND(C132&gt;=$CH$1,C132&lt;=$CH$2),$EJ$3,IF(AND(C132&gt;=$CI$1,C132&lt;=$CI$2),$EK$3,IF(AND(C132&gt;=$CJ$1,C132&lt;=$CJ$2),$EL$3,IF(C132&lt;=$CK$2,$EM$3,"")))))))))</f>
        <v/>
      </c>
      <c r="AU132" s="46" t="str">
        <f t="shared" ref="AU132:AU195" si="93">IF(C132="","",IF(AA132&gt;=3,"",IF(AC132&gt;=2,"",IF(C132&gt;=$CF$2,$EN$3,IF(AND(C132&gt;=$CG$1,C132&lt;=$CG$2),$EO$3,IF(AND(C132&gt;=$CH$1,C132&lt;=$CH$2),$EP$3,IF(AND(C132&gt;=$CI$1,C132&lt;=$CI$2),$EQ$3,IF(AND(C132&gt;=$CJ$1,C132&lt;=$CJ$2),$ER$3,IF(C132&lt;=$CK$2,$ES$3,"")))))))))</f>
        <v/>
      </c>
      <c r="AV132" s="46" t="str">
        <f t="shared" ref="AV132:AV195" si="94">IF(C132="","",IF(AA132&gt;=3,"",IF(C132&gt;=$CG$1,$ET$3,IF(AND(C132&gt;=$CI$1,C132&lt;=$CH$2),$EU$3,IF(C132&lt;=$CJ$2,$EV$3,"")))))</f>
        <v/>
      </c>
      <c r="AW132" s="46" t="str">
        <f t="shared" ref="AW132:AW195" si="95">IF(C132="","",IF(AND(D132="",E132="",G132="",H132="",I132="",J132=""),"ADAPTADO",""))</f>
        <v/>
      </c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20"/>
    </row>
    <row r="133" spans="2:154">
      <c r="B133" s="1"/>
      <c r="C133" s="2"/>
      <c r="D133" s="34"/>
      <c r="E133" s="34"/>
      <c r="F133" s="34"/>
      <c r="G133" s="34"/>
      <c r="H133" s="4"/>
      <c r="I133" s="4"/>
      <c r="J133" s="4"/>
      <c r="K133" s="3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37"/>
      <c r="X133" s="1"/>
      <c r="Y133" s="18">
        <f t="shared" si="71"/>
        <v>0</v>
      </c>
      <c r="Z133" s="21">
        <f t="shared" si="72"/>
        <v>0</v>
      </c>
      <c r="AA133" s="10">
        <f t="shared" si="73"/>
        <v>0</v>
      </c>
      <c r="AB133" s="10">
        <f t="shared" si="74"/>
        <v>0</v>
      </c>
      <c r="AC133" s="10">
        <f t="shared" si="75"/>
        <v>0</v>
      </c>
      <c r="AD133" s="46" t="str">
        <f t="shared" si="76"/>
        <v/>
      </c>
      <c r="AE133" s="46" t="str">
        <f t="shared" si="77"/>
        <v/>
      </c>
      <c r="AF133" s="46" t="str">
        <f t="shared" si="78"/>
        <v/>
      </c>
      <c r="AG133" s="46" t="str">
        <f t="shared" si="79"/>
        <v/>
      </c>
      <c r="AH133" s="46" t="str">
        <f t="shared" si="80"/>
        <v/>
      </c>
      <c r="AI133" s="46" t="str">
        <f t="shared" si="81"/>
        <v/>
      </c>
      <c r="AJ133" s="46" t="str">
        <f t="shared" si="82"/>
        <v/>
      </c>
      <c r="AK133" s="46" t="str">
        <f t="shared" si="83"/>
        <v/>
      </c>
      <c r="AL133" s="46" t="str">
        <f t="shared" si="84"/>
        <v/>
      </c>
      <c r="AM133" s="46" t="str">
        <f t="shared" si="85"/>
        <v/>
      </c>
      <c r="AN133" s="46" t="str">
        <f t="shared" si="86"/>
        <v/>
      </c>
      <c r="AO133" s="46" t="str">
        <f t="shared" si="87"/>
        <v/>
      </c>
      <c r="AP133" s="46" t="str">
        <f t="shared" si="88"/>
        <v/>
      </c>
      <c r="AQ133" s="46" t="str">
        <f t="shared" si="89"/>
        <v/>
      </c>
      <c r="AR133" s="46" t="str">
        <f t="shared" si="90"/>
        <v/>
      </c>
      <c r="AS133" s="46" t="str">
        <f t="shared" si="91"/>
        <v/>
      </c>
      <c r="AT133" s="46" t="str">
        <f t="shared" si="92"/>
        <v/>
      </c>
      <c r="AU133" s="46" t="str">
        <f t="shared" si="93"/>
        <v/>
      </c>
      <c r="AV133" s="46" t="str">
        <f t="shared" si="94"/>
        <v/>
      </c>
      <c r="AW133" s="46" t="str">
        <f t="shared" si="95"/>
        <v/>
      </c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20"/>
    </row>
    <row r="134" spans="2:154">
      <c r="B134" s="1"/>
      <c r="C134" s="2"/>
      <c r="D134" s="34"/>
      <c r="E134" s="34"/>
      <c r="F134" s="34"/>
      <c r="G134" s="34"/>
      <c r="H134" s="4"/>
      <c r="I134" s="4"/>
      <c r="J134" s="4"/>
      <c r="K134" s="3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37"/>
      <c r="X134" s="1"/>
      <c r="Y134" s="18">
        <f t="shared" si="71"/>
        <v>0</v>
      </c>
      <c r="Z134" s="21">
        <f t="shared" si="72"/>
        <v>0</v>
      </c>
      <c r="AA134" s="10">
        <f t="shared" si="73"/>
        <v>0</v>
      </c>
      <c r="AB134" s="10">
        <f t="shared" si="74"/>
        <v>0</v>
      </c>
      <c r="AC134" s="10">
        <f t="shared" si="75"/>
        <v>0</v>
      </c>
      <c r="AD134" s="46" t="str">
        <f t="shared" si="76"/>
        <v/>
      </c>
      <c r="AE134" s="46" t="str">
        <f t="shared" si="77"/>
        <v/>
      </c>
      <c r="AF134" s="46" t="str">
        <f t="shared" si="78"/>
        <v/>
      </c>
      <c r="AG134" s="46" t="str">
        <f t="shared" si="79"/>
        <v/>
      </c>
      <c r="AH134" s="46" t="str">
        <f t="shared" si="80"/>
        <v/>
      </c>
      <c r="AI134" s="46" t="str">
        <f t="shared" si="81"/>
        <v/>
      </c>
      <c r="AJ134" s="46" t="str">
        <f t="shared" si="82"/>
        <v/>
      </c>
      <c r="AK134" s="46" t="str">
        <f t="shared" si="83"/>
        <v/>
      </c>
      <c r="AL134" s="46" t="str">
        <f t="shared" si="84"/>
        <v/>
      </c>
      <c r="AM134" s="46" t="str">
        <f t="shared" si="85"/>
        <v/>
      </c>
      <c r="AN134" s="46" t="str">
        <f t="shared" si="86"/>
        <v/>
      </c>
      <c r="AO134" s="46" t="str">
        <f t="shared" si="87"/>
        <v/>
      </c>
      <c r="AP134" s="46" t="str">
        <f t="shared" si="88"/>
        <v/>
      </c>
      <c r="AQ134" s="46" t="str">
        <f t="shared" si="89"/>
        <v/>
      </c>
      <c r="AR134" s="46" t="str">
        <f t="shared" si="90"/>
        <v/>
      </c>
      <c r="AS134" s="46" t="str">
        <f t="shared" si="91"/>
        <v/>
      </c>
      <c r="AT134" s="46" t="str">
        <f t="shared" si="92"/>
        <v/>
      </c>
      <c r="AU134" s="46" t="str">
        <f t="shared" si="93"/>
        <v/>
      </c>
      <c r="AV134" s="46" t="str">
        <f t="shared" si="94"/>
        <v/>
      </c>
      <c r="AW134" s="46" t="str">
        <f t="shared" si="95"/>
        <v/>
      </c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20"/>
    </row>
    <row r="135" spans="2:154">
      <c r="B135" s="1"/>
      <c r="C135" s="2"/>
      <c r="D135" s="34"/>
      <c r="E135" s="34"/>
      <c r="F135" s="34"/>
      <c r="G135" s="34"/>
      <c r="H135" s="4"/>
      <c r="I135" s="4"/>
      <c r="J135" s="4"/>
      <c r="K135" s="3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37"/>
      <c r="X135" s="1"/>
      <c r="Y135" s="18">
        <f t="shared" si="71"/>
        <v>0</v>
      </c>
      <c r="Z135" s="21">
        <f t="shared" si="72"/>
        <v>0</v>
      </c>
      <c r="AA135" s="10">
        <f t="shared" si="73"/>
        <v>0</v>
      </c>
      <c r="AB135" s="10">
        <f t="shared" si="74"/>
        <v>0</v>
      </c>
      <c r="AC135" s="10">
        <f t="shared" si="75"/>
        <v>0</v>
      </c>
      <c r="AD135" s="46" t="str">
        <f t="shared" si="76"/>
        <v/>
      </c>
      <c r="AE135" s="46" t="str">
        <f t="shared" si="77"/>
        <v/>
      </c>
      <c r="AF135" s="46" t="str">
        <f t="shared" si="78"/>
        <v/>
      </c>
      <c r="AG135" s="46" t="str">
        <f t="shared" si="79"/>
        <v/>
      </c>
      <c r="AH135" s="46" t="str">
        <f t="shared" si="80"/>
        <v/>
      </c>
      <c r="AI135" s="46" t="str">
        <f t="shared" si="81"/>
        <v/>
      </c>
      <c r="AJ135" s="46" t="str">
        <f t="shared" si="82"/>
        <v/>
      </c>
      <c r="AK135" s="46" t="str">
        <f t="shared" si="83"/>
        <v/>
      </c>
      <c r="AL135" s="46" t="str">
        <f t="shared" si="84"/>
        <v/>
      </c>
      <c r="AM135" s="46" t="str">
        <f t="shared" si="85"/>
        <v/>
      </c>
      <c r="AN135" s="46" t="str">
        <f t="shared" si="86"/>
        <v/>
      </c>
      <c r="AO135" s="46" t="str">
        <f t="shared" si="87"/>
        <v/>
      </c>
      <c r="AP135" s="46" t="str">
        <f t="shared" si="88"/>
        <v/>
      </c>
      <c r="AQ135" s="46" t="str">
        <f t="shared" si="89"/>
        <v/>
      </c>
      <c r="AR135" s="46" t="str">
        <f t="shared" si="90"/>
        <v/>
      </c>
      <c r="AS135" s="46" t="str">
        <f t="shared" si="91"/>
        <v/>
      </c>
      <c r="AT135" s="46" t="str">
        <f t="shared" si="92"/>
        <v/>
      </c>
      <c r="AU135" s="46" t="str">
        <f t="shared" si="93"/>
        <v/>
      </c>
      <c r="AV135" s="46" t="str">
        <f t="shared" si="94"/>
        <v/>
      </c>
      <c r="AW135" s="46" t="str">
        <f t="shared" si="95"/>
        <v/>
      </c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20"/>
    </row>
    <row r="136" spans="2:154">
      <c r="B136" s="1"/>
      <c r="C136" s="2"/>
      <c r="D136" s="34"/>
      <c r="E136" s="34"/>
      <c r="F136" s="34"/>
      <c r="G136" s="34"/>
      <c r="H136" s="4"/>
      <c r="I136" s="4"/>
      <c r="J136" s="4"/>
      <c r="K136" s="3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37"/>
      <c r="X136" s="1"/>
      <c r="Y136" s="18">
        <f t="shared" si="71"/>
        <v>0</v>
      </c>
      <c r="Z136" s="21">
        <f t="shared" si="72"/>
        <v>0</v>
      </c>
      <c r="AA136" s="10">
        <f t="shared" si="73"/>
        <v>0</v>
      </c>
      <c r="AB136" s="10">
        <f t="shared" si="74"/>
        <v>0</v>
      </c>
      <c r="AC136" s="10">
        <f t="shared" si="75"/>
        <v>0</v>
      </c>
      <c r="AD136" s="46" t="str">
        <f t="shared" si="76"/>
        <v/>
      </c>
      <c r="AE136" s="46" t="str">
        <f t="shared" si="77"/>
        <v/>
      </c>
      <c r="AF136" s="46" t="str">
        <f t="shared" si="78"/>
        <v/>
      </c>
      <c r="AG136" s="46" t="str">
        <f t="shared" si="79"/>
        <v/>
      </c>
      <c r="AH136" s="46" t="str">
        <f t="shared" si="80"/>
        <v/>
      </c>
      <c r="AI136" s="46" t="str">
        <f t="shared" si="81"/>
        <v/>
      </c>
      <c r="AJ136" s="46" t="str">
        <f t="shared" si="82"/>
        <v/>
      </c>
      <c r="AK136" s="46" t="str">
        <f t="shared" si="83"/>
        <v/>
      </c>
      <c r="AL136" s="46" t="str">
        <f t="shared" si="84"/>
        <v/>
      </c>
      <c r="AM136" s="46" t="str">
        <f t="shared" si="85"/>
        <v/>
      </c>
      <c r="AN136" s="46" t="str">
        <f t="shared" si="86"/>
        <v/>
      </c>
      <c r="AO136" s="46" t="str">
        <f t="shared" si="87"/>
        <v/>
      </c>
      <c r="AP136" s="46" t="str">
        <f t="shared" si="88"/>
        <v/>
      </c>
      <c r="AQ136" s="46" t="str">
        <f t="shared" si="89"/>
        <v/>
      </c>
      <c r="AR136" s="46" t="str">
        <f t="shared" si="90"/>
        <v/>
      </c>
      <c r="AS136" s="46" t="str">
        <f t="shared" si="91"/>
        <v/>
      </c>
      <c r="AT136" s="46" t="str">
        <f t="shared" si="92"/>
        <v/>
      </c>
      <c r="AU136" s="46" t="str">
        <f t="shared" si="93"/>
        <v/>
      </c>
      <c r="AV136" s="46" t="str">
        <f t="shared" si="94"/>
        <v/>
      </c>
      <c r="AW136" s="46" t="str">
        <f t="shared" si="95"/>
        <v/>
      </c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20"/>
    </row>
    <row r="137" spans="2:154">
      <c r="B137" s="1"/>
      <c r="C137" s="2"/>
      <c r="D137" s="34"/>
      <c r="E137" s="34"/>
      <c r="F137" s="34"/>
      <c r="G137" s="34"/>
      <c r="H137" s="4"/>
      <c r="I137" s="4"/>
      <c r="J137" s="4"/>
      <c r="K137" s="3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37"/>
      <c r="X137" s="1"/>
      <c r="Y137" s="18">
        <f t="shared" si="71"/>
        <v>0</v>
      </c>
      <c r="Z137" s="21">
        <f t="shared" si="72"/>
        <v>0</v>
      </c>
      <c r="AA137" s="10">
        <f t="shared" si="73"/>
        <v>0</v>
      </c>
      <c r="AB137" s="10">
        <f t="shared" si="74"/>
        <v>0</v>
      </c>
      <c r="AC137" s="10">
        <f t="shared" si="75"/>
        <v>0</v>
      </c>
      <c r="AD137" s="46" t="str">
        <f t="shared" si="76"/>
        <v/>
      </c>
      <c r="AE137" s="46" t="str">
        <f t="shared" si="77"/>
        <v/>
      </c>
      <c r="AF137" s="46" t="str">
        <f t="shared" si="78"/>
        <v/>
      </c>
      <c r="AG137" s="46" t="str">
        <f t="shared" si="79"/>
        <v/>
      </c>
      <c r="AH137" s="46" t="str">
        <f t="shared" si="80"/>
        <v/>
      </c>
      <c r="AI137" s="46" t="str">
        <f t="shared" si="81"/>
        <v/>
      </c>
      <c r="AJ137" s="46" t="str">
        <f t="shared" si="82"/>
        <v/>
      </c>
      <c r="AK137" s="46" t="str">
        <f t="shared" si="83"/>
        <v/>
      </c>
      <c r="AL137" s="46" t="str">
        <f t="shared" si="84"/>
        <v/>
      </c>
      <c r="AM137" s="46" t="str">
        <f t="shared" si="85"/>
        <v/>
      </c>
      <c r="AN137" s="46" t="str">
        <f t="shared" si="86"/>
        <v/>
      </c>
      <c r="AO137" s="46" t="str">
        <f t="shared" si="87"/>
        <v/>
      </c>
      <c r="AP137" s="46" t="str">
        <f t="shared" si="88"/>
        <v/>
      </c>
      <c r="AQ137" s="46" t="str">
        <f t="shared" si="89"/>
        <v/>
      </c>
      <c r="AR137" s="46" t="str">
        <f t="shared" si="90"/>
        <v/>
      </c>
      <c r="AS137" s="46" t="str">
        <f t="shared" si="91"/>
        <v/>
      </c>
      <c r="AT137" s="46" t="str">
        <f t="shared" si="92"/>
        <v/>
      </c>
      <c r="AU137" s="46" t="str">
        <f t="shared" si="93"/>
        <v/>
      </c>
      <c r="AV137" s="46" t="str">
        <f t="shared" si="94"/>
        <v/>
      </c>
      <c r="AW137" s="46" t="str">
        <f t="shared" si="95"/>
        <v/>
      </c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20"/>
    </row>
    <row r="138" spans="2:154">
      <c r="B138" s="1"/>
      <c r="C138" s="2"/>
      <c r="D138" s="34"/>
      <c r="E138" s="34"/>
      <c r="F138" s="34"/>
      <c r="G138" s="34"/>
      <c r="H138" s="4"/>
      <c r="I138" s="4"/>
      <c r="J138" s="4"/>
      <c r="K138" s="3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37"/>
      <c r="X138" s="1"/>
      <c r="Y138" s="18">
        <f t="shared" si="71"/>
        <v>0</v>
      </c>
      <c r="Z138" s="21">
        <f t="shared" si="72"/>
        <v>0</v>
      </c>
      <c r="AA138" s="10">
        <f t="shared" si="73"/>
        <v>0</v>
      </c>
      <c r="AB138" s="10">
        <f t="shared" si="74"/>
        <v>0</v>
      </c>
      <c r="AC138" s="10">
        <f t="shared" si="75"/>
        <v>0</v>
      </c>
      <c r="AD138" s="46" t="str">
        <f t="shared" si="76"/>
        <v/>
      </c>
      <c r="AE138" s="46" t="str">
        <f t="shared" si="77"/>
        <v/>
      </c>
      <c r="AF138" s="46" t="str">
        <f t="shared" si="78"/>
        <v/>
      </c>
      <c r="AG138" s="46" t="str">
        <f t="shared" si="79"/>
        <v/>
      </c>
      <c r="AH138" s="46" t="str">
        <f t="shared" si="80"/>
        <v/>
      </c>
      <c r="AI138" s="46" t="str">
        <f t="shared" si="81"/>
        <v/>
      </c>
      <c r="AJ138" s="46" t="str">
        <f t="shared" si="82"/>
        <v/>
      </c>
      <c r="AK138" s="46" t="str">
        <f t="shared" si="83"/>
        <v/>
      </c>
      <c r="AL138" s="46" t="str">
        <f t="shared" si="84"/>
        <v/>
      </c>
      <c r="AM138" s="46" t="str">
        <f t="shared" si="85"/>
        <v/>
      </c>
      <c r="AN138" s="46" t="str">
        <f t="shared" si="86"/>
        <v/>
      </c>
      <c r="AO138" s="46" t="str">
        <f t="shared" si="87"/>
        <v/>
      </c>
      <c r="AP138" s="46" t="str">
        <f t="shared" si="88"/>
        <v/>
      </c>
      <c r="AQ138" s="46" t="str">
        <f t="shared" si="89"/>
        <v/>
      </c>
      <c r="AR138" s="46" t="str">
        <f t="shared" si="90"/>
        <v/>
      </c>
      <c r="AS138" s="46" t="str">
        <f t="shared" si="91"/>
        <v/>
      </c>
      <c r="AT138" s="46" t="str">
        <f t="shared" si="92"/>
        <v/>
      </c>
      <c r="AU138" s="46" t="str">
        <f t="shared" si="93"/>
        <v/>
      </c>
      <c r="AV138" s="46" t="str">
        <f t="shared" si="94"/>
        <v/>
      </c>
      <c r="AW138" s="46" t="str">
        <f t="shared" si="95"/>
        <v/>
      </c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20"/>
    </row>
    <row r="139" spans="2:154">
      <c r="B139" s="1"/>
      <c r="C139" s="2"/>
      <c r="D139" s="34"/>
      <c r="E139" s="34"/>
      <c r="F139" s="34"/>
      <c r="G139" s="34"/>
      <c r="H139" s="4"/>
      <c r="I139" s="4"/>
      <c r="J139" s="4"/>
      <c r="K139" s="3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37"/>
      <c r="X139" s="1"/>
      <c r="Y139" s="18">
        <f t="shared" si="71"/>
        <v>0</v>
      </c>
      <c r="Z139" s="21">
        <f t="shared" si="72"/>
        <v>0</v>
      </c>
      <c r="AA139" s="10">
        <f t="shared" si="73"/>
        <v>0</v>
      </c>
      <c r="AB139" s="10">
        <f t="shared" si="74"/>
        <v>0</v>
      </c>
      <c r="AC139" s="10">
        <f t="shared" si="75"/>
        <v>0</v>
      </c>
      <c r="AD139" s="46" t="str">
        <f t="shared" si="76"/>
        <v/>
      </c>
      <c r="AE139" s="46" t="str">
        <f t="shared" si="77"/>
        <v/>
      </c>
      <c r="AF139" s="46" t="str">
        <f t="shared" si="78"/>
        <v/>
      </c>
      <c r="AG139" s="46" t="str">
        <f t="shared" si="79"/>
        <v/>
      </c>
      <c r="AH139" s="46" t="str">
        <f t="shared" si="80"/>
        <v/>
      </c>
      <c r="AI139" s="46" t="str">
        <f t="shared" si="81"/>
        <v/>
      </c>
      <c r="AJ139" s="46" t="str">
        <f t="shared" si="82"/>
        <v/>
      </c>
      <c r="AK139" s="46" t="str">
        <f t="shared" si="83"/>
        <v/>
      </c>
      <c r="AL139" s="46" t="str">
        <f t="shared" si="84"/>
        <v/>
      </c>
      <c r="AM139" s="46" t="str">
        <f t="shared" si="85"/>
        <v/>
      </c>
      <c r="AN139" s="46" t="str">
        <f t="shared" si="86"/>
        <v/>
      </c>
      <c r="AO139" s="46" t="str">
        <f t="shared" si="87"/>
        <v/>
      </c>
      <c r="AP139" s="46" t="str">
        <f t="shared" si="88"/>
        <v/>
      </c>
      <c r="AQ139" s="46" t="str">
        <f t="shared" si="89"/>
        <v/>
      </c>
      <c r="AR139" s="46" t="str">
        <f t="shared" si="90"/>
        <v/>
      </c>
      <c r="AS139" s="46" t="str">
        <f t="shared" si="91"/>
        <v/>
      </c>
      <c r="AT139" s="46" t="str">
        <f t="shared" si="92"/>
        <v/>
      </c>
      <c r="AU139" s="46" t="str">
        <f t="shared" si="93"/>
        <v/>
      </c>
      <c r="AV139" s="46" t="str">
        <f t="shared" si="94"/>
        <v/>
      </c>
      <c r="AW139" s="46" t="str">
        <f t="shared" si="95"/>
        <v/>
      </c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20"/>
    </row>
    <row r="140" spans="2:154">
      <c r="B140" s="1"/>
      <c r="C140" s="2"/>
      <c r="D140" s="34"/>
      <c r="E140" s="34"/>
      <c r="F140" s="34"/>
      <c r="G140" s="34"/>
      <c r="H140" s="4"/>
      <c r="I140" s="4"/>
      <c r="J140" s="4"/>
      <c r="K140" s="3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37"/>
      <c r="X140" s="1"/>
      <c r="Y140" s="18">
        <f t="shared" si="71"/>
        <v>0</v>
      </c>
      <c r="Z140" s="21">
        <f t="shared" si="72"/>
        <v>0</v>
      </c>
      <c r="AA140" s="10">
        <f t="shared" si="73"/>
        <v>0</v>
      </c>
      <c r="AB140" s="10">
        <f t="shared" si="74"/>
        <v>0</v>
      </c>
      <c r="AC140" s="10">
        <f t="shared" si="75"/>
        <v>0</v>
      </c>
      <c r="AD140" s="46" t="str">
        <f t="shared" si="76"/>
        <v/>
      </c>
      <c r="AE140" s="46" t="str">
        <f t="shared" si="77"/>
        <v/>
      </c>
      <c r="AF140" s="46" t="str">
        <f t="shared" si="78"/>
        <v/>
      </c>
      <c r="AG140" s="46" t="str">
        <f t="shared" si="79"/>
        <v/>
      </c>
      <c r="AH140" s="46" t="str">
        <f t="shared" si="80"/>
        <v/>
      </c>
      <c r="AI140" s="46" t="str">
        <f t="shared" si="81"/>
        <v/>
      </c>
      <c r="AJ140" s="46" t="str">
        <f t="shared" si="82"/>
        <v/>
      </c>
      <c r="AK140" s="46" t="str">
        <f t="shared" si="83"/>
        <v/>
      </c>
      <c r="AL140" s="46" t="str">
        <f t="shared" si="84"/>
        <v/>
      </c>
      <c r="AM140" s="46" t="str">
        <f t="shared" si="85"/>
        <v/>
      </c>
      <c r="AN140" s="46" t="str">
        <f t="shared" si="86"/>
        <v/>
      </c>
      <c r="AO140" s="46" t="str">
        <f t="shared" si="87"/>
        <v/>
      </c>
      <c r="AP140" s="46" t="str">
        <f t="shared" si="88"/>
        <v/>
      </c>
      <c r="AQ140" s="46" t="str">
        <f t="shared" si="89"/>
        <v/>
      </c>
      <c r="AR140" s="46" t="str">
        <f t="shared" si="90"/>
        <v/>
      </c>
      <c r="AS140" s="46" t="str">
        <f t="shared" si="91"/>
        <v/>
      </c>
      <c r="AT140" s="46" t="str">
        <f t="shared" si="92"/>
        <v/>
      </c>
      <c r="AU140" s="46" t="str">
        <f t="shared" si="93"/>
        <v/>
      </c>
      <c r="AV140" s="46" t="str">
        <f t="shared" si="94"/>
        <v/>
      </c>
      <c r="AW140" s="46" t="str">
        <f t="shared" si="95"/>
        <v/>
      </c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20"/>
    </row>
    <row r="141" spans="2:154">
      <c r="B141" s="1"/>
      <c r="C141" s="2"/>
      <c r="D141" s="34"/>
      <c r="E141" s="34"/>
      <c r="F141" s="34"/>
      <c r="G141" s="34"/>
      <c r="H141" s="4"/>
      <c r="I141" s="4"/>
      <c r="J141" s="4"/>
      <c r="K141" s="3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37"/>
      <c r="X141" s="1"/>
      <c r="Y141" s="18">
        <f t="shared" si="71"/>
        <v>0</v>
      </c>
      <c r="Z141" s="21">
        <f t="shared" si="72"/>
        <v>0</v>
      </c>
      <c r="AA141" s="10">
        <f t="shared" si="73"/>
        <v>0</v>
      </c>
      <c r="AB141" s="10">
        <f t="shared" si="74"/>
        <v>0</v>
      </c>
      <c r="AC141" s="10">
        <f t="shared" si="75"/>
        <v>0</v>
      </c>
      <c r="AD141" s="46" t="str">
        <f t="shared" si="76"/>
        <v/>
      </c>
      <c r="AE141" s="46" t="str">
        <f t="shared" si="77"/>
        <v/>
      </c>
      <c r="AF141" s="46" t="str">
        <f t="shared" si="78"/>
        <v/>
      </c>
      <c r="AG141" s="46" t="str">
        <f t="shared" si="79"/>
        <v/>
      </c>
      <c r="AH141" s="46" t="str">
        <f t="shared" si="80"/>
        <v/>
      </c>
      <c r="AI141" s="46" t="str">
        <f t="shared" si="81"/>
        <v/>
      </c>
      <c r="AJ141" s="46" t="str">
        <f t="shared" si="82"/>
        <v/>
      </c>
      <c r="AK141" s="46" t="str">
        <f t="shared" si="83"/>
        <v/>
      </c>
      <c r="AL141" s="46" t="str">
        <f t="shared" si="84"/>
        <v/>
      </c>
      <c r="AM141" s="46" t="str">
        <f t="shared" si="85"/>
        <v/>
      </c>
      <c r="AN141" s="46" t="str">
        <f t="shared" si="86"/>
        <v/>
      </c>
      <c r="AO141" s="46" t="str">
        <f t="shared" si="87"/>
        <v/>
      </c>
      <c r="AP141" s="46" t="str">
        <f t="shared" si="88"/>
        <v/>
      </c>
      <c r="AQ141" s="46" t="str">
        <f t="shared" si="89"/>
        <v/>
      </c>
      <c r="AR141" s="46" t="str">
        <f t="shared" si="90"/>
        <v/>
      </c>
      <c r="AS141" s="46" t="str">
        <f t="shared" si="91"/>
        <v/>
      </c>
      <c r="AT141" s="46" t="str">
        <f t="shared" si="92"/>
        <v/>
      </c>
      <c r="AU141" s="46" t="str">
        <f t="shared" si="93"/>
        <v/>
      </c>
      <c r="AV141" s="46" t="str">
        <f t="shared" si="94"/>
        <v/>
      </c>
      <c r="AW141" s="46" t="str">
        <f t="shared" si="95"/>
        <v/>
      </c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20"/>
    </row>
    <row r="142" spans="2:154">
      <c r="B142" s="1"/>
      <c r="C142" s="2"/>
      <c r="D142" s="34"/>
      <c r="E142" s="34"/>
      <c r="F142" s="34"/>
      <c r="G142" s="34"/>
      <c r="H142" s="4"/>
      <c r="I142" s="4"/>
      <c r="J142" s="4"/>
      <c r="K142" s="3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37"/>
      <c r="X142" s="1"/>
      <c r="Y142" s="18">
        <f t="shared" si="71"/>
        <v>0</v>
      </c>
      <c r="Z142" s="21">
        <f t="shared" si="72"/>
        <v>0</v>
      </c>
      <c r="AA142" s="10">
        <f t="shared" si="73"/>
        <v>0</v>
      </c>
      <c r="AB142" s="10">
        <f t="shared" si="74"/>
        <v>0</v>
      </c>
      <c r="AC142" s="10">
        <f t="shared" si="75"/>
        <v>0</v>
      </c>
      <c r="AD142" s="46" t="str">
        <f t="shared" si="76"/>
        <v/>
      </c>
      <c r="AE142" s="46" t="str">
        <f t="shared" si="77"/>
        <v/>
      </c>
      <c r="AF142" s="46" t="str">
        <f t="shared" si="78"/>
        <v/>
      </c>
      <c r="AG142" s="46" t="str">
        <f t="shared" si="79"/>
        <v/>
      </c>
      <c r="AH142" s="46" t="str">
        <f t="shared" si="80"/>
        <v/>
      </c>
      <c r="AI142" s="46" t="str">
        <f t="shared" si="81"/>
        <v/>
      </c>
      <c r="AJ142" s="46" t="str">
        <f t="shared" si="82"/>
        <v/>
      </c>
      <c r="AK142" s="46" t="str">
        <f t="shared" si="83"/>
        <v/>
      </c>
      <c r="AL142" s="46" t="str">
        <f t="shared" si="84"/>
        <v/>
      </c>
      <c r="AM142" s="46" t="str">
        <f t="shared" si="85"/>
        <v/>
      </c>
      <c r="AN142" s="46" t="str">
        <f t="shared" si="86"/>
        <v/>
      </c>
      <c r="AO142" s="46" t="str">
        <f t="shared" si="87"/>
        <v/>
      </c>
      <c r="AP142" s="46" t="str">
        <f t="shared" si="88"/>
        <v/>
      </c>
      <c r="AQ142" s="46" t="str">
        <f t="shared" si="89"/>
        <v/>
      </c>
      <c r="AR142" s="46" t="str">
        <f t="shared" si="90"/>
        <v/>
      </c>
      <c r="AS142" s="46" t="str">
        <f t="shared" si="91"/>
        <v/>
      </c>
      <c r="AT142" s="46" t="str">
        <f t="shared" si="92"/>
        <v/>
      </c>
      <c r="AU142" s="46" t="str">
        <f t="shared" si="93"/>
        <v/>
      </c>
      <c r="AV142" s="46" t="str">
        <f t="shared" si="94"/>
        <v/>
      </c>
      <c r="AW142" s="46" t="str">
        <f t="shared" si="95"/>
        <v/>
      </c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20"/>
    </row>
    <row r="143" spans="2:154">
      <c r="B143" s="1"/>
      <c r="C143" s="2"/>
      <c r="D143" s="34"/>
      <c r="E143" s="34"/>
      <c r="F143" s="34"/>
      <c r="G143" s="34"/>
      <c r="H143" s="4"/>
      <c r="I143" s="4"/>
      <c r="J143" s="4"/>
      <c r="K143" s="3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37"/>
      <c r="X143" s="1"/>
      <c r="Y143" s="18">
        <f t="shared" si="71"/>
        <v>0</v>
      </c>
      <c r="Z143" s="21">
        <f t="shared" si="72"/>
        <v>0</v>
      </c>
      <c r="AA143" s="10">
        <f t="shared" si="73"/>
        <v>0</v>
      </c>
      <c r="AB143" s="10">
        <f t="shared" si="74"/>
        <v>0</v>
      </c>
      <c r="AC143" s="10">
        <f t="shared" si="75"/>
        <v>0</v>
      </c>
      <c r="AD143" s="46" t="str">
        <f t="shared" si="76"/>
        <v/>
      </c>
      <c r="AE143" s="46" t="str">
        <f t="shared" si="77"/>
        <v/>
      </c>
      <c r="AF143" s="46" t="str">
        <f t="shared" si="78"/>
        <v/>
      </c>
      <c r="AG143" s="46" t="str">
        <f t="shared" si="79"/>
        <v/>
      </c>
      <c r="AH143" s="46" t="str">
        <f t="shared" si="80"/>
        <v/>
      </c>
      <c r="AI143" s="46" t="str">
        <f t="shared" si="81"/>
        <v/>
      </c>
      <c r="AJ143" s="46" t="str">
        <f t="shared" si="82"/>
        <v/>
      </c>
      <c r="AK143" s="46" t="str">
        <f t="shared" si="83"/>
        <v/>
      </c>
      <c r="AL143" s="46" t="str">
        <f t="shared" si="84"/>
        <v/>
      </c>
      <c r="AM143" s="46" t="str">
        <f t="shared" si="85"/>
        <v/>
      </c>
      <c r="AN143" s="46" t="str">
        <f t="shared" si="86"/>
        <v/>
      </c>
      <c r="AO143" s="46" t="str">
        <f t="shared" si="87"/>
        <v/>
      </c>
      <c r="AP143" s="46" t="str">
        <f t="shared" si="88"/>
        <v/>
      </c>
      <c r="AQ143" s="46" t="str">
        <f t="shared" si="89"/>
        <v/>
      </c>
      <c r="AR143" s="46" t="str">
        <f t="shared" si="90"/>
        <v/>
      </c>
      <c r="AS143" s="46" t="str">
        <f t="shared" si="91"/>
        <v/>
      </c>
      <c r="AT143" s="46" t="str">
        <f t="shared" si="92"/>
        <v/>
      </c>
      <c r="AU143" s="46" t="str">
        <f t="shared" si="93"/>
        <v/>
      </c>
      <c r="AV143" s="46" t="str">
        <f t="shared" si="94"/>
        <v/>
      </c>
      <c r="AW143" s="46" t="str">
        <f t="shared" si="95"/>
        <v/>
      </c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20"/>
    </row>
    <row r="144" spans="2:154">
      <c r="B144" s="1"/>
      <c r="C144" s="2"/>
      <c r="D144" s="34"/>
      <c r="E144" s="34"/>
      <c r="F144" s="34"/>
      <c r="G144" s="34"/>
      <c r="H144" s="4"/>
      <c r="I144" s="4"/>
      <c r="J144" s="4"/>
      <c r="K144" s="3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37"/>
      <c r="X144" s="1"/>
      <c r="Y144" s="18">
        <f t="shared" si="71"/>
        <v>0</v>
      </c>
      <c r="Z144" s="21">
        <f t="shared" si="72"/>
        <v>0</v>
      </c>
      <c r="AA144" s="10">
        <f t="shared" si="73"/>
        <v>0</v>
      </c>
      <c r="AB144" s="10">
        <f t="shared" si="74"/>
        <v>0</v>
      </c>
      <c r="AC144" s="10">
        <f t="shared" si="75"/>
        <v>0</v>
      </c>
      <c r="AD144" s="46" t="str">
        <f t="shared" si="76"/>
        <v/>
      </c>
      <c r="AE144" s="46" t="str">
        <f t="shared" si="77"/>
        <v/>
      </c>
      <c r="AF144" s="46" t="str">
        <f t="shared" si="78"/>
        <v/>
      </c>
      <c r="AG144" s="46" t="str">
        <f t="shared" si="79"/>
        <v/>
      </c>
      <c r="AH144" s="46" t="str">
        <f t="shared" si="80"/>
        <v/>
      </c>
      <c r="AI144" s="46" t="str">
        <f t="shared" si="81"/>
        <v/>
      </c>
      <c r="AJ144" s="46" t="str">
        <f t="shared" si="82"/>
        <v/>
      </c>
      <c r="AK144" s="46" t="str">
        <f t="shared" si="83"/>
        <v/>
      </c>
      <c r="AL144" s="46" t="str">
        <f t="shared" si="84"/>
        <v/>
      </c>
      <c r="AM144" s="46" t="str">
        <f t="shared" si="85"/>
        <v/>
      </c>
      <c r="AN144" s="46" t="str">
        <f t="shared" si="86"/>
        <v/>
      </c>
      <c r="AO144" s="46" t="str">
        <f t="shared" si="87"/>
        <v/>
      </c>
      <c r="AP144" s="46" t="str">
        <f t="shared" si="88"/>
        <v/>
      </c>
      <c r="AQ144" s="46" t="str">
        <f t="shared" si="89"/>
        <v/>
      </c>
      <c r="AR144" s="46" t="str">
        <f t="shared" si="90"/>
        <v/>
      </c>
      <c r="AS144" s="46" t="str">
        <f t="shared" si="91"/>
        <v/>
      </c>
      <c r="AT144" s="46" t="str">
        <f t="shared" si="92"/>
        <v/>
      </c>
      <c r="AU144" s="46" t="str">
        <f t="shared" si="93"/>
        <v/>
      </c>
      <c r="AV144" s="46" t="str">
        <f t="shared" si="94"/>
        <v/>
      </c>
      <c r="AW144" s="46" t="str">
        <f t="shared" si="95"/>
        <v/>
      </c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20"/>
    </row>
    <row r="145" spans="2:154">
      <c r="B145" s="1"/>
      <c r="C145" s="2"/>
      <c r="D145" s="34"/>
      <c r="E145" s="34"/>
      <c r="F145" s="34"/>
      <c r="G145" s="34"/>
      <c r="H145" s="4"/>
      <c r="I145" s="4"/>
      <c r="J145" s="4"/>
      <c r="K145" s="3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37"/>
      <c r="X145" s="1"/>
      <c r="Y145" s="18">
        <f t="shared" si="71"/>
        <v>0</v>
      </c>
      <c r="Z145" s="21">
        <f t="shared" si="72"/>
        <v>0</v>
      </c>
      <c r="AA145" s="10">
        <f t="shared" si="73"/>
        <v>0</v>
      </c>
      <c r="AB145" s="10">
        <f t="shared" si="74"/>
        <v>0</v>
      </c>
      <c r="AC145" s="10">
        <f t="shared" si="75"/>
        <v>0</v>
      </c>
      <c r="AD145" s="46" t="str">
        <f t="shared" si="76"/>
        <v/>
      </c>
      <c r="AE145" s="46" t="str">
        <f t="shared" si="77"/>
        <v/>
      </c>
      <c r="AF145" s="46" t="str">
        <f t="shared" si="78"/>
        <v/>
      </c>
      <c r="AG145" s="46" t="str">
        <f t="shared" si="79"/>
        <v/>
      </c>
      <c r="AH145" s="46" t="str">
        <f t="shared" si="80"/>
        <v/>
      </c>
      <c r="AI145" s="46" t="str">
        <f t="shared" si="81"/>
        <v/>
      </c>
      <c r="AJ145" s="46" t="str">
        <f t="shared" si="82"/>
        <v/>
      </c>
      <c r="AK145" s="46" t="str">
        <f t="shared" si="83"/>
        <v/>
      </c>
      <c r="AL145" s="46" t="str">
        <f t="shared" si="84"/>
        <v/>
      </c>
      <c r="AM145" s="46" t="str">
        <f t="shared" si="85"/>
        <v/>
      </c>
      <c r="AN145" s="46" t="str">
        <f t="shared" si="86"/>
        <v/>
      </c>
      <c r="AO145" s="46" t="str">
        <f t="shared" si="87"/>
        <v/>
      </c>
      <c r="AP145" s="46" t="str">
        <f t="shared" si="88"/>
        <v/>
      </c>
      <c r="AQ145" s="46" t="str">
        <f t="shared" si="89"/>
        <v/>
      </c>
      <c r="AR145" s="46" t="str">
        <f t="shared" si="90"/>
        <v/>
      </c>
      <c r="AS145" s="46" t="str">
        <f t="shared" si="91"/>
        <v/>
      </c>
      <c r="AT145" s="46" t="str">
        <f t="shared" si="92"/>
        <v/>
      </c>
      <c r="AU145" s="46" t="str">
        <f t="shared" si="93"/>
        <v/>
      </c>
      <c r="AV145" s="46" t="str">
        <f t="shared" si="94"/>
        <v/>
      </c>
      <c r="AW145" s="46" t="str">
        <f t="shared" si="95"/>
        <v/>
      </c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20"/>
    </row>
    <row r="146" spans="2:154">
      <c r="B146" s="1"/>
      <c r="C146" s="2"/>
      <c r="D146" s="34"/>
      <c r="E146" s="34"/>
      <c r="F146" s="34"/>
      <c r="G146" s="34"/>
      <c r="H146" s="4"/>
      <c r="I146" s="4"/>
      <c r="J146" s="4"/>
      <c r="K146" s="3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37"/>
      <c r="X146" s="1"/>
      <c r="Y146" s="18">
        <f t="shared" si="71"/>
        <v>0</v>
      </c>
      <c r="Z146" s="21">
        <f t="shared" si="72"/>
        <v>0</v>
      </c>
      <c r="AA146" s="10">
        <f t="shared" si="73"/>
        <v>0</v>
      </c>
      <c r="AB146" s="10">
        <f t="shared" si="74"/>
        <v>0</v>
      </c>
      <c r="AC146" s="10">
        <f t="shared" si="75"/>
        <v>0</v>
      </c>
      <c r="AD146" s="46" t="str">
        <f t="shared" si="76"/>
        <v/>
      </c>
      <c r="AE146" s="46" t="str">
        <f t="shared" si="77"/>
        <v/>
      </c>
      <c r="AF146" s="46" t="str">
        <f t="shared" si="78"/>
        <v/>
      </c>
      <c r="AG146" s="46" t="str">
        <f t="shared" si="79"/>
        <v/>
      </c>
      <c r="AH146" s="46" t="str">
        <f t="shared" si="80"/>
        <v/>
      </c>
      <c r="AI146" s="46" t="str">
        <f t="shared" si="81"/>
        <v/>
      </c>
      <c r="AJ146" s="46" t="str">
        <f t="shared" si="82"/>
        <v/>
      </c>
      <c r="AK146" s="46" t="str">
        <f t="shared" si="83"/>
        <v/>
      </c>
      <c r="AL146" s="46" t="str">
        <f t="shared" si="84"/>
        <v/>
      </c>
      <c r="AM146" s="46" t="str">
        <f t="shared" si="85"/>
        <v/>
      </c>
      <c r="AN146" s="46" t="str">
        <f t="shared" si="86"/>
        <v/>
      </c>
      <c r="AO146" s="46" t="str">
        <f t="shared" si="87"/>
        <v/>
      </c>
      <c r="AP146" s="46" t="str">
        <f t="shared" si="88"/>
        <v/>
      </c>
      <c r="AQ146" s="46" t="str">
        <f t="shared" si="89"/>
        <v/>
      </c>
      <c r="AR146" s="46" t="str">
        <f t="shared" si="90"/>
        <v/>
      </c>
      <c r="AS146" s="46" t="str">
        <f t="shared" si="91"/>
        <v/>
      </c>
      <c r="AT146" s="46" t="str">
        <f t="shared" si="92"/>
        <v/>
      </c>
      <c r="AU146" s="46" t="str">
        <f t="shared" si="93"/>
        <v/>
      </c>
      <c r="AV146" s="46" t="str">
        <f t="shared" si="94"/>
        <v/>
      </c>
      <c r="AW146" s="46" t="str">
        <f t="shared" si="95"/>
        <v/>
      </c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20"/>
    </row>
    <row r="147" spans="2:154">
      <c r="B147" s="1"/>
      <c r="C147" s="2"/>
      <c r="D147" s="34"/>
      <c r="E147" s="34"/>
      <c r="F147" s="34"/>
      <c r="G147" s="34"/>
      <c r="H147" s="4"/>
      <c r="I147" s="4"/>
      <c r="J147" s="4"/>
      <c r="K147" s="3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37"/>
      <c r="X147" s="1"/>
      <c r="Y147" s="18">
        <f t="shared" si="71"/>
        <v>0</v>
      </c>
      <c r="Z147" s="21">
        <f t="shared" si="72"/>
        <v>0</v>
      </c>
      <c r="AA147" s="10">
        <f t="shared" si="73"/>
        <v>0</v>
      </c>
      <c r="AB147" s="10">
        <f t="shared" si="74"/>
        <v>0</v>
      </c>
      <c r="AC147" s="10">
        <f t="shared" si="75"/>
        <v>0</v>
      </c>
      <c r="AD147" s="46" t="str">
        <f t="shared" si="76"/>
        <v/>
      </c>
      <c r="AE147" s="46" t="str">
        <f t="shared" si="77"/>
        <v/>
      </c>
      <c r="AF147" s="46" t="str">
        <f t="shared" si="78"/>
        <v/>
      </c>
      <c r="AG147" s="46" t="str">
        <f t="shared" si="79"/>
        <v/>
      </c>
      <c r="AH147" s="46" t="str">
        <f t="shared" si="80"/>
        <v/>
      </c>
      <c r="AI147" s="46" t="str">
        <f t="shared" si="81"/>
        <v/>
      </c>
      <c r="AJ147" s="46" t="str">
        <f t="shared" si="82"/>
        <v/>
      </c>
      <c r="AK147" s="46" t="str">
        <f t="shared" si="83"/>
        <v/>
      </c>
      <c r="AL147" s="46" t="str">
        <f t="shared" si="84"/>
        <v/>
      </c>
      <c r="AM147" s="46" t="str">
        <f t="shared" si="85"/>
        <v/>
      </c>
      <c r="AN147" s="46" t="str">
        <f t="shared" si="86"/>
        <v/>
      </c>
      <c r="AO147" s="46" t="str">
        <f t="shared" si="87"/>
        <v/>
      </c>
      <c r="AP147" s="46" t="str">
        <f t="shared" si="88"/>
        <v/>
      </c>
      <c r="AQ147" s="46" t="str">
        <f t="shared" si="89"/>
        <v/>
      </c>
      <c r="AR147" s="46" t="str">
        <f t="shared" si="90"/>
        <v/>
      </c>
      <c r="AS147" s="46" t="str">
        <f t="shared" si="91"/>
        <v/>
      </c>
      <c r="AT147" s="46" t="str">
        <f t="shared" si="92"/>
        <v/>
      </c>
      <c r="AU147" s="46" t="str">
        <f t="shared" si="93"/>
        <v/>
      </c>
      <c r="AV147" s="46" t="str">
        <f t="shared" si="94"/>
        <v/>
      </c>
      <c r="AW147" s="46" t="str">
        <f t="shared" si="95"/>
        <v/>
      </c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20"/>
    </row>
    <row r="148" spans="2:154">
      <c r="B148" s="1"/>
      <c r="C148" s="2"/>
      <c r="D148" s="34"/>
      <c r="E148" s="34"/>
      <c r="F148" s="34"/>
      <c r="G148" s="34"/>
      <c r="H148" s="4"/>
      <c r="I148" s="4"/>
      <c r="J148" s="4"/>
      <c r="K148" s="3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37"/>
      <c r="X148" s="1"/>
      <c r="Y148" s="18">
        <f t="shared" si="71"/>
        <v>0</v>
      </c>
      <c r="Z148" s="21">
        <f t="shared" si="72"/>
        <v>0</v>
      </c>
      <c r="AA148" s="10">
        <f t="shared" si="73"/>
        <v>0</v>
      </c>
      <c r="AB148" s="10">
        <f t="shared" si="74"/>
        <v>0</v>
      </c>
      <c r="AC148" s="10">
        <f t="shared" si="75"/>
        <v>0</v>
      </c>
      <c r="AD148" s="46" t="str">
        <f t="shared" si="76"/>
        <v/>
      </c>
      <c r="AE148" s="46" t="str">
        <f t="shared" si="77"/>
        <v/>
      </c>
      <c r="AF148" s="46" t="str">
        <f t="shared" si="78"/>
        <v/>
      </c>
      <c r="AG148" s="46" t="str">
        <f t="shared" si="79"/>
        <v/>
      </c>
      <c r="AH148" s="46" t="str">
        <f t="shared" si="80"/>
        <v/>
      </c>
      <c r="AI148" s="46" t="str">
        <f t="shared" si="81"/>
        <v/>
      </c>
      <c r="AJ148" s="46" t="str">
        <f t="shared" si="82"/>
        <v/>
      </c>
      <c r="AK148" s="46" t="str">
        <f t="shared" si="83"/>
        <v/>
      </c>
      <c r="AL148" s="46" t="str">
        <f t="shared" si="84"/>
        <v/>
      </c>
      <c r="AM148" s="46" t="str">
        <f t="shared" si="85"/>
        <v/>
      </c>
      <c r="AN148" s="46" t="str">
        <f t="shared" si="86"/>
        <v/>
      </c>
      <c r="AO148" s="46" t="str">
        <f t="shared" si="87"/>
        <v/>
      </c>
      <c r="AP148" s="46" t="str">
        <f t="shared" si="88"/>
        <v/>
      </c>
      <c r="AQ148" s="46" t="str">
        <f t="shared" si="89"/>
        <v/>
      </c>
      <c r="AR148" s="46" t="str">
        <f t="shared" si="90"/>
        <v/>
      </c>
      <c r="AS148" s="46" t="str">
        <f t="shared" si="91"/>
        <v/>
      </c>
      <c r="AT148" s="46" t="str">
        <f t="shared" si="92"/>
        <v/>
      </c>
      <c r="AU148" s="46" t="str">
        <f t="shared" si="93"/>
        <v/>
      </c>
      <c r="AV148" s="46" t="str">
        <f t="shared" si="94"/>
        <v/>
      </c>
      <c r="AW148" s="46" t="str">
        <f t="shared" si="95"/>
        <v/>
      </c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20"/>
    </row>
    <row r="149" spans="2:154">
      <c r="B149" s="1"/>
      <c r="C149" s="2"/>
      <c r="D149" s="34"/>
      <c r="E149" s="34"/>
      <c r="F149" s="34"/>
      <c r="G149" s="34"/>
      <c r="H149" s="4"/>
      <c r="I149" s="4"/>
      <c r="J149" s="4"/>
      <c r="K149" s="3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37"/>
      <c r="X149" s="1"/>
      <c r="Y149" s="18">
        <f t="shared" si="71"/>
        <v>0</v>
      </c>
      <c r="Z149" s="21">
        <f t="shared" si="72"/>
        <v>0</v>
      </c>
      <c r="AA149" s="10">
        <f t="shared" si="73"/>
        <v>0</v>
      </c>
      <c r="AB149" s="10">
        <f t="shared" si="74"/>
        <v>0</v>
      </c>
      <c r="AC149" s="10">
        <f t="shared" si="75"/>
        <v>0</v>
      </c>
      <c r="AD149" s="46" t="str">
        <f t="shared" si="76"/>
        <v/>
      </c>
      <c r="AE149" s="46" t="str">
        <f t="shared" si="77"/>
        <v/>
      </c>
      <c r="AF149" s="46" t="str">
        <f t="shared" si="78"/>
        <v/>
      </c>
      <c r="AG149" s="46" t="str">
        <f t="shared" si="79"/>
        <v/>
      </c>
      <c r="AH149" s="46" t="str">
        <f t="shared" si="80"/>
        <v/>
      </c>
      <c r="AI149" s="46" t="str">
        <f t="shared" si="81"/>
        <v/>
      </c>
      <c r="AJ149" s="46" t="str">
        <f t="shared" si="82"/>
        <v/>
      </c>
      <c r="AK149" s="46" t="str">
        <f t="shared" si="83"/>
        <v/>
      </c>
      <c r="AL149" s="46" t="str">
        <f t="shared" si="84"/>
        <v/>
      </c>
      <c r="AM149" s="46" t="str">
        <f t="shared" si="85"/>
        <v/>
      </c>
      <c r="AN149" s="46" t="str">
        <f t="shared" si="86"/>
        <v/>
      </c>
      <c r="AO149" s="46" t="str">
        <f t="shared" si="87"/>
        <v/>
      </c>
      <c r="AP149" s="46" t="str">
        <f t="shared" si="88"/>
        <v/>
      </c>
      <c r="AQ149" s="46" t="str">
        <f t="shared" si="89"/>
        <v/>
      </c>
      <c r="AR149" s="46" t="str">
        <f t="shared" si="90"/>
        <v/>
      </c>
      <c r="AS149" s="46" t="str">
        <f t="shared" si="91"/>
        <v/>
      </c>
      <c r="AT149" s="46" t="str">
        <f t="shared" si="92"/>
        <v/>
      </c>
      <c r="AU149" s="46" t="str">
        <f t="shared" si="93"/>
        <v/>
      </c>
      <c r="AV149" s="46" t="str">
        <f t="shared" si="94"/>
        <v/>
      </c>
      <c r="AW149" s="46" t="str">
        <f t="shared" si="95"/>
        <v/>
      </c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20"/>
    </row>
    <row r="150" spans="2:154">
      <c r="B150" s="1"/>
      <c r="C150" s="2"/>
      <c r="D150" s="34"/>
      <c r="E150" s="34"/>
      <c r="F150" s="34"/>
      <c r="G150" s="34"/>
      <c r="H150" s="4"/>
      <c r="I150" s="4"/>
      <c r="J150" s="4"/>
      <c r="K150" s="3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7"/>
      <c r="X150" s="1"/>
      <c r="Y150" s="18">
        <f t="shared" si="71"/>
        <v>0</v>
      </c>
      <c r="Z150" s="21">
        <f t="shared" si="72"/>
        <v>0</v>
      </c>
      <c r="AA150" s="10">
        <f t="shared" si="73"/>
        <v>0</v>
      </c>
      <c r="AB150" s="10">
        <f t="shared" si="74"/>
        <v>0</v>
      </c>
      <c r="AC150" s="10">
        <f t="shared" si="75"/>
        <v>0</v>
      </c>
      <c r="AD150" s="46" t="str">
        <f t="shared" si="76"/>
        <v/>
      </c>
      <c r="AE150" s="46" t="str">
        <f t="shared" si="77"/>
        <v/>
      </c>
      <c r="AF150" s="46" t="str">
        <f t="shared" si="78"/>
        <v/>
      </c>
      <c r="AG150" s="46" t="str">
        <f t="shared" si="79"/>
        <v/>
      </c>
      <c r="AH150" s="46" t="str">
        <f t="shared" si="80"/>
        <v/>
      </c>
      <c r="AI150" s="46" t="str">
        <f t="shared" si="81"/>
        <v/>
      </c>
      <c r="AJ150" s="46" t="str">
        <f t="shared" si="82"/>
        <v/>
      </c>
      <c r="AK150" s="46" t="str">
        <f t="shared" si="83"/>
        <v/>
      </c>
      <c r="AL150" s="46" t="str">
        <f t="shared" si="84"/>
        <v/>
      </c>
      <c r="AM150" s="46" t="str">
        <f t="shared" si="85"/>
        <v/>
      </c>
      <c r="AN150" s="46" t="str">
        <f t="shared" si="86"/>
        <v/>
      </c>
      <c r="AO150" s="46" t="str">
        <f t="shared" si="87"/>
        <v/>
      </c>
      <c r="AP150" s="46" t="str">
        <f t="shared" si="88"/>
        <v/>
      </c>
      <c r="AQ150" s="46" t="str">
        <f t="shared" si="89"/>
        <v/>
      </c>
      <c r="AR150" s="46" t="str">
        <f t="shared" si="90"/>
        <v/>
      </c>
      <c r="AS150" s="46" t="str">
        <f t="shared" si="91"/>
        <v/>
      </c>
      <c r="AT150" s="46" t="str">
        <f t="shared" si="92"/>
        <v/>
      </c>
      <c r="AU150" s="46" t="str">
        <f t="shared" si="93"/>
        <v/>
      </c>
      <c r="AV150" s="46" t="str">
        <f t="shared" si="94"/>
        <v/>
      </c>
      <c r="AW150" s="46" t="str">
        <f t="shared" si="95"/>
        <v/>
      </c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20"/>
    </row>
    <row r="151" spans="2:154">
      <c r="B151" s="1"/>
      <c r="C151" s="2"/>
      <c r="D151" s="34"/>
      <c r="E151" s="34"/>
      <c r="F151" s="34"/>
      <c r="G151" s="34"/>
      <c r="H151" s="4"/>
      <c r="I151" s="4"/>
      <c r="J151" s="4"/>
      <c r="K151" s="3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37"/>
      <c r="X151" s="1"/>
      <c r="Y151" s="18">
        <f t="shared" si="71"/>
        <v>0</v>
      </c>
      <c r="Z151" s="21">
        <f t="shared" si="72"/>
        <v>0</v>
      </c>
      <c r="AA151" s="10">
        <f t="shared" si="73"/>
        <v>0</v>
      </c>
      <c r="AB151" s="10">
        <f t="shared" si="74"/>
        <v>0</v>
      </c>
      <c r="AC151" s="10">
        <f t="shared" si="75"/>
        <v>0</v>
      </c>
      <c r="AD151" s="46" t="str">
        <f t="shared" si="76"/>
        <v/>
      </c>
      <c r="AE151" s="46" t="str">
        <f t="shared" si="77"/>
        <v/>
      </c>
      <c r="AF151" s="46" t="str">
        <f t="shared" si="78"/>
        <v/>
      </c>
      <c r="AG151" s="46" t="str">
        <f t="shared" si="79"/>
        <v/>
      </c>
      <c r="AH151" s="46" t="str">
        <f t="shared" si="80"/>
        <v/>
      </c>
      <c r="AI151" s="46" t="str">
        <f t="shared" si="81"/>
        <v/>
      </c>
      <c r="AJ151" s="46" t="str">
        <f t="shared" si="82"/>
        <v/>
      </c>
      <c r="AK151" s="46" t="str">
        <f t="shared" si="83"/>
        <v/>
      </c>
      <c r="AL151" s="46" t="str">
        <f t="shared" si="84"/>
        <v/>
      </c>
      <c r="AM151" s="46" t="str">
        <f t="shared" si="85"/>
        <v/>
      </c>
      <c r="AN151" s="46" t="str">
        <f t="shared" si="86"/>
        <v/>
      </c>
      <c r="AO151" s="46" t="str">
        <f t="shared" si="87"/>
        <v/>
      </c>
      <c r="AP151" s="46" t="str">
        <f t="shared" si="88"/>
        <v/>
      </c>
      <c r="AQ151" s="46" t="str">
        <f t="shared" si="89"/>
        <v/>
      </c>
      <c r="AR151" s="46" t="str">
        <f t="shared" si="90"/>
        <v/>
      </c>
      <c r="AS151" s="46" t="str">
        <f t="shared" si="91"/>
        <v/>
      </c>
      <c r="AT151" s="46" t="str">
        <f t="shared" si="92"/>
        <v/>
      </c>
      <c r="AU151" s="46" t="str">
        <f t="shared" si="93"/>
        <v/>
      </c>
      <c r="AV151" s="46" t="str">
        <f t="shared" si="94"/>
        <v/>
      </c>
      <c r="AW151" s="46" t="str">
        <f t="shared" si="95"/>
        <v/>
      </c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20"/>
    </row>
    <row r="152" spans="2:154">
      <c r="B152" s="1"/>
      <c r="C152" s="2"/>
      <c r="D152" s="34"/>
      <c r="E152" s="34"/>
      <c r="F152" s="34"/>
      <c r="G152" s="34"/>
      <c r="H152" s="4"/>
      <c r="I152" s="4"/>
      <c r="J152" s="4"/>
      <c r="K152" s="3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37"/>
      <c r="X152" s="1"/>
      <c r="Y152" s="18">
        <f t="shared" si="71"/>
        <v>0</v>
      </c>
      <c r="Z152" s="21">
        <f t="shared" si="72"/>
        <v>0</v>
      </c>
      <c r="AA152" s="10">
        <f t="shared" si="73"/>
        <v>0</v>
      </c>
      <c r="AB152" s="10">
        <f t="shared" si="74"/>
        <v>0</v>
      </c>
      <c r="AC152" s="10">
        <f t="shared" si="75"/>
        <v>0</v>
      </c>
      <c r="AD152" s="46" t="str">
        <f t="shared" si="76"/>
        <v/>
      </c>
      <c r="AE152" s="46" t="str">
        <f t="shared" si="77"/>
        <v/>
      </c>
      <c r="AF152" s="46" t="str">
        <f t="shared" si="78"/>
        <v/>
      </c>
      <c r="AG152" s="46" t="str">
        <f t="shared" si="79"/>
        <v/>
      </c>
      <c r="AH152" s="46" t="str">
        <f t="shared" si="80"/>
        <v/>
      </c>
      <c r="AI152" s="46" t="str">
        <f t="shared" si="81"/>
        <v/>
      </c>
      <c r="AJ152" s="46" t="str">
        <f t="shared" si="82"/>
        <v/>
      </c>
      <c r="AK152" s="46" t="str">
        <f t="shared" si="83"/>
        <v/>
      </c>
      <c r="AL152" s="46" t="str">
        <f t="shared" si="84"/>
        <v/>
      </c>
      <c r="AM152" s="46" t="str">
        <f t="shared" si="85"/>
        <v/>
      </c>
      <c r="AN152" s="46" t="str">
        <f t="shared" si="86"/>
        <v/>
      </c>
      <c r="AO152" s="46" t="str">
        <f t="shared" si="87"/>
        <v/>
      </c>
      <c r="AP152" s="46" t="str">
        <f t="shared" si="88"/>
        <v/>
      </c>
      <c r="AQ152" s="46" t="str">
        <f t="shared" si="89"/>
        <v/>
      </c>
      <c r="AR152" s="46" t="str">
        <f t="shared" si="90"/>
        <v/>
      </c>
      <c r="AS152" s="46" t="str">
        <f t="shared" si="91"/>
        <v/>
      </c>
      <c r="AT152" s="46" t="str">
        <f t="shared" si="92"/>
        <v/>
      </c>
      <c r="AU152" s="46" t="str">
        <f t="shared" si="93"/>
        <v/>
      </c>
      <c r="AV152" s="46" t="str">
        <f t="shared" si="94"/>
        <v/>
      </c>
      <c r="AW152" s="46" t="str">
        <f t="shared" si="95"/>
        <v/>
      </c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20"/>
    </row>
    <row r="153" spans="2:154">
      <c r="B153" s="1"/>
      <c r="C153" s="2"/>
      <c r="D153" s="34"/>
      <c r="E153" s="34"/>
      <c r="F153" s="34"/>
      <c r="G153" s="34"/>
      <c r="H153" s="4"/>
      <c r="I153" s="4"/>
      <c r="J153" s="4"/>
      <c r="K153" s="3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37"/>
      <c r="X153" s="1"/>
      <c r="Y153" s="18">
        <f t="shared" si="71"/>
        <v>0</v>
      </c>
      <c r="Z153" s="21">
        <f t="shared" si="72"/>
        <v>0</v>
      </c>
      <c r="AA153" s="10">
        <f t="shared" si="73"/>
        <v>0</v>
      </c>
      <c r="AB153" s="10">
        <f t="shared" si="74"/>
        <v>0</v>
      </c>
      <c r="AC153" s="10">
        <f t="shared" si="75"/>
        <v>0</v>
      </c>
      <c r="AD153" s="46" t="str">
        <f t="shared" si="76"/>
        <v/>
      </c>
      <c r="AE153" s="46" t="str">
        <f t="shared" si="77"/>
        <v/>
      </c>
      <c r="AF153" s="46" t="str">
        <f t="shared" si="78"/>
        <v/>
      </c>
      <c r="AG153" s="46" t="str">
        <f t="shared" si="79"/>
        <v/>
      </c>
      <c r="AH153" s="46" t="str">
        <f t="shared" si="80"/>
        <v/>
      </c>
      <c r="AI153" s="46" t="str">
        <f t="shared" si="81"/>
        <v/>
      </c>
      <c r="AJ153" s="46" t="str">
        <f t="shared" si="82"/>
        <v/>
      </c>
      <c r="AK153" s="46" t="str">
        <f t="shared" si="83"/>
        <v/>
      </c>
      <c r="AL153" s="46" t="str">
        <f t="shared" si="84"/>
        <v/>
      </c>
      <c r="AM153" s="46" t="str">
        <f t="shared" si="85"/>
        <v/>
      </c>
      <c r="AN153" s="46" t="str">
        <f t="shared" si="86"/>
        <v/>
      </c>
      <c r="AO153" s="46" t="str">
        <f t="shared" si="87"/>
        <v/>
      </c>
      <c r="AP153" s="46" t="str">
        <f t="shared" si="88"/>
        <v/>
      </c>
      <c r="AQ153" s="46" t="str">
        <f t="shared" si="89"/>
        <v/>
      </c>
      <c r="AR153" s="46" t="str">
        <f t="shared" si="90"/>
        <v/>
      </c>
      <c r="AS153" s="46" t="str">
        <f t="shared" si="91"/>
        <v/>
      </c>
      <c r="AT153" s="46" t="str">
        <f t="shared" si="92"/>
        <v/>
      </c>
      <c r="AU153" s="46" t="str">
        <f t="shared" si="93"/>
        <v/>
      </c>
      <c r="AV153" s="46" t="str">
        <f t="shared" si="94"/>
        <v/>
      </c>
      <c r="AW153" s="46" t="str">
        <f t="shared" si="95"/>
        <v/>
      </c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20"/>
    </row>
    <row r="154" spans="2:154">
      <c r="B154" s="1"/>
      <c r="C154" s="2"/>
      <c r="D154" s="34"/>
      <c r="E154" s="34"/>
      <c r="F154" s="34"/>
      <c r="G154" s="34"/>
      <c r="H154" s="4"/>
      <c r="I154" s="4"/>
      <c r="J154" s="4"/>
      <c r="K154" s="3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37"/>
      <c r="X154" s="1"/>
      <c r="Y154" s="18">
        <f t="shared" si="71"/>
        <v>0</v>
      </c>
      <c r="Z154" s="21">
        <f t="shared" si="72"/>
        <v>0</v>
      </c>
      <c r="AA154" s="10">
        <f t="shared" si="73"/>
        <v>0</v>
      </c>
      <c r="AB154" s="10">
        <f t="shared" si="74"/>
        <v>0</v>
      </c>
      <c r="AC154" s="10">
        <f t="shared" si="75"/>
        <v>0</v>
      </c>
      <c r="AD154" s="46" t="str">
        <f t="shared" si="76"/>
        <v/>
      </c>
      <c r="AE154" s="46" t="str">
        <f t="shared" si="77"/>
        <v/>
      </c>
      <c r="AF154" s="46" t="str">
        <f t="shared" si="78"/>
        <v/>
      </c>
      <c r="AG154" s="46" t="str">
        <f t="shared" si="79"/>
        <v/>
      </c>
      <c r="AH154" s="46" t="str">
        <f t="shared" si="80"/>
        <v/>
      </c>
      <c r="AI154" s="46" t="str">
        <f t="shared" si="81"/>
        <v/>
      </c>
      <c r="AJ154" s="46" t="str">
        <f t="shared" si="82"/>
        <v/>
      </c>
      <c r="AK154" s="46" t="str">
        <f t="shared" si="83"/>
        <v/>
      </c>
      <c r="AL154" s="46" t="str">
        <f t="shared" si="84"/>
        <v/>
      </c>
      <c r="AM154" s="46" t="str">
        <f t="shared" si="85"/>
        <v/>
      </c>
      <c r="AN154" s="46" t="str">
        <f t="shared" si="86"/>
        <v/>
      </c>
      <c r="AO154" s="46" t="str">
        <f t="shared" si="87"/>
        <v/>
      </c>
      <c r="AP154" s="46" t="str">
        <f t="shared" si="88"/>
        <v/>
      </c>
      <c r="AQ154" s="46" t="str">
        <f t="shared" si="89"/>
        <v/>
      </c>
      <c r="AR154" s="46" t="str">
        <f t="shared" si="90"/>
        <v/>
      </c>
      <c r="AS154" s="46" t="str">
        <f t="shared" si="91"/>
        <v/>
      </c>
      <c r="AT154" s="46" t="str">
        <f t="shared" si="92"/>
        <v/>
      </c>
      <c r="AU154" s="46" t="str">
        <f t="shared" si="93"/>
        <v/>
      </c>
      <c r="AV154" s="46" t="str">
        <f t="shared" si="94"/>
        <v/>
      </c>
      <c r="AW154" s="46" t="str">
        <f t="shared" si="95"/>
        <v/>
      </c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20"/>
    </row>
    <row r="155" spans="2:154">
      <c r="B155" s="1"/>
      <c r="C155" s="2"/>
      <c r="D155" s="34"/>
      <c r="E155" s="34"/>
      <c r="F155" s="34"/>
      <c r="G155" s="34"/>
      <c r="H155" s="4"/>
      <c r="I155" s="4"/>
      <c r="J155" s="4"/>
      <c r="K155" s="3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37"/>
      <c r="X155" s="1"/>
      <c r="Y155" s="18">
        <f t="shared" si="71"/>
        <v>0</v>
      </c>
      <c r="Z155" s="21">
        <f t="shared" si="72"/>
        <v>0</v>
      </c>
      <c r="AA155" s="10">
        <f t="shared" si="73"/>
        <v>0</v>
      </c>
      <c r="AB155" s="10">
        <f t="shared" si="74"/>
        <v>0</v>
      </c>
      <c r="AC155" s="10">
        <f t="shared" si="75"/>
        <v>0</v>
      </c>
      <c r="AD155" s="46" t="str">
        <f t="shared" si="76"/>
        <v/>
      </c>
      <c r="AE155" s="46" t="str">
        <f t="shared" si="77"/>
        <v/>
      </c>
      <c r="AF155" s="46" t="str">
        <f t="shared" si="78"/>
        <v/>
      </c>
      <c r="AG155" s="46" t="str">
        <f t="shared" si="79"/>
        <v/>
      </c>
      <c r="AH155" s="46" t="str">
        <f t="shared" si="80"/>
        <v/>
      </c>
      <c r="AI155" s="46" t="str">
        <f t="shared" si="81"/>
        <v/>
      </c>
      <c r="AJ155" s="46" t="str">
        <f t="shared" si="82"/>
        <v/>
      </c>
      <c r="AK155" s="46" t="str">
        <f t="shared" si="83"/>
        <v/>
      </c>
      <c r="AL155" s="46" t="str">
        <f t="shared" si="84"/>
        <v/>
      </c>
      <c r="AM155" s="46" t="str">
        <f t="shared" si="85"/>
        <v/>
      </c>
      <c r="AN155" s="46" t="str">
        <f t="shared" si="86"/>
        <v/>
      </c>
      <c r="AO155" s="46" t="str">
        <f t="shared" si="87"/>
        <v/>
      </c>
      <c r="AP155" s="46" t="str">
        <f t="shared" si="88"/>
        <v/>
      </c>
      <c r="AQ155" s="46" t="str">
        <f t="shared" si="89"/>
        <v/>
      </c>
      <c r="AR155" s="46" t="str">
        <f t="shared" si="90"/>
        <v/>
      </c>
      <c r="AS155" s="46" t="str">
        <f t="shared" si="91"/>
        <v/>
      </c>
      <c r="AT155" s="46" t="str">
        <f t="shared" si="92"/>
        <v/>
      </c>
      <c r="AU155" s="46" t="str">
        <f t="shared" si="93"/>
        <v/>
      </c>
      <c r="AV155" s="46" t="str">
        <f t="shared" si="94"/>
        <v/>
      </c>
      <c r="AW155" s="46" t="str">
        <f t="shared" si="95"/>
        <v/>
      </c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20"/>
    </row>
    <row r="156" spans="2:154">
      <c r="B156" s="1"/>
      <c r="C156" s="2"/>
      <c r="D156" s="34"/>
      <c r="E156" s="34"/>
      <c r="F156" s="34"/>
      <c r="G156" s="34"/>
      <c r="H156" s="4"/>
      <c r="I156" s="4"/>
      <c r="J156" s="4"/>
      <c r="K156" s="3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7"/>
      <c r="X156" s="1"/>
      <c r="Y156" s="18">
        <f t="shared" si="71"/>
        <v>0</v>
      </c>
      <c r="Z156" s="21">
        <f t="shared" si="72"/>
        <v>0</v>
      </c>
      <c r="AA156" s="10">
        <f t="shared" si="73"/>
        <v>0</v>
      </c>
      <c r="AB156" s="10">
        <f t="shared" si="74"/>
        <v>0</v>
      </c>
      <c r="AC156" s="10">
        <f t="shared" si="75"/>
        <v>0</v>
      </c>
      <c r="AD156" s="46" t="str">
        <f t="shared" si="76"/>
        <v/>
      </c>
      <c r="AE156" s="46" t="str">
        <f t="shared" si="77"/>
        <v/>
      </c>
      <c r="AF156" s="46" t="str">
        <f t="shared" si="78"/>
        <v/>
      </c>
      <c r="AG156" s="46" t="str">
        <f t="shared" si="79"/>
        <v/>
      </c>
      <c r="AH156" s="46" t="str">
        <f t="shared" si="80"/>
        <v/>
      </c>
      <c r="AI156" s="46" t="str">
        <f t="shared" si="81"/>
        <v/>
      </c>
      <c r="AJ156" s="46" t="str">
        <f t="shared" si="82"/>
        <v/>
      </c>
      <c r="AK156" s="46" t="str">
        <f t="shared" si="83"/>
        <v/>
      </c>
      <c r="AL156" s="46" t="str">
        <f t="shared" si="84"/>
        <v/>
      </c>
      <c r="AM156" s="46" t="str">
        <f t="shared" si="85"/>
        <v/>
      </c>
      <c r="AN156" s="46" t="str">
        <f t="shared" si="86"/>
        <v/>
      </c>
      <c r="AO156" s="46" t="str">
        <f t="shared" si="87"/>
        <v/>
      </c>
      <c r="AP156" s="46" t="str">
        <f t="shared" si="88"/>
        <v/>
      </c>
      <c r="AQ156" s="46" t="str">
        <f t="shared" si="89"/>
        <v/>
      </c>
      <c r="AR156" s="46" t="str">
        <f t="shared" si="90"/>
        <v/>
      </c>
      <c r="AS156" s="46" t="str">
        <f t="shared" si="91"/>
        <v/>
      </c>
      <c r="AT156" s="46" t="str">
        <f t="shared" si="92"/>
        <v/>
      </c>
      <c r="AU156" s="46" t="str">
        <f t="shared" si="93"/>
        <v/>
      </c>
      <c r="AV156" s="46" t="str">
        <f t="shared" si="94"/>
        <v/>
      </c>
      <c r="AW156" s="46" t="str">
        <f t="shared" si="95"/>
        <v/>
      </c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20"/>
    </row>
    <row r="157" spans="2:154">
      <c r="B157" s="1"/>
      <c r="C157" s="2"/>
      <c r="D157" s="34"/>
      <c r="E157" s="34"/>
      <c r="F157" s="34"/>
      <c r="G157" s="34"/>
      <c r="H157" s="4"/>
      <c r="I157" s="4"/>
      <c r="J157" s="4"/>
      <c r="K157" s="3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37"/>
      <c r="X157" s="1"/>
      <c r="Y157" s="18">
        <f t="shared" si="71"/>
        <v>0</v>
      </c>
      <c r="Z157" s="21">
        <f t="shared" si="72"/>
        <v>0</v>
      </c>
      <c r="AA157" s="10">
        <f t="shared" si="73"/>
        <v>0</v>
      </c>
      <c r="AB157" s="10">
        <f t="shared" si="74"/>
        <v>0</v>
      </c>
      <c r="AC157" s="10">
        <f t="shared" si="75"/>
        <v>0</v>
      </c>
      <c r="AD157" s="46" t="str">
        <f t="shared" si="76"/>
        <v/>
      </c>
      <c r="AE157" s="46" t="str">
        <f t="shared" si="77"/>
        <v/>
      </c>
      <c r="AF157" s="46" t="str">
        <f t="shared" si="78"/>
        <v/>
      </c>
      <c r="AG157" s="46" t="str">
        <f t="shared" si="79"/>
        <v/>
      </c>
      <c r="AH157" s="46" t="str">
        <f t="shared" si="80"/>
        <v/>
      </c>
      <c r="AI157" s="46" t="str">
        <f t="shared" si="81"/>
        <v/>
      </c>
      <c r="AJ157" s="46" t="str">
        <f t="shared" si="82"/>
        <v/>
      </c>
      <c r="AK157" s="46" t="str">
        <f t="shared" si="83"/>
        <v/>
      </c>
      <c r="AL157" s="46" t="str">
        <f t="shared" si="84"/>
        <v/>
      </c>
      <c r="AM157" s="46" t="str">
        <f t="shared" si="85"/>
        <v/>
      </c>
      <c r="AN157" s="46" t="str">
        <f t="shared" si="86"/>
        <v/>
      </c>
      <c r="AO157" s="46" t="str">
        <f t="shared" si="87"/>
        <v/>
      </c>
      <c r="AP157" s="46" t="str">
        <f t="shared" si="88"/>
        <v/>
      </c>
      <c r="AQ157" s="46" t="str">
        <f t="shared" si="89"/>
        <v/>
      </c>
      <c r="AR157" s="46" t="str">
        <f t="shared" si="90"/>
        <v/>
      </c>
      <c r="AS157" s="46" t="str">
        <f t="shared" si="91"/>
        <v/>
      </c>
      <c r="AT157" s="46" t="str">
        <f t="shared" si="92"/>
        <v/>
      </c>
      <c r="AU157" s="46" t="str">
        <f t="shared" si="93"/>
        <v/>
      </c>
      <c r="AV157" s="46" t="str">
        <f t="shared" si="94"/>
        <v/>
      </c>
      <c r="AW157" s="46" t="str">
        <f t="shared" si="95"/>
        <v/>
      </c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20"/>
    </row>
    <row r="158" spans="2:154">
      <c r="B158" s="1"/>
      <c r="C158" s="2"/>
      <c r="D158" s="34"/>
      <c r="E158" s="34"/>
      <c r="F158" s="34"/>
      <c r="G158" s="34"/>
      <c r="H158" s="4"/>
      <c r="I158" s="4"/>
      <c r="J158" s="4"/>
      <c r="K158" s="3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37"/>
      <c r="X158" s="1"/>
      <c r="Y158" s="18">
        <f t="shared" si="71"/>
        <v>0</v>
      </c>
      <c r="Z158" s="21">
        <f t="shared" si="72"/>
        <v>0</v>
      </c>
      <c r="AA158" s="10">
        <f t="shared" si="73"/>
        <v>0</v>
      </c>
      <c r="AB158" s="10">
        <f t="shared" si="74"/>
        <v>0</v>
      </c>
      <c r="AC158" s="10">
        <f t="shared" si="75"/>
        <v>0</v>
      </c>
      <c r="AD158" s="46" t="str">
        <f t="shared" si="76"/>
        <v/>
      </c>
      <c r="AE158" s="46" t="str">
        <f t="shared" si="77"/>
        <v/>
      </c>
      <c r="AF158" s="46" t="str">
        <f t="shared" si="78"/>
        <v/>
      </c>
      <c r="AG158" s="46" t="str">
        <f t="shared" si="79"/>
        <v/>
      </c>
      <c r="AH158" s="46" t="str">
        <f t="shared" si="80"/>
        <v/>
      </c>
      <c r="AI158" s="46" t="str">
        <f t="shared" si="81"/>
        <v/>
      </c>
      <c r="AJ158" s="46" t="str">
        <f t="shared" si="82"/>
        <v/>
      </c>
      <c r="AK158" s="46" t="str">
        <f t="shared" si="83"/>
        <v/>
      </c>
      <c r="AL158" s="46" t="str">
        <f t="shared" si="84"/>
        <v/>
      </c>
      <c r="AM158" s="46" t="str">
        <f t="shared" si="85"/>
        <v/>
      </c>
      <c r="AN158" s="46" t="str">
        <f t="shared" si="86"/>
        <v/>
      </c>
      <c r="AO158" s="46" t="str">
        <f t="shared" si="87"/>
        <v/>
      </c>
      <c r="AP158" s="46" t="str">
        <f t="shared" si="88"/>
        <v/>
      </c>
      <c r="AQ158" s="46" t="str">
        <f t="shared" si="89"/>
        <v/>
      </c>
      <c r="AR158" s="46" t="str">
        <f t="shared" si="90"/>
        <v/>
      </c>
      <c r="AS158" s="46" t="str">
        <f t="shared" si="91"/>
        <v/>
      </c>
      <c r="AT158" s="46" t="str">
        <f t="shared" si="92"/>
        <v/>
      </c>
      <c r="AU158" s="46" t="str">
        <f t="shared" si="93"/>
        <v/>
      </c>
      <c r="AV158" s="46" t="str">
        <f t="shared" si="94"/>
        <v/>
      </c>
      <c r="AW158" s="46" t="str">
        <f t="shared" si="95"/>
        <v/>
      </c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20"/>
    </row>
    <row r="159" spans="2:154">
      <c r="B159" s="1"/>
      <c r="C159" s="2"/>
      <c r="D159" s="34"/>
      <c r="E159" s="34"/>
      <c r="F159" s="34"/>
      <c r="G159" s="34"/>
      <c r="H159" s="4"/>
      <c r="I159" s="4"/>
      <c r="J159" s="4"/>
      <c r="K159" s="3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37"/>
      <c r="X159" s="1"/>
      <c r="Y159" s="18">
        <f t="shared" si="71"/>
        <v>0</v>
      </c>
      <c r="Z159" s="21">
        <f t="shared" si="72"/>
        <v>0</v>
      </c>
      <c r="AA159" s="10">
        <f t="shared" si="73"/>
        <v>0</v>
      </c>
      <c r="AB159" s="10">
        <f t="shared" si="74"/>
        <v>0</v>
      </c>
      <c r="AC159" s="10">
        <f t="shared" si="75"/>
        <v>0</v>
      </c>
      <c r="AD159" s="46" t="str">
        <f t="shared" si="76"/>
        <v/>
      </c>
      <c r="AE159" s="46" t="str">
        <f t="shared" si="77"/>
        <v/>
      </c>
      <c r="AF159" s="46" t="str">
        <f t="shared" si="78"/>
        <v/>
      </c>
      <c r="AG159" s="46" t="str">
        <f t="shared" si="79"/>
        <v/>
      </c>
      <c r="AH159" s="46" t="str">
        <f t="shared" si="80"/>
        <v/>
      </c>
      <c r="AI159" s="46" t="str">
        <f t="shared" si="81"/>
        <v/>
      </c>
      <c r="AJ159" s="46" t="str">
        <f t="shared" si="82"/>
        <v/>
      </c>
      <c r="AK159" s="46" t="str">
        <f t="shared" si="83"/>
        <v/>
      </c>
      <c r="AL159" s="46" t="str">
        <f t="shared" si="84"/>
        <v/>
      </c>
      <c r="AM159" s="46" t="str">
        <f t="shared" si="85"/>
        <v/>
      </c>
      <c r="AN159" s="46" t="str">
        <f t="shared" si="86"/>
        <v/>
      </c>
      <c r="AO159" s="46" t="str">
        <f t="shared" si="87"/>
        <v/>
      </c>
      <c r="AP159" s="46" t="str">
        <f t="shared" si="88"/>
        <v/>
      </c>
      <c r="AQ159" s="46" t="str">
        <f t="shared" si="89"/>
        <v/>
      </c>
      <c r="AR159" s="46" t="str">
        <f t="shared" si="90"/>
        <v/>
      </c>
      <c r="AS159" s="46" t="str">
        <f t="shared" si="91"/>
        <v/>
      </c>
      <c r="AT159" s="46" t="str">
        <f t="shared" si="92"/>
        <v/>
      </c>
      <c r="AU159" s="46" t="str">
        <f t="shared" si="93"/>
        <v/>
      </c>
      <c r="AV159" s="46" t="str">
        <f t="shared" si="94"/>
        <v/>
      </c>
      <c r="AW159" s="46" t="str">
        <f t="shared" si="95"/>
        <v/>
      </c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20"/>
    </row>
    <row r="160" spans="2:154">
      <c r="B160" s="1"/>
      <c r="C160" s="2"/>
      <c r="D160" s="34"/>
      <c r="E160" s="34"/>
      <c r="F160" s="34"/>
      <c r="G160" s="34"/>
      <c r="H160" s="4"/>
      <c r="I160" s="4"/>
      <c r="J160" s="4"/>
      <c r="K160" s="3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37"/>
      <c r="X160" s="1"/>
      <c r="Y160" s="18">
        <f t="shared" si="71"/>
        <v>0</v>
      </c>
      <c r="Z160" s="21">
        <f t="shared" si="72"/>
        <v>0</v>
      </c>
      <c r="AA160" s="10">
        <f t="shared" si="73"/>
        <v>0</v>
      </c>
      <c r="AB160" s="10">
        <f t="shared" si="74"/>
        <v>0</v>
      </c>
      <c r="AC160" s="10">
        <f t="shared" si="75"/>
        <v>0</v>
      </c>
      <c r="AD160" s="46" t="str">
        <f t="shared" si="76"/>
        <v/>
      </c>
      <c r="AE160" s="46" t="str">
        <f t="shared" si="77"/>
        <v/>
      </c>
      <c r="AF160" s="46" t="str">
        <f t="shared" si="78"/>
        <v/>
      </c>
      <c r="AG160" s="46" t="str">
        <f t="shared" si="79"/>
        <v/>
      </c>
      <c r="AH160" s="46" t="str">
        <f t="shared" si="80"/>
        <v/>
      </c>
      <c r="AI160" s="46" t="str">
        <f t="shared" si="81"/>
        <v/>
      </c>
      <c r="AJ160" s="46" t="str">
        <f t="shared" si="82"/>
        <v/>
      </c>
      <c r="AK160" s="46" t="str">
        <f t="shared" si="83"/>
        <v/>
      </c>
      <c r="AL160" s="46" t="str">
        <f t="shared" si="84"/>
        <v/>
      </c>
      <c r="AM160" s="46" t="str">
        <f t="shared" si="85"/>
        <v/>
      </c>
      <c r="AN160" s="46" t="str">
        <f t="shared" si="86"/>
        <v/>
      </c>
      <c r="AO160" s="46" t="str">
        <f t="shared" si="87"/>
        <v/>
      </c>
      <c r="AP160" s="46" t="str">
        <f t="shared" si="88"/>
        <v/>
      </c>
      <c r="AQ160" s="46" t="str">
        <f t="shared" si="89"/>
        <v/>
      </c>
      <c r="AR160" s="46" t="str">
        <f t="shared" si="90"/>
        <v/>
      </c>
      <c r="AS160" s="46" t="str">
        <f t="shared" si="91"/>
        <v/>
      </c>
      <c r="AT160" s="46" t="str">
        <f t="shared" si="92"/>
        <v/>
      </c>
      <c r="AU160" s="46" t="str">
        <f t="shared" si="93"/>
        <v/>
      </c>
      <c r="AV160" s="46" t="str">
        <f t="shared" si="94"/>
        <v/>
      </c>
      <c r="AW160" s="46" t="str">
        <f t="shared" si="95"/>
        <v/>
      </c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20"/>
    </row>
    <row r="161" spans="2:154">
      <c r="B161" s="1"/>
      <c r="C161" s="2"/>
      <c r="D161" s="34"/>
      <c r="E161" s="34"/>
      <c r="F161" s="34"/>
      <c r="G161" s="34"/>
      <c r="H161" s="4"/>
      <c r="I161" s="4"/>
      <c r="J161" s="4"/>
      <c r="K161" s="3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37"/>
      <c r="X161" s="1"/>
      <c r="Y161" s="18">
        <f t="shared" si="71"/>
        <v>0</v>
      </c>
      <c r="Z161" s="21">
        <f t="shared" si="72"/>
        <v>0</v>
      </c>
      <c r="AA161" s="10">
        <f t="shared" si="73"/>
        <v>0</v>
      </c>
      <c r="AB161" s="10">
        <f t="shared" si="74"/>
        <v>0</v>
      </c>
      <c r="AC161" s="10">
        <f t="shared" si="75"/>
        <v>0</v>
      </c>
      <c r="AD161" s="46" t="str">
        <f t="shared" si="76"/>
        <v/>
      </c>
      <c r="AE161" s="46" t="str">
        <f t="shared" si="77"/>
        <v/>
      </c>
      <c r="AF161" s="46" t="str">
        <f t="shared" si="78"/>
        <v/>
      </c>
      <c r="AG161" s="46" t="str">
        <f t="shared" si="79"/>
        <v/>
      </c>
      <c r="AH161" s="46" t="str">
        <f t="shared" si="80"/>
        <v/>
      </c>
      <c r="AI161" s="46" t="str">
        <f t="shared" si="81"/>
        <v/>
      </c>
      <c r="AJ161" s="46" t="str">
        <f t="shared" si="82"/>
        <v/>
      </c>
      <c r="AK161" s="46" t="str">
        <f t="shared" si="83"/>
        <v/>
      </c>
      <c r="AL161" s="46" t="str">
        <f t="shared" si="84"/>
        <v/>
      </c>
      <c r="AM161" s="46" t="str">
        <f t="shared" si="85"/>
        <v/>
      </c>
      <c r="AN161" s="46" t="str">
        <f t="shared" si="86"/>
        <v/>
      </c>
      <c r="AO161" s="46" t="str">
        <f t="shared" si="87"/>
        <v/>
      </c>
      <c r="AP161" s="46" t="str">
        <f t="shared" si="88"/>
        <v/>
      </c>
      <c r="AQ161" s="46" t="str">
        <f t="shared" si="89"/>
        <v/>
      </c>
      <c r="AR161" s="46" t="str">
        <f t="shared" si="90"/>
        <v/>
      </c>
      <c r="AS161" s="46" t="str">
        <f t="shared" si="91"/>
        <v/>
      </c>
      <c r="AT161" s="46" t="str">
        <f t="shared" si="92"/>
        <v/>
      </c>
      <c r="AU161" s="46" t="str">
        <f t="shared" si="93"/>
        <v/>
      </c>
      <c r="AV161" s="46" t="str">
        <f t="shared" si="94"/>
        <v/>
      </c>
      <c r="AW161" s="46" t="str">
        <f t="shared" si="95"/>
        <v/>
      </c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20"/>
    </row>
    <row r="162" spans="2:154">
      <c r="B162" s="1"/>
      <c r="C162" s="2"/>
      <c r="D162" s="34"/>
      <c r="E162" s="34"/>
      <c r="F162" s="34"/>
      <c r="G162" s="34"/>
      <c r="H162" s="4"/>
      <c r="I162" s="4"/>
      <c r="J162" s="4"/>
      <c r="K162" s="3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37"/>
      <c r="X162" s="1"/>
      <c r="Y162" s="18">
        <f t="shared" si="71"/>
        <v>0</v>
      </c>
      <c r="Z162" s="21">
        <f t="shared" si="72"/>
        <v>0</v>
      </c>
      <c r="AA162" s="10">
        <f t="shared" si="73"/>
        <v>0</v>
      </c>
      <c r="AB162" s="10">
        <f t="shared" si="74"/>
        <v>0</v>
      </c>
      <c r="AC162" s="10">
        <f t="shared" si="75"/>
        <v>0</v>
      </c>
      <c r="AD162" s="46" t="str">
        <f t="shared" si="76"/>
        <v/>
      </c>
      <c r="AE162" s="46" t="str">
        <f t="shared" si="77"/>
        <v/>
      </c>
      <c r="AF162" s="46" t="str">
        <f t="shared" si="78"/>
        <v/>
      </c>
      <c r="AG162" s="46" t="str">
        <f t="shared" si="79"/>
        <v/>
      </c>
      <c r="AH162" s="46" t="str">
        <f t="shared" si="80"/>
        <v/>
      </c>
      <c r="AI162" s="46" t="str">
        <f t="shared" si="81"/>
        <v/>
      </c>
      <c r="AJ162" s="46" t="str">
        <f t="shared" si="82"/>
        <v/>
      </c>
      <c r="AK162" s="46" t="str">
        <f t="shared" si="83"/>
        <v/>
      </c>
      <c r="AL162" s="46" t="str">
        <f t="shared" si="84"/>
        <v/>
      </c>
      <c r="AM162" s="46" t="str">
        <f t="shared" si="85"/>
        <v/>
      </c>
      <c r="AN162" s="46" t="str">
        <f t="shared" si="86"/>
        <v/>
      </c>
      <c r="AO162" s="46" t="str">
        <f t="shared" si="87"/>
        <v/>
      </c>
      <c r="AP162" s="46" t="str">
        <f t="shared" si="88"/>
        <v/>
      </c>
      <c r="AQ162" s="46" t="str">
        <f t="shared" si="89"/>
        <v/>
      </c>
      <c r="AR162" s="46" t="str">
        <f t="shared" si="90"/>
        <v/>
      </c>
      <c r="AS162" s="46" t="str">
        <f t="shared" si="91"/>
        <v/>
      </c>
      <c r="AT162" s="46" t="str">
        <f t="shared" si="92"/>
        <v/>
      </c>
      <c r="AU162" s="46" t="str">
        <f t="shared" si="93"/>
        <v/>
      </c>
      <c r="AV162" s="46" t="str">
        <f t="shared" si="94"/>
        <v/>
      </c>
      <c r="AW162" s="46" t="str">
        <f t="shared" si="95"/>
        <v/>
      </c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20"/>
    </row>
    <row r="163" spans="2:154">
      <c r="B163" s="1"/>
      <c r="C163" s="2"/>
      <c r="D163" s="34"/>
      <c r="E163" s="34"/>
      <c r="F163" s="34"/>
      <c r="G163" s="34"/>
      <c r="H163" s="4"/>
      <c r="I163" s="4"/>
      <c r="J163" s="4"/>
      <c r="K163" s="3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37"/>
      <c r="X163" s="1"/>
      <c r="Y163" s="18">
        <f t="shared" si="71"/>
        <v>0</v>
      </c>
      <c r="Z163" s="21">
        <f t="shared" si="72"/>
        <v>0</v>
      </c>
      <c r="AA163" s="10">
        <f t="shared" si="73"/>
        <v>0</v>
      </c>
      <c r="AB163" s="10">
        <f t="shared" si="74"/>
        <v>0</v>
      </c>
      <c r="AC163" s="10">
        <f t="shared" si="75"/>
        <v>0</v>
      </c>
      <c r="AD163" s="46" t="str">
        <f t="shared" si="76"/>
        <v/>
      </c>
      <c r="AE163" s="46" t="str">
        <f t="shared" si="77"/>
        <v/>
      </c>
      <c r="AF163" s="46" t="str">
        <f t="shared" si="78"/>
        <v/>
      </c>
      <c r="AG163" s="46" t="str">
        <f t="shared" si="79"/>
        <v/>
      </c>
      <c r="AH163" s="46" t="str">
        <f t="shared" si="80"/>
        <v/>
      </c>
      <c r="AI163" s="46" t="str">
        <f t="shared" si="81"/>
        <v/>
      </c>
      <c r="AJ163" s="46" t="str">
        <f t="shared" si="82"/>
        <v/>
      </c>
      <c r="AK163" s="46" t="str">
        <f t="shared" si="83"/>
        <v/>
      </c>
      <c r="AL163" s="46" t="str">
        <f t="shared" si="84"/>
        <v/>
      </c>
      <c r="AM163" s="46" t="str">
        <f t="shared" si="85"/>
        <v/>
      </c>
      <c r="AN163" s="46" t="str">
        <f t="shared" si="86"/>
        <v/>
      </c>
      <c r="AO163" s="46" t="str">
        <f t="shared" si="87"/>
        <v/>
      </c>
      <c r="AP163" s="46" t="str">
        <f t="shared" si="88"/>
        <v/>
      </c>
      <c r="AQ163" s="46" t="str">
        <f t="shared" si="89"/>
        <v/>
      </c>
      <c r="AR163" s="46" t="str">
        <f t="shared" si="90"/>
        <v/>
      </c>
      <c r="AS163" s="46" t="str">
        <f t="shared" si="91"/>
        <v/>
      </c>
      <c r="AT163" s="46" t="str">
        <f t="shared" si="92"/>
        <v/>
      </c>
      <c r="AU163" s="46" t="str">
        <f t="shared" si="93"/>
        <v/>
      </c>
      <c r="AV163" s="46" t="str">
        <f t="shared" si="94"/>
        <v/>
      </c>
      <c r="AW163" s="46" t="str">
        <f t="shared" si="95"/>
        <v/>
      </c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20"/>
    </row>
    <row r="164" spans="2:154">
      <c r="B164" s="1"/>
      <c r="C164" s="2"/>
      <c r="D164" s="34"/>
      <c r="E164" s="34"/>
      <c r="F164" s="34"/>
      <c r="G164" s="34"/>
      <c r="H164" s="4"/>
      <c r="I164" s="4"/>
      <c r="J164" s="4"/>
      <c r="K164" s="3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37"/>
      <c r="X164" s="1"/>
      <c r="Y164" s="18">
        <f t="shared" si="71"/>
        <v>0</v>
      </c>
      <c r="Z164" s="21">
        <f t="shared" si="72"/>
        <v>0</v>
      </c>
      <c r="AA164" s="10">
        <f t="shared" si="73"/>
        <v>0</v>
      </c>
      <c r="AB164" s="10">
        <f t="shared" si="74"/>
        <v>0</v>
      </c>
      <c r="AC164" s="10">
        <f t="shared" si="75"/>
        <v>0</v>
      </c>
      <c r="AD164" s="46" t="str">
        <f t="shared" si="76"/>
        <v/>
      </c>
      <c r="AE164" s="46" t="str">
        <f t="shared" si="77"/>
        <v/>
      </c>
      <c r="AF164" s="46" t="str">
        <f t="shared" si="78"/>
        <v/>
      </c>
      <c r="AG164" s="46" t="str">
        <f t="shared" si="79"/>
        <v/>
      </c>
      <c r="AH164" s="46" t="str">
        <f t="shared" si="80"/>
        <v/>
      </c>
      <c r="AI164" s="46" t="str">
        <f t="shared" si="81"/>
        <v/>
      </c>
      <c r="AJ164" s="46" t="str">
        <f t="shared" si="82"/>
        <v/>
      </c>
      <c r="AK164" s="46" t="str">
        <f t="shared" si="83"/>
        <v/>
      </c>
      <c r="AL164" s="46" t="str">
        <f t="shared" si="84"/>
        <v/>
      </c>
      <c r="AM164" s="46" t="str">
        <f t="shared" si="85"/>
        <v/>
      </c>
      <c r="AN164" s="46" t="str">
        <f t="shared" si="86"/>
        <v/>
      </c>
      <c r="AO164" s="46" t="str">
        <f t="shared" si="87"/>
        <v/>
      </c>
      <c r="AP164" s="46" t="str">
        <f t="shared" si="88"/>
        <v/>
      </c>
      <c r="AQ164" s="46" t="str">
        <f t="shared" si="89"/>
        <v/>
      </c>
      <c r="AR164" s="46" t="str">
        <f t="shared" si="90"/>
        <v/>
      </c>
      <c r="AS164" s="46" t="str">
        <f t="shared" si="91"/>
        <v/>
      </c>
      <c r="AT164" s="46" t="str">
        <f t="shared" si="92"/>
        <v/>
      </c>
      <c r="AU164" s="46" t="str">
        <f t="shared" si="93"/>
        <v/>
      </c>
      <c r="AV164" s="46" t="str">
        <f t="shared" si="94"/>
        <v/>
      </c>
      <c r="AW164" s="46" t="str">
        <f t="shared" si="95"/>
        <v/>
      </c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20"/>
    </row>
    <row r="165" spans="2:154">
      <c r="B165" s="1"/>
      <c r="C165" s="2"/>
      <c r="D165" s="34"/>
      <c r="E165" s="34"/>
      <c r="F165" s="34"/>
      <c r="G165" s="34"/>
      <c r="H165" s="4"/>
      <c r="I165" s="4"/>
      <c r="J165" s="4"/>
      <c r="K165" s="3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37"/>
      <c r="X165" s="1"/>
      <c r="Y165" s="18">
        <f t="shared" si="71"/>
        <v>0</v>
      </c>
      <c r="Z165" s="21">
        <f t="shared" si="72"/>
        <v>0</v>
      </c>
      <c r="AA165" s="10">
        <f t="shared" si="73"/>
        <v>0</v>
      </c>
      <c r="AB165" s="10">
        <f t="shared" si="74"/>
        <v>0</v>
      </c>
      <c r="AC165" s="10">
        <f t="shared" si="75"/>
        <v>0</v>
      </c>
      <c r="AD165" s="46" t="str">
        <f t="shared" si="76"/>
        <v/>
      </c>
      <c r="AE165" s="46" t="str">
        <f t="shared" si="77"/>
        <v/>
      </c>
      <c r="AF165" s="46" t="str">
        <f t="shared" si="78"/>
        <v/>
      </c>
      <c r="AG165" s="46" t="str">
        <f t="shared" si="79"/>
        <v/>
      </c>
      <c r="AH165" s="46" t="str">
        <f t="shared" si="80"/>
        <v/>
      </c>
      <c r="AI165" s="46" t="str">
        <f t="shared" si="81"/>
        <v/>
      </c>
      <c r="AJ165" s="46" t="str">
        <f t="shared" si="82"/>
        <v/>
      </c>
      <c r="AK165" s="46" t="str">
        <f t="shared" si="83"/>
        <v/>
      </c>
      <c r="AL165" s="46" t="str">
        <f t="shared" si="84"/>
        <v/>
      </c>
      <c r="AM165" s="46" t="str">
        <f t="shared" si="85"/>
        <v/>
      </c>
      <c r="AN165" s="46" t="str">
        <f t="shared" si="86"/>
        <v/>
      </c>
      <c r="AO165" s="46" t="str">
        <f t="shared" si="87"/>
        <v/>
      </c>
      <c r="AP165" s="46" t="str">
        <f t="shared" si="88"/>
        <v/>
      </c>
      <c r="AQ165" s="46" t="str">
        <f t="shared" si="89"/>
        <v/>
      </c>
      <c r="AR165" s="46" t="str">
        <f t="shared" si="90"/>
        <v/>
      </c>
      <c r="AS165" s="46" t="str">
        <f t="shared" si="91"/>
        <v/>
      </c>
      <c r="AT165" s="46" t="str">
        <f t="shared" si="92"/>
        <v/>
      </c>
      <c r="AU165" s="46" t="str">
        <f t="shared" si="93"/>
        <v/>
      </c>
      <c r="AV165" s="46" t="str">
        <f t="shared" si="94"/>
        <v/>
      </c>
      <c r="AW165" s="46" t="str">
        <f t="shared" si="95"/>
        <v/>
      </c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20"/>
    </row>
    <row r="166" spans="2:154">
      <c r="B166" s="1"/>
      <c r="C166" s="2"/>
      <c r="D166" s="34"/>
      <c r="E166" s="34"/>
      <c r="F166" s="34"/>
      <c r="G166" s="34"/>
      <c r="H166" s="4"/>
      <c r="I166" s="4"/>
      <c r="J166" s="4"/>
      <c r="K166" s="3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37"/>
      <c r="X166" s="1"/>
      <c r="Y166" s="18">
        <f t="shared" si="71"/>
        <v>0</v>
      </c>
      <c r="Z166" s="21">
        <f t="shared" si="72"/>
        <v>0</v>
      </c>
      <c r="AA166" s="10">
        <f t="shared" si="73"/>
        <v>0</v>
      </c>
      <c r="AB166" s="10">
        <f t="shared" si="74"/>
        <v>0</v>
      </c>
      <c r="AC166" s="10">
        <f t="shared" si="75"/>
        <v>0</v>
      </c>
      <c r="AD166" s="46" t="str">
        <f t="shared" si="76"/>
        <v/>
      </c>
      <c r="AE166" s="46" t="str">
        <f t="shared" si="77"/>
        <v/>
      </c>
      <c r="AF166" s="46" t="str">
        <f t="shared" si="78"/>
        <v/>
      </c>
      <c r="AG166" s="46" t="str">
        <f t="shared" si="79"/>
        <v/>
      </c>
      <c r="AH166" s="46" t="str">
        <f t="shared" si="80"/>
        <v/>
      </c>
      <c r="AI166" s="46" t="str">
        <f t="shared" si="81"/>
        <v/>
      </c>
      <c r="AJ166" s="46" t="str">
        <f t="shared" si="82"/>
        <v/>
      </c>
      <c r="AK166" s="46" t="str">
        <f t="shared" si="83"/>
        <v/>
      </c>
      <c r="AL166" s="46" t="str">
        <f t="shared" si="84"/>
        <v/>
      </c>
      <c r="AM166" s="46" t="str">
        <f t="shared" si="85"/>
        <v/>
      </c>
      <c r="AN166" s="46" t="str">
        <f t="shared" si="86"/>
        <v/>
      </c>
      <c r="AO166" s="46" t="str">
        <f t="shared" si="87"/>
        <v/>
      </c>
      <c r="AP166" s="46" t="str">
        <f t="shared" si="88"/>
        <v/>
      </c>
      <c r="AQ166" s="46" t="str">
        <f t="shared" si="89"/>
        <v/>
      </c>
      <c r="AR166" s="46" t="str">
        <f t="shared" si="90"/>
        <v/>
      </c>
      <c r="AS166" s="46" t="str">
        <f t="shared" si="91"/>
        <v/>
      </c>
      <c r="AT166" s="46" t="str">
        <f t="shared" si="92"/>
        <v/>
      </c>
      <c r="AU166" s="46" t="str">
        <f t="shared" si="93"/>
        <v/>
      </c>
      <c r="AV166" s="46" t="str">
        <f t="shared" si="94"/>
        <v/>
      </c>
      <c r="AW166" s="46" t="str">
        <f t="shared" si="95"/>
        <v/>
      </c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20"/>
    </row>
    <row r="167" spans="2:154">
      <c r="B167" s="1"/>
      <c r="C167" s="2"/>
      <c r="D167" s="34"/>
      <c r="E167" s="34"/>
      <c r="F167" s="34"/>
      <c r="G167" s="34"/>
      <c r="H167" s="4"/>
      <c r="I167" s="4"/>
      <c r="J167" s="4"/>
      <c r="K167" s="3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37"/>
      <c r="X167" s="1"/>
      <c r="Y167" s="18">
        <f t="shared" si="71"/>
        <v>0</v>
      </c>
      <c r="Z167" s="21">
        <f t="shared" si="72"/>
        <v>0</v>
      </c>
      <c r="AA167" s="10">
        <f t="shared" si="73"/>
        <v>0</v>
      </c>
      <c r="AB167" s="10">
        <f t="shared" si="74"/>
        <v>0</v>
      </c>
      <c r="AC167" s="10">
        <f t="shared" si="75"/>
        <v>0</v>
      </c>
      <c r="AD167" s="46" t="str">
        <f t="shared" si="76"/>
        <v/>
      </c>
      <c r="AE167" s="46" t="str">
        <f t="shared" si="77"/>
        <v/>
      </c>
      <c r="AF167" s="46" t="str">
        <f t="shared" si="78"/>
        <v/>
      </c>
      <c r="AG167" s="46" t="str">
        <f t="shared" si="79"/>
        <v/>
      </c>
      <c r="AH167" s="46" t="str">
        <f t="shared" si="80"/>
        <v/>
      </c>
      <c r="AI167" s="46" t="str">
        <f t="shared" si="81"/>
        <v/>
      </c>
      <c r="AJ167" s="46" t="str">
        <f t="shared" si="82"/>
        <v/>
      </c>
      <c r="AK167" s="46" t="str">
        <f t="shared" si="83"/>
        <v/>
      </c>
      <c r="AL167" s="46" t="str">
        <f t="shared" si="84"/>
        <v/>
      </c>
      <c r="AM167" s="46" t="str">
        <f t="shared" si="85"/>
        <v/>
      </c>
      <c r="AN167" s="46" t="str">
        <f t="shared" si="86"/>
        <v/>
      </c>
      <c r="AO167" s="46" t="str">
        <f t="shared" si="87"/>
        <v/>
      </c>
      <c r="AP167" s="46" t="str">
        <f t="shared" si="88"/>
        <v/>
      </c>
      <c r="AQ167" s="46" t="str">
        <f t="shared" si="89"/>
        <v/>
      </c>
      <c r="AR167" s="46" t="str">
        <f t="shared" si="90"/>
        <v/>
      </c>
      <c r="AS167" s="46" t="str">
        <f t="shared" si="91"/>
        <v/>
      </c>
      <c r="AT167" s="46" t="str">
        <f t="shared" si="92"/>
        <v/>
      </c>
      <c r="AU167" s="46" t="str">
        <f t="shared" si="93"/>
        <v/>
      </c>
      <c r="AV167" s="46" t="str">
        <f t="shared" si="94"/>
        <v/>
      </c>
      <c r="AW167" s="46" t="str">
        <f t="shared" si="95"/>
        <v/>
      </c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20"/>
    </row>
    <row r="168" spans="2:154">
      <c r="B168" s="1"/>
      <c r="C168" s="2"/>
      <c r="D168" s="34"/>
      <c r="E168" s="34"/>
      <c r="F168" s="34"/>
      <c r="G168" s="34"/>
      <c r="H168" s="4"/>
      <c r="I168" s="4"/>
      <c r="J168" s="4"/>
      <c r="K168" s="3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37"/>
      <c r="X168" s="1"/>
      <c r="Y168" s="18">
        <f t="shared" si="71"/>
        <v>0</v>
      </c>
      <c r="Z168" s="21">
        <f t="shared" si="72"/>
        <v>0</v>
      </c>
      <c r="AA168" s="10">
        <f t="shared" si="73"/>
        <v>0</v>
      </c>
      <c r="AB168" s="10">
        <f t="shared" si="74"/>
        <v>0</v>
      </c>
      <c r="AC168" s="10">
        <f t="shared" si="75"/>
        <v>0</v>
      </c>
      <c r="AD168" s="46" t="str">
        <f t="shared" si="76"/>
        <v/>
      </c>
      <c r="AE168" s="46" t="str">
        <f t="shared" si="77"/>
        <v/>
      </c>
      <c r="AF168" s="46" t="str">
        <f t="shared" si="78"/>
        <v/>
      </c>
      <c r="AG168" s="46" t="str">
        <f t="shared" si="79"/>
        <v/>
      </c>
      <c r="AH168" s="46" t="str">
        <f t="shared" si="80"/>
        <v/>
      </c>
      <c r="AI168" s="46" t="str">
        <f t="shared" si="81"/>
        <v/>
      </c>
      <c r="AJ168" s="46" t="str">
        <f t="shared" si="82"/>
        <v/>
      </c>
      <c r="AK168" s="46" t="str">
        <f t="shared" si="83"/>
        <v/>
      </c>
      <c r="AL168" s="46" t="str">
        <f t="shared" si="84"/>
        <v/>
      </c>
      <c r="AM168" s="46" t="str">
        <f t="shared" si="85"/>
        <v/>
      </c>
      <c r="AN168" s="46" t="str">
        <f t="shared" si="86"/>
        <v/>
      </c>
      <c r="AO168" s="46" t="str">
        <f t="shared" si="87"/>
        <v/>
      </c>
      <c r="AP168" s="46" t="str">
        <f t="shared" si="88"/>
        <v/>
      </c>
      <c r="AQ168" s="46" t="str">
        <f t="shared" si="89"/>
        <v/>
      </c>
      <c r="AR168" s="46" t="str">
        <f t="shared" si="90"/>
        <v/>
      </c>
      <c r="AS168" s="46" t="str">
        <f t="shared" si="91"/>
        <v/>
      </c>
      <c r="AT168" s="46" t="str">
        <f t="shared" si="92"/>
        <v/>
      </c>
      <c r="AU168" s="46" t="str">
        <f t="shared" si="93"/>
        <v/>
      </c>
      <c r="AV168" s="46" t="str">
        <f t="shared" si="94"/>
        <v/>
      </c>
      <c r="AW168" s="46" t="str">
        <f t="shared" si="95"/>
        <v/>
      </c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20"/>
    </row>
    <row r="169" spans="2:154">
      <c r="B169" s="1"/>
      <c r="C169" s="2"/>
      <c r="D169" s="34"/>
      <c r="E169" s="34"/>
      <c r="F169" s="34"/>
      <c r="G169" s="34"/>
      <c r="H169" s="4"/>
      <c r="I169" s="4"/>
      <c r="J169" s="4"/>
      <c r="K169" s="3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37"/>
      <c r="X169" s="1"/>
      <c r="Y169" s="18">
        <f t="shared" si="71"/>
        <v>0</v>
      </c>
      <c r="Z169" s="21">
        <f t="shared" si="72"/>
        <v>0</v>
      </c>
      <c r="AA169" s="10">
        <f t="shared" si="73"/>
        <v>0</v>
      </c>
      <c r="AB169" s="10">
        <f t="shared" si="74"/>
        <v>0</v>
      </c>
      <c r="AC169" s="10">
        <f t="shared" si="75"/>
        <v>0</v>
      </c>
      <c r="AD169" s="46" t="str">
        <f t="shared" si="76"/>
        <v/>
      </c>
      <c r="AE169" s="46" t="str">
        <f t="shared" si="77"/>
        <v/>
      </c>
      <c r="AF169" s="46" t="str">
        <f t="shared" si="78"/>
        <v/>
      </c>
      <c r="AG169" s="46" t="str">
        <f t="shared" si="79"/>
        <v/>
      </c>
      <c r="AH169" s="46" t="str">
        <f t="shared" si="80"/>
        <v/>
      </c>
      <c r="AI169" s="46" t="str">
        <f t="shared" si="81"/>
        <v/>
      </c>
      <c r="AJ169" s="46" t="str">
        <f t="shared" si="82"/>
        <v/>
      </c>
      <c r="AK169" s="46" t="str">
        <f t="shared" si="83"/>
        <v/>
      </c>
      <c r="AL169" s="46" t="str">
        <f t="shared" si="84"/>
        <v/>
      </c>
      <c r="AM169" s="46" t="str">
        <f t="shared" si="85"/>
        <v/>
      </c>
      <c r="AN169" s="46" t="str">
        <f t="shared" si="86"/>
        <v/>
      </c>
      <c r="AO169" s="46" t="str">
        <f t="shared" si="87"/>
        <v/>
      </c>
      <c r="AP169" s="46" t="str">
        <f t="shared" si="88"/>
        <v/>
      </c>
      <c r="AQ169" s="46" t="str">
        <f t="shared" si="89"/>
        <v/>
      </c>
      <c r="AR169" s="46" t="str">
        <f t="shared" si="90"/>
        <v/>
      </c>
      <c r="AS169" s="46" t="str">
        <f t="shared" si="91"/>
        <v/>
      </c>
      <c r="AT169" s="46" t="str">
        <f t="shared" si="92"/>
        <v/>
      </c>
      <c r="AU169" s="46" t="str">
        <f t="shared" si="93"/>
        <v/>
      </c>
      <c r="AV169" s="46" t="str">
        <f t="shared" si="94"/>
        <v/>
      </c>
      <c r="AW169" s="46" t="str">
        <f t="shared" si="95"/>
        <v/>
      </c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20"/>
    </row>
    <row r="170" spans="2:154">
      <c r="B170" s="1"/>
      <c r="C170" s="2"/>
      <c r="D170" s="34"/>
      <c r="E170" s="34"/>
      <c r="F170" s="34"/>
      <c r="G170" s="34"/>
      <c r="H170" s="4"/>
      <c r="I170" s="4"/>
      <c r="J170" s="4"/>
      <c r="K170" s="3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37"/>
      <c r="X170" s="1"/>
      <c r="Y170" s="18">
        <f t="shared" si="71"/>
        <v>0</v>
      </c>
      <c r="Z170" s="21">
        <f t="shared" si="72"/>
        <v>0</v>
      </c>
      <c r="AA170" s="10">
        <f t="shared" si="73"/>
        <v>0</v>
      </c>
      <c r="AB170" s="10">
        <f t="shared" si="74"/>
        <v>0</v>
      </c>
      <c r="AC170" s="10">
        <f t="shared" si="75"/>
        <v>0</v>
      </c>
      <c r="AD170" s="46" t="str">
        <f t="shared" si="76"/>
        <v/>
      </c>
      <c r="AE170" s="46" t="str">
        <f t="shared" si="77"/>
        <v/>
      </c>
      <c r="AF170" s="46" t="str">
        <f t="shared" si="78"/>
        <v/>
      </c>
      <c r="AG170" s="46" t="str">
        <f t="shared" si="79"/>
        <v/>
      </c>
      <c r="AH170" s="46" t="str">
        <f t="shared" si="80"/>
        <v/>
      </c>
      <c r="AI170" s="46" t="str">
        <f t="shared" si="81"/>
        <v/>
      </c>
      <c r="AJ170" s="46" t="str">
        <f t="shared" si="82"/>
        <v/>
      </c>
      <c r="AK170" s="46" t="str">
        <f t="shared" si="83"/>
        <v/>
      </c>
      <c r="AL170" s="46" t="str">
        <f t="shared" si="84"/>
        <v/>
      </c>
      <c r="AM170" s="46" t="str">
        <f t="shared" si="85"/>
        <v/>
      </c>
      <c r="AN170" s="46" t="str">
        <f t="shared" si="86"/>
        <v/>
      </c>
      <c r="AO170" s="46" t="str">
        <f t="shared" si="87"/>
        <v/>
      </c>
      <c r="AP170" s="46" t="str">
        <f t="shared" si="88"/>
        <v/>
      </c>
      <c r="AQ170" s="46" t="str">
        <f t="shared" si="89"/>
        <v/>
      </c>
      <c r="AR170" s="46" t="str">
        <f t="shared" si="90"/>
        <v/>
      </c>
      <c r="AS170" s="46" t="str">
        <f t="shared" si="91"/>
        <v/>
      </c>
      <c r="AT170" s="46" t="str">
        <f t="shared" si="92"/>
        <v/>
      </c>
      <c r="AU170" s="46" t="str">
        <f t="shared" si="93"/>
        <v/>
      </c>
      <c r="AV170" s="46" t="str">
        <f t="shared" si="94"/>
        <v/>
      </c>
      <c r="AW170" s="46" t="str">
        <f t="shared" si="95"/>
        <v/>
      </c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20"/>
    </row>
    <row r="171" spans="2:154">
      <c r="B171" s="1"/>
      <c r="C171" s="2"/>
      <c r="D171" s="34"/>
      <c r="E171" s="34"/>
      <c r="F171" s="34"/>
      <c r="G171" s="34"/>
      <c r="H171" s="4"/>
      <c r="I171" s="4"/>
      <c r="J171" s="4"/>
      <c r="K171" s="3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37"/>
      <c r="X171" s="1"/>
      <c r="Y171" s="18">
        <f t="shared" si="71"/>
        <v>0</v>
      </c>
      <c r="Z171" s="21">
        <f t="shared" si="72"/>
        <v>0</v>
      </c>
      <c r="AA171" s="10">
        <f t="shared" si="73"/>
        <v>0</v>
      </c>
      <c r="AB171" s="10">
        <f t="shared" si="74"/>
        <v>0</v>
      </c>
      <c r="AC171" s="10">
        <f t="shared" si="75"/>
        <v>0</v>
      </c>
      <c r="AD171" s="46" t="str">
        <f t="shared" si="76"/>
        <v/>
      </c>
      <c r="AE171" s="46" t="str">
        <f t="shared" si="77"/>
        <v/>
      </c>
      <c r="AF171" s="46" t="str">
        <f t="shared" si="78"/>
        <v/>
      </c>
      <c r="AG171" s="46" t="str">
        <f t="shared" si="79"/>
        <v/>
      </c>
      <c r="AH171" s="46" t="str">
        <f t="shared" si="80"/>
        <v/>
      </c>
      <c r="AI171" s="46" t="str">
        <f t="shared" si="81"/>
        <v/>
      </c>
      <c r="AJ171" s="46" t="str">
        <f t="shared" si="82"/>
        <v/>
      </c>
      <c r="AK171" s="46" t="str">
        <f t="shared" si="83"/>
        <v/>
      </c>
      <c r="AL171" s="46" t="str">
        <f t="shared" si="84"/>
        <v/>
      </c>
      <c r="AM171" s="46" t="str">
        <f t="shared" si="85"/>
        <v/>
      </c>
      <c r="AN171" s="46" t="str">
        <f t="shared" si="86"/>
        <v/>
      </c>
      <c r="AO171" s="46" t="str">
        <f t="shared" si="87"/>
        <v/>
      </c>
      <c r="AP171" s="46" t="str">
        <f t="shared" si="88"/>
        <v/>
      </c>
      <c r="AQ171" s="46" t="str">
        <f t="shared" si="89"/>
        <v/>
      </c>
      <c r="AR171" s="46" t="str">
        <f t="shared" si="90"/>
        <v/>
      </c>
      <c r="AS171" s="46" t="str">
        <f t="shared" si="91"/>
        <v/>
      </c>
      <c r="AT171" s="46" t="str">
        <f t="shared" si="92"/>
        <v/>
      </c>
      <c r="AU171" s="46" t="str">
        <f t="shared" si="93"/>
        <v/>
      </c>
      <c r="AV171" s="46" t="str">
        <f t="shared" si="94"/>
        <v/>
      </c>
      <c r="AW171" s="46" t="str">
        <f t="shared" si="95"/>
        <v/>
      </c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20"/>
    </row>
    <row r="172" spans="2:154">
      <c r="B172" s="1"/>
      <c r="C172" s="2"/>
      <c r="D172" s="34"/>
      <c r="E172" s="34"/>
      <c r="F172" s="34"/>
      <c r="G172" s="34"/>
      <c r="H172" s="4"/>
      <c r="I172" s="4"/>
      <c r="J172" s="4"/>
      <c r="K172" s="3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37"/>
      <c r="X172" s="1"/>
      <c r="Y172" s="18">
        <f t="shared" si="71"/>
        <v>0</v>
      </c>
      <c r="Z172" s="21">
        <f t="shared" si="72"/>
        <v>0</v>
      </c>
      <c r="AA172" s="10">
        <f t="shared" si="73"/>
        <v>0</v>
      </c>
      <c r="AB172" s="10">
        <f t="shared" si="74"/>
        <v>0</v>
      </c>
      <c r="AC172" s="10">
        <f t="shared" si="75"/>
        <v>0</v>
      </c>
      <c r="AD172" s="46" t="str">
        <f t="shared" si="76"/>
        <v/>
      </c>
      <c r="AE172" s="46" t="str">
        <f t="shared" si="77"/>
        <v/>
      </c>
      <c r="AF172" s="46" t="str">
        <f t="shared" si="78"/>
        <v/>
      </c>
      <c r="AG172" s="46" t="str">
        <f t="shared" si="79"/>
        <v/>
      </c>
      <c r="AH172" s="46" t="str">
        <f t="shared" si="80"/>
        <v/>
      </c>
      <c r="AI172" s="46" t="str">
        <f t="shared" si="81"/>
        <v/>
      </c>
      <c r="AJ172" s="46" t="str">
        <f t="shared" si="82"/>
        <v/>
      </c>
      <c r="AK172" s="46" t="str">
        <f t="shared" si="83"/>
        <v/>
      </c>
      <c r="AL172" s="46" t="str">
        <f t="shared" si="84"/>
        <v/>
      </c>
      <c r="AM172" s="46" t="str">
        <f t="shared" si="85"/>
        <v/>
      </c>
      <c r="AN172" s="46" t="str">
        <f t="shared" si="86"/>
        <v/>
      </c>
      <c r="AO172" s="46" t="str">
        <f t="shared" si="87"/>
        <v/>
      </c>
      <c r="AP172" s="46" t="str">
        <f t="shared" si="88"/>
        <v/>
      </c>
      <c r="AQ172" s="46" t="str">
        <f t="shared" si="89"/>
        <v/>
      </c>
      <c r="AR172" s="46" t="str">
        <f t="shared" si="90"/>
        <v/>
      </c>
      <c r="AS172" s="46" t="str">
        <f t="shared" si="91"/>
        <v/>
      </c>
      <c r="AT172" s="46" t="str">
        <f t="shared" si="92"/>
        <v/>
      </c>
      <c r="AU172" s="46" t="str">
        <f t="shared" si="93"/>
        <v/>
      </c>
      <c r="AV172" s="46" t="str">
        <f t="shared" si="94"/>
        <v/>
      </c>
      <c r="AW172" s="46" t="str">
        <f t="shared" si="95"/>
        <v/>
      </c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20"/>
    </row>
    <row r="173" spans="2:154">
      <c r="B173" s="1"/>
      <c r="C173" s="2"/>
      <c r="D173" s="34"/>
      <c r="E173" s="34"/>
      <c r="F173" s="34"/>
      <c r="G173" s="34"/>
      <c r="H173" s="4"/>
      <c r="I173" s="4"/>
      <c r="J173" s="4"/>
      <c r="K173" s="3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37"/>
      <c r="X173" s="1"/>
      <c r="Y173" s="18">
        <f t="shared" si="71"/>
        <v>0</v>
      </c>
      <c r="Z173" s="21">
        <f t="shared" si="72"/>
        <v>0</v>
      </c>
      <c r="AA173" s="10">
        <f t="shared" si="73"/>
        <v>0</v>
      </c>
      <c r="AB173" s="10">
        <f t="shared" si="74"/>
        <v>0</v>
      </c>
      <c r="AC173" s="10">
        <f t="shared" si="75"/>
        <v>0</v>
      </c>
      <c r="AD173" s="46" t="str">
        <f t="shared" si="76"/>
        <v/>
      </c>
      <c r="AE173" s="46" t="str">
        <f t="shared" si="77"/>
        <v/>
      </c>
      <c r="AF173" s="46" t="str">
        <f t="shared" si="78"/>
        <v/>
      </c>
      <c r="AG173" s="46" t="str">
        <f t="shared" si="79"/>
        <v/>
      </c>
      <c r="AH173" s="46" t="str">
        <f t="shared" si="80"/>
        <v/>
      </c>
      <c r="AI173" s="46" t="str">
        <f t="shared" si="81"/>
        <v/>
      </c>
      <c r="AJ173" s="46" t="str">
        <f t="shared" si="82"/>
        <v/>
      </c>
      <c r="AK173" s="46" t="str">
        <f t="shared" si="83"/>
        <v/>
      </c>
      <c r="AL173" s="46" t="str">
        <f t="shared" si="84"/>
        <v/>
      </c>
      <c r="AM173" s="46" t="str">
        <f t="shared" si="85"/>
        <v/>
      </c>
      <c r="AN173" s="46" t="str">
        <f t="shared" si="86"/>
        <v/>
      </c>
      <c r="AO173" s="46" t="str">
        <f t="shared" si="87"/>
        <v/>
      </c>
      <c r="AP173" s="46" t="str">
        <f t="shared" si="88"/>
        <v/>
      </c>
      <c r="AQ173" s="46" t="str">
        <f t="shared" si="89"/>
        <v/>
      </c>
      <c r="AR173" s="46" t="str">
        <f t="shared" si="90"/>
        <v/>
      </c>
      <c r="AS173" s="46" t="str">
        <f t="shared" si="91"/>
        <v/>
      </c>
      <c r="AT173" s="46" t="str">
        <f t="shared" si="92"/>
        <v/>
      </c>
      <c r="AU173" s="46" t="str">
        <f t="shared" si="93"/>
        <v/>
      </c>
      <c r="AV173" s="46" t="str">
        <f t="shared" si="94"/>
        <v/>
      </c>
      <c r="AW173" s="46" t="str">
        <f t="shared" si="95"/>
        <v/>
      </c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20"/>
    </row>
    <row r="174" spans="2:154">
      <c r="B174" s="1"/>
      <c r="C174" s="2"/>
      <c r="D174" s="34"/>
      <c r="E174" s="34"/>
      <c r="F174" s="34"/>
      <c r="G174" s="34"/>
      <c r="H174" s="4"/>
      <c r="I174" s="4"/>
      <c r="J174" s="4"/>
      <c r="K174" s="3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37"/>
      <c r="X174" s="1"/>
      <c r="Y174" s="18">
        <f t="shared" si="71"/>
        <v>0</v>
      </c>
      <c r="Z174" s="21">
        <f t="shared" si="72"/>
        <v>0</v>
      </c>
      <c r="AA174" s="10">
        <f t="shared" si="73"/>
        <v>0</v>
      </c>
      <c r="AB174" s="10">
        <f t="shared" si="74"/>
        <v>0</v>
      </c>
      <c r="AC174" s="10">
        <f t="shared" si="75"/>
        <v>0</v>
      </c>
      <c r="AD174" s="46" t="str">
        <f t="shared" si="76"/>
        <v/>
      </c>
      <c r="AE174" s="46" t="str">
        <f t="shared" si="77"/>
        <v/>
      </c>
      <c r="AF174" s="46" t="str">
        <f t="shared" si="78"/>
        <v/>
      </c>
      <c r="AG174" s="46" t="str">
        <f t="shared" si="79"/>
        <v/>
      </c>
      <c r="AH174" s="46" t="str">
        <f t="shared" si="80"/>
        <v/>
      </c>
      <c r="AI174" s="46" t="str">
        <f t="shared" si="81"/>
        <v/>
      </c>
      <c r="AJ174" s="46" t="str">
        <f t="shared" si="82"/>
        <v/>
      </c>
      <c r="AK174" s="46" t="str">
        <f t="shared" si="83"/>
        <v/>
      </c>
      <c r="AL174" s="46" t="str">
        <f t="shared" si="84"/>
        <v/>
      </c>
      <c r="AM174" s="46" t="str">
        <f t="shared" si="85"/>
        <v/>
      </c>
      <c r="AN174" s="46" t="str">
        <f t="shared" si="86"/>
        <v/>
      </c>
      <c r="AO174" s="46" t="str">
        <f t="shared" si="87"/>
        <v/>
      </c>
      <c r="AP174" s="46" t="str">
        <f t="shared" si="88"/>
        <v/>
      </c>
      <c r="AQ174" s="46" t="str">
        <f t="shared" si="89"/>
        <v/>
      </c>
      <c r="AR174" s="46" t="str">
        <f t="shared" si="90"/>
        <v/>
      </c>
      <c r="AS174" s="46" t="str">
        <f t="shared" si="91"/>
        <v/>
      </c>
      <c r="AT174" s="46" t="str">
        <f t="shared" si="92"/>
        <v/>
      </c>
      <c r="AU174" s="46" t="str">
        <f t="shared" si="93"/>
        <v/>
      </c>
      <c r="AV174" s="46" t="str">
        <f t="shared" si="94"/>
        <v/>
      </c>
      <c r="AW174" s="46" t="str">
        <f t="shared" si="95"/>
        <v/>
      </c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20"/>
    </row>
    <row r="175" spans="2:154">
      <c r="B175" s="1"/>
      <c r="C175" s="2"/>
      <c r="D175" s="34"/>
      <c r="E175" s="34"/>
      <c r="F175" s="34"/>
      <c r="G175" s="34"/>
      <c r="H175" s="4"/>
      <c r="I175" s="4"/>
      <c r="J175" s="4"/>
      <c r="K175" s="3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37"/>
      <c r="X175" s="1"/>
      <c r="Y175" s="18">
        <f t="shared" si="71"/>
        <v>0</v>
      </c>
      <c r="Z175" s="21">
        <f t="shared" si="72"/>
        <v>0</v>
      </c>
      <c r="AA175" s="10">
        <f t="shared" si="73"/>
        <v>0</v>
      </c>
      <c r="AB175" s="10">
        <f t="shared" si="74"/>
        <v>0</v>
      </c>
      <c r="AC175" s="10">
        <f t="shared" si="75"/>
        <v>0</v>
      </c>
      <c r="AD175" s="46" t="str">
        <f t="shared" si="76"/>
        <v/>
      </c>
      <c r="AE175" s="46" t="str">
        <f t="shared" si="77"/>
        <v/>
      </c>
      <c r="AF175" s="46" t="str">
        <f t="shared" si="78"/>
        <v/>
      </c>
      <c r="AG175" s="46" t="str">
        <f t="shared" si="79"/>
        <v/>
      </c>
      <c r="AH175" s="46" t="str">
        <f t="shared" si="80"/>
        <v/>
      </c>
      <c r="AI175" s="46" t="str">
        <f t="shared" si="81"/>
        <v/>
      </c>
      <c r="AJ175" s="46" t="str">
        <f t="shared" si="82"/>
        <v/>
      </c>
      <c r="AK175" s="46" t="str">
        <f t="shared" si="83"/>
        <v/>
      </c>
      <c r="AL175" s="46" t="str">
        <f t="shared" si="84"/>
        <v/>
      </c>
      <c r="AM175" s="46" t="str">
        <f t="shared" si="85"/>
        <v/>
      </c>
      <c r="AN175" s="46" t="str">
        <f t="shared" si="86"/>
        <v/>
      </c>
      <c r="AO175" s="46" t="str">
        <f t="shared" si="87"/>
        <v/>
      </c>
      <c r="AP175" s="46" t="str">
        <f t="shared" si="88"/>
        <v/>
      </c>
      <c r="AQ175" s="46" t="str">
        <f t="shared" si="89"/>
        <v/>
      </c>
      <c r="AR175" s="46" t="str">
        <f t="shared" si="90"/>
        <v/>
      </c>
      <c r="AS175" s="46" t="str">
        <f t="shared" si="91"/>
        <v/>
      </c>
      <c r="AT175" s="46" t="str">
        <f t="shared" si="92"/>
        <v/>
      </c>
      <c r="AU175" s="46" t="str">
        <f t="shared" si="93"/>
        <v/>
      </c>
      <c r="AV175" s="46" t="str">
        <f t="shared" si="94"/>
        <v/>
      </c>
      <c r="AW175" s="46" t="str">
        <f t="shared" si="95"/>
        <v/>
      </c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20"/>
    </row>
    <row r="176" spans="2:154">
      <c r="B176" s="1"/>
      <c r="C176" s="2"/>
      <c r="D176" s="34"/>
      <c r="E176" s="34"/>
      <c r="F176" s="34"/>
      <c r="G176" s="34"/>
      <c r="H176" s="4"/>
      <c r="I176" s="4"/>
      <c r="J176" s="4"/>
      <c r="K176" s="3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37"/>
      <c r="X176" s="1"/>
      <c r="Y176" s="18">
        <f t="shared" si="71"/>
        <v>0</v>
      </c>
      <c r="Z176" s="21">
        <f t="shared" si="72"/>
        <v>0</v>
      </c>
      <c r="AA176" s="10">
        <f t="shared" si="73"/>
        <v>0</v>
      </c>
      <c r="AB176" s="10">
        <f t="shared" si="74"/>
        <v>0</v>
      </c>
      <c r="AC176" s="10">
        <f t="shared" si="75"/>
        <v>0</v>
      </c>
      <c r="AD176" s="46" t="str">
        <f t="shared" si="76"/>
        <v/>
      </c>
      <c r="AE176" s="46" t="str">
        <f t="shared" si="77"/>
        <v/>
      </c>
      <c r="AF176" s="46" t="str">
        <f t="shared" si="78"/>
        <v/>
      </c>
      <c r="AG176" s="46" t="str">
        <f t="shared" si="79"/>
        <v/>
      </c>
      <c r="AH176" s="46" t="str">
        <f t="shared" si="80"/>
        <v/>
      </c>
      <c r="AI176" s="46" t="str">
        <f t="shared" si="81"/>
        <v/>
      </c>
      <c r="AJ176" s="46" t="str">
        <f t="shared" si="82"/>
        <v/>
      </c>
      <c r="AK176" s="46" t="str">
        <f t="shared" si="83"/>
        <v/>
      </c>
      <c r="AL176" s="46" t="str">
        <f t="shared" si="84"/>
        <v/>
      </c>
      <c r="AM176" s="46" t="str">
        <f t="shared" si="85"/>
        <v/>
      </c>
      <c r="AN176" s="46" t="str">
        <f t="shared" si="86"/>
        <v/>
      </c>
      <c r="AO176" s="46" t="str">
        <f t="shared" si="87"/>
        <v/>
      </c>
      <c r="AP176" s="46" t="str">
        <f t="shared" si="88"/>
        <v/>
      </c>
      <c r="AQ176" s="46" t="str">
        <f t="shared" si="89"/>
        <v/>
      </c>
      <c r="AR176" s="46" t="str">
        <f t="shared" si="90"/>
        <v/>
      </c>
      <c r="AS176" s="46" t="str">
        <f t="shared" si="91"/>
        <v/>
      </c>
      <c r="AT176" s="46" t="str">
        <f t="shared" si="92"/>
        <v/>
      </c>
      <c r="AU176" s="46" t="str">
        <f t="shared" si="93"/>
        <v/>
      </c>
      <c r="AV176" s="46" t="str">
        <f t="shared" si="94"/>
        <v/>
      </c>
      <c r="AW176" s="46" t="str">
        <f t="shared" si="95"/>
        <v/>
      </c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20"/>
    </row>
    <row r="177" spans="2:154">
      <c r="B177" s="1"/>
      <c r="C177" s="2"/>
      <c r="D177" s="34"/>
      <c r="E177" s="34"/>
      <c r="F177" s="34"/>
      <c r="G177" s="34"/>
      <c r="H177" s="4"/>
      <c r="I177" s="4"/>
      <c r="J177" s="4"/>
      <c r="K177" s="3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37"/>
      <c r="X177" s="1"/>
      <c r="Y177" s="18">
        <f t="shared" si="71"/>
        <v>0</v>
      </c>
      <c r="Z177" s="21">
        <f t="shared" si="72"/>
        <v>0</v>
      </c>
      <c r="AA177" s="10">
        <f t="shared" si="73"/>
        <v>0</v>
      </c>
      <c r="AB177" s="10">
        <f t="shared" si="74"/>
        <v>0</v>
      </c>
      <c r="AC177" s="10">
        <f t="shared" si="75"/>
        <v>0</v>
      </c>
      <c r="AD177" s="46" t="str">
        <f t="shared" si="76"/>
        <v/>
      </c>
      <c r="AE177" s="46" t="str">
        <f t="shared" si="77"/>
        <v/>
      </c>
      <c r="AF177" s="46" t="str">
        <f t="shared" si="78"/>
        <v/>
      </c>
      <c r="AG177" s="46" t="str">
        <f t="shared" si="79"/>
        <v/>
      </c>
      <c r="AH177" s="46" t="str">
        <f t="shared" si="80"/>
        <v/>
      </c>
      <c r="AI177" s="46" t="str">
        <f t="shared" si="81"/>
        <v/>
      </c>
      <c r="AJ177" s="46" t="str">
        <f t="shared" si="82"/>
        <v/>
      </c>
      <c r="AK177" s="46" t="str">
        <f t="shared" si="83"/>
        <v/>
      </c>
      <c r="AL177" s="46" t="str">
        <f t="shared" si="84"/>
        <v/>
      </c>
      <c r="AM177" s="46" t="str">
        <f t="shared" si="85"/>
        <v/>
      </c>
      <c r="AN177" s="46" t="str">
        <f t="shared" si="86"/>
        <v/>
      </c>
      <c r="AO177" s="46" t="str">
        <f t="shared" si="87"/>
        <v/>
      </c>
      <c r="AP177" s="46" t="str">
        <f t="shared" si="88"/>
        <v/>
      </c>
      <c r="AQ177" s="46" t="str">
        <f t="shared" si="89"/>
        <v/>
      </c>
      <c r="AR177" s="46" t="str">
        <f t="shared" si="90"/>
        <v/>
      </c>
      <c r="AS177" s="46" t="str">
        <f t="shared" si="91"/>
        <v/>
      </c>
      <c r="AT177" s="46" t="str">
        <f t="shared" si="92"/>
        <v/>
      </c>
      <c r="AU177" s="46" t="str">
        <f t="shared" si="93"/>
        <v/>
      </c>
      <c r="AV177" s="46" t="str">
        <f t="shared" si="94"/>
        <v/>
      </c>
      <c r="AW177" s="46" t="str">
        <f t="shared" si="95"/>
        <v/>
      </c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20"/>
    </row>
    <row r="178" spans="2:154">
      <c r="B178" s="1"/>
      <c r="C178" s="2"/>
      <c r="D178" s="34"/>
      <c r="E178" s="34"/>
      <c r="F178" s="34"/>
      <c r="G178" s="34"/>
      <c r="H178" s="4"/>
      <c r="I178" s="4"/>
      <c r="J178" s="4"/>
      <c r="K178" s="3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37"/>
      <c r="X178" s="1"/>
      <c r="Y178" s="18">
        <f t="shared" si="71"/>
        <v>0</v>
      </c>
      <c r="Z178" s="21">
        <f t="shared" si="72"/>
        <v>0</v>
      </c>
      <c r="AA178" s="10">
        <f t="shared" si="73"/>
        <v>0</v>
      </c>
      <c r="AB178" s="10">
        <f t="shared" si="74"/>
        <v>0</v>
      </c>
      <c r="AC178" s="10">
        <f t="shared" si="75"/>
        <v>0</v>
      </c>
      <c r="AD178" s="46" t="str">
        <f t="shared" si="76"/>
        <v/>
      </c>
      <c r="AE178" s="46" t="str">
        <f t="shared" si="77"/>
        <v/>
      </c>
      <c r="AF178" s="46" t="str">
        <f t="shared" si="78"/>
        <v/>
      </c>
      <c r="AG178" s="46" t="str">
        <f t="shared" si="79"/>
        <v/>
      </c>
      <c r="AH178" s="46" t="str">
        <f t="shared" si="80"/>
        <v/>
      </c>
      <c r="AI178" s="46" t="str">
        <f t="shared" si="81"/>
        <v/>
      </c>
      <c r="AJ178" s="46" t="str">
        <f t="shared" si="82"/>
        <v/>
      </c>
      <c r="AK178" s="46" t="str">
        <f t="shared" si="83"/>
        <v/>
      </c>
      <c r="AL178" s="46" t="str">
        <f t="shared" si="84"/>
        <v/>
      </c>
      <c r="AM178" s="46" t="str">
        <f t="shared" si="85"/>
        <v/>
      </c>
      <c r="AN178" s="46" t="str">
        <f t="shared" si="86"/>
        <v/>
      </c>
      <c r="AO178" s="46" t="str">
        <f t="shared" si="87"/>
        <v/>
      </c>
      <c r="AP178" s="46" t="str">
        <f t="shared" si="88"/>
        <v/>
      </c>
      <c r="AQ178" s="46" t="str">
        <f t="shared" si="89"/>
        <v/>
      </c>
      <c r="AR178" s="46" t="str">
        <f t="shared" si="90"/>
        <v/>
      </c>
      <c r="AS178" s="46" t="str">
        <f t="shared" si="91"/>
        <v/>
      </c>
      <c r="AT178" s="46" t="str">
        <f t="shared" si="92"/>
        <v/>
      </c>
      <c r="AU178" s="46" t="str">
        <f t="shared" si="93"/>
        <v/>
      </c>
      <c r="AV178" s="46" t="str">
        <f t="shared" si="94"/>
        <v/>
      </c>
      <c r="AW178" s="46" t="str">
        <f t="shared" si="95"/>
        <v/>
      </c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20"/>
    </row>
    <row r="179" spans="2:154">
      <c r="B179" s="1"/>
      <c r="C179" s="2"/>
      <c r="D179" s="34"/>
      <c r="E179" s="34"/>
      <c r="F179" s="34"/>
      <c r="G179" s="34"/>
      <c r="H179" s="4"/>
      <c r="I179" s="4"/>
      <c r="J179" s="4"/>
      <c r="K179" s="3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37"/>
      <c r="X179" s="1"/>
      <c r="Y179" s="18">
        <f t="shared" si="71"/>
        <v>0</v>
      </c>
      <c r="Z179" s="21">
        <f t="shared" si="72"/>
        <v>0</v>
      </c>
      <c r="AA179" s="10">
        <f t="shared" si="73"/>
        <v>0</v>
      </c>
      <c r="AB179" s="10">
        <f t="shared" si="74"/>
        <v>0</v>
      </c>
      <c r="AC179" s="10">
        <f t="shared" si="75"/>
        <v>0</v>
      </c>
      <c r="AD179" s="46" t="str">
        <f t="shared" si="76"/>
        <v/>
      </c>
      <c r="AE179" s="46" t="str">
        <f t="shared" si="77"/>
        <v/>
      </c>
      <c r="AF179" s="46" t="str">
        <f t="shared" si="78"/>
        <v/>
      </c>
      <c r="AG179" s="46" t="str">
        <f t="shared" si="79"/>
        <v/>
      </c>
      <c r="AH179" s="46" t="str">
        <f t="shared" si="80"/>
        <v/>
      </c>
      <c r="AI179" s="46" t="str">
        <f t="shared" si="81"/>
        <v/>
      </c>
      <c r="AJ179" s="46" t="str">
        <f t="shared" si="82"/>
        <v/>
      </c>
      <c r="AK179" s="46" t="str">
        <f t="shared" si="83"/>
        <v/>
      </c>
      <c r="AL179" s="46" t="str">
        <f t="shared" si="84"/>
        <v/>
      </c>
      <c r="AM179" s="46" t="str">
        <f t="shared" si="85"/>
        <v/>
      </c>
      <c r="AN179" s="46" t="str">
        <f t="shared" si="86"/>
        <v/>
      </c>
      <c r="AO179" s="46" t="str">
        <f t="shared" si="87"/>
        <v/>
      </c>
      <c r="AP179" s="46" t="str">
        <f t="shared" si="88"/>
        <v/>
      </c>
      <c r="AQ179" s="46" t="str">
        <f t="shared" si="89"/>
        <v/>
      </c>
      <c r="AR179" s="46" t="str">
        <f t="shared" si="90"/>
        <v/>
      </c>
      <c r="AS179" s="46" t="str">
        <f t="shared" si="91"/>
        <v/>
      </c>
      <c r="AT179" s="46" t="str">
        <f t="shared" si="92"/>
        <v/>
      </c>
      <c r="AU179" s="46" t="str">
        <f t="shared" si="93"/>
        <v/>
      </c>
      <c r="AV179" s="46" t="str">
        <f t="shared" si="94"/>
        <v/>
      </c>
      <c r="AW179" s="46" t="str">
        <f t="shared" si="95"/>
        <v/>
      </c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20"/>
    </row>
    <row r="180" spans="2:154">
      <c r="B180" s="1"/>
      <c r="C180" s="2"/>
      <c r="D180" s="34"/>
      <c r="E180" s="34"/>
      <c r="F180" s="34"/>
      <c r="G180" s="34"/>
      <c r="H180" s="4"/>
      <c r="I180" s="4"/>
      <c r="J180" s="4"/>
      <c r="K180" s="3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37"/>
      <c r="X180" s="1"/>
      <c r="Y180" s="18">
        <f t="shared" si="71"/>
        <v>0</v>
      </c>
      <c r="Z180" s="21">
        <f t="shared" si="72"/>
        <v>0</v>
      </c>
      <c r="AA180" s="10">
        <f t="shared" si="73"/>
        <v>0</v>
      </c>
      <c r="AB180" s="10">
        <f t="shared" si="74"/>
        <v>0</v>
      </c>
      <c r="AC180" s="10">
        <f t="shared" si="75"/>
        <v>0</v>
      </c>
      <c r="AD180" s="46" t="str">
        <f t="shared" si="76"/>
        <v/>
      </c>
      <c r="AE180" s="46" t="str">
        <f t="shared" si="77"/>
        <v/>
      </c>
      <c r="AF180" s="46" t="str">
        <f t="shared" si="78"/>
        <v/>
      </c>
      <c r="AG180" s="46" t="str">
        <f t="shared" si="79"/>
        <v/>
      </c>
      <c r="AH180" s="46" t="str">
        <f t="shared" si="80"/>
        <v/>
      </c>
      <c r="AI180" s="46" t="str">
        <f t="shared" si="81"/>
        <v/>
      </c>
      <c r="AJ180" s="46" t="str">
        <f t="shared" si="82"/>
        <v/>
      </c>
      <c r="AK180" s="46" t="str">
        <f t="shared" si="83"/>
        <v/>
      </c>
      <c r="AL180" s="46" t="str">
        <f t="shared" si="84"/>
        <v/>
      </c>
      <c r="AM180" s="46" t="str">
        <f t="shared" si="85"/>
        <v/>
      </c>
      <c r="AN180" s="46" t="str">
        <f t="shared" si="86"/>
        <v/>
      </c>
      <c r="AO180" s="46" t="str">
        <f t="shared" si="87"/>
        <v/>
      </c>
      <c r="AP180" s="46" t="str">
        <f t="shared" si="88"/>
        <v/>
      </c>
      <c r="AQ180" s="46" t="str">
        <f t="shared" si="89"/>
        <v/>
      </c>
      <c r="AR180" s="46" t="str">
        <f t="shared" si="90"/>
        <v/>
      </c>
      <c r="AS180" s="46" t="str">
        <f t="shared" si="91"/>
        <v/>
      </c>
      <c r="AT180" s="46" t="str">
        <f t="shared" si="92"/>
        <v/>
      </c>
      <c r="AU180" s="46" t="str">
        <f t="shared" si="93"/>
        <v/>
      </c>
      <c r="AV180" s="46" t="str">
        <f t="shared" si="94"/>
        <v/>
      </c>
      <c r="AW180" s="46" t="str">
        <f t="shared" si="95"/>
        <v/>
      </c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20"/>
    </row>
    <row r="181" spans="2:154">
      <c r="B181" s="1"/>
      <c r="C181" s="2"/>
      <c r="D181" s="34"/>
      <c r="E181" s="34"/>
      <c r="F181" s="34"/>
      <c r="G181" s="34"/>
      <c r="H181" s="4"/>
      <c r="I181" s="4"/>
      <c r="J181" s="4"/>
      <c r="K181" s="3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37"/>
      <c r="X181" s="1"/>
      <c r="Y181" s="18">
        <f t="shared" si="71"/>
        <v>0</v>
      </c>
      <c r="Z181" s="21">
        <f t="shared" si="72"/>
        <v>0</v>
      </c>
      <c r="AA181" s="10">
        <f t="shared" si="73"/>
        <v>0</v>
      </c>
      <c r="AB181" s="10">
        <f t="shared" si="74"/>
        <v>0</v>
      </c>
      <c r="AC181" s="10">
        <f t="shared" si="75"/>
        <v>0</v>
      </c>
      <c r="AD181" s="46" t="str">
        <f t="shared" si="76"/>
        <v/>
      </c>
      <c r="AE181" s="46" t="str">
        <f t="shared" si="77"/>
        <v/>
      </c>
      <c r="AF181" s="46" t="str">
        <f t="shared" si="78"/>
        <v/>
      </c>
      <c r="AG181" s="46" t="str">
        <f t="shared" si="79"/>
        <v/>
      </c>
      <c r="AH181" s="46" t="str">
        <f t="shared" si="80"/>
        <v/>
      </c>
      <c r="AI181" s="46" t="str">
        <f t="shared" si="81"/>
        <v/>
      </c>
      <c r="AJ181" s="46" t="str">
        <f t="shared" si="82"/>
        <v/>
      </c>
      <c r="AK181" s="46" t="str">
        <f t="shared" si="83"/>
        <v/>
      </c>
      <c r="AL181" s="46" t="str">
        <f t="shared" si="84"/>
        <v/>
      </c>
      <c r="AM181" s="46" t="str">
        <f t="shared" si="85"/>
        <v/>
      </c>
      <c r="AN181" s="46" t="str">
        <f t="shared" si="86"/>
        <v/>
      </c>
      <c r="AO181" s="46" t="str">
        <f t="shared" si="87"/>
        <v/>
      </c>
      <c r="AP181" s="46" t="str">
        <f t="shared" si="88"/>
        <v/>
      </c>
      <c r="AQ181" s="46" t="str">
        <f t="shared" si="89"/>
        <v/>
      </c>
      <c r="AR181" s="46" t="str">
        <f t="shared" si="90"/>
        <v/>
      </c>
      <c r="AS181" s="46" t="str">
        <f t="shared" si="91"/>
        <v/>
      </c>
      <c r="AT181" s="46" t="str">
        <f t="shared" si="92"/>
        <v/>
      </c>
      <c r="AU181" s="46" t="str">
        <f t="shared" si="93"/>
        <v/>
      </c>
      <c r="AV181" s="46" t="str">
        <f t="shared" si="94"/>
        <v/>
      </c>
      <c r="AW181" s="46" t="str">
        <f t="shared" si="95"/>
        <v/>
      </c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20"/>
    </row>
    <row r="182" spans="2:154">
      <c r="B182" s="1"/>
      <c r="C182" s="2"/>
      <c r="D182" s="34"/>
      <c r="E182" s="34"/>
      <c r="F182" s="34"/>
      <c r="G182" s="34"/>
      <c r="H182" s="4"/>
      <c r="I182" s="4"/>
      <c r="J182" s="4"/>
      <c r="K182" s="3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37"/>
      <c r="X182" s="1"/>
      <c r="Y182" s="18">
        <f t="shared" si="71"/>
        <v>0</v>
      </c>
      <c r="Z182" s="21">
        <f t="shared" si="72"/>
        <v>0</v>
      </c>
      <c r="AA182" s="10">
        <f t="shared" si="73"/>
        <v>0</v>
      </c>
      <c r="AB182" s="10">
        <f t="shared" si="74"/>
        <v>0</v>
      </c>
      <c r="AC182" s="10">
        <f t="shared" si="75"/>
        <v>0</v>
      </c>
      <c r="AD182" s="46" t="str">
        <f t="shared" si="76"/>
        <v/>
      </c>
      <c r="AE182" s="46" t="str">
        <f t="shared" si="77"/>
        <v/>
      </c>
      <c r="AF182" s="46" t="str">
        <f t="shared" si="78"/>
        <v/>
      </c>
      <c r="AG182" s="46" t="str">
        <f t="shared" si="79"/>
        <v/>
      </c>
      <c r="AH182" s="46" t="str">
        <f t="shared" si="80"/>
        <v/>
      </c>
      <c r="AI182" s="46" t="str">
        <f t="shared" si="81"/>
        <v/>
      </c>
      <c r="AJ182" s="46" t="str">
        <f t="shared" si="82"/>
        <v/>
      </c>
      <c r="AK182" s="46" t="str">
        <f t="shared" si="83"/>
        <v/>
      </c>
      <c r="AL182" s="46" t="str">
        <f t="shared" si="84"/>
        <v/>
      </c>
      <c r="AM182" s="46" t="str">
        <f t="shared" si="85"/>
        <v/>
      </c>
      <c r="AN182" s="46" t="str">
        <f t="shared" si="86"/>
        <v/>
      </c>
      <c r="AO182" s="46" t="str">
        <f t="shared" si="87"/>
        <v/>
      </c>
      <c r="AP182" s="46" t="str">
        <f t="shared" si="88"/>
        <v/>
      </c>
      <c r="AQ182" s="46" t="str">
        <f t="shared" si="89"/>
        <v/>
      </c>
      <c r="AR182" s="46" t="str">
        <f t="shared" si="90"/>
        <v/>
      </c>
      <c r="AS182" s="46" t="str">
        <f t="shared" si="91"/>
        <v/>
      </c>
      <c r="AT182" s="46" t="str">
        <f t="shared" si="92"/>
        <v/>
      </c>
      <c r="AU182" s="46" t="str">
        <f t="shared" si="93"/>
        <v/>
      </c>
      <c r="AV182" s="46" t="str">
        <f t="shared" si="94"/>
        <v/>
      </c>
      <c r="AW182" s="46" t="str">
        <f t="shared" si="95"/>
        <v/>
      </c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20"/>
    </row>
    <row r="183" spans="2:154">
      <c r="B183" s="1"/>
      <c r="C183" s="2"/>
      <c r="D183" s="34"/>
      <c r="E183" s="34"/>
      <c r="F183" s="34"/>
      <c r="G183" s="34"/>
      <c r="H183" s="4"/>
      <c r="I183" s="4"/>
      <c r="J183" s="4"/>
      <c r="K183" s="3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37"/>
      <c r="X183" s="1"/>
      <c r="Y183" s="18">
        <f t="shared" si="71"/>
        <v>0</v>
      </c>
      <c r="Z183" s="21">
        <f t="shared" si="72"/>
        <v>0</v>
      </c>
      <c r="AA183" s="10">
        <f t="shared" si="73"/>
        <v>0</v>
      </c>
      <c r="AB183" s="10">
        <f t="shared" si="74"/>
        <v>0</v>
      </c>
      <c r="AC183" s="10">
        <f t="shared" si="75"/>
        <v>0</v>
      </c>
      <c r="AD183" s="46" t="str">
        <f t="shared" si="76"/>
        <v/>
      </c>
      <c r="AE183" s="46" t="str">
        <f t="shared" si="77"/>
        <v/>
      </c>
      <c r="AF183" s="46" t="str">
        <f t="shared" si="78"/>
        <v/>
      </c>
      <c r="AG183" s="46" t="str">
        <f t="shared" si="79"/>
        <v/>
      </c>
      <c r="AH183" s="46" t="str">
        <f t="shared" si="80"/>
        <v/>
      </c>
      <c r="AI183" s="46" t="str">
        <f t="shared" si="81"/>
        <v/>
      </c>
      <c r="AJ183" s="46" t="str">
        <f t="shared" si="82"/>
        <v/>
      </c>
      <c r="AK183" s="46" t="str">
        <f t="shared" si="83"/>
        <v/>
      </c>
      <c r="AL183" s="46" t="str">
        <f t="shared" si="84"/>
        <v/>
      </c>
      <c r="AM183" s="46" t="str">
        <f t="shared" si="85"/>
        <v/>
      </c>
      <c r="AN183" s="46" t="str">
        <f t="shared" si="86"/>
        <v/>
      </c>
      <c r="AO183" s="46" t="str">
        <f t="shared" si="87"/>
        <v/>
      </c>
      <c r="AP183" s="46" t="str">
        <f t="shared" si="88"/>
        <v/>
      </c>
      <c r="AQ183" s="46" t="str">
        <f t="shared" si="89"/>
        <v/>
      </c>
      <c r="AR183" s="46" t="str">
        <f t="shared" si="90"/>
        <v/>
      </c>
      <c r="AS183" s="46" t="str">
        <f t="shared" si="91"/>
        <v/>
      </c>
      <c r="AT183" s="46" t="str">
        <f t="shared" si="92"/>
        <v/>
      </c>
      <c r="AU183" s="46" t="str">
        <f t="shared" si="93"/>
        <v/>
      </c>
      <c r="AV183" s="46" t="str">
        <f t="shared" si="94"/>
        <v/>
      </c>
      <c r="AW183" s="46" t="str">
        <f t="shared" si="95"/>
        <v/>
      </c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20"/>
    </row>
    <row r="184" spans="2:154">
      <c r="B184" s="1"/>
      <c r="C184" s="2"/>
      <c r="D184" s="34"/>
      <c r="E184" s="34"/>
      <c r="F184" s="34"/>
      <c r="G184" s="34"/>
      <c r="H184" s="4"/>
      <c r="I184" s="4"/>
      <c r="J184" s="4"/>
      <c r="K184" s="3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37"/>
      <c r="X184" s="1"/>
      <c r="Y184" s="18">
        <f t="shared" si="71"/>
        <v>0</v>
      </c>
      <c r="Z184" s="21">
        <f t="shared" si="72"/>
        <v>0</v>
      </c>
      <c r="AA184" s="10">
        <f t="shared" si="73"/>
        <v>0</v>
      </c>
      <c r="AB184" s="10">
        <f t="shared" si="74"/>
        <v>0</v>
      </c>
      <c r="AC184" s="10">
        <f t="shared" si="75"/>
        <v>0</v>
      </c>
      <c r="AD184" s="46" t="str">
        <f t="shared" si="76"/>
        <v/>
      </c>
      <c r="AE184" s="46" t="str">
        <f t="shared" si="77"/>
        <v/>
      </c>
      <c r="AF184" s="46" t="str">
        <f t="shared" si="78"/>
        <v/>
      </c>
      <c r="AG184" s="46" t="str">
        <f t="shared" si="79"/>
        <v/>
      </c>
      <c r="AH184" s="46" t="str">
        <f t="shared" si="80"/>
        <v/>
      </c>
      <c r="AI184" s="46" t="str">
        <f t="shared" si="81"/>
        <v/>
      </c>
      <c r="AJ184" s="46" t="str">
        <f t="shared" si="82"/>
        <v/>
      </c>
      <c r="AK184" s="46" t="str">
        <f t="shared" si="83"/>
        <v/>
      </c>
      <c r="AL184" s="46" t="str">
        <f t="shared" si="84"/>
        <v/>
      </c>
      <c r="AM184" s="46" t="str">
        <f t="shared" si="85"/>
        <v/>
      </c>
      <c r="AN184" s="46" t="str">
        <f t="shared" si="86"/>
        <v/>
      </c>
      <c r="AO184" s="46" t="str">
        <f t="shared" si="87"/>
        <v/>
      </c>
      <c r="AP184" s="46" t="str">
        <f t="shared" si="88"/>
        <v/>
      </c>
      <c r="AQ184" s="46" t="str">
        <f t="shared" si="89"/>
        <v/>
      </c>
      <c r="AR184" s="46" t="str">
        <f t="shared" si="90"/>
        <v/>
      </c>
      <c r="AS184" s="46" t="str">
        <f t="shared" si="91"/>
        <v/>
      </c>
      <c r="AT184" s="46" t="str">
        <f t="shared" si="92"/>
        <v/>
      </c>
      <c r="AU184" s="46" t="str">
        <f t="shared" si="93"/>
        <v/>
      </c>
      <c r="AV184" s="46" t="str">
        <f t="shared" si="94"/>
        <v/>
      </c>
      <c r="AW184" s="46" t="str">
        <f t="shared" si="95"/>
        <v/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20"/>
    </row>
    <row r="185" spans="2:154">
      <c r="B185" s="1"/>
      <c r="C185" s="2"/>
      <c r="D185" s="34"/>
      <c r="E185" s="34"/>
      <c r="F185" s="34"/>
      <c r="G185" s="34"/>
      <c r="H185" s="4"/>
      <c r="I185" s="4"/>
      <c r="J185" s="4"/>
      <c r="K185" s="3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37"/>
      <c r="X185" s="1"/>
      <c r="Y185" s="18">
        <f t="shared" si="71"/>
        <v>0</v>
      </c>
      <c r="Z185" s="21">
        <f t="shared" si="72"/>
        <v>0</v>
      </c>
      <c r="AA185" s="10">
        <f t="shared" si="73"/>
        <v>0</v>
      </c>
      <c r="AB185" s="10">
        <f t="shared" si="74"/>
        <v>0</v>
      </c>
      <c r="AC185" s="10">
        <f t="shared" si="75"/>
        <v>0</v>
      </c>
      <c r="AD185" s="46" t="str">
        <f t="shared" si="76"/>
        <v/>
      </c>
      <c r="AE185" s="46" t="str">
        <f t="shared" si="77"/>
        <v/>
      </c>
      <c r="AF185" s="46" t="str">
        <f t="shared" si="78"/>
        <v/>
      </c>
      <c r="AG185" s="46" t="str">
        <f t="shared" si="79"/>
        <v/>
      </c>
      <c r="AH185" s="46" t="str">
        <f t="shared" si="80"/>
        <v/>
      </c>
      <c r="AI185" s="46" t="str">
        <f t="shared" si="81"/>
        <v/>
      </c>
      <c r="AJ185" s="46" t="str">
        <f t="shared" si="82"/>
        <v/>
      </c>
      <c r="AK185" s="46" t="str">
        <f t="shared" si="83"/>
        <v/>
      </c>
      <c r="AL185" s="46" t="str">
        <f t="shared" si="84"/>
        <v/>
      </c>
      <c r="AM185" s="46" t="str">
        <f t="shared" si="85"/>
        <v/>
      </c>
      <c r="AN185" s="46" t="str">
        <f t="shared" si="86"/>
        <v/>
      </c>
      <c r="AO185" s="46" t="str">
        <f t="shared" si="87"/>
        <v/>
      </c>
      <c r="AP185" s="46" t="str">
        <f t="shared" si="88"/>
        <v/>
      </c>
      <c r="AQ185" s="46" t="str">
        <f t="shared" si="89"/>
        <v/>
      </c>
      <c r="AR185" s="46" t="str">
        <f t="shared" si="90"/>
        <v/>
      </c>
      <c r="AS185" s="46" t="str">
        <f t="shared" si="91"/>
        <v/>
      </c>
      <c r="AT185" s="46" t="str">
        <f t="shared" si="92"/>
        <v/>
      </c>
      <c r="AU185" s="46" t="str">
        <f t="shared" si="93"/>
        <v/>
      </c>
      <c r="AV185" s="46" t="str">
        <f t="shared" si="94"/>
        <v/>
      </c>
      <c r="AW185" s="46" t="str">
        <f t="shared" si="95"/>
        <v/>
      </c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20"/>
    </row>
    <row r="186" spans="2:154">
      <c r="B186" s="1"/>
      <c r="C186" s="2"/>
      <c r="D186" s="34"/>
      <c r="E186" s="34"/>
      <c r="F186" s="34"/>
      <c r="G186" s="34"/>
      <c r="H186" s="4"/>
      <c r="I186" s="4"/>
      <c r="J186" s="4"/>
      <c r="K186" s="3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37"/>
      <c r="X186" s="1"/>
      <c r="Y186" s="18">
        <f t="shared" si="71"/>
        <v>0</v>
      </c>
      <c r="Z186" s="21">
        <f t="shared" si="72"/>
        <v>0</v>
      </c>
      <c r="AA186" s="10">
        <f t="shared" si="73"/>
        <v>0</v>
      </c>
      <c r="AB186" s="10">
        <f t="shared" si="74"/>
        <v>0</v>
      </c>
      <c r="AC186" s="10">
        <f t="shared" si="75"/>
        <v>0</v>
      </c>
      <c r="AD186" s="46" t="str">
        <f t="shared" si="76"/>
        <v/>
      </c>
      <c r="AE186" s="46" t="str">
        <f t="shared" si="77"/>
        <v/>
      </c>
      <c r="AF186" s="46" t="str">
        <f t="shared" si="78"/>
        <v/>
      </c>
      <c r="AG186" s="46" t="str">
        <f t="shared" si="79"/>
        <v/>
      </c>
      <c r="AH186" s="46" t="str">
        <f t="shared" si="80"/>
        <v/>
      </c>
      <c r="AI186" s="46" t="str">
        <f t="shared" si="81"/>
        <v/>
      </c>
      <c r="AJ186" s="46" t="str">
        <f t="shared" si="82"/>
        <v/>
      </c>
      <c r="AK186" s="46" t="str">
        <f t="shared" si="83"/>
        <v/>
      </c>
      <c r="AL186" s="46" t="str">
        <f t="shared" si="84"/>
        <v/>
      </c>
      <c r="AM186" s="46" t="str">
        <f t="shared" si="85"/>
        <v/>
      </c>
      <c r="AN186" s="46" t="str">
        <f t="shared" si="86"/>
        <v/>
      </c>
      <c r="AO186" s="46" t="str">
        <f t="shared" si="87"/>
        <v/>
      </c>
      <c r="AP186" s="46" t="str">
        <f t="shared" si="88"/>
        <v/>
      </c>
      <c r="AQ186" s="46" t="str">
        <f t="shared" si="89"/>
        <v/>
      </c>
      <c r="AR186" s="46" t="str">
        <f t="shared" si="90"/>
        <v/>
      </c>
      <c r="AS186" s="46" t="str">
        <f t="shared" si="91"/>
        <v/>
      </c>
      <c r="AT186" s="46" t="str">
        <f t="shared" si="92"/>
        <v/>
      </c>
      <c r="AU186" s="46" t="str">
        <f t="shared" si="93"/>
        <v/>
      </c>
      <c r="AV186" s="46" t="str">
        <f t="shared" si="94"/>
        <v/>
      </c>
      <c r="AW186" s="46" t="str">
        <f t="shared" si="95"/>
        <v/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20"/>
    </row>
    <row r="187" spans="2:154">
      <c r="B187" s="1"/>
      <c r="C187" s="2"/>
      <c r="D187" s="34"/>
      <c r="E187" s="34"/>
      <c r="F187" s="34"/>
      <c r="G187" s="34"/>
      <c r="H187" s="4"/>
      <c r="I187" s="4"/>
      <c r="J187" s="4"/>
      <c r="K187" s="3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37"/>
      <c r="X187" s="1"/>
      <c r="Y187" s="18">
        <f t="shared" si="71"/>
        <v>0</v>
      </c>
      <c r="Z187" s="21">
        <f t="shared" si="72"/>
        <v>0</v>
      </c>
      <c r="AA187" s="10">
        <f t="shared" si="73"/>
        <v>0</v>
      </c>
      <c r="AB187" s="10">
        <f t="shared" si="74"/>
        <v>0</v>
      </c>
      <c r="AC187" s="10">
        <f t="shared" si="75"/>
        <v>0</v>
      </c>
      <c r="AD187" s="46" t="str">
        <f t="shared" si="76"/>
        <v/>
      </c>
      <c r="AE187" s="46" t="str">
        <f t="shared" si="77"/>
        <v/>
      </c>
      <c r="AF187" s="46" t="str">
        <f t="shared" si="78"/>
        <v/>
      </c>
      <c r="AG187" s="46" t="str">
        <f t="shared" si="79"/>
        <v/>
      </c>
      <c r="AH187" s="46" t="str">
        <f t="shared" si="80"/>
        <v/>
      </c>
      <c r="AI187" s="46" t="str">
        <f t="shared" si="81"/>
        <v/>
      </c>
      <c r="AJ187" s="46" t="str">
        <f t="shared" si="82"/>
        <v/>
      </c>
      <c r="AK187" s="46" t="str">
        <f t="shared" si="83"/>
        <v/>
      </c>
      <c r="AL187" s="46" t="str">
        <f t="shared" si="84"/>
        <v/>
      </c>
      <c r="AM187" s="46" t="str">
        <f t="shared" si="85"/>
        <v/>
      </c>
      <c r="AN187" s="46" t="str">
        <f t="shared" si="86"/>
        <v/>
      </c>
      <c r="AO187" s="46" t="str">
        <f t="shared" si="87"/>
        <v/>
      </c>
      <c r="AP187" s="46" t="str">
        <f t="shared" si="88"/>
        <v/>
      </c>
      <c r="AQ187" s="46" t="str">
        <f t="shared" si="89"/>
        <v/>
      </c>
      <c r="AR187" s="46" t="str">
        <f t="shared" si="90"/>
        <v/>
      </c>
      <c r="AS187" s="46" t="str">
        <f t="shared" si="91"/>
        <v/>
      </c>
      <c r="AT187" s="46" t="str">
        <f t="shared" si="92"/>
        <v/>
      </c>
      <c r="AU187" s="46" t="str">
        <f t="shared" si="93"/>
        <v/>
      </c>
      <c r="AV187" s="46" t="str">
        <f t="shared" si="94"/>
        <v/>
      </c>
      <c r="AW187" s="46" t="str">
        <f t="shared" si="95"/>
        <v/>
      </c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20"/>
    </row>
    <row r="188" spans="2:154">
      <c r="B188" s="1"/>
      <c r="C188" s="2"/>
      <c r="D188" s="34"/>
      <c r="E188" s="34"/>
      <c r="F188" s="34"/>
      <c r="G188" s="34"/>
      <c r="H188" s="4"/>
      <c r="I188" s="4"/>
      <c r="J188" s="4"/>
      <c r="K188" s="3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37"/>
      <c r="X188" s="1"/>
      <c r="Y188" s="18">
        <f t="shared" si="71"/>
        <v>0</v>
      </c>
      <c r="Z188" s="21">
        <f t="shared" si="72"/>
        <v>0</v>
      </c>
      <c r="AA188" s="10">
        <f t="shared" si="73"/>
        <v>0</v>
      </c>
      <c r="AB188" s="10">
        <f t="shared" si="74"/>
        <v>0</v>
      </c>
      <c r="AC188" s="10">
        <f t="shared" si="75"/>
        <v>0</v>
      </c>
      <c r="AD188" s="46" t="str">
        <f t="shared" si="76"/>
        <v/>
      </c>
      <c r="AE188" s="46" t="str">
        <f t="shared" si="77"/>
        <v/>
      </c>
      <c r="AF188" s="46" t="str">
        <f t="shared" si="78"/>
        <v/>
      </c>
      <c r="AG188" s="46" t="str">
        <f t="shared" si="79"/>
        <v/>
      </c>
      <c r="AH188" s="46" t="str">
        <f t="shared" si="80"/>
        <v/>
      </c>
      <c r="AI188" s="46" t="str">
        <f t="shared" si="81"/>
        <v/>
      </c>
      <c r="AJ188" s="46" t="str">
        <f t="shared" si="82"/>
        <v/>
      </c>
      <c r="AK188" s="46" t="str">
        <f t="shared" si="83"/>
        <v/>
      </c>
      <c r="AL188" s="46" t="str">
        <f t="shared" si="84"/>
        <v/>
      </c>
      <c r="AM188" s="46" t="str">
        <f t="shared" si="85"/>
        <v/>
      </c>
      <c r="AN188" s="46" t="str">
        <f t="shared" si="86"/>
        <v/>
      </c>
      <c r="AO188" s="46" t="str">
        <f t="shared" si="87"/>
        <v/>
      </c>
      <c r="AP188" s="46" t="str">
        <f t="shared" si="88"/>
        <v/>
      </c>
      <c r="AQ188" s="46" t="str">
        <f t="shared" si="89"/>
        <v/>
      </c>
      <c r="AR188" s="46" t="str">
        <f t="shared" si="90"/>
        <v/>
      </c>
      <c r="AS188" s="46" t="str">
        <f t="shared" si="91"/>
        <v/>
      </c>
      <c r="AT188" s="46" t="str">
        <f t="shared" si="92"/>
        <v/>
      </c>
      <c r="AU188" s="46" t="str">
        <f t="shared" si="93"/>
        <v/>
      </c>
      <c r="AV188" s="46" t="str">
        <f t="shared" si="94"/>
        <v/>
      </c>
      <c r="AW188" s="46" t="str">
        <f t="shared" si="95"/>
        <v/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20"/>
    </row>
    <row r="189" spans="2:154">
      <c r="B189" s="1"/>
      <c r="C189" s="2"/>
      <c r="D189" s="34"/>
      <c r="E189" s="34"/>
      <c r="F189" s="34"/>
      <c r="G189" s="34"/>
      <c r="H189" s="4"/>
      <c r="I189" s="4"/>
      <c r="J189" s="4"/>
      <c r="K189" s="3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37"/>
      <c r="X189" s="1"/>
      <c r="Y189" s="18">
        <f t="shared" si="71"/>
        <v>0</v>
      </c>
      <c r="Z189" s="21">
        <f t="shared" si="72"/>
        <v>0</v>
      </c>
      <c r="AA189" s="10">
        <f t="shared" si="73"/>
        <v>0</v>
      </c>
      <c r="AB189" s="10">
        <f t="shared" si="74"/>
        <v>0</v>
      </c>
      <c r="AC189" s="10">
        <f t="shared" si="75"/>
        <v>0</v>
      </c>
      <c r="AD189" s="46" t="str">
        <f t="shared" si="76"/>
        <v/>
      </c>
      <c r="AE189" s="46" t="str">
        <f t="shared" si="77"/>
        <v/>
      </c>
      <c r="AF189" s="46" t="str">
        <f t="shared" si="78"/>
        <v/>
      </c>
      <c r="AG189" s="46" t="str">
        <f t="shared" si="79"/>
        <v/>
      </c>
      <c r="AH189" s="46" t="str">
        <f t="shared" si="80"/>
        <v/>
      </c>
      <c r="AI189" s="46" t="str">
        <f t="shared" si="81"/>
        <v/>
      </c>
      <c r="AJ189" s="46" t="str">
        <f t="shared" si="82"/>
        <v/>
      </c>
      <c r="AK189" s="46" t="str">
        <f t="shared" si="83"/>
        <v/>
      </c>
      <c r="AL189" s="46" t="str">
        <f t="shared" si="84"/>
        <v/>
      </c>
      <c r="AM189" s="46" t="str">
        <f t="shared" si="85"/>
        <v/>
      </c>
      <c r="AN189" s="46" t="str">
        <f t="shared" si="86"/>
        <v/>
      </c>
      <c r="AO189" s="46" t="str">
        <f t="shared" si="87"/>
        <v/>
      </c>
      <c r="AP189" s="46" t="str">
        <f t="shared" si="88"/>
        <v/>
      </c>
      <c r="AQ189" s="46" t="str">
        <f t="shared" si="89"/>
        <v/>
      </c>
      <c r="AR189" s="46" t="str">
        <f t="shared" si="90"/>
        <v/>
      </c>
      <c r="AS189" s="46" t="str">
        <f t="shared" si="91"/>
        <v/>
      </c>
      <c r="AT189" s="46" t="str">
        <f t="shared" si="92"/>
        <v/>
      </c>
      <c r="AU189" s="46" t="str">
        <f t="shared" si="93"/>
        <v/>
      </c>
      <c r="AV189" s="46" t="str">
        <f t="shared" si="94"/>
        <v/>
      </c>
      <c r="AW189" s="46" t="str">
        <f t="shared" si="95"/>
        <v/>
      </c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20"/>
    </row>
    <row r="190" spans="2:154">
      <c r="B190" s="1"/>
      <c r="C190" s="2"/>
      <c r="D190" s="34"/>
      <c r="E190" s="34"/>
      <c r="F190" s="34"/>
      <c r="G190" s="34"/>
      <c r="H190" s="4"/>
      <c r="I190" s="4"/>
      <c r="J190" s="4"/>
      <c r="K190" s="3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37"/>
      <c r="X190" s="1"/>
      <c r="Y190" s="18">
        <f t="shared" si="71"/>
        <v>0</v>
      </c>
      <c r="Z190" s="21">
        <f t="shared" si="72"/>
        <v>0</v>
      </c>
      <c r="AA190" s="10">
        <f t="shared" si="73"/>
        <v>0</v>
      </c>
      <c r="AB190" s="10">
        <f t="shared" si="74"/>
        <v>0</v>
      </c>
      <c r="AC190" s="10">
        <f t="shared" si="75"/>
        <v>0</v>
      </c>
      <c r="AD190" s="46" t="str">
        <f t="shared" si="76"/>
        <v/>
      </c>
      <c r="AE190" s="46" t="str">
        <f t="shared" si="77"/>
        <v/>
      </c>
      <c r="AF190" s="46" t="str">
        <f t="shared" si="78"/>
        <v/>
      </c>
      <c r="AG190" s="46" t="str">
        <f t="shared" si="79"/>
        <v/>
      </c>
      <c r="AH190" s="46" t="str">
        <f t="shared" si="80"/>
        <v/>
      </c>
      <c r="AI190" s="46" t="str">
        <f t="shared" si="81"/>
        <v/>
      </c>
      <c r="AJ190" s="46" t="str">
        <f t="shared" si="82"/>
        <v/>
      </c>
      <c r="AK190" s="46" t="str">
        <f t="shared" si="83"/>
        <v/>
      </c>
      <c r="AL190" s="46" t="str">
        <f t="shared" si="84"/>
        <v/>
      </c>
      <c r="AM190" s="46" t="str">
        <f t="shared" si="85"/>
        <v/>
      </c>
      <c r="AN190" s="46" t="str">
        <f t="shared" si="86"/>
        <v/>
      </c>
      <c r="AO190" s="46" t="str">
        <f t="shared" si="87"/>
        <v/>
      </c>
      <c r="AP190" s="46" t="str">
        <f t="shared" si="88"/>
        <v/>
      </c>
      <c r="AQ190" s="46" t="str">
        <f t="shared" si="89"/>
        <v/>
      </c>
      <c r="AR190" s="46" t="str">
        <f t="shared" si="90"/>
        <v/>
      </c>
      <c r="AS190" s="46" t="str">
        <f t="shared" si="91"/>
        <v/>
      </c>
      <c r="AT190" s="46" t="str">
        <f t="shared" si="92"/>
        <v/>
      </c>
      <c r="AU190" s="46" t="str">
        <f t="shared" si="93"/>
        <v/>
      </c>
      <c r="AV190" s="46" t="str">
        <f t="shared" si="94"/>
        <v/>
      </c>
      <c r="AW190" s="46" t="str">
        <f t="shared" si="95"/>
        <v/>
      </c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20"/>
    </row>
    <row r="191" spans="2:154">
      <c r="B191" s="1"/>
      <c r="C191" s="2"/>
      <c r="D191" s="34"/>
      <c r="E191" s="34"/>
      <c r="F191" s="34"/>
      <c r="G191" s="34"/>
      <c r="H191" s="4"/>
      <c r="I191" s="4"/>
      <c r="J191" s="4"/>
      <c r="K191" s="3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37"/>
      <c r="X191" s="1"/>
      <c r="Y191" s="18">
        <f t="shared" si="71"/>
        <v>0</v>
      </c>
      <c r="Z191" s="21">
        <f t="shared" si="72"/>
        <v>0</v>
      </c>
      <c r="AA191" s="10">
        <f t="shared" si="73"/>
        <v>0</v>
      </c>
      <c r="AB191" s="10">
        <f t="shared" si="74"/>
        <v>0</v>
      </c>
      <c r="AC191" s="10">
        <f t="shared" si="75"/>
        <v>0</v>
      </c>
      <c r="AD191" s="46" t="str">
        <f t="shared" si="76"/>
        <v/>
      </c>
      <c r="AE191" s="46" t="str">
        <f t="shared" si="77"/>
        <v/>
      </c>
      <c r="AF191" s="46" t="str">
        <f t="shared" si="78"/>
        <v/>
      </c>
      <c r="AG191" s="46" t="str">
        <f t="shared" si="79"/>
        <v/>
      </c>
      <c r="AH191" s="46" t="str">
        <f t="shared" si="80"/>
        <v/>
      </c>
      <c r="AI191" s="46" t="str">
        <f t="shared" si="81"/>
        <v/>
      </c>
      <c r="AJ191" s="46" t="str">
        <f t="shared" si="82"/>
        <v/>
      </c>
      <c r="AK191" s="46" t="str">
        <f t="shared" si="83"/>
        <v/>
      </c>
      <c r="AL191" s="46" t="str">
        <f t="shared" si="84"/>
        <v/>
      </c>
      <c r="AM191" s="46" t="str">
        <f t="shared" si="85"/>
        <v/>
      </c>
      <c r="AN191" s="46" t="str">
        <f t="shared" si="86"/>
        <v/>
      </c>
      <c r="AO191" s="46" t="str">
        <f t="shared" si="87"/>
        <v/>
      </c>
      <c r="AP191" s="46" t="str">
        <f t="shared" si="88"/>
        <v/>
      </c>
      <c r="AQ191" s="46" t="str">
        <f t="shared" si="89"/>
        <v/>
      </c>
      <c r="AR191" s="46" t="str">
        <f t="shared" si="90"/>
        <v/>
      </c>
      <c r="AS191" s="46" t="str">
        <f t="shared" si="91"/>
        <v/>
      </c>
      <c r="AT191" s="46" t="str">
        <f t="shared" si="92"/>
        <v/>
      </c>
      <c r="AU191" s="46" t="str">
        <f t="shared" si="93"/>
        <v/>
      </c>
      <c r="AV191" s="46" t="str">
        <f t="shared" si="94"/>
        <v/>
      </c>
      <c r="AW191" s="46" t="str">
        <f t="shared" si="95"/>
        <v/>
      </c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20"/>
    </row>
    <row r="192" spans="2:154">
      <c r="B192" s="1"/>
      <c r="C192" s="2"/>
      <c r="D192" s="34"/>
      <c r="E192" s="34"/>
      <c r="F192" s="34"/>
      <c r="G192" s="34"/>
      <c r="H192" s="4"/>
      <c r="I192" s="4"/>
      <c r="J192" s="4"/>
      <c r="K192" s="3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37"/>
      <c r="X192" s="1"/>
      <c r="Y192" s="18">
        <f t="shared" si="71"/>
        <v>0</v>
      </c>
      <c r="Z192" s="21">
        <f t="shared" si="72"/>
        <v>0</v>
      </c>
      <c r="AA192" s="10">
        <f t="shared" si="73"/>
        <v>0</v>
      </c>
      <c r="AB192" s="10">
        <f t="shared" si="74"/>
        <v>0</v>
      </c>
      <c r="AC192" s="10">
        <f t="shared" si="75"/>
        <v>0</v>
      </c>
      <c r="AD192" s="46" t="str">
        <f t="shared" si="76"/>
        <v/>
      </c>
      <c r="AE192" s="46" t="str">
        <f t="shared" si="77"/>
        <v/>
      </c>
      <c r="AF192" s="46" t="str">
        <f t="shared" si="78"/>
        <v/>
      </c>
      <c r="AG192" s="46" t="str">
        <f t="shared" si="79"/>
        <v/>
      </c>
      <c r="AH192" s="46" t="str">
        <f t="shared" si="80"/>
        <v/>
      </c>
      <c r="AI192" s="46" t="str">
        <f t="shared" si="81"/>
        <v/>
      </c>
      <c r="AJ192" s="46" t="str">
        <f t="shared" si="82"/>
        <v/>
      </c>
      <c r="AK192" s="46" t="str">
        <f t="shared" si="83"/>
        <v/>
      </c>
      <c r="AL192" s="46" t="str">
        <f t="shared" si="84"/>
        <v/>
      </c>
      <c r="AM192" s="46" t="str">
        <f t="shared" si="85"/>
        <v/>
      </c>
      <c r="AN192" s="46" t="str">
        <f t="shared" si="86"/>
        <v/>
      </c>
      <c r="AO192" s="46" t="str">
        <f t="shared" si="87"/>
        <v/>
      </c>
      <c r="AP192" s="46" t="str">
        <f t="shared" si="88"/>
        <v/>
      </c>
      <c r="AQ192" s="46" t="str">
        <f t="shared" si="89"/>
        <v/>
      </c>
      <c r="AR192" s="46" t="str">
        <f t="shared" si="90"/>
        <v/>
      </c>
      <c r="AS192" s="46" t="str">
        <f t="shared" si="91"/>
        <v/>
      </c>
      <c r="AT192" s="46" t="str">
        <f t="shared" si="92"/>
        <v/>
      </c>
      <c r="AU192" s="46" t="str">
        <f t="shared" si="93"/>
        <v/>
      </c>
      <c r="AV192" s="46" t="str">
        <f t="shared" si="94"/>
        <v/>
      </c>
      <c r="AW192" s="46" t="str">
        <f t="shared" si="95"/>
        <v/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20"/>
    </row>
    <row r="193" spans="2:154">
      <c r="B193" s="1"/>
      <c r="C193" s="2"/>
      <c r="D193" s="34"/>
      <c r="E193" s="34"/>
      <c r="F193" s="34"/>
      <c r="G193" s="34"/>
      <c r="H193" s="4"/>
      <c r="I193" s="4"/>
      <c r="J193" s="4"/>
      <c r="K193" s="3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37"/>
      <c r="X193" s="1"/>
      <c r="Y193" s="18">
        <f t="shared" si="71"/>
        <v>0</v>
      </c>
      <c r="Z193" s="21">
        <f t="shared" si="72"/>
        <v>0</v>
      </c>
      <c r="AA193" s="10">
        <f t="shared" si="73"/>
        <v>0</v>
      </c>
      <c r="AB193" s="10">
        <f t="shared" si="74"/>
        <v>0</v>
      </c>
      <c r="AC193" s="10">
        <f t="shared" si="75"/>
        <v>0</v>
      </c>
      <c r="AD193" s="46" t="str">
        <f t="shared" si="76"/>
        <v/>
      </c>
      <c r="AE193" s="46" t="str">
        <f t="shared" si="77"/>
        <v/>
      </c>
      <c r="AF193" s="46" t="str">
        <f t="shared" si="78"/>
        <v/>
      </c>
      <c r="AG193" s="46" t="str">
        <f t="shared" si="79"/>
        <v/>
      </c>
      <c r="AH193" s="46" t="str">
        <f t="shared" si="80"/>
        <v/>
      </c>
      <c r="AI193" s="46" t="str">
        <f t="shared" si="81"/>
        <v/>
      </c>
      <c r="AJ193" s="46" t="str">
        <f t="shared" si="82"/>
        <v/>
      </c>
      <c r="AK193" s="46" t="str">
        <f t="shared" si="83"/>
        <v/>
      </c>
      <c r="AL193" s="46" t="str">
        <f t="shared" si="84"/>
        <v/>
      </c>
      <c r="AM193" s="46" t="str">
        <f t="shared" si="85"/>
        <v/>
      </c>
      <c r="AN193" s="46" t="str">
        <f t="shared" si="86"/>
        <v/>
      </c>
      <c r="AO193" s="46" t="str">
        <f t="shared" si="87"/>
        <v/>
      </c>
      <c r="AP193" s="46" t="str">
        <f t="shared" si="88"/>
        <v/>
      </c>
      <c r="AQ193" s="46" t="str">
        <f t="shared" si="89"/>
        <v/>
      </c>
      <c r="AR193" s="46" t="str">
        <f t="shared" si="90"/>
        <v/>
      </c>
      <c r="AS193" s="46" t="str">
        <f t="shared" si="91"/>
        <v/>
      </c>
      <c r="AT193" s="46" t="str">
        <f t="shared" si="92"/>
        <v/>
      </c>
      <c r="AU193" s="46" t="str">
        <f t="shared" si="93"/>
        <v/>
      </c>
      <c r="AV193" s="46" t="str">
        <f t="shared" si="94"/>
        <v/>
      </c>
      <c r="AW193" s="46" t="str">
        <f t="shared" si="95"/>
        <v/>
      </c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20"/>
    </row>
    <row r="194" spans="2:154">
      <c r="B194" s="1"/>
      <c r="C194" s="2"/>
      <c r="D194" s="34"/>
      <c r="E194" s="34"/>
      <c r="F194" s="34"/>
      <c r="G194" s="34"/>
      <c r="H194" s="4"/>
      <c r="I194" s="4"/>
      <c r="J194" s="4"/>
      <c r="K194" s="3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37"/>
      <c r="X194" s="1"/>
      <c r="Y194" s="18">
        <f t="shared" si="71"/>
        <v>0</v>
      </c>
      <c r="Z194" s="21">
        <f t="shared" si="72"/>
        <v>0</v>
      </c>
      <c r="AA194" s="10">
        <f t="shared" si="73"/>
        <v>0</v>
      </c>
      <c r="AB194" s="10">
        <f t="shared" si="74"/>
        <v>0</v>
      </c>
      <c r="AC194" s="10">
        <f t="shared" si="75"/>
        <v>0</v>
      </c>
      <c r="AD194" s="46" t="str">
        <f t="shared" si="76"/>
        <v/>
      </c>
      <c r="AE194" s="46" t="str">
        <f t="shared" si="77"/>
        <v/>
      </c>
      <c r="AF194" s="46" t="str">
        <f t="shared" si="78"/>
        <v/>
      </c>
      <c r="AG194" s="46" t="str">
        <f t="shared" si="79"/>
        <v/>
      </c>
      <c r="AH194" s="46" t="str">
        <f t="shared" si="80"/>
        <v/>
      </c>
      <c r="AI194" s="46" t="str">
        <f t="shared" si="81"/>
        <v/>
      </c>
      <c r="AJ194" s="46" t="str">
        <f t="shared" si="82"/>
        <v/>
      </c>
      <c r="AK194" s="46" t="str">
        <f t="shared" si="83"/>
        <v/>
      </c>
      <c r="AL194" s="46" t="str">
        <f t="shared" si="84"/>
        <v/>
      </c>
      <c r="AM194" s="46" t="str">
        <f t="shared" si="85"/>
        <v/>
      </c>
      <c r="AN194" s="46" t="str">
        <f t="shared" si="86"/>
        <v/>
      </c>
      <c r="AO194" s="46" t="str">
        <f t="shared" si="87"/>
        <v/>
      </c>
      <c r="AP194" s="46" t="str">
        <f t="shared" si="88"/>
        <v/>
      </c>
      <c r="AQ194" s="46" t="str">
        <f t="shared" si="89"/>
        <v/>
      </c>
      <c r="AR194" s="46" t="str">
        <f t="shared" si="90"/>
        <v/>
      </c>
      <c r="AS194" s="46" t="str">
        <f t="shared" si="91"/>
        <v/>
      </c>
      <c r="AT194" s="46" t="str">
        <f t="shared" si="92"/>
        <v/>
      </c>
      <c r="AU194" s="46" t="str">
        <f t="shared" si="93"/>
        <v/>
      </c>
      <c r="AV194" s="46" t="str">
        <f t="shared" si="94"/>
        <v/>
      </c>
      <c r="AW194" s="46" t="str">
        <f t="shared" si="95"/>
        <v/>
      </c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20"/>
    </row>
    <row r="195" spans="2:154">
      <c r="B195" s="1"/>
      <c r="C195" s="2"/>
      <c r="D195" s="34"/>
      <c r="E195" s="34"/>
      <c r="F195" s="34"/>
      <c r="G195" s="34"/>
      <c r="H195" s="4"/>
      <c r="I195" s="4"/>
      <c r="J195" s="4"/>
      <c r="K195" s="3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37"/>
      <c r="X195" s="1"/>
      <c r="Y195" s="18">
        <f t="shared" si="71"/>
        <v>0</v>
      </c>
      <c r="Z195" s="21">
        <f t="shared" si="72"/>
        <v>0</v>
      </c>
      <c r="AA195" s="10">
        <f t="shared" si="73"/>
        <v>0</v>
      </c>
      <c r="AB195" s="10">
        <f t="shared" si="74"/>
        <v>0</v>
      </c>
      <c r="AC195" s="10">
        <f t="shared" si="75"/>
        <v>0</v>
      </c>
      <c r="AD195" s="46" t="str">
        <f t="shared" si="76"/>
        <v/>
      </c>
      <c r="AE195" s="46" t="str">
        <f t="shared" si="77"/>
        <v/>
      </c>
      <c r="AF195" s="46" t="str">
        <f t="shared" si="78"/>
        <v/>
      </c>
      <c r="AG195" s="46" t="str">
        <f t="shared" si="79"/>
        <v/>
      </c>
      <c r="AH195" s="46" t="str">
        <f t="shared" si="80"/>
        <v/>
      </c>
      <c r="AI195" s="46" t="str">
        <f t="shared" si="81"/>
        <v/>
      </c>
      <c r="AJ195" s="46" t="str">
        <f t="shared" si="82"/>
        <v/>
      </c>
      <c r="AK195" s="46" t="str">
        <f t="shared" si="83"/>
        <v/>
      </c>
      <c r="AL195" s="46" t="str">
        <f t="shared" si="84"/>
        <v/>
      </c>
      <c r="AM195" s="46" t="str">
        <f t="shared" si="85"/>
        <v/>
      </c>
      <c r="AN195" s="46" t="str">
        <f t="shared" si="86"/>
        <v/>
      </c>
      <c r="AO195" s="46" t="str">
        <f t="shared" si="87"/>
        <v/>
      </c>
      <c r="AP195" s="46" t="str">
        <f t="shared" si="88"/>
        <v/>
      </c>
      <c r="AQ195" s="46" t="str">
        <f t="shared" si="89"/>
        <v/>
      </c>
      <c r="AR195" s="46" t="str">
        <f t="shared" si="90"/>
        <v/>
      </c>
      <c r="AS195" s="46" t="str">
        <f t="shared" si="91"/>
        <v/>
      </c>
      <c r="AT195" s="46" t="str">
        <f t="shared" si="92"/>
        <v/>
      </c>
      <c r="AU195" s="46" t="str">
        <f t="shared" si="93"/>
        <v/>
      </c>
      <c r="AV195" s="46" t="str">
        <f t="shared" si="94"/>
        <v/>
      </c>
      <c r="AW195" s="46" t="str">
        <f t="shared" si="95"/>
        <v/>
      </c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20"/>
    </row>
    <row r="196" spans="2:154">
      <c r="B196" s="1"/>
      <c r="C196" s="2"/>
      <c r="D196" s="34"/>
      <c r="E196" s="34"/>
      <c r="F196" s="34"/>
      <c r="G196" s="34"/>
      <c r="H196" s="4"/>
      <c r="I196" s="4"/>
      <c r="J196" s="4"/>
      <c r="K196" s="3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37"/>
      <c r="X196" s="1"/>
      <c r="Y196" s="18">
        <f t="shared" ref="Y196:Y259" si="96">COUNTA(D196:V196)-X196</f>
        <v>0</v>
      </c>
      <c r="Z196" s="21">
        <f t="shared" ref="Z196:Z259" si="97">IF(W196&lt;&gt;"",0.0001,IF(X196+Y196=0,0,IF(X196=0,70+(Y196*50),IF(X196&gt;0,80+(Y196*50)))))</f>
        <v>0</v>
      </c>
      <c r="AA196" s="10">
        <f t="shared" ref="AA196:AA259" si="98">COUNTA(K196:V196)</f>
        <v>0</v>
      </c>
      <c r="AB196" s="10">
        <f t="shared" ref="AB196:AB259" si="99">COUNTA(K196:P196)</f>
        <v>0</v>
      </c>
      <c r="AC196" s="10">
        <f t="shared" ref="AC196:AC259" si="100">COUNTA(Q196:U196)</f>
        <v>0</v>
      </c>
      <c r="AD196" s="46" t="str">
        <f t="shared" ref="AD196:AD259" si="101">IF(AND(B196="Feminino",C196&gt;=$AY$2,C196&lt;=$AZ$2),$AY$3,IF(AND(B196="Masculino",C196&gt;=$AY$2,C196&lt;=$AZ$2),$AZ$3,IF(AND(B196="Feminino",C196&gt;=$BA$2,C196&lt;=$BB$2),$BA$3,IF(AND(B196="Masculino",C196&gt;=$BA$2,C196&lt;=$BB$2),$BB$3,IF(AND(B196="Feminino",C196&gt;=$BC$2,C196&lt;=$BD$2),$BC$3,IF(AND(B196="Masculino",C196&gt;=$BC$2,C196&lt;=$BD$2),$BD$3,""))))))</f>
        <v/>
      </c>
      <c r="AE196" s="46" t="str">
        <f t="shared" ref="AE196:AE259" si="102">IF(AND(B196="Feminino",C196&gt;=$BA$2,C196&lt;=$BB$2),$BE$3,IF(AND(B196="Masculino",C196&gt;=$BA$2,C196&lt;=$BB$2),$BF$3,IF(AND(B196="Feminino",C196&lt;=$BD$2),$BG$3,IF(AND(B196="Masculino",C196&lt;=$BD$2),$BH$3,""))))</f>
        <v/>
      </c>
      <c r="AF196" s="46" t="str">
        <f t="shared" ref="AF196:AF259" si="103">IF(AND(B196="Feminino",C196&gt;=$BI$2,C196&lt;=$BJ$2),$BI$3,IF(AND(B196="Masculino",C196&gt;=$BI$2,C196&lt;=$BJ$2),$BJ$3,""))</f>
        <v/>
      </c>
      <c r="AG196" s="46" t="str">
        <f t="shared" ref="AG196:AG259" si="104">IF(C196="","",IF(C196&gt;=$BK$2,$BK$3,IF(AND(C196&gt;=$BL$1,C196&lt;=$BL$2),$BL$3,IF(AND(C196&gt;=$BM$1,C196&lt;=$BM$2),$BM$3,IF(AND(C196&gt;=$BN$1,C196&lt;=$BN$2),$BN$3,IF(AND(C196&gt;=$BO$1,C196&lt;=$BO$2),$BO$3,IF(C196&lt;=$BP$2,$BP$3,"")))))))</f>
        <v/>
      </c>
      <c r="AH196" s="46" t="str">
        <f t="shared" ref="AH196:AH259" si="105">IF(C196="","",IF(C196&gt;=$BK$2,$BQ$3,IF(AND(C196&gt;=$BL$1,C196&lt;=$BL$2),$BR$3,IF(AND(C196&gt;=$BM$1,C196&lt;=$BM$2),$BS$3,IF(AND(C196&gt;=$BN$1,C196&lt;=$BN$2),$BT$3,IF(AND(C196&gt;=$BO$1,C196&lt;=$BO$2),$BU$3,IF(C196&lt;=$BP$2,$BV$3,"")))))))</f>
        <v/>
      </c>
      <c r="AI196" s="46" t="str">
        <f t="shared" ref="AI196:AI259" si="106">IF(C196="","",IF(C196&gt;=$BK$2,$BW$3,IF(AND(C196&gt;=$BL$1,C196&lt;=$BL$2),$BX$3,IF(AND(C196&gt;=$BM$1,C196&lt;=$BM$2),$BY$3,IF(AND(C196&gt;=$BN$1,C196&lt;=$BN$2),$BZ$3,IF(AND(C196&gt;=$BO$1,C196&lt;=$BO$2),$CA$3,IF(C196&lt;=$BP$2,$CB$3,"")))))))</f>
        <v/>
      </c>
      <c r="AJ196" s="46" t="str">
        <f t="shared" ref="AJ196:AJ259" si="107">IF(C196="","",IF(AND(C196&gt;=$BN$1,C196&lt;=$BN$2),$CC$3,IF(AND(C196&gt;=$BO$1,C196&lt;=$BO$2),$CD$3,IF(C196&lt;=$BP$2,$CE$3,""))))</f>
        <v/>
      </c>
      <c r="AK196" s="46" t="str">
        <f t="shared" ref="AK196:AK259" si="108">IF(C196="","",IF(AA196&gt;=3,"",IF(AB196&gt;=2,"",IF(C196&gt;=$CF$2,$CF$3,IF(AND(C196&gt;=$CG$1,C196&lt;=$CG$2),$CG$3,IF(AND(C196&gt;=$CH$1,C196&lt;=$CH$2),$CH$3,IF(AND(C196&gt;=$CI$1,C196&lt;=$CI$2),$CI$3,IF(AND(C196&gt;=$CJ$1,C196&lt;=$CJ$2),$CJ$3,IF(C196&lt;=$CK$2,$CK$3,"")))))))))</f>
        <v/>
      </c>
      <c r="AL196" s="46" t="str">
        <f t="shared" ref="AL196:AL259" si="109">IF(C196="","",IF(AA196&gt;=3,"",IF(AB196&gt;=2,"",IF(C196&gt;=$CF$2,$CL$3,IF(AND(C196&gt;=$CG$1,C196&lt;=$CG$2),$CM$3,IF(AND(C196&gt;=$CH$1,C196&lt;=$CH$2),$CN$3,IF(AND(C196&gt;=$CI$1,C196&lt;=$CI$2),$CO$3,IF(AND(C196&gt;=$CJ$1,C196&lt;=$CJ$2),$CP$3,IF(C196&lt;=$CK$2,$CQ$3,"")))))))))</f>
        <v/>
      </c>
      <c r="AM196" s="46" t="str">
        <f t="shared" ref="AM196:AM259" si="110">IF(C196="","",IF(AA196&gt;=3,"",IF(AB196&gt;=2,"",IF(C196&gt;=$CF$2,$CR$3,IF(AND(C196&gt;=$CG$1,C196&lt;=$CG$2),$CS$3,IF(AND(C196&gt;=$CH$1,C196&lt;=$CH$2),$CT$3,IF(AND(C196&gt;=$CI$1,C196&lt;=$CI$2),$CU$3,IF(AND(C196&gt;=$CJ$1,C196&lt;=$CJ$2),$CV$3,IF(C196&lt;=$CK$2,$CW$3,"")))))))))</f>
        <v/>
      </c>
      <c r="AN196" s="46" t="str">
        <f t="shared" ref="AN196:AN259" si="111">IF(C196="","",IF(AA196&gt;=3,"",IF(AB196&gt;=2,"",IF(C196&gt;=$CF$2,$CX$3,IF(AND(C196&gt;=$CG$1,C196&lt;=$CG$2),$CY$3,IF(AND(C196&gt;=$CH$1,C196&lt;=$CH$2),$CZ$3,IF(AND(C196&gt;=$CI$1,C196&lt;=$CI$2),$DA$3,IF(AND(C196&gt;=$CJ$1,C196&lt;=$CJ$2),$DB$3,IF(C196&lt;=$CK$2,$DC$3,"")))))))))</f>
        <v/>
      </c>
      <c r="AO196" s="46" t="str">
        <f t="shared" ref="AO196:AO259" si="112">IF(C196="","",IF(AA196&gt;=3,"",IF(AB196&gt;=2,"",IF(C196&gt;=$CF$2,$DD$3,IF(AND(C196&gt;=$CG$1,C196&lt;=$CG$2),$DE$3,IF(AND(C196&gt;=$CH$1,C196&lt;=$CH$2),$DF$3,IF(AND(C196&gt;=$CI$1,C196&lt;=$CI$2),$DG$3,IF(AND(C196&gt;=$CJ$1,C196&lt;=$CJ$2),$DH$3,IF(C196&lt;=$CK$2,$DI$3,"")))))))))</f>
        <v/>
      </c>
      <c r="AP196" s="46" t="str">
        <f t="shared" ref="AP196:AP259" si="113">IF(C196="","",IF(AA196&gt;=3,"",IF(AB196&gt;=2,"",IF(C196&gt;=$CF$2,$DJ$3,IF(AND(C196&gt;=$CG$1,C196&lt;=$CG$2),$DK$3,IF(AND(C196&gt;=$CH$1,C196&lt;=$CH$2),$DL$3,IF(AND(C196&gt;=$CI$1,C196&lt;=$CI$2),$DM$3,IF(AND(C196&gt;=$CJ$1,C196&lt;=$CJ$2),$DN$3,IF(C196&lt;=$CK$2,$DO$3,"")))))))))</f>
        <v/>
      </c>
      <c r="AQ196" s="46" t="str">
        <f t="shared" ref="AQ196:AQ259" si="114">IF(C196="","",IF(AA196&gt;=3,"",IF(AC196&gt;=2,"",IF(C196&gt;=$CF$2,$DP$3,IF(AND(C196&gt;=$CG$1,C196&lt;=$CG$2),$DQ$3,IF(AND(C196&gt;=$CH$1,C196&lt;=$CH$2),$DR$3,IF(AND(C196&gt;=$CI$1,C196&lt;=$CI$2),$DS$3,IF(AND(C196&gt;=$CJ$1,C196&lt;=$CJ$2),$DT$3,IF(C196&lt;=$CK$2,$DU$3,"")))))))))</f>
        <v/>
      </c>
      <c r="AR196" s="46" t="str">
        <f t="shared" ref="AR196:AR259" si="115">IF(C196="","",IF(AA196&gt;=3,"",IF(AC196&gt;=2,"",IF(C196&gt;=$CF$2,$DV$3,IF(AND(C196&gt;=$CG$1,C196&lt;=$CG$2),$DW$3,IF(AND(C196&gt;=$CH$1,C196&lt;=$CH$2),$DX$3,IF(AND(C196&gt;=$CI$1,C196&lt;=$CI$2),$DY$3,IF(AND(C196&gt;=$CJ$1,C196&lt;=$CJ$2),$DZ$3,IF(C196&lt;=$CK$2,$EA$3,"")))))))))</f>
        <v/>
      </c>
      <c r="AS196" s="46" t="str">
        <f t="shared" ref="AS196:AS259" si="116">IF(C196="","",IF(AA196&gt;=3,"",IF(AC196&gt;=2,"",IF(C196&gt;=$CF$2,$EB$3,IF(AND(C196&gt;=$CG$1,C196&lt;=$CG$2),$EC$3,IF(AND(C196&gt;=$CH$1,C196&lt;=$CH$2),$ED$3,IF(AND(C196&gt;=$CI$1,C196&lt;=$CI$2),$EE$3,IF(AND(C196&gt;=$CJ$1,C196&lt;=$CJ$2),$EF$3,IF(C196&lt;=$CK$2,$EG$3,"")))))))))</f>
        <v/>
      </c>
      <c r="AT196" s="46" t="str">
        <f t="shared" ref="AT196:AT259" si="117">IF(C196="","",IF(AA196&gt;=3,"",IF(AC196&gt;=2,"",IF(C196&gt;=$CF$2,$EH$3,IF(AND(C196&gt;=$CG$1,C196&lt;=$CG$2),$EI$3,IF(AND(C196&gt;=$CH$1,C196&lt;=$CH$2),$EJ$3,IF(AND(C196&gt;=$CI$1,C196&lt;=$CI$2),$EK$3,IF(AND(C196&gt;=$CJ$1,C196&lt;=$CJ$2),$EL$3,IF(C196&lt;=$CK$2,$EM$3,"")))))))))</f>
        <v/>
      </c>
      <c r="AU196" s="46" t="str">
        <f t="shared" ref="AU196:AU259" si="118">IF(C196="","",IF(AA196&gt;=3,"",IF(AC196&gt;=2,"",IF(C196&gt;=$CF$2,$EN$3,IF(AND(C196&gt;=$CG$1,C196&lt;=$CG$2),$EO$3,IF(AND(C196&gt;=$CH$1,C196&lt;=$CH$2),$EP$3,IF(AND(C196&gt;=$CI$1,C196&lt;=$CI$2),$EQ$3,IF(AND(C196&gt;=$CJ$1,C196&lt;=$CJ$2),$ER$3,IF(C196&lt;=$CK$2,$ES$3,"")))))))))</f>
        <v/>
      </c>
      <c r="AV196" s="46" t="str">
        <f t="shared" ref="AV196:AV259" si="119">IF(C196="","",IF(AA196&gt;=3,"",IF(C196&gt;=$CG$1,$ET$3,IF(AND(C196&gt;=$CI$1,C196&lt;=$CH$2),$EU$3,IF(C196&lt;=$CJ$2,$EV$3,"")))))</f>
        <v/>
      </c>
      <c r="AW196" s="46" t="str">
        <f t="shared" ref="AW196:AW259" si="120">IF(C196="","",IF(AND(D196="",E196="",G196="",H196="",I196="",J196=""),"ADAPTADO",""))</f>
        <v/>
      </c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20"/>
    </row>
    <row r="197" spans="2:154">
      <c r="B197" s="1"/>
      <c r="C197" s="2"/>
      <c r="D197" s="34"/>
      <c r="E197" s="34"/>
      <c r="F197" s="34"/>
      <c r="G197" s="34"/>
      <c r="H197" s="4"/>
      <c r="I197" s="4"/>
      <c r="J197" s="4"/>
      <c r="K197" s="3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37"/>
      <c r="X197" s="1"/>
      <c r="Y197" s="18">
        <f t="shared" si="96"/>
        <v>0</v>
      </c>
      <c r="Z197" s="21">
        <f t="shared" si="97"/>
        <v>0</v>
      </c>
      <c r="AA197" s="10">
        <f t="shared" si="98"/>
        <v>0</v>
      </c>
      <c r="AB197" s="10">
        <f t="shared" si="99"/>
        <v>0</v>
      </c>
      <c r="AC197" s="10">
        <f t="shared" si="100"/>
        <v>0</v>
      </c>
      <c r="AD197" s="46" t="str">
        <f t="shared" si="101"/>
        <v/>
      </c>
      <c r="AE197" s="46" t="str">
        <f t="shared" si="102"/>
        <v/>
      </c>
      <c r="AF197" s="46" t="str">
        <f t="shared" si="103"/>
        <v/>
      </c>
      <c r="AG197" s="46" t="str">
        <f t="shared" si="104"/>
        <v/>
      </c>
      <c r="AH197" s="46" t="str">
        <f t="shared" si="105"/>
        <v/>
      </c>
      <c r="AI197" s="46" t="str">
        <f t="shared" si="106"/>
        <v/>
      </c>
      <c r="AJ197" s="46" t="str">
        <f t="shared" si="107"/>
        <v/>
      </c>
      <c r="AK197" s="46" t="str">
        <f t="shared" si="108"/>
        <v/>
      </c>
      <c r="AL197" s="46" t="str">
        <f t="shared" si="109"/>
        <v/>
      </c>
      <c r="AM197" s="46" t="str">
        <f t="shared" si="110"/>
        <v/>
      </c>
      <c r="AN197" s="46" t="str">
        <f t="shared" si="111"/>
        <v/>
      </c>
      <c r="AO197" s="46" t="str">
        <f t="shared" si="112"/>
        <v/>
      </c>
      <c r="AP197" s="46" t="str">
        <f t="shared" si="113"/>
        <v/>
      </c>
      <c r="AQ197" s="46" t="str">
        <f t="shared" si="114"/>
        <v/>
      </c>
      <c r="AR197" s="46" t="str">
        <f t="shared" si="115"/>
        <v/>
      </c>
      <c r="AS197" s="46" t="str">
        <f t="shared" si="116"/>
        <v/>
      </c>
      <c r="AT197" s="46" t="str">
        <f t="shared" si="117"/>
        <v/>
      </c>
      <c r="AU197" s="46" t="str">
        <f t="shared" si="118"/>
        <v/>
      </c>
      <c r="AV197" s="46" t="str">
        <f t="shared" si="119"/>
        <v/>
      </c>
      <c r="AW197" s="46" t="str">
        <f t="shared" si="120"/>
        <v/>
      </c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20"/>
    </row>
    <row r="198" spans="2:154">
      <c r="B198" s="1"/>
      <c r="C198" s="2"/>
      <c r="D198" s="34"/>
      <c r="E198" s="34"/>
      <c r="F198" s="34"/>
      <c r="G198" s="34"/>
      <c r="H198" s="4"/>
      <c r="I198" s="4"/>
      <c r="J198" s="4"/>
      <c r="K198" s="3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37"/>
      <c r="X198" s="1"/>
      <c r="Y198" s="18">
        <f t="shared" si="96"/>
        <v>0</v>
      </c>
      <c r="Z198" s="21">
        <f t="shared" si="97"/>
        <v>0</v>
      </c>
      <c r="AA198" s="10">
        <f t="shared" si="98"/>
        <v>0</v>
      </c>
      <c r="AB198" s="10">
        <f t="shared" si="99"/>
        <v>0</v>
      </c>
      <c r="AC198" s="10">
        <f t="shared" si="100"/>
        <v>0</v>
      </c>
      <c r="AD198" s="46" t="str">
        <f t="shared" si="101"/>
        <v/>
      </c>
      <c r="AE198" s="46" t="str">
        <f t="shared" si="102"/>
        <v/>
      </c>
      <c r="AF198" s="46" t="str">
        <f t="shared" si="103"/>
        <v/>
      </c>
      <c r="AG198" s="46" t="str">
        <f t="shared" si="104"/>
        <v/>
      </c>
      <c r="AH198" s="46" t="str">
        <f t="shared" si="105"/>
        <v/>
      </c>
      <c r="AI198" s="46" t="str">
        <f t="shared" si="106"/>
        <v/>
      </c>
      <c r="AJ198" s="46" t="str">
        <f t="shared" si="107"/>
        <v/>
      </c>
      <c r="AK198" s="46" t="str">
        <f t="shared" si="108"/>
        <v/>
      </c>
      <c r="AL198" s="46" t="str">
        <f t="shared" si="109"/>
        <v/>
      </c>
      <c r="AM198" s="46" t="str">
        <f t="shared" si="110"/>
        <v/>
      </c>
      <c r="AN198" s="46" t="str">
        <f t="shared" si="111"/>
        <v/>
      </c>
      <c r="AO198" s="46" t="str">
        <f t="shared" si="112"/>
        <v/>
      </c>
      <c r="AP198" s="46" t="str">
        <f t="shared" si="113"/>
        <v/>
      </c>
      <c r="AQ198" s="46" t="str">
        <f t="shared" si="114"/>
        <v/>
      </c>
      <c r="AR198" s="46" t="str">
        <f t="shared" si="115"/>
        <v/>
      </c>
      <c r="AS198" s="46" t="str">
        <f t="shared" si="116"/>
        <v/>
      </c>
      <c r="AT198" s="46" t="str">
        <f t="shared" si="117"/>
        <v/>
      </c>
      <c r="AU198" s="46" t="str">
        <f t="shared" si="118"/>
        <v/>
      </c>
      <c r="AV198" s="46" t="str">
        <f t="shared" si="119"/>
        <v/>
      </c>
      <c r="AW198" s="46" t="str">
        <f t="shared" si="120"/>
        <v/>
      </c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20"/>
    </row>
    <row r="199" spans="2:154">
      <c r="B199" s="1"/>
      <c r="C199" s="2"/>
      <c r="D199" s="34"/>
      <c r="E199" s="34"/>
      <c r="F199" s="34"/>
      <c r="G199" s="34"/>
      <c r="H199" s="4"/>
      <c r="I199" s="4"/>
      <c r="J199" s="4"/>
      <c r="K199" s="3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37"/>
      <c r="X199" s="1"/>
      <c r="Y199" s="18">
        <f t="shared" si="96"/>
        <v>0</v>
      </c>
      <c r="Z199" s="21">
        <f t="shared" si="97"/>
        <v>0</v>
      </c>
      <c r="AA199" s="10">
        <f t="shared" si="98"/>
        <v>0</v>
      </c>
      <c r="AB199" s="10">
        <f t="shared" si="99"/>
        <v>0</v>
      </c>
      <c r="AC199" s="10">
        <f t="shared" si="100"/>
        <v>0</v>
      </c>
      <c r="AD199" s="46" t="str">
        <f t="shared" si="101"/>
        <v/>
      </c>
      <c r="AE199" s="46" t="str">
        <f t="shared" si="102"/>
        <v/>
      </c>
      <c r="AF199" s="46" t="str">
        <f t="shared" si="103"/>
        <v/>
      </c>
      <c r="AG199" s="46" t="str">
        <f t="shared" si="104"/>
        <v/>
      </c>
      <c r="AH199" s="46" t="str">
        <f t="shared" si="105"/>
        <v/>
      </c>
      <c r="AI199" s="46" t="str">
        <f t="shared" si="106"/>
        <v/>
      </c>
      <c r="AJ199" s="46" t="str">
        <f t="shared" si="107"/>
        <v/>
      </c>
      <c r="AK199" s="46" t="str">
        <f t="shared" si="108"/>
        <v/>
      </c>
      <c r="AL199" s="46" t="str">
        <f t="shared" si="109"/>
        <v/>
      </c>
      <c r="AM199" s="46" t="str">
        <f t="shared" si="110"/>
        <v/>
      </c>
      <c r="AN199" s="46" t="str">
        <f t="shared" si="111"/>
        <v/>
      </c>
      <c r="AO199" s="46" t="str">
        <f t="shared" si="112"/>
        <v/>
      </c>
      <c r="AP199" s="46" t="str">
        <f t="shared" si="113"/>
        <v/>
      </c>
      <c r="AQ199" s="46" t="str">
        <f t="shared" si="114"/>
        <v/>
      </c>
      <c r="AR199" s="46" t="str">
        <f t="shared" si="115"/>
        <v/>
      </c>
      <c r="AS199" s="46" t="str">
        <f t="shared" si="116"/>
        <v/>
      </c>
      <c r="AT199" s="46" t="str">
        <f t="shared" si="117"/>
        <v/>
      </c>
      <c r="AU199" s="46" t="str">
        <f t="shared" si="118"/>
        <v/>
      </c>
      <c r="AV199" s="46" t="str">
        <f t="shared" si="119"/>
        <v/>
      </c>
      <c r="AW199" s="46" t="str">
        <f t="shared" si="120"/>
        <v/>
      </c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20"/>
    </row>
    <row r="200" spans="2:154">
      <c r="B200" s="1"/>
      <c r="C200" s="2"/>
      <c r="D200" s="34"/>
      <c r="E200" s="34"/>
      <c r="F200" s="34"/>
      <c r="G200" s="34"/>
      <c r="H200" s="4"/>
      <c r="I200" s="4"/>
      <c r="J200" s="4"/>
      <c r="K200" s="3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37"/>
      <c r="X200" s="1"/>
      <c r="Y200" s="18">
        <f t="shared" si="96"/>
        <v>0</v>
      </c>
      <c r="Z200" s="21">
        <f t="shared" si="97"/>
        <v>0</v>
      </c>
      <c r="AA200" s="10">
        <f t="shared" si="98"/>
        <v>0</v>
      </c>
      <c r="AB200" s="10">
        <f t="shared" si="99"/>
        <v>0</v>
      </c>
      <c r="AC200" s="10">
        <f t="shared" si="100"/>
        <v>0</v>
      </c>
      <c r="AD200" s="46" t="str">
        <f t="shared" si="101"/>
        <v/>
      </c>
      <c r="AE200" s="46" t="str">
        <f t="shared" si="102"/>
        <v/>
      </c>
      <c r="AF200" s="46" t="str">
        <f t="shared" si="103"/>
        <v/>
      </c>
      <c r="AG200" s="46" t="str">
        <f t="shared" si="104"/>
        <v/>
      </c>
      <c r="AH200" s="46" t="str">
        <f t="shared" si="105"/>
        <v/>
      </c>
      <c r="AI200" s="46" t="str">
        <f t="shared" si="106"/>
        <v/>
      </c>
      <c r="AJ200" s="46" t="str">
        <f t="shared" si="107"/>
        <v/>
      </c>
      <c r="AK200" s="46" t="str">
        <f t="shared" si="108"/>
        <v/>
      </c>
      <c r="AL200" s="46" t="str">
        <f t="shared" si="109"/>
        <v/>
      </c>
      <c r="AM200" s="46" t="str">
        <f t="shared" si="110"/>
        <v/>
      </c>
      <c r="AN200" s="46" t="str">
        <f t="shared" si="111"/>
        <v/>
      </c>
      <c r="AO200" s="46" t="str">
        <f t="shared" si="112"/>
        <v/>
      </c>
      <c r="AP200" s="46" t="str">
        <f t="shared" si="113"/>
        <v/>
      </c>
      <c r="AQ200" s="46" t="str">
        <f t="shared" si="114"/>
        <v/>
      </c>
      <c r="AR200" s="46" t="str">
        <f t="shared" si="115"/>
        <v/>
      </c>
      <c r="AS200" s="46" t="str">
        <f t="shared" si="116"/>
        <v/>
      </c>
      <c r="AT200" s="46" t="str">
        <f t="shared" si="117"/>
        <v/>
      </c>
      <c r="AU200" s="46" t="str">
        <f t="shared" si="118"/>
        <v/>
      </c>
      <c r="AV200" s="46" t="str">
        <f t="shared" si="119"/>
        <v/>
      </c>
      <c r="AW200" s="46" t="str">
        <f t="shared" si="120"/>
        <v/>
      </c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20"/>
    </row>
    <row r="201" spans="2:154">
      <c r="B201" s="1"/>
      <c r="C201" s="2"/>
      <c r="D201" s="34"/>
      <c r="E201" s="34"/>
      <c r="F201" s="34"/>
      <c r="G201" s="34"/>
      <c r="H201" s="4"/>
      <c r="I201" s="4"/>
      <c r="J201" s="4"/>
      <c r="K201" s="3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37"/>
      <c r="X201" s="1"/>
      <c r="Y201" s="18">
        <f t="shared" si="96"/>
        <v>0</v>
      </c>
      <c r="Z201" s="21">
        <f t="shared" si="97"/>
        <v>0</v>
      </c>
      <c r="AA201" s="10">
        <f t="shared" si="98"/>
        <v>0</v>
      </c>
      <c r="AB201" s="10">
        <f t="shared" si="99"/>
        <v>0</v>
      </c>
      <c r="AC201" s="10">
        <f t="shared" si="100"/>
        <v>0</v>
      </c>
      <c r="AD201" s="46" t="str">
        <f t="shared" si="101"/>
        <v/>
      </c>
      <c r="AE201" s="46" t="str">
        <f t="shared" si="102"/>
        <v/>
      </c>
      <c r="AF201" s="46" t="str">
        <f t="shared" si="103"/>
        <v/>
      </c>
      <c r="AG201" s="46" t="str">
        <f t="shared" si="104"/>
        <v/>
      </c>
      <c r="AH201" s="46" t="str">
        <f t="shared" si="105"/>
        <v/>
      </c>
      <c r="AI201" s="46" t="str">
        <f t="shared" si="106"/>
        <v/>
      </c>
      <c r="AJ201" s="46" t="str">
        <f t="shared" si="107"/>
        <v/>
      </c>
      <c r="AK201" s="46" t="str">
        <f t="shared" si="108"/>
        <v/>
      </c>
      <c r="AL201" s="46" t="str">
        <f t="shared" si="109"/>
        <v/>
      </c>
      <c r="AM201" s="46" t="str">
        <f t="shared" si="110"/>
        <v/>
      </c>
      <c r="AN201" s="46" t="str">
        <f t="shared" si="111"/>
        <v/>
      </c>
      <c r="AO201" s="46" t="str">
        <f t="shared" si="112"/>
        <v/>
      </c>
      <c r="AP201" s="46" t="str">
        <f t="shared" si="113"/>
        <v/>
      </c>
      <c r="AQ201" s="46" t="str">
        <f t="shared" si="114"/>
        <v/>
      </c>
      <c r="AR201" s="46" t="str">
        <f t="shared" si="115"/>
        <v/>
      </c>
      <c r="AS201" s="46" t="str">
        <f t="shared" si="116"/>
        <v/>
      </c>
      <c r="AT201" s="46" t="str">
        <f t="shared" si="117"/>
        <v/>
      </c>
      <c r="AU201" s="46" t="str">
        <f t="shared" si="118"/>
        <v/>
      </c>
      <c r="AV201" s="46" t="str">
        <f t="shared" si="119"/>
        <v/>
      </c>
      <c r="AW201" s="46" t="str">
        <f t="shared" si="120"/>
        <v/>
      </c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20"/>
    </row>
    <row r="202" spans="2:154">
      <c r="B202" s="1"/>
      <c r="C202" s="2"/>
      <c r="D202" s="34"/>
      <c r="E202" s="34"/>
      <c r="F202" s="34"/>
      <c r="G202" s="34"/>
      <c r="H202" s="4"/>
      <c r="I202" s="4"/>
      <c r="J202" s="4"/>
      <c r="K202" s="3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37"/>
      <c r="X202" s="1"/>
      <c r="Y202" s="18">
        <f t="shared" si="96"/>
        <v>0</v>
      </c>
      <c r="Z202" s="21">
        <f t="shared" si="97"/>
        <v>0</v>
      </c>
      <c r="AA202" s="10">
        <f t="shared" si="98"/>
        <v>0</v>
      </c>
      <c r="AB202" s="10">
        <f t="shared" si="99"/>
        <v>0</v>
      </c>
      <c r="AC202" s="10">
        <f t="shared" si="100"/>
        <v>0</v>
      </c>
      <c r="AD202" s="46" t="str">
        <f t="shared" si="101"/>
        <v/>
      </c>
      <c r="AE202" s="46" t="str">
        <f t="shared" si="102"/>
        <v/>
      </c>
      <c r="AF202" s="46" t="str">
        <f t="shared" si="103"/>
        <v/>
      </c>
      <c r="AG202" s="46" t="str">
        <f t="shared" si="104"/>
        <v/>
      </c>
      <c r="AH202" s="46" t="str">
        <f t="shared" si="105"/>
        <v/>
      </c>
      <c r="AI202" s="46" t="str">
        <f t="shared" si="106"/>
        <v/>
      </c>
      <c r="AJ202" s="46" t="str">
        <f t="shared" si="107"/>
        <v/>
      </c>
      <c r="AK202" s="46" t="str">
        <f t="shared" si="108"/>
        <v/>
      </c>
      <c r="AL202" s="46" t="str">
        <f t="shared" si="109"/>
        <v/>
      </c>
      <c r="AM202" s="46" t="str">
        <f t="shared" si="110"/>
        <v/>
      </c>
      <c r="AN202" s="46" t="str">
        <f t="shared" si="111"/>
        <v/>
      </c>
      <c r="AO202" s="46" t="str">
        <f t="shared" si="112"/>
        <v/>
      </c>
      <c r="AP202" s="46" t="str">
        <f t="shared" si="113"/>
        <v/>
      </c>
      <c r="AQ202" s="46" t="str">
        <f t="shared" si="114"/>
        <v/>
      </c>
      <c r="AR202" s="46" t="str">
        <f t="shared" si="115"/>
        <v/>
      </c>
      <c r="AS202" s="46" t="str">
        <f t="shared" si="116"/>
        <v/>
      </c>
      <c r="AT202" s="46" t="str">
        <f t="shared" si="117"/>
        <v/>
      </c>
      <c r="AU202" s="46" t="str">
        <f t="shared" si="118"/>
        <v/>
      </c>
      <c r="AV202" s="46" t="str">
        <f t="shared" si="119"/>
        <v/>
      </c>
      <c r="AW202" s="46" t="str">
        <f t="shared" si="120"/>
        <v/>
      </c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20"/>
    </row>
    <row r="203" spans="2:154">
      <c r="B203" s="1"/>
      <c r="C203" s="2"/>
      <c r="D203" s="34"/>
      <c r="E203" s="34"/>
      <c r="F203" s="34"/>
      <c r="G203" s="34"/>
      <c r="H203" s="4"/>
      <c r="I203" s="4"/>
      <c r="J203" s="4"/>
      <c r="K203" s="3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37"/>
      <c r="X203" s="1"/>
      <c r="Y203" s="18">
        <f t="shared" si="96"/>
        <v>0</v>
      </c>
      <c r="Z203" s="21">
        <f t="shared" si="97"/>
        <v>0</v>
      </c>
      <c r="AA203" s="10">
        <f t="shared" si="98"/>
        <v>0</v>
      </c>
      <c r="AB203" s="10">
        <f t="shared" si="99"/>
        <v>0</v>
      </c>
      <c r="AC203" s="10">
        <f t="shared" si="100"/>
        <v>0</v>
      </c>
      <c r="AD203" s="46" t="str">
        <f t="shared" si="101"/>
        <v/>
      </c>
      <c r="AE203" s="46" t="str">
        <f t="shared" si="102"/>
        <v/>
      </c>
      <c r="AF203" s="46" t="str">
        <f t="shared" si="103"/>
        <v/>
      </c>
      <c r="AG203" s="46" t="str">
        <f t="shared" si="104"/>
        <v/>
      </c>
      <c r="AH203" s="46" t="str">
        <f t="shared" si="105"/>
        <v/>
      </c>
      <c r="AI203" s="46" t="str">
        <f t="shared" si="106"/>
        <v/>
      </c>
      <c r="AJ203" s="46" t="str">
        <f t="shared" si="107"/>
        <v/>
      </c>
      <c r="AK203" s="46" t="str">
        <f t="shared" si="108"/>
        <v/>
      </c>
      <c r="AL203" s="46" t="str">
        <f t="shared" si="109"/>
        <v/>
      </c>
      <c r="AM203" s="46" t="str">
        <f t="shared" si="110"/>
        <v/>
      </c>
      <c r="AN203" s="46" t="str">
        <f t="shared" si="111"/>
        <v/>
      </c>
      <c r="AO203" s="46" t="str">
        <f t="shared" si="112"/>
        <v/>
      </c>
      <c r="AP203" s="46" t="str">
        <f t="shared" si="113"/>
        <v/>
      </c>
      <c r="AQ203" s="46" t="str">
        <f t="shared" si="114"/>
        <v/>
      </c>
      <c r="AR203" s="46" t="str">
        <f t="shared" si="115"/>
        <v/>
      </c>
      <c r="AS203" s="46" t="str">
        <f t="shared" si="116"/>
        <v/>
      </c>
      <c r="AT203" s="46" t="str">
        <f t="shared" si="117"/>
        <v/>
      </c>
      <c r="AU203" s="46" t="str">
        <f t="shared" si="118"/>
        <v/>
      </c>
      <c r="AV203" s="46" t="str">
        <f t="shared" si="119"/>
        <v/>
      </c>
      <c r="AW203" s="46" t="str">
        <f t="shared" si="120"/>
        <v/>
      </c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20"/>
    </row>
    <row r="204" spans="2:154">
      <c r="B204" s="1"/>
      <c r="C204" s="2"/>
      <c r="D204" s="34"/>
      <c r="E204" s="34"/>
      <c r="F204" s="34"/>
      <c r="G204" s="34"/>
      <c r="H204" s="4"/>
      <c r="I204" s="4"/>
      <c r="J204" s="4"/>
      <c r="K204" s="3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37"/>
      <c r="X204" s="1"/>
      <c r="Y204" s="18">
        <f t="shared" si="96"/>
        <v>0</v>
      </c>
      <c r="Z204" s="21">
        <f t="shared" si="97"/>
        <v>0</v>
      </c>
      <c r="AA204" s="10">
        <f t="shared" si="98"/>
        <v>0</v>
      </c>
      <c r="AB204" s="10">
        <f t="shared" si="99"/>
        <v>0</v>
      </c>
      <c r="AC204" s="10">
        <f t="shared" si="100"/>
        <v>0</v>
      </c>
      <c r="AD204" s="46" t="str">
        <f t="shared" si="101"/>
        <v/>
      </c>
      <c r="AE204" s="46" t="str">
        <f t="shared" si="102"/>
        <v/>
      </c>
      <c r="AF204" s="46" t="str">
        <f t="shared" si="103"/>
        <v/>
      </c>
      <c r="AG204" s="46" t="str">
        <f t="shared" si="104"/>
        <v/>
      </c>
      <c r="AH204" s="46" t="str">
        <f t="shared" si="105"/>
        <v/>
      </c>
      <c r="AI204" s="46" t="str">
        <f t="shared" si="106"/>
        <v/>
      </c>
      <c r="AJ204" s="46" t="str">
        <f t="shared" si="107"/>
        <v/>
      </c>
      <c r="AK204" s="46" t="str">
        <f t="shared" si="108"/>
        <v/>
      </c>
      <c r="AL204" s="46" t="str">
        <f t="shared" si="109"/>
        <v/>
      </c>
      <c r="AM204" s="46" t="str">
        <f t="shared" si="110"/>
        <v/>
      </c>
      <c r="AN204" s="46" t="str">
        <f t="shared" si="111"/>
        <v/>
      </c>
      <c r="AO204" s="46" t="str">
        <f t="shared" si="112"/>
        <v/>
      </c>
      <c r="AP204" s="46" t="str">
        <f t="shared" si="113"/>
        <v/>
      </c>
      <c r="AQ204" s="46" t="str">
        <f t="shared" si="114"/>
        <v/>
      </c>
      <c r="AR204" s="46" t="str">
        <f t="shared" si="115"/>
        <v/>
      </c>
      <c r="AS204" s="46" t="str">
        <f t="shared" si="116"/>
        <v/>
      </c>
      <c r="AT204" s="46" t="str">
        <f t="shared" si="117"/>
        <v/>
      </c>
      <c r="AU204" s="46" t="str">
        <f t="shared" si="118"/>
        <v/>
      </c>
      <c r="AV204" s="46" t="str">
        <f t="shared" si="119"/>
        <v/>
      </c>
      <c r="AW204" s="46" t="str">
        <f t="shared" si="120"/>
        <v/>
      </c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20"/>
    </row>
    <row r="205" spans="2:154">
      <c r="B205" s="1"/>
      <c r="C205" s="2"/>
      <c r="D205" s="34"/>
      <c r="E205" s="34"/>
      <c r="F205" s="34"/>
      <c r="G205" s="34"/>
      <c r="H205" s="4"/>
      <c r="I205" s="4"/>
      <c r="J205" s="4"/>
      <c r="K205" s="3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37"/>
      <c r="X205" s="1"/>
      <c r="Y205" s="18">
        <f t="shared" si="96"/>
        <v>0</v>
      </c>
      <c r="Z205" s="21">
        <f t="shared" si="97"/>
        <v>0</v>
      </c>
      <c r="AA205" s="10">
        <f t="shared" si="98"/>
        <v>0</v>
      </c>
      <c r="AB205" s="10">
        <f t="shared" si="99"/>
        <v>0</v>
      </c>
      <c r="AC205" s="10">
        <f t="shared" si="100"/>
        <v>0</v>
      </c>
      <c r="AD205" s="46" t="str">
        <f t="shared" si="101"/>
        <v/>
      </c>
      <c r="AE205" s="46" t="str">
        <f t="shared" si="102"/>
        <v/>
      </c>
      <c r="AF205" s="46" t="str">
        <f t="shared" si="103"/>
        <v/>
      </c>
      <c r="AG205" s="46" t="str">
        <f t="shared" si="104"/>
        <v/>
      </c>
      <c r="AH205" s="46" t="str">
        <f t="shared" si="105"/>
        <v/>
      </c>
      <c r="AI205" s="46" t="str">
        <f t="shared" si="106"/>
        <v/>
      </c>
      <c r="AJ205" s="46" t="str">
        <f t="shared" si="107"/>
        <v/>
      </c>
      <c r="AK205" s="46" t="str">
        <f t="shared" si="108"/>
        <v/>
      </c>
      <c r="AL205" s="46" t="str">
        <f t="shared" si="109"/>
        <v/>
      </c>
      <c r="AM205" s="46" t="str">
        <f t="shared" si="110"/>
        <v/>
      </c>
      <c r="AN205" s="46" t="str">
        <f t="shared" si="111"/>
        <v/>
      </c>
      <c r="AO205" s="46" t="str">
        <f t="shared" si="112"/>
        <v/>
      </c>
      <c r="AP205" s="46" t="str">
        <f t="shared" si="113"/>
        <v/>
      </c>
      <c r="AQ205" s="46" t="str">
        <f t="shared" si="114"/>
        <v/>
      </c>
      <c r="AR205" s="46" t="str">
        <f t="shared" si="115"/>
        <v/>
      </c>
      <c r="AS205" s="46" t="str">
        <f t="shared" si="116"/>
        <v/>
      </c>
      <c r="AT205" s="46" t="str">
        <f t="shared" si="117"/>
        <v/>
      </c>
      <c r="AU205" s="46" t="str">
        <f t="shared" si="118"/>
        <v/>
      </c>
      <c r="AV205" s="46" t="str">
        <f t="shared" si="119"/>
        <v/>
      </c>
      <c r="AW205" s="46" t="str">
        <f t="shared" si="120"/>
        <v/>
      </c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20"/>
    </row>
    <row r="206" spans="2:154">
      <c r="B206" s="1"/>
      <c r="C206" s="2"/>
      <c r="D206" s="34"/>
      <c r="E206" s="34"/>
      <c r="F206" s="34"/>
      <c r="G206" s="34"/>
      <c r="H206" s="4"/>
      <c r="I206" s="4"/>
      <c r="J206" s="4"/>
      <c r="K206" s="3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37"/>
      <c r="X206" s="1"/>
      <c r="Y206" s="18">
        <f t="shared" si="96"/>
        <v>0</v>
      </c>
      <c r="Z206" s="21">
        <f t="shared" si="97"/>
        <v>0</v>
      </c>
      <c r="AA206" s="10">
        <f t="shared" si="98"/>
        <v>0</v>
      </c>
      <c r="AB206" s="10">
        <f t="shared" si="99"/>
        <v>0</v>
      </c>
      <c r="AC206" s="10">
        <f t="shared" si="100"/>
        <v>0</v>
      </c>
      <c r="AD206" s="46" t="str">
        <f t="shared" si="101"/>
        <v/>
      </c>
      <c r="AE206" s="46" t="str">
        <f t="shared" si="102"/>
        <v/>
      </c>
      <c r="AF206" s="46" t="str">
        <f t="shared" si="103"/>
        <v/>
      </c>
      <c r="AG206" s="46" t="str">
        <f t="shared" si="104"/>
        <v/>
      </c>
      <c r="AH206" s="46" t="str">
        <f t="shared" si="105"/>
        <v/>
      </c>
      <c r="AI206" s="46" t="str">
        <f t="shared" si="106"/>
        <v/>
      </c>
      <c r="AJ206" s="46" t="str">
        <f t="shared" si="107"/>
        <v/>
      </c>
      <c r="AK206" s="46" t="str">
        <f t="shared" si="108"/>
        <v/>
      </c>
      <c r="AL206" s="46" t="str">
        <f t="shared" si="109"/>
        <v/>
      </c>
      <c r="AM206" s="46" t="str">
        <f t="shared" si="110"/>
        <v/>
      </c>
      <c r="AN206" s="46" t="str">
        <f t="shared" si="111"/>
        <v/>
      </c>
      <c r="AO206" s="46" t="str">
        <f t="shared" si="112"/>
        <v/>
      </c>
      <c r="AP206" s="46" t="str">
        <f t="shared" si="113"/>
        <v/>
      </c>
      <c r="AQ206" s="46" t="str">
        <f t="shared" si="114"/>
        <v/>
      </c>
      <c r="AR206" s="46" t="str">
        <f t="shared" si="115"/>
        <v/>
      </c>
      <c r="AS206" s="46" t="str">
        <f t="shared" si="116"/>
        <v/>
      </c>
      <c r="AT206" s="46" t="str">
        <f t="shared" si="117"/>
        <v/>
      </c>
      <c r="AU206" s="46" t="str">
        <f t="shared" si="118"/>
        <v/>
      </c>
      <c r="AV206" s="46" t="str">
        <f t="shared" si="119"/>
        <v/>
      </c>
      <c r="AW206" s="46" t="str">
        <f t="shared" si="120"/>
        <v/>
      </c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20"/>
    </row>
    <row r="207" spans="2:154">
      <c r="B207" s="1"/>
      <c r="C207" s="2"/>
      <c r="D207" s="34"/>
      <c r="E207" s="34"/>
      <c r="F207" s="34"/>
      <c r="G207" s="34"/>
      <c r="H207" s="4"/>
      <c r="I207" s="4"/>
      <c r="J207" s="4"/>
      <c r="K207" s="3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37"/>
      <c r="X207" s="1"/>
      <c r="Y207" s="18">
        <f t="shared" si="96"/>
        <v>0</v>
      </c>
      <c r="Z207" s="21">
        <f t="shared" si="97"/>
        <v>0</v>
      </c>
      <c r="AA207" s="10">
        <f t="shared" si="98"/>
        <v>0</v>
      </c>
      <c r="AB207" s="10">
        <f t="shared" si="99"/>
        <v>0</v>
      </c>
      <c r="AC207" s="10">
        <f t="shared" si="100"/>
        <v>0</v>
      </c>
      <c r="AD207" s="46" t="str">
        <f t="shared" si="101"/>
        <v/>
      </c>
      <c r="AE207" s="46" t="str">
        <f t="shared" si="102"/>
        <v/>
      </c>
      <c r="AF207" s="46" t="str">
        <f t="shared" si="103"/>
        <v/>
      </c>
      <c r="AG207" s="46" t="str">
        <f t="shared" si="104"/>
        <v/>
      </c>
      <c r="AH207" s="46" t="str">
        <f t="shared" si="105"/>
        <v/>
      </c>
      <c r="AI207" s="46" t="str">
        <f t="shared" si="106"/>
        <v/>
      </c>
      <c r="AJ207" s="46" t="str">
        <f t="shared" si="107"/>
        <v/>
      </c>
      <c r="AK207" s="46" t="str">
        <f t="shared" si="108"/>
        <v/>
      </c>
      <c r="AL207" s="46" t="str">
        <f t="shared" si="109"/>
        <v/>
      </c>
      <c r="AM207" s="46" t="str">
        <f t="shared" si="110"/>
        <v/>
      </c>
      <c r="AN207" s="46" t="str">
        <f t="shared" si="111"/>
        <v/>
      </c>
      <c r="AO207" s="46" t="str">
        <f t="shared" si="112"/>
        <v/>
      </c>
      <c r="AP207" s="46" t="str">
        <f t="shared" si="113"/>
        <v/>
      </c>
      <c r="AQ207" s="46" t="str">
        <f t="shared" si="114"/>
        <v/>
      </c>
      <c r="AR207" s="46" t="str">
        <f t="shared" si="115"/>
        <v/>
      </c>
      <c r="AS207" s="46" t="str">
        <f t="shared" si="116"/>
        <v/>
      </c>
      <c r="AT207" s="46" t="str">
        <f t="shared" si="117"/>
        <v/>
      </c>
      <c r="AU207" s="46" t="str">
        <f t="shared" si="118"/>
        <v/>
      </c>
      <c r="AV207" s="46" t="str">
        <f t="shared" si="119"/>
        <v/>
      </c>
      <c r="AW207" s="46" t="str">
        <f t="shared" si="120"/>
        <v/>
      </c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20"/>
    </row>
    <row r="208" spans="2:154">
      <c r="B208" s="1"/>
      <c r="C208" s="2"/>
      <c r="D208" s="34"/>
      <c r="E208" s="34"/>
      <c r="F208" s="34"/>
      <c r="G208" s="34"/>
      <c r="H208" s="4"/>
      <c r="I208" s="4"/>
      <c r="J208" s="4"/>
      <c r="K208" s="3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37"/>
      <c r="X208" s="1"/>
      <c r="Y208" s="18">
        <f t="shared" si="96"/>
        <v>0</v>
      </c>
      <c r="Z208" s="21">
        <f t="shared" si="97"/>
        <v>0</v>
      </c>
      <c r="AA208" s="10">
        <f t="shared" si="98"/>
        <v>0</v>
      </c>
      <c r="AB208" s="10">
        <f t="shared" si="99"/>
        <v>0</v>
      </c>
      <c r="AC208" s="10">
        <f t="shared" si="100"/>
        <v>0</v>
      </c>
      <c r="AD208" s="46" t="str">
        <f t="shared" si="101"/>
        <v/>
      </c>
      <c r="AE208" s="46" t="str">
        <f t="shared" si="102"/>
        <v/>
      </c>
      <c r="AF208" s="46" t="str">
        <f t="shared" si="103"/>
        <v/>
      </c>
      <c r="AG208" s="46" t="str">
        <f t="shared" si="104"/>
        <v/>
      </c>
      <c r="AH208" s="46" t="str">
        <f t="shared" si="105"/>
        <v/>
      </c>
      <c r="AI208" s="46" t="str">
        <f t="shared" si="106"/>
        <v/>
      </c>
      <c r="AJ208" s="46" t="str">
        <f t="shared" si="107"/>
        <v/>
      </c>
      <c r="AK208" s="46" t="str">
        <f t="shared" si="108"/>
        <v/>
      </c>
      <c r="AL208" s="46" t="str">
        <f t="shared" si="109"/>
        <v/>
      </c>
      <c r="AM208" s="46" t="str">
        <f t="shared" si="110"/>
        <v/>
      </c>
      <c r="AN208" s="46" t="str">
        <f t="shared" si="111"/>
        <v/>
      </c>
      <c r="AO208" s="46" t="str">
        <f t="shared" si="112"/>
        <v/>
      </c>
      <c r="AP208" s="46" t="str">
        <f t="shared" si="113"/>
        <v/>
      </c>
      <c r="AQ208" s="46" t="str">
        <f t="shared" si="114"/>
        <v/>
      </c>
      <c r="AR208" s="46" t="str">
        <f t="shared" si="115"/>
        <v/>
      </c>
      <c r="AS208" s="46" t="str">
        <f t="shared" si="116"/>
        <v/>
      </c>
      <c r="AT208" s="46" t="str">
        <f t="shared" si="117"/>
        <v/>
      </c>
      <c r="AU208" s="46" t="str">
        <f t="shared" si="118"/>
        <v/>
      </c>
      <c r="AV208" s="46" t="str">
        <f t="shared" si="119"/>
        <v/>
      </c>
      <c r="AW208" s="46" t="str">
        <f t="shared" si="120"/>
        <v/>
      </c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20"/>
    </row>
    <row r="209" spans="2:154">
      <c r="B209" s="1"/>
      <c r="C209" s="2"/>
      <c r="D209" s="34"/>
      <c r="E209" s="34"/>
      <c r="F209" s="34"/>
      <c r="G209" s="34"/>
      <c r="H209" s="4"/>
      <c r="I209" s="4"/>
      <c r="J209" s="4"/>
      <c r="K209" s="3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37"/>
      <c r="X209" s="1"/>
      <c r="Y209" s="18">
        <f t="shared" si="96"/>
        <v>0</v>
      </c>
      <c r="Z209" s="21">
        <f t="shared" si="97"/>
        <v>0</v>
      </c>
      <c r="AA209" s="10">
        <f t="shared" si="98"/>
        <v>0</v>
      </c>
      <c r="AB209" s="10">
        <f t="shared" si="99"/>
        <v>0</v>
      </c>
      <c r="AC209" s="10">
        <f t="shared" si="100"/>
        <v>0</v>
      </c>
      <c r="AD209" s="46" t="str">
        <f t="shared" si="101"/>
        <v/>
      </c>
      <c r="AE209" s="46" t="str">
        <f t="shared" si="102"/>
        <v/>
      </c>
      <c r="AF209" s="46" t="str">
        <f t="shared" si="103"/>
        <v/>
      </c>
      <c r="AG209" s="46" t="str">
        <f t="shared" si="104"/>
        <v/>
      </c>
      <c r="AH209" s="46" t="str">
        <f t="shared" si="105"/>
        <v/>
      </c>
      <c r="AI209" s="46" t="str">
        <f t="shared" si="106"/>
        <v/>
      </c>
      <c r="AJ209" s="46" t="str">
        <f t="shared" si="107"/>
        <v/>
      </c>
      <c r="AK209" s="46" t="str">
        <f t="shared" si="108"/>
        <v/>
      </c>
      <c r="AL209" s="46" t="str">
        <f t="shared" si="109"/>
        <v/>
      </c>
      <c r="AM209" s="46" t="str">
        <f t="shared" si="110"/>
        <v/>
      </c>
      <c r="AN209" s="46" t="str">
        <f t="shared" si="111"/>
        <v/>
      </c>
      <c r="AO209" s="46" t="str">
        <f t="shared" si="112"/>
        <v/>
      </c>
      <c r="AP209" s="46" t="str">
        <f t="shared" si="113"/>
        <v/>
      </c>
      <c r="AQ209" s="46" t="str">
        <f t="shared" si="114"/>
        <v/>
      </c>
      <c r="AR209" s="46" t="str">
        <f t="shared" si="115"/>
        <v/>
      </c>
      <c r="AS209" s="46" t="str">
        <f t="shared" si="116"/>
        <v/>
      </c>
      <c r="AT209" s="46" t="str">
        <f t="shared" si="117"/>
        <v/>
      </c>
      <c r="AU209" s="46" t="str">
        <f t="shared" si="118"/>
        <v/>
      </c>
      <c r="AV209" s="46" t="str">
        <f t="shared" si="119"/>
        <v/>
      </c>
      <c r="AW209" s="46" t="str">
        <f t="shared" si="120"/>
        <v/>
      </c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20"/>
    </row>
    <row r="210" spans="2:154">
      <c r="B210" s="1"/>
      <c r="C210" s="2"/>
      <c r="D210" s="34"/>
      <c r="E210" s="34"/>
      <c r="F210" s="34"/>
      <c r="G210" s="34"/>
      <c r="H210" s="4"/>
      <c r="I210" s="4"/>
      <c r="J210" s="4"/>
      <c r="K210" s="3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37"/>
      <c r="X210" s="1"/>
      <c r="Y210" s="18">
        <f t="shared" si="96"/>
        <v>0</v>
      </c>
      <c r="Z210" s="21">
        <f t="shared" si="97"/>
        <v>0</v>
      </c>
      <c r="AA210" s="10">
        <f t="shared" si="98"/>
        <v>0</v>
      </c>
      <c r="AB210" s="10">
        <f t="shared" si="99"/>
        <v>0</v>
      </c>
      <c r="AC210" s="10">
        <f t="shared" si="100"/>
        <v>0</v>
      </c>
      <c r="AD210" s="46" t="str">
        <f t="shared" si="101"/>
        <v/>
      </c>
      <c r="AE210" s="46" t="str">
        <f t="shared" si="102"/>
        <v/>
      </c>
      <c r="AF210" s="46" t="str">
        <f t="shared" si="103"/>
        <v/>
      </c>
      <c r="AG210" s="46" t="str">
        <f t="shared" si="104"/>
        <v/>
      </c>
      <c r="AH210" s="46" t="str">
        <f t="shared" si="105"/>
        <v/>
      </c>
      <c r="AI210" s="46" t="str">
        <f t="shared" si="106"/>
        <v/>
      </c>
      <c r="AJ210" s="46" t="str">
        <f t="shared" si="107"/>
        <v/>
      </c>
      <c r="AK210" s="46" t="str">
        <f t="shared" si="108"/>
        <v/>
      </c>
      <c r="AL210" s="46" t="str">
        <f t="shared" si="109"/>
        <v/>
      </c>
      <c r="AM210" s="46" t="str">
        <f t="shared" si="110"/>
        <v/>
      </c>
      <c r="AN210" s="46" t="str">
        <f t="shared" si="111"/>
        <v/>
      </c>
      <c r="AO210" s="46" t="str">
        <f t="shared" si="112"/>
        <v/>
      </c>
      <c r="AP210" s="46" t="str">
        <f t="shared" si="113"/>
        <v/>
      </c>
      <c r="AQ210" s="46" t="str">
        <f t="shared" si="114"/>
        <v/>
      </c>
      <c r="AR210" s="46" t="str">
        <f t="shared" si="115"/>
        <v/>
      </c>
      <c r="AS210" s="46" t="str">
        <f t="shared" si="116"/>
        <v/>
      </c>
      <c r="AT210" s="46" t="str">
        <f t="shared" si="117"/>
        <v/>
      </c>
      <c r="AU210" s="46" t="str">
        <f t="shared" si="118"/>
        <v/>
      </c>
      <c r="AV210" s="46" t="str">
        <f t="shared" si="119"/>
        <v/>
      </c>
      <c r="AW210" s="46" t="str">
        <f t="shared" si="120"/>
        <v/>
      </c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20"/>
    </row>
    <row r="211" spans="2:154">
      <c r="B211" s="1"/>
      <c r="C211" s="2"/>
      <c r="D211" s="34"/>
      <c r="E211" s="34"/>
      <c r="F211" s="34"/>
      <c r="G211" s="34"/>
      <c r="H211" s="4"/>
      <c r="I211" s="4"/>
      <c r="J211" s="4"/>
      <c r="K211" s="3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37"/>
      <c r="X211" s="1"/>
      <c r="Y211" s="18">
        <f t="shared" si="96"/>
        <v>0</v>
      </c>
      <c r="Z211" s="21">
        <f t="shared" si="97"/>
        <v>0</v>
      </c>
      <c r="AA211" s="10">
        <f t="shared" si="98"/>
        <v>0</v>
      </c>
      <c r="AB211" s="10">
        <f t="shared" si="99"/>
        <v>0</v>
      </c>
      <c r="AC211" s="10">
        <f t="shared" si="100"/>
        <v>0</v>
      </c>
      <c r="AD211" s="46" t="str">
        <f t="shared" si="101"/>
        <v/>
      </c>
      <c r="AE211" s="46" t="str">
        <f t="shared" si="102"/>
        <v/>
      </c>
      <c r="AF211" s="46" t="str">
        <f t="shared" si="103"/>
        <v/>
      </c>
      <c r="AG211" s="46" t="str">
        <f t="shared" si="104"/>
        <v/>
      </c>
      <c r="AH211" s="46" t="str">
        <f t="shared" si="105"/>
        <v/>
      </c>
      <c r="AI211" s="46" t="str">
        <f t="shared" si="106"/>
        <v/>
      </c>
      <c r="AJ211" s="46" t="str">
        <f t="shared" si="107"/>
        <v/>
      </c>
      <c r="AK211" s="46" t="str">
        <f t="shared" si="108"/>
        <v/>
      </c>
      <c r="AL211" s="46" t="str">
        <f t="shared" si="109"/>
        <v/>
      </c>
      <c r="AM211" s="46" t="str">
        <f t="shared" si="110"/>
        <v/>
      </c>
      <c r="AN211" s="46" t="str">
        <f t="shared" si="111"/>
        <v/>
      </c>
      <c r="AO211" s="46" t="str">
        <f t="shared" si="112"/>
        <v/>
      </c>
      <c r="AP211" s="46" t="str">
        <f t="shared" si="113"/>
        <v/>
      </c>
      <c r="AQ211" s="46" t="str">
        <f t="shared" si="114"/>
        <v/>
      </c>
      <c r="AR211" s="46" t="str">
        <f t="shared" si="115"/>
        <v/>
      </c>
      <c r="AS211" s="46" t="str">
        <f t="shared" si="116"/>
        <v/>
      </c>
      <c r="AT211" s="46" t="str">
        <f t="shared" si="117"/>
        <v/>
      </c>
      <c r="AU211" s="46" t="str">
        <f t="shared" si="118"/>
        <v/>
      </c>
      <c r="AV211" s="46" t="str">
        <f t="shared" si="119"/>
        <v/>
      </c>
      <c r="AW211" s="46" t="str">
        <f t="shared" si="120"/>
        <v/>
      </c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20"/>
    </row>
    <row r="212" spans="2:154">
      <c r="B212" s="1"/>
      <c r="C212" s="2"/>
      <c r="D212" s="34"/>
      <c r="E212" s="34"/>
      <c r="F212" s="34"/>
      <c r="G212" s="34"/>
      <c r="H212" s="4"/>
      <c r="I212" s="4"/>
      <c r="J212" s="4"/>
      <c r="K212" s="3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37"/>
      <c r="X212" s="1"/>
      <c r="Y212" s="18">
        <f t="shared" si="96"/>
        <v>0</v>
      </c>
      <c r="Z212" s="21">
        <f t="shared" si="97"/>
        <v>0</v>
      </c>
      <c r="AA212" s="10">
        <f t="shared" si="98"/>
        <v>0</v>
      </c>
      <c r="AB212" s="10">
        <f t="shared" si="99"/>
        <v>0</v>
      </c>
      <c r="AC212" s="10">
        <f t="shared" si="100"/>
        <v>0</v>
      </c>
      <c r="AD212" s="46" t="str">
        <f t="shared" si="101"/>
        <v/>
      </c>
      <c r="AE212" s="46" t="str">
        <f t="shared" si="102"/>
        <v/>
      </c>
      <c r="AF212" s="46" t="str">
        <f t="shared" si="103"/>
        <v/>
      </c>
      <c r="AG212" s="46" t="str">
        <f t="shared" si="104"/>
        <v/>
      </c>
      <c r="AH212" s="46" t="str">
        <f t="shared" si="105"/>
        <v/>
      </c>
      <c r="AI212" s="46" t="str">
        <f t="shared" si="106"/>
        <v/>
      </c>
      <c r="AJ212" s="46" t="str">
        <f t="shared" si="107"/>
        <v/>
      </c>
      <c r="AK212" s="46" t="str">
        <f t="shared" si="108"/>
        <v/>
      </c>
      <c r="AL212" s="46" t="str">
        <f t="shared" si="109"/>
        <v/>
      </c>
      <c r="AM212" s="46" t="str">
        <f t="shared" si="110"/>
        <v/>
      </c>
      <c r="AN212" s="46" t="str">
        <f t="shared" si="111"/>
        <v/>
      </c>
      <c r="AO212" s="46" t="str">
        <f t="shared" si="112"/>
        <v/>
      </c>
      <c r="AP212" s="46" t="str">
        <f t="shared" si="113"/>
        <v/>
      </c>
      <c r="AQ212" s="46" t="str">
        <f t="shared" si="114"/>
        <v/>
      </c>
      <c r="AR212" s="46" t="str">
        <f t="shared" si="115"/>
        <v/>
      </c>
      <c r="AS212" s="46" t="str">
        <f t="shared" si="116"/>
        <v/>
      </c>
      <c r="AT212" s="46" t="str">
        <f t="shared" si="117"/>
        <v/>
      </c>
      <c r="AU212" s="46" t="str">
        <f t="shared" si="118"/>
        <v/>
      </c>
      <c r="AV212" s="46" t="str">
        <f t="shared" si="119"/>
        <v/>
      </c>
      <c r="AW212" s="46" t="str">
        <f t="shared" si="120"/>
        <v/>
      </c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20"/>
    </row>
    <row r="213" spans="2:154">
      <c r="B213" s="1"/>
      <c r="C213" s="2"/>
      <c r="D213" s="34"/>
      <c r="E213" s="34"/>
      <c r="F213" s="34"/>
      <c r="G213" s="34"/>
      <c r="H213" s="4"/>
      <c r="I213" s="4"/>
      <c r="J213" s="4"/>
      <c r="K213" s="3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37"/>
      <c r="X213" s="1"/>
      <c r="Y213" s="18">
        <f t="shared" si="96"/>
        <v>0</v>
      </c>
      <c r="Z213" s="21">
        <f t="shared" si="97"/>
        <v>0</v>
      </c>
      <c r="AA213" s="10">
        <f t="shared" si="98"/>
        <v>0</v>
      </c>
      <c r="AB213" s="10">
        <f t="shared" si="99"/>
        <v>0</v>
      </c>
      <c r="AC213" s="10">
        <f t="shared" si="100"/>
        <v>0</v>
      </c>
      <c r="AD213" s="46" t="str">
        <f t="shared" si="101"/>
        <v/>
      </c>
      <c r="AE213" s="46" t="str">
        <f t="shared" si="102"/>
        <v/>
      </c>
      <c r="AF213" s="46" t="str">
        <f t="shared" si="103"/>
        <v/>
      </c>
      <c r="AG213" s="46" t="str">
        <f t="shared" si="104"/>
        <v/>
      </c>
      <c r="AH213" s="46" t="str">
        <f t="shared" si="105"/>
        <v/>
      </c>
      <c r="AI213" s="46" t="str">
        <f t="shared" si="106"/>
        <v/>
      </c>
      <c r="AJ213" s="46" t="str">
        <f t="shared" si="107"/>
        <v/>
      </c>
      <c r="AK213" s="46" t="str">
        <f t="shared" si="108"/>
        <v/>
      </c>
      <c r="AL213" s="46" t="str">
        <f t="shared" si="109"/>
        <v/>
      </c>
      <c r="AM213" s="46" t="str">
        <f t="shared" si="110"/>
        <v/>
      </c>
      <c r="AN213" s="46" t="str">
        <f t="shared" si="111"/>
        <v/>
      </c>
      <c r="AO213" s="46" t="str">
        <f t="shared" si="112"/>
        <v/>
      </c>
      <c r="AP213" s="46" t="str">
        <f t="shared" si="113"/>
        <v/>
      </c>
      <c r="AQ213" s="46" t="str">
        <f t="shared" si="114"/>
        <v/>
      </c>
      <c r="AR213" s="46" t="str">
        <f t="shared" si="115"/>
        <v/>
      </c>
      <c r="AS213" s="46" t="str">
        <f t="shared" si="116"/>
        <v/>
      </c>
      <c r="AT213" s="46" t="str">
        <f t="shared" si="117"/>
        <v/>
      </c>
      <c r="AU213" s="46" t="str">
        <f t="shared" si="118"/>
        <v/>
      </c>
      <c r="AV213" s="46" t="str">
        <f t="shared" si="119"/>
        <v/>
      </c>
      <c r="AW213" s="46" t="str">
        <f t="shared" si="120"/>
        <v/>
      </c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20"/>
    </row>
    <row r="214" spans="2:154">
      <c r="B214" s="1"/>
      <c r="C214" s="2"/>
      <c r="D214" s="34"/>
      <c r="E214" s="34"/>
      <c r="F214" s="34"/>
      <c r="G214" s="34"/>
      <c r="H214" s="4"/>
      <c r="I214" s="4"/>
      <c r="J214" s="4"/>
      <c r="K214" s="3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37"/>
      <c r="X214" s="1"/>
      <c r="Y214" s="18">
        <f t="shared" si="96"/>
        <v>0</v>
      </c>
      <c r="Z214" s="21">
        <f t="shared" si="97"/>
        <v>0</v>
      </c>
      <c r="AA214" s="10">
        <f t="shared" si="98"/>
        <v>0</v>
      </c>
      <c r="AB214" s="10">
        <f t="shared" si="99"/>
        <v>0</v>
      </c>
      <c r="AC214" s="10">
        <f t="shared" si="100"/>
        <v>0</v>
      </c>
      <c r="AD214" s="46" t="str">
        <f t="shared" si="101"/>
        <v/>
      </c>
      <c r="AE214" s="46" t="str">
        <f t="shared" si="102"/>
        <v/>
      </c>
      <c r="AF214" s="46" t="str">
        <f t="shared" si="103"/>
        <v/>
      </c>
      <c r="AG214" s="46" t="str">
        <f t="shared" si="104"/>
        <v/>
      </c>
      <c r="AH214" s="46" t="str">
        <f t="shared" si="105"/>
        <v/>
      </c>
      <c r="AI214" s="46" t="str">
        <f t="shared" si="106"/>
        <v/>
      </c>
      <c r="AJ214" s="46" t="str">
        <f t="shared" si="107"/>
        <v/>
      </c>
      <c r="AK214" s="46" t="str">
        <f t="shared" si="108"/>
        <v/>
      </c>
      <c r="AL214" s="46" t="str">
        <f t="shared" si="109"/>
        <v/>
      </c>
      <c r="AM214" s="46" t="str">
        <f t="shared" si="110"/>
        <v/>
      </c>
      <c r="AN214" s="46" t="str">
        <f t="shared" si="111"/>
        <v/>
      </c>
      <c r="AO214" s="46" t="str">
        <f t="shared" si="112"/>
        <v/>
      </c>
      <c r="AP214" s="46" t="str">
        <f t="shared" si="113"/>
        <v/>
      </c>
      <c r="AQ214" s="46" t="str">
        <f t="shared" si="114"/>
        <v/>
      </c>
      <c r="AR214" s="46" t="str">
        <f t="shared" si="115"/>
        <v/>
      </c>
      <c r="AS214" s="46" t="str">
        <f t="shared" si="116"/>
        <v/>
      </c>
      <c r="AT214" s="46" t="str">
        <f t="shared" si="117"/>
        <v/>
      </c>
      <c r="AU214" s="46" t="str">
        <f t="shared" si="118"/>
        <v/>
      </c>
      <c r="AV214" s="46" t="str">
        <f t="shared" si="119"/>
        <v/>
      </c>
      <c r="AW214" s="46" t="str">
        <f t="shared" si="120"/>
        <v/>
      </c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20"/>
    </row>
    <row r="215" spans="2:154">
      <c r="B215" s="1"/>
      <c r="C215" s="2"/>
      <c r="D215" s="34"/>
      <c r="E215" s="34"/>
      <c r="F215" s="34"/>
      <c r="G215" s="34"/>
      <c r="H215" s="4"/>
      <c r="I215" s="4"/>
      <c r="J215" s="4"/>
      <c r="K215" s="3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37"/>
      <c r="X215" s="1"/>
      <c r="Y215" s="18">
        <f t="shared" si="96"/>
        <v>0</v>
      </c>
      <c r="Z215" s="21">
        <f t="shared" si="97"/>
        <v>0</v>
      </c>
      <c r="AA215" s="10">
        <f t="shared" si="98"/>
        <v>0</v>
      </c>
      <c r="AB215" s="10">
        <f t="shared" si="99"/>
        <v>0</v>
      </c>
      <c r="AC215" s="10">
        <f t="shared" si="100"/>
        <v>0</v>
      </c>
      <c r="AD215" s="46" t="str">
        <f t="shared" si="101"/>
        <v/>
      </c>
      <c r="AE215" s="46" t="str">
        <f t="shared" si="102"/>
        <v/>
      </c>
      <c r="AF215" s="46" t="str">
        <f t="shared" si="103"/>
        <v/>
      </c>
      <c r="AG215" s="46" t="str">
        <f t="shared" si="104"/>
        <v/>
      </c>
      <c r="AH215" s="46" t="str">
        <f t="shared" si="105"/>
        <v/>
      </c>
      <c r="AI215" s="46" t="str">
        <f t="shared" si="106"/>
        <v/>
      </c>
      <c r="AJ215" s="46" t="str">
        <f t="shared" si="107"/>
        <v/>
      </c>
      <c r="AK215" s="46" t="str">
        <f t="shared" si="108"/>
        <v/>
      </c>
      <c r="AL215" s="46" t="str">
        <f t="shared" si="109"/>
        <v/>
      </c>
      <c r="AM215" s="46" t="str">
        <f t="shared" si="110"/>
        <v/>
      </c>
      <c r="AN215" s="46" t="str">
        <f t="shared" si="111"/>
        <v/>
      </c>
      <c r="AO215" s="46" t="str">
        <f t="shared" si="112"/>
        <v/>
      </c>
      <c r="AP215" s="46" t="str">
        <f t="shared" si="113"/>
        <v/>
      </c>
      <c r="AQ215" s="46" t="str">
        <f t="shared" si="114"/>
        <v/>
      </c>
      <c r="AR215" s="46" t="str">
        <f t="shared" si="115"/>
        <v/>
      </c>
      <c r="AS215" s="46" t="str">
        <f t="shared" si="116"/>
        <v/>
      </c>
      <c r="AT215" s="46" t="str">
        <f t="shared" si="117"/>
        <v/>
      </c>
      <c r="AU215" s="46" t="str">
        <f t="shared" si="118"/>
        <v/>
      </c>
      <c r="AV215" s="46" t="str">
        <f t="shared" si="119"/>
        <v/>
      </c>
      <c r="AW215" s="46" t="str">
        <f t="shared" si="120"/>
        <v/>
      </c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20"/>
    </row>
    <row r="216" spans="2:154">
      <c r="B216" s="1"/>
      <c r="C216" s="2"/>
      <c r="D216" s="34"/>
      <c r="E216" s="34"/>
      <c r="F216" s="34"/>
      <c r="G216" s="34"/>
      <c r="H216" s="4"/>
      <c r="I216" s="4"/>
      <c r="J216" s="4"/>
      <c r="K216" s="3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37"/>
      <c r="X216" s="1"/>
      <c r="Y216" s="18">
        <f t="shared" si="96"/>
        <v>0</v>
      </c>
      <c r="Z216" s="21">
        <f t="shared" si="97"/>
        <v>0</v>
      </c>
      <c r="AA216" s="10">
        <f t="shared" si="98"/>
        <v>0</v>
      </c>
      <c r="AB216" s="10">
        <f t="shared" si="99"/>
        <v>0</v>
      </c>
      <c r="AC216" s="10">
        <f t="shared" si="100"/>
        <v>0</v>
      </c>
      <c r="AD216" s="46" t="str">
        <f t="shared" si="101"/>
        <v/>
      </c>
      <c r="AE216" s="46" t="str">
        <f t="shared" si="102"/>
        <v/>
      </c>
      <c r="AF216" s="46" t="str">
        <f t="shared" si="103"/>
        <v/>
      </c>
      <c r="AG216" s="46" t="str">
        <f t="shared" si="104"/>
        <v/>
      </c>
      <c r="AH216" s="46" t="str">
        <f t="shared" si="105"/>
        <v/>
      </c>
      <c r="AI216" s="46" t="str">
        <f t="shared" si="106"/>
        <v/>
      </c>
      <c r="AJ216" s="46" t="str">
        <f t="shared" si="107"/>
        <v/>
      </c>
      <c r="AK216" s="46" t="str">
        <f t="shared" si="108"/>
        <v/>
      </c>
      <c r="AL216" s="46" t="str">
        <f t="shared" si="109"/>
        <v/>
      </c>
      <c r="AM216" s="46" t="str">
        <f t="shared" si="110"/>
        <v/>
      </c>
      <c r="AN216" s="46" t="str">
        <f t="shared" si="111"/>
        <v/>
      </c>
      <c r="AO216" s="46" t="str">
        <f t="shared" si="112"/>
        <v/>
      </c>
      <c r="AP216" s="46" t="str">
        <f t="shared" si="113"/>
        <v/>
      </c>
      <c r="AQ216" s="46" t="str">
        <f t="shared" si="114"/>
        <v/>
      </c>
      <c r="AR216" s="46" t="str">
        <f t="shared" si="115"/>
        <v/>
      </c>
      <c r="AS216" s="46" t="str">
        <f t="shared" si="116"/>
        <v/>
      </c>
      <c r="AT216" s="46" t="str">
        <f t="shared" si="117"/>
        <v/>
      </c>
      <c r="AU216" s="46" t="str">
        <f t="shared" si="118"/>
        <v/>
      </c>
      <c r="AV216" s="46" t="str">
        <f t="shared" si="119"/>
        <v/>
      </c>
      <c r="AW216" s="46" t="str">
        <f t="shared" si="120"/>
        <v/>
      </c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20"/>
    </row>
    <row r="217" spans="2:154">
      <c r="B217" s="1"/>
      <c r="C217" s="2"/>
      <c r="D217" s="34"/>
      <c r="E217" s="34"/>
      <c r="F217" s="34"/>
      <c r="G217" s="34"/>
      <c r="H217" s="4"/>
      <c r="I217" s="4"/>
      <c r="J217" s="4"/>
      <c r="K217" s="3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37"/>
      <c r="X217" s="1"/>
      <c r="Y217" s="18">
        <f t="shared" si="96"/>
        <v>0</v>
      </c>
      <c r="Z217" s="21">
        <f t="shared" si="97"/>
        <v>0</v>
      </c>
      <c r="AA217" s="10">
        <f t="shared" si="98"/>
        <v>0</v>
      </c>
      <c r="AB217" s="10">
        <f t="shared" si="99"/>
        <v>0</v>
      </c>
      <c r="AC217" s="10">
        <f t="shared" si="100"/>
        <v>0</v>
      </c>
      <c r="AD217" s="46" t="str">
        <f t="shared" si="101"/>
        <v/>
      </c>
      <c r="AE217" s="46" t="str">
        <f t="shared" si="102"/>
        <v/>
      </c>
      <c r="AF217" s="46" t="str">
        <f t="shared" si="103"/>
        <v/>
      </c>
      <c r="AG217" s="46" t="str">
        <f t="shared" si="104"/>
        <v/>
      </c>
      <c r="AH217" s="46" t="str">
        <f t="shared" si="105"/>
        <v/>
      </c>
      <c r="AI217" s="46" t="str">
        <f t="shared" si="106"/>
        <v/>
      </c>
      <c r="AJ217" s="46" t="str">
        <f t="shared" si="107"/>
        <v/>
      </c>
      <c r="AK217" s="46" t="str">
        <f t="shared" si="108"/>
        <v/>
      </c>
      <c r="AL217" s="46" t="str">
        <f t="shared" si="109"/>
        <v/>
      </c>
      <c r="AM217" s="46" t="str">
        <f t="shared" si="110"/>
        <v/>
      </c>
      <c r="AN217" s="46" t="str">
        <f t="shared" si="111"/>
        <v/>
      </c>
      <c r="AO217" s="46" t="str">
        <f t="shared" si="112"/>
        <v/>
      </c>
      <c r="AP217" s="46" t="str">
        <f t="shared" si="113"/>
        <v/>
      </c>
      <c r="AQ217" s="46" t="str">
        <f t="shared" si="114"/>
        <v/>
      </c>
      <c r="AR217" s="46" t="str">
        <f t="shared" si="115"/>
        <v/>
      </c>
      <c r="AS217" s="46" t="str">
        <f t="shared" si="116"/>
        <v/>
      </c>
      <c r="AT217" s="46" t="str">
        <f t="shared" si="117"/>
        <v/>
      </c>
      <c r="AU217" s="46" t="str">
        <f t="shared" si="118"/>
        <v/>
      </c>
      <c r="AV217" s="46" t="str">
        <f t="shared" si="119"/>
        <v/>
      </c>
      <c r="AW217" s="46" t="str">
        <f t="shared" si="120"/>
        <v/>
      </c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20"/>
    </row>
    <row r="218" spans="2:154">
      <c r="B218" s="1"/>
      <c r="C218" s="2"/>
      <c r="D218" s="34"/>
      <c r="E218" s="34"/>
      <c r="F218" s="34"/>
      <c r="G218" s="34"/>
      <c r="H218" s="4"/>
      <c r="I218" s="4"/>
      <c r="J218" s="4"/>
      <c r="K218" s="3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37"/>
      <c r="X218" s="1"/>
      <c r="Y218" s="18">
        <f t="shared" si="96"/>
        <v>0</v>
      </c>
      <c r="Z218" s="21">
        <f t="shared" si="97"/>
        <v>0</v>
      </c>
      <c r="AA218" s="10">
        <f t="shared" si="98"/>
        <v>0</v>
      </c>
      <c r="AB218" s="10">
        <f t="shared" si="99"/>
        <v>0</v>
      </c>
      <c r="AC218" s="10">
        <f t="shared" si="100"/>
        <v>0</v>
      </c>
      <c r="AD218" s="46" t="str">
        <f t="shared" si="101"/>
        <v/>
      </c>
      <c r="AE218" s="46" t="str">
        <f t="shared" si="102"/>
        <v/>
      </c>
      <c r="AF218" s="46" t="str">
        <f t="shared" si="103"/>
        <v/>
      </c>
      <c r="AG218" s="46" t="str">
        <f t="shared" si="104"/>
        <v/>
      </c>
      <c r="AH218" s="46" t="str">
        <f t="shared" si="105"/>
        <v/>
      </c>
      <c r="AI218" s="46" t="str">
        <f t="shared" si="106"/>
        <v/>
      </c>
      <c r="AJ218" s="46" t="str">
        <f t="shared" si="107"/>
        <v/>
      </c>
      <c r="AK218" s="46" t="str">
        <f t="shared" si="108"/>
        <v/>
      </c>
      <c r="AL218" s="46" t="str">
        <f t="shared" si="109"/>
        <v/>
      </c>
      <c r="AM218" s="46" t="str">
        <f t="shared" si="110"/>
        <v/>
      </c>
      <c r="AN218" s="46" t="str">
        <f t="shared" si="111"/>
        <v/>
      </c>
      <c r="AO218" s="46" t="str">
        <f t="shared" si="112"/>
        <v/>
      </c>
      <c r="AP218" s="46" t="str">
        <f t="shared" si="113"/>
        <v/>
      </c>
      <c r="AQ218" s="46" t="str">
        <f t="shared" si="114"/>
        <v/>
      </c>
      <c r="AR218" s="46" t="str">
        <f t="shared" si="115"/>
        <v/>
      </c>
      <c r="AS218" s="46" t="str">
        <f t="shared" si="116"/>
        <v/>
      </c>
      <c r="AT218" s="46" t="str">
        <f t="shared" si="117"/>
        <v/>
      </c>
      <c r="AU218" s="46" t="str">
        <f t="shared" si="118"/>
        <v/>
      </c>
      <c r="AV218" s="46" t="str">
        <f t="shared" si="119"/>
        <v/>
      </c>
      <c r="AW218" s="46" t="str">
        <f t="shared" si="120"/>
        <v/>
      </c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20"/>
    </row>
    <row r="219" spans="2:154">
      <c r="B219" s="1"/>
      <c r="C219" s="2"/>
      <c r="D219" s="34"/>
      <c r="E219" s="34"/>
      <c r="F219" s="34"/>
      <c r="G219" s="34"/>
      <c r="H219" s="4"/>
      <c r="I219" s="4"/>
      <c r="J219" s="4"/>
      <c r="K219" s="3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37"/>
      <c r="X219" s="1"/>
      <c r="Y219" s="18">
        <f t="shared" si="96"/>
        <v>0</v>
      </c>
      <c r="Z219" s="21">
        <f t="shared" si="97"/>
        <v>0</v>
      </c>
      <c r="AA219" s="10">
        <f t="shared" si="98"/>
        <v>0</v>
      </c>
      <c r="AB219" s="10">
        <f t="shared" si="99"/>
        <v>0</v>
      </c>
      <c r="AC219" s="10">
        <f t="shared" si="100"/>
        <v>0</v>
      </c>
      <c r="AD219" s="46" t="str">
        <f t="shared" si="101"/>
        <v/>
      </c>
      <c r="AE219" s="46" t="str">
        <f t="shared" si="102"/>
        <v/>
      </c>
      <c r="AF219" s="46" t="str">
        <f t="shared" si="103"/>
        <v/>
      </c>
      <c r="AG219" s="46" t="str">
        <f t="shared" si="104"/>
        <v/>
      </c>
      <c r="AH219" s="46" t="str">
        <f t="shared" si="105"/>
        <v/>
      </c>
      <c r="AI219" s="46" t="str">
        <f t="shared" si="106"/>
        <v/>
      </c>
      <c r="AJ219" s="46" t="str">
        <f t="shared" si="107"/>
        <v/>
      </c>
      <c r="AK219" s="46" t="str">
        <f t="shared" si="108"/>
        <v/>
      </c>
      <c r="AL219" s="46" t="str">
        <f t="shared" si="109"/>
        <v/>
      </c>
      <c r="AM219" s="46" t="str">
        <f t="shared" si="110"/>
        <v/>
      </c>
      <c r="AN219" s="46" t="str">
        <f t="shared" si="111"/>
        <v/>
      </c>
      <c r="AO219" s="46" t="str">
        <f t="shared" si="112"/>
        <v/>
      </c>
      <c r="AP219" s="46" t="str">
        <f t="shared" si="113"/>
        <v/>
      </c>
      <c r="AQ219" s="46" t="str">
        <f t="shared" si="114"/>
        <v/>
      </c>
      <c r="AR219" s="46" t="str">
        <f t="shared" si="115"/>
        <v/>
      </c>
      <c r="AS219" s="46" t="str">
        <f t="shared" si="116"/>
        <v/>
      </c>
      <c r="AT219" s="46" t="str">
        <f t="shared" si="117"/>
        <v/>
      </c>
      <c r="AU219" s="46" t="str">
        <f t="shared" si="118"/>
        <v/>
      </c>
      <c r="AV219" s="46" t="str">
        <f t="shared" si="119"/>
        <v/>
      </c>
      <c r="AW219" s="46" t="str">
        <f t="shared" si="120"/>
        <v/>
      </c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20"/>
    </row>
    <row r="220" spans="2:154">
      <c r="B220" s="1"/>
      <c r="C220" s="2"/>
      <c r="D220" s="34"/>
      <c r="E220" s="34"/>
      <c r="F220" s="34"/>
      <c r="G220" s="34"/>
      <c r="H220" s="4"/>
      <c r="I220" s="4"/>
      <c r="J220" s="4"/>
      <c r="K220" s="3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37"/>
      <c r="X220" s="1"/>
      <c r="Y220" s="18">
        <f t="shared" si="96"/>
        <v>0</v>
      </c>
      <c r="Z220" s="21">
        <f t="shared" si="97"/>
        <v>0</v>
      </c>
      <c r="AA220" s="10">
        <f t="shared" si="98"/>
        <v>0</v>
      </c>
      <c r="AB220" s="10">
        <f t="shared" si="99"/>
        <v>0</v>
      </c>
      <c r="AC220" s="10">
        <f t="shared" si="100"/>
        <v>0</v>
      </c>
      <c r="AD220" s="46" t="str">
        <f t="shared" si="101"/>
        <v/>
      </c>
      <c r="AE220" s="46" t="str">
        <f t="shared" si="102"/>
        <v/>
      </c>
      <c r="AF220" s="46" t="str">
        <f t="shared" si="103"/>
        <v/>
      </c>
      <c r="AG220" s="46" t="str">
        <f t="shared" si="104"/>
        <v/>
      </c>
      <c r="AH220" s="46" t="str">
        <f t="shared" si="105"/>
        <v/>
      </c>
      <c r="AI220" s="46" t="str">
        <f t="shared" si="106"/>
        <v/>
      </c>
      <c r="AJ220" s="46" t="str">
        <f t="shared" si="107"/>
        <v/>
      </c>
      <c r="AK220" s="46" t="str">
        <f t="shared" si="108"/>
        <v/>
      </c>
      <c r="AL220" s="46" t="str">
        <f t="shared" si="109"/>
        <v/>
      </c>
      <c r="AM220" s="46" t="str">
        <f t="shared" si="110"/>
        <v/>
      </c>
      <c r="AN220" s="46" t="str">
        <f t="shared" si="111"/>
        <v/>
      </c>
      <c r="AO220" s="46" t="str">
        <f t="shared" si="112"/>
        <v/>
      </c>
      <c r="AP220" s="46" t="str">
        <f t="shared" si="113"/>
        <v/>
      </c>
      <c r="AQ220" s="46" t="str">
        <f t="shared" si="114"/>
        <v/>
      </c>
      <c r="AR220" s="46" t="str">
        <f t="shared" si="115"/>
        <v/>
      </c>
      <c r="AS220" s="46" t="str">
        <f t="shared" si="116"/>
        <v/>
      </c>
      <c r="AT220" s="46" t="str">
        <f t="shared" si="117"/>
        <v/>
      </c>
      <c r="AU220" s="46" t="str">
        <f t="shared" si="118"/>
        <v/>
      </c>
      <c r="AV220" s="46" t="str">
        <f t="shared" si="119"/>
        <v/>
      </c>
      <c r="AW220" s="46" t="str">
        <f t="shared" si="120"/>
        <v/>
      </c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20"/>
    </row>
    <row r="221" spans="2:154">
      <c r="B221" s="1"/>
      <c r="C221" s="2"/>
      <c r="D221" s="34"/>
      <c r="E221" s="34"/>
      <c r="F221" s="34"/>
      <c r="G221" s="34"/>
      <c r="H221" s="4"/>
      <c r="I221" s="4"/>
      <c r="J221" s="4"/>
      <c r="K221" s="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37"/>
      <c r="X221" s="1"/>
      <c r="Y221" s="18">
        <f t="shared" si="96"/>
        <v>0</v>
      </c>
      <c r="Z221" s="21">
        <f t="shared" si="97"/>
        <v>0</v>
      </c>
      <c r="AA221" s="10">
        <f t="shared" si="98"/>
        <v>0</v>
      </c>
      <c r="AB221" s="10">
        <f t="shared" si="99"/>
        <v>0</v>
      </c>
      <c r="AC221" s="10">
        <f t="shared" si="100"/>
        <v>0</v>
      </c>
      <c r="AD221" s="46" t="str">
        <f t="shared" si="101"/>
        <v/>
      </c>
      <c r="AE221" s="46" t="str">
        <f t="shared" si="102"/>
        <v/>
      </c>
      <c r="AF221" s="46" t="str">
        <f t="shared" si="103"/>
        <v/>
      </c>
      <c r="AG221" s="46" t="str">
        <f t="shared" si="104"/>
        <v/>
      </c>
      <c r="AH221" s="46" t="str">
        <f t="shared" si="105"/>
        <v/>
      </c>
      <c r="AI221" s="46" t="str">
        <f t="shared" si="106"/>
        <v/>
      </c>
      <c r="AJ221" s="46" t="str">
        <f t="shared" si="107"/>
        <v/>
      </c>
      <c r="AK221" s="46" t="str">
        <f t="shared" si="108"/>
        <v/>
      </c>
      <c r="AL221" s="46" t="str">
        <f t="shared" si="109"/>
        <v/>
      </c>
      <c r="AM221" s="46" t="str">
        <f t="shared" si="110"/>
        <v/>
      </c>
      <c r="AN221" s="46" t="str">
        <f t="shared" si="111"/>
        <v/>
      </c>
      <c r="AO221" s="46" t="str">
        <f t="shared" si="112"/>
        <v/>
      </c>
      <c r="AP221" s="46" t="str">
        <f t="shared" si="113"/>
        <v/>
      </c>
      <c r="AQ221" s="46" t="str">
        <f t="shared" si="114"/>
        <v/>
      </c>
      <c r="AR221" s="46" t="str">
        <f t="shared" si="115"/>
        <v/>
      </c>
      <c r="AS221" s="46" t="str">
        <f t="shared" si="116"/>
        <v/>
      </c>
      <c r="AT221" s="46" t="str">
        <f t="shared" si="117"/>
        <v/>
      </c>
      <c r="AU221" s="46" t="str">
        <f t="shared" si="118"/>
        <v/>
      </c>
      <c r="AV221" s="46" t="str">
        <f t="shared" si="119"/>
        <v/>
      </c>
      <c r="AW221" s="46" t="str">
        <f t="shared" si="120"/>
        <v/>
      </c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20"/>
    </row>
    <row r="222" spans="2:154">
      <c r="B222" s="1"/>
      <c r="C222" s="2"/>
      <c r="D222" s="34"/>
      <c r="E222" s="34"/>
      <c r="F222" s="34"/>
      <c r="G222" s="34"/>
      <c r="H222" s="4"/>
      <c r="I222" s="4"/>
      <c r="J222" s="4"/>
      <c r="K222" s="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37"/>
      <c r="X222" s="1"/>
      <c r="Y222" s="18">
        <f t="shared" si="96"/>
        <v>0</v>
      </c>
      <c r="Z222" s="21">
        <f t="shared" si="97"/>
        <v>0</v>
      </c>
      <c r="AA222" s="10">
        <f t="shared" si="98"/>
        <v>0</v>
      </c>
      <c r="AB222" s="10">
        <f t="shared" si="99"/>
        <v>0</v>
      </c>
      <c r="AC222" s="10">
        <f t="shared" si="100"/>
        <v>0</v>
      </c>
      <c r="AD222" s="46" t="str">
        <f t="shared" si="101"/>
        <v/>
      </c>
      <c r="AE222" s="46" t="str">
        <f t="shared" si="102"/>
        <v/>
      </c>
      <c r="AF222" s="46" t="str">
        <f t="shared" si="103"/>
        <v/>
      </c>
      <c r="AG222" s="46" t="str">
        <f t="shared" si="104"/>
        <v/>
      </c>
      <c r="AH222" s="46" t="str">
        <f t="shared" si="105"/>
        <v/>
      </c>
      <c r="AI222" s="46" t="str">
        <f t="shared" si="106"/>
        <v/>
      </c>
      <c r="AJ222" s="46" t="str">
        <f t="shared" si="107"/>
        <v/>
      </c>
      <c r="AK222" s="46" t="str">
        <f t="shared" si="108"/>
        <v/>
      </c>
      <c r="AL222" s="46" t="str">
        <f t="shared" si="109"/>
        <v/>
      </c>
      <c r="AM222" s="46" t="str">
        <f t="shared" si="110"/>
        <v/>
      </c>
      <c r="AN222" s="46" t="str">
        <f t="shared" si="111"/>
        <v/>
      </c>
      <c r="AO222" s="46" t="str">
        <f t="shared" si="112"/>
        <v/>
      </c>
      <c r="AP222" s="46" t="str">
        <f t="shared" si="113"/>
        <v/>
      </c>
      <c r="AQ222" s="46" t="str">
        <f t="shared" si="114"/>
        <v/>
      </c>
      <c r="AR222" s="46" t="str">
        <f t="shared" si="115"/>
        <v/>
      </c>
      <c r="AS222" s="46" t="str">
        <f t="shared" si="116"/>
        <v/>
      </c>
      <c r="AT222" s="46" t="str">
        <f t="shared" si="117"/>
        <v/>
      </c>
      <c r="AU222" s="46" t="str">
        <f t="shared" si="118"/>
        <v/>
      </c>
      <c r="AV222" s="46" t="str">
        <f t="shared" si="119"/>
        <v/>
      </c>
      <c r="AW222" s="46" t="str">
        <f t="shared" si="120"/>
        <v/>
      </c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20"/>
    </row>
    <row r="223" spans="2:154">
      <c r="B223" s="1"/>
      <c r="C223" s="2"/>
      <c r="D223" s="34"/>
      <c r="E223" s="34"/>
      <c r="F223" s="34"/>
      <c r="G223" s="34"/>
      <c r="H223" s="4"/>
      <c r="I223" s="4"/>
      <c r="J223" s="4"/>
      <c r="K223" s="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37"/>
      <c r="X223" s="1"/>
      <c r="Y223" s="18">
        <f t="shared" si="96"/>
        <v>0</v>
      </c>
      <c r="Z223" s="21">
        <f t="shared" si="97"/>
        <v>0</v>
      </c>
      <c r="AA223" s="10">
        <f t="shared" si="98"/>
        <v>0</v>
      </c>
      <c r="AB223" s="10">
        <f t="shared" si="99"/>
        <v>0</v>
      </c>
      <c r="AC223" s="10">
        <f t="shared" si="100"/>
        <v>0</v>
      </c>
      <c r="AD223" s="46" t="str">
        <f t="shared" si="101"/>
        <v/>
      </c>
      <c r="AE223" s="46" t="str">
        <f t="shared" si="102"/>
        <v/>
      </c>
      <c r="AF223" s="46" t="str">
        <f t="shared" si="103"/>
        <v/>
      </c>
      <c r="AG223" s="46" t="str">
        <f t="shared" si="104"/>
        <v/>
      </c>
      <c r="AH223" s="46" t="str">
        <f t="shared" si="105"/>
        <v/>
      </c>
      <c r="AI223" s="46" t="str">
        <f t="shared" si="106"/>
        <v/>
      </c>
      <c r="AJ223" s="46" t="str">
        <f t="shared" si="107"/>
        <v/>
      </c>
      <c r="AK223" s="46" t="str">
        <f t="shared" si="108"/>
        <v/>
      </c>
      <c r="AL223" s="46" t="str">
        <f t="shared" si="109"/>
        <v/>
      </c>
      <c r="AM223" s="46" t="str">
        <f t="shared" si="110"/>
        <v/>
      </c>
      <c r="AN223" s="46" t="str">
        <f t="shared" si="111"/>
        <v/>
      </c>
      <c r="AO223" s="46" t="str">
        <f t="shared" si="112"/>
        <v/>
      </c>
      <c r="AP223" s="46" t="str">
        <f t="shared" si="113"/>
        <v/>
      </c>
      <c r="AQ223" s="46" t="str">
        <f t="shared" si="114"/>
        <v/>
      </c>
      <c r="AR223" s="46" t="str">
        <f t="shared" si="115"/>
        <v/>
      </c>
      <c r="AS223" s="46" t="str">
        <f t="shared" si="116"/>
        <v/>
      </c>
      <c r="AT223" s="46" t="str">
        <f t="shared" si="117"/>
        <v/>
      </c>
      <c r="AU223" s="46" t="str">
        <f t="shared" si="118"/>
        <v/>
      </c>
      <c r="AV223" s="46" t="str">
        <f t="shared" si="119"/>
        <v/>
      </c>
      <c r="AW223" s="46" t="str">
        <f t="shared" si="120"/>
        <v/>
      </c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20"/>
    </row>
    <row r="224" spans="2:154">
      <c r="B224" s="1"/>
      <c r="C224" s="2"/>
      <c r="D224" s="34"/>
      <c r="E224" s="34"/>
      <c r="F224" s="34"/>
      <c r="G224" s="34"/>
      <c r="H224" s="4"/>
      <c r="I224" s="4"/>
      <c r="J224" s="4"/>
      <c r="K224" s="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37"/>
      <c r="X224" s="1"/>
      <c r="Y224" s="18">
        <f t="shared" si="96"/>
        <v>0</v>
      </c>
      <c r="Z224" s="21">
        <f t="shared" si="97"/>
        <v>0</v>
      </c>
      <c r="AA224" s="10">
        <f t="shared" si="98"/>
        <v>0</v>
      </c>
      <c r="AB224" s="10">
        <f t="shared" si="99"/>
        <v>0</v>
      </c>
      <c r="AC224" s="10">
        <f t="shared" si="100"/>
        <v>0</v>
      </c>
      <c r="AD224" s="46" t="str">
        <f t="shared" si="101"/>
        <v/>
      </c>
      <c r="AE224" s="46" t="str">
        <f t="shared" si="102"/>
        <v/>
      </c>
      <c r="AF224" s="46" t="str">
        <f t="shared" si="103"/>
        <v/>
      </c>
      <c r="AG224" s="46" t="str">
        <f t="shared" si="104"/>
        <v/>
      </c>
      <c r="AH224" s="46" t="str">
        <f t="shared" si="105"/>
        <v/>
      </c>
      <c r="AI224" s="46" t="str">
        <f t="shared" si="106"/>
        <v/>
      </c>
      <c r="AJ224" s="46" t="str">
        <f t="shared" si="107"/>
        <v/>
      </c>
      <c r="AK224" s="46" t="str">
        <f t="shared" si="108"/>
        <v/>
      </c>
      <c r="AL224" s="46" t="str">
        <f t="shared" si="109"/>
        <v/>
      </c>
      <c r="AM224" s="46" t="str">
        <f t="shared" si="110"/>
        <v/>
      </c>
      <c r="AN224" s="46" t="str">
        <f t="shared" si="111"/>
        <v/>
      </c>
      <c r="AO224" s="46" t="str">
        <f t="shared" si="112"/>
        <v/>
      </c>
      <c r="AP224" s="46" t="str">
        <f t="shared" si="113"/>
        <v/>
      </c>
      <c r="AQ224" s="46" t="str">
        <f t="shared" si="114"/>
        <v/>
      </c>
      <c r="AR224" s="46" t="str">
        <f t="shared" si="115"/>
        <v/>
      </c>
      <c r="AS224" s="46" t="str">
        <f t="shared" si="116"/>
        <v/>
      </c>
      <c r="AT224" s="46" t="str">
        <f t="shared" si="117"/>
        <v/>
      </c>
      <c r="AU224" s="46" t="str">
        <f t="shared" si="118"/>
        <v/>
      </c>
      <c r="AV224" s="46" t="str">
        <f t="shared" si="119"/>
        <v/>
      </c>
      <c r="AW224" s="46" t="str">
        <f t="shared" si="120"/>
        <v/>
      </c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20"/>
    </row>
    <row r="225" spans="2:154">
      <c r="B225" s="1"/>
      <c r="C225" s="2"/>
      <c r="D225" s="34"/>
      <c r="E225" s="34"/>
      <c r="F225" s="34"/>
      <c r="G225" s="34"/>
      <c r="H225" s="4"/>
      <c r="I225" s="4"/>
      <c r="J225" s="4"/>
      <c r="K225" s="3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37"/>
      <c r="X225" s="1"/>
      <c r="Y225" s="18">
        <f t="shared" si="96"/>
        <v>0</v>
      </c>
      <c r="Z225" s="21">
        <f t="shared" si="97"/>
        <v>0</v>
      </c>
      <c r="AA225" s="10">
        <f t="shared" si="98"/>
        <v>0</v>
      </c>
      <c r="AB225" s="10">
        <f t="shared" si="99"/>
        <v>0</v>
      </c>
      <c r="AC225" s="10">
        <f t="shared" si="100"/>
        <v>0</v>
      </c>
      <c r="AD225" s="46" t="str">
        <f t="shared" si="101"/>
        <v/>
      </c>
      <c r="AE225" s="46" t="str">
        <f t="shared" si="102"/>
        <v/>
      </c>
      <c r="AF225" s="46" t="str">
        <f t="shared" si="103"/>
        <v/>
      </c>
      <c r="AG225" s="46" t="str">
        <f t="shared" si="104"/>
        <v/>
      </c>
      <c r="AH225" s="46" t="str">
        <f t="shared" si="105"/>
        <v/>
      </c>
      <c r="AI225" s="46" t="str">
        <f t="shared" si="106"/>
        <v/>
      </c>
      <c r="AJ225" s="46" t="str">
        <f t="shared" si="107"/>
        <v/>
      </c>
      <c r="AK225" s="46" t="str">
        <f t="shared" si="108"/>
        <v/>
      </c>
      <c r="AL225" s="46" t="str">
        <f t="shared" si="109"/>
        <v/>
      </c>
      <c r="AM225" s="46" t="str">
        <f t="shared" si="110"/>
        <v/>
      </c>
      <c r="AN225" s="46" t="str">
        <f t="shared" si="111"/>
        <v/>
      </c>
      <c r="AO225" s="46" t="str">
        <f t="shared" si="112"/>
        <v/>
      </c>
      <c r="AP225" s="46" t="str">
        <f t="shared" si="113"/>
        <v/>
      </c>
      <c r="AQ225" s="46" t="str">
        <f t="shared" si="114"/>
        <v/>
      </c>
      <c r="AR225" s="46" t="str">
        <f t="shared" si="115"/>
        <v/>
      </c>
      <c r="AS225" s="46" t="str">
        <f t="shared" si="116"/>
        <v/>
      </c>
      <c r="AT225" s="46" t="str">
        <f t="shared" si="117"/>
        <v/>
      </c>
      <c r="AU225" s="46" t="str">
        <f t="shared" si="118"/>
        <v/>
      </c>
      <c r="AV225" s="46" t="str">
        <f t="shared" si="119"/>
        <v/>
      </c>
      <c r="AW225" s="46" t="str">
        <f t="shared" si="120"/>
        <v/>
      </c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20"/>
    </row>
    <row r="226" spans="2:154">
      <c r="B226" s="1"/>
      <c r="C226" s="2"/>
      <c r="D226" s="34"/>
      <c r="E226" s="34"/>
      <c r="F226" s="34"/>
      <c r="G226" s="34"/>
      <c r="H226" s="4"/>
      <c r="I226" s="4"/>
      <c r="J226" s="4"/>
      <c r="K226" s="3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37"/>
      <c r="X226" s="1"/>
      <c r="Y226" s="18">
        <f t="shared" si="96"/>
        <v>0</v>
      </c>
      <c r="Z226" s="21">
        <f t="shared" si="97"/>
        <v>0</v>
      </c>
      <c r="AA226" s="10">
        <f t="shared" si="98"/>
        <v>0</v>
      </c>
      <c r="AB226" s="10">
        <f t="shared" si="99"/>
        <v>0</v>
      </c>
      <c r="AC226" s="10">
        <f t="shared" si="100"/>
        <v>0</v>
      </c>
      <c r="AD226" s="46" t="str">
        <f t="shared" si="101"/>
        <v/>
      </c>
      <c r="AE226" s="46" t="str">
        <f t="shared" si="102"/>
        <v/>
      </c>
      <c r="AF226" s="46" t="str">
        <f t="shared" si="103"/>
        <v/>
      </c>
      <c r="AG226" s="46" t="str">
        <f t="shared" si="104"/>
        <v/>
      </c>
      <c r="AH226" s="46" t="str">
        <f t="shared" si="105"/>
        <v/>
      </c>
      <c r="AI226" s="46" t="str">
        <f t="shared" si="106"/>
        <v/>
      </c>
      <c r="AJ226" s="46" t="str">
        <f t="shared" si="107"/>
        <v/>
      </c>
      <c r="AK226" s="46" t="str">
        <f t="shared" si="108"/>
        <v/>
      </c>
      <c r="AL226" s="46" t="str">
        <f t="shared" si="109"/>
        <v/>
      </c>
      <c r="AM226" s="46" t="str">
        <f t="shared" si="110"/>
        <v/>
      </c>
      <c r="AN226" s="46" t="str">
        <f t="shared" si="111"/>
        <v/>
      </c>
      <c r="AO226" s="46" t="str">
        <f t="shared" si="112"/>
        <v/>
      </c>
      <c r="AP226" s="46" t="str">
        <f t="shared" si="113"/>
        <v/>
      </c>
      <c r="AQ226" s="46" t="str">
        <f t="shared" si="114"/>
        <v/>
      </c>
      <c r="AR226" s="46" t="str">
        <f t="shared" si="115"/>
        <v/>
      </c>
      <c r="AS226" s="46" t="str">
        <f t="shared" si="116"/>
        <v/>
      </c>
      <c r="AT226" s="46" t="str">
        <f t="shared" si="117"/>
        <v/>
      </c>
      <c r="AU226" s="46" t="str">
        <f t="shared" si="118"/>
        <v/>
      </c>
      <c r="AV226" s="46" t="str">
        <f t="shared" si="119"/>
        <v/>
      </c>
      <c r="AW226" s="46" t="str">
        <f t="shared" si="120"/>
        <v/>
      </c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20"/>
    </row>
    <row r="227" spans="2:154">
      <c r="B227" s="1"/>
      <c r="C227" s="2"/>
      <c r="D227" s="34"/>
      <c r="E227" s="34"/>
      <c r="F227" s="34"/>
      <c r="G227" s="34"/>
      <c r="H227" s="4"/>
      <c r="I227" s="4"/>
      <c r="J227" s="4"/>
      <c r="K227" s="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37"/>
      <c r="X227" s="1"/>
      <c r="Y227" s="18">
        <f t="shared" si="96"/>
        <v>0</v>
      </c>
      <c r="Z227" s="21">
        <f t="shared" si="97"/>
        <v>0</v>
      </c>
      <c r="AA227" s="10">
        <f t="shared" si="98"/>
        <v>0</v>
      </c>
      <c r="AB227" s="10">
        <f t="shared" si="99"/>
        <v>0</v>
      </c>
      <c r="AC227" s="10">
        <f t="shared" si="100"/>
        <v>0</v>
      </c>
      <c r="AD227" s="46" t="str">
        <f t="shared" si="101"/>
        <v/>
      </c>
      <c r="AE227" s="46" t="str">
        <f t="shared" si="102"/>
        <v/>
      </c>
      <c r="AF227" s="46" t="str">
        <f t="shared" si="103"/>
        <v/>
      </c>
      <c r="AG227" s="46" t="str">
        <f t="shared" si="104"/>
        <v/>
      </c>
      <c r="AH227" s="46" t="str">
        <f t="shared" si="105"/>
        <v/>
      </c>
      <c r="AI227" s="46" t="str">
        <f t="shared" si="106"/>
        <v/>
      </c>
      <c r="AJ227" s="46" t="str">
        <f t="shared" si="107"/>
        <v/>
      </c>
      <c r="AK227" s="46" t="str">
        <f t="shared" si="108"/>
        <v/>
      </c>
      <c r="AL227" s="46" t="str">
        <f t="shared" si="109"/>
        <v/>
      </c>
      <c r="AM227" s="46" t="str">
        <f t="shared" si="110"/>
        <v/>
      </c>
      <c r="AN227" s="46" t="str">
        <f t="shared" si="111"/>
        <v/>
      </c>
      <c r="AO227" s="46" t="str">
        <f t="shared" si="112"/>
        <v/>
      </c>
      <c r="AP227" s="46" t="str">
        <f t="shared" si="113"/>
        <v/>
      </c>
      <c r="AQ227" s="46" t="str">
        <f t="shared" si="114"/>
        <v/>
      </c>
      <c r="AR227" s="46" t="str">
        <f t="shared" si="115"/>
        <v/>
      </c>
      <c r="AS227" s="46" t="str">
        <f t="shared" si="116"/>
        <v/>
      </c>
      <c r="AT227" s="46" t="str">
        <f t="shared" si="117"/>
        <v/>
      </c>
      <c r="AU227" s="46" t="str">
        <f t="shared" si="118"/>
        <v/>
      </c>
      <c r="AV227" s="46" t="str">
        <f t="shared" si="119"/>
        <v/>
      </c>
      <c r="AW227" s="46" t="str">
        <f t="shared" si="120"/>
        <v/>
      </c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20"/>
    </row>
    <row r="228" spans="2:154">
      <c r="B228" s="1"/>
      <c r="C228" s="2"/>
      <c r="D228" s="34"/>
      <c r="E228" s="34"/>
      <c r="F228" s="34"/>
      <c r="G228" s="34"/>
      <c r="H228" s="4"/>
      <c r="I228" s="4"/>
      <c r="J228" s="4"/>
      <c r="K228" s="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37"/>
      <c r="X228" s="1"/>
      <c r="Y228" s="18">
        <f t="shared" si="96"/>
        <v>0</v>
      </c>
      <c r="Z228" s="21">
        <f t="shared" si="97"/>
        <v>0</v>
      </c>
      <c r="AA228" s="10">
        <f t="shared" si="98"/>
        <v>0</v>
      </c>
      <c r="AB228" s="10">
        <f t="shared" si="99"/>
        <v>0</v>
      </c>
      <c r="AC228" s="10">
        <f t="shared" si="100"/>
        <v>0</v>
      </c>
      <c r="AD228" s="46" t="str">
        <f t="shared" si="101"/>
        <v/>
      </c>
      <c r="AE228" s="46" t="str">
        <f t="shared" si="102"/>
        <v/>
      </c>
      <c r="AF228" s="46" t="str">
        <f t="shared" si="103"/>
        <v/>
      </c>
      <c r="AG228" s="46" t="str">
        <f t="shared" si="104"/>
        <v/>
      </c>
      <c r="AH228" s="46" t="str">
        <f t="shared" si="105"/>
        <v/>
      </c>
      <c r="AI228" s="46" t="str">
        <f t="shared" si="106"/>
        <v/>
      </c>
      <c r="AJ228" s="46" t="str">
        <f t="shared" si="107"/>
        <v/>
      </c>
      <c r="AK228" s="46" t="str">
        <f t="shared" si="108"/>
        <v/>
      </c>
      <c r="AL228" s="46" t="str">
        <f t="shared" si="109"/>
        <v/>
      </c>
      <c r="AM228" s="46" t="str">
        <f t="shared" si="110"/>
        <v/>
      </c>
      <c r="AN228" s="46" t="str">
        <f t="shared" si="111"/>
        <v/>
      </c>
      <c r="AO228" s="46" t="str">
        <f t="shared" si="112"/>
        <v/>
      </c>
      <c r="AP228" s="46" t="str">
        <f t="shared" si="113"/>
        <v/>
      </c>
      <c r="AQ228" s="46" t="str">
        <f t="shared" si="114"/>
        <v/>
      </c>
      <c r="AR228" s="46" t="str">
        <f t="shared" si="115"/>
        <v/>
      </c>
      <c r="AS228" s="46" t="str">
        <f t="shared" si="116"/>
        <v/>
      </c>
      <c r="AT228" s="46" t="str">
        <f t="shared" si="117"/>
        <v/>
      </c>
      <c r="AU228" s="46" t="str">
        <f t="shared" si="118"/>
        <v/>
      </c>
      <c r="AV228" s="46" t="str">
        <f t="shared" si="119"/>
        <v/>
      </c>
      <c r="AW228" s="46" t="str">
        <f t="shared" si="120"/>
        <v/>
      </c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20"/>
    </row>
    <row r="229" spans="2:154">
      <c r="B229" s="1"/>
      <c r="C229" s="2"/>
      <c r="D229" s="34"/>
      <c r="E229" s="34"/>
      <c r="F229" s="34"/>
      <c r="G229" s="34"/>
      <c r="H229" s="4"/>
      <c r="I229" s="4"/>
      <c r="J229" s="4"/>
      <c r="K229" s="3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37"/>
      <c r="X229" s="1"/>
      <c r="Y229" s="18">
        <f t="shared" si="96"/>
        <v>0</v>
      </c>
      <c r="Z229" s="21">
        <f t="shared" si="97"/>
        <v>0</v>
      </c>
      <c r="AA229" s="10">
        <f t="shared" si="98"/>
        <v>0</v>
      </c>
      <c r="AB229" s="10">
        <f t="shared" si="99"/>
        <v>0</v>
      </c>
      <c r="AC229" s="10">
        <f t="shared" si="100"/>
        <v>0</v>
      </c>
      <c r="AD229" s="46" t="str">
        <f t="shared" si="101"/>
        <v/>
      </c>
      <c r="AE229" s="46" t="str">
        <f t="shared" si="102"/>
        <v/>
      </c>
      <c r="AF229" s="46" t="str">
        <f t="shared" si="103"/>
        <v/>
      </c>
      <c r="AG229" s="46" t="str">
        <f t="shared" si="104"/>
        <v/>
      </c>
      <c r="AH229" s="46" t="str">
        <f t="shared" si="105"/>
        <v/>
      </c>
      <c r="AI229" s="46" t="str">
        <f t="shared" si="106"/>
        <v/>
      </c>
      <c r="AJ229" s="46" t="str">
        <f t="shared" si="107"/>
        <v/>
      </c>
      <c r="AK229" s="46" t="str">
        <f t="shared" si="108"/>
        <v/>
      </c>
      <c r="AL229" s="46" t="str">
        <f t="shared" si="109"/>
        <v/>
      </c>
      <c r="AM229" s="46" t="str">
        <f t="shared" si="110"/>
        <v/>
      </c>
      <c r="AN229" s="46" t="str">
        <f t="shared" si="111"/>
        <v/>
      </c>
      <c r="AO229" s="46" t="str">
        <f t="shared" si="112"/>
        <v/>
      </c>
      <c r="AP229" s="46" t="str">
        <f t="shared" si="113"/>
        <v/>
      </c>
      <c r="AQ229" s="46" t="str">
        <f t="shared" si="114"/>
        <v/>
      </c>
      <c r="AR229" s="46" t="str">
        <f t="shared" si="115"/>
        <v/>
      </c>
      <c r="AS229" s="46" t="str">
        <f t="shared" si="116"/>
        <v/>
      </c>
      <c r="AT229" s="46" t="str">
        <f t="shared" si="117"/>
        <v/>
      </c>
      <c r="AU229" s="46" t="str">
        <f t="shared" si="118"/>
        <v/>
      </c>
      <c r="AV229" s="46" t="str">
        <f t="shared" si="119"/>
        <v/>
      </c>
      <c r="AW229" s="46" t="str">
        <f t="shared" si="120"/>
        <v/>
      </c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20"/>
    </row>
    <row r="230" spans="2:154">
      <c r="B230" s="1"/>
      <c r="C230" s="2"/>
      <c r="D230" s="34"/>
      <c r="E230" s="34"/>
      <c r="F230" s="34"/>
      <c r="G230" s="34"/>
      <c r="H230" s="4"/>
      <c r="I230" s="4"/>
      <c r="J230" s="4"/>
      <c r="K230" s="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37"/>
      <c r="X230" s="1"/>
      <c r="Y230" s="18">
        <f t="shared" si="96"/>
        <v>0</v>
      </c>
      <c r="Z230" s="21">
        <f t="shared" si="97"/>
        <v>0</v>
      </c>
      <c r="AA230" s="10">
        <f t="shared" si="98"/>
        <v>0</v>
      </c>
      <c r="AB230" s="10">
        <f t="shared" si="99"/>
        <v>0</v>
      </c>
      <c r="AC230" s="10">
        <f t="shared" si="100"/>
        <v>0</v>
      </c>
      <c r="AD230" s="46" t="str">
        <f t="shared" si="101"/>
        <v/>
      </c>
      <c r="AE230" s="46" t="str">
        <f t="shared" si="102"/>
        <v/>
      </c>
      <c r="AF230" s="46" t="str">
        <f t="shared" si="103"/>
        <v/>
      </c>
      <c r="AG230" s="46" t="str">
        <f t="shared" si="104"/>
        <v/>
      </c>
      <c r="AH230" s="46" t="str">
        <f t="shared" si="105"/>
        <v/>
      </c>
      <c r="AI230" s="46" t="str">
        <f t="shared" si="106"/>
        <v/>
      </c>
      <c r="AJ230" s="46" t="str">
        <f t="shared" si="107"/>
        <v/>
      </c>
      <c r="AK230" s="46" t="str">
        <f t="shared" si="108"/>
        <v/>
      </c>
      <c r="AL230" s="46" t="str">
        <f t="shared" si="109"/>
        <v/>
      </c>
      <c r="AM230" s="46" t="str">
        <f t="shared" si="110"/>
        <v/>
      </c>
      <c r="AN230" s="46" t="str">
        <f t="shared" si="111"/>
        <v/>
      </c>
      <c r="AO230" s="46" t="str">
        <f t="shared" si="112"/>
        <v/>
      </c>
      <c r="AP230" s="46" t="str">
        <f t="shared" si="113"/>
        <v/>
      </c>
      <c r="AQ230" s="46" t="str">
        <f t="shared" si="114"/>
        <v/>
      </c>
      <c r="AR230" s="46" t="str">
        <f t="shared" si="115"/>
        <v/>
      </c>
      <c r="AS230" s="46" t="str">
        <f t="shared" si="116"/>
        <v/>
      </c>
      <c r="AT230" s="46" t="str">
        <f t="shared" si="117"/>
        <v/>
      </c>
      <c r="AU230" s="46" t="str">
        <f t="shared" si="118"/>
        <v/>
      </c>
      <c r="AV230" s="46" t="str">
        <f t="shared" si="119"/>
        <v/>
      </c>
      <c r="AW230" s="46" t="str">
        <f t="shared" si="120"/>
        <v/>
      </c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20"/>
    </row>
    <row r="231" spans="2:154">
      <c r="B231" s="1"/>
      <c r="C231" s="2"/>
      <c r="D231" s="34"/>
      <c r="E231" s="34"/>
      <c r="F231" s="34"/>
      <c r="G231" s="34"/>
      <c r="H231" s="4"/>
      <c r="I231" s="4"/>
      <c r="J231" s="4"/>
      <c r="K231" s="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37"/>
      <c r="X231" s="1"/>
      <c r="Y231" s="18">
        <f t="shared" si="96"/>
        <v>0</v>
      </c>
      <c r="Z231" s="21">
        <f t="shared" si="97"/>
        <v>0</v>
      </c>
      <c r="AA231" s="10">
        <f t="shared" si="98"/>
        <v>0</v>
      </c>
      <c r="AB231" s="10">
        <f t="shared" si="99"/>
        <v>0</v>
      </c>
      <c r="AC231" s="10">
        <f t="shared" si="100"/>
        <v>0</v>
      </c>
      <c r="AD231" s="46" t="str">
        <f t="shared" si="101"/>
        <v/>
      </c>
      <c r="AE231" s="46" t="str">
        <f t="shared" si="102"/>
        <v/>
      </c>
      <c r="AF231" s="46" t="str">
        <f t="shared" si="103"/>
        <v/>
      </c>
      <c r="AG231" s="46" t="str">
        <f t="shared" si="104"/>
        <v/>
      </c>
      <c r="AH231" s="46" t="str">
        <f t="shared" si="105"/>
        <v/>
      </c>
      <c r="AI231" s="46" t="str">
        <f t="shared" si="106"/>
        <v/>
      </c>
      <c r="AJ231" s="46" t="str">
        <f t="shared" si="107"/>
        <v/>
      </c>
      <c r="AK231" s="46" t="str">
        <f t="shared" si="108"/>
        <v/>
      </c>
      <c r="AL231" s="46" t="str">
        <f t="shared" si="109"/>
        <v/>
      </c>
      <c r="AM231" s="46" t="str">
        <f t="shared" si="110"/>
        <v/>
      </c>
      <c r="AN231" s="46" t="str">
        <f t="shared" si="111"/>
        <v/>
      </c>
      <c r="AO231" s="46" t="str">
        <f t="shared" si="112"/>
        <v/>
      </c>
      <c r="AP231" s="46" t="str">
        <f t="shared" si="113"/>
        <v/>
      </c>
      <c r="AQ231" s="46" t="str">
        <f t="shared" si="114"/>
        <v/>
      </c>
      <c r="AR231" s="46" t="str">
        <f t="shared" si="115"/>
        <v/>
      </c>
      <c r="AS231" s="46" t="str">
        <f t="shared" si="116"/>
        <v/>
      </c>
      <c r="AT231" s="46" t="str">
        <f t="shared" si="117"/>
        <v/>
      </c>
      <c r="AU231" s="46" t="str">
        <f t="shared" si="118"/>
        <v/>
      </c>
      <c r="AV231" s="46" t="str">
        <f t="shared" si="119"/>
        <v/>
      </c>
      <c r="AW231" s="46" t="str">
        <f t="shared" si="120"/>
        <v/>
      </c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20"/>
    </row>
    <row r="232" spans="2:154">
      <c r="B232" s="1"/>
      <c r="C232" s="2"/>
      <c r="D232" s="34"/>
      <c r="E232" s="34"/>
      <c r="F232" s="34"/>
      <c r="G232" s="34"/>
      <c r="H232" s="4"/>
      <c r="I232" s="4"/>
      <c r="J232" s="4"/>
      <c r="K232" s="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37"/>
      <c r="X232" s="1"/>
      <c r="Y232" s="18">
        <f t="shared" si="96"/>
        <v>0</v>
      </c>
      <c r="Z232" s="21">
        <f t="shared" si="97"/>
        <v>0</v>
      </c>
      <c r="AA232" s="10">
        <f t="shared" si="98"/>
        <v>0</v>
      </c>
      <c r="AB232" s="10">
        <f t="shared" si="99"/>
        <v>0</v>
      </c>
      <c r="AC232" s="10">
        <f t="shared" si="100"/>
        <v>0</v>
      </c>
      <c r="AD232" s="46" t="str">
        <f t="shared" si="101"/>
        <v/>
      </c>
      <c r="AE232" s="46" t="str">
        <f t="shared" si="102"/>
        <v/>
      </c>
      <c r="AF232" s="46" t="str">
        <f t="shared" si="103"/>
        <v/>
      </c>
      <c r="AG232" s="46" t="str">
        <f t="shared" si="104"/>
        <v/>
      </c>
      <c r="AH232" s="46" t="str">
        <f t="shared" si="105"/>
        <v/>
      </c>
      <c r="AI232" s="46" t="str">
        <f t="shared" si="106"/>
        <v/>
      </c>
      <c r="AJ232" s="46" t="str">
        <f t="shared" si="107"/>
        <v/>
      </c>
      <c r="AK232" s="46" t="str">
        <f t="shared" si="108"/>
        <v/>
      </c>
      <c r="AL232" s="46" t="str">
        <f t="shared" si="109"/>
        <v/>
      </c>
      <c r="AM232" s="46" t="str">
        <f t="shared" si="110"/>
        <v/>
      </c>
      <c r="AN232" s="46" t="str">
        <f t="shared" si="111"/>
        <v/>
      </c>
      <c r="AO232" s="46" t="str">
        <f t="shared" si="112"/>
        <v/>
      </c>
      <c r="AP232" s="46" t="str">
        <f t="shared" si="113"/>
        <v/>
      </c>
      <c r="AQ232" s="46" t="str">
        <f t="shared" si="114"/>
        <v/>
      </c>
      <c r="AR232" s="46" t="str">
        <f t="shared" si="115"/>
        <v/>
      </c>
      <c r="AS232" s="46" t="str">
        <f t="shared" si="116"/>
        <v/>
      </c>
      <c r="AT232" s="46" t="str">
        <f t="shared" si="117"/>
        <v/>
      </c>
      <c r="AU232" s="46" t="str">
        <f t="shared" si="118"/>
        <v/>
      </c>
      <c r="AV232" s="46" t="str">
        <f t="shared" si="119"/>
        <v/>
      </c>
      <c r="AW232" s="46" t="str">
        <f t="shared" si="120"/>
        <v/>
      </c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20"/>
    </row>
    <row r="233" spans="2:154">
      <c r="B233" s="1"/>
      <c r="C233" s="2"/>
      <c r="D233" s="34"/>
      <c r="E233" s="34"/>
      <c r="F233" s="34"/>
      <c r="G233" s="34"/>
      <c r="H233" s="4"/>
      <c r="I233" s="4"/>
      <c r="J233" s="4"/>
      <c r="K233" s="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37"/>
      <c r="X233" s="1"/>
      <c r="Y233" s="18">
        <f t="shared" si="96"/>
        <v>0</v>
      </c>
      <c r="Z233" s="21">
        <f t="shared" si="97"/>
        <v>0</v>
      </c>
      <c r="AA233" s="10">
        <f t="shared" si="98"/>
        <v>0</v>
      </c>
      <c r="AB233" s="10">
        <f t="shared" si="99"/>
        <v>0</v>
      </c>
      <c r="AC233" s="10">
        <f t="shared" si="100"/>
        <v>0</v>
      </c>
      <c r="AD233" s="46" t="str">
        <f t="shared" si="101"/>
        <v/>
      </c>
      <c r="AE233" s="46" t="str">
        <f t="shared" si="102"/>
        <v/>
      </c>
      <c r="AF233" s="46" t="str">
        <f t="shared" si="103"/>
        <v/>
      </c>
      <c r="AG233" s="46" t="str">
        <f t="shared" si="104"/>
        <v/>
      </c>
      <c r="AH233" s="46" t="str">
        <f t="shared" si="105"/>
        <v/>
      </c>
      <c r="AI233" s="46" t="str">
        <f t="shared" si="106"/>
        <v/>
      </c>
      <c r="AJ233" s="46" t="str">
        <f t="shared" si="107"/>
        <v/>
      </c>
      <c r="AK233" s="46" t="str">
        <f t="shared" si="108"/>
        <v/>
      </c>
      <c r="AL233" s="46" t="str">
        <f t="shared" si="109"/>
        <v/>
      </c>
      <c r="AM233" s="46" t="str">
        <f t="shared" si="110"/>
        <v/>
      </c>
      <c r="AN233" s="46" t="str">
        <f t="shared" si="111"/>
        <v/>
      </c>
      <c r="AO233" s="46" t="str">
        <f t="shared" si="112"/>
        <v/>
      </c>
      <c r="AP233" s="46" t="str">
        <f t="shared" si="113"/>
        <v/>
      </c>
      <c r="AQ233" s="46" t="str">
        <f t="shared" si="114"/>
        <v/>
      </c>
      <c r="AR233" s="46" t="str">
        <f t="shared" si="115"/>
        <v/>
      </c>
      <c r="AS233" s="46" t="str">
        <f t="shared" si="116"/>
        <v/>
      </c>
      <c r="AT233" s="46" t="str">
        <f t="shared" si="117"/>
        <v/>
      </c>
      <c r="AU233" s="46" t="str">
        <f t="shared" si="118"/>
        <v/>
      </c>
      <c r="AV233" s="46" t="str">
        <f t="shared" si="119"/>
        <v/>
      </c>
      <c r="AW233" s="46" t="str">
        <f t="shared" si="120"/>
        <v/>
      </c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20"/>
    </row>
    <row r="234" spans="2:154">
      <c r="B234" s="1"/>
      <c r="C234" s="2"/>
      <c r="D234" s="34"/>
      <c r="E234" s="34"/>
      <c r="F234" s="34"/>
      <c r="G234" s="34"/>
      <c r="H234" s="4"/>
      <c r="I234" s="4"/>
      <c r="J234" s="4"/>
      <c r="K234" s="3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37"/>
      <c r="X234" s="1"/>
      <c r="Y234" s="18">
        <f t="shared" si="96"/>
        <v>0</v>
      </c>
      <c r="Z234" s="21">
        <f t="shared" si="97"/>
        <v>0</v>
      </c>
      <c r="AA234" s="10">
        <f t="shared" si="98"/>
        <v>0</v>
      </c>
      <c r="AB234" s="10">
        <f t="shared" si="99"/>
        <v>0</v>
      </c>
      <c r="AC234" s="10">
        <f t="shared" si="100"/>
        <v>0</v>
      </c>
      <c r="AD234" s="46" t="str">
        <f t="shared" si="101"/>
        <v/>
      </c>
      <c r="AE234" s="46" t="str">
        <f t="shared" si="102"/>
        <v/>
      </c>
      <c r="AF234" s="46" t="str">
        <f t="shared" si="103"/>
        <v/>
      </c>
      <c r="AG234" s="46" t="str">
        <f t="shared" si="104"/>
        <v/>
      </c>
      <c r="AH234" s="46" t="str">
        <f t="shared" si="105"/>
        <v/>
      </c>
      <c r="AI234" s="46" t="str">
        <f t="shared" si="106"/>
        <v/>
      </c>
      <c r="AJ234" s="46" t="str">
        <f t="shared" si="107"/>
        <v/>
      </c>
      <c r="AK234" s="46" t="str">
        <f t="shared" si="108"/>
        <v/>
      </c>
      <c r="AL234" s="46" t="str">
        <f t="shared" si="109"/>
        <v/>
      </c>
      <c r="AM234" s="46" t="str">
        <f t="shared" si="110"/>
        <v/>
      </c>
      <c r="AN234" s="46" t="str">
        <f t="shared" si="111"/>
        <v/>
      </c>
      <c r="AO234" s="46" t="str">
        <f t="shared" si="112"/>
        <v/>
      </c>
      <c r="AP234" s="46" t="str">
        <f t="shared" si="113"/>
        <v/>
      </c>
      <c r="AQ234" s="46" t="str">
        <f t="shared" si="114"/>
        <v/>
      </c>
      <c r="AR234" s="46" t="str">
        <f t="shared" si="115"/>
        <v/>
      </c>
      <c r="AS234" s="46" t="str">
        <f t="shared" si="116"/>
        <v/>
      </c>
      <c r="AT234" s="46" t="str">
        <f t="shared" si="117"/>
        <v/>
      </c>
      <c r="AU234" s="46" t="str">
        <f t="shared" si="118"/>
        <v/>
      </c>
      <c r="AV234" s="46" t="str">
        <f t="shared" si="119"/>
        <v/>
      </c>
      <c r="AW234" s="46" t="str">
        <f t="shared" si="120"/>
        <v/>
      </c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20"/>
    </row>
    <row r="235" spans="2:154">
      <c r="B235" s="1"/>
      <c r="C235" s="2"/>
      <c r="D235" s="34"/>
      <c r="E235" s="34"/>
      <c r="F235" s="34"/>
      <c r="G235" s="34"/>
      <c r="H235" s="4"/>
      <c r="I235" s="4"/>
      <c r="J235" s="4"/>
      <c r="K235" s="3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37"/>
      <c r="X235" s="1"/>
      <c r="Y235" s="18">
        <f t="shared" si="96"/>
        <v>0</v>
      </c>
      <c r="Z235" s="21">
        <f t="shared" si="97"/>
        <v>0</v>
      </c>
      <c r="AA235" s="10">
        <f t="shared" si="98"/>
        <v>0</v>
      </c>
      <c r="AB235" s="10">
        <f t="shared" si="99"/>
        <v>0</v>
      </c>
      <c r="AC235" s="10">
        <f t="shared" si="100"/>
        <v>0</v>
      </c>
      <c r="AD235" s="46" t="str">
        <f t="shared" si="101"/>
        <v/>
      </c>
      <c r="AE235" s="46" t="str">
        <f t="shared" si="102"/>
        <v/>
      </c>
      <c r="AF235" s="46" t="str">
        <f t="shared" si="103"/>
        <v/>
      </c>
      <c r="AG235" s="46" t="str">
        <f t="shared" si="104"/>
        <v/>
      </c>
      <c r="AH235" s="46" t="str">
        <f t="shared" si="105"/>
        <v/>
      </c>
      <c r="AI235" s="46" t="str">
        <f t="shared" si="106"/>
        <v/>
      </c>
      <c r="AJ235" s="46" t="str">
        <f t="shared" si="107"/>
        <v/>
      </c>
      <c r="AK235" s="46" t="str">
        <f t="shared" si="108"/>
        <v/>
      </c>
      <c r="AL235" s="46" t="str">
        <f t="shared" si="109"/>
        <v/>
      </c>
      <c r="AM235" s="46" t="str">
        <f t="shared" si="110"/>
        <v/>
      </c>
      <c r="AN235" s="46" t="str">
        <f t="shared" si="111"/>
        <v/>
      </c>
      <c r="AO235" s="46" t="str">
        <f t="shared" si="112"/>
        <v/>
      </c>
      <c r="AP235" s="46" t="str">
        <f t="shared" si="113"/>
        <v/>
      </c>
      <c r="AQ235" s="46" t="str">
        <f t="shared" si="114"/>
        <v/>
      </c>
      <c r="AR235" s="46" t="str">
        <f t="shared" si="115"/>
        <v/>
      </c>
      <c r="AS235" s="46" t="str">
        <f t="shared" si="116"/>
        <v/>
      </c>
      <c r="AT235" s="46" t="str">
        <f t="shared" si="117"/>
        <v/>
      </c>
      <c r="AU235" s="46" t="str">
        <f t="shared" si="118"/>
        <v/>
      </c>
      <c r="AV235" s="46" t="str">
        <f t="shared" si="119"/>
        <v/>
      </c>
      <c r="AW235" s="46" t="str">
        <f t="shared" si="120"/>
        <v/>
      </c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20"/>
    </row>
    <row r="236" spans="2:154">
      <c r="B236" s="1"/>
      <c r="C236" s="2"/>
      <c r="D236" s="34"/>
      <c r="E236" s="34"/>
      <c r="F236" s="34"/>
      <c r="G236" s="34"/>
      <c r="H236" s="4"/>
      <c r="I236" s="4"/>
      <c r="J236" s="4"/>
      <c r="K236" s="3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37"/>
      <c r="X236" s="1"/>
      <c r="Y236" s="18">
        <f t="shared" si="96"/>
        <v>0</v>
      </c>
      <c r="Z236" s="21">
        <f t="shared" si="97"/>
        <v>0</v>
      </c>
      <c r="AA236" s="10">
        <f t="shared" si="98"/>
        <v>0</v>
      </c>
      <c r="AB236" s="10">
        <f t="shared" si="99"/>
        <v>0</v>
      </c>
      <c r="AC236" s="10">
        <f t="shared" si="100"/>
        <v>0</v>
      </c>
      <c r="AD236" s="46" t="str">
        <f t="shared" si="101"/>
        <v/>
      </c>
      <c r="AE236" s="46" t="str">
        <f t="shared" si="102"/>
        <v/>
      </c>
      <c r="AF236" s="46" t="str">
        <f t="shared" si="103"/>
        <v/>
      </c>
      <c r="AG236" s="46" t="str">
        <f t="shared" si="104"/>
        <v/>
      </c>
      <c r="AH236" s="46" t="str">
        <f t="shared" si="105"/>
        <v/>
      </c>
      <c r="AI236" s="46" t="str">
        <f t="shared" si="106"/>
        <v/>
      </c>
      <c r="AJ236" s="46" t="str">
        <f t="shared" si="107"/>
        <v/>
      </c>
      <c r="AK236" s="46" t="str">
        <f t="shared" si="108"/>
        <v/>
      </c>
      <c r="AL236" s="46" t="str">
        <f t="shared" si="109"/>
        <v/>
      </c>
      <c r="AM236" s="46" t="str">
        <f t="shared" si="110"/>
        <v/>
      </c>
      <c r="AN236" s="46" t="str">
        <f t="shared" si="111"/>
        <v/>
      </c>
      <c r="AO236" s="46" t="str">
        <f t="shared" si="112"/>
        <v/>
      </c>
      <c r="AP236" s="46" t="str">
        <f t="shared" si="113"/>
        <v/>
      </c>
      <c r="AQ236" s="46" t="str">
        <f t="shared" si="114"/>
        <v/>
      </c>
      <c r="AR236" s="46" t="str">
        <f t="shared" si="115"/>
        <v/>
      </c>
      <c r="AS236" s="46" t="str">
        <f t="shared" si="116"/>
        <v/>
      </c>
      <c r="AT236" s="46" t="str">
        <f t="shared" si="117"/>
        <v/>
      </c>
      <c r="AU236" s="46" t="str">
        <f t="shared" si="118"/>
        <v/>
      </c>
      <c r="AV236" s="46" t="str">
        <f t="shared" si="119"/>
        <v/>
      </c>
      <c r="AW236" s="46" t="str">
        <f t="shared" si="120"/>
        <v/>
      </c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20"/>
    </row>
    <row r="237" spans="2:154">
      <c r="B237" s="1"/>
      <c r="C237" s="2"/>
      <c r="D237" s="34"/>
      <c r="E237" s="34"/>
      <c r="F237" s="34"/>
      <c r="G237" s="34"/>
      <c r="H237" s="4"/>
      <c r="I237" s="4"/>
      <c r="J237" s="4"/>
      <c r="K237" s="3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37"/>
      <c r="X237" s="1"/>
      <c r="Y237" s="18">
        <f t="shared" si="96"/>
        <v>0</v>
      </c>
      <c r="Z237" s="21">
        <f t="shared" si="97"/>
        <v>0</v>
      </c>
      <c r="AA237" s="10">
        <f t="shared" si="98"/>
        <v>0</v>
      </c>
      <c r="AB237" s="10">
        <f t="shared" si="99"/>
        <v>0</v>
      </c>
      <c r="AC237" s="10">
        <f t="shared" si="100"/>
        <v>0</v>
      </c>
      <c r="AD237" s="46" t="str">
        <f t="shared" si="101"/>
        <v/>
      </c>
      <c r="AE237" s="46" t="str">
        <f t="shared" si="102"/>
        <v/>
      </c>
      <c r="AF237" s="46" t="str">
        <f t="shared" si="103"/>
        <v/>
      </c>
      <c r="AG237" s="46" t="str">
        <f t="shared" si="104"/>
        <v/>
      </c>
      <c r="AH237" s="46" t="str">
        <f t="shared" si="105"/>
        <v/>
      </c>
      <c r="AI237" s="46" t="str">
        <f t="shared" si="106"/>
        <v/>
      </c>
      <c r="AJ237" s="46" t="str">
        <f t="shared" si="107"/>
        <v/>
      </c>
      <c r="AK237" s="46" t="str">
        <f t="shared" si="108"/>
        <v/>
      </c>
      <c r="AL237" s="46" t="str">
        <f t="shared" si="109"/>
        <v/>
      </c>
      <c r="AM237" s="46" t="str">
        <f t="shared" si="110"/>
        <v/>
      </c>
      <c r="AN237" s="46" t="str">
        <f t="shared" si="111"/>
        <v/>
      </c>
      <c r="AO237" s="46" t="str">
        <f t="shared" si="112"/>
        <v/>
      </c>
      <c r="AP237" s="46" t="str">
        <f t="shared" si="113"/>
        <v/>
      </c>
      <c r="AQ237" s="46" t="str">
        <f t="shared" si="114"/>
        <v/>
      </c>
      <c r="AR237" s="46" t="str">
        <f t="shared" si="115"/>
        <v/>
      </c>
      <c r="AS237" s="46" t="str">
        <f t="shared" si="116"/>
        <v/>
      </c>
      <c r="AT237" s="46" t="str">
        <f t="shared" si="117"/>
        <v/>
      </c>
      <c r="AU237" s="46" t="str">
        <f t="shared" si="118"/>
        <v/>
      </c>
      <c r="AV237" s="46" t="str">
        <f t="shared" si="119"/>
        <v/>
      </c>
      <c r="AW237" s="46" t="str">
        <f t="shared" si="120"/>
        <v/>
      </c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20"/>
    </row>
    <row r="238" spans="2:154">
      <c r="B238" s="1"/>
      <c r="C238" s="2"/>
      <c r="D238" s="34"/>
      <c r="E238" s="34"/>
      <c r="F238" s="34"/>
      <c r="G238" s="34"/>
      <c r="H238" s="4"/>
      <c r="I238" s="4"/>
      <c r="J238" s="4"/>
      <c r="K238" s="3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37"/>
      <c r="X238" s="1"/>
      <c r="Y238" s="18">
        <f t="shared" si="96"/>
        <v>0</v>
      </c>
      <c r="Z238" s="21">
        <f t="shared" si="97"/>
        <v>0</v>
      </c>
      <c r="AA238" s="10">
        <f t="shared" si="98"/>
        <v>0</v>
      </c>
      <c r="AB238" s="10">
        <f t="shared" si="99"/>
        <v>0</v>
      </c>
      <c r="AC238" s="10">
        <f t="shared" si="100"/>
        <v>0</v>
      </c>
      <c r="AD238" s="46" t="str">
        <f t="shared" si="101"/>
        <v/>
      </c>
      <c r="AE238" s="46" t="str">
        <f t="shared" si="102"/>
        <v/>
      </c>
      <c r="AF238" s="46" t="str">
        <f t="shared" si="103"/>
        <v/>
      </c>
      <c r="AG238" s="46" t="str">
        <f t="shared" si="104"/>
        <v/>
      </c>
      <c r="AH238" s="46" t="str">
        <f t="shared" si="105"/>
        <v/>
      </c>
      <c r="AI238" s="46" t="str">
        <f t="shared" si="106"/>
        <v/>
      </c>
      <c r="AJ238" s="46" t="str">
        <f t="shared" si="107"/>
        <v/>
      </c>
      <c r="AK238" s="46" t="str">
        <f t="shared" si="108"/>
        <v/>
      </c>
      <c r="AL238" s="46" t="str">
        <f t="shared" si="109"/>
        <v/>
      </c>
      <c r="AM238" s="46" t="str">
        <f t="shared" si="110"/>
        <v/>
      </c>
      <c r="AN238" s="46" t="str">
        <f t="shared" si="111"/>
        <v/>
      </c>
      <c r="AO238" s="46" t="str">
        <f t="shared" si="112"/>
        <v/>
      </c>
      <c r="AP238" s="46" t="str">
        <f t="shared" si="113"/>
        <v/>
      </c>
      <c r="AQ238" s="46" t="str">
        <f t="shared" si="114"/>
        <v/>
      </c>
      <c r="AR238" s="46" t="str">
        <f t="shared" si="115"/>
        <v/>
      </c>
      <c r="AS238" s="46" t="str">
        <f t="shared" si="116"/>
        <v/>
      </c>
      <c r="AT238" s="46" t="str">
        <f t="shared" si="117"/>
        <v/>
      </c>
      <c r="AU238" s="46" t="str">
        <f t="shared" si="118"/>
        <v/>
      </c>
      <c r="AV238" s="46" t="str">
        <f t="shared" si="119"/>
        <v/>
      </c>
      <c r="AW238" s="46" t="str">
        <f t="shared" si="120"/>
        <v/>
      </c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20"/>
    </row>
    <row r="239" spans="2:154">
      <c r="B239" s="1"/>
      <c r="C239" s="2"/>
      <c r="D239" s="34"/>
      <c r="E239" s="34"/>
      <c r="F239" s="34"/>
      <c r="G239" s="34"/>
      <c r="H239" s="4"/>
      <c r="I239" s="4"/>
      <c r="J239" s="4"/>
      <c r="K239" s="3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37"/>
      <c r="X239" s="1"/>
      <c r="Y239" s="18">
        <f t="shared" si="96"/>
        <v>0</v>
      </c>
      <c r="Z239" s="21">
        <f t="shared" si="97"/>
        <v>0</v>
      </c>
      <c r="AA239" s="10">
        <f t="shared" si="98"/>
        <v>0</v>
      </c>
      <c r="AB239" s="10">
        <f t="shared" si="99"/>
        <v>0</v>
      </c>
      <c r="AC239" s="10">
        <f t="shared" si="100"/>
        <v>0</v>
      </c>
      <c r="AD239" s="46" t="str">
        <f t="shared" si="101"/>
        <v/>
      </c>
      <c r="AE239" s="46" t="str">
        <f t="shared" si="102"/>
        <v/>
      </c>
      <c r="AF239" s="46" t="str">
        <f t="shared" si="103"/>
        <v/>
      </c>
      <c r="AG239" s="46" t="str">
        <f t="shared" si="104"/>
        <v/>
      </c>
      <c r="AH239" s="46" t="str">
        <f t="shared" si="105"/>
        <v/>
      </c>
      <c r="AI239" s="46" t="str">
        <f t="shared" si="106"/>
        <v/>
      </c>
      <c r="AJ239" s="46" t="str">
        <f t="shared" si="107"/>
        <v/>
      </c>
      <c r="AK239" s="46" t="str">
        <f t="shared" si="108"/>
        <v/>
      </c>
      <c r="AL239" s="46" t="str">
        <f t="shared" si="109"/>
        <v/>
      </c>
      <c r="AM239" s="46" t="str">
        <f t="shared" si="110"/>
        <v/>
      </c>
      <c r="AN239" s="46" t="str">
        <f t="shared" si="111"/>
        <v/>
      </c>
      <c r="AO239" s="46" t="str">
        <f t="shared" si="112"/>
        <v/>
      </c>
      <c r="AP239" s="46" t="str">
        <f t="shared" si="113"/>
        <v/>
      </c>
      <c r="AQ239" s="46" t="str">
        <f t="shared" si="114"/>
        <v/>
      </c>
      <c r="AR239" s="46" t="str">
        <f t="shared" si="115"/>
        <v/>
      </c>
      <c r="AS239" s="46" t="str">
        <f t="shared" si="116"/>
        <v/>
      </c>
      <c r="AT239" s="46" t="str">
        <f t="shared" si="117"/>
        <v/>
      </c>
      <c r="AU239" s="46" t="str">
        <f t="shared" si="118"/>
        <v/>
      </c>
      <c r="AV239" s="46" t="str">
        <f t="shared" si="119"/>
        <v/>
      </c>
      <c r="AW239" s="46" t="str">
        <f t="shared" si="120"/>
        <v/>
      </c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20"/>
    </row>
    <row r="240" spans="2:154">
      <c r="B240" s="1"/>
      <c r="C240" s="2"/>
      <c r="D240" s="34"/>
      <c r="E240" s="34"/>
      <c r="F240" s="34"/>
      <c r="G240" s="34"/>
      <c r="H240" s="4"/>
      <c r="I240" s="4"/>
      <c r="J240" s="4"/>
      <c r="K240" s="3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37"/>
      <c r="X240" s="1"/>
      <c r="Y240" s="18">
        <f t="shared" si="96"/>
        <v>0</v>
      </c>
      <c r="Z240" s="21">
        <f t="shared" si="97"/>
        <v>0</v>
      </c>
      <c r="AA240" s="10">
        <f t="shared" si="98"/>
        <v>0</v>
      </c>
      <c r="AB240" s="10">
        <f t="shared" si="99"/>
        <v>0</v>
      </c>
      <c r="AC240" s="10">
        <f t="shared" si="100"/>
        <v>0</v>
      </c>
      <c r="AD240" s="46" t="str">
        <f t="shared" si="101"/>
        <v/>
      </c>
      <c r="AE240" s="46" t="str">
        <f t="shared" si="102"/>
        <v/>
      </c>
      <c r="AF240" s="46" t="str">
        <f t="shared" si="103"/>
        <v/>
      </c>
      <c r="AG240" s="46" t="str">
        <f t="shared" si="104"/>
        <v/>
      </c>
      <c r="AH240" s="46" t="str">
        <f t="shared" si="105"/>
        <v/>
      </c>
      <c r="AI240" s="46" t="str">
        <f t="shared" si="106"/>
        <v/>
      </c>
      <c r="AJ240" s="46" t="str">
        <f t="shared" si="107"/>
        <v/>
      </c>
      <c r="AK240" s="46" t="str">
        <f t="shared" si="108"/>
        <v/>
      </c>
      <c r="AL240" s="46" t="str">
        <f t="shared" si="109"/>
        <v/>
      </c>
      <c r="AM240" s="46" t="str">
        <f t="shared" si="110"/>
        <v/>
      </c>
      <c r="AN240" s="46" t="str">
        <f t="shared" si="111"/>
        <v/>
      </c>
      <c r="AO240" s="46" t="str">
        <f t="shared" si="112"/>
        <v/>
      </c>
      <c r="AP240" s="46" t="str">
        <f t="shared" si="113"/>
        <v/>
      </c>
      <c r="AQ240" s="46" t="str">
        <f t="shared" si="114"/>
        <v/>
      </c>
      <c r="AR240" s="46" t="str">
        <f t="shared" si="115"/>
        <v/>
      </c>
      <c r="AS240" s="46" t="str">
        <f t="shared" si="116"/>
        <v/>
      </c>
      <c r="AT240" s="46" t="str">
        <f t="shared" si="117"/>
        <v/>
      </c>
      <c r="AU240" s="46" t="str">
        <f t="shared" si="118"/>
        <v/>
      </c>
      <c r="AV240" s="46" t="str">
        <f t="shared" si="119"/>
        <v/>
      </c>
      <c r="AW240" s="46" t="str">
        <f t="shared" si="120"/>
        <v/>
      </c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20"/>
    </row>
    <row r="241" spans="2:154">
      <c r="B241" s="1"/>
      <c r="C241" s="2"/>
      <c r="D241" s="34"/>
      <c r="E241" s="34"/>
      <c r="F241" s="34"/>
      <c r="G241" s="34"/>
      <c r="H241" s="4"/>
      <c r="I241" s="4"/>
      <c r="J241" s="4"/>
      <c r="K241" s="3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37"/>
      <c r="X241" s="1"/>
      <c r="Y241" s="18">
        <f t="shared" si="96"/>
        <v>0</v>
      </c>
      <c r="Z241" s="21">
        <f t="shared" si="97"/>
        <v>0</v>
      </c>
      <c r="AA241" s="10">
        <f t="shared" si="98"/>
        <v>0</v>
      </c>
      <c r="AB241" s="10">
        <f t="shared" si="99"/>
        <v>0</v>
      </c>
      <c r="AC241" s="10">
        <f t="shared" si="100"/>
        <v>0</v>
      </c>
      <c r="AD241" s="46" t="str">
        <f t="shared" si="101"/>
        <v/>
      </c>
      <c r="AE241" s="46" t="str">
        <f t="shared" si="102"/>
        <v/>
      </c>
      <c r="AF241" s="46" t="str">
        <f t="shared" si="103"/>
        <v/>
      </c>
      <c r="AG241" s="46" t="str">
        <f t="shared" si="104"/>
        <v/>
      </c>
      <c r="AH241" s="46" t="str">
        <f t="shared" si="105"/>
        <v/>
      </c>
      <c r="AI241" s="46" t="str">
        <f t="shared" si="106"/>
        <v/>
      </c>
      <c r="AJ241" s="46" t="str">
        <f t="shared" si="107"/>
        <v/>
      </c>
      <c r="AK241" s="46" t="str">
        <f t="shared" si="108"/>
        <v/>
      </c>
      <c r="AL241" s="46" t="str">
        <f t="shared" si="109"/>
        <v/>
      </c>
      <c r="AM241" s="46" t="str">
        <f t="shared" si="110"/>
        <v/>
      </c>
      <c r="AN241" s="46" t="str">
        <f t="shared" si="111"/>
        <v/>
      </c>
      <c r="AO241" s="46" t="str">
        <f t="shared" si="112"/>
        <v/>
      </c>
      <c r="AP241" s="46" t="str">
        <f t="shared" si="113"/>
        <v/>
      </c>
      <c r="AQ241" s="46" t="str">
        <f t="shared" si="114"/>
        <v/>
      </c>
      <c r="AR241" s="46" t="str">
        <f t="shared" si="115"/>
        <v/>
      </c>
      <c r="AS241" s="46" t="str">
        <f t="shared" si="116"/>
        <v/>
      </c>
      <c r="AT241" s="46" t="str">
        <f t="shared" si="117"/>
        <v/>
      </c>
      <c r="AU241" s="46" t="str">
        <f t="shared" si="118"/>
        <v/>
      </c>
      <c r="AV241" s="46" t="str">
        <f t="shared" si="119"/>
        <v/>
      </c>
      <c r="AW241" s="46" t="str">
        <f t="shared" si="120"/>
        <v/>
      </c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20"/>
    </row>
    <row r="242" spans="2:154">
      <c r="B242" s="1"/>
      <c r="C242" s="2"/>
      <c r="D242" s="34"/>
      <c r="E242" s="34"/>
      <c r="F242" s="34"/>
      <c r="G242" s="34"/>
      <c r="H242" s="4"/>
      <c r="I242" s="4"/>
      <c r="J242" s="4"/>
      <c r="K242" s="3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37"/>
      <c r="X242" s="1"/>
      <c r="Y242" s="18">
        <f t="shared" si="96"/>
        <v>0</v>
      </c>
      <c r="Z242" s="21">
        <f t="shared" si="97"/>
        <v>0</v>
      </c>
      <c r="AA242" s="10">
        <f t="shared" si="98"/>
        <v>0</v>
      </c>
      <c r="AB242" s="10">
        <f t="shared" si="99"/>
        <v>0</v>
      </c>
      <c r="AC242" s="10">
        <f t="shared" si="100"/>
        <v>0</v>
      </c>
      <c r="AD242" s="46" t="str">
        <f t="shared" si="101"/>
        <v/>
      </c>
      <c r="AE242" s="46" t="str">
        <f t="shared" si="102"/>
        <v/>
      </c>
      <c r="AF242" s="46" t="str">
        <f t="shared" si="103"/>
        <v/>
      </c>
      <c r="AG242" s="46" t="str">
        <f t="shared" si="104"/>
        <v/>
      </c>
      <c r="AH242" s="46" t="str">
        <f t="shared" si="105"/>
        <v/>
      </c>
      <c r="AI242" s="46" t="str">
        <f t="shared" si="106"/>
        <v/>
      </c>
      <c r="AJ242" s="46" t="str">
        <f t="shared" si="107"/>
        <v/>
      </c>
      <c r="AK242" s="46" t="str">
        <f t="shared" si="108"/>
        <v/>
      </c>
      <c r="AL242" s="46" t="str">
        <f t="shared" si="109"/>
        <v/>
      </c>
      <c r="AM242" s="46" t="str">
        <f t="shared" si="110"/>
        <v/>
      </c>
      <c r="AN242" s="46" t="str">
        <f t="shared" si="111"/>
        <v/>
      </c>
      <c r="AO242" s="46" t="str">
        <f t="shared" si="112"/>
        <v/>
      </c>
      <c r="AP242" s="46" t="str">
        <f t="shared" si="113"/>
        <v/>
      </c>
      <c r="AQ242" s="46" t="str">
        <f t="shared" si="114"/>
        <v/>
      </c>
      <c r="AR242" s="46" t="str">
        <f t="shared" si="115"/>
        <v/>
      </c>
      <c r="AS242" s="46" t="str">
        <f t="shared" si="116"/>
        <v/>
      </c>
      <c r="AT242" s="46" t="str">
        <f t="shared" si="117"/>
        <v/>
      </c>
      <c r="AU242" s="46" t="str">
        <f t="shared" si="118"/>
        <v/>
      </c>
      <c r="AV242" s="46" t="str">
        <f t="shared" si="119"/>
        <v/>
      </c>
      <c r="AW242" s="46" t="str">
        <f t="shared" si="120"/>
        <v/>
      </c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20"/>
    </row>
    <row r="243" spans="2:154">
      <c r="B243" s="1"/>
      <c r="C243" s="2"/>
      <c r="D243" s="34"/>
      <c r="E243" s="34"/>
      <c r="F243" s="34"/>
      <c r="G243" s="34"/>
      <c r="H243" s="4"/>
      <c r="I243" s="4"/>
      <c r="J243" s="4"/>
      <c r="K243" s="3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37"/>
      <c r="X243" s="1"/>
      <c r="Y243" s="18">
        <f t="shared" si="96"/>
        <v>0</v>
      </c>
      <c r="Z243" s="21">
        <f t="shared" si="97"/>
        <v>0</v>
      </c>
      <c r="AA243" s="10">
        <f t="shared" si="98"/>
        <v>0</v>
      </c>
      <c r="AB243" s="10">
        <f t="shared" si="99"/>
        <v>0</v>
      </c>
      <c r="AC243" s="10">
        <f t="shared" si="100"/>
        <v>0</v>
      </c>
      <c r="AD243" s="46" t="str">
        <f t="shared" si="101"/>
        <v/>
      </c>
      <c r="AE243" s="46" t="str">
        <f t="shared" si="102"/>
        <v/>
      </c>
      <c r="AF243" s="46" t="str">
        <f t="shared" si="103"/>
        <v/>
      </c>
      <c r="AG243" s="46" t="str">
        <f t="shared" si="104"/>
        <v/>
      </c>
      <c r="AH243" s="46" t="str">
        <f t="shared" si="105"/>
        <v/>
      </c>
      <c r="AI243" s="46" t="str">
        <f t="shared" si="106"/>
        <v/>
      </c>
      <c r="AJ243" s="46" t="str">
        <f t="shared" si="107"/>
        <v/>
      </c>
      <c r="AK243" s="46" t="str">
        <f t="shared" si="108"/>
        <v/>
      </c>
      <c r="AL243" s="46" t="str">
        <f t="shared" si="109"/>
        <v/>
      </c>
      <c r="AM243" s="46" t="str">
        <f t="shared" si="110"/>
        <v/>
      </c>
      <c r="AN243" s="46" t="str">
        <f t="shared" si="111"/>
        <v/>
      </c>
      <c r="AO243" s="46" t="str">
        <f t="shared" si="112"/>
        <v/>
      </c>
      <c r="AP243" s="46" t="str">
        <f t="shared" si="113"/>
        <v/>
      </c>
      <c r="AQ243" s="46" t="str">
        <f t="shared" si="114"/>
        <v/>
      </c>
      <c r="AR243" s="46" t="str">
        <f t="shared" si="115"/>
        <v/>
      </c>
      <c r="AS243" s="46" t="str">
        <f t="shared" si="116"/>
        <v/>
      </c>
      <c r="AT243" s="46" t="str">
        <f t="shared" si="117"/>
        <v/>
      </c>
      <c r="AU243" s="46" t="str">
        <f t="shared" si="118"/>
        <v/>
      </c>
      <c r="AV243" s="46" t="str">
        <f t="shared" si="119"/>
        <v/>
      </c>
      <c r="AW243" s="46" t="str">
        <f t="shared" si="120"/>
        <v/>
      </c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20"/>
    </row>
    <row r="244" spans="2:154">
      <c r="B244" s="1"/>
      <c r="C244" s="2"/>
      <c r="D244" s="34"/>
      <c r="E244" s="34"/>
      <c r="F244" s="34"/>
      <c r="G244" s="34"/>
      <c r="H244" s="4"/>
      <c r="I244" s="4"/>
      <c r="J244" s="4"/>
      <c r="K244" s="3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37"/>
      <c r="X244" s="1"/>
      <c r="Y244" s="18">
        <f t="shared" si="96"/>
        <v>0</v>
      </c>
      <c r="Z244" s="21">
        <f t="shared" si="97"/>
        <v>0</v>
      </c>
      <c r="AA244" s="10">
        <f t="shared" si="98"/>
        <v>0</v>
      </c>
      <c r="AB244" s="10">
        <f t="shared" si="99"/>
        <v>0</v>
      </c>
      <c r="AC244" s="10">
        <f t="shared" si="100"/>
        <v>0</v>
      </c>
      <c r="AD244" s="46" t="str">
        <f t="shared" si="101"/>
        <v/>
      </c>
      <c r="AE244" s="46" t="str">
        <f t="shared" si="102"/>
        <v/>
      </c>
      <c r="AF244" s="46" t="str">
        <f t="shared" si="103"/>
        <v/>
      </c>
      <c r="AG244" s="46" t="str">
        <f t="shared" si="104"/>
        <v/>
      </c>
      <c r="AH244" s="46" t="str">
        <f t="shared" si="105"/>
        <v/>
      </c>
      <c r="AI244" s="46" t="str">
        <f t="shared" si="106"/>
        <v/>
      </c>
      <c r="AJ244" s="46" t="str">
        <f t="shared" si="107"/>
        <v/>
      </c>
      <c r="AK244" s="46" t="str">
        <f t="shared" si="108"/>
        <v/>
      </c>
      <c r="AL244" s="46" t="str">
        <f t="shared" si="109"/>
        <v/>
      </c>
      <c r="AM244" s="46" t="str">
        <f t="shared" si="110"/>
        <v/>
      </c>
      <c r="AN244" s="46" t="str">
        <f t="shared" si="111"/>
        <v/>
      </c>
      <c r="AO244" s="46" t="str">
        <f t="shared" si="112"/>
        <v/>
      </c>
      <c r="AP244" s="46" t="str">
        <f t="shared" si="113"/>
        <v/>
      </c>
      <c r="AQ244" s="46" t="str">
        <f t="shared" si="114"/>
        <v/>
      </c>
      <c r="AR244" s="46" t="str">
        <f t="shared" si="115"/>
        <v/>
      </c>
      <c r="AS244" s="46" t="str">
        <f t="shared" si="116"/>
        <v/>
      </c>
      <c r="AT244" s="46" t="str">
        <f t="shared" si="117"/>
        <v/>
      </c>
      <c r="AU244" s="46" t="str">
        <f t="shared" si="118"/>
        <v/>
      </c>
      <c r="AV244" s="46" t="str">
        <f t="shared" si="119"/>
        <v/>
      </c>
      <c r="AW244" s="46" t="str">
        <f t="shared" si="120"/>
        <v/>
      </c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20"/>
    </row>
    <row r="245" spans="2:154">
      <c r="B245" s="1"/>
      <c r="C245" s="2"/>
      <c r="D245" s="34"/>
      <c r="E245" s="34"/>
      <c r="F245" s="34"/>
      <c r="G245" s="34"/>
      <c r="H245" s="4"/>
      <c r="I245" s="4"/>
      <c r="J245" s="4"/>
      <c r="K245" s="3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37"/>
      <c r="X245" s="1"/>
      <c r="Y245" s="18">
        <f t="shared" si="96"/>
        <v>0</v>
      </c>
      <c r="Z245" s="21">
        <f t="shared" si="97"/>
        <v>0</v>
      </c>
      <c r="AA245" s="10">
        <f t="shared" si="98"/>
        <v>0</v>
      </c>
      <c r="AB245" s="10">
        <f t="shared" si="99"/>
        <v>0</v>
      </c>
      <c r="AC245" s="10">
        <f t="shared" si="100"/>
        <v>0</v>
      </c>
      <c r="AD245" s="46" t="str">
        <f t="shared" si="101"/>
        <v/>
      </c>
      <c r="AE245" s="46" t="str">
        <f t="shared" si="102"/>
        <v/>
      </c>
      <c r="AF245" s="46" t="str">
        <f t="shared" si="103"/>
        <v/>
      </c>
      <c r="AG245" s="46" t="str">
        <f t="shared" si="104"/>
        <v/>
      </c>
      <c r="AH245" s="46" t="str">
        <f t="shared" si="105"/>
        <v/>
      </c>
      <c r="AI245" s="46" t="str">
        <f t="shared" si="106"/>
        <v/>
      </c>
      <c r="AJ245" s="46" t="str">
        <f t="shared" si="107"/>
        <v/>
      </c>
      <c r="AK245" s="46" t="str">
        <f t="shared" si="108"/>
        <v/>
      </c>
      <c r="AL245" s="46" t="str">
        <f t="shared" si="109"/>
        <v/>
      </c>
      <c r="AM245" s="46" t="str">
        <f t="shared" si="110"/>
        <v/>
      </c>
      <c r="AN245" s="46" t="str">
        <f t="shared" si="111"/>
        <v/>
      </c>
      <c r="AO245" s="46" t="str">
        <f t="shared" si="112"/>
        <v/>
      </c>
      <c r="AP245" s="46" t="str">
        <f t="shared" si="113"/>
        <v/>
      </c>
      <c r="AQ245" s="46" t="str">
        <f t="shared" si="114"/>
        <v/>
      </c>
      <c r="AR245" s="46" t="str">
        <f t="shared" si="115"/>
        <v/>
      </c>
      <c r="AS245" s="46" t="str">
        <f t="shared" si="116"/>
        <v/>
      </c>
      <c r="AT245" s="46" t="str">
        <f t="shared" si="117"/>
        <v/>
      </c>
      <c r="AU245" s="46" t="str">
        <f t="shared" si="118"/>
        <v/>
      </c>
      <c r="AV245" s="46" t="str">
        <f t="shared" si="119"/>
        <v/>
      </c>
      <c r="AW245" s="46" t="str">
        <f t="shared" si="120"/>
        <v/>
      </c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20"/>
    </row>
    <row r="246" spans="2:154">
      <c r="B246" s="1"/>
      <c r="C246" s="2"/>
      <c r="D246" s="34"/>
      <c r="E246" s="34"/>
      <c r="F246" s="34"/>
      <c r="G246" s="34"/>
      <c r="H246" s="4"/>
      <c r="I246" s="4"/>
      <c r="J246" s="4"/>
      <c r="K246" s="3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37"/>
      <c r="X246" s="1"/>
      <c r="Y246" s="18">
        <f t="shared" si="96"/>
        <v>0</v>
      </c>
      <c r="Z246" s="21">
        <f t="shared" si="97"/>
        <v>0</v>
      </c>
      <c r="AA246" s="10">
        <f t="shared" si="98"/>
        <v>0</v>
      </c>
      <c r="AB246" s="10">
        <f t="shared" si="99"/>
        <v>0</v>
      </c>
      <c r="AC246" s="10">
        <f t="shared" si="100"/>
        <v>0</v>
      </c>
      <c r="AD246" s="46" t="str">
        <f t="shared" si="101"/>
        <v/>
      </c>
      <c r="AE246" s="46" t="str">
        <f t="shared" si="102"/>
        <v/>
      </c>
      <c r="AF246" s="46" t="str">
        <f t="shared" si="103"/>
        <v/>
      </c>
      <c r="AG246" s="46" t="str">
        <f t="shared" si="104"/>
        <v/>
      </c>
      <c r="AH246" s="46" t="str">
        <f t="shared" si="105"/>
        <v/>
      </c>
      <c r="AI246" s="46" t="str">
        <f t="shared" si="106"/>
        <v/>
      </c>
      <c r="AJ246" s="46" t="str">
        <f t="shared" si="107"/>
        <v/>
      </c>
      <c r="AK246" s="46" t="str">
        <f t="shared" si="108"/>
        <v/>
      </c>
      <c r="AL246" s="46" t="str">
        <f t="shared" si="109"/>
        <v/>
      </c>
      <c r="AM246" s="46" t="str">
        <f t="shared" si="110"/>
        <v/>
      </c>
      <c r="AN246" s="46" t="str">
        <f t="shared" si="111"/>
        <v/>
      </c>
      <c r="AO246" s="46" t="str">
        <f t="shared" si="112"/>
        <v/>
      </c>
      <c r="AP246" s="46" t="str">
        <f t="shared" si="113"/>
        <v/>
      </c>
      <c r="AQ246" s="46" t="str">
        <f t="shared" si="114"/>
        <v/>
      </c>
      <c r="AR246" s="46" t="str">
        <f t="shared" si="115"/>
        <v/>
      </c>
      <c r="AS246" s="46" t="str">
        <f t="shared" si="116"/>
        <v/>
      </c>
      <c r="AT246" s="46" t="str">
        <f t="shared" si="117"/>
        <v/>
      </c>
      <c r="AU246" s="46" t="str">
        <f t="shared" si="118"/>
        <v/>
      </c>
      <c r="AV246" s="46" t="str">
        <f t="shared" si="119"/>
        <v/>
      </c>
      <c r="AW246" s="46" t="str">
        <f t="shared" si="120"/>
        <v/>
      </c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20"/>
    </row>
    <row r="247" spans="2:154">
      <c r="B247" s="1"/>
      <c r="C247" s="2"/>
      <c r="D247" s="34"/>
      <c r="E247" s="34"/>
      <c r="F247" s="34"/>
      <c r="G247" s="34"/>
      <c r="H247" s="4"/>
      <c r="I247" s="4"/>
      <c r="J247" s="4"/>
      <c r="K247" s="3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37"/>
      <c r="X247" s="1"/>
      <c r="Y247" s="18">
        <f t="shared" si="96"/>
        <v>0</v>
      </c>
      <c r="Z247" s="21">
        <f t="shared" si="97"/>
        <v>0</v>
      </c>
      <c r="AA247" s="10">
        <f t="shared" si="98"/>
        <v>0</v>
      </c>
      <c r="AB247" s="10">
        <f t="shared" si="99"/>
        <v>0</v>
      </c>
      <c r="AC247" s="10">
        <f t="shared" si="100"/>
        <v>0</v>
      </c>
      <c r="AD247" s="46" t="str">
        <f t="shared" si="101"/>
        <v/>
      </c>
      <c r="AE247" s="46" t="str">
        <f t="shared" si="102"/>
        <v/>
      </c>
      <c r="AF247" s="46" t="str">
        <f t="shared" si="103"/>
        <v/>
      </c>
      <c r="AG247" s="46" t="str">
        <f t="shared" si="104"/>
        <v/>
      </c>
      <c r="AH247" s="46" t="str">
        <f t="shared" si="105"/>
        <v/>
      </c>
      <c r="AI247" s="46" t="str">
        <f t="shared" si="106"/>
        <v/>
      </c>
      <c r="AJ247" s="46" t="str">
        <f t="shared" si="107"/>
        <v/>
      </c>
      <c r="AK247" s="46" t="str">
        <f t="shared" si="108"/>
        <v/>
      </c>
      <c r="AL247" s="46" t="str">
        <f t="shared" si="109"/>
        <v/>
      </c>
      <c r="AM247" s="46" t="str">
        <f t="shared" si="110"/>
        <v/>
      </c>
      <c r="AN247" s="46" t="str">
        <f t="shared" si="111"/>
        <v/>
      </c>
      <c r="AO247" s="46" t="str">
        <f t="shared" si="112"/>
        <v/>
      </c>
      <c r="AP247" s="46" t="str">
        <f t="shared" si="113"/>
        <v/>
      </c>
      <c r="AQ247" s="46" t="str">
        <f t="shared" si="114"/>
        <v/>
      </c>
      <c r="AR247" s="46" t="str">
        <f t="shared" si="115"/>
        <v/>
      </c>
      <c r="AS247" s="46" t="str">
        <f t="shared" si="116"/>
        <v/>
      </c>
      <c r="AT247" s="46" t="str">
        <f t="shared" si="117"/>
        <v/>
      </c>
      <c r="AU247" s="46" t="str">
        <f t="shared" si="118"/>
        <v/>
      </c>
      <c r="AV247" s="46" t="str">
        <f t="shared" si="119"/>
        <v/>
      </c>
      <c r="AW247" s="46" t="str">
        <f t="shared" si="120"/>
        <v/>
      </c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20"/>
    </row>
    <row r="248" spans="2:154">
      <c r="B248" s="1"/>
      <c r="C248" s="2"/>
      <c r="D248" s="34"/>
      <c r="E248" s="34"/>
      <c r="F248" s="34"/>
      <c r="G248" s="34"/>
      <c r="H248" s="4"/>
      <c r="I248" s="4"/>
      <c r="J248" s="4"/>
      <c r="K248" s="3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37"/>
      <c r="X248" s="1"/>
      <c r="Y248" s="18">
        <f t="shared" si="96"/>
        <v>0</v>
      </c>
      <c r="Z248" s="21">
        <f t="shared" si="97"/>
        <v>0</v>
      </c>
      <c r="AA248" s="10">
        <f t="shared" si="98"/>
        <v>0</v>
      </c>
      <c r="AB248" s="10">
        <f t="shared" si="99"/>
        <v>0</v>
      </c>
      <c r="AC248" s="10">
        <f t="shared" si="100"/>
        <v>0</v>
      </c>
      <c r="AD248" s="46" t="str">
        <f t="shared" si="101"/>
        <v/>
      </c>
      <c r="AE248" s="46" t="str">
        <f t="shared" si="102"/>
        <v/>
      </c>
      <c r="AF248" s="46" t="str">
        <f t="shared" si="103"/>
        <v/>
      </c>
      <c r="AG248" s="46" t="str">
        <f t="shared" si="104"/>
        <v/>
      </c>
      <c r="AH248" s="46" t="str">
        <f t="shared" si="105"/>
        <v/>
      </c>
      <c r="AI248" s="46" t="str">
        <f t="shared" si="106"/>
        <v/>
      </c>
      <c r="AJ248" s="46" t="str">
        <f t="shared" si="107"/>
        <v/>
      </c>
      <c r="AK248" s="46" t="str">
        <f t="shared" si="108"/>
        <v/>
      </c>
      <c r="AL248" s="46" t="str">
        <f t="shared" si="109"/>
        <v/>
      </c>
      <c r="AM248" s="46" t="str">
        <f t="shared" si="110"/>
        <v/>
      </c>
      <c r="AN248" s="46" t="str">
        <f t="shared" si="111"/>
        <v/>
      </c>
      <c r="AO248" s="46" t="str">
        <f t="shared" si="112"/>
        <v/>
      </c>
      <c r="AP248" s="46" t="str">
        <f t="shared" si="113"/>
        <v/>
      </c>
      <c r="AQ248" s="46" t="str">
        <f t="shared" si="114"/>
        <v/>
      </c>
      <c r="AR248" s="46" t="str">
        <f t="shared" si="115"/>
        <v/>
      </c>
      <c r="AS248" s="46" t="str">
        <f t="shared" si="116"/>
        <v/>
      </c>
      <c r="AT248" s="46" t="str">
        <f t="shared" si="117"/>
        <v/>
      </c>
      <c r="AU248" s="46" t="str">
        <f t="shared" si="118"/>
        <v/>
      </c>
      <c r="AV248" s="46" t="str">
        <f t="shared" si="119"/>
        <v/>
      </c>
      <c r="AW248" s="46" t="str">
        <f t="shared" si="120"/>
        <v/>
      </c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20"/>
    </row>
    <row r="249" spans="2:154">
      <c r="B249" s="1"/>
      <c r="C249" s="2"/>
      <c r="D249" s="34"/>
      <c r="E249" s="34"/>
      <c r="F249" s="34"/>
      <c r="G249" s="34"/>
      <c r="H249" s="4"/>
      <c r="I249" s="4"/>
      <c r="J249" s="4"/>
      <c r="K249" s="3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37"/>
      <c r="X249" s="1"/>
      <c r="Y249" s="18">
        <f t="shared" si="96"/>
        <v>0</v>
      </c>
      <c r="Z249" s="21">
        <f t="shared" si="97"/>
        <v>0</v>
      </c>
      <c r="AA249" s="10">
        <f t="shared" si="98"/>
        <v>0</v>
      </c>
      <c r="AB249" s="10">
        <f t="shared" si="99"/>
        <v>0</v>
      </c>
      <c r="AC249" s="10">
        <f t="shared" si="100"/>
        <v>0</v>
      </c>
      <c r="AD249" s="46" t="str">
        <f t="shared" si="101"/>
        <v/>
      </c>
      <c r="AE249" s="46" t="str">
        <f t="shared" si="102"/>
        <v/>
      </c>
      <c r="AF249" s="46" t="str">
        <f t="shared" si="103"/>
        <v/>
      </c>
      <c r="AG249" s="46" t="str">
        <f t="shared" si="104"/>
        <v/>
      </c>
      <c r="AH249" s="46" t="str">
        <f t="shared" si="105"/>
        <v/>
      </c>
      <c r="AI249" s="46" t="str">
        <f t="shared" si="106"/>
        <v/>
      </c>
      <c r="AJ249" s="46" t="str">
        <f t="shared" si="107"/>
        <v/>
      </c>
      <c r="AK249" s="46" t="str">
        <f t="shared" si="108"/>
        <v/>
      </c>
      <c r="AL249" s="46" t="str">
        <f t="shared" si="109"/>
        <v/>
      </c>
      <c r="AM249" s="46" t="str">
        <f t="shared" si="110"/>
        <v/>
      </c>
      <c r="AN249" s="46" t="str">
        <f t="shared" si="111"/>
        <v/>
      </c>
      <c r="AO249" s="46" t="str">
        <f t="shared" si="112"/>
        <v/>
      </c>
      <c r="AP249" s="46" t="str">
        <f t="shared" si="113"/>
        <v/>
      </c>
      <c r="AQ249" s="46" t="str">
        <f t="shared" si="114"/>
        <v/>
      </c>
      <c r="AR249" s="46" t="str">
        <f t="shared" si="115"/>
        <v/>
      </c>
      <c r="AS249" s="46" t="str">
        <f t="shared" si="116"/>
        <v/>
      </c>
      <c r="AT249" s="46" t="str">
        <f t="shared" si="117"/>
        <v/>
      </c>
      <c r="AU249" s="46" t="str">
        <f t="shared" si="118"/>
        <v/>
      </c>
      <c r="AV249" s="46" t="str">
        <f t="shared" si="119"/>
        <v/>
      </c>
      <c r="AW249" s="46" t="str">
        <f t="shared" si="120"/>
        <v/>
      </c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20"/>
    </row>
    <row r="250" spans="2:154">
      <c r="B250" s="1"/>
      <c r="C250" s="2"/>
      <c r="D250" s="34"/>
      <c r="E250" s="34"/>
      <c r="F250" s="34"/>
      <c r="G250" s="34"/>
      <c r="H250" s="4"/>
      <c r="I250" s="4"/>
      <c r="J250" s="4"/>
      <c r="K250" s="3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37"/>
      <c r="X250" s="1"/>
      <c r="Y250" s="18">
        <f t="shared" si="96"/>
        <v>0</v>
      </c>
      <c r="Z250" s="21">
        <f t="shared" si="97"/>
        <v>0</v>
      </c>
      <c r="AA250" s="10">
        <f t="shared" si="98"/>
        <v>0</v>
      </c>
      <c r="AB250" s="10">
        <f t="shared" si="99"/>
        <v>0</v>
      </c>
      <c r="AC250" s="10">
        <f t="shared" si="100"/>
        <v>0</v>
      </c>
      <c r="AD250" s="46" t="str">
        <f t="shared" si="101"/>
        <v/>
      </c>
      <c r="AE250" s="46" t="str">
        <f t="shared" si="102"/>
        <v/>
      </c>
      <c r="AF250" s="46" t="str">
        <f t="shared" si="103"/>
        <v/>
      </c>
      <c r="AG250" s="46" t="str">
        <f t="shared" si="104"/>
        <v/>
      </c>
      <c r="AH250" s="46" t="str">
        <f t="shared" si="105"/>
        <v/>
      </c>
      <c r="AI250" s="46" t="str">
        <f t="shared" si="106"/>
        <v/>
      </c>
      <c r="AJ250" s="46" t="str">
        <f t="shared" si="107"/>
        <v/>
      </c>
      <c r="AK250" s="46" t="str">
        <f t="shared" si="108"/>
        <v/>
      </c>
      <c r="AL250" s="46" t="str">
        <f t="shared" si="109"/>
        <v/>
      </c>
      <c r="AM250" s="46" t="str">
        <f t="shared" si="110"/>
        <v/>
      </c>
      <c r="AN250" s="46" t="str">
        <f t="shared" si="111"/>
        <v/>
      </c>
      <c r="AO250" s="46" t="str">
        <f t="shared" si="112"/>
        <v/>
      </c>
      <c r="AP250" s="46" t="str">
        <f t="shared" si="113"/>
        <v/>
      </c>
      <c r="AQ250" s="46" t="str">
        <f t="shared" si="114"/>
        <v/>
      </c>
      <c r="AR250" s="46" t="str">
        <f t="shared" si="115"/>
        <v/>
      </c>
      <c r="AS250" s="46" t="str">
        <f t="shared" si="116"/>
        <v/>
      </c>
      <c r="AT250" s="46" t="str">
        <f t="shared" si="117"/>
        <v/>
      </c>
      <c r="AU250" s="46" t="str">
        <f t="shared" si="118"/>
        <v/>
      </c>
      <c r="AV250" s="46" t="str">
        <f t="shared" si="119"/>
        <v/>
      </c>
      <c r="AW250" s="46" t="str">
        <f t="shared" si="120"/>
        <v/>
      </c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20"/>
    </row>
    <row r="251" spans="2:154">
      <c r="B251" s="1"/>
      <c r="C251" s="2"/>
      <c r="D251" s="34"/>
      <c r="E251" s="34"/>
      <c r="F251" s="34"/>
      <c r="G251" s="34"/>
      <c r="H251" s="4"/>
      <c r="I251" s="4"/>
      <c r="J251" s="4"/>
      <c r="K251" s="3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37"/>
      <c r="X251" s="1"/>
      <c r="Y251" s="18">
        <f t="shared" si="96"/>
        <v>0</v>
      </c>
      <c r="Z251" s="21">
        <f t="shared" si="97"/>
        <v>0</v>
      </c>
      <c r="AA251" s="10">
        <f t="shared" si="98"/>
        <v>0</v>
      </c>
      <c r="AB251" s="10">
        <f t="shared" si="99"/>
        <v>0</v>
      </c>
      <c r="AC251" s="10">
        <f t="shared" si="100"/>
        <v>0</v>
      </c>
      <c r="AD251" s="46" t="str">
        <f t="shared" si="101"/>
        <v/>
      </c>
      <c r="AE251" s="46" t="str">
        <f t="shared" si="102"/>
        <v/>
      </c>
      <c r="AF251" s="46" t="str">
        <f t="shared" si="103"/>
        <v/>
      </c>
      <c r="AG251" s="46" t="str">
        <f t="shared" si="104"/>
        <v/>
      </c>
      <c r="AH251" s="46" t="str">
        <f t="shared" si="105"/>
        <v/>
      </c>
      <c r="AI251" s="46" t="str">
        <f t="shared" si="106"/>
        <v/>
      </c>
      <c r="AJ251" s="46" t="str">
        <f t="shared" si="107"/>
        <v/>
      </c>
      <c r="AK251" s="46" t="str">
        <f t="shared" si="108"/>
        <v/>
      </c>
      <c r="AL251" s="46" t="str">
        <f t="shared" si="109"/>
        <v/>
      </c>
      <c r="AM251" s="46" t="str">
        <f t="shared" si="110"/>
        <v/>
      </c>
      <c r="AN251" s="46" t="str">
        <f t="shared" si="111"/>
        <v/>
      </c>
      <c r="AO251" s="46" t="str">
        <f t="shared" si="112"/>
        <v/>
      </c>
      <c r="AP251" s="46" t="str">
        <f t="shared" si="113"/>
        <v/>
      </c>
      <c r="AQ251" s="46" t="str">
        <f t="shared" si="114"/>
        <v/>
      </c>
      <c r="AR251" s="46" t="str">
        <f t="shared" si="115"/>
        <v/>
      </c>
      <c r="AS251" s="46" t="str">
        <f t="shared" si="116"/>
        <v/>
      </c>
      <c r="AT251" s="46" t="str">
        <f t="shared" si="117"/>
        <v/>
      </c>
      <c r="AU251" s="46" t="str">
        <f t="shared" si="118"/>
        <v/>
      </c>
      <c r="AV251" s="46" t="str">
        <f t="shared" si="119"/>
        <v/>
      </c>
      <c r="AW251" s="46" t="str">
        <f t="shared" si="120"/>
        <v/>
      </c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20"/>
    </row>
    <row r="252" spans="2:154">
      <c r="B252" s="1"/>
      <c r="C252" s="2"/>
      <c r="D252" s="34"/>
      <c r="E252" s="34"/>
      <c r="F252" s="34"/>
      <c r="G252" s="34"/>
      <c r="H252" s="4"/>
      <c r="I252" s="4"/>
      <c r="J252" s="4"/>
      <c r="K252" s="3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37"/>
      <c r="X252" s="1"/>
      <c r="Y252" s="18">
        <f t="shared" si="96"/>
        <v>0</v>
      </c>
      <c r="Z252" s="21">
        <f t="shared" si="97"/>
        <v>0</v>
      </c>
      <c r="AA252" s="10">
        <f t="shared" si="98"/>
        <v>0</v>
      </c>
      <c r="AB252" s="10">
        <f t="shared" si="99"/>
        <v>0</v>
      </c>
      <c r="AC252" s="10">
        <f t="shared" si="100"/>
        <v>0</v>
      </c>
      <c r="AD252" s="46" t="str">
        <f t="shared" si="101"/>
        <v/>
      </c>
      <c r="AE252" s="46" t="str">
        <f t="shared" si="102"/>
        <v/>
      </c>
      <c r="AF252" s="46" t="str">
        <f t="shared" si="103"/>
        <v/>
      </c>
      <c r="AG252" s="46" t="str">
        <f t="shared" si="104"/>
        <v/>
      </c>
      <c r="AH252" s="46" t="str">
        <f t="shared" si="105"/>
        <v/>
      </c>
      <c r="AI252" s="46" t="str">
        <f t="shared" si="106"/>
        <v/>
      </c>
      <c r="AJ252" s="46" t="str">
        <f t="shared" si="107"/>
        <v/>
      </c>
      <c r="AK252" s="46" t="str">
        <f t="shared" si="108"/>
        <v/>
      </c>
      <c r="AL252" s="46" t="str">
        <f t="shared" si="109"/>
        <v/>
      </c>
      <c r="AM252" s="46" t="str">
        <f t="shared" si="110"/>
        <v/>
      </c>
      <c r="AN252" s="46" t="str">
        <f t="shared" si="111"/>
        <v/>
      </c>
      <c r="AO252" s="46" t="str">
        <f t="shared" si="112"/>
        <v/>
      </c>
      <c r="AP252" s="46" t="str">
        <f t="shared" si="113"/>
        <v/>
      </c>
      <c r="AQ252" s="46" t="str">
        <f t="shared" si="114"/>
        <v/>
      </c>
      <c r="AR252" s="46" t="str">
        <f t="shared" si="115"/>
        <v/>
      </c>
      <c r="AS252" s="46" t="str">
        <f t="shared" si="116"/>
        <v/>
      </c>
      <c r="AT252" s="46" t="str">
        <f t="shared" si="117"/>
        <v/>
      </c>
      <c r="AU252" s="46" t="str">
        <f t="shared" si="118"/>
        <v/>
      </c>
      <c r="AV252" s="46" t="str">
        <f t="shared" si="119"/>
        <v/>
      </c>
      <c r="AW252" s="46" t="str">
        <f t="shared" si="120"/>
        <v/>
      </c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20"/>
    </row>
    <row r="253" spans="2:154">
      <c r="B253" s="1"/>
      <c r="C253" s="2"/>
      <c r="D253" s="34"/>
      <c r="E253" s="34"/>
      <c r="F253" s="34"/>
      <c r="G253" s="34"/>
      <c r="H253" s="4"/>
      <c r="I253" s="4"/>
      <c r="J253" s="4"/>
      <c r="K253" s="3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37"/>
      <c r="X253" s="1"/>
      <c r="Y253" s="18">
        <f t="shared" si="96"/>
        <v>0</v>
      </c>
      <c r="Z253" s="21">
        <f t="shared" si="97"/>
        <v>0</v>
      </c>
      <c r="AA253" s="10">
        <f t="shared" si="98"/>
        <v>0</v>
      </c>
      <c r="AB253" s="10">
        <f t="shared" si="99"/>
        <v>0</v>
      </c>
      <c r="AC253" s="10">
        <f t="shared" si="100"/>
        <v>0</v>
      </c>
      <c r="AD253" s="46" t="str">
        <f t="shared" si="101"/>
        <v/>
      </c>
      <c r="AE253" s="46" t="str">
        <f t="shared" si="102"/>
        <v/>
      </c>
      <c r="AF253" s="46" t="str">
        <f t="shared" si="103"/>
        <v/>
      </c>
      <c r="AG253" s="46" t="str">
        <f t="shared" si="104"/>
        <v/>
      </c>
      <c r="AH253" s="46" t="str">
        <f t="shared" si="105"/>
        <v/>
      </c>
      <c r="AI253" s="46" t="str">
        <f t="shared" si="106"/>
        <v/>
      </c>
      <c r="AJ253" s="46" t="str">
        <f t="shared" si="107"/>
        <v/>
      </c>
      <c r="AK253" s="46" t="str">
        <f t="shared" si="108"/>
        <v/>
      </c>
      <c r="AL253" s="46" t="str">
        <f t="shared" si="109"/>
        <v/>
      </c>
      <c r="AM253" s="46" t="str">
        <f t="shared" si="110"/>
        <v/>
      </c>
      <c r="AN253" s="46" t="str">
        <f t="shared" si="111"/>
        <v/>
      </c>
      <c r="AO253" s="46" t="str">
        <f t="shared" si="112"/>
        <v/>
      </c>
      <c r="AP253" s="46" t="str">
        <f t="shared" si="113"/>
        <v/>
      </c>
      <c r="AQ253" s="46" t="str">
        <f t="shared" si="114"/>
        <v/>
      </c>
      <c r="AR253" s="46" t="str">
        <f t="shared" si="115"/>
        <v/>
      </c>
      <c r="AS253" s="46" t="str">
        <f t="shared" si="116"/>
        <v/>
      </c>
      <c r="AT253" s="46" t="str">
        <f t="shared" si="117"/>
        <v/>
      </c>
      <c r="AU253" s="46" t="str">
        <f t="shared" si="118"/>
        <v/>
      </c>
      <c r="AV253" s="46" t="str">
        <f t="shared" si="119"/>
        <v/>
      </c>
      <c r="AW253" s="46" t="str">
        <f t="shared" si="120"/>
        <v/>
      </c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20"/>
    </row>
    <row r="254" spans="2:154">
      <c r="B254" s="1"/>
      <c r="C254" s="2"/>
      <c r="D254" s="34"/>
      <c r="E254" s="34"/>
      <c r="F254" s="34"/>
      <c r="G254" s="34"/>
      <c r="H254" s="4"/>
      <c r="I254" s="4"/>
      <c r="J254" s="4"/>
      <c r="K254" s="3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37"/>
      <c r="X254" s="1"/>
      <c r="Y254" s="18">
        <f t="shared" si="96"/>
        <v>0</v>
      </c>
      <c r="Z254" s="21">
        <f t="shared" si="97"/>
        <v>0</v>
      </c>
      <c r="AA254" s="10">
        <f t="shared" si="98"/>
        <v>0</v>
      </c>
      <c r="AB254" s="10">
        <f t="shared" si="99"/>
        <v>0</v>
      </c>
      <c r="AC254" s="10">
        <f t="shared" si="100"/>
        <v>0</v>
      </c>
      <c r="AD254" s="46" t="str">
        <f t="shared" si="101"/>
        <v/>
      </c>
      <c r="AE254" s="46" t="str">
        <f t="shared" si="102"/>
        <v/>
      </c>
      <c r="AF254" s="46" t="str">
        <f t="shared" si="103"/>
        <v/>
      </c>
      <c r="AG254" s="46" t="str">
        <f t="shared" si="104"/>
        <v/>
      </c>
      <c r="AH254" s="46" t="str">
        <f t="shared" si="105"/>
        <v/>
      </c>
      <c r="AI254" s="46" t="str">
        <f t="shared" si="106"/>
        <v/>
      </c>
      <c r="AJ254" s="46" t="str">
        <f t="shared" si="107"/>
        <v/>
      </c>
      <c r="AK254" s="46" t="str">
        <f t="shared" si="108"/>
        <v/>
      </c>
      <c r="AL254" s="46" t="str">
        <f t="shared" si="109"/>
        <v/>
      </c>
      <c r="AM254" s="46" t="str">
        <f t="shared" si="110"/>
        <v/>
      </c>
      <c r="AN254" s="46" t="str">
        <f t="shared" si="111"/>
        <v/>
      </c>
      <c r="AO254" s="46" t="str">
        <f t="shared" si="112"/>
        <v/>
      </c>
      <c r="AP254" s="46" t="str">
        <f t="shared" si="113"/>
        <v/>
      </c>
      <c r="AQ254" s="46" t="str">
        <f t="shared" si="114"/>
        <v/>
      </c>
      <c r="AR254" s="46" t="str">
        <f t="shared" si="115"/>
        <v/>
      </c>
      <c r="AS254" s="46" t="str">
        <f t="shared" si="116"/>
        <v/>
      </c>
      <c r="AT254" s="46" t="str">
        <f t="shared" si="117"/>
        <v/>
      </c>
      <c r="AU254" s="46" t="str">
        <f t="shared" si="118"/>
        <v/>
      </c>
      <c r="AV254" s="46" t="str">
        <f t="shared" si="119"/>
        <v/>
      </c>
      <c r="AW254" s="46" t="str">
        <f t="shared" si="120"/>
        <v/>
      </c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20"/>
    </row>
    <row r="255" spans="2:154">
      <c r="B255" s="1"/>
      <c r="C255" s="2"/>
      <c r="D255" s="34"/>
      <c r="E255" s="34"/>
      <c r="F255" s="34"/>
      <c r="G255" s="34"/>
      <c r="H255" s="4"/>
      <c r="I255" s="4"/>
      <c r="J255" s="4"/>
      <c r="K255" s="3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37"/>
      <c r="X255" s="1"/>
      <c r="Y255" s="18">
        <f t="shared" si="96"/>
        <v>0</v>
      </c>
      <c r="Z255" s="21">
        <f t="shared" si="97"/>
        <v>0</v>
      </c>
      <c r="AA255" s="10">
        <f t="shared" si="98"/>
        <v>0</v>
      </c>
      <c r="AB255" s="10">
        <f t="shared" si="99"/>
        <v>0</v>
      </c>
      <c r="AC255" s="10">
        <f t="shared" si="100"/>
        <v>0</v>
      </c>
      <c r="AD255" s="46" t="str">
        <f t="shared" si="101"/>
        <v/>
      </c>
      <c r="AE255" s="46" t="str">
        <f t="shared" si="102"/>
        <v/>
      </c>
      <c r="AF255" s="46" t="str">
        <f t="shared" si="103"/>
        <v/>
      </c>
      <c r="AG255" s="46" t="str">
        <f t="shared" si="104"/>
        <v/>
      </c>
      <c r="AH255" s="46" t="str">
        <f t="shared" si="105"/>
        <v/>
      </c>
      <c r="AI255" s="46" t="str">
        <f t="shared" si="106"/>
        <v/>
      </c>
      <c r="AJ255" s="46" t="str">
        <f t="shared" si="107"/>
        <v/>
      </c>
      <c r="AK255" s="46" t="str">
        <f t="shared" si="108"/>
        <v/>
      </c>
      <c r="AL255" s="46" t="str">
        <f t="shared" si="109"/>
        <v/>
      </c>
      <c r="AM255" s="46" t="str">
        <f t="shared" si="110"/>
        <v/>
      </c>
      <c r="AN255" s="46" t="str">
        <f t="shared" si="111"/>
        <v/>
      </c>
      <c r="AO255" s="46" t="str">
        <f t="shared" si="112"/>
        <v/>
      </c>
      <c r="AP255" s="46" t="str">
        <f t="shared" si="113"/>
        <v/>
      </c>
      <c r="AQ255" s="46" t="str">
        <f t="shared" si="114"/>
        <v/>
      </c>
      <c r="AR255" s="46" t="str">
        <f t="shared" si="115"/>
        <v/>
      </c>
      <c r="AS255" s="46" t="str">
        <f t="shared" si="116"/>
        <v/>
      </c>
      <c r="AT255" s="46" t="str">
        <f t="shared" si="117"/>
        <v/>
      </c>
      <c r="AU255" s="46" t="str">
        <f t="shared" si="118"/>
        <v/>
      </c>
      <c r="AV255" s="46" t="str">
        <f t="shared" si="119"/>
        <v/>
      </c>
      <c r="AW255" s="46" t="str">
        <f t="shared" si="120"/>
        <v/>
      </c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20"/>
    </row>
    <row r="256" spans="2:154">
      <c r="B256" s="1"/>
      <c r="C256" s="2"/>
      <c r="D256" s="34"/>
      <c r="E256" s="34"/>
      <c r="F256" s="34"/>
      <c r="G256" s="34"/>
      <c r="H256" s="4"/>
      <c r="I256" s="4"/>
      <c r="J256" s="4"/>
      <c r="K256" s="3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37"/>
      <c r="X256" s="1"/>
      <c r="Y256" s="18">
        <f t="shared" si="96"/>
        <v>0</v>
      </c>
      <c r="Z256" s="21">
        <f t="shared" si="97"/>
        <v>0</v>
      </c>
      <c r="AA256" s="10">
        <f t="shared" si="98"/>
        <v>0</v>
      </c>
      <c r="AB256" s="10">
        <f t="shared" si="99"/>
        <v>0</v>
      </c>
      <c r="AC256" s="10">
        <f t="shared" si="100"/>
        <v>0</v>
      </c>
      <c r="AD256" s="46" t="str">
        <f t="shared" si="101"/>
        <v/>
      </c>
      <c r="AE256" s="46" t="str">
        <f t="shared" si="102"/>
        <v/>
      </c>
      <c r="AF256" s="46" t="str">
        <f t="shared" si="103"/>
        <v/>
      </c>
      <c r="AG256" s="46" t="str">
        <f t="shared" si="104"/>
        <v/>
      </c>
      <c r="AH256" s="46" t="str">
        <f t="shared" si="105"/>
        <v/>
      </c>
      <c r="AI256" s="46" t="str">
        <f t="shared" si="106"/>
        <v/>
      </c>
      <c r="AJ256" s="46" t="str">
        <f t="shared" si="107"/>
        <v/>
      </c>
      <c r="AK256" s="46" t="str">
        <f t="shared" si="108"/>
        <v/>
      </c>
      <c r="AL256" s="46" t="str">
        <f t="shared" si="109"/>
        <v/>
      </c>
      <c r="AM256" s="46" t="str">
        <f t="shared" si="110"/>
        <v/>
      </c>
      <c r="AN256" s="46" t="str">
        <f t="shared" si="111"/>
        <v/>
      </c>
      <c r="AO256" s="46" t="str">
        <f t="shared" si="112"/>
        <v/>
      </c>
      <c r="AP256" s="46" t="str">
        <f t="shared" si="113"/>
        <v/>
      </c>
      <c r="AQ256" s="46" t="str">
        <f t="shared" si="114"/>
        <v/>
      </c>
      <c r="AR256" s="46" t="str">
        <f t="shared" si="115"/>
        <v/>
      </c>
      <c r="AS256" s="46" t="str">
        <f t="shared" si="116"/>
        <v/>
      </c>
      <c r="AT256" s="46" t="str">
        <f t="shared" si="117"/>
        <v/>
      </c>
      <c r="AU256" s="46" t="str">
        <f t="shared" si="118"/>
        <v/>
      </c>
      <c r="AV256" s="46" t="str">
        <f t="shared" si="119"/>
        <v/>
      </c>
      <c r="AW256" s="46" t="str">
        <f t="shared" si="120"/>
        <v/>
      </c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20"/>
    </row>
    <row r="257" spans="2:154">
      <c r="B257" s="1"/>
      <c r="C257" s="2"/>
      <c r="D257" s="34"/>
      <c r="E257" s="34"/>
      <c r="F257" s="34"/>
      <c r="G257" s="34"/>
      <c r="H257" s="4"/>
      <c r="I257" s="4"/>
      <c r="J257" s="4"/>
      <c r="K257" s="3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37"/>
      <c r="X257" s="1"/>
      <c r="Y257" s="18">
        <f t="shared" si="96"/>
        <v>0</v>
      </c>
      <c r="Z257" s="21">
        <f t="shared" si="97"/>
        <v>0</v>
      </c>
      <c r="AA257" s="10">
        <f t="shared" si="98"/>
        <v>0</v>
      </c>
      <c r="AB257" s="10">
        <f t="shared" si="99"/>
        <v>0</v>
      </c>
      <c r="AC257" s="10">
        <f t="shared" si="100"/>
        <v>0</v>
      </c>
      <c r="AD257" s="46" t="str">
        <f t="shared" si="101"/>
        <v/>
      </c>
      <c r="AE257" s="46" t="str">
        <f t="shared" si="102"/>
        <v/>
      </c>
      <c r="AF257" s="46" t="str">
        <f t="shared" si="103"/>
        <v/>
      </c>
      <c r="AG257" s="46" t="str">
        <f t="shared" si="104"/>
        <v/>
      </c>
      <c r="AH257" s="46" t="str">
        <f t="shared" si="105"/>
        <v/>
      </c>
      <c r="AI257" s="46" t="str">
        <f t="shared" si="106"/>
        <v/>
      </c>
      <c r="AJ257" s="46" t="str">
        <f t="shared" si="107"/>
        <v/>
      </c>
      <c r="AK257" s="46" t="str">
        <f t="shared" si="108"/>
        <v/>
      </c>
      <c r="AL257" s="46" t="str">
        <f t="shared" si="109"/>
        <v/>
      </c>
      <c r="AM257" s="46" t="str">
        <f t="shared" si="110"/>
        <v/>
      </c>
      <c r="AN257" s="46" t="str">
        <f t="shared" si="111"/>
        <v/>
      </c>
      <c r="AO257" s="46" t="str">
        <f t="shared" si="112"/>
        <v/>
      </c>
      <c r="AP257" s="46" t="str">
        <f t="shared" si="113"/>
        <v/>
      </c>
      <c r="AQ257" s="46" t="str">
        <f t="shared" si="114"/>
        <v/>
      </c>
      <c r="AR257" s="46" t="str">
        <f t="shared" si="115"/>
        <v/>
      </c>
      <c r="AS257" s="46" t="str">
        <f t="shared" si="116"/>
        <v/>
      </c>
      <c r="AT257" s="46" t="str">
        <f t="shared" si="117"/>
        <v/>
      </c>
      <c r="AU257" s="46" t="str">
        <f t="shared" si="118"/>
        <v/>
      </c>
      <c r="AV257" s="46" t="str">
        <f t="shared" si="119"/>
        <v/>
      </c>
      <c r="AW257" s="46" t="str">
        <f t="shared" si="120"/>
        <v/>
      </c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20"/>
    </row>
    <row r="258" spans="2:154">
      <c r="B258" s="1"/>
      <c r="C258" s="2"/>
      <c r="D258" s="34"/>
      <c r="E258" s="34"/>
      <c r="F258" s="34"/>
      <c r="G258" s="34"/>
      <c r="H258" s="4"/>
      <c r="I258" s="4"/>
      <c r="J258" s="4"/>
      <c r="K258" s="3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37"/>
      <c r="X258" s="1"/>
      <c r="Y258" s="18">
        <f t="shared" si="96"/>
        <v>0</v>
      </c>
      <c r="Z258" s="21">
        <f t="shared" si="97"/>
        <v>0</v>
      </c>
      <c r="AA258" s="10">
        <f t="shared" si="98"/>
        <v>0</v>
      </c>
      <c r="AB258" s="10">
        <f t="shared" si="99"/>
        <v>0</v>
      </c>
      <c r="AC258" s="10">
        <f t="shared" si="100"/>
        <v>0</v>
      </c>
      <c r="AD258" s="46" t="str">
        <f t="shared" si="101"/>
        <v/>
      </c>
      <c r="AE258" s="46" t="str">
        <f t="shared" si="102"/>
        <v/>
      </c>
      <c r="AF258" s="46" t="str">
        <f t="shared" si="103"/>
        <v/>
      </c>
      <c r="AG258" s="46" t="str">
        <f t="shared" si="104"/>
        <v/>
      </c>
      <c r="AH258" s="46" t="str">
        <f t="shared" si="105"/>
        <v/>
      </c>
      <c r="AI258" s="46" t="str">
        <f t="shared" si="106"/>
        <v/>
      </c>
      <c r="AJ258" s="46" t="str">
        <f t="shared" si="107"/>
        <v/>
      </c>
      <c r="AK258" s="46" t="str">
        <f t="shared" si="108"/>
        <v/>
      </c>
      <c r="AL258" s="46" t="str">
        <f t="shared" si="109"/>
        <v/>
      </c>
      <c r="AM258" s="46" t="str">
        <f t="shared" si="110"/>
        <v/>
      </c>
      <c r="AN258" s="46" t="str">
        <f t="shared" si="111"/>
        <v/>
      </c>
      <c r="AO258" s="46" t="str">
        <f t="shared" si="112"/>
        <v/>
      </c>
      <c r="AP258" s="46" t="str">
        <f t="shared" si="113"/>
        <v/>
      </c>
      <c r="AQ258" s="46" t="str">
        <f t="shared" si="114"/>
        <v/>
      </c>
      <c r="AR258" s="46" t="str">
        <f t="shared" si="115"/>
        <v/>
      </c>
      <c r="AS258" s="46" t="str">
        <f t="shared" si="116"/>
        <v/>
      </c>
      <c r="AT258" s="46" t="str">
        <f t="shared" si="117"/>
        <v/>
      </c>
      <c r="AU258" s="46" t="str">
        <f t="shared" si="118"/>
        <v/>
      </c>
      <c r="AV258" s="46" t="str">
        <f t="shared" si="119"/>
        <v/>
      </c>
      <c r="AW258" s="46" t="str">
        <f t="shared" si="120"/>
        <v/>
      </c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20"/>
    </row>
    <row r="259" spans="2:154">
      <c r="B259" s="1"/>
      <c r="C259" s="2"/>
      <c r="D259" s="34"/>
      <c r="E259" s="34"/>
      <c r="F259" s="34"/>
      <c r="G259" s="34"/>
      <c r="H259" s="4"/>
      <c r="I259" s="4"/>
      <c r="J259" s="4"/>
      <c r="K259" s="3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37"/>
      <c r="X259" s="1"/>
      <c r="Y259" s="18">
        <f t="shared" si="96"/>
        <v>0</v>
      </c>
      <c r="Z259" s="21">
        <f t="shared" si="97"/>
        <v>0</v>
      </c>
      <c r="AA259" s="10">
        <f t="shared" si="98"/>
        <v>0</v>
      </c>
      <c r="AB259" s="10">
        <f t="shared" si="99"/>
        <v>0</v>
      </c>
      <c r="AC259" s="10">
        <f t="shared" si="100"/>
        <v>0</v>
      </c>
      <c r="AD259" s="46" t="str">
        <f t="shared" si="101"/>
        <v/>
      </c>
      <c r="AE259" s="46" t="str">
        <f t="shared" si="102"/>
        <v/>
      </c>
      <c r="AF259" s="46" t="str">
        <f t="shared" si="103"/>
        <v/>
      </c>
      <c r="AG259" s="46" t="str">
        <f t="shared" si="104"/>
        <v/>
      </c>
      <c r="AH259" s="46" t="str">
        <f t="shared" si="105"/>
        <v/>
      </c>
      <c r="AI259" s="46" t="str">
        <f t="shared" si="106"/>
        <v/>
      </c>
      <c r="AJ259" s="46" t="str">
        <f t="shared" si="107"/>
        <v/>
      </c>
      <c r="AK259" s="46" t="str">
        <f t="shared" si="108"/>
        <v/>
      </c>
      <c r="AL259" s="46" t="str">
        <f t="shared" si="109"/>
        <v/>
      </c>
      <c r="AM259" s="46" t="str">
        <f t="shared" si="110"/>
        <v/>
      </c>
      <c r="AN259" s="46" t="str">
        <f t="shared" si="111"/>
        <v/>
      </c>
      <c r="AO259" s="46" t="str">
        <f t="shared" si="112"/>
        <v/>
      </c>
      <c r="AP259" s="46" t="str">
        <f t="shared" si="113"/>
        <v/>
      </c>
      <c r="AQ259" s="46" t="str">
        <f t="shared" si="114"/>
        <v/>
      </c>
      <c r="AR259" s="46" t="str">
        <f t="shared" si="115"/>
        <v/>
      </c>
      <c r="AS259" s="46" t="str">
        <f t="shared" si="116"/>
        <v/>
      </c>
      <c r="AT259" s="46" t="str">
        <f t="shared" si="117"/>
        <v/>
      </c>
      <c r="AU259" s="46" t="str">
        <f t="shared" si="118"/>
        <v/>
      </c>
      <c r="AV259" s="46" t="str">
        <f t="shared" si="119"/>
        <v/>
      </c>
      <c r="AW259" s="46" t="str">
        <f t="shared" si="120"/>
        <v/>
      </c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20"/>
    </row>
    <row r="260" spans="2:154">
      <c r="B260" s="1"/>
      <c r="C260" s="2"/>
      <c r="D260" s="34"/>
      <c r="E260" s="34"/>
      <c r="F260" s="34"/>
      <c r="G260" s="34"/>
      <c r="H260" s="4"/>
      <c r="I260" s="4"/>
      <c r="J260" s="4"/>
      <c r="K260" s="3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37"/>
      <c r="X260" s="1"/>
      <c r="Y260" s="18">
        <f t="shared" ref="Y260:Y323" si="121">COUNTA(D260:V260)-X260</f>
        <v>0</v>
      </c>
      <c r="Z260" s="21">
        <f t="shared" ref="Z260:Z323" si="122">IF(W260&lt;&gt;"",0.0001,IF(X260+Y260=0,0,IF(X260=0,70+(Y260*50),IF(X260&gt;0,80+(Y260*50)))))</f>
        <v>0</v>
      </c>
      <c r="AA260" s="10">
        <f t="shared" ref="AA260:AA323" si="123">COUNTA(K260:V260)</f>
        <v>0</v>
      </c>
      <c r="AB260" s="10">
        <f t="shared" ref="AB260:AB323" si="124">COUNTA(K260:P260)</f>
        <v>0</v>
      </c>
      <c r="AC260" s="10">
        <f t="shared" ref="AC260:AC323" si="125">COUNTA(Q260:U260)</f>
        <v>0</v>
      </c>
      <c r="AD260" s="46" t="str">
        <f t="shared" ref="AD260:AD323" si="126">IF(AND(B260="Feminino",C260&gt;=$AY$2,C260&lt;=$AZ$2),$AY$3,IF(AND(B260="Masculino",C260&gt;=$AY$2,C260&lt;=$AZ$2),$AZ$3,IF(AND(B260="Feminino",C260&gt;=$BA$2,C260&lt;=$BB$2),$BA$3,IF(AND(B260="Masculino",C260&gt;=$BA$2,C260&lt;=$BB$2),$BB$3,IF(AND(B260="Feminino",C260&gt;=$BC$2,C260&lt;=$BD$2),$BC$3,IF(AND(B260="Masculino",C260&gt;=$BC$2,C260&lt;=$BD$2),$BD$3,""))))))</f>
        <v/>
      </c>
      <c r="AE260" s="46" t="str">
        <f t="shared" ref="AE260:AE323" si="127">IF(AND(B260="Feminino",C260&gt;=$BA$2,C260&lt;=$BB$2),$BE$3,IF(AND(B260="Masculino",C260&gt;=$BA$2,C260&lt;=$BB$2),$BF$3,IF(AND(B260="Feminino",C260&lt;=$BD$2),$BG$3,IF(AND(B260="Masculino",C260&lt;=$BD$2),$BH$3,""))))</f>
        <v/>
      </c>
      <c r="AF260" s="46" t="str">
        <f t="shared" ref="AF260:AF323" si="128">IF(AND(B260="Feminino",C260&gt;=$BI$2,C260&lt;=$BJ$2),$BI$3,IF(AND(B260="Masculino",C260&gt;=$BI$2,C260&lt;=$BJ$2),$BJ$3,""))</f>
        <v/>
      </c>
      <c r="AG260" s="46" t="str">
        <f t="shared" ref="AG260:AG323" si="129">IF(C260="","",IF(C260&gt;=$BK$2,$BK$3,IF(AND(C260&gt;=$BL$1,C260&lt;=$BL$2),$BL$3,IF(AND(C260&gt;=$BM$1,C260&lt;=$BM$2),$BM$3,IF(AND(C260&gt;=$BN$1,C260&lt;=$BN$2),$BN$3,IF(AND(C260&gt;=$BO$1,C260&lt;=$BO$2),$BO$3,IF(C260&lt;=$BP$2,$BP$3,"")))))))</f>
        <v/>
      </c>
      <c r="AH260" s="46" t="str">
        <f t="shared" ref="AH260:AH323" si="130">IF(C260="","",IF(C260&gt;=$BK$2,$BQ$3,IF(AND(C260&gt;=$BL$1,C260&lt;=$BL$2),$BR$3,IF(AND(C260&gt;=$BM$1,C260&lt;=$BM$2),$BS$3,IF(AND(C260&gt;=$BN$1,C260&lt;=$BN$2),$BT$3,IF(AND(C260&gt;=$BO$1,C260&lt;=$BO$2),$BU$3,IF(C260&lt;=$BP$2,$BV$3,"")))))))</f>
        <v/>
      </c>
      <c r="AI260" s="46" t="str">
        <f t="shared" ref="AI260:AI323" si="131">IF(C260="","",IF(C260&gt;=$BK$2,$BW$3,IF(AND(C260&gt;=$BL$1,C260&lt;=$BL$2),$BX$3,IF(AND(C260&gt;=$BM$1,C260&lt;=$BM$2),$BY$3,IF(AND(C260&gt;=$BN$1,C260&lt;=$BN$2),$BZ$3,IF(AND(C260&gt;=$BO$1,C260&lt;=$BO$2),$CA$3,IF(C260&lt;=$BP$2,$CB$3,"")))))))</f>
        <v/>
      </c>
      <c r="AJ260" s="46" t="str">
        <f t="shared" ref="AJ260:AJ323" si="132">IF(C260="","",IF(AND(C260&gt;=$BN$1,C260&lt;=$BN$2),$CC$3,IF(AND(C260&gt;=$BO$1,C260&lt;=$BO$2),$CD$3,IF(C260&lt;=$BP$2,$CE$3,""))))</f>
        <v/>
      </c>
      <c r="AK260" s="46" t="str">
        <f t="shared" ref="AK260:AK323" si="133">IF(C260="","",IF(AA260&gt;=3,"",IF(AB260&gt;=2,"",IF(C260&gt;=$CF$2,$CF$3,IF(AND(C260&gt;=$CG$1,C260&lt;=$CG$2),$CG$3,IF(AND(C260&gt;=$CH$1,C260&lt;=$CH$2),$CH$3,IF(AND(C260&gt;=$CI$1,C260&lt;=$CI$2),$CI$3,IF(AND(C260&gt;=$CJ$1,C260&lt;=$CJ$2),$CJ$3,IF(C260&lt;=$CK$2,$CK$3,"")))))))))</f>
        <v/>
      </c>
      <c r="AL260" s="46" t="str">
        <f t="shared" ref="AL260:AL323" si="134">IF(C260="","",IF(AA260&gt;=3,"",IF(AB260&gt;=2,"",IF(C260&gt;=$CF$2,$CL$3,IF(AND(C260&gt;=$CG$1,C260&lt;=$CG$2),$CM$3,IF(AND(C260&gt;=$CH$1,C260&lt;=$CH$2),$CN$3,IF(AND(C260&gt;=$CI$1,C260&lt;=$CI$2),$CO$3,IF(AND(C260&gt;=$CJ$1,C260&lt;=$CJ$2),$CP$3,IF(C260&lt;=$CK$2,$CQ$3,"")))))))))</f>
        <v/>
      </c>
      <c r="AM260" s="46" t="str">
        <f t="shared" ref="AM260:AM323" si="135">IF(C260="","",IF(AA260&gt;=3,"",IF(AB260&gt;=2,"",IF(C260&gt;=$CF$2,$CR$3,IF(AND(C260&gt;=$CG$1,C260&lt;=$CG$2),$CS$3,IF(AND(C260&gt;=$CH$1,C260&lt;=$CH$2),$CT$3,IF(AND(C260&gt;=$CI$1,C260&lt;=$CI$2),$CU$3,IF(AND(C260&gt;=$CJ$1,C260&lt;=$CJ$2),$CV$3,IF(C260&lt;=$CK$2,$CW$3,"")))))))))</f>
        <v/>
      </c>
      <c r="AN260" s="46" t="str">
        <f t="shared" ref="AN260:AN323" si="136">IF(C260="","",IF(AA260&gt;=3,"",IF(AB260&gt;=2,"",IF(C260&gt;=$CF$2,$CX$3,IF(AND(C260&gt;=$CG$1,C260&lt;=$CG$2),$CY$3,IF(AND(C260&gt;=$CH$1,C260&lt;=$CH$2),$CZ$3,IF(AND(C260&gt;=$CI$1,C260&lt;=$CI$2),$DA$3,IF(AND(C260&gt;=$CJ$1,C260&lt;=$CJ$2),$DB$3,IF(C260&lt;=$CK$2,$DC$3,"")))))))))</f>
        <v/>
      </c>
      <c r="AO260" s="46" t="str">
        <f t="shared" ref="AO260:AO323" si="137">IF(C260="","",IF(AA260&gt;=3,"",IF(AB260&gt;=2,"",IF(C260&gt;=$CF$2,$DD$3,IF(AND(C260&gt;=$CG$1,C260&lt;=$CG$2),$DE$3,IF(AND(C260&gt;=$CH$1,C260&lt;=$CH$2),$DF$3,IF(AND(C260&gt;=$CI$1,C260&lt;=$CI$2),$DG$3,IF(AND(C260&gt;=$CJ$1,C260&lt;=$CJ$2),$DH$3,IF(C260&lt;=$CK$2,$DI$3,"")))))))))</f>
        <v/>
      </c>
      <c r="AP260" s="46" t="str">
        <f t="shared" ref="AP260:AP323" si="138">IF(C260="","",IF(AA260&gt;=3,"",IF(AB260&gt;=2,"",IF(C260&gt;=$CF$2,$DJ$3,IF(AND(C260&gt;=$CG$1,C260&lt;=$CG$2),$DK$3,IF(AND(C260&gt;=$CH$1,C260&lt;=$CH$2),$DL$3,IF(AND(C260&gt;=$CI$1,C260&lt;=$CI$2),$DM$3,IF(AND(C260&gt;=$CJ$1,C260&lt;=$CJ$2),$DN$3,IF(C260&lt;=$CK$2,$DO$3,"")))))))))</f>
        <v/>
      </c>
      <c r="AQ260" s="46" t="str">
        <f t="shared" ref="AQ260:AQ323" si="139">IF(C260="","",IF(AA260&gt;=3,"",IF(AC260&gt;=2,"",IF(C260&gt;=$CF$2,$DP$3,IF(AND(C260&gt;=$CG$1,C260&lt;=$CG$2),$DQ$3,IF(AND(C260&gt;=$CH$1,C260&lt;=$CH$2),$DR$3,IF(AND(C260&gt;=$CI$1,C260&lt;=$CI$2),$DS$3,IF(AND(C260&gt;=$CJ$1,C260&lt;=$CJ$2),$DT$3,IF(C260&lt;=$CK$2,$DU$3,"")))))))))</f>
        <v/>
      </c>
      <c r="AR260" s="46" t="str">
        <f t="shared" ref="AR260:AR323" si="140">IF(C260="","",IF(AA260&gt;=3,"",IF(AC260&gt;=2,"",IF(C260&gt;=$CF$2,$DV$3,IF(AND(C260&gt;=$CG$1,C260&lt;=$CG$2),$DW$3,IF(AND(C260&gt;=$CH$1,C260&lt;=$CH$2),$DX$3,IF(AND(C260&gt;=$CI$1,C260&lt;=$CI$2),$DY$3,IF(AND(C260&gt;=$CJ$1,C260&lt;=$CJ$2),$DZ$3,IF(C260&lt;=$CK$2,$EA$3,"")))))))))</f>
        <v/>
      </c>
      <c r="AS260" s="46" t="str">
        <f t="shared" ref="AS260:AS323" si="141">IF(C260="","",IF(AA260&gt;=3,"",IF(AC260&gt;=2,"",IF(C260&gt;=$CF$2,$EB$3,IF(AND(C260&gt;=$CG$1,C260&lt;=$CG$2),$EC$3,IF(AND(C260&gt;=$CH$1,C260&lt;=$CH$2),$ED$3,IF(AND(C260&gt;=$CI$1,C260&lt;=$CI$2),$EE$3,IF(AND(C260&gt;=$CJ$1,C260&lt;=$CJ$2),$EF$3,IF(C260&lt;=$CK$2,$EG$3,"")))))))))</f>
        <v/>
      </c>
      <c r="AT260" s="46" t="str">
        <f t="shared" ref="AT260:AT323" si="142">IF(C260="","",IF(AA260&gt;=3,"",IF(AC260&gt;=2,"",IF(C260&gt;=$CF$2,$EH$3,IF(AND(C260&gt;=$CG$1,C260&lt;=$CG$2),$EI$3,IF(AND(C260&gt;=$CH$1,C260&lt;=$CH$2),$EJ$3,IF(AND(C260&gt;=$CI$1,C260&lt;=$CI$2),$EK$3,IF(AND(C260&gt;=$CJ$1,C260&lt;=$CJ$2),$EL$3,IF(C260&lt;=$CK$2,$EM$3,"")))))))))</f>
        <v/>
      </c>
      <c r="AU260" s="46" t="str">
        <f t="shared" ref="AU260:AU323" si="143">IF(C260="","",IF(AA260&gt;=3,"",IF(AC260&gt;=2,"",IF(C260&gt;=$CF$2,$EN$3,IF(AND(C260&gt;=$CG$1,C260&lt;=$CG$2),$EO$3,IF(AND(C260&gt;=$CH$1,C260&lt;=$CH$2),$EP$3,IF(AND(C260&gt;=$CI$1,C260&lt;=$CI$2),$EQ$3,IF(AND(C260&gt;=$CJ$1,C260&lt;=$CJ$2),$ER$3,IF(C260&lt;=$CK$2,$ES$3,"")))))))))</f>
        <v/>
      </c>
      <c r="AV260" s="46" t="str">
        <f t="shared" ref="AV260:AV323" si="144">IF(C260="","",IF(AA260&gt;=3,"",IF(C260&gt;=$CG$1,$ET$3,IF(AND(C260&gt;=$CI$1,C260&lt;=$CH$2),$EU$3,IF(C260&lt;=$CJ$2,$EV$3,"")))))</f>
        <v/>
      </c>
      <c r="AW260" s="46" t="str">
        <f t="shared" ref="AW260:AW323" si="145">IF(C260="","",IF(AND(D260="",E260="",G260="",H260="",I260="",J260=""),"ADAPTADO",""))</f>
        <v/>
      </c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20"/>
    </row>
    <row r="261" spans="2:154">
      <c r="B261" s="1"/>
      <c r="C261" s="2"/>
      <c r="D261" s="34"/>
      <c r="E261" s="34"/>
      <c r="F261" s="34"/>
      <c r="G261" s="34"/>
      <c r="H261" s="4"/>
      <c r="I261" s="4"/>
      <c r="J261" s="4"/>
      <c r="K261" s="3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37"/>
      <c r="X261" s="1"/>
      <c r="Y261" s="18">
        <f t="shared" si="121"/>
        <v>0</v>
      </c>
      <c r="Z261" s="21">
        <f t="shared" si="122"/>
        <v>0</v>
      </c>
      <c r="AA261" s="10">
        <f t="shared" si="123"/>
        <v>0</v>
      </c>
      <c r="AB261" s="10">
        <f t="shared" si="124"/>
        <v>0</v>
      </c>
      <c r="AC261" s="10">
        <f t="shared" si="125"/>
        <v>0</v>
      </c>
      <c r="AD261" s="46" t="str">
        <f t="shared" si="126"/>
        <v/>
      </c>
      <c r="AE261" s="46" t="str">
        <f t="shared" si="127"/>
        <v/>
      </c>
      <c r="AF261" s="46" t="str">
        <f t="shared" si="128"/>
        <v/>
      </c>
      <c r="AG261" s="46" t="str">
        <f t="shared" si="129"/>
        <v/>
      </c>
      <c r="AH261" s="46" t="str">
        <f t="shared" si="130"/>
        <v/>
      </c>
      <c r="AI261" s="46" t="str">
        <f t="shared" si="131"/>
        <v/>
      </c>
      <c r="AJ261" s="46" t="str">
        <f t="shared" si="132"/>
        <v/>
      </c>
      <c r="AK261" s="46" t="str">
        <f t="shared" si="133"/>
        <v/>
      </c>
      <c r="AL261" s="46" t="str">
        <f t="shared" si="134"/>
        <v/>
      </c>
      <c r="AM261" s="46" t="str">
        <f t="shared" si="135"/>
        <v/>
      </c>
      <c r="AN261" s="46" t="str">
        <f t="shared" si="136"/>
        <v/>
      </c>
      <c r="AO261" s="46" t="str">
        <f t="shared" si="137"/>
        <v/>
      </c>
      <c r="AP261" s="46" t="str">
        <f t="shared" si="138"/>
        <v/>
      </c>
      <c r="AQ261" s="46" t="str">
        <f t="shared" si="139"/>
        <v/>
      </c>
      <c r="AR261" s="46" t="str">
        <f t="shared" si="140"/>
        <v/>
      </c>
      <c r="AS261" s="46" t="str">
        <f t="shared" si="141"/>
        <v/>
      </c>
      <c r="AT261" s="46" t="str">
        <f t="shared" si="142"/>
        <v/>
      </c>
      <c r="AU261" s="46" t="str">
        <f t="shared" si="143"/>
        <v/>
      </c>
      <c r="AV261" s="46" t="str">
        <f t="shared" si="144"/>
        <v/>
      </c>
      <c r="AW261" s="46" t="str">
        <f t="shared" si="145"/>
        <v/>
      </c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20"/>
    </row>
    <row r="262" spans="2:154">
      <c r="B262" s="1"/>
      <c r="C262" s="2"/>
      <c r="D262" s="34"/>
      <c r="E262" s="34"/>
      <c r="F262" s="34"/>
      <c r="G262" s="34"/>
      <c r="H262" s="4"/>
      <c r="I262" s="4"/>
      <c r="J262" s="4"/>
      <c r="K262" s="3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37"/>
      <c r="X262" s="1"/>
      <c r="Y262" s="18">
        <f t="shared" si="121"/>
        <v>0</v>
      </c>
      <c r="Z262" s="21">
        <f t="shared" si="122"/>
        <v>0</v>
      </c>
      <c r="AA262" s="10">
        <f t="shared" si="123"/>
        <v>0</v>
      </c>
      <c r="AB262" s="10">
        <f t="shared" si="124"/>
        <v>0</v>
      </c>
      <c r="AC262" s="10">
        <f t="shared" si="125"/>
        <v>0</v>
      </c>
      <c r="AD262" s="46" t="str">
        <f t="shared" si="126"/>
        <v/>
      </c>
      <c r="AE262" s="46" t="str">
        <f t="shared" si="127"/>
        <v/>
      </c>
      <c r="AF262" s="46" t="str">
        <f t="shared" si="128"/>
        <v/>
      </c>
      <c r="AG262" s="46" t="str">
        <f t="shared" si="129"/>
        <v/>
      </c>
      <c r="AH262" s="46" t="str">
        <f t="shared" si="130"/>
        <v/>
      </c>
      <c r="AI262" s="46" t="str">
        <f t="shared" si="131"/>
        <v/>
      </c>
      <c r="AJ262" s="46" t="str">
        <f t="shared" si="132"/>
        <v/>
      </c>
      <c r="AK262" s="46" t="str">
        <f t="shared" si="133"/>
        <v/>
      </c>
      <c r="AL262" s="46" t="str">
        <f t="shared" si="134"/>
        <v/>
      </c>
      <c r="AM262" s="46" t="str">
        <f t="shared" si="135"/>
        <v/>
      </c>
      <c r="AN262" s="46" t="str">
        <f t="shared" si="136"/>
        <v/>
      </c>
      <c r="AO262" s="46" t="str">
        <f t="shared" si="137"/>
        <v/>
      </c>
      <c r="AP262" s="46" t="str">
        <f t="shared" si="138"/>
        <v/>
      </c>
      <c r="AQ262" s="46" t="str">
        <f t="shared" si="139"/>
        <v/>
      </c>
      <c r="AR262" s="46" t="str">
        <f t="shared" si="140"/>
        <v/>
      </c>
      <c r="AS262" s="46" t="str">
        <f t="shared" si="141"/>
        <v/>
      </c>
      <c r="AT262" s="46" t="str">
        <f t="shared" si="142"/>
        <v/>
      </c>
      <c r="AU262" s="46" t="str">
        <f t="shared" si="143"/>
        <v/>
      </c>
      <c r="AV262" s="46" t="str">
        <f t="shared" si="144"/>
        <v/>
      </c>
      <c r="AW262" s="46" t="str">
        <f t="shared" si="145"/>
        <v/>
      </c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20"/>
    </row>
    <row r="263" spans="2:154">
      <c r="B263" s="1"/>
      <c r="C263" s="2"/>
      <c r="D263" s="34"/>
      <c r="E263" s="34"/>
      <c r="F263" s="34"/>
      <c r="G263" s="34"/>
      <c r="H263" s="4"/>
      <c r="I263" s="4"/>
      <c r="J263" s="4"/>
      <c r="K263" s="3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37"/>
      <c r="X263" s="1"/>
      <c r="Y263" s="18">
        <f t="shared" si="121"/>
        <v>0</v>
      </c>
      <c r="Z263" s="21">
        <f t="shared" si="122"/>
        <v>0</v>
      </c>
      <c r="AA263" s="10">
        <f t="shared" si="123"/>
        <v>0</v>
      </c>
      <c r="AB263" s="10">
        <f t="shared" si="124"/>
        <v>0</v>
      </c>
      <c r="AC263" s="10">
        <f t="shared" si="125"/>
        <v>0</v>
      </c>
      <c r="AD263" s="46" t="str">
        <f t="shared" si="126"/>
        <v/>
      </c>
      <c r="AE263" s="46" t="str">
        <f t="shared" si="127"/>
        <v/>
      </c>
      <c r="AF263" s="46" t="str">
        <f t="shared" si="128"/>
        <v/>
      </c>
      <c r="AG263" s="46" t="str">
        <f t="shared" si="129"/>
        <v/>
      </c>
      <c r="AH263" s="46" t="str">
        <f t="shared" si="130"/>
        <v/>
      </c>
      <c r="AI263" s="46" t="str">
        <f t="shared" si="131"/>
        <v/>
      </c>
      <c r="AJ263" s="46" t="str">
        <f t="shared" si="132"/>
        <v/>
      </c>
      <c r="AK263" s="46" t="str">
        <f t="shared" si="133"/>
        <v/>
      </c>
      <c r="AL263" s="46" t="str">
        <f t="shared" si="134"/>
        <v/>
      </c>
      <c r="AM263" s="46" t="str">
        <f t="shared" si="135"/>
        <v/>
      </c>
      <c r="AN263" s="46" t="str">
        <f t="shared" si="136"/>
        <v/>
      </c>
      <c r="AO263" s="46" t="str">
        <f t="shared" si="137"/>
        <v/>
      </c>
      <c r="AP263" s="46" t="str">
        <f t="shared" si="138"/>
        <v/>
      </c>
      <c r="AQ263" s="46" t="str">
        <f t="shared" si="139"/>
        <v/>
      </c>
      <c r="AR263" s="46" t="str">
        <f t="shared" si="140"/>
        <v/>
      </c>
      <c r="AS263" s="46" t="str">
        <f t="shared" si="141"/>
        <v/>
      </c>
      <c r="AT263" s="46" t="str">
        <f t="shared" si="142"/>
        <v/>
      </c>
      <c r="AU263" s="46" t="str">
        <f t="shared" si="143"/>
        <v/>
      </c>
      <c r="AV263" s="46" t="str">
        <f t="shared" si="144"/>
        <v/>
      </c>
      <c r="AW263" s="46" t="str">
        <f t="shared" si="145"/>
        <v/>
      </c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20"/>
    </row>
    <row r="264" spans="2:154">
      <c r="B264" s="1"/>
      <c r="C264" s="2"/>
      <c r="D264" s="34"/>
      <c r="E264" s="34"/>
      <c r="F264" s="34"/>
      <c r="G264" s="34"/>
      <c r="H264" s="4"/>
      <c r="I264" s="4"/>
      <c r="J264" s="4"/>
      <c r="K264" s="3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37"/>
      <c r="X264" s="1"/>
      <c r="Y264" s="18">
        <f t="shared" si="121"/>
        <v>0</v>
      </c>
      <c r="Z264" s="21">
        <f t="shared" si="122"/>
        <v>0</v>
      </c>
      <c r="AA264" s="10">
        <f t="shared" si="123"/>
        <v>0</v>
      </c>
      <c r="AB264" s="10">
        <f t="shared" si="124"/>
        <v>0</v>
      </c>
      <c r="AC264" s="10">
        <f t="shared" si="125"/>
        <v>0</v>
      </c>
      <c r="AD264" s="46" t="str">
        <f t="shared" si="126"/>
        <v/>
      </c>
      <c r="AE264" s="46" t="str">
        <f t="shared" si="127"/>
        <v/>
      </c>
      <c r="AF264" s="46" t="str">
        <f t="shared" si="128"/>
        <v/>
      </c>
      <c r="AG264" s="46" t="str">
        <f t="shared" si="129"/>
        <v/>
      </c>
      <c r="AH264" s="46" t="str">
        <f t="shared" si="130"/>
        <v/>
      </c>
      <c r="AI264" s="46" t="str">
        <f t="shared" si="131"/>
        <v/>
      </c>
      <c r="AJ264" s="46" t="str">
        <f t="shared" si="132"/>
        <v/>
      </c>
      <c r="AK264" s="46" t="str">
        <f t="shared" si="133"/>
        <v/>
      </c>
      <c r="AL264" s="46" t="str">
        <f t="shared" si="134"/>
        <v/>
      </c>
      <c r="AM264" s="46" t="str">
        <f t="shared" si="135"/>
        <v/>
      </c>
      <c r="AN264" s="46" t="str">
        <f t="shared" si="136"/>
        <v/>
      </c>
      <c r="AO264" s="46" t="str">
        <f t="shared" si="137"/>
        <v/>
      </c>
      <c r="AP264" s="46" t="str">
        <f t="shared" si="138"/>
        <v/>
      </c>
      <c r="AQ264" s="46" t="str">
        <f t="shared" si="139"/>
        <v/>
      </c>
      <c r="AR264" s="46" t="str">
        <f t="shared" si="140"/>
        <v/>
      </c>
      <c r="AS264" s="46" t="str">
        <f t="shared" si="141"/>
        <v/>
      </c>
      <c r="AT264" s="46" t="str">
        <f t="shared" si="142"/>
        <v/>
      </c>
      <c r="AU264" s="46" t="str">
        <f t="shared" si="143"/>
        <v/>
      </c>
      <c r="AV264" s="46" t="str">
        <f t="shared" si="144"/>
        <v/>
      </c>
      <c r="AW264" s="46" t="str">
        <f t="shared" si="145"/>
        <v/>
      </c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20"/>
    </row>
    <row r="265" spans="2:154">
      <c r="B265" s="1"/>
      <c r="C265" s="2"/>
      <c r="D265" s="34"/>
      <c r="E265" s="34"/>
      <c r="F265" s="34"/>
      <c r="G265" s="34"/>
      <c r="H265" s="4"/>
      <c r="I265" s="4"/>
      <c r="J265" s="4"/>
      <c r="K265" s="3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37"/>
      <c r="X265" s="1"/>
      <c r="Y265" s="18">
        <f t="shared" si="121"/>
        <v>0</v>
      </c>
      <c r="Z265" s="21">
        <f t="shared" si="122"/>
        <v>0</v>
      </c>
      <c r="AA265" s="10">
        <f t="shared" si="123"/>
        <v>0</v>
      </c>
      <c r="AB265" s="10">
        <f t="shared" si="124"/>
        <v>0</v>
      </c>
      <c r="AC265" s="10">
        <f t="shared" si="125"/>
        <v>0</v>
      </c>
      <c r="AD265" s="46" t="str">
        <f t="shared" si="126"/>
        <v/>
      </c>
      <c r="AE265" s="46" t="str">
        <f t="shared" si="127"/>
        <v/>
      </c>
      <c r="AF265" s="46" t="str">
        <f t="shared" si="128"/>
        <v/>
      </c>
      <c r="AG265" s="46" t="str">
        <f t="shared" si="129"/>
        <v/>
      </c>
      <c r="AH265" s="46" t="str">
        <f t="shared" si="130"/>
        <v/>
      </c>
      <c r="AI265" s="46" t="str">
        <f t="shared" si="131"/>
        <v/>
      </c>
      <c r="AJ265" s="46" t="str">
        <f t="shared" si="132"/>
        <v/>
      </c>
      <c r="AK265" s="46" t="str">
        <f t="shared" si="133"/>
        <v/>
      </c>
      <c r="AL265" s="46" t="str">
        <f t="shared" si="134"/>
        <v/>
      </c>
      <c r="AM265" s="46" t="str">
        <f t="shared" si="135"/>
        <v/>
      </c>
      <c r="AN265" s="46" t="str">
        <f t="shared" si="136"/>
        <v/>
      </c>
      <c r="AO265" s="46" t="str">
        <f t="shared" si="137"/>
        <v/>
      </c>
      <c r="AP265" s="46" t="str">
        <f t="shared" si="138"/>
        <v/>
      </c>
      <c r="AQ265" s="46" t="str">
        <f t="shared" si="139"/>
        <v/>
      </c>
      <c r="AR265" s="46" t="str">
        <f t="shared" si="140"/>
        <v/>
      </c>
      <c r="AS265" s="46" t="str">
        <f t="shared" si="141"/>
        <v/>
      </c>
      <c r="AT265" s="46" t="str">
        <f t="shared" si="142"/>
        <v/>
      </c>
      <c r="AU265" s="46" t="str">
        <f t="shared" si="143"/>
        <v/>
      </c>
      <c r="AV265" s="46" t="str">
        <f t="shared" si="144"/>
        <v/>
      </c>
      <c r="AW265" s="46" t="str">
        <f t="shared" si="145"/>
        <v/>
      </c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20"/>
    </row>
    <row r="266" spans="2:154">
      <c r="B266" s="1"/>
      <c r="C266" s="2"/>
      <c r="D266" s="34"/>
      <c r="E266" s="34"/>
      <c r="F266" s="34"/>
      <c r="G266" s="34"/>
      <c r="H266" s="4"/>
      <c r="I266" s="4"/>
      <c r="J266" s="4"/>
      <c r="K266" s="3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37"/>
      <c r="X266" s="1"/>
      <c r="Y266" s="18">
        <f t="shared" si="121"/>
        <v>0</v>
      </c>
      <c r="Z266" s="21">
        <f t="shared" si="122"/>
        <v>0</v>
      </c>
      <c r="AA266" s="10">
        <f t="shared" si="123"/>
        <v>0</v>
      </c>
      <c r="AB266" s="10">
        <f t="shared" si="124"/>
        <v>0</v>
      </c>
      <c r="AC266" s="10">
        <f t="shared" si="125"/>
        <v>0</v>
      </c>
      <c r="AD266" s="46" t="str">
        <f t="shared" si="126"/>
        <v/>
      </c>
      <c r="AE266" s="46" t="str">
        <f t="shared" si="127"/>
        <v/>
      </c>
      <c r="AF266" s="46" t="str">
        <f t="shared" si="128"/>
        <v/>
      </c>
      <c r="AG266" s="46" t="str">
        <f t="shared" si="129"/>
        <v/>
      </c>
      <c r="AH266" s="46" t="str">
        <f t="shared" si="130"/>
        <v/>
      </c>
      <c r="AI266" s="46" t="str">
        <f t="shared" si="131"/>
        <v/>
      </c>
      <c r="AJ266" s="46" t="str">
        <f t="shared" si="132"/>
        <v/>
      </c>
      <c r="AK266" s="46" t="str">
        <f t="shared" si="133"/>
        <v/>
      </c>
      <c r="AL266" s="46" t="str">
        <f t="shared" si="134"/>
        <v/>
      </c>
      <c r="AM266" s="46" t="str">
        <f t="shared" si="135"/>
        <v/>
      </c>
      <c r="AN266" s="46" t="str">
        <f t="shared" si="136"/>
        <v/>
      </c>
      <c r="AO266" s="46" t="str">
        <f t="shared" si="137"/>
        <v/>
      </c>
      <c r="AP266" s="46" t="str">
        <f t="shared" si="138"/>
        <v/>
      </c>
      <c r="AQ266" s="46" t="str">
        <f t="shared" si="139"/>
        <v/>
      </c>
      <c r="AR266" s="46" t="str">
        <f t="shared" si="140"/>
        <v/>
      </c>
      <c r="AS266" s="46" t="str">
        <f t="shared" si="141"/>
        <v/>
      </c>
      <c r="AT266" s="46" t="str">
        <f t="shared" si="142"/>
        <v/>
      </c>
      <c r="AU266" s="46" t="str">
        <f t="shared" si="143"/>
        <v/>
      </c>
      <c r="AV266" s="46" t="str">
        <f t="shared" si="144"/>
        <v/>
      </c>
      <c r="AW266" s="46" t="str">
        <f t="shared" si="145"/>
        <v/>
      </c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20"/>
    </row>
    <row r="267" spans="2:154">
      <c r="B267" s="1"/>
      <c r="C267" s="2"/>
      <c r="D267" s="34"/>
      <c r="E267" s="34"/>
      <c r="F267" s="34"/>
      <c r="G267" s="34"/>
      <c r="H267" s="4"/>
      <c r="I267" s="4"/>
      <c r="J267" s="4"/>
      <c r="K267" s="3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37"/>
      <c r="X267" s="1"/>
      <c r="Y267" s="18">
        <f t="shared" si="121"/>
        <v>0</v>
      </c>
      <c r="Z267" s="21">
        <f t="shared" si="122"/>
        <v>0</v>
      </c>
      <c r="AA267" s="10">
        <f t="shared" si="123"/>
        <v>0</v>
      </c>
      <c r="AB267" s="10">
        <f t="shared" si="124"/>
        <v>0</v>
      </c>
      <c r="AC267" s="10">
        <f t="shared" si="125"/>
        <v>0</v>
      </c>
      <c r="AD267" s="46" t="str">
        <f t="shared" si="126"/>
        <v/>
      </c>
      <c r="AE267" s="46" t="str">
        <f t="shared" si="127"/>
        <v/>
      </c>
      <c r="AF267" s="46" t="str">
        <f t="shared" si="128"/>
        <v/>
      </c>
      <c r="AG267" s="46" t="str">
        <f t="shared" si="129"/>
        <v/>
      </c>
      <c r="AH267" s="46" t="str">
        <f t="shared" si="130"/>
        <v/>
      </c>
      <c r="AI267" s="46" t="str">
        <f t="shared" si="131"/>
        <v/>
      </c>
      <c r="AJ267" s="46" t="str">
        <f t="shared" si="132"/>
        <v/>
      </c>
      <c r="AK267" s="46" t="str">
        <f t="shared" si="133"/>
        <v/>
      </c>
      <c r="AL267" s="46" t="str">
        <f t="shared" si="134"/>
        <v/>
      </c>
      <c r="AM267" s="46" t="str">
        <f t="shared" si="135"/>
        <v/>
      </c>
      <c r="AN267" s="46" t="str">
        <f t="shared" si="136"/>
        <v/>
      </c>
      <c r="AO267" s="46" t="str">
        <f t="shared" si="137"/>
        <v/>
      </c>
      <c r="AP267" s="46" t="str">
        <f t="shared" si="138"/>
        <v/>
      </c>
      <c r="AQ267" s="46" t="str">
        <f t="shared" si="139"/>
        <v/>
      </c>
      <c r="AR267" s="46" t="str">
        <f t="shared" si="140"/>
        <v/>
      </c>
      <c r="AS267" s="46" t="str">
        <f t="shared" si="141"/>
        <v/>
      </c>
      <c r="AT267" s="46" t="str">
        <f t="shared" si="142"/>
        <v/>
      </c>
      <c r="AU267" s="46" t="str">
        <f t="shared" si="143"/>
        <v/>
      </c>
      <c r="AV267" s="46" t="str">
        <f t="shared" si="144"/>
        <v/>
      </c>
      <c r="AW267" s="46" t="str">
        <f t="shared" si="145"/>
        <v/>
      </c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20"/>
    </row>
    <row r="268" spans="2:154">
      <c r="B268" s="1"/>
      <c r="C268" s="2"/>
      <c r="D268" s="34"/>
      <c r="E268" s="34"/>
      <c r="F268" s="34"/>
      <c r="G268" s="34"/>
      <c r="H268" s="4"/>
      <c r="I268" s="4"/>
      <c r="J268" s="4"/>
      <c r="K268" s="3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37"/>
      <c r="X268" s="1"/>
      <c r="Y268" s="18">
        <f t="shared" si="121"/>
        <v>0</v>
      </c>
      <c r="Z268" s="21">
        <f t="shared" si="122"/>
        <v>0</v>
      </c>
      <c r="AA268" s="10">
        <f t="shared" si="123"/>
        <v>0</v>
      </c>
      <c r="AB268" s="10">
        <f t="shared" si="124"/>
        <v>0</v>
      </c>
      <c r="AC268" s="10">
        <f t="shared" si="125"/>
        <v>0</v>
      </c>
      <c r="AD268" s="46" t="str">
        <f t="shared" si="126"/>
        <v/>
      </c>
      <c r="AE268" s="46" t="str">
        <f t="shared" si="127"/>
        <v/>
      </c>
      <c r="AF268" s="46" t="str">
        <f t="shared" si="128"/>
        <v/>
      </c>
      <c r="AG268" s="46" t="str">
        <f t="shared" si="129"/>
        <v/>
      </c>
      <c r="AH268" s="46" t="str">
        <f t="shared" si="130"/>
        <v/>
      </c>
      <c r="AI268" s="46" t="str">
        <f t="shared" si="131"/>
        <v/>
      </c>
      <c r="AJ268" s="46" t="str">
        <f t="shared" si="132"/>
        <v/>
      </c>
      <c r="AK268" s="46" t="str">
        <f t="shared" si="133"/>
        <v/>
      </c>
      <c r="AL268" s="46" t="str">
        <f t="shared" si="134"/>
        <v/>
      </c>
      <c r="AM268" s="46" t="str">
        <f t="shared" si="135"/>
        <v/>
      </c>
      <c r="AN268" s="46" t="str">
        <f t="shared" si="136"/>
        <v/>
      </c>
      <c r="AO268" s="46" t="str">
        <f t="shared" si="137"/>
        <v/>
      </c>
      <c r="AP268" s="46" t="str">
        <f t="shared" si="138"/>
        <v/>
      </c>
      <c r="AQ268" s="46" t="str">
        <f t="shared" si="139"/>
        <v/>
      </c>
      <c r="AR268" s="46" t="str">
        <f t="shared" si="140"/>
        <v/>
      </c>
      <c r="AS268" s="46" t="str">
        <f t="shared" si="141"/>
        <v/>
      </c>
      <c r="AT268" s="46" t="str">
        <f t="shared" si="142"/>
        <v/>
      </c>
      <c r="AU268" s="46" t="str">
        <f t="shared" si="143"/>
        <v/>
      </c>
      <c r="AV268" s="46" t="str">
        <f t="shared" si="144"/>
        <v/>
      </c>
      <c r="AW268" s="46" t="str">
        <f t="shared" si="145"/>
        <v/>
      </c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20"/>
    </row>
    <row r="269" spans="2:154">
      <c r="B269" s="1"/>
      <c r="C269" s="2"/>
      <c r="D269" s="34"/>
      <c r="E269" s="34"/>
      <c r="F269" s="34"/>
      <c r="G269" s="34"/>
      <c r="H269" s="4"/>
      <c r="I269" s="4"/>
      <c r="J269" s="4"/>
      <c r="K269" s="3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37"/>
      <c r="X269" s="1"/>
      <c r="Y269" s="18">
        <f t="shared" si="121"/>
        <v>0</v>
      </c>
      <c r="Z269" s="21">
        <f t="shared" si="122"/>
        <v>0</v>
      </c>
      <c r="AA269" s="10">
        <f t="shared" si="123"/>
        <v>0</v>
      </c>
      <c r="AB269" s="10">
        <f t="shared" si="124"/>
        <v>0</v>
      </c>
      <c r="AC269" s="10">
        <f t="shared" si="125"/>
        <v>0</v>
      </c>
      <c r="AD269" s="46" t="str">
        <f t="shared" si="126"/>
        <v/>
      </c>
      <c r="AE269" s="46" t="str">
        <f t="shared" si="127"/>
        <v/>
      </c>
      <c r="AF269" s="46" t="str">
        <f t="shared" si="128"/>
        <v/>
      </c>
      <c r="AG269" s="46" t="str">
        <f t="shared" si="129"/>
        <v/>
      </c>
      <c r="AH269" s="46" t="str">
        <f t="shared" si="130"/>
        <v/>
      </c>
      <c r="AI269" s="46" t="str">
        <f t="shared" si="131"/>
        <v/>
      </c>
      <c r="AJ269" s="46" t="str">
        <f t="shared" si="132"/>
        <v/>
      </c>
      <c r="AK269" s="46" t="str">
        <f t="shared" si="133"/>
        <v/>
      </c>
      <c r="AL269" s="46" t="str">
        <f t="shared" si="134"/>
        <v/>
      </c>
      <c r="AM269" s="46" t="str">
        <f t="shared" si="135"/>
        <v/>
      </c>
      <c r="AN269" s="46" t="str">
        <f t="shared" si="136"/>
        <v/>
      </c>
      <c r="AO269" s="46" t="str">
        <f t="shared" si="137"/>
        <v/>
      </c>
      <c r="AP269" s="46" t="str">
        <f t="shared" si="138"/>
        <v/>
      </c>
      <c r="AQ269" s="46" t="str">
        <f t="shared" si="139"/>
        <v/>
      </c>
      <c r="AR269" s="46" t="str">
        <f t="shared" si="140"/>
        <v/>
      </c>
      <c r="AS269" s="46" t="str">
        <f t="shared" si="141"/>
        <v/>
      </c>
      <c r="AT269" s="46" t="str">
        <f t="shared" si="142"/>
        <v/>
      </c>
      <c r="AU269" s="46" t="str">
        <f t="shared" si="143"/>
        <v/>
      </c>
      <c r="AV269" s="46" t="str">
        <f t="shared" si="144"/>
        <v/>
      </c>
      <c r="AW269" s="46" t="str">
        <f t="shared" si="145"/>
        <v/>
      </c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20"/>
    </row>
    <row r="270" spans="2:154">
      <c r="B270" s="1"/>
      <c r="C270" s="2"/>
      <c r="D270" s="34"/>
      <c r="E270" s="34"/>
      <c r="F270" s="34"/>
      <c r="G270" s="34"/>
      <c r="H270" s="4"/>
      <c r="I270" s="4"/>
      <c r="J270" s="4"/>
      <c r="K270" s="3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37"/>
      <c r="X270" s="1"/>
      <c r="Y270" s="18">
        <f t="shared" si="121"/>
        <v>0</v>
      </c>
      <c r="Z270" s="21">
        <f t="shared" si="122"/>
        <v>0</v>
      </c>
      <c r="AA270" s="10">
        <f t="shared" si="123"/>
        <v>0</v>
      </c>
      <c r="AB270" s="10">
        <f t="shared" si="124"/>
        <v>0</v>
      </c>
      <c r="AC270" s="10">
        <f t="shared" si="125"/>
        <v>0</v>
      </c>
      <c r="AD270" s="46" t="str">
        <f t="shared" si="126"/>
        <v/>
      </c>
      <c r="AE270" s="46" t="str">
        <f t="shared" si="127"/>
        <v/>
      </c>
      <c r="AF270" s="46" t="str">
        <f t="shared" si="128"/>
        <v/>
      </c>
      <c r="AG270" s="46" t="str">
        <f t="shared" si="129"/>
        <v/>
      </c>
      <c r="AH270" s="46" t="str">
        <f t="shared" si="130"/>
        <v/>
      </c>
      <c r="AI270" s="46" t="str">
        <f t="shared" si="131"/>
        <v/>
      </c>
      <c r="AJ270" s="46" t="str">
        <f t="shared" si="132"/>
        <v/>
      </c>
      <c r="AK270" s="46" t="str">
        <f t="shared" si="133"/>
        <v/>
      </c>
      <c r="AL270" s="46" t="str">
        <f t="shared" si="134"/>
        <v/>
      </c>
      <c r="AM270" s="46" t="str">
        <f t="shared" si="135"/>
        <v/>
      </c>
      <c r="AN270" s="46" t="str">
        <f t="shared" si="136"/>
        <v/>
      </c>
      <c r="AO270" s="46" t="str">
        <f t="shared" si="137"/>
        <v/>
      </c>
      <c r="AP270" s="46" t="str">
        <f t="shared" si="138"/>
        <v/>
      </c>
      <c r="AQ270" s="46" t="str">
        <f t="shared" si="139"/>
        <v/>
      </c>
      <c r="AR270" s="46" t="str">
        <f t="shared" si="140"/>
        <v/>
      </c>
      <c r="AS270" s="46" t="str">
        <f t="shared" si="141"/>
        <v/>
      </c>
      <c r="AT270" s="46" t="str">
        <f t="shared" si="142"/>
        <v/>
      </c>
      <c r="AU270" s="46" t="str">
        <f t="shared" si="143"/>
        <v/>
      </c>
      <c r="AV270" s="46" t="str">
        <f t="shared" si="144"/>
        <v/>
      </c>
      <c r="AW270" s="46" t="str">
        <f t="shared" si="145"/>
        <v/>
      </c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20"/>
    </row>
    <row r="271" spans="2:154">
      <c r="B271" s="1"/>
      <c r="C271" s="2"/>
      <c r="D271" s="34"/>
      <c r="E271" s="34"/>
      <c r="F271" s="34"/>
      <c r="G271" s="34"/>
      <c r="H271" s="4"/>
      <c r="I271" s="4"/>
      <c r="J271" s="4"/>
      <c r="K271" s="3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37"/>
      <c r="X271" s="1"/>
      <c r="Y271" s="18">
        <f t="shared" si="121"/>
        <v>0</v>
      </c>
      <c r="Z271" s="21">
        <f t="shared" si="122"/>
        <v>0</v>
      </c>
      <c r="AA271" s="10">
        <f t="shared" si="123"/>
        <v>0</v>
      </c>
      <c r="AB271" s="10">
        <f t="shared" si="124"/>
        <v>0</v>
      </c>
      <c r="AC271" s="10">
        <f t="shared" si="125"/>
        <v>0</v>
      </c>
      <c r="AD271" s="46" t="str">
        <f t="shared" si="126"/>
        <v/>
      </c>
      <c r="AE271" s="46" t="str">
        <f t="shared" si="127"/>
        <v/>
      </c>
      <c r="AF271" s="46" t="str">
        <f t="shared" si="128"/>
        <v/>
      </c>
      <c r="AG271" s="46" t="str">
        <f t="shared" si="129"/>
        <v/>
      </c>
      <c r="AH271" s="46" t="str">
        <f t="shared" si="130"/>
        <v/>
      </c>
      <c r="AI271" s="46" t="str">
        <f t="shared" si="131"/>
        <v/>
      </c>
      <c r="AJ271" s="46" t="str">
        <f t="shared" si="132"/>
        <v/>
      </c>
      <c r="AK271" s="46" t="str">
        <f t="shared" si="133"/>
        <v/>
      </c>
      <c r="AL271" s="46" t="str">
        <f t="shared" si="134"/>
        <v/>
      </c>
      <c r="AM271" s="46" t="str">
        <f t="shared" si="135"/>
        <v/>
      </c>
      <c r="AN271" s="46" t="str">
        <f t="shared" si="136"/>
        <v/>
      </c>
      <c r="AO271" s="46" t="str">
        <f t="shared" si="137"/>
        <v/>
      </c>
      <c r="AP271" s="46" t="str">
        <f t="shared" si="138"/>
        <v/>
      </c>
      <c r="AQ271" s="46" t="str">
        <f t="shared" si="139"/>
        <v/>
      </c>
      <c r="AR271" s="46" t="str">
        <f t="shared" si="140"/>
        <v/>
      </c>
      <c r="AS271" s="46" t="str">
        <f t="shared" si="141"/>
        <v/>
      </c>
      <c r="AT271" s="46" t="str">
        <f t="shared" si="142"/>
        <v/>
      </c>
      <c r="AU271" s="46" t="str">
        <f t="shared" si="143"/>
        <v/>
      </c>
      <c r="AV271" s="46" t="str">
        <f t="shared" si="144"/>
        <v/>
      </c>
      <c r="AW271" s="46" t="str">
        <f t="shared" si="145"/>
        <v/>
      </c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20"/>
    </row>
    <row r="272" spans="2:154">
      <c r="B272" s="1"/>
      <c r="C272" s="2"/>
      <c r="D272" s="34"/>
      <c r="E272" s="34"/>
      <c r="F272" s="34"/>
      <c r="G272" s="34"/>
      <c r="H272" s="4"/>
      <c r="I272" s="4"/>
      <c r="J272" s="4"/>
      <c r="K272" s="3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37"/>
      <c r="X272" s="1"/>
      <c r="Y272" s="18">
        <f t="shared" si="121"/>
        <v>0</v>
      </c>
      <c r="Z272" s="21">
        <f t="shared" si="122"/>
        <v>0</v>
      </c>
      <c r="AA272" s="10">
        <f t="shared" si="123"/>
        <v>0</v>
      </c>
      <c r="AB272" s="10">
        <f t="shared" si="124"/>
        <v>0</v>
      </c>
      <c r="AC272" s="10">
        <f t="shared" si="125"/>
        <v>0</v>
      </c>
      <c r="AD272" s="46" t="str">
        <f t="shared" si="126"/>
        <v/>
      </c>
      <c r="AE272" s="46" t="str">
        <f t="shared" si="127"/>
        <v/>
      </c>
      <c r="AF272" s="46" t="str">
        <f t="shared" si="128"/>
        <v/>
      </c>
      <c r="AG272" s="46" t="str">
        <f t="shared" si="129"/>
        <v/>
      </c>
      <c r="AH272" s="46" t="str">
        <f t="shared" si="130"/>
        <v/>
      </c>
      <c r="AI272" s="46" t="str">
        <f t="shared" si="131"/>
        <v/>
      </c>
      <c r="AJ272" s="46" t="str">
        <f t="shared" si="132"/>
        <v/>
      </c>
      <c r="AK272" s="46" t="str">
        <f t="shared" si="133"/>
        <v/>
      </c>
      <c r="AL272" s="46" t="str">
        <f t="shared" si="134"/>
        <v/>
      </c>
      <c r="AM272" s="46" t="str">
        <f t="shared" si="135"/>
        <v/>
      </c>
      <c r="AN272" s="46" t="str">
        <f t="shared" si="136"/>
        <v/>
      </c>
      <c r="AO272" s="46" t="str">
        <f t="shared" si="137"/>
        <v/>
      </c>
      <c r="AP272" s="46" t="str">
        <f t="shared" si="138"/>
        <v/>
      </c>
      <c r="AQ272" s="46" t="str">
        <f t="shared" si="139"/>
        <v/>
      </c>
      <c r="AR272" s="46" t="str">
        <f t="shared" si="140"/>
        <v/>
      </c>
      <c r="AS272" s="46" t="str">
        <f t="shared" si="141"/>
        <v/>
      </c>
      <c r="AT272" s="46" t="str">
        <f t="shared" si="142"/>
        <v/>
      </c>
      <c r="AU272" s="46" t="str">
        <f t="shared" si="143"/>
        <v/>
      </c>
      <c r="AV272" s="46" t="str">
        <f t="shared" si="144"/>
        <v/>
      </c>
      <c r="AW272" s="46" t="str">
        <f t="shared" si="145"/>
        <v/>
      </c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20"/>
    </row>
    <row r="273" spans="2:154">
      <c r="B273" s="1"/>
      <c r="C273" s="2"/>
      <c r="D273" s="34"/>
      <c r="E273" s="34"/>
      <c r="F273" s="34"/>
      <c r="G273" s="34"/>
      <c r="H273" s="4"/>
      <c r="I273" s="4"/>
      <c r="J273" s="4"/>
      <c r="K273" s="3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37"/>
      <c r="X273" s="1"/>
      <c r="Y273" s="18">
        <f t="shared" si="121"/>
        <v>0</v>
      </c>
      <c r="Z273" s="21">
        <f t="shared" si="122"/>
        <v>0</v>
      </c>
      <c r="AA273" s="10">
        <f t="shared" si="123"/>
        <v>0</v>
      </c>
      <c r="AB273" s="10">
        <f t="shared" si="124"/>
        <v>0</v>
      </c>
      <c r="AC273" s="10">
        <f t="shared" si="125"/>
        <v>0</v>
      </c>
      <c r="AD273" s="46" t="str">
        <f t="shared" si="126"/>
        <v/>
      </c>
      <c r="AE273" s="46" t="str">
        <f t="shared" si="127"/>
        <v/>
      </c>
      <c r="AF273" s="46" t="str">
        <f t="shared" si="128"/>
        <v/>
      </c>
      <c r="AG273" s="46" t="str">
        <f t="shared" si="129"/>
        <v/>
      </c>
      <c r="AH273" s="46" t="str">
        <f t="shared" si="130"/>
        <v/>
      </c>
      <c r="AI273" s="46" t="str">
        <f t="shared" si="131"/>
        <v/>
      </c>
      <c r="AJ273" s="46" t="str">
        <f t="shared" si="132"/>
        <v/>
      </c>
      <c r="AK273" s="46" t="str">
        <f t="shared" si="133"/>
        <v/>
      </c>
      <c r="AL273" s="46" t="str">
        <f t="shared" si="134"/>
        <v/>
      </c>
      <c r="AM273" s="46" t="str">
        <f t="shared" si="135"/>
        <v/>
      </c>
      <c r="AN273" s="46" t="str">
        <f t="shared" si="136"/>
        <v/>
      </c>
      <c r="AO273" s="46" t="str">
        <f t="shared" si="137"/>
        <v/>
      </c>
      <c r="AP273" s="46" t="str">
        <f t="shared" si="138"/>
        <v/>
      </c>
      <c r="AQ273" s="46" t="str">
        <f t="shared" si="139"/>
        <v/>
      </c>
      <c r="AR273" s="46" t="str">
        <f t="shared" si="140"/>
        <v/>
      </c>
      <c r="AS273" s="46" t="str">
        <f t="shared" si="141"/>
        <v/>
      </c>
      <c r="AT273" s="46" t="str">
        <f t="shared" si="142"/>
        <v/>
      </c>
      <c r="AU273" s="46" t="str">
        <f t="shared" si="143"/>
        <v/>
      </c>
      <c r="AV273" s="46" t="str">
        <f t="shared" si="144"/>
        <v/>
      </c>
      <c r="AW273" s="46" t="str">
        <f t="shared" si="145"/>
        <v/>
      </c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20"/>
    </row>
    <row r="274" spans="2:154">
      <c r="B274" s="1"/>
      <c r="C274" s="2"/>
      <c r="D274" s="34"/>
      <c r="E274" s="34"/>
      <c r="F274" s="34"/>
      <c r="G274" s="34"/>
      <c r="H274" s="4"/>
      <c r="I274" s="4"/>
      <c r="J274" s="4"/>
      <c r="K274" s="3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37"/>
      <c r="X274" s="1"/>
      <c r="Y274" s="18">
        <f t="shared" si="121"/>
        <v>0</v>
      </c>
      <c r="Z274" s="21">
        <f t="shared" si="122"/>
        <v>0</v>
      </c>
      <c r="AA274" s="10">
        <f t="shared" si="123"/>
        <v>0</v>
      </c>
      <c r="AB274" s="10">
        <f t="shared" si="124"/>
        <v>0</v>
      </c>
      <c r="AC274" s="10">
        <f t="shared" si="125"/>
        <v>0</v>
      </c>
      <c r="AD274" s="46" t="str">
        <f t="shared" si="126"/>
        <v/>
      </c>
      <c r="AE274" s="46" t="str">
        <f t="shared" si="127"/>
        <v/>
      </c>
      <c r="AF274" s="46" t="str">
        <f t="shared" si="128"/>
        <v/>
      </c>
      <c r="AG274" s="46" t="str">
        <f t="shared" si="129"/>
        <v/>
      </c>
      <c r="AH274" s="46" t="str">
        <f t="shared" si="130"/>
        <v/>
      </c>
      <c r="AI274" s="46" t="str">
        <f t="shared" si="131"/>
        <v/>
      </c>
      <c r="AJ274" s="46" t="str">
        <f t="shared" si="132"/>
        <v/>
      </c>
      <c r="AK274" s="46" t="str">
        <f t="shared" si="133"/>
        <v/>
      </c>
      <c r="AL274" s="46" t="str">
        <f t="shared" si="134"/>
        <v/>
      </c>
      <c r="AM274" s="46" t="str">
        <f t="shared" si="135"/>
        <v/>
      </c>
      <c r="AN274" s="46" t="str">
        <f t="shared" si="136"/>
        <v/>
      </c>
      <c r="AO274" s="46" t="str">
        <f t="shared" si="137"/>
        <v/>
      </c>
      <c r="AP274" s="46" t="str">
        <f t="shared" si="138"/>
        <v/>
      </c>
      <c r="AQ274" s="46" t="str">
        <f t="shared" si="139"/>
        <v/>
      </c>
      <c r="AR274" s="46" t="str">
        <f t="shared" si="140"/>
        <v/>
      </c>
      <c r="AS274" s="46" t="str">
        <f t="shared" si="141"/>
        <v/>
      </c>
      <c r="AT274" s="46" t="str">
        <f t="shared" si="142"/>
        <v/>
      </c>
      <c r="AU274" s="46" t="str">
        <f t="shared" si="143"/>
        <v/>
      </c>
      <c r="AV274" s="46" t="str">
        <f t="shared" si="144"/>
        <v/>
      </c>
      <c r="AW274" s="46" t="str">
        <f t="shared" si="145"/>
        <v/>
      </c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20"/>
    </row>
    <row r="275" spans="2:154">
      <c r="B275" s="1"/>
      <c r="C275" s="2"/>
      <c r="D275" s="34"/>
      <c r="E275" s="34"/>
      <c r="F275" s="34"/>
      <c r="G275" s="34"/>
      <c r="H275" s="4"/>
      <c r="I275" s="4"/>
      <c r="J275" s="4"/>
      <c r="K275" s="3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37"/>
      <c r="X275" s="1"/>
      <c r="Y275" s="18">
        <f t="shared" si="121"/>
        <v>0</v>
      </c>
      <c r="Z275" s="21">
        <f t="shared" si="122"/>
        <v>0</v>
      </c>
      <c r="AA275" s="10">
        <f t="shared" si="123"/>
        <v>0</v>
      </c>
      <c r="AB275" s="10">
        <f t="shared" si="124"/>
        <v>0</v>
      </c>
      <c r="AC275" s="10">
        <f t="shared" si="125"/>
        <v>0</v>
      </c>
      <c r="AD275" s="46" t="str">
        <f t="shared" si="126"/>
        <v/>
      </c>
      <c r="AE275" s="46" t="str">
        <f t="shared" si="127"/>
        <v/>
      </c>
      <c r="AF275" s="46" t="str">
        <f t="shared" si="128"/>
        <v/>
      </c>
      <c r="AG275" s="46" t="str">
        <f t="shared" si="129"/>
        <v/>
      </c>
      <c r="AH275" s="46" t="str">
        <f t="shared" si="130"/>
        <v/>
      </c>
      <c r="AI275" s="46" t="str">
        <f t="shared" si="131"/>
        <v/>
      </c>
      <c r="AJ275" s="46" t="str">
        <f t="shared" si="132"/>
        <v/>
      </c>
      <c r="AK275" s="46" t="str">
        <f t="shared" si="133"/>
        <v/>
      </c>
      <c r="AL275" s="46" t="str">
        <f t="shared" si="134"/>
        <v/>
      </c>
      <c r="AM275" s="46" t="str">
        <f t="shared" si="135"/>
        <v/>
      </c>
      <c r="AN275" s="46" t="str">
        <f t="shared" si="136"/>
        <v/>
      </c>
      <c r="AO275" s="46" t="str">
        <f t="shared" si="137"/>
        <v/>
      </c>
      <c r="AP275" s="46" t="str">
        <f t="shared" si="138"/>
        <v/>
      </c>
      <c r="AQ275" s="46" t="str">
        <f t="shared" si="139"/>
        <v/>
      </c>
      <c r="AR275" s="46" t="str">
        <f t="shared" si="140"/>
        <v/>
      </c>
      <c r="AS275" s="46" t="str">
        <f t="shared" si="141"/>
        <v/>
      </c>
      <c r="AT275" s="46" t="str">
        <f t="shared" si="142"/>
        <v/>
      </c>
      <c r="AU275" s="46" t="str">
        <f t="shared" si="143"/>
        <v/>
      </c>
      <c r="AV275" s="46" t="str">
        <f t="shared" si="144"/>
        <v/>
      </c>
      <c r="AW275" s="46" t="str">
        <f t="shared" si="145"/>
        <v/>
      </c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20"/>
    </row>
    <row r="276" spans="2:154">
      <c r="B276" s="1"/>
      <c r="C276" s="2"/>
      <c r="D276" s="34"/>
      <c r="E276" s="34"/>
      <c r="F276" s="34"/>
      <c r="G276" s="34"/>
      <c r="H276" s="4"/>
      <c r="I276" s="4"/>
      <c r="J276" s="4"/>
      <c r="K276" s="3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37"/>
      <c r="X276" s="1"/>
      <c r="Y276" s="18">
        <f t="shared" si="121"/>
        <v>0</v>
      </c>
      <c r="Z276" s="21">
        <f t="shared" si="122"/>
        <v>0</v>
      </c>
      <c r="AA276" s="10">
        <f t="shared" si="123"/>
        <v>0</v>
      </c>
      <c r="AB276" s="10">
        <f t="shared" si="124"/>
        <v>0</v>
      </c>
      <c r="AC276" s="10">
        <f t="shared" si="125"/>
        <v>0</v>
      </c>
      <c r="AD276" s="46" t="str">
        <f t="shared" si="126"/>
        <v/>
      </c>
      <c r="AE276" s="46" t="str">
        <f t="shared" si="127"/>
        <v/>
      </c>
      <c r="AF276" s="46" t="str">
        <f t="shared" si="128"/>
        <v/>
      </c>
      <c r="AG276" s="46" t="str">
        <f t="shared" si="129"/>
        <v/>
      </c>
      <c r="AH276" s="46" t="str">
        <f t="shared" si="130"/>
        <v/>
      </c>
      <c r="AI276" s="46" t="str">
        <f t="shared" si="131"/>
        <v/>
      </c>
      <c r="AJ276" s="46" t="str">
        <f t="shared" si="132"/>
        <v/>
      </c>
      <c r="AK276" s="46" t="str">
        <f t="shared" si="133"/>
        <v/>
      </c>
      <c r="AL276" s="46" t="str">
        <f t="shared" si="134"/>
        <v/>
      </c>
      <c r="AM276" s="46" t="str">
        <f t="shared" si="135"/>
        <v/>
      </c>
      <c r="AN276" s="46" t="str">
        <f t="shared" si="136"/>
        <v/>
      </c>
      <c r="AO276" s="46" t="str">
        <f t="shared" si="137"/>
        <v/>
      </c>
      <c r="AP276" s="46" t="str">
        <f t="shared" si="138"/>
        <v/>
      </c>
      <c r="AQ276" s="46" t="str">
        <f t="shared" si="139"/>
        <v/>
      </c>
      <c r="AR276" s="46" t="str">
        <f t="shared" si="140"/>
        <v/>
      </c>
      <c r="AS276" s="46" t="str">
        <f t="shared" si="141"/>
        <v/>
      </c>
      <c r="AT276" s="46" t="str">
        <f t="shared" si="142"/>
        <v/>
      </c>
      <c r="AU276" s="46" t="str">
        <f t="shared" si="143"/>
        <v/>
      </c>
      <c r="AV276" s="46" t="str">
        <f t="shared" si="144"/>
        <v/>
      </c>
      <c r="AW276" s="46" t="str">
        <f t="shared" si="145"/>
        <v/>
      </c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20"/>
    </row>
    <row r="277" spans="2:154">
      <c r="B277" s="1"/>
      <c r="C277" s="2"/>
      <c r="D277" s="34"/>
      <c r="E277" s="34"/>
      <c r="F277" s="34"/>
      <c r="G277" s="34"/>
      <c r="H277" s="4"/>
      <c r="I277" s="4"/>
      <c r="J277" s="4"/>
      <c r="K277" s="3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37"/>
      <c r="X277" s="1"/>
      <c r="Y277" s="18">
        <f t="shared" si="121"/>
        <v>0</v>
      </c>
      <c r="Z277" s="21">
        <f t="shared" si="122"/>
        <v>0</v>
      </c>
      <c r="AA277" s="10">
        <f t="shared" si="123"/>
        <v>0</v>
      </c>
      <c r="AB277" s="10">
        <f t="shared" si="124"/>
        <v>0</v>
      </c>
      <c r="AC277" s="10">
        <f t="shared" si="125"/>
        <v>0</v>
      </c>
      <c r="AD277" s="46" t="str">
        <f t="shared" si="126"/>
        <v/>
      </c>
      <c r="AE277" s="46" t="str">
        <f t="shared" si="127"/>
        <v/>
      </c>
      <c r="AF277" s="46" t="str">
        <f t="shared" si="128"/>
        <v/>
      </c>
      <c r="AG277" s="46" t="str">
        <f t="shared" si="129"/>
        <v/>
      </c>
      <c r="AH277" s="46" t="str">
        <f t="shared" si="130"/>
        <v/>
      </c>
      <c r="AI277" s="46" t="str">
        <f t="shared" si="131"/>
        <v/>
      </c>
      <c r="AJ277" s="46" t="str">
        <f t="shared" si="132"/>
        <v/>
      </c>
      <c r="AK277" s="46" t="str">
        <f t="shared" si="133"/>
        <v/>
      </c>
      <c r="AL277" s="46" t="str">
        <f t="shared" si="134"/>
        <v/>
      </c>
      <c r="AM277" s="46" t="str">
        <f t="shared" si="135"/>
        <v/>
      </c>
      <c r="AN277" s="46" t="str">
        <f t="shared" si="136"/>
        <v/>
      </c>
      <c r="AO277" s="46" t="str">
        <f t="shared" si="137"/>
        <v/>
      </c>
      <c r="AP277" s="46" t="str">
        <f t="shared" si="138"/>
        <v/>
      </c>
      <c r="AQ277" s="46" t="str">
        <f t="shared" si="139"/>
        <v/>
      </c>
      <c r="AR277" s="46" t="str">
        <f t="shared" si="140"/>
        <v/>
      </c>
      <c r="AS277" s="46" t="str">
        <f t="shared" si="141"/>
        <v/>
      </c>
      <c r="AT277" s="46" t="str">
        <f t="shared" si="142"/>
        <v/>
      </c>
      <c r="AU277" s="46" t="str">
        <f t="shared" si="143"/>
        <v/>
      </c>
      <c r="AV277" s="46" t="str">
        <f t="shared" si="144"/>
        <v/>
      </c>
      <c r="AW277" s="46" t="str">
        <f t="shared" si="145"/>
        <v/>
      </c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20"/>
    </row>
    <row r="278" spans="2:154">
      <c r="B278" s="1"/>
      <c r="C278" s="2"/>
      <c r="D278" s="34"/>
      <c r="E278" s="34"/>
      <c r="F278" s="34"/>
      <c r="G278" s="34"/>
      <c r="H278" s="4"/>
      <c r="I278" s="4"/>
      <c r="J278" s="4"/>
      <c r="K278" s="3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37"/>
      <c r="X278" s="1"/>
      <c r="Y278" s="18">
        <f t="shared" si="121"/>
        <v>0</v>
      </c>
      <c r="Z278" s="21">
        <f t="shared" si="122"/>
        <v>0</v>
      </c>
      <c r="AA278" s="10">
        <f t="shared" si="123"/>
        <v>0</v>
      </c>
      <c r="AB278" s="10">
        <f t="shared" si="124"/>
        <v>0</v>
      </c>
      <c r="AC278" s="10">
        <f t="shared" si="125"/>
        <v>0</v>
      </c>
      <c r="AD278" s="46" t="str">
        <f t="shared" si="126"/>
        <v/>
      </c>
      <c r="AE278" s="46" t="str">
        <f t="shared" si="127"/>
        <v/>
      </c>
      <c r="AF278" s="46" t="str">
        <f t="shared" si="128"/>
        <v/>
      </c>
      <c r="AG278" s="46" t="str">
        <f t="shared" si="129"/>
        <v/>
      </c>
      <c r="AH278" s="46" t="str">
        <f t="shared" si="130"/>
        <v/>
      </c>
      <c r="AI278" s="46" t="str">
        <f t="shared" si="131"/>
        <v/>
      </c>
      <c r="AJ278" s="46" t="str">
        <f t="shared" si="132"/>
        <v/>
      </c>
      <c r="AK278" s="46" t="str">
        <f t="shared" si="133"/>
        <v/>
      </c>
      <c r="AL278" s="46" t="str">
        <f t="shared" si="134"/>
        <v/>
      </c>
      <c r="AM278" s="46" t="str">
        <f t="shared" si="135"/>
        <v/>
      </c>
      <c r="AN278" s="46" t="str">
        <f t="shared" si="136"/>
        <v/>
      </c>
      <c r="AO278" s="46" t="str">
        <f t="shared" si="137"/>
        <v/>
      </c>
      <c r="AP278" s="46" t="str">
        <f t="shared" si="138"/>
        <v/>
      </c>
      <c r="AQ278" s="46" t="str">
        <f t="shared" si="139"/>
        <v/>
      </c>
      <c r="AR278" s="46" t="str">
        <f t="shared" si="140"/>
        <v/>
      </c>
      <c r="AS278" s="46" t="str">
        <f t="shared" si="141"/>
        <v/>
      </c>
      <c r="AT278" s="46" t="str">
        <f t="shared" si="142"/>
        <v/>
      </c>
      <c r="AU278" s="46" t="str">
        <f t="shared" si="143"/>
        <v/>
      </c>
      <c r="AV278" s="46" t="str">
        <f t="shared" si="144"/>
        <v/>
      </c>
      <c r="AW278" s="46" t="str">
        <f t="shared" si="145"/>
        <v/>
      </c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20"/>
    </row>
    <row r="279" spans="2:154">
      <c r="B279" s="1"/>
      <c r="C279" s="2"/>
      <c r="D279" s="34"/>
      <c r="E279" s="34"/>
      <c r="F279" s="34"/>
      <c r="G279" s="34"/>
      <c r="H279" s="4"/>
      <c r="I279" s="4"/>
      <c r="J279" s="4"/>
      <c r="K279" s="3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37"/>
      <c r="X279" s="1"/>
      <c r="Y279" s="18">
        <f t="shared" si="121"/>
        <v>0</v>
      </c>
      <c r="Z279" s="21">
        <f t="shared" si="122"/>
        <v>0</v>
      </c>
      <c r="AA279" s="10">
        <f t="shared" si="123"/>
        <v>0</v>
      </c>
      <c r="AB279" s="10">
        <f t="shared" si="124"/>
        <v>0</v>
      </c>
      <c r="AC279" s="10">
        <f t="shared" si="125"/>
        <v>0</v>
      </c>
      <c r="AD279" s="46" t="str">
        <f t="shared" si="126"/>
        <v/>
      </c>
      <c r="AE279" s="46" t="str">
        <f t="shared" si="127"/>
        <v/>
      </c>
      <c r="AF279" s="46" t="str">
        <f t="shared" si="128"/>
        <v/>
      </c>
      <c r="AG279" s="46" t="str">
        <f t="shared" si="129"/>
        <v/>
      </c>
      <c r="AH279" s="46" t="str">
        <f t="shared" si="130"/>
        <v/>
      </c>
      <c r="AI279" s="46" t="str">
        <f t="shared" si="131"/>
        <v/>
      </c>
      <c r="AJ279" s="46" t="str">
        <f t="shared" si="132"/>
        <v/>
      </c>
      <c r="AK279" s="46" t="str">
        <f t="shared" si="133"/>
        <v/>
      </c>
      <c r="AL279" s="46" t="str">
        <f t="shared" si="134"/>
        <v/>
      </c>
      <c r="AM279" s="46" t="str">
        <f t="shared" si="135"/>
        <v/>
      </c>
      <c r="AN279" s="46" t="str">
        <f t="shared" si="136"/>
        <v/>
      </c>
      <c r="AO279" s="46" t="str">
        <f t="shared" si="137"/>
        <v/>
      </c>
      <c r="AP279" s="46" t="str">
        <f t="shared" si="138"/>
        <v/>
      </c>
      <c r="AQ279" s="46" t="str">
        <f t="shared" si="139"/>
        <v/>
      </c>
      <c r="AR279" s="46" t="str">
        <f t="shared" si="140"/>
        <v/>
      </c>
      <c r="AS279" s="46" t="str">
        <f t="shared" si="141"/>
        <v/>
      </c>
      <c r="AT279" s="46" t="str">
        <f t="shared" si="142"/>
        <v/>
      </c>
      <c r="AU279" s="46" t="str">
        <f t="shared" si="143"/>
        <v/>
      </c>
      <c r="AV279" s="46" t="str">
        <f t="shared" si="144"/>
        <v/>
      </c>
      <c r="AW279" s="46" t="str">
        <f t="shared" si="145"/>
        <v/>
      </c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20"/>
    </row>
    <row r="280" spans="2:154">
      <c r="B280" s="1"/>
      <c r="C280" s="2"/>
      <c r="D280" s="34"/>
      <c r="E280" s="34"/>
      <c r="F280" s="34"/>
      <c r="G280" s="34"/>
      <c r="H280" s="4"/>
      <c r="I280" s="4"/>
      <c r="J280" s="4"/>
      <c r="K280" s="3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37"/>
      <c r="X280" s="1"/>
      <c r="Y280" s="18">
        <f t="shared" si="121"/>
        <v>0</v>
      </c>
      <c r="Z280" s="21">
        <f t="shared" si="122"/>
        <v>0</v>
      </c>
      <c r="AA280" s="10">
        <f t="shared" si="123"/>
        <v>0</v>
      </c>
      <c r="AB280" s="10">
        <f t="shared" si="124"/>
        <v>0</v>
      </c>
      <c r="AC280" s="10">
        <f t="shared" si="125"/>
        <v>0</v>
      </c>
      <c r="AD280" s="46" t="str">
        <f t="shared" si="126"/>
        <v/>
      </c>
      <c r="AE280" s="46" t="str">
        <f t="shared" si="127"/>
        <v/>
      </c>
      <c r="AF280" s="46" t="str">
        <f t="shared" si="128"/>
        <v/>
      </c>
      <c r="AG280" s="46" t="str">
        <f t="shared" si="129"/>
        <v/>
      </c>
      <c r="AH280" s="46" t="str">
        <f t="shared" si="130"/>
        <v/>
      </c>
      <c r="AI280" s="46" t="str">
        <f t="shared" si="131"/>
        <v/>
      </c>
      <c r="AJ280" s="46" t="str">
        <f t="shared" si="132"/>
        <v/>
      </c>
      <c r="AK280" s="46" t="str">
        <f t="shared" si="133"/>
        <v/>
      </c>
      <c r="AL280" s="46" t="str">
        <f t="shared" si="134"/>
        <v/>
      </c>
      <c r="AM280" s="46" t="str">
        <f t="shared" si="135"/>
        <v/>
      </c>
      <c r="AN280" s="46" t="str">
        <f t="shared" si="136"/>
        <v/>
      </c>
      <c r="AO280" s="46" t="str">
        <f t="shared" si="137"/>
        <v/>
      </c>
      <c r="AP280" s="46" t="str">
        <f t="shared" si="138"/>
        <v/>
      </c>
      <c r="AQ280" s="46" t="str">
        <f t="shared" si="139"/>
        <v/>
      </c>
      <c r="AR280" s="46" t="str">
        <f t="shared" si="140"/>
        <v/>
      </c>
      <c r="AS280" s="46" t="str">
        <f t="shared" si="141"/>
        <v/>
      </c>
      <c r="AT280" s="46" t="str">
        <f t="shared" si="142"/>
        <v/>
      </c>
      <c r="AU280" s="46" t="str">
        <f t="shared" si="143"/>
        <v/>
      </c>
      <c r="AV280" s="46" t="str">
        <f t="shared" si="144"/>
        <v/>
      </c>
      <c r="AW280" s="46" t="str">
        <f t="shared" si="145"/>
        <v/>
      </c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20"/>
    </row>
    <row r="281" spans="2:154">
      <c r="B281" s="1"/>
      <c r="C281" s="2"/>
      <c r="D281" s="34"/>
      <c r="E281" s="34"/>
      <c r="F281" s="34"/>
      <c r="G281" s="34"/>
      <c r="H281" s="4"/>
      <c r="I281" s="4"/>
      <c r="J281" s="4"/>
      <c r="K281" s="3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37"/>
      <c r="X281" s="1"/>
      <c r="Y281" s="18">
        <f t="shared" si="121"/>
        <v>0</v>
      </c>
      <c r="Z281" s="21">
        <f t="shared" si="122"/>
        <v>0</v>
      </c>
      <c r="AA281" s="10">
        <f t="shared" si="123"/>
        <v>0</v>
      </c>
      <c r="AB281" s="10">
        <f t="shared" si="124"/>
        <v>0</v>
      </c>
      <c r="AC281" s="10">
        <f t="shared" si="125"/>
        <v>0</v>
      </c>
      <c r="AD281" s="46" t="str">
        <f t="shared" si="126"/>
        <v/>
      </c>
      <c r="AE281" s="46" t="str">
        <f t="shared" si="127"/>
        <v/>
      </c>
      <c r="AF281" s="46" t="str">
        <f t="shared" si="128"/>
        <v/>
      </c>
      <c r="AG281" s="46" t="str">
        <f t="shared" si="129"/>
        <v/>
      </c>
      <c r="AH281" s="46" t="str">
        <f t="shared" si="130"/>
        <v/>
      </c>
      <c r="AI281" s="46" t="str">
        <f t="shared" si="131"/>
        <v/>
      </c>
      <c r="AJ281" s="46" t="str">
        <f t="shared" si="132"/>
        <v/>
      </c>
      <c r="AK281" s="46" t="str">
        <f t="shared" si="133"/>
        <v/>
      </c>
      <c r="AL281" s="46" t="str">
        <f t="shared" si="134"/>
        <v/>
      </c>
      <c r="AM281" s="46" t="str">
        <f t="shared" si="135"/>
        <v/>
      </c>
      <c r="AN281" s="46" t="str">
        <f t="shared" si="136"/>
        <v/>
      </c>
      <c r="AO281" s="46" t="str">
        <f t="shared" si="137"/>
        <v/>
      </c>
      <c r="AP281" s="46" t="str">
        <f t="shared" si="138"/>
        <v/>
      </c>
      <c r="AQ281" s="46" t="str">
        <f t="shared" si="139"/>
        <v/>
      </c>
      <c r="AR281" s="46" t="str">
        <f t="shared" si="140"/>
        <v/>
      </c>
      <c r="AS281" s="46" t="str">
        <f t="shared" si="141"/>
        <v/>
      </c>
      <c r="AT281" s="46" t="str">
        <f t="shared" si="142"/>
        <v/>
      </c>
      <c r="AU281" s="46" t="str">
        <f t="shared" si="143"/>
        <v/>
      </c>
      <c r="AV281" s="46" t="str">
        <f t="shared" si="144"/>
        <v/>
      </c>
      <c r="AW281" s="46" t="str">
        <f t="shared" si="145"/>
        <v/>
      </c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20"/>
    </row>
    <row r="282" spans="2:154">
      <c r="B282" s="1"/>
      <c r="C282" s="2"/>
      <c r="D282" s="34"/>
      <c r="E282" s="34"/>
      <c r="F282" s="34"/>
      <c r="G282" s="34"/>
      <c r="H282" s="4"/>
      <c r="I282" s="4"/>
      <c r="J282" s="4"/>
      <c r="K282" s="3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37"/>
      <c r="X282" s="1"/>
      <c r="Y282" s="18">
        <f t="shared" si="121"/>
        <v>0</v>
      </c>
      <c r="Z282" s="21">
        <f t="shared" si="122"/>
        <v>0</v>
      </c>
      <c r="AA282" s="10">
        <f t="shared" si="123"/>
        <v>0</v>
      </c>
      <c r="AB282" s="10">
        <f t="shared" si="124"/>
        <v>0</v>
      </c>
      <c r="AC282" s="10">
        <f t="shared" si="125"/>
        <v>0</v>
      </c>
      <c r="AD282" s="46" t="str">
        <f t="shared" si="126"/>
        <v/>
      </c>
      <c r="AE282" s="46" t="str">
        <f t="shared" si="127"/>
        <v/>
      </c>
      <c r="AF282" s="46" t="str">
        <f t="shared" si="128"/>
        <v/>
      </c>
      <c r="AG282" s="46" t="str">
        <f t="shared" si="129"/>
        <v/>
      </c>
      <c r="AH282" s="46" t="str">
        <f t="shared" si="130"/>
        <v/>
      </c>
      <c r="AI282" s="46" t="str">
        <f t="shared" si="131"/>
        <v/>
      </c>
      <c r="AJ282" s="46" t="str">
        <f t="shared" si="132"/>
        <v/>
      </c>
      <c r="AK282" s="46" t="str">
        <f t="shared" si="133"/>
        <v/>
      </c>
      <c r="AL282" s="46" t="str">
        <f t="shared" si="134"/>
        <v/>
      </c>
      <c r="AM282" s="46" t="str">
        <f t="shared" si="135"/>
        <v/>
      </c>
      <c r="AN282" s="46" t="str">
        <f t="shared" si="136"/>
        <v/>
      </c>
      <c r="AO282" s="46" t="str">
        <f t="shared" si="137"/>
        <v/>
      </c>
      <c r="AP282" s="46" t="str">
        <f t="shared" si="138"/>
        <v/>
      </c>
      <c r="AQ282" s="46" t="str">
        <f t="shared" si="139"/>
        <v/>
      </c>
      <c r="AR282" s="46" t="str">
        <f t="shared" si="140"/>
        <v/>
      </c>
      <c r="AS282" s="46" t="str">
        <f t="shared" si="141"/>
        <v/>
      </c>
      <c r="AT282" s="46" t="str">
        <f t="shared" si="142"/>
        <v/>
      </c>
      <c r="AU282" s="46" t="str">
        <f t="shared" si="143"/>
        <v/>
      </c>
      <c r="AV282" s="46" t="str">
        <f t="shared" si="144"/>
        <v/>
      </c>
      <c r="AW282" s="46" t="str">
        <f t="shared" si="145"/>
        <v/>
      </c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20"/>
    </row>
    <row r="283" spans="2:154">
      <c r="B283" s="1"/>
      <c r="C283" s="2"/>
      <c r="D283" s="34"/>
      <c r="E283" s="34"/>
      <c r="F283" s="34"/>
      <c r="G283" s="34"/>
      <c r="H283" s="4"/>
      <c r="I283" s="4"/>
      <c r="J283" s="4"/>
      <c r="K283" s="3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37"/>
      <c r="X283" s="1"/>
      <c r="Y283" s="18">
        <f t="shared" si="121"/>
        <v>0</v>
      </c>
      <c r="Z283" s="21">
        <f t="shared" si="122"/>
        <v>0</v>
      </c>
      <c r="AA283" s="10">
        <f t="shared" si="123"/>
        <v>0</v>
      </c>
      <c r="AB283" s="10">
        <f t="shared" si="124"/>
        <v>0</v>
      </c>
      <c r="AC283" s="10">
        <f t="shared" si="125"/>
        <v>0</v>
      </c>
      <c r="AD283" s="46" t="str">
        <f t="shared" si="126"/>
        <v/>
      </c>
      <c r="AE283" s="46" t="str">
        <f t="shared" si="127"/>
        <v/>
      </c>
      <c r="AF283" s="46" t="str">
        <f t="shared" si="128"/>
        <v/>
      </c>
      <c r="AG283" s="46" t="str">
        <f t="shared" si="129"/>
        <v/>
      </c>
      <c r="AH283" s="46" t="str">
        <f t="shared" si="130"/>
        <v/>
      </c>
      <c r="AI283" s="46" t="str">
        <f t="shared" si="131"/>
        <v/>
      </c>
      <c r="AJ283" s="46" t="str">
        <f t="shared" si="132"/>
        <v/>
      </c>
      <c r="AK283" s="46" t="str">
        <f t="shared" si="133"/>
        <v/>
      </c>
      <c r="AL283" s="46" t="str">
        <f t="shared" si="134"/>
        <v/>
      </c>
      <c r="AM283" s="46" t="str">
        <f t="shared" si="135"/>
        <v/>
      </c>
      <c r="AN283" s="46" t="str">
        <f t="shared" si="136"/>
        <v/>
      </c>
      <c r="AO283" s="46" t="str">
        <f t="shared" si="137"/>
        <v/>
      </c>
      <c r="AP283" s="46" t="str">
        <f t="shared" si="138"/>
        <v/>
      </c>
      <c r="AQ283" s="46" t="str">
        <f t="shared" si="139"/>
        <v/>
      </c>
      <c r="AR283" s="46" t="str">
        <f t="shared" si="140"/>
        <v/>
      </c>
      <c r="AS283" s="46" t="str">
        <f t="shared" si="141"/>
        <v/>
      </c>
      <c r="AT283" s="46" t="str">
        <f t="shared" si="142"/>
        <v/>
      </c>
      <c r="AU283" s="46" t="str">
        <f t="shared" si="143"/>
        <v/>
      </c>
      <c r="AV283" s="46" t="str">
        <f t="shared" si="144"/>
        <v/>
      </c>
      <c r="AW283" s="46" t="str">
        <f t="shared" si="145"/>
        <v/>
      </c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20"/>
    </row>
    <row r="284" spans="2:154">
      <c r="B284" s="1"/>
      <c r="C284" s="2"/>
      <c r="D284" s="34"/>
      <c r="E284" s="34"/>
      <c r="F284" s="34"/>
      <c r="G284" s="34"/>
      <c r="H284" s="4"/>
      <c r="I284" s="4"/>
      <c r="J284" s="4"/>
      <c r="K284" s="3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37"/>
      <c r="X284" s="1"/>
      <c r="Y284" s="18">
        <f t="shared" si="121"/>
        <v>0</v>
      </c>
      <c r="Z284" s="21">
        <f t="shared" si="122"/>
        <v>0</v>
      </c>
      <c r="AA284" s="10">
        <f t="shared" si="123"/>
        <v>0</v>
      </c>
      <c r="AB284" s="10">
        <f t="shared" si="124"/>
        <v>0</v>
      </c>
      <c r="AC284" s="10">
        <f t="shared" si="125"/>
        <v>0</v>
      </c>
      <c r="AD284" s="46" t="str">
        <f t="shared" si="126"/>
        <v/>
      </c>
      <c r="AE284" s="46" t="str">
        <f t="shared" si="127"/>
        <v/>
      </c>
      <c r="AF284" s="46" t="str">
        <f t="shared" si="128"/>
        <v/>
      </c>
      <c r="AG284" s="46" t="str">
        <f t="shared" si="129"/>
        <v/>
      </c>
      <c r="AH284" s="46" t="str">
        <f t="shared" si="130"/>
        <v/>
      </c>
      <c r="AI284" s="46" t="str">
        <f t="shared" si="131"/>
        <v/>
      </c>
      <c r="AJ284" s="46" t="str">
        <f t="shared" si="132"/>
        <v/>
      </c>
      <c r="AK284" s="46" t="str">
        <f t="shared" si="133"/>
        <v/>
      </c>
      <c r="AL284" s="46" t="str">
        <f t="shared" si="134"/>
        <v/>
      </c>
      <c r="AM284" s="46" t="str">
        <f t="shared" si="135"/>
        <v/>
      </c>
      <c r="AN284" s="46" t="str">
        <f t="shared" si="136"/>
        <v/>
      </c>
      <c r="AO284" s="46" t="str">
        <f t="shared" si="137"/>
        <v/>
      </c>
      <c r="AP284" s="46" t="str">
        <f t="shared" si="138"/>
        <v/>
      </c>
      <c r="AQ284" s="46" t="str">
        <f t="shared" si="139"/>
        <v/>
      </c>
      <c r="AR284" s="46" t="str">
        <f t="shared" si="140"/>
        <v/>
      </c>
      <c r="AS284" s="46" t="str">
        <f t="shared" si="141"/>
        <v/>
      </c>
      <c r="AT284" s="46" t="str">
        <f t="shared" si="142"/>
        <v/>
      </c>
      <c r="AU284" s="46" t="str">
        <f t="shared" si="143"/>
        <v/>
      </c>
      <c r="AV284" s="46" t="str">
        <f t="shared" si="144"/>
        <v/>
      </c>
      <c r="AW284" s="46" t="str">
        <f t="shared" si="145"/>
        <v/>
      </c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20"/>
    </row>
    <row r="285" spans="2:154">
      <c r="B285" s="1"/>
      <c r="C285" s="2"/>
      <c r="D285" s="34"/>
      <c r="E285" s="34"/>
      <c r="F285" s="34"/>
      <c r="G285" s="34"/>
      <c r="H285" s="4"/>
      <c r="I285" s="4"/>
      <c r="J285" s="4"/>
      <c r="K285" s="3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37"/>
      <c r="X285" s="1"/>
      <c r="Y285" s="18">
        <f t="shared" si="121"/>
        <v>0</v>
      </c>
      <c r="Z285" s="21">
        <f t="shared" si="122"/>
        <v>0</v>
      </c>
      <c r="AA285" s="10">
        <f t="shared" si="123"/>
        <v>0</v>
      </c>
      <c r="AB285" s="10">
        <f t="shared" si="124"/>
        <v>0</v>
      </c>
      <c r="AC285" s="10">
        <f t="shared" si="125"/>
        <v>0</v>
      </c>
      <c r="AD285" s="46" t="str">
        <f t="shared" si="126"/>
        <v/>
      </c>
      <c r="AE285" s="46" t="str">
        <f t="shared" si="127"/>
        <v/>
      </c>
      <c r="AF285" s="46" t="str">
        <f t="shared" si="128"/>
        <v/>
      </c>
      <c r="AG285" s="46" t="str">
        <f t="shared" si="129"/>
        <v/>
      </c>
      <c r="AH285" s="46" t="str">
        <f t="shared" si="130"/>
        <v/>
      </c>
      <c r="AI285" s="46" t="str">
        <f t="shared" si="131"/>
        <v/>
      </c>
      <c r="AJ285" s="46" t="str">
        <f t="shared" si="132"/>
        <v/>
      </c>
      <c r="AK285" s="46" t="str">
        <f t="shared" si="133"/>
        <v/>
      </c>
      <c r="AL285" s="46" t="str">
        <f t="shared" si="134"/>
        <v/>
      </c>
      <c r="AM285" s="46" t="str">
        <f t="shared" si="135"/>
        <v/>
      </c>
      <c r="AN285" s="46" t="str">
        <f t="shared" si="136"/>
        <v/>
      </c>
      <c r="AO285" s="46" t="str">
        <f t="shared" si="137"/>
        <v/>
      </c>
      <c r="AP285" s="46" t="str">
        <f t="shared" si="138"/>
        <v/>
      </c>
      <c r="AQ285" s="46" t="str">
        <f t="shared" si="139"/>
        <v/>
      </c>
      <c r="AR285" s="46" t="str">
        <f t="shared" si="140"/>
        <v/>
      </c>
      <c r="AS285" s="46" t="str">
        <f t="shared" si="141"/>
        <v/>
      </c>
      <c r="AT285" s="46" t="str">
        <f t="shared" si="142"/>
        <v/>
      </c>
      <c r="AU285" s="46" t="str">
        <f t="shared" si="143"/>
        <v/>
      </c>
      <c r="AV285" s="46" t="str">
        <f t="shared" si="144"/>
        <v/>
      </c>
      <c r="AW285" s="46" t="str">
        <f t="shared" si="145"/>
        <v/>
      </c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20"/>
    </row>
    <row r="286" spans="2:154">
      <c r="B286" s="1"/>
      <c r="C286" s="2"/>
      <c r="D286" s="34"/>
      <c r="E286" s="34"/>
      <c r="F286" s="34"/>
      <c r="G286" s="34"/>
      <c r="H286" s="4"/>
      <c r="I286" s="4"/>
      <c r="J286" s="4"/>
      <c r="K286" s="3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37"/>
      <c r="X286" s="1"/>
      <c r="Y286" s="18">
        <f t="shared" si="121"/>
        <v>0</v>
      </c>
      <c r="Z286" s="21">
        <f t="shared" si="122"/>
        <v>0</v>
      </c>
      <c r="AA286" s="10">
        <f t="shared" si="123"/>
        <v>0</v>
      </c>
      <c r="AB286" s="10">
        <f t="shared" si="124"/>
        <v>0</v>
      </c>
      <c r="AC286" s="10">
        <f t="shared" si="125"/>
        <v>0</v>
      </c>
      <c r="AD286" s="46" t="str">
        <f t="shared" si="126"/>
        <v/>
      </c>
      <c r="AE286" s="46" t="str">
        <f t="shared" si="127"/>
        <v/>
      </c>
      <c r="AF286" s="46" t="str">
        <f t="shared" si="128"/>
        <v/>
      </c>
      <c r="AG286" s="46" t="str">
        <f t="shared" si="129"/>
        <v/>
      </c>
      <c r="AH286" s="46" t="str">
        <f t="shared" si="130"/>
        <v/>
      </c>
      <c r="AI286" s="46" t="str">
        <f t="shared" si="131"/>
        <v/>
      </c>
      <c r="AJ286" s="46" t="str">
        <f t="shared" si="132"/>
        <v/>
      </c>
      <c r="AK286" s="46" t="str">
        <f t="shared" si="133"/>
        <v/>
      </c>
      <c r="AL286" s="46" t="str">
        <f t="shared" si="134"/>
        <v/>
      </c>
      <c r="AM286" s="46" t="str">
        <f t="shared" si="135"/>
        <v/>
      </c>
      <c r="AN286" s="46" t="str">
        <f t="shared" si="136"/>
        <v/>
      </c>
      <c r="AO286" s="46" t="str">
        <f t="shared" si="137"/>
        <v/>
      </c>
      <c r="AP286" s="46" t="str">
        <f t="shared" si="138"/>
        <v/>
      </c>
      <c r="AQ286" s="46" t="str">
        <f t="shared" si="139"/>
        <v/>
      </c>
      <c r="AR286" s="46" t="str">
        <f t="shared" si="140"/>
        <v/>
      </c>
      <c r="AS286" s="46" t="str">
        <f t="shared" si="141"/>
        <v/>
      </c>
      <c r="AT286" s="46" t="str">
        <f t="shared" si="142"/>
        <v/>
      </c>
      <c r="AU286" s="46" t="str">
        <f t="shared" si="143"/>
        <v/>
      </c>
      <c r="AV286" s="46" t="str">
        <f t="shared" si="144"/>
        <v/>
      </c>
      <c r="AW286" s="46" t="str">
        <f t="shared" si="145"/>
        <v/>
      </c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20"/>
    </row>
    <row r="287" spans="2:154">
      <c r="B287" s="1"/>
      <c r="C287" s="2"/>
      <c r="D287" s="34"/>
      <c r="E287" s="34"/>
      <c r="F287" s="34"/>
      <c r="G287" s="34"/>
      <c r="H287" s="4"/>
      <c r="I287" s="4"/>
      <c r="J287" s="4"/>
      <c r="K287" s="3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37"/>
      <c r="X287" s="1"/>
      <c r="Y287" s="18">
        <f t="shared" si="121"/>
        <v>0</v>
      </c>
      <c r="Z287" s="21">
        <f t="shared" si="122"/>
        <v>0</v>
      </c>
      <c r="AA287" s="10">
        <f t="shared" si="123"/>
        <v>0</v>
      </c>
      <c r="AB287" s="10">
        <f t="shared" si="124"/>
        <v>0</v>
      </c>
      <c r="AC287" s="10">
        <f t="shared" si="125"/>
        <v>0</v>
      </c>
      <c r="AD287" s="46" t="str">
        <f t="shared" si="126"/>
        <v/>
      </c>
      <c r="AE287" s="46" t="str">
        <f t="shared" si="127"/>
        <v/>
      </c>
      <c r="AF287" s="46" t="str">
        <f t="shared" si="128"/>
        <v/>
      </c>
      <c r="AG287" s="46" t="str">
        <f t="shared" si="129"/>
        <v/>
      </c>
      <c r="AH287" s="46" t="str">
        <f t="shared" si="130"/>
        <v/>
      </c>
      <c r="AI287" s="46" t="str">
        <f t="shared" si="131"/>
        <v/>
      </c>
      <c r="AJ287" s="46" t="str">
        <f t="shared" si="132"/>
        <v/>
      </c>
      <c r="AK287" s="46" t="str">
        <f t="shared" si="133"/>
        <v/>
      </c>
      <c r="AL287" s="46" t="str">
        <f t="shared" si="134"/>
        <v/>
      </c>
      <c r="AM287" s="46" t="str">
        <f t="shared" si="135"/>
        <v/>
      </c>
      <c r="AN287" s="46" t="str">
        <f t="shared" si="136"/>
        <v/>
      </c>
      <c r="AO287" s="46" t="str">
        <f t="shared" si="137"/>
        <v/>
      </c>
      <c r="AP287" s="46" t="str">
        <f t="shared" si="138"/>
        <v/>
      </c>
      <c r="AQ287" s="46" t="str">
        <f t="shared" si="139"/>
        <v/>
      </c>
      <c r="AR287" s="46" t="str">
        <f t="shared" si="140"/>
        <v/>
      </c>
      <c r="AS287" s="46" t="str">
        <f t="shared" si="141"/>
        <v/>
      </c>
      <c r="AT287" s="46" t="str">
        <f t="shared" si="142"/>
        <v/>
      </c>
      <c r="AU287" s="46" t="str">
        <f t="shared" si="143"/>
        <v/>
      </c>
      <c r="AV287" s="46" t="str">
        <f t="shared" si="144"/>
        <v/>
      </c>
      <c r="AW287" s="46" t="str">
        <f t="shared" si="145"/>
        <v/>
      </c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20"/>
    </row>
    <row r="288" spans="2:154">
      <c r="B288" s="1"/>
      <c r="C288" s="2"/>
      <c r="D288" s="34"/>
      <c r="E288" s="34"/>
      <c r="F288" s="34"/>
      <c r="G288" s="34"/>
      <c r="H288" s="4"/>
      <c r="I288" s="4"/>
      <c r="J288" s="4"/>
      <c r="K288" s="3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37"/>
      <c r="X288" s="1"/>
      <c r="Y288" s="18">
        <f t="shared" si="121"/>
        <v>0</v>
      </c>
      <c r="Z288" s="21">
        <f t="shared" si="122"/>
        <v>0</v>
      </c>
      <c r="AA288" s="10">
        <f t="shared" si="123"/>
        <v>0</v>
      </c>
      <c r="AB288" s="10">
        <f t="shared" si="124"/>
        <v>0</v>
      </c>
      <c r="AC288" s="10">
        <f t="shared" si="125"/>
        <v>0</v>
      </c>
      <c r="AD288" s="46" t="str">
        <f t="shared" si="126"/>
        <v/>
      </c>
      <c r="AE288" s="46" t="str">
        <f t="shared" si="127"/>
        <v/>
      </c>
      <c r="AF288" s="46" t="str">
        <f t="shared" si="128"/>
        <v/>
      </c>
      <c r="AG288" s="46" t="str">
        <f t="shared" si="129"/>
        <v/>
      </c>
      <c r="AH288" s="46" t="str">
        <f t="shared" si="130"/>
        <v/>
      </c>
      <c r="AI288" s="46" t="str">
        <f t="shared" si="131"/>
        <v/>
      </c>
      <c r="AJ288" s="46" t="str">
        <f t="shared" si="132"/>
        <v/>
      </c>
      <c r="AK288" s="46" t="str">
        <f t="shared" si="133"/>
        <v/>
      </c>
      <c r="AL288" s="46" t="str">
        <f t="shared" si="134"/>
        <v/>
      </c>
      <c r="AM288" s="46" t="str">
        <f t="shared" si="135"/>
        <v/>
      </c>
      <c r="AN288" s="46" t="str">
        <f t="shared" si="136"/>
        <v/>
      </c>
      <c r="AO288" s="46" t="str">
        <f t="shared" si="137"/>
        <v/>
      </c>
      <c r="AP288" s="46" t="str">
        <f t="shared" si="138"/>
        <v/>
      </c>
      <c r="AQ288" s="46" t="str">
        <f t="shared" si="139"/>
        <v/>
      </c>
      <c r="AR288" s="46" t="str">
        <f t="shared" si="140"/>
        <v/>
      </c>
      <c r="AS288" s="46" t="str">
        <f t="shared" si="141"/>
        <v/>
      </c>
      <c r="AT288" s="46" t="str">
        <f t="shared" si="142"/>
        <v/>
      </c>
      <c r="AU288" s="46" t="str">
        <f t="shared" si="143"/>
        <v/>
      </c>
      <c r="AV288" s="46" t="str">
        <f t="shared" si="144"/>
        <v/>
      </c>
      <c r="AW288" s="46" t="str">
        <f t="shared" si="145"/>
        <v/>
      </c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20"/>
    </row>
    <row r="289" spans="2:154">
      <c r="B289" s="1"/>
      <c r="C289" s="2"/>
      <c r="D289" s="34"/>
      <c r="E289" s="34"/>
      <c r="F289" s="34"/>
      <c r="G289" s="34"/>
      <c r="H289" s="4"/>
      <c r="I289" s="4"/>
      <c r="J289" s="4"/>
      <c r="K289" s="3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37"/>
      <c r="X289" s="1"/>
      <c r="Y289" s="18">
        <f t="shared" si="121"/>
        <v>0</v>
      </c>
      <c r="Z289" s="21">
        <f t="shared" si="122"/>
        <v>0</v>
      </c>
      <c r="AA289" s="10">
        <f t="shared" si="123"/>
        <v>0</v>
      </c>
      <c r="AB289" s="10">
        <f t="shared" si="124"/>
        <v>0</v>
      </c>
      <c r="AC289" s="10">
        <f t="shared" si="125"/>
        <v>0</v>
      </c>
      <c r="AD289" s="46" t="str">
        <f t="shared" si="126"/>
        <v/>
      </c>
      <c r="AE289" s="46" t="str">
        <f t="shared" si="127"/>
        <v/>
      </c>
      <c r="AF289" s="46" t="str">
        <f t="shared" si="128"/>
        <v/>
      </c>
      <c r="AG289" s="46" t="str">
        <f t="shared" si="129"/>
        <v/>
      </c>
      <c r="AH289" s="46" t="str">
        <f t="shared" si="130"/>
        <v/>
      </c>
      <c r="AI289" s="46" t="str">
        <f t="shared" si="131"/>
        <v/>
      </c>
      <c r="AJ289" s="46" t="str">
        <f t="shared" si="132"/>
        <v/>
      </c>
      <c r="AK289" s="46" t="str">
        <f t="shared" si="133"/>
        <v/>
      </c>
      <c r="AL289" s="46" t="str">
        <f t="shared" si="134"/>
        <v/>
      </c>
      <c r="AM289" s="46" t="str">
        <f t="shared" si="135"/>
        <v/>
      </c>
      <c r="AN289" s="46" t="str">
        <f t="shared" si="136"/>
        <v/>
      </c>
      <c r="AO289" s="46" t="str">
        <f t="shared" si="137"/>
        <v/>
      </c>
      <c r="AP289" s="46" t="str">
        <f t="shared" si="138"/>
        <v/>
      </c>
      <c r="AQ289" s="46" t="str">
        <f t="shared" si="139"/>
        <v/>
      </c>
      <c r="AR289" s="46" t="str">
        <f t="shared" si="140"/>
        <v/>
      </c>
      <c r="AS289" s="46" t="str">
        <f t="shared" si="141"/>
        <v/>
      </c>
      <c r="AT289" s="46" t="str">
        <f t="shared" si="142"/>
        <v/>
      </c>
      <c r="AU289" s="46" t="str">
        <f t="shared" si="143"/>
        <v/>
      </c>
      <c r="AV289" s="46" t="str">
        <f t="shared" si="144"/>
        <v/>
      </c>
      <c r="AW289" s="46" t="str">
        <f t="shared" si="145"/>
        <v/>
      </c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20"/>
    </row>
    <row r="290" spans="2:154">
      <c r="B290" s="1"/>
      <c r="C290" s="2"/>
      <c r="D290" s="34"/>
      <c r="E290" s="34"/>
      <c r="F290" s="34"/>
      <c r="G290" s="34"/>
      <c r="H290" s="4"/>
      <c r="I290" s="4"/>
      <c r="J290" s="4"/>
      <c r="K290" s="3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37"/>
      <c r="X290" s="1"/>
      <c r="Y290" s="18">
        <f t="shared" si="121"/>
        <v>0</v>
      </c>
      <c r="Z290" s="21">
        <f t="shared" si="122"/>
        <v>0</v>
      </c>
      <c r="AA290" s="10">
        <f t="shared" si="123"/>
        <v>0</v>
      </c>
      <c r="AB290" s="10">
        <f t="shared" si="124"/>
        <v>0</v>
      </c>
      <c r="AC290" s="10">
        <f t="shared" si="125"/>
        <v>0</v>
      </c>
      <c r="AD290" s="46" t="str">
        <f t="shared" si="126"/>
        <v/>
      </c>
      <c r="AE290" s="46" t="str">
        <f t="shared" si="127"/>
        <v/>
      </c>
      <c r="AF290" s="46" t="str">
        <f t="shared" si="128"/>
        <v/>
      </c>
      <c r="AG290" s="46" t="str">
        <f t="shared" si="129"/>
        <v/>
      </c>
      <c r="AH290" s="46" t="str">
        <f t="shared" si="130"/>
        <v/>
      </c>
      <c r="AI290" s="46" t="str">
        <f t="shared" si="131"/>
        <v/>
      </c>
      <c r="AJ290" s="46" t="str">
        <f t="shared" si="132"/>
        <v/>
      </c>
      <c r="AK290" s="46" t="str">
        <f t="shared" si="133"/>
        <v/>
      </c>
      <c r="AL290" s="46" t="str">
        <f t="shared" si="134"/>
        <v/>
      </c>
      <c r="AM290" s="46" t="str">
        <f t="shared" si="135"/>
        <v/>
      </c>
      <c r="AN290" s="46" t="str">
        <f t="shared" si="136"/>
        <v/>
      </c>
      <c r="AO290" s="46" t="str">
        <f t="shared" si="137"/>
        <v/>
      </c>
      <c r="AP290" s="46" t="str">
        <f t="shared" si="138"/>
        <v/>
      </c>
      <c r="AQ290" s="46" t="str">
        <f t="shared" si="139"/>
        <v/>
      </c>
      <c r="AR290" s="46" t="str">
        <f t="shared" si="140"/>
        <v/>
      </c>
      <c r="AS290" s="46" t="str">
        <f t="shared" si="141"/>
        <v/>
      </c>
      <c r="AT290" s="46" t="str">
        <f t="shared" si="142"/>
        <v/>
      </c>
      <c r="AU290" s="46" t="str">
        <f t="shared" si="143"/>
        <v/>
      </c>
      <c r="AV290" s="46" t="str">
        <f t="shared" si="144"/>
        <v/>
      </c>
      <c r="AW290" s="46" t="str">
        <f t="shared" si="145"/>
        <v/>
      </c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20"/>
    </row>
    <row r="291" spans="2:154">
      <c r="B291" s="1"/>
      <c r="C291" s="2"/>
      <c r="D291" s="34"/>
      <c r="E291" s="34"/>
      <c r="F291" s="34"/>
      <c r="G291" s="34"/>
      <c r="H291" s="4"/>
      <c r="I291" s="4"/>
      <c r="J291" s="4"/>
      <c r="K291" s="3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37"/>
      <c r="X291" s="1"/>
      <c r="Y291" s="18">
        <f t="shared" si="121"/>
        <v>0</v>
      </c>
      <c r="Z291" s="21">
        <f t="shared" si="122"/>
        <v>0</v>
      </c>
      <c r="AA291" s="10">
        <f t="shared" si="123"/>
        <v>0</v>
      </c>
      <c r="AB291" s="10">
        <f t="shared" si="124"/>
        <v>0</v>
      </c>
      <c r="AC291" s="10">
        <f t="shared" si="125"/>
        <v>0</v>
      </c>
      <c r="AD291" s="46" t="str">
        <f t="shared" si="126"/>
        <v/>
      </c>
      <c r="AE291" s="46" t="str">
        <f t="shared" si="127"/>
        <v/>
      </c>
      <c r="AF291" s="46" t="str">
        <f t="shared" si="128"/>
        <v/>
      </c>
      <c r="AG291" s="46" t="str">
        <f t="shared" si="129"/>
        <v/>
      </c>
      <c r="AH291" s="46" t="str">
        <f t="shared" si="130"/>
        <v/>
      </c>
      <c r="AI291" s="46" t="str">
        <f t="shared" si="131"/>
        <v/>
      </c>
      <c r="AJ291" s="46" t="str">
        <f t="shared" si="132"/>
        <v/>
      </c>
      <c r="AK291" s="46" t="str">
        <f t="shared" si="133"/>
        <v/>
      </c>
      <c r="AL291" s="46" t="str">
        <f t="shared" si="134"/>
        <v/>
      </c>
      <c r="AM291" s="46" t="str">
        <f t="shared" si="135"/>
        <v/>
      </c>
      <c r="AN291" s="46" t="str">
        <f t="shared" si="136"/>
        <v/>
      </c>
      <c r="AO291" s="46" t="str">
        <f t="shared" si="137"/>
        <v/>
      </c>
      <c r="AP291" s="46" t="str">
        <f t="shared" si="138"/>
        <v/>
      </c>
      <c r="AQ291" s="46" t="str">
        <f t="shared" si="139"/>
        <v/>
      </c>
      <c r="AR291" s="46" t="str">
        <f t="shared" si="140"/>
        <v/>
      </c>
      <c r="AS291" s="46" t="str">
        <f t="shared" si="141"/>
        <v/>
      </c>
      <c r="AT291" s="46" t="str">
        <f t="shared" si="142"/>
        <v/>
      </c>
      <c r="AU291" s="46" t="str">
        <f t="shared" si="143"/>
        <v/>
      </c>
      <c r="AV291" s="46" t="str">
        <f t="shared" si="144"/>
        <v/>
      </c>
      <c r="AW291" s="46" t="str">
        <f t="shared" si="145"/>
        <v/>
      </c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20"/>
    </row>
    <row r="292" spans="2:154">
      <c r="B292" s="1"/>
      <c r="C292" s="2"/>
      <c r="D292" s="34"/>
      <c r="E292" s="34"/>
      <c r="F292" s="34"/>
      <c r="G292" s="34"/>
      <c r="H292" s="4"/>
      <c r="I292" s="4"/>
      <c r="J292" s="4"/>
      <c r="K292" s="3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37"/>
      <c r="X292" s="1"/>
      <c r="Y292" s="18">
        <f t="shared" si="121"/>
        <v>0</v>
      </c>
      <c r="Z292" s="21">
        <f t="shared" si="122"/>
        <v>0</v>
      </c>
      <c r="AA292" s="10">
        <f t="shared" si="123"/>
        <v>0</v>
      </c>
      <c r="AB292" s="10">
        <f t="shared" si="124"/>
        <v>0</v>
      </c>
      <c r="AC292" s="10">
        <f t="shared" si="125"/>
        <v>0</v>
      </c>
      <c r="AD292" s="46" t="str">
        <f t="shared" si="126"/>
        <v/>
      </c>
      <c r="AE292" s="46" t="str">
        <f t="shared" si="127"/>
        <v/>
      </c>
      <c r="AF292" s="46" t="str">
        <f t="shared" si="128"/>
        <v/>
      </c>
      <c r="AG292" s="46" t="str">
        <f t="shared" si="129"/>
        <v/>
      </c>
      <c r="AH292" s="46" t="str">
        <f t="shared" si="130"/>
        <v/>
      </c>
      <c r="AI292" s="46" t="str">
        <f t="shared" si="131"/>
        <v/>
      </c>
      <c r="AJ292" s="46" t="str">
        <f t="shared" si="132"/>
        <v/>
      </c>
      <c r="AK292" s="46" t="str">
        <f t="shared" si="133"/>
        <v/>
      </c>
      <c r="AL292" s="46" t="str">
        <f t="shared" si="134"/>
        <v/>
      </c>
      <c r="AM292" s="46" t="str">
        <f t="shared" si="135"/>
        <v/>
      </c>
      <c r="AN292" s="46" t="str">
        <f t="shared" si="136"/>
        <v/>
      </c>
      <c r="AO292" s="46" t="str">
        <f t="shared" si="137"/>
        <v/>
      </c>
      <c r="AP292" s="46" t="str">
        <f t="shared" si="138"/>
        <v/>
      </c>
      <c r="AQ292" s="46" t="str">
        <f t="shared" si="139"/>
        <v/>
      </c>
      <c r="AR292" s="46" t="str">
        <f t="shared" si="140"/>
        <v/>
      </c>
      <c r="AS292" s="46" t="str">
        <f t="shared" si="141"/>
        <v/>
      </c>
      <c r="AT292" s="46" t="str">
        <f t="shared" si="142"/>
        <v/>
      </c>
      <c r="AU292" s="46" t="str">
        <f t="shared" si="143"/>
        <v/>
      </c>
      <c r="AV292" s="46" t="str">
        <f t="shared" si="144"/>
        <v/>
      </c>
      <c r="AW292" s="46" t="str">
        <f t="shared" si="145"/>
        <v/>
      </c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20"/>
    </row>
    <row r="293" spans="2:154">
      <c r="B293" s="1"/>
      <c r="C293" s="2"/>
      <c r="D293" s="34"/>
      <c r="E293" s="34"/>
      <c r="F293" s="34"/>
      <c r="G293" s="34"/>
      <c r="H293" s="4"/>
      <c r="I293" s="4"/>
      <c r="J293" s="4"/>
      <c r="K293" s="3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37"/>
      <c r="X293" s="1"/>
      <c r="Y293" s="18">
        <f t="shared" si="121"/>
        <v>0</v>
      </c>
      <c r="Z293" s="21">
        <f t="shared" si="122"/>
        <v>0</v>
      </c>
      <c r="AA293" s="10">
        <f t="shared" si="123"/>
        <v>0</v>
      </c>
      <c r="AB293" s="10">
        <f t="shared" si="124"/>
        <v>0</v>
      </c>
      <c r="AC293" s="10">
        <f t="shared" si="125"/>
        <v>0</v>
      </c>
      <c r="AD293" s="46" t="str">
        <f t="shared" si="126"/>
        <v/>
      </c>
      <c r="AE293" s="46" t="str">
        <f t="shared" si="127"/>
        <v/>
      </c>
      <c r="AF293" s="46" t="str">
        <f t="shared" si="128"/>
        <v/>
      </c>
      <c r="AG293" s="46" t="str">
        <f t="shared" si="129"/>
        <v/>
      </c>
      <c r="AH293" s="46" t="str">
        <f t="shared" si="130"/>
        <v/>
      </c>
      <c r="AI293" s="46" t="str">
        <f t="shared" si="131"/>
        <v/>
      </c>
      <c r="AJ293" s="46" t="str">
        <f t="shared" si="132"/>
        <v/>
      </c>
      <c r="AK293" s="46" t="str">
        <f t="shared" si="133"/>
        <v/>
      </c>
      <c r="AL293" s="46" t="str">
        <f t="shared" si="134"/>
        <v/>
      </c>
      <c r="AM293" s="46" t="str">
        <f t="shared" si="135"/>
        <v/>
      </c>
      <c r="AN293" s="46" t="str">
        <f t="shared" si="136"/>
        <v/>
      </c>
      <c r="AO293" s="46" t="str">
        <f t="shared" si="137"/>
        <v/>
      </c>
      <c r="AP293" s="46" t="str">
        <f t="shared" si="138"/>
        <v/>
      </c>
      <c r="AQ293" s="46" t="str">
        <f t="shared" si="139"/>
        <v/>
      </c>
      <c r="AR293" s="46" t="str">
        <f t="shared" si="140"/>
        <v/>
      </c>
      <c r="AS293" s="46" t="str">
        <f t="shared" si="141"/>
        <v/>
      </c>
      <c r="AT293" s="46" t="str">
        <f t="shared" si="142"/>
        <v/>
      </c>
      <c r="AU293" s="46" t="str">
        <f t="shared" si="143"/>
        <v/>
      </c>
      <c r="AV293" s="46" t="str">
        <f t="shared" si="144"/>
        <v/>
      </c>
      <c r="AW293" s="46" t="str">
        <f t="shared" si="145"/>
        <v/>
      </c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20"/>
    </row>
    <row r="294" spans="2:154">
      <c r="B294" s="1"/>
      <c r="C294" s="2"/>
      <c r="D294" s="34"/>
      <c r="E294" s="34"/>
      <c r="F294" s="34"/>
      <c r="G294" s="34"/>
      <c r="H294" s="4"/>
      <c r="I294" s="4"/>
      <c r="J294" s="4"/>
      <c r="K294" s="3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37"/>
      <c r="X294" s="1"/>
      <c r="Y294" s="18">
        <f t="shared" si="121"/>
        <v>0</v>
      </c>
      <c r="Z294" s="21">
        <f t="shared" si="122"/>
        <v>0</v>
      </c>
      <c r="AA294" s="10">
        <f t="shared" si="123"/>
        <v>0</v>
      </c>
      <c r="AB294" s="10">
        <f t="shared" si="124"/>
        <v>0</v>
      </c>
      <c r="AC294" s="10">
        <f t="shared" si="125"/>
        <v>0</v>
      </c>
      <c r="AD294" s="46" t="str">
        <f t="shared" si="126"/>
        <v/>
      </c>
      <c r="AE294" s="46" t="str">
        <f t="shared" si="127"/>
        <v/>
      </c>
      <c r="AF294" s="46" t="str">
        <f t="shared" si="128"/>
        <v/>
      </c>
      <c r="AG294" s="46" t="str">
        <f t="shared" si="129"/>
        <v/>
      </c>
      <c r="AH294" s="46" t="str">
        <f t="shared" si="130"/>
        <v/>
      </c>
      <c r="AI294" s="46" t="str">
        <f t="shared" si="131"/>
        <v/>
      </c>
      <c r="AJ294" s="46" t="str">
        <f t="shared" si="132"/>
        <v/>
      </c>
      <c r="AK294" s="46" t="str">
        <f t="shared" si="133"/>
        <v/>
      </c>
      <c r="AL294" s="46" t="str">
        <f t="shared" si="134"/>
        <v/>
      </c>
      <c r="AM294" s="46" t="str">
        <f t="shared" si="135"/>
        <v/>
      </c>
      <c r="AN294" s="46" t="str">
        <f t="shared" si="136"/>
        <v/>
      </c>
      <c r="AO294" s="46" t="str">
        <f t="shared" si="137"/>
        <v/>
      </c>
      <c r="AP294" s="46" t="str">
        <f t="shared" si="138"/>
        <v/>
      </c>
      <c r="AQ294" s="46" t="str">
        <f t="shared" si="139"/>
        <v/>
      </c>
      <c r="AR294" s="46" t="str">
        <f t="shared" si="140"/>
        <v/>
      </c>
      <c r="AS294" s="46" t="str">
        <f t="shared" si="141"/>
        <v/>
      </c>
      <c r="AT294" s="46" t="str">
        <f t="shared" si="142"/>
        <v/>
      </c>
      <c r="AU294" s="46" t="str">
        <f t="shared" si="143"/>
        <v/>
      </c>
      <c r="AV294" s="46" t="str">
        <f t="shared" si="144"/>
        <v/>
      </c>
      <c r="AW294" s="46" t="str">
        <f t="shared" si="145"/>
        <v/>
      </c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20"/>
    </row>
    <row r="295" spans="2:154">
      <c r="B295" s="1"/>
      <c r="C295" s="2"/>
      <c r="D295" s="34"/>
      <c r="E295" s="34"/>
      <c r="F295" s="34"/>
      <c r="G295" s="34"/>
      <c r="H295" s="4"/>
      <c r="I295" s="4"/>
      <c r="J295" s="4"/>
      <c r="K295" s="3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37"/>
      <c r="X295" s="1"/>
      <c r="Y295" s="18">
        <f t="shared" si="121"/>
        <v>0</v>
      </c>
      <c r="Z295" s="21">
        <f t="shared" si="122"/>
        <v>0</v>
      </c>
      <c r="AA295" s="10">
        <f t="shared" si="123"/>
        <v>0</v>
      </c>
      <c r="AB295" s="10">
        <f t="shared" si="124"/>
        <v>0</v>
      </c>
      <c r="AC295" s="10">
        <f t="shared" si="125"/>
        <v>0</v>
      </c>
      <c r="AD295" s="46" t="str">
        <f t="shared" si="126"/>
        <v/>
      </c>
      <c r="AE295" s="46" t="str">
        <f t="shared" si="127"/>
        <v/>
      </c>
      <c r="AF295" s="46" t="str">
        <f t="shared" si="128"/>
        <v/>
      </c>
      <c r="AG295" s="46" t="str">
        <f t="shared" si="129"/>
        <v/>
      </c>
      <c r="AH295" s="46" t="str">
        <f t="shared" si="130"/>
        <v/>
      </c>
      <c r="AI295" s="46" t="str">
        <f t="shared" si="131"/>
        <v/>
      </c>
      <c r="AJ295" s="46" t="str">
        <f t="shared" si="132"/>
        <v/>
      </c>
      <c r="AK295" s="46" t="str">
        <f t="shared" si="133"/>
        <v/>
      </c>
      <c r="AL295" s="46" t="str">
        <f t="shared" si="134"/>
        <v/>
      </c>
      <c r="AM295" s="46" t="str">
        <f t="shared" si="135"/>
        <v/>
      </c>
      <c r="AN295" s="46" t="str">
        <f t="shared" si="136"/>
        <v/>
      </c>
      <c r="AO295" s="46" t="str">
        <f t="shared" si="137"/>
        <v/>
      </c>
      <c r="AP295" s="46" t="str">
        <f t="shared" si="138"/>
        <v/>
      </c>
      <c r="AQ295" s="46" t="str">
        <f t="shared" si="139"/>
        <v/>
      </c>
      <c r="AR295" s="46" t="str">
        <f t="shared" si="140"/>
        <v/>
      </c>
      <c r="AS295" s="46" t="str">
        <f t="shared" si="141"/>
        <v/>
      </c>
      <c r="AT295" s="46" t="str">
        <f t="shared" si="142"/>
        <v/>
      </c>
      <c r="AU295" s="46" t="str">
        <f t="shared" si="143"/>
        <v/>
      </c>
      <c r="AV295" s="46" t="str">
        <f t="shared" si="144"/>
        <v/>
      </c>
      <c r="AW295" s="46" t="str">
        <f t="shared" si="145"/>
        <v/>
      </c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20"/>
    </row>
    <row r="296" spans="2:154">
      <c r="B296" s="1"/>
      <c r="C296" s="2"/>
      <c r="D296" s="34"/>
      <c r="E296" s="34"/>
      <c r="F296" s="34"/>
      <c r="G296" s="34"/>
      <c r="H296" s="4"/>
      <c r="I296" s="4"/>
      <c r="J296" s="4"/>
      <c r="K296" s="3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37"/>
      <c r="X296" s="1"/>
      <c r="Y296" s="18">
        <f t="shared" si="121"/>
        <v>0</v>
      </c>
      <c r="Z296" s="21">
        <f t="shared" si="122"/>
        <v>0</v>
      </c>
      <c r="AA296" s="10">
        <f t="shared" si="123"/>
        <v>0</v>
      </c>
      <c r="AB296" s="10">
        <f t="shared" si="124"/>
        <v>0</v>
      </c>
      <c r="AC296" s="10">
        <f t="shared" si="125"/>
        <v>0</v>
      </c>
      <c r="AD296" s="46" t="str">
        <f t="shared" si="126"/>
        <v/>
      </c>
      <c r="AE296" s="46" t="str">
        <f t="shared" si="127"/>
        <v/>
      </c>
      <c r="AF296" s="46" t="str">
        <f t="shared" si="128"/>
        <v/>
      </c>
      <c r="AG296" s="46" t="str">
        <f t="shared" si="129"/>
        <v/>
      </c>
      <c r="AH296" s="46" t="str">
        <f t="shared" si="130"/>
        <v/>
      </c>
      <c r="AI296" s="46" t="str">
        <f t="shared" si="131"/>
        <v/>
      </c>
      <c r="AJ296" s="46" t="str">
        <f t="shared" si="132"/>
        <v/>
      </c>
      <c r="AK296" s="46" t="str">
        <f t="shared" si="133"/>
        <v/>
      </c>
      <c r="AL296" s="46" t="str">
        <f t="shared" si="134"/>
        <v/>
      </c>
      <c r="AM296" s="46" t="str">
        <f t="shared" si="135"/>
        <v/>
      </c>
      <c r="AN296" s="46" t="str">
        <f t="shared" si="136"/>
        <v/>
      </c>
      <c r="AO296" s="46" t="str">
        <f t="shared" si="137"/>
        <v/>
      </c>
      <c r="AP296" s="46" t="str">
        <f t="shared" si="138"/>
        <v/>
      </c>
      <c r="AQ296" s="46" t="str">
        <f t="shared" si="139"/>
        <v/>
      </c>
      <c r="AR296" s="46" t="str">
        <f t="shared" si="140"/>
        <v/>
      </c>
      <c r="AS296" s="46" t="str">
        <f t="shared" si="141"/>
        <v/>
      </c>
      <c r="AT296" s="46" t="str">
        <f t="shared" si="142"/>
        <v/>
      </c>
      <c r="AU296" s="46" t="str">
        <f t="shared" si="143"/>
        <v/>
      </c>
      <c r="AV296" s="46" t="str">
        <f t="shared" si="144"/>
        <v/>
      </c>
      <c r="AW296" s="46" t="str">
        <f t="shared" si="145"/>
        <v/>
      </c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20"/>
    </row>
    <row r="297" spans="2:154">
      <c r="B297" s="1"/>
      <c r="C297" s="2"/>
      <c r="D297" s="34"/>
      <c r="E297" s="34"/>
      <c r="F297" s="34"/>
      <c r="G297" s="34"/>
      <c r="H297" s="4"/>
      <c r="I297" s="4"/>
      <c r="J297" s="4"/>
      <c r="K297" s="3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37"/>
      <c r="X297" s="1"/>
      <c r="Y297" s="18">
        <f t="shared" si="121"/>
        <v>0</v>
      </c>
      <c r="Z297" s="21">
        <f t="shared" si="122"/>
        <v>0</v>
      </c>
      <c r="AA297" s="10">
        <f t="shared" si="123"/>
        <v>0</v>
      </c>
      <c r="AB297" s="10">
        <f t="shared" si="124"/>
        <v>0</v>
      </c>
      <c r="AC297" s="10">
        <f t="shared" si="125"/>
        <v>0</v>
      </c>
      <c r="AD297" s="46" t="str">
        <f t="shared" si="126"/>
        <v/>
      </c>
      <c r="AE297" s="46" t="str">
        <f t="shared" si="127"/>
        <v/>
      </c>
      <c r="AF297" s="46" t="str">
        <f t="shared" si="128"/>
        <v/>
      </c>
      <c r="AG297" s="46" t="str">
        <f t="shared" si="129"/>
        <v/>
      </c>
      <c r="AH297" s="46" t="str">
        <f t="shared" si="130"/>
        <v/>
      </c>
      <c r="AI297" s="46" t="str">
        <f t="shared" si="131"/>
        <v/>
      </c>
      <c r="AJ297" s="46" t="str">
        <f t="shared" si="132"/>
        <v/>
      </c>
      <c r="AK297" s="46" t="str">
        <f t="shared" si="133"/>
        <v/>
      </c>
      <c r="AL297" s="46" t="str">
        <f t="shared" si="134"/>
        <v/>
      </c>
      <c r="AM297" s="46" t="str">
        <f t="shared" si="135"/>
        <v/>
      </c>
      <c r="AN297" s="46" t="str">
        <f t="shared" si="136"/>
        <v/>
      </c>
      <c r="AO297" s="46" t="str">
        <f t="shared" si="137"/>
        <v/>
      </c>
      <c r="AP297" s="46" t="str">
        <f t="shared" si="138"/>
        <v/>
      </c>
      <c r="AQ297" s="46" t="str">
        <f t="shared" si="139"/>
        <v/>
      </c>
      <c r="AR297" s="46" t="str">
        <f t="shared" si="140"/>
        <v/>
      </c>
      <c r="AS297" s="46" t="str">
        <f t="shared" si="141"/>
        <v/>
      </c>
      <c r="AT297" s="46" t="str">
        <f t="shared" si="142"/>
        <v/>
      </c>
      <c r="AU297" s="46" t="str">
        <f t="shared" si="143"/>
        <v/>
      </c>
      <c r="AV297" s="46" t="str">
        <f t="shared" si="144"/>
        <v/>
      </c>
      <c r="AW297" s="46" t="str">
        <f t="shared" si="145"/>
        <v/>
      </c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20"/>
    </row>
    <row r="298" spans="2:154">
      <c r="B298" s="1"/>
      <c r="C298" s="2"/>
      <c r="D298" s="34"/>
      <c r="E298" s="34"/>
      <c r="F298" s="34"/>
      <c r="G298" s="34"/>
      <c r="H298" s="4"/>
      <c r="I298" s="4"/>
      <c r="J298" s="4"/>
      <c r="K298" s="3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37"/>
      <c r="X298" s="1"/>
      <c r="Y298" s="18">
        <f t="shared" si="121"/>
        <v>0</v>
      </c>
      <c r="Z298" s="21">
        <f t="shared" si="122"/>
        <v>0</v>
      </c>
      <c r="AA298" s="10">
        <f t="shared" si="123"/>
        <v>0</v>
      </c>
      <c r="AB298" s="10">
        <f t="shared" si="124"/>
        <v>0</v>
      </c>
      <c r="AC298" s="10">
        <f t="shared" si="125"/>
        <v>0</v>
      </c>
      <c r="AD298" s="46" t="str">
        <f t="shared" si="126"/>
        <v/>
      </c>
      <c r="AE298" s="46" t="str">
        <f t="shared" si="127"/>
        <v/>
      </c>
      <c r="AF298" s="46" t="str">
        <f t="shared" si="128"/>
        <v/>
      </c>
      <c r="AG298" s="46" t="str">
        <f t="shared" si="129"/>
        <v/>
      </c>
      <c r="AH298" s="46" t="str">
        <f t="shared" si="130"/>
        <v/>
      </c>
      <c r="AI298" s="46" t="str">
        <f t="shared" si="131"/>
        <v/>
      </c>
      <c r="AJ298" s="46" t="str">
        <f t="shared" si="132"/>
        <v/>
      </c>
      <c r="AK298" s="46" t="str">
        <f t="shared" si="133"/>
        <v/>
      </c>
      <c r="AL298" s="46" t="str">
        <f t="shared" si="134"/>
        <v/>
      </c>
      <c r="AM298" s="46" t="str">
        <f t="shared" si="135"/>
        <v/>
      </c>
      <c r="AN298" s="46" t="str">
        <f t="shared" si="136"/>
        <v/>
      </c>
      <c r="AO298" s="46" t="str">
        <f t="shared" si="137"/>
        <v/>
      </c>
      <c r="AP298" s="46" t="str">
        <f t="shared" si="138"/>
        <v/>
      </c>
      <c r="AQ298" s="46" t="str">
        <f t="shared" si="139"/>
        <v/>
      </c>
      <c r="AR298" s="46" t="str">
        <f t="shared" si="140"/>
        <v/>
      </c>
      <c r="AS298" s="46" t="str">
        <f t="shared" si="141"/>
        <v/>
      </c>
      <c r="AT298" s="46" t="str">
        <f t="shared" si="142"/>
        <v/>
      </c>
      <c r="AU298" s="46" t="str">
        <f t="shared" si="143"/>
        <v/>
      </c>
      <c r="AV298" s="46" t="str">
        <f t="shared" si="144"/>
        <v/>
      </c>
      <c r="AW298" s="46" t="str">
        <f t="shared" si="145"/>
        <v/>
      </c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20"/>
    </row>
    <row r="299" spans="2:154">
      <c r="B299" s="1"/>
      <c r="C299" s="2"/>
      <c r="D299" s="34"/>
      <c r="E299" s="34"/>
      <c r="F299" s="34"/>
      <c r="G299" s="34"/>
      <c r="H299" s="4"/>
      <c r="I299" s="4"/>
      <c r="J299" s="4"/>
      <c r="K299" s="3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37"/>
      <c r="X299" s="1"/>
      <c r="Y299" s="18">
        <f t="shared" si="121"/>
        <v>0</v>
      </c>
      <c r="Z299" s="21">
        <f t="shared" si="122"/>
        <v>0</v>
      </c>
      <c r="AA299" s="10">
        <f t="shared" si="123"/>
        <v>0</v>
      </c>
      <c r="AB299" s="10">
        <f t="shared" si="124"/>
        <v>0</v>
      </c>
      <c r="AC299" s="10">
        <f t="shared" si="125"/>
        <v>0</v>
      </c>
      <c r="AD299" s="46" t="str">
        <f t="shared" si="126"/>
        <v/>
      </c>
      <c r="AE299" s="46" t="str">
        <f t="shared" si="127"/>
        <v/>
      </c>
      <c r="AF299" s="46" t="str">
        <f t="shared" si="128"/>
        <v/>
      </c>
      <c r="AG299" s="46" t="str">
        <f t="shared" si="129"/>
        <v/>
      </c>
      <c r="AH299" s="46" t="str">
        <f t="shared" si="130"/>
        <v/>
      </c>
      <c r="AI299" s="46" t="str">
        <f t="shared" si="131"/>
        <v/>
      </c>
      <c r="AJ299" s="46" t="str">
        <f t="shared" si="132"/>
        <v/>
      </c>
      <c r="AK299" s="46" t="str">
        <f t="shared" si="133"/>
        <v/>
      </c>
      <c r="AL299" s="46" t="str">
        <f t="shared" si="134"/>
        <v/>
      </c>
      <c r="AM299" s="46" t="str">
        <f t="shared" si="135"/>
        <v/>
      </c>
      <c r="AN299" s="46" t="str">
        <f t="shared" si="136"/>
        <v/>
      </c>
      <c r="AO299" s="46" t="str">
        <f t="shared" si="137"/>
        <v/>
      </c>
      <c r="AP299" s="46" t="str">
        <f t="shared" si="138"/>
        <v/>
      </c>
      <c r="AQ299" s="46" t="str">
        <f t="shared" si="139"/>
        <v/>
      </c>
      <c r="AR299" s="46" t="str">
        <f t="shared" si="140"/>
        <v/>
      </c>
      <c r="AS299" s="46" t="str">
        <f t="shared" si="141"/>
        <v/>
      </c>
      <c r="AT299" s="46" t="str">
        <f t="shared" si="142"/>
        <v/>
      </c>
      <c r="AU299" s="46" t="str">
        <f t="shared" si="143"/>
        <v/>
      </c>
      <c r="AV299" s="46" t="str">
        <f t="shared" si="144"/>
        <v/>
      </c>
      <c r="AW299" s="46" t="str">
        <f t="shared" si="145"/>
        <v/>
      </c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20"/>
    </row>
    <row r="300" spans="2:154">
      <c r="B300" s="1"/>
      <c r="C300" s="2"/>
      <c r="D300" s="34"/>
      <c r="E300" s="34"/>
      <c r="F300" s="34"/>
      <c r="G300" s="34"/>
      <c r="H300" s="4"/>
      <c r="I300" s="4"/>
      <c r="J300" s="4"/>
      <c r="K300" s="3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37"/>
      <c r="X300" s="1"/>
      <c r="Y300" s="18">
        <f t="shared" si="121"/>
        <v>0</v>
      </c>
      <c r="Z300" s="21">
        <f t="shared" si="122"/>
        <v>0</v>
      </c>
      <c r="AA300" s="10">
        <f t="shared" si="123"/>
        <v>0</v>
      </c>
      <c r="AB300" s="10">
        <f t="shared" si="124"/>
        <v>0</v>
      </c>
      <c r="AC300" s="10">
        <f t="shared" si="125"/>
        <v>0</v>
      </c>
      <c r="AD300" s="46" t="str">
        <f t="shared" si="126"/>
        <v/>
      </c>
      <c r="AE300" s="46" t="str">
        <f t="shared" si="127"/>
        <v/>
      </c>
      <c r="AF300" s="46" t="str">
        <f t="shared" si="128"/>
        <v/>
      </c>
      <c r="AG300" s="46" t="str">
        <f t="shared" si="129"/>
        <v/>
      </c>
      <c r="AH300" s="46" t="str">
        <f t="shared" si="130"/>
        <v/>
      </c>
      <c r="AI300" s="46" t="str">
        <f t="shared" si="131"/>
        <v/>
      </c>
      <c r="AJ300" s="46" t="str">
        <f t="shared" si="132"/>
        <v/>
      </c>
      <c r="AK300" s="46" t="str">
        <f t="shared" si="133"/>
        <v/>
      </c>
      <c r="AL300" s="46" t="str">
        <f t="shared" si="134"/>
        <v/>
      </c>
      <c r="AM300" s="46" t="str">
        <f t="shared" si="135"/>
        <v/>
      </c>
      <c r="AN300" s="46" t="str">
        <f t="shared" si="136"/>
        <v/>
      </c>
      <c r="AO300" s="46" t="str">
        <f t="shared" si="137"/>
        <v/>
      </c>
      <c r="AP300" s="46" t="str">
        <f t="shared" si="138"/>
        <v/>
      </c>
      <c r="AQ300" s="46" t="str">
        <f t="shared" si="139"/>
        <v/>
      </c>
      <c r="AR300" s="46" t="str">
        <f t="shared" si="140"/>
        <v/>
      </c>
      <c r="AS300" s="46" t="str">
        <f t="shared" si="141"/>
        <v/>
      </c>
      <c r="AT300" s="46" t="str">
        <f t="shared" si="142"/>
        <v/>
      </c>
      <c r="AU300" s="46" t="str">
        <f t="shared" si="143"/>
        <v/>
      </c>
      <c r="AV300" s="46" t="str">
        <f t="shared" si="144"/>
        <v/>
      </c>
      <c r="AW300" s="46" t="str">
        <f t="shared" si="145"/>
        <v/>
      </c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20"/>
    </row>
    <row r="301" spans="2:154">
      <c r="B301" s="1"/>
      <c r="C301" s="2"/>
      <c r="D301" s="34"/>
      <c r="E301" s="34"/>
      <c r="F301" s="34"/>
      <c r="G301" s="34"/>
      <c r="H301" s="4"/>
      <c r="I301" s="4"/>
      <c r="J301" s="4"/>
      <c r="K301" s="3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37"/>
      <c r="X301" s="1"/>
      <c r="Y301" s="18">
        <f t="shared" si="121"/>
        <v>0</v>
      </c>
      <c r="Z301" s="21">
        <f t="shared" si="122"/>
        <v>0</v>
      </c>
      <c r="AA301" s="10">
        <f t="shared" si="123"/>
        <v>0</v>
      </c>
      <c r="AB301" s="10">
        <f t="shared" si="124"/>
        <v>0</v>
      </c>
      <c r="AC301" s="10">
        <f t="shared" si="125"/>
        <v>0</v>
      </c>
      <c r="AD301" s="46" t="str">
        <f t="shared" si="126"/>
        <v/>
      </c>
      <c r="AE301" s="46" t="str">
        <f t="shared" si="127"/>
        <v/>
      </c>
      <c r="AF301" s="46" t="str">
        <f t="shared" si="128"/>
        <v/>
      </c>
      <c r="AG301" s="46" t="str">
        <f t="shared" si="129"/>
        <v/>
      </c>
      <c r="AH301" s="46" t="str">
        <f t="shared" si="130"/>
        <v/>
      </c>
      <c r="AI301" s="46" t="str">
        <f t="shared" si="131"/>
        <v/>
      </c>
      <c r="AJ301" s="46" t="str">
        <f t="shared" si="132"/>
        <v/>
      </c>
      <c r="AK301" s="46" t="str">
        <f t="shared" si="133"/>
        <v/>
      </c>
      <c r="AL301" s="46" t="str">
        <f t="shared" si="134"/>
        <v/>
      </c>
      <c r="AM301" s="46" t="str">
        <f t="shared" si="135"/>
        <v/>
      </c>
      <c r="AN301" s="46" t="str">
        <f t="shared" si="136"/>
        <v/>
      </c>
      <c r="AO301" s="46" t="str">
        <f t="shared" si="137"/>
        <v/>
      </c>
      <c r="AP301" s="46" t="str">
        <f t="shared" si="138"/>
        <v/>
      </c>
      <c r="AQ301" s="46" t="str">
        <f t="shared" si="139"/>
        <v/>
      </c>
      <c r="AR301" s="46" t="str">
        <f t="shared" si="140"/>
        <v/>
      </c>
      <c r="AS301" s="46" t="str">
        <f t="shared" si="141"/>
        <v/>
      </c>
      <c r="AT301" s="46" t="str">
        <f t="shared" si="142"/>
        <v/>
      </c>
      <c r="AU301" s="46" t="str">
        <f t="shared" si="143"/>
        <v/>
      </c>
      <c r="AV301" s="46" t="str">
        <f t="shared" si="144"/>
        <v/>
      </c>
      <c r="AW301" s="46" t="str">
        <f t="shared" si="145"/>
        <v/>
      </c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20"/>
    </row>
    <row r="302" spans="2:154">
      <c r="B302" s="1"/>
      <c r="C302" s="2"/>
      <c r="D302" s="34"/>
      <c r="E302" s="34"/>
      <c r="F302" s="34"/>
      <c r="G302" s="34"/>
      <c r="H302" s="4"/>
      <c r="I302" s="4"/>
      <c r="J302" s="4"/>
      <c r="K302" s="3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37"/>
      <c r="X302" s="1"/>
      <c r="Y302" s="18">
        <f t="shared" si="121"/>
        <v>0</v>
      </c>
      <c r="Z302" s="21">
        <f t="shared" si="122"/>
        <v>0</v>
      </c>
      <c r="AA302" s="10">
        <f t="shared" si="123"/>
        <v>0</v>
      </c>
      <c r="AB302" s="10">
        <f t="shared" si="124"/>
        <v>0</v>
      </c>
      <c r="AC302" s="10">
        <f t="shared" si="125"/>
        <v>0</v>
      </c>
      <c r="AD302" s="46" t="str">
        <f t="shared" si="126"/>
        <v/>
      </c>
      <c r="AE302" s="46" t="str">
        <f t="shared" si="127"/>
        <v/>
      </c>
      <c r="AF302" s="46" t="str">
        <f t="shared" si="128"/>
        <v/>
      </c>
      <c r="AG302" s="46" t="str">
        <f t="shared" si="129"/>
        <v/>
      </c>
      <c r="AH302" s="46" t="str">
        <f t="shared" si="130"/>
        <v/>
      </c>
      <c r="AI302" s="46" t="str">
        <f t="shared" si="131"/>
        <v/>
      </c>
      <c r="AJ302" s="46" t="str">
        <f t="shared" si="132"/>
        <v/>
      </c>
      <c r="AK302" s="46" t="str">
        <f t="shared" si="133"/>
        <v/>
      </c>
      <c r="AL302" s="46" t="str">
        <f t="shared" si="134"/>
        <v/>
      </c>
      <c r="AM302" s="46" t="str">
        <f t="shared" si="135"/>
        <v/>
      </c>
      <c r="AN302" s="46" t="str">
        <f t="shared" si="136"/>
        <v/>
      </c>
      <c r="AO302" s="46" t="str">
        <f t="shared" si="137"/>
        <v/>
      </c>
      <c r="AP302" s="46" t="str">
        <f t="shared" si="138"/>
        <v/>
      </c>
      <c r="AQ302" s="46" t="str">
        <f t="shared" si="139"/>
        <v/>
      </c>
      <c r="AR302" s="46" t="str">
        <f t="shared" si="140"/>
        <v/>
      </c>
      <c r="AS302" s="46" t="str">
        <f t="shared" si="141"/>
        <v/>
      </c>
      <c r="AT302" s="46" t="str">
        <f t="shared" si="142"/>
        <v/>
      </c>
      <c r="AU302" s="46" t="str">
        <f t="shared" si="143"/>
        <v/>
      </c>
      <c r="AV302" s="46" t="str">
        <f t="shared" si="144"/>
        <v/>
      </c>
      <c r="AW302" s="46" t="str">
        <f t="shared" si="145"/>
        <v/>
      </c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20"/>
    </row>
    <row r="303" spans="2:154">
      <c r="D303" s="34"/>
      <c r="E303" s="34"/>
      <c r="F303" s="34"/>
      <c r="G303" s="34"/>
      <c r="H303" s="4"/>
      <c r="I303" s="4"/>
      <c r="J303" s="4"/>
      <c r="K303" s="3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37"/>
      <c r="X303" s="1"/>
      <c r="Y303" s="18">
        <f t="shared" si="121"/>
        <v>0</v>
      </c>
      <c r="Z303" s="21">
        <f t="shared" si="122"/>
        <v>0</v>
      </c>
      <c r="AA303" s="10">
        <f t="shared" si="123"/>
        <v>0</v>
      </c>
      <c r="AB303" s="10">
        <f t="shared" si="124"/>
        <v>0</v>
      </c>
      <c r="AC303" s="10">
        <f t="shared" si="125"/>
        <v>0</v>
      </c>
      <c r="AD303" s="46" t="str">
        <f t="shared" si="126"/>
        <v/>
      </c>
      <c r="AE303" s="46" t="str">
        <f t="shared" si="127"/>
        <v/>
      </c>
      <c r="AF303" s="46" t="str">
        <f t="shared" si="128"/>
        <v/>
      </c>
      <c r="AG303" s="46" t="str">
        <f t="shared" si="129"/>
        <v/>
      </c>
      <c r="AH303" s="46" t="str">
        <f t="shared" si="130"/>
        <v/>
      </c>
      <c r="AI303" s="46" t="str">
        <f t="shared" si="131"/>
        <v/>
      </c>
      <c r="AJ303" s="46" t="str">
        <f t="shared" si="132"/>
        <v/>
      </c>
      <c r="AK303" s="46" t="str">
        <f t="shared" si="133"/>
        <v/>
      </c>
      <c r="AL303" s="46" t="str">
        <f t="shared" si="134"/>
        <v/>
      </c>
      <c r="AM303" s="46" t="str">
        <f t="shared" si="135"/>
        <v/>
      </c>
      <c r="AN303" s="46" t="str">
        <f t="shared" si="136"/>
        <v/>
      </c>
      <c r="AO303" s="46" t="str">
        <f t="shared" si="137"/>
        <v/>
      </c>
      <c r="AP303" s="46" t="str">
        <f t="shared" si="138"/>
        <v/>
      </c>
      <c r="AQ303" s="46" t="str">
        <f t="shared" si="139"/>
        <v/>
      </c>
      <c r="AR303" s="46" t="str">
        <f t="shared" si="140"/>
        <v/>
      </c>
      <c r="AS303" s="46" t="str">
        <f t="shared" si="141"/>
        <v/>
      </c>
      <c r="AT303" s="46" t="str">
        <f t="shared" si="142"/>
        <v/>
      </c>
      <c r="AU303" s="46" t="str">
        <f t="shared" si="143"/>
        <v/>
      </c>
      <c r="AV303" s="46" t="str">
        <f t="shared" si="144"/>
        <v/>
      </c>
      <c r="AW303" s="46" t="str">
        <f t="shared" si="145"/>
        <v/>
      </c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20"/>
    </row>
    <row r="304" spans="2:154">
      <c r="D304" s="34"/>
      <c r="E304" s="34"/>
      <c r="F304" s="34"/>
      <c r="G304" s="34"/>
      <c r="H304" s="4"/>
      <c r="I304" s="4"/>
      <c r="J304" s="4"/>
      <c r="K304" s="3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37"/>
      <c r="X304" s="1"/>
      <c r="Y304" s="18">
        <f t="shared" si="121"/>
        <v>0</v>
      </c>
      <c r="Z304" s="21">
        <f t="shared" si="122"/>
        <v>0</v>
      </c>
      <c r="AA304" s="10">
        <f t="shared" si="123"/>
        <v>0</v>
      </c>
      <c r="AB304" s="10">
        <f t="shared" si="124"/>
        <v>0</v>
      </c>
      <c r="AC304" s="10">
        <f t="shared" si="125"/>
        <v>0</v>
      </c>
      <c r="AD304" s="46" t="str">
        <f t="shared" si="126"/>
        <v/>
      </c>
      <c r="AE304" s="46" t="str">
        <f t="shared" si="127"/>
        <v/>
      </c>
      <c r="AF304" s="46" t="str">
        <f t="shared" si="128"/>
        <v/>
      </c>
      <c r="AG304" s="46" t="str">
        <f t="shared" si="129"/>
        <v/>
      </c>
      <c r="AH304" s="46" t="str">
        <f t="shared" si="130"/>
        <v/>
      </c>
      <c r="AI304" s="46" t="str">
        <f t="shared" si="131"/>
        <v/>
      </c>
      <c r="AJ304" s="46" t="str">
        <f t="shared" si="132"/>
        <v/>
      </c>
      <c r="AK304" s="46" t="str">
        <f t="shared" si="133"/>
        <v/>
      </c>
      <c r="AL304" s="46" t="str">
        <f t="shared" si="134"/>
        <v/>
      </c>
      <c r="AM304" s="46" t="str">
        <f t="shared" si="135"/>
        <v/>
      </c>
      <c r="AN304" s="46" t="str">
        <f t="shared" si="136"/>
        <v/>
      </c>
      <c r="AO304" s="46" t="str">
        <f t="shared" si="137"/>
        <v/>
      </c>
      <c r="AP304" s="46" t="str">
        <f t="shared" si="138"/>
        <v/>
      </c>
      <c r="AQ304" s="46" t="str">
        <f t="shared" si="139"/>
        <v/>
      </c>
      <c r="AR304" s="46" t="str">
        <f t="shared" si="140"/>
        <v/>
      </c>
      <c r="AS304" s="46" t="str">
        <f t="shared" si="141"/>
        <v/>
      </c>
      <c r="AT304" s="46" t="str">
        <f t="shared" si="142"/>
        <v/>
      </c>
      <c r="AU304" s="46" t="str">
        <f t="shared" si="143"/>
        <v/>
      </c>
      <c r="AV304" s="46" t="str">
        <f t="shared" si="144"/>
        <v/>
      </c>
      <c r="AW304" s="46" t="str">
        <f t="shared" si="145"/>
        <v/>
      </c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20"/>
    </row>
    <row r="305" spans="4:49">
      <c r="D305" s="34"/>
      <c r="E305" s="34"/>
      <c r="F305" s="34"/>
      <c r="G305" s="34"/>
      <c r="H305" s="4"/>
      <c r="I305" s="4"/>
      <c r="J305" s="4"/>
      <c r="K305" s="3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37"/>
      <c r="X305" s="1"/>
      <c r="Y305" s="18">
        <f t="shared" si="121"/>
        <v>0</v>
      </c>
      <c r="Z305" s="21">
        <f t="shared" si="122"/>
        <v>0</v>
      </c>
      <c r="AA305" s="10">
        <f t="shared" si="123"/>
        <v>0</v>
      </c>
      <c r="AB305" s="10">
        <f t="shared" si="124"/>
        <v>0</v>
      </c>
      <c r="AC305" s="10">
        <f t="shared" si="125"/>
        <v>0</v>
      </c>
      <c r="AD305" s="46" t="str">
        <f t="shared" si="126"/>
        <v/>
      </c>
      <c r="AE305" s="46" t="str">
        <f t="shared" si="127"/>
        <v/>
      </c>
      <c r="AF305" s="46" t="str">
        <f t="shared" si="128"/>
        <v/>
      </c>
      <c r="AG305" s="46" t="str">
        <f t="shared" si="129"/>
        <v/>
      </c>
      <c r="AH305" s="46" t="str">
        <f t="shared" si="130"/>
        <v/>
      </c>
      <c r="AI305" s="46" t="str">
        <f t="shared" si="131"/>
        <v/>
      </c>
      <c r="AJ305" s="46" t="str">
        <f t="shared" si="132"/>
        <v/>
      </c>
      <c r="AK305" s="46" t="str">
        <f t="shared" si="133"/>
        <v/>
      </c>
      <c r="AL305" s="46" t="str">
        <f t="shared" si="134"/>
        <v/>
      </c>
      <c r="AM305" s="46" t="str">
        <f t="shared" si="135"/>
        <v/>
      </c>
      <c r="AN305" s="46" t="str">
        <f t="shared" si="136"/>
        <v/>
      </c>
      <c r="AO305" s="46" t="str">
        <f t="shared" si="137"/>
        <v/>
      </c>
      <c r="AP305" s="46" t="str">
        <f t="shared" si="138"/>
        <v/>
      </c>
      <c r="AQ305" s="46" t="str">
        <f t="shared" si="139"/>
        <v/>
      </c>
      <c r="AR305" s="46" t="str">
        <f t="shared" si="140"/>
        <v/>
      </c>
      <c r="AS305" s="46" t="str">
        <f t="shared" si="141"/>
        <v/>
      </c>
      <c r="AT305" s="46" t="str">
        <f t="shared" si="142"/>
        <v/>
      </c>
      <c r="AU305" s="46" t="str">
        <f t="shared" si="143"/>
        <v/>
      </c>
      <c r="AV305" s="46" t="str">
        <f t="shared" si="144"/>
        <v/>
      </c>
      <c r="AW305" s="46" t="str">
        <f t="shared" si="145"/>
        <v/>
      </c>
    </row>
    <row r="306" spans="4:49">
      <c r="D306" s="34"/>
      <c r="E306" s="34"/>
      <c r="F306" s="34"/>
      <c r="G306" s="34"/>
      <c r="H306" s="4"/>
      <c r="I306" s="4"/>
      <c r="J306" s="4"/>
      <c r="K306" s="3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37"/>
      <c r="X306" s="1"/>
      <c r="Y306" s="18">
        <f t="shared" si="121"/>
        <v>0</v>
      </c>
      <c r="Z306" s="21">
        <f t="shared" si="122"/>
        <v>0</v>
      </c>
      <c r="AA306" s="10">
        <f t="shared" si="123"/>
        <v>0</v>
      </c>
      <c r="AB306" s="10">
        <f t="shared" si="124"/>
        <v>0</v>
      </c>
      <c r="AC306" s="10">
        <f t="shared" si="125"/>
        <v>0</v>
      </c>
      <c r="AD306" s="46" t="str">
        <f t="shared" si="126"/>
        <v/>
      </c>
      <c r="AE306" s="46" t="str">
        <f t="shared" si="127"/>
        <v/>
      </c>
      <c r="AF306" s="46" t="str">
        <f t="shared" si="128"/>
        <v/>
      </c>
      <c r="AG306" s="46" t="str">
        <f t="shared" si="129"/>
        <v/>
      </c>
      <c r="AH306" s="46" t="str">
        <f t="shared" si="130"/>
        <v/>
      </c>
      <c r="AI306" s="46" t="str">
        <f t="shared" si="131"/>
        <v/>
      </c>
      <c r="AJ306" s="46" t="str">
        <f t="shared" si="132"/>
        <v/>
      </c>
      <c r="AK306" s="46" t="str">
        <f t="shared" si="133"/>
        <v/>
      </c>
      <c r="AL306" s="46" t="str">
        <f t="shared" si="134"/>
        <v/>
      </c>
      <c r="AM306" s="46" t="str">
        <f t="shared" si="135"/>
        <v/>
      </c>
      <c r="AN306" s="46" t="str">
        <f t="shared" si="136"/>
        <v/>
      </c>
      <c r="AO306" s="46" t="str">
        <f t="shared" si="137"/>
        <v/>
      </c>
      <c r="AP306" s="46" t="str">
        <f t="shared" si="138"/>
        <v/>
      </c>
      <c r="AQ306" s="46" t="str">
        <f t="shared" si="139"/>
        <v/>
      </c>
      <c r="AR306" s="46" t="str">
        <f t="shared" si="140"/>
        <v/>
      </c>
      <c r="AS306" s="46" t="str">
        <f t="shared" si="141"/>
        <v/>
      </c>
      <c r="AT306" s="46" t="str">
        <f t="shared" si="142"/>
        <v/>
      </c>
      <c r="AU306" s="46" t="str">
        <f t="shared" si="143"/>
        <v/>
      </c>
      <c r="AV306" s="46" t="str">
        <f t="shared" si="144"/>
        <v/>
      </c>
      <c r="AW306" s="46" t="str">
        <f t="shared" si="145"/>
        <v/>
      </c>
    </row>
    <row r="307" spans="4:49">
      <c r="D307" s="34"/>
      <c r="E307" s="34"/>
      <c r="F307" s="34"/>
      <c r="G307" s="34"/>
      <c r="H307" s="4"/>
      <c r="I307" s="4"/>
      <c r="J307" s="4"/>
      <c r="K307" s="3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37"/>
      <c r="X307" s="1"/>
      <c r="Y307" s="18">
        <f t="shared" si="121"/>
        <v>0</v>
      </c>
      <c r="Z307" s="21">
        <f t="shared" si="122"/>
        <v>0</v>
      </c>
      <c r="AA307" s="10">
        <f t="shared" si="123"/>
        <v>0</v>
      </c>
      <c r="AB307" s="10">
        <f t="shared" si="124"/>
        <v>0</v>
      </c>
      <c r="AC307" s="10">
        <f t="shared" si="125"/>
        <v>0</v>
      </c>
      <c r="AD307" s="46" t="str">
        <f t="shared" si="126"/>
        <v/>
      </c>
      <c r="AE307" s="46" t="str">
        <f t="shared" si="127"/>
        <v/>
      </c>
      <c r="AF307" s="46" t="str">
        <f t="shared" si="128"/>
        <v/>
      </c>
      <c r="AG307" s="46" t="str">
        <f t="shared" si="129"/>
        <v/>
      </c>
      <c r="AH307" s="46" t="str">
        <f t="shared" si="130"/>
        <v/>
      </c>
      <c r="AI307" s="46" t="str">
        <f t="shared" si="131"/>
        <v/>
      </c>
      <c r="AJ307" s="46" t="str">
        <f t="shared" si="132"/>
        <v/>
      </c>
      <c r="AK307" s="46" t="str">
        <f t="shared" si="133"/>
        <v/>
      </c>
      <c r="AL307" s="46" t="str">
        <f t="shared" si="134"/>
        <v/>
      </c>
      <c r="AM307" s="46" t="str">
        <f t="shared" si="135"/>
        <v/>
      </c>
      <c r="AN307" s="46" t="str">
        <f t="shared" si="136"/>
        <v/>
      </c>
      <c r="AO307" s="46" t="str">
        <f t="shared" si="137"/>
        <v/>
      </c>
      <c r="AP307" s="46" t="str">
        <f t="shared" si="138"/>
        <v/>
      </c>
      <c r="AQ307" s="46" t="str">
        <f t="shared" si="139"/>
        <v/>
      </c>
      <c r="AR307" s="46" t="str">
        <f t="shared" si="140"/>
        <v/>
      </c>
      <c r="AS307" s="46" t="str">
        <f t="shared" si="141"/>
        <v/>
      </c>
      <c r="AT307" s="46" t="str">
        <f t="shared" si="142"/>
        <v/>
      </c>
      <c r="AU307" s="46" t="str">
        <f t="shared" si="143"/>
        <v/>
      </c>
      <c r="AV307" s="46" t="str">
        <f t="shared" si="144"/>
        <v/>
      </c>
      <c r="AW307" s="46" t="str">
        <f t="shared" si="145"/>
        <v/>
      </c>
    </row>
    <row r="308" spans="4:49">
      <c r="D308" s="34"/>
      <c r="E308" s="34"/>
      <c r="F308" s="34"/>
      <c r="G308" s="34"/>
      <c r="H308" s="4"/>
      <c r="I308" s="4"/>
      <c r="J308" s="4"/>
      <c r="K308" s="3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37"/>
      <c r="X308" s="1"/>
      <c r="Y308" s="18">
        <f t="shared" si="121"/>
        <v>0</v>
      </c>
      <c r="Z308" s="21">
        <f t="shared" si="122"/>
        <v>0</v>
      </c>
      <c r="AA308" s="10">
        <f t="shared" si="123"/>
        <v>0</v>
      </c>
      <c r="AB308" s="10">
        <f t="shared" si="124"/>
        <v>0</v>
      </c>
      <c r="AC308" s="10">
        <f t="shared" si="125"/>
        <v>0</v>
      </c>
      <c r="AD308" s="46" t="str">
        <f t="shared" si="126"/>
        <v/>
      </c>
      <c r="AE308" s="46" t="str">
        <f t="shared" si="127"/>
        <v/>
      </c>
      <c r="AF308" s="46" t="str">
        <f t="shared" si="128"/>
        <v/>
      </c>
      <c r="AG308" s="46" t="str">
        <f t="shared" si="129"/>
        <v/>
      </c>
      <c r="AH308" s="46" t="str">
        <f t="shared" si="130"/>
        <v/>
      </c>
      <c r="AI308" s="46" t="str">
        <f t="shared" si="131"/>
        <v/>
      </c>
      <c r="AJ308" s="46" t="str">
        <f t="shared" si="132"/>
        <v/>
      </c>
      <c r="AK308" s="46" t="str">
        <f t="shared" si="133"/>
        <v/>
      </c>
      <c r="AL308" s="46" t="str">
        <f t="shared" si="134"/>
        <v/>
      </c>
      <c r="AM308" s="46" t="str">
        <f t="shared" si="135"/>
        <v/>
      </c>
      <c r="AN308" s="46" t="str">
        <f t="shared" si="136"/>
        <v/>
      </c>
      <c r="AO308" s="46" t="str">
        <f t="shared" si="137"/>
        <v/>
      </c>
      <c r="AP308" s="46" t="str">
        <f t="shared" si="138"/>
        <v/>
      </c>
      <c r="AQ308" s="46" t="str">
        <f t="shared" si="139"/>
        <v/>
      </c>
      <c r="AR308" s="46" t="str">
        <f t="shared" si="140"/>
        <v/>
      </c>
      <c r="AS308" s="46" t="str">
        <f t="shared" si="141"/>
        <v/>
      </c>
      <c r="AT308" s="46" t="str">
        <f t="shared" si="142"/>
        <v/>
      </c>
      <c r="AU308" s="46" t="str">
        <f t="shared" si="143"/>
        <v/>
      </c>
      <c r="AV308" s="46" t="str">
        <f t="shared" si="144"/>
        <v/>
      </c>
      <c r="AW308" s="46" t="str">
        <f t="shared" si="145"/>
        <v/>
      </c>
    </row>
    <row r="309" spans="4:49">
      <c r="D309" s="34"/>
      <c r="E309" s="34"/>
      <c r="F309" s="34"/>
      <c r="G309" s="34"/>
      <c r="H309" s="4"/>
      <c r="I309" s="4"/>
      <c r="J309" s="4"/>
      <c r="K309" s="3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37"/>
      <c r="X309" s="1"/>
      <c r="Y309" s="18">
        <f t="shared" si="121"/>
        <v>0</v>
      </c>
      <c r="Z309" s="21">
        <f t="shared" si="122"/>
        <v>0</v>
      </c>
      <c r="AA309" s="10">
        <f t="shared" si="123"/>
        <v>0</v>
      </c>
      <c r="AB309" s="10">
        <f t="shared" si="124"/>
        <v>0</v>
      </c>
      <c r="AC309" s="10">
        <f t="shared" si="125"/>
        <v>0</v>
      </c>
      <c r="AD309" s="46" t="str">
        <f t="shared" si="126"/>
        <v/>
      </c>
      <c r="AE309" s="46" t="str">
        <f t="shared" si="127"/>
        <v/>
      </c>
      <c r="AF309" s="46" t="str">
        <f t="shared" si="128"/>
        <v/>
      </c>
      <c r="AG309" s="46" t="str">
        <f t="shared" si="129"/>
        <v/>
      </c>
      <c r="AH309" s="46" t="str">
        <f t="shared" si="130"/>
        <v/>
      </c>
      <c r="AI309" s="46" t="str">
        <f t="shared" si="131"/>
        <v/>
      </c>
      <c r="AJ309" s="46" t="str">
        <f t="shared" si="132"/>
        <v/>
      </c>
      <c r="AK309" s="46" t="str">
        <f t="shared" si="133"/>
        <v/>
      </c>
      <c r="AL309" s="46" t="str">
        <f t="shared" si="134"/>
        <v/>
      </c>
      <c r="AM309" s="46" t="str">
        <f t="shared" si="135"/>
        <v/>
      </c>
      <c r="AN309" s="46" t="str">
        <f t="shared" si="136"/>
        <v/>
      </c>
      <c r="AO309" s="46" t="str">
        <f t="shared" si="137"/>
        <v/>
      </c>
      <c r="AP309" s="46" t="str">
        <f t="shared" si="138"/>
        <v/>
      </c>
      <c r="AQ309" s="46" t="str">
        <f t="shared" si="139"/>
        <v/>
      </c>
      <c r="AR309" s="46" t="str">
        <f t="shared" si="140"/>
        <v/>
      </c>
      <c r="AS309" s="46" t="str">
        <f t="shared" si="141"/>
        <v/>
      </c>
      <c r="AT309" s="46" t="str">
        <f t="shared" si="142"/>
        <v/>
      </c>
      <c r="AU309" s="46" t="str">
        <f t="shared" si="143"/>
        <v/>
      </c>
      <c r="AV309" s="46" t="str">
        <f t="shared" si="144"/>
        <v/>
      </c>
      <c r="AW309" s="46" t="str">
        <f t="shared" si="145"/>
        <v/>
      </c>
    </row>
    <row r="310" spans="4:49">
      <c r="D310" s="34"/>
      <c r="E310" s="34"/>
      <c r="F310" s="34"/>
      <c r="G310" s="34"/>
      <c r="H310" s="4"/>
      <c r="I310" s="4"/>
      <c r="J310" s="4"/>
      <c r="K310" s="3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37"/>
      <c r="X310" s="1"/>
      <c r="Y310" s="18">
        <f t="shared" si="121"/>
        <v>0</v>
      </c>
      <c r="Z310" s="21">
        <f t="shared" si="122"/>
        <v>0</v>
      </c>
      <c r="AA310" s="10">
        <f t="shared" si="123"/>
        <v>0</v>
      </c>
      <c r="AB310" s="10">
        <f t="shared" si="124"/>
        <v>0</v>
      </c>
      <c r="AC310" s="10">
        <f t="shared" si="125"/>
        <v>0</v>
      </c>
      <c r="AD310" s="46" t="str">
        <f t="shared" si="126"/>
        <v/>
      </c>
      <c r="AE310" s="46" t="str">
        <f t="shared" si="127"/>
        <v/>
      </c>
      <c r="AF310" s="46" t="str">
        <f t="shared" si="128"/>
        <v/>
      </c>
      <c r="AG310" s="46" t="str">
        <f t="shared" si="129"/>
        <v/>
      </c>
      <c r="AH310" s="46" t="str">
        <f t="shared" si="130"/>
        <v/>
      </c>
      <c r="AI310" s="46" t="str">
        <f t="shared" si="131"/>
        <v/>
      </c>
      <c r="AJ310" s="46" t="str">
        <f t="shared" si="132"/>
        <v/>
      </c>
      <c r="AK310" s="46" t="str">
        <f t="shared" si="133"/>
        <v/>
      </c>
      <c r="AL310" s="46" t="str">
        <f t="shared" si="134"/>
        <v/>
      </c>
      <c r="AM310" s="46" t="str">
        <f t="shared" si="135"/>
        <v/>
      </c>
      <c r="AN310" s="46" t="str">
        <f t="shared" si="136"/>
        <v/>
      </c>
      <c r="AO310" s="46" t="str">
        <f t="shared" si="137"/>
        <v/>
      </c>
      <c r="AP310" s="46" t="str">
        <f t="shared" si="138"/>
        <v/>
      </c>
      <c r="AQ310" s="46" t="str">
        <f t="shared" si="139"/>
        <v/>
      </c>
      <c r="AR310" s="46" t="str">
        <f t="shared" si="140"/>
        <v/>
      </c>
      <c r="AS310" s="46" t="str">
        <f t="shared" si="141"/>
        <v/>
      </c>
      <c r="AT310" s="46" t="str">
        <f t="shared" si="142"/>
        <v/>
      </c>
      <c r="AU310" s="46" t="str">
        <f t="shared" si="143"/>
        <v/>
      </c>
      <c r="AV310" s="46" t="str">
        <f t="shared" si="144"/>
        <v/>
      </c>
      <c r="AW310" s="46" t="str">
        <f t="shared" si="145"/>
        <v/>
      </c>
    </row>
    <row r="311" spans="4:49">
      <c r="D311" s="34"/>
      <c r="E311" s="34"/>
      <c r="F311" s="34"/>
      <c r="G311" s="34"/>
      <c r="H311" s="4"/>
      <c r="I311" s="4"/>
      <c r="J311" s="4"/>
      <c r="K311" s="3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37"/>
      <c r="X311" s="1"/>
      <c r="Y311" s="18">
        <f t="shared" si="121"/>
        <v>0</v>
      </c>
      <c r="Z311" s="21">
        <f t="shared" si="122"/>
        <v>0</v>
      </c>
      <c r="AA311" s="10">
        <f t="shared" si="123"/>
        <v>0</v>
      </c>
      <c r="AB311" s="10">
        <f t="shared" si="124"/>
        <v>0</v>
      </c>
      <c r="AC311" s="10">
        <f t="shared" si="125"/>
        <v>0</v>
      </c>
      <c r="AD311" s="46" t="str">
        <f t="shared" si="126"/>
        <v/>
      </c>
      <c r="AE311" s="46" t="str">
        <f t="shared" si="127"/>
        <v/>
      </c>
      <c r="AF311" s="46" t="str">
        <f t="shared" si="128"/>
        <v/>
      </c>
      <c r="AG311" s="46" t="str">
        <f t="shared" si="129"/>
        <v/>
      </c>
      <c r="AH311" s="46" t="str">
        <f t="shared" si="130"/>
        <v/>
      </c>
      <c r="AI311" s="46" t="str">
        <f t="shared" si="131"/>
        <v/>
      </c>
      <c r="AJ311" s="46" t="str">
        <f t="shared" si="132"/>
        <v/>
      </c>
      <c r="AK311" s="46" t="str">
        <f t="shared" si="133"/>
        <v/>
      </c>
      <c r="AL311" s="46" t="str">
        <f t="shared" si="134"/>
        <v/>
      </c>
      <c r="AM311" s="46" t="str">
        <f t="shared" si="135"/>
        <v/>
      </c>
      <c r="AN311" s="46" t="str">
        <f t="shared" si="136"/>
        <v/>
      </c>
      <c r="AO311" s="46" t="str">
        <f t="shared" si="137"/>
        <v/>
      </c>
      <c r="AP311" s="46" t="str">
        <f t="shared" si="138"/>
        <v/>
      </c>
      <c r="AQ311" s="46" t="str">
        <f t="shared" si="139"/>
        <v/>
      </c>
      <c r="AR311" s="46" t="str">
        <f t="shared" si="140"/>
        <v/>
      </c>
      <c r="AS311" s="46" t="str">
        <f t="shared" si="141"/>
        <v/>
      </c>
      <c r="AT311" s="46" t="str">
        <f t="shared" si="142"/>
        <v/>
      </c>
      <c r="AU311" s="46" t="str">
        <f t="shared" si="143"/>
        <v/>
      </c>
      <c r="AV311" s="46" t="str">
        <f t="shared" si="144"/>
        <v/>
      </c>
      <c r="AW311" s="46" t="str">
        <f t="shared" si="145"/>
        <v/>
      </c>
    </row>
    <row r="312" spans="4:49">
      <c r="D312" s="34"/>
      <c r="E312" s="34"/>
      <c r="F312" s="34"/>
      <c r="G312" s="34"/>
      <c r="H312" s="4"/>
      <c r="I312" s="4"/>
      <c r="J312" s="4"/>
      <c r="K312" s="3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37"/>
      <c r="X312" s="1"/>
      <c r="Y312" s="18">
        <f t="shared" si="121"/>
        <v>0</v>
      </c>
      <c r="Z312" s="21">
        <f t="shared" si="122"/>
        <v>0</v>
      </c>
      <c r="AA312" s="10">
        <f t="shared" si="123"/>
        <v>0</v>
      </c>
      <c r="AB312" s="10">
        <f t="shared" si="124"/>
        <v>0</v>
      </c>
      <c r="AC312" s="10">
        <f t="shared" si="125"/>
        <v>0</v>
      </c>
      <c r="AD312" s="46" t="str">
        <f t="shared" si="126"/>
        <v/>
      </c>
      <c r="AE312" s="46" t="str">
        <f t="shared" si="127"/>
        <v/>
      </c>
      <c r="AF312" s="46" t="str">
        <f t="shared" si="128"/>
        <v/>
      </c>
      <c r="AG312" s="46" t="str">
        <f t="shared" si="129"/>
        <v/>
      </c>
      <c r="AH312" s="46" t="str">
        <f t="shared" si="130"/>
        <v/>
      </c>
      <c r="AI312" s="46" t="str">
        <f t="shared" si="131"/>
        <v/>
      </c>
      <c r="AJ312" s="46" t="str">
        <f t="shared" si="132"/>
        <v/>
      </c>
      <c r="AK312" s="46" t="str">
        <f t="shared" si="133"/>
        <v/>
      </c>
      <c r="AL312" s="46" t="str">
        <f t="shared" si="134"/>
        <v/>
      </c>
      <c r="AM312" s="46" t="str">
        <f t="shared" si="135"/>
        <v/>
      </c>
      <c r="AN312" s="46" t="str">
        <f t="shared" si="136"/>
        <v/>
      </c>
      <c r="AO312" s="46" t="str">
        <f t="shared" si="137"/>
        <v/>
      </c>
      <c r="AP312" s="46" t="str">
        <f t="shared" si="138"/>
        <v/>
      </c>
      <c r="AQ312" s="46" t="str">
        <f t="shared" si="139"/>
        <v/>
      </c>
      <c r="AR312" s="46" t="str">
        <f t="shared" si="140"/>
        <v/>
      </c>
      <c r="AS312" s="46" t="str">
        <f t="shared" si="141"/>
        <v/>
      </c>
      <c r="AT312" s="46" t="str">
        <f t="shared" si="142"/>
        <v/>
      </c>
      <c r="AU312" s="46" t="str">
        <f t="shared" si="143"/>
        <v/>
      </c>
      <c r="AV312" s="46" t="str">
        <f t="shared" si="144"/>
        <v/>
      </c>
      <c r="AW312" s="46" t="str">
        <f t="shared" si="145"/>
        <v/>
      </c>
    </row>
    <row r="313" spans="4:49">
      <c r="D313" s="34"/>
      <c r="E313" s="34"/>
      <c r="F313" s="34"/>
      <c r="G313" s="34"/>
      <c r="H313" s="4"/>
      <c r="I313" s="4"/>
      <c r="J313" s="4"/>
      <c r="K313" s="3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37"/>
      <c r="X313" s="1"/>
      <c r="Y313" s="18">
        <f t="shared" si="121"/>
        <v>0</v>
      </c>
      <c r="Z313" s="21">
        <f t="shared" si="122"/>
        <v>0</v>
      </c>
      <c r="AA313" s="10">
        <f t="shared" si="123"/>
        <v>0</v>
      </c>
      <c r="AB313" s="10">
        <f t="shared" si="124"/>
        <v>0</v>
      </c>
      <c r="AC313" s="10">
        <f t="shared" si="125"/>
        <v>0</v>
      </c>
      <c r="AD313" s="46" t="str">
        <f t="shared" si="126"/>
        <v/>
      </c>
      <c r="AE313" s="46" t="str">
        <f t="shared" si="127"/>
        <v/>
      </c>
      <c r="AF313" s="46" t="str">
        <f t="shared" si="128"/>
        <v/>
      </c>
      <c r="AG313" s="46" t="str">
        <f t="shared" si="129"/>
        <v/>
      </c>
      <c r="AH313" s="46" t="str">
        <f t="shared" si="130"/>
        <v/>
      </c>
      <c r="AI313" s="46" t="str">
        <f t="shared" si="131"/>
        <v/>
      </c>
      <c r="AJ313" s="46" t="str">
        <f t="shared" si="132"/>
        <v/>
      </c>
      <c r="AK313" s="46" t="str">
        <f t="shared" si="133"/>
        <v/>
      </c>
      <c r="AL313" s="46" t="str">
        <f t="shared" si="134"/>
        <v/>
      </c>
      <c r="AM313" s="46" t="str">
        <f t="shared" si="135"/>
        <v/>
      </c>
      <c r="AN313" s="46" t="str">
        <f t="shared" si="136"/>
        <v/>
      </c>
      <c r="AO313" s="46" t="str">
        <f t="shared" si="137"/>
        <v/>
      </c>
      <c r="AP313" s="46" t="str">
        <f t="shared" si="138"/>
        <v/>
      </c>
      <c r="AQ313" s="46" t="str">
        <f t="shared" si="139"/>
        <v/>
      </c>
      <c r="AR313" s="46" t="str">
        <f t="shared" si="140"/>
        <v/>
      </c>
      <c r="AS313" s="46" t="str">
        <f t="shared" si="141"/>
        <v/>
      </c>
      <c r="AT313" s="46" t="str">
        <f t="shared" si="142"/>
        <v/>
      </c>
      <c r="AU313" s="46" t="str">
        <f t="shared" si="143"/>
        <v/>
      </c>
      <c r="AV313" s="46" t="str">
        <f t="shared" si="144"/>
        <v/>
      </c>
      <c r="AW313" s="46" t="str">
        <f t="shared" si="145"/>
        <v/>
      </c>
    </row>
    <row r="314" spans="4:49">
      <c r="D314" s="34"/>
      <c r="E314" s="34"/>
      <c r="F314" s="34"/>
      <c r="G314" s="34"/>
      <c r="H314" s="4"/>
      <c r="I314" s="4"/>
      <c r="J314" s="4"/>
      <c r="K314" s="3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37"/>
      <c r="X314" s="1"/>
      <c r="Y314" s="18">
        <f t="shared" si="121"/>
        <v>0</v>
      </c>
      <c r="Z314" s="21">
        <f t="shared" si="122"/>
        <v>0</v>
      </c>
      <c r="AA314" s="10">
        <f t="shared" si="123"/>
        <v>0</v>
      </c>
      <c r="AB314" s="10">
        <f t="shared" si="124"/>
        <v>0</v>
      </c>
      <c r="AC314" s="10">
        <f t="shared" si="125"/>
        <v>0</v>
      </c>
      <c r="AD314" s="46" t="str">
        <f t="shared" si="126"/>
        <v/>
      </c>
      <c r="AE314" s="46" t="str">
        <f t="shared" si="127"/>
        <v/>
      </c>
      <c r="AF314" s="46" t="str">
        <f t="shared" si="128"/>
        <v/>
      </c>
      <c r="AG314" s="46" t="str">
        <f t="shared" si="129"/>
        <v/>
      </c>
      <c r="AH314" s="46" t="str">
        <f t="shared" si="130"/>
        <v/>
      </c>
      <c r="AI314" s="46" t="str">
        <f t="shared" si="131"/>
        <v/>
      </c>
      <c r="AJ314" s="46" t="str">
        <f t="shared" si="132"/>
        <v/>
      </c>
      <c r="AK314" s="46" t="str">
        <f t="shared" si="133"/>
        <v/>
      </c>
      <c r="AL314" s="46" t="str">
        <f t="shared" si="134"/>
        <v/>
      </c>
      <c r="AM314" s="46" t="str">
        <f t="shared" si="135"/>
        <v/>
      </c>
      <c r="AN314" s="46" t="str">
        <f t="shared" si="136"/>
        <v/>
      </c>
      <c r="AO314" s="46" t="str">
        <f t="shared" si="137"/>
        <v/>
      </c>
      <c r="AP314" s="46" t="str">
        <f t="shared" si="138"/>
        <v/>
      </c>
      <c r="AQ314" s="46" t="str">
        <f t="shared" si="139"/>
        <v/>
      </c>
      <c r="AR314" s="46" t="str">
        <f t="shared" si="140"/>
        <v/>
      </c>
      <c r="AS314" s="46" t="str">
        <f t="shared" si="141"/>
        <v/>
      </c>
      <c r="AT314" s="46" t="str">
        <f t="shared" si="142"/>
        <v/>
      </c>
      <c r="AU314" s="46" t="str">
        <f t="shared" si="143"/>
        <v/>
      </c>
      <c r="AV314" s="46" t="str">
        <f t="shared" si="144"/>
        <v/>
      </c>
      <c r="AW314" s="46" t="str">
        <f t="shared" si="145"/>
        <v/>
      </c>
    </row>
    <row r="315" spans="4:49">
      <c r="D315" s="34"/>
      <c r="E315" s="34"/>
      <c r="F315" s="34"/>
      <c r="G315" s="34"/>
      <c r="H315" s="4"/>
      <c r="I315" s="4"/>
      <c r="J315" s="4"/>
      <c r="K315" s="3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37"/>
      <c r="X315" s="1"/>
      <c r="Y315" s="18">
        <f t="shared" si="121"/>
        <v>0</v>
      </c>
      <c r="Z315" s="21">
        <f t="shared" si="122"/>
        <v>0</v>
      </c>
      <c r="AA315" s="10">
        <f t="shared" si="123"/>
        <v>0</v>
      </c>
      <c r="AB315" s="10">
        <f t="shared" si="124"/>
        <v>0</v>
      </c>
      <c r="AC315" s="10">
        <f t="shared" si="125"/>
        <v>0</v>
      </c>
      <c r="AD315" s="46" t="str">
        <f t="shared" si="126"/>
        <v/>
      </c>
      <c r="AE315" s="46" t="str">
        <f t="shared" si="127"/>
        <v/>
      </c>
      <c r="AF315" s="46" t="str">
        <f t="shared" si="128"/>
        <v/>
      </c>
      <c r="AG315" s="46" t="str">
        <f t="shared" si="129"/>
        <v/>
      </c>
      <c r="AH315" s="46" t="str">
        <f t="shared" si="130"/>
        <v/>
      </c>
      <c r="AI315" s="46" t="str">
        <f t="shared" si="131"/>
        <v/>
      </c>
      <c r="AJ315" s="46" t="str">
        <f t="shared" si="132"/>
        <v/>
      </c>
      <c r="AK315" s="46" t="str">
        <f t="shared" si="133"/>
        <v/>
      </c>
      <c r="AL315" s="46" t="str">
        <f t="shared" si="134"/>
        <v/>
      </c>
      <c r="AM315" s="46" t="str">
        <f t="shared" si="135"/>
        <v/>
      </c>
      <c r="AN315" s="46" t="str">
        <f t="shared" si="136"/>
        <v/>
      </c>
      <c r="AO315" s="46" t="str">
        <f t="shared" si="137"/>
        <v/>
      </c>
      <c r="AP315" s="46" t="str">
        <f t="shared" si="138"/>
        <v/>
      </c>
      <c r="AQ315" s="46" t="str">
        <f t="shared" si="139"/>
        <v/>
      </c>
      <c r="AR315" s="46" t="str">
        <f t="shared" si="140"/>
        <v/>
      </c>
      <c r="AS315" s="46" t="str">
        <f t="shared" si="141"/>
        <v/>
      </c>
      <c r="AT315" s="46" t="str">
        <f t="shared" si="142"/>
        <v/>
      </c>
      <c r="AU315" s="46" t="str">
        <f t="shared" si="143"/>
        <v/>
      </c>
      <c r="AV315" s="46" t="str">
        <f t="shared" si="144"/>
        <v/>
      </c>
      <c r="AW315" s="46" t="str">
        <f t="shared" si="145"/>
        <v/>
      </c>
    </row>
    <row r="316" spans="4:49">
      <c r="D316" s="34"/>
      <c r="E316" s="34"/>
      <c r="F316" s="34"/>
      <c r="G316" s="34"/>
      <c r="H316" s="4"/>
      <c r="I316" s="4"/>
      <c r="J316" s="4"/>
      <c r="K316" s="3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37"/>
      <c r="X316" s="1"/>
      <c r="Y316" s="18">
        <f t="shared" si="121"/>
        <v>0</v>
      </c>
      <c r="Z316" s="21">
        <f t="shared" si="122"/>
        <v>0</v>
      </c>
      <c r="AA316" s="10">
        <f t="shared" si="123"/>
        <v>0</v>
      </c>
      <c r="AB316" s="10">
        <f t="shared" si="124"/>
        <v>0</v>
      </c>
      <c r="AC316" s="10">
        <f t="shared" si="125"/>
        <v>0</v>
      </c>
      <c r="AD316" s="46" t="str">
        <f t="shared" si="126"/>
        <v/>
      </c>
      <c r="AE316" s="46" t="str">
        <f t="shared" si="127"/>
        <v/>
      </c>
      <c r="AF316" s="46" t="str">
        <f t="shared" si="128"/>
        <v/>
      </c>
      <c r="AG316" s="46" t="str">
        <f t="shared" si="129"/>
        <v/>
      </c>
      <c r="AH316" s="46" t="str">
        <f t="shared" si="130"/>
        <v/>
      </c>
      <c r="AI316" s="46" t="str">
        <f t="shared" si="131"/>
        <v/>
      </c>
      <c r="AJ316" s="46" t="str">
        <f t="shared" si="132"/>
        <v/>
      </c>
      <c r="AK316" s="46" t="str">
        <f t="shared" si="133"/>
        <v/>
      </c>
      <c r="AL316" s="46" t="str">
        <f t="shared" si="134"/>
        <v/>
      </c>
      <c r="AM316" s="46" t="str">
        <f t="shared" si="135"/>
        <v/>
      </c>
      <c r="AN316" s="46" t="str">
        <f t="shared" si="136"/>
        <v/>
      </c>
      <c r="AO316" s="46" t="str">
        <f t="shared" si="137"/>
        <v/>
      </c>
      <c r="AP316" s="46" t="str">
        <f t="shared" si="138"/>
        <v/>
      </c>
      <c r="AQ316" s="46" t="str">
        <f t="shared" si="139"/>
        <v/>
      </c>
      <c r="AR316" s="46" t="str">
        <f t="shared" si="140"/>
        <v/>
      </c>
      <c r="AS316" s="46" t="str">
        <f t="shared" si="141"/>
        <v/>
      </c>
      <c r="AT316" s="46" t="str">
        <f t="shared" si="142"/>
        <v/>
      </c>
      <c r="AU316" s="46" t="str">
        <f t="shared" si="143"/>
        <v/>
      </c>
      <c r="AV316" s="46" t="str">
        <f t="shared" si="144"/>
        <v/>
      </c>
      <c r="AW316" s="46" t="str">
        <f t="shared" si="145"/>
        <v/>
      </c>
    </row>
    <row r="317" spans="4:49">
      <c r="D317" s="34"/>
      <c r="E317" s="34"/>
      <c r="F317" s="34"/>
      <c r="G317" s="34"/>
      <c r="H317" s="4"/>
      <c r="I317" s="4"/>
      <c r="J317" s="4"/>
      <c r="K317" s="3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37"/>
      <c r="X317" s="1"/>
      <c r="Y317" s="18">
        <f t="shared" si="121"/>
        <v>0</v>
      </c>
      <c r="Z317" s="21">
        <f t="shared" si="122"/>
        <v>0</v>
      </c>
      <c r="AA317" s="10">
        <f t="shared" si="123"/>
        <v>0</v>
      </c>
      <c r="AB317" s="10">
        <f t="shared" si="124"/>
        <v>0</v>
      </c>
      <c r="AC317" s="10">
        <f t="shared" si="125"/>
        <v>0</v>
      </c>
      <c r="AD317" s="46" t="str">
        <f t="shared" si="126"/>
        <v/>
      </c>
      <c r="AE317" s="46" t="str">
        <f t="shared" si="127"/>
        <v/>
      </c>
      <c r="AF317" s="46" t="str">
        <f t="shared" si="128"/>
        <v/>
      </c>
      <c r="AG317" s="46" t="str">
        <f t="shared" si="129"/>
        <v/>
      </c>
      <c r="AH317" s="46" t="str">
        <f t="shared" si="130"/>
        <v/>
      </c>
      <c r="AI317" s="46" t="str">
        <f t="shared" si="131"/>
        <v/>
      </c>
      <c r="AJ317" s="46" t="str">
        <f t="shared" si="132"/>
        <v/>
      </c>
      <c r="AK317" s="46" t="str">
        <f t="shared" si="133"/>
        <v/>
      </c>
      <c r="AL317" s="46" t="str">
        <f t="shared" si="134"/>
        <v/>
      </c>
      <c r="AM317" s="46" t="str">
        <f t="shared" si="135"/>
        <v/>
      </c>
      <c r="AN317" s="46" t="str">
        <f t="shared" si="136"/>
        <v/>
      </c>
      <c r="AO317" s="46" t="str">
        <f t="shared" si="137"/>
        <v/>
      </c>
      <c r="AP317" s="46" t="str">
        <f t="shared" si="138"/>
        <v/>
      </c>
      <c r="AQ317" s="46" t="str">
        <f t="shared" si="139"/>
        <v/>
      </c>
      <c r="AR317" s="46" t="str">
        <f t="shared" si="140"/>
        <v/>
      </c>
      <c r="AS317" s="46" t="str">
        <f t="shared" si="141"/>
        <v/>
      </c>
      <c r="AT317" s="46" t="str">
        <f t="shared" si="142"/>
        <v/>
      </c>
      <c r="AU317" s="46" t="str">
        <f t="shared" si="143"/>
        <v/>
      </c>
      <c r="AV317" s="46" t="str">
        <f t="shared" si="144"/>
        <v/>
      </c>
      <c r="AW317" s="46" t="str">
        <f t="shared" si="145"/>
        <v/>
      </c>
    </row>
    <row r="318" spans="4:49">
      <c r="D318" s="34"/>
      <c r="E318" s="34"/>
      <c r="F318" s="34"/>
      <c r="G318" s="34"/>
      <c r="H318" s="4"/>
      <c r="I318" s="4"/>
      <c r="J318" s="4"/>
      <c r="K318" s="3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37"/>
      <c r="X318" s="1"/>
      <c r="Y318" s="18">
        <f t="shared" si="121"/>
        <v>0</v>
      </c>
      <c r="Z318" s="21">
        <f t="shared" si="122"/>
        <v>0</v>
      </c>
      <c r="AA318" s="10">
        <f t="shared" si="123"/>
        <v>0</v>
      </c>
      <c r="AB318" s="10">
        <f t="shared" si="124"/>
        <v>0</v>
      </c>
      <c r="AC318" s="10">
        <f t="shared" si="125"/>
        <v>0</v>
      </c>
      <c r="AD318" s="46" t="str">
        <f t="shared" si="126"/>
        <v/>
      </c>
      <c r="AE318" s="46" t="str">
        <f t="shared" si="127"/>
        <v/>
      </c>
      <c r="AF318" s="46" t="str">
        <f t="shared" si="128"/>
        <v/>
      </c>
      <c r="AG318" s="46" t="str">
        <f t="shared" si="129"/>
        <v/>
      </c>
      <c r="AH318" s="46" t="str">
        <f t="shared" si="130"/>
        <v/>
      </c>
      <c r="AI318" s="46" t="str">
        <f t="shared" si="131"/>
        <v/>
      </c>
      <c r="AJ318" s="46" t="str">
        <f t="shared" si="132"/>
        <v/>
      </c>
      <c r="AK318" s="46" t="str">
        <f t="shared" si="133"/>
        <v/>
      </c>
      <c r="AL318" s="46" t="str">
        <f t="shared" si="134"/>
        <v/>
      </c>
      <c r="AM318" s="46" t="str">
        <f t="shared" si="135"/>
        <v/>
      </c>
      <c r="AN318" s="46" t="str">
        <f t="shared" si="136"/>
        <v/>
      </c>
      <c r="AO318" s="46" t="str">
        <f t="shared" si="137"/>
        <v/>
      </c>
      <c r="AP318" s="46" t="str">
        <f t="shared" si="138"/>
        <v/>
      </c>
      <c r="AQ318" s="46" t="str">
        <f t="shared" si="139"/>
        <v/>
      </c>
      <c r="AR318" s="46" t="str">
        <f t="shared" si="140"/>
        <v/>
      </c>
      <c r="AS318" s="46" t="str">
        <f t="shared" si="141"/>
        <v/>
      </c>
      <c r="AT318" s="46" t="str">
        <f t="shared" si="142"/>
        <v/>
      </c>
      <c r="AU318" s="46" t="str">
        <f t="shared" si="143"/>
        <v/>
      </c>
      <c r="AV318" s="46" t="str">
        <f t="shared" si="144"/>
        <v/>
      </c>
      <c r="AW318" s="46" t="str">
        <f t="shared" si="145"/>
        <v/>
      </c>
    </row>
    <row r="319" spans="4:49">
      <c r="D319" s="34"/>
      <c r="E319" s="34"/>
      <c r="F319" s="34"/>
      <c r="G319" s="34"/>
      <c r="H319" s="4"/>
      <c r="I319" s="4"/>
      <c r="J319" s="4"/>
      <c r="K319" s="3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37"/>
      <c r="X319" s="1"/>
      <c r="Y319" s="18">
        <f t="shared" si="121"/>
        <v>0</v>
      </c>
      <c r="Z319" s="21">
        <f t="shared" si="122"/>
        <v>0</v>
      </c>
      <c r="AA319" s="10">
        <f t="shared" si="123"/>
        <v>0</v>
      </c>
      <c r="AB319" s="10">
        <f t="shared" si="124"/>
        <v>0</v>
      </c>
      <c r="AC319" s="10">
        <f t="shared" si="125"/>
        <v>0</v>
      </c>
      <c r="AD319" s="46" t="str">
        <f t="shared" si="126"/>
        <v/>
      </c>
      <c r="AE319" s="46" t="str">
        <f t="shared" si="127"/>
        <v/>
      </c>
      <c r="AF319" s="46" t="str">
        <f t="shared" si="128"/>
        <v/>
      </c>
      <c r="AG319" s="46" t="str">
        <f t="shared" si="129"/>
        <v/>
      </c>
      <c r="AH319" s="46" t="str">
        <f t="shared" si="130"/>
        <v/>
      </c>
      <c r="AI319" s="46" t="str">
        <f t="shared" si="131"/>
        <v/>
      </c>
      <c r="AJ319" s="46" t="str">
        <f t="shared" si="132"/>
        <v/>
      </c>
      <c r="AK319" s="46" t="str">
        <f t="shared" si="133"/>
        <v/>
      </c>
      <c r="AL319" s="46" t="str">
        <f t="shared" si="134"/>
        <v/>
      </c>
      <c r="AM319" s="46" t="str">
        <f t="shared" si="135"/>
        <v/>
      </c>
      <c r="AN319" s="46" t="str">
        <f t="shared" si="136"/>
        <v/>
      </c>
      <c r="AO319" s="46" t="str">
        <f t="shared" si="137"/>
        <v/>
      </c>
      <c r="AP319" s="46" t="str">
        <f t="shared" si="138"/>
        <v/>
      </c>
      <c r="AQ319" s="46" t="str">
        <f t="shared" si="139"/>
        <v/>
      </c>
      <c r="AR319" s="46" t="str">
        <f t="shared" si="140"/>
        <v/>
      </c>
      <c r="AS319" s="46" t="str">
        <f t="shared" si="141"/>
        <v/>
      </c>
      <c r="AT319" s="46" t="str">
        <f t="shared" si="142"/>
        <v/>
      </c>
      <c r="AU319" s="46" t="str">
        <f t="shared" si="143"/>
        <v/>
      </c>
      <c r="AV319" s="46" t="str">
        <f t="shared" si="144"/>
        <v/>
      </c>
      <c r="AW319" s="46" t="str">
        <f t="shared" si="145"/>
        <v/>
      </c>
    </row>
    <row r="320" spans="4:49">
      <c r="D320" s="34"/>
      <c r="E320" s="34"/>
      <c r="F320" s="34"/>
      <c r="G320" s="34"/>
      <c r="H320" s="4"/>
      <c r="I320" s="4"/>
      <c r="J320" s="4"/>
      <c r="K320" s="3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37"/>
      <c r="X320" s="1"/>
      <c r="Y320" s="18">
        <f t="shared" si="121"/>
        <v>0</v>
      </c>
      <c r="Z320" s="21">
        <f t="shared" si="122"/>
        <v>0</v>
      </c>
      <c r="AA320" s="10">
        <f t="shared" si="123"/>
        <v>0</v>
      </c>
      <c r="AB320" s="10">
        <f t="shared" si="124"/>
        <v>0</v>
      </c>
      <c r="AC320" s="10">
        <f t="shared" si="125"/>
        <v>0</v>
      </c>
      <c r="AD320" s="46" t="str">
        <f t="shared" si="126"/>
        <v/>
      </c>
      <c r="AE320" s="46" t="str">
        <f t="shared" si="127"/>
        <v/>
      </c>
      <c r="AF320" s="46" t="str">
        <f t="shared" si="128"/>
        <v/>
      </c>
      <c r="AG320" s="46" t="str">
        <f t="shared" si="129"/>
        <v/>
      </c>
      <c r="AH320" s="46" t="str">
        <f t="shared" si="130"/>
        <v/>
      </c>
      <c r="AI320" s="46" t="str">
        <f t="shared" si="131"/>
        <v/>
      </c>
      <c r="AJ320" s="46" t="str">
        <f t="shared" si="132"/>
        <v/>
      </c>
      <c r="AK320" s="46" t="str">
        <f t="shared" si="133"/>
        <v/>
      </c>
      <c r="AL320" s="46" t="str">
        <f t="shared" si="134"/>
        <v/>
      </c>
      <c r="AM320" s="46" t="str">
        <f t="shared" si="135"/>
        <v/>
      </c>
      <c r="AN320" s="46" t="str">
        <f t="shared" si="136"/>
        <v/>
      </c>
      <c r="AO320" s="46" t="str">
        <f t="shared" si="137"/>
        <v/>
      </c>
      <c r="AP320" s="46" t="str">
        <f t="shared" si="138"/>
        <v/>
      </c>
      <c r="AQ320" s="46" t="str">
        <f t="shared" si="139"/>
        <v/>
      </c>
      <c r="AR320" s="46" t="str">
        <f t="shared" si="140"/>
        <v/>
      </c>
      <c r="AS320" s="46" t="str">
        <f t="shared" si="141"/>
        <v/>
      </c>
      <c r="AT320" s="46" t="str">
        <f t="shared" si="142"/>
        <v/>
      </c>
      <c r="AU320" s="46" t="str">
        <f t="shared" si="143"/>
        <v/>
      </c>
      <c r="AV320" s="46" t="str">
        <f t="shared" si="144"/>
        <v/>
      </c>
      <c r="AW320" s="46" t="str">
        <f t="shared" si="145"/>
        <v/>
      </c>
    </row>
    <row r="321" spans="4:49">
      <c r="D321" s="34"/>
      <c r="E321" s="34"/>
      <c r="F321" s="34"/>
      <c r="G321" s="34"/>
      <c r="H321" s="4"/>
      <c r="I321" s="4"/>
      <c r="J321" s="4"/>
      <c r="K321" s="3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37"/>
      <c r="X321" s="1"/>
      <c r="Y321" s="18">
        <f t="shared" si="121"/>
        <v>0</v>
      </c>
      <c r="Z321" s="21">
        <f t="shared" si="122"/>
        <v>0</v>
      </c>
      <c r="AA321" s="10">
        <f t="shared" si="123"/>
        <v>0</v>
      </c>
      <c r="AB321" s="10">
        <f t="shared" si="124"/>
        <v>0</v>
      </c>
      <c r="AC321" s="10">
        <f t="shared" si="125"/>
        <v>0</v>
      </c>
      <c r="AD321" s="46" t="str">
        <f t="shared" si="126"/>
        <v/>
      </c>
      <c r="AE321" s="46" t="str">
        <f t="shared" si="127"/>
        <v/>
      </c>
      <c r="AF321" s="46" t="str">
        <f t="shared" si="128"/>
        <v/>
      </c>
      <c r="AG321" s="46" t="str">
        <f t="shared" si="129"/>
        <v/>
      </c>
      <c r="AH321" s="46" t="str">
        <f t="shared" si="130"/>
        <v/>
      </c>
      <c r="AI321" s="46" t="str">
        <f t="shared" si="131"/>
        <v/>
      </c>
      <c r="AJ321" s="46" t="str">
        <f t="shared" si="132"/>
        <v/>
      </c>
      <c r="AK321" s="46" t="str">
        <f t="shared" si="133"/>
        <v/>
      </c>
      <c r="AL321" s="46" t="str">
        <f t="shared" si="134"/>
        <v/>
      </c>
      <c r="AM321" s="46" t="str">
        <f t="shared" si="135"/>
        <v/>
      </c>
      <c r="AN321" s="46" t="str">
        <f t="shared" si="136"/>
        <v/>
      </c>
      <c r="AO321" s="46" t="str">
        <f t="shared" si="137"/>
        <v/>
      </c>
      <c r="AP321" s="46" t="str">
        <f t="shared" si="138"/>
        <v/>
      </c>
      <c r="AQ321" s="46" t="str">
        <f t="shared" si="139"/>
        <v/>
      </c>
      <c r="AR321" s="46" t="str">
        <f t="shared" si="140"/>
        <v/>
      </c>
      <c r="AS321" s="46" t="str">
        <f t="shared" si="141"/>
        <v/>
      </c>
      <c r="AT321" s="46" t="str">
        <f t="shared" si="142"/>
        <v/>
      </c>
      <c r="AU321" s="46" t="str">
        <f t="shared" si="143"/>
        <v/>
      </c>
      <c r="AV321" s="46" t="str">
        <f t="shared" si="144"/>
        <v/>
      </c>
      <c r="AW321" s="46" t="str">
        <f t="shared" si="145"/>
        <v/>
      </c>
    </row>
    <row r="322" spans="4:49">
      <c r="D322" s="34"/>
      <c r="E322" s="34"/>
      <c r="F322" s="34"/>
      <c r="G322" s="34"/>
      <c r="H322" s="4"/>
      <c r="I322" s="4"/>
      <c r="J322" s="4"/>
      <c r="K322" s="3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37"/>
      <c r="X322" s="1"/>
      <c r="Y322" s="18">
        <f t="shared" si="121"/>
        <v>0</v>
      </c>
      <c r="Z322" s="21">
        <f t="shared" si="122"/>
        <v>0</v>
      </c>
      <c r="AA322" s="10">
        <f t="shared" si="123"/>
        <v>0</v>
      </c>
      <c r="AB322" s="10">
        <f t="shared" si="124"/>
        <v>0</v>
      </c>
      <c r="AC322" s="10">
        <f t="shared" si="125"/>
        <v>0</v>
      </c>
      <c r="AD322" s="46" t="str">
        <f t="shared" si="126"/>
        <v/>
      </c>
      <c r="AE322" s="46" t="str">
        <f t="shared" si="127"/>
        <v/>
      </c>
      <c r="AF322" s="46" t="str">
        <f t="shared" si="128"/>
        <v/>
      </c>
      <c r="AG322" s="46" t="str">
        <f t="shared" si="129"/>
        <v/>
      </c>
      <c r="AH322" s="46" t="str">
        <f t="shared" si="130"/>
        <v/>
      </c>
      <c r="AI322" s="46" t="str">
        <f t="shared" si="131"/>
        <v/>
      </c>
      <c r="AJ322" s="46" t="str">
        <f t="shared" si="132"/>
        <v/>
      </c>
      <c r="AK322" s="46" t="str">
        <f t="shared" si="133"/>
        <v/>
      </c>
      <c r="AL322" s="46" t="str">
        <f t="shared" si="134"/>
        <v/>
      </c>
      <c r="AM322" s="46" t="str">
        <f t="shared" si="135"/>
        <v/>
      </c>
      <c r="AN322" s="46" t="str">
        <f t="shared" si="136"/>
        <v/>
      </c>
      <c r="AO322" s="46" t="str">
        <f t="shared" si="137"/>
        <v/>
      </c>
      <c r="AP322" s="46" t="str">
        <f t="shared" si="138"/>
        <v/>
      </c>
      <c r="AQ322" s="46" t="str">
        <f t="shared" si="139"/>
        <v/>
      </c>
      <c r="AR322" s="46" t="str">
        <f t="shared" si="140"/>
        <v/>
      </c>
      <c r="AS322" s="46" t="str">
        <f t="shared" si="141"/>
        <v/>
      </c>
      <c r="AT322" s="46" t="str">
        <f t="shared" si="142"/>
        <v/>
      </c>
      <c r="AU322" s="46" t="str">
        <f t="shared" si="143"/>
        <v/>
      </c>
      <c r="AV322" s="46" t="str">
        <f t="shared" si="144"/>
        <v/>
      </c>
      <c r="AW322" s="46" t="str">
        <f t="shared" si="145"/>
        <v/>
      </c>
    </row>
    <row r="323" spans="4:49">
      <c r="D323" s="34"/>
      <c r="E323" s="34"/>
      <c r="F323" s="34"/>
      <c r="G323" s="34"/>
      <c r="H323" s="4"/>
      <c r="I323" s="4"/>
      <c r="J323" s="4"/>
      <c r="K323" s="3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37"/>
      <c r="X323" s="1"/>
      <c r="Y323" s="18">
        <f t="shared" si="121"/>
        <v>0</v>
      </c>
      <c r="Z323" s="21">
        <f t="shared" si="122"/>
        <v>0</v>
      </c>
      <c r="AA323" s="10">
        <f t="shared" si="123"/>
        <v>0</v>
      </c>
      <c r="AB323" s="10">
        <f t="shared" si="124"/>
        <v>0</v>
      </c>
      <c r="AC323" s="10">
        <f t="shared" si="125"/>
        <v>0</v>
      </c>
      <c r="AD323" s="46" t="str">
        <f t="shared" si="126"/>
        <v/>
      </c>
      <c r="AE323" s="46" t="str">
        <f t="shared" si="127"/>
        <v/>
      </c>
      <c r="AF323" s="46" t="str">
        <f t="shared" si="128"/>
        <v/>
      </c>
      <c r="AG323" s="46" t="str">
        <f t="shared" si="129"/>
        <v/>
      </c>
      <c r="AH323" s="46" t="str">
        <f t="shared" si="130"/>
        <v/>
      </c>
      <c r="AI323" s="46" t="str">
        <f t="shared" si="131"/>
        <v/>
      </c>
      <c r="AJ323" s="46" t="str">
        <f t="shared" si="132"/>
        <v/>
      </c>
      <c r="AK323" s="46" t="str">
        <f t="shared" si="133"/>
        <v/>
      </c>
      <c r="AL323" s="46" t="str">
        <f t="shared" si="134"/>
        <v/>
      </c>
      <c r="AM323" s="46" t="str">
        <f t="shared" si="135"/>
        <v/>
      </c>
      <c r="AN323" s="46" t="str">
        <f t="shared" si="136"/>
        <v/>
      </c>
      <c r="AO323" s="46" t="str">
        <f t="shared" si="137"/>
        <v/>
      </c>
      <c r="AP323" s="46" t="str">
        <f t="shared" si="138"/>
        <v/>
      </c>
      <c r="AQ323" s="46" t="str">
        <f t="shared" si="139"/>
        <v/>
      </c>
      <c r="AR323" s="46" t="str">
        <f t="shared" si="140"/>
        <v/>
      </c>
      <c r="AS323" s="46" t="str">
        <f t="shared" si="141"/>
        <v/>
      </c>
      <c r="AT323" s="46" t="str">
        <f t="shared" si="142"/>
        <v/>
      </c>
      <c r="AU323" s="46" t="str">
        <f t="shared" si="143"/>
        <v/>
      </c>
      <c r="AV323" s="46" t="str">
        <f t="shared" si="144"/>
        <v/>
      </c>
      <c r="AW323" s="46" t="str">
        <f t="shared" si="145"/>
        <v/>
      </c>
    </row>
    <row r="324" spans="4:49">
      <c r="D324" s="34"/>
      <c r="E324" s="34"/>
      <c r="F324" s="34"/>
      <c r="G324" s="34"/>
      <c r="H324" s="4"/>
      <c r="I324" s="4"/>
      <c r="J324" s="4"/>
      <c r="K324" s="3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37"/>
      <c r="X324" s="1"/>
      <c r="Y324" s="18">
        <f t="shared" ref="Y324:Y387" si="146">COUNTA(D324:V324)-X324</f>
        <v>0</v>
      </c>
      <c r="Z324" s="21">
        <f t="shared" ref="Z324:Z387" si="147">IF(W324&lt;&gt;"",0.0001,IF(X324+Y324=0,0,IF(X324=0,70+(Y324*50),IF(X324&gt;0,80+(Y324*50)))))</f>
        <v>0</v>
      </c>
      <c r="AA324" s="10">
        <f t="shared" ref="AA324:AA387" si="148">COUNTA(K324:V324)</f>
        <v>0</v>
      </c>
      <c r="AB324" s="10">
        <f t="shared" ref="AB324:AB387" si="149">COUNTA(K324:P324)</f>
        <v>0</v>
      </c>
      <c r="AC324" s="10">
        <f t="shared" ref="AC324:AC387" si="150">COUNTA(Q324:U324)</f>
        <v>0</v>
      </c>
      <c r="AD324" s="46" t="str">
        <f t="shared" ref="AD324:AD387" si="151">IF(AND(B324="Feminino",C324&gt;=$AY$2,C324&lt;=$AZ$2),$AY$3,IF(AND(B324="Masculino",C324&gt;=$AY$2,C324&lt;=$AZ$2),$AZ$3,IF(AND(B324="Feminino",C324&gt;=$BA$2,C324&lt;=$BB$2),$BA$3,IF(AND(B324="Masculino",C324&gt;=$BA$2,C324&lt;=$BB$2),$BB$3,IF(AND(B324="Feminino",C324&gt;=$BC$2,C324&lt;=$BD$2),$BC$3,IF(AND(B324="Masculino",C324&gt;=$BC$2,C324&lt;=$BD$2),$BD$3,""))))))</f>
        <v/>
      </c>
      <c r="AE324" s="46" t="str">
        <f t="shared" ref="AE324:AE387" si="152">IF(AND(B324="Feminino",C324&gt;=$BA$2,C324&lt;=$BB$2),$BE$3,IF(AND(B324="Masculino",C324&gt;=$BA$2,C324&lt;=$BB$2),$BF$3,IF(AND(B324="Feminino",C324&lt;=$BD$2),$BG$3,IF(AND(B324="Masculino",C324&lt;=$BD$2),$BH$3,""))))</f>
        <v/>
      </c>
      <c r="AF324" s="46" t="str">
        <f t="shared" ref="AF324:AF387" si="153">IF(AND(B324="Feminino",C324&gt;=$BI$2,C324&lt;=$BJ$2),$BI$3,IF(AND(B324="Masculino",C324&gt;=$BI$2,C324&lt;=$BJ$2),$BJ$3,""))</f>
        <v/>
      </c>
      <c r="AG324" s="46" t="str">
        <f t="shared" ref="AG324:AG387" si="154">IF(C324="","",IF(C324&gt;=$BK$2,$BK$3,IF(AND(C324&gt;=$BL$1,C324&lt;=$BL$2),$BL$3,IF(AND(C324&gt;=$BM$1,C324&lt;=$BM$2),$BM$3,IF(AND(C324&gt;=$BN$1,C324&lt;=$BN$2),$BN$3,IF(AND(C324&gt;=$BO$1,C324&lt;=$BO$2),$BO$3,IF(C324&lt;=$BP$2,$BP$3,"")))))))</f>
        <v/>
      </c>
      <c r="AH324" s="46" t="str">
        <f t="shared" ref="AH324:AH387" si="155">IF(C324="","",IF(C324&gt;=$BK$2,$BQ$3,IF(AND(C324&gt;=$BL$1,C324&lt;=$BL$2),$BR$3,IF(AND(C324&gt;=$BM$1,C324&lt;=$BM$2),$BS$3,IF(AND(C324&gt;=$BN$1,C324&lt;=$BN$2),$BT$3,IF(AND(C324&gt;=$BO$1,C324&lt;=$BO$2),$BU$3,IF(C324&lt;=$BP$2,$BV$3,"")))))))</f>
        <v/>
      </c>
      <c r="AI324" s="46" t="str">
        <f t="shared" ref="AI324:AI387" si="156">IF(C324="","",IF(C324&gt;=$BK$2,$BW$3,IF(AND(C324&gt;=$BL$1,C324&lt;=$BL$2),$BX$3,IF(AND(C324&gt;=$BM$1,C324&lt;=$BM$2),$BY$3,IF(AND(C324&gt;=$BN$1,C324&lt;=$BN$2),$BZ$3,IF(AND(C324&gt;=$BO$1,C324&lt;=$BO$2),$CA$3,IF(C324&lt;=$BP$2,$CB$3,"")))))))</f>
        <v/>
      </c>
      <c r="AJ324" s="46" t="str">
        <f t="shared" ref="AJ324:AJ387" si="157">IF(C324="","",IF(AND(C324&gt;=$BN$1,C324&lt;=$BN$2),$CC$3,IF(AND(C324&gt;=$BO$1,C324&lt;=$BO$2),$CD$3,IF(C324&lt;=$BP$2,$CE$3,""))))</f>
        <v/>
      </c>
      <c r="AK324" s="46" t="str">
        <f t="shared" ref="AK324:AK387" si="158">IF(C324="","",IF(AA324&gt;=3,"",IF(AB324&gt;=2,"",IF(C324&gt;=$CF$2,$CF$3,IF(AND(C324&gt;=$CG$1,C324&lt;=$CG$2),$CG$3,IF(AND(C324&gt;=$CH$1,C324&lt;=$CH$2),$CH$3,IF(AND(C324&gt;=$CI$1,C324&lt;=$CI$2),$CI$3,IF(AND(C324&gt;=$CJ$1,C324&lt;=$CJ$2),$CJ$3,IF(C324&lt;=$CK$2,$CK$3,"")))))))))</f>
        <v/>
      </c>
      <c r="AL324" s="46" t="str">
        <f t="shared" ref="AL324:AL387" si="159">IF(C324="","",IF(AA324&gt;=3,"",IF(AB324&gt;=2,"",IF(C324&gt;=$CF$2,$CL$3,IF(AND(C324&gt;=$CG$1,C324&lt;=$CG$2),$CM$3,IF(AND(C324&gt;=$CH$1,C324&lt;=$CH$2),$CN$3,IF(AND(C324&gt;=$CI$1,C324&lt;=$CI$2),$CO$3,IF(AND(C324&gt;=$CJ$1,C324&lt;=$CJ$2),$CP$3,IF(C324&lt;=$CK$2,$CQ$3,"")))))))))</f>
        <v/>
      </c>
      <c r="AM324" s="46" t="str">
        <f t="shared" ref="AM324:AM387" si="160">IF(C324="","",IF(AA324&gt;=3,"",IF(AB324&gt;=2,"",IF(C324&gt;=$CF$2,$CR$3,IF(AND(C324&gt;=$CG$1,C324&lt;=$CG$2),$CS$3,IF(AND(C324&gt;=$CH$1,C324&lt;=$CH$2),$CT$3,IF(AND(C324&gt;=$CI$1,C324&lt;=$CI$2),$CU$3,IF(AND(C324&gt;=$CJ$1,C324&lt;=$CJ$2),$CV$3,IF(C324&lt;=$CK$2,$CW$3,"")))))))))</f>
        <v/>
      </c>
      <c r="AN324" s="46" t="str">
        <f t="shared" ref="AN324:AN387" si="161">IF(C324="","",IF(AA324&gt;=3,"",IF(AB324&gt;=2,"",IF(C324&gt;=$CF$2,$CX$3,IF(AND(C324&gt;=$CG$1,C324&lt;=$CG$2),$CY$3,IF(AND(C324&gt;=$CH$1,C324&lt;=$CH$2),$CZ$3,IF(AND(C324&gt;=$CI$1,C324&lt;=$CI$2),$DA$3,IF(AND(C324&gt;=$CJ$1,C324&lt;=$CJ$2),$DB$3,IF(C324&lt;=$CK$2,$DC$3,"")))))))))</f>
        <v/>
      </c>
      <c r="AO324" s="46" t="str">
        <f t="shared" ref="AO324:AO387" si="162">IF(C324="","",IF(AA324&gt;=3,"",IF(AB324&gt;=2,"",IF(C324&gt;=$CF$2,$DD$3,IF(AND(C324&gt;=$CG$1,C324&lt;=$CG$2),$DE$3,IF(AND(C324&gt;=$CH$1,C324&lt;=$CH$2),$DF$3,IF(AND(C324&gt;=$CI$1,C324&lt;=$CI$2),$DG$3,IF(AND(C324&gt;=$CJ$1,C324&lt;=$CJ$2),$DH$3,IF(C324&lt;=$CK$2,$DI$3,"")))))))))</f>
        <v/>
      </c>
      <c r="AP324" s="46" t="str">
        <f t="shared" ref="AP324:AP387" si="163">IF(C324="","",IF(AA324&gt;=3,"",IF(AB324&gt;=2,"",IF(C324&gt;=$CF$2,$DJ$3,IF(AND(C324&gt;=$CG$1,C324&lt;=$CG$2),$DK$3,IF(AND(C324&gt;=$CH$1,C324&lt;=$CH$2),$DL$3,IF(AND(C324&gt;=$CI$1,C324&lt;=$CI$2),$DM$3,IF(AND(C324&gt;=$CJ$1,C324&lt;=$CJ$2),$DN$3,IF(C324&lt;=$CK$2,$DO$3,"")))))))))</f>
        <v/>
      </c>
      <c r="AQ324" s="46" t="str">
        <f t="shared" ref="AQ324:AQ387" si="164">IF(C324="","",IF(AA324&gt;=3,"",IF(AC324&gt;=2,"",IF(C324&gt;=$CF$2,$DP$3,IF(AND(C324&gt;=$CG$1,C324&lt;=$CG$2),$DQ$3,IF(AND(C324&gt;=$CH$1,C324&lt;=$CH$2),$DR$3,IF(AND(C324&gt;=$CI$1,C324&lt;=$CI$2),$DS$3,IF(AND(C324&gt;=$CJ$1,C324&lt;=$CJ$2),$DT$3,IF(C324&lt;=$CK$2,$DU$3,"")))))))))</f>
        <v/>
      </c>
      <c r="AR324" s="46" t="str">
        <f t="shared" ref="AR324:AR387" si="165">IF(C324="","",IF(AA324&gt;=3,"",IF(AC324&gt;=2,"",IF(C324&gt;=$CF$2,$DV$3,IF(AND(C324&gt;=$CG$1,C324&lt;=$CG$2),$DW$3,IF(AND(C324&gt;=$CH$1,C324&lt;=$CH$2),$DX$3,IF(AND(C324&gt;=$CI$1,C324&lt;=$CI$2),$DY$3,IF(AND(C324&gt;=$CJ$1,C324&lt;=$CJ$2),$DZ$3,IF(C324&lt;=$CK$2,$EA$3,"")))))))))</f>
        <v/>
      </c>
      <c r="AS324" s="46" t="str">
        <f t="shared" ref="AS324:AS387" si="166">IF(C324="","",IF(AA324&gt;=3,"",IF(AC324&gt;=2,"",IF(C324&gt;=$CF$2,$EB$3,IF(AND(C324&gt;=$CG$1,C324&lt;=$CG$2),$EC$3,IF(AND(C324&gt;=$CH$1,C324&lt;=$CH$2),$ED$3,IF(AND(C324&gt;=$CI$1,C324&lt;=$CI$2),$EE$3,IF(AND(C324&gt;=$CJ$1,C324&lt;=$CJ$2),$EF$3,IF(C324&lt;=$CK$2,$EG$3,"")))))))))</f>
        <v/>
      </c>
      <c r="AT324" s="46" t="str">
        <f t="shared" ref="AT324:AT387" si="167">IF(C324="","",IF(AA324&gt;=3,"",IF(AC324&gt;=2,"",IF(C324&gt;=$CF$2,$EH$3,IF(AND(C324&gt;=$CG$1,C324&lt;=$CG$2),$EI$3,IF(AND(C324&gt;=$CH$1,C324&lt;=$CH$2),$EJ$3,IF(AND(C324&gt;=$CI$1,C324&lt;=$CI$2),$EK$3,IF(AND(C324&gt;=$CJ$1,C324&lt;=$CJ$2),$EL$3,IF(C324&lt;=$CK$2,$EM$3,"")))))))))</f>
        <v/>
      </c>
      <c r="AU324" s="46" t="str">
        <f t="shared" ref="AU324:AU387" si="168">IF(C324="","",IF(AA324&gt;=3,"",IF(AC324&gt;=2,"",IF(C324&gt;=$CF$2,$EN$3,IF(AND(C324&gt;=$CG$1,C324&lt;=$CG$2),$EO$3,IF(AND(C324&gt;=$CH$1,C324&lt;=$CH$2),$EP$3,IF(AND(C324&gt;=$CI$1,C324&lt;=$CI$2),$EQ$3,IF(AND(C324&gt;=$CJ$1,C324&lt;=$CJ$2),$ER$3,IF(C324&lt;=$CK$2,$ES$3,"")))))))))</f>
        <v/>
      </c>
      <c r="AV324" s="46" t="str">
        <f t="shared" ref="AV324:AV387" si="169">IF(C324="","",IF(AA324&gt;=3,"",IF(C324&gt;=$CG$1,$ET$3,IF(AND(C324&gt;=$CI$1,C324&lt;=$CH$2),$EU$3,IF(C324&lt;=$CJ$2,$EV$3,"")))))</f>
        <v/>
      </c>
      <c r="AW324" s="46" t="str">
        <f t="shared" ref="AW324:AW387" si="170">IF(C324="","",IF(AND(D324="",E324="",G324="",H324="",I324="",J324=""),"ADAPTADO",""))</f>
        <v/>
      </c>
    </row>
    <row r="325" spans="4:49">
      <c r="D325" s="34"/>
      <c r="E325" s="34"/>
      <c r="F325" s="34"/>
      <c r="G325" s="34"/>
      <c r="H325" s="4"/>
      <c r="I325" s="4"/>
      <c r="J325" s="4"/>
      <c r="K325" s="3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37"/>
      <c r="X325" s="1"/>
      <c r="Y325" s="18">
        <f t="shared" si="146"/>
        <v>0</v>
      </c>
      <c r="Z325" s="21">
        <f t="shared" si="147"/>
        <v>0</v>
      </c>
      <c r="AA325" s="10">
        <f t="shared" si="148"/>
        <v>0</v>
      </c>
      <c r="AB325" s="10">
        <f t="shared" si="149"/>
        <v>0</v>
      </c>
      <c r="AC325" s="10">
        <f t="shared" si="150"/>
        <v>0</v>
      </c>
      <c r="AD325" s="46" t="str">
        <f t="shared" si="151"/>
        <v/>
      </c>
      <c r="AE325" s="46" t="str">
        <f t="shared" si="152"/>
        <v/>
      </c>
      <c r="AF325" s="46" t="str">
        <f t="shared" si="153"/>
        <v/>
      </c>
      <c r="AG325" s="46" t="str">
        <f t="shared" si="154"/>
        <v/>
      </c>
      <c r="AH325" s="46" t="str">
        <f t="shared" si="155"/>
        <v/>
      </c>
      <c r="AI325" s="46" t="str">
        <f t="shared" si="156"/>
        <v/>
      </c>
      <c r="AJ325" s="46" t="str">
        <f t="shared" si="157"/>
        <v/>
      </c>
      <c r="AK325" s="46" t="str">
        <f t="shared" si="158"/>
        <v/>
      </c>
      <c r="AL325" s="46" t="str">
        <f t="shared" si="159"/>
        <v/>
      </c>
      <c r="AM325" s="46" t="str">
        <f t="shared" si="160"/>
        <v/>
      </c>
      <c r="AN325" s="46" t="str">
        <f t="shared" si="161"/>
        <v/>
      </c>
      <c r="AO325" s="46" t="str">
        <f t="shared" si="162"/>
        <v/>
      </c>
      <c r="AP325" s="46" t="str">
        <f t="shared" si="163"/>
        <v/>
      </c>
      <c r="AQ325" s="46" t="str">
        <f t="shared" si="164"/>
        <v/>
      </c>
      <c r="AR325" s="46" t="str">
        <f t="shared" si="165"/>
        <v/>
      </c>
      <c r="AS325" s="46" t="str">
        <f t="shared" si="166"/>
        <v/>
      </c>
      <c r="AT325" s="46" t="str">
        <f t="shared" si="167"/>
        <v/>
      </c>
      <c r="AU325" s="46" t="str">
        <f t="shared" si="168"/>
        <v/>
      </c>
      <c r="AV325" s="46" t="str">
        <f t="shared" si="169"/>
        <v/>
      </c>
      <c r="AW325" s="46" t="str">
        <f t="shared" si="170"/>
        <v/>
      </c>
    </row>
    <row r="326" spans="4:49">
      <c r="D326" s="34"/>
      <c r="E326" s="34"/>
      <c r="F326" s="34"/>
      <c r="G326" s="34"/>
      <c r="H326" s="4"/>
      <c r="I326" s="4"/>
      <c r="J326" s="4"/>
      <c r="K326" s="3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37"/>
      <c r="X326" s="1"/>
      <c r="Y326" s="18">
        <f t="shared" si="146"/>
        <v>0</v>
      </c>
      <c r="Z326" s="21">
        <f t="shared" si="147"/>
        <v>0</v>
      </c>
      <c r="AA326" s="10">
        <f t="shared" si="148"/>
        <v>0</v>
      </c>
      <c r="AB326" s="10">
        <f t="shared" si="149"/>
        <v>0</v>
      </c>
      <c r="AC326" s="10">
        <f t="shared" si="150"/>
        <v>0</v>
      </c>
      <c r="AD326" s="46" t="str">
        <f t="shared" si="151"/>
        <v/>
      </c>
      <c r="AE326" s="46" t="str">
        <f t="shared" si="152"/>
        <v/>
      </c>
      <c r="AF326" s="46" t="str">
        <f t="shared" si="153"/>
        <v/>
      </c>
      <c r="AG326" s="46" t="str">
        <f t="shared" si="154"/>
        <v/>
      </c>
      <c r="AH326" s="46" t="str">
        <f t="shared" si="155"/>
        <v/>
      </c>
      <c r="AI326" s="46" t="str">
        <f t="shared" si="156"/>
        <v/>
      </c>
      <c r="AJ326" s="46" t="str">
        <f t="shared" si="157"/>
        <v/>
      </c>
      <c r="AK326" s="46" t="str">
        <f t="shared" si="158"/>
        <v/>
      </c>
      <c r="AL326" s="46" t="str">
        <f t="shared" si="159"/>
        <v/>
      </c>
      <c r="AM326" s="46" t="str">
        <f t="shared" si="160"/>
        <v/>
      </c>
      <c r="AN326" s="46" t="str">
        <f t="shared" si="161"/>
        <v/>
      </c>
      <c r="AO326" s="46" t="str">
        <f t="shared" si="162"/>
        <v/>
      </c>
      <c r="AP326" s="46" t="str">
        <f t="shared" si="163"/>
        <v/>
      </c>
      <c r="AQ326" s="46" t="str">
        <f t="shared" si="164"/>
        <v/>
      </c>
      <c r="AR326" s="46" t="str">
        <f t="shared" si="165"/>
        <v/>
      </c>
      <c r="AS326" s="46" t="str">
        <f t="shared" si="166"/>
        <v/>
      </c>
      <c r="AT326" s="46" t="str">
        <f t="shared" si="167"/>
        <v/>
      </c>
      <c r="AU326" s="46" t="str">
        <f t="shared" si="168"/>
        <v/>
      </c>
      <c r="AV326" s="46" t="str">
        <f t="shared" si="169"/>
        <v/>
      </c>
      <c r="AW326" s="46" t="str">
        <f t="shared" si="170"/>
        <v/>
      </c>
    </row>
    <row r="327" spans="4:49">
      <c r="D327" s="34"/>
      <c r="E327" s="34"/>
      <c r="F327" s="34"/>
      <c r="G327" s="34"/>
      <c r="H327" s="4"/>
      <c r="I327" s="4"/>
      <c r="J327" s="4"/>
      <c r="K327" s="3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37"/>
      <c r="X327" s="1"/>
      <c r="Y327" s="18">
        <f t="shared" si="146"/>
        <v>0</v>
      </c>
      <c r="Z327" s="21">
        <f t="shared" si="147"/>
        <v>0</v>
      </c>
      <c r="AA327" s="10">
        <f t="shared" si="148"/>
        <v>0</v>
      </c>
      <c r="AB327" s="10">
        <f t="shared" si="149"/>
        <v>0</v>
      </c>
      <c r="AC327" s="10">
        <f t="shared" si="150"/>
        <v>0</v>
      </c>
      <c r="AD327" s="46" t="str">
        <f t="shared" si="151"/>
        <v/>
      </c>
      <c r="AE327" s="46" t="str">
        <f t="shared" si="152"/>
        <v/>
      </c>
      <c r="AF327" s="46" t="str">
        <f t="shared" si="153"/>
        <v/>
      </c>
      <c r="AG327" s="46" t="str">
        <f t="shared" si="154"/>
        <v/>
      </c>
      <c r="AH327" s="46" t="str">
        <f t="shared" si="155"/>
        <v/>
      </c>
      <c r="AI327" s="46" t="str">
        <f t="shared" si="156"/>
        <v/>
      </c>
      <c r="AJ327" s="46" t="str">
        <f t="shared" si="157"/>
        <v/>
      </c>
      <c r="AK327" s="46" t="str">
        <f t="shared" si="158"/>
        <v/>
      </c>
      <c r="AL327" s="46" t="str">
        <f t="shared" si="159"/>
        <v/>
      </c>
      <c r="AM327" s="46" t="str">
        <f t="shared" si="160"/>
        <v/>
      </c>
      <c r="AN327" s="46" t="str">
        <f t="shared" si="161"/>
        <v/>
      </c>
      <c r="AO327" s="46" t="str">
        <f t="shared" si="162"/>
        <v/>
      </c>
      <c r="AP327" s="46" t="str">
        <f t="shared" si="163"/>
        <v/>
      </c>
      <c r="AQ327" s="46" t="str">
        <f t="shared" si="164"/>
        <v/>
      </c>
      <c r="AR327" s="46" t="str">
        <f t="shared" si="165"/>
        <v/>
      </c>
      <c r="AS327" s="46" t="str">
        <f t="shared" si="166"/>
        <v/>
      </c>
      <c r="AT327" s="46" t="str">
        <f t="shared" si="167"/>
        <v/>
      </c>
      <c r="AU327" s="46" t="str">
        <f t="shared" si="168"/>
        <v/>
      </c>
      <c r="AV327" s="46" t="str">
        <f t="shared" si="169"/>
        <v/>
      </c>
      <c r="AW327" s="46" t="str">
        <f t="shared" si="170"/>
        <v/>
      </c>
    </row>
    <row r="328" spans="4:49">
      <c r="D328" s="34"/>
      <c r="E328" s="34"/>
      <c r="F328" s="34"/>
      <c r="G328" s="34"/>
      <c r="H328" s="4"/>
      <c r="I328" s="4"/>
      <c r="J328" s="4"/>
      <c r="K328" s="3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37"/>
      <c r="X328" s="1"/>
      <c r="Y328" s="18">
        <f t="shared" si="146"/>
        <v>0</v>
      </c>
      <c r="Z328" s="21">
        <f t="shared" si="147"/>
        <v>0</v>
      </c>
      <c r="AA328" s="10">
        <f t="shared" si="148"/>
        <v>0</v>
      </c>
      <c r="AB328" s="10">
        <f t="shared" si="149"/>
        <v>0</v>
      </c>
      <c r="AC328" s="10">
        <f t="shared" si="150"/>
        <v>0</v>
      </c>
      <c r="AD328" s="46" t="str">
        <f t="shared" si="151"/>
        <v/>
      </c>
      <c r="AE328" s="46" t="str">
        <f t="shared" si="152"/>
        <v/>
      </c>
      <c r="AF328" s="46" t="str">
        <f t="shared" si="153"/>
        <v/>
      </c>
      <c r="AG328" s="46" t="str">
        <f t="shared" si="154"/>
        <v/>
      </c>
      <c r="AH328" s="46" t="str">
        <f t="shared" si="155"/>
        <v/>
      </c>
      <c r="AI328" s="46" t="str">
        <f t="shared" si="156"/>
        <v/>
      </c>
      <c r="AJ328" s="46" t="str">
        <f t="shared" si="157"/>
        <v/>
      </c>
      <c r="AK328" s="46" t="str">
        <f t="shared" si="158"/>
        <v/>
      </c>
      <c r="AL328" s="46" t="str">
        <f t="shared" si="159"/>
        <v/>
      </c>
      <c r="AM328" s="46" t="str">
        <f t="shared" si="160"/>
        <v/>
      </c>
      <c r="AN328" s="46" t="str">
        <f t="shared" si="161"/>
        <v/>
      </c>
      <c r="AO328" s="46" t="str">
        <f t="shared" si="162"/>
        <v/>
      </c>
      <c r="AP328" s="46" t="str">
        <f t="shared" si="163"/>
        <v/>
      </c>
      <c r="AQ328" s="46" t="str">
        <f t="shared" si="164"/>
        <v/>
      </c>
      <c r="AR328" s="46" t="str">
        <f t="shared" si="165"/>
        <v/>
      </c>
      <c r="AS328" s="46" t="str">
        <f t="shared" si="166"/>
        <v/>
      </c>
      <c r="AT328" s="46" t="str">
        <f t="shared" si="167"/>
        <v/>
      </c>
      <c r="AU328" s="46" t="str">
        <f t="shared" si="168"/>
        <v/>
      </c>
      <c r="AV328" s="46" t="str">
        <f t="shared" si="169"/>
        <v/>
      </c>
      <c r="AW328" s="46" t="str">
        <f t="shared" si="170"/>
        <v/>
      </c>
    </row>
    <row r="329" spans="4:49">
      <c r="D329" s="34"/>
      <c r="E329" s="34"/>
      <c r="F329" s="34"/>
      <c r="G329" s="34"/>
      <c r="H329" s="4"/>
      <c r="I329" s="4"/>
      <c r="J329" s="4"/>
      <c r="K329" s="3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37"/>
      <c r="X329" s="1"/>
      <c r="Y329" s="18">
        <f t="shared" si="146"/>
        <v>0</v>
      </c>
      <c r="Z329" s="21">
        <f t="shared" si="147"/>
        <v>0</v>
      </c>
      <c r="AA329" s="10">
        <f t="shared" si="148"/>
        <v>0</v>
      </c>
      <c r="AB329" s="10">
        <f t="shared" si="149"/>
        <v>0</v>
      </c>
      <c r="AC329" s="10">
        <f t="shared" si="150"/>
        <v>0</v>
      </c>
      <c r="AD329" s="46" t="str">
        <f t="shared" si="151"/>
        <v/>
      </c>
      <c r="AE329" s="46" t="str">
        <f t="shared" si="152"/>
        <v/>
      </c>
      <c r="AF329" s="46" t="str">
        <f t="shared" si="153"/>
        <v/>
      </c>
      <c r="AG329" s="46" t="str">
        <f t="shared" si="154"/>
        <v/>
      </c>
      <c r="AH329" s="46" t="str">
        <f t="shared" si="155"/>
        <v/>
      </c>
      <c r="AI329" s="46" t="str">
        <f t="shared" si="156"/>
        <v/>
      </c>
      <c r="AJ329" s="46" t="str">
        <f t="shared" si="157"/>
        <v/>
      </c>
      <c r="AK329" s="46" t="str">
        <f t="shared" si="158"/>
        <v/>
      </c>
      <c r="AL329" s="46" t="str">
        <f t="shared" si="159"/>
        <v/>
      </c>
      <c r="AM329" s="46" t="str">
        <f t="shared" si="160"/>
        <v/>
      </c>
      <c r="AN329" s="46" t="str">
        <f t="shared" si="161"/>
        <v/>
      </c>
      <c r="AO329" s="46" t="str">
        <f t="shared" si="162"/>
        <v/>
      </c>
      <c r="AP329" s="46" t="str">
        <f t="shared" si="163"/>
        <v/>
      </c>
      <c r="AQ329" s="46" t="str">
        <f t="shared" si="164"/>
        <v/>
      </c>
      <c r="AR329" s="46" t="str">
        <f t="shared" si="165"/>
        <v/>
      </c>
      <c r="AS329" s="46" t="str">
        <f t="shared" si="166"/>
        <v/>
      </c>
      <c r="AT329" s="46" t="str">
        <f t="shared" si="167"/>
        <v/>
      </c>
      <c r="AU329" s="46" t="str">
        <f t="shared" si="168"/>
        <v/>
      </c>
      <c r="AV329" s="46" t="str">
        <f t="shared" si="169"/>
        <v/>
      </c>
      <c r="AW329" s="46" t="str">
        <f t="shared" si="170"/>
        <v/>
      </c>
    </row>
    <row r="330" spans="4:49">
      <c r="D330" s="34"/>
      <c r="E330" s="34"/>
      <c r="F330" s="34"/>
      <c r="G330" s="34"/>
      <c r="H330" s="4"/>
      <c r="I330" s="4"/>
      <c r="J330" s="4"/>
      <c r="K330" s="3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37"/>
      <c r="X330" s="1"/>
      <c r="Y330" s="18">
        <f t="shared" si="146"/>
        <v>0</v>
      </c>
      <c r="Z330" s="21">
        <f t="shared" si="147"/>
        <v>0</v>
      </c>
      <c r="AA330" s="10">
        <f t="shared" si="148"/>
        <v>0</v>
      </c>
      <c r="AB330" s="10">
        <f t="shared" si="149"/>
        <v>0</v>
      </c>
      <c r="AC330" s="10">
        <f t="shared" si="150"/>
        <v>0</v>
      </c>
      <c r="AD330" s="46" t="str">
        <f t="shared" si="151"/>
        <v/>
      </c>
      <c r="AE330" s="46" t="str">
        <f t="shared" si="152"/>
        <v/>
      </c>
      <c r="AF330" s="46" t="str">
        <f t="shared" si="153"/>
        <v/>
      </c>
      <c r="AG330" s="46" t="str">
        <f t="shared" si="154"/>
        <v/>
      </c>
      <c r="AH330" s="46" t="str">
        <f t="shared" si="155"/>
        <v/>
      </c>
      <c r="AI330" s="46" t="str">
        <f t="shared" si="156"/>
        <v/>
      </c>
      <c r="AJ330" s="46" t="str">
        <f t="shared" si="157"/>
        <v/>
      </c>
      <c r="AK330" s="46" t="str">
        <f t="shared" si="158"/>
        <v/>
      </c>
      <c r="AL330" s="46" t="str">
        <f t="shared" si="159"/>
        <v/>
      </c>
      <c r="AM330" s="46" t="str">
        <f t="shared" si="160"/>
        <v/>
      </c>
      <c r="AN330" s="46" t="str">
        <f t="shared" si="161"/>
        <v/>
      </c>
      <c r="AO330" s="46" t="str">
        <f t="shared" si="162"/>
        <v/>
      </c>
      <c r="AP330" s="46" t="str">
        <f t="shared" si="163"/>
        <v/>
      </c>
      <c r="AQ330" s="46" t="str">
        <f t="shared" si="164"/>
        <v/>
      </c>
      <c r="AR330" s="46" t="str">
        <f t="shared" si="165"/>
        <v/>
      </c>
      <c r="AS330" s="46" t="str">
        <f t="shared" si="166"/>
        <v/>
      </c>
      <c r="AT330" s="46" t="str">
        <f t="shared" si="167"/>
        <v/>
      </c>
      <c r="AU330" s="46" t="str">
        <f t="shared" si="168"/>
        <v/>
      </c>
      <c r="AV330" s="46" t="str">
        <f t="shared" si="169"/>
        <v/>
      </c>
      <c r="AW330" s="46" t="str">
        <f t="shared" si="170"/>
        <v/>
      </c>
    </row>
    <row r="331" spans="4:49">
      <c r="D331" s="34"/>
      <c r="E331" s="34"/>
      <c r="F331" s="34"/>
      <c r="G331" s="34"/>
      <c r="H331" s="4"/>
      <c r="I331" s="4"/>
      <c r="J331" s="4"/>
      <c r="K331" s="3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37"/>
      <c r="X331" s="1"/>
      <c r="Y331" s="18">
        <f t="shared" si="146"/>
        <v>0</v>
      </c>
      <c r="Z331" s="21">
        <f t="shared" si="147"/>
        <v>0</v>
      </c>
      <c r="AA331" s="10">
        <f t="shared" si="148"/>
        <v>0</v>
      </c>
      <c r="AB331" s="10">
        <f t="shared" si="149"/>
        <v>0</v>
      </c>
      <c r="AC331" s="10">
        <f t="shared" si="150"/>
        <v>0</v>
      </c>
      <c r="AD331" s="46" t="str">
        <f t="shared" si="151"/>
        <v/>
      </c>
      <c r="AE331" s="46" t="str">
        <f t="shared" si="152"/>
        <v/>
      </c>
      <c r="AF331" s="46" t="str">
        <f t="shared" si="153"/>
        <v/>
      </c>
      <c r="AG331" s="46" t="str">
        <f t="shared" si="154"/>
        <v/>
      </c>
      <c r="AH331" s="46" t="str">
        <f t="shared" si="155"/>
        <v/>
      </c>
      <c r="AI331" s="46" t="str">
        <f t="shared" si="156"/>
        <v/>
      </c>
      <c r="AJ331" s="46" t="str">
        <f t="shared" si="157"/>
        <v/>
      </c>
      <c r="AK331" s="46" t="str">
        <f t="shared" si="158"/>
        <v/>
      </c>
      <c r="AL331" s="46" t="str">
        <f t="shared" si="159"/>
        <v/>
      </c>
      <c r="AM331" s="46" t="str">
        <f t="shared" si="160"/>
        <v/>
      </c>
      <c r="AN331" s="46" t="str">
        <f t="shared" si="161"/>
        <v/>
      </c>
      <c r="AO331" s="46" t="str">
        <f t="shared" si="162"/>
        <v/>
      </c>
      <c r="AP331" s="46" t="str">
        <f t="shared" si="163"/>
        <v/>
      </c>
      <c r="AQ331" s="46" t="str">
        <f t="shared" si="164"/>
        <v/>
      </c>
      <c r="AR331" s="46" t="str">
        <f t="shared" si="165"/>
        <v/>
      </c>
      <c r="AS331" s="46" t="str">
        <f t="shared" si="166"/>
        <v/>
      </c>
      <c r="AT331" s="46" t="str">
        <f t="shared" si="167"/>
        <v/>
      </c>
      <c r="AU331" s="46" t="str">
        <f t="shared" si="168"/>
        <v/>
      </c>
      <c r="AV331" s="46" t="str">
        <f t="shared" si="169"/>
        <v/>
      </c>
      <c r="AW331" s="46" t="str">
        <f t="shared" si="170"/>
        <v/>
      </c>
    </row>
    <row r="332" spans="4:49">
      <c r="D332" s="34"/>
      <c r="E332" s="34"/>
      <c r="F332" s="34"/>
      <c r="G332" s="34"/>
      <c r="H332" s="4"/>
      <c r="I332" s="4"/>
      <c r="J332" s="4"/>
      <c r="K332" s="3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37"/>
      <c r="X332" s="1"/>
      <c r="Y332" s="18">
        <f t="shared" si="146"/>
        <v>0</v>
      </c>
      <c r="Z332" s="21">
        <f t="shared" si="147"/>
        <v>0</v>
      </c>
      <c r="AA332" s="10">
        <f t="shared" si="148"/>
        <v>0</v>
      </c>
      <c r="AB332" s="10">
        <f t="shared" si="149"/>
        <v>0</v>
      </c>
      <c r="AC332" s="10">
        <f t="shared" si="150"/>
        <v>0</v>
      </c>
      <c r="AD332" s="46" t="str">
        <f t="shared" si="151"/>
        <v/>
      </c>
      <c r="AE332" s="46" t="str">
        <f t="shared" si="152"/>
        <v/>
      </c>
      <c r="AF332" s="46" t="str">
        <f t="shared" si="153"/>
        <v/>
      </c>
      <c r="AG332" s="46" t="str">
        <f t="shared" si="154"/>
        <v/>
      </c>
      <c r="AH332" s="46" t="str">
        <f t="shared" si="155"/>
        <v/>
      </c>
      <c r="AI332" s="46" t="str">
        <f t="shared" si="156"/>
        <v/>
      </c>
      <c r="AJ332" s="46" t="str">
        <f t="shared" si="157"/>
        <v/>
      </c>
      <c r="AK332" s="46" t="str">
        <f t="shared" si="158"/>
        <v/>
      </c>
      <c r="AL332" s="46" t="str">
        <f t="shared" si="159"/>
        <v/>
      </c>
      <c r="AM332" s="46" t="str">
        <f t="shared" si="160"/>
        <v/>
      </c>
      <c r="AN332" s="46" t="str">
        <f t="shared" si="161"/>
        <v/>
      </c>
      <c r="AO332" s="46" t="str">
        <f t="shared" si="162"/>
        <v/>
      </c>
      <c r="AP332" s="46" t="str">
        <f t="shared" si="163"/>
        <v/>
      </c>
      <c r="AQ332" s="46" t="str">
        <f t="shared" si="164"/>
        <v/>
      </c>
      <c r="AR332" s="46" t="str">
        <f t="shared" si="165"/>
        <v/>
      </c>
      <c r="AS332" s="46" t="str">
        <f t="shared" si="166"/>
        <v/>
      </c>
      <c r="AT332" s="46" t="str">
        <f t="shared" si="167"/>
        <v/>
      </c>
      <c r="AU332" s="46" t="str">
        <f t="shared" si="168"/>
        <v/>
      </c>
      <c r="AV332" s="46" t="str">
        <f t="shared" si="169"/>
        <v/>
      </c>
      <c r="AW332" s="46" t="str">
        <f t="shared" si="170"/>
        <v/>
      </c>
    </row>
    <row r="333" spans="4:49">
      <c r="D333" s="34"/>
      <c r="E333" s="34"/>
      <c r="F333" s="34"/>
      <c r="G333" s="34"/>
      <c r="H333" s="4"/>
      <c r="I333" s="4"/>
      <c r="J333" s="4"/>
      <c r="K333" s="3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37"/>
      <c r="X333" s="1"/>
      <c r="Y333" s="18">
        <f t="shared" si="146"/>
        <v>0</v>
      </c>
      <c r="Z333" s="21">
        <f t="shared" si="147"/>
        <v>0</v>
      </c>
      <c r="AA333" s="10">
        <f t="shared" si="148"/>
        <v>0</v>
      </c>
      <c r="AB333" s="10">
        <f t="shared" si="149"/>
        <v>0</v>
      </c>
      <c r="AC333" s="10">
        <f t="shared" si="150"/>
        <v>0</v>
      </c>
      <c r="AD333" s="46" t="str">
        <f t="shared" si="151"/>
        <v/>
      </c>
      <c r="AE333" s="46" t="str">
        <f t="shared" si="152"/>
        <v/>
      </c>
      <c r="AF333" s="46" t="str">
        <f t="shared" si="153"/>
        <v/>
      </c>
      <c r="AG333" s="46" t="str">
        <f t="shared" si="154"/>
        <v/>
      </c>
      <c r="AH333" s="46" t="str">
        <f t="shared" si="155"/>
        <v/>
      </c>
      <c r="AI333" s="46" t="str">
        <f t="shared" si="156"/>
        <v/>
      </c>
      <c r="AJ333" s="46" t="str">
        <f t="shared" si="157"/>
        <v/>
      </c>
      <c r="AK333" s="46" t="str">
        <f t="shared" si="158"/>
        <v/>
      </c>
      <c r="AL333" s="46" t="str">
        <f t="shared" si="159"/>
        <v/>
      </c>
      <c r="AM333" s="46" t="str">
        <f t="shared" si="160"/>
        <v/>
      </c>
      <c r="AN333" s="46" t="str">
        <f t="shared" si="161"/>
        <v/>
      </c>
      <c r="AO333" s="46" t="str">
        <f t="shared" si="162"/>
        <v/>
      </c>
      <c r="AP333" s="46" t="str">
        <f t="shared" si="163"/>
        <v/>
      </c>
      <c r="AQ333" s="46" t="str">
        <f t="shared" si="164"/>
        <v/>
      </c>
      <c r="AR333" s="46" t="str">
        <f t="shared" si="165"/>
        <v/>
      </c>
      <c r="AS333" s="46" t="str">
        <f t="shared" si="166"/>
        <v/>
      </c>
      <c r="AT333" s="46" t="str">
        <f t="shared" si="167"/>
        <v/>
      </c>
      <c r="AU333" s="46" t="str">
        <f t="shared" si="168"/>
        <v/>
      </c>
      <c r="AV333" s="46" t="str">
        <f t="shared" si="169"/>
        <v/>
      </c>
      <c r="AW333" s="46" t="str">
        <f t="shared" si="170"/>
        <v/>
      </c>
    </row>
    <row r="334" spans="4:49">
      <c r="D334" s="34"/>
      <c r="E334" s="34"/>
      <c r="F334" s="34"/>
      <c r="G334" s="34"/>
      <c r="H334" s="4"/>
      <c r="I334" s="4"/>
      <c r="J334" s="4"/>
      <c r="K334" s="3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37"/>
      <c r="X334" s="1"/>
      <c r="Y334" s="18">
        <f t="shared" si="146"/>
        <v>0</v>
      </c>
      <c r="Z334" s="21">
        <f t="shared" si="147"/>
        <v>0</v>
      </c>
      <c r="AA334" s="10">
        <f t="shared" si="148"/>
        <v>0</v>
      </c>
      <c r="AB334" s="10">
        <f t="shared" si="149"/>
        <v>0</v>
      </c>
      <c r="AC334" s="10">
        <f t="shared" si="150"/>
        <v>0</v>
      </c>
      <c r="AD334" s="46" t="str">
        <f t="shared" si="151"/>
        <v/>
      </c>
      <c r="AE334" s="46" t="str">
        <f t="shared" si="152"/>
        <v/>
      </c>
      <c r="AF334" s="46" t="str">
        <f t="shared" si="153"/>
        <v/>
      </c>
      <c r="AG334" s="46" t="str">
        <f t="shared" si="154"/>
        <v/>
      </c>
      <c r="AH334" s="46" t="str">
        <f t="shared" si="155"/>
        <v/>
      </c>
      <c r="AI334" s="46" t="str">
        <f t="shared" si="156"/>
        <v/>
      </c>
      <c r="AJ334" s="46" t="str">
        <f t="shared" si="157"/>
        <v/>
      </c>
      <c r="AK334" s="46" t="str">
        <f t="shared" si="158"/>
        <v/>
      </c>
      <c r="AL334" s="46" t="str">
        <f t="shared" si="159"/>
        <v/>
      </c>
      <c r="AM334" s="46" t="str">
        <f t="shared" si="160"/>
        <v/>
      </c>
      <c r="AN334" s="46" t="str">
        <f t="shared" si="161"/>
        <v/>
      </c>
      <c r="AO334" s="46" t="str">
        <f t="shared" si="162"/>
        <v/>
      </c>
      <c r="AP334" s="46" t="str">
        <f t="shared" si="163"/>
        <v/>
      </c>
      <c r="AQ334" s="46" t="str">
        <f t="shared" si="164"/>
        <v/>
      </c>
      <c r="AR334" s="46" t="str">
        <f t="shared" si="165"/>
        <v/>
      </c>
      <c r="AS334" s="46" t="str">
        <f t="shared" si="166"/>
        <v/>
      </c>
      <c r="AT334" s="46" t="str">
        <f t="shared" si="167"/>
        <v/>
      </c>
      <c r="AU334" s="46" t="str">
        <f t="shared" si="168"/>
        <v/>
      </c>
      <c r="AV334" s="46" t="str">
        <f t="shared" si="169"/>
        <v/>
      </c>
      <c r="AW334" s="46" t="str">
        <f t="shared" si="170"/>
        <v/>
      </c>
    </row>
    <row r="335" spans="4:49">
      <c r="D335" s="34"/>
      <c r="E335" s="34"/>
      <c r="F335" s="34"/>
      <c r="G335" s="34"/>
      <c r="H335" s="4"/>
      <c r="I335" s="4"/>
      <c r="J335" s="4"/>
      <c r="K335" s="3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37"/>
      <c r="X335" s="1"/>
      <c r="Y335" s="18">
        <f t="shared" si="146"/>
        <v>0</v>
      </c>
      <c r="Z335" s="21">
        <f t="shared" si="147"/>
        <v>0</v>
      </c>
      <c r="AA335" s="10">
        <f t="shared" si="148"/>
        <v>0</v>
      </c>
      <c r="AB335" s="10">
        <f t="shared" si="149"/>
        <v>0</v>
      </c>
      <c r="AC335" s="10">
        <f t="shared" si="150"/>
        <v>0</v>
      </c>
      <c r="AD335" s="46" t="str">
        <f t="shared" si="151"/>
        <v/>
      </c>
      <c r="AE335" s="46" t="str">
        <f t="shared" si="152"/>
        <v/>
      </c>
      <c r="AF335" s="46" t="str">
        <f t="shared" si="153"/>
        <v/>
      </c>
      <c r="AG335" s="46" t="str">
        <f t="shared" si="154"/>
        <v/>
      </c>
      <c r="AH335" s="46" t="str">
        <f t="shared" si="155"/>
        <v/>
      </c>
      <c r="AI335" s="46" t="str">
        <f t="shared" si="156"/>
        <v/>
      </c>
      <c r="AJ335" s="46" t="str">
        <f t="shared" si="157"/>
        <v/>
      </c>
      <c r="AK335" s="46" t="str">
        <f t="shared" si="158"/>
        <v/>
      </c>
      <c r="AL335" s="46" t="str">
        <f t="shared" si="159"/>
        <v/>
      </c>
      <c r="AM335" s="46" t="str">
        <f t="shared" si="160"/>
        <v/>
      </c>
      <c r="AN335" s="46" t="str">
        <f t="shared" si="161"/>
        <v/>
      </c>
      <c r="AO335" s="46" t="str">
        <f t="shared" si="162"/>
        <v/>
      </c>
      <c r="AP335" s="46" t="str">
        <f t="shared" si="163"/>
        <v/>
      </c>
      <c r="AQ335" s="46" t="str">
        <f t="shared" si="164"/>
        <v/>
      </c>
      <c r="AR335" s="46" t="str">
        <f t="shared" si="165"/>
        <v/>
      </c>
      <c r="AS335" s="46" t="str">
        <f t="shared" si="166"/>
        <v/>
      </c>
      <c r="AT335" s="46" t="str">
        <f t="shared" si="167"/>
        <v/>
      </c>
      <c r="AU335" s="46" t="str">
        <f t="shared" si="168"/>
        <v/>
      </c>
      <c r="AV335" s="46" t="str">
        <f t="shared" si="169"/>
        <v/>
      </c>
      <c r="AW335" s="46" t="str">
        <f t="shared" si="170"/>
        <v/>
      </c>
    </row>
    <row r="336" spans="4:49">
      <c r="D336" s="34"/>
      <c r="E336" s="34"/>
      <c r="F336" s="34"/>
      <c r="G336" s="34"/>
      <c r="H336" s="4"/>
      <c r="I336" s="4"/>
      <c r="J336" s="4"/>
      <c r="K336" s="3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37"/>
      <c r="X336" s="1"/>
      <c r="Y336" s="18">
        <f t="shared" si="146"/>
        <v>0</v>
      </c>
      <c r="Z336" s="21">
        <f t="shared" si="147"/>
        <v>0</v>
      </c>
      <c r="AA336" s="10">
        <f t="shared" si="148"/>
        <v>0</v>
      </c>
      <c r="AB336" s="10">
        <f t="shared" si="149"/>
        <v>0</v>
      </c>
      <c r="AC336" s="10">
        <f t="shared" si="150"/>
        <v>0</v>
      </c>
      <c r="AD336" s="46" t="str">
        <f t="shared" si="151"/>
        <v/>
      </c>
      <c r="AE336" s="46" t="str">
        <f t="shared" si="152"/>
        <v/>
      </c>
      <c r="AF336" s="46" t="str">
        <f t="shared" si="153"/>
        <v/>
      </c>
      <c r="AG336" s="46" t="str">
        <f t="shared" si="154"/>
        <v/>
      </c>
      <c r="AH336" s="46" t="str">
        <f t="shared" si="155"/>
        <v/>
      </c>
      <c r="AI336" s="46" t="str">
        <f t="shared" si="156"/>
        <v/>
      </c>
      <c r="AJ336" s="46" t="str">
        <f t="shared" si="157"/>
        <v/>
      </c>
      <c r="AK336" s="46" t="str">
        <f t="shared" si="158"/>
        <v/>
      </c>
      <c r="AL336" s="46" t="str">
        <f t="shared" si="159"/>
        <v/>
      </c>
      <c r="AM336" s="46" t="str">
        <f t="shared" si="160"/>
        <v/>
      </c>
      <c r="AN336" s="46" t="str">
        <f t="shared" si="161"/>
        <v/>
      </c>
      <c r="AO336" s="46" t="str">
        <f t="shared" si="162"/>
        <v/>
      </c>
      <c r="AP336" s="46" t="str">
        <f t="shared" si="163"/>
        <v/>
      </c>
      <c r="AQ336" s="46" t="str">
        <f t="shared" si="164"/>
        <v/>
      </c>
      <c r="AR336" s="46" t="str">
        <f t="shared" si="165"/>
        <v/>
      </c>
      <c r="AS336" s="46" t="str">
        <f t="shared" si="166"/>
        <v/>
      </c>
      <c r="AT336" s="46" t="str">
        <f t="shared" si="167"/>
        <v/>
      </c>
      <c r="AU336" s="46" t="str">
        <f t="shared" si="168"/>
        <v/>
      </c>
      <c r="AV336" s="46" t="str">
        <f t="shared" si="169"/>
        <v/>
      </c>
      <c r="AW336" s="46" t="str">
        <f t="shared" si="170"/>
        <v/>
      </c>
    </row>
    <row r="337" spans="4:49">
      <c r="D337" s="34"/>
      <c r="E337" s="34"/>
      <c r="F337" s="34"/>
      <c r="G337" s="34"/>
      <c r="H337" s="4"/>
      <c r="I337" s="4"/>
      <c r="J337" s="4"/>
      <c r="K337" s="3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37"/>
      <c r="X337" s="1"/>
      <c r="Y337" s="18">
        <f t="shared" si="146"/>
        <v>0</v>
      </c>
      <c r="Z337" s="21">
        <f t="shared" si="147"/>
        <v>0</v>
      </c>
      <c r="AA337" s="10">
        <f t="shared" si="148"/>
        <v>0</v>
      </c>
      <c r="AB337" s="10">
        <f t="shared" si="149"/>
        <v>0</v>
      </c>
      <c r="AC337" s="10">
        <f t="shared" si="150"/>
        <v>0</v>
      </c>
      <c r="AD337" s="46" t="str">
        <f t="shared" si="151"/>
        <v/>
      </c>
      <c r="AE337" s="46" t="str">
        <f t="shared" si="152"/>
        <v/>
      </c>
      <c r="AF337" s="46" t="str">
        <f t="shared" si="153"/>
        <v/>
      </c>
      <c r="AG337" s="46" t="str">
        <f t="shared" si="154"/>
        <v/>
      </c>
      <c r="AH337" s="46" t="str">
        <f t="shared" si="155"/>
        <v/>
      </c>
      <c r="AI337" s="46" t="str">
        <f t="shared" si="156"/>
        <v/>
      </c>
      <c r="AJ337" s="46" t="str">
        <f t="shared" si="157"/>
        <v/>
      </c>
      <c r="AK337" s="46" t="str">
        <f t="shared" si="158"/>
        <v/>
      </c>
      <c r="AL337" s="46" t="str">
        <f t="shared" si="159"/>
        <v/>
      </c>
      <c r="AM337" s="46" t="str">
        <f t="shared" si="160"/>
        <v/>
      </c>
      <c r="AN337" s="46" t="str">
        <f t="shared" si="161"/>
        <v/>
      </c>
      <c r="AO337" s="46" t="str">
        <f t="shared" si="162"/>
        <v/>
      </c>
      <c r="AP337" s="46" t="str">
        <f t="shared" si="163"/>
        <v/>
      </c>
      <c r="AQ337" s="46" t="str">
        <f t="shared" si="164"/>
        <v/>
      </c>
      <c r="AR337" s="46" t="str">
        <f t="shared" si="165"/>
        <v/>
      </c>
      <c r="AS337" s="46" t="str">
        <f t="shared" si="166"/>
        <v/>
      </c>
      <c r="AT337" s="46" t="str">
        <f t="shared" si="167"/>
        <v/>
      </c>
      <c r="AU337" s="46" t="str">
        <f t="shared" si="168"/>
        <v/>
      </c>
      <c r="AV337" s="46" t="str">
        <f t="shared" si="169"/>
        <v/>
      </c>
      <c r="AW337" s="46" t="str">
        <f t="shared" si="170"/>
        <v/>
      </c>
    </row>
    <row r="338" spans="4:49">
      <c r="D338" s="34"/>
      <c r="E338" s="34"/>
      <c r="F338" s="34"/>
      <c r="G338" s="34"/>
      <c r="H338" s="4"/>
      <c r="I338" s="4"/>
      <c r="J338" s="4"/>
      <c r="K338" s="3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37"/>
      <c r="X338" s="1"/>
      <c r="Y338" s="18">
        <f t="shared" si="146"/>
        <v>0</v>
      </c>
      <c r="Z338" s="21">
        <f t="shared" si="147"/>
        <v>0</v>
      </c>
      <c r="AA338" s="10">
        <f t="shared" si="148"/>
        <v>0</v>
      </c>
      <c r="AB338" s="10">
        <f t="shared" si="149"/>
        <v>0</v>
      </c>
      <c r="AC338" s="10">
        <f t="shared" si="150"/>
        <v>0</v>
      </c>
      <c r="AD338" s="46" t="str">
        <f t="shared" si="151"/>
        <v/>
      </c>
      <c r="AE338" s="46" t="str">
        <f t="shared" si="152"/>
        <v/>
      </c>
      <c r="AF338" s="46" t="str">
        <f t="shared" si="153"/>
        <v/>
      </c>
      <c r="AG338" s="46" t="str">
        <f t="shared" si="154"/>
        <v/>
      </c>
      <c r="AH338" s="46" t="str">
        <f t="shared" si="155"/>
        <v/>
      </c>
      <c r="AI338" s="46" t="str">
        <f t="shared" si="156"/>
        <v/>
      </c>
      <c r="AJ338" s="46" t="str">
        <f t="shared" si="157"/>
        <v/>
      </c>
      <c r="AK338" s="46" t="str">
        <f t="shared" si="158"/>
        <v/>
      </c>
      <c r="AL338" s="46" t="str">
        <f t="shared" si="159"/>
        <v/>
      </c>
      <c r="AM338" s="46" t="str">
        <f t="shared" si="160"/>
        <v/>
      </c>
      <c r="AN338" s="46" t="str">
        <f t="shared" si="161"/>
        <v/>
      </c>
      <c r="AO338" s="46" t="str">
        <f t="shared" si="162"/>
        <v/>
      </c>
      <c r="AP338" s="46" t="str">
        <f t="shared" si="163"/>
        <v/>
      </c>
      <c r="AQ338" s="46" t="str">
        <f t="shared" si="164"/>
        <v/>
      </c>
      <c r="AR338" s="46" t="str">
        <f t="shared" si="165"/>
        <v/>
      </c>
      <c r="AS338" s="46" t="str">
        <f t="shared" si="166"/>
        <v/>
      </c>
      <c r="AT338" s="46" t="str">
        <f t="shared" si="167"/>
        <v/>
      </c>
      <c r="AU338" s="46" t="str">
        <f t="shared" si="168"/>
        <v/>
      </c>
      <c r="AV338" s="46" t="str">
        <f t="shared" si="169"/>
        <v/>
      </c>
      <c r="AW338" s="46" t="str">
        <f t="shared" si="170"/>
        <v/>
      </c>
    </row>
    <row r="339" spans="4:49">
      <c r="D339" s="34"/>
      <c r="E339" s="34"/>
      <c r="F339" s="34"/>
      <c r="G339" s="34"/>
      <c r="H339" s="4"/>
      <c r="I339" s="4"/>
      <c r="J339" s="4"/>
      <c r="K339" s="3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37"/>
      <c r="X339" s="1"/>
      <c r="Y339" s="18">
        <f t="shared" si="146"/>
        <v>0</v>
      </c>
      <c r="Z339" s="21">
        <f t="shared" si="147"/>
        <v>0</v>
      </c>
      <c r="AA339" s="10">
        <f t="shared" si="148"/>
        <v>0</v>
      </c>
      <c r="AB339" s="10">
        <f t="shared" si="149"/>
        <v>0</v>
      </c>
      <c r="AC339" s="10">
        <f t="shared" si="150"/>
        <v>0</v>
      </c>
      <c r="AD339" s="46" t="str">
        <f t="shared" si="151"/>
        <v/>
      </c>
      <c r="AE339" s="46" t="str">
        <f t="shared" si="152"/>
        <v/>
      </c>
      <c r="AF339" s="46" t="str">
        <f t="shared" si="153"/>
        <v/>
      </c>
      <c r="AG339" s="46" t="str">
        <f t="shared" si="154"/>
        <v/>
      </c>
      <c r="AH339" s="46" t="str">
        <f t="shared" si="155"/>
        <v/>
      </c>
      <c r="AI339" s="46" t="str">
        <f t="shared" si="156"/>
        <v/>
      </c>
      <c r="AJ339" s="46" t="str">
        <f t="shared" si="157"/>
        <v/>
      </c>
      <c r="AK339" s="46" t="str">
        <f t="shared" si="158"/>
        <v/>
      </c>
      <c r="AL339" s="46" t="str">
        <f t="shared" si="159"/>
        <v/>
      </c>
      <c r="AM339" s="46" t="str">
        <f t="shared" si="160"/>
        <v/>
      </c>
      <c r="AN339" s="46" t="str">
        <f t="shared" si="161"/>
        <v/>
      </c>
      <c r="AO339" s="46" t="str">
        <f t="shared" si="162"/>
        <v/>
      </c>
      <c r="AP339" s="46" t="str">
        <f t="shared" si="163"/>
        <v/>
      </c>
      <c r="AQ339" s="46" t="str">
        <f t="shared" si="164"/>
        <v/>
      </c>
      <c r="AR339" s="46" t="str">
        <f t="shared" si="165"/>
        <v/>
      </c>
      <c r="AS339" s="46" t="str">
        <f t="shared" si="166"/>
        <v/>
      </c>
      <c r="AT339" s="46" t="str">
        <f t="shared" si="167"/>
        <v/>
      </c>
      <c r="AU339" s="46" t="str">
        <f t="shared" si="168"/>
        <v/>
      </c>
      <c r="AV339" s="46" t="str">
        <f t="shared" si="169"/>
        <v/>
      </c>
      <c r="AW339" s="46" t="str">
        <f t="shared" si="170"/>
        <v/>
      </c>
    </row>
    <row r="340" spans="4:49">
      <c r="D340" s="34"/>
      <c r="E340" s="34"/>
      <c r="F340" s="34"/>
      <c r="G340" s="34"/>
      <c r="H340" s="4"/>
      <c r="I340" s="4"/>
      <c r="J340" s="4"/>
      <c r="K340" s="3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37"/>
      <c r="X340" s="1"/>
      <c r="Y340" s="18">
        <f t="shared" si="146"/>
        <v>0</v>
      </c>
      <c r="Z340" s="21">
        <f t="shared" si="147"/>
        <v>0</v>
      </c>
      <c r="AA340" s="10">
        <f t="shared" si="148"/>
        <v>0</v>
      </c>
      <c r="AB340" s="10">
        <f t="shared" si="149"/>
        <v>0</v>
      </c>
      <c r="AC340" s="10">
        <f t="shared" si="150"/>
        <v>0</v>
      </c>
      <c r="AD340" s="46" t="str">
        <f t="shared" si="151"/>
        <v/>
      </c>
      <c r="AE340" s="46" t="str">
        <f t="shared" si="152"/>
        <v/>
      </c>
      <c r="AF340" s="46" t="str">
        <f t="shared" si="153"/>
        <v/>
      </c>
      <c r="AG340" s="46" t="str">
        <f t="shared" si="154"/>
        <v/>
      </c>
      <c r="AH340" s="46" t="str">
        <f t="shared" si="155"/>
        <v/>
      </c>
      <c r="AI340" s="46" t="str">
        <f t="shared" si="156"/>
        <v/>
      </c>
      <c r="AJ340" s="46" t="str">
        <f t="shared" si="157"/>
        <v/>
      </c>
      <c r="AK340" s="46" t="str">
        <f t="shared" si="158"/>
        <v/>
      </c>
      <c r="AL340" s="46" t="str">
        <f t="shared" si="159"/>
        <v/>
      </c>
      <c r="AM340" s="46" t="str">
        <f t="shared" si="160"/>
        <v/>
      </c>
      <c r="AN340" s="46" t="str">
        <f t="shared" si="161"/>
        <v/>
      </c>
      <c r="AO340" s="46" t="str">
        <f t="shared" si="162"/>
        <v/>
      </c>
      <c r="AP340" s="46" t="str">
        <f t="shared" si="163"/>
        <v/>
      </c>
      <c r="AQ340" s="46" t="str">
        <f t="shared" si="164"/>
        <v/>
      </c>
      <c r="AR340" s="46" t="str">
        <f t="shared" si="165"/>
        <v/>
      </c>
      <c r="AS340" s="46" t="str">
        <f t="shared" si="166"/>
        <v/>
      </c>
      <c r="AT340" s="46" t="str">
        <f t="shared" si="167"/>
        <v/>
      </c>
      <c r="AU340" s="46" t="str">
        <f t="shared" si="168"/>
        <v/>
      </c>
      <c r="AV340" s="46" t="str">
        <f t="shared" si="169"/>
        <v/>
      </c>
      <c r="AW340" s="46" t="str">
        <f t="shared" si="170"/>
        <v/>
      </c>
    </row>
    <row r="341" spans="4:49">
      <c r="D341" s="34"/>
      <c r="E341" s="34"/>
      <c r="F341" s="34"/>
      <c r="G341" s="34"/>
      <c r="H341" s="4"/>
      <c r="I341" s="4"/>
      <c r="J341" s="4"/>
      <c r="K341" s="3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37"/>
      <c r="X341" s="1"/>
      <c r="Y341" s="18">
        <f t="shared" si="146"/>
        <v>0</v>
      </c>
      <c r="Z341" s="21">
        <f t="shared" si="147"/>
        <v>0</v>
      </c>
      <c r="AA341" s="10">
        <f t="shared" si="148"/>
        <v>0</v>
      </c>
      <c r="AB341" s="10">
        <f t="shared" si="149"/>
        <v>0</v>
      </c>
      <c r="AC341" s="10">
        <f t="shared" si="150"/>
        <v>0</v>
      </c>
      <c r="AD341" s="46" t="str">
        <f t="shared" si="151"/>
        <v/>
      </c>
      <c r="AE341" s="46" t="str">
        <f t="shared" si="152"/>
        <v/>
      </c>
      <c r="AF341" s="46" t="str">
        <f t="shared" si="153"/>
        <v/>
      </c>
      <c r="AG341" s="46" t="str">
        <f t="shared" si="154"/>
        <v/>
      </c>
      <c r="AH341" s="46" t="str">
        <f t="shared" si="155"/>
        <v/>
      </c>
      <c r="AI341" s="46" t="str">
        <f t="shared" si="156"/>
        <v/>
      </c>
      <c r="AJ341" s="46" t="str">
        <f t="shared" si="157"/>
        <v/>
      </c>
      <c r="AK341" s="46" t="str">
        <f t="shared" si="158"/>
        <v/>
      </c>
      <c r="AL341" s="46" t="str">
        <f t="shared" si="159"/>
        <v/>
      </c>
      <c r="AM341" s="46" t="str">
        <f t="shared" si="160"/>
        <v/>
      </c>
      <c r="AN341" s="46" t="str">
        <f t="shared" si="161"/>
        <v/>
      </c>
      <c r="AO341" s="46" t="str">
        <f t="shared" si="162"/>
        <v/>
      </c>
      <c r="AP341" s="46" t="str">
        <f t="shared" si="163"/>
        <v/>
      </c>
      <c r="AQ341" s="46" t="str">
        <f t="shared" si="164"/>
        <v/>
      </c>
      <c r="AR341" s="46" t="str">
        <f t="shared" si="165"/>
        <v/>
      </c>
      <c r="AS341" s="46" t="str">
        <f t="shared" si="166"/>
        <v/>
      </c>
      <c r="AT341" s="46" t="str">
        <f t="shared" si="167"/>
        <v/>
      </c>
      <c r="AU341" s="46" t="str">
        <f t="shared" si="168"/>
        <v/>
      </c>
      <c r="AV341" s="46" t="str">
        <f t="shared" si="169"/>
        <v/>
      </c>
      <c r="AW341" s="46" t="str">
        <f t="shared" si="170"/>
        <v/>
      </c>
    </row>
    <row r="342" spans="4:49">
      <c r="D342" s="34"/>
      <c r="E342" s="34"/>
      <c r="F342" s="34"/>
      <c r="G342" s="34"/>
      <c r="H342" s="4"/>
      <c r="I342" s="4"/>
      <c r="J342" s="4"/>
      <c r="K342" s="3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37"/>
      <c r="X342" s="1"/>
      <c r="Y342" s="18">
        <f t="shared" si="146"/>
        <v>0</v>
      </c>
      <c r="Z342" s="21">
        <f t="shared" si="147"/>
        <v>0</v>
      </c>
      <c r="AA342" s="10">
        <f t="shared" si="148"/>
        <v>0</v>
      </c>
      <c r="AB342" s="10">
        <f t="shared" si="149"/>
        <v>0</v>
      </c>
      <c r="AC342" s="10">
        <f t="shared" si="150"/>
        <v>0</v>
      </c>
      <c r="AD342" s="46" t="str">
        <f t="shared" si="151"/>
        <v/>
      </c>
      <c r="AE342" s="46" t="str">
        <f t="shared" si="152"/>
        <v/>
      </c>
      <c r="AF342" s="46" t="str">
        <f t="shared" si="153"/>
        <v/>
      </c>
      <c r="AG342" s="46" t="str">
        <f t="shared" si="154"/>
        <v/>
      </c>
      <c r="AH342" s="46" t="str">
        <f t="shared" si="155"/>
        <v/>
      </c>
      <c r="AI342" s="46" t="str">
        <f t="shared" si="156"/>
        <v/>
      </c>
      <c r="AJ342" s="46" t="str">
        <f t="shared" si="157"/>
        <v/>
      </c>
      <c r="AK342" s="46" t="str">
        <f t="shared" si="158"/>
        <v/>
      </c>
      <c r="AL342" s="46" t="str">
        <f t="shared" si="159"/>
        <v/>
      </c>
      <c r="AM342" s="46" t="str">
        <f t="shared" si="160"/>
        <v/>
      </c>
      <c r="AN342" s="46" t="str">
        <f t="shared" si="161"/>
        <v/>
      </c>
      <c r="AO342" s="46" t="str">
        <f t="shared" si="162"/>
        <v/>
      </c>
      <c r="AP342" s="46" t="str">
        <f t="shared" si="163"/>
        <v/>
      </c>
      <c r="AQ342" s="46" t="str">
        <f t="shared" si="164"/>
        <v/>
      </c>
      <c r="AR342" s="46" t="str">
        <f t="shared" si="165"/>
        <v/>
      </c>
      <c r="AS342" s="46" t="str">
        <f t="shared" si="166"/>
        <v/>
      </c>
      <c r="AT342" s="46" t="str">
        <f t="shared" si="167"/>
        <v/>
      </c>
      <c r="AU342" s="46" t="str">
        <f t="shared" si="168"/>
        <v/>
      </c>
      <c r="AV342" s="46" t="str">
        <f t="shared" si="169"/>
        <v/>
      </c>
      <c r="AW342" s="46" t="str">
        <f t="shared" si="170"/>
        <v/>
      </c>
    </row>
    <row r="343" spans="4:49">
      <c r="D343" s="34"/>
      <c r="E343" s="34"/>
      <c r="F343" s="34"/>
      <c r="G343" s="34"/>
      <c r="H343" s="4"/>
      <c r="I343" s="4"/>
      <c r="J343" s="4"/>
      <c r="K343" s="3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37"/>
      <c r="X343" s="1"/>
      <c r="Y343" s="18">
        <f t="shared" si="146"/>
        <v>0</v>
      </c>
      <c r="Z343" s="21">
        <f t="shared" si="147"/>
        <v>0</v>
      </c>
      <c r="AA343" s="10">
        <f t="shared" si="148"/>
        <v>0</v>
      </c>
      <c r="AB343" s="10">
        <f t="shared" si="149"/>
        <v>0</v>
      </c>
      <c r="AC343" s="10">
        <f t="shared" si="150"/>
        <v>0</v>
      </c>
      <c r="AD343" s="46" t="str">
        <f t="shared" si="151"/>
        <v/>
      </c>
      <c r="AE343" s="46" t="str">
        <f t="shared" si="152"/>
        <v/>
      </c>
      <c r="AF343" s="46" t="str">
        <f t="shared" si="153"/>
        <v/>
      </c>
      <c r="AG343" s="46" t="str">
        <f t="shared" si="154"/>
        <v/>
      </c>
      <c r="AH343" s="46" t="str">
        <f t="shared" si="155"/>
        <v/>
      </c>
      <c r="AI343" s="46" t="str">
        <f t="shared" si="156"/>
        <v/>
      </c>
      <c r="AJ343" s="46" t="str">
        <f t="shared" si="157"/>
        <v/>
      </c>
      <c r="AK343" s="46" t="str">
        <f t="shared" si="158"/>
        <v/>
      </c>
      <c r="AL343" s="46" t="str">
        <f t="shared" si="159"/>
        <v/>
      </c>
      <c r="AM343" s="46" t="str">
        <f t="shared" si="160"/>
        <v/>
      </c>
      <c r="AN343" s="46" t="str">
        <f t="shared" si="161"/>
        <v/>
      </c>
      <c r="AO343" s="46" t="str">
        <f t="shared" si="162"/>
        <v/>
      </c>
      <c r="AP343" s="46" t="str">
        <f t="shared" si="163"/>
        <v/>
      </c>
      <c r="AQ343" s="46" t="str">
        <f t="shared" si="164"/>
        <v/>
      </c>
      <c r="AR343" s="46" t="str">
        <f t="shared" si="165"/>
        <v/>
      </c>
      <c r="AS343" s="46" t="str">
        <f t="shared" si="166"/>
        <v/>
      </c>
      <c r="AT343" s="46" t="str">
        <f t="shared" si="167"/>
        <v/>
      </c>
      <c r="AU343" s="46" t="str">
        <f t="shared" si="168"/>
        <v/>
      </c>
      <c r="AV343" s="46" t="str">
        <f t="shared" si="169"/>
        <v/>
      </c>
      <c r="AW343" s="46" t="str">
        <f t="shared" si="170"/>
        <v/>
      </c>
    </row>
    <row r="344" spans="4:49">
      <c r="D344" s="34"/>
      <c r="E344" s="34"/>
      <c r="F344" s="34"/>
      <c r="G344" s="34"/>
      <c r="H344" s="4"/>
      <c r="I344" s="4"/>
      <c r="J344" s="4"/>
      <c r="K344" s="3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37"/>
      <c r="X344" s="1"/>
      <c r="Y344" s="18">
        <f t="shared" si="146"/>
        <v>0</v>
      </c>
      <c r="Z344" s="21">
        <f t="shared" si="147"/>
        <v>0</v>
      </c>
      <c r="AA344" s="10">
        <f t="shared" si="148"/>
        <v>0</v>
      </c>
      <c r="AB344" s="10">
        <f t="shared" si="149"/>
        <v>0</v>
      </c>
      <c r="AC344" s="10">
        <f t="shared" si="150"/>
        <v>0</v>
      </c>
      <c r="AD344" s="46" t="str">
        <f t="shared" si="151"/>
        <v/>
      </c>
      <c r="AE344" s="46" t="str">
        <f t="shared" si="152"/>
        <v/>
      </c>
      <c r="AF344" s="46" t="str">
        <f t="shared" si="153"/>
        <v/>
      </c>
      <c r="AG344" s="46" t="str">
        <f t="shared" si="154"/>
        <v/>
      </c>
      <c r="AH344" s="46" t="str">
        <f t="shared" si="155"/>
        <v/>
      </c>
      <c r="AI344" s="46" t="str">
        <f t="shared" si="156"/>
        <v/>
      </c>
      <c r="AJ344" s="46" t="str">
        <f t="shared" si="157"/>
        <v/>
      </c>
      <c r="AK344" s="46" t="str">
        <f t="shared" si="158"/>
        <v/>
      </c>
      <c r="AL344" s="46" t="str">
        <f t="shared" si="159"/>
        <v/>
      </c>
      <c r="AM344" s="46" t="str">
        <f t="shared" si="160"/>
        <v/>
      </c>
      <c r="AN344" s="46" t="str">
        <f t="shared" si="161"/>
        <v/>
      </c>
      <c r="AO344" s="46" t="str">
        <f t="shared" si="162"/>
        <v/>
      </c>
      <c r="AP344" s="46" t="str">
        <f t="shared" si="163"/>
        <v/>
      </c>
      <c r="AQ344" s="46" t="str">
        <f t="shared" si="164"/>
        <v/>
      </c>
      <c r="AR344" s="46" t="str">
        <f t="shared" si="165"/>
        <v/>
      </c>
      <c r="AS344" s="46" t="str">
        <f t="shared" si="166"/>
        <v/>
      </c>
      <c r="AT344" s="46" t="str">
        <f t="shared" si="167"/>
        <v/>
      </c>
      <c r="AU344" s="46" t="str">
        <f t="shared" si="168"/>
        <v/>
      </c>
      <c r="AV344" s="46" t="str">
        <f t="shared" si="169"/>
        <v/>
      </c>
      <c r="AW344" s="46" t="str">
        <f t="shared" si="170"/>
        <v/>
      </c>
    </row>
    <row r="345" spans="4:49">
      <c r="D345" s="34"/>
      <c r="E345" s="34"/>
      <c r="F345" s="34"/>
      <c r="G345" s="34"/>
      <c r="H345" s="4"/>
      <c r="I345" s="4"/>
      <c r="J345" s="4"/>
      <c r="K345" s="3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37"/>
      <c r="X345" s="1"/>
      <c r="Y345" s="18">
        <f t="shared" si="146"/>
        <v>0</v>
      </c>
      <c r="Z345" s="21">
        <f t="shared" si="147"/>
        <v>0</v>
      </c>
      <c r="AA345" s="10">
        <f t="shared" si="148"/>
        <v>0</v>
      </c>
      <c r="AB345" s="10">
        <f t="shared" si="149"/>
        <v>0</v>
      </c>
      <c r="AC345" s="10">
        <f t="shared" si="150"/>
        <v>0</v>
      </c>
      <c r="AD345" s="46" t="str">
        <f t="shared" si="151"/>
        <v/>
      </c>
      <c r="AE345" s="46" t="str">
        <f t="shared" si="152"/>
        <v/>
      </c>
      <c r="AF345" s="46" t="str">
        <f t="shared" si="153"/>
        <v/>
      </c>
      <c r="AG345" s="46" t="str">
        <f t="shared" si="154"/>
        <v/>
      </c>
      <c r="AH345" s="46" t="str">
        <f t="shared" si="155"/>
        <v/>
      </c>
      <c r="AI345" s="46" t="str">
        <f t="shared" si="156"/>
        <v/>
      </c>
      <c r="AJ345" s="46" t="str">
        <f t="shared" si="157"/>
        <v/>
      </c>
      <c r="AK345" s="46" t="str">
        <f t="shared" si="158"/>
        <v/>
      </c>
      <c r="AL345" s="46" t="str">
        <f t="shared" si="159"/>
        <v/>
      </c>
      <c r="AM345" s="46" t="str">
        <f t="shared" si="160"/>
        <v/>
      </c>
      <c r="AN345" s="46" t="str">
        <f t="shared" si="161"/>
        <v/>
      </c>
      <c r="AO345" s="46" t="str">
        <f t="shared" si="162"/>
        <v/>
      </c>
      <c r="AP345" s="46" t="str">
        <f t="shared" si="163"/>
        <v/>
      </c>
      <c r="AQ345" s="46" t="str">
        <f t="shared" si="164"/>
        <v/>
      </c>
      <c r="AR345" s="46" t="str">
        <f t="shared" si="165"/>
        <v/>
      </c>
      <c r="AS345" s="46" t="str">
        <f t="shared" si="166"/>
        <v/>
      </c>
      <c r="AT345" s="46" t="str">
        <f t="shared" si="167"/>
        <v/>
      </c>
      <c r="AU345" s="46" t="str">
        <f t="shared" si="168"/>
        <v/>
      </c>
      <c r="AV345" s="46" t="str">
        <f t="shared" si="169"/>
        <v/>
      </c>
      <c r="AW345" s="46" t="str">
        <f t="shared" si="170"/>
        <v/>
      </c>
    </row>
    <row r="346" spans="4:49">
      <c r="D346" s="34"/>
      <c r="E346" s="34"/>
      <c r="F346" s="34"/>
      <c r="G346" s="34"/>
      <c r="H346" s="4"/>
      <c r="I346" s="4"/>
      <c r="J346" s="4"/>
      <c r="K346" s="3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37"/>
      <c r="X346" s="1"/>
      <c r="Y346" s="18">
        <f t="shared" si="146"/>
        <v>0</v>
      </c>
      <c r="Z346" s="21">
        <f t="shared" si="147"/>
        <v>0</v>
      </c>
      <c r="AA346" s="10">
        <f t="shared" si="148"/>
        <v>0</v>
      </c>
      <c r="AB346" s="10">
        <f t="shared" si="149"/>
        <v>0</v>
      </c>
      <c r="AC346" s="10">
        <f t="shared" si="150"/>
        <v>0</v>
      </c>
      <c r="AD346" s="46" t="str">
        <f t="shared" si="151"/>
        <v/>
      </c>
      <c r="AE346" s="46" t="str">
        <f t="shared" si="152"/>
        <v/>
      </c>
      <c r="AF346" s="46" t="str">
        <f t="shared" si="153"/>
        <v/>
      </c>
      <c r="AG346" s="46" t="str">
        <f t="shared" si="154"/>
        <v/>
      </c>
      <c r="AH346" s="46" t="str">
        <f t="shared" si="155"/>
        <v/>
      </c>
      <c r="AI346" s="46" t="str">
        <f t="shared" si="156"/>
        <v/>
      </c>
      <c r="AJ346" s="46" t="str">
        <f t="shared" si="157"/>
        <v/>
      </c>
      <c r="AK346" s="46" t="str">
        <f t="shared" si="158"/>
        <v/>
      </c>
      <c r="AL346" s="46" t="str">
        <f t="shared" si="159"/>
        <v/>
      </c>
      <c r="AM346" s="46" t="str">
        <f t="shared" si="160"/>
        <v/>
      </c>
      <c r="AN346" s="46" t="str">
        <f t="shared" si="161"/>
        <v/>
      </c>
      <c r="AO346" s="46" t="str">
        <f t="shared" si="162"/>
        <v/>
      </c>
      <c r="AP346" s="46" t="str">
        <f t="shared" si="163"/>
        <v/>
      </c>
      <c r="AQ346" s="46" t="str">
        <f t="shared" si="164"/>
        <v/>
      </c>
      <c r="AR346" s="46" t="str">
        <f t="shared" si="165"/>
        <v/>
      </c>
      <c r="AS346" s="46" t="str">
        <f t="shared" si="166"/>
        <v/>
      </c>
      <c r="AT346" s="46" t="str">
        <f t="shared" si="167"/>
        <v/>
      </c>
      <c r="AU346" s="46" t="str">
        <f t="shared" si="168"/>
        <v/>
      </c>
      <c r="AV346" s="46" t="str">
        <f t="shared" si="169"/>
        <v/>
      </c>
      <c r="AW346" s="46" t="str">
        <f t="shared" si="170"/>
        <v/>
      </c>
    </row>
    <row r="347" spans="4:49">
      <c r="D347" s="34"/>
      <c r="E347" s="34"/>
      <c r="F347" s="34"/>
      <c r="G347" s="34"/>
      <c r="H347" s="4"/>
      <c r="I347" s="4"/>
      <c r="J347" s="4"/>
      <c r="K347" s="3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37"/>
      <c r="X347" s="1"/>
      <c r="Y347" s="18">
        <f t="shared" si="146"/>
        <v>0</v>
      </c>
      <c r="Z347" s="21">
        <f t="shared" si="147"/>
        <v>0</v>
      </c>
      <c r="AA347" s="10">
        <f t="shared" si="148"/>
        <v>0</v>
      </c>
      <c r="AB347" s="10">
        <f t="shared" si="149"/>
        <v>0</v>
      </c>
      <c r="AC347" s="10">
        <f t="shared" si="150"/>
        <v>0</v>
      </c>
      <c r="AD347" s="46" t="str">
        <f t="shared" si="151"/>
        <v/>
      </c>
      <c r="AE347" s="46" t="str">
        <f t="shared" si="152"/>
        <v/>
      </c>
      <c r="AF347" s="46" t="str">
        <f t="shared" si="153"/>
        <v/>
      </c>
      <c r="AG347" s="46" t="str">
        <f t="shared" si="154"/>
        <v/>
      </c>
      <c r="AH347" s="46" t="str">
        <f t="shared" si="155"/>
        <v/>
      </c>
      <c r="AI347" s="46" t="str">
        <f t="shared" si="156"/>
        <v/>
      </c>
      <c r="AJ347" s="46" t="str">
        <f t="shared" si="157"/>
        <v/>
      </c>
      <c r="AK347" s="46" t="str">
        <f t="shared" si="158"/>
        <v/>
      </c>
      <c r="AL347" s="46" t="str">
        <f t="shared" si="159"/>
        <v/>
      </c>
      <c r="AM347" s="46" t="str">
        <f t="shared" si="160"/>
        <v/>
      </c>
      <c r="AN347" s="46" t="str">
        <f t="shared" si="161"/>
        <v/>
      </c>
      <c r="AO347" s="46" t="str">
        <f t="shared" si="162"/>
        <v/>
      </c>
      <c r="AP347" s="46" t="str">
        <f t="shared" si="163"/>
        <v/>
      </c>
      <c r="AQ347" s="46" t="str">
        <f t="shared" si="164"/>
        <v/>
      </c>
      <c r="AR347" s="46" t="str">
        <f t="shared" si="165"/>
        <v/>
      </c>
      <c r="AS347" s="46" t="str">
        <f t="shared" si="166"/>
        <v/>
      </c>
      <c r="AT347" s="46" t="str">
        <f t="shared" si="167"/>
        <v/>
      </c>
      <c r="AU347" s="46" t="str">
        <f t="shared" si="168"/>
        <v/>
      </c>
      <c r="AV347" s="46" t="str">
        <f t="shared" si="169"/>
        <v/>
      </c>
      <c r="AW347" s="46" t="str">
        <f t="shared" si="170"/>
        <v/>
      </c>
    </row>
    <row r="348" spans="4:49">
      <c r="D348" s="34"/>
      <c r="E348" s="34"/>
      <c r="F348" s="34"/>
      <c r="G348" s="34"/>
      <c r="H348" s="4"/>
      <c r="I348" s="4"/>
      <c r="J348" s="4"/>
      <c r="K348" s="3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37"/>
      <c r="X348" s="1"/>
      <c r="Y348" s="18">
        <f t="shared" si="146"/>
        <v>0</v>
      </c>
      <c r="Z348" s="21">
        <f t="shared" si="147"/>
        <v>0</v>
      </c>
      <c r="AA348" s="10">
        <f t="shared" si="148"/>
        <v>0</v>
      </c>
      <c r="AB348" s="10">
        <f t="shared" si="149"/>
        <v>0</v>
      </c>
      <c r="AC348" s="10">
        <f t="shared" si="150"/>
        <v>0</v>
      </c>
      <c r="AD348" s="46" t="str">
        <f t="shared" si="151"/>
        <v/>
      </c>
      <c r="AE348" s="46" t="str">
        <f t="shared" si="152"/>
        <v/>
      </c>
      <c r="AF348" s="46" t="str">
        <f t="shared" si="153"/>
        <v/>
      </c>
      <c r="AG348" s="46" t="str">
        <f t="shared" si="154"/>
        <v/>
      </c>
      <c r="AH348" s="46" t="str">
        <f t="shared" si="155"/>
        <v/>
      </c>
      <c r="AI348" s="46" t="str">
        <f t="shared" si="156"/>
        <v/>
      </c>
      <c r="AJ348" s="46" t="str">
        <f t="shared" si="157"/>
        <v/>
      </c>
      <c r="AK348" s="46" t="str">
        <f t="shared" si="158"/>
        <v/>
      </c>
      <c r="AL348" s="46" t="str">
        <f t="shared" si="159"/>
        <v/>
      </c>
      <c r="AM348" s="46" t="str">
        <f t="shared" si="160"/>
        <v/>
      </c>
      <c r="AN348" s="46" t="str">
        <f t="shared" si="161"/>
        <v/>
      </c>
      <c r="AO348" s="46" t="str">
        <f t="shared" si="162"/>
        <v/>
      </c>
      <c r="AP348" s="46" t="str">
        <f t="shared" si="163"/>
        <v/>
      </c>
      <c r="AQ348" s="46" t="str">
        <f t="shared" si="164"/>
        <v/>
      </c>
      <c r="AR348" s="46" t="str">
        <f t="shared" si="165"/>
        <v/>
      </c>
      <c r="AS348" s="46" t="str">
        <f t="shared" si="166"/>
        <v/>
      </c>
      <c r="AT348" s="46" t="str">
        <f t="shared" si="167"/>
        <v/>
      </c>
      <c r="AU348" s="46" t="str">
        <f t="shared" si="168"/>
        <v/>
      </c>
      <c r="AV348" s="46" t="str">
        <f t="shared" si="169"/>
        <v/>
      </c>
      <c r="AW348" s="46" t="str">
        <f t="shared" si="170"/>
        <v/>
      </c>
    </row>
    <row r="349" spans="4:49">
      <c r="D349" s="34"/>
      <c r="E349" s="34"/>
      <c r="F349" s="34"/>
      <c r="G349" s="34"/>
      <c r="H349" s="4"/>
      <c r="I349" s="4"/>
      <c r="J349" s="4"/>
      <c r="K349" s="3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37"/>
      <c r="X349" s="1"/>
      <c r="Y349" s="18">
        <f t="shared" si="146"/>
        <v>0</v>
      </c>
      <c r="Z349" s="21">
        <f t="shared" si="147"/>
        <v>0</v>
      </c>
      <c r="AA349" s="10">
        <f t="shared" si="148"/>
        <v>0</v>
      </c>
      <c r="AB349" s="10">
        <f t="shared" si="149"/>
        <v>0</v>
      </c>
      <c r="AC349" s="10">
        <f t="shared" si="150"/>
        <v>0</v>
      </c>
      <c r="AD349" s="46" t="str">
        <f t="shared" si="151"/>
        <v/>
      </c>
      <c r="AE349" s="46" t="str">
        <f t="shared" si="152"/>
        <v/>
      </c>
      <c r="AF349" s="46" t="str">
        <f t="shared" si="153"/>
        <v/>
      </c>
      <c r="AG349" s="46" t="str">
        <f t="shared" si="154"/>
        <v/>
      </c>
      <c r="AH349" s="46" t="str">
        <f t="shared" si="155"/>
        <v/>
      </c>
      <c r="AI349" s="46" t="str">
        <f t="shared" si="156"/>
        <v/>
      </c>
      <c r="AJ349" s="46" t="str">
        <f t="shared" si="157"/>
        <v/>
      </c>
      <c r="AK349" s="46" t="str">
        <f t="shared" si="158"/>
        <v/>
      </c>
      <c r="AL349" s="46" t="str">
        <f t="shared" si="159"/>
        <v/>
      </c>
      <c r="AM349" s="46" t="str">
        <f t="shared" si="160"/>
        <v/>
      </c>
      <c r="AN349" s="46" t="str">
        <f t="shared" si="161"/>
        <v/>
      </c>
      <c r="AO349" s="46" t="str">
        <f t="shared" si="162"/>
        <v/>
      </c>
      <c r="AP349" s="46" t="str">
        <f t="shared" si="163"/>
        <v/>
      </c>
      <c r="AQ349" s="46" t="str">
        <f t="shared" si="164"/>
        <v/>
      </c>
      <c r="AR349" s="46" t="str">
        <f t="shared" si="165"/>
        <v/>
      </c>
      <c r="AS349" s="46" t="str">
        <f t="shared" si="166"/>
        <v/>
      </c>
      <c r="AT349" s="46" t="str">
        <f t="shared" si="167"/>
        <v/>
      </c>
      <c r="AU349" s="46" t="str">
        <f t="shared" si="168"/>
        <v/>
      </c>
      <c r="AV349" s="46" t="str">
        <f t="shared" si="169"/>
        <v/>
      </c>
      <c r="AW349" s="46" t="str">
        <f t="shared" si="170"/>
        <v/>
      </c>
    </row>
    <row r="350" spans="4:49">
      <c r="D350" s="34"/>
      <c r="E350" s="34"/>
      <c r="F350" s="34"/>
      <c r="G350" s="34"/>
      <c r="H350" s="4"/>
      <c r="I350" s="4"/>
      <c r="J350" s="4"/>
      <c r="K350" s="3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37"/>
      <c r="X350" s="1"/>
      <c r="Y350" s="18">
        <f t="shared" si="146"/>
        <v>0</v>
      </c>
      <c r="Z350" s="21">
        <f t="shared" si="147"/>
        <v>0</v>
      </c>
      <c r="AA350" s="10">
        <f t="shared" si="148"/>
        <v>0</v>
      </c>
      <c r="AB350" s="10">
        <f t="shared" si="149"/>
        <v>0</v>
      </c>
      <c r="AC350" s="10">
        <f t="shared" si="150"/>
        <v>0</v>
      </c>
      <c r="AD350" s="46" t="str">
        <f t="shared" si="151"/>
        <v/>
      </c>
      <c r="AE350" s="46" t="str">
        <f t="shared" si="152"/>
        <v/>
      </c>
      <c r="AF350" s="46" t="str">
        <f t="shared" si="153"/>
        <v/>
      </c>
      <c r="AG350" s="46" t="str">
        <f t="shared" si="154"/>
        <v/>
      </c>
      <c r="AH350" s="46" t="str">
        <f t="shared" si="155"/>
        <v/>
      </c>
      <c r="AI350" s="46" t="str">
        <f t="shared" si="156"/>
        <v/>
      </c>
      <c r="AJ350" s="46" t="str">
        <f t="shared" si="157"/>
        <v/>
      </c>
      <c r="AK350" s="46" t="str">
        <f t="shared" si="158"/>
        <v/>
      </c>
      <c r="AL350" s="46" t="str">
        <f t="shared" si="159"/>
        <v/>
      </c>
      <c r="AM350" s="46" t="str">
        <f t="shared" si="160"/>
        <v/>
      </c>
      <c r="AN350" s="46" t="str">
        <f t="shared" si="161"/>
        <v/>
      </c>
      <c r="AO350" s="46" t="str">
        <f t="shared" si="162"/>
        <v/>
      </c>
      <c r="AP350" s="46" t="str">
        <f t="shared" si="163"/>
        <v/>
      </c>
      <c r="AQ350" s="46" t="str">
        <f t="shared" si="164"/>
        <v/>
      </c>
      <c r="AR350" s="46" t="str">
        <f t="shared" si="165"/>
        <v/>
      </c>
      <c r="AS350" s="46" t="str">
        <f t="shared" si="166"/>
        <v/>
      </c>
      <c r="AT350" s="46" t="str">
        <f t="shared" si="167"/>
        <v/>
      </c>
      <c r="AU350" s="46" t="str">
        <f t="shared" si="168"/>
        <v/>
      </c>
      <c r="AV350" s="46" t="str">
        <f t="shared" si="169"/>
        <v/>
      </c>
      <c r="AW350" s="46" t="str">
        <f t="shared" si="170"/>
        <v/>
      </c>
    </row>
    <row r="351" spans="4:49">
      <c r="D351" s="34"/>
      <c r="E351" s="34"/>
      <c r="F351" s="34"/>
      <c r="G351" s="34"/>
      <c r="H351" s="4"/>
      <c r="I351" s="4"/>
      <c r="J351" s="4"/>
      <c r="K351" s="3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37"/>
      <c r="X351" s="1"/>
      <c r="Y351" s="18">
        <f t="shared" si="146"/>
        <v>0</v>
      </c>
      <c r="Z351" s="21">
        <f t="shared" si="147"/>
        <v>0</v>
      </c>
      <c r="AA351" s="10">
        <f t="shared" si="148"/>
        <v>0</v>
      </c>
      <c r="AB351" s="10">
        <f t="shared" si="149"/>
        <v>0</v>
      </c>
      <c r="AC351" s="10">
        <f t="shared" si="150"/>
        <v>0</v>
      </c>
      <c r="AD351" s="46" t="str">
        <f t="shared" si="151"/>
        <v/>
      </c>
      <c r="AE351" s="46" t="str">
        <f t="shared" si="152"/>
        <v/>
      </c>
      <c r="AF351" s="46" t="str">
        <f t="shared" si="153"/>
        <v/>
      </c>
      <c r="AG351" s="46" t="str">
        <f t="shared" si="154"/>
        <v/>
      </c>
      <c r="AH351" s="46" t="str">
        <f t="shared" si="155"/>
        <v/>
      </c>
      <c r="AI351" s="46" t="str">
        <f t="shared" si="156"/>
        <v/>
      </c>
      <c r="AJ351" s="46" t="str">
        <f t="shared" si="157"/>
        <v/>
      </c>
      <c r="AK351" s="46" t="str">
        <f t="shared" si="158"/>
        <v/>
      </c>
      <c r="AL351" s="46" t="str">
        <f t="shared" si="159"/>
        <v/>
      </c>
      <c r="AM351" s="46" t="str">
        <f t="shared" si="160"/>
        <v/>
      </c>
      <c r="AN351" s="46" t="str">
        <f t="shared" si="161"/>
        <v/>
      </c>
      <c r="AO351" s="46" t="str">
        <f t="shared" si="162"/>
        <v/>
      </c>
      <c r="AP351" s="46" t="str">
        <f t="shared" si="163"/>
        <v/>
      </c>
      <c r="AQ351" s="46" t="str">
        <f t="shared" si="164"/>
        <v/>
      </c>
      <c r="AR351" s="46" t="str">
        <f t="shared" si="165"/>
        <v/>
      </c>
      <c r="AS351" s="46" t="str">
        <f t="shared" si="166"/>
        <v/>
      </c>
      <c r="AT351" s="46" t="str">
        <f t="shared" si="167"/>
        <v/>
      </c>
      <c r="AU351" s="46" t="str">
        <f t="shared" si="168"/>
        <v/>
      </c>
      <c r="AV351" s="46" t="str">
        <f t="shared" si="169"/>
        <v/>
      </c>
      <c r="AW351" s="46" t="str">
        <f t="shared" si="170"/>
        <v/>
      </c>
    </row>
    <row r="352" spans="4:49">
      <c r="D352" s="34"/>
      <c r="E352" s="34"/>
      <c r="F352" s="34"/>
      <c r="G352" s="34"/>
      <c r="H352" s="4"/>
      <c r="I352" s="4"/>
      <c r="J352" s="4"/>
      <c r="K352" s="3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37"/>
      <c r="X352" s="1"/>
      <c r="Y352" s="18">
        <f t="shared" si="146"/>
        <v>0</v>
      </c>
      <c r="Z352" s="21">
        <f t="shared" si="147"/>
        <v>0</v>
      </c>
      <c r="AA352" s="10">
        <f t="shared" si="148"/>
        <v>0</v>
      </c>
      <c r="AB352" s="10">
        <f t="shared" si="149"/>
        <v>0</v>
      </c>
      <c r="AC352" s="10">
        <f t="shared" si="150"/>
        <v>0</v>
      </c>
      <c r="AD352" s="46" t="str">
        <f t="shared" si="151"/>
        <v/>
      </c>
      <c r="AE352" s="46" t="str">
        <f t="shared" si="152"/>
        <v/>
      </c>
      <c r="AF352" s="46" t="str">
        <f t="shared" si="153"/>
        <v/>
      </c>
      <c r="AG352" s="46" t="str">
        <f t="shared" si="154"/>
        <v/>
      </c>
      <c r="AH352" s="46" t="str">
        <f t="shared" si="155"/>
        <v/>
      </c>
      <c r="AI352" s="46" t="str">
        <f t="shared" si="156"/>
        <v/>
      </c>
      <c r="AJ352" s="46" t="str">
        <f t="shared" si="157"/>
        <v/>
      </c>
      <c r="AK352" s="46" t="str">
        <f t="shared" si="158"/>
        <v/>
      </c>
      <c r="AL352" s="46" t="str">
        <f t="shared" si="159"/>
        <v/>
      </c>
      <c r="AM352" s="46" t="str">
        <f t="shared" si="160"/>
        <v/>
      </c>
      <c r="AN352" s="46" t="str">
        <f t="shared" si="161"/>
        <v/>
      </c>
      <c r="AO352" s="46" t="str">
        <f t="shared" si="162"/>
        <v/>
      </c>
      <c r="AP352" s="46" t="str">
        <f t="shared" si="163"/>
        <v/>
      </c>
      <c r="AQ352" s="46" t="str">
        <f t="shared" si="164"/>
        <v/>
      </c>
      <c r="AR352" s="46" t="str">
        <f t="shared" si="165"/>
        <v/>
      </c>
      <c r="AS352" s="46" t="str">
        <f t="shared" si="166"/>
        <v/>
      </c>
      <c r="AT352" s="46" t="str">
        <f t="shared" si="167"/>
        <v/>
      </c>
      <c r="AU352" s="46" t="str">
        <f t="shared" si="168"/>
        <v/>
      </c>
      <c r="AV352" s="46" t="str">
        <f t="shared" si="169"/>
        <v/>
      </c>
      <c r="AW352" s="46" t="str">
        <f t="shared" si="170"/>
        <v/>
      </c>
    </row>
    <row r="353" spans="4:49">
      <c r="D353" s="34"/>
      <c r="E353" s="34"/>
      <c r="F353" s="34"/>
      <c r="G353" s="34"/>
      <c r="H353" s="4"/>
      <c r="I353" s="4"/>
      <c r="J353" s="4"/>
      <c r="K353" s="3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37"/>
      <c r="X353" s="1"/>
      <c r="Y353" s="18">
        <f t="shared" si="146"/>
        <v>0</v>
      </c>
      <c r="Z353" s="21">
        <f t="shared" si="147"/>
        <v>0</v>
      </c>
      <c r="AA353" s="10">
        <f t="shared" si="148"/>
        <v>0</v>
      </c>
      <c r="AB353" s="10">
        <f t="shared" si="149"/>
        <v>0</v>
      </c>
      <c r="AC353" s="10">
        <f t="shared" si="150"/>
        <v>0</v>
      </c>
      <c r="AD353" s="46" t="str">
        <f t="shared" si="151"/>
        <v/>
      </c>
      <c r="AE353" s="46" t="str">
        <f t="shared" si="152"/>
        <v/>
      </c>
      <c r="AF353" s="46" t="str">
        <f t="shared" si="153"/>
        <v/>
      </c>
      <c r="AG353" s="46" t="str">
        <f t="shared" si="154"/>
        <v/>
      </c>
      <c r="AH353" s="46" t="str">
        <f t="shared" si="155"/>
        <v/>
      </c>
      <c r="AI353" s="46" t="str">
        <f t="shared" si="156"/>
        <v/>
      </c>
      <c r="AJ353" s="46" t="str">
        <f t="shared" si="157"/>
        <v/>
      </c>
      <c r="AK353" s="46" t="str">
        <f t="shared" si="158"/>
        <v/>
      </c>
      <c r="AL353" s="46" t="str">
        <f t="shared" si="159"/>
        <v/>
      </c>
      <c r="AM353" s="46" t="str">
        <f t="shared" si="160"/>
        <v/>
      </c>
      <c r="AN353" s="46" t="str">
        <f t="shared" si="161"/>
        <v/>
      </c>
      <c r="AO353" s="46" t="str">
        <f t="shared" si="162"/>
        <v/>
      </c>
      <c r="AP353" s="46" t="str">
        <f t="shared" si="163"/>
        <v/>
      </c>
      <c r="AQ353" s="46" t="str">
        <f t="shared" si="164"/>
        <v/>
      </c>
      <c r="AR353" s="46" t="str">
        <f t="shared" si="165"/>
        <v/>
      </c>
      <c r="AS353" s="46" t="str">
        <f t="shared" si="166"/>
        <v/>
      </c>
      <c r="AT353" s="46" t="str">
        <f t="shared" si="167"/>
        <v/>
      </c>
      <c r="AU353" s="46" t="str">
        <f t="shared" si="168"/>
        <v/>
      </c>
      <c r="AV353" s="46" t="str">
        <f t="shared" si="169"/>
        <v/>
      </c>
      <c r="AW353" s="46" t="str">
        <f t="shared" si="170"/>
        <v/>
      </c>
    </row>
    <row r="354" spans="4:49">
      <c r="D354" s="34"/>
      <c r="E354" s="34"/>
      <c r="F354" s="34"/>
      <c r="G354" s="34"/>
      <c r="H354" s="4"/>
      <c r="I354" s="4"/>
      <c r="J354" s="4"/>
      <c r="K354" s="3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37"/>
      <c r="X354" s="1"/>
      <c r="Y354" s="18">
        <f t="shared" si="146"/>
        <v>0</v>
      </c>
      <c r="Z354" s="21">
        <f t="shared" si="147"/>
        <v>0</v>
      </c>
      <c r="AA354" s="10">
        <f t="shared" si="148"/>
        <v>0</v>
      </c>
      <c r="AB354" s="10">
        <f t="shared" si="149"/>
        <v>0</v>
      </c>
      <c r="AC354" s="10">
        <f t="shared" si="150"/>
        <v>0</v>
      </c>
      <c r="AD354" s="46" t="str">
        <f t="shared" si="151"/>
        <v/>
      </c>
      <c r="AE354" s="46" t="str">
        <f t="shared" si="152"/>
        <v/>
      </c>
      <c r="AF354" s="46" t="str">
        <f t="shared" si="153"/>
        <v/>
      </c>
      <c r="AG354" s="46" t="str">
        <f t="shared" si="154"/>
        <v/>
      </c>
      <c r="AH354" s="46" t="str">
        <f t="shared" si="155"/>
        <v/>
      </c>
      <c r="AI354" s="46" t="str">
        <f t="shared" si="156"/>
        <v/>
      </c>
      <c r="AJ354" s="46" t="str">
        <f t="shared" si="157"/>
        <v/>
      </c>
      <c r="AK354" s="46" t="str">
        <f t="shared" si="158"/>
        <v/>
      </c>
      <c r="AL354" s="46" t="str">
        <f t="shared" si="159"/>
        <v/>
      </c>
      <c r="AM354" s="46" t="str">
        <f t="shared" si="160"/>
        <v/>
      </c>
      <c r="AN354" s="46" t="str">
        <f t="shared" si="161"/>
        <v/>
      </c>
      <c r="AO354" s="46" t="str">
        <f t="shared" si="162"/>
        <v/>
      </c>
      <c r="AP354" s="46" t="str">
        <f t="shared" si="163"/>
        <v/>
      </c>
      <c r="AQ354" s="46" t="str">
        <f t="shared" si="164"/>
        <v/>
      </c>
      <c r="AR354" s="46" t="str">
        <f t="shared" si="165"/>
        <v/>
      </c>
      <c r="AS354" s="46" t="str">
        <f t="shared" si="166"/>
        <v/>
      </c>
      <c r="AT354" s="46" t="str">
        <f t="shared" si="167"/>
        <v/>
      </c>
      <c r="AU354" s="46" t="str">
        <f t="shared" si="168"/>
        <v/>
      </c>
      <c r="AV354" s="46" t="str">
        <f t="shared" si="169"/>
        <v/>
      </c>
      <c r="AW354" s="46" t="str">
        <f t="shared" si="170"/>
        <v/>
      </c>
    </row>
    <row r="355" spans="4:49">
      <c r="D355" s="34"/>
      <c r="E355" s="34"/>
      <c r="F355" s="34"/>
      <c r="G355" s="34"/>
      <c r="H355" s="4"/>
      <c r="I355" s="4"/>
      <c r="J355" s="4"/>
      <c r="K355" s="3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37"/>
      <c r="X355" s="1"/>
      <c r="Y355" s="18">
        <f t="shared" si="146"/>
        <v>0</v>
      </c>
      <c r="Z355" s="21">
        <f t="shared" si="147"/>
        <v>0</v>
      </c>
      <c r="AA355" s="10">
        <f t="shared" si="148"/>
        <v>0</v>
      </c>
      <c r="AB355" s="10">
        <f t="shared" si="149"/>
        <v>0</v>
      </c>
      <c r="AC355" s="10">
        <f t="shared" si="150"/>
        <v>0</v>
      </c>
      <c r="AD355" s="46" t="str">
        <f t="shared" si="151"/>
        <v/>
      </c>
      <c r="AE355" s="46" t="str">
        <f t="shared" si="152"/>
        <v/>
      </c>
      <c r="AF355" s="46" t="str">
        <f t="shared" si="153"/>
        <v/>
      </c>
      <c r="AG355" s="46" t="str">
        <f t="shared" si="154"/>
        <v/>
      </c>
      <c r="AH355" s="46" t="str">
        <f t="shared" si="155"/>
        <v/>
      </c>
      <c r="AI355" s="46" t="str">
        <f t="shared" si="156"/>
        <v/>
      </c>
      <c r="AJ355" s="46" t="str">
        <f t="shared" si="157"/>
        <v/>
      </c>
      <c r="AK355" s="46" t="str">
        <f t="shared" si="158"/>
        <v/>
      </c>
      <c r="AL355" s="46" t="str">
        <f t="shared" si="159"/>
        <v/>
      </c>
      <c r="AM355" s="46" t="str">
        <f t="shared" si="160"/>
        <v/>
      </c>
      <c r="AN355" s="46" t="str">
        <f t="shared" si="161"/>
        <v/>
      </c>
      <c r="AO355" s="46" t="str">
        <f t="shared" si="162"/>
        <v/>
      </c>
      <c r="AP355" s="46" t="str">
        <f t="shared" si="163"/>
        <v/>
      </c>
      <c r="AQ355" s="46" t="str">
        <f t="shared" si="164"/>
        <v/>
      </c>
      <c r="AR355" s="46" t="str">
        <f t="shared" si="165"/>
        <v/>
      </c>
      <c r="AS355" s="46" t="str">
        <f t="shared" si="166"/>
        <v/>
      </c>
      <c r="AT355" s="46" t="str">
        <f t="shared" si="167"/>
        <v/>
      </c>
      <c r="AU355" s="46" t="str">
        <f t="shared" si="168"/>
        <v/>
      </c>
      <c r="AV355" s="46" t="str">
        <f t="shared" si="169"/>
        <v/>
      </c>
      <c r="AW355" s="46" t="str">
        <f t="shared" si="170"/>
        <v/>
      </c>
    </row>
    <row r="356" spans="4:49">
      <c r="D356" s="34"/>
      <c r="E356" s="34"/>
      <c r="F356" s="34"/>
      <c r="G356" s="34"/>
      <c r="H356" s="4"/>
      <c r="I356" s="4"/>
      <c r="J356" s="4"/>
      <c r="K356" s="3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37"/>
      <c r="X356" s="1"/>
      <c r="Y356" s="18">
        <f t="shared" si="146"/>
        <v>0</v>
      </c>
      <c r="Z356" s="21">
        <f t="shared" si="147"/>
        <v>0</v>
      </c>
      <c r="AA356" s="10">
        <f t="shared" si="148"/>
        <v>0</v>
      </c>
      <c r="AB356" s="10">
        <f t="shared" si="149"/>
        <v>0</v>
      </c>
      <c r="AC356" s="10">
        <f t="shared" si="150"/>
        <v>0</v>
      </c>
      <c r="AD356" s="46" t="str">
        <f t="shared" si="151"/>
        <v/>
      </c>
      <c r="AE356" s="46" t="str">
        <f t="shared" si="152"/>
        <v/>
      </c>
      <c r="AF356" s="46" t="str">
        <f t="shared" si="153"/>
        <v/>
      </c>
      <c r="AG356" s="46" t="str">
        <f t="shared" si="154"/>
        <v/>
      </c>
      <c r="AH356" s="46" t="str">
        <f t="shared" si="155"/>
        <v/>
      </c>
      <c r="AI356" s="46" t="str">
        <f t="shared" si="156"/>
        <v/>
      </c>
      <c r="AJ356" s="46" t="str">
        <f t="shared" si="157"/>
        <v/>
      </c>
      <c r="AK356" s="46" t="str">
        <f t="shared" si="158"/>
        <v/>
      </c>
      <c r="AL356" s="46" t="str">
        <f t="shared" si="159"/>
        <v/>
      </c>
      <c r="AM356" s="46" t="str">
        <f t="shared" si="160"/>
        <v/>
      </c>
      <c r="AN356" s="46" t="str">
        <f t="shared" si="161"/>
        <v/>
      </c>
      <c r="AO356" s="46" t="str">
        <f t="shared" si="162"/>
        <v/>
      </c>
      <c r="AP356" s="46" t="str">
        <f t="shared" si="163"/>
        <v/>
      </c>
      <c r="AQ356" s="46" t="str">
        <f t="shared" si="164"/>
        <v/>
      </c>
      <c r="AR356" s="46" t="str">
        <f t="shared" si="165"/>
        <v/>
      </c>
      <c r="AS356" s="46" t="str">
        <f t="shared" si="166"/>
        <v/>
      </c>
      <c r="AT356" s="46" t="str">
        <f t="shared" si="167"/>
        <v/>
      </c>
      <c r="AU356" s="46" t="str">
        <f t="shared" si="168"/>
        <v/>
      </c>
      <c r="AV356" s="46" t="str">
        <f t="shared" si="169"/>
        <v/>
      </c>
      <c r="AW356" s="46" t="str">
        <f t="shared" si="170"/>
        <v/>
      </c>
    </row>
    <row r="357" spans="4:49">
      <c r="D357" s="34"/>
      <c r="E357" s="34"/>
      <c r="F357" s="34"/>
      <c r="G357" s="34"/>
      <c r="H357" s="4"/>
      <c r="I357" s="4"/>
      <c r="J357" s="4"/>
      <c r="K357" s="3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37"/>
      <c r="X357" s="1"/>
      <c r="Y357" s="18">
        <f t="shared" si="146"/>
        <v>0</v>
      </c>
      <c r="Z357" s="21">
        <f t="shared" si="147"/>
        <v>0</v>
      </c>
      <c r="AA357" s="10">
        <f t="shared" si="148"/>
        <v>0</v>
      </c>
      <c r="AB357" s="10">
        <f t="shared" si="149"/>
        <v>0</v>
      </c>
      <c r="AC357" s="10">
        <f t="shared" si="150"/>
        <v>0</v>
      </c>
      <c r="AD357" s="46" t="str">
        <f t="shared" si="151"/>
        <v/>
      </c>
      <c r="AE357" s="46" t="str">
        <f t="shared" si="152"/>
        <v/>
      </c>
      <c r="AF357" s="46" t="str">
        <f t="shared" si="153"/>
        <v/>
      </c>
      <c r="AG357" s="46" t="str">
        <f t="shared" si="154"/>
        <v/>
      </c>
      <c r="AH357" s="46" t="str">
        <f t="shared" si="155"/>
        <v/>
      </c>
      <c r="AI357" s="46" t="str">
        <f t="shared" si="156"/>
        <v/>
      </c>
      <c r="AJ357" s="46" t="str">
        <f t="shared" si="157"/>
        <v/>
      </c>
      <c r="AK357" s="46" t="str">
        <f t="shared" si="158"/>
        <v/>
      </c>
      <c r="AL357" s="46" t="str">
        <f t="shared" si="159"/>
        <v/>
      </c>
      <c r="AM357" s="46" t="str">
        <f t="shared" si="160"/>
        <v/>
      </c>
      <c r="AN357" s="46" t="str">
        <f t="shared" si="161"/>
        <v/>
      </c>
      <c r="AO357" s="46" t="str">
        <f t="shared" si="162"/>
        <v/>
      </c>
      <c r="AP357" s="46" t="str">
        <f t="shared" si="163"/>
        <v/>
      </c>
      <c r="AQ357" s="46" t="str">
        <f t="shared" si="164"/>
        <v/>
      </c>
      <c r="AR357" s="46" t="str">
        <f t="shared" si="165"/>
        <v/>
      </c>
      <c r="AS357" s="46" t="str">
        <f t="shared" si="166"/>
        <v/>
      </c>
      <c r="AT357" s="46" t="str">
        <f t="shared" si="167"/>
        <v/>
      </c>
      <c r="AU357" s="46" t="str">
        <f t="shared" si="168"/>
        <v/>
      </c>
      <c r="AV357" s="46" t="str">
        <f t="shared" si="169"/>
        <v/>
      </c>
      <c r="AW357" s="46" t="str">
        <f t="shared" si="170"/>
        <v/>
      </c>
    </row>
    <row r="358" spans="4:49">
      <c r="D358" s="34"/>
      <c r="E358" s="34"/>
      <c r="F358" s="34"/>
      <c r="G358" s="34"/>
      <c r="H358" s="4"/>
      <c r="I358" s="4"/>
      <c r="J358" s="4"/>
      <c r="K358" s="3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37"/>
      <c r="X358" s="1"/>
      <c r="Y358" s="18">
        <f t="shared" si="146"/>
        <v>0</v>
      </c>
      <c r="Z358" s="21">
        <f t="shared" si="147"/>
        <v>0</v>
      </c>
      <c r="AA358" s="10">
        <f t="shared" si="148"/>
        <v>0</v>
      </c>
      <c r="AB358" s="10">
        <f t="shared" si="149"/>
        <v>0</v>
      </c>
      <c r="AC358" s="10">
        <f t="shared" si="150"/>
        <v>0</v>
      </c>
      <c r="AD358" s="46" t="str">
        <f t="shared" si="151"/>
        <v/>
      </c>
      <c r="AE358" s="46" t="str">
        <f t="shared" si="152"/>
        <v/>
      </c>
      <c r="AF358" s="46" t="str">
        <f t="shared" si="153"/>
        <v/>
      </c>
      <c r="AG358" s="46" t="str">
        <f t="shared" si="154"/>
        <v/>
      </c>
      <c r="AH358" s="46" t="str">
        <f t="shared" si="155"/>
        <v/>
      </c>
      <c r="AI358" s="46" t="str">
        <f t="shared" si="156"/>
        <v/>
      </c>
      <c r="AJ358" s="46" t="str">
        <f t="shared" si="157"/>
        <v/>
      </c>
      <c r="AK358" s="46" t="str">
        <f t="shared" si="158"/>
        <v/>
      </c>
      <c r="AL358" s="46" t="str">
        <f t="shared" si="159"/>
        <v/>
      </c>
      <c r="AM358" s="46" t="str">
        <f t="shared" si="160"/>
        <v/>
      </c>
      <c r="AN358" s="46" t="str">
        <f t="shared" si="161"/>
        <v/>
      </c>
      <c r="AO358" s="46" t="str">
        <f t="shared" si="162"/>
        <v/>
      </c>
      <c r="AP358" s="46" t="str">
        <f t="shared" si="163"/>
        <v/>
      </c>
      <c r="AQ358" s="46" t="str">
        <f t="shared" si="164"/>
        <v/>
      </c>
      <c r="AR358" s="46" t="str">
        <f t="shared" si="165"/>
        <v/>
      </c>
      <c r="AS358" s="46" t="str">
        <f t="shared" si="166"/>
        <v/>
      </c>
      <c r="AT358" s="46" t="str">
        <f t="shared" si="167"/>
        <v/>
      </c>
      <c r="AU358" s="46" t="str">
        <f t="shared" si="168"/>
        <v/>
      </c>
      <c r="AV358" s="46" t="str">
        <f t="shared" si="169"/>
        <v/>
      </c>
      <c r="AW358" s="46" t="str">
        <f t="shared" si="170"/>
        <v/>
      </c>
    </row>
    <row r="359" spans="4:49">
      <c r="D359" s="34"/>
      <c r="E359" s="34"/>
      <c r="F359" s="34"/>
      <c r="G359" s="34"/>
      <c r="H359" s="4"/>
      <c r="I359" s="4"/>
      <c r="J359" s="4"/>
      <c r="K359" s="3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37"/>
      <c r="X359" s="1"/>
      <c r="Y359" s="18">
        <f t="shared" si="146"/>
        <v>0</v>
      </c>
      <c r="Z359" s="21">
        <f t="shared" si="147"/>
        <v>0</v>
      </c>
      <c r="AA359" s="10">
        <f t="shared" si="148"/>
        <v>0</v>
      </c>
      <c r="AB359" s="10">
        <f t="shared" si="149"/>
        <v>0</v>
      </c>
      <c r="AC359" s="10">
        <f t="shared" si="150"/>
        <v>0</v>
      </c>
      <c r="AD359" s="46" t="str">
        <f t="shared" si="151"/>
        <v/>
      </c>
      <c r="AE359" s="46" t="str">
        <f t="shared" si="152"/>
        <v/>
      </c>
      <c r="AF359" s="46" t="str">
        <f t="shared" si="153"/>
        <v/>
      </c>
      <c r="AG359" s="46" t="str">
        <f t="shared" si="154"/>
        <v/>
      </c>
      <c r="AH359" s="46" t="str">
        <f t="shared" si="155"/>
        <v/>
      </c>
      <c r="AI359" s="46" t="str">
        <f t="shared" si="156"/>
        <v/>
      </c>
      <c r="AJ359" s="46" t="str">
        <f t="shared" si="157"/>
        <v/>
      </c>
      <c r="AK359" s="46" t="str">
        <f t="shared" si="158"/>
        <v/>
      </c>
      <c r="AL359" s="46" t="str">
        <f t="shared" si="159"/>
        <v/>
      </c>
      <c r="AM359" s="46" t="str">
        <f t="shared" si="160"/>
        <v/>
      </c>
      <c r="AN359" s="46" t="str">
        <f t="shared" si="161"/>
        <v/>
      </c>
      <c r="AO359" s="46" t="str">
        <f t="shared" si="162"/>
        <v/>
      </c>
      <c r="AP359" s="46" t="str">
        <f t="shared" si="163"/>
        <v/>
      </c>
      <c r="AQ359" s="46" t="str">
        <f t="shared" si="164"/>
        <v/>
      </c>
      <c r="AR359" s="46" t="str">
        <f t="shared" si="165"/>
        <v/>
      </c>
      <c r="AS359" s="46" t="str">
        <f t="shared" si="166"/>
        <v/>
      </c>
      <c r="AT359" s="46" t="str">
        <f t="shared" si="167"/>
        <v/>
      </c>
      <c r="AU359" s="46" t="str">
        <f t="shared" si="168"/>
        <v/>
      </c>
      <c r="AV359" s="46" t="str">
        <f t="shared" si="169"/>
        <v/>
      </c>
      <c r="AW359" s="46" t="str">
        <f t="shared" si="170"/>
        <v/>
      </c>
    </row>
    <row r="360" spans="4:49">
      <c r="D360" s="34"/>
      <c r="E360" s="34"/>
      <c r="F360" s="34"/>
      <c r="G360" s="34"/>
      <c r="H360" s="4"/>
      <c r="I360" s="4"/>
      <c r="J360" s="4"/>
      <c r="K360" s="3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37"/>
      <c r="X360" s="1"/>
      <c r="Y360" s="18">
        <f t="shared" si="146"/>
        <v>0</v>
      </c>
      <c r="Z360" s="21">
        <f t="shared" si="147"/>
        <v>0</v>
      </c>
      <c r="AA360" s="10">
        <f t="shared" si="148"/>
        <v>0</v>
      </c>
      <c r="AB360" s="10">
        <f t="shared" si="149"/>
        <v>0</v>
      </c>
      <c r="AC360" s="10">
        <f t="shared" si="150"/>
        <v>0</v>
      </c>
      <c r="AD360" s="46" t="str">
        <f t="shared" si="151"/>
        <v/>
      </c>
      <c r="AE360" s="46" t="str">
        <f t="shared" si="152"/>
        <v/>
      </c>
      <c r="AF360" s="46" t="str">
        <f t="shared" si="153"/>
        <v/>
      </c>
      <c r="AG360" s="46" t="str">
        <f t="shared" si="154"/>
        <v/>
      </c>
      <c r="AH360" s="46" t="str">
        <f t="shared" si="155"/>
        <v/>
      </c>
      <c r="AI360" s="46" t="str">
        <f t="shared" si="156"/>
        <v/>
      </c>
      <c r="AJ360" s="46" t="str">
        <f t="shared" si="157"/>
        <v/>
      </c>
      <c r="AK360" s="46" t="str">
        <f t="shared" si="158"/>
        <v/>
      </c>
      <c r="AL360" s="46" t="str">
        <f t="shared" si="159"/>
        <v/>
      </c>
      <c r="AM360" s="46" t="str">
        <f t="shared" si="160"/>
        <v/>
      </c>
      <c r="AN360" s="46" t="str">
        <f t="shared" si="161"/>
        <v/>
      </c>
      <c r="AO360" s="46" t="str">
        <f t="shared" si="162"/>
        <v/>
      </c>
      <c r="AP360" s="46" t="str">
        <f t="shared" si="163"/>
        <v/>
      </c>
      <c r="AQ360" s="46" t="str">
        <f t="shared" si="164"/>
        <v/>
      </c>
      <c r="AR360" s="46" t="str">
        <f t="shared" si="165"/>
        <v/>
      </c>
      <c r="AS360" s="46" t="str">
        <f t="shared" si="166"/>
        <v/>
      </c>
      <c r="AT360" s="46" t="str">
        <f t="shared" si="167"/>
        <v/>
      </c>
      <c r="AU360" s="46" t="str">
        <f t="shared" si="168"/>
        <v/>
      </c>
      <c r="AV360" s="46" t="str">
        <f t="shared" si="169"/>
        <v/>
      </c>
      <c r="AW360" s="46" t="str">
        <f t="shared" si="170"/>
        <v/>
      </c>
    </row>
    <row r="361" spans="4:49">
      <c r="D361" s="34"/>
      <c r="E361" s="34"/>
      <c r="F361" s="34"/>
      <c r="G361" s="34"/>
      <c r="H361" s="4"/>
      <c r="I361" s="4"/>
      <c r="J361" s="4"/>
      <c r="K361" s="3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37"/>
      <c r="X361" s="1"/>
      <c r="Y361" s="18">
        <f t="shared" si="146"/>
        <v>0</v>
      </c>
      <c r="Z361" s="21">
        <f t="shared" si="147"/>
        <v>0</v>
      </c>
      <c r="AA361" s="10">
        <f t="shared" si="148"/>
        <v>0</v>
      </c>
      <c r="AB361" s="10">
        <f t="shared" si="149"/>
        <v>0</v>
      </c>
      <c r="AC361" s="10">
        <f t="shared" si="150"/>
        <v>0</v>
      </c>
      <c r="AD361" s="46" t="str">
        <f t="shared" si="151"/>
        <v/>
      </c>
      <c r="AE361" s="46" t="str">
        <f t="shared" si="152"/>
        <v/>
      </c>
      <c r="AF361" s="46" t="str">
        <f t="shared" si="153"/>
        <v/>
      </c>
      <c r="AG361" s="46" t="str">
        <f t="shared" si="154"/>
        <v/>
      </c>
      <c r="AH361" s="46" t="str">
        <f t="shared" si="155"/>
        <v/>
      </c>
      <c r="AI361" s="46" t="str">
        <f t="shared" si="156"/>
        <v/>
      </c>
      <c r="AJ361" s="46" t="str">
        <f t="shared" si="157"/>
        <v/>
      </c>
      <c r="AK361" s="46" t="str">
        <f t="shared" si="158"/>
        <v/>
      </c>
      <c r="AL361" s="46" t="str">
        <f t="shared" si="159"/>
        <v/>
      </c>
      <c r="AM361" s="46" t="str">
        <f t="shared" si="160"/>
        <v/>
      </c>
      <c r="AN361" s="46" t="str">
        <f t="shared" si="161"/>
        <v/>
      </c>
      <c r="AO361" s="46" t="str">
        <f t="shared" si="162"/>
        <v/>
      </c>
      <c r="AP361" s="46" t="str">
        <f t="shared" si="163"/>
        <v/>
      </c>
      <c r="AQ361" s="46" t="str">
        <f t="shared" si="164"/>
        <v/>
      </c>
      <c r="AR361" s="46" t="str">
        <f t="shared" si="165"/>
        <v/>
      </c>
      <c r="AS361" s="46" t="str">
        <f t="shared" si="166"/>
        <v/>
      </c>
      <c r="AT361" s="46" t="str">
        <f t="shared" si="167"/>
        <v/>
      </c>
      <c r="AU361" s="46" t="str">
        <f t="shared" si="168"/>
        <v/>
      </c>
      <c r="AV361" s="46" t="str">
        <f t="shared" si="169"/>
        <v/>
      </c>
      <c r="AW361" s="46" t="str">
        <f t="shared" si="170"/>
        <v/>
      </c>
    </row>
    <row r="362" spans="4:49">
      <c r="D362" s="34"/>
      <c r="E362" s="34"/>
      <c r="F362" s="34"/>
      <c r="G362" s="34"/>
      <c r="H362" s="4"/>
      <c r="I362" s="4"/>
      <c r="J362" s="4"/>
      <c r="K362" s="3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37"/>
      <c r="X362" s="1"/>
      <c r="Y362" s="18">
        <f t="shared" si="146"/>
        <v>0</v>
      </c>
      <c r="Z362" s="21">
        <f t="shared" si="147"/>
        <v>0</v>
      </c>
      <c r="AA362" s="10">
        <f t="shared" si="148"/>
        <v>0</v>
      </c>
      <c r="AB362" s="10">
        <f t="shared" si="149"/>
        <v>0</v>
      </c>
      <c r="AC362" s="10">
        <f t="shared" si="150"/>
        <v>0</v>
      </c>
      <c r="AD362" s="46" t="str">
        <f t="shared" si="151"/>
        <v/>
      </c>
      <c r="AE362" s="46" t="str">
        <f t="shared" si="152"/>
        <v/>
      </c>
      <c r="AF362" s="46" t="str">
        <f t="shared" si="153"/>
        <v/>
      </c>
      <c r="AG362" s="46" t="str">
        <f t="shared" si="154"/>
        <v/>
      </c>
      <c r="AH362" s="46" t="str">
        <f t="shared" si="155"/>
        <v/>
      </c>
      <c r="AI362" s="46" t="str">
        <f t="shared" si="156"/>
        <v/>
      </c>
      <c r="AJ362" s="46" t="str">
        <f t="shared" si="157"/>
        <v/>
      </c>
      <c r="AK362" s="46" t="str">
        <f t="shared" si="158"/>
        <v/>
      </c>
      <c r="AL362" s="46" t="str">
        <f t="shared" si="159"/>
        <v/>
      </c>
      <c r="AM362" s="46" t="str">
        <f t="shared" si="160"/>
        <v/>
      </c>
      <c r="AN362" s="46" t="str">
        <f t="shared" si="161"/>
        <v/>
      </c>
      <c r="AO362" s="46" t="str">
        <f t="shared" si="162"/>
        <v/>
      </c>
      <c r="AP362" s="46" t="str">
        <f t="shared" si="163"/>
        <v/>
      </c>
      <c r="AQ362" s="46" t="str">
        <f t="shared" si="164"/>
        <v/>
      </c>
      <c r="AR362" s="46" t="str">
        <f t="shared" si="165"/>
        <v/>
      </c>
      <c r="AS362" s="46" t="str">
        <f t="shared" si="166"/>
        <v/>
      </c>
      <c r="AT362" s="46" t="str">
        <f t="shared" si="167"/>
        <v/>
      </c>
      <c r="AU362" s="46" t="str">
        <f t="shared" si="168"/>
        <v/>
      </c>
      <c r="AV362" s="46" t="str">
        <f t="shared" si="169"/>
        <v/>
      </c>
      <c r="AW362" s="46" t="str">
        <f t="shared" si="170"/>
        <v/>
      </c>
    </row>
    <row r="363" spans="4:49">
      <c r="D363" s="34"/>
      <c r="E363" s="34"/>
      <c r="F363" s="34"/>
      <c r="G363" s="34"/>
      <c r="H363" s="4"/>
      <c r="I363" s="4"/>
      <c r="J363" s="4"/>
      <c r="K363" s="3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37"/>
      <c r="X363" s="1"/>
      <c r="Y363" s="18">
        <f t="shared" si="146"/>
        <v>0</v>
      </c>
      <c r="Z363" s="21">
        <f t="shared" si="147"/>
        <v>0</v>
      </c>
      <c r="AA363" s="10">
        <f t="shared" si="148"/>
        <v>0</v>
      </c>
      <c r="AB363" s="10">
        <f t="shared" si="149"/>
        <v>0</v>
      </c>
      <c r="AC363" s="10">
        <f t="shared" si="150"/>
        <v>0</v>
      </c>
      <c r="AD363" s="46" t="str">
        <f t="shared" si="151"/>
        <v/>
      </c>
      <c r="AE363" s="46" t="str">
        <f t="shared" si="152"/>
        <v/>
      </c>
      <c r="AF363" s="46" t="str">
        <f t="shared" si="153"/>
        <v/>
      </c>
      <c r="AG363" s="46" t="str">
        <f t="shared" si="154"/>
        <v/>
      </c>
      <c r="AH363" s="46" t="str">
        <f t="shared" si="155"/>
        <v/>
      </c>
      <c r="AI363" s="46" t="str">
        <f t="shared" si="156"/>
        <v/>
      </c>
      <c r="AJ363" s="46" t="str">
        <f t="shared" si="157"/>
        <v/>
      </c>
      <c r="AK363" s="46" t="str">
        <f t="shared" si="158"/>
        <v/>
      </c>
      <c r="AL363" s="46" t="str">
        <f t="shared" si="159"/>
        <v/>
      </c>
      <c r="AM363" s="46" t="str">
        <f t="shared" si="160"/>
        <v/>
      </c>
      <c r="AN363" s="46" t="str">
        <f t="shared" si="161"/>
        <v/>
      </c>
      <c r="AO363" s="46" t="str">
        <f t="shared" si="162"/>
        <v/>
      </c>
      <c r="AP363" s="46" t="str">
        <f t="shared" si="163"/>
        <v/>
      </c>
      <c r="AQ363" s="46" t="str">
        <f t="shared" si="164"/>
        <v/>
      </c>
      <c r="AR363" s="46" t="str">
        <f t="shared" si="165"/>
        <v/>
      </c>
      <c r="AS363" s="46" t="str">
        <f t="shared" si="166"/>
        <v/>
      </c>
      <c r="AT363" s="46" t="str">
        <f t="shared" si="167"/>
        <v/>
      </c>
      <c r="AU363" s="46" t="str">
        <f t="shared" si="168"/>
        <v/>
      </c>
      <c r="AV363" s="46" t="str">
        <f t="shared" si="169"/>
        <v/>
      </c>
      <c r="AW363" s="46" t="str">
        <f t="shared" si="170"/>
        <v/>
      </c>
    </row>
    <row r="364" spans="4:49">
      <c r="D364" s="34"/>
      <c r="E364" s="34"/>
      <c r="F364" s="34"/>
      <c r="G364" s="34"/>
      <c r="H364" s="4"/>
      <c r="I364" s="4"/>
      <c r="J364" s="4"/>
      <c r="K364" s="3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37"/>
      <c r="X364" s="1"/>
      <c r="Y364" s="18">
        <f t="shared" si="146"/>
        <v>0</v>
      </c>
      <c r="Z364" s="21">
        <f t="shared" si="147"/>
        <v>0</v>
      </c>
      <c r="AA364" s="10">
        <f t="shared" si="148"/>
        <v>0</v>
      </c>
      <c r="AB364" s="10">
        <f t="shared" si="149"/>
        <v>0</v>
      </c>
      <c r="AC364" s="10">
        <f t="shared" si="150"/>
        <v>0</v>
      </c>
      <c r="AD364" s="46" t="str">
        <f t="shared" si="151"/>
        <v/>
      </c>
      <c r="AE364" s="46" t="str">
        <f t="shared" si="152"/>
        <v/>
      </c>
      <c r="AF364" s="46" t="str">
        <f t="shared" si="153"/>
        <v/>
      </c>
      <c r="AG364" s="46" t="str">
        <f t="shared" si="154"/>
        <v/>
      </c>
      <c r="AH364" s="46" t="str">
        <f t="shared" si="155"/>
        <v/>
      </c>
      <c r="AI364" s="46" t="str">
        <f t="shared" si="156"/>
        <v/>
      </c>
      <c r="AJ364" s="46" t="str">
        <f t="shared" si="157"/>
        <v/>
      </c>
      <c r="AK364" s="46" t="str">
        <f t="shared" si="158"/>
        <v/>
      </c>
      <c r="AL364" s="46" t="str">
        <f t="shared" si="159"/>
        <v/>
      </c>
      <c r="AM364" s="46" t="str">
        <f t="shared" si="160"/>
        <v/>
      </c>
      <c r="AN364" s="46" t="str">
        <f t="shared" si="161"/>
        <v/>
      </c>
      <c r="AO364" s="46" t="str">
        <f t="shared" si="162"/>
        <v/>
      </c>
      <c r="AP364" s="46" t="str">
        <f t="shared" si="163"/>
        <v/>
      </c>
      <c r="AQ364" s="46" t="str">
        <f t="shared" si="164"/>
        <v/>
      </c>
      <c r="AR364" s="46" t="str">
        <f t="shared" si="165"/>
        <v/>
      </c>
      <c r="AS364" s="46" t="str">
        <f t="shared" si="166"/>
        <v/>
      </c>
      <c r="AT364" s="46" t="str">
        <f t="shared" si="167"/>
        <v/>
      </c>
      <c r="AU364" s="46" t="str">
        <f t="shared" si="168"/>
        <v/>
      </c>
      <c r="AV364" s="46" t="str">
        <f t="shared" si="169"/>
        <v/>
      </c>
      <c r="AW364" s="46" t="str">
        <f t="shared" si="170"/>
        <v/>
      </c>
    </row>
    <row r="365" spans="4:49">
      <c r="D365" s="34"/>
      <c r="E365" s="34"/>
      <c r="F365" s="34"/>
      <c r="G365" s="34"/>
      <c r="H365" s="4"/>
      <c r="I365" s="4"/>
      <c r="J365" s="4"/>
      <c r="K365" s="3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37"/>
      <c r="X365" s="1"/>
      <c r="Y365" s="18">
        <f t="shared" si="146"/>
        <v>0</v>
      </c>
      <c r="Z365" s="21">
        <f t="shared" si="147"/>
        <v>0</v>
      </c>
      <c r="AA365" s="10">
        <f t="shared" si="148"/>
        <v>0</v>
      </c>
      <c r="AB365" s="10">
        <f t="shared" si="149"/>
        <v>0</v>
      </c>
      <c r="AC365" s="10">
        <f t="shared" si="150"/>
        <v>0</v>
      </c>
      <c r="AD365" s="46" t="str">
        <f t="shared" si="151"/>
        <v/>
      </c>
      <c r="AE365" s="46" t="str">
        <f t="shared" si="152"/>
        <v/>
      </c>
      <c r="AF365" s="46" t="str">
        <f t="shared" si="153"/>
        <v/>
      </c>
      <c r="AG365" s="46" t="str">
        <f t="shared" si="154"/>
        <v/>
      </c>
      <c r="AH365" s="46" t="str">
        <f t="shared" si="155"/>
        <v/>
      </c>
      <c r="AI365" s="46" t="str">
        <f t="shared" si="156"/>
        <v/>
      </c>
      <c r="AJ365" s="46" t="str">
        <f t="shared" si="157"/>
        <v/>
      </c>
      <c r="AK365" s="46" t="str">
        <f t="shared" si="158"/>
        <v/>
      </c>
      <c r="AL365" s="46" t="str">
        <f t="shared" si="159"/>
        <v/>
      </c>
      <c r="AM365" s="46" t="str">
        <f t="shared" si="160"/>
        <v/>
      </c>
      <c r="AN365" s="46" t="str">
        <f t="shared" si="161"/>
        <v/>
      </c>
      <c r="AO365" s="46" t="str">
        <f t="shared" si="162"/>
        <v/>
      </c>
      <c r="AP365" s="46" t="str">
        <f t="shared" si="163"/>
        <v/>
      </c>
      <c r="AQ365" s="46" t="str">
        <f t="shared" si="164"/>
        <v/>
      </c>
      <c r="AR365" s="46" t="str">
        <f t="shared" si="165"/>
        <v/>
      </c>
      <c r="AS365" s="46" t="str">
        <f t="shared" si="166"/>
        <v/>
      </c>
      <c r="AT365" s="46" t="str">
        <f t="shared" si="167"/>
        <v/>
      </c>
      <c r="AU365" s="46" t="str">
        <f t="shared" si="168"/>
        <v/>
      </c>
      <c r="AV365" s="46" t="str">
        <f t="shared" si="169"/>
        <v/>
      </c>
      <c r="AW365" s="46" t="str">
        <f t="shared" si="170"/>
        <v/>
      </c>
    </row>
    <row r="366" spans="4:49">
      <c r="D366" s="34"/>
      <c r="E366" s="34"/>
      <c r="F366" s="34"/>
      <c r="G366" s="34"/>
      <c r="H366" s="4"/>
      <c r="I366" s="4"/>
      <c r="J366" s="4"/>
      <c r="K366" s="3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37"/>
      <c r="X366" s="1"/>
      <c r="Y366" s="18">
        <f t="shared" si="146"/>
        <v>0</v>
      </c>
      <c r="Z366" s="21">
        <f t="shared" si="147"/>
        <v>0</v>
      </c>
      <c r="AA366" s="10">
        <f t="shared" si="148"/>
        <v>0</v>
      </c>
      <c r="AB366" s="10">
        <f t="shared" si="149"/>
        <v>0</v>
      </c>
      <c r="AC366" s="10">
        <f t="shared" si="150"/>
        <v>0</v>
      </c>
      <c r="AD366" s="46" t="str">
        <f t="shared" si="151"/>
        <v/>
      </c>
      <c r="AE366" s="46" t="str">
        <f t="shared" si="152"/>
        <v/>
      </c>
      <c r="AF366" s="46" t="str">
        <f t="shared" si="153"/>
        <v/>
      </c>
      <c r="AG366" s="46" t="str">
        <f t="shared" si="154"/>
        <v/>
      </c>
      <c r="AH366" s="46" t="str">
        <f t="shared" si="155"/>
        <v/>
      </c>
      <c r="AI366" s="46" t="str">
        <f t="shared" si="156"/>
        <v/>
      </c>
      <c r="AJ366" s="46" t="str">
        <f t="shared" si="157"/>
        <v/>
      </c>
      <c r="AK366" s="46" t="str">
        <f t="shared" si="158"/>
        <v/>
      </c>
      <c r="AL366" s="46" t="str">
        <f t="shared" si="159"/>
        <v/>
      </c>
      <c r="AM366" s="46" t="str">
        <f t="shared" si="160"/>
        <v/>
      </c>
      <c r="AN366" s="46" t="str">
        <f t="shared" si="161"/>
        <v/>
      </c>
      <c r="AO366" s="46" t="str">
        <f t="shared" si="162"/>
        <v/>
      </c>
      <c r="AP366" s="46" t="str">
        <f t="shared" si="163"/>
        <v/>
      </c>
      <c r="AQ366" s="46" t="str">
        <f t="shared" si="164"/>
        <v/>
      </c>
      <c r="AR366" s="46" t="str">
        <f t="shared" si="165"/>
        <v/>
      </c>
      <c r="AS366" s="46" t="str">
        <f t="shared" si="166"/>
        <v/>
      </c>
      <c r="AT366" s="46" t="str">
        <f t="shared" si="167"/>
        <v/>
      </c>
      <c r="AU366" s="46" t="str">
        <f t="shared" si="168"/>
        <v/>
      </c>
      <c r="AV366" s="46" t="str">
        <f t="shared" si="169"/>
        <v/>
      </c>
      <c r="AW366" s="46" t="str">
        <f t="shared" si="170"/>
        <v/>
      </c>
    </row>
    <row r="367" spans="4:49">
      <c r="D367" s="34"/>
      <c r="E367" s="34"/>
      <c r="F367" s="34"/>
      <c r="G367" s="34"/>
      <c r="H367" s="4"/>
      <c r="I367" s="4"/>
      <c r="J367" s="4"/>
      <c r="K367" s="3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37"/>
      <c r="X367" s="1"/>
      <c r="Y367" s="18">
        <f t="shared" si="146"/>
        <v>0</v>
      </c>
      <c r="Z367" s="21">
        <f t="shared" si="147"/>
        <v>0</v>
      </c>
      <c r="AA367" s="10">
        <f t="shared" si="148"/>
        <v>0</v>
      </c>
      <c r="AB367" s="10">
        <f t="shared" si="149"/>
        <v>0</v>
      </c>
      <c r="AC367" s="10">
        <f t="shared" si="150"/>
        <v>0</v>
      </c>
      <c r="AD367" s="46" t="str">
        <f t="shared" si="151"/>
        <v/>
      </c>
      <c r="AE367" s="46" t="str">
        <f t="shared" si="152"/>
        <v/>
      </c>
      <c r="AF367" s="46" t="str">
        <f t="shared" si="153"/>
        <v/>
      </c>
      <c r="AG367" s="46" t="str">
        <f t="shared" si="154"/>
        <v/>
      </c>
      <c r="AH367" s="46" t="str">
        <f t="shared" si="155"/>
        <v/>
      </c>
      <c r="AI367" s="46" t="str">
        <f t="shared" si="156"/>
        <v/>
      </c>
      <c r="AJ367" s="46" t="str">
        <f t="shared" si="157"/>
        <v/>
      </c>
      <c r="AK367" s="46" t="str">
        <f t="shared" si="158"/>
        <v/>
      </c>
      <c r="AL367" s="46" t="str">
        <f t="shared" si="159"/>
        <v/>
      </c>
      <c r="AM367" s="46" t="str">
        <f t="shared" si="160"/>
        <v/>
      </c>
      <c r="AN367" s="46" t="str">
        <f t="shared" si="161"/>
        <v/>
      </c>
      <c r="AO367" s="46" t="str">
        <f t="shared" si="162"/>
        <v/>
      </c>
      <c r="AP367" s="46" t="str">
        <f t="shared" si="163"/>
        <v/>
      </c>
      <c r="AQ367" s="46" t="str">
        <f t="shared" si="164"/>
        <v/>
      </c>
      <c r="AR367" s="46" t="str">
        <f t="shared" si="165"/>
        <v/>
      </c>
      <c r="AS367" s="46" t="str">
        <f t="shared" si="166"/>
        <v/>
      </c>
      <c r="AT367" s="46" t="str">
        <f t="shared" si="167"/>
        <v/>
      </c>
      <c r="AU367" s="46" t="str">
        <f t="shared" si="168"/>
        <v/>
      </c>
      <c r="AV367" s="46" t="str">
        <f t="shared" si="169"/>
        <v/>
      </c>
      <c r="AW367" s="46" t="str">
        <f t="shared" si="170"/>
        <v/>
      </c>
    </row>
    <row r="368" spans="4:49">
      <c r="D368" s="34"/>
      <c r="E368" s="34"/>
      <c r="F368" s="34"/>
      <c r="G368" s="34"/>
      <c r="H368" s="4"/>
      <c r="I368" s="4"/>
      <c r="J368" s="4"/>
      <c r="K368" s="3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37"/>
      <c r="X368" s="1"/>
      <c r="Y368" s="18">
        <f t="shared" si="146"/>
        <v>0</v>
      </c>
      <c r="Z368" s="21">
        <f t="shared" si="147"/>
        <v>0</v>
      </c>
      <c r="AA368" s="10">
        <f t="shared" si="148"/>
        <v>0</v>
      </c>
      <c r="AB368" s="10">
        <f t="shared" si="149"/>
        <v>0</v>
      </c>
      <c r="AC368" s="10">
        <f t="shared" si="150"/>
        <v>0</v>
      </c>
      <c r="AD368" s="46" t="str">
        <f t="shared" si="151"/>
        <v/>
      </c>
      <c r="AE368" s="46" t="str">
        <f t="shared" si="152"/>
        <v/>
      </c>
      <c r="AF368" s="46" t="str">
        <f t="shared" si="153"/>
        <v/>
      </c>
      <c r="AG368" s="46" t="str">
        <f t="shared" si="154"/>
        <v/>
      </c>
      <c r="AH368" s="46" t="str">
        <f t="shared" si="155"/>
        <v/>
      </c>
      <c r="AI368" s="46" t="str">
        <f t="shared" si="156"/>
        <v/>
      </c>
      <c r="AJ368" s="46" t="str">
        <f t="shared" si="157"/>
        <v/>
      </c>
      <c r="AK368" s="46" t="str">
        <f t="shared" si="158"/>
        <v/>
      </c>
      <c r="AL368" s="46" t="str">
        <f t="shared" si="159"/>
        <v/>
      </c>
      <c r="AM368" s="46" t="str">
        <f t="shared" si="160"/>
        <v/>
      </c>
      <c r="AN368" s="46" t="str">
        <f t="shared" si="161"/>
        <v/>
      </c>
      <c r="AO368" s="46" t="str">
        <f t="shared" si="162"/>
        <v/>
      </c>
      <c r="AP368" s="46" t="str">
        <f t="shared" si="163"/>
        <v/>
      </c>
      <c r="AQ368" s="46" t="str">
        <f t="shared" si="164"/>
        <v/>
      </c>
      <c r="AR368" s="46" t="str">
        <f t="shared" si="165"/>
        <v/>
      </c>
      <c r="AS368" s="46" t="str">
        <f t="shared" si="166"/>
        <v/>
      </c>
      <c r="AT368" s="46" t="str">
        <f t="shared" si="167"/>
        <v/>
      </c>
      <c r="AU368" s="46" t="str">
        <f t="shared" si="168"/>
        <v/>
      </c>
      <c r="AV368" s="46" t="str">
        <f t="shared" si="169"/>
        <v/>
      </c>
      <c r="AW368" s="46" t="str">
        <f t="shared" si="170"/>
        <v/>
      </c>
    </row>
    <row r="369" spans="4:49">
      <c r="D369" s="34"/>
      <c r="E369" s="34"/>
      <c r="F369" s="34"/>
      <c r="G369" s="34"/>
      <c r="H369" s="4"/>
      <c r="I369" s="4"/>
      <c r="J369" s="4"/>
      <c r="K369" s="3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37"/>
      <c r="X369" s="1"/>
      <c r="Y369" s="18">
        <f t="shared" si="146"/>
        <v>0</v>
      </c>
      <c r="Z369" s="21">
        <f t="shared" si="147"/>
        <v>0</v>
      </c>
      <c r="AA369" s="10">
        <f t="shared" si="148"/>
        <v>0</v>
      </c>
      <c r="AB369" s="10">
        <f t="shared" si="149"/>
        <v>0</v>
      </c>
      <c r="AC369" s="10">
        <f t="shared" si="150"/>
        <v>0</v>
      </c>
      <c r="AD369" s="46" t="str">
        <f t="shared" si="151"/>
        <v/>
      </c>
      <c r="AE369" s="46" t="str">
        <f t="shared" si="152"/>
        <v/>
      </c>
      <c r="AF369" s="46" t="str">
        <f t="shared" si="153"/>
        <v/>
      </c>
      <c r="AG369" s="46" t="str">
        <f t="shared" si="154"/>
        <v/>
      </c>
      <c r="AH369" s="46" t="str">
        <f t="shared" si="155"/>
        <v/>
      </c>
      <c r="AI369" s="46" t="str">
        <f t="shared" si="156"/>
        <v/>
      </c>
      <c r="AJ369" s="46" t="str">
        <f t="shared" si="157"/>
        <v/>
      </c>
      <c r="AK369" s="46" t="str">
        <f t="shared" si="158"/>
        <v/>
      </c>
      <c r="AL369" s="46" t="str">
        <f t="shared" si="159"/>
        <v/>
      </c>
      <c r="AM369" s="46" t="str">
        <f t="shared" si="160"/>
        <v/>
      </c>
      <c r="AN369" s="46" t="str">
        <f t="shared" si="161"/>
        <v/>
      </c>
      <c r="AO369" s="46" t="str">
        <f t="shared" si="162"/>
        <v/>
      </c>
      <c r="AP369" s="46" t="str">
        <f t="shared" si="163"/>
        <v/>
      </c>
      <c r="AQ369" s="46" t="str">
        <f t="shared" si="164"/>
        <v/>
      </c>
      <c r="AR369" s="46" t="str">
        <f t="shared" si="165"/>
        <v/>
      </c>
      <c r="AS369" s="46" t="str">
        <f t="shared" si="166"/>
        <v/>
      </c>
      <c r="AT369" s="46" t="str">
        <f t="shared" si="167"/>
        <v/>
      </c>
      <c r="AU369" s="46" t="str">
        <f t="shared" si="168"/>
        <v/>
      </c>
      <c r="AV369" s="46" t="str">
        <f t="shared" si="169"/>
        <v/>
      </c>
      <c r="AW369" s="46" t="str">
        <f t="shared" si="170"/>
        <v/>
      </c>
    </row>
    <row r="370" spans="4:49">
      <c r="D370" s="34"/>
      <c r="E370" s="34"/>
      <c r="F370" s="34"/>
      <c r="G370" s="34"/>
      <c r="H370" s="4"/>
      <c r="I370" s="4"/>
      <c r="J370" s="4"/>
      <c r="K370" s="3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37"/>
      <c r="X370" s="1"/>
      <c r="Y370" s="18">
        <f t="shared" si="146"/>
        <v>0</v>
      </c>
      <c r="Z370" s="21">
        <f t="shared" si="147"/>
        <v>0</v>
      </c>
      <c r="AA370" s="10">
        <f t="shared" si="148"/>
        <v>0</v>
      </c>
      <c r="AB370" s="10">
        <f t="shared" si="149"/>
        <v>0</v>
      </c>
      <c r="AC370" s="10">
        <f t="shared" si="150"/>
        <v>0</v>
      </c>
      <c r="AD370" s="46" t="str">
        <f t="shared" si="151"/>
        <v/>
      </c>
      <c r="AE370" s="46" t="str">
        <f t="shared" si="152"/>
        <v/>
      </c>
      <c r="AF370" s="46" t="str">
        <f t="shared" si="153"/>
        <v/>
      </c>
      <c r="AG370" s="46" t="str">
        <f t="shared" si="154"/>
        <v/>
      </c>
      <c r="AH370" s="46" t="str">
        <f t="shared" si="155"/>
        <v/>
      </c>
      <c r="AI370" s="46" t="str">
        <f t="shared" si="156"/>
        <v/>
      </c>
      <c r="AJ370" s="46" t="str">
        <f t="shared" si="157"/>
        <v/>
      </c>
      <c r="AK370" s="46" t="str">
        <f t="shared" si="158"/>
        <v/>
      </c>
      <c r="AL370" s="46" t="str">
        <f t="shared" si="159"/>
        <v/>
      </c>
      <c r="AM370" s="46" t="str">
        <f t="shared" si="160"/>
        <v/>
      </c>
      <c r="AN370" s="46" t="str">
        <f t="shared" si="161"/>
        <v/>
      </c>
      <c r="AO370" s="46" t="str">
        <f t="shared" si="162"/>
        <v/>
      </c>
      <c r="AP370" s="46" t="str">
        <f t="shared" si="163"/>
        <v/>
      </c>
      <c r="AQ370" s="46" t="str">
        <f t="shared" si="164"/>
        <v/>
      </c>
      <c r="AR370" s="46" t="str">
        <f t="shared" si="165"/>
        <v/>
      </c>
      <c r="AS370" s="46" t="str">
        <f t="shared" si="166"/>
        <v/>
      </c>
      <c r="AT370" s="46" t="str">
        <f t="shared" si="167"/>
        <v/>
      </c>
      <c r="AU370" s="46" t="str">
        <f t="shared" si="168"/>
        <v/>
      </c>
      <c r="AV370" s="46" t="str">
        <f t="shared" si="169"/>
        <v/>
      </c>
      <c r="AW370" s="46" t="str">
        <f t="shared" si="170"/>
        <v/>
      </c>
    </row>
    <row r="371" spans="4:49">
      <c r="D371" s="34"/>
      <c r="E371" s="34"/>
      <c r="F371" s="34"/>
      <c r="G371" s="34"/>
      <c r="H371" s="4"/>
      <c r="I371" s="4"/>
      <c r="J371" s="4"/>
      <c r="K371" s="3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37"/>
      <c r="X371" s="1"/>
      <c r="Y371" s="18">
        <f t="shared" si="146"/>
        <v>0</v>
      </c>
      <c r="Z371" s="21">
        <f t="shared" si="147"/>
        <v>0</v>
      </c>
      <c r="AA371" s="10">
        <f t="shared" si="148"/>
        <v>0</v>
      </c>
      <c r="AB371" s="10">
        <f t="shared" si="149"/>
        <v>0</v>
      </c>
      <c r="AC371" s="10">
        <f t="shared" si="150"/>
        <v>0</v>
      </c>
      <c r="AD371" s="46" t="str">
        <f t="shared" si="151"/>
        <v/>
      </c>
      <c r="AE371" s="46" t="str">
        <f t="shared" si="152"/>
        <v/>
      </c>
      <c r="AF371" s="46" t="str">
        <f t="shared" si="153"/>
        <v/>
      </c>
      <c r="AG371" s="46" t="str">
        <f t="shared" si="154"/>
        <v/>
      </c>
      <c r="AH371" s="46" t="str">
        <f t="shared" si="155"/>
        <v/>
      </c>
      <c r="AI371" s="46" t="str">
        <f t="shared" si="156"/>
        <v/>
      </c>
      <c r="AJ371" s="46" t="str">
        <f t="shared" si="157"/>
        <v/>
      </c>
      <c r="AK371" s="46" t="str">
        <f t="shared" si="158"/>
        <v/>
      </c>
      <c r="AL371" s="46" t="str">
        <f t="shared" si="159"/>
        <v/>
      </c>
      <c r="AM371" s="46" t="str">
        <f t="shared" si="160"/>
        <v/>
      </c>
      <c r="AN371" s="46" t="str">
        <f t="shared" si="161"/>
        <v/>
      </c>
      <c r="AO371" s="46" t="str">
        <f t="shared" si="162"/>
        <v/>
      </c>
      <c r="AP371" s="46" t="str">
        <f t="shared" si="163"/>
        <v/>
      </c>
      <c r="AQ371" s="46" t="str">
        <f t="shared" si="164"/>
        <v/>
      </c>
      <c r="AR371" s="46" t="str">
        <f t="shared" si="165"/>
        <v/>
      </c>
      <c r="AS371" s="46" t="str">
        <f t="shared" si="166"/>
        <v/>
      </c>
      <c r="AT371" s="46" t="str">
        <f t="shared" si="167"/>
        <v/>
      </c>
      <c r="AU371" s="46" t="str">
        <f t="shared" si="168"/>
        <v/>
      </c>
      <c r="AV371" s="46" t="str">
        <f t="shared" si="169"/>
        <v/>
      </c>
      <c r="AW371" s="46" t="str">
        <f t="shared" si="170"/>
        <v/>
      </c>
    </row>
    <row r="372" spans="4:49">
      <c r="D372" s="34"/>
      <c r="E372" s="34"/>
      <c r="F372" s="34"/>
      <c r="G372" s="34"/>
      <c r="H372" s="4"/>
      <c r="I372" s="4"/>
      <c r="J372" s="4"/>
      <c r="K372" s="3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37"/>
      <c r="X372" s="1"/>
      <c r="Y372" s="18">
        <f t="shared" si="146"/>
        <v>0</v>
      </c>
      <c r="Z372" s="21">
        <f t="shared" si="147"/>
        <v>0</v>
      </c>
      <c r="AA372" s="10">
        <f t="shared" si="148"/>
        <v>0</v>
      </c>
      <c r="AB372" s="10">
        <f t="shared" si="149"/>
        <v>0</v>
      </c>
      <c r="AC372" s="10">
        <f t="shared" si="150"/>
        <v>0</v>
      </c>
      <c r="AD372" s="46" t="str">
        <f t="shared" si="151"/>
        <v/>
      </c>
      <c r="AE372" s="46" t="str">
        <f t="shared" si="152"/>
        <v/>
      </c>
      <c r="AF372" s="46" t="str">
        <f t="shared" si="153"/>
        <v/>
      </c>
      <c r="AG372" s="46" t="str">
        <f t="shared" si="154"/>
        <v/>
      </c>
      <c r="AH372" s="46" t="str">
        <f t="shared" si="155"/>
        <v/>
      </c>
      <c r="AI372" s="46" t="str">
        <f t="shared" si="156"/>
        <v/>
      </c>
      <c r="AJ372" s="46" t="str">
        <f t="shared" si="157"/>
        <v/>
      </c>
      <c r="AK372" s="46" t="str">
        <f t="shared" si="158"/>
        <v/>
      </c>
      <c r="AL372" s="46" t="str">
        <f t="shared" si="159"/>
        <v/>
      </c>
      <c r="AM372" s="46" t="str">
        <f t="shared" si="160"/>
        <v/>
      </c>
      <c r="AN372" s="46" t="str">
        <f t="shared" si="161"/>
        <v/>
      </c>
      <c r="AO372" s="46" t="str">
        <f t="shared" si="162"/>
        <v/>
      </c>
      <c r="AP372" s="46" t="str">
        <f t="shared" si="163"/>
        <v/>
      </c>
      <c r="AQ372" s="46" t="str">
        <f t="shared" si="164"/>
        <v/>
      </c>
      <c r="AR372" s="46" t="str">
        <f t="shared" si="165"/>
        <v/>
      </c>
      <c r="AS372" s="46" t="str">
        <f t="shared" si="166"/>
        <v/>
      </c>
      <c r="AT372" s="46" t="str">
        <f t="shared" si="167"/>
        <v/>
      </c>
      <c r="AU372" s="46" t="str">
        <f t="shared" si="168"/>
        <v/>
      </c>
      <c r="AV372" s="46" t="str">
        <f t="shared" si="169"/>
        <v/>
      </c>
      <c r="AW372" s="46" t="str">
        <f t="shared" si="170"/>
        <v/>
      </c>
    </row>
    <row r="373" spans="4:49">
      <c r="D373" s="34"/>
      <c r="E373" s="34"/>
      <c r="F373" s="34"/>
      <c r="G373" s="34"/>
      <c r="H373" s="4"/>
      <c r="I373" s="4"/>
      <c r="J373" s="4"/>
      <c r="K373" s="3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37"/>
      <c r="X373" s="1"/>
      <c r="Y373" s="18">
        <f t="shared" si="146"/>
        <v>0</v>
      </c>
      <c r="Z373" s="21">
        <f t="shared" si="147"/>
        <v>0</v>
      </c>
      <c r="AA373" s="10">
        <f t="shared" si="148"/>
        <v>0</v>
      </c>
      <c r="AB373" s="10">
        <f t="shared" si="149"/>
        <v>0</v>
      </c>
      <c r="AC373" s="10">
        <f t="shared" si="150"/>
        <v>0</v>
      </c>
      <c r="AD373" s="46" t="str">
        <f t="shared" si="151"/>
        <v/>
      </c>
      <c r="AE373" s="46" t="str">
        <f t="shared" si="152"/>
        <v/>
      </c>
      <c r="AF373" s="46" t="str">
        <f t="shared" si="153"/>
        <v/>
      </c>
      <c r="AG373" s="46" t="str">
        <f t="shared" si="154"/>
        <v/>
      </c>
      <c r="AH373" s="46" t="str">
        <f t="shared" si="155"/>
        <v/>
      </c>
      <c r="AI373" s="46" t="str">
        <f t="shared" si="156"/>
        <v/>
      </c>
      <c r="AJ373" s="46" t="str">
        <f t="shared" si="157"/>
        <v/>
      </c>
      <c r="AK373" s="46" t="str">
        <f t="shared" si="158"/>
        <v/>
      </c>
      <c r="AL373" s="46" t="str">
        <f t="shared" si="159"/>
        <v/>
      </c>
      <c r="AM373" s="46" t="str">
        <f t="shared" si="160"/>
        <v/>
      </c>
      <c r="AN373" s="46" t="str">
        <f t="shared" si="161"/>
        <v/>
      </c>
      <c r="AO373" s="46" t="str">
        <f t="shared" si="162"/>
        <v/>
      </c>
      <c r="AP373" s="46" t="str">
        <f t="shared" si="163"/>
        <v/>
      </c>
      <c r="AQ373" s="46" t="str">
        <f t="shared" si="164"/>
        <v/>
      </c>
      <c r="AR373" s="46" t="str">
        <f t="shared" si="165"/>
        <v/>
      </c>
      <c r="AS373" s="46" t="str">
        <f t="shared" si="166"/>
        <v/>
      </c>
      <c r="AT373" s="46" t="str">
        <f t="shared" si="167"/>
        <v/>
      </c>
      <c r="AU373" s="46" t="str">
        <f t="shared" si="168"/>
        <v/>
      </c>
      <c r="AV373" s="46" t="str">
        <f t="shared" si="169"/>
        <v/>
      </c>
      <c r="AW373" s="46" t="str">
        <f t="shared" si="170"/>
        <v/>
      </c>
    </row>
    <row r="374" spans="4:49">
      <c r="D374" s="34"/>
      <c r="E374" s="34"/>
      <c r="F374" s="34"/>
      <c r="G374" s="34"/>
      <c r="H374" s="4"/>
      <c r="I374" s="4"/>
      <c r="J374" s="4"/>
      <c r="K374" s="3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37"/>
      <c r="X374" s="1"/>
      <c r="Y374" s="18">
        <f t="shared" si="146"/>
        <v>0</v>
      </c>
      <c r="Z374" s="21">
        <f t="shared" si="147"/>
        <v>0</v>
      </c>
      <c r="AA374" s="10">
        <f t="shared" si="148"/>
        <v>0</v>
      </c>
      <c r="AB374" s="10">
        <f t="shared" si="149"/>
        <v>0</v>
      </c>
      <c r="AC374" s="10">
        <f t="shared" si="150"/>
        <v>0</v>
      </c>
      <c r="AD374" s="46" t="str">
        <f t="shared" si="151"/>
        <v/>
      </c>
      <c r="AE374" s="46" t="str">
        <f t="shared" si="152"/>
        <v/>
      </c>
      <c r="AF374" s="46" t="str">
        <f t="shared" si="153"/>
        <v/>
      </c>
      <c r="AG374" s="46" t="str">
        <f t="shared" si="154"/>
        <v/>
      </c>
      <c r="AH374" s="46" t="str">
        <f t="shared" si="155"/>
        <v/>
      </c>
      <c r="AI374" s="46" t="str">
        <f t="shared" si="156"/>
        <v/>
      </c>
      <c r="AJ374" s="46" t="str">
        <f t="shared" si="157"/>
        <v/>
      </c>
      <c r="AK374" s="46" t="str">
        <f t="shared" si="158"/>
        <v/>
      </c>
      <c r="AL374" s="46" t="str">
        <f t="shared" si="159"/>
        <v/>
      </c>
      <c r="AM374" s="46" t="str">
        <f t="shared" si="160"/>
        <v/>
      </c>
      <c r="AN374" s="46" t="str">
        <f t="shared" si="161"/>
        <v/>
      </c>
      <c r="AO374" s="46" t="str">
        <f t="shared" si="162"/>
        <v/>
      </c>
      <c r="AP374" s="46" t="str">
        <f t="shared" si="163"/>
        <v/>
      </c>
      <c r="AQ374" s="46" t="str">
        <f t="shared" si="164"/>
        <v/>
      </c>
      <c r="AR374" s="46" t="str">
        <f t="shared" si="165"/>
        <v/>
      </c>
      <c r="AS374" s="46" t="str">
        <f t="shared" si="166"/>
        <v/>
      </c>
      <c r="AT374" s="46" t="str">
        <f t="shared" si="167"/>
        <v/>
      </c>
      <c r="AU374" s="46" t="str">
        <f t="shared" si="168"/>
        <v/>
      </c>
      <c r="AV374" s="46" t="str">
        <f t="shared" si="169"/>
        <v/>
      </c>
      <c r="AW374" s="46" t="str">
        <f t="shared" si="170"/>
        <v/>
      </c>
    </row>
    <row r="375" spans="4:49">
      <c r="D375" s="34"/>
      <c r="E375" s="34"/>
      <c r="F375" s="34"/>
      <c r="G375" s="34"/>
      <c r="H375" s="4"/>
      <c r="I375" s="4"/>
      <c r="J375" s="4"/>
      <c r="K375" s="3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37"/>
      <c r="X375" s="1"/>
      <c r="Y375" s="18">
        <f t="shared" si="146"/>
        <v>0</v>
      </c>
      <c r="Z375" s="21">
        <f t="shared" si="147"/>
        <v>0</v>
      </c>
      <c r="AA375" s="10">
        <f t="shared" si="148"/>
        <v>0</v>
      </c>
      <c r="AB375" s="10">
        <f t="shared" si="149"/>
        <v>0</v>
      </c>
      <c r="AC375" s="10">
        <f t="shared" si="150"/>
        <v>0</v>
      </c>
      <c r="AD375" s="46" t="str">
        <f t="shared" si="151"/>
        <v/>
      </c>
      <c r="AE375" s="46" t="str">
        <f t="shared" si="152"/>
        <v/>
      </c>
      <c r="AF375" s="46" t="str">
        <f t="shared" si="153"/>
        <v/>
      </c>
      <c r="AG375" s="46" t="str">
        <f t="shared" si="154"/>
        <v/>
      </c>
      <c r="AH375" s="46" t="str">
        <f t="shared" si="155"/>
        <v/>
      </c>
      <c r="AI375" s="46" t="str">
        <f t="shared" si="156"/>
        <v/>
      </c>
      <c r="AJ375" s="46" t="str">
        <f t="shared" si="157"/>
        <v/>
      </c>
      <c r="AK375" s="46" t="str">
        <f t="shared" si="158"/>
        <v/>
      </c>
      <c r="AL375" s="46" t="str">
        <f t="shared" si="159"/>
        <v/>
      </c>
      <c r="AM375" s="46" t="str">
        <f t="shared" si="160"/>
        <v/>
      </c>
      <c r="AN375" s="46" t="str">
        <f t="shared" si="161"/>
        <v/>
      </c>
      <c r="AO375" s="46" t="str">
        <f t="shared" si="162"/>
        <v/>
      </c>
      <c r="AP375" s="46" t="str">
        <f t="shared" si="163"/>
        <v/>
      </c>
      <c r="AQ375" s="46" t="str">
        <f t="shared" si="164"/>
        <v/>
      </c>
      <c r="AR375" s="46" t="str">
        <f t="shared" si="165"/>
        <v/>
      </c>
      <c r="AS375" s="46" t="str">
        <f t="shared" si="166"/>
        <v/>
      </c>
      <c r="AT375" s="46" t="str">
        <f t="shared" si="167"/>
        <v/>
      </c>
      <c r="AU375" s="46" t="str">
        <f t="shared" si="168"/>
        <v/>
      </c>
      <c r="AV375" s="46" t="str">
        <f t="shared" si="169"/>
        <v/>
      </c>
      <c r="AW375" s="46" t="str">
        <f t="shared" si="170"/>
        <v/>
      </c>
    </row>
    <row r="376" spans="4:49">
      <c r="D376" s="34"/>
      <c r="E376" s="34"/>
      <c r="F376" s="34"/>
      <c r="G376" s="34"/>
      <c r="H376" s="4"/>
      <c r="I376" s="4"/>
      <c r="J376" s="4"/>
      <c r="K376" s="3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37"/>
      <c r="X376" s="1"/>
      <c r="Y376" s="18">
        <f t="shared" si="146"/>
        <v>0</v>
      </c>
      <c r="Z376" s="21">
        <f t="shared" si="147"/>
        <v>0</v>
      </c>
      <c r="AA376" s="10">
        <f t="shared" si="148"/>
        <v>0</v>
      </c>
      <c r="AB376" s="10">
        <f t="shared" si="149"/>
        <v>0</v>
      </c>
      <c r="AC376" s="10">
        <f t="shared" si="150"/>
        <v>0</v>
      </c>
      <c r="AD376" s="46" t="str">
        <f t="shared" si="151"/>
        <v/>
      </c>
      <c r="AE376" s="46" t="str">
        <f t="shared" si="152"/>
        <v/>
      </c>
      <c r="AF376" s="46" t="str">
        <f t="shared" si="153"/>
        <v/>
      </c>
      <c r="AG376" s="46" t="str">
        <f t="shared" si="154"/>
        <v/>
      </c>
      <c r="AH376" s="46" t="str">
        <f t="shared" si="155"/>
        <v/>
      </c>
      <c r="AI376" s="46" t="str">
        <f t="shared" si="156"/>
        <v/>
      </c>
      <c r="AJ376" s="46" t="str">
        <f t="shared" si="157"/>
        <v/>
      </c>
      <c r="AK376" s="46" t="str">
        <f t="shared" si="158"/>
        <v/>
      </c>
      <c r="AL376" s="46" t="str">
        <f t="shared" si="159"/>
        <v/>
      </c>
      <c r="AM376" s="46" t="str">
        <f t="shared" si="160"/>
        <v/>
      </c>
      <c r="AN376" s="46" t="str">
        <f t="shared" si="161"/>
        <v/>
      </c>
      <c r="AO376" s="46" t="str">
        <f t="shared" si="162"/>
        <v/>
      </c>
      <c r="AP376" s="46" t="str">
        <f t="shared" si="163"/>
        <v/>
      </c>
      <c r="AQ376" s="46" t="str">
        <f t="shared" si="164"/>
        <v/>
      </c>
      <c r="AR376" s="46" t="str">
        <f t="shared" si="165"/>
        <v/>
      </c>
      <c r="AS376" s="46" t="str">
        <f t="shared" si="166"/>
        <v/>
      </c>
      <c r="AT376" s="46" t="str">
        <f t="shared" si="167"/>
        <v/>
      </c>
      <c r="AU376" s="46" t="str">
        <f t="shared" si="168"/>
        <v/>
      </c>
      <c r="AV376" s="46" t="str">
        <f t="shared" si="169"/>
        <v/>
      </c>
      <c r="AW376" s="46" t="str">
        <f t="shared" si="170"/>
        <v/>
      </c>
    </row>
    <row r="377" spans="4:49">
      <c r="D377" s="34"/>
      <c r="E377" s="34"/>
      <c r="F377" s="34"/>
      <c r="G377" s="34"/>
      <c r="H377" s="4"/>
      <c r="I377" s="4"/>
      <c r="J377" s="4"/>
      <c r="K377" s="3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37"/>
      <c r="X377" s="1"/>
      <c r="Y377" s="18">
        <f t="shared" si="146"/>
        <v>0</v>
      </c>
      <c r="Z377" s="21">
        <f t="shared" si="147"/>
        <v>0</v>
      </c>
      <c r="AA377" s="10">
        <f t="shared" si="148"/>
        <v>0</v>
      </c>
      <c r="AB377" s="10">
        <f t="shared" si="149"/>
        <v>0</v>
      </c>
      <c r="AC377" s="10">
        <f t="shared" si="150"/>
        <v>0</v>
      </c>
      <c r="AD377" s="46" t="str">
        <f t="shared" si="151"/>
        <v/>
      </c>
      <c r="AE377" s="46" t="str">
        <f t="shared" si="152"/>
        <v/>
      </c>
      <c r="AF377" s="46" t="str">
        <f t="shared" si="153"/>
        <v/>
      </c>
      <c r="AG377" s="46" t="str">
        <f t="shared" si="154"/>
        <v/>
      </c>
      <c r="AH377" s="46" t="str">
        <f t="shared" si="155"/>
        <v/>
      </c>
      <c r="AI377" s="46" t="str">
        <f t="shared" si="156"/>
        <v/>
      </c>
      <c r="AJ377" s="46" t="str">
        <f t="shared" si="157"/>
        <v/>
      </c>
      <c r="AK377" s="46" t="str">
        <f t="shared" si="158"/>
        <v/>
      </c>
      <c r="AL377" s="46" t="str">
        <f t="shared" si="159"/>
        <v/>
      </c>
      <c r="AM377" s="46" t="str">
        <f t="shared" si="160"/>
        <v/>
      </c>
      <c r="AN377" s="46" t="str">
        <f t="shared" si="161"/>
        <v/>
      </c>
      <c r="AO377" s="46" t="str">
        <f t="shared" si="162"/>
        <v/>
      </c>
      <c r="AP377" s="46" t="str">
        <f t="shared" si="163"/>
        <v/>
      </c>
      <c r="AQ377" s="46" t="str">
        <f t="shared" si="164"/>
        <v/>
      </c>
      <c r="AR377" s="46" t="str">
        <f t="shared" si="165"/>
        <v/>
      </c>
      <c r="AS377" s="46" t="str">
        <f t="shared" si="166"/>
        <v/>
      </c>
      <c r="AT377" s="46" t="str">
        <f t="shared" si="167"/>
        <v/>
      </c>
      <c r="AU377" s="46" t="str">
        <f t="shared" si="168"/>
        <v/>
      </c>
      <c r="AV377" s="46" t="str">
        <f t="shared" si="169"/>
        <v/>
      </c>
      <c r="AW377" s="46" t="str">
        <f t="shared" si="170"/>
        <v/>
      </c>
    </row>
    <row r="378" spans="4:49">
      <c r="D378" s="34"/>
      <c r="E378" s="34"/>
      <c r="F378" s="34"/>
      <c r="G378" s="34"/>
      <c r="H378" s="4"/>
      <c r="I378" s="4"/>
      <c r="J378" s="4"/>
      <c r="K378" s="3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37"/>
      <c r="X378" s="1"/>
      <c r="Y378" s="18">
        <f t="shared" si="146"/>
        <v>0</v>
      </c>
      <c r="Z378" s="21">
        <f t="shared" si="147"/>
        <v>0</v>
      </c>
      <c r="AA378" s="10">
        <f t="shared" si="148"/>
        <v>0</v>
      </c>
      <c r="AB378" s="10">
        <f t="shared" si="149"/>
        <v>0</v>
      </c>
      <c r="AC378" s="10">
        <f t="shared" si="150"/>
        <v>0</v>
      </c>
      <c r="AD378" s="46" t="str">
        <f t="shared" si="151"/>
        <v/>
      </c>
      <c r="AE378" s="46" t="str">
        <f t="shared" si="152"/>
        <v/>
      </c>
      <c r="AF378" s="46" t="str">
        <f t="shared" si="153"/>
        <v/>
      </c>
      <c r="AG378" s="46" t="str">
        <f t="shared" si="154"/>
        <v/>
      </c>
      <c r="AH378" s="46" t="str">
        <f t="shared" si="155"/>
        <v/>
      </c>
      <c r="AI378" s="46" t="str">
        <f t="shared" si="156"/>
        <v/>
      </c>
      <c r="AJ378" s="46" t="str">
        <f t="shared" si="157"/>
        <v/>
      </c>
      <c r="AK378" s="46" t="str">
        <f t="shared" si="158"/>
        <v/>
      </c>
      <c r="AL378" s="46" t="str">
        <f t="shared" si="159"/>
        <v/>
      </c>
      <c r="AM378" s="46" t="str">
        <f t="shared" si="160"/>
        <v/>
      </c>
      <c r="AN378" s="46" t="str">
        <f t="shared" si="161"/>
        <v/>
      </c>
      <c r="AO378" s="46" t="str">
        <f t="shared" si="162"/>
        <v/>
      </c>
      <c r="AP378" s="46" t="str">
        <f t="shared" si="163"/>
        <v/>
      </c>
      <c r="AQ378" s="46" t="str">
        <f t="shared" si="164"/>
        <v/>
      </c>
      <c r="AR378" s="46" t="str">
        <f t="shared" si="165"/>
        <v/>
      </c>
      <c r="AS378" s="46" t="str">
        <f t="shared" si="166"/>
        <v/>
      </c>
      <c r="AT378" s="46" t="str">
        <f t="shared" si="167"/>
        <v/>
      </c>
      <c r="AU378" s="46" t="str">
        <f t="shared" si="168"/>
        <v/>
      </c>
      <c r="AV378" s="46" t="str">
        <f t="shared" si="169"/>
        <v/>
      </c>
      <c r="AW378" s="46" t="str">
        <f t="shared" si="170"/>
        <v/>
      </c>
    </row>
    <row r="379" spans="4:49">
      <c r="D379" s="34"/>
      <c r="E379" s="34"/>
      <c r="F379" s="34"/>
      <c r="G379" s="34"/>
      <c r="H379" s="4"/>
      <c r="I379" s="4"/>
      <c r="J379" s="4"/>
      <c r="K379" s="3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37"/>
      <c r="X379" s="1"/>
      <c r="Y379" s="18">
        <f t="shared" si="146"/>
        <v>0</v>
      </c>
      <c r="Z379" s="21">
        <f t="shared" si="147"/>
        <v>0</v>
      </c>
      <c r="AA379" s="10">
        <f t="shared" si="148"/>
        <v>0</v>
      </c>
      <c r="AB379" s="10">
        <f t="shared" si="149"/>
        <v>0</v>
      </c>
      <c r="AC379" s="10">
        <f t="shared" si="150"/>
        <v>0</v>
      </c>
      <c r="AD379" s="46" t="str">
        <f t="shared" si="151"/>
        <v/>
      </c>
      <c r="AE379" s="46" t="str">
        <f t="shared" si="152"/>
        <v/>
      </c>
      <c r="AF379" s="46" t="str">
        <f t="shared" si="153"/>
        <v/>
      </c>
      <c r="AG379" s="46" t="str">
        <f t="shared" si="154"/>
        <v/>
      </c>
      <c r="AH379" s="46" t="str">
        <f t="shared" si="155"/>
        <v/>
      </c>
      <c r="AI379" s="46" t="str">
        <f t="shared" si="156"/>
        <v/>
      </c>
      <c r="AJ379" s="46" t="str">
        <f t="shared" si="157"/>
        <v/>
      </c>
      <c r="AK379" s="46" t="str">
        <f t="shared" si="158"/>
        <v/>
      </c>
      <c r="AL379" s="46" t="str">
        <f t="shared" si="159"/>
        <v/>
      </c>
      <c r="AM379" s="46" t="str">
        <f t="shared" si="160"/>
        <v/>
      </c>
      <c r="AN379" s="46" t="str">
        <f t="shared" si="161"/>
        <v/>
      </c>
      <c r="AO379" s="46" t="str">
        <f t="shared" si="162"/>
        <v/>
      </c>
      <c r="AP379" s="46" t="str">
        <f t="shared" si="163"/>
        <v/>
      </c>
      <c r="AQ379" s="46" t="str">
        <f t="shared" si="164"/>
        <v/>
      </c>
      <c r="AR379" s="46" t="str">
        <f t="shared" si="165"/>
        <v/>
      </c>
      <c r="AS379" s="46" t="str">
        <f t="shared" si="166"/>
        <v/>
      </c>
      <c r="AT379" s="46" t="str">
        <f t="shared" si="167"/>
        <v/>
      </c>
      <c r="AU379" s="46" t="str">
        <f t="shared" si="168"/>
        <v/>
      </c>
      <c r="AV379" s="46" t="str">
        <f t="shared" si="169"/>
        <v/>
      </c>
      <c r="AW379" s="46" t="str">
        <f t="shared" si="170"/>
        <v/>
      </c>
    </row>
    <row r="380" spans="4:49">
      <c r="D380" s="34"/>
      <c r="E380" s="34"/>
      <c r="F380" s="34"/>
      <c r="G380" s="34"/>
      <c r="H380" s="4"/>
      <c r="I380" s="4"/>
      <c r="J380" s="4"/>
      <c r="K380" s="3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37"/>
      <c r="X380" s="1"/>
      <c r="Y380" s="18">
        <f t="shared" si="146"/>
        <v>0</v>
      </c>
      <c r="Z380" s="21">
        <f t="shared" si="147"/>
        <v>0</v>
      </c>
      <c r="AA380" s="10">
        <f t="shared" si="148"/>
        <v>0</v>
      </c>
      <c r="AB380" s="10">
        <f t="shared" si="149"/>
        <v>0</v>
      </c>
      <c r="AC380" s="10">
        <f t="shared" si="150"/>
        <v>0</v>
      </c>
      <c r="AD380" s="46" t="str">
        <f t="shared" si="151"/>
        <v/>
      </c>
      <c r="AE380" s="46" t="str">
        <f t="shared" si="152"/>
        <v/>
      </c>
      <c r="AF380" s="46" t="str">
        <f t="shared" si="153"/>
        <v/>
      </c>
      <c r="AG380" s="46" t="str">
        <f t="shared" si="154"/>
        <v/>
      </c>
      <c r="AH380" s="46" t="str">
        <f t="shared" si="155"/>
        <v/>
      </c>
      <c r="AI380" s="46" t="str">
        <f t="shared" si="156"/>
        <v/>
      </c>
      <c r="AJ380" s="46" t="str">
        <f t="shared" si="157"/>
        <v/>
      </c>
      <c r="AK380" s="46" t="str">
        <f t="shared" si="158"/>
        <v/>
      </c>
      <c r="AL380" s="46" t="str">
        <f t="shared" si="159"/>
        <v/>
      </c>
      <c r="AM380" s="46" t="str">
        <f t="shared" si="160"/>
        <v/>
      </c>
      <c r="AN380" s="46" t="str">
        <f t="shared" si="161"/>
        <v/>
      </c>
      <c r="AO380" s="46" t="str">
        <f t="shared" si="162"/>
        <v/>
      </c>
      <c r="AP380" s="46" t="str">
        <f t="shared" si="163"/>
        <v/>
      </c>
      <c r="AQ380" s="46" t="str">
        <f t="shared" si="164"/>
        <v/>
      </c>
      <c r="AR380" s="46" t="str">
        <f t="shared" si="165"/>
        <v/>
      </c>
      <c r="AS380" s="46" t="str">
        <f t="shared" si="166"/>
        <v/>
      </c>
      <c r="AT380" s="46" t="str">
        <f t="shared" si="167"/>
        <v/>
      </c>
      <c r="AU380" s="46" t="str">
        <f t="shared" si="168"/>
        <v/>
      </c>
      <c r="AV380" s="46" t="str">
        <f t="shared" si="169"/>
        <v/>
      </c>
      <c r="AW380" s="46" t="str">
        <f t="shared" si="170"/>
        <v/>
      </c>
    </row>
    <row r="381" spans="4:49">
      <c r="D381" s="34"/>
      <c r="E381" s="34"/>
      <c r="F381" s="34"/>
      <c r="G381" s="34"/>
      <c r="H381" s="4"/>
      <c r="I381" s="4"/>
      <c r="J381" s="4"/>
      <c r="K381" s="3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37"/>
      <c r="X381" s="1"/>
      <c r="Y381" s="18">
        <f t="shared" si="146"/>
        <v>0</v>
      </c>
      <c r="Z381" s="21">
        <f t="shared" si="147"/>
        <v>0</v>
      </c>
      <c r="AA381" s="10">
        <f t="shared" si="148"/>
        <v>0</v>
      </c>
      <c r="AB381" s="10">
        <f t="shared" si="149"/>
        <v>0</v>
      </c>
      <c r="AC381" s="10">
        <f t="shared" si="150"/>
        <v>0</v>
      </c>
      <c r="AD381" s="46" t="str">
        <f t="shared" si="151"/>
        <v/>
      </c>
      <c r="AE381" s="46" t="str">
        <f t="shared" si="152"/>
        <v/>
      </c>
      <c r="AF381" s="46" t="str">
        <f t="shared" si="153"/>
        <v/>
      </c>
      <c r="AG381" s="46" t="str">
        <f t="shared" si="154"/>
        <v/>
      </c>
      <c r="AH381" s="46" t="str">
        <f t="shared" si="155"/>
        <v/>
      </c>
      <c r="AI381" s="46" t="str">
        <f t="shared" si="156"/>
        <v/>
      </c>
      <c r="AJ381" s="46" t="str">
        <f t="shared" si="157"/>
        <v/>
      </c>
      <c r="AK381" s="46" t="str">
        <f t="shared" si="158"/>
        <v/>
      </c>
      <c r="AL381" s="46" t="str">
        <f t="shared" si="159"/>
        <v/>
      </c>
      <c r="AM381" s="46" t="str">
        <f t="shared" si="160"/>
        <v/>
      </c>
      <c r="AN381" s="46" t="str">
        <f t="shared" si="161"/>
        <v/>
      </c>
      <c r="AO381" s="46" t="str">
        <f t="shared" si="162"/>
        <v/>
      </c>
      <c r="AP381" s="46" t="str">
        <f t="shared" si="163"/>
        <v/>
      </c>
      <c r="AQ381" s="46" t="str">
        <f t="shared" si="164"/>
        <v/>
      </c>
      <c r="AR381" s="46" t="str">
        <f t="shared" si="165"/>
        <v/>
      </c>
      <c r="AS381" s="46" t="str">
        <f t="shared" si="166"/>
        <v/>
      </c>
      <c r="AT381" s="46" t="str">
        <f t="shared" si="167"/>
        <v/>
      </c>
      <c r="AU381" s="46" t="str">
        <f t="shared" si="168"/>
        <v/>
      </c>
      <c r="AV381" s="46" t="str">
        <f t="shared" si="169"/>
        <v/>
      </c>
      <c r="AW381" s="46" t="str">
        <f t="shared" si="170"/>
        <v/>
      </c>
    </row>
    <row r="382" spans="4:49">
      <c r="D382" s="34"/>
      <c r="E382" s="34"/>
      <c r="F382" s="34"/>
      <c r="G382" s="34"/>
      <c r="H382" s="4"/>
      <c r="I382" s="4"/>
      <c r="J382" s="4"/>
      <c r="K382" s="3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37"/>
      <c r="X382" s="1"/>
      <c r="Y382" s="18">
        <f t="shared" si="146"/>
        <v>0</v>
      </c>
      <c r="Z382" s="21">
        <f t="shared" si="147"/>
        <v>0</v>
      </c>
      <c r="AA382" s="10">
        <f t="shared" si="148"/>
        <v>0</v>
      </c>
      <c r="AB382" s="10">
        <f t="shared" si="149"/>
        <v>0</v>
      </c>
      <c r="AC382" s="10">
        <f t="shared" si="150"/>
        <v>0</v>
      </c>
      <c r="AD382" s="46" t="str">
        <f t="shared" si="151"/>
        <v/>
      </c>
      <c r="AE382" s="46" t="str">
        <f t="shared" si="152"/>
        <v/>
      </c>
      <c r="AF382" s="46" t="str">
        <f t="shared" si="153"/>
        <v/>
      </c>
      <c r="AG382" s="46" t="str">
        <f t="shared" si="154"/>
        <v/>
      </c>
      <c r="AH382" s="46" t="str">
        <f t="shared" si="155"/>
        <v/>
      </c>
      <c r="AI382" s="46" t="str">
        <f t="shared" si="156"/>
        <v/>
      </c>
      <c r="AJ382" s="46" t="str">
        <f t="shared" si="157"/>
        <v/>
      </c>
      <c r="AK382" s="46" t="str">
        <f t="shared" si="158"/>
        <v/>
      </c>
      <c r="AL382" s="46" t="str">
        <f t="shared" si="159"/>
        <v/>
      </c>
      <c r="AM382" s="46" t="str">
        <f t="shared" si="160"/>
        <v/>
      </c>
      <c r="AN382" s="46" t="str">
        <f t="shared" si="161"/>
        <v/>
      </c>
      <c r="AO382" s="46" t="str">
        <f t="shared" si="162"/>
        <v/>
      </c>
      <c r="AP382" s="46" t="str">
        <f t="shared" si="163"/>
        <v/>
      </c>
      <c r="AQ382" s="46" t="str">
        <f t="shared" si="164"/>
        <v/>
      </c>
      <c r="AR382" s="46" t="str">
        <f t="shared" si="165"/>
        <v/>
      </c>
      <c r="AS382" s="46" t="str">
        <f t="shared" si="166"/>
        <v/>
      </c>
      <c r="AT382" s="46" t="str">
        <f t="shared" si="167"/>
        <v/>
      </c>
      <c r="AU382" s="46" t="str">
        <f t="shared" si="168"/>
        <v/>
      </c>
      <c r="AV382" s="46" t="str">
        <f t="shared" si="169"/>
        <v/>
      </c>
      <c r="AW382" s="46" t="str">
        <f t="shared" si="170"/>
        <v/>
      </c>
    </row>
    <row r="383" spans="4:49">
      <c r="D383" s="34"/>
      <c r="E383" s="34"/>
      <c r="F383" s="34"/>
      <c r="G383" s="34"/>
      <c r="H383" s="4"/>
      <c r="I383" s="4"/>
      <c r="J383" s="4"/>
      <c r="K383" s="3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37"/>
      <c r="X383" s="1"/>
      <c r="Y383" s="18">
        <f t="shared" si="146"/>
        <v>0</v>
      </c>
      <c r="Z383" s="21">
        <f t="shared" si="147"/>
        <v>0</v>
      </c>
      <c r="AA383" s="10">
        <f t="shared" si="148"/>
        <v>0</v>
      </c>
      <c r="AB383" s="10">
        <f t="shared" si="149"/>
        <v>0</v>
      </c>
      <c r="AC383" s="10">
        <f t="shared" si="150"/>
        <v>0</v>
      </c>
      <c r="AD383" s="46" t="str">
        <f t="shared" si="151"/>
        <v/>
      </c>
      <c r="AE383" s="46" t="str">
        <f t="shared" si="152"/>
        <v/>
      </c>
      <c r="AF383" s="46" t="str">
        <f t="shared" si="153"/>
        <v/>
      </c>
      <c r="AG383" s="46" t="str">
        <f t="shared" si="154"/>
        <v/>
      </c>
      <c r="AH383" s="46" t="str">
        <f t="shared" si="155"/>
        <v/>
      </c>
      <c r="AI383" s="46" t="str">
        <f t="shared" si="156"/>
        <v/>
      </c>
      <c r="AJ383" s="46" t="str">
        <f t="shared" si="157"/>
        <v/>
      </c>
      <c r="AK383" s="46" t="str">
        <f t="shared" si="158"/>
        <v/>
      </c>
      <c r="AL383" s="46" t="str">
        <f t="shared" si="159"/>
        <v/>
      </c>
      <c r="AM383" s="46" t="str">
        <f t="shared" si="160"/>
        <v/>
      </c>
      <c r="AN383" s="46" t="str">
        <f t="shared" si="161"/>
        <v/>
      </c>
      <c r="AO383" s="46" t="str">
        <f t="shared" si="162"/>
        <v/>
      </c>
      <c r="AP383" s="46" t="str">
        <f t="shared" si="163"/>
        <v/>
      </c>
      <c r="AQ383" s="46" t="str">
        <f t="shared" si="164"/>
        <v/>
      </c>
      <c r="AR383" s="46" t="str">
        <f t="shared" si="165"/>
        <v/>
      </c>
      <c r="AS383" s="46" t="str">
        <f t="shared" si="166"/>
        <v/>
      </c>
      <c r="AT383" s="46" t="str">
        <f t="shared" si="167"/>
        <v/>
      </c>
      <c r="AU383" s="46" t="str">
        <f t="shared" si="168"/>
        <v/>
      </c>
      <c r="AV383" s="46" t="str">
        <f t="shared" si="169"/>
        <v/>
      </c>
      <c r="AW383" s="46" t="str">
        <f t="shared" si="170"/>
        <v/>
      </c>
    </row>
    <row r="384" spans="4:49">
      <c r="D384" s="34"/>
      <c r="E384" s="34"/>
      <c r="F384" s="34"/>
      <c r="G384" s="34"/>
      <c r="H384" s="4"/>
      <c r="I384" s="4"/>
      <c r="J384" s="4"/>
      <c r="K384" s="3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37"/>
      <c r="X384" s="1"/>
      <c r="Y384" s="18">
        <f t="shared" si="146"/>
        <v>0</v>
      </c>
      <c r="Z384" s="21">
        <f t="shared" si="147"/>
        <v>0</v>
      </c>
      <c r="AA384" s="10">
        <f t="shared" si="148"/>
        <v>0</v>
      </c>
      <c r="AB384" s="10">
        <f t="shared" si="149"/>
        <v>0</v>
      </c>
      <c r="AC384" s="10">
        <f t="shared" si="150"/>
        <v>0</v>
      </c>
      <c r="AD384" s="46" t="str">
        <f t="shared" si="151"/>
        <v/>
      </c>
      <c r="AE384" s="46" t="str">
        <f t="shared" si="152"/>
        <v/>
      </c>
      <c r="AF384" s="46" t="str">
        <f t="shared" si="153"/>
        <v/>
      </c>
      <c r="AG384" s="46" t="str">
        <f t="shared" si="154"/>
        <v/>
      </c>
      <c r="AH384" s="46" t="str">
        <f t="shared" si="155"/>
        <v/>
      </c>
      <c r="AI384" s="46" t="str">
        <f t="shared" si="156"/>
        <v/>
      </c>
      <c r="AJ384" s="46" t="str">
        <f t="shared" si="157"/>
        <v/>
      </c>
      <c r="AK384" s="46" t="str">
        <f t="shared" si="158"/>
        <v/>
      </c>
      <c r="AL384" s="46" t="str">
        <f t="shared" si="159"/>
        <v/>
      </c>
      <c r="AM384" s="46" t="str">
        <f t="shared" si="160"/>
        <v/>
      </c>
      <c r="AN384" s="46" t="str">
        <f t="shared" si="161"/>
        <v/>
      </c>
      <c r="AO384" s="46" t="str">
        <f t="shared" si="162"/>
        <v/>
      </c>
      <c r="AP384" s="46" t="str">
        <f t="shared" si="163"/>
        <v/>
      </c>
      <c r="AQ384" s="46" t="str">
        <f t="shared" si="164"/>
        <v/>
      </c>
      <c r="AR384" s="46" t="str">
        <f t="shared" si="165"/>
        <v/>
      </c>
      <c r="AS384" s="46" t="str">
        <f t="shared" si="166"/>
        <v/>
      </c>
      <c r="AT384" s="46" t="str">
        <f t="shared" si="167"/>
        <v/>
      </c>
      <c r="AU384" s="46" t="str">
        <f t="shared" si="168"/>
        <v/>
      </c>
      <c r="AV384" s="46" t="str">
        <f t="shared" si="169"/>
        <v/>
      </c>
      <c r="AW384" s="46" t="str">
        <f t="shared" si="170"/>
        <v/>
      </c>
    </row>
    <row r="385" spans="4:49">
      <c r="D385" s="34"/>
      <c r="E385" s="34"/>
      <c r="F385" s="34"/>
      <c r="G385" s="34"/>
      <c r="H385" s="4"/>
      <c r="I385" s="4"/>
      <c r="J385" s="4"/>
      <c r="K385" s="3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37"/>
      <c r="X385" s="1"/>
      <c r="Y385" s="18">
        <f t="shared" si="146"/>
        <v>0</v>
      </c>
      <c r="Z385" s="21">
        <f t="shared" si="147"/>
        <v>0</v>
      </c>
      <c r="AA385" s="10">
        <f t="shared" si="148"/>
        <v>0</v>
      </c>
      <c r="AB385" s="10">
        <f t="shared" si="149"/>
        <v>0</v>
      </c>
      <c r="AC385" s="10">
        <f t="shared" si="150"/>
        <v>0</v>
      </c>
      <c r="AD385" s="46" t="str">
        <f t="shared" si="151"/>
        <v/>
      </c>
      <c r="AE385" s="46" t="str">
        <f t="shared" si="152"/>
        <v/>
      </c>
      <c r="AF385" s="46" t="str">
        <f t="shared" si="153"/>
        <v/>
      </c>
      <c r="AG385" s="46" t="str">
        <f t="shared" si="154"/>
        <v/>
      </c>
      <c r="AH385" s="46" t="str">
        <f t="shared" si="155"/>
        <v/>
      </c>
      <c r="AI385" s="46" t="str">
        <f t="shared" si="156"/>
        <v/>
      </c>
      <c r="AJ385" s="46" t="str">
        <f t="shared" si="157"/>
        <v/>
      </c>
      <c r="AK385" s="46" t="str">
        <f t="shared" si="158"/>
        <v/>
      </c>
      <c r="AL385" s="46" t="str">
        <f t="shared" si="159"/>
        <v/>
      </c>
      <c r="AM385" s="46" t="str">
        <f t="shared" si="160"/>
        <v/>
      </c>
      <c r="AN385" s="46" t="str">
        <f t="shared" si="161"/>
        <v/>
      </c>
      <c r="AO385" s="46" t="str">
        <f t="shared" si="162"/>
        <v/>
      </c>
      <c r="AP385" s="46" t="str">
        <f t="shared" si="163"/>
        <v/>
      </c>
      <c r="AQ385" s="46" t="str">
        <f t="shared" si="164"/>
        <v/>
      </c>
      <c r="AR385" s="46" t="str">
        <f t="shared" si="165"/>
        <v/>
      </c>
      <c r="AS385" s="46" t="str">
        <f t="shared" si="166"/>
        <v/>
      </c>
      <c r="AT385" s="46" t="str">
        <f t="shared" si="167"/>
        <v/>
      </c>
      <c r="AU385" s="46" t="str">
        <f t="shared" si="168"/>
        <v/>
      </c>
      <c r="AV385" s="46" t="str">
        <f t="shared" si="169"/>
        <v/>
      </c>
      <c r="AW385" s="46" t="str">
        <f t="shared" si="170"/>
        <v/>
      </c>
    </row>
    <row r="386" spans="4:49">
      <c r="D386" s="34"/>
      <c r="E386" s="34"/>
      <c r="F386" s="34"/>
      <c r="G386" s="34"/>
      <c r="H386" s="4"/>
      <c r="I386" s="4"/>
      <c r="J386" s="4"/>
      <c r="K386" s="3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37"/>
      <c r="X386" s="1"/>
      <c r="Y386" s="18">
        <f t="shared" si="146"/>
        <v>0</v>
      </c>
      <c r="Z386" s="21">
        <f t="shared" si="147"/>
        <v>0</v>
      </c>
      <c r="AA386" s="10">
        <f t="shared" si="148"/>
        <v>0</v>
      </c>
      <c r="AB386" s="10">
        <f t="shared" si="149"/>
        <v>0</v>
      </c>
      <c r="AC386" s="10">
        <f t="shared" si="150"/>
        <v>0</v>
      </c>
      <c r="AD386" s="46" t="str">
        <f t="shared" si="151"/>
        <v/>
      </c>
      <c r="AE386" s="46" t="str">
        <f t="shared" si="152"/>
        <v/>
      </c>
      <c r="AF386" s="46" t="str">
        <f t="shared" si="153"/>
        <v/>
      </c>
      <c r="AG386" s="46" t="str">
        <f t="shared" si="154"/>
        <v/>
      </c>
      <c r="AH386" s="46" t="str">
        <f t="shared" si="155"/>
        <v/>
      </c>
      <c r="AI386" s="46" t="str">
        <f t="shared" si="156"/>
        <v/>
      </c>
      <c r="AJ386" s="46" t="str">
        <f t="shared" si="157"/>
        <v/>
      </c>
      <c r="AK386" s="46" t="str">
        <f t="shared" si="158"/>
        <v/>
      </c>
      <c r="AL386" s="46" t="str">
        <f t="shared" si="159"/>
        <v/>
      </c>
      <c r="AM386" s="46" t="str">
        <f t="shared" si="160"/>
        <v/>
      </c>
      <c r="AN386" s="46" t="str">
        <f t="shared" si="161"/>
        <v/>
      </c>
      <c r="AO386" s="46" t="str">
        <f t="shared" si="162"/>
        <v/>
      </c>
      <c r="AP386" s="46" t="str">
        <f t="shared" si="163"/>
        <v/>
      </c>
      <c r="AQ386" s="46" t="str">
        <f t="shared" si="164"/>
        <v/>
      </c>
      <c r="AR386" s="46" t="str">
        <f t="shared" si="165"/>
        <v/>
      </c>
      <c r="AS386" s="46" t="str">
        <f t="shared" si="166"/>
        <v/>
      </c>
      <c r="AT386" s="46" t="str">
        <f t="shared" si="167"/>
        <v/>
      </c>
      <c r="AU386" s="46" t="str">
        <f t="shared" si="168"/>
        <v/>
      </c>
      <c r="AV386" s="46" t="str">
        <f t="shared" si="169"/>
        <v/>
      </c>
      <c r="AW386" s="46" t="str">
        <f t="shared" si="170"/>
        <v/>
      </c>
    </row>
    <row r="387" spans="4:49">
      <c r="D387" s="34"/>
      <c r="E387" s="34"/>
      <c r="F387" s="34"/>
      <c r="G387" s="34"/>
      <c r="H387" s="4"/>
      <c r="I387" s="4"/>
      <c r="J387" s="4"/>
      <c r="K387" s="3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37"/>
      <c r="X387" s="1"/>
      <c r="Y387" s="18">
        <f t="shared" si="146"/>
        <v>0</v>
      </c>
      <c r="Z387" s="21">
        <f t="shared" si="147"/>
        <v>0</v>
      </c>
      <c r="AA387" s="10">
        <f t="shared" si="148"/>
        <v>0</v>
      </c>
      <c r="AB387" s="10">
        <f t="shared" si="149"/>
        <v>0</v>
      </c>
      <c r="AC387" s="10">
        <f t="shared" si="150"/>
        <v>0</v>
      </c>
      <c r="AD387" s="46" t="str">
        <f t="shared" si="151"/>
        <v/>
      </c>
      <c r="AE387" s="46" t="str">
        <f t="shared" si="152"/>
        <v/>
      </c>
      <c r="AF387" s="46" t="str">
        <f t="shared" si="153"/>
        <v/>
      </c>
      <c r="AG387" s="46" t="str">
        <f t="shared" si="154"/>
        <v/>
      </c>
      <c r="AH387" s="46" t="str">
        <f t="shared" si="155"/>
        <v/>
      </c>
      <c r="AI387" s="46" t="str">
        <f t="shared" si="156"/>
        <v/>
      </c>
      <c r="AJ387" s="46" t="str">
        <f t="shared" si="157"/>
        <v/>
      </c>
      <c r="AK387" s="46" t="str">
        <f t="shared" si="158"/>
        <v/>
      </c>
      <c r="AL387" s="46" t="str">
        <f t="shared" si="159"/>
        <v/>
      </c>
      <c r="AM387" s="46" t="str">
        <f t="shared" si="160"/>
        <v/>
      </c>
      <c r="AN387" s="46" t="str">
        <f t="shared" si="161"/>
        <v/>
      </c>
      <c r="AO387" s="46" t="str">
        <f t="shared" si="162"/>
        <v/>
      </c>
      <c r="AP387" s="46" t="str">
        <f t="shared" si="163"/>
        <v/>
      </c>
      <c r="AQ387" s="46" t="str">
        <f t="shared" si="164"/>
        <v/>
      </c>
      <c r="AR387" s="46" t="str">
        <f t="shared" si="165"/>
        <v/>
      </c>
      <c r="AS387" s="46" t="str">
        <f t="shared" si="166"/>
        <v/>
      </c>
      <c r="AT387" s="46" t="str">
        <f t="shared" si="167"/>
        <v/>
      </c>
      <c r="AU387" s="46" t="str">
        <f t="shared" si="168"/>
        <v/>
      </c>
      <c r="AV387" s="46" t="str">
        <f t="shared" si="169"/>
        <v/>
      </c>
      <c r="AW387" s="46" t="str">
        <f t="shared" si="170"/>
        <v/>
      </c>
    </row>
    <row r="388" spans="4:49">
      <c r="D388" s="34"/>
      <c r="E388" s="34"/>
      <c r="F388" s="34"/>
      <c r="G388" s="34"/>
      <c r="H388" s="4"/>
      <c r="I388" s="4"/>
      <c r="J388" s="4"/>
      <c r="K388" s="3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37"/>
      <c r="X388" s="1"/>
      <c r="Y388" s="18">
        <f t="shared" ref="Y388:Y451" si="171">COUNTA(D388:V388)-X388</f>
        <v>0</v>
      </c>
      <c r="Z388" s="21">
        <f t="shared" ref="Z388:Z451" si="172">IF(W388&lt;&gt;"",0.0001,IF(X388+Y388=0,0,IF(X388=0,70+(Y388*50),IF(X388&gt;0,80+(Y388*50)))))</f>
        <v>0</v>
      </c>
      <c r="AA388" s="10">
        <f t="shared" ref="AA388:AA451" si="173">COUNTA(K388:V388)</f>
        <v>0</v>
      </c>
      <c r="AB388" s="10">
        <f t="shared" ref="AB388:AB451" si="174">COUNTA(K388:P388)</f>
        <v>0</v>
      </c>
      <c r="AC388" s="10">
        <f t="shared" ref="AC388:AC451" si="175">COUNTA(Q388:U388)</f>
        <v>0</v>
      </c>
      <c r="AD388" s="46" t="str">
        <f t="shared" ref="AD388:AD451" si="176">IF(AND(B388="Feminino",C388&gt;=$AY$2,C388&lt;=$AZ$2),$AY$3,IF(AND(B388="Masculino",C388&gt;=$AY$2,C388&lt;=$AZ$2),$AZ$3,IF(AND(B388="Feminino",C388&gt;=$BA$2,C388&lt;=$BB$2),$BA$3,IF(AND(B388="Masculino",C388&gt;=$BA$2,C388&lt;=$BB$2),$BB$3,IF(AND(B388="Feminino",C388&gt;=$BC$2,C388&lt;=$BD$2),$BC$3,IF(AND(B388="Masculino",C388&gt;=$BC$2,C388&lt;=$BD$2),$BD$3,""))))))</f>
        <v/>
      </c>
      <c r="AE388" s="46" t="str">
        <f t="shared" ref="AE388:AE451" si="177">IF(AND(B388="Feminino",C388&gt;=$BA$2,C388&lt;=$BB$2),$BE$3,IF(AND(B388="Masculino",C388&gt;=$BA$2,C388&lt;=$BB$2),$BF$3,IF(AND(B388="Feminino",C388&lt;=$BD$2),$BG$3,IF(AND(B388="Masculino",C388&lt;=$BD$2),$BH$3,""))))</f>
        <v/>
      </c>
      <c r="AF388" s="46" t="str">
        <f t="shared" ref="AF388:AF451" si="178">IF(AND(B388="Feminino",C388&gt;=$BI$2,C388&lt;=$BJ$2),$BI$3,IF(AND(B388="Masculino",C388&gt;=$BI$2,C388&lt;=$BJ$2),$BJ$3,""))</f>
        <v/>
      </c>
      <c r="AG388" s="46" t="str">
        <f t="shared" ref="AG388:AG451" si="179">IF(C388="","",IF(C388&gt;=$BK$2,$BK$3,IF(AND(C388&gt;=$BL$1,C388&lt;=$BL$2),$BL$3,IF(AND(C388&gt;=$BM$1,C388&lt;=$BM$2),$BM$3,IF(AND(C388&gt;=$BN$1,C388&lt;=$BN$2),$BN$3,IF(AND(C388&gt;=$BO$1,C388&lt;=$BO$2),$BO$3,IF(C388&lt;=$BP$2,$BP$3,"")))))))</f>
        <v/>
      </c>
      <c r="AH388" s="46" t="str">
        <f t="shared" ref="AH388:AH451" si="180">IF(C388="","",IF(C388&gt;=$BK$2,$BQ$3,IF(AND(C388&gt;=$BL$1,C388&lt;=$BL$2),$BR$3,IF(AND(C388&gt;=$BM$1,C388&lt;=$BM$2),$BS$3,IF(AND(C388&gt;=$BN$1,C388&lt;=$BN$2),$BT$3,IF(AND(C388&gt;=$BO$1,C388&lt;=$BO$2),$BU$3,IF(C388&lt;=$BP$2,$BV$3,"")))))))</f>
        <v/>
      </c>
      <c r="AI388" s="46" t="str">
        <f t="shared" ref="AI388:AI451" si="181">IF(C388="","",IF(C388&gt;=$BK$2,$BW$3,IF(AND(C388&gt;=$BL$1,C388&lt;=$BL$2),$BX$3,IF(AND(C388&gt;=$BM$1,C388&lt;=$BM$2),$BY$3,IF(AND(C388&gt;=$BN$1,C388&lt;=$BN$2),$BZ$3,IF(AND(C388&gt;=$BO$1,C388&lt;=$BO$2),$CA$3,IF(C388&lt;=$BP$2,$CB$3,"")))))))</f>
        <v/>
      </c>
      <c r="AJ388" s="46" t="str">
        <f t="shared" ref="AJ388:AJ451" si="182">IF(C388="","",IF(AND(C388&gt;=$BN$1,C388&lt;=$BN$2),$CC$3,IF(AND(C388&gt;=$BO$1,C388&lt;=$BO$2),$CD$3,IF(C388&lt;=$BP$2,$CE$3,""))))</f>
        <v/>
      </c>
      <c r="AK388" s="46" t="str">
        <f t="shared" ref="AK388:AK451" si="183">IF(C388="","",IF(AA388&gt;=3,"",IF(AB388&gt;=2,"",IF(C388&gt;=$CF$2,$CF$3,IF(AND(C388&gt;=$CG$1,C388&lt;=$CG$2),$CG$3,IF(AND(C388&gt;=$CH$1,C388&lt;=$CH$2),$CH$3,IF(AND(C388&gt;=$CI$1,C388&lt;=$CI$2),$CI$3,IF(AND(C388&gt;=$CJ$1,C388&lt;=$CJ$2),$CJ$3,IF(C388&lt;=$CK$2,$CK$3,"")))))))))</f>
        <v/>
      </c>
      <c r="AL388" s="46" t="str">
        <f t="shared" ref="AL388:AL451" si="184">IF(C388="","",IF(AA388&gt;=3,"",IF(AB388&gt;=2,"",IF(C388&gt;=$CF$2,$CL$3,IF(AND(C388&gt;=$CG$1,C388&lt;=$CG$2),$CM$3,IF(AND(C388&gt;=$CH$1,C388&lt;=$CH$2),$CN$3,IF(AND(C388&gt;=$CI$1,C388&lt;=$CI$2),$CO$3,IF(AND(C388&gt;=$CJ$1,C388&lt;=$CJ$2),$CP$3,IF(C388&lt;=$CK$2,$CQ$3,"")))))))))</f>
        <v/>
      </c>
      <c r="AM388" s="46" t="str">
        <f t="shared" ref="AM388:AM451" si="185">IF(C388="","",IF(AA388&gt;=3,"",IF(AB388&gt;=2,"",IF(C388&gt;=$CF$2,$CR$3,IF(AND(C388&gt;=$CG$1,C388&lt;=$CG$2),$CS$3,IF(AND(C388&gt;=$CH$1,C388&lt;=$CH$2),$CT$3,IF(AND(C388&gt;=$CI$1,C388&lt;=$CI$2),$CU$3,IF(AND(C388&gt;=$CJ$1,C388&lt;=$CJ$2),$CV$3,IF(C388&lt;=$CK$2,$CW$3,"")))))))))</f>
        <v/>
      </c>
      <c r="AN388" s="46" t="str">
        <f t="shared" ref="AN388:AN451" si="186">IF(C388="","",IF(AA388&gt;=3,"",IF(AB388&gt;=2,"",IF(C388&gt;=$CF$2,$CX$3,IF(AND(C388&gt;=$CG$1,C388&lt;=$CG$2),$CY$3,IF(AND(C388&gt;=$CH$1,C388&lt;=$CH$2),$CZ$3,IF(AND(C388&gt;=$CI$1,C388&lt;=$CI$2),$DA$3,IF(AND(C388&gt;=$CJ$1,C388&lt;=$CJ$2),$DB$3,IF(C388&lt;=$CK$2,$DC$3,"")))))))))</f>
        <v/>
      </c>
      <c r="AO388" s="46" t="str">
        <f t="shared" ref="AO388:AO451" si="187">IF(C388="","",IF(AA388&gt;=3,"",IF(AB388&gt;=2,"",IF(C388&gt;=$CF$2,$DD$3,IF(AND(C388&gt;=$CG$1,C388&lt;=$CG$2),$DE$3,IF(AND(C388&gt;=$CH$1,C388&lt;=$CH$2),$DF$3,IF(AND(C388&gt;=$CI$1,C388&lt;=$CI$2),$DG$3,IF(AND(C388&gt;=$CJ$1,C388&lt;=$CJ$2),$DH$3,IF(C388&lt;=$CK$2,$DI$3,"")))))))))</f>
        <v/>
      </c>
      <c r="AP388" s="46" t="str">
        <f t="shared" ref="AP388:AP451" si="188">IF(C388="","",IF(AA388&gt;=3,"",IF(AB388&gt;=2,"",IF(C388&gt;=$CF$2,$DJ$3,IF(AND(C388&gt;=$CG$1,C388&lt;=$CG$2),$DK$3,IF(AND(C388&gt;=$CH$1,C388&lt;=$CH$2),$DL$3,IF(AND(C388&gt;=$CI$1,C388&lt;=$CI$2),$DM$3,IF(AND(C388&gt;=$CJ$1,C388&lt;=$CJ$2),$DN$3,IF(C388&lt;=$CK$2,$DO$3,"")))))))))</f>
        <v/>
      </c>
      <c r="AQ388" s="46" t="str">
        <f t="shared" ref="AQ388:AQ451" si="189">IF(C388="","",IF(AA388&gt;=3,"",IF(AC388&gt;=2,"",IF(C388&gt;=$CF$2,$DP$3,IF(AND(C388&gt;=$CG$1,C388&lt;=$CG$2),$DQ$3,IF(AND(C388&gt;=$CH$1,C388&lt;=$CH$2),$DR$3,IF(AND(C388&gt;=$CI$1,C388&lt;=$CI$2),$DS$3,IF(AND(C388&gt;=$CJ$1,C388&lt;=$CJ$2),$DT$3,IF(C388&lt;=$CK$2,$DU$3,"")))))))))</f>
        <v/>
      </c>
      <c r="AR388" s="46" t="str">
        <f t="shared" ref="AR388:AR451" si="190">IF(C388="","",IF(AA388&gt;=3,"",IF(AC388&gt;=2,"",IF(C388&gt;=$CF$2,$DV$3,IF(AND(C388&gt;=$CG$1,C388&lt;=$CG$2),$DW$3,IF(AND(C388&gt;=$CH$1,C388&lt;=$CH$2),$DX$3,IF(AND(C388&gt;=$CI$1,C388&lt;=$CI$2),$DY$3,IF(AND(C388&gt;=$CJ$1,C388&lt;=$CJ$2),$DZ$3,IF(C388&lt;=$CK$2,$EA$3,"")))))))))</f>
        <v/>
      </c>
      <c r="AS388" s="46" t="str">
        <f t="shared" ref="AS388:AS451" si="191">IF(C388="","",IF(AA388&gt;=3,"",IF(AC388&gt;=2,"",IF(C388&gt;=$CF$2,$EB$3,IF(AND(C388&gt;=$CG$1,C388&lt;=$CG$2),$EC$3,IF(AND(C388&gt;=$CH$1,C388&lt;=$CH$2),$ED$3,IF(AND(C388&gt;=$CI$1,C388&lt;=$CI$2),$EE$3,IF(AND(C388&gt;=$CJ$1,C388&lt;=$CJ$2),$EF$3,IF(C388&lt;=$CK$2,$EG$3,"")))))))))</f>
        <v/>
      </c>
      <c r="AT388" s="46" t="str">
        <f t="shared" ref="AT388:AT451" si="192">IF(C388="","",IF(AA388&gt;=3,"",IF(AC388&gt;=2,"",IF(C388&gt;=$CF$2,$EH$3,IF(AND(C388&gt;=$CG$1,C388&lt;=$CG$2),$EI$3,IF(AND(C388&gt;=$CH$1,C388&lt;=$CH$2),$EJ$3,IF(AND(C388&gt;=$CI$1,C388&lt;=$CI$2),$EK$3,IF(AND(C388&gt;=$CJ$1,C388&lt;=$CJ$2),$EL$3,IF(C388&lt;=$CK$2,$EM$3,"")))))))))</f>
        <v/>
      </c>
      <c r="AU388" s="46" t="str">
        <f t="shared" ref="AU388:AU451" si="193">IF(C388="","",IF(AA388&gt;=3,"",IF(AC388&gt;=2,"",IF(C388&gt;=$CF$2,$EN$3,IF(AND(C388&gt;=$CG$1,C388&lt;=$CG$2),$EO$3,IF(AND(C388&gt;=$CH$1,C388&lt;=$CH$2),$EP$3,IF(AND(C388&gt;=$CI$1,C388&lt;=$CI$2),$EQ$3,IF(AND(C388&gt;=$CJ$1,C388&lt;=$CJ$2),$ER$3,IF(C388&lt;=$CK$2,$ES$3,"")))))))))</f>
        <v/>
      </c>
      <c r="AV388" s="46" t="str">
        <f t="shared" ref="AV388:AV451" si="194">IF(C388="","",IF(AA388&gt;=3,"",IF(C388&gt;=$CG$1,$ET$3,IF(AND(C388&gt;=$CI$1,C388&lt;=$CH$2),$EU$3,IF(C388&lt;=$CJ$2,$EV$3,"")))))</f>
        <v/>
      </c>
      <c r="AW388" s="46" t="str">
        <f t="shared" ref="AW388:AW451" si="195">IF(C388="","",IF(AND(D388="",E388="",G388="",H388="",I388="",J388=""),"ADAPTADO",""))</f>
        <v/>
      </c>
    </row>
    <row r="389" spans="4:49">
      <c r="D389" s="34"/>
      <c r="E389" s="34"/>
      <c r="F389" s="34"/>
      <c r="G389" s="34"/>
      <c r="H389" s="4"/>
      <c r="I389" s="4"/>
      <c r="J389" s="4"/>
      <c r="K389" s="3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37"/>
      <c r="X389" s="1"/>
      <c r="Y389" s="18">
        <f t="shared" si="171"/>
        <v>0</v>
      </c>
      <c r="Z389" s="21">
        <f t="shared" si="172"/>
        <v>0</v>
      </c>
      <c r="AA389" s="10">
        <f t="shared" si="173"/>
        <v>0</v>
      </c>
      <c r="AB389" s="10">
        <f t="shared" si="174"/>
        <v>0</v>
      </c>
      <c r="AC389" s="10">
        <f t="shared" si="175"/>
        <v>0</v>
      </c>
      <c r="AD389" s="46" t="str">
        <f t="shared" si="176"/>
        <v/>
      </c>
      <c r="AE389" s="46" t="str">
        <f t="shared" si="177"/>
        <v/>
      </c>
      <c r="AF389" s="46" t="str">
        <f t="shared" si="178"/>
        <v/>
      </c>
      <c r="AG389" s="46" t="str">
        <f t="shared" si="179"/>
        <v/>
      </c>
      <c r="AH389" s="46" t="str">
        <f t="shared" si="180"/>
        <v/>
      </c>
      <c r="AI389" s="46" t="str">
        <f t="shared" si="181"/>
        <v/>
      </c>
      <c r="AJ389" s="46" t="str">
        <f t="shared" si="182"/>
        <v/>
      </c>
      <c r="AK389" s="46" t="str">
        <f t="shared" si="183"/>
        <v/>
      </c>
      <c r="AL389" s="46" t="str">
        <f t="shared" si="184"/>
        <v/>
      </c>
      <c r="AM389" s="46" t="str">
        <f t="shared" si="185"/>
        <v/>
      </c>
      <c r="AN389" s="46" t="str">
        <f t="shared" si="186"/>
        <v/>
      </c>
      <c r="AO389" s="46" t="str">
        <f t="shared" si="187"/>
        <v/>
      </c>
      <c r="AP389" s="46" t="str">
        <f t="shared" si="188"/>
        <v/>
      </c>
      <c r="AQ389" s="46" t="str">
        <f t="shared" si="189"/>
        <v/>
      </c>
      <c r="AR389" s="46" t="str">
        <f t="shared" si="190"/>
        <v/>
      </c>
      <c r="AS389" s="46" t="str">
        <f t="shared" si="191"/>
        <v/>
      </c>
      <c r="AT389" s="46" t="str">
        <f t="shared" si="192"/>
        <v/>
      </c>
      <c r="AU389" s="46" t="str">
        <f t="shared" si="193"/>
        <v/>
      </c>
      <c r="AV389" s="46" t="str">
        <f t="shared" si="194"/>
        <v/>
      </c>
      <c r="AW389" s="46" t="str">
        <f t="shared" si="195"/>
        <v/>
      </c>
    </row>
    <row r="390" spans="4:49">
      <c r="D390" s="34"/>
      <c r="E390" s="34"/>
      <c r="F390" s="34"/>
      <c r="G390" s="34"/>
      <c r="H390" s="4"/>
      <c r="I390" s="4"/>
      <c r="J390" s="4"/>
      <c r="K390" s="3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37"/>
      <c r="X390" s="1"/>
      <c r="Y390" s="18">
        <f t="shared" si="171"/>
        <v>0</v>
      </c>
      <c r="Z390" s="21">
        <f t="shared" si="172"/>
        <v>0</v>
      </c>
      <c r="AA390" s="10">
        <f t="shared" si="173"/>
        <v>0</v>
      </c>
      <c r="AB390" s="10">
        <f t="shared" si="174"/>
        <v>0</v>
      </c>
      <c r="AC390" s="10">
        <f t="shared" si="175"/>
        <v>0</v>
      </c>
      <c r="AD390" s="46" t="str">
        <f t="shared" si="176"/>
        <v/>
      </c>
      <c r="AE390" s="46" t="str">
        <f t="shared" si="177"/>
        <v/>
      </c>
      <c r="AF390" s="46" t="str">
        <f t="shared" si="178"/>
        <v/>
      </c>
      <c r="AG390" s="46" t="str">
        <f t="shared" si="179"/>
        <v/>
      </c>
      <c r="AH390" s="46" t="str">
        <f t="shared" si="180"/>
        <v/>
      </c>
      <c r="AI390" s="46" t="str">
        <f t="shared" si="181"/>
        <v/>
      </c>
      <c r="AJ390" s="46" t="str">
        <f t="shared" si="182"/>
        <v/>
      </c>
      <c r="AK390" s="46" t="str">
        <f t="shared" si="183"/>
        <v/>
      </c>
      <c r="AL390" s="46" t="str">
        <f t="shared" si="184"/>
        <v/>
      </c>
      <c r="AM390" s="46" t="str">
        <f t="shared" si="185"/>
        <v/>
      </c>
      <c r="AN390" s="46" t="str">
        <f t="shared" si="186"/>
        <v/>
      </c>
      <c r="AO390" s="46" t="str">
        <f t="shared" si="187"/>
        <v/>
      </c>
      <c r="AP390" s="46" t="str">
        <f t="shared" si="188"/>
        <v/>
      </c>
      <c r="AQ390" s="46" t="str">
        <f t="shared" si="189"/>
        <v/>
      </c>
      <c r="AR390" s="46" t="str">
        <f t="shared" si="190"/>
        <v/>
      </c>
      <c r="AS390" s="46" t="str">
        <f t="shared" si="191"/>
        <v/>
      </c>
      <c r="AT390" s="46" t="str">
        <f t="shared" si="192"/>
        <v/>
      </c>
      <c r="AU390" s="46" t="str">
        <f t="shared" si="193"/>
        <v/>
      </c>
      <c r="AV390" s="46" t="str">
        <f t="shared" si="194"/>
        <v/>
      </c>
      <c r="AW390" s="46" t="str">
        <f t="shared" si="195"/>
        <v/>
      </c>
    </row>
    <row r="391" spans="4:49">
      <c r="D391" s="34"/>
      <c r="E391" s="34"/>
      <c r="F391" s="34"/>
      <c r="G391" s="34"/>
      <c r="H391" s="4"/>
      <c r="I391" s="4"/>
      <c r="J391" s="4"/>
      <c r="K391" s="3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37"/>
      <c r="X391" s="1"/>
      <c r="Y391" s="18">
        <f t="shared" si="171"/>
        <v>0</v>
      </c>
      <c r="Z391" s="21">
        <f t="shared" si="172"/>
        <v>0</v>
      </c>
      <c r="AA391" s="10">
        <f t="shared" si="173"/>
        <v>0</v>
      </c>
      <c r="AB391" s="10">
        <f t="shared" si="174"/>
        <v>0</v>
      </c>
      <c r="AC391" s="10">
        <f t="shared" si="175"/>
        <v>0</v>
      </c>
      <c r="AD391" s="46" t="str">
        <f t="shared" si="176"/>
        <v/>
      </c>
      <c r="AE391" s="46" t="str">
        <f t="shared" si="177"/>
        <v/>
      </c>
      <c r="AF391" s="46" t="str">
        <f t="shared" si="178"/>
        <v/>
      </c>
      <c r="AG391" s="46" t="str">
        <f t="shared" si="179"/>
        <v/>
      </c>
      <c r="AH391" s="46" t="str">
        <f t="shared" si="180"/>
        <v/>
      </c>
      <c r="AI391" s="46" t="str">
        <f t="shared" si="181"/>
        <v/>
      </c>
      <c r="AJ391" s="46" t="str">
        <f t="shared" si="182"/>
        <v/>
      </c>
      <c r="AK391" s="46" t="str">
        <f t="shared" si="183"/>
        <v/>
      </c>
      <c r="AL391" s="46" t="str">
        <f t="shared" si="184"/>
        <v/>
      </c>
      <c r="AM391" s="46" t="str">
        <f t="shared" si="185"/>
        <v/>
      </c>
      <c r="AN391" s="46" t="str">
        <f t="shared" si="186"/>
        <v/>
      </c>
      <c r="AO391" s="46" t="str">
        <f t="shared" si="187"/>
        <v/>
      </c>
      <c r="AP391" s="46" t="str">
        <f t="shared" si="188"/>
        <v/>
      </c>
      <c r="AQ391" s="46" t="str">
        <f t="shared" si="189"/>
        <v/>
      </c>
      <c r="AR391" s="46" t="str">
        <f t="shared" si="190"/>
        <v/>
      </c>
      <c r="AS391" s="46" t="str">
        <f t="shared" si="191"/>
        <v/>
      </c>
      <c r="AT391" s="46" t="str">
        <f t="shared" si="192"/>
        <v/>
      </c>
      <c r="AU391" s="46" t="str">
        <f t="shared" si="193"/>
        <v/>
      </c>
      <c r="AV391" s="46" t="str">
        <f t="shared" si="194"/>
        <v/>
      </c>
      <c r="AW391" s="46" t="str">
        <f t="shared" si="195"/>
        <v/>
      </c>
    </row>
    <row r="392" spans="4:49">
      <c r="D392" s="34"/>
      <c r="E392" s="34"/>
      <c r="F392" s="34"/>
      <c r="G392" s="34"/>
      <c r="H392" s="4"/>
      <c r="I392" s="4"/>
      <c r="J392" s="4"/>
      <c r="K392" s="3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37"/>
      <c r="X392" s="1"/>
      <c r="Y392" s="18">
        <f t="shared" si="171"/>
        <v>0</v>
      </c>
      <c r="Z392" s="21">
        <f t="shared" si="172"/>
        <v>0</v>
      </c>
      <c r="AA392" s="10">
        <f t="shared" si="173"/>
        <v>0</v>
      </c>
      <c r="AB392" s="10">
        <f t="shared" si="174"/>
        <v>0</v>
      </c>
      <c r="AC392" s="10">
        <f t="shared" si="175"/>
        <v>0</v>
      </c>
      <c r="AD392" s="46" t="str">
        <f t="shared" si="176"/>
        <v/>
      </c>
      <c r="AE392" s="46" t="str">
        <f t="shared" si="177"/>
        <v/>
      </c>
      <c r="AF392" s="46" t="str">
        <f t="shared" si="178"/>
        <v/>
      </c>
      <c r="AG392" s="46" t="str">
        <f t="shared" si="179"/>
        <v/>
      </c>
      <c r="AH392" s="46" t="str">
        <f t="shared" si="180"/>
        <v/>
      </c>
      <c r="AI392" s="46" t="str">
        <f t="shared" si="181"/>
        <v/>
      </c>
      <c r="AJ392" s="46" t="str">
        <f t="shared" si="182"/>
        <v/>
      </c>
      <c r="AK392" s="46" t="str">
        <f t="shared" si="183"/>
        <v/>
      </c>
      <c r="AL392" s="46" t="str">
        <f t="shared" si="184"/>
        <v/>
      </c>
      <c r="AM392" s="46" t="str">
        <f t="shared" si="185"/>
        <v/>
      </c>
      <c r="AN392" s="46" t="str">
        <f t="shared" si="186"/>
        <v/>
      </c>
      <c r="AO392" s="46" t="str">
        <f t="shared" si="187"/>
        <v/>
      </c>
      <c r="AP392" s="46" t="str">
        <f t="shared" si="188"/>
        <v/>
      </c>
      <c r="AQ392" s="46" t="str">
        <f t="shared" si="189"/>
        <v/>
      </c>
      <c r="AR392" s="46" t="str">
        <f t="shared" si="190"/>
        <v/>
      </c>
      <c r="AS392" s="46" t="str">
        <f t="shared" si="191"/>
        <v/>
      </c>
      <c r="AT392" s="46" t="str">
        <f t="shared" si="192"/>
        <v/>
      </c>
      <c r="AU392" s="46" t="str">
        <f t="shared" si="193"/>
        <v/>
      </c>
      <c r="AV392" s="46" t="str">
        <f t="shared" si="194"/>
        <v/>
      </c>
      <c r="AW392" s="46" t="str">
        <f t="shared" si="195"/>
        <v/>
      </c>
    </row>
    <row r="393" spans="4:49">
      <c r="D393" s="34"/>
      <c r="E393" s="34"/>
      <c r="F393" s="34"/>
      <c r="G393" s="34"/>
      <c r="H393" s="4"/>
      <c r="I393" s="4"/>
      <c r="J393" s="4"/>
      <c r="K393" s="3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37"/>
      <c r="X393" s="1"/>
      <c r="Y393" s="18">
        <f t="shared" si="171"/>
        <v>0</v>
      </c>
      <c r="Z393" s="21">
        <f t="shared" si="172"/>
        <v>0</v>
      </c>
      <c r="AA393" s="10">
        <f t="shared" si="173"/>
        <v>0</v>
      </c>
      <c r="AB393" s="10">
        <f t="shared" si="174"/>
        <v>0</v>
      </c>
      <c r="AC393" s="10">
        <f t="shared" si="175"/>
        <v>0</v>
      </c>
      <c r="AD393" s="46" t="str">
        <f t="shared" si="176"/>
        <v/>
      </c>
      <c r="AE393" s="46" t="str">
        <f t="shared" si="177"/>
        <v/>
      </c>
      <c r="AF393" s="46" t="str">
        <f t="shared" si="178"/>
        <v/>
      </c>
      <c r="AG393" s="46" t="str">
        <f t="shared" si="179"/>
        <v/>
      </c>
      <c r="AH393" s="46" t="str">
        <f t="shared" si="180"/>
        <v/>
      </c>
      <c r="AI393" s="46" t="str">
        <f t="shared" si="181"/>
        <v/>
      </c>
      <c r="AJ393" s="46" t="str">
        <f t="shared" si="182"/>
        <v/>
      </c>
      <c r="AK393" s="46" t="str">
        <f t="shared" si="183"/>
        <v/>
      </c>
      <c r="AL393" s="46" t="str">
        <f t="shared" si="184"/>
        <v/>
      </c>
      <c r="AM393" s="46" t="str">
        <f t="shared" si="185"/>
        <v/>
      </c>
      <c r="AN393" s="46" t="str">
        <f t="shared" si="186"/>
        <v/>
      </c>
      <c r="AO393" s="46" t="str">
        <f t="shared" si="187"/>
        <v/>
      </c>
      <c r="AP393" s="46" t="str">
        <f t="shared" si="188"/>
        <v/>
      </c>
      <c r="AQ393" s="46" t="str">
        <f t="shared" si="189"/>
        <v/>
      </c>
      <c r="AR393" s="46" t="str">
        <f t="shared" si="190"/>
        <v/>
      </c>
      <c r="AS393" s="46" t="str">
        <f t="shared" si="191"/>
        <v/>
      </c>
      <c r="AT393" s="46" t="str">
        <f t="shared" si="192"/>
        <v/>
      </c>
      <c r="AU393" s="46" t="str">
        <f t="shared" si="193"/>
        <v/>
      </c>
      <c r="AV393" s="46" t="str">
        <f t="shared" si="194"/>
        <v/>
      </c>
      <c r="AW393" s="46" t="str">
        <f t="shared" si="195"/>
        <v/>
      </c>
    </row>
    <row r="394" spans="4:49">
      <c r="D394" s="34"/>
      <c r="E394" s="34"/>
      <c r="F394" s="34"/>
      <c r="G394" s="34"/>
      <c r="H394" s="4"/>
      <c r="I394" s="4"/>
      <c r="J394" s="4"/>
      <c r="K394" s="3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37"/>
      <c r="X394" s="1"/>
      <c r="Y394" s="18">
        <f t="shared" si="171"/>
        <v>0</v>
      </c>
      <c r="Z394" s="21">
        <f t="shared" si="172"/>
        <v>0</v>
      </c>
      <c r="AA394" s="10">
        <f t="shared" si="173"/>
        <v>0</v>
      </c>
      <c r="AB394" s="10">
        <f t="shared" si="174"/>
        <v>0</v>
      </c>
      <c r="AC394" s="10">
        <f t="shared" si="175"/>
        <v>0</v>
      </c>
      <c r="AD394" s="46" t="str">
        <f t="shared" si="176"/>
        <v/>
      </c>
      <c r="AE394" s="46" t="str">
        <f t="shared" si="177"/>
        <v/>
      </c>
      <c r="AF394" s="46" t="str">
        <f t="shared" si="178"/>
        <v/>
      </c>
      <c r="AG394" s="46" t="str">
        <f t="shared" si="179"/>
        <v/>
      </c>
      <c r="AH394" s="46" t="str">
        <f t="shared" si="180"/>
        <v/>
      </c>
      <c r="AI394" s="46" t="str">
        <f t="shared" si="181"/>
        <v/>
      </c>
      <c r="AJ394" s="46" t="str">
        <f t="shared" si="182"/>
        <v/>
      </c>
      <c r="AK394" s="46" t="str">
        <f t="shared" si="183"/>
        <v/>
      </c>
      <c r="AL394" s="46" t="str">
        <f t="shared" si="184"/>
        <v/>
      </c>
      <c r="AM394" s="46" t="str">
        <f t="shared" si="185"/>
        <v/>
      </c>
      <c r="AN394" s="46" t="str">
        <f t="shared" si="186"/>
        <v/>
      </c>
      <c r="AO394" s="46" t="str">
        <f t="shared" si="187"/>
        <v/>
      </c>
      <c r="AP394" s="46" t="str">
        <f t="shared" si="188"/>
        <v/>
      </c>
      <c r="AQ394" s="46" t="str">
        <f t="shared" si="189"/>
        <v/>
      </c>
      <c r="AR394" s="46" t="str">
        <f t="shared" si="190"/>
        <v/>
      </c>
      <c r="AS394" s="46" t="str">
        <f t="shared" si="191"/>
        <v/>
      </c>
      <c r="AT394" s="46" t="str">
        <f t="shared" si="192"/>
        <v/>
      </c>
      <c r="AU394" s="46" t="str">
        <f t="shared" si="193"/>
        <v/>
      </c>
      <c r="AV394" s="46" t="str">
        <f t="shared" si="194"/>
        <v/>
      </c>
      <c r="AW394" s="46" t="str">
        <f t="shared" si="195"/>
        <v/>
      </c>
    </row>
    <row r="395" spans="4:49">
      <c r="D395" s="34"/>
      <c r="E395" s="34"/>
      <c r="F395" s="34"/>
      <c r="G395" s="34"/>
      <c r="H395" s="4"/>
      <c r="I395" s="4"/>
      <c r="J395" s="4"/>
      <c r="K395" s="3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37"/>
      <c r="X395" s="1"/>
      <c r="Y395" s="18">
        <f t="shared" si="171"/>
        <v>0</v>
      </c>
      <c r="Z395" s="21">
        <f t="shared" si="172"/>
        <v>0</v>
      </c>
      <c r="AA395" s="10">
        <f t="shared" si="173"/>
        <v>0</v>
      </c>
      <c r="AB395" s="10">
        <f t="shared" si="174"/>
        <v>0</v>
      </c>
      <c r="AC395" s="10">
        <f t="shared" si="175"/>
        <v>0</v>
      </c>
      <c r="AD395" s="46" t="str">
        <f t="shared" si="176"/>
        <v/>
      </c>
      <c r="AE395" s="46" t="str">
        <f t="shared" si="177"/>
        <v/>
      </c>
      <c r="AF395" s="46" t="str">
        <f t="shared" si="178"/>
        <v/>
      </c>
      <c r="AG395" s="46" t="str">
        <f t="shared" si="179"/>
        <v/>
      </c>
      <c r="AH395" s="46" t="str">
        <f t="shared" si="180"/>
        <v/>
      </c>
      <c r="AI395" s="46" t="str">
        <f t="shared" si="181"/>
        <v/>
      </c>
      <c r="AJ395" s="46" t="str">
        <f t="shared" si="182"/>
        <v/>
      </c>
      <c r="AK395" s="46" t="str">
        <f t="shared" si="183"/>
        <v/>
      </c>
      <c r="AL395" s="46" t="str">
        <f t="shared" si="184"/>
        <v/>
      </c>
      <c r="AM395" s="46" t="str">
        <f t="shared" si="185"/>
        <v/>
      </c>
      <c r="AN395" s="46" t="str">
        <f t="shared" si="186"/>
        <v/>
      </c>
      <c r="AO395" s="46" t="str">
        <f t="shared" si="187"/>
        <v/>
      </c>
      <c r="AP395" s="46" t="str">
        <f t="shared" si="188"/>
        <v/>
      </c>
      <c r="AQ395" s="46" t="str">
        <f t="shared" si="189"/>
        <v/>
      </c>
      <c r="AR395" s="46" t="str">
        <f t="shared" si="190"/>
        <v/>
      </c>
      <c r="AS395" s="46" t="str">
        <f t="shared" si="191"/>
        <v/>
      </c>
      <c r="AT395" s="46" t="str">
        <f t="shared" si="192"/>
        <v/>
      </c>
      <c r="AU395" s="46" t="str">
        <f t="shared" si="193"/>
        <v/>
      </c>
      <c r="AV395" s="46" t="str">
        <f t="shared" si="194"/>
        <v/>
      </c>
      <c r="AW395" s="46" t="str">
        <f t="shared" si="195"/>
        <v/>
      </c>
    </row>
    <row r="396" spans="4:49">
      <c r="D396" s="34"/>
      <c r="E396" s="34"/>
      <c r="F396" s="34"/>
      <c r="G396" s="34"/>
      <c r="H396" s="4"/>
      <c r="I396" s="4"/>
      <c r="J396" s="4"/>
      <c r="K396" s="3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37"/>
      <c r="X396" s="1"/>
      <c r="Y396" s="18">
        <f t="shared" si="171"/>
        <v>0</v>
      </c>
      <c r="Z396" s="21">
        <f t="shared" si="172"/>
        <v>0</v>
      </c>
      <c r="AA396" s="10">
        <f t="shared" si="173"/>
        <v>0</v>
      </c>
      <c r="AB396" s="10">
        <f t="shared" si="174"/>
        <v>0</v>
      </c>
      <c r="AC396" s="10">
        <f t="shared" si="175"/>
        <v>0</v>
      </c>
      <c r="AD396" s="46" t="str">
        <f t="shared" si="176"/>
        <v/>
      </c>
      <c r="AE396" s="46" t="str">
        <f t="shared" si="177"/>
        <v/>
      </c>
      <c r="AF396" s="46" t="str">
        <f t="shared" si="178"/>
        <v/>
      </c>
      <c r="AG396" s="46" t="str">
        <f t="shared" si="179"/>
        <v/>
      </c>
      <c r="AH396" s="46" t="str">
        <f t="shared" si="180"/>
        <v/>
      </c>
      <c r="AI396" s="46" t="str">
        <f t="shared" si="181"/>
        <v/>
      </c>
      <c r="AJ396" s="46" t="str">
        <f t="shared" si="182"/>
        <v/>
      </c>
      <c r="AK396" s="46" t="str">
        <f t="shared" si="183"/>
        <v/>
      </c>
      <c r="AL396" s="46" t="str">
        <f t="shared" si="184"/>
        <v/>
      </c>
      <c r="AM396" s="46" t="str">
        <f t="shared" si="185"/>
        <v/>
      </c>
      <c r="AN396" s="46" t="str">
        <f t="shared" si="186"/>
        <v/>
      </c>
      <c r="AO396" s="46" t="str">
        <f t="shared" si="187"/>
        <v/>
      </c>
      <c r="AP396" s="46" t="str">
        <f t="shared" si="188"/>
        <v/>
      </c>
      <c r="AQ396" s="46" t="str">
        <f t="shared" si="189"/>
        <v/>
      </c>
      <c r="AR396" s="46" t="str">
        <f t="shared" si="190"/>
        <v/>
      </c>
      <c r="AS396" s="46" t="str">
        <f t="shared" si="191"/>
        <v/>
      </c>
      <c r="AT396" s="46" t="str">
        <f t="shared" si="192"/>
        <v/>
      </c>
      <c r="AU396" s="46" t="str">
        <f t="shared" si="193"/>
        <v/>
      </c>
      <c r="AV396" s="46" t="str">
        <f t="shared" si="194"/>
        <v/>
      </c>
      <c r="AW396" s="46" t="str">
        <f t="shared" si="195"/>
        <v/>
      </c>
    </row>
    <row r="397" spans="4:49">
      <c r="D397" s="34"/>
      <c r="E397" s="34"/>
      <c r="F397" s="34"/>
      <c r="G397" s="34"/>
      <c r="H397" s="4"/>
      <c r="I397" s="4"/>
      <c r="J397" s="4"/>
      <c r="K397" s="3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37"/>
      <c r="X397" s="1"/>
      <c r="Y397" s="18">
        <f t="shared" si="171"/>
        <v>0</v>
      </c>
      <c r="Z397" s="21">
        <f t="shared" si="172"/>
        <v>0</v>
      </c>
      <c r="AA397" s="10">
        <f t="shared" si="173"/>
        <v>0</v>
      </c>
      <c r="AB397" s="10">
        <f t="shared" si="174"/>
        <v>0</v>
      </c>
      <c r="AC397" s="10">
        <f t="shared" si="175"/>
        <v>0</v>
      </c>
      <c r="AD397" s="46" t="str">
        <f t="shared" si="176"/>
        <v/>
      </c>
      <c r="AE397" s="46" t="str">
        <f t="shared" si="177"/>
        <v/>
      </c>
      <c r="AF397" s="46" t="str">
        <f t="shared" si="178"/>
        <v/>
      </c>
      <c r="AG397" s="46" t="str">
        <f t="shared" si="179"/>
        <v/>
      </c>
      <c r="AH397" s="46" t="str">
        <f t="shared" si="180"/>
        <v/>
      </c>
      <c r="AI397" s="46" t="str">
        <f t="shared" si="181"/>
        <v/>
      </c>
      <c r="AJ397" s="46" t="str">
        <f t="shared" si="182"/>
        <v/>
      </c>
      <c r="AK397" s="46" t="str">
        <f t="shared" si="183"/>
        <v/>
      </c>
      <c r="AL397" s="46" t="str">
        <f t="shared" si="184"/>
        <v/>
      </c>
      <c r="AM397" s="46" t="str">
        <f t="shared" si="185"/>
        <v/>
      </c>
      <c r="AN397" s="46" t="str">
        <f t="shared" si="186"/>
        <v/>
      </c>
      <c r="AO397" s="46" t="str">
        <f t="shared" si="187"/>
        <v/>
      </c>
      <c r="AP397" s="46" t="str">
        <f t="shared" si="188"/>
        <v/>
      </c>
      <c r="AQ397" s="46" t="str">
        <f t="shared" si="189"/>
        <v/>
      </c>
      <c r="AR397" s="46" t="str">
        <f t="shared" si="190"/>
        <v/>
      </c>
      <c r="AS397" s="46" t="str">
        <f t="shared" si="191"/>
        <v/>
      </c>
      <c r="AT397" s="46" t="str">
        <f t="shared" si="192"/>
        <v/>
      </c>
      <c r="AU397" s="46" t="str">
        <f t="shared" si="193"/>
        <v/>
      </c>
      <c r="AV397" s="46" t="str">
        <f t="shared" si="194"/>
        <v/>
      </c>
      <c r="AW397" s="46" t="str">
        <f t="shared" si="195"/>
        <v/>
      </c>
    </row>
    <row r="398" spans="4:49">
      <c r="D398" s="34"/>
      <c r="E398" s="34"/>
      <c r="F398" s="34"/>
      <c r="G398" s="34"/>
      <c r="H398" s="4"/>
      <c r="I398" s="4"/>
      <c r="J398" s="4"/>
      <c r="K398" s="3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37"/>
      <c r="X398" s="1"/>
      <c r="Y398" s="18">
        <f t="shared" si="171"/>
        <v>0</v>
      </c>
      <c r="Z398" s="21">
        <f t="shared" si="172"/>
        <v>0</v>
      </c>
      <c r="AA398" s="10">
        <f t="shared" si="173"/>
        <v>0</v>
      </c>
      <c r="AB398" s="10">
        <f t="shared" si="174"/>
        <v>0</v>
      </c>
      <c r="AC398" s="10">
        <f t="shared" si="175"/>
        <v>0</v>
      </c>
      <c r="AD398" s="46" t="str">
        <f t="shared" si="176"/>
        <v/>
      </c>
      <c r="AE398" s="46" t="str">
        <f t="shared" si="177"/>
        <v/>
      </c>
      <c r="AF398" s="46" t="str">
        <f t="shared" si="178"/>
        <v/>
      </c>
      <c r="AG398" s="46" t="str">
        <f t="shared" si="179"/>
        <v/>
      </c>
      <c r="AH398" s="46" t="str">
        <f t="shared" si="180"/>
        <v/>
      </c>
      <c r="AI398" s="46" t="str">
        <f t="shared" si="181"/>
        <v/>
      </c>
      <c r="AJ398" s="46" t="str">
        <f t="shared" si="182"/>
        <v/>
      </c>
      <c r="AK398" s="46" t="str">
        <f t="shared" si="183"/>
        <v/>
      </c>
      <c r="AL398" s="46" t="str">
        <f t="shared" si="184"/>
        <v/>
      </c>
      <c r="AM398" s="46" t="str">
        <f t="shared" si="185"/>
        <v/>
      </c>
      <c r="AN398" s="46" t="str">
        <f t="shared" si="186"/>
        <v/>
      </c>
      <c r="AO398" s="46" t="str">
        <f t="shared" si="187"/>
        <v/>
      </c>
      <c r="AP398" s="46" t="str">
        <f t="shared" si="188"/>
        <v/>
      </c>
      <c r="AQ398" s="46" t="str">
        <f t="shared" si="189"/>
        <v/>
      </c>
      <c r="AR398" s="46" t="str">
        <f t="shared" si="190"/>
        <v/>
      </c>
      <c r="AS398" s="46" t="str">
        <f t="shared" si="191"/>
        <v/>
      </c>
      <c r="AT398" s="46" t="str">
        <f t="shared" si="192"/>
        <v/>
      </c>
      <c r="AU398" s="46" t="str">
        <f t="shared" si="193"/>
        <v/>
      </c>
      <c r="AV398" s="46" t="str">
        <f t="shared" si="194"/>
        <v/>
      </c>
      <c r="AW398" s="46" t="str">
        <f t="shared" si="195"/>
        <v/>
      </c>
    </row>
    <row r="399" spans="4:49">
      <c r="D399" s="34"/>
      <c r="E399" s="34"/>
      <c r="F399" s="34"/>
      <c r="G399" s="34"/>
      <c r="H399" s="4"/>
      <c r="I399" s="4"/>
      <c r="J399" s="4"/>
      <c r="K399" s="3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37"/>
      <c r="X399" s="1"/>
      <c r="Y399" s="18">
        <f t="shared" si="171"/>
        <v>0</v>
      </c>
      <c r="Z399" s="21">
        <f t="shared" si="172"/>
        <v>0</v>
      </c>
      <c r="AA399" s="10">
        <f t="shared" si="173"/>
        <v>0</v>
      </c>
      <c r="AB399" s="10">
        <f t="shared" si="174"/>
        <v>0</v>
      </c>
      <c r="AC399" s="10">
        <f t="shared" si="175"/>
        <v>0</v>
      </c>
      <c r="AD399" s="46" t="str">
        <f t="shared" si="176"/>
        <v/>
      </c>
      <c r="AE399" s="46" t="str">
        <f t="shared" si="177"/>
        <v/>
      </c>
      <c r="AF399" s="46" t="str">
        <f t="shared" si="178"/>
        <v/>
      </c>
      <c r="AG399" s="46" t="str">
        <f t="shared" si="179"/>
        <v/>
      </c>
      <c r="AH399" s="46" t="str">
        <f t="shared" si="180"/>
        <v/>
      </c>
      <c r="AI399" s="46" t="str">
        <f t="shared" si="181"/>
        <v/>
      </c>
      <c r="AJ399" s="46" t="str">
        <f t="shared" si="182"/>
        <v/>
      </c>
      <c r="AK399" s="46" t="str">
        <f t="shared" si="183"/>
        <v/>
      </c>
      <c r="AL399" s="46" t="str">
        <f t="shared" si="184"/>
        <v/>
      </c>
      <c r="AM399" s="46" t="str">
        <f t="shared" si="185"/>
        <v/>
      </c>
      <c r="AN399" s="46" t="str">
        <f t="shared" si="186"/>
        <v/>
      </c>
      <c r="AO399" s="46" t="str">
        <f t="shared" si="187"/>
        <v/>
      </c>
      <c r="AP399" s="46" t="str">
        <f t="shared" si="188"/>
        <v/>
      </c>
      <c r="AQ399" s="46" t="str">
        <f t="shared" si="189"/>
        <v/>
      </c>
      <c r="AR399" s="46" t="str">
        <f t="shared" si="190"/>
        <v/>
      </c>
      <c r="AS399" s="46" t="str">
        <f t="shared" si="191"/>
        <v/>
      </c>
      <c r="AT399" s="46" t="str">
        <f t="shared" si="192"/>
        <v/>
      </c>
      <c r="AU399" s="46" t="str">
        <f t="shared" si="193"/>
        <v/>
      </c>
      <c r="AV399" s="46" t="str">
        <f t="shared" si="194"/>
        <v/>
      </c>
      <c r="AW399" s="46" t="str">
        <f t="shared" si="195"/>
        <v/>
      </c>
    </row>
    <row r="400" spans="4:49">
      <c r="D400" s="34"/>
      <c r="E400" s="34"/>
      <c r="F400" s="34"/>
      <c r="G400" s="34"/>
      <c r="H400" s="4"/>
      <c r="I400" s="4"/>
      <c r="J400" s="4"/>
      <c r="K400" s="3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37"/>
      <c r="X400" s="1"/>
      <c r="Y400" s="18">
        <f t="shared" si="171"/>
        <v>0</v>
      </c>
      <c r="Z400" s="21">
        <f t="shared" si="172"/>
        <v>0</v>
      </c>
      <c r="AA400" s="10">
        <f t="shared" si="173"/>
        <v>0</v>
      </c>
      <c r="AB400" s="10">
        <f t="shared" si="174"/>
        <v>0</v>
      </c>
      <c r="AC400" s="10">
        <f t="shared" si="175"/>
        <v>0</v>
      </c>
      <c r="AD400" s="46" t="str">
        <f t="shared" si="176"/>
        <v/>
      </c>
      <c r="AE400" s="46" t="str">
        <f t="shared" si="177"/>
        <v/>
      </c>
      <c r="AF400" s="46" t="str">
        <f t="shared" si="178"/>
        <v/>
      </c>
      <c r="AG400" s="46" t="str">
        <f t="shared" si="179"/>
        <v/>
      </c>
      <c r="AH400" s="46" t="str">
        <f t="shared" si="180"/>
        <v/>
      </c>
      <c r="AI400" s="46" t="str">
        <f t="shared" si="181"/>
        <v/>
      </c>
      <c r="AJ400" s="46" t="str">
        <f t="shared" si="182"/>
        <v/>
      </c>
      <c r="AK400" s="46" t="str">
        <f t="shared" si="183"/>
        <v/>
      </c>
      <c r="AL400" s="46" t="str">
        <f t="shared" si="184"/>
        <v/>
      </c>
      <c r="AM400" s="46" t="str">
        <f t="shared" si="185"/>
        <v/>
      </c>
      <c r="AN400" s="46" t="str">
        <f t="shared" si="186"/>
        <v/>
      </c>
      <c r="AO400" s="46" t="str">
        <f t="shared" si="187"/>
        <v/>
      </c>
      <c r="AP400" s="46" t="str">
        <f t="shared" si="188"/>
        <v/>
      </c>
      <c r="AQ400" s="46" t="str">
        <f t="shared" si="189"/>
        <v/>
      </c>
      <c r="AR400" s="46" t="str">
        <f t="shared" si="190"/>
        <v/>
      </c>
      <c r="AS400" s="46" t="str">
        <f t="shared" si="191"/>
        <v/>
      </c>
      <c r="AT400" s="46" t="str">
        <f t="shared" si="192"/>
        <v/>
      </c>
      <c r="AU400" s="46" t="str">
        <f t="shared" si="193"/>
        <v/>
      </c>
      <c r="AV400" s="46" t="str">
        <f t="shared" si="194"/>
        <v/>
      </c>
      <c r="AW400" s="46" t="str">
        <f t="shared" si="195"/>
        <v/>
      </c>
    </row>
    <row r="401" spans="4:49">
      <c r="D401" s="34"/>
      <c r="E401" s="34"/>
      <c r="F401" s="34"/>
      <c r="G401" s="34"/>
      <c r="H401" s="4"/>
      <c r="I401" s="4"/>
      <c r="J401" s="4"/>
      <c r="K401" s="3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37"/>
      <c r="X401" s="1"/>
      <c r="Y401" s="18">
        <f t="shared" si="171"/>
        <v>0</v>
      </c>
      <c r="Z401" s="21">
        <f t="shared" si="172"/>
        <v>0</v>
      </c>
      <c r="AA401" s="10">
        <f t="shared" si="173"/>
        <v>0</v>
      </c>
      <c r="AB401" s="10">
        <f t="shared" si="174"/>
        <v>0</v>
      </c>
      <c r="AC401" s="10">
        <f t="shared" si="175"/>
        <v>0</v>
      </c>
      <c r="AD401" s="46" t="str">
        <f t="shared" si="176"/>
        <v/>
      </c>
      <c r="AE401" s="46" t="str">
        <f t="shared" si="177"/>
        <v/>
      </c>
      <c r="AF401" s="46" t="str">
        <f t="shared" si="178"/>
        <v/>
      </c>
      <c r="AG401" s="46" t="str">
        <f t="shared" si="179"/>
        <v/>
      </c>
      <c r="AH401" s="46" t="str">
        <f t="shared" si="180"/>
        <v/>
      </c>
      <c r="AI401" s="46" t="str">
        <f t="shared" si="181"/>
        <v/>
      </c>
      <c r="AJ401" s="46" t="str">
        <f t="shared" si="182"/>
        <v/>
      </c>
      <c r="AK401" s="46" t="str">
        <f t="shared" si="183"/>
        <v/>
      </c>
      <c r="AL401" s="46" t="str">
        <f t="shared" si="184"/>
        <v/>
      </c>
      <c r="AM401" s="46" t="str">
        <f t="shared" si="185"/>
        <v/>
      </c>
      <c r="AN401" s="46" t="str">
        <f t="shared" si="186"/>
        <v/>
      </c>
      <c r="AO401" s="46" t="str">
        <f t="shared" si="187"/>
        <v/>
      </c>
      <c r="AP401" s="46" t="str">
        <f t="shared" si="188"/>
        <v/>
      </c>
      <c r="AQ401" s="46" t="str">
        <f t="shared" si="189"/>
        <v/>
      </c>
      <c r="AR401" s="46" t="str">
        <f t="shared" si="190"/>
        <v/>
      </c>
      <c r="AS401" s="46" t="str">
        <f t="shared" si="191"/>
        <v/>
      </c>
      <c r="AT401" s="46" t="str">
        <f t="shared" si="192"/>
        <v/>
      </c>
      <c r="AU401" s="46" t="str">
        <f t="shared" si="193"/>
        <v/>
      </c>
      <c r="AV401" s="46" t="str">
        <f t="shared" si="194"/>
        <v/>
      </c>
      <c r="AW401" s="46" t="str">
        <f t="shared" si="195"/>
        <v/>
      </c>
    </row>
    <row r="402" spans="4:49">
      <c r="D402" s="34"/>
      <c r="E402" s="34"/>
      <c r="F402" s="34"/>
      <c r="G402" s="34"/>
      <c r="H402" s="4"/>
      <c r="I402" s="4"/>
      <c r="J402" s="4"/>
      <c r="K402" s="3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37"/>
      <c r="X402" s="1"/>
      <c r="Y402" s="18">
        <f t="shared" si="171"/>
        <v>0</v>
      </c>
      <c r="Z402" s="21">
        <f t="shared" si="172"/>
        <v>0</v>
      </c>
      <c r="AA402" s="10">
        <f t="shared" si="173"/>
        <v>0</v>
      </c>
      <c r="AB402" s="10">
        <f t="shared" si="174"/>
        <v>0</v>
      </c>
      <c r="AC402" s="10">
        <f t="shared" si="175"/>
        <v>0</v>
      </c>
      <c r="AD402" s="46" t="str">
        <f t="shared" si="176"/>
        <v/>
      </c>
      <c r="AE402" s="46" t="str">
        <f t="shared" si="177"/>
        <v/>
      </c>
      <c r="AF402" s="46" t="str">
        <f t="shared" si="178"/>
        <v/>
      </c>
      <c r="AG402" s="46" t="str">
        <f t="shared" si="179"/>
        <v/>
      </c>
      <c r="AH402" s="46" t="str">
        <f t="shared" si="180"/>
        <v/>
      </c>
      <c r="AI402" s="46" t="str">
        <f t="shared" si="181"/>
        <v/>
      </c>
      <c r="AJ402" s="46" t="str">
        <f t="shared" si="182"/>
        <v/>
      </c>
      <c r="AK402" s="46" t="str">
        <f t="shared" si="183"/>
        <v/>
      </c>
      <c r="AL402" s="46" t="str">
        <f t="shared" si="184"/>
        <v/>
      </c>
      <c r="AM402" s="46" t="str">
        <f t="shared" si="185"/>
        <v/>
      </c>
      <c r="AN402" s="46" t="str">
        <f t="shared" si="186"/>
        <v/>
      </c>
      <c r="AO402" s="46" t="str">
        <f t="shared" si="187"/>
        <v/>
      </c>
      <c r="AP402" s="46" t="str">
        <f t="shared" si="188"/>
        <v/>
      </c>
      <c r="AQ402" s="46" t="str">
        <f t="shared" si="189"/>
        <v/>
      </c>
      <c r="AR402" s="46" t="str">
        <f t="shared" si="190"/>
        <v/>
      </c>
      <c r="AS402" s="46" t="str">
        <f t="shared" si="191"/>
        <v/>
      </c>
      <c r="AT402" s="46" t="str">
        <f t="shared" si="192"/>
        <v/>
      </c>
      <c r="AU402" s="46" t="str">
        <f t="shared" si="193"/>
        <v/>
      </c>
      <c r="AV402" s="46" t="str">
        <f t="shared" si="194"/>
        <v/>
      </c>
      <c r="AW402" s="46" t="str">
        <f t="shared" si="195"/>
        <v/>
      </c>
    </row>
    <row r="403" spans="4:49">
      <c r="D403" s="34"/>
      <c r="E403" s="34"/>
      <c r="F403" s="34"/>
      <c r="G403" s="34"/>
      <c r="H403" s="4"/>
      <c r="I403" s="4"/>
      <c r="J403" s="4"/>
      <c r="K403" s="3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37"/>
      <c r="X403" s="1"/>
      <c r="Y403" s="18">
        <f t="shared" si="171"/>
        <v>0</v>
      </c>
      <c r="Z403" s="21">
        <f t="shared" si="172"/>
        <v>0</v>
      </c>
      <c r="AA403" s="10">
        <f t="shared" si="173"/>
        <v>0</v>
      </c>
      <c r="AB403" s="10">
        <f t="shared" si="174"/>
        <v>0</v>
      </c>
      <c r="AC403" s="10">
        <f t="shared" si="175"/>
        <v>0</v>
      </c>
      <c r="AD403" s="46" t="str">
        <f t="shared" si="176"/>
        <v/>
      </c>
      <c r="AE403" s="46" t="str">
        <f t="shared" si="177"/>
        <v/>
      </c>
      <c r="AF403" s="46" t="str">
        <f t="shared" si="178"/>
        <v/>
      </c>
      <c r="AG403" s="46" t="str">
        <f t="shared" si="179"/>
        <v/>
      </c>
      <c r="AH403" s="46" t="str">
        <f t="shared" si="180"/>
        <v/>
      </c>
      <c r="AI403" s="46" t="str">
        <f t="shared" si="181"/>
        <v/>
      </c>
      <c r="AJ403" s="46" t="str">
        <f t="shared" si="182"/>
        <v/>
      </c>
      <c r="AK403" s="46" t="str">
        <f t="shared" si="183"/>
        <v/>
      </c>
      <c r="AL403" s="46" t="str">
        <f t="shared" si="184"/>
        <v/>
      </c>
      <c r="AM403" s="46" t="str">
        <f t="shared" si="185"/>
        <v/>
      </c>
      <c r="AN403" s="46" t="str">
        <f t="shared" si="186"/>
        <v/>
      </c>
      <c r="AO403" s="46" t="str">
        <f t="shared" si="187"/>
        <v/>
      </c>
      <c r="AP403" s="46" t="str">
        <f t="shared" si="188"/>
        <v/>
      </c>
      <c r="AQ403" s="46" t="str">
        <f t="shared" si="189"/>
        <v/>
      </c>
      <c r="AR403" s="46" t="str">
        <f t="shared" si="190"/>
        <v/>
      </c>
      <c r="AS403" s="46" t="str">
        <f t="shared" si="191"/>
        <v/>
      </c>
      <c r="AT403" s="46" t="str">
        <f t="shared" si="192"/>
        <v/>
      </c>
      <c r="AU403" s="46" t="str">
        <f t="shared" si="193"/>
        <v/>
      </c>
      <c r="AV403" s="46" t="str">
        <f t="shared" si="194"/>
        <v/>
      </c>
      <c r="AW403" s="46" t="str">
        <f t="shared" si="195"/>
        <v/>
      </c>
    </row>
    <row r="404" spans="4:49">
      <c r="D404" s="34"/>
      <c r="E404" s="34"/>
      <c r="F404" s="34"/>
      <c r="G404" s="34"/>
      <c r="H404" s="4"/>
      <c r="I404" s="4"/>
      <c r="J404" s="4"/>
      <c r="K404" s="3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37"/>
      <c r="X404" s="1"/>
      <c r="Y404" s="18">
        <f t="shared" si="171"/>
        <v>0</v>
      </c>
      <c r="Z404" s="21">
        <f t="shared" si="172"/>
        <v>0</v>
      </c>
      <c r="AA404" s="10">
        <f t="shared" si="173"/>
        <v>0</v>
      </c>
      <c r="AB404" s="10">
        <f t="shared" si="174"/>
        <v>0</v>
      </c>
      <c r="AC404" s="10">
        <f t="shared" si="175"/>
        <v>0</v>
      </c>
      <c r="AD404" s="46" t="str">
        <f t="shared" si="176"/>
        <v/>
      </c>
      <c r="AE404" s="46" t="str">
        <f t="shared" si="177"/>
        <v/>
      </c>
      <c r="AF404" s="46" t="str">
        <f t="shared" si="178"/>
        <v/>
      </c>
      <c r="AG404" s="46" t="str">
        <f t="shared" si="179"/>
        <v/>
      </c>
      <c r="AH404" s="46" t="str">
        <f t="shared" si="180"/>
        <v/>
      </c>
      <c r="AI404" s="46" t="str">
        <f t="shared" si="181"/>
        <v/>
      </c>
      <c r="AJ404" s="46" t="str">
        <f t="shared" si="182"/>
        <v/>
      </c>
      <c r="AK404" s="46" t="str">
        <f t="shared" si="183"/>
        <v/>
      </c>
      <c r="AL404" s="46" t="str">
        <f t="shared" si="184"/>
        <v/>
      </c>
      <c r="AM404" s="46" t="str">
        <f t="shared" si="185"/>
        <v/>
      </c>
      <c r="AN404" s="46" t="str">
        <f t="shared" si="186"/>
        <v/>
      </c>
      <c r="AO404" s="46" t="str">
        <f t="shared" si="187"/>
        <v/>
      </c>
      <c r="AP404" s="46" t="str">
        <f t="shared" si="188"/>
        <v/>
      </c>
      <c r="AQ404" s="46" t="str">
        <f t="shared" si="189"/>
        <v/>
      </c>
      <c r="AR404" s="46" t="str">
        <f t="shared" si="190"/>
        <v/>
      </c>
      <c r="AS404" s="46" t="str">
        <f t="shared" si="191"/>
        <v/>
      </c>
      <c r="AT404" s="46" t="str">
        <f t="shared" si="192"/>
        <v/>
      </c>
      <c r="AU404" s="46" t="str">
        <f t="shared" si="193"/>
        <v/>
      </c>
      <c r="AV404" s="46" t="str">
        <f t="shared" si="194"/>
        <v/>
      </c>
      <c r="AW404" s="46" t="str">
        <f t="shared" si="195"/>
        <v/>
      </c>
    </row>
    <row r="405" spans="4:49">
      <c r="D405" s="34"/>
      <c r="E405" s="34"/>
      <c r="F405" s="34"/>
      <c r="G405" s="34"/>
      <c r="H405" s="4"/>
      <c r="I405" s="4"/>
      <c r="J405" s="4"/>
      <c r="K405" s="3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37"/>
      <c r="X405" s="1"/>
      <c r="Y405" s="18">
        <f t="shared" si="171"/>
        <v>0</v>
      </c>
      <c r="Z405" s="21">
        <f t="shared" si="172"/>
        <v>0</v>
      </c>
      <c r="AA405" s="10">
        <f t="shared" si="173"/>
        <v>0</v>
      </c>
      <c r="AB405" s="10">
        <f t="shared" si="174"/>
        <v>0</v>
      </c>
      <c r="AC405" s="10">
        <f t="shared" si="175"/>
        <v>0</v>
      </c>
      <c r="AD405" s="46" t="str">
        <f t="shared" si="176"/>
        <v/>
      </c>
      <c r="AE405" s="46" t="str">
        <f t="shared" si="177"/>
        <v/>
      </c>
      <c r="AF405" s="46" t="str">
        <f t="shared" si="178"/>
        <v/>
      </c>
      <c r="AG405" s="46" t="str">
        <f t="shared" si="179"/>
        <v/>
      </c>
      <c r="AH405" s="46" t="str">
        <f t="shared" si="180"/>
        <v/>
      </c>
      <c r="AI405" s="46" t="str">
        <f t="shared" si="181"/>
        <v/>
      </c>
      <c r="AJ405" s="46" t="str">
        <f t="shared" si="182"/>
        <v/>
      </c>
      <c r="AK405" s="46" t="str">
        <f t="shared" si="183"/>
        <v/>
      </c>
      <c r="AL405" s="46" t="str">
        <f t="shared" si="184"/>
        <v/>
      </c>
      <c r="AM405" s="46" t="str">
        <f t="shared" si="185"/>
        <v/>
      </c>
      <c r="AN405" s="46" t="str">
        <f t="shared" si="186"/>
        <v/>
      </c>
      <c r="AO405" s="46" t="str">
        <f t="shared" si="187"/>
        <v/>
      </c>
      <c r="AP405" s="46" t="str">
        <f t="shared" si="188"/>
        <v/>
      </c>
      <c r="AQ405" s="46" t="str">
        <f t="shared" si="189"/>
        <v/>
      </c>
      <c r="AR405" s="46" t="str">
        <f t="shared" si="190"/>
        <v/>
      </c>
      <c r="AS405" s="46" t="str">
        <f t="shared" si="191"/>
        <v/>
      </c>
      <c r="AT405" s="46" t="str">
        <f t="shared" si="192"/>
        <v/>
      </c>
      <c r="AU405" s="46" t="str">
        <f t="shared" si="193"/>
        <v/>
      </c>
      <c r="AV405" s="46" t="str">
        <f t="shared" si="194"/>
        <v/>
      </c>
      <c r="AW405" s="46" t="str">
        <f t="shared" si="195"/>
        <v/>
      </c>
    </row>
    <row r="406" spans="4:49">
      <c r="D406" s="34"/>
      <c r="E406" s="34"/>
      <c r="F406" s="34"/>
      <c r="G406" s="34"/>
      <c r="H406" s="4"/>
      <c r="I406" s="4"/>
      <c r="J406" s="4"/>
      <c r="K406" s="3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37"/>
      <c r="X406" s="1"/>
      <c r="Y406" s="18">
        <f t="shared" si="171"/>
        <v>0</v>
      </c>
      <c r="Z406" s="21">
        <f t="shared" si="172"/>
        <v>0</v>
      </c>
      <c r="AA406" s="10">
        <f t="shared" si="173"/>
        <v>0</v>
      </c>
      <c r="AB406" s="10">
        <f t="shared" si="174"/>
        <v>0</v>
      </c>
      <c r="AC406" s="10">
        <f t="shared" si="175"/>
        <v>0</v>
      </c>
      <c r="AD406" s="46" t="str">
        <f t="shared" si="176"/>
        <v/>
      </c>
      <c r="AE406" s="46" t="str">
        <f t="shared" si="177"/>
        <v/>
      </c>
      <c r="AF406" s="46" t="str">
        <f t="shared" si="178"/>
        <v/>
      </c>
      <c r="AG406" s="46" t="str">
        <f t="shared" si="179"/>
        <v/>
      </c>
      <c r="AH406" s="46" t="str">
        <f t="shared" si="180"/>
        <v/>
      </c>
      <c r="AI406" s="46" t="str">
        <f t="shared" si="181"/>
        <v/>
      </c>
      <c r="AJ406" s="46" t="str">
        <f t="shared" si="182"/>
        <v/>
      </c>
      <c r="AK406" s="46" t="str">
        <f t="shared" si="183"/>
        <v/>
      </c>
      <c r="AL406" s="46" t="str">
        <f t="shared" si="184"/>
        <v/>
      </c>
      <c r="AM406" s="46" t="str">
        <f t="shared" si="185"/>
        <v/>
      </c>
      <c r="AN406" s="46" t="str">
        <f t="shared" si="186"/>
        <v/>
      </c>
      <c r="AO406" s="46" t="str">
        <f t="shared" si="187"/>
        <v/>
      </c>
      <c r="AP406" s="46" t="str">
        <f t="shared" si="188"/>
        <v/>
      </c>
      <c r="AQ406" s="46" t="str">
        <f t="shared" si="189"/>
        <v/>
      </c>
      <c r="AR406" s="46" t="str">
        <f t="shared" si="190"/>
        <v/>
      </c>
      <c r="AS406" s="46" t="str">
        <f t="shared" si="191"/>
        <v/>
      </c>
      <c r="AT406" s="46" t="str">
        <f t="shared" si="192"/>
        <v/>
      </c>
      <c r="AU406" s="46" t="str">
        <f t="shared" si="193"/>
        <v/>
      </c>
      <c r="AV406" s="46" t="str">
        <f t="shared" si="194"/>
        <v/>
      </c>
      <c r="AW406" s="46" t="str">
        <f t="shared" si="195"/>
        <v/>
      </c>
    </row>
    <row r="407" spans="4:49">
      <c r="D407" s="34"/>
      <c r="E407" s="34"/>
      <c r="F407" s="34"/>
      <c r="G407" s="34"/>
      <c r="H407" s="4"/>
      <c r="I407" s="4"/>
      <c r="J407" s="4"/>
      <c r="K407" s="3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37"/>
      <c r="X407" s="1"/>
      <c r="Y407" s="18">
        <f t="shared" si="171"/>
        <v>0</v>
      </c>
      <c r="Z407" s="21">
        <f t="shared" si="172"/>
        <v>0</v>
      </c>
      <c r="AA407" s="10">
        <f t="shared" si="173"/>
        <v>0</v>
      </c>
      <c r="AB407" s="10">
        <f t="shared" si="174"/>
        <v>0</v>
      </c>
      <c r="AC407" s="10">
        <f t="shared" si="175"/>
        <v>0</v>
      </c>
      <c r="AD407" s="46" t="str">
        <f t="shared" si="176"/>
        <v/>
      </c>
      <c r="AE407" s="46" t="str">
        <f t="shared" si="177"/>
        <v/>
      </c>
      <c r="AF407" s="46" t="str">
        <f t="shared" si="178"/>
        <v/>
      </c>
      <c r="AG407" s="46" t="str">
        <f t="shared" si="179"/>
        <v/>
      </c>
      <c r="AH407" s="46" t="str">
        <f t="shared" si="180"/>
        <v/>
      </c>
      <c r="AI407" s="46" t="str">
        <f t="shared" si="181"/>
        <v/>
      </c>
      <c r="AJ407" s="46" t="str">
        <f t="shared" si="182"/>
        <v/>
      </c>
      <c r="AK407" s="46" t="str">
        <f t="shared" si="183"/>
        <v/>
      </c>
      <c r="AL407" s="46" t="str">
        <f t="shared" si="184"/>
        <v/>
      </c>
      <c r="AM407" s="46" t="str">
        <f t="shared" si="185"/>
        <v/>
      </c>
      <c r="AN407" s="46" t="str">
        <f t="shared" si="186"/>
        <v/>
      </c>
      <c r="AO407" s="46" t="str">
        <f t="shared" si="187"/>
        <v/>
      </c>
      <c r="AP407" s="46" t="str">
        <f t="shared" si="188"/>
        <v/>
      </c>
      <c r="AQ407" s="46" t="str">
        <f t="shared" si="189"/>
        <v/>
      </c>
      <c r="AR407" s="46" t="str">
        <f t="shared" si="190"/>
        <v/>
      </c>
      <c r="AS407" s="46" t="str">
        <f t="shared" si="191"/>
        <v/>
      </c>
      <c r="AT407" s="46" t="str">
        <f t="shared" si="192"/>
        <v/>
      </c>
      <c r="AU407" s="46" t="str">
        <f t="shared" si="193"/>
        <v/>
      </c>
      <c r="AV407" s="46" t="str">
        <f t="shared" si="194"/>
        <v/>
      </c>
      <c r="AW407" s="46" t="str">
        <f t="shared" si="195"/>
        <v/>
      </c>
    </row>
    <row r="408" spans="4:49">
      <c r="D408" s="34"/>
      <c r="E408" s="34"/>
      <c r="F408" s="34"/>
      <c r="G408" s="34"/>
      <c r="H408" s="4"/>
      <c r="I408" s="4"/>
      <c r="J408" s="4"/>
      <c r="K408" s="3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37"/>
      <c r="X408" s="1"/>
      <c r="Y408" s="18">
        <f t="shared" si="171"/>
        <v>0</v>
      </c>
      <c r="Z408" s="21">
        <f t="shared" si="172"/>
        <v>0</v>
      </c>
      <c r="AA408" s="10">
        <f t="shared" si="173"/>
        <v>0</v>
      </c>
      <c r="AB408" s="10">
        <f t="shared" si="174"/>
        <v>0</v>
      </c>
      <c r="AC408" s="10">
        <f t="shared" si="175"/>
        <v>0</v>
      </c>
      <c r="AD408" s="46" t="str">
        <f t="shared" si="176"/>
        <v/>
      </c>
      <c r="AE408" s="46" t="str">
        <f t="shared" si="177"/>
        <v/>
      </c>
      <c r="AF408" s="46" t="str">
        <f t="shared" si="178"/>
        <v/>
      </c>
      <c r="AG408" s="46" t="str">
        <f t="shared" si="179"/>
        <v/>
      </c>
      <c r="AH408" s="46" t="str">
        <f t="shared" si="180"/>
        <v/>
      </c>
      <c r="AI408" s="46" t="str">
        <f t="shared" si="181"/>
        <v/>
      </c>
      <c r="AJ408" s="46" t="str">
        <f t="shared" si="182"/>
        <v/>
      </c>
      <c r="AK408" s="46" t="str">
        <f t="shared" si="183"/>
        <v/>
      </c>
      <c r="AL408" s="46" t="str">
        <f t="shared" si="184"/>
        <v/>
      </c>
      <c r="AM408" s="46" t="str">
        <f t="shared" si="185"/>
        <v/>
      </c>
      <c r="AN408" s="46" t="str">
        <f t="shared" si="186"/>
        <v/>
      </c>
      <c r="AO408" s="46" t="str">
        <f t="shared" si="187"/>
        <v/>
      </c>
      <c r="AP408" s="46" t="str">
        <f t="shared" si="188"/>
        <v/>
      </c>
      <c r="AQ408" s="46" t="str">
        <f t="shared" si="189"/>
        <v/>
      </c>
      <c r="AR408" s="46" t="str">
        <f t="shared" si="190"/>
        <v/>
      </c>
      <c r="AS408" s="46" t="str">
        <f t="shared" si="191"/>
        <v/>
      </c>
      <c r="AT408" s="46" t="str">
        <f t="shared" si="192"/>
        <v/>
      </c>
      <c r="AU408" s="46" t="str">
        <f t="shared" si="193"/>
        <v/>
      </c>
      <c r="AV408" s="46" t="str">
        <f t="shared" si="194"/>
        <v/>
      </c>
      <c r="AW408" s="46" t="str">
        <f t="shared" si="195"/>
        <v/>
      </c>
    </row>
    <row r="409" spans="4:49">
      <c r="D409" s="34"/>
      <c r="E409" s="34"/>
      <c r="F409" s="34"/>
      <c r="G409" s="34"/>
      <c r="H409" s="4"/>
      <c r="I409" s="4"/>
      <c r="J409" s="4"/>
      <c r="K409" s="3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37"/>
      <c r="X409" s="1"/>
      <c r="Y409" s="18">
        <f t="shared" si="171"/>
        <v>0</v>
      </c>
      <c r="Z409" s="21">
        <f t="shared" si="172"/>
        <v>0</v>
      </c>
      <c r="AA409" s="10">
        <f t="shared" si="173"/>
        <v>0</v>
      </c>
      <c r="AB409" s="10">
        <f t="shared" si="174"/>
        <v>0</v>
      </c>
      <c r="AC409" s="10">
        <f t="shared" si="175"/>
        <v>0</v>
      </c>
      <c r="AD409" s="46" t="str">
        <f t="shared" si="176"/>
        <v/>
      </c>
      <c r="AE409" s="46" t="str">
        <f t="shared" si="177"/>
        <v/>
      </c>
      <c r="AF409" s="46" t="str">
        <f t="shared" si="178"/>
        <v/>
      </c>
      <c r="AG409" s="46" t="str">
        <f t="shared" si="179"/>
        <v/>
      </c>
      <c r="AH409" s="46" t="str">
        <f t="shared" si="180"/>
        <v/>
      </c>
      <c r="AI409" s="46" t="str">
        <f t="shared" si="181"/>
        <v/>
      </c>
      <c r="AJ409" s="46" t="str">
        <f t="shared" si="182"/>
        <v/>
      </c>
      <c r="AK409" s="46" t="str">
        <f t="shared" si="183"/>
        <v/>
      </c>
      <c r="AL409" s="46" t="str">
        <f t="shared" si="184"/>
        <v/>
      </c>
      <c r="AM409" s="46" t="str">
        <f t="shared" si="185"/>
        <v/>
      </c>
      <c r="AN409" s="46" t="str">
        <f t="shared" si="186"/>
        <v/>
      </c>
      <c r="AO409" s="46" t="str">
        <f t="shared" si="187"/>
        <v/>
      </c>
      <c r="AP409" s="46" t="str">
        <f t="shared" si="188"/>
        <v/>
      </c>
      <c r="AQ409" s="46" t="str">
        <f t="shared" si="189"/>
        <v/>
      </c>
      <c r="AR409" s="46" t="str">
        <f t="shared" si="190"/>
        <v/>
      </c>
      <c r="AS409" s="46" t="str">
        <f t="shared" si="191"/>
        <v/>
      </c>
      <c r="AT409" s="46" t="str">
        <f t="shared" si="192"/>
        <v/>
      </c>
      <c r="AU409" s="46" t="str">
        <f t="shared" si="193"/>
        <v/>
      </c>
      <c r="AV409" s="46" t="str">
        <f t="shared" si="194"/>
        <v/>
      </c>
      <c r="AW409" s="46" t="str">
        <f t="shared" si="195"/>
        <v/>
      </c>
    </row>
    <row r="410" spans="4:49">
      <c r="D410" s="34"/>
      <c r="E410" s="34"/>
      <c r="F410" s="34"/>
      <c r="G410" s="34"/>
      <c r="H410" s="4"/>
      <c r="I410" s="4"/>
      <c r="J410" s="4"/>
      <c r="K410" s="3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37"/>
      <c r="X410" s="1"/>
      <c r="Y410" s="18">
        <f t="shared" si="171"/>
        <v>0</v>
      </c>
      <c r="Z410" s="21">
        <f t="shared" si="172"/>
        <v>0</v>
      </c>
      <c r="AA410" s="10">
        <f t="shared" si="173"/>
        <v>0</v>
      </c>
      <c r="AB410" s="10">
        <f t="shared" si="174"/>
        <v>0</v>
      </c>
      <c r="AC410" s="10">
        <f t="shared" si="175"/>
        <v>0</v>
      </c>
      <c r="AD410" s="46" t="str">
        <f t="shared" si="176"/>
        <v/>
      </c>
      <c r="AE410" s="46" t="str">
        <f t="shared" si="177"/>
        <v/>
      </c>
      <c r="AF410" s="46" t="str">
        <f t="shared" si="178"/>
        <v/>
      </c>
      <c r="AG410" s="46" t="str">
        <f t="shared" si="179"/>
        <v/>
      </c>
      <c r="AH410" s="46" t="str">
        <f t="shared" si="180"/>
        <v/>
      </c>
      <c r="AI410" s="46" t="str">
        <f t="shared" si="181"/>
        <v/>
      </c>
      <c r="AJ410" s="46" t="str">
        <f t="shared" si="182"/>
        <v/>
      </c>
      <c r="AK410" s="46" t="str">
        <f t="shared" si="183"/>
        <v/>
      </c>
      <c r="AL410" s="46" t="str">
        <f t="shared" si="184"/>
        <v/>
      </c>
      <c r="AM410" s="46" t="str">
        <f t="shared" si="185"/>
        <v/>
      </c>
      <c r="AN410" s="46" t="str">
        <f t="shared" si="186"/>
        <v/>
      </c>
      <c r="AO410" s="46" t="str">
        <f t="shared" si="187"/>
        <v/>
      </c>
      <c r="AP410" s="46" t="str">
        <f t="shared" si="188"/>
        <v/>
      </c>
      <c r="AQ410" s="46" t="str">
        <f t="shared" si="189"/>
        <v/>
      </c>
      <c r="AR410" s="46" t="str">
        <f t="shared" si="190"/>
        <v/>
      </c>
      <c r="AS410" s="46" t="str">
        <f t="shared" si="191"/>
        <v/>
      </c>
      <c r="AT410" s="46" t="str">
        <f t="shared" si="192"/>
        <v/>
      </c>
      <c r="AU410" s="46" t="str">
        <f t="shared" si="193"/>
        <v/>
      </c>
      <c r="AV410" s="46" t="str">
        <f t="shared" si="194"/>
        <v/>
      </c>
      <c r="AW410" s="46" t="str">
        <f t="shared" si="195"/>
        <v/>
      </c>
    </row>
    <row r="411" spans="4:49">
      <c r="D411" s="34"/>
      <c r="E411" s="34"/>
      <c r="F411" s="34"/>
      <c r="G411" s="34"/>
      <c r="H411" s="4"/>
      <c r="I411" s="4"/>
      <c r="J411" s="4"/>
      <c r="K411" s="3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37"/>
      <c r="X411" s="1"/>
      <c r="Y411" s="18">
        <f t="shared" si="171"/>
        <v>0</v>
      </c>
      <c r="Z411" s="21">
        <f t="shared" si="172"/>
        <v>0</v>
      </c>
      <c r="AA411" s="10">
        <f t="shared" si="173"/>
        <v>0</v>
      </c>
      <c r="AB411" s="10">
        <f t="shared" si="174"/>
        <v>0</v>
      </c>
      <c r="AC411" s="10">
        <f t="shared" si="175"/>
        <v>0</v>
      </c>
      <c r="AD411" s="46" t="str">
        <f t="shared" si="176"/>
        <v/>
      </c>
      <c r="AE411" s="46" t="str">
        <f t="shared" si="177"/>
        <v/>
      </c>
      <c r="AF411" s="46" t="str">
        <f t="shared" si="178"/>
        <v/>
      </c>
      <c r="AG411" s="46" t="str">
        <f t="shared" si="179"/>
        <v/>
      </c>
      <c r="AH411" s="46" t="str">
        <f t="shared" si="180"/>
        <v/>
      </c>
      <c r="AI411" s="46" t="str">
        <f t="shared" si="181"/>
        <v/>
      </c>
      <c r="AJ411" s="46" t="str">
        <f t="shared" si="182"/>
        <v/>
      </c>
      <c r="AK411" s="46" t="str">
        <f t="shared" si="183"/>
        <v/>
      </c>
      <c r="AL411" s="46" t="str">
        <f t="shared" si="184"/>
        <v/>
      </c>
      <c r="AM411" s="46" t="str">
        <f t="shared" si="185"/>
        <v/>
      </c>
      <c r="AN411" s="46" t="str">
        <f t="shared" si="186"/>
        <v/>
      </c>
      <c r="AO411" s="46" t="str">
        <f t="shared" si="187"/>
        <v/>
      </c>
      <c r="AP411" s="46" t="str">
        <f t="shared" si="188"/>
        <v/>
      </c>
      <c r="AQ411" s="46" t="str">
        <f t="shared" si="189"/>
        <v/>
      </c>
      <c r="AR411" s="46" t="str">
        <f t="shared" si="190"/>
        <v/>
      </c>
      <c r="AS411" s="46" t="str">
        <f t="shared" si="191"/>
        <v/>
      </c>
      <c r="AT411" s="46" t="str">
        <f t="shared" si="192"/>
        <v/>
      </c>
      <c r="AU411" s="46" t="str">
        <f t="shared" si="193"/>
        <v/>
      </c>
      <c r="AV411" s="46" t="str">
        <f t="shared" si="194"/>
        <v/>
      </c>
      <c r="AW411" s="46" t="str">
        <f t="shared" si="195"/>
        <v/>
      </c>
    </row>
    <row r="412" spans="4:49">
      <c r="D412" s="34"/>
      <c r="E412" s="34"/>
      <c r="F412" s="34"/>
      <c r="G412" s="34"/>
      <c r="H412" s="4"/>
      <c r="I412" s="4"/>
      <c r="J412" s="4"/>
      <c r="K412" s="3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37"/>
      <c r="X412" s="1"/>
      <c r="Y412" s="18">
        <f t="shared" si="171"/>
        <v>0</v>
      </c>
      <c r="Z412" s="21">
        <f t="shared" si="172"/>
        <v>0</v>
      </c>
      <c r="AA412" s="10">
        <f t="shared" si="173"/>
        <v>0</v>
      </c>
      <c r="AB412" s="10">
        <f t="shared" si="174"/>
        <v>0</v>
      </c>
      <c r="AC412" s="10">
        <f t="shared" si="175"/>
        <v>0</v>
      </c>
      <c r="AD412" s="46" t="str">
        <f t="shared" si="176"/>
        <v/>
      </c>
      <c r="AE412" s="46" t="str">
        <f t="shared" si="177"/>
        <v/>
      </c>
      <c r="AF412" s="46" t="str">
        <f t="shared" si="178"/>
        <v/>
      </c>
      <c r="AG412" s="46" t="str">
        <f t="shared" si="179"/>
        <v/>
      </c>
      <c r="AH412" s="46" t="str">
        <f t="shared" si="180"/>
        <v/>
      </c>
      <c r="AI412" s="46" t="str">
        <f t="shared" si="181"/>
        <v/>
      </c>
      <c r="AJ412" s="46" t="str">
        <f t="shared" si="182"/>
        <v/>
      </c>
      <c r="AK412" s="46" t="str">
        <f t="shared" si="183"/>
        <v/>
      </c>
      <c r="AL412" s="46" t="str">
        <f t="shared" si="184"/>
        <v/>
      </c>
      <c r="AM412" s="46" t="str">
        <f t="shared" si="185"/>
        <v/>
      </c>
      <c r="AN412" s="46" t="str">
        <f t="shared" si="186"/>
        <v/>
      </c>
      <c r="AO412" s="46" t="str">
        <f t="shared" si="187"/>
        <v/>
      </c>
      <c r="AP412" s="46" t="str">
        <f t="shared" si="188"/>
        <v/>
      </c>
      <c r="AQ412" s="46" t="str">
        <f t="shared" si="189"/>
        <v/>
      </c>
      <c r="AR412" s="46" t="str">
        <f t="shared" si="190"/>
        <v/>
      </c>
      <c r="AS412" s="46" t="str">
        <f t="shared" si="191"/>
        <v/>
      </c>
      <c r="AT412" s="46" t="str">
        <f t="shared" si="192"/>
        <v/>
      </c>
      <c r="AU412" s="46" t="str">
        <f t="shared" si="193"/>
        <v/>
      </c>
      <c r="AV412" s="46" t="str">
        <f t="shared" si="194"/>
        <v/>
      </c>
      <c r="AW412" s="46" t="str">
        <f t="shared" si="195"/>
        <v/>
      </c>
    </row>
    <row r="413" spans="4:49">
      <c r="D413" s="34"/>
      <c r="E413" s="34"/>
      <c r="F413" s="34"/>
      <c r="G413" s="34"/>
      <c r="H413" s="4"/>
      <c r="I413" s="4"/>
      <c r="J413" s="4"/>
      <c r="K413" s="3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37"/>
      <c r="X413" s="1"/>
      <c r="Y413" s="18">
        <f t="shared" si="171"/>
        <v>0</v>
      </c>
      <c r="Z413" s="21">
        <f t="shared" si="172"/>
        <v>0</v>
      </c>
      <c r="AA413" s="10">
        <f t="shared" si="173"/>
        <v>0</v>
      </c>
      <c r="AB413" s="10">
        <f t="shared" si="174"/>
        <v>0</v>
      </c>
      <c r="AC413" s="10">
        <f t="shared" si="175"/>
        <v>0</v>
      </c>
      <c r="AD413" s="46" t="str">
        <f t="shared" si="176"/>
        <v/>
      </c>
      <c r="AE413" s="46" t="str">
        <f t="shared" si="177"/>
        <v/>
      </c>
      <c r="AF413" s="46" t="str">
        <f t="shared" si="178"/>
        <v/>
      </c>
      <c r="AG413" s="46" t="str">
        <f t="shared" si="179"/>
        <v/>
      </c>
      <c r="AH413" s="46" t="str">
        <f t="shared" si="180"/>
        <v/>
      </c>
      <c r="AI413" s="46" t="str">
        <f t="shared" si="181"/>
        <v/>
      </c>
      <c r="AJ413" s="46" t="str">
        <f t="shared" si="182"/>
        <v/>
      </c>
      <c r="AK413" s="46" t="str">
        <f t="shared" si="183"/>
        <v/>
      </c>
      <c r="AL413" s="46" t="str">
        <f t="shared" si="184"/>
        <v/>
      </c>
      <c r="AM413" s="46" t="str">
        <f t="shared" si="185"/>
        <v/>
      </c>
      <c r="AN413" s="46" t="str">
        <f t="shared" si="186"/>
        <v/>
      </c>
      <c r="AO413" s="46" t="str">
        <f t="shared" si="187"/>
        <v/>
      </c>
      <c r="AP413" s="46" t="str">
        <f t="shared" si="188"/>
        <v/>
      </c>
      <c r="AQ413" s="46" t="str">
        <f t="shared" si="189"/>
        <v/>
      </c>
      <c r="AR413" s="46" t="str">
        <f t="shared" si="190"/>
        <v/>
      </c>
      <c r="AS413" s="46" t="str">
        <f t="shared" si="191"/>
        <v/>
      </c>
      <c r="AT413" s="46" t="str">
        <f t="shared" si="192"/>
        <v/>
      </c>
      <c r="AU413" s="46" t="str">
        <f t="shared" si="193"/>
        <v/>
      </c>
      <c r="AV413" s="46" t="str">
        <f t="shared" si="194"/>
        <v/>
      </c>
      <c r="AW413" s="46" t="str">
        <f t="shared" si="195"/>
        <v/>
      </c>
    </row>
    <row r="414" spans="4:49">
      <c r="D414" s="34"/>
      <c r="E414" s="34"/>
      <c r="F414" s="34"/>
      <c r="G414" s="34"/>
      <c r="H414" s="4"/>
      <c r="I414" s="4"/>
      <c r="J414" s="4"/>
      <c r="K414" s="3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37"/>
      <c r="X414" s="1"/>
      <c r="Y414" s="18">
        <f t="shared" si="171"/>
        <v>0</v>
      </c>
      <c r="Z414" s="21">
        <f t="shared" si="172"/>
        <v>0</v>
      </c>
      <c r="AA414" s="10">
        <f t="shared" si="173"/>
        <v>0</v>
      </c>
      <c r="AB414" s="10">
        <f t="shared" si="174"/>
        <v>0</v>
      </c>
      <c r="AC414" s="10">
        <f t="shared" si="175"/>
        <v>0</v>
      </c>
      <c r="AD414" s="46" t="str">
        <f t="shared" si="176"/>
        <v/>
      </c>
      <c r="AE414" s="46" t="str">
        <f t="shared" si="177"/>
        <v/>
      </c>
      <c r="AF414" s="46" t="str">
        <f t="shared" si="178"/>
        <v/>
      </c>
      <c r="AG414" s="46" t="str">
        <f t="shared" si="179"/>
        <v/>
      </c>
      <c r="AH414" s="46" t="str">
        <f t="shared" si="180"/>
        <v/>
      </c>
      <c r="AI414" s="46" t="str">
        <f t="shared" si="181"/>
        <v/>
      </c>
      <c r="AJ414" s="46" t="str">
        <f t="shared" si="182"/>
        <v/>
      </c>
      <c r="AK414" s="46" t="str">
        <f t="shared" si="183"/>
        <v/>
      </c>
      <c r="AL414" s="46" t="str">
        <f t="shared" si="184"/>
        <v/>
      </c>
      <c r="AM414" s="46" t="str">
        <f t="shared" si="185"/>
        <v/>
      </c>
      <c r="AN414" s="46" t="str">
        <f t="shared" si="186"/>
        <v/>
      </c>
      <c r="AO414" s="46" t="str">
        <f t="shared" si="187"/>
        <v/>
      </c>
      <c r="AP414" s="46" t="str">
        <f t="shared" si="188"/>
        <v/>
      </c>
      <c r="AQ414" s="46" t="str">
        <f t="shared" si="189"/>
        <v/>
      </c>
      <c r="AR414" s="46" t="str">
        <f t="shared" si="190"/>
        <v/>
      </c>
      <c r="AS414" s="46" t="str">
        <f t="shared" si="191"/>
        <v/>
      </c>
      <c r="AT414" s="46" t="str">
        <f t="shared" si="192"/>
        <v/>
      </c>
      <c r="AU414" s="46" t="str">
        <f t="shared" si="193"/>
        <v/>
      </c>
      <c r="AV414" s="46" t="str">
        <f t="shared" si="194"/>
        <v/>
      </c>
      <c r="AW414" s="46" t="str">
        <f t="shared" si="195"/>
        <v/>
      </c>
    </row>
    <row r="415" spans="4:49">
      <c r="D415" s="34"/>
      <c r="E415" s="34"/>
      <c r="F415" s="34"/>
      <c r="G415" s="34"/>
      <c r="H415" s="4"/>
      <c r="I415" s="4"/>
      <c r="J415" s="4"/>
      <c r="K415" s="3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37"/>
      <c r="X415" s="1"/>
      <c r="Y415" s="18">
        <f t="shared" si="171"/>
        <v>0</v>
      </c>
      <c r="Z415" s="21">
        <f t="shared" si="172"/>
        <v>0</v>
      </c>
      <c r="AA415" s="10">
        <f t="shared" si="173"/>
        <v>0</v>
      </c>
      <c r="AB415" s="10">
        <f t="shared" si="174"/>
        <v>0</v>
      </c>
      <c r="AC415" s="10">
        <f t="shared" si="175"/>
        <v>0</v>
      </c>
      <c r="AD415" s="46" t="str">
        <f t="shared" si="176"/>
        <v/>
      </c>
      <c r="AE415" s="46" t="str">
        <f t="shared" si="177"/>
        <v/>
      </c>
      <c r="AF415" s="46" t="str">
        <f t="shared" si="178"/>
        <v/>
      </c>
      <c r="AG415" s="46" t="str">
        <f t="shared" si="179"/>
        <v/>
      </c>
      <c r="AH415" s="46" t="str">
        <f t="shared" si="180"/>
        <v/>
      </c>
      <c r="AI415" s="46" t="str">
        <f t="shared" si="181"/>
        <v/>
      </c>
      <c r="AJ415" s="46" t="str">
        <f t="shared" si="182"/>
        <v/>
      </c>
      <c r="AK415" s="46" t="str">
        <f t="shared" si="183"/>
        <v/>
      </c>
      <c r="AL415" s="46" t="str">
        <f t="shared" si="184"/>
        <v/>
      </c>
      <c r="AM415" s="46" t="str">
        <f t="shared" si="185"/>
        <v/>
      </c>
      <c r="AN415" s="46" t="str">
        <f t="shared" si="186"/>
        <v/>
      </c>
      <c r="AO415" s="46" t="str">
        <f t="shared" si="187"/>
        <v/>
      </c>
      <c r="AP415" s="46" t="str">
        <f t="shared" si="188"/>
        <v/>
      </c>
      <c r="AQ415" s="46" t="str">
        <f t="shared" si="189"/>
        <v/>
      </c>
      <c r="AR415" s="46" t="str">
        <f t="shared" si="190"/>
        <v/>
      </c>
      <c r="AS415" s="46" t="str">
        <f t="shared" si="191"/>
        <v/>
      </c>
      <c r="AT415" s="46" t="str">
        <f t="shared" si="192"/>
        <v/>
      </c>
      <c r="AU415" s="46" t="str">
        <f t="shared" si="193"/>
        <v/>
      </c>
      <c r="AV415" s="46" t="str">
        <f t="shared" si="194"/>
        <v/>
      </c>
      <c r="AW415" s="46" t="str">
        <f t="shared" si="195"/>
        <v/>
      </c>
    </row>
    <row r="416" spans="4:49">
      <c r="D416" s="34"/>
      <c r="E416" s="34"/>
      <c r="F416" s="34"/>
      <c r="G416" s="34"/>
      <c r="H416" s="4"/>
      <c r="I416" s="4"/>
      <c r="J416" s="4"/>
      <c r="K416" s="3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37"/>
      <c r="X416" s="1"/>
      <c r="Y416" s="18">
        <f t="shared" si="171"/>
        <v>0</v>
      </c>
      <c r="Z416" s="21">
        <f t="shared" si="172"/>
        <v>0</v>
      </c>
      <c r="AA416" s="10">
        <f t="shared" si="173"/>
        <v>0</v>
      </c>
      <c r="AB416" s="10">
        <f t="shared" si="174"/>
        <v>0</v>
      </c>
      <c r="AC416" s="10">
        <f t="shared" si="175"/>
        <v>0</v>
      </c>
      <c r="AD416" s="46" t="str">
        <f t="shared" si="176"/>
        <v/>
      </c>
      <c r="AE416" s="46" t="str">
        <f t="shared" si="177"/>
        <v/>
      </c>
      <c r="AF416" s="46" t="str">
        <f t="shared" si="178"/>
        <v/>
      </c>
      <c r="AG416" s="46" t="str">
        <f t="shared" si="179"/>
        <v/>
      </c>
      <c r="AH416" s="46" t="str">
        <f t="shared" si="180"/>
        <v/>
      </c>
      <c r="AI416" s="46" t="str">
        <f t="shared" si="181"/>
        <v/>
      </c>
      <c r="AJ416" s="46" t="str">
        <f t="shared" si="182"/>
        <v/>
      </c>
      <c r="AK416" s="46" t="str">
        <f t="shared" si="183"/>
        <v/>
      </c>
      <c r="AL416" s="46" t="str">
        <f t="shared" si="184"/>
        <v/>
      </c>
      <c r="AM416" s="46" t="str">
        <f t="shared" si="185"/>
        <v/>
      </c>
      <c r="AN416" s="46" t="str">
        <f t="shared" si="186"/>
        <v/>
      </c>
      <c r="AO416" s="46" t="str">
        <f t="shared" si="187"/>
        <v/>
      </c>
      <c r="AP416" s="46" t="str">
        <f t="shared" si="188"/>
        <v/>
      </c>
      <c r="AQ416" s="46" t="str">
        <f t="shared" si="189"/>
        <v/>
      </c>
      <c r="AR416" s="46" t="str">
        <f t="shared" si="190"/>
        <v/>
      </c>
      <c r="AS416" s="46" t="str">
        <f t="shared" si="191"/>
        <v/>
      </c>
      <c r="AT416" s="46" t="str">
        <f t="shared" si="192"/>
        <v/>
      </c>
      <c r="AU416" s="46" t="str">
        <f t="shared" si="193"/>
        <v/>
      </c>
      <c r="AV416" s="46" t="str">
        <f t="shared" si="194"/>
        <v/>
      </c>
      <c r="AW416" s="46" t="str">
        <f t="shared" si="195"/>
        <v/>
      </c>
    </row>
    <row r="417" spans="4:49">
      <c r="D417" s="34"/>
      <c r="E417" s="34"/>
      <c r="F417" s="34"/>
      <c r="G417" s="34"/>
      <c r="H417" s="4"/>
      <c r="I417" s="4"/>
      <c r="J417" s="4"/>
      <c r="K417" s="3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37"/>
      <c r="X417" s="1"/>
      <c r="Y417" s="18">
        <f t="shared" si="171"/>
        <v>0</v>
      </c>
      <c r="Z417" s="21">
        <f t="shared" si="172"/>
        <v>0</v>
      </c>
      <c r="AA417" s="10">
        <f t="shared" si="173"/>
        <v>0</v>
      </c>
      <c r="AB417" s="10">
        <f t="shared" si="174"/>
        <v>0</v>
      </c>
      <c r="AC417" s="10">
        <f t="shared" si="175"/>
        <v>0</v>
      </c>
      <c r="AD417" s="46" t="str">
        <f t="shared" si="176"/>
        <v/>
      </c>
      <c r="AE417" s="46" t="str">
        <f t="shared" si="177"/>
        <v/>
      </c>
      <c r="AF417" s="46" t="str">
        <f t="shared" si="178"/>
        <v/>
      </c>
      <c r="AG417" s="46" t="str">
        <f t="shared" si="179"/>
        <v/>
      </c>
      <c r="AH417" s="46" t="str">
        <f t="shared" si="180"/>
        <v/>
      </c>
      <c r="AI417" s="46" t="str">
        <f t="shared" si="181"/>
        <v/>
      </c>
      <c r="AJ417" s="46" t="str">
        <f t="shared" si="182"/>
        <v/>
      </c>
      <c r="AK417" s="46" t="str">
        <f t="shared" si="183"/>
        <v/>
      </c>
      <c r="AL417" s="46" t="str">
        <f t="shared" si="184"/>
        <v/>
      </c>
      <c r="AM417" s="46" t="str">
        <f t="shared" si="185"/>
        <v/>
      </c>
      <c r="AN417" s="46" t="str">
        <f t="shared" si="186"/>
        <v/>
      </c>
      <c r="AO417" s="46" t="str">
        <f t="shared" si="187"/>
        <v/>
      </c>
      <c r="AP417" s="46" t="str">
        <f t="shared" si="188"/>
        <v/>
      </c>
      <c r="AQ417" s="46" t="str">
        <f t="shared" si="189"/>
        <v/>
      </c>
      <c r="AR417" s="46" t="str">
        <f t="shared" si="190"/>
        <v/>
      </c>
      <c r="AS417" s="46" t="str">
        <f t="shared" si="191"/>
        <v/>
      </c>
      <c r="AT417" s="46" t="str">
        <f t="shared" si="192"/>
        <v/>
      </c>
      <c r="AU417" s="46" t="str">
        <f t="shared" si="193"/>
        <v/>
      </c>
      <c r="AV417" s="46" t="str">
        <f t="shared" si="194"/>
        <v/>
      </c>
      <c r="AW417" s="46" t="str">
        <f t="shared" si="195"/>
        <v/>
      </c>
    </row>
    <row r="418" spans="4:49">
      <c r="D418" s="34"/>
      <c r="E418" s="34"/>
      <c r="F418" s="34"/>
      <c r="G418" s="34"/>
      <c r="H418" s="4"/>
      <c r="I418" s="4"/>
      <c r="J418" s="4"/>
      <c r="K418" s="3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37"/>
      <c r="X418" s="1"/>
      <c r="Y418" s="18">
        <f t="shared" si="171"/>
        <v>0</v>
      </c>
      <c r="Z418" s="21">
        <f t="shared" si="172"/>
        <v>0</v>
      </c>
      <c r="AA418" s="10">
        <f t="shared" si="173"/>
        <v>0</v>
      </c>
      <c r="AB418" s="10">
        <f t="shared" si="174"/>
        <v>0</v>
      </c>
      <c r="AC418" s="10">
        <f t="shared" si="175"/>
        <v>0</v>
      </c>
      <c r="AD418" s="46" t="str">
        <f t="shared" si="176"/>
        <v/>
      </c>
      <c r="AE418" s="46" t="str">
        <f t="shared" si="177"/>
        <v/>
      </c>
      <c r="AF418" s="46" t="str">
        <f t="shared" si="178"/>
        <v/>
      </c>
      <c r="AG418" s="46" t="str">
        <f t="shared" si="179"/>
        <v/>
      </c>
      <c r="AH418" s="46" t="str">
        <f t="shared" si="180"/>
        <v/>
      </c>
      <c r="AI418" s="46" t="str">
        <f t="shared" si="181"/>
        <v/>
      </c>
      <c r="AJ418" s="46" t="str">
        <f t="shared" si="182"/>
        <v/>
      </c>
      <c r="AK418" s="46" t="str">
        <f t="shared" si="183"/>
        <v/>
      </c>
      <c r="AL418" s="46" t="str">
        <f t="shared" si="184"/>
        <v/>
      </c>
      <c r="AM418" s="46" t="str">
        <f t="shared" si="185"/>
        <v/>
      </c>
      <c r="AN418" s="46" t="str">
        <f t="shared" si="186"/>
        <v/>
      </c>
      <c r="AO418" s="46" t="str">
        <f t="shared" si="187"/>
        <v/>
      </c>
      <c r="AP418" s="46" t="str">
        <f t="shared" si="188"/>
        <v/>
      </c>
      <c r="AQ418" s="46" t="str">
        <f t="shared" si="189"/>
        <v/>
      </c>
      <c r="AR418" s="46" t="str">
        <f t="shared" si="190"/>
        <v/>
      </c>
      <c r="AS418" s="46" t="str">
        <f t="shared" si="191"/>
        <v/>
      </c>
      <c r="AT418" s="46" t="str">
        <f t="shared" si="192"/>
        <v/>
      </c>
      <c r="AU418" s="46" t="str">
        <f t="shared" si="193"/>
        <v/>
      </c>
      <c r="AV418" s="46" t="str">
        <f t="shared" si="194"/>
        <v/>
      </c>
      <c r="AW418" s="46" t="str">
        <f t="shared" si="195"/>
        <v/>
      </c>
    </row>
    <row r="419" spans="4:49">
      <c r="D419" s="34"/>
      <c r="E419" s="34"/>
      <c r="F419" s="34"/>
      <c r="G419" s="34"/>
      <c r="H419" s="4"/>
      <c r="I419" s="4"/>
      <c r="J419" s="4"/>
      <c r="K419" s="3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37"/>
      <c r="X419" s="1"/>
      <c r="Y419" s="18">
        <f t="shared" si="171"/>
        <v>0</v>
      </c>
      <c r="Z419" s="21">
        <f t="shared" si="172"/>
        <v>0</v>
      </c>
      <c r="AA419" s="10">
        <f t="shared" si="173"/>
        <v>0</v>
      </c>
      <c r="AB419" s="10">
        <f t="shared" si="174"/>
        <v>0</v>
      </c>
      <c r="AC419" s="10">
        <f t="shared" si="175"/>
        <v>0</v>
      </c>
      <c r="AD419" s="46" t="str">
        <f t="shared" si="176"/>
        <v/>
      </c>
      <c r="AE419" s="46" t="str">
        <f t="shared" si="177"/>
        <v/>
      </c>
      <c r="AF419" s="46" t="str">
        <f t="shared" si="178"/>
        <v/>
      </c>
      <c r="AG419" s="46" t="str">
        <f t="shared" si="179"/>
        <v/>
      </c>
      <c r="AH419" s="46" t="str">
        <f t="shared" si="180"/>
        <v/>
      </c>
      <c r="AI419" s="46" t="str">
        <f t="shared" si="181"/>
        <v/>
      </c>
      <c r="AJ419" s="46" t="str">
        <f t="shared" si="182"/>
        <v/>
      </c>
      <c r="AK419" s="46" t="str">
        <f t="shared" si="183"/>
        <v/>
      </c>
      <c r="AL419" s="46" t="str">
        <f t="shared" si="184"/>
        <v/>
      </c>
      <c r="AM419" s="46" t="str">
        <f t="shared" si="185"/>
        <v/>
      </c>
      <c r="AN419" s="46" t="str">
        <f t="shared" si="186"/>
        <v/>
      </c>
      <c r="AO419" s="46" t="str">
        <f t="shared" si="187"/>
        <v/>
      </c>
      <c r="AP419" s="46" t="str">
        <f t="shared" si="188"/>
        <v/>
      </c>
      <c r="AQ419" s="46" t="str">
        <f t="shared" si="189"/>
        <v/>
      </c>
      <c r="AR419" s="46" t="str">
        <f t="shared" si="190"/>
        <v/>
      </c>
      <c r="AS419" s="46" t="str">
        <f t="shared" si="191"/>
        <v/>
      </c>
      <c r="AT419" s="46" t="str">
        <f t="shared" si="192"/>
        <v/>
      </c>
      <c r="AU419" s="46" t="str">
        <f t="shared" si="193"/>
        <v/>
      </c>
      <c r="AV419" s="46" t="str">
        <f t="shared" si="194"/>
        <v/>
      </c>
      <c r="AW419" s="46" t="str">
        <f t="shared" si="195"/>
        <v/>
      </c>
    </row>
    <row r="420" spans="4:49">
      <c r="D420" s="34"/>
      <c r="E420" s="34"/>
      <c r="F420" s="34"/>
      <c r="G420" s="34"/>
      <c r="H420" s="4"/>
      <c r="I420" s="4"/>
      <c r="J420" s="4"/>
      <c r="K420" s="3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37"/>
      <c r="X420" s="1"/>
      <c r="Y420" s="18">
        <f t="shared" si="171"/>
        <v>0</v>
      </c>
      <c r="Z420" s="21">
        <f t="shared" si="172"/>
        <v>0</v>
      </c>
      <c r="AA420" s="10">
        <f t="shared" si="173"/>
        <v>0</v>
      </c>
      <c r="AB420" s="10">
        <f t="shared" si="174"/>
        <v>0</v>
      </c>
      <c r="AC420" s="10">
        <f t="shared" si="175"/>
        <v>0</v>
      </c>
      <c r="AD420" s="46" t="str">
        <f t="shared" si="176"/>
        <v/>
      </c>
      <c r="AE420" s="46" t="str">
        <f t="shared" si="177"/>
        <v/>
      </c>
      <c r="AF420" s="46" t="str">
        <f t="shared" si="178"/>
        <v/>
      </c>
      <c r="AG420" s="46" t="str">
        <f t="shared" si="179"/>
        <v/>
      </c>
      <c r="AH420" s="46" t="str">
        <f t="shared" si="180"/>
        <v/>
      </c>
      <c r="AI420" s="46" t="str">
        <f t="shared" si="181"/>
        <v/>
      </c>
      <c r="AJ420" s="46" t="str">
        <f t="shared" si="182"/>
        <v/>
      </c>
      <c r="AK420" s="46" t="str">
        <f t="shared" si="183"/>
        <v/>
      </c>
      <c r="AL420" s="46" t="str">
        <f t="shared" si="184"/>
        <v/>
      </c>
      <c r="AM420" s="46" t="str">
        <f t="shared" si="185"/>
        <v/>
      </c>
      <c r="AN420" s="46" t="str">
        <f t="shared" si="186"/>
        <v/>
      </c>
      <c r="AO420" s="46" t="str">
        <f t="shared" si="187"/>
        <v/>
      </c>
      <c r="AP420" s="46" t="str">
        <f t="shared" si="188"/>
        <v/>
      </c>
      <c r="AQ420" s="46" t="str">
        <f t="shared" si="189"/>
        <v/>
      </c>
      <c r="AR420" s="46" t="str">
        <f t="shared" si="190"/>
        <v/>
      </c>
      <c r="AS420" s="46" t="str">
        <f t="shared" si="191"/>
        <v/>
      </c>
      <c r="AT420" s="46" t="str">
        <f t="shared" si="192"/>
        <v/>
      </c>
      <c r="AU420" s="46" t="str">
        <f t="shared" si="193"/>
        <v/>
      </c>
      <c r="AV420" s="46" t="str">
        <f t="shared" si="194"/>
        <v/>
      </c>
      <c r="AW420" s="46" t="str">
        <f t="shared" si="195"/>
        <v/>
      </c>
    </row>
    <row r="421" spans="4:49">
      <c r="D421" s="34"/>
      <c r="E421" s="34"/>
      <c r="F421" s="34"/>
      <c r="G421" s="34"/>
      <c r="H421" s="4"/>
      <c r="I421" s="4"/>
      <c r="J421" s="4"/>
      <c r="K421" s="3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37"/>
      <c r="X421" s="1"/>
      <c r="Y421" s="18">
        <f t="shared" si="171"/>
        <v>0</v>
      </c>
      <c r="Z421" s="21">
        <f t="shared" si="172"/>
        <v>0</v>
      </c>
      <c r="AA421" s="10">
        <f t="shared" si="173"/>
        <v>0</v>
      </c>
      <c r="AB421" s="10">
        <f t="shared" si="174"/>
        <v>0</v>
      </c>
      <c r="AC421" s="10">
        <f t="shared" si="175"/>
        <v>0</v>
      </c>
      <c r="AD421" s="46" t="str">
        <f t="shared" si="176"/>
        <v/>
      </c>
      <c r="AE421" s="46" t="str">
        <f t="shared" si="177"/>
        <v/>
      </c>
      <c r="AF421" s="46" t="str">
        <f t="shared" si="178"/>
        <v/>
      </c>
      <c r="AG421" s="46" t="str">
        <f t="shared" si="179"/>
        <v/>
      </c>
      <c r="AH421" s="46" t="str">
        <f t="shared" si="180"/>
        <v/>
      </c>
      <c r="AI421" s="46" t="str">
        <f t="shared" si="181"/>
        <v/>
      </c>
      <c r="AJ421" s="46" t="str">
        <f t="shared" si="182"/>
        <v/>
      </c>
      <c r="AK421" s="46" t="str">
        <f t="shared" si="183"/>
        <v/>
      </c>
      <c r="AL421" s="46" t="str">
        <f t="shared" si="184"/>
        <v/>
      </c>
      <c r="AM421" s="46" t="str">
        <f t="shared" si="185"/>
        <v/>
      </c>
      <c r="AN421" s="46" t="str">
        <f t="shared" si="186"/>
        <v/>
      </c>
      <c r="AO421" s="46" t="str">
        <f t="shared" si="187"/>
        <v/>
      </c>
      <c r="AP421" s="46" t="str">
        <f t="shared" si="188"/>
        <v/>
      </c>
      <c r="AQ421" s="46" t="str">
        <f t="shared" si="189"/>
        <v/>
      </c>
      <c r="AR421" s="46" t="str">
        <f t="shared" si="190"/>
        <v/>
      </c>
      <c r="AS421" s="46" t="str">
        <f t="shared" si="191"/>
        <v/>
      </c>
      <c r="AT421" s="46" t="str">
        <f t="shared" si="192"/>
        <v/>
      </c>
      <c r="AU421" s="46" t="str">
        <f t="shared" si="193"/>
        <v/>
      </c>
      <c r="AV421" s="46" t="str">
        <f t="shared" si="194"/>
        <v/>
      </c>
      <c r="AW421" s="46" t="str">
        <f t="shared" si="195"/>
        <v/>
      </c>
    </row>
    <row r="422" spans="4:49">
      <c r="D422" s="34"/>
      <c r="E422" s="34"/>
      <c r="F422" s="34"/>
      <c r="G422" s="34"/>
      <c r="H422" s="4"/>
      <c r="I422" s="4"/>
      <c r="J422" s="4"/>
      <c r="K422" s="3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37"/>
      <c r="X422" s="1"/>
      <c r="Y422" s="18">
        <f t="shared" si="171"/>
        <v>0</v>
      </c>
      <c r="Z422" s="21">
        <f t="shared" si="172"/>
        <v>0</v>
      </c>
      <c r="AA422" s="10">
        <f t="shared" si="173"/>
        <v>0</v>
      </c>
      <c r="AB422" s="10">
        <f t="shared" si="174"/>
        <v>0</v>
      </c>
      <c r="AC422" s="10">
        <f t="shared" si="175"/>
        <v>0</v>
      </c>
      <c r="AD422" s="46" t="str">
        <f t="shared" si="176"/>
        <v/>
      </c>
      <c r="AE422" s="46" t="str">
        <f t="shared" si="177"/>
        <v/>
      </c>
      <c r="AF422" s="46" t="str">
        <f t="shared" si="178"/>
        <v/>
      </c>
      <c r="AG422" s="46" t="str">
        <f t="shared" si="179"/>
        <v/>
      </c>
      <c r="AH422" s="46" t="str">
        <f t="shared" si="180"/>
        <v/>
      </c>
      <c r="AI422" s="46" t="str">
        <f t="shared" si="181"/>
        <v/>
      </c>
      <c r="AJ422" s="46" t="str">
        <f t="shared" si="182"/>
        <v/>
      </c>
      <c r="AK422" s="46" t="str">
        <f t="shared" si="183"/>
        <v/>
      </c>
      <c r="AL422" s="46" t="str">
        <f t="shared" si="184"/>
        <v/>
      </c>
      <c r="AM422" s="46" t="str">
        <f t="shared" si="185"/>
        <v/>
      </c>
      <c r="AN422" s="46" t="str">
        <f t="shared" si="186"/>
        <v/>
      </c>
      <c r="AO422" s="46" t="str">
        <f t="shared" si="187"/>
        <v/>
      </c>
      <c r="AP422" s="46" t="str">
        <f t="shared" si="188"/>
        <v/>
      </c>
      <c r="AQ422" s="46" t="str">
        <f t="shared" si="189"/>
        <v/>
      </c>
      <c r="AR422" s="46" t="str">
        <f t="shared" si="190"/>
        <v/>
      </c>
      <c r="AS422" s="46" t="str">
        <f t="shared" si="191"/>
        <v/>
      </c>
      <c r="AT422" s="46" t="str">
        <f t="shared" si="192"/>
        <v/>
      </c>
      <c r="AU422" s="46" t="str">
        <f t="shared" si="193"/>
        <v/>
      </c>
      <c r="AV422" s="46" t="str">
        <f t="shared" si="194"/>
        <v/>
      </c>
      <c r="AW422" s="46" t="str">
        <f t="shared" si="195"/>
        <v/>
      </c>
    </row>
    <row r="423" spans="4:49">
      <c r="D423" s="34"/>
      <c r="E423" s="34"/>
      <c r="F423" s="34"/>
      <c r="G423" s="34"/>
      <c r="H423" s="4"/>
      <c r="I423" s="4"/>
      <c r="J423" s="4"/>
      <c r="K423" s="3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37"/>
      <c r="X423" s="1"/>
      <c r="Y423" s="18">
        <f t="shared" si="171"/>
        <v>0</v>
      </c>
      <c r="Z423" s="21">
        <f t="shared" si="172"/>
        <v>0</v>
      </c>
      <c r="AA423" s="10">
        <f t="shared" si="173"/>
        <v>0</v>
      </c>
      <c r="AB423" s="10">
        <f t="shared" si="174"/>
        <v>0</v>
      </c>
      <c r="AC423" s="10">
        <f t="shared" si="175"/>
        <v>0</v>
      </c>
      <c r="AD423" s="46" t="str">
        <f t="shared" si="176"/>
        <v/>
      </c>
      <c r="AE423" s="46" t="str">
        <f t="shared" si="177"/>
        <v/>
      </c>
      <c r="AF423" s="46" t="str">
        <f t="shared" si="178"/>
        <v/>
      </c>
      <c r="AG423" s="46" t="str">
        <f t="shared" si="179"/>
        <v/>
      </c>
      <c r="AH423" s="46" t="str">
        <f t="shared" si="180"/>
        <v/>
      </c>
      <c r="AI423" s="46" t="str">
        <f t="shared" si="181"/>
        <v/>
      </c>
      <c r="AJ423" s="46" t="str">
        <f t="shared" si="182"/>
        <v/>
      </c>
      <c r="AK423" s="46" t="str">
        <f t="shared" si="183"/>
        <v/>
      </c>
      <c r="AL423" s="46" t="str">
        <f t="shared" si="184"/>
        <v/>
      </c>
      <c r="AM423" s="46" t="str">
        <f t="shared" si="185"/>
        <v/>
      </c>
      <c r="AN423" s="46" t="str">
        <f t="shared" si="186"/>
        <v/>
      </c>
      <c r="AO423" s="46" t="str">
        <f t="shared" si="187"/>
        <v/>
      </c>
      <c r="AP423" s="46" t="str">
        <f t="shared" si="188"/>
        <v/>
      </c>
      <c r="AQ423" s="46" t="str">
        <f t="shared" si="189"/>
        <v/>
      </c>
      <c r="AR423" s="46" t="str">
        <f t="shared" si="190"/>
        <v/>
      </c>
      <c r="AS423" s="46" t="str">
        <f t="shared" si="191"/>
        <v/>
      </c>
      <c r="AT423" s="46" t="str">
        <f t="shared" si="192"/>
        <v/>
      </c>
      <c r="AU423" s="46" t="str">
        <f t="shared" si="193"/>
        <v/>
      </c>
      <c r="AV423" s="46" t="str">
        <f t="shared" si="194"/>
        <v/>
      </c>
      <c r="AW423" s="46" t="str">
        <f t="shared" si="195"/>
        <v/>
      </c>
    </row>
    <row r="424" spans="4:49">
      <c r="D424" s="34"/>
      <c r="E424" s="34"/>
      <c r="F424" s="34"/>
      <c r="G424" s="34"/>
      <c r="H424" s="4"/>
      <c r="I424" s="4"/>
      <c r="J424" s="4"/>
      <c r="K424" s="3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37"/>
      <c r="X424" s="1"/>
      <c r="Y424" s="18">
        <f t="shared" si="171"/>
        <v>0</v>
      </c>
      <c r="Z424" s="21">
        <f t="shared" si="172"/>
        <v>0</v>
      </c>
      <c r="AA424" s="10">
        <f t="shared" si="173"/>
        <v>0</v>
      </c>
      <c r="AB424" s="10">
        <f t="shared" si="174"/>
        <v>0</v>
      </c>
      <c r="AC424" s="10">
        <f t="shared" si="175"/>
        <v>0</v>
      </c>
      <c r="AD424" s="46" t="str">
        <f t="shared" si="176"/>
        <v/>
      </c>
      <c r="AE424" s="46" t="str">
        <f t="shared" si="177"/>
        <v/>
      </c>
      <c r="AF424" s="46" t="str">
        <f t="shared" si="178"/>
        <v/>
      </c>
      <c r="AG424" s="46" t="str">
        <f t="shared" si="179"/>
        <v/>
      </c>
      <c r="AH424" s="46" t="str">
        <f t="shared" si="180"/>
        <v/>
      </c>
      <c r="AI424" s="46" t="str">
        <f t="shared" si="181"/>
        <v/>
      </c>
      <c r="AJ424" s="46" t="str">
        <f t="shared" si="182"/>
        <v/>
      </c>
      <c r="AK424" s="46" t="str">
        <f t="shared" si="183"/>
        <v/>
      </c>
      <c r="AL424" s="46" t="str">
        <f t="shared" si="184"/>
        <v/>
      </c>
      <c r="AM424" s="46" t="str">
        <f t="shared" si="185"/>
        <v/>
      </c>
      <c r="AN424" s="46" t="str">
        <f t="shared" si="186"/>
        <v/>
      </c>
      <c r="AO424" s="46" t="str">
        <f t="shared" si="187"/>
        <v/>
      </c>
      <c r="AP424" s="46" t="str">
        <f t="shared" si="188"/>
        <v/>
      </c>
      <c r="AQ424" s="46" t="str">
        <f t="shared" si="189"/>
        <v/>
      </c>
      <c r="AR424" s="46" t="str">
        <f t="shared" si="190"/>
        <v/>
      </c>
      <c r="AS424" s="46" t="str">
        <f t="shared" si="191"/>
        <v/>
      </c>
      <c r="AT424" s="46" t="str">
        <f t="shared" si="192"/>
        <v/>
      </c>
      <c r="AU424" s="46" t="str">
        <f t="shared" si="193"/>
        <v/>
      </c>
      <c r="AV424" s="46" t="str">
        <f t="shared" si="194"/>
        <v/>
      </c>
      <c r="AW424" s="46" t="str">
        <f t="shared" si="195"/>
        <v/>
      </c>
    </row>
    <row r="425" spans="4:49">
      <c r="D425" s="34"/>
      <c r="E425" s="34"/>
      <c r="F425" s="34"/>
      <c r="G425" s="34"/>
      <c r="H425" s="4"/>
      <c r="I425" s="4"/>
      <c r="J425" s="4"/>
      <c r="K425" s="3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37"/>
      <c r="X425" s="1"/>
      <c r="Y425" s="18">
        <f t="shared" si="171"/>
        <v>0</v>
      </c>
      <c r="Z425" s="21">
        <f t="shared" si="172"/>
        <v>0</v>
      </c>
      <c r="AA425" s="10">
        <f t="shared" si="173"/>
        <v>0</v>
      </c>
      <c r="AB425" s="10">
        <f t="shared" si="174"/>
        <v>0</v>
      </c>
      <c r="AC425" s="10">
        <f t="shared" si="175"/>
        <v>0</v>
      </c>
      <c r="AD425" s="46" t="str">
        <f t="shared" si="176"/>
        <v/>
      </c>
      <c r="AE425" s="46" t="str">
        <f t="shared" si="177"/>
        <v/>
      </c>
      <c r="AF425" s="46" t="str">
        <f t="shared" si="178"/>
        <v/>
      </c>
      <c r="AG425" s="46" t="str">
        <f t="shared" si="179"/>
        <v/>
      </c>
      <c r="AH425" s="46" t="str">
        <f t="shared" si="180"/>
        <v/>
      </c>
      <c r="AI425" s="46" t="str">
        <f t="shared" si="181"/>
        <v/>
      </c>
      <c r="AJ425" s="46" t="str">
        <f t="shared" si="182"/>
        <v/>
      </c>
      <c r="AK425" s="46" t="str">
        <f t="shared" si="183"/>
        <v/>
      </c>
      <c r="AL425" s="46" t="str">
        <f t="shared" si="184"/>
        <v/>
      </c>
      <c r="AM425" s="46" t="str">
        <f t="shared" si="185"/>
        <v/>
      </c>
      <c r="AN425" s="46" t="str">
        <f t="shared" si="186"/>
        <v/>
      </c>
      <c r="AO425" s="46" t="str">
        <f t="shared" si="187"/>
        <v/>
      </c>
      <c r="AP425" s="46" t="str">
        <f t="shared" si="188"/>
        <v/>
      </c>
      <c r="AQ425" s="46" t="str">
        <f t="shared" si="189"/>
        <v/>
      </c>
      <c r="AR425" s="46" t="str">
        <f t="shared" si="190"/>
        <v/>
      </c>
      <c r="AS425" s="46" t="str">
        <f t="shared" si="191"/>
        <v/>
      </c>
      <c r="AT425" s="46" t="str">
        <f t="shared" si="192"/>
        <v/>
      </c>
      <c r="AU425" s="46" t="str">
        <f t="shared" si="193"/>
        <v/>
      </c>
      <c r="AV425" s="46" t="str">
        <f t="shared" si="194"/>
        <v/>
      </c>
      <c r="AW425" s="46" t="str">
        <f t="shared" si="195"/>
        <v/>
      </c>
    </row>
    <row r="426" spans="4:49">
      <c r="D426" s="34"/>
      <c r="E426" s="34"/>
      <c r="F426" s="34"/>
      <c r="G426" s="34"/>
      <c r="H426" s="4"/>
      <c r="I426" s="4"/>
      <c r="J426" s="4"/>
      <c r="K426" s="3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37"/>
      <c r="X426" s="1"/>
      <c r="Y426" s="18">
        <f t="shared" si="171"/>
        <v>0</v>
      </c>
      <c r="Z426" s="21">
        <f t="shared" si="172"/>
        <v>0</v>
      </c>
      <c r="AA426" s="10">
        <f t="shared" si="173"/>
        <v>0</v>
      </c>
      <c r="AB426" s="10">
        <f t="shared" si="174"/>
        <v>0</v>
      </c>
      <c r="AC426" s="10">
        <f t="shared" si="175"/>
        <v>0</v>
      </c>
      <c r="AD426" s="46" t="str">
        <f t="shared" si="176"/>
        <v/>
      </c>
      <c r="AE426" s="46" t="str">
        <f t="shared" si="177"/>
        <v/>
      </c>
      <c r="AF426" s="46" t="str">
        <f t="shared" si="178"/>
        <v/>
      </c>
      <c r="AG426" s="46" t="str">
        <f t="shared" si="179"/>
        <v/>
      </c>
      <c r="AH426" s="46" t="str">
        <f t="shared" si="180"/>
        <v/>
      </c>
      <c r="AI426" s="46" t="str">
        <f t="shared" si="181"/>
        <v/>
      </c>
      <c r="AJ426" s="46" t="str">
        <f t="shared" si="182"/>
        <v/>
      </c>
      <c r="AK426" s="46" t="str">
        <f t="shared" si="183"/>
        <v/>
      </c>
      <c r="AL426" s="46" t="str">
        <f t="shared" si="184"/>
        <v/>
      </c>
      <c r="AM426" s="46" t="str">
        <f t="shared" si="185"/>
        <v/>
      </c>
      <c r="AN426" s="46" t="str">
        <f t="shared" si="186"/>
        <v/>
      </c>
      <c r="AO426" s="46" t="str">
        <f t="shared" si="187"/>
        <v/>
      </c>
      <c r="AP426" s="46" t="str">
        <f t="shared" si="188"/>
        <v/>
      </c>
      <c r="AQ426" s="46" t="str">
        <f t="shared" si="189"/>
        <v/>
      </c>
      <c r="AR426" s="46" t="str">
        <f t="shared" si="190"/>
        <v/>
      </c>
      <c r="AS426" s="46" t="str">
        <f t="shared" si="191"/>
        <v/>
      </c>
      <c r="AT426" s="46" t="str">
        <f t="shared" si="192"/>
        <v/>
      </c>
      <c r="AU426" s="46" t="str">
        <f t="shared" si="193"/>
        <v/>
      </c>
      <c r="AV426" s="46" t="str">
        <f t="shared" si="194"/>
        <v/>
      </c>
      <c r="AW426" s="46" t="str">
        <f t="shared" si="195"/>
        <v/>
      </c>
    </row>
    <row r="427" spans="4:49">
      <c r="D427" s="34"/>
      <c r="E427" s="34"/>
      <c r="F427" s="34"/>
      <c r="G427" s="34"/>
      <c r="H427" s="4"/>
      <c r="I427" s="4"/>
      <c r="J427" s="4"/>
      <c r="K427" s="3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37"/>
      <c r="X427" s="1"/>
      <c r="Y427" s="18">
        <f t="shared" si="171"/>
        <v>0</v>
      </c>
      <c r="Z427" s="21">
        <f t="shared" si="172"/>
        <v>0</v>
      </c>
      <c r="AA427" s="10">
        <f t="shared" si="173"/>
        <v>0</v>
      </c>
      <c r="AB427" s="10">
        <f t="shared" si="174"/>
        <v>0</v>
      </c>
      <c r="AC427" s="10">
        <f t="shared" si="175"/>
        <v>0</v>
      </c>
      <c r="AD427" s="46" t="str">
        <f t="shared" si="176"/>
        <v/>
      </c>
      <c r="AE427" s="46" t="str">
        <f t="shared" si="177"/>
        <v/>
      </c>
      <c r="AF427" s="46" t="str">
        <f t="shared" si="178"/>
        <v/>
      </c>
      <c r="AG427" s="46" t="str">
        <f t="shared" si="179"/>
        <v/>
      </c>
      <c r="AH427" s="46" t="str">
        <f t="shared" si="180"/>
        <v/>
      </c>
      <c r="AI427" s="46" t="str">
        <f t="shared" si="181"/>
        <v/>
      </c>
      <c r="AJ427" s="46" t="str">
        <f t="shared" si="182"/>
        <v/>
      </c>
      <c r="AK427" s="46" t="str">
        <f t="shared" si="183"/>
        <v/>
      </c>
      <c r="AL427" s="46" t="str">
        <f t="shared" si="184"/>
        <v/>
      </c>
      <c r="AM427" s="46" t="str">
        <f t="shared" si="185"/>
        <v/>
      </c>
      <c r="AN427" s="46" t="str">
        <f t="shared" si="186"/>
        <v/>
      </c>
      <c r="AO427" s="46" t="str">
        <f t="shared" si="187"/>
        <v/>
      </c>
      <c r="AP427" s="46" t="str">
        <f t="shared" si="188"/>
        <v/>
      </c>
      <c r="AQ427" s="46" t="str">
        <f t="shared" si="189"/>
        <v/>
      </c>
      <c r="AR427" s="46" t="str">
        <f t="shared" si="190"/>
        <v/>
      </c>
      <c r="AS427" s="46" t="str">
        <f t="shared" si="191"/>
        <v/>
      </c>
      <c r="AT427" s="46" t="str">
        <f t="shared" si="192"/>
        <v/>
      </c>
      <c r="AU427" s="46" t="str">
        <f t="shared" si="193"/>
        <v/>
      </c>
      <c r="AV427" s="46" t="str">
        <f t="shared" si="194"/>
        <v/>
      </c>
      <c r="AW427" s="46" t="str">
        <f t="shared" si="195"/>
        <v/>
      </c>
    </row>
    <row r="428" spans="4:49">
      <c r="D428" s="34"/>
      <c r="E428" s="34"/>
      <c r="F428" s="34"/>
      <c r="G428" s="34"/>
      <c r="H428" s="4"/>
      <c r="I428" s="4"/>
      <c r="J428" s="4"/>
      <c r="K428" s="3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37"/>
      <c r="X428" s="1"/>
      <c r="Y428" s="18">
        <f t="shared" si="171"/>
        <v>0</v>
      </c>
      <c r="Z428" s="21">
        <f t="shared" si="172"/>
        <v>0</v>
      </c>
      <c r="AA428" s="10">
        <f t="shared" si="173"/>
        <v>0</v>
      </c>
      <c r="AB428" s="10">
        <f t="shared" si="174"/>
        <v>0</v>
      </c>
      <c r="AC428" s="10">
        <f t="shared" si="175"/>
        <v>0</v>
      </c>
      <c r="AD428" s="46" t="str">
        <f t="shared" si="176"/>
        <v/>
      </c>
      <c r="AE428" s="46" t="str">
        <f t="shared" si="177"/>
        <v/>
      </c>
      <c r="AF428" s="46" t="str">
        <f t="shared" si="178"/>
        <v/>
      </c>
      <c r="AG428" s="46" t="str">
        <f t="shared" si="179"/>
        <v/>
      </c>
      <c r="AH428" s="46" t="str">
        <f t="shared" si="180"/>
        <v/>
      </c>
      <c r="AI428" s="46" t="str">
        <f t="shared" si="181"/>
        <v/>
      </c>
      <c r="AJ428" s="46" t="str">
        <f t="shared" si="182"/>
        <v/>
      </c>
      <c r="AK428" s="46" t="str">
        <f t="shared" si="183"/>
        <v/>
      </c>
      <c r="AL428" s="46" t="str">
        <f t="shared" si="184"/>
        <v/>
      </c>
      <c r="AM428" s="46" t="str">
        <f t="shared" si="185"/>
        <v/>
      </c>
      <c r="AN428" s="46" t="str">
        <f t="shared" si="186"/>
        <v/>
      </c>
      <c r="AO428" s="46" t="str">
        <f t="shared" si="187"/>
        <v/>
      </c>
      <c r="AP428" s="46" t="str">
        <f t="shared" si="188"/>
        <v/>
      </c>
      <c r="AQ428" s="46" t="str">
        <f t="shared" si="189"/>
        <v/>
      </c>
      <c r="AR428" s="46" t="str">
        <f t="shared" si="190"/>
        <v/>
      </c>
      <c r="AS428" s="46" t="str">
        <f t="shared" si="191"/>
        <v/>
      </c>
      <c r="AT428" s="46" t="str">
        <f t="shared" si="192"/>
        <v/>
      </c>
      <c r="AU428" s="46" t="str">
        <f t="shared" si="193"/>
        <v/>
      </c>
      <c r="AV428" s="46" t="str">
        <f t="shared" si="194"/>
        <v/>
      </c>
      <c r="AW428" s="46" t="str">
        <f t="shared" si="195"/>
        <v/>
      </c>
    </row>
    <row r="429" spans="4:49">
      <c r="D429" s="34"/>
      <c r="E429" s="34"/>
      <c r="F429" s="34"/>
      <c r="G429" s="34"/>
      <c r="H429" s="4"/>
      <c r="I429" s="4"/>
      <c r="J429" s="4"/>
      <c r="K429" s="3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37"/>
      <c r="X429" s="1"/>
      <c r="Y429" s="18">
        <f t="shared" si="171"/>
        <v>0</v>
      </c>
      <c r="Z429" s="21">
        <f t="shared" si="172"/>
        <v>0</v>
      </c>
      <c r="AA429" s="10">
        <f t="shared" si="173"/>
        <v>0</v>
      </c>
      <c r="AB429" s="10">
        <f t="shared" si="174"/>
        <v>0</v>
      </c>
      <c r="AC429" s="10">
        <f t="shared" si="175"/>
        <v>0</v>
      </c>
      <c r="AD429" s="46" t="str">
        <f t="shared" si="176"/>
        <v/>
      </c>
      <c r="AE429" s="46" t="str">
        <f t="shared" si="177"/>
        <v/>
      </c>
      <c r="AF429" s="46" t="str">
        <f t="shared" si="178"/>
        <v/>
      </c>
      <c r="AG429" s="46" t="str">
        <f t="shared" si="179"/>
        <v/>
      </c>
      <c r="AH429" s="46" t="str">
        <f t="shared" si="180"/>
        <v/>
      </c>
      <c r="AI429" s="46" t="str">
        <f t="shared" si="181"/>
        <v/>
      </c>
      <c r="AJ429" s="46" t="str">
        <f t="shared" si="182"/>
        <v/>
      </c>
      <c r="AK429" s="46" t="str">
        <f t="shared" si="183"/>
        <v/>
      </c>
      <c r="AL429" s="46" t="str">
        <f t="shared" si="184"/>
        <v/>
      </c>
      <c r="AM429" s="46" t="str">
        <f t="shared" si="185"/>
        <v/>
      </c>
      <c r="AN429" s="46" t="str">
        <f t="shared" si="186"/>
        <v/>
      </c>
      <c r="AO429" s="46" t="str">
        <f t="shared" si="187"/>
        <v/>
      </c>
      <c r="AP429" s="46" t="str">
        <f t="shared" si="188"/>
        <v/>
      </c>
      <c r="AQ429" s="46" t="str">
        <f t="shared" si="189"/>
        <v/>
      </c>
      <c r="AR429" s="46" t="str">
        <f t="shared" si="190"/>
        <v/>
      </c>
      <c r="AS429" s="46" t="str">
        <f t="shared" si="191"/>
        <v/>
      </c>
      <c r="AT429" s="46" t="str">
        <f t="shared" si="192"/>
        <v/>
      </c>
      <c r="AU429" s="46" t="str">
        <f t="shared" si="193"/>
        <v/>
      </c>
      <c r="AV429" s="46" t="str">
        <f t="shared" si="194"/>
        <v/>
      </c>
      <c r="AW429" s="46" t="str">
        <f t="shared" si="195"/>
        <v/>
      </c>
    </row>
    <row r="430" spans="4:49">
      <c r="D430" s="34"/>
      <c r="E430" s="34"/>
      <c r="F430" s="34"/>
      <c r="G430" s="34"/>
      <c r="H430" s="4"/>
      <c r="I430" s="4"/>
      <c r="J430" s="4"/>
      <c r="K430" s="3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37"/>
      <c r="X430" s="1"/>
      <c r="Y430" s="18">
        <f t="shared" si="171"/>
        <v>0</v>
      </c>
      <c r="Z430" s="21">
        <f t="shared" si="172"/>
        <v>0</v>
      </c>
      <c r="AA430" s="10">
        <f t="shared" si="173"/>
        <v>0</v>
      </c>
      <c r="AB430" s="10">
        <f t="shared" si="174"/>
        <v>0</v>
      </c>
      <c r="AC430" s="10">
        <f t="shared" si="175"/>
        <v>0</v>
      </c>
      <c r="AD430" s="46" t="str">
        <f t="shared" si="176"/>
        <v/>
      </c>
      <c r="AE430" s="46" t="str">
        <f t="shared" si="177"/>
        <v/>
      </c>
      <c r="AF430" s="46" t="str">
        <f t="shared" si="178"/>
        <v/>
      </c>
      <c r="AG430" s="46" t="str">
        <f t="shared" si="179"/>
        <v/>
      </c>
      <c r="AH430" s="46" t="str">
        <f t="shared" si="180"/>
        <v/>
      </c>
      <c r="AI430" s="46" t="str">
        <f t="shared" si="181"/>
        <v/>
      </c>
      <c r="AJ430" s="46" t="str">
        <f t="shared" si="182"/>
        <v/>
      </c>
      <c r="AK430" s="46" t="str">
        <f t="shared" si="183"/>
        <v/>
      </c>
      <c r="AL430" s="46" t="str">
        <f t="shared" si="184"/>
        <v/>
      </c>
      <c r="AM430" s="46" t="str">
        <f t="shared" si="185"/>
        <v/>
      </c>
      <c r="AN430" s="46" t="str">
        <f t="shared" si="186"/>
        <v/>
      </c>
      <c r="AO430" s="46" t="str">
        <f t="shared" si="187"/>
        <v/>
      </c>
      <c r="AP430" s="46" t="str">
        <f t="shared" si="188"/>
        <v/>
      </c>
      <c r="AQ430" s="46" t="str">
        <f t="shared" si="189"/>
        <v/>
      </c>
      <c r="AR430" s="46" t="str">
        <f t="shared" si="190"/>
        <v/>
      </c>
      <c r="AS430" s="46" t="str">
        <f t="shared" si="191"/>
        <v/>
      </c>
      <c r="AT430" s="46" t="str">
        <f t="shared" si="192"/>
        <v/>
      </c>
      <c r="AU430" s="46" t="str">
        <f t="shared" si="193"/>
        <v/>
      </c>
      <c r="AV430" s="46" t="str">
        <f t="shared" si="194"/>
        <v/>
      </c>
      <c r="AW430" s="46" t="str">
        <f t="shared" si="195"/>
        <v/>
      </c>
    </row>
    <row r="431" spans="4:49">
      <c r="D431" s="34"/>
      <c r="E431" s="34"/>
      <c r="F431" s="34"/>
      <c r="G431" s="34"/>
      <c r="H431" s="4"/>
      <c r="I431" s="4"/>
      <c r="J431" s="4"/>
      <c r="K431" s="3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37"/>
      <c r="X431" s="1"/>
      <c r="Y431" s="18">
        <f t="shared" si="171"/>
        <v>0</v>
      </c>
      <c r="Z431" s="21">
        <f t="shared" si="172"/>
        <v>0</v>
      </c>
      <c r="AA431" s="10">
        <f t="shared" si="173"/>
        <v>0</v>
      </c>
      <c r="AB431" s="10">
        <f t="shared" si="174"/>
        <v>0</v>
      </c>
      <c r="AC431" s="10">
        <f t="shared" si="175"/>
        <v>0</v>
      </c>
      <c r="AD431" s="46" t="str">
        <f t="shared" si="176"/>
        <v/>
      </c>
      <c r="AE431" s="46" t="str">
        <f t="shared" si="177"/>
        <v/>
      </c>
      <c r="AF431" s="46" t="str">
        <f t="shared" si="178"/>
        <v/>
      </c>
      <c r="AG431" s="46" t="str">
        <f t="shared" si="179"/>
        <v/>
      </c>
      <c r="AH431" s="46" t="str">
        <f t="shared" si="180"/>
        <v/>
      </c>
      <c r="AI431" s="46" t="str">
        <f t="shared" si="181"/>
        <v/>
      </c>
      <c r="AJ431" s="46" t="str">
        <f t="shared" si="182"/>
        <v/>
      </c>
      <c r="AK431" s="46" t="str">
        <f t="shared" si="183"/>
        <v/>
      </c>
      <c r="AL431" s="46" t="str">
        <f t="shared" si="184"/>
        <v/>
      </c>
      <c r="AM431" s="46" t="str">
        <f t="shared" si="185"/>
        <v/>
      </c>
      <c r="AN431" s="46" t="str">
        <f t="shared" si="186"/>
        <v/>
      </c>
      <c r="AO431" s="46" t="str">
        <f t="shared" si="187"/>
        <v/>
      </c>
      <c r="AP431" s="46" t="str">
        <f t="shared" si="188"/>
        <v/>
      </c>
      <c r="AQ431" s="46" t="str">
        <f t="shared" si="189"/>
        <v/>
      </c>
      <c r="AR431" s="46" t="str">
        <f t="shared" si="190"/>
        <v/>
      </c>
      <c r="AS431" s="46" t="str">
        <f t="shared" si="191"/>
        <v/>
      </c>
      <c r="AT431" s="46" t="str">
        <f t="shared" si="192"/>
        <v/>
      </c>
      <c r="AU431" s="46" t="str">
        <f t="shared" si="193"/>
        <v/>
      </c>
      <c r="AV431" s="46" t="str">
        <f t="shared" si="194"/>
        <v/>
      </c>
      <c r="AW431" s="46" t="str">
        <f t="shared" si="195"/>
        <v/>
      </c>
    </row>
    <row r="432" spans="4:49">
      <c r="D432" s="34"/>
      <c r="E432" s="34"/>
      <c r="F432" s="34"/>
      <c r="G432" s="34"/>
      <c r="H432" s="4"/>
      <c r="I432" s="4"/>
      <c r="J432" s="4"/>
      <c r="K432" s="3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37"/>
      <c r="X432" s="1"/>
      <c r="Y432" s="18">
        <f t="shared" si="171"/>
        <v>0</v>
      </c>
      <c r="Z432" s="21">
        <f t="shared" si="172"/>
        <v>0</v>
      </c>
      <c r="AA432" s="10">
        <f t="shared" si="173"/>
        <v>0</v>
      </c>
      <c r="AB432" s="10">
        <f t="shared" si="174"/>
        <v>0</v>
      </c>
      <c r="AC432" s="10">
        <f t="shared" si="175"/>
        <v>0</v>
      </c>
      <c r="AD432" s="46" t="str">
        <f t="shared" si="176"/>
        <v/>
      </c>
      <c r="AE432" s="46" t="str">
        <f t="shared" si="177"/>
        <v/>
      </c>
      <c r="AF432" s="46" t="str">
        <f t="shared" si="178"/>
        <v/>
      </c>
      <c r="AG432" s="46" t="str">
        <f t="shared" si="179"/>
        <v/>
      </c>
      <c r="AH432" s="46" t="str">
        <f t="shared" si="180"/>
        <v/>
      </c>
      <c r="AI432" s="46" t="str">
        <f t="shared" si="181"/>
        <v/>
      </c>
      <c r="AJ432" s="46" t="str">
        <f t="shared" si="182"/>
        <v/>
      </c>
      <c r="AK432" s="46" t="str">
        <f t="shared" si="183"/>
        <v/>
      </c>
      <c r="AL432" s="46" t="str">
        <f t="shared" si="184"/>
        <v/>
      </c>
      <c r="AM432" s="46" t="str">
        <f t="shared" si="185"/>
        <v/>
      </c>
      <c r="AN432" s="46" t="str">
        <f t="shared" si="186"/>
        <v/>
      </c>
      <c r="AO432" s="46" t="str">
        <f t="shared" si="187"/>
        <v/>
      </c>
      <c r="AP432" s="46" t="str">
        <f t="shared" si="188"/>
        <v/>
      </c>
      <c r="AQ432" s="46" t="str">
        <f t="shared" si="189"/>
        <v/>
      </c>
      <c r="AR432" s="46" t="str">
        <f t="shared" si="190"/>
        <v/>
      </c>
      <c r="AS432" s="46" t="str">
        <f t="shared" si="191"/>
        <v/>
      </c>
      <c r="AT432" s="46" t="str">
        <f t="shared" si="192"/>
        <v/>
      </c>
      <c r="AU432" s="46" t="str">
        <f t="shared" si="193"/>
        <v/>
      </c>
      <c r="AV432" s="46" t="str">
        <f t="shared" si="194"/>
        <v/>
      </c>
      <c r="AW432" s="46" t="str">
        <f t="shared" si="195"/>
        <v/>
      </c>
    </row>
    <row r="433" spans="4:49">
      <c r="D433" s="34"/>
      <c r="E433" s="34"/>
      <c r="F433" s="34"/>
      <c r="G433" s="34"/>
      <c r="H433" s="4"/>
      <c r="I433" s="4"/>
      <c r="J433" s="4"/>
      <c r="K433" s="3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37"/>
      <c r="X433" s="1"/>
      <c r="Y433" s="18">
        <f t="shared" si="171"/>
        <v>0</v>
      </c>
      <c r="Z433" s="21">
        <f t="shared" si="172"/>
        <v>0</v>
      </c>
      <c r="AA433" s="10">
        <f t="shared" si="173"/>
        <v>0</v>
      </c>
      <c r="AB433" s="10">
        <f t="shared" si="174"/>
        <v>0</v>
      </c>
      <c r="AC433" s="10">
        <f t="shared" si="175"/>
        <v>0</v>
      </c>
      <c r="AD433" s="46" t="str">
        <f t="shared" si="176"/>
        <v/>
      </c>
      <c r="AE433" s="46" t="str">
        <f t="shared" si="177"/>
        <v/>
      </c>
      <c r="AF433" s="46" t="str">
        <f t="shared" si="178"/>
        <v/>
      </c>
      <c r="AG433" s="46" t="str">
        <f t="shared" si="179"/>
        <v/>
      </c>
      <c r="AH433" s="46" t="str">
        <f t="shared" si="180"/>
        <v/>
      </c>
      <c r="AI433" s="46" t="str">
        <f t="shared" si="181"/>
        <v/>
      </c>
      <c r="AJ433" s="46" t="str">
        <f t="shared" si="182"/>
        <v/>
      </c>
      <c r="AK433" s="46" t="str">
        <f t="shared" si="183"/>
        <v/>
      </c>
      <c r="AL433" s="46" t="str">
        <f t="shared" si="184"/>
        <v/>
      </c>
      <c r="AM433" s="46" t="str">
        <f t="shared" si="185"/>
        <v/>
      </c>
      <c r="AN433" s="46" t="str">
        <f t="shared" si="186"/>
        <v/>
      </c>
      <c r="AO433" s="46" t="str">
        <f t="shared" si="187"/>
        <v/>
      </c>
      <c r="AP433" s="46" t="str">
        <f t="shared" si="188"/>
        <v/>
      </c>
      <c r="AQ433" s="46" t="str">
        <f t="shared" si="189"/>
        <v/>
      </c>
      <c r="AR433" s="46" t="str">
        <f t="shared" si="190"/>
        <v/>
      </c>
      <c r="AS433" s="46" t="str">
        <f t="shared" si="191"/>
        <v/>
      </c>
      <c r="AT433" s="46" t="str">
        <f t="shared" si="192"/>
        <v/>
      </c>
      <c r="AU433" s="46" t="str">
        <f t="shared" si="193"/>
        <v/>
      </c>
      <c r="AV433" s="46" t="str">
        <f t="shared" si="194"/>
        <v/>
      </c>
      <c r="AW433" s="46" t="str">
        <f t="shared" si="195"/>
        <v/>
      </c>
    </row>
    <row r="434" spans="4:49">
      <c r="D434" s="34"/>
      <c r="E434" s="34"/>
      <c r="F434" s="34"/>
      <c r="G434" s="34"/>
      <c r="H434" s="4"/>
      <c r="I434" s="4"/>
      <c r="J434" s="4"/>
      <c r="K434" s="3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37"/>
      <c r="X434" s="1"/>
      <c r="Y434" s="18">
        <f t="shared" si="171"/>
        <v>0</v>
      </c>
      <c r="Z434" s="21">
        <f t="shared" si="172"/>
        <v>0</v>
      </c>
      <c r="AA434" s="10">
        <f t="shared" si="173"/>
        <v>0</v>
      </c>
      <c r="AB434" s="10">
        <f t="shared" si="174"/>
        <v>0</v>
      </c>
      <c r="AC434" s="10">
        <f t="shared" si="175"/>
        <v>0</v>
      </c>
      <c r="AD434" s="46" t="str">
        <f t="shared" si="176"/>
        <v/>
      </c>
      <c r="AE434" s="46" t="str">
        <f t="shared" si="177"/>
        <v/>
      </c>
      <c r="AF434" s="46" t="str">
        <f t="shared" si="178"/>
        <v/>
      </c>
      <c r="AG434" s="46" t="str">
        <f t="shared" si="179"/>
        <v/>
      </c>
      <c r="AH434" s="46" t="str">
        <f t="shared" si="180"/>
        <v/>
      </c>
      <c r="AI434" s="46" t="str">
        <f t="shared" si="181"/>
        <v/>
      </c>
      <c r="AJ434" s="46" t="str">
        <f t="shared" si="182"/>
        <v/>
      </c>
      <c r="AK434" s="46" t="str">
        <f t="shared" si="183"/>
        <v/>
      </c>
      <c r="AL434" s="46" t="str">
        <f t="shared" si="184"/>
        <v/>
      </c>
      <c r="AM434" s="46" t="str">
        <f t="shared" si="185"/>
        <v/>
      </c>
      <c r="AN434" s="46" t="str">
        <f t="shared" si="186"/>
        <v/>
      </c>
      <c r="AO434" s="46" t="str">
        <f t="shared" si="187"/>
        <v/>
      </c>
      <c r="AP434" s="46" t="str">
        <f t="shared" si="188"/>
        <v/>
      </c>
      <c r="AQ434" s="46" t="str">
        <f t="shared" si="189"/>
        <v/>
      </c>
      <c r="AR434" s="46" t="str">
        <f t="shared" si="190"/>
        <v/>
      </c>
      <c r="AS434" s="46" t="str">
        <f t="shared" si="191"/>
        <v/>
      </c>
      <c r="AT434" s="46" t="str">
        <f t="shared" si="192"/>
        <v/>
      </c>
      <c r="AU434" s="46" t="str">
        <f t="shared" si="193"/>
        <v/>
      </c>
      <c r="AV434" s="46" t="str">
        <f t="shared" si="194"/>
        <v/>
      </c>
      <c r="AW434" s="46" t="str">
        <f t="shared" si="195"/>
        <v/>
      </c>
    </row>
    <row r="435" spans="4:49">
      <c r="D435" s="34"/>
      <c r="E435" s="34"/>
      <c r="F435" s="34"/>
      <c r="G435" s="34"/>
      <c r="H435" s="4"/>
      <c r="I435" s="4"/>
      <c r="J435" s="4"/>
      <c r="K435" s="3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37"/>
      <c r="X435" s="1"/>
      <c r="Y435" s="18">
        <f t="shared" si="171"/>
        <v>0</v>
      </c>
      <c r="Z435" s="21">
        <f t="shared" si="172"/>
        <v>0</v>
      </c>
      <c r="AA435" s="10">
        <f t="shared" si="173"/>
        <v>0</v>
      </c>
      <c r="AB435" s="10">
        <f t="shared" si="174"/>
        <v>0</v>
      </c>
      <c r="AC435" s="10">
        <f t="shared" si="175"/>
        <v>0</v>
      </c>
      <c r="AD435" s="46" t="str">
        <f t="shared" si="176"/>
        <v/>
      </c>
      <c r="AE435" s="46" t="str">
        <f t="shared" si="177"/>
        <v/>
      </c>
      <c r="AF435" s="46" t="str">
        <f t="shared" si="178"/>
        <v/>
      </c>
      <c r="AG435" s="46" t="str">
        <f t="shared" si="179"/>
        <v/>
      </c>
      <c r="AH435" s="46" t="str">
        <f t="shared" si="180"/>
        <v/>
      </c>
      <c r="AI435" s="46" t="str">
        <f t="shared" si="181"/>
        <v/>
      </c>
      <c r="AJ435" s="46" t="str">
        <f t="shared" si="182"/>
        <v/>
      </c>
      <c r="AK435" s="46" t="str">
        <f t="shared" si="183"/>
        <v/>
      </c>
      <c r="AL435" s="46" t="str">
        <f t="shared" si="184"/>
        <v/>
      </c>
      <c r="AM435" s="46" t="str">
        <f t="shared" si="185"/>
        <v/>
      </c>
      <c r="AN435" s="46" t="str">
        <f t="shared" si="186"/>
        <v/>
      </c>
      <c r="AO435" s="46" t="str">
        <f t="shared" si="187"/>
        <v/>
      </c>
      <c r="AP435" s="46" t="str">
        <f t="shared" si="188"/>
        <v/>
      </c>
      <c r="AQ435" s="46" t="str">
        <f t="shared" si="189"/>
        <v/>
      </c>
      <c r="AR435" s="46" t="str">
        <f t="shared" si="190"/>
        <v/>
      </c>
      <c r="AS435" s="46" t="str">
        <f t="shared" si="191"/>
        <v/>
      </c>
      <c r="AT435" s="46" t="str">
        <f t="shared" si="192"/>
        <v/>
      </c>
      <c r="AU435" s="46" t="str">
        <f t="shared" si="193"/>
        <v/>
      </c>
      <c r="AV435" s="46" t="str">
        <f t="shared" si="194"/>
        <v/>
      </c>
      <c r="AW435" s="46" t="str">
        <f t="shared" si="195"/>
        <v/>
      </c>
    </row>
    <row r="436" spans="4:49">
      <c r="D436" s="34"/>
      <c r="E436" s="34"/>
      <c r="F436" s="34"/>
      <c r="G436" s="34"/>
      <c r="H436" s="4"/>
      <c r="I436" s="4"/>
      <c r="J436" s="4"/>
      <c r="K436" s="3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37"/>
      <c r="X436" s="1"/>
      <c r="Y436" s="18">
        <f t="shared" si="171"/>
        <v>0</v>
      </c>
      <c r="Z436" s="21">
        <f t="shared" si="172"/>
        <v>0</v>
      </c>
      <c r="AA436" s="10">
        <f t="shared" si="173"/>
        <v>0</v>
      </c>
      <c r="AB436" s="10">
        <f t="shared" si="174"/>
        <v>0</v>
      </c>
      <c r="AC436" s="10">
        <f t="shared" si="175"/>
        <v>0</v>
      </c>
      <c r="AD436" s="46" t="str">
        <f t="shared" si="176"/>
        <v/>
      </c>
      <c r="AE436" s="46" t="str">
        <f t="shared" si="177"/>
        <v/>
      </c>
      <c r="AF436" s="46" t="str">
        <f t="shared" si="178"/>
        <v/>
      </c>
      <c r="AG436" s="46" t="str">
        <f t="shared" si="179"/>
        <v/>
      </c>
      <c r="AH436" s="46" t="str">
        <f t="shared" si="180"/>
        <v/>
      </c>
      <c r="AI436" s="46" t="str">
        <f t="shared" si="181"/>
        <v/>
      </c>
      <c r="AJ436" s="46" t="str">
        <f t="shared" si="182"/>
        <v/>
      </c>
      <c r="AK436" s="46" t="str">
        <f t="shared" si="183"/>
        <v/>
      </c>
      <c r="AL436" s="46" t="str">
        <f t="shared" si="184"/>
        <v/>
      </c>
      <c r="AM436" s="46" t="str">
        <f t="shared" si="185"/>
        <v/>
      </c>
      <c r="AN436" s="46" t="str">
        <f t="shared" si="186"/>
        <v/>
      </c>
      <c r="AO436" s="46" t="str">
        <f t="shared" si="187"/>
        <v/>
      </c>
      <c r="AP436" s="46" t="str">
        <f t="shared" si="188"/>
        <v/>
      </c>
      <c r="AQ436" s="46" t="str">
        <f t="shared" si="189"/>
        <v/>
      </c>
      <c r="AR436" s="46" t="str">
        <f t="shared" si="190"/>
        <v/>
      </c>
      <c r="AS436" s="46" t="str">
        <f t="shared" si="191"/>
        <v/>
      </c>
      <c r="AT436" s="46" t="str">
        <f t="shared" si="192"/>
        <v/>
      </c>
      <c r="AU436" s="46" t="str">
        <f t="shared" si="193"/>
        <v/>
      </c>
      <c r="AV436" s="46" t="str">
        <f t="shared" si="194"/>
        <v/>
      </c>
      <c r="AW436" s="46" t="str">
        <f t="shared" si="195"/>
        <v/>
      </c>
    </row>
    <row r="437" spans="4:49">
      <c r="D437" s="34"/>
      <c r="E437" s="34"/>
      <c r="F437" s="34"/>
      <c r="G437" s="34"/>
      <c r="H437" s="4"/>
      <c r="I437" s="4"/>
      <c r="J437" s="4"/>
      <c r="K437" s="3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37"/>
      <c r="X437" s="1"/>
      <c r="Y437" s="18">
        <f t="shared" si="171"/>
        <v>0</v>
      </c>
      <c r="Z437" s="21">
        <f t="shared" si="172"/>
        <v>0</v>
      </c>
      <c r="AA437" s="10">
        <f t="shared" si="173"/>
        <v>0</v>
      </c>
      <c r="AB437" s="10">
        <f t="shared" si="174"/>
        <v>0</v>
      </c>
      <c r="AC437" s="10">
        <f t="shared" si="175"/>
        <v>0</v>
      </c>
      <c r="AD437" s="46" t="str">
        <f t="shared" si="176"/>
        <v/>
      </c>
      <c r="AE437" s="46" t="str">
        <f t="shared" si="177"/>
        <v/>
      </c>
      <c r="AF437" s="46" t="str">
        <f t="shared" si="178"/>
        <v/>
      </c>
      <c r="AG437" s="46" t="str">
        <f t="shared" si="179"/>
        <v/>
      </c>
      <c r="AH437" s="46" t="str">
        <f t="shared" si="180"/>
        <v/>
      </c>
      <c r="AI437" s="46" t="str">
        <f t="shared" si="181"/>
        <v/>
      </c>
      <c r="AJ437" s="46" t="str">
        <f t="shared" si="182"/>
        <v/>
      </c>
      <c r="AK437" s="46" t="str">
        <f t="shared" si="183"/>
        <v/>
      </c>
      <c r="AL437" s="46" t="str">
        <f t="shared" si="184"/>
        <v/>
      </c>
      <c r="AM437" s="46" t="str">
        <f t="shared" si="185"/>
        <v/>
      </c>
      <c r="AN437" s="46" t="str">
        <f t="shared" si="186"/>
        <v/>
      </c>
      <c r="AO437" s="46" t="str">
        <f t="shared" si="187"/>
        <v/>
      </c>
      <c r="AP437" s="46" t="str">
        <f t="shared" si="188"/>
        <v/>
      </c>
      <c r="AQ437" s="46" t="str">
        <f t="shared" si="189"/>
        <v/>
      </c>
      <c r="AR437" s="46" t="str">
        <f t="shared" si="190"/>
        <v/>
      </c>
      <c r="AS437" s="46" t="str">
        <f t="shared" si="191"/>
        <v/>
      </c>
      <c r="AT437" s="46" t="str">
        <f t="shared" si="192"/>
        <v/>
      </c>
      <c r="AU437" s="46" t="str">
        <f t="shared" si="193"/>
        <v/>
      </c>
      <c r="AV437" s="46" t="str">
        <f t="shared" si="194"/>
        <v/>
      </c>
      <c r="AW437" s="46" t="str">
        <f t="shared" si="195"/>
        <v/>
      </c>
    </row>
    <row r="438" spans="4:49">
      <c r="D438" s="34"/>
      <c r="E438" s="34"/>
      <c r="F438" s="34"/>
      <c r="G438" s="34"/>
      <c r="H438" s="4"/>
      <c r="I438" s="4"/>
      <c r="J438" s="4"/>
      <c r="K438" s="3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37"/>
      <c r="X438" s="1"/>
      <c r="Y438" s="18">
        <f t="shared" si="171"/>
        <v>0</v>
      </c>
      <c r="Z438" s="21">
        <f t="shared" si="172"/>
        <v>0</v>
      </c>
      <c r="AA438" s="10">
        <f t="shared" si="173"/>
        <v>0</v>
      </c>
      <c r="AB438" s="10">
        <f t="shared" si="174"/>
        <v>0</v>
      </c>
      <c r="AC438" s="10">
        <f t="shared" si="175"/>
        <v>0</v>
      </c>
      <c r="AD438" s="46" t="str">
        <f t="shared" si="176"/>
        <v/>
      </c>
      <c r="AE438" s="46" t="str">
        <f t="shared" si="177"/>
        <v/>
      </c>
      <c r="AF438" s="46" t="str">
        <f t="shared" si="178"/>
        <v/>
      </c>
      <c r="AG438" s="46" t="str">
        <f t="shared" si="179"/>
        <v/>
      </c>
      <c r="AH438" s="46" t="str">
        <f t="shared" si="180"/>
        <v/>
      </c>
      <c r="AI438" s="46" t="str">
        <f t="shared" si="181"/>
        <v/>
      </c>
      <c r="AJ438" s="46" t="str">
        <f t="shared" si="182"/>
        <v/>
      </c>
      <c r="AK438" s="46" t="str">
        <f t="shared" si="183"/>
        <v/>
      </c>
      <c r="AL438" s="46" t="str">
        <f t="shared" si="184"/>
        <v/>
      </c>
      <c r="AM438" s="46" t="str">
        <f t="shared" si="185"/>
        <v/>
      </c>
      <c r="AN438" s="46" t="str">
        <f t="shared" si="186"/>
        <v/>
      </c>
      <c r="AO438" s="46" t="str">
        <f t="shared" si="187"/>
        <v/>
      </c>
      <c r="AP438" s="46" t="str">
        <f t="shared" si="188"/>
        <v/>
      </c>
      <c r="AQ438" s="46" t="str">
        <f t="shared" si="189"/>
        <v/>
      </c>
      <c r="AR438" s="46" t="str">
        <f t="shared" si="190"/>
        <v/>
      </c>
      <c r="AS438" s="46" t="str">
        <f t="shared" si="191"/>
        <v/>
      </c>
      <c r="AT438" s="46" t="str">
        <f t="shared" si="192"/>
        <v/>
      </c>
      <c r="AU438" s="46" t="str">
        <f t="shared" si="193"/>
        <v/>
      </c>
      <c r="AV438" s="46" t="str">
        <f t="shared" si="194"/>
        <v/>
      </c>
      <c r="AW438" s="46" t="str">
        <f t="shared" si="195"/>
        <v/>
      </c>
    </row>
    <row r="439" spans="4:49">
      <c r="D439" s="34"/>
      <c r="E439" s="34"/>
      <c r="F439" s="34"/>
      <c r="G439" s="34"/>
      <c r="H439" s="4"/>
      <c r="I439" s="4"/>
      <c r="J439" s="4"/>
      <c r="K439" s="3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37"/>
      <c r="X439" s="1"/>
      <c r="Y439" s="18">
        <f t="shared" si="171"/>
        <v>0</v>
      </c>
      <c r="Z439" s="21">
        <f t="shared" si="172"/>
        <v>0</v>
      </c>
      <c r="AA439" s="10">
        <f t="shared" si="173"/>
        <v>0</v>
      </c>
      <c r="AB439" s="10">
        <f t="shared" si="174"/>
        <v>0</v>
      </c>
      <c r="AC439" s="10">
        <f t="shared" si="175"/>
        <v>0</v>
      </c>
      <c r="AD439" s="46" t="str">
        <f t="shared" si="176"/>
        <v/>
      </c>
      <c r="AE439" s="46" t="str">
        <f t="shared" si="177"/>
        <v/>
      </c>
      <c r="AF439" s="46" t="str">
        <f t="shared" si="178"/>
        <v/>
      </c>
      <c r="AG439" s="46" t="str">
        <f t="shared" si="179"/>
        <v/>
      </c>
      <c r="AH439" s="46" t="str">
        <f t="shared" si="180"/>
        <v/>
      </c>
      <c r="AI439" s="46" t="str">
        <f t="shared" si="181"/>
        <v/>
      </c>
      <c r="AJ439" s="46" t="str">
        <f t="shared" si="182"/>
        <v/>
      </c>
      <c r="AK439" s="46" t="str">
        <f t="shared" si="183"/>
        <v/>
      </c>
      <c r="AL439" s="46" t="str">
        <f t="shared" si="184"/>
        <v/>
      </c>
      <c r="AM439" s="46" t="str">
        <f t="shared" si="185"/>
        <v/>
      </c>
      <c r="AN439" s="46" t="str">
        <f t="shared" si="186"/>
        <v/>
      </c>
      <c r="AO439" s="46" t="str">
        <f t="shared" si="187"/>
        <v/>
      </c>
      <c r="AP439" s="46" t="str">
        <f t="shared" si="188"/>
        <v/>
      </c>
      <c r="AQ439" s="46" t="str">
        <f t="shared" si="189"/>
        <v/>
      </c>
      <c r="AR439" s="46" t="str">
        <f t="shared" si="190"/>
        <v/>
      </c>
      <c r="AS439" s="46" t="str">
        <f t="shared" si="191"/>
        <v/>
      </c>
      <c r="AT439" s="46" t="str">
        <f t="shared" si="192"/>
        <v/>
      </c>
      <c r="AU439" s="46" t="str">
        <f t="shared" si="193"/>
        <v/>
      </c>
      <c r="AV439" s="46" t="str">
        <f t="shared" si="194"/>
        <v/>
      </c>
      <c r="AW439" s="46" t="str">
        <f t="shared" si="195"/>
        <v/>
      </c>
    </row>
    <row r="440" spans="4:49">
      <c r="D440" s="34"/>
      <c r="E440" s="34"/>
      <c r="F440" s="34"/>
      <c r="G440" s="34"/>
      <c r="H440" s="4"/>
      <c r="I440" s="4"/>
      <c r="J440" s="4"/>
      <c r="K440" s="3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37"/>
      <c r="X440" s="1"/>
      <c r="Y440" s="18">
        <f t="shared" si="171"/>
        <v>0</v>
      </c>
      <c r="Z440" s="21">
        <f t="shared" si="172"/>
        <v>0</v>
      </c>
      <c r="AA440" s="10">
        <f t="shared" si="173"/>
        <v>0</v>
      </c>
      <c r="AB440" s="10">
        <f t="shared" si="174"/>
        <v>0</v>
      </c>
      <c r="AC440" s="10">
        <f t="shared" si="175"/>
        <v>0</v>
      </c>
      <c r="AD440" s="46" t="str">
        <f t="shared" si="176"/>
        <v/>
      </c>
      <c r="AE440" s="46" t="str">
        <f t="shared" si="177"/>
        <v/>
      </c>
      <c r="AF440" s="46" t="str">
        <f t="shared" si="178"/>
        <v/>
      </c>
      <c r="AG440" s="46" t="str">
        <f t="shared" si="179"/>
        <v/>
      </c>
      <c r="AH440" s="46" t="str">
        <f t="shared" si="180"/>
        <v/>
      </c>
      <c r="AI440" s="46" t="str">
        <f t="shared" si="181"/>
        <v/>
      </c>
      <c r="AJ440" s="46" t="str">
        <f t="shared" si="182"/>
        <v/>
      </c>
      <c r="AK440" s="46" t="str">
        <f t="shared" si="183"/>
        <v/>
      </c>
      <c r="AL440" s="46" t="str">
        <f t="shared" si="184"/>
        <v/>
      </c>
      <c r="AM440" s="46" t="str">
        <f t="shared" si="185"/>
        <v/>
      </c>
      <c r="AN440" s="46" t="str">
        <f t="shared" si="186"/>
        <v/>
      </c>
      <c r="AO440" s="46" t="str">
        <f t="shared" si="187"/>
        <v/>
      </c>
      <c r="AP440" s="46" t="str">
        <f t="shared" si="188"/>
        <v/>
      </c>
      <c r="AQ440" s="46" t="str">
        <f t="shared" si="189"/>
        <v/>
      </c>
      <c r="AR440" s="46" t="str">
        <f t="shared" si="190"/>
        <v/>
      </c>
      <c r="AS440" s="46" t="str">
        <f t="shared" si="191"/>
        <v/>
      </c>
      <c r="AT440" s="46" t="str">
        <f t="shared" si="192"/>
        <v/>
      </c>
      <c r="AU440" s="46" t="str">
        <f t="shared" si="193"/>
        <v/>
      </c>
      <c r="AV440" s="46" t="str">
        <f t="shared" si="194"/>
        <v/>
      </c>
      <c r="AW440" s="46" t="str">
        <f t="shared" si="195"/>
        <v/>
      </c>
    </row>
    <row r="441" spans="4:49">
      <c r="D441" s="34"/>
      <c r="E441" s="34"/>
      <c r="F441" s="34"/>
      <c r="G441" s="34"/>
      <c r="H441" s="4"/>
      <c r="I441" s="4"/>
      <c r="J441" s="4"/>
      <c r="K441" s="3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37"/>
      <c r="X441" s="1"/>
      <c r="Y441" s="18">
        <f t="shared" si="171"/>
        <v>0</v>
      </c>
      <c r="Z441" s="21">
        <f t="shared" si="172"/>
        <v>0</v>
      </c>
      <c r="AA441" s="10">
        <f t="shared" si="173"/>
        <v>0</v>
      </c>
      <c r="AB441" s="10">
        <f t="shared" si="174"/>
        <v>0</v>
      </c>
      <c r="AC441" s="10">
        <f t="shared" si="175"/>
        <v>0</v>
      </c>
      <c r="AD441" s="46" t="str">
        <f t="shared" si="176"/>
        <v/>
      </c>
      <c r="AE441" s="46" t="str">
        <f t="shared" si="177"/>
        <v/>
      </c>
      <c r="AF441" s="46" t="str">
        <f t="shared" si="178"/>
        <v/>
      </c>
      <c r="AG441" s="46" t="str">
        <f t="shared" si="179"/>
        <v/>
      </c>
      <c r="AH441" s="46" t="str">
        <f t="shared" si="180"/>
        <v/>
      </c>
      <c r="AI441" s="46" t="str">
        <f t="shared" si="181"/>
        <v/>
      </c>
      <c r="AJ441" s="46" t="str">
        <f t="shared" si="182"/>
        <v/>
      </c>
      <c r="AK441" s="46" t="str">
        <f t="shared" si="183"/>
        <v/>
      </c>
      <c r="AL441" s="46" t="str">
        <f t="shared" si="184"/>
        <v/>
      </c>
      <c r="AM441" s="46" t="str">
        <f t="shared" si="185"/>
        <v/>
      </c>
      <c r="AN441" s="46" t="str">
        <f t="shared" si="186"/>
        <v/>
      </c>
      <c r="AO441" s="46" t="str">
        <f t="shared" si="187"/>
        <v/>
      </c>
      <c r="AP441" s="46" t="str">
        <f t="shared" si="188"/>
        <v/>
      </c>
      <c r="AQ441" s="46" t="str">
        <f t="shared" si="189"/>
        <v/>
      </c>
      <c r="AR441" s="46" t="str">
        <f t="shared" si="190"/>
        <v/>
      </c>
      <c r="AS441" s="46" t="str">
        <f t="shared" si="191"/>
        <v/>
      </c>
      <c r="AT441" s="46" t="str">
        <f t="shared" si="192"/>
        <v/>
      </c>
      <c r="AU441" s="46" t="str">
        <f t="shared" si="193"/>
        <v/>
      </c>
      <c r="AV441" s="46" t="str">
        <f t="shared" si="194"/>
        <v/>
      </c>
      <c r="AW441" s="46" t="str">
        <f t="shared" si="195"/>
        <v/>
      </c>
    </row>
    <row r="442" spans="4:49">
      <c r="D442" s="34"/>
      <c r="E442" s="34"/>
      <c r="F442" s="34"/>
      <c r="G442" s="34"/>
      <c r="H442" s="4"/>
      <c r="I442" s="4"/>
      <c r="J442" s="4"/>
      <c r="K442" s="3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37"/>
      <c r="X442" s="1"/>
      <c r="Y442" s="18">
        <f t="shared" si="171"/>
        <v>0</v>
      </c>
      <c r="Z442" s="21">
        <f t="shared" si="172"/>
        <v>0</v>
      </c>
      <c r="AA442" s="10">
        <f t="shared" si="173"/>
        <v>0</v>
      </c>
      <c r="AB442" s="10">
        <f t="shared" si="174"/>
        <v>0</v>
      </c>
      <c r="AC442" s="10">
        <f t="shared" si="175"/>
        <v>0</v>
      </c>
      <c r="AD442" s="46" t="str">
        <f t="shared" si="176"/>
        <v/>
      </c>
      <c r="AE442" s="46" t="str">
        <f t="shared" si="177"/>
        <v/>
      </c>
      <c r="AF442" s="46" t="str">
        <f t="shared" si="178"/>
        <v/>
      </c>
      <c r="AG442" s="46" t="str">
        <f t="shared" si="179"/>
        <v/>
      </c>
      <c r="AH442" s="46" t="str">
        <f t="shared" si="180"/>
        <v/>
      </c>
      <c r="AI442" s="46" t="str">
        <f t="shared" si="181"/>
        <v/>
      </c>
      <c r="AJ442" s="46" t="str">
        <f t="shared" si="182"/>
        <v/>
      </c>
      <c r="AK442" s="46" t="str">
        <f t="shared" si="183"/>
        <v/>
      </c>
      <c r="AL442" s="46" t="str">
        <f t="shared" si="184"/>
        <v/>
      </c>
      <c r="AM442" s="46" t="str">
        <f t="shared" si="185"/>
        <v/>
      </c>
      <c r="AN442" s="46" t="str">
        <f t="shared" si="186"/>
        <v/>
      </c>
      <c r="AO442" s="46" t="str">
        <f t="shared" si="187"/>
        <v/>
      </c>
      <c r="AP442" s="46" t="str">
        <f t="shared" si="188"/>
        <v/>
      </c>
      <c r="AQ442" s="46" t="str">
        <f t="shared" si="189"/>
        <v/>
      </c>
      <c r="AR442" s="46" t="str">
        <f t="shared" si="190"/>
        <v/>
      </c>
      <c r="AS442" s="46" t="str">
        <f t="shared" si="191"/>
        <v/>
      </c>
      <c r="AT442" s="46" t="str">
        <f t="shared" si="192"/>
        <v/>
      </c>
      <c r="AU442" s="46" t="str">
        <f t="shared" si="193"/>
        <v/>
      </c>
      <c r="AV442" s="46" t="str">
        <f t="shared" si="194"/>
        <v/>
      </c>
      <c r="AW442" s="46" t="str">
        <f t="shared" si="195"/>
        <v/>
      </c>
    </row>
    <row r="443" spans="4:49">
      <c r="D443" s="34"/>
      <c r="E443" s="34"/>
      <c r="F443" s="34"/>
      <c r="G443" s="34"/>
      <c r="H443" s="4"/>
      <c r="I443" s="4"/>
      <c r="J443" s="4"/>
      <c r="K443" s="3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37"/>
      <c r="X443" s="1"/>
      <c r="Y443" s="18">
        <f t="shared" si="171"/>
        <v>0</v>
      </c>
      <c r="Z443" s="21">
        <f t="shared" si="172"/>
        <v>0</v>
      </c>
      <c r="AA443" s="10">
        <f t="shared" si="173"/>
        <v>0</v>
      </c>
      <c r="AB443" s="10">
        <f t="shared" si="174"/>
        <v>0</v>
      </c>
      <c r="AC443" s="10">
        <f t="shared" si="175"/>
        <v>0</v>
      </c>
      <c r="AD443" s="46" t="str">
        <f t="shared" si="176"/>
        <v/>
      </c>
      <c r="AE443" s="46" t="str">
        <f t="shared" si="177"/>
        <v/>
      </c>
      <c r="AF443" s="46" t="str">
        <f t="shared" si="178"/>
        <v/>
      </c>
      <c r="AG443" s="46" t="str">
        <f t="shared" si="179"/>
        <v/>
      </c>
      <c r="AH443" s="46" t="str">
        <f t="shared" si="180"/>
        <v/>
      </c>
      <c r="AI443" s="46" t="str">
        <f t="shared" si="181"/>
        <v/>
      </c>
      <c r="AJ443" s="46" t="str">
        <f t="shared" si="182"/>
        <v/>
      </c>
      <c r="AK443" s="46" t="str">
        <f t="shared" si="183"/>
        <v/>
      </c>
      <c r="AL443" s="46" t="str">
        <f t="shared" si="184"/>
        <v/>
      </c>
      <c r="AM443" s="46" t="str">
        <f t="shared" si="185"/>
        <v/>
      </c>
      <c r="AN443" s="46" t="str">
        <f t="shared" si="186"/>
        <v/>
      </c>
      <c r="AO443" s="46" t="str">
        <f t="shared" si="187"/>
        <v/>
      </c>
      <c r="AP443" s="46" t="str">
        <f t="shared" si="188"/>
        <v/>
      </c>
      <c r="AQ443" s="46" t="str">
        <f t="shared" si="189"/>
        <v/>
      </c>
      <c r="AR443" s="46" t="str">
        <f t="shared" si="190"/>
        <v/>
      </c>
      <c r="AS443" s="46" t="str">
        <f t="shared" si="191"/>
        <v/>
      </c>
      <c r="AT443" s="46" t="str">
        <f t="shared" si="192"/>
        <v/>
      </c>
      <c r="AU443" s="46" t="str">
        <f t="shared" si="193"/>
        <v/>
      </c>
      <c r="AV443" s="46" t="str">
        <f t="shared" si="194"/>
        <v/>
      </c>
      <c r="AW443" s="46" t="str">
        <f t="shared" si="195"/>
        <v/>
      </c>
    </row>
    <row r="444" spans="4:49">
      <c r="D444" s="34"/>
      <c r="E444" s="34"/>
      <c r="F444" s="34"/>
      <c r="G444" s="34"/>
      <c r="H444" s="4"/>
      <c r="I444" s="4"/>
      <c r="J444" s="4"/>
      <c r="K444" s="3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37"/>
      <c r="X444" s="1"/>
      <c r="Y444" s="18">
        <f t="shared" si="171"/>
        <v>0</v>
      </c>
      <c r="Z444" s="21">
        <f t="shared" si="172"/>
        <v>0</v>
      </c>
      <c r="AA444" s="10">
        <f t="shared" si="173"/>
        <v>0</v>
      </c>
      <c r="AB444" s="10">
        <f t="shared" si="174"/>
        <v>0</v>
      </c>
      <c r="AC444" s="10">
        <f t="shared" si="175"/>
        <v>0</v>
      </c>
      <c r="AD444" s="46" t="str">
        <f t="shared" si="176"/>
        <v/>
      </c>
      <c r="AE444" s="46" t="str">
        <f t="shared" si="177"/>
        <v/>
      </c>
      <c r="AF444" s="46" t="str">
        <f t="shared" si="178"/>
        <v/>
      </c>
      <c r="AG444" s="46" t="str">
        <f t="shared" si="179"/>
        <v/>
      </c>
      <c r="AH444" s="46" t="str">
        <f t="shared" si="180"/>
        <v/>
      </c>
      <c r="AI444" s="46" t="str">
        <f t="shared" si="181"/>
        <v/>
      </c>
      <c r="AJ444" s="46" t="str">
        <f t="shared" si="182"/>
        <v/>
      </c>
      <c r="AK444" s="46" t="str">
        <f t="shared" si="183"/>
        <v/>
      </c>
      <c r="AL444" s="46" t="str">
        <f t="shared" si="184"/>
        <v/>
      </c>
      <c r="AM444" s="46" t="str">
        <f t="shared" si="185"/>
        <v/>
      </c>
      <c r="AN444" s="46" t="str">
        <f t="shared" si="186"/>
        <v/>
      </c>
      <c r="AO444" s="46" t="str">
        <f t="shared" si="187"/>
        <v/>
      </c>
      <c r="AP444" s="46" t="str">
        <f t="shared" si="188"/>
        <v/>
      </c>
      <c r="AQ444" s="46" t="str">
        <f t="shared" si="189"/>
        <v/>
      </c>
      <c r="AR444" s="46" t="str">
        <f t="shared" si="190"/>
        <v/>
      </c>
      <c r="AS444" s="46" t="str">
        <f t="shared" si="191"/>
        <v/>
      </c>
      <c r="AT444" s="46" t="str">
        <f t="shared" si="192"/>
        <v/>
      </c>
      <c r="AU444" s="46" t="str">
        <f t="shared" si="193"/>
        <v/>
      </c>
      <c r="AV444" s="46" t="str">
        <f t="shared" si="194"/>
        <v/>
      </c>
      <c r="AW444" s="46" t="str">
        <f t="shared" si="195"/>
        <v/>
      </c>
    </row>
    <row r="445" spans="4:49">
      <c r="D445" s="34"/>
      <c r="E445" s="34"/>
      <c r="F445" s="34"/>
      <c r="G445" s="34"/>
      <c r="H445" s="4"/>
      <c r="I445" s="4"/>
      <c r="J445" s="4"/>
      <c r="K445" s="3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37"/>
      <c r="X445" s="1"/>
      <c r="Y445" s="18">
        <f t="shared" si="171"/>
        <v>0</v>
      </c>
      <c r="Z445" s="21">
        <f t="shared" si="172"/>
        <v>0</v>
      </c>
      <c r="AA445" s="10">
        <f t="shared" si="173"/>
        <v>0</v>
      </c>
      <c r="AB445" s="10">
        <f t="shared" si="174"/>
        <v>0</v>
      </c>
      <c r="AC445" s="10">
        <f t="shared" si="175"/>
        <v>0</v>
      </c>
      <c r="AD445" s="46" t="str">
        <f t="shared" si="176"/>
        <v/>
      </c>
      <c r="AE445" s="46" t="str">
        <f t="shared" si="177"/>
        <v/>
      </c>
      <c r="AF445" s="46" t="str">
        <f t="shared" si="178"/>
        <v/>
      </c>
      <c r="AG445" s="46" t="str">
        <f t="shared" si="179"/>
        <v/>
      </c>
      <c r="AH445" s="46" t="str">
        <f t="shared" si="180"/>
        <v/>
      </c>
      <c r="AI445" s="46" t="str">
        <f t="shared" si="181"/>
        <v/>
      </c>
      <c r="AJ445" s="46" t="str">
        <f t="shared" si="182"/>
        <v/>
      </c>
      <c r="AK445" s="46" t="str">
        <f t="shared" si="183"/>
        <v/>
      </c>
      <c r="AL445" s="46" t="str">
        <f t="shared" si="184"/>
        <v/>
      </c>
      <c r="AM445" s="46" t="str">
        <f t="shared" si="185"/>
        <v/>
      </c>
      <c r="AN445" s="46" t="str">
        <f t="shared" si="186"/>
        <v/>
      </c>
      <c r="AO445" s="46" t="str">
        <f t="shared" si="187"/>
        <v/>
      </c>
      <c r="AP445" s="46" t="str">
        <f t="shared" si="188"/>
        <v/>
      </c>
      <c r="AQ445" s="46" t="str">
        <f t="shared" si="189"/>
        <v/>
      </c>
      <c r="AR445" s="46" t="str">
        <f t="shared" si="190"/>
        <v/>
      </c>
      <c r="AS445" s="46" t="str">
        <f t="shared" si="191"/>
        <v/>
      </c>
      <c r="AT445" s="46" t="str">
        <f t="shared" si="192"/>
        <v/>
      </c>
      <c r="AU445" s="46" t="str">
        <f t="shared" si="193"/>
        <v/>
      </c>
      <c r="AV445" s="46" t="str">
        <f t="shared" si="194"/>
        <v/>
      </c>
      <c r="AW445" s="46" t="str">
        <f t="shared" si="195"/>
        <v/>
      </c>
    </row>
    <row r="446" spans="4:49">
      <c r="D446" s="34"/>
      <c r="E446" s="34"/>
      <c r="F446" s="34"/>
      <c r="G446" s="34"/>
      <c r="H446" s="4"/>
      <c r="I446" s="4"/>
      <c r="J446" s="4"/>
      <c r="K446" s="3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37"/>
      <c r="X446" s="1"/>
      <c r="Y446" s="18">
        <f t="shared" si="171"/>
        <v>0</v>
      </c>
      <c r="Z446" s="21">
        <f t="shared" si="172"/>
        <v>0</v>
      </c>
      <c r="AA446" s="10">
        <f t="shared" si="173"/>
        <v>0</v>
      </c>
      <c r="AB446" s="10">
        <f t="shared" si="174"/>
        <v>0</v>
      </c>
      <c r="AC446" s="10">
        <f t="shared" si="175"/>
        <v>0</v>
      </c>
      <c r="AD446" s="46" t="str">
        <f t="shared" si="176"/>
        <v/>
      </c>
      <c r="AE446" s="46" t="str">
        <f t="shared" si="177"/>
        <v/>
      </c>
      <c r="AF446" s="46" t="str">
        <f t="shared" si="178"/>
        <v/>
      </c>
      <c r="AG446" s="46" t="str">
        <f t="shared" si="179"/>
        <v/>
      </c>
      <c r="AH446" s="46" t="str">
        <f t="shared" si="180"/>
        <v/>
      </c>
      <c r="AI446" s="46" t="str">
        <f t="shared" si="181"/>
        <v/>
      </c>
      <c r="AJ446" s="46" t="str">
        <f t="shared" si="182"/>
        <v/>
      </c>
      <c r="AK446" s="46" t="str">
        <f t="shared" si="183"/>
        <v/>
      </c>
      <c r="AL446" s="46" t="str">
        <f t="shared" si="184"/>
        <v/>
      </c>
      <c r="AM446" s="46" t="str">
        <f t="shared" si="185"/>
        <v/>
      </c>
      <c r="AN446" s="46" t="str">
        <f t="shared" si="186"/>
        <v/>
      </c>
      <c r="AO446" s="46" t="str">
        <f t="shared" si="187"/>
        <v/>
      </c>
      <c r="AP446" s="46" t="str">
        <f t="shared" si="188"/>
        <v/>
      </c>
      <c r="AQ446" s="46" t="str">
        <f t="shared" si="189"/>
        <v/>
      </c>
      <c r="AR446" s="46" t="str">
        <f t="shared" si="190"/>
        <v/>
      </c>
      <c r="AS446" s="46" t="str">
        <f t="shared" si="191"/>
        <v/>
      </c>
      <c r="AT446" s="46" t="str">
        <f t="shared" si="192"/>
        <v/>
      </c>
      <c r="AU446" s="46" t="str">
        <f t="shared" si="193"/>
        <v/>
      </c>
      <c r="AV446" s="46" t="str">
        <f t="shared" si="194"/>
        <v/>
      </c>
      <c r="AW446" s="46" t="str">
        <f t="shared" si="195"/>
        <v/>
      </c>
    </row>
    <row r="447" spans="4:49">
      <c r="D447" s="34"/>
      <c r="E447" s="34"/>
      <c r="F447" s="34"/>
      <c r="G447" s="34"/>
      <c r="H447" s="4"/>
      <c r="I447" s="4"/>
      <c r="J447" s="4"/>
      <c r="K447" s="3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37"/>
      <c r="X447" s="1"/>
      <c r="Y447" s="18">
        <f t="shared" si="171"/>
        <v>0</v>
      </c>
      <c r="Z447" s="21">
        <f t="shared" si="172"/>
        <v>0</v>
      </c>
      <c r="AA447" s="10">
        <f t="shared" si="173"/>
        <v>0</v>
      </c>
      <c r="AB447" s="10">
        <f t="shared" si="174"/>
        <v>0</v>
      </c>
      <c r="AC447" s="10">
        <f t="shared" si="175"/>
        <v>0</v>
      </c>
      <c r="AD447" s="46" t="str">
        <f t="shared" si="176"/>
        <v/>
      </c>
      <c r="AE447" s="46" t="str">
        <f t="shared" si="177"/>
        <v/>
      </c>
      <c r="AF447" s="46" t="str">
        <f t="shared" si="178"/>
        <v/>
      </c>
      <c r="AG447" s="46" t="str">
        <f t="shared" si="179"/>
        <v/>
      </c>
      <c r="AH447" s="46" t="str">
        <f t="shared" si="180"/>
        <v/>
      </c>
      <c r="AI447" s="46" t="str">
        <f t="shared" si="181"/>
        <v/>
      </c>
      <c r="AJ447" s="46" t="str">
        <f t="shared" si="182"/>
        <v/>
      </c>
      <c r="AK447" s="46" t="str">
        <f t="shared" si="183"/>
        <v/>
      </c>
      <c r="AL447" s="46" t="str">
        <f t="shared" si="184"/>
        <v/>
      </c>
      <c r="AM447" s="46" t="str">
        <f t="shared" si="185"/>
        <v/>
      </c>
      <c r="AN447" s="46" t="str">
        <f t="shared" si="186"/>
        <v/>
      </c>
      <c r="AO447" s="46" t="str">
        <f t="shared" si="187"/>
        <v/>
      </c>
      <c r="AP447" s="46" t="str">
        <f t="shared" si="188"/>
        <v/>
      </c>
      <c r="AQ447" s="46" t="str">
        <f t="shared" si="189"/>
        <v/>
      </c>
      <c r="AR447" s="46" t="str">
        <f t="shared" si="190"/>
        <v/>
      </c>
      <c r="AS447" s="46" t="str">
        <f t="shared" si="191"/>
        <v/>
      </c>
      <c r="AT447" s="46" t="str">
        <f t="shared" si="192"/>
        <v/>
      </c>
      <c r="AU447" s="46" t="str">
        <f t="shared" si="193"/>
        <v/>
      </c>
      <c r="AV447" s="46" t="str">
        <f t="shared" si="194"/>
        <v/>
      </c>
      <c r="AW447" s="46" t="str">
        <f t="shared" si="195"/>
        <v/>
      </c>
    </row>
    <row r="448" spans="4:49">
      <c r="D448" s="34"/>
      <c r="E448" s="34"/>
      <c r="F448" s="34"/>
      <c r="G448" s="34"/>
      <c r="H448" s="4"/>
      <c r="I448" s="4"/>
      <c r="J448" s="4"/>
      <c r="K448" s="3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37"/>
      <c r="X448" s="1"/>
      <c r="Y448" s="18">
        <f t="shared" si="171"/>
        <v>0</v>
      </c>
      <c r="Z448" s="21">
        <f t="shared" si="172"/>
        <v>0</v>
      </c>
      <c r="AA448" s="10">
        <f t="shared" si="173"/>
        <v>0</v>
      </c>
      <c r="AB448" s="10">
        <f t="shared" si="174"/>
        <v>0</v>
      </c>
      <c r="AC448" s="10">
        <f t="shared" si="175"/>
        <v>0</v>
      </c>
      <c r="AD448" s="46" t="str">
        <f t="shared" si="176"/>
        <v/>
      </c>
      <c r="AE448" s="46" t="str">
        <f t="shared" si="177"/>
        <v/>
      </c>
      <c r="AF448" s="46" t="str">
        <f t="shared" si="178"/>
        <v/>
      </c>
      <c r="AG448" s="46" t="str">
        <f t="shared" si="179"/>
        <v/>
      </c>
      <c r="AH448" s="46" t="str">
        <f t="shared" si="180"/>
        <v/>
      </c>
      <c r="AI448" s="46" t="str">
        <f t="shared" si="181"/>
        <v/>
      </c>
      <c r="AJ448" s="46" t="str">
        <f t="shared" si="182"/>
        <v/>
      </c>
      <c r="AK448" s="46" t="str">
        <f t="shared" si="183"/>
        <v/>
      </c>
      <c r="AL448" s="46" t="str">
        <f t="shared" si="184"/>
        <v/>
      </c>
      <c r="AM448" s="46" t="str">
        <f t="shared" si="185"/>
        <v/>
      </c>
      <c r="AN448" s="46" t="str">
        <f t="shared" si="186"/>
        <v/>
      </c>
      <c r="AO448" s="46" t="str">
        <f t="shared" si="187"/>
        <v/>
      </c>
      <c r="AP448" s="46" t="str">
        <f t="shared" si="188"/>
        <v/>
      </c>
      <c r="AQ448" s="46" t="str">
        <f t="shared" si="189"/>
        <v/>
      </c>
      <c r="AR448" s="46" t="str">
        <f t="shared" si="190"/>
        <v/>
      </c>
      <c r="AS448" s="46" t="str">
        <f t="shared" si="191"/>
        <v/>
      </c>
      <c r="AT448" s="46" t="str">
        <f t="shared" si="192"/>
        <v/>
      </c>
      <c r="AU448" s="46" t="str">
        <f t="shared" si="193"/>
        <v/>
      </c>
      <c r="AV448" s="46" t="str">
        <f t="shared" si="194"/>
        <v/>
      </c>
      <c r="AW448" s="46" t="str">
        <f t="shared" si="195"/>
        <v/>
      </c>
    </row>
    <row r="449" spans="4:49">
      <c r="D449" s="34"/>
      <c r="E449" s="34"/>
      <c r="F449" s="34"/>
      <c r="G449" s="34"/>
      <c r="H449" s="4"/>
      <c r="I449" s="4"/>
      <c r="J449" s="4"/>
      <c r="K449" s="3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37"/>
      <c r="X449" s="1"/>
      <c r="Y449" s="18">
        <f t="shared" si="171"/>
        <v>0</v>
      </c>
      <c r="Z449" s="21">
        <f t="shared" si="172"/>
        <v>0</v>
      </c>
      <c r="AA449" s="10">
        <f t="shared" si="173"/>
        <v>0</v>
      </c>
      <c r="AB449" s="10">
        <f t="shared" si="174"/>
        <v>0</v>
      </c>
      <c r="AC449" s="10">
        <f t="shared" si="175"/>
        <v>0</v>
      </c>
      <c r="AD449" s="46" t="str">
        <f t="shared" si="176"/>
        <v/>
      </c>
      <c r="AE449" s="46" t="str">
        <f t="shared" si="177"/>
        <v/>
      </c>
      <c r="AF449" s="46" t="str">
        <f t="shared" si="178"/>
        <v/>
      </c>
      <c r="AG449" s="46" t="str">
        <f t="shared" si="179"/>
        <v/>
      </c>
      <c r="AH449" s="46" t="str">
        <f t="shared" si="180"/>
        <v/>
      </c>
      <c r="AI449" s="46" t="str">
        <f t="shared" si="181"/>
        <v/>
      </c>
      <c r="AJ449" s="46" t="str">
        <f t="shared" si="182"/>
        <v/>
      </c>
      <c r="AK449" s="46" t="str">
        <f t="shared" si="183"/>
        <v/>
      </c>
      <c r="AL449" s="46" t="str">
        <f t="shared" si="184"/>
        <v/>
      </c>
      <c r="AM449" s="46" t="str">
        <f t="shared" si="185"/>
        <v/>
      </c>
      <c r="AN449" s="46" t="str">
        <f t="shared" si="186"/>
        <v/>
      </c>
      <c r="AO449" s="46" t="str">
        <f t="shared" si="187"/>
        <v/>
      </c>
      <c r="AP449" s="46" t="str">
        <f t="shared" si="188"/>
        <v/>
      </c>
      <c r="AQ449" s="46" t="str">
        <f t="shared" si="189"/>
        <v/>
      </c>
      <c r="AR449" s="46" t="str">
        <f t="shared" si="190"/>
        <v/>
      </c>
      <c r="AS449" s="46" t="str">
        <f t="shared" si="191"/>
        <v/>
      </c>
      <c r="AT449" s="46" t="str">
        <f t="shared" si="192"/>
        <v/>
      </c>
      <c r="AU449" s="46" t="str">
        <f t="shared" si="193"/>
        <v/>
      </c>
      <c r="AV449" s="46" t="str">
        <f t="shared" si="194"/>
        <v/>
      </c>
      <c r="AW449" s="46" t="str">
        <f t="shared" si="195"/>
        <v/>
      </c>
    </row>
    <row r="450" spans="4:49">
      <c r="D450" s="34"/>
      <c r="E450" s="34"/>
      <c r="F450" s="34"/>
      <c r="G450" s="34"/>
      <c r="H450" s="4"/>
      <c r="I450" s="4"/>
      <c r="J450" s="4"/>
      <c r="K450" s="3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37"/>
      <c r="X450" s="1"/>
      <c r="Y450" s="18">
        <f t="shared" si="171"/>
        <v>0</v>
      </c>
      <c r="Z450" s="21">
        <f t="shared" si="172"/>
        <v>0</v>
      </c>
      <c r="AA450" s="10">
        <f t="shared" si="173"/>
        <v>0</v>
      </c>
      <c r="AB450" s="10">
        <f t="shared" si="174"/>
        <v>0</v>
      </c>
      <c r="AC450" s="10">
        <f t="shared" si="175"/>
        <v>0</v>
      </c>
      <c r="AD450" s="46" t="str">
        <f t="shared" si="176"/>
        <v/>
      </c>
      <c r="AE450" s="46" t="str">
        <f t="shared" si="177"/>
        <v/>
      </c>
      <c r="AF450" s="46" t="str">
        <f t="shared" si="178"/>
        <v/>
      </c>
      <c r="AG450" s="46" t="str">
        <f t="shared" si="179"/>
        <v/>
      </c>
      <c r="AH450" s="46" t="str">
        <f t="shared" si="180"/>
        <v/>
      </c>
      <c r="AI450" s="46" t="str">
        <f t="shared" si="181"/>
        <v/>
      </c>
      <c r="AJ450" s="46" t="str">
        <f t="shared" si="182"/>
        <v/>
      </c>
      <c r="AK450" s="46" t="str">
        <f t="shared" si="183"/>
        <v/>
      </c>
      <c r="AL450" s="46" t="str">
        <f t="shared" si="184"/>
        <v/>
      </c>
      <c r="AM450" s="46" t="str">
        <f t="shared" si="185"/>
        <v/>
      </c>
      <c r="AN450" s="46" t="str">
        <f t="shared" si="186"/>
        <v/>
      </c>
      <c r="AO450" s="46" t="str">
        <f t="shared" si="187"/>
        <v/>
      </c>
      <c r="AP450" s="46" t="str">
        <f t="shared" si="188"/>
        <v/>
      </c>
      <c r="AQ450" s="46" t="str">
        <f t="shared" si="189"/>
        <v/>
      </c>
      <c r="AR450" s="46" t="str">
        <f t="shared" si="190"/>
        <v/>
      </c>
      <c r="AS450" s="46" t="str">
        <f t="shared" si="191"/>
        <v/>
      </c>
      <c r="AT450" s="46" t="str">
        <f t="shared" si="192"/>
        <v/>
      </c>
      <c r="AU450" s="46" t="str">
        <f t="shared" si="193"/>
        <v/>
      </c>
      <c r="AV450" s="46" t="str">
        <f t="shared" si="194"/>
        <v/>
      </c>
      <c r="AW450" s="46" t="str">
        <f t="shared" si="195"/>
        <v/>
      </c>
    </row>
    <row r="451" spans="4:49">
      <c r="D451" s="34"/>
      <c r="E451" s="34"/>
      <c r="F451" s="34"/>
      <c r="G451" s="34"/>
      <c r="H451" s="4"/>
      <c r="I451" s="4"/>
      <c r="J451" s="4"/>
      <c r="K451" s="3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37"/>
      <c r="X451" s="1"/>
      <c r="Y451" s="18">
        <f t="shared" si="171"/>
        <v>0</v>
      </c>
      <c r="Z451" s="21">
        <f t="shared" si="172"/>
        <v>0</v>
      </c>
      <c r="AA451" s="10">
        <f t="shared" si="173"/>
        <v>0</v>
      </c>
      <c r="AB451" s="10">
        <f t="shared" si="174"/>
        <v>0</v>
      </c>
      <c r="AC451" s="10">
        <f t="shared" si="175"/>
        <v>0</v>
      </c>
      <c r="AD451" s="46" t="str">
        <f t="shared" si="176"/>
        <v/>
      </c>
      <c r="AE451" s="46" t="str">
        <f t="shared" si="177"/>
        <v/>
      </c>
      <c r="AF451" s="46" t="str">
        <f t="shared" si="178"/>
        <v/>
      </c>
      <c r="AG451" s="46" t="str">
        <f t="shared" si="179"/>
        <v/>
      </c>
      <c r="AH451" s="46" t="str">
        <f t="shared" si="180"/>
        <v/>
      </c>
      <c r="AI451" s="46" t="str">
        <f t="shared" si="181"/>
        <v/>
      </c>
      <c r="AJ451" s="46" t="str">
        <f t="shared" si="182"/>
        <v/>
      </c>
      <c r="AK451" s="46" t="str">
        <f t="shared" si="183"/>
        <v/>
      </c>
      <c r="AL451" s="46" t="str">
        <f t="shared" si="184"/>
        <v/>
      </c>
      <c r="AM451" s="46" t="str">
        <f t="shared" si="185"/>
        <v/>
      </c>
      <c r="AN451" s="46" t="str">
        <f t="shared" si="186"/>
        <v/>
      </c>
      <c r="AO451" s="46" t="str">
        <f t="shared" si="187"/>
        <v/>
      </c>
      <c r="AP451" s="46" t="str">
        <f t="shared" si="188"/>
        <v/>
      </c>
      <c r="AQ451" s="46" t="str">
        <f t="shared" si="189"/>
        <v/>
      </c>
      <c r="AR451" s="46" t="str">
        <f t="shared" si="190"/>
        <v/>
      </c>
      <c r="AS451" s="46" t="str">
        <f t="shared" si="191"/>
        <v/>
      </c>
      <c r="AT451" s="46" t="str">
        <f t="shared" si="192"/>
        <v/>
      </c>
      <c r="AU451" s="46" t="str">
        <f t="shared" si="193"/>
        <v/>
      </c>
      <c r="AV451" s="46" t="str">
        <f t="shared" si="194"/>
        <v/>
      </c>
      <c r="AW451" s="46" t="str">
        <f t="shared" si="195"/>
        <v/>
      </c>
    </row>
    <row r="452" spans="4:49">
      <c r="D452" s="34"/>
      <c r="E452" s="34"/>
      <c r="F452" s="34"/>
      <c r="G452" s="34"/>
      <c r="H452" s="4"/>
      <c r="I452" s="4"/>
      <c r="J452" s="4"/>
      <c r="K452" s="3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37"/>
      <c r="X452" s="1"/>
      <c r="Y452" s="18">
        <f t="shared" ref="Y452:Y515" si="196">COUNTA(D452:V452)-X452</f>
        <v>0</v>
      </c>
      <c r="Z452" s="21">
        <f t="shared" ref="Z452:Z515" si="197">IF(W452&lt;&gt;"",0.0001,IF(X452+Y452=0,0,IF(X452=0,70+(Y452*50),IF(X452&gt;0,80+(Y452*50)))))</f>
        <v>0</v>
      </c>
      <c r="AA452" s="10">
        <f t="shared" ref="AA452:AA515" si="198">COUNTA(K452:V452)</f>
        <v>0</v>
      </c>
      <c r="AB452" s="10">
        <f t="shared" ref="AB452:AB515" si="199">COUNTA(K452:P452)</f>
        <v>0</v>
      </c>
      <c r="AC452" s="10">
        <f t="shared" ref="AC452:AC515" si="200">COUNTA(Q452:U452)</f>
        <v>0</v>
      </c>
      <c r="AD452" s="46" t="str">
        <f t="shared" ref="AD452:AD515" si="201">IF(AND(B452="Feminino",C452&gt;=$AY$2,C452&lt;=$AZ$2),$AY$3,IF(AND(B452="Masculino",C452&gt;=$AY$2,C452&lt;=$AZ$2),$AZ$3,IF(AND(B452="Feminino",C452&gt;=$BA$2,C452&lt;=$BB$2),$BA$3,IF(AND(B452="Masculino",C452&gt;=$BA$2,C452&lt;=$BB$2),$BB$3,IF(AND(B452="Feminino",C452&gt;=$BC$2,C452&lt;=$BD$2),$BC$3,IF(AND(B452="Masculino",C452&gt;=$BC$2,C452&lt;=$BD$2),$BD$3,""))))))</f>
        <v/>
      </c>
      <c r="AE452" s="46" t="str">
        <f t="shared" ref="AE452:AE515" si="202">IF(AND(B452="Feminino",C452&gt;=$BA$2,C452&lt;=$BB$2),$BE$3,IF(AND(B452="Masculino",C452&gt;=$BA$2,C452&lt;=$BB$2),$BF$3,IF(AND(B452="Feminino",C452&lt;=$BD$2),$BG$3,IF(AND(B452="Masculino",C452&lt;=$BD$2),$BH$3,""))))</f>
        <v/>
      </c>
      <c r="AF452" s="46" t="str">
        <f t="shared" ref="AF452:AF515" si="203">IF(AND(B452="Feminino",C452&gt;=$BI$2,C452&lt;=$BJ$2),$BI$3,IF(AND(B452="Masculino",C452&gt;=$BI$2,C452&lt;=$BJ$2),$BJ$3,""))</f>
        <v/>
      </c>
      <c r="AG452" s="46" t="str">
        <f t="shared" ref="AG452:AG515" si="204">IF(C452="","",IF(C452&gt;=$BK$2,$BK$3,IF(AND(C452&gt;=$BL$1,C452&lt;=$BL$2),$BL$3,IF(AND(C452&gt;=$BM$1,C452&lt;=$BM$2),$BM$3,IF(AND(C452&gt;=$BN$1,C452&lt;=$BN$2),$BN$3,IF(AND(C452&gt;=$BO$1,C452&lt;=$BO$2),$BO$3,IF(C452&lt;=$BP$2,$BP$3,"")))))))</f>
        <v/>
      </c>
      <c r="AH452" s="46" t="str">
        <f t="shared" ref="AH452:AH515" si="205">IF(C452="","",IF(C452&gt;=$BK$2,$BQ$3,IF(AND(C452&gt;=$BL$1,C452&lt;=$BL$2),$BR$3,IF(AND(C452&gt;=$BM$1,C452&lt;=$BM$2),$BS$3,IF(AND(C452&gt;=$BN$1,C452&lt;=$BN$2),$BT$3,IF(AND(C452&gt;=$BO$1,C452&lt;=$BO$2),$BU$3,IF(C452&lt;=$BP$2,$BV$3,"")))))))</f>
        <v/>
      </c>
      <c r="AI452" s="46" t="str">
        <f t="shared" ref="AI452:AI515" si="206">IF(C452="","",IF(C452&gt;=$BK$2,$BW$3,IF(AND(C452&gt;=$BL$1,C452&lt;=$BL$2),$BX$3,IF(AND(C452&gt;=$BM$1,C452&lt;=$BM$2),$BY$3,IF(AND(C452&gt;=$BN$1,C452&lt;=$BN$2),$BZ$3,IF(AND(C452&gt;=$BO$1,C452&lt;=$BO$2),$CA$3,IF(C452&lt;=$BP$2,$CB$3,"")))))))</f>
        <v/>
      </c>
      <c r="AJ452" s="46" t="str">
        <f t="shared" ref="AJ452:AJ515" si="207">IF(C452="","",IF(AND(C452&gt;=$BN$1,C452&lt;=$BN$2),$CC$3,IF(AND(C452&gt;=$BO$1,C452&lt;=$BO$2),$CD$3,IF(C452&lt;=$BP$2,$CE$3,""))))</f>
        <v/>
      </c>
      <c r="AK452" s="46" t="str">
        <f t="shared" ref="AK452:AK515" si="208">IF(C452="","",IF(AA452&gt;=3,"",IF(AB452&gt;=2,"",IF(C452&gt;=$CF$2,$CF$3,IF(AND(C452&gt;=$CG$1,C452&lt;=$CG$2),$CG$3,IF(AND(C452&gt;=$CH$1,C452&lt;=$CH$2),$CH$3,IF(AND(C452&gt;=$CI$1,C452&lt;=$CI$2),$CI$3,IF(AND(C452&gt;=$CJ$1,C452&lt;=$CJ$2),$CJ$3,IF(C452&lt;=$CK$2,$CK$3,"")))))))))</f>
        <v/>
      </c>
      <c r="AL452" s="46" t="str">
        <f t="shared" ref="AL452:AL515" si="209">IF(C452="","",IF(AA452&gt;=3,"",IF(AB452&gt;=2,"",IF(C452&gt;=$CF$2,$CL$3,IF(AND(C452&gt;=$CG$1,C452&lt;=$CG$2),$CM$3,IF(AND(C452&gt;=$CH$1,C452&lt;=$CH$2),$CN$3,IF(AND(C452&gt;=$CI$1,C452&lt;=$CI$2),$CO$3,IF(AND(C452&gt;=$CJ$1,C452&lt;=$CJ$2),$CP$3,IF(C452&lt;=$CK$2,$CQ$3,"")))))))))</f>
        <v/>
      </c>
      <c r="AM452" s="46" t="str">
        <f t="shared" ref="AM452:AM515" si="210">IF(C452="","",IF(AA452&gt;=3,"",IF(AB452&gt;=2,"",IF(C452&gt;=$CF$2,$CR$3,IF(AND(C452&gt;=$CG$1,C452&lt;=$CG$2),$CS$3,IF(AND(C452&gt;=$CH$1,C452&lt;=$CH$2),$CT$3,IF(AND(C452&gt;=$CI$1,C452&lt;=$CI$2),$CU$3,IF(AND(C452&gt;=$CJ$1,C452&lt;=$CJ$2),$CV$3,IF(C452&lt;=$CK$2,$CW$3,"")))))))))</f>
        <v/>
      </c>
      <c r="AN452" s="46" t="str">
        <f t="shared" ref="AN452:AN515" si="211">IF(C452="","",IF(AA452&gt;=3,"",IF(AB452&gt;=2,"",IF(C452&gt;=$CF$2,$CX$3,IF(AND(C452&gt;=$CG$1,C452&lt;=$CG$2),$CY$3,IF(AND(C452&gt;=$CH$1,C452&lt;=$CH$2),$CZ$3,IF(AND(C452&gt;=$CI$1,C452&lt;=$CI$2),$DA$3,IF(AND(C452&gt;=$CJ$1,C452&lt;=$CJ$2),$DB$3,IF(C452&lt;=$CK$2,$DC$3,"")))))))))</f>
        <v/>
      </c>
      <c r="AO452" s="46" t="str">
        <f t="shared" ref="AO452:AO515" si="212">IF(C452="","",IF(AA452&gt;=3,"",IF(AB452&gt;=2,"",IF(C452&gt;=$CF$2,$DD$3,IF(AND(C452&gt;=$CG$1,C452&lt;=$CG$2),$DE$3,IF(AND(C452&gt;=$CH$1,C452&lt;=$CH$2),$DF$3,IF(AND(C452&gt;=$CI$1,C452&lt;=$CI$2),$DG$3,IF(AND(C452&gt;=$CJ$1,C452&lt;=$CJ$2),$DH$3,IF(C452&lt;=$CK$2,$DI$3,"")))))))))</f>
        <v/>
      </c>
      <c r="AP452" s="46" t="str">
        <f t="shared" ref="AP452:AP515" si="213">IF(C452="","",IF(AA452&gt;=3,"",IF(AB452&gt;=2,"",IF(C452&gt;=$CF$2,$DJ$3,IF(AND(C452&gt;=$CG$1,C452&lt;=$CG$2),$DK$3,IF(AND(C452&gt;=$CH$1,C452&lt;=$CH$2),$DL$3,IF(AND(C452&gt;=$CI$1,C452&lt;=$CI$2),$DM$3,IF(AND(C452&gt;=$CJ$1,C452&lt;=$CJ$2),$DN$3,IF(C452&lt;=$CK$2,$DO$3,"")))))))))</f>
        <v/>
      </c>
      <c r="AQ452" s="46" t="str">
        <f t="shared" ref="AQ452:AQ515" si="214">IF(C452="","",IF(AA452&gt;=3,"",IF(AC452&gt;=2,"",IF(C452&gt;=$CF$2,$DP$3,IF(AND(C452&gt;=$CG$1,C452&lt;=$CG$2),$DQ$3,IF(AND(C452&gt;=$CH$1,C452&lt;=$CH$2),$DR$3,IF(AND(C452&gt;=$CI$1,C452&lt;=$CI$2),$DS$3,IF(AND(C452&gt;=$CJ$1,C452&lt;=$CJ$2),$DT$3,IF(C452&lt;=$CK$2,$DU$3,"")))))))))</f>
        <v/>
      </c>
      <c r="AR452" s="46" t="str">
        <f t="shared" ref="AR452:AR515" si="215">IF(C452="","",IF(AA452&gt;=3,"",IF(AC452&gt;=2,"",IF(C452&gt;=$CF$2,$DV$3,IF(AND(C452&gt;=$CG$1,C452&lt;=$CG$2),$DW$3,IF(AND(C452&gt;=$CH$1,C452&lt;=$CH$2),$DX$3,IF(AND(C452&gt;=$CI$1,C452&lt;=$CI$2),$DY$3,IF(AND(C452&gt;=$CJ$1,C452&lt;=$CJ$2),$DZ$3,IF(C452&lt;=$CK$2,$EA$3,"")))))))))</f>
        <v/>
      </c>
      <c r="AS452" s="46" t="str">
        <f t="shared" ref="AS452:AS515" si="216">IF(C452="","",IF(AA452&gt;=3,"",IF(AC452&gt;=2,"",IF(C452&gt;=$CF$2,$EB$3,IF(AND(C452&gt;=$CG$1,C452&lt;=$CG$2),$EC$3,IF(AND(C452&gt;=$CH$1,C452&lt;=$CH$2),$ED$3,IF(AND(C452&gt;=$CI$1,C452&lt;=$CI$2),$EE$3,IF(AND(C452&gt;=$CJ$1,C452&lt;=$CJ$2),$EF$3,IF(C452&lt;=$CK$2,$EG$3,"")))))))))</f>
        <v/>
      </c>
      <c r="AT452" s="46" t="str">
        <f t="shared" ref="AT452:AT515" si="217">IF(C452="","",IF(AA452&gt;=3,"",IF(AC452&gt;=2,"",IF(C452&gt;=$CF$2,$EH$3,IF(AND(C452&gt;=$CG$1,C452&lt;=$CG$2),$EI$3,IF(AND(C452&gt;=$CH$1,C452&lt;=$CH$2),$EJ$3,IF(AND(C452&gt;=$CI$1,C452&lt;=$CI$2),$EK$3,IF(AND(C452&gt;=$CJ$1,C452&lt;=$CJ$2),$EL$3,IF(C452&lt;=$CK$2,$EM$3,"")))))))))</f>
        <v/>
      </c>
      <c r="AU452" s="46" t="str">
        <f t="shared" ref="AU452:AU515" si="218">IF(C452="","",IF(AA452&gt;=3,"",IF(AC452&gt;=2,"",IF(C452&gt;=$CF$2,$EN$3,IF(AND(C452&gt;=$CG$1,C452&lt;=$CG$2),$EO$3,IF(AND(C452&gt;=$CH$1,C452&lt;=$CH$2),$EP$3,IF(AND(C452&gt;=$CI$1,C452&lt;=$CI$2),$EQ$3,IF(AND(C452&gt;=$CJ$1,C452&lt;=$CJ$2),$ER$3,IF(C452&lt;=$CK$2,$ES$3,"")))))))))</f>
        <v/>
      </c>
      <c r="AV452" s="46" t="str">
        <f t="shared" ref="AV452:AV515" si="219">IF(C452="","",IF(AA452&gt;=3,"",IF(C452&gt;=$CG$1,$ET$3,IF(AND(C452&gt;=$CI$1,C452&lt;=$CH$2),$EU$3,IF(C452&lt;=$CJ$2,$EV$3,"")))))</f>
        <v/>
      </c>
      <c r="AW452" s="46" t="str">
        <f t="shared" ref="AW452:AW515" si="220">IF(C452="","",IF(AND(D452="",E452="",G452="",H452="",I452="",J452=""),"ADAPTADO",""))</f>
        <v/>
      </c>
    </row>
    <row r="453" spans="4:49">
      <c r="D453" s="34"/>
      <c r="E453" s="34"/>
      <c r="F453" s="34"/>
      <c r="G453" s="34"/>
      <c r="H453" s="4"/>
      <c r="I453" s="4"/>
      <c r="J453" s="4"/>
      <c r="K453" s="3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37"/>
      <c r="X453" s="1"/>
      <c r="Y453" s="18">
        <f t="shared" si="196"/>
        <v>0</v>
      </c>
      <c r="Z453" s="21">
        <f t="shared" si="197"/>
        <v>0</v>
      </c>
      <c r="AA453" s="10">
        <f t="shared" si="198"/>
        <v>0</v>
      </c>
      <c r="AB453" s="10">
        <f t="shared" si="199"/>
        <v>0</v>
      </c>
      <c r="AC453" s="10">
        <f t="shared" si="200"/>
        <v>0</v>
      </c>
      <c r="AD453" s="46" t="str">
        <f t="shared" si="201"/>
        <v/>
      </c>
      <c r="AE453" s="46" t="str">
        <f t="shared" si="202"/>
        <v/>
      </c>
      <c r="AF453" s="46" t="str">
        <f t="shared" si="203"/>
        <v/>
      </c>
      <c r="AG453" s="46" t="str">
        <f t="shared" si="204"/>
        <v/>
      </c>
      <c r="AH453" s="46" t="str">
        <f t="shared" si="205"/>
        <v/>
      </c>
      <c r="AI453" s="46" t="str">
        <f t="shared" si="206"/>
        <v/>
      </c>
      <c r="AJ453" s="46" t="str">
        <f t="shared" si="207"/>
        <v/>
      </c>
      <c r="AK453" s="46" t="str">
        <f t="shared" si="208"/>
        <v/>
      </c>
      <c r="AL453" s="46" t="str">
        <f t="shared" si="209"/>
        <v/>
      </c>
      <c r="AM453" s="46" t="str">
        <f t="shared" si="210"/>
        <v/>
      </c>
      <c r="AN453" s="46" t="str">
        <f t="shared" si="211"/>
        <v/>
      </c>
      <c r="AO453" s="46" t="str">
        <f t="shared" si="212"/>
        <v/>
      </c>
      <c r="AP453" s="46" t="str">
        <f t="shared" si="213"/>
        <v/>
      </c>
      <c r="AQ453" s="46" t="str">
        <f t="shared" si="214"/>
        <v/>
      </c>
      <c r="AR453" s="46" t="str">
        <f t="shared" si="215"/>
        <v/>
      </c>
      <c r="AS453" s="46" t="str">
        <f t="shared" si="216"/>
        <v/>
      </c>
      <c r="AT453" s="46" t="str">
        <f t="shared" si="217"/>
        <v/>
      </c>
      <c r="AU453" s="46" t="str">
        <f t="shared" si="218"/>
        <v/>
      </c>
      <c r="AV453" s="46" t="str">
        <f t="shared" si="219"/>
        <v/>
      </c>
      <c r="AW453" s="46" t="str">
        <f t="shared" si="220"/>
        <v/>
      </c>
    </row>
    <row r="454" spans="4:49">
      <c r="D454" s="34"/>
      <c r="E454" s="34"/>
      <c r="F454" s="34"/>
      <c r="G454" s="34"/>
      <c r="H454" s="4"/>
      <c r="I454" s="4"/>
      <c r="J454" s="4"/>
      <c r="K454" s="3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37"/>
      <c r="X454" s="1"/>
      <c r="Y454" s="18">
        <f t="shared" si="196"/>
        <v>0</v>
      </c>
      <c r="Z454" s="21">
        <f t="shared" si="197"/>
        <v>0</v>
      </c>
      <c r="AA454" s="10">
        <f t="shared" si="198"/>
        <v>0</v>
      </c>
      <c r="AB454" s="10">
        <f t="shared" si="199"/>
        <v>0</v>
      </c>
      <c r="AC454" s="10">
        <f t="shared" si="200"/>
        <v>0</v>
      </c>
      <c r="AD454" s="46" t="str">
        <f t="shared" si="201"/>
        <v/>
      </c>
      <c r="AE454" s="46" t="str">
        <f t="shared" si="202"/>
        <v/>
      </c>
      <c r="AF454" s="46" t="str">
        <f t="shared" si="203"/>
        <v/>
      </c>
      <c r="AG454" s="46" t="str">
        <f t="shared" si="204"/>
        <v/>
      </c>
      <c r="AH454" s="46" t="str">
        <f t="shared" si="205"/>
        <v/>
      </c>
      <c r="AI454" s="46" t="str">
        <f t="shared" si="206"/>
        <v/>
      </c>
      <c r="AJ454" s="46" t="str">
        <f t="shared" si="207"/>
        <v/>
      </c>
      <c r="AK454" s="46" t="str">
        <f t="shared" si="208"/>
        <v/>
      </c>
      <c r="AL454" s="46" t="str">
        <f t="shared" si="209"/>
        <v/>
      </c>
      <c r="AM454" s="46" t="str">
        <f t="shared" si="210"/>
        <v/>
      </c>
      <c r="AN454" s="46" t="str">
        <f t="shared" si="211"/>
        <v/>
      </c>
      <c r="AO454" s="46" t="str">
        <f t="shared" si="212"/>
        <v/>
      </c>
      <c r="AP454" s="46" t="str">
        <f t="shared" si="213"/>
        <v/>
      </c>
      <c r="AQ454" s="46" t="str">
        <f t="shared" si="214"/>
        <v/>
      </c>
      <c r="AR454" s="46" t="str">
        <f t="shared" si="215"/>
        <v/>
      </c>
      <c r="AS454" s="46" t="str">
        <f t="shared" si="216"/>
        <v/>
      </c>
      <c r="AT454" s="46" t="str">
        <f t="shared" si="217"/>
        <v/>
      </c>
      <c r="AU454" s="46" t="str">
        <f t="shared" si="218"/>
        <v/>
      </c>
      <c r="AV454" s="46" t="str">
        <f t="shared" si="219"/>
        <v/>
      </c>
      <c r="AW454" s="46" t="str">
        <f t="shared" si="220"/>
        <v/>
      </c>
    </row>
    <row r="455" spans="4:49">
      <c r="D455" s="34"/>
      <c r="E455" s="34"/>
      <c r="F455" s="34"/>
      <c r="G455" s="34"/>
      <c r="H455" s="4"/>
      <c r="I455" s="4"/>
      <c r="J455" s="4"/>
      <c r="K455" s="3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37"/>
      <c r="X455" s="1"/>
      <c r="Y455" s="18">
        <f t="shared" si="196"/>
        <v>0</v>
      </c>
      <c r="Z455" s="21">
        <f t="shared" si="197"/>
        <v>0</v>
      </c>
      <c r="AA455" s="10">
        <f t="shared" si="198"/>
        <v>0</v>
      </c>
      <c r="AB455" s="10">
        <f t="shared" si="199"/>
        <v>0</v>
      </c>
      <c r="AC455" s="10">
        <f t="shared" si="200"/>
        <v>0</v>
      </c>
      <c r="AD455" s="46" t="str">
        <f t="shared" si="201"/>
        <v/>
      </c>
      <c r="AE455" s="46" t="str">
        <f t="shared" si="202"/>
        <v/>
      </c>
      <c r="AF455" s="46" t="str">
        <f t="shared" si="203"/>
        <v/>
      </c>
      <c r="AG455" s="46" t="str">
        <f t="shared" si="204"/>
        <v/>
      </c>
      <c r="AH455" s="46" t="str">
        <f t="shared" si="205"/>
        <v/>
      </c>
      <c r="AI455" s="46" t="str">
        <f t="shared" si="206"/>
        <v/>
      </c>
      <c r="AJ455" s="46" t="str">
        <f t="shared" si="207"/>
        <v/>
      </c>
      <c r="AK455" s="46" t="str">
        <f t="shared" si="208"/>
        <v/>
      </c>
      <c r="AL455" s="46" t="str">
        <f t="shared" si="209"/>
        <v/>
      </c>
      <c r="AM455" s="46" t="str">
        <f t="shared" si="210"/>
        <v/>
      </c>
      <c r="AN455" s="46" t="str">
        <f t="shared" si="211"/>
        <v/>
      </c>
      <c r="AO455" s="46" t="str">
        <f t="shared" si="212"/>
        <v/>
      </c>
      <c r="AP455" s="46" t="str">
        <f t="shared" si="213"/>
        <v/>
      </c>
      <c r="AQ455" s="46" t="str">
        <f t="shared" si="214"/>
        <v/>
      </c>
      <c r="AR455" s="46" t="str">
        <f t="shared" si="215"/>
        <v/>
      </c>
      <c r="AS455" s="46" t="str">
        <f t="shared" si="216"/>
        <v/>
      </c>
      <c r="AT455" s="46" t="str">
        <f t="shared" si="217"/>
        <v/>
      </c>
      <c r="AU455" s="46" t="str">
        <f t="shared" si="218"/>
        <v/>
      </c>
      <c r="AV455" s="46" t="str">
        <f t="shared" si="219"/>
        <v/>
      </c>
      <c r="AW455" s="46" t="str">
        <f t="shared" si="220"/>
        <v/>
      </c>
    </row>
    <row r="456" spans="4:49">
      <c r="D456" s="34"/>
      <c r="E456" s="34"/>
      <c r="F456" s="34"/>
      <c r="G456" s="34"/>
      <c r="H456" s="4"/>
      <c r="I456" s="4"/>
      <c r="J456" s="4"/>
      <c r="K456" s="3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37"/>
      <c r="X456" s="1"/>
      <c r="Y456" s="18">
        <f t="shared" si="196"/>
        <v>0</v>
      </c>
      <c r="Z456" s="21">
        <f t="shared" si="197"/>
        <v>0</v>
      </c>
      <c r="AA456" s="10">
        <f t="shared" si="198"/>
        <v>0</v>
      </c>
      <c r="AB456" s="10">
        <f t="shared" si="199"/>
        <v>0</v>
      </c>
      <c r="AC456" s="10">
        <f t="shared" si="200"/>
        <v>0</v>
      </c>
      <c r="AD456" s="46" t="str">
        <f t="shared" si="201"/>
        <v/>
      </c>
      <c r="AE456" s="46" t="str">
        <f t="shared" si="202"/>
        <v/>
      </c>
      <c r="AF456" s="46" t="str">
        <f t="shared" si="203"/>
        <v/>
      </c>
      <c r="AG456" s="46" t="str">
        <f t="shared" si="204"/>
        <v/>
      </c>
      <c r="AH456" s="46" t="str">
        <f t="shared" si="205"/>
        <v/>
      </c>
      <c r="AI456" s="46" t="str">
        <f t="shared" si="206"/>
        <v/>
      </c>
      <c r="AJ456" s="46" t="str">
        <f t="shared" si="207"/>
        <v/>
      </c>
      <c r="AK456" s="46" t="str">
        <f t="shared" si="208"/>
        <v/>
      </c>
      <c r="AL456" s="46" t="str">
        <f t="shared" si="209"/>
        <v/>
      </c>
      <c r="AM456" s="46" t="str">
        <f t="shared" si="210"/>
        <v/>
      </c>
      <c r="AN456" s="46" t="str">
        <f t="shared" si="211"/>
        <v/>
      </c>
      <c r="AO456" s="46" t="str">
        <f t="shared" si="212"/>
        <v/>
      </c>
      <c r="AP456" s="46" t="str">
        <f t="shared" si="213"/>
        <v/>
      </c>
      <c r="AQ456" s="46" t="str">
        <f t="shared" si="214"/>
        <v/>
      </c>
      <c r="AR456" s="46" t="str">
        <f t="shared" si="215"/>
        <v/>
      </c>
      <c r="AS456" s="46" t="str">
        <f t="shared" si="216"/>
        <v/>
      </c>
      <c r="AT456" s="46" t="str">
        <f t="shared" si="217"/>
        <v/>
      </c>
      <c r="AU456" s="46" t="str">
        <f t="shared" si="218"/>
        <v/>
      </c>
      <c r="AV456" s="46" t="str">
        <f t="shared" si="219"/>
        <v/>
      </c>
      <c r="AW456" s="46" t="str">
        <f t="shared" si="220"/>
        <v/>
      </c>
    </row>
    <row r="457" spans="4:49">
      <c r="D457" s="34"/>
      <c r="E457" s="34"/>
      <c r="F457" s="34"/>
      <c r="G457" s="34"/>
      <c r="H457" s="4"/>
      <c r="I457" s="4"/>
      <c r="J457" s="4"/>
      <c r="K457" s="3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37"/>
      <c r="X457" s="1"/>
      <c r="Y457" s="18">
        <f t="shared" si="196"/>
        <v>0</v>
      </c>
      <c r="Z457" s="21">
        <f t="shared" si="197"/>
        <v>0</v>
      </c>
      <c r="AA457" s="10">
        <f t="shared" si="198"/>
        <v>0</v>
      </c>
      <c r="AB457" s="10">
        <f t="shared" si="199"/>
        <v>0</v>
      </c>
      <c r="AC457" s="10">
        <f t="shared" si="200"/>
        <v>0</v>
      </c>
      <c r="AD457" s="46" t="str">
        <f t="shared" si="201"/>
        <v/>
      </c>
      <c r="AE457" s="46" t="str">
        <f t="shared" si="202"/>
        <v/>
      </c>
      <c r="AF457" s="46" t="str">
        <f t="shared" si="203"/>
        <v/>
      </c>
      <c r="AG457" s="46" t="str">
        <f t="shared" si="204"/>
        <v/>
      </c>
      <c r="AH457" s="46" t="str">
        <f t="shared" si="205"/>
        <v/>
      </c>
      <c r="AI457" s="46" t="str">
        <f t="shared" si="206"/>
        <v/>
      </c>
      <c r="AJ457" s="46" t="str">
        <f t="shared" si="207"/>
        <v/>
      </c>
      <c r="AK457" s="46" t="str">
        <f t="shared" si="208"/>
        <v/>
      </c>
      <c r="AL457" s="46" t="str">
        <f t="shared" si="209"/>
        <v/>
      </c>
      <c r="AM457" s="46" t="str">
        <f t="shared" si="210"/>
        <v/>
      </c>
      <c r="AN457" s="46" t="str">
        <f t="shared" si="211"/>
        <v/>
      </c>
      <c r="AO457" s="46" t="str">
        <f t="shared" si="212"/>
        <v/>
      </c>
      <c r="AP457" s="46" t="str">
        <f t="shared" si="213"/>
        <v/>
      </c>
      <c r="AQ457" s="46" t="str">
        <f t="shared" si="214"/>
        <v/>
      </c>
      <c r="AR457" s="46" t="str">
        <f t="shared" si="215"/>
        <v/>
      </c>
      <c r="AS457" s="46" t="str">
        <f t="shared" si="216"/>
        <v/>
      </c>
      <c r="AT457" s="46" t="str">
        <f t="shared" si="217"/>
        <v/>
      </c>
      <c r="AU457" s="46" t="str">
        <f t="shared" si="218"/>
        <v/>
      </c>
      <c r="AV457" s="46" t="str">
        <f t="shared" si="219"/>
        <v/>
      </c>
      <c r="AW457" s="46" t="str">
        <f t="shared" si="220"/>
        <v/>
      </c>
    </row>
    <row r="458" spans="4:49">
      <c r="D458" s="34"/>
      <c r="E458" s="34"/>
      <c r="F458" s="34"/>
      <c r="G458" s="34"/>
      <c r="H458" s="4"/>
      <c r="I458" s="4"/>
      <c r="J458" s="4"/>
      <c r="K458" s="3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37"/>
      <c r="X458" s="1"/>
      <c r="Y458" s="18">
        <f t="shared" si="196"/>
        <v>0</v>
      </c>
      <c r="Z458" s="21">
        <f t="shared" si="197"/>
        <v>0</v>
      </c>
      <c r="AA458" s="10">
        <f t="shared" si="198"/>
        <v>0</v>
      </c>
      <c r="AB458" s="10">
        <f t="shared" si="199"/>
        <v>0</v>
      </c>
      <c r="AC458" s="10">
        <f t="shared" si="200"/>
        <v>0</v>
      </c>
      <c r="AD458" s="46" t="str">
        <f t="shared" si="201"/>
        <v/>
      </c>
      <c r="AE458" s="46" t="str">
        <f t="shared" si="202"/>
        <v/>
      </c>
      <c r="AF458" s="46" t="str">
        <f t="shared" si="203"/>
        <v/>
      </c>
      <c r="AG458" s="46" t="str">
        <f t="shared" si="204"/>
        <v/>
      </c>
      <c r="AH458" s="46" t="str">
        <f t="shared" si="205"/>
        <v/>
      </c>
      <c r="AI458" s="46" t="str">
        <f t="shared" si="206"/>
        <v/>
      </c>
      <c r="AJ458" s="46" t="str">
        <f t="shared" si="207"/>
        <v/>
      </c>
      <c r="AK458" s="46" t="str">
        <f t="shared" si="208"/>
        <v/>
      </c>
      <c r="AL458" s="46" t="str">
        <f t="shared" si="209"/>
        <v/>
      </c>
      <c r="AM458" s="46" t="str">
        <f t="shared" si="210"/>
        <v/>
      </c>
      <c r="AN458" s="46" t="str">
        <f t="shared" si="211"/>
        <v/>
      </c>
      <c r="AO458" s="46" t="str">
        <f t="shared" si="212"/>
        <v/>
      </c>
      <c r="AP458" s="46" t="str">
        <f t="shared" si="213"/>
        <v/>
      </c>
      <c r="AQ458" s="46" t="str">
        <f t="shared" si="214"/>
        <v/>
      </c>
      <c r="AR458" s="46" t="str">
        <f t="shared" si="215"/>
        <v/>
      </c>
      <c r="AS458" s="46" t="str">
        <f t="shared" si="216"/>
        <v/>
      </c>
      <c r="AT458" s="46" t="str">
        <f t="shared" si="217"/>
        <v/>
      </c>
      <c r="AU458" s="46" t="str">
        <f t="shared" si="218"/>
        <v/>
      </c>
      <c r="AV458" s="46" t="str">
        <f t="shared" si="219"/>
        <v/>
      </c>
      <c r="AW458" s="46" t="str">
        <f t="shared" si="220"/>
        <v/>
      </c>
    </row>
    <row r="459" spans="4:49">
      <c r="D459" s="34"/>
      <c r="E459" s="34"/>
      <c r="F459" s="34"/>
      <c r="G459" s="34"/>
      <c r="H459" s="4"/>
      <c r="I459" s="4"/>
      <c r="J459" s="4"/>
      <c r="K459" s="3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37"/>
      <c r="X459" s="1"/>
      <c r="Y459" s="18">
        <f t="shared" si="196"/>
        <v>0</v>
      </c>
      <c r="Z459" s="21">
        <f t="shared" si="197"/>
        <v>0</v>
      </c>
      <c r="AA459" s="10">
        <f t="shared" si="198"/>
        <v>0</v>
      </c>
      <c r="AB459" s="10">
        <f t="shared" si="199"/>
        <v>0</v>
      </c>
      <c r="AC459" s="10">
        <f t="shared" si="200"/>
        <v>0</v>
      </c>
      <c r="AD459" s="46" t="str">
        <f t="shared" si="201"/>
        <v/>
      </c>
      <c r="AE459" s="46" t="str">
        <f t="shared" si="202"/>
        <v/>
      </c>
      <c r="AF459" s="46" t="str">
        <f t="shared" si="203"/>
        <v/>
      </c>
      <c r="AG459" s="46" t="str">
        <f t="shared" si="204"/>
        <v/>
      </c>
      <c r="AH459" s="46" t="str">
        <f t="shared" si="205"/>
        <v/>
      </c>
      <c r="AI459" s="46" t="str">
        <f t="shared" si="206"/>
        <v/>
      </c>
      <c r="AJ459" s="46" t="str">
        <f t="shared" si="207"/>
        <v/>
      </c>
      <c r="AK459" s="46" t="str">
        <f t="shared" si="208"/>
        <v/>
      </c>
      <c r="AL459" s="46" t="str">
        <f t="shared" si="209"/>
        <v/>
      </c>
      <c r="AM459" s="46" t="str">
        <f t="shared" si="210"/>
        <v/>
      </c>
      <c r="AN459" s="46" t="str">
        <f t="shared" si="211"/>
        <v/>
      </c>
      <c r="AO459" s="46" t="str">
        <f t="shared" si="212"/>
        <v/>
      </c>
      <c r="AP459" s="46" t="str">
        <f t="shared" si="213"/>
        <v/>
      </c>
      <c r="AQ459" s="46" t="str">
        <f t="shared" si="214"/>
        <v/>
      </c>
      <c r="AR459" s="46" t="str">
        <f t="shared" si="215"/>
        <v/>
      </c>
      <c r="AS459" s="46" t="str">
        <f t="shared" si="216"/>
        <v/>
      </c>
      <c r="AT459" s="46" t="str">
        <f t="shared" si="217"/>
        <v/>
      </c>
      <c r="AU459" s="46" t="str">
        <f t="shared" si="218"/>
        <v/>
      </c>
      <c r="AV459" s="46" t="str">
        <f t="shared" si="219"/>
        <v/>
      </c>
      <c r="AW459" s="46" t="str">
        <f t="shared" si="220"/>
        <v/>
      </c>
    </row>
    <row r="460" spans="4:49">
      <c r="D460" s="34"/>
      <c r="E460" s="34"/>
      <c r="F460" s="34"/>
      <c r="G460" s="34"/>
      <c r="H460" s="4"/>
      <c r="I460" s="4"/>
      <c r="J460" s="4"/>
      <c r="K460" s="3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37"/>
      <c r="X460" s="1"/>
      <c r="Y460" s="18">
        <f t="shared" si="196"/>
        <v>0</v>
      </c>
      <c r="Z460" s="21">
        <f t="shared" si="197"/>
        <v>0</v>
      </c>
      <c r="AA460" s="10">
        <f t="shared" si="198"/>
        <v>0</v>
      </c>
      <c r="AB460" s="10">
        <f t="shared" si="199"/>
        <v>0</v>
      </c>
      <c r="AC460" s="10">
        <f t="shared" si="200"/>
        <v>0</v>
      </c>
      <c r="AD460" s="46" t="str">
        <f t="shared" si="201"/>
        <v/>
      </c>
      <c r="AE460" s="46" t="str">
        <f t="shared" si="202"/>
        <v/>
      </c>
      <c r="AF460" s="46" t="str">
        <f t="shared" si="203"/>
        <v/>
      </c>
      <c r="AG460" s="46" t="str">
        <f t="shared" si="204"/>
        <v/>
      </c>
      <c r="AH460" s="46" t="str">
        <f t="shared" si="205"/>
        <v/>
      </c>
      <c r="AI460" s="46" t="str">
        <f t="shared" si="206"/>
        <v/>
      </c>
      <c r="AJ460" s="46" t="str">
        <f t="shared" si="207"/>
        <v/>
      </c>
      <c r="AK460" s="46" t="str">
        <f t="shared" si="208"/>
        <v/>
      </c>
      <c r="AL460" s="46" t="str">
        <f t="shared" si="209"/>
        <v/>
      </c>
      <c r="AM460" s="46" t="str">
        <f t="shared" si="210"/>
        <v/>
      </c>
      <c r="AN460" s="46" t="str">
        <f t="shared" si="211"/>
        <v/>
      </c>
      <c r="AO460" s="46" t="str">
        <f t="shared" si="212"/>
        <v/>
      </c>
      <c r="AP460" s="46" t="str">
        <f t="shared" si="213"/>
        <v/>
      </c>
      <c r="AQ460" s="46" t="str">
        <f t="shared" si="214"/>
        <v/>
      </c>
      <c r="AR460" s="46" t="str">
        <f t="shared" si="215"/>
        <v/>
      </c>
      <c r="AS460" s="46" t="str">
        <f t="shared" si="216"/>
        <v/>
      </c>
      <c r="AT460" s="46" t="str">
        <f t="shared" si="217"/>
        <v/>
      </c>
      <c r="AU460" s="46" t="str">
        <f t="shared" si="218"/>
        <v/>
      </c>
      <c r="AV460" s="46" t="str">
        <f t="shared" si="219"/>
        <v/>
      </c>
      <c r="AW460" s="46" t="str">
        <f t="shared" si="220"/>
        <v/>
      </c>
    </row>
    <row r="461" spans="4:49">
      <c r="D461" s="34"/>
      <c r="E461" s="34"/>
      <c r="F461" s="34"/>
      <c r="G461" s="34"/>
      <c r="H461" s="4"/>
      <c r="I461" s="4"/>
      <c r="J461" s="4"/>
      <c r="K461" s="3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37"/>
      <c r="X461" s="1"/>
      <c r="Y461" s="18">
        <f t="shared" si="196"/>
        <v>0</v>
      </c>
      <c r="Z461" s="21">
        <f t="shared" si="197"/>
        <v>0</v>
      </c>
      <c r="AA461" s="10">
        <f t="shared" si="198"/>
        <v>0</v>
      </c>
      <c r="AB461" s="10">
        <f t="shared" si="199"/>
        <v>0</v>
      </c>
      <c r="AC461" s="10">
        <f t="shared" si="200"/>
        <v>0</v>
      </c>
      <c r="AD461" s="46" t="str">
        <f t="shared" si="201"/>
        <v/>
      </c>
      <c r="AE461" s="46" t="str">
        <f t="shared" si="202"/>
        <v/>
      </c>
      <c r="AF461" s="46" t="str">
        <f t="shared" si="203"/>
        <v/>
      </c>
      <c r="AG461" s="46" t="str">
        <f t="shared" si="204"/>
        <v/>
      </c>
      <c r="AH461" s="46" t="str">
        <f t="shared" si="205"/>
        <v/>
      </c>
      <c r="AI461" s="46" t="str">
        <f t="shared" si="206"/>
        <v/>
      </c>
      <c r="AJ461" s="46" t="str">
        <f t="shared" si="207"/>
        <v/>
      </c>
      <c r="AK461" s="46" t="str">
        <f t="shared" si="208"/>
        <v/>
      </c>
      <c r="AL461" s="46" t="str">
        <f t="shared" si="209"/>
        <v/>
      </c>
      <c r="AM461" s="46" t="str">
        <f t="shared" si="210"/>
        <v/>
      </c>
      <c r="AN461" s="46" t="str">
        <f t="shared" si="211"/>
        <v/>
      </c>
      <c r="AO461" s="46" t="str">
        <f t="shared" si="212"/>
        <v/>
      </c>
      <c r="AP461" s="46" t="str">
        <f t="shared" si="213"/>
        <v/>
      </c>
      <c r="AQ461" s="46" t="str">
        <f t="shared" si="214"/>
        <v/>
      </c>
      <c r="AR461" s="46" t="str">
        <f t="shared" si="215"/>
        <v/>
      </c>
      <c r="AS461" s="46" t="str">
        <f t="shared" si="216"/>
        <v/>
      </c>
      <c r="AT461" s="46" t="str">
        <f t="shared" si="217"/>
        <v/>
      </c>
      <c r="AU461" s="46" t="str">
        <f t="shared" si="218"/>
        <v/>
      </c>
      <c r="AV461" s="46" t="str">
        <f t="shared" si="219"/>
        <v/>
      </c>
      <c r="AW461" s="46" t="str">
        <f t="shared" si="220"/>
        <v/>
      </c>
    </row>
    <row r="462" spans="4:49">
      <c r="D462" s="34"/>
      <c r="E462" s="34"/>
      <c r="F462" s="34"/>
      <c r="G462" s="34"/>
      <c r="H462" s="4"/>
      <c r="I462" s="4"/>
      <c r="J462" s="4"/>
      <c r="K462" s="3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37"/>
      <c r="X462" s="1"/>
      <c r="Y462" s="18">
        <f t="shared" si="196"/>
        <v>0</v>
      </c>
      <c r="Z462" s="21">
        <f t="shared" si="197"/>
        <v>0</v>
      </c>
      <c r="AA462" s="10">
        <f t="shared" si="198"/>
        <v>0</v>
      </c>
      <c r="AB462" s="10">
        <f t="shared" si="199"/>
        <v>0</v>
      </c>
      <c r="AC462" s="10">
        <f t="shared" si="200"/>
        <v>0</v>
      </c>
      <c r="AD462" s="46" t="str">
        <f t="shared" si="201"/>
        <v/>
      </c>
      <c r="AE462" s="46" t="str">
        <f t="shared" si="202"/>
        <v/>
      </c>
      <c r="AF462" s="46" t="str">
        <f t="shared" si="203"/>
        <v/>
      </c>
      <c r="AG462" s="46" t="str">
        <f t="shared" si="204"/>
        <v/>
      </c>
      <c r="AH462" s="46" t="str">
        <f t="shared" si="205"/>
        <v/>
      </c>
      <c r="AI462" s="46" t="str">
        <f t="shared" si="206"/>
        <v/>
      </c>
      <c r="AJ462" s="46" t="str">
        <f t="shared" si="207"/>
        <v/>
      </c>
      <c r="AK462" s="46" t="str">
        <f t="shared" si="208"/>
        <v/>
      </c>
      <c r="AL462" s="46" t="str">
        <f t="shared" si="209"/>
        <v/>
      </c>
      <c r="AM462" s="46" t="str">
        <f t="shared" si="210"/>
        <v/>
      </c>
      <c r="AN462" s="46" t="str">
        <f t="shared" si="211"/>
        <v/>
      </c>
      <c r="AO462" s="46" t="str">
        <f t="shared" si="212"/>
        <v/>
      </c>
      <c r="AP462" s="46" t="str">
        <f t="shared" si="213"/>
        <v/>
      </c>
      <c r="AQ462" s="46" t="str">
        <f t="shared" si="214"/>
        <v/>
      </c>
      <c r="AR462" s="46" t="str">
        <f t="shared" si="215"/>
        <v/>
      </c>
      <c r="AS462" s="46" t="str">
        <f t="shared" si="216"/>
        <v/>
      </c>
      <c r="AT462" s="46" t="str">
        <f t="shared" si="217"/>
        <v/>
      </c>
      <c r="AU462" s="46" t="str">
        <f t="shared" si="218"/>
        <v/>
      </c>
      <c r="AV462" s="46" t="str">
        <f t="shared" si="219"/>
        <v/>
      </c>
      <c r="AW462" s="46" t="str">
        <f t="shared" si="220"/>
        <v/>
      </c>
    </row>
    <row r="463" spans="4:49">
      <c r="D463" s="34"/>
      <c r="E463" s="34"/>
      <c r="F463" s="34"/>
      <c r="G463" s="34"/>
      <c r="H463" s="4"/>
      <c r="I463" s="4"/>
      <c r="J463" s="4"/>
      <c r="K463" s="3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37"/>
      <c r="X463" s="1"/>
      <c r="Y463" s="18">
        <f t="shared" si="196"/>
        <v>0</v>
      </c>
      <c r="Z463" s="21">
        <f t="shared" si="197"/>
        <v>0</v>
      </c>
      <c r="AA463" s="10">
        <f t="shared" si="198"/>
        <v>0</v>
      </c>
      <c r="AB463" s="10">
        <f t="shared" si="199"/>
        <v>0</v>
      </c>
      <c r="AC463" s="10">
        <f t="shared" si="200"/>
        <v>0</v>
      </c>
      <c r="AD463" s="46" t="str">
        <f t="shared" si="201"/>
        <v/>
      </c>
      <c r="AE463" s="46" t="str">
        <f t="shared" si="202"/>
        <v/>
      </c>
      <c r="AF463" s="46" t="str">
        <f t="shared" si="203"/>
        <v/>
      </c>
      <c r="AG463" s="46" t="str">
        <f t="shared" si="204"/>
        <v/>
      </c>
      <c r="AH463" s="46" t="str">
        <f t="shared" si="205"/>
        <v/>
      </c>
      <c r="AI463" s="46" t="str">
        <f t="shared" si="206"/>
        <v/>
      </c>
      <c r="AJ463" s="46" t="str">
        <f t="shared" si="207"/>
        <v/>
      </c>
      <c r="AK463" s="46" t="str">
        <f t="shared" si="208"/>
        <v/>
      </c>
      <c r="AL463" s="46" t="str">
        <f t="shared" si="209"/>
        <v/>
      </c>
      <c r="AM463" s="46" t="str">
        <f t="shared" si="210"/>
        <v/>
      </c>
      <c r="AN463" s="46" t="str">
        <f t="shared" si="211"/>
        <v/>
      </c>
      <c r="AO463" s="46" t="str">
        <f t="shared" si="212"/>
        <v/>
      </c>
      <c r="AP463" s="46" t="str">
        <f t="shared" si="213"/>
        <v/>
      </c>
      <c r="AQ463" s="46" t="str">
        <f t="shared" si="214"/>
        <v/>
      </c>
      <c r="AR463" s="46" t="str">
        <f t="shared" si="215"/>
        <v/>
      </c>
      <c r="AS463" s="46" t="str">
        <f t="shared" si="216"/>
        <v/>
      </c>
      <c r="AT463" s="46" t="str">
        <f t="shared" si="217"/>
        <v/>
      </c>
      <c r="AU463" s="46" t="str">
        <f t="shared" si="218"/>
        <v/>
      </c>
      <c r="AV463" s="46" t="str">
        <f t="shared" si="219"/>
        <v/>
      </c>
      <c r="AW463" s="46" t="str">
        <f t="shared" si="220"/>
        <v/>
      </c>
    </row>
    <row r="464" spans="4:49">
      <c r="D464" s="34"/>
      <c r="E464" s="34"/>
      <c r="F464" s="34"/>
      <c r="G464" s="34"/>
      <c r="H464" s="4"/>
      <c r="I464" s="4"/>
      <c r="J464" s="4"/>
      <c r="K464" s="3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37"/>
      <c r="X464" s="1"/>
      <c r="Y464" s="18">
        <f t="shared" si="196"/>
        <v>0</v>
      </c>
      <c r="Z464" s="21">
        <f t="shared" si="197"/>
        <v>0</v>
      </c>
      <c r="AA464" s="10">
        <f t="shared" si="198"/>
        <v>0</v>
      </c>
      <c r="AB464" s="10">
        <f t="shared" si="199"/>
        <v>0</v>
      </c>
      <c r="AC464" s="10">
        <f t="shared" si="200"/>
        <v>0</v>
      </c>
      <c r="AD464" s="46" t="str">
        <f t="shared" si="201"/>
        <v/>
      </c>
      <c r="AE464" s="46" t="str">
        <f t="shared" si="202"/>
        <v/>
      </c>
      <c r="AF464" s="46" t="str">
        <f t="shared" si="203"/>
        <v/>
      </c>
      <c r="AG464" s="46" t="str">
        <f t="shared" si="204"/>
        <v/>
      </c>
      <c r="AH464" s="46" t="str">
        <f t="shared" si="205"/>
        <v/>
      </c>
      <c r="AI464" s="46" t="str">
        <f t="shared" si="206"/>
        <v/>
      </c>
      <c r="AJ464" s="46" t="str">
        <f t="shared" si="207"/>
        <v/>
      </c>
      <c r="AK464" s="46" t="str">
        <f t="shared" si="208"/>
        <v/>
      </c>
      <c r="AL464" s="46" t="str">
        <f t="shared" si="209"/>
        <v/>
      </c>
      <c r="AM464" s="46" t="str">
        <f t="shared" si="210"/>
        <v/>
      </c>
      <c r="AN464" s="46" t="str">
        <f t="shared" si="211"/>
        <v/>
      </c>
      <c r="AO464" s="46" t="str">
        <f t="shared" si="212"/>
        <v/>
      </c>
      <c r="AP464" s="46" t="str">
        <f t="shared" si="213"/>
        <v/>
      </c>
      <c r="AQ464" s="46" t="str">
        <f t="shared" si="214"/>
        <v/>
      </c>
      <c r="AR464" s="46" t="str">
        <f t="shared" si="215"/>
        <v/>
      </c>
      <c r="AS464" s="46" t="str">
        <f t="shared" si="216"/>
        <v/>
      </c>
      <c r="AT464" s="46" t="str">
        <f t="shared" si="217"/>
        <v/>
      </c>
      <c r="AU464" s="46" t="str">
        <f t="shared" si="218"/>
        <v/>
      </c>
      <c r="AV464" s="46" t="str">
        <f t="shared" si="219"/>
        <v/>
      </c>
      <c r="AW464" s="46" t="str">
        <f t="shared" si="220"/>
        <v/>
      </c>
    </row>
    <row r="465" spans="4:49">
      <c r="D465" s="34"/>
      <c r="E465" s="34"/>
      <c r="F465" s="34"/>
      <c r="G465" s="34"/>
      <c r="H465" s="4"/>
      <c r="I465" s="4"/>
      <c r="J465" s="4"/>
      <c r="K465" s="3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37"/>
      <c r="X465" s="1"/>
      <c r="Y465" s="18">
        <f t="shared" si="196"/>
        <v>0</v>
      </c>
      <c r="Z465" s="21">
        <f t="shared" si="197"/>
        <v>0</v>
      </c>
      <c r="AA465" s="10">
        <f t="shared" si="198"/>
        <v>0</v>
      </c>
      <c r="AB465" s="10">
        <f t="shared" si="199"/>
        <v>0</v>
      </c>
      <c r="AC465" s="10">
        <f t="shared" si="200"/>
        <v>0</v>
      </c>
      <c r="AD465" s="46" t="str">
        <f t="shared" si="201"/>
        <v/>
      </c>
      <c r="AE465" s="46" t="str">
        <f t="shared" si="202"/>
        <v/>
      </c>
      <c r="AF465" s="46" t="str">
        <f t="shared" si="203"/>
        <v/>
      </c>
      <c r="AG465" s="46" t="str">
        <f t="shared" si="204"/>
        <v/>
      </c>
      <c r="AH465" s="46" t="str">
        <f t="shared" si="205"/>
        <v/>
      </c>
      <c r="AI465" s="46" t="str">
        <f t="shared" si="206"/>
        <v/>
      </c>
      <c r="AJ465" s="46" t="str">
        <f t="shared" si="207"/>
        <v/>
      </c>
      <c r="AK465" s="46" t="str">
        <f t="shared" si="208"/>
        <v/>
      </c>
      <c r="AL465" s="46" t="str">
        <f t="shared" si="209"/>
        <v/>
      </c>
      <c r="AM465" s="46" t="str">
        <f t="shared" si="210"/>
        <v/>
      </c>
      <c r="AN465" s="46" t="str">
        <f t="shared" si="211"/>
        <v/>
      </c>
      <c r="AO465" s="46" t="str">
        <f t="shared" si="212"/>
        <v/>
      </c>
      <c r="AP465" s="46" t="str">
        <f t="shared" si="213"/>
        <v/>
      </c>
      <c r="AQ465" s="46" t="str">
        <f t="shared" si="214"/>
        <v/>
      </c>
      <c r="AR465" s="46" t="str">
        <f t="shared" si="215"/>
        <v/>
      </c>
      <c r="AS465" s="46" t="str">
        <f t="shared" si="216"/>
        <v/>
      </c>
      <c r="AT465" s="46" t="str">
        <f t="shared" si="217"/>
        <v/>
      </c>
      <c r="AU465" s="46" t="str">
        <f t="shared" si="218"/>
        <v/>
      </c>
      <c r="AV465" s="46" t="str">
        <f t="shared" si="219"/>
        <v/>
      </c>
      <c r="AW465" s="46" t="str">
        <f t="shared" si="220"/>
        <v/>
      </c>
    </row>
    <row r="466" spans="4:49">
      <c r="D466" s="34"/>
      <c r="E466" s="34"/>
      <c r="F466" s="34"/>
      <c r="G466" s="34"/>
      <c r="H466" s="4"/>
      <c r="I466" s="4"/>
      <c r="J466" s="4"/>
      <c r="K466" s="3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37"/>
      <c r="X466" s="1"/>
      <c r="Y466" s="18">
        <f t="shared" si="196"/>
        <v>0</v>
      </c>
      <c r="Z466" s="21">
        <f t="shared" si="197"/>
        <v>0</v>
      </c>
      <c r="AA466" s="10">
        <f t="shared" si="198"/>
        <v>0</v>
      </c>
      <c r="AB466" s="10">
        <f t="shared" si="199"/>
        <v>0</v>
      </c>
      <c r="AC466" s="10">
        <f t="shared" si="200"/>
        <v>0</v>
      </c>
      <c r="AD466" s="46" t="str">
        <f t="shared" si="201"/>
        <v/>
      </c>
      <c r="AE466" s="46" t="str">
        <f t="shared" si="202"/>
        <v/>
      </c>
      <c r="AF466" s="46" t="str">
        <f t="shared" si="203"/>
        <v/>
      </c>
      <c r="AG466" s="46" t="str">
        <f t="shared" si="204"/>
        <v/>
      </c>
      <c r="AH466" s="46" t="str">
        <f t="shared" si="205"/>
        <v/>
      </c>
      <c r="AI466" s="46" t="str">
        <f t="shared" si="206"/>
        <v/>
      </c>
      <c r="AJ466" s="46" t="str">
        <f t="shared" si="207"/>
        <v/>
      </c>
      <c r="AK466" s="46" t="str">
        <f t="shared" si="208"/>
        <v/>
      </c>
      <c r="AL466" s="46" t="str">
        <f t="shared" si="209"/>
        <v/>
      </c>
      <c r="AM466" s="46" t="str">
        <f t="shared" si="210"/>
        <v/>
      </c>
      <c r="AN466" s="46" t="str">
        <f t="shared" si="211"/>
        <v/>
      </c>
      <c r="AO466" s="46" t="str">
        <f t="shared" si="212"/>
        <v/>
      </c>
      <c r="AP466" s="46" t="str">
        <f t="shared" si="213"/>
        <v/>
      </c>
      <c r="AQ466" s="46" t="str">
        <f t="shared" si="214"/>
        <v/>
      </c>
      <c r="AR466" s="46" t="str">
        <f t="shared" si="215"/>
        <v/>
      </c>
      <c r="AS466" s="46" t="str">
        <f t="shared" si="216"/>
        <v/>
      </c>
      <c r="AT466" s="46" t="str">
        <f t="shared" si="217"/>
        <v/>
      </c>
      <c r="AU466" s="46" t="str">
        <f t="shared" si="218"/>
        <v/>
      </c>
      <c r="AV466" s="46" t="str">
        <f t="shared" si="219"/>
        <v/>
      </c>
      <c r="AW466" s="46" t="str">
        <f t="shared" si="220"/>
        <v/>
      </c>
    </row>
    <row r="467" spans="4:49">
      <c r="D467" s="34"/>
      <c r="E467" s="34"/>
      <c r="F467" s="34"/>
      <c r="G467" s="34"/>
      <c r="H467" s="4"/>
      <c r="I467" s="4"/>
      <c r="J467" s="4"/>
      <c r="K467" s="3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37"/>
      <c r="X467" s="1"/>
      <c r="Y467" s="18">
        <f t="shared" si="196"/>
        <v>0</v>
      </c>
      <c r="Z467" s="21">
        <f t="shared" si="197"/>
        <v>0</v>
      </c>
      <c r="AA467" s="10">
        <f t="shared" si="198"/>
        <v>0</v>
      </c>
      <c r="AB467" s="10">
        <f t="shared" si="199"/>
        <v>0</v>
      </c>
      <c r="AC467" s="10">
        <f t="shared" si="200"/>
        <v>0</v>
      </c>
      <c r="AD467" s="46" t="str">
        <f t="shared" si="201"/>
        <v/>
      </c>
      <c r="AE467" s="46" t="str">
        <f t="shared" si="202"/>
        <v/>
      </c>
      <c r="AF467" s="46" t="str">
        <f t="shared" si="203"/>
        <v/>
      </c>
      <c r="AG467" s="46" t="str">
        <f t="shared" si="204"/>
        <v/>
      </c>
      <c r="AH467" s="46" t="str">
        <f t="shared" si="205"/>
        <v/>
      </c>
      <c r="AI467" s="46" t="str">
        <f t="shared" si="206"/>
        <v/>
      </c>
      <c r="AJ467" s="46" t="str">
        <f t="shared" si="207"/>
        <v/>
      </c>
      <c r="AK467" s="46" t="str">
        <f t="shared" si="208"/>
        <v/>
      </c>
      <c r="AL467" s="46" t="str">
        <f t="shared" si="209"/>
        <v/>
      </c>
      <c r="AM467" s="46" t="str">
        <f t="shared" si="210"/>
        <v/>
      </c>
      <c r="AN467" s="46" t="str">
        <f t="shared" si="211"/>
        <v/>
      </c>
      <c r="AO467" s="46" t="str">
        <f t="shared" si="212"/>
        <v/>
      </c>
      <c r="AP467" s="46" t="str">
        <f t="shared" si="213"/>
        <v/>
      </c>
      <c r="AQ467" s="46" t="str">
        <f t="shared" si="214"/>
        <v/>
      </c>
      <c r="AR467" s="46" t="str">
        <f t="shared" si="215"/>
        <v/>
      </c>
      <c r="AS467" s="46" t="str">
        <f t="shared" si="216"/>
        <v/>
      </c>
      <c r="AT467" s="46" t="str">
        <f t="shared" si="217"/>
        <v/>
      </c>
      <c r="AU467" s="46" t="str">
        <f t="shared" si="218"/>
        <v/>
      </c>
      <c r="AV467" s="46" t="str">
        <f t="shared" si="219"/>
        <v/>
      </c>
      <c r="AW467" s="46" t="str">
        <f t="shared" si="220"/>
        <v/>
      </c>
    </row>
    <row r="468" spans="4:49">
      <c r="D468" s="34"/>
      <c r="E468" s="34"/>
      <c r="F468" s="34"/>
      <c r="G468" s="34"/>
      <c r="H468" s="4"/>
      <c r="I468" s="4"/>
      <c r="J468" s="4"/>
      <c r="K468" s="3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37"/>
      <c r="X468" s="1"/>
      <c r="Y468" s="18">
        <f t="shared" si="196"/>
        <v>0</v>
      </c>
      <c r="Z468" s="21">
        <f t="shared" si="197"/>
        <v>0</v>
      </c>
      <c r="AA468" s="10">
        <f t="shared" si="198"/>
        <v>0</v>
      </c>
      <c r="AB468" s="10">
        <f t="shared" si="199"/>
        <v>0</v>
      </c>
      <c r="AC468" s="10">
        <f t="shared" si="200"/>
        <v>0</v>
      </c>
      <c r="AD468" s="46" t="str">
        <f t="shared" si="201"/>
        <v/>
      </c>
      <c r="AE468" s="46" t="str">
        <f t="shared" si="202"/>
        <v/>
      </c>
      <c r="AF468" s="46" t="str">
        <f t="shared" si="203"/>
        <v/>
      </c>
      <c r="AG468" s="46" t="str">
        <f t="shared" si="204"/>
        <v/>
      </c>
      <c r="AH468" s="46" t="str">
        <f t="shared" si="205"/>
        <v/>
      </c>
      <c r="AI468" s="46" t="str">
        <f t="shared" si="206"/>
        <v/>
      </c>
      <c r="AJ468" s="46" t="str">
        <f t="shared" si="207"/>
        <v/>
      </c>
      <c r="AK468" s="46" t="str">
        <f t="shared" si="208"/>
        <v/>
      </c>
      <c r="AL468" s="46" t="str">
        <f t="shared" si="209"/>
        <v/>
      </c>
      <c r="AM468" s="46" t="str">
        <f t="shared" si="210"/>
        <v/>
      </c>
      <c r="AN468" s="46" t="str">
        <f t="shared" si="211"/>
        <v/>
      </c>
      <c r="AO468" s="46" t="str">
        <f t="shared" si="212"/>
        <v/>
      </c>
      <c r="AP468" s="46" t="str">
        <f t="shared" si="213"/>
        <v/>
      </c>
      <c r="AQ468" s="46" t="str">
        <f t="shared" si="214"/>
        <v/>
      </c>
      <c r="AR468" s="46" t="str">
        <f t="shared" si="215"/>
        <v/>
      </c>
      <c r="AS468" s="46" t="str">
        <f t="shared" si="216"/>
        <v/>
      </c>
      <c r="AT468" s="46" t="str">
        <f t="shared" si="217"/>
        <v/>
      </c>
      <c r="AU468" s="46" t="str">
        <f t="shared" si="218"/>
        <v/>
      </c>
      <c r="AV468" s="46" t="str">
        <f t="shared" si="219"/>
        <v/>
      </c>
      <c r="AW468" s="46" t="str">
        <f t="shared" si="220"/>
        <v/>
      </c>
    </row>
    <row r="469" spans="4:49">
      <c r="D469" s="34"/>
      <c r="E469" s="34"/>
      <c r="F469" s="34"/>
      <c r="G469" s="34"/>
      <c r="H469" s="4"/>
      <c r="I469" s="4"/>
      <c r="J469" s="4"/>
      <c r="K469" s="3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37"/>
      <c r="X469" s="1"/>
      <c r="Y469" s="18">
        <f t="shared" si="196"/>
        <v>0</v>
      </c>
      <c r="Z469" s="21">
        <f t="shared" si="197"/>
        <v>0</v>
      </c>
      <c r="AA469" s="10">
        <f t="shared" si="198"/>
        <v>0</v>
      </c>
      <c r="AB469" s="10">
        <f t="shared" si="199"/>
        <v>0</v>
      </c>
      <c r="AC469" s="10">
        <f t="shared" si="200"/>
        <v>0</v>
      </c>
      <c r="AD469" s="46" t="str">
        <f t="shared" si="201"/>
        <v/>
      </c>
      <c r="AE469" s="46" t="str">
        <f t="shared" si="202"/>
        <v/>
      </c>
      <c r="AF469" s="46" t="str">
        <f t="shared" si="203"/>
        <v/>
      </c>
      <c r="AG469" s="46" t="str">
        <f t="shared" si="204"/>
        <v/>
      </c>
      <c r="AH469" s="46" t="str">
        <f t="shared" si="205"/>
        <v/>
      </c>
      <c r="AI469" s="46" t="str">
        <f t="shared" si="206"/>
        <v/>
      </c>
      <c r="AJ469" s="46" t="str">
        <f t="shared" si="207"/>
        <v/>
      </c>
      <c r="AK469" s="46" t="str">
        <f t="shared" si="208"/>
        <v/>
      </c>
      <c r="AL469" s="46" t="str">
        <f t="shared" si="209"/>
        <v/>
      </c>
      <c r="AM469" s="46" t="str">
        <f t="shared" si="210"/>
        <v/>
      </c>
      <c r="AN469" s="46" t="str">
        <f t="shared" si="211"/>
        <v/>
      </c>
      <c r="AO469" s="46" t="str">
        <f t="shared" si="212"/>
        <v/>
      </c>
      <c r="AP469" s="46" t="str">
        <f t="shared" si="213"/>
        <v/>
      </c>
      <c r="AQ469" s="46" t="str">
        <f t="shared" si="214"/>
        <v/>
      </c>
      <c r="AR469" s="46" t="str">
        <f t="shared" si="215"/>
        <v/>
      </c>
      <c r="AS469" s="46" t="str">
        <f t="shared" si="216"/>
        <v/>
      </c>
      <c r="AT469" s="46" t="str">
        <f t="shared" si="217"/>
        <v/>
      </c>
      <c r="AU469" s="46" t="str">
        <f t="shared" si="218"/>
        <v/>
      </c>
      <c r="AV469" s="46" t="str">
        <f t="shared" si="219"/>
        <v/>
      </c>
      <c r="AW469" s="46" t="str">
        <f t="shared" si="220"/>
        <v/>
      </c>
    </row>
    <row r="470" spans="4:49">
      <c r="D470" s="34"/>
      <c r="E470" s="34"/>
      <c r="F470" s="34"/>
      <c r="G470" s="34"/>
      <c r="H470" s="4"/>
      <c r="I470" s="4"/>
      <c r="J470" s="4"/>
      <c r="K470" s="3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37"/>
      <c r="X470" s="1"/>
      <c r="Y470" s="18">
        <f t="shared" si="196"/>
        <v>0</v>
      </c>
      <c r="Z470" s="21">
        <f t="shared" si="197"/>
        <v>0</v>
      </c>
      <c r="AA470" s="10">
        <f t="shared" si="198"/>
        <v>0</v>
      </c>
      <c r="AB470" s="10">
        <f t="shared" si="199"/>
        <v>0</v>
      </c>
      <c r="AC470" s="10">
        <f t="shared" si="200"/>
        <v>0</v>
      </c>
      <c r="AD470" s="46" t="str">
        <f t="shared" si="201"/>
        <v/>
      </c>
      <c r="AE470" s="46" t="str">
        <f t="shared" si="202"/>
        <v/>
      </c>
      <c r="AF470" s="46" t="str">
        <f t="shared" si="203"/>
        <v/>
      </c>
      <c r="AG470" s="46" t="str">
        <f t="shared" si="204"/>
        <v/>
      </c>
      <c r="AH470" s="46" t="str">
        <f t="shared" si="205"/>
        <v/>
      </c>
      <c r="AI470" s="46" t="str">
        <f t="shared" si="206"/>
        <v/>
      </c>
      <c r="AJ470" s="46" t="str">
        <f t="shared" si="207"/>
        <v/>
      </c>
      <c r="AK470" s="46" t="str">
        <f t="shared" si="208"/>
        <v/>
      </c>
      <c r="AL470" s="46" t="str">
        <f t="shared" si="209"/>
        <v/>
      </c>
      <c r="AM470" s="46" t="str">
        <f t="shared" si="210"/>
        <v/>
      </c>
      <c r="AN470" s="46" t="str">
        <f t="shared" si="211"/>
        <v/>
      </c>
      <c r="AO470" s="46" t="str">
        <f t="shared" si="212"/>
        <v/>
      </c>
      <c r="AP470" s="46" t="str">
        <f t="shared" si="213"/>
        <v/>
      </c>
      <c r="AQ470" s="46" t="str">
        <f t="shared" si="214"/>
        <v/>
      </c>
      <c r="AR470" s="46" t="str">
        <f t="shared" si="215"/>
        <v/>
      </c>
      <c r="AS470" s="46" t="str">
        <f t="shared" si="216"/>
        <v/>
      </c>
      <c r="AT470" s="46" t="str">
        <f t="shared" si="217"/>
        <v/>
      </c>
      <c r="AU470" s="46" t="str">
        <f t="shared" si="218"/>
        <v/>
      </c>
      <c r="AV470" s="46" t="str">
        <f t="shared" si="219"/>
        <v/>
      </c>
      <c r="AW470" s="46" t="str">
        <f t="shared" si="220"/>
        <v/>
      </c>
    </row>
    <row r="471" spans="4:49">
      <c r="D471" s="34"/>
      <c r="E471" s="34"/>
      <c r="F471" s="34"/>
      <c r="G471" s="34"/>
      <c r="H471" s="4"/>
      <c r="I471" s="4"/>
      <c r="J471" s="4"/>
      <c r="K471" s="3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37"/>
      <c r="X471" s="1"/>
      <c r="Y471" s="18">
        <f t="shared" si="196"/>
        <v>0</v>
      </c>
      <c r="Z471" s="21">
        <f t="shared" si="197"/>
        <v>0</v>
      </c>
      <c r="AA471" s="10">
        <f t="shared" si="198"/>
        <v>0</v>
      </c>
      <c r="AB471" s="10">
        <f t="shared" si="199"/>
        <v>0</v>
      </c>
      <c r="AC471" s="10">
        <f t="shared" si="200"/>
        <v>0</v>
      </c>
      <c r="AD471" s="46" t="str">
        <f t="shared" si="201"/>
        <v/>
      </c>
      <c r="AE471" s="46" t="str">
        <f t="shared" si="202"/>
        <v/>
      </c>
      <c r="AF471" s="46" t="str">
        <f t="shared" si="203"/>
        <v/>
      </c>
      <c r="AG471" s="46" t="str">
        <f t="shared" si="204"/>
        <v/>
      </c>
      <c r="AH471" s="46" t="str">
        <f t="shared" si="205"/>
        <v/>
      </c>
      <c r="AI471" s="46" t="str">
        <f t="shared" si="206"/>
        <v/>
      </c>
      <c r="AJ471" s="46" t="str">
        <f t="shared" si="207"/>
        <v/>
      </c>
      <c r="AK471" s="46" t="str">
        <f t="shared" si="208"/>
        <v/>
      </c>
      <c r="AL471" s="46" t="str">
        <f t="shared" si="209"/>
        <v/>
      </c>
      <c r="AM471" s="46" t="str">
        <f t="shared" si="210"/>
        <v/>
      </c>
      <c r="AN471" s="46" t="str">
        <f t="shared" si="211"/>
        <v/>
      </c>
      <c r="AO471" s="46" t="str">
        <f t="shared" si="212"/>
        <v/>
      </c>
      <c r="AP471" s="46" t="str">
        <f t="shared" si="213"/>
        <v/>
      </c>
      <c r="AQ471" s="46" t="str">
        <f t="shared" si="214"/>
        <v/>
      </c>
      <c r="AR471" s="46" t="str">
        <f t="shared" si="215"/>
        <v/>
      </c>
      <c r="AS471" s="46" t="str">
        <f t="shared" si="216"/>
        <v/>
      </c>
      <c r="AT471" s="46" t="str">
        <f t="shared" si="217"/>
        <v/>
      </c>
      <c r="AU471" s="46" t="str">
        <f t="shared" si="218"/>
        <v/>
      </c>
      <c r="AV471" s="46" t="str">
        <f t="shared" si="219"/>
        <v/>
      </c>
      <c r="AW471" s="46" t="str">
        <f t="shared" si="220"/>
        <v/>
      </c>
    </row>
    <row r="472" spans="4:49">
      <c r="D472" s="34"/>
      <c r="E472" s="34"/>
      <c r="F472" s="34"/>
      <c r="G472" s="34"/>
      <c r="H472" s="4"/>
      <c r="I472" s="4"/>
      <c r="J472" s="4"/>
      <c r="K472" s="3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37"/>
      <c r="X472" s="1"/>
      <c r="Y472" s="18">
        <f t="shared" si="196"/>
        <v>0</v>
      </c>
      <c r="Z472" s="21">
        <f t="shared" si="197"/>
        <v>0</v>
      </c>
      <c r="AA472" s="10">
        <f t="shared" si="198"/>
        <v>0</v>
      </c>
      <c r="AB472" s="10">
        <f t="shared" si="199"/>
        <v>0</v>
      </c>
      <c r="AC472" s="10">
        <f t="shared" si="200"/>
        <v>0</v>
      </c>
      <c r="AD472" s="46" t="str">
        <f t="shared" si="201"/>
        <v/>
      </c>
      <c r="AE472" s="46" t="str">
        <f t="shared" si="202"/>
        <v/>
      </c>
      <c r="AF472" s="46" t="str">
        <f t="shared" si="203"/>
        <v/>
      </c>
      <c r="AG472" s="46" t="str">
        <f t="shared" si="204"/>
        <v/>
      </c>
      <c r="AH472" s="46" t="str">
        <f t="shared" si="205"/>
        <v/>
      </c>
      <c r="AI472" s="46" t="str">
        <f t="shared" si="206"/>
        <v/>
      </c>
      <c r="AJ472" s="46" t="str">
        <f t="shared" si="207"/>
        <v/>
      </c>
      <c r="AK472" s="46" t="str">
        <f t="shared" si="208"/>
        <v/>
      </c>
      <c r="AL472" s="46" t="str">
        <f t="shared" si="209"/>
        <v/>
      </c>
      <c r="AM472" s="46" t="str">
        <f t="shared" si="210"/>
        <v/>
      </c>
      <c r="AN472" s="46" t="str">
        <f t="shared" si="211"/>
        <v/>
      </c>
      <c r="AO472" s="46" t="str">
        <f t="shared" si="212"/>
        <v/>
      </c>
      <c r="AP472" s="46" t="str">
        <f t="shared" si="213"/>
        <v/>
      </c>
      <c r="AQ472" s="46" t="str">
        <f t="shared" si="214"/>
        <v/>
      </c>
      <c r="AR472" s="46" t="str">
        <f t="shared" si="215"/>
        <v/>
      </c>
      <c r="AS472" s="46" t="str">
        <f t="shared" si="216"/>
        <v/>
      </c>
      <c r="AT472" s="46" t="str">
        <f t="shared" si="217"/>
        <v/>
      </c>
      <c r="AU472" s="46" t="str">
        <f t="shared" si="218"/>
        <v/>
      </c>
      <c r="AV472" s="46" t="str">
        <f t="shared" si="219"/>
        <v/>
      </c>
      <c r="AW472" s="46" t="str">
        <f t="shared" si="220"/>
        <v/>
      </c>
    </row>
    <row r="473" spans="4:49">
      <c r="D473" s="34"/>
      <c r="E473" s="34"/>
      <c r="F473" s="34"/>
      <c r="G473" s="34"/>
      <c r="H473" s="4"/>
      <c r="I473" s="4"/>
      <c r="J473" s="4"/>
      <c r="K473" s="3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37"/>
      <c r="X473" s="1"/>
      <c r="Y473" s="18">
        <f t="shared" si="196"/>
        <v>0</v>
      </c>
      <c r="Z473" s="21">
        <f t="shared" si="197"/>
        <v>0</v>
      </c>
      <c r="AA473" s="10">
        <f t="shared" si="198"/>
        <v>0</v>
      </c>
      <c r="AB473" s="10">
        <f t="shared" si="199"/>
        <v>0</v>
      </c>
      <c r="AC473" s="10">
        <f t="shared" si="200"/>
        <v>0</v>
      </c>
      <c r="AD473" s="46" t="str">
        <f t="shared" si="201"/>
        <v/>
      </c>
      <c r="AE473" s="46" t="str">
        <f t="shared" si="202"/>
        <v/>
      </c>
      <c r="AF473" s="46" t="str">
        <f t="shared" si="203"/>
        <v/>
      </c>
      <c r="AG473" s="46" t="str">
        <f t="shared" si="204"/>
        <v/>
      </c>
      <c r="AH473" s="46" t="str">
        <f t="shared" si="205"/>
        <v/>
      </c>
      <c r="AI473" s="46" t="str">
        <f t="shared" si="206"/>
        <v/>
      </c>
      <c r="AJ473" s="46" t="str">
        <f t="shared" si="207"/>
        <v/>
      </c>
      <c r="AK473" s="46" t="str">
        <f t="shared" si="208"/>
        <v/>
      </c>
      <c r="AL473" s="46" t="str">
        <f t="shared" si="209"/>
        <v/>
      </c>
      <c r="AM473" s="46" t="str">
        <f t="shared" si="210"/>
        <v/>
      </c>
      <c r="AN473" s="46" t="str">
        <f t="shared" si="211"/>
        <v/>
      </c>
      <c r="AO473" s="46" t="str">
        <f t="shared" si="212"/>
        <v/>
      </c>
      <c r="AP473" s="46" t="str">
        <f t="shared" si="213"/>
        <v/>
      </c>
      <c r="AQ473" s="46" t="str">
        <f t="shared" si="214"/>
        <v/>
      </c>
      <c r="AR473" s="46" t="str">
        <f t="shared" si="215"/>
        <v/>
      </c>
      <c r="AS473" s="46" t="str">
        <f t="shared" si="216"/>
        <v/>
      </c>
      <c r="AT473" s="46" t="str">
        <f t="shared" si="217"/>
        <v/>
      </c>
      <c r="AU473" s="46" t="str">
        <f t="shared" si="218"/>
        <v/>
      </c>
      <c r="AV473" s="46" t="str">
        <f t="shared" si="219"/>
        <v/>
      </c>
      <c r="AW473" s="46" t="str">
        <f t="shared" si="220"/>
        <v/>
      </c>
    </row>
    <row r="474" spans="4:49">
      <c r="D474" s="34"/>
      <c r="E474" s="34"/>
      <c r="F474" s="34"/>
      <c r="G474" s="34"/>
      <c r="H474" s="4"/>
      <c r="I474" s="4"/>
      <c r="J474" s="4"/>
      <c r="K474" s="3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37"/>
      <c r="X474" s="1"/>
      <c r="Y474" s="18">
        <f t="shared" si="196"/>
        <v>0</v>
      </c>
      <c r="Z474" s="21">
        <f t="shared" si="197"/>
        <v>0</v>
      </c>
      <c r="AA474" s="10">
        <f t="shared" si="198"/>
        <v>0</v>
      </c>
      <c r="AB474" s="10">
        <f t="shared" si="199"/>
        <v>0</v>
      </c>
      <c r="AC474" s="10">
        <f t="shared" si="200"/>
        <v>0</v>
      </c>
      <c r="AD474" s="46" t="str">
        <f t="shared" si="201"/>
        <v/>
      </c>
      <c r="AE474" s="46" t="str">
        <f t="shared" si="202"/>
        <v/>
      </c>
      <c r="AF474" s="46" t="str">
        <f t="shared" si="203"/>
        <v/>
      </c>
      <c r="AG474" s="46" t="str">
        <f t="shared" si="204"/>
        <v/>
      </c>
      <c r="AH474" s="46" t="str">
        <f t="shared" si="205"/>
        <v/>
      </c>
      <c r="AI474" s="46" t="str">
        <f t="shared" si="206"/>
        <v/>
      </c>
      <c r="AJ474" s="46" t="str">
        <f t="shared" si="207"/>
        <v/>
      </c>
      <c r="AK474" s="46" t="str">
        <f t="shared" si="208"/>
        <v/>
      </c>
      <c r="AL474" s="46" t="str">
        <f t="shared" si="209"/>
        <v/>
      </c>
      <c r="AM474" s="46" t="str">
        <f t="shared" si="210"/>
        <v/>
      </c>
      <c r="AN474" s="46" t="str">
        <f t="shared" si="211"/>
        <v/>
      </c>
      <c r="AO474" s="46" t="str">
        <f t="shared" si="212"/>
        <v/>
      </c>
      <c r="AP474" s="46" t="str">
        <f t="shared" si="213"/>
        <v/>
      </c>
      <c r="AQ474" s="46" t="str">
        <f t="shared" si="214"/>
        <v/>
      </c>
      <c r="AR474" s="46" t="str">
        <f t="shared" si="215"/>
        <v/>
      </c>
      <c r="AS474" s="46" t="str">
        <f t="shared" si="216"/>
        <v/>
      </c>
      <c r="AT474" s="46" t="str">
        <f t="shared" si="217"/>
        <v/>
      </c>
      <c r="AU474" s="46" t="str">
        <f t="shared" si="218"/>
        <v/>
      </c>
      <c r="AV474" s="46" t="str">
        <f t="shared" si="219"/>
        <v/>
      </c>
      <c r="AW474" s="46" t="str">
        <f t="shared" si="220"/>
        <v/>
      </c>
    </row>
    <row r="475" spans="4:49">
      <c r="D475" s="34"/>
      <c r="E475" s="34"/>
      <c r="F475" s="34"/>
      <c r="G475" s="34"/>
      <c r="H475" s="4"/>
      <c r="I475" s="4"/>
      <c r="J475" s="4"/>
      <c r="K475" s="3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37"/>
      <c r="X475" s="1"/>
      <c r="Y475" s="18">
        <f t="shared" si="196"/>
        <v>0</v>
      </c>
      <c r="Z475" s="21">
        <f t="shared" si="197"/>
        <v>0</v>
      </c>
      <c r="AA475" s="10">
        <f t="shared" si="198"/>
        <v>0</v>
      </c>
      <c r="AB475" s="10">
        <f t="shared" si="199"/>
        <v>0</v>
      </c>
      <c r="AC475" s="10">
        <f t="shared" si="200"/>
        <v>0</v>
      </c>
      <c r="AD475" s="46" t="str">
        <f t="shared" si="201"/>
        <v/>
      </c>
      <c r="AE475" s="46" t="str">
        <f t="shared" si="202"/>
        <v/>
      </c>
      <c r="AF475" s="46" t="str">
        <f t="shared" si="203"/>
        <v/>
      </c>
      <c r="AG475" s="46" t="str">
        <f t="shared" si="204"/>
        <v/>
      </c>
      <c r="AH475" s="46" t="str">
        <f t="shared" si="205"/>
        <v/>
      </c>
      <c r="AI475" s="46" t="str">
        <f t="shared" si="206"/>
        <v/>
      </c>
      <c r="AJ475" s="46" t="str">
        <f t="shared" si="207"/>
        <v/>
      </c>
      <c r="AK475" s="46" t="str">
        <f t="shared" si="208"/>
        <v/>
      </c>
      <c r="AL475" s="46" t="str">
        <f t="shared" si="209"/>
        <v/>
      </c>
      <c r="AM475" s="46" t="str">
        <f t="shared" si="210"/>
        <v/>
      </c>
      <c r="AN475" s="46" t="str">
        <f t="shared" si="211"/>
        <v/>
      </c>
      <c r="AO475" s="46" t="str">
        <f t="shared" si="212"/>
        <v/>
      </c>
      <c r="AP475" s="46" t="str">
        <f t="shared" si="213"/>
        <v/>
      </c>
      <c r="AQ475" s="46" t="str">
        <f t="shared" si="214"/>
        <v/>
      </c>
      <c r="AR475" s="46" t="str">
        <f t="shared" si="215"/>
        <v/>
      </c>
      <c r="AS475" s="46" t="str">
        <f t="shared" si="216"/>
        <v/>
      </c>
      <c r="AT475" s="46" t="str">
        <f t="shared" si="217"/>
        <v/>
      </c>
      <c r="AU475" s="46" t="str">
        <f t="shared" si="218"/>
        <v/>
      </c>
      <c r="AV475" s="46" t="str">
        <f t="shared" si="219"/>
        <v/>
      </c>
      <c r="AW475" s="46" t="str">
        <f t="shared" si="220"/>
        <v/>
      </c>
    </row>
    <row r="476" spans="4:49">
      <c r="D476" s="34"/>
      <c r="E476" s="34"/>
      <c r="F476" s="34"/>
      <c r="G476" s="34"/>
      <c r="H476" s="4"/>
      <c r="I476" s="4"/>
      <c r="J476" s="4"/>
      <c r="K476" s="3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37"/>
      <c r="X476" s="1"/>
      <c r="Y476" s="18">
        <f t="shared" si="196"/>
        <v>0</v>
      </c>
      <c r="Z476" s="21">
        <f t="shared" si="197"/>
        <v>0</v>
      </c>
      <c r="AA476" s="10">
        <f t="shared" si="198"/>
        <v>0</v>
      </c>
      <c r="AB476" s="10">
        <f t="shared" si="199"/>
        <v>0</v>
      </c>
      <c r="AC476" s="10">
        <f t="shared" si="200"/>
        <v>0</v>
      </c>
      <c r="AD476" s="46" t="str">
        <f t="shared" si="201"/>
        <v/>
      </c>
      <c r="AE476" s="46" t="str">
        <f t="shared" si="202"/>
        <v/>
      </c>
      <c r="AF476" s="46" t="str">
        <f t="shared" si="203"/>
        <v/>
      </c>
      <c r="AG476" s="46" t="str">
        <f t="shared" si="204"/>
        <v/>
      </c>
      <c r="AH476" s="46" t="str">
        <f t="shared" si="205"/>
        <v/>
      </c>
      <c r="AI476" s="46" t="str">
        <f t="shared" si="206"/>
        <v/>
      </c>
      <c r="AJ476" s="46" t="str">
        <f t="shared" si="207"/>
        <v/>
      </c>
      <c r="AK476" s="46" t="str">
        <f t="shared" si="208"/>
        <v/>
      </c>
      <c r="AL476" s="46" t="str">
        <f t="shared" si="209"/>
        <v/>
      </c>
      <c r="AM476" s="46" t="str">
        <f t="shared" si="210"/>
        <v/>
      </c>
      <c r="AN476" s="46" t="str">
        <f t="shared" si="211"/>
        <v/>
      </c>
      <c r="AO476" s="46" t="str">
        <f t="shared" si="212"/>
        <v/>
      </c>
      <c r="AP476" s="46" t="str">
        <f t="shared" si="213"/>
        <v/>
      </c>
      <c r="AQ476" s="46" t="str">
        <f t="shared" si="214"/>
        <v/>
      </c>
      <c r="AR476" s="46" t="str">
        <f t="shared" si="215"/>
        <v/>
      </c>
      <c r="AS476" s="46" t="str">
        <f t="shared" si="216"/>
        <v/>
      </c>
      <c r="AT476" s="46" t="str">
        <f t="shared" si="217"/>
        <v/>
      </c>
      <c r="AU476" s="46" t="str">
        <f t="shared" si="218"/>
        <v/>
      </c>
      <c r="AV476" s="46" t="str">
        <f t="shared" si="219"/>
        <v/>
      </c>
      <c r="AW476" s="46" t="str">
        <f t="shared" si="220"/>
        <v/>
      </c>
    </row>
    <row r="477" spans="4:49">
      <c r="D477" s="34"/>
      <c r="E477" s="34"/>
      <c r="F477" s="34"/>
      <c r="G477" s="34"/>
      <c r="H477" s="4"/>
      <c r="I477" s="4"/>
      <c r="J477" s="4"/>
      <c r="K477" s="3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37"/>
      <c r="X477" s="1"/>
      <c r="Y477" s="18">
        <f t="shared" si="196"/>
        <v>0</v>
      </c>
      <c r="Z477" s="21">
        <f t="shared" si="197"/>
        <v>0</v>
      </c>
      <c r="AA477" s="10">
        <f t="shared" si="198"/>
        <v>0</v>
      </c>
      <c r="AB477" s="10">
        <f t="shared" si="199"/>
        <v>0</v>
      </c>
      <c r="AC477" s="10">
        <f t="shared" si="200"/>
        <v>0</v>
      </c>
      <c r="AD477" s="46" t="str">
        <f t="shared" si="201"/>
        <v/>
      </c>
      <c r="AE477" s="46" t="str">
        <f t="shared" si="202"/>
        <v/>
      </c>
      <c r="AF477" s="46" t="str">
        <f t="shared" si="203"/>
        <v/>
      </c>
      <c r="AG477" s="46" t="str">
        <f t="shared" si="204"/>
        <v/>
      </c>
      <c r="AH477" s="46" t="str">
        <f t="shared" si="205"/>
        <v/>
      </c>
      <c r="AI477" s="46" t="str">
        <f t="shared" si="206"/>
        <v/>
      </c>
      <c r="AJ477" s="46" t="str">
        <f t="shared" si="207"/>
        <v/>
      </c>
      <c r="AK477" s="46" t="str">
        <f t="shared" si="208"/>
        <v/>
      </c>
      <c r="AL477" s="46" t="str">
        <f t="shared" si="209"/>
        <v/>
      </c>
      <c r="AM477" s="46" t="str">
        <f t="shared" si="210"/>
        <v/>
      </c>
      <c r="AN477" s="46" t="str">
        <f t="shared" si="211"/>
        <v/>
      </c>
      <c r="AO477" s="46" t="str">
        <f t="shared" si="212"/>
        <v/>
      </c>
      <c r="AP477" s="46" t="str">
        <f t="shared" si="213"/>
        <v/>
      </c>
      <c r="AQ477" s="46" t="str">
        <f t="shared" si="214"/>
        <v/>
      </c>
      <c r="AR477" s="46" t="str">
        <f t="shared" si="215"/>
        <v/>
      </c>
      <c r="AS477" s="46" t="str">
        <f t="shared" si="216"/>
        <v/>
      </c>
      <c r="AT477" s="46" t="str">
        <f t="shared" si="217"/>
        <v/>
      </c>
      <c r="AU477" s="46" t="str">
        <f t="shared" si="218"/>
        <v/>
      </c>
      <c r="AV477" s="46" t="str">
        <f t="shared" si="219"/>
        <v/>
      </c>
      <c r="AW477" s="46" t="str">
        <f t="shared" si="220"/>
        <v/>
      </c>
    </row>
    <row r="478" spans="4:49">
      <c r="D478" s="34"/>
      <c r="E478" s="34"/>
      <c r="F478" s="34"/>
      <c r="G478" s="34"/>
      <c r="H478" s="4"/>
      <c r="I478" s="4"/>
      <c r="J478" s="4"/>
      <c r="K478" s="3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37"/>
      <c r="X478" s="1"/>
      <c r="Y478" s="18">
        <f t="shared" si="196"/>
        <v>0</v>
      </c>
      <c r="Z478" s="21">
        <f t="shared" si="197"/>
        <v>0</v>
      </c>
      <c r="AA478" s="10">
        <f t="shared" si="198"/>
        <v>0</v>
      </c>
      <c r="AB478" s="10">
        <f t="shared" si="199"/>
        <v>0</v>
      </c>
      <c r="AC478" s="10">
        <f t="shared" si="200"/>
        <v>0</v>
      </c>
      <c r="AD478" s="46" t="str">
        <f t="shared" si="201"/>
        <v/>
      </c>
      <c r="AE478" s="46" t="str">
        <f t="shared" si="202"/>
        <v/>
      </c>
      <c r="AF478" s="46" t="str">
        <f t="shared" si="203"/>
        <v/>
      </c>
      <c r="AG478" s="46" t="str">
        <f t="shared" si="204"/>
        <v/>
      </c>
      <c r="AH478" s="46" t="str">
        <f t="shared" si="205"/>
        <v/>
      </c>
      <c r="AI478" s="46" t="str">
        <f t="shared" si="206"/>
        <v/>
      </c>
      <c r="AJ478" s="46" t="str">
        <f t="shared" si="207"/>
        <v/>
      </c>
      <c r="AK478" s="46" t="str">
        <f t="shared" si="208"/>
        <v/>
      </c>
      <c r="AL478" s="46" t="str">
        <f t="shared" si="209"/>
        <v/>
      </c>
      <c r="AM478" s="46" t="str">
        <f t="shared" si="210"/>
        <v/>
      </c>
      <c r="AN478" s="46" t="str">
        <f t="shared" si="211"/>
        <v/>
      </c>
      <c r="AO478" s="46" t="str">
        <f t="shared" si="212"/>
        <v/>
      </c>
      <c r="AP478" s="46" t="str">
        <f t="shared" si="213"/>
        <v/>
      </c>
      <c r="AQ478" s="46" t="str">
        <f t="shared" si="214"/>
        <v/>
      </c>
      <c r="AR478" s="46" t="str">
        <f t="shared" si="215"/>
        <v/>
      </c>
      <c r="AS478" s="46" t="str">
        <f t="shared" si="216"/>
        <v/>
      </c>
      <c r="AT478" s="46" t="str">
        <f t="shared" si="217"/>
        <v/>
      </c>
      <c r="AU478" s="46" t="str">
        <f t="shared" si="218"/>
        <v/>
      </c>
      <c r="AV478" s="46" t="str">
        <f t="shared" si="219"/>
        <v/>
      </c>
      <c r="AW478" s="46" t="str">
        <f t="shared" si="220"/>
        <v/>
      </c>
    </row>
    <row r="479" spans="4:49">
      <c r="D479" s="34"/>
      <c r="E479" s="34"/>
      <c r="F479" s="34"/>
      <c r="G479" s="34"/>
      <c r="H479" s="4"/>
      <c r="I479" s="4"/>
      <c r="J479" s="4"/>
      <c r="K479" s="3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37"/>
      <c r="X479" s="1"/>
      <c r="Y479" s="18">
        <f t="shared" si="196"/>
        <v>0</v>
      </c>
      <c r="Z479" s="21">
        <f t="shared" si="197"/>
        <v>0</v>
      </c>
      <c r="AA479" s="10">
        <f t="shared" si="198"/>
        <v>0</v>
      </c>
      <c r="AB479" s="10">
        <f t="shared" si="199"/>
        <v>0</v>
      </c>
      <c r="AC479" s="10">
        <f t="shared" si="200"/>
        <v>0</v>
      </c>
      <c r="AD479" s="46" t="str">
        <f t="shared" si="201"/>
        <v/>
      </c>
      <c r="AE479" s="46" t="str">
        <f t="shared" si="202"/>
        <v/>
      </c>
      <c r="AF479" s="46" t="str">
        <f t="shared" si="203"/>
        <v/>
      </c>
      <c r="AG479" s="46" t="str">
        <f t="shared" si="204"/>
        <v/>
      </c>
      <c r="AH479" s="46" t="str">
        <f t="shared" si="205"/>
        <v/>
      </c>
      <c r="AI479" s="46" t="str">
        <f t="shared" si="206"/>
        <v/>
      </c>
      <c r="AJ479" s="46" t="str">
        <f t="shared" si="207"/>
        <v/>
      </c>
      <c r="AK479" s="46" t="str">
        <f t="shared" si="208"/>
        <v/>
      </c>
      <c r="AL479" s="46" t="str">
        <f t="shared" si="209"/>
        <v/>
      </c>
      <c r="AM479" s="46" t="str">
        <f t="shared" si="210"/>
        <v/>
      </c>
      <c r="AN479" s="46" t="str">
        <f t="shared" si="211"/>
        <v/>
      </c>
      <c r="AO479" s="46" t="str">
        <f t="shared" si="212"/>
        <v/>
      </c>
      <c r="AP479" s="46" t="str">
        <f t="shared" si="213"/>
        <v/>
      </c>
      <c r="AQ479" s="46" t="str">
        <f t="shared" si="214"/>
        <v/>
      </c>
      <c r="AR479" s="46" t="str">
        <f t="shared" si="215"/>
        <v/>
      </c>
      <c r="AS479" s="46" t="str">
        <f t="shared" si="216"/>
        <v/>
      </c>
      <c r="AT479" s="46" t="str">
        <f t="shared" si="217"/>
        <v/>
      </c>
      <c r="AU479" s="46" t="str">
        <f t="shared" si="218"/>
        <v/>
      </c>
      <c r="AV479" s="46" t="str">
        <f t="shared" si="219"/>
        <v/>
      </c>
      <c r="AW479" s="46" t="str">
        <f t="shared" si="220"/>
        <v/>
      </c>
    </row>
    <row r="480" spans="4:49">
      <c r="D480" s="34"/>
      <c r="E480" s="34"/>
      <c r="F480" s="34"/>
      <c r="G480" s="34"/>
      <c r="H480" s="4"/>
      <c r="I480" s="4"/>
      <c r="J480" s="4"/>
      <c r="K480" s="3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37"/>
      <c r="X480" s="1"/>
      <c r="Y480" s="18">
        <f t="shared" si="196"/>
        <v>0</v>
      </c>
      <c r="Z480" s="21">
        <f t="shared" si="197"/>
        <v>0</v>
      </c>
      <c r="AA480" s="10">
        <f t="shared" si="198"/>
        <v>0</v>
      </c>
      <c r="AB480" s="10">
        <f t="shared" si="199"/>
        <v>0</v>
      </c>
      <c r="AC480" s="10">
        <f t="shared" si="200"/>
        <v>0</v>
      </c>
      <c r="AD480" s="46" t="str">
        <f t="shared" si="201"/>
        <v/>
      </c>
      <c r="AE480" s="46" t="str">
        <f t="shared" si="202"/>
        <v/>
      </c>
      <c r="AF480" s="46" t="str">
        <f t="shared" si="203"/>
        <v/>
      </c>
      <c r="AG480" s="46" t="str">
        <f t="shared" si="204"/>
        <v/>
      </c>
      <c r="AH480" s="46" t="str">
        <f t="shared" si="205"/>
        <v/>
      </c>
      <c r="AI480" s="46" t="str">
        <f t="shared" si="206"/>
        <v/>
      </c>
      <c r="AJ480" s="46" t="str">
        <f t="shared" si="207"/>
        <v/>
      </c>
      <c r="AK480" s="46" t="str">
        <f t="shared" si="208"/>
        <v/>
      </c>
      <c r="AL480" s="46" t="str">
        <f t="shared" si="209"/>
        <v/>
      </c>
      <c r="AM480" s="46" t="str">
        <f t="shared" si="210"/>
        <v/>
      </c>
      <c r="AN480" s="46" t="str">
        <f t="shared" si="211"/>
        <v/>
      </c>
      <c r="AO480" s="46" t="str">
        <f t="shared" si="212"/>
        <v/>
      </c>
      <c r="AP480" s="46" t="str">
        <f t="shared" si="213"/>
        <v/>
      </c>
      <c r="AQ480" s="46" t="str">
        <f t="shared" si="214"/>
        <v/>
      </c>
      <c r="AR480" s="46" t="str">
        <f t="shared" si="215"/>
        <v/>
      </c>
      <c r="AS480" s="46" t="str">
        <f t="shared" si="216"/>
        <v/>
      </c>
      <c r="AT480" s="46" t="str">
        <f t="shared" si="217"/>
        <v/>
      </c>
      <c r="AU480" s="46" t="str">
        <f t="shared" si="218"/>
        <v/>
      </c>
      <c r="AV480" s="46" t="str">
        <f t="shared" si="219"/>
        <v/>
      </c>
      <c r="AW480" s="46" t="str">
        <f t="shared" si="220"/>
        <v/>
      </c>
    </row>
    <row r="481" spans="4:49">
      <c r="D481" s="34"/>
      <c r="E481" s="34"/>
      <c r="F481" s="34"/>
      <c r="G481" s="34"/>
      <c r="H481" s="4"/>
      <c r="I481" s="4"/>
      <c r="J481" s="4"/>
      <c r="K481" s="3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37"/>
      <c r="X481" s="1"/>
      <c r="Y481" s="18">
        <f t="shared" si="196"/>
        <v>0</v>
      </c>
      <c r="Z481" s="21">
        <f t="shared" si="197"/>
        <v>0</v>
      </c>
      <c r="AA481" s="10">
        <f t="shared" si="198"/>
        <v>0</v>
      </c>
      <c r="AB481" s="10">
        <f t="shared" si="199"/>
        <v>0</v>
      </c>
      <c r="AC481" s="10">
        <f t="shared" si="200"/>
        <v>0</v>
      </c>
      <c r="AD481" s="46" t="str">
        <f t="shared" si="201"/>
        <v/>
      </c>
      <c r="AE481" s="46" t="str">
        <f t="shared" si="202"/>
        <v/>
      </c>
      <c r="AF481" s="46" t="str">
        <f t="shared" si="203"/>
        <v/>
      </c>
      <c r="AG481" s="46" t="str">
        <f t="shared" si="204"/>
        <v/>
      </c>
      <c r="AH481" s="46" t="str">
        <f t="shared" si="205"/>
        <v/>
      </c>
      <c r="AI481" s="46" t="str">
        <f t="shared" si="206"/>
        <v/>
      </c>
      <c r="AJ481" s="46" t="str">
        <f t="shared" si="207"/>
        <v/>
      </c>
      <c r="AK481" s="46" t="str">
        <f t="shared" si="208"/>
        <v/>
      </c>
      <c r="AL481" s="46" t="str">
        <f t="shared" si="209"/>
        <v/>
      </c>
      <c r="AM481" s="46" t="str">
        <f t="shared" si="210"/>
        <v/>
      </c>
      <c r="AN481" s="46" t="str">
        <f t="shared" si="211"/>
        <v/>
      </c>
      <c r="AO481" s="46" t="str">
        <f t="shared" si="212"/>
        <v/>
      </c>
      <c r="AP481" s="46" t="str">
        <f t="shared" si="213"/>
        <v/>
      </c>
      <c r="AQ481" s="46" t="str">
        <f t="shared" si="214"/>
        <v/>
      </c>
      <c r="AR481" s="46" t="str">
        <f t="shared" si="215"/>
        <v/>
      </c>
      <c r="AS481" s="46" t="str">
        <f t="shared" si="216"/>
        <v/>
      </c>
      <c r="AT481" s="46" t="str">
        <f t="shared" si="217"/>
        <v/>
      </c>
      <c r="AU481" s="46" t="str">
        <f t="shared" si="218"/>
        <v/>
      </c>
      <c r="AV481" s="46" t="str">
        <f t="shared" si="219"/>
        <v/>
      </c>
      <c r="AW481" s="46" t="str">
        <f t="shared" si="220"/>
        <v/>
      </c>
    </row>
    <row r="482" spans="4:49">
      <c r="D482" s="34"/>
      <c r="E482" s="34"/>
      <c r="F482" s="34"/>
      <c r="G482" s="34"/>
      <c r="H482" s="4"/>
      <c r="I482" s="4"/>
      <c r="J482" s="4"/>
      <c r="K482" s="3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37"/>
      <c r="X482" s="1"/>
      <c r="Y482" s="18">
        <f t="shared" si="196"/>
        <v>0</v>
      </c>
      <c r="Z482" s="21">
        <f t="shared" si="197"/>
        <v>0</v>
      </c>
      <c r="AA482" s="10">
        <f t="shared" si="198"/>
        <v>0</v>
      </c>
      <c r="AB482" s="10">
        <f t="shared" si="199"/>
        <v>0</v>
      </c>
      <c r="AC482" s="10">
        <f t="shared" si="200"/>
        <v>0</v>
      </c>
      <c r="AD482" s="46" t="str">
        <f t="shared" si="201"/>
        <v/>
      </c>
      <c r="AE482" s="46" t="str">
        <f t="shared" si="202"/>
        <v/>
      </c>
      <c r="AF482" s="46" t="str">
        <f t="shared" si="203"/>
        <v/>
      </c>
      <c r="AG482" s="46" t="str">
        <f t="shared" si="204"/>
        <v/>
      </c>
      <c r="AH482" s="46" t="str">
        <f t="shared" si="205"/>
        <v/>
      </c>
      <c r="AI482" s="46" t="str">
        <f t="shared" si="206"/>
        <v/>
      </c>
      <c r="AJ482" s="46" t="str">
        <f t="shared" si="207"/>
        <v/>
      </c>
      <c r="AK482" s="46" t="str">
        <f t="shared" si="208"/>
        <v/>
      </c>
      <c r="AL482" s="46" t="str">
        <f t="shared" si="209"/>
        <v/>
      </c>
      <c r="AM482" s="46" t="str">
        <f t="shared" si="210"/>
        <v/>
      </c>
      <c r="AN482" s="46" t="str">
        <f t="shared" si="211"/>
        <v/>
      </c>
      <c r="AO482" s="46" t="str">
        <f t="shared" si="212"/>
        <v/>
      </c>
      <c r="AP482" s="46" t="str">
        <f t="shared" si="213"/>
        <v/>
      </c>
      <c r="AQ482" s="46" t="str">
        <f t="shared" si="214"/>
        <v/>
      </c>
      <c r="AR482" s="46" t="str">
        <f t="shared" si="215"/>
        <v/>
      </c>
      <c r="AS482" s="46" t="str">
        <f t="shared" si="216"/>
        <v/>
      </c>
      <c r="AT482" s="46" t="str">
        <f t="shared" si="217"/>
        <v/>
      </c>
      <c r="AU482" s="46" t="str">
        <f t="shared" si="218"/>
        <v/>
      </c>
      <c r="AV482" s="46" t="str">
        <f t="shared" si="219"/>
        <v/>
      </c>
      <c r="AW482" s="46" t="str">
        <f t="shared" si="220"/>
        <v/>
      </c>
    </row>
    <row r="483" spans="4:49">
      <c r="D483" s="34"/>
      <c r="E483" s="34"/>
      <c r="F483" s="34"/>
      <c r="G483" s="34"/>
      <c r="H483" s="4"/>
      <c r="I483" s="4"/>
      <c r="J483" s="4"/>
      <c r="K483" s="3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37"/>
      <c r="X483" s="1"/>
      <c r="Y483" s="18">
        <f t="shared" si="196"/>
        <v>0</v>
      </c>
      <c r="Z483" s="21">
        <f t="shared" si="197"/>
        <v>0</v>
      </c>
      <c r="AA483" s="10">
        <f t="shared" si="198"/>
        <v>0</v>
      </c>
      <c r="AB483" s="10">
        <f t="shared" si="199"/>
        <v>0</v>
      </c>
      <c r="AC483" s="10">
        <f t="shared" si="200"/>
        <v>0</v>
      </c>
      <c r="AD483" s="46" t="str">
        <f t="shared" si="201"/>
        <v/>
      </c>
      <c r="AE483" s="46" t="str">
        <f t="shared" si="202"/>
        <v/>
      </c>
      <c r="AF483" s="46" t="str">
        <f t="shared" si="203"/>
        <v/>
      </c>
      <c r="AG483" s="46" t="str">
        <f t="shared" si="204"/>
        <v/>
      </c>
      <c r="AH483" s="46" t="str">
        <f t="shared" si="205"/>
        <v/>
      </c>
      <c r="AI483" s="46" t="str">
        <f t="shared" si="206"/>
        <v/>
      </c>
      <c r="AJ483" s="46" t="str">
        <f t="shared" si="207"/>
        <v/>
      </c>
      <c r="AK483" s="46" t="str">
        <f t="shared" si="208"/>
        <v/>
      </c>
      <c r="AL483" s="46" t="str">
        <f t="shared" si="209"/>
        <v/>
      </c>
      <c r="AM483" s="46" t="str">
        <f t="shared" si="210"/>
        <v/>
      </c>
      <c r="AN483" s="46" t="str">
        <f t="shared" si="211"/>
        <v/>
      </c>
      <c r="AO483" s="46" t="str">
        <f t="shared" si="212"/>
        <v/>
      </c>
      <c r="AP483" s="46" t="str">
        <f t="shared" si="213"/>
        <v/>
      </c>
      <c r="AQ483" s="46" t="str">
        <f t="shared" si="214"/>
        <v/>
      </c>
      <c r="AR483" s="46" t="str">
        <f t="shared" si="215"/>
        <v/>
      </c>
      <c r="AS483" s="46" t="str">
        <f t="shared" si="216"/>
        <v/>
      </c>
      <c r="AT483" s="46" t="str">
        <f t="shared" si="217"/>
        <v/>
      </c>
      <c r="AU483" s="46" t="str">
        <f t="shared" si="218"/>
        <v/>
      </c>
      <c r="AV483" s="46" t="str">
        <f t="shared" si="219"/>
        <v/>
      </c>
      <c r="AW483" s="46" t="str">
        <f t="shared" si="220"/>
        <v/>
      </c>
    </row>
    <row r="484" spans="4:49">
      <c r="D484" s="34"/>
      <c r="E484" s="34"/>
      <c r="F484" s="34"/>
      <c r="G484" s="34"/>
      <c r="H484" s="4"/>
      <c r="I484" s="4"/>
      <c r="J484" s="4"/>
      <c r="K484" s="3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37"/>
      <c r="X484" s="1"/>
      <c r="Y484" s="18">
        <f t="shared" si="196"/>
        <v>0</v>
      </c>
      <c r="Z484" s="21">
        <f t="shared" si="197"/>
        <v>0</v>
      </c>
      <c r="AA484" s="10">
        <f t="shared" si="198"/>
        <v>0</v>
      </c>
      <c r="AB484" s="10">
        <f t="shared" si="199"/>
        <v>0</v>
      </c>
      <c r="AC484" s="10">
        <f t="shared" si="200"/>
        <v>0</v>
      </c>
      <c r="AD484" s="46" t="str">
        <f t="shared" si="201"/>
        <v/>
      </c>
      <c r="AE484" s="46" t="str">
        <f t="shared" si="202"/>
        <v/>
      </c>
      <c r="AF484" s="46" t="str">
        <f t="shared" si="203"/>
        <v/>
      </c>
      <c r="AG484" s="46" t="str">
        <f t="shared" si="204"/>
        <v/>
      </c>
      <c r="AH484" s="46" t="str">
        <f t="shared" si="205"/>
        <v/>
      </c>
      <c r="AI484" s="46" t="str">
        <f t="shared" si="206"/>
        <v/>
      </c>
      <c r="AJ484" s="46" t="str">
        <f t="shared" si="207"/>
        <v/>
      </c>
      <c r="AK484" s="46" t="str">
        <f t="shared" si="208"/>
        <v/>
      </c>
      <c r="AL484" s="46" t="str">
        <f t="shared" si="209"/>
        <v/>
      </c>
      <c r="AM484" s="46" t="str">
        <f t="shared" si="210"/>
        <v/>
      </c>
      <c r="AN484" s="46" t="str">
        <f t="shared" si="211"/>
        <v/>
      </c>
      <c r="AO484" s="46" t="str">
        <f t="shared" si="212"/>
        <v/>
      </c>
      <c r="AP484" s="46" t="str">
        <f t="shared" si="213"/>
        <v/>
      </c>
      <c r="AQ484" s="46" t="str">
        <f t="shared" si="214"/>
        <v/>
      </c>
      <c r="AR484" s="46" t="str">
        <f t="shared" si="215"/>
        <v/>
      </c>
      <c r="AS484" s="46" t="str">
        <f t="shared" si="216"/>
        <v/>
      </c>
      <c r="AT484" s="46" t="str">
        <f t="shared" si="217"/>
        <v/>
      </c>
      <c r="AU484" s="46" t="str">
        <f t="shared" si="218"/>
        <v/>
      </c>
      <c r="AV484" s="46" t="str">
        <f t="shared" si="219"/>
        <v/>
      </c>
      <c r="AW484" s="46" t="str">
        <f t="shared" si="220"/>
        <v/>
      </c>
    </row>
    <row r="485" spans="4:49">
      <c r="D485" s="34"/>
      <c r="E485" s="34"/>
      <c r="F485" s="34"/>
      <c r="G485" s="34"/>
      <c r="H485" s="4"/>
      <c r="I485" s="4"/>
      <c r="J485" s="4"/>
      <c r="K485" s="3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37"/>
      <c r="X485" s="1"/>
      <c r="Y485" s="18">
        <f t="shared" si="196"/>
        <v>0</v>
      </c>
      <c r="Z485" s="21">
        <f t="shared" si="197"/>
        <v>0</v>
      </c>
      <c r="AA485" s="10">
        <f t="shared" si="198"/>
        <v>0</v>
      </c>
      <c r="AB485" s="10">
        <f t="shared" si="199"/>
        <v>0</v>
      </c>
      <c r="AC485" s="10">
        <f t="shared" si="200"/>
        <v>0</v>
      </c>
      <c r="AD485" s="46" t="str">
        <f t="shared" si="201"/>
        <v/>
      </c>
      <c r="AE485" s="46" t="str">
        <f t="shared" si="202"/>
        <v/>
      </c>
      <c r="AF485" s="46" t="str">
        <f t="shared" si="203"/>
        <v/>
      </c>
      <c r="AG485" s="46" t="str">
        <f t="shared" si="204"/>
        <v/>
      </c>
      <c r="AH485" s="46" t="str">
        <f t="shared" si="205"/>
        <v/>
      </c>
      <c r="AI485" s="46" t="str">
        <f t="shared" si="206"/>
        <v/>
      </c>
      <c r="AJ485" s="46" t="str">
        <f t="shared" si="207"/>
        <v/>
      </c>
      <c r="AK485" s="46" t="str">
        <f t="shared" si="208"/>
        <v/>
      </c>
      <c r="AL485" s="46" t="str">
        <f t="shared" si="209"/>
        <v/>
      </c>
      <c r="AM485" s="46" t="str">
        <f t="shared" si="210"/>
        <v/>
      </c>
      <c r="AN485" s="46" t="str">
        <f t="shared" si="211"/>
        <v/>
      </c>
      <c r="AO485" s="46" t="str">
        <f t="shared" si="212"/>
        <v/>
      </c>
      <c r="AP485" s="46" t="str">
        <f t="shared" si="213"/>
        <v/>
      </c>
      <c r="AQ485" s="46" t="str">
        <f t="shared" si="214"/>
        <v/>
      </c>
      <c r="AR485" s="46" t="str">
        <f t="shared" si="215"/>
        <v/>
      </c>
      <c r="AS485" s="46" t="str">
        <f t="shared" si="216"/>
        <v/>
      </c>
      <c r="AT485" s="46" t="str">
        <f t="shared" si="217"/>
        <v/>
      </c>
      <c r="AU485" s="46" t="str">
        <f t="shared" si="218"/>
        <v/>
      </c>
      <c r="AV485" s="46" t="str">
        <f t="shared" si="219"/>
        <v/>
      </c>
      <c r="AW485" s="46" t="str">
        <f t="shared" si="220"/>
        <v/>
      </c>
    </row>
    <row r="486" spans="4:49">
      <c r="D486" s="34"/>
      <c r="E486" s="34"/>
      <c r="F486" s="34"/>
      <c r="G486" s="34"/>
      <c r="H486" s="4"/>
      <c r="I486" s="4"/>
      <c r="J486" s="4"/>
      <c r="K486" s="3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37"/>
      <c r="X486" s="1"/>
      <c r="Y486" s="18">
        <f t="shared" si="196"/>
        <v>0</v>
      </c>
      <c r="Z486" s="21">
        <f t="shared" si="197"/>
        <v>0</v>
      </c>
      <c r="AA486" s="10">
        <f t="shared" si="198"/>
        <v>0</v>
      </c>
      <c r="AB486" s="10">
        <f t="shared" si="199"/>
        <v>0</v>
      </c>
      <c r="AC486" s="10">
        <f t="shared" si="200"/>
        <v>0</v>
      </c>
      <c r="AD486" s="46" t="str">
        <f t="shared" si="201"/>
        <v/>
      </c>
      <c r="AE486" s="46" t="str">
        <f t="shared" si="202"/>
        <v/>
      </c>
      <c r="AF486" s="46" t="str">
        <f t="shared" si="203"/>
        <v/>
      </c>
      <c r="AG486" s="46" t="str">
        <f t="shared" si="204"/>
        <v/>
      </c>
      <c r="AH486" s="46" t="str">
        <f t="shared" si="205"/>
        <v/>
      </c>
      <c r="AI486" s="46" t="str">
        <f t="shared" si="206"/>
        <v/>
      </c>
      <c r="AJ486" s="46" t="str">
        <f t="shared" si="207"/>
        <v/>
      </c>
      <c r="AK486" s="46" t="str">
        <f t="shared" si="208"/>
        <v/>
      </c>
      <c r="AL486" s="46" t="str">
        <f t="shared" si="209"/>
        <v/>
      </c>
      <c r="AM486" s="46" t="str">
        <f t="shared" si="210"/>
        <v/>
      </c>
      <c r="AN486" s="46" t="str">
        <f t="shared" si="211"/>
        <v/>
      </c>
      <c r="AO486" s="46" t="str">
        <f t="shared" si="212"/>
        <v/>
      </c>
      <c r="AP486" s="46" t="str">
        <f t="shared" si="213"/>
        <v/>
      </c>
      <c r="AQ486" s="46" t="str">
        <f t="shared" si="214"/>
        <v/>
      </c>
      <c r="AR486" s="46" t="str">
        <f t="shared" si="215"/>
        <v/>
      </c>
      <c r="AS486" s="46" t="str">
        <f t="shared" si="216"/>
        <v/>
      </c>
      <c r="AT486" s="46" t="str">
        <f t="shared" si="217"/>
        <v/>
      </c>
      <c r="AU486" s="46" t="str">
        <f t="shared" si="218"/>
        <v/>
      </c>
      <c r="AV486" s="46" t="str">
        <f t="shared" si="219"/>
        <v/>
      </c>
      <c r="AW486" s="46" t="str">
        <f t="shared" si="220"/>
        <v/>
      </c>
    </row>
    <row r="487" spans="4:49">
      <c r="D487" s="34"/>
      <c r="E487" s="34"/>
      <c r="F487" s="34"/>
      <c r="G487" s="34"/>
      <c r="H487" s="4"/>
      <c r="I487" s="4"/>
      <c r="J487" s="4"/>
      <c r="K487" s="3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37"/>
      <c r="X487" s="1"/>
      <c r="Y487" s="18">
        <f t="shared" si="196"/>
        <v>0</v>
      </c>
      <c r="Z487" s="21">
        <f t="shared" si="197"/>
        <v>0</v>
      </c>
      <c r="AA487" s="10">
        <f t="shared" si="198"/>
        <v>0</v>
      </c>
      <c r="AB487" s="10">
        <f t="shared" si="199"/>
        <v>0</v>
      </c>
      <c r="AC487" s="10">
        <f t="shared" si="200"/>
        <v>0</v>
      </c>
      <c r="AD487" s="46" t="str">
        <f t="shared" si="201"/>
        <v/>
      </c>
      <c r="AE487" s="46" t="str">
        <f t="shared" si="202"/>
        <v/>
      </c>
      <c r="AF487" s="46" t="str">
        <f t="shared" si="203"/>
        <v/>
      </c>
      <c r="AG487" s="46" t="str">
        <f t="shared" si="204"/>
        <v/>
      </c>
      <c r="AH487" s="46" t="str">
        <f t="shared" si="205"/>
        <v/>
      </c>
      <c r="AI487" s="46" t="str">
        <f t="shared" si="206"/>
        <v/>
      </c>
      <c r="AJ487" s="46" t="str">
        <f t="shared" si="207"/>
        <v/>
      </c>
      <c r="AK487" s="46" t="str">
        <f t="shared" si="208"/>
        <v/>
      </c>
      <c r="AL487" s="46" t="str">
        <f t="shared" si="209"/>
        <v/>
      </c>
      <c r="AM487" s="46" t="str">
        <f t="shared" si="210"/>
        <v/>
      </c>
      <c r="AN487" s="46" t="str">
        <f t="shared" si="211"/>
        <v/>
      </c>
      <c r="AO487" s="46" t="str">
        <f t="shared" si="212"/>
        <v/>
      </c>
      <c r="AP487" s="46" t="str">
        <f t="shared" si="213"/>
        <v/>
      </c>
      <c r="AQ487" s="46" t="str">
        <f t="shared" si="214"/>
        <v/>
      </c>
      <c r="AR487" s="46" t="str">
        <f t="shared" si="215"/>
        <v/>
      </c>
      <c r="AS487" s="46" t="str">
        <f t="shared" si="216"/>
        <v/>
      </c>
      <c r="AT487" s="46" t="str">
        <f t="shared" si="217"/>
        <v/>
      </c>
      <c r="AU487" s="46" t="str">
        <f t="shared" si="218"/>
        <v/>
      </c>
      <c r="AV487" s="46" t="str">
        <f t="shared" si="219"/>
        <v/>
      </c>
      <c r="AW487" s="46" t="str">
        <f t="shared" si="220"/>
        <v/>
      </c>
    </row>
    <row r="488" spans="4:49">
      <c r="D488" s="34"/>
      <c r="E488" s="34"/>
      <c r="F488" s="34"/>
      <c r="G488" s="34"/>
      <c r="H488" s="4"/>
      <c r="I488" s="4"/>
      <c r="J488" s="4"/>
      <c r="K488" s="3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37"/>
      <c r="X488" s="1"/>
      <c r="Y488" s="18">
        <f t="shared" si="196"/>
        <v>0</v>
      </c>
      <c r="Z488" s="21">
        <f t="shared" si="197"/>
        <v>0</v>
      </c>
      <c r="AA488" s="10">
        <f t="shared" si="198"/>
        <v>0</v>
      </c>
      <c r="AB488" s="10">
        <f t="shared" si="199"/>
        <v>0</v>
      </c>
      <c r="AC488" s="10">
        <f t="shared" si="200"/>
        <v>0</v>
      </c>
      <c r="AD488" s="46" t="str">
        <f t="shared" si="201"/>
        <v/>
      </c>
      <c r="AE488" s="46" t="str">
        <f t="shared" si="202"/>
        <v/>
      </c>
      <c r="AF488" s="46" t="str">
        <f t="shared" si="203"/>
        <v/>
      </c>
      <c r="AG488" s="46" t="str">
        <f t="shared" si="204"/>
        <v/>
      </c>
      <c r="AH488" s="46" t="str">
        <f t="shared" si="205"/>
        <v/>
      </c>
      <c r="AI488" s="46" t="str">
        <f t="shared" si="206"/>
        <v/>
      </c>
      <c r="AJ488" s="46" t="str">
        <f t="shared" si="207"/>
        <v/>
      </c>
      <c r="AK488" s="46" t="str">
        <f t="shared" si="208"/>
        <v/>
      </c>
      <c r="AL488" s="46" t="str">
        <f t="shared" si="209"/>
        <v/>
      </c>
      <c r="AM488" s="46" t="str">
        <f t="shared" si="210"/>
        <v/>
      </c>
      <c r="AN488" s="46" t="str">
        <f t="shared" si="211"/>
        <v/>
      </c>
      <c r="AO488" s="46" t="str">
        <f t="shared" si="212"/>
        <v/>
      </c>
      <c r="AP488" s="46" t="str">
        <f t="shared" si="213"/>
        <v/>
      </c>
      <c r="AQ488" s="46" t="str">
        <f t="shared" si="214"/>
        <v/>
      </c>
      <c r="AR488" s="46" t="str">
        <f t="shared" si="215"/>
        <v/>
      </c>
      <c r="AS488" s="46" t="str">
        <f t="shared" si="216"/>
        <v/>
      </c>
      <c r="AT488" s="46" t="str">
        <f t="shared" si="217"/>
        <v/>
      </c>
      <c r="AU488" s="46" t="str">
        <f t="shared" si="218"/>
        <v/>
      </c>
      <c r="AV488" s="46" t="str">
        <f t="shared" si="219"/>
        <v/>
      </c>
      <c r="AW488" s="46" t="str">
        <f t="shared" si="220"/>
        <v/>
      </c>
    </row>
    <row r="489" spans="4:49">
      <c r="D489" s="34"/>
      <c r="E489" s="34"/>
      <c r="F489" s="34"/>
      <c r="G489" s="34"/>
      <c r="H489" s="4"/>
      <c r="I489" s="4"/>
      <c r="J489" s="4"/>
      <c r="K489" s="3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37"/>
      <c r="X489" s="1"/>
      <c r="Y489" s="18">
        <f t="shared" si="196"/>
        <v>0</v>
      </c>
      <c r="Z489" s="21">
        <f t="shared" si="197"/>
        <v>0</v>
      </c>
      <c r="AA489" s="10">
        <f t="shared" si="198"/>
        <v>0</v>
      </c>
      <c r="AB489" s="10">
        <f t="shared" si="199"/>
        <v>0</v>
      </c>
      <c r="AC489" s="10">
        <f t="shared" si="200"/>
        <v>0</v>
      </c>
      <c r="AD489" s="46" t="str">
        <f t="shared" si="201"/>
        <v/>
      </c>
      <c r="AE489" s="46" t="str">
        <f t="shared" si="202"/>
        <v/>
      </c>
      <c r="AF489" s="46" t="str">
        <f t="shared" si="203"/>
        <v/>
      </c>
      <c r="AG489" s="46" t="str">
        <f t="shared" si="204"/>
        <v/>
      </c>
      <c r="AH489" s="46" t="str">
        <f t="shared" si="205"/>
        <v/>
      </c>
      <c r="AI489" s="46" t="str">
        <f t="shared" si="206"/>
        <v/>
      </c>
      <c r="AJ489" s="46" t="str">
        <f t="shared" si="207"/>
        <v/>
      </c>
      <c r="AK489" s="46" t="str">
        <f t="shared" si="208"/>
        <v/>
      </c>
      <c r="AL489" s="46" t="str">
        <f t="shared" si="209"/>
        <v/>
      </c>
      <c r="AM489" s="46" t="str">
        <f t="shared" si="210"/>
        <v/>
      </c>
      <c r="AN489" s="46" t="str">
        <f t="shared" si="211"/>
        <v/>
      </c>
      <c r="AO489" s="46" t="str">
        <f t="shared" si="212"/>
        <v/>
      </c>
      <c r="AP489" s="46" t="str">
        <f t="shared" si="213"/>
        <v/>
      </c>
      <c r="AQ489" s="46" t="str">
        <f t="shared" si="214"/>
        <v/>
      </c>
      <c r="AR489" s="46" t="str">
        <f t="shared" si="215"/>
        <v/>
      </c>
      <c r="AS489" s="46" t="str">
        <f t="shared" si="216"/>
        <v/>
      </c>
      <c r="AT489" s="46" t="str">
        <f t="shared" si="217"/>
        <v/>
      </c>
      <c r="AU489" s="46" t="str">
        <f t="shared" si="218"/>
        <v/>
      </c>
      <c r="AV489" s="46" t="str">
        <f t="shared" si="219"/>
        <v/>
      </c>
      <c r="AW489" s="46" t="str">
        <f t="shared" si="220"/>
        <v/>
      </c>
    </row>
    <row r="490" spans="4:49">
      <c r="D490" s="34"/>
      <c r="E490" s="34"/>
      <c r="F490" s="34"/>
      <c r="G490" s="34"/>
      <c r="H490" s="4"/>
      <c r="I490" s="4"/>
      <c r="J490" s="4"/>
      <c r="K490" s="3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37"/>
      <c r="X490" s="1"/>
      <c r="Y490" s="18">
        <f t="shared" si="196"/>
        <v>0</v>
      </c>
      <c r="Z490" s="21">
        <f t="shared" si="197"/>
        <v>0</v>
      </c>
      <c r="AA490" s="10">
        <f t="shared" si="198"/>
        <v>0</v>
      </c>
      <c r="AB490" s="10">
        <f t="shared" si="199"/>
        <v>0</v>
      </c>
      <c r="AC490" s="10">
        <f t="shared" si="200"/>
        <v>0</v>
      </c>
      <c r="AD490" s="46" t="str">
        <f t="shared" si="201"/>
        <v/>
      </c>
      <c r="AE490" s="46" t="str">
        <f t="shared" si="202"/>
        <v/>
      </c>
      <c r="AF490" s="46" t="str">
        <f t="shared" si="203"/>
        <v/>
      </c>
      <c r="AG490" s="46" t="str">
        <f t="shared" si="204"/>
        <v/>
      </c>
      <c r="AH490" s="46" t="str">
        <f t="shared" si="205"/>
        <v/>
      </c>
      <c r="AI490" s="46" t="str">
        <f t="shared" si="206"/>
        <v/>
      </c>
      <c r="AJ490" s="46" t="str">
        <f t="shared" si="207"/>
        <v/>
      </c>
      <c r="AK490" s="46" t="str">
        <f t="shared" si="208"/>
        <v/>
      </c>
      <c r="AL490" s="46" t="str">
        <f t="shared" si="209"/>
        <v/>
      </c>
      <c r="AM490" s="46" t="str">
        <f t="shared" si="210"/>
        <v/>
      </c>
      <c r="AN490" s="46" t="str">
        <f t="shared" si="211"/>
        <v/>
      </c>
      <c r="AO490" s="46" t="str">
        <f t="shared" si="212"/>
        <v/>
      </c>
      <c r="AP490" s="46" t="str">
        <f t="shared" si="213"/>
        <v/>
      </c>
      <c r="AQ490" s="46" t="str">
        <f t="shared" si="214"/>
        <v/>
      </c>
      <c r="AR490" s="46" t="str">
        <f t="shared" si="215"/>
        <v/>
      </c>
      <c r="AS490" s="46" t="str">
        <f t="shared" si="216"/>
        <v/>
      </c>
      <c r="AT490" s="46" t="str">
        <f t="shared" si="217"/>
        <v/>
      </c>
      <c r="AU490" s="46" t="str">
        <f t="shared" si="218"/>
        <v/>
      </c>
      <c r="AV490" s="46" t="str">
        <f t="shared" si="219"/>
        <v/>
      </c>
      <c r="AW490" s="46" t="str">
        <f t="shared" si="220"/>
        <v/>
      </c>
    </row>
    <row r="491" spans="4:49">
      <c r="D491" s="34"/>
      <c r="E491" s="34"/>
      <c r="F491" s="34"/>
      <c r="G491" s="34"/>
      <c r="H491" s="4"/>
      <c r="I491" s="4"/>
      <c r="J491" s="4"/>
      <c r="K491" s="3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37"/>
      <c r="X491" s="1"/>
      <c r="Y491" s="18">
        <f t="shared" si="196"/>
        <v>0</v>
      </c>
      <c r="Z491" s="21">
        <f t="shared" si="197"/>
        <v>0</v>
      </c>
      <c r="AA491" s="10">
        <f t="shared" si="198"/>
        <v>0</v>
      </c>
      <c r="AB491" s="10">
        <f t="shared" si="199"/>
        <v>0</v>
      </c>
      <c r="AC491" s="10">
        <f t="shared" si="200"/>
        <v>0</v>
      </c>
      <c r="AD491" s="46" t="str">
        <f t="shared" si="201"/>
        <v/>
      </c>
      <c r="AE491" s="46" t="str">
        <f t="shared" si="202"/>
        <v/>
      </c>
      <c r="AF491" s="46" t="str">
        <f t="shared" si="203"/>
        <v/>
      </c>
      <c r="AG491" s="46" t="str">
        <f t="shared" si="204"/>
        <v/>
      </c>
      <c r="AH491" s="46" t="str">
        <f t="shared" si="205"/>
        <v/>
      </c>
      <c r="AI491" s="46" t="str">
        <f t="shared" si="206"/>
        <v/>
      </c>
      <c r="AJ491" s="46" t="str">
        <f t="shared" si="207"/>
        <v/>
      </c>
      <c r="AK491" s="46" t="str">
        <f t="shared" si="208"/>
        <v/>
      </c>
      <c r="AL491" s="46" t="str">
        <f t="shared" si="209"/>
        <v/>
      </c>
      <c r="AM491" s="46" t="str">
        <f t="shared" si="210"/>
        <v/>
      </c>
      <c r="AN491" s="46" t="str">
        <f t="shared" si="211"/>
        <v/>
      </c>
      <c r="AO491" s="46" t="str">
        <f t="shared" si="212"/>
        <v/>
      </c>
      <c r="AP491" s="46" t="str">
        <f t="shared" si="213"/>
        <v/>
      </c>
      <c r="AQ491" s="46" t="str">
        <f t="shared" si="214"/>
        <v/>
      </c>
      <c r="AR491" s="46" t="str">
        <f t="shared" si="215"/>
        <v/>
      </c>
      <c r="AS491" s="46" t="str">
        <f t="shared" si="216"/>
        <v/>
      </c>
      <c r="AT491" s="46" t="str">
        <f t="shared" si="217"/>
        <v/>
      </c>
      <c r="AU491" s="46" t="str">
        <f t="shared" si="218"/>
        <v/>
      </c>
      <c r="AV491" s="46" t="str">
        <f t="shared" si="219"/>
        <v/>
      </c>
      <c r="AW491" s="46" t="str">
        <f t="shared" si="220"/>
        <v/>
      </c>
    </row>
    <row r="492" spans="4:49">
      <c r="D492" s="34"/>
      <c r="E492" s="34"/>
      <c r="F492" s="34"/>
      <c r="G492" s="34"/>
      <c r="H492" s="4"/>
      <c r="I492" s="4"/>
      <c r="J492" s="4"/>
      <c r="K492" s="3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37"/>
      <c r="X492" s="1"/>
      <c r="Y492" s="18">
        <f t="shared" si="196"/>
        <v>0</v>
      </c>
      <c r="Z492" s="21">
        <f t="shared" si="197"/>
        <v>0</v>
      </c>
      <c r="AA492" s="10">
        <f t="shared" si="198"/>
        <v>0</v>
      </c>
      <c r="AB492" s="10">
        <f t="shared" si="199"/>
        <v>0</v>
      </c>
      <c r="AC492" s="10">
        <f t="shared" si="200"/>
        <v>0</v>
      </c>
      <c r="AD492" s="46" t="str">
        <f t="shared" si="201"/>
        <v/>
      </c>
      <c r="AE492" s="46" t="str">
        <f t="shared" si="202"/>
        <v/>
      </c>
      <c r="AF492" s="46" t="str">
        <f t="shared" si="203"/>
        <v/>
      </c>
      <c r="AG492" s="46" t="str">
        <f t="shared" si="204"/>
        <v/>
      </c>
      <c r="AH492" s="46" t="str">
        <f t="shared" si="205"/>
        <v/>
      </c>
      <c r="AI492" s="46" t="str">
        <f t="shared" si="206"/>
        <v/>
      </c>
      <c r="AJ492" s="46" t="str">
        <f t="shared" si="207"/>
        <v/>
      </c>
      <c r="AK492" s="46" t="str">
        <f t="shared" si="208"/>
        <v/>
      </c>
      <c r="AL492" s="46" t="str">
        <f t="shared" si="209"/>
        <v/>
      </c>
      <c r="AM492" s="46" t="str">
        <f t="shared" si="210"/>
        <v/>
      </c>
      <c r="AN492" s="46" t="str">
        <f t="shared" si="211"/>
        <v/>
      </c>
      <c r="AO492" s="46" t="str">
        <f t="shared" si="212"/>
        <v/>
      </c>
      <c r="AP492" s="46" t="str">
        <f t="shared" si="213"/>
        <v/>
      </c>
      <c r="AQ492" s="46" t="str">
        <f t="shared" si="214"/>
        <v/>
      </c>
      <c r="AR492" s="46" t="str">
        <f t="shared" si="215"/>
        <v/>
      </c>
      <c r="AS492" s="46" t="str">
        <f t="shared" si="216"/>
        <v/>
      </c>
      <c r="AT492" s="46" t="str">
        <f t="shared" si="217"/>
        <v/>
      </c>
      <c r="AU492" s="46" t="str">
        <f t="shared" si="218"/>
        <v/>
      </c>
      <c r="AV492" s="46" t="str">
        <f t="shared" si="219"/>
        <v/>
      </c>
      <c r="AW492" s="46" t="str">
        <f t="shared" si="220"/>
        <v/>
      </c>
    </row>
    <row r="493" spans="4:49">
      <c r="D493" s="34"/>
      <c r="E493" s="34"/>
      <c r="F493" s="34"/>
      <c r="G493" s="34"/>
      <c r="H493" s="4"/>
      <c r="I493" s="4"/>
      <c r="J493" s="4"/>
      <c r="K493" s="3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37"/>
      <c r="X493" s="1"/>
      <c r="Y493" s="18">
        <f t="shared" si="196"/>
        <v>0</v>
      </c>
      <c r="Z493" s="21">
        <f t="shared" si="197"/>
        <v>0</v>
      </c>
      <c r="AA493" s="10">
        <f t="shared" si="198"/>
        <v>0</v>
      </c>
      <c r="AB493" s="10">
        <f t="shared" si="199"/>
        <v>0</v>
      </c>
      <c r="AC493" s="10">
        <f t="shared" si="200"/>
        <v>0</v>
      </c>
      <c r="AD493" s="46" t="str">
        <f t="shared" si="201"/>
        <v/>
      </c>
      <c r="AE493" s="46" t="str">
        <f t="shared" si="202"/>
        <v/>
      </c>
      <c r="AF493" s="46" t="str">
        <f t="shared" si="203"/>
        <v/>
      </c>
      <c r="AG493" s="46" t="str">
        <f t="shared" si="204"/>
        <v/>
      </c>
      <c r="AH493" s="46" t="str">
        <f t="shared" si="205"/>
        <v/>
      </c>
      <c r="AI493" s="46" t="str">
        <f t="shared" si="206"/>
        <v/>
      </c>
      <c r="AJ493" s="46" t="str">
        <f t="shared" si="207"/>
        <v/>
      </c>
      <c r="AK493" s="46" t="str">
        <f t="shared" si="208"/>
        <v/>
      </c>
      <c r="AL493" s="46" t="str">
        <f t="shared" si="209"/>
        <v/>
      </c>
      <c r="AM493" s="46" t="str">
        <f t="shared" si="210"/>
        <v/>
      </c>
      <c r="AN493" s="46" t="str">
        <f t="shared" si="211"/>
        <v/>
      </c>
      <c r="AO493" s="46" t="str">
        <f t="shared" si="212"/>
        <v/>
      </c>
      <c r="AP493" s="46" t="str">
        <f t="shared" si="213"/>
        <v/>
      </c>
      <c r="AQ493" s="46" t="str">
        <f t="shared" si="214"/>
        <v/>
      </c>
      <c r="AR493" s="46" t="str">
        <f t="shared" si="215"/>
        <v/>
      </c>
      <c r="AS493" s="46" t="str">
        <f t="shared" si="216"/>
        <v/>
      </c>
      <c r="AT493" s="46" t="str">
        <f t="shared" si="217"/>
        <v/>
      </c>
      <c r="AU493" s="46" t="str">
        <f t="shared" si="218"/>
        <v/>
      </c>
      <c r="AV493" s="46" t="str">
        <f t="shared" si="219"/>
        <v/>
      </c>
      <c r="AW493" s="46" t="str">
        <f t="shared" si="220"/>
        <v/>
      </c>
    </row>
    <row r="494" spans="4:49">
      <c r="D494" s="34"/>
      <c r="E494" s="34"/>
      <c r="F494" s="34"/>
      <c r="G494" s="34"/>
      <c r="H494" s="4"/>
      <c r="I494" s="4"/>
      <c r="J494" s="4"/>
      <c r="K494" s="3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37"/>
      <c r="X494" s="1"/>
      <c r="Y494" s="18">
        <f t="shared" si="196"/>
        <v>0</v>
      </c>
      <c r="Z494" s="21">
        <f t="shared" si="197"/>
        <v>0</v>
      </c>
      <c r="AA494" s="10">
        <f t="shared" si="198"/>
        <v>0</v>
      </c>
      <c r="AB494" s="10">
        <f t="shared" si="199"/>
        <v>0</v>
      </c>
      <c r="AC494" s="10">
        <f t="shared" si="200"/>
        <v>0</v>
      </c>
      <c r="AD494" s="46" t="str">
        <f t="shared" si="201"/>
        <v/>
      </c>
      <c r="AE494" s="46" t="str">
        <f t="shared" si="202"/>
        <v/>
      </c>
      <c r="AF494" s="46" t="str">
        <f t="shared" si="203"/>
        <v/>
      </c>
      <c r="AG494" s="46" t="str">
        <f t="shared" si="204"/>
        <v/>
      </c>
      <c r="AH494" s="46" t="str">
        <f t="shared" si="205"/>
        <v/>
      </c>
      <c r="AI494" s="46" t="str">
        <f t="shared" si="206"/>
        <v/>
      </c>
      <c r="AJ494" s="46" t="str">
        <f t="shared" si="207"/>
        <v/>
      </c>
      <c r="AK494" s="46" t="str">
        <f t="shared" si="208"/>
        <v/>
      </c>
      <c r="AL494" s="46" t="str">
        <f t="shared" si="209"/>
        <v/>
      </c>
      <c r="AM494" s="46" t="str">
        <f t="shared" si="210"/>
        <v/>
      </c>
      <c r="AN494" s="46" t="str">
        <f t="shared" si="211"/>
        <v/>
      </c>
      <c r="AO494" s="46" t="str">
        <f t="shared" si="212"/>
        <v/>
      </c>
      <c r="AP494" s="46" t="str">
        <f t="shared" si="213"/>
        <v/>
      </c>
      <c r="AQ494" s="46" t="str">
        <f t="shared" si="214"/>
        <v/>
      </c>
      <c r="AR494" s="46" t="str">
        <f t="shared" si="215"/>
        <v/>
      </c>
      <c r="AS494" s="46" t="str">
        <f t="shared" si="216"/>
        <v/>
      </c>
      <c r="AT494" s="46" t="str">
        <f t="shared" si="217"/>
        <v/>
      </c>
      <c r="AU494" s="46" t="str">
        <f t="shared" si="218"/>
        <v/>
      </c>
      <c r="AV494" s="46" t="str">
        <f t="shared" si="219"/>
        <v/>
      </c>
      <c r="AW494" s="46" t="str">
        <f t="shared" si="220"/>
        <v/>
      </c>
    </row>
    <row r="495" spans="4:49">
      <c r="D495" s="34"/>
      <c r="E495" s="34"/>
      <c r="F495" s="34"/>
      <c r="G495" s="34"/>
      <c r="H495" s="4"/>
      <c r="I495" s="4"/>
      <c r="J495" s="4"/>
      <c r="K495" s="3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37"/>
      <c r="X495" s="1"/>
      <c r="Y495" s="18">
        <f t="shared" si="196"/>
        <v>0</v>
      </c>
      <c r="Z495" s="21">
        <f t="shared" si="197"/>
        <v>0</v>
      </c>
      <c r="AA495" s="10">
        <f t="shared" si="198"/>
        <v>0</v>
      </c>
      <c r="AB495" s="10">
        <f t="shared" si="199"/>
        <v>0</v>
      </c>
      <c r="AC495" s="10">
        <f t="shared" si="200"/>
        <v>0</v>
      </c>
      <c r="AD495" s="46" t="str">
        <f t="shared" si="201"/>
        <v/>
      </c>
      <c r="AE495" s="46" t="str">
        <f t="shared" si="202"/>
        <v/>
      </c>
      <c r="AF495" s="46" t="str">
        <f t="shared" si="203"/>
        <v/>
      </c>
      <c r="AG495" s="46" t="str">
        <f t="shared" si="204"/>
        <v/>
      </c>
      <c r="AH495" s="46" t="str">
        <f t="shared" si="205"/>
        <v/>
      </c>
      <c r="AI495" s="46" t="str">
        <f t="shared" si="206"/>
        <v/>
      </c>
      <c r="AJ495" s="46" t="str">
        <f t="shared" si="207"/>
        <v/>
      </c>
      <c r="AK495" s="46" t="str">
        <f t="shared" si="208"/>
        <v/>
      </c>
      <c r="AL495" s="46" t="str">
        <f t="shared" si="209"/>
        <v/>
      </c>
      <c r="AM495" s="46" t="str">
        <f t="shared" si="210"/>
        <v/>
      </c>
      <c r="AN495" s="46" t="str">
        <f t="shared" si="211"/>
        <v/>
      </c>
      <c r="AO495" s="46" t="str">
        <f t="shared" si="212"/>
        <v/>
      </c>
      <c r="AP495" s="46" t="str">
        <f t="shared" si="213"/>
        <v/>
      </c>
      <c r="AQ495" s="46" t="str">
        <f t="shared" si="214"/>
        <v/>
      </c>
      <c r="AR495" s="46" t="str">
        <f t="shared" si="215"/>
        <v/>
      </c>
      <c r="AS495" s="46" t="str">
        <f t="shared" si="216"/>
        <v/>
      </c>
      <c r="AT495" s="46" t="str">
        <f t="shared" si="217"/>
        <v/>
      </c>
      <c r="AU495" s="46" t="str">
        <f t="shared" si="218"/>
        <v/>
      </c>
      <c r="AV495" s="46" t="str">
        <f t="shared" si="219"/>
        <v/>
      </c>
      <c r="AW495" s="46" t="str">
        <f t="shared" si="220"/>
        <v/>
      </c>
    </row>
    <row r="496" spans="4:49">
      <c r="D496" s="34"/>
      <c r="E496" s="34"/>
      <c r="F496" s="34"/>
      <c r="G496" s="34"/>
      <c r="H496" s="4"/>
      <c r="I496" s="4"/>
      <c r="J496" s="4"/>
      <c r="K496" s="3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37"/>
      <c r="X496" s="1"/>
      <c r="Y496" s="18">
        <f t="shared" si="196"/>
        <v>0</v>
      </c>
      <c r="Z496" s="21">
        <f t="shared" si="197"/>
        <v>0</v>
      </c>
      <c r="AA496" s="10">
        <f t="shared" si="198"/>
        <v>0</v>
      </c>
      <c r="AB496" s="10">
        <f t="shared" si="199"/>
        <v>0</v>
      </c>
      <c r="AC496" s="10">
        <f t="shared" si="200"/>
        <v>0</v>
      </c>
      <c r="AD496" s="46" t="str">
        <f t="shared" si="201"/>
        <v/>
      </c>
      <c r="AE496" s="46" t="str">
        <f t="shared" si="202"/>
        <v/>
      </c>
      <c r="AF496" s="46" t="str">
        <f t="shared" si="203"/>
        <v/>
      </c>
      <c r="AG496" s="46" t="str">
        <f t="shared" si="204"/>
        <v/>
      </c>
      <c r="AH496" s="46" t="str">
        <f t="shared" si="205"/>
        <v/>
      </c>
      <c r="AI496" s="46" t="str">
        <f t="shared" si="206"/>
        <v/>
      </c>
      <c r="AJ496" s="46" t="str">
        <f t="shared" si="207"/>
        <v/>
      </c>
      <c r="AK496" s="46" t="str">
        <f t="shared" si="208"/>
        <v/>
      </c>
      <c r="AL496" s="46" t="str">
        <f t="shared" si="209"/>
        <v/>
      </c>
      <c r="AM496" s="46" t="str">
        <f t="shared" si="210"/>
        <v/>
      </c>
      <c r="AN496" s="46" t="str">
        <f t="shared" si="211"/>
        <v/>
      </c>
      <c r="AO496" s="46" t="str">
        <f t="shared" si="212"/>
        <v/>
      </c>
      <c r="AP496" s="46" t="str">
        <f t="shared" si="213"/>
        <v/>
      </c>
      <c r="AQ496" s="46" t="str">
        <f t="shared" si="214"/>
        <v/>
      </c>
      <c r="AR496" s="46" t="str">
        <f t="shared" si="215"/>
        <v/>
      </c>
      <c r="AS496" s="46" t="str">
        <f t="shared" si="216"/>
        <v/>
      </c>
      <c r="AT496" s="46" t="str">
        <f t="shared" si="217"/>
        <v/>
      </c>
      <c r="AU496" s="46" t="str">
        <f t="shared" si="218"/>
        <v/>
      </c>
      <c r="AV496" s="46" t="str">
        <f t="shared" si="219"/>
        <v/>
      </c>
      <c r="AW496" s="46" t="str">
        <f t="shared" si="220"/>
        <v/>
      </c>
    </row>
    <row r="497" spans="4:49">
      <c r="D497" s="34"/>
      <c r="E497" s="34"/>
      <c r="F497" s="34"/>
      <c r="G497" s="34"/>
      <c r="H497" s="4"/>
      <c r="I497" s="4"/>
      <c r="J497" s="4"/>
      <c r="K497" s="3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37"/>
      <c r="X497" s="1"/>
      <c r="Y497" s="18">
        <f t="shared" si="196"/>
        <v>0</v>
      </c>
      <c r="Z497" s="21">
        <f t="shared" si="197"/>
        <v>0</v>
      </c>
      <c r="AA497" s="10">
        <f t="shared" si="198"/>
        <v>0</v>
      </c>
      <c r="AB497" s="10">
        <f t="shared" si="199"/>
        <v>0</v>
      </c>
      <c r="AC497" s="10">
        <f t="shared" si="200"/>
        <v>0</v>
      </c>
      <c r="AD497" s="46" t="str">
        <f t="shared" si="201"/>
        <v/>
      </c>
      <c r="AE497" s="46" t="str">
        <f t="shared" si="202"/>
        <v/>
      </c>
      <c r="AF497" s="46" t="str">
        <f t="shared" si="203"/>
        <v/>
      </c>
      <c r="AG497" s="46" t="str">
        <f t="shared" si="204"/>
        <v/>
      </c>
      <c r="AH497" s="46" t="str">
        <f t="shared" si="205"/>
        <v/>
      </c>
      <c r="AI497" s="46" t="str">
        <f t="shared" si="206"/>
        <v/>
      </c>
      <c r="AJ497" s="46" t="str">
        <f t="shared" si="207"/>
        <v/>
      </c>
      <c r="AK497" s="46" t="str">
        <f t="shared" si="208"/>
        <v/>
      </c>
      <c r="AL497" s="46" t="str">
        <f t="shared" si="209"/>
        <v/>
      </c>
      <c r="AM497" s="46" t="str">
        <f t="shared" si="210"/>
        <v/>
      </c>
      <c r="AN497" s="46" t="str">
        <f t="shared" si="211"/>
        <v/>
      </c>
      <c r="AO497" s="46" t="str">
        <f t="shared" si="212"/>
        <v/>
      </c>
      <c r="AP497" s="46" t="str">
        <f t="shared" si="213"/>
        <v/>
      </c>
      <c r="AQ497" s="46" t="str">
        <f t="shared" si="214"/>
        <v/>
      </c>
      <c r="AR497" s="46" t="str">
        <f t="shared" si="215"/>
        <v/>
      </c>
      <c r="AS497" s="46" t="str">
        <f t="shared" si="216"/>
        <v/>
      </c>
      <c r="AT497" s="46" t="str">
        <f t="shared" si="217"/>
        <v/>
      </c>
      <c r="AU497" s="46" t="str">
        <f t="shared" si="218"/>
        <v/>
      </c>
      <c r="AV497" s="46" t="str">
        <f t="shared" si="219"/>
        <v/>
      </c>
      <c r="AW497" s="46" t="str">
        <f t="shared" si="220"/>
        <v/>
      </c>
    </row>
    <row r="498" spans="4:49">
      <c r="D498" s="34"/>
      <c r="E498" s="34"/>
      <c r="F498" s="34"/>
      <c r="G498" s="34"/>
      <c r="H498" s="4"/>
      <c r="I498" s="4"/>
      <c r="J498" s="4"/>
      <c r="K498" s="3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37"/>
      <c r="X498" s="1"/>
      <c r="Y498" s="18">
        <f t="shared" si="196"/>
        <v>0</v>
      </c>
      <c r="Z498" s="21">
        <f t="shared" si="197"/>
        <v>0</v>
      </c>
      <c r="AA498" s="10">
        <f t="shared" si="198"/>
        <v>0</v>
      </c>
      <c r="AB498" s="10">
        <f t="shared" si="199"/>
        <v>0</v>
      </c>
      <c r="AC498" s="10">
        <f t="shared" si="200"/>
        <v>0</v>
      </c>
      <c r="AD498" s="46" t="str">
        <f t="shared" si="201"/>
        <v/>
      </c>
      <c r="AE498" s="46" t="str">
        <f t="shared" si="202"/>
        <v/>
      </c>
      <c r="AF498" s="46" t="str">
        <f t="shared" si="203"/>
        <v/>
      </c>
      <c r="AG498" s="46" t="str">
        <f t="shared" si="204"/>
        <v/>
      </c>
      <c r="AH498" s="46" t="str">
        <f t="shared" si="205"/>
        <v/>
      </c>
      <c r="AI498" s="46" t="str">
        <f t="shared" si="206"/>
        <v/>
      </c>
      <c r="AJ498" s="46" t="str">
        <f t="shared" si="207"/>
        <v/>
      </c>
      <c r="AK498" s="46" t="str">
        <f t="shared" si="208"/>
        <v/>
      </c>
      <c r="AL498" s="46" t="str">
        <f t="shared" si="209"/>
        <v/>
      </c>
      <c r="AM498" s="46" t="str">
        <f t="shared" si="210"/>
        <v/>
      </c>
      <c r="AN498" s="46" t="str">
        <f t="shared" si="211"/>
        <v/>
      </c>
      <c r="AO498" s="46" t="str">
        <f t="shared" si="212"/>
        <v/>
      </c>
      <c r="AP498" s="46" t="str">
        <f t="shared" si="213"/>
        <v/>
      </c>
      <c r="AQ498" s="46" t="str">
        <f t="shared" si="214"/>
        <v/>
      </c>
      <c r="AR498" s="46" t="str">
        <f t="shared" si="215"/>
        <v/>
      </c>
      <c r="AS498" s="46" t="str">
        <f t="shared" si="216"/>
        <v/>
      </c>
      <c r="AT498" s="46" t="str">
        <f t="shared" si="217"/>
        <v/>
      </c>
      <c r="AU498" s="46" t="str">
        <f t="shared" si="218"/>
        <v/>
      </c>
      <c r="AV498" s="46" t="str">
        <f t="shared" si="219"/>
        <v/>
      </c>
      <c r="AW498" s="46" t="str">
        <f t="shared" si="220"/>
        <v/>
      </c>
    </row>
    <row r="499" spans="4:49">
      <c r="D499" s="34"/>
      <c r="E499" s="34"/>
      <c r="F499" s="34"/>
      <c r="G499" s="34"/>
      <c r="H499" s="4"/>
      <c r="I499" s="4"/>
      <c r="J499" s="4"/>
      <c r="K499" s="3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37"/>
      <c r="X499" s="1"/>
      <c r="Y499" s="18">
        <f t="shared" si="196"/>
        <v>0</v>
      </c>
      <c r="Z499" s="21">
        <f t="shared" si="197"/>
        <v>0</v>
      </c>
      <c r="AA499" s="10">
        <f t="shared" si="198"/>
        <v>0</v>
      </c>
      <c r="AB499" s="10">
        <f t="shared" si="199"/>
        <v>0</v>
      </c>
      <c r="AC499" s="10">
        <f t="shared" si="200"/>
        <v>0</v>
      </c>
      <c r="AD499" s="46" t="str">
        <f t="shared" si="201"/>
        <v/>
      </c>
      <c r="AE499" s="46" t="str">
        <f t="shared" si="202"/>
        <v/>
      </c>
      <c r="AF499" s="46" t="str">
        <f t="shared" si="203"/>
        <v/>
      </c>
      <c r="AG499" s="46" t="str">
        <f t="shared" si="204"/>
        <v/>
      </c>
      <c r="AH499" s="46" t="str">
        <f t="shared" si="205"/>
        <v/>
      </c>
      <c r="AI499" s="46" t="str">
        <f t="shared" si="206"/>
        <v/>
      </c>
      <c r="AJ499" s="46" t="str">
        <f t="shared" si="207"/>
        <v/>
      </c>
      <c r="AK499" s="46" t="str">
        <f t="shared" si="208"/>
        <v/>
      </c>
      <c r="AL499" s="46" t="str">
        <f t="shared" si="209"/>
        <v/>
      </c>
      <c r="AM499" s="46" t="str">
        <f t="shared" si="210"/>
        <v/>
      </c>
      <c r="AN499" s="46" t="str">
        <f t="shared" si="211"/>
        <v/>
      </c>
      <c r="AO499" s="46" t="str">
        <f t="shared" si="212"/>
        <v/>
      </c>
      <c r="AP499" s="46" t="str">
        <f t="shared" si="213"/>
        <v/>
      </c>
      <c r="AQ499" s="46" t="str">
        <f t="shared" si="214"/>
        <v/>
      </c>
      <c r="AR499" s="46" t="str">
        <f t="shared" si="215"/>
        <v/>
      </c>
      <c r="AS499" s="46" t="str">
        <f t="shared" si="216"/>
        <v/>
      </c>
      <c r="AT499" s="46" t="str">
        <f t="shared" si="217"/>
        <v/>
      </c>
      <c r="AU499" s="46" t="str">
        <f t="shared" si="218"/>
        <v/>
      </c>
      <c r="AV499" s="46" t="str">
        <f t="shared" si="219"/>
        <v/>
      </c>
      <c r="AW499" s="46" t="str">
        <f t="shared" si="220"/>
        <v/>
      </c>
    </row>
    <row r="500" spans="4:49">
      <c r="D500" s="34"/>
      <c r="E500" s="34"/>
      <c r="F500" s="34"/>
      <c r="G500" s="34"/>
      <c r="H500" s="4"/>
      <c r="I500" s="4"/>
      <c r="J500" s="4"/>
      <c r="K500" s="3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37"/>
      <c r="X500" s="1"/>
      <c r="Y500" s="18">
        <f t="shared" si="196"/>
        <v>0</v>
      </c>
      <c r="Z500" s="21">
        <f t="shared" si="197"/>
        <v>0</v>
      </c>
      <c r="AA500" s="10">
        <f t="shared" si="198"/>
        <v>0</v>
      </c>
      <c r="AB500" s="10">
        <f t="shared" si="199"/>
        <v>0</v>
      </c>
      <c r="AC500" s="10">
        <f t="shared" si="200"/>
        <v>0</v>
      </c>
      <c r="AD500" s="46" t="str">
        <f t="shared" si="201"/>
        <v/>
      </c>
      <c r="AE500" s="46" t="str">
        <f t="shared" si="202"/>
        <v/>
      </c>
      <c r="AF500" s="46" t="str">
        <f t="shared" si="203"/>
        <v/>
      </c>
      <c r="AG500" s="46" t="str">
        <f t="shared" si="204"/>
        <v/>
      </c>
      <c r="AH500" s="46" t="str">
        <f t="shared" si="205"/>
        <v/>
      </c>
      <c r="AI500" s="46" t="str">
        <f t="shared" si="206"/>
        <v/>
      </c>
      <c r="AJ500" s="46" t="str">
        <f t="shared" si="207"/>
        <v/>
      </c>
      <c r="AK500" s="46" t="str">
        <f t="shared" si="208"/>
        <v/>
      </c>
      <c r="AL500" s="46" t="str">
        <f t="shared" si="209"/>
        <v/>
      </c>
      <c r="AM500" s="46" t="str">
        <f t="shared" si="210"/>
        <v/>
      </c>
      <c r="AN500" s="46" t="str">
        <f t="shared" si="211"/>
        <v/>
      </c>
      <c r="AO500" s="46" t="str">
        <f t="shared" si="212"/>
        <v/>
      </c>
      <c r="AP500" s="46" t="str">
        <f t="shared" si="213"/>
        <v/>
      </c>
      <c r="AQ500" s="46" t="str">
        <f t="shared" si="214"/>
        <v/>
      </c>
      <c r="AR500" s="46" t="str">
        <f t="shared" si="215"/>
        <v/>
      </c>
      <c r="AS500" s="46" t="str">
        <f t="shared" si="216"/>
        <v/>
      </c>
      <c r="AT500" s="46" t="str">
        <f t="shared" si="217"/>
        <v/>
      </c>
      <c r="AU500" s="46" t="str">
        <f t="shared" si="218"/>
        <v/>
      </c>
      <c r="AV500" s="46" t="str">
        <f t="shared" si="219"/>
        <v/>
      </c>
      <c r="AW500" s="46" t="str">
        <f t="shared" si="220"/>
        <v/>
      </c>
    </row>
    <row r="501" spans="4:49">
      <c r="D501" s="34"/>
      <c r="E501" s="34"/>
      <c r="F501" s="34"/>
      <c r="G501" s="34"/>
      <c r="H501" s="4"/>
      <c r="I501" s="4"/>
      <c r="J501" s="4"/>
      <c r="K501" s="3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37"/>
      <c r="X501" s="1"/>
      <c r="Y501" s="18">
        <f t="shared" si="196"/>
        <v>0</v>
      </c>
      <c r="Z501" s="21">
        <f t="shared" si="197"/>
        <v>0</v>
      </c>
      <c r="AA501" s="10">
        <f t="shared" si="198"/>
        <v>0</v>
      </c>
      <c r="AB501" s="10">
        <f t="shared" si="199"/>
        <v>0</v>
      </c>
      <c r="AC501" s="10">
        <f t="shared" si="200"/>
        <v>0</v>
      </c>
      <c r="AD501" s="46" t="str">
        <f t="shared" si="201"/>
        <v/>
      </c>
      <c r="AE501" s="46" t="str">
        <f t="shared" si="202"/>
        <v/>
      </c>
      <c r="AF501" s="46" t="str">
        <f t="shared" si="203"/>
        <v/>
      </c>
      <c r="AG501" s="46" t="str">
        <f t="shared" si="204"/>
        <v/>
      </c>
      <c r="AH501" s="46" t="str">
        <f t="shared" si="205"/>
        <v/>
      </c>
      <c r="AI501" s="46" t="str">
        <f t="shared" si="206"/>
        <v/>
      </c>
      <c r="AJ501" s="46" t="str">
        <f t="shared" si="207"/>
        <v/>
      </c>
      <c r="AK501" s="46" t="str">
        <f t="shared" si="208"/>
        <v/>
      </c>
      <c r="AL501" s="46" t="str">
        <f t="shared" si="209"/>
        <v/>
      </c>
      <c r="AM501" s="46" t="str">
        <f t="shared" si="210"/>
        <v/>
      </c>
      <c r="AN501" s="46" t="str">
        <f t="shared" si="211"/>
        <v/>
      </c>
      <c r="AO501" s="46" t="str">
        <f t="shared" si="212"/>
        <v/>
      </c>
      <c r="AP501" s="46" t="str">
        <f t="shared" si="213"/>
        <v/>
      </c>
      <c r="AQ501" s="46" t="str">
        <f t="shared" si="214"/>
        <v/>
      </c>
      <c r="AR501" s="46" t="str">
        <f t="shared" si="215"/>
        <v/>
      </c>
      <c r="AS501" s="46" t="str">
        <f t="shared" si="216"/>
        <v/>
      </c>
      <c r="AT501" s="46" t="str">
        <f t="shared" si="217"/>
        <v/>
      </c>
      <c r="AU501" s="46" t="str">
        <f t="shared" si="218"/>
        <v/>
      </c>
      <c r="AV501" s="46" t="str">
        <f t="shared" si="219"/>
        <v/>
      </c>
      <c r="AW501" s="46" t="str">
        <f t="shared" si="220"/>
        <v/>
      </c>
    </row>
    <row r="502" spans="4:49">
      <c r="D502" s="34"/>
      <c r="E502" s="34"/>
      <c r="F502" s="34"/>
      <c r="G502" s="34"/>
      <c r="H502" s="4"/>
      <c r="I502" s="4"/>
      <c r="J502" s="4"/>
      <c r="K502" s="3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37"/>
      <c r="X502" s="1"/>
      <c r="Y502" s="18">
        <f t="shared" si="196"/>
        <v>0</v>
      </c>
      <c r="Z502" s="21">
        <f t="shared" si="197"/>
        <v>0</v>
      </c>
      <c r="AA502" s="10">
        <f t="shared" si="198"/>
        <v>0</v>
      </c>
      <c r="AB502" s="10">
        <f t="shared" si="199"/>
        <v>0</v>
      </c>
      <c r="AC502" s="10">
        <f t="shared" si="200"/>
        <v>0</v>
      </c>
      <c r="AD502" s="46" t="str">
        <f t="shared" si="201"/>
        <v/>
      </c>
      <c r="AE502" s="46" t="str">
        <f t="shared" si="202"/>
        <v/>
      </c>
      <c r="AF502" s="46" t="str">
        <f t="shared" si="203"/>
        <v/>
      </c>
      <c r="AG502" s="46" t="str">
        <f t="shared" si="204"/>
        <v/>
      </c>
      <c r="AH502" s="46" t="str">
        <f t="shared" si="205"/>
        <v/>
      </c>
      <c r="AI502" s="46" t="str">
        <f t="shared" si="206"/>
        <v/>
      </c>
      <c r="AJ502" s="46" t="str">
        <f t="shared" si="207"/>
        <v/>
      </c>
      <c r="AK502" s="46" t="str">
        <f t="shared" si="208"/>
        <v/>
      </c>
      <c r="AL502" s="46" t="str">
        <f t="shared" si="209"/>
        <v/>
      </c>
      <c r="AM502" s="46" t="str">
        <f t="shared" si="210"/>
        <v/>
      </c>
      <c r="AN502" s="46" t="str">
        <f t="shared" si="211"/>
        <v/>
      </c>
      <c r="AO502" s="46" t="str">
        <f t="shared" si="212"/>
        <v/>
      </c>
      <c r="AP502" s="46" t="str">
        <f t="shared" si="213"/>
        <v/>
      </c>
      <c r="AQ502" s="46" t="str">
        <f t="shared" si="214"/>
        <v/>
      </c>
      <c r="AR502" s="46" t="str">
        <f t="shared" si="215"/>
        <v/>
      </c>
      <c r="AS502" s="46" t="str">
        <f t="shared" si="216"/>
        <v/>
      </c>
      <c r="AT502" s="46" t="str">
        <f t="shared" si="217"/>
        <v/>
      </c>
      <c r="AU502" s="46" t="str">
        <f t="shared" si="218"/>
        <v/>
      </c>
      <c r="AV502" s="46" t="str">
        <f t="shared" si="219"/>
        <v/>
      </c>
      <c r="AW502" s="46" t="str">
        <f t="shared" si="220"/>
        <v/>
      </c>
    </row>
    <row r="503" spans="4:49">
      <c r="D503" s="34"/>
      <c r="E503" s="34"/>
      <c r="F503" s="34"/>
      <c r="G503" s="34"/>
      <c r="H503" s="4"/>
      <c r="I503" s="4"/>
      <c r="J503" s="4"/>
      <c r="K503" s="3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37"/>
      <c r="X503" s="1"/>
      <c r="Y503" s="18">
        <f t="shared" si="196"/>
        <v>0</v>
      </c>
      <c r="Z503" s="21">
        <f t="shared" si="197"/>
        <v>0</v>
      </c>
      <c r="AA503" s="10">
        <f t="shared" si="198"/>
        <v>0</v>
      </c>
      <c r="AB503" s="10">
        <f t="shared" si="199"/>
        <v>0</v>
      </c>
      <c r="AC503" s="10">
        <f t="shared" si="200"/>
        <v>0</v>
      </c>
      <c r="AD503" s="46" t="str">
        <f t="shared" si="201"/>
        <v/>
      </c>
      <c r="AE503" s="46" t="str">
        <f t="shared" si="202"/>
        <v/>
      </c>
      <c r="AF503" s="46" t="str">
        <f t="shared" si="203"/>
        <v/>
      </c>
      <c r="AG503" s="46" t="str">
        <f t="shared" si="204"/>
        <v/>
      </c>
      <c r="AH503" s="46" t="str">
        <f t="shared" si="205"/>
        <v/>
      </c>
      <c r="AI503" s="46" t="str">
        <f t="shared" si="206"/>
        <v/>
      </c>
      <c r="AJ503" s="46" t="str">
        <f t="shared" si="207"/>
        <v/>
      </c>
      <c r="AK503" s="46" t="str">
        <f t="shared" si="208"/>
        <v/>
      </c>
      <c r="AL503" s="46" t="str">
        <f t="shared" si="209"/>
        <v/>
      </c>
      <c r="AM503" s="46" t="str">
        <f t="shared" si="210"/>
        <v/>
      </c>
      <c r="AN503" s="46" t="str">
        <f t="shared" si="211"/>
        <v/>
      </c>
      <c r="AO503" s="46" t="str">
        <f t="shared" si="212"/>
        <v/>
      </c>
      <c r="AP503" s="46" t="str">
        <f t="shared" si="213"/>
        <v/>
      </c>
      <c r="AQ503" s="46" t="str">
        <f t="shared" si="214"/>
        <v/>
      </c>
      <c r="AR503" s="46" t="str">
        <f t="shared" si="215"/>
        <v/>
      </c>
      <c r="AS503" s="46" t="str">
        <f t="shared" si="216"/>
        <v/>
      </c>
      <c r="AT503" s="46" t="str">
        <f t="shared" si="217"/>
        <v/>
      </c>
      <c r="AU503" s="46" t="str">
        <f t="shared" si="218"/>
        <v/>
      </c>
      <c r="AV503" s="46" t="str">
        <f t="shared" si="219"/>
        <v/>
      </c>
      <c r="AW503" s="46" t="str">
        <f t="shared" si="220"/>
        <v/>
      </c>
    </row>
    <row r="504" spans="4:49">
      <c r="D504" s="34"/>
      <c r="E504" s="34"/>
      <c r="F504" s="34"/>
      <c r="G504" s="34"/>
      <c r="H504" s="4"/>
      <c r="I504" s="4"/>
      <c r="J504" s="4"/>
      <c r="K504" s="3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37"/>
      <c r="X504" s="1"/>
      <c r="Y504" s="18">
        <f t="shared" si="196"/>
        <v>0</v>
      </c>
      <c r="Z504" s="21">
        <f t="shared" si="197"/>
        <v>0</v>
      </c>
      <c r="AA504" s="10">
        <f t="shared" si="198"/>
        <v>0</v>
      </c>
      <c r="AB504" s="10">
        <f t="shared" si="199"/>
        <v>0</v>
      </c>
      <c r="AC504" s="10">
        <f t="shared" si="200"/>
        <v>0</v>
      </c>
      <c r="AD504" s="46" t="str">
        <f t="shared" si="201"/>
        <v/>
      </c>
      <c r="AE504" s="46" t="str">
        <f t="shared" si="202"/>
        <v/>
      </c>
      <c r="AF504" s="46" t="str">
        <f t="shared" si="203"/>
        <v/>
      </c>
      <c r="AG504" s="46" t="str">
        <f t="shared" si="204"/>
        <v/>
      </c>
      <c r="AH504" s="46" t="str">
        <f t="shared" si="205"/>
        <v/>
      </c>
      <c r="AI504" s="46" t="str">
        <f t="shared" si="206"/>
        <v/>
      </c>
      <c r="AJ504" s="46" t="str">
        <f t="shared" si="207"/>
        <v/>
      </c>
      <c r="AK504" s="46" t="str">
        <f t="shared" si="208"/>
        <v/>
      </c>
      <c r="AL504" s="46" t="str">
        <f t="shared" si="209"/>
        <v/>
      </c>
      <c r="AM504" s="46" t="str">
        <f t="shared" si="210"/>
        <v/>
      </c>
      <c r="AN504" s="46" t="str">
        <f t="shared" si="211"/>
        <v/>
      </c>
      <c r="AO504" s="46" t="str">
        <f t="shared" si="212"/>
        <v/>
      </c>
      <c r="AP504" s="46" t="str">
        <f t="shared" si="213"/>
        <v/>
      </c>
      <c r="AQ504" s="46" t="str">
        <f t="shared" si="214"/>
        <v/>
      </c>
      <c r="AR504" s="46" t="str">
        <f t="shared" si="215"/>
        <v/>
      </c>
      <c r="AS504" s="46" t="str">
        <f t="shared" si="216"/>
        <v/>
      </c>
      <c r="AT504" s="46" t="str">
        <f t="shared" si="217"/>
        <v/>
      </c>
      <c r="AU504" s="46" t="str">
        <f t="shared" si="218"/>
        <v/>
      </c>
      <c r="AV504" s="46" t="str">
        <f t="shared" si="219"/>
        <v/>
      </c>
      <c r="AW504" s="46" t="str">
        <f t="shared" si="220"/>
        <v/>
      </c>
    </row>
    <row r="505" spans="4:49">
      <c r="D505" s="34"/>
      <c r="E505" s="34"/>
      <c r="F505" s="34"/>
      <c r="G505" s="34"/>
      <c r="H505" s="4"/>
      <c r="I505" s="4"/>
      <c r="J505" s="4"/>
      <c r="K505" s="3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37"/>
      <c r="X505" s="1"/>
      <c r="Y505" s="18">
        <f t="shared" si="196"/>
        <v>0</v>
      </c>
      <c r="Z505" s="21">
        <f t="shared" si="197"/>
        <v>0</v>
      </c>
      <c r="AA505" s="10">
        <f t="shared" si="198"/>
        <v>0</v>
      </c>
      <c r="AB505" s="10">
        <f t="shared" si="199"/>
        <v>0</v>
      </c>
      <c r="AC505" s="10">
        <f t="shared" si="200"/>
        <v>0</v>
      </c>
      <c r="AD505" s="46" t="str">
        <f t="shared" si="201"/>
        <v/>
      </c>
      <c r="AE505" s="46" t="str">
        <f t="shared" si="202"/>
        <v/>
      </c>
      <c r="AF505" s="46" t="str">
        <f t="shared" si="203"/>
        <v/>
      </c>
      <c r="AG505" s="46" t="str">
        <f t="shared" si="204"/>
        <v/>
      </c>
      <c r="AH505" s="46" t="str">
        <f t="shared" si="205"/>
        <v/>
      </c>
      <c r="AI505" s="46" t="str">
        <f t="shared" si="206"/>
        <v/>
      </c>
      <c r="AJ505" s="46" t="str">
        <f t="shared" si="207"/>
        <v/>
      </c>
      <c r="AK505" s="46" t="str">
        <f t="shared" si="208"/>
        <v/>
      </c>
      <c r="AL505" s="46" t="str">
        <f t="shared" si="209"/>
        <v/>
      </c>
      <c r="AM505" s="46" t="str">
        <f t="shared" si="210"/>
        <v/>
      </c>
      <c r="AN505" s="46" t="str">
        <f t="shared" si="211"/>
        <v/>
      </c>
      <c r="AO505" s="46" t="str">
        <f t="shared" si="212"/>
        <v/>
      </c>
      <c r="AP505" s="46" t="str">
        <f t="shared" si="213"/>
        <v/>
      </c>
      <c r="AQ505" s="46" t="str">
        <f t="shared" si="214"/>
        <v/>
      </c>
      <c r="AR505" s="46" t="str">
        <f t="shared" si="215"/>
        <v/>
      </c>
      <c r="AS505" s="46" t="str">
        <f t="shared" si="216"/>
        <v/>
      </c>
      <c r="AT505" s="46" t="str">
        <f t="shared" si="217"/>
        <v/>
      </c>
      <c r="AU505" s="46" t="str">
        <f t="shared" si="218"/>
        <v/>
      </c>
      <c r="AV505" s="46" t="str">
        <f t="shared" si="219"/>
        <v/>
      </c>
      <c r="AW505" s="46" t="str">
        <f t="shared" si="220"/>
        <v/>
      </c>
    </row>
    <row r="506" spans="4:49">
      <c r="D506" s="34"/>
      <c r="E506" s="34"/>
      <c r="F506" s="34"/>
      <c r="G506" s="34"/>
      <c r="H506" s="4"/>
      <c r="I506" s="4"/>
      <c r="J506" s="4"/>
      <c r="K506" s="3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37"/>
      <c r="X506" s="1"/>
      <c r="Y506" s="18">
        <f t="shared" si="196"/>
        <v>0</v>
      </c>
      <c r="Z506" s="21">
        <f t="shared" si="197"/>
        <v>0</v>
      </c>
      <c r="AA506" s="10">
        <f t="shared" si="198"/>
        <v>0</v>
      </c>
      <c r="AB506" s="10">
        <f t="shared" si="199"/>
        <v>0</v>
      </c>
      <c r="AC506" s="10">
        <f t="shared" si="200"/>
        <v>0</v>
      </c>
      <c r="AD506" s="46" t="str">
        <f t="shared" si="201"/>
        <v/>
      </c>
      <c r="AE506" s="46" t="str">
        <f t="shared" si="202"/>
        <v/>
      </c>
      <c r="AF506" s="46" t="str">
        <f t="shared" si="203"/>
        <v/>
      </c>
      <c r="AG506" s="46" t="str">
        <f t="shared" si="204"/>
        <v/>
      </c>
      <c r="AH506" s="46" t="str">
        <f t="shared" si="205"/>
        <v/>
      </c>
      <c r="AI506" s="46" t="str">
        <f t="shared" si="206"/>
        <v/>
      </c>
      <c r="AJ506" s="46" t="str">
        <f t="shared" si="207"/>
        <v/>
      </c>
      <c r="AK506" s="46" t="str">
        <f t="shared" si="208"/>
        <v/>
      </c>
      <c r="AL506" s="46" t="str">
        <f t="shared" si="209"/>
        <v/>
      </c>
      <c r="AM506" s="46" t="str">
        <f t="shared" si="210"/>
        <v/>
      </c>
      <c r="AN506" s="46" t="str">
        <f t="shared" si="211"/>
        <v/>
      </c>
      <c r="AO506" s="46" t="str">
        <f t="shared" si="212"/>
        <v/>
      </c>
      <c r="AP506" s="46" t="str">
        <f t="shared" si="213"/>
        <v/>
      </c>
      <c r="AQ506" s="46" t="str">
        <f t="shared" si="214"/>
        <v/>
      </c>
      <c r="AR506" s="46" t="str">
        <f t="shared" si="215"/>
        <v/>
      </c>
      <c r="AS506" s="46" t="str">
        <f t="shared" si="216"/>
        <v/>
      </c>
      <c r="AT506" s="46" t="str">
        <f t="shared" si="217"/>
        <v/>
      </c>
      <c r="AU506" s="46" t="str">
        <f t="shared" si="218"/>
        <v/>
      </c>
      <c r="AV506" s="46" t="str">
        <f t="shared" si="219"/>
        <v/>
      </c>
      <c r="AW506" s="46" t="str">
        <f t="shared" si="220"/>
        <v/>
      </c>
    </row>
    <row r="507" spans="4:49">
      <c r="D507" s="34"/>
      <c r="E507" s="34"/>
      <c r="F507" s="34"/>
      <c r="G507" s="34"/>
      <c r="H507" s="4"/>
      <c r="I507" s="4"/>
      <c r="J507" s="4"/>
      <c r="K507" s="3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37"/>
      <c r="X507" s="1"/>
      <c r="Y507" s="18">
        <f t="shared" si="196"/>
        <v>0</v>
      </c>
      <c r="Z507" s="21">
        <f t="shared" si="197"/>
        <v>0</v>
      </c>
      <c r="AA507" s="10">
        <f t="shared" si="198"/>
        <v>0</v>
      </c>
      <c r="AB507" s="10">
        <f t="shared" si="199"/>
        <v>0</v>
      </c>
      <c r="AC507" s="10">
        <f t="shared" si="200"/>
        <v>0</v>
      </c>
      <c r="AD507" s="46" t="str">
        <f t="shared" si="201"/>
        <v/>
      </c>
      <c r="AE507" s="46" t="str">
        <f t="shared" si="202"/>
        <v/>
      </c>
      <c r="AF507" s="46" t="str">
        <f t="shared" si="203"/>
        <v/>
      </c>
      <c r="AG507" s="46" t="str">
        <f t="shared" si="204"/>
        <v/>
      </c>
      <c r="AH507" s="46" t="str">
        <f t="shared" si="205"/>
        <v/>
      </c>
      <c r="AI507" s="46" t="str">
        <f t="shared" si="206"/>
        <v/>
      </c>
      <c r="AJ507" s="46" t="str">
        <f t="shared" si="207"/>
        <v/>
      </c>
      <c r="AK507" s="46" t="str">
        <f t="shared" si="208"/>
        <v/>
      </c>
      <c r="AL507" s="46" t="str">
        <f t="shared" si="209"/>
        <v/>
      </c>
      <c r="AM507" s="46" t="str">
        <f t="shared" si="210"/>
        <v/>
      </c>
      <c r="AN507" s="46" t="str">
        <f t="shared" si="211"/>
        <v/>
      </c>
      <c r="AO507" s="46" t="str">
        <f t="shared" si="212"/>
        <v/>
      </c>
      <c r="AP507" s="46" t="str">
        <f t="shared" si="213"/>
        <v/>
      </c>
      <c r="AQ507" s="46" t="str">
        <f t="shared" si="214"/>
        <v/>
      </c>
      <c r="AR507" s="46" t="str">
        <f t="shared" si="215"/>
        <v/>
      </c>
      <c r="AS507" s="46" t="str">
        <f t="shared" si="216"/>
        <v/>
      </c>
      <c r="AT507" s="46" t="str">
        <f t="shared" si="217"/>
        <v/>
      </c>
      <c r="AU507" s="46" t="str">
        <f t="shared" si="218"/>
        <v/>
      </c>
      <c r="AV507" s="46" t="str">
        <f t="shared" si="219"/>
        <v/>
      </c>
      <c r="AW507" s="46" t="str">
        <f t="shared" si="220"/>
        <v/>
      </c>
    </row>
    <row r="508" spans="4:49">
      <c r="D508" s="34"/>
      <c r="E508" s="34"/>
      <c r="F508" s="34"/>
      <c r="G508" s="34"/>
      <c r="H508" s="4"/>
      <c r="I508" s="4"/>
      <c r="J508" s="4"/>
      <c r="K508" s="3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37"/>
      <c r="X508" s="1"/>
      <c r="Y508" s="18">
        <f t="shared" si="196"/>
        <v>0</v>
      </c>
      <c r="Z508" s="21">
        <f t="shared" si="197"/>
        <v>0</v>
      </c>
      <c r="AA508" s="10">
        <f t="shared" si="198"/>
        <v>0</v>
      </c>
      <c r="AB508" s="10">
        <f t="shared" si="199"/>
        <v>0</v>
      </c>
      <c r="AC508" s="10">
        <f t="shared" si="200"/>
        <v>0</v>
      </c>
      <c r="AD508" s="46" t="str">
        <f t="shared" si="201"/>
        <v/>
      </c>
      <c r="AE508" s="46" t="str">
        <f t="shared" si="202"/>
        <v/>
      </c>
      <c r="AF508" s="46" t="str">
        <f t="shared" si="203"/>
        <v/>
      </c>
      <c r="AG508" s="46" t="str">
        <f t="shared" si="204"/>
        <v/>
      </c>
      <c r="AH508" s="46" t="str">
        <f t="shared" si="205"/>
        <v/>
      </c>
      <c r="AI508" s="46" t="str">
        <f t="shared" si="206"/>
        <v/>
      </c>
      <c r="AJ508" s="46" t="str">
        <f t="shared" si="207"/>
        <v/>
      </c>
      <c r="AK508" s="46" t="str">
        <f t="shared" si="208"/>
        <v/>
      </c>
      <c r="AL508" s="46" t="str">
        <f t="shared" si="209"/>
        <v/>
      </c>
      <c r="AM508" s="46" t="str">
        <f t="shared" si="210"/>
        <v/>
      </c>
      <c r="AN508" s="46" t="str">
        <f t="shared" si="211"/>
        <v/>
      </c>
      <c r="AO508" s="46" t="str">
        <f t="shared" si="212"/>
        <v/>
      </c>
      <c r="AP508" s="46" t="str">
        <f t="shared" si="213"/>
        <v/>
      </c>
      <c r="AQ508" s="46" t="str">
        <f t="shared" si="214"/>
        <v/>
      </c>
      <c r="AR508" s="46" t="str">
        <f t="shared" si="215"/>
        <v/>
      </c>
      <c r="AS508" s="46" t="str">
        <f t="shared" si="216"/>
        <v/>
      </c>
      <c r="AT508" s="46" t="str">
        <f t="shared" si="217"/>
        <v/>
      </c>
      <c r="AU508" s="46" t="str">
        <f t="shared" si="218"/>
        <v/>
      </c>
      <c r="AV508" s="46" t="str">
        <f t="shared" si="219"/>
        <v/>
      </c>
      <c r="AW508" s="46" t="str">
        <f t="shared" si="220"/>
        <v/>
      </c>
    </row>
    <row r="509" spans="4:49">
      <c r="D509" s="34"/>
      <c r="E509" s="34"/>
      <c r="F509" s="34"/>
      <c r="G509" s="34"/>
      <c r="H509" s="4"/>
      <c r="I509" s="4"/>
      <c r="J509" s="4"/>
      <c r="K509" s="3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37"/>
      <c r="X509" s="1"/>
      <c r="Y509" s="18">
        <f t="shared" si="196"/>
        <v>0</v>
      </c>
      <c r="Z509" s="21">
        <f t="shared" si="197"/>
        <v>0</v>
      </c>
      <c r="AA509" s="10">
        <f t="shared" si="198"/>
        <v>0</v>
      </c>
      <c r="AB509" s="10">
        <f t="shared" si="199"/>
        <v>0</v>
      </c>
      <c r="AC509" s="10">
        <f t="shared" si="200"/>
        <v>0</v>
      </c>
      <c r="AD509" s="46" t="str">
        <f t="shared" si="201"/>
        <v/>
      </c>
      <c r="AE509" s="46" t="str">
        <f t="shared" si="202"/>
        <v/>
      </c>
      <c r="AF509" s="46" t="str">
        <f t="shared" si="203"/>
        <v/>
      </c>
      <c r="AG509" s="46" t="str">
        <f t="shared" si="204"/>
        <v/>
      </c>
      <c r="AH509" s="46" t="str">
        <f t="shared" si="205"/>
        <v/>
      </c>
      <c r="AI509" s="46" t="str">
        <f t="shared" si="206"/>
        <v/>
      </c>
      <c r="AJ509" s="46" t="str">
        <f t="shared" si="207"/>
        <v/>
      </c>
      <c r="AK509" s="46" t="str">
        <f t="shared" si="208"/>
        <v/>
      </c>
      <c r="AL509" s="46" t="str">
        <f t="shared" si="209"/>
        <v/>
      </c>
      <c r="AM509" s="46" t="str">
        <f t="shared" si="210"/>
        <v/>
      </c>
      <c r="AN509" s="46" t="str">
        <f t="shared" si="211"/>
        <v/>
      </c>
      <c r="AO509" s="46" t="str">
        <f t="shared" si="212"/>
        <v/>
      </c>
      <c r="AP509" s="46" t="str">
        <f t="shared" si="213"/>
        <v/>
      </c>
      <c r="AQ509" s="46" t="str">
        <f t="shared" si="214"/>
        <v/>
      </c>
      <c r="AR509" s="46" t="str">
        <f t="shared" si="215"/>
        <v/>
      </c>
      <c r="AS509" s="46" t="str">
        <f t="shared" si="216"/>
        <v/>
      </c>
      <c r="AT509" s="46" t="str">
        <f t="shared" si="217"/>
        <v/>
      </c>
      <c r="AU509" s="46" t="str">
        <f t="shared" si="218"/>
        <v/>
      </c>
      <c r="AV509" s="46" t="str">
        <f t="shared" si="219"/>
        <v/>
      </c>
      <c r="AW509" s="46" t="str">
        <f t="shared" si="220"/>
        <v/>
      </c>
    </row>
    <row r="510" spans="4:49">
      <c r="D510" s="34"/>
      <c r="E510" s="34"/>
      <c r="F510" s="34"/>
      <c r="G510" s="34"/>
      <c r="H510" s="4"/>
      <c r="I510" s="4"/>
      <c r="J510" s="4"/>
      <c r="K510" s="3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37"/>
      <c r="X510" s="1"/>
      <c r="Y510" s="18">
        <f t="shared" si="196"/>
        <v>0</v>
      </c>
      <c r="Z510" s="21">
        <f t="shared" si="197"/>
        <v>0</v>
      </c>
      <c r="AA510" s="10">
        <f t="shared" si="198"/>
        <v>0</v>
      </c>
      <c r="AB510" s="10">
        <f t="shared" si="199"/>
        <v>0</v>
      </c>
      <c r="AC510" s="10">
        <f t="shared" si="200"/>
        <v>0</v>
      </c>
      <c r="AD510" s="46" t="str">
        <f t="shared" si="201"/>
        <v/>
      </c>
      <c r="AE510" s="46" t="str">
        <f t="shared" si="202"/>
        <v/>
      </c>
      <c r="AF510" s="46" t="str">
        <f t="shared" si="203"/>
        <v/>
      </c>
      <c r="AG510" s="46" t="str">
        <f t="shared" si="204"/>
        <v/>
      </c>
      <c r="AH510" s="46" t="str">
        <f t="shared" si="205"/>
        <v/>
      </c>
      <c r="AI510" s="46" t="str">
        <f t="shared" si="206"/>
        <v/>
      </c>
      <c r="AJ510" s="46" t="str">
        <f t="shared" si="207"/>
        <v/>
      </c>
      <c r="AK510" s="46" t="str">
        <f t="shared" si="208"/>
        <v/>
      </c>
      <c r="AL510" s="46" t="str">
        <f t="shared" si="209"/>
        <v/>
      </c>
      <c r="AM510" s="46" t="str">
        <f t="shared" si="210"/>
        <v/>
      </c>
      <c r="AN510" s="46" t="str">
        <f t="shared" si="211"/>
        <v/>
      </c>
      <c r="AO510" s="46" t="str">
        <f t="shared" si="212"/>
        <v/>
      </c>
      <c r="AP510" s="46" t="str">
        <f t="shared" si="213"/>
        <v/>
      </c>
      <c r="AQ510" s="46" t="str">
        <f t="shared" si="214"/>
        <v/>
      </c>
      <c r="AR510" s="46" t="str">
        <f t="shared" si="215"/>
        <v/>
      </c>
      <c r="AS510" s="46" t="str">
        <f t="shared" si="216"/>
        <v/>
      </c>
      <c r="AT510" s="46" t="str">
        <f t="shared" si="217"/>
        <v/>
      </c>
      <c r="AU510" s="46" t="str">
        <f t="shared" si="218"/>
        <v/>
      </c>
      <c r="AV510" s="46" t="str">
        <f t="shared" si="219"/>
        <v/>
      </c>
      <c r="AW510" s="46" t="str">
        <f t="shared" si="220"/>
        <v/>
      </c>
    </row>
    <row r="511" spans="4:49">
      <c r="D511" s="34"/>
      <c r="E511" s="34"/>
      <c r="F511" s="34"/>
      <c r="G511" s="34"/>
      <c r="H511" s="4"/>
      <c r="I511" s="4"/>
      <c r="J511" s="4"/>
      <c r="K511" s="3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37"/>
      <c r="X511" s="1"/>
      <c r="Y511" s="18">
        <f t="shared" si="196"/>
        <v>0</v>
      </c>
      <c r="Z511" s="21">
        <f t="shared" si="197"/>
        <v>0</v>
      </c>
      <c r="AA511" s="10">
        <f t="shared" si="198"/>
        <v>0</v>
      </c>
      <c r="AB511" s="10">
        <f t="shared" si="199"/>
        <v>0</v>
      </c>
      <c r="AC511" s="10">
        <f t="shared" si="200"/>
        <v>0</v>
      </c>
      <c r="AD511" s="46" t="str">
        <f t="shared" si="201"/>
        <v/>
      </c>
      <c r="AE511" s="46" t="str">
        <f t="shared" si="202"/>
        <v/>
      </c>
      <c r="AF511" s="46" t="str">
        <f t="shared" si="203"/>
        <v/>
      </c>
      <c r="AG511" s="46" t="str">
        <f t="shared" si="204"/>
        <v/>
      </c>
      <c r="AH511" s="46" t="str">
        <f t="shared" si="205"/>
        <v/>
      </c>
      <c r="AI511" s="46" t="str">
        <f t="shared" si="206"/>
        <v/>
      </c>
      <c r="AJ511" s="46" t="str">
        <f t="shared" si="207"/>
        <v/>
      </c>
      <c r="AK511" s="46" t="str">
        <f t="shared" si="208"/>
        <v/>
      </c>
      <c r="AL511" s="46" t="str">
        <f t="shared" si="209"/>
        <v/>
      </c>
      <c r="AM511" s="46" t="str">
        <f t="shared" si="210"/>
        <v/>
      </c>
      <c r="AN511" s="46" t="str">
        <f t="shared" si="211"/>
        <v/>
      </c>
      <c r="AO511" s="46" t="str">
        <f t="shared" si="212"/>
        <v/>
      </c>
      <c r="AP511" s="46" t="str">
        <f t="shared" si="213"/>
        <v/>
      </c>
      <c r="AQ511" s="46" t="str">
        <f t="shared" si="214"/>
        <v/>
      </c>
      <c r="AR511" s="46" t="str">
        <f t="shared" si="215"/>
        <v/>
      </c>
      <c r="AS511" s="46" t="str">
        <f t="shared" si="216"/>
        <v/>
      </c>
      <c r="AT511" s="46" t="str">
        <f t="shared" si="217"/>
        <v/>
      </c>
      <c r="AU511" s="46" t="str">
        <f t="shared" si="218"/>
        <v/>
      </c>
      <c r="AV511" s="46" t="str">
        <f t="shared" si="219"/>
        <v/>
      </c>
      <c r="AW511" s="46" t="str">
        <f t="shared" si="220"/>
        <v/>
      </c>
    </row>
    <row r="512" spans="4:49">
      <c r="D512" s="34"/>
      <c r="E512" s="34"/>
      <c r="F512" s="34"/>
      <c r="G512" s="34"/>
      <c r="H512" s="4"/>
      <c r="I512" s="4"/>
      <c r="J512" s="4"/>
      <c r="K512" s="3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37"/>
      <c r="X512" s="1"/>
      <c r="Y512" s="18">
        <f t="shared" si="196"/>
        <v>0</v>
      </c>
      <c r="Z512" s="21">
        <f t="shared" si="197"/>
        <v>0</v>
      </c>
      <c r="AA512" s="10">
        <f t="shared" si="198"/>
        <v>0</v>
      </c>
      <c r="AB512" s="10">
        <f t="shared" si="199"/>
        <v>0</v>
      </c>
      <c r="AC512" s="10">
        <f t="shared" si="200"/>
        <v>0</v>
      </c>
      <c r="AD512" s="46" t="str">
        <f t="shared" si="201"/>
        <v/>
      </c>
      <c r="AE512" s="46" t="str">
        <f t="shared" si="202"/>
        <v/>
      </c>
      <c r="AF512" s="46" t="str">
        <f t="shared" si="203"/>
        <v/>
      </c>
      <c r="AG512" s="46" t="str">
        <f t="shared" si="204"/>
        <v/>
      </c>
      <c r="AH512" s="46" t="str">
        <f t="shared" si="205"/>
        <v/>
      </c>
      <c r="AI512" s="46" t="str">
        <f t="shared" si="206"/>
        <v/>
      </c>
      <c r="AJ512" s="46" t="str">
        <f t="shared" si="207"/>
        <v/>
      </c>
      <c r="AK512" s="46" t="str">
        <f t="shared" si="208"/>
        <v/>
      </c>
      <c r="AL512" s="46" t="str">
        <f t="shared" si="209"/>
        <v/>
      </c>
      <c r="AM512" s="46" t="str">
        <f t="shared" si="210"/>
        <v/>
      </c>
      <c r="AN512" s="46" t="str">
        <f t="shared" si="211"/>
        <v/>
      </c>
      <c r="AO512" s="46" t="str">
        <f t="shared" si="212"/>
        <v/>
      </c>
      <c r="AP512" s="46" t="str">
        <f t="shared" si="213"/>
        <v/>
      </c>
      <c r="AQ512" s="46" t="str">
        <f t="shared" si="214"/>
        <v/>
      </c>
      <c r="AR512" s="46" t="str">
        <f t="shared" si="215"/>
        <v/>
      </c>
      <c r="AS512" s="46" t="str">
        <f t="shared" si="216"/>
        <v/>
      </c>
      <c r="AT512" s="46" t="str">
        <f t="shared" si="217"/>
        <v/>
      </c>
      <c r="AU512" s="46" t="str">
        <f t="shared" si="218"/>
        <v/>
      </c>
      <c r="AV512" s="46" t="str">
        <f t="shared" si="219"/>
        <v/>
      </c>
      <c r="AW512" s="46" t="str">
        <f t="shared" si="220"/>
        <v/>
      </c>
    </row>
    <row r="513" spans="4:49">
      <c r="D513" s="34"/>
      <c r="E513" s="34"/>
      <c r="F513" s="34"/>
      <c r="G513" s="34"/>
      <c r="H513" s="4"/>
      <c r="I513" s="4"/>
      <c r="J513" s="4"/>
      <c r="K513" s="3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37"/>
      <c r="X513" s="1"/>
      <c r="Y513" s="18">
        <f t="shared" si="196"/>
        <v>0</v>
      </c>
      <c r="Z513" s="21">
        <f t="shared" si="197"/>
        <v>0</v>
      </c>
      <c r="AA513" s="10">
        <f t="shared" si="198"/>
        <v>0</v>
      </c>
      <c r="AB513" s="10">
        <f t="shared" si="199"/>
        <v>0</v>
      </c>
      <c r="AC513" s="10">
        <f t="shared" si="200"/>
        <v>0</v>
      </c>
      <c r="AD513" s="46" t="str">
        <f t="shared" si="201"/>
        <v/>
      </c>
      <c r="AE513" s="46" t="str">
        <f t="shared" si="202"/>
        <v/>
      </c>
      <c r="AF513" s="46" t="str">
        <f t="shared" si="203"/>
        <v/>
      </c>
      <c r="AG513" s="46" t="str">
        <f t="shared" si="204"/>
        <v/>
      </c>
      <c r="AH513" s="46" t="str">
        <f t="shared" si="205"/>
        <v/>
      </c>
      <c r="AI513" s="46" t="str">
        <f t="shared" si="206"/>
        <v/>
      </c>
      <c r="AJ513" s="46" t="str">
        <f t="shared" si="207"/>
        <v/>
      </c>
      <c r="AK513" s="46" t="str">
        <f t="shared" si="208"/>
        <v/>
      </c>
      <c r="AL513" s="46" t="str">
        <f t="shared" si="209"/>
        <v/>
      </c>
      <c r="AM513" s="46" t="str">
        <f t="shared" si="210"/>
        <v/>
      </c>
      <c r="AN513" s="46" t="str">
        <f t="shared" si="211"/>
        <v/>
      </c>
      <c r="AO513" s="46" t="str">
        <f t="shared" si="212"/>
        <v/>
      </c>
      <c r="AP513" s="46" t="str">
        <f t="shared" si="213"/>
        <v/>
      </c>
      <c r="AQ513" s="46" t="str">
        <f t="shared" si="214"/>
        <v/>
      </c>
      <c r="AR513" s="46" t="str">
        <f t="shared" si="215"/>
        <v/>
      </c>
      <c r="AS513" s="46" t="str">
        <f t="shared" si="216"/>
        <v/>
      </c>
      <c r="AT513" s="46" t="str">
        <f t="shared" si="217"/>
        <v/>
      </c>
      <c r="AU513" s="46" t="str">
        <f t="shared" si="218"/>
        <v/>
      </c>
      <c r="AV513" s="46" t="str">
        <f t="shared" si="219"/>
        <v/>
      </c>
      <c r="AW513" s="46" t="str">
        <f t="shared" si="220"/>
        <v/>
      </c>
    </row>
    <row r="514" spans="4:49">
      <c r="D514" s="34"/>
      <c r="E514" s="34"/>
      <c r="F514" s="34"/>
      <c r="G514" s="34"/>
      <c r="H514" s="4"/>
      <c r="I514" s="4"/>
      <c r="J514" s="4"/>
      <c r="K514" s="3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37"/>
      <c r="X514" s="1"/>
      <c r="Y514" s="18">
        <f t="shared" si="196"/>
        <v>0</v>
      </c>
      <c r="Z514" s="21">
        <f t="shared" si="197"/>
        <v>0</v>
      </c>
      <c r="AA514" s="10">
        <f t="shared" si="198"/>
        <v>0</v>
      </c>
      <c r="AB514" s="10">
        <f t="shared" si="199"/>
        <v>0</v>
      </c>
      <c r="AC514" s="10">
        <f t="shared" si="200"/>
        <v>0</v>
      </c>
      <c r="AD514" s="46" t="str">
        <f t="shared" si="201"/>
        <v/>
      </c>
      <c r="AE514" s="46" t="str">
        <f t="shared" si="202"/>
        <v/>
      </c>
      <c r="AF514" s="46" t="str">
        <f t="shared" si="203"/>
        <v/>
      </c>
      <c r="AG514" s="46" t="str">
        <f t="shared" si="204"/>
        <v/>
      </c>
      <c r="AH514" s="46" t="str">
        <f t="shared" si="205"/>
        <v/>
      </c>
      <c r="AI514" s="46" t="str">
        <f t="shared" si="206"/>
        <v/>
      </c>
      <c r="AJ514" s="46" t="str">
        <f t="shared" si="207"/>
        <v/>
      </c>
      <c r="AK514" s="46" t="str">
        <f t="shared" si="208"/>
        <v/>
      </c>
      <c r="AL514" s="46" t="str">
        <f t="shared" si="209"/>
        <v/>
      </c>
      <c r="AM514" s="46" t="str">
        <f t="shared" si="210"/>
        <v/>
      </c>
      <c r="AN514" s="46" t="str">
        <f t="shared" si="211"/>
        <v/>
      </c>
      <c r="AO514" s="46" t="str">
        <f t="shared" si="212"/>
        <v/>
      </c>
      <c r="AP514" s="46" t="str">
        <f t="shared" si="213"/>
        <v/>
      </c>
      <c r="AQ514" s="46" t="str">
        <f t="shared" si="214"/>
        <v/>
      </c>
      <c r="AR514" s="46" t="str">
        <f t="shared" si="215"/>
        <v/>
      </c>
      <c r="AS514" s="46" t="str">
        <f t="shared" si="216"/>
        <v/>
      </c>
      <c r="AT514" s="46" t="str">
        <f t="shared" si="217"/>
        <v/>
      </c>
      <c r="AU514" s="46" t="str">
        <f t="shared" si="218"/>
        <v/>
      </c>
      <c r="AV514" s="46" t="str">
        <f t="shared" si="219"/>
        <v/>
      </c>
      <c r="AW514" s="46" t="str">
        <f t="shared" si="220"/>
        <v/>
      </c>
    </row>
    <row r="515" spans="4:49">
      <c r="D515" s="34"/>
      <c r="E515" s="34"/>
      <c r="F515" s="34"/>
      <c r="G515" s="34"/>
      <c r="H515" s="4"/>
      <c r="I515" s="4"/>
      <c r="J515" s="4"/>
      <c r="K515" s="3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37"/>
      <c r="X515" s="1"/>
      <c r="Y515" s="18">
        <f t="shared" si="196"/>
        <v>0</v>
      </c>
      <c r="Z515" s="21">
        <f t="shared" si="197"/>
        <v>0</v>
      </c>
      <c r="AA515" s="10">
        <f t="shared" si="198"/>
        <v>0</v>
      </c>
      <c r="AB515" s="10">
        <f t="shared" si="199"/>
        <v>0</v>
      </c>
      <c r="AC515" s="10">
        <f t="shared" si="200"/>
        <v>0</v>
      </c>
      <c r="AD515" s="46" t="str">
        <f t="shared" si="201"/>
        <v/>
      </c>
      <c r="AE515" s="46" t="str">
        <f t="shared" si="202"/>
        <v/>
      </c>
      <c r="AF515" s="46" t="str">
        <f t="shared" si="203"/>
        <v/>
      </c>
      <c r="AG515" s="46" t="str">
        <f t="shared" si="204"/>
        <v/>
      </c>
      <c r="AH515" s="46" t="str">
        <f t="shared" si="205"/>
        <v/>
      </c>
      <c r="AI515" s="46" t="str">
        <f t="shared" si="206"/>
        <v/>
      </c>
      <c r="AJ515" s="46" t="str">
        <f t="shared" si="207"/>
        <v/>
      </c>
      <c r="AK515" s="46" t="str">
        <f t="shared" si="208"/>
        <v/>
      </c>
      <c r="AL515" s="46" t="str">
        <f t="shared" si="209"/>
        <v/>
      </c>
      <c r="AM515" s="46" t="str">
        <f t="shared" si="210"/>
        <v/>
      </c>
      <c r="AN515" s="46" t="str">
        <f t="shared" si="211"/>
        <v/>
      </c>
      <c r="AO515" s="46" t="str">
        <f t="shared" si="212"/>
        <v/>
      </c>
      <c r="AP515" s="46" t="str">
        <f t="shared" si="213"/>
        <v/>
      </c>
      <c r="AQ515" s="46" t="str">
        <f t="shared" si="214"/>
        <v/>
      </c>
      <c r="AR515" s="46" t="str">
        <f t="shared" si="215"/>
        <v/>
      </c>
      <c r="AS515" s="46" t="str">
        <f t="shared" si="216"/>
        <v/>
      </c>
      <c r="AT515" s="46" t="str">
        <f t="shared" si="217"/>
        <v/>
      </c>
      <c r="AU515" s="46" t="str">
        <f t="shared" si="218"/>
        <v/>
      </c>
      <c r="AV515" s="46" t="str">
        <f t="shared" si="219"/>
        <v/>
      </c>
      <c r="AW515" s="46" t="str">
        <f t="shared" si="220"/>
        <v/>
      </c>
    </row>
    <row r="516" spans="4:49">
      <c r="D516" s="34"/>
      <c r="E516" s="34"/>
      <c r="F516" s="34"/>
      <c r="G516" s="34"/>
      <c r="H516" s="4"/>
      <c r="I516" s="4"/>
      <c r="J516" s="4"/>
      <c r="K516" s="3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37"/>
      <c r="X516" s="1"/>
      <c r="Y516" s="18">
        <f t="shared" ref="Y516:Y579" si="221">COUNTA(D516:V516)-X516</f>
        <v>0</v>
      </c>
      <c r="Z516" s="21">
        <f t="shared" ref="Z516:Z579" si="222">IF(W516&lt;&gt;"",0.0001,IF(X516+Y516=0,0,IF(X516=0,70+(Y516*50),IF(X516&gt;0,80+(Y516*50)))))</f>
        <v>0</v>
      </c>
      <c r="AA516" s="10">
        <f t="shared" ref="AA516:AA579" si="223">COUNTA(K516:V516)</f>
        <v>0</v>
      </c>
      <c r="AB516" s="10">
        <f t="shared" ref="AB516:AB579" si="224">COUNTA(K516:P516)</f>
        <v>0</v>
      </c>
      <c r="AC516" s="10">
        <f t="shared" ref="AC516:AC579" si="225">COUNTA(Q516:U516)</f>
        <v>0</v>
      </c>
      <c r="AD516" s="46" t="str">
        <f t="shared" ref="AD516:AD579" si="226">IF(AND(B516="Feminino",C516&gt;=$AY$2,C516&lt;=$AZ$2),$AY$3,IF(AND(B516="Masculino",C516&gt;=$AY$2,C516&lt;=$AZ$2),$AZ$3,IF(AND(B516="Feminino",C516&gt;=$BA$2,C516&lt;=$BB$2),$BA$3,IF(AND(B516="Masculino",C516&gt;=$BA$2,C516&lt;=$BB$2),$BB$3,IF(AND(B516="Feminino",C516&gt;=$BC$2,C516&lt;=$BD$2),$BC$3,IF(AND(B516="Masculino",C516&gt;=$BC$2,C516&lt;=$BD$2),$BD$3,""))))))</f>
        <v/>
      </c>
      <c r="AE516" s="46" t="str">
        <f t="shared" ref="AE516:AE579" si="227">IF(AND(B516="Feminino",C516&gt;=$BA$2,C516&lt;=$BB$2),$BE$3,IF(AND(B516="Masculino",C516&gt;=$BA$2,C516&lt;=$BB$2),$BF$3,IF(AND(B516="Feminino",C516&lt;=$BD$2),$BG$3,IF(AND(B516="Masculino",C516&lt;=$BD$2),$BH$3,""))))</f>
        <v/>
      </c>
      <c r="AF516" s="46" t="str">
        <f t="shared" ref="AF516:AF579" si="228">IF(AND(B516="Feminino",C516&gt;=$BI$2,C516&lt;=$BJ$2),$BI$3,IF(AND(B516="Masculino",C516&gt;=$BI$2,C516&lt;=$BJ$2),$BJ$3,""))</f>
        <v/>
      </c>
      <c r="AG516" s="46" t="str">
        <f t="shared" ref="AG516:AG579" si="229">IF(C516="","",IF(C516&gt;=$BK$2,$BK$3,IF(AND(C516&gt;=$BL$1,C516&lt;=$BL$2),$BL$3,IF(AND(C516&gt;=$BM$1,C516&lt;=$BM$2),$BM$3,IF(AND(C516&gt;=$BN$1,C516&lt;=$BN$2),$BN$3,IF(AND(C516&gt;=$BO$1,C516&lt;=$BO$2),$BO$3,IF(C516&lt;=$BP$2,$BP$3,"")))))))</f>
        <v/>
      </c>
      <c r="AH516" s="46" t="str">
        <f t="shared" ref="AH516:AH579" si="230">IF(C516="","",IF(C516&gt;=$BK$2,$BQ$3,IF(AND(C516&gt;=$BL$1,C516&lt;=$BL$2),$BR$3,IF(AND(C516&gt;=$BM$1,C516&lt;=$BM$2),$BS$3,IF(AND(C516&gt;=$BN$1,C516&lt;=$BN$2),$BT$3,IF(AND(C516&gt;=$BO$1,C516&lt;=$BO$2),$BU$3,IF(C516&lt;=$BP$2,$BV$3,"")))))))</f>
        <v/>
      </c>
      <c r="AI516" s="46" t="str">
        <f t="shared" ref="AI516:AI579" si="231">IF(C516="","",IF(C516&gt;=$BK$2,$BW$3,IF(AND(C516&gt;=$BL$1,C516&lt;=$BL$2),$BX$3,IF(AND(C516&gt;=$BM$1,C516&lt;=$BM$2),$BY$3,IF(AND(C516&gt;=$BN$1,C516&lt;=$BN$2),$BZ$3,IF(AND(C516&gt;=$BO$1,C516&lt;=$BO$2),$CA$3,IF(C516&lt;=$BP$2,$CB$3,"")))))))</f>
        <v/>
      </c>
      <c r="AJ516" s="46" t="str">
        <f t="shared" ref="AJ516:AJ579" si="232">IF(C516="","",IF(AND(C516&gt;=$BN$1,C516&lt;=$BN$2),$CC$3,IF(AND(C516&gt;=$BO$1,C516&lt;=$BO$2),$CD$3,IF(C516&lt;=$BP$2,$CE$3,""))))</f>
        <v/>
      </c>
      <c r="AK516" s="46" t="str">
        <f t="shared" ref="AK516:AK579" si="233">IF(C516="","",IF(AA516&gt;=3,"",IF(AB516&gt;=2,"",IF(C516&gt;=$CF$2,$CF$3,IF(AND(C516&gt;=$CG$1,C516&lt;=$CG$2),$CG$3,IF(AND(C516&gt;=$CH$1,C516&lt;=$CH$2),$CH$3,IF(AND(C516&gt;=$CI$1,C516&lt;=$CI$2),$CI$3,IF(AND(C516&gt;=$CJ$1,C516&lt;=$CJ$2),$CJ$3,IF(C516&lt;=$CK$2,$CK$3,"")))))))))</f>
        <v/>
      </c>
      <c r="AL516" s="46" t="str">
        <f t="shared" ref="AL516:AL579" si="234">IF(C516="","",IF(AA516&gt;=3,"",IF(AB516&gt;=2,"",IF(C516&gt;=$CF$2,$CL$3,IF(AND(C516&gt;=$CG$1,C516&lt;=$CG$2),$CM$3,IF(AND(C516&gt;=$CH$1,C516&lt;=$CH$2),$CN$3,IF(AND(C516&gt;=$CI$1,C516&lt;=$CI$2),$CO$3,IF(AND(C516&gt;=$CJ$1,C516&lt;=$CJ$2),$CP$3,IF(C516&lt;=$CK$2,$CQ$3,"")))))))))</f>
        <v/>
      </c>
      <c r="AM516" s="46" t="str">
        <f t="shared" ref="AM516:AM579" si="235">IF(C516="","",IF(AA516&gt;=3,"",IF(AB516&gt;=2,"",IF(C516&gt;=$CF$2,$CR$3,IF(AND(C516&gt;=$CG$1,C516&lt;=$CG$2),$CS$3,IF(AND(C516&gt;=$CH$1,C516&lt;=$CH$2),$CT$3,IF(AND(C516&gt;=$CI$1,C516&lt;=$CI$2),$CU$3,IF(AND(C516&gt;=$CJ$1,C516&lt;=$CJ$2),$CV$3,IF(C516&lt;=$CK$2,$CW$3,"")))))))))</f>
        <v/>
      </c>
      <c r="AN516" s="46" t="str">
        <f t="shared" ref="AN516:AN579" si="236">IF(C516="","",IF(AA516&gt;=3,"",IF(AB516&gt;=2,"",IF(C516&gt;=$CF$2,$CX$3,IF(AND(C516&gt;=$CG$1,C516&lt;=$CG$2),$CY$3,IF(AND(C516&gt;=$CH$1,C516&lt;=$CH$2),$CZ$3,IF(AND(C516&gt;=$CI$1,C516&lt;=$CI$2),$DA$3,IF(AND(C516&gt;=$CJ$1,C516&lt;=$CJ$2),$DB$3,IF(C516&lt;=$CK$2,$DC$3,"")))))))))</f>
        <v/>
      </c>
      <c r="AO516" s="46" t="str">
        <f t="shared" ref="AO516:AO579" si="237">IF(C516="","",IF(AA516&gt;=3,"",IF(AB516&gt;=2,"",IF(C516&gt;=$CF$2,$DD$3,IF(AND(C516&gt;=$CG$1,C516&lt;=$CG$2),$DE$3,IF(AND(C516&gt;=$CH$1,C516&lt;=$CH$2),$DF$3,IF(AND(C516&gt;=$CI$1,C516&lt;=$CI$2),$DG$3,IF(AND(C516&gt;=$CJ$1,C516&lt;=$CJ$2),$DH$3,IF(C516&lt;=$CK$2,$DI$3,"")))))))))</f>
        <v/>
      </c>
      <c r="AP516" s="46" t="str">
        <f t="shared" ref="AP516:AP579" si="238">IF(C516="","",IF(AA516&gt;=3,"",IF(AB516&gt;=2,"",IF(C516&gt;=$CF$2,$DJ$3,IF(AND(C516&gt;=$CG$1,C516&lt;=$CG$2),$DK$3,IF(AND(C516&gt;=$CH$1,C516&lt;=$CH$2),$DL$3,IF(AND(C516&gt;=$CI$1,C516&lt;=$CI$2),$DM$3,IF(AND(C516&gt;=$CJ$1,C516&lt;=$CJ$2),$DN$3,IF(C516&lt;=$CK$2,$DO$3,"")))))))))</f>
        <v/>
      </c>
      <c r="AQ516" s="46" t="str">
        <f t="shared" ref="AQ516:AQ579" si="239">IF(C516="","",IF(AA516&gt;=3,"",IF(AC516&gt;=2,"",IF(C516&gt;=$CF$2,$DP$3,IF(AND(C516&gt;=$CG$1,C516&lt;=$CG$2),$DQ$3,IF(AND(C516&gt;=$CH$1,C516&lt;=$CH$2),$DR$3,IF(AND(C516&gt;=$CI$1,C516&lt;=$CI$2),$DS$3,IF(AND(C516&gt;=$CJ$1,C516&lt;=$CJ$2),$DT$3,IF(C516&lt;=$CK$2,$DU$3,"")))))))))</f>
        <v/>
      </c>
      <c r="AR516" s="46" t="str">
        <f t="shared" ref="AR516:AR579" si="240">IF(C516="","",IF(AA516&gt;=3,"",IF(AC516&gt;=2,"",IF(C516&gt;=$CF$2,$DV$3,IF(AND(C516&gt;=$CG$1,C516&lt;=$CG$2),$DW$3,IF(AND(C516&gt;=$CH$1,C516&lt;=$CH$2),$DX$3,IF(AND(C516&gt;=$CI$1,C516&lt;=$CI$2),$DY$3,IF(AND(C516&gt;=$CJ$1,C516&lt;=$CJ$2),$DZ$3,IF(C516&lt;=$CK$2,$EA$3,"")))))))))</f>
        <v/>
      </c>
      <c r="AS516" s="46" t="str">
        <f t="shared" ref="AS516:AS579" si="241">IF(C516="","",IF(AA516&gt;=3,"",IF(AC516&gt;=2,"",IF(C516&gt;=$CF$2,$EB$3,IF(AND(C516&gt;=$CG$1,C516&lt;=$CG$2),$EC$3,IF(AND(C516&gt;=$CH$1,C516&lt;=$CH$2),$ED$3,IF(AND(C516&gt;=$CI$1,C516&lt;=$CI$2),$EE$3,IF(AND(C516&gt;=$CJ$1,C516&lt;=$CJ$2),$EF$3,IF(C516&lt;=$CK$2,$EG$3,"")))))))))</f>
        <v/>
      </c>
      <c r="AT516" s="46" t="str">
        <f t="shared" ref="AT516:AT579" si="242">IF(C516="","",IF(AA516&gt;=3,"",IF(AC516&gt;=2,"",IF(C516&gt;=$CF$2,$EH$3,IF(AND(C516&gt;=$CG$1,C516&lt;=$CG$2),$EI$3,IF(AND(C516&gt;=$CH$1,C516&lt;=$CH$2),$EJ$3,IF(AND(C516&gt;=$CI$1,C516&lt;=$CI$2),$EK$3,IF(AND(C516&gt;=$CJ$1,C516&lt;=$CJ$2),$EL$3,IF(C516&lt;=$CK$2,$EM$3,"")))))))))</f>
        <v/>
      </c>
      <c r="AU516" s="46" t="str">
        <f t="shared" ref="AU516:AU579" si="243">IF(C516="","",IF(AA516&gt;=3,"",IF(AC516&gt;=2,"",IF(C516&gt;=$CF$2,$EN$3,IF(AND(C516&gt;=$CG$1,C516&lt;=$CG$2),$EO$3,IF(AND(C516&gt;=$CH$1,C516&lt;=$CH$2),$EP$3,IF(AND(C516&gt;=$CI$1,C516&lt;=$CI$2),$EQ$3,IF(AND(C516&gt;=$CJ$1,C516&lt;=$CJ$2),$ER$3,IF(C516&lt;=$CK$2,$ES$3,"")))))))))</f>
        <v/>
      </c>
      <c r="AV516" s="46" t="str">
        <f t="shared" ref="AV516:AV579" si="244">IF(C516="","",IF(AA516&gt;=3,"",IF(C516&gt;=$CG$1,$ET$3,IF(AND(C516&gt;=$CI$1,C516&lt;=$CH$2),$EU$3,IF(C516&lt;=$CJ$2,$EV$3,"")))))</f>
        <v/>
      </c>
      <c r="AW516" s="46" t="str">
        <f t="shared" ref="AW516:AW579" si="245">IF(C516="","",IF(AND(D516="",E516="",G516="",H516="",I516="",J516=""),"ADAPTADO",""))</f>
        <v/>
      </c>
    </row>
    <row r="517" spans="4:49">
      <c r="D517" s="34"/>
      <c r="E517" s="34"/>
      <c r="F517" s="34"/>
      <c r="G517" s="34"/>
      <c r="H517" s="4"/>
      <c r="I517" s="4"/>
      <c r="J517" s="4"/>
      <c r="K517" s="3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37"/>
      <c r="X517" s="1"/>
      <c r="Y517" s="18">
        <f t="shared" si="221"/>
        <v>0</v>
      </c>
      <c r="Z517" s="21">
        <f t="shared" si="222"/>
        <v>0</v>
      </c>
      <c r="AA517" s="10">
        <f t="shared" si="223"/>
        <v>0</v>
      </c>
      <c r="AB517" s="10">
        <f t="shared" si="224"/>
        <v>0</v>
      </c>
      <c r="AC517" s="10">
        <f t="shared" si="225"/>
        <v>0</v>
      </c>
      <c r="AD517" s="46" t="str">
        <f t="shared" si="226"/>
        <v/>
      </c>
      <c r="AE517" s="46" t="str">
        <f t="shared" si="227"/>
        <v/>
      </c>
      <c r="AF517" s="46" t="str">
        <f t="shared" si="228"/>
        <v/>
      </c>
      <c r="AG517" s="46" t="str">
        <f t="shared" si="229"/>
        <v/>
      </c>
      <c r="AH517" s="46" t="str">
        <f t="shared" si="230"/>
        <v/>
      </c>
      <c r="AI517" s="46" t="str">
        <f t="shared" si="231"/>
        <v/>
      </c>
      <c r="AJ517" s="46" t="str">
        <f t="shared" si="232"/>
        <v/>
      </c>
      <c r="AK517" s="46" t="str">
        <f t="shared" si="233"/>
        <v/>
      </c>
      <c r="AL517" s="46" t="str">
        <f t="shared" si="234"/>
        <v/>
      </c>
      <c r="AM517" s="46" t="str">
        <f t="shared" si="235"/>
        <v/>
      </c>
      <c r="AN517" s="46" t="str">
        <f t="shared" si="236"/>
        <v/>
      </c>
      <c r="AO517" s="46" t="str">
        <f t="shared" si="237"/>
        <v/>
      </c>
      <c r="AP517" s="46" t="str">
        <f t="shared" si="238"/>
        <v/>
      </c>
      <c r="AQ517" s="46" t="str">
        <f t="shared" si="239"/>
        <v/>
      </c>
      <c r="AR517" s="46" t="str">
        <f t="shared" si="240"/>
        <v/>
      </c>
      <c r="AS517" s="46" t="str">
        <f t="shared" si="241"/>
        <v/>
      </c>
      <c r="AT517" s="46" t="str">
        <f t="shared" si="242"/>
        <v/>
      </c>
      <c r="AU517" s="46" t="str">
        <f t="shared" si="243"/>
        <v/>
      </c>
      <c r="AV517" s="46" t="str">
        <f t="shared" si="244"/>
        <v/>
      </c>
      <c r="AW517" s="46" t="str">
        <f t="shared" si="245"/>
        <v/>
      </c>
    </row>
    <row r="518" spans="4:49">
      <c r="D518" s="34"/>
      <c r="E518" s="34"/>
      <c r="F518" s="34"/>
      <c r="G518" s="34"/>
      <c r="H518" s="4"/>
      <c r="I518" s="4"/>
      <c r="J518" s="4"/>
      <c r="K518" s="3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37"/>
      <c r="X518" s="1"/>
      <c r="Y518" s="18">
        <f t="shared" si="221"/>
        <v>0</v>
      </c>
      <c r="Z518" s="21">
        <f t="shared" si="222"/>
        <v>0</v>
      </c>
      <c r="AA518" s="10">
        <f t="shared" si="223"/>
        <v>0</v>
      </c>
      <c r="AB518" s="10">
        <f t="shared" si="224"/>
        <v>0</v>
      </c>
      <c r="AC518" s="10">
        <f t="shared" si="225"/>
        <v>0</v>
      </c>
      <c r="AD518" s="46" t="str">
        <f t="shared" si="226"/>
        <v/>
      </c>
      <c r="AE518" s="46" t="str">
        <f t="shared" si="227"/>
        <v/>
      </c>
      <c r="AF518" s="46" t="str">
        <f t="shared" si="228"/>
        <v/>
      </c>
      <c r="AG518" s="46" t="str">
        <f t="shared" si="229"/>
        <v/>
      </c>
      <c r="AH518" s="46" t="str">
        <f t="shared" si="230"/>
        <v/>
      </c>
      <c r="AI518" s="46" t="str">
        <f t="shared" si="231"/>
        <v/>
      </c>
      <c r="AJ518" s="46" t="str">
        <f t="shared" si="232"/>
        <v/>
      </c>
      <c r="AK518" s="46" t="str">
        <f t="shared" si="233"/>
        <v/>
      </c>
      <c r="AL518" s="46" t="str">
        <f t="shared" si="234"/>
        <v/>
      </c>
      <c r="AM518" s="46" t="str">
        <f t="shared" si="235"/>
        <v/>
      </c>
      <c r="AN518" s="46" t="str">
        <f t="shared" si="236"/>
        <v/>
      </c>
      <c r="AO518" s="46" t="str">
        <f t="shared" si="237"/>
        <v/>
      </c>
      <c r="AP518" s="46" t="str">
        <f t="shared" si="238"/>
        <v/>
      </c>
      <c r="AQ518" s="46" t="str">
        <f t="shared" si="239"/>
        <v/>
      </c>
      <c r="AR518" s="46" t="str">
        <f t="shared" si="240"/>
        <v/>
      </c>
      <c r="AS518" s="46" t="str">
        <f t="shared" si="241"/>
        <v/>
      </c>
      <c r="AT518" s="46" t="str">
        <f t="shared" si="242"/>
        <v/>
      </c>
      <c r="AU518" s="46" t="str">
        <f t="shared" si="243"/>
        <v/>
      </c>
      <c r="AV518" s="46" t="str">
        <f t="shared" si="244"/>
        <v/>
      </c>
      <c r="AW518" s="46" t="str">
        <f t="shared" si="245"/>
        <v/>
      </c>
    </row>
    <row r="519" spans="4:49">
      <c r="D519" s="34"/>
      <c r="E519" s="34"/>
      <c r="F519" s="34"/>
      <c r="G519" s="34"/>
      <c r="H519" s="4"/>
      <c r="I519" s="4"/>
      <c r="J519" s="4"/>
      <c r="K519" s="3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37"/>
      <c r="X519" s="1"/>
      <c r="Y519" s="18">
        <f t="shared" si="221"/>
        <v>0</v>
      </c>
      <c r="Z519" s="21">
        <f t="shared" si="222"/>
        <v>0</v>
      </c>
      <c r="AA519" s="10">
        <f t="shared" si="223"/>
        <v>0</v>
      </c>
      <c r="AB519" s="10">
        <f t="shared" si="224"/>
        <v>0</v>
      </c>
      <c r="AC519" s="10">
        <f t="shared" si="225"/>
        <v>0</v>
      </c>
      <c r="AD519" s="46" t="str">
        <f t="shared" si="226"/>
        <v/>
      </c>
      <c r="AE519" s="46" t="str">
        <f t="shared" si="227"/>
        <v/>
      </c>
      <c r="AF519" s="46" t="str">
        <f t="shared" si="228"/>
        <v/>
      </c>
      <c r="AG519" s="46" t="str">
        <f t="shared" si="229"/>
        <v/>
      </c>
      <c r="AH519" s="46" t="str">
        <f t="shared" si="230"/>
        <v/>
      </c>
      <c r="AI519" s="46" t="str">
        <f t="shared" si="231"/>
        <v/>
      </c>
      <c r="AJ519" s="46" t="str">
        <f t="shared" si="232"/>
        <v/>
      </c>
      <c r="AK519" s="46" t="str">
        <f t="shared" si="233"/>
        <v/>
      </c>
      <c r="AL519" s="46" t="str">
        <f t="shared" si="234"/>
        <v/>
      </c>
      <c r="AM519" s="46" t="str">
        <f t="shared" si="235"/>
        <v/>
      </c>
      <c r="AN519" s="46" t="str">
        <f t="shared" si="236"/>
        <v/>
      </c>
      <c r="AO519" s="46" t="str">
        <f t="shared" si="237"/>
        <v/>
      </c>
      <c r="AP519" s="46" t="str">
        <f t="shared" si="238"/>
        <v/>
      </c>
      <c r="AQ519" s="46" t="str">
        <f t="shared" si="239"/>
        <v/>
      </c>
      <c r="AR519" s="46" t="str">
        <f t="shared" si="240"/>
        <v/>
      </c>
      <c r="AS519" s="46" t="str">
        <f t="shared" si="241"/>
        <v/>
      </c>
      <c r="AT519" s="46" t="str">
        <f t="shared" si="242"/>
        <v/>
      </c>
      <c r="AU519" s="46" t="str">
        <f t="shared" si="243"/>
        <v/>
      </c>
      <c r="AV519" s="46" t="str">
        <f t="shared" si="244"/>
        <v/>
      </c>
      <c r="AW519" s="46" t="str">
        <f t="shared" si="245"/>
        <v/>
      </c>
    </row>
    <row r="520" spans="4:49">
      <c r="D520" s="34"/>
      <c r="E520" s="34"/>
      <c r="F520" s="34"/>
      <c r="G520" s="34"/>
      <c r="H520" s="4"/>
      <c r="I520" s="4"/>
      <c r="J520" s="4"/>
      <c r="K520" s="3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37"/>
      <c r="X520" s="1"/>
      <c r="Y520" s="18">
        <f t="shared" si="221"/>
        <v>0</v>
      </c>
      <c r="Z520" s="21">
        <f t="shared" si="222"/>
        <v>0</v>
      </c>
      <c r="AA520" s="10">
        <f t="shared" si="223"/>
        <v>0</v>
      </c>
      <c r="AB520" s="10">
        <f t="shared" si="224"/>
        <v>0</v>
      </c>
      <c r="AC520" s="10">
        <f t="shared" si="225"/>
        <v>0</v>
      </c>
      <c r="AD520" s="46" t="str">
        <f t="shared" si="226"/>
        <v/>
      </c>
      <c r="AE520" s="46" t="str">
        <f t="shared" si="227"/>
        <v/>
      </c>
      <c r="AF520" s="46" t="str">
        <f t="shared" si="228"/>
        <v/>
      </c>
      <c r="AG520" s="46" t="str">
        <f t="shared" si="229"/>
        <v/>
      </c>
      <c r="AH520" s="46" t="str">
        <f t="shared" si="230"/>
        <v/>
      </c>
      <c r="AI520" s="46" t="str">
        <f t="shared" si="231"/>
        <v/>
      </c>
      <c r="AJ520" s="46" t="str">
        <f t="shared" si="232"/>
        <v/>
      </c>
      <c r="AK520" s="46" t="str">
        <f t="shared" si="233"/>
        <v/>
      </c>
      <c r="AL520" s="46" t="str">
        <f t="shared" si="234"/>
        <v/>
      </c>
      <c r="AM520" s="46" t="str">
        <f t="shared" si="235"/>
        <v/>
      </c>
      <c r="AN520" s="46" t="str">
        <f t="shared" si="236"/>
        <v/>
      </c>
      <c r="AO520" s="46" t="str">
        <f t="shared" si="237"/>
        <v/>
      </c>
      <c r="AP520" s="46" t="str">
        <f t="shared" si="238"/>
        <v/>
      </c>
      <c r="AQ520" s="46" t="str">
        <f t="shared" si="239"/>
        <v/>
      </c>
      <c r="AR520" s="46" t="str">
        <f t="shared" si="240"/>
        <v/>
      </c>
      <c r="AS520" s="46" t="str">
        <f t="shared" si="241"/>
        <v/>
      </c>
      <c r="AT520" s="46" t="str">
        <f t="shared" si="242"/>
        <v/>
      </c>
      <c r="AU520" s="46" t="str">
        <f t="shared" si="243"/>
        <v/>
      </c>
      <c r="AV520" s="46" t="str">
        <f t="shared" si="244"/>
        <v/>
      </c>
      <c r="AW520" s="46" t="str">
        <f t="shared" si="245"/>
        <v/>
      </c>
    </row>
    <row r="521" spans="4:49">
      <c r="D521" s="34"/>
      <c r="E521" s="34"/>
      <c r="F521" s="34"/>
      <c r="G521" s="34"/>
      <c r="H521" s="4"/>
      <c r="I521" s="4"/>
      <c r="J521" s="4"/>
      <c r="K521" s="3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37"/>
      <c r="X521" s="1"/>
      <c r="Y521" s="18">
        <f t="shared" si="221"/>
        <v>0</v>
      </c>
      <c r="Z521" s="21">
        <f t="shared" si="222"/>
        <v>0</v>
      </c>
      <c r="AA521" s="10">
        <f t="shared" si="223"/>
        <v>0</v>
      </c>
      <c r="AB521" s="10">
        <f t="shared" si="224"/>
        <v>0</v>
      </c>
      <c r="AC521" s="10">
        <f t="shared" si="225"/>
        <v>0</v>
      </c>
      <c r="AD521" s="46" t="str">
        <f t="shared" si="226"/>
        <v/>
      </c>
      <c r="AE521" s="46" t="str">
        <f t="shared" si="227"/>
        <v/>
      </c>
      <c r="AF521" s="46" t="str">
        <f t="shared" si="228"/>
        <v/>
      </c>
      <c r="AG521" s="46" t="str">
        <f t="shared" si="229"/>
        <v/>
      </c>
      <c r="AH521" s="46" t="str">
        <f t="shared" si="230"/>
        <v/>
      </c>
      <c r="AI521" s="46" t="str">
        <f t="shared" si="231"/>
        <v/>
      </c>
      <c r="AJ521" s="46" t="str">
        <f t="shared" si="232"/>
        <v/>
      </c>
      <c r="AK521" s="46" t="str">
        <f t="shared" si="233"/>
        <v/>
      </c>
      <c r="AL521" s="46" t="str">
        <f t="shared" si="234"/>
        <v/>
      </c>
      <c r="AM521" s="46" t="str">
        <f t="shared" si="235"/>
        <v/>
      </c>
      <c r="AN521" s="46" t="str">
        <f t="shared" si="236"/>
        <v/>
      </c>
      <c r="AO521" s="46" t="str">
        <f t="shared" si="237"/>
        <v/>
      </c>
      <c r="AP521" s="46" t="str">
        <f t="shared" si="238"/>
        <v/>
      </c>
      <c r="AQ521" s="46" t="str">
        <f t="shared" si="239"/>
        <v/>
      </c>
      <c r="AR521" s="46" t="str">
        <f t="shared" si="240"/>
        <v/>
      </c>
      <c r="AS521" s="46" t="str">
        <f t="shared" si="241"/>
        <v/>
      </c>
      <c r="AT521" s="46" t="str">
        <f t="shared" si="242"/>
        <v/>
      </c>
      <c r="AU521" s="46" t="str">
        <f t="shared" si="243"/>
        <v/>
      </c>
      <c r="AV521" s="46" t="str">
        <f t="shared" si="244"/>
        <v/>
      </c>
      <c r="AW521" s="46" t="str">
        <f t="shared" si="245"/>
        <v/>
      </c>
    </row>
    <row r="522" spans="4:49">
      <c r="D522" s="34"/>
      <c r="E522" s="34"/>
      <c r="F522" s="34"/>
      <c r="G522" s="34"/>
      <c r="H522" s="4"/>
      <c r="I522" s="4"/>
      <c r="J522" s="4"/>
      <c r="K522" s="3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37"/>
      <c r="X522" s="1"/>
      <c r="Y522" s="18">
        <f t="shared" si="221"/>
        <v>0</v>
      </c>
      <c r="Z522" s="21">
        <f t="shared" si="222"/>
        <v>0</v>
      </c>
      <c r="AA522" s="10">
        <f t="shared" si="223"/>
        <v>0</v>
      </c>
      <c r="AB522" s="10">
        <f t="shared" si="224"/>
        <v>0</v>
      </c>
      <c r="AC522" s="10">
        <f t="shared" si="225"/>
        <v>0</v>
      </c>
      <c r="AD522" s="46" t="str">
        <f t="shared" si="226"/>
        <v/>
      </c>
      <c r="AE522" s="46" t="str">
        <f t="shared" si="227"/>
        <v/>
      </c>
      <c r="AF522" s="46" t="str">
        <f t="shared" si="228"/>
        <v/>
      </c>
      <c r="AG522" s="46" t="str">
        <f t="shared" si="229"/>
        <v/>
      </c>
      <c r="AH522" s="46" t="str">
        <f t="shared" si="230"/>
        <v/>
      </c>
      <c r="AI522" s="46" t="str">
        <f t="shared" si="231"/>
        <v/>
      </c>
      <c r="AJ522" s="46" t="str">
        <f t="shared" si="232"/>
        <v/>
      </c>
      <c r="AK522" s="46" t="str">
        <f t="shared" si="233"/>
        <v/>
      </c>
      <c r="AL522" s="46" t="str">
        <f t="shared" si="234"/>
        <v/>
      </c>
      <c r="AM522" s="46" t="str">
        <f t="shared" si="235"/>
        <v/>
      </c>
      <c r="AN522" s="46" t="str">
        <f t="shared" si="236"/>
        <v/>
      </c>
      <c r="AO522" s="46" t="str">
        <f t="shared" si="237"/>
        <v/>
      </c>
      <c r="AP522" s="46" t="str">
        <f t="shared" si="238"/>
        <v/>
      </c>
      <c r="AQ522" s="46" t="str">
        <f t="shared" si="239"/>
        <v/>
      </c>
      <c r="AR522" s="46" t="str">
        <f t="shared" si="240"/>
        <v/>
      </c>
      <c r="AS522" s="46" t="str">
        <f t="shared" si="241"/>
        <v/>
      </c>
      <c r="AT522" s="46" t="str">
        <f t="shared" si="242"/>
        <v/>
      </c>
      <c r="AU522" s="46" t="str">
        <f t="shared" si="243"/>
        <v/>
      </c>
      <c r="AV522" s="46" t="str">
        <f t="shared" si="244"/>
        <v/>
      </c>
      <c r="AW522" s="46" t="str">
        <f t="shared" si="245"/>
        <v/>
      </c>
    </row>
    <row r="523" spans="4:49">
      <c r="D523" s="34"/>
      <c r="E523" s="34"/>
      <c r="F523" s="34"/>
      <c r="G523" s="34"/>
      <c r="H523" s="4"/>
      <c r="I523" s="4"/>
      <c r="J523" s="4"/>
      <c r="K523" s="3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37"/>
      <c r="X523" s="1"/>
      <c r="Y523" s="18">
        <f t="shared" si="221"/>
        <v>0</v>
      </c>
      <c r="Z523" s="21">
        <f t="shared" si="222"/>
        <v>0</v>
      </c>
      <c r="AA523" s="10">
        <f t="shared" si="223"/>
        <v>0</v>
      </c>
      <c r="AB523" s="10">
        <f t="shared" si="224"/>
        <v>0</v>
      </c>
      <c r="AC523" s="10">
        <f t="shared" si="225"/>
        <v>0</v>
      </c>
      <c r="AD523" s="46" t="str">
        <f t="shared" si="226"/>
        <v/>
      </c>
      <c r="AE523" s="46" t="str">
        <f t="shared" si="227"/>
        <v/>
      </c>
      <c r="AF523" s="46" t="str">
        <f t="shared" si="228"/>
        <v/>
      </c>
      <c r="AG523" s="46" t="str">
        <f t="shared" si="229"/>
        <v/>
      </c>
      <c r="AH523" s="46" t="str">
        <f t="shared" si="230"/>
        <v/>
      </c>
      <c r="AI523" s="46" t="str">
        <f t="shared" si="231"/>
        <v/>
      </c>
      <c r="AJ523" s="46" t="str">
        <f t="shared" si="232"/>
        <v/>
      </c>
      <c r="AK523" s="46" t="str">
        <f t="shared" si="233"/>
        <v/>
      </c>
      <c r="AL523" s="46" t="str">
        <f t="shared" si="234"/>
        <v/>
      </c>
      <c r="AM523" s="46" t="str">
        <f t="shared" si="235"/>
        <v/>
      </c>
      <c r="AN523" s="46" t="str">
        <f t="shared" si="236"/>
        <v/>
      </c>
      <c r="AO523" s="46" t="str">
        <f t="shared" si="237"/>
        <v/>
      </c>
      <c r="AP523" s="46" t="str">
        <f t="shared" si="238"/>
        <v/>
      </c>
      <c r="AQ523" s="46" t="str">
        <f t="shared" si="239"/>
        <v/>
      </c>
      <c r="AR523" s="46" t="str">
        <f t="shared" si="240"/>
        <v/>
      </c>
      <c r="AS523" s="46" t="str">
        <f t="shared" si="241"/>
        <v/>
      </c>
      <c r="AT523" s="46" t="str">
        <f t="shared" si="242"/>
        <v/>
      </c>
      <c r="AU523" s="46" t="str">
        <f t="shared" si="243"/>
        <v/>
      </c>
      <c r="AV523" s="46" t="str">
        <f t="shared" si="244"/>
        <v/>
      </c>
      <c r="AW523" s="46" t="str">
        <f t="shared" si="245"/>
        <v/>
      </c>
    </row>
    <row r="524" spans="4:49">
      <c r="D524" s="34"/>
      <c r="E524" s="34"/>
      <c r="F524" s="34"/>
      <c r="G524" s="34"/>
      <c r="H524" s="4"/>
      <c r="I524" s="4"/>
      <c r="J524" s="4"/>
      <c r="K524" s="3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37"/>
      <c r="X524" s="1"/>
      <c r="Y524" s="18">
        <f t="shared" si="221"/>
        <v>0</v>
      </c>
      <c r="Z524" s="21">
        <f t="shared" si="222"/>
        <v>0</v>
      </c>
      <c r="AA524" s="10">
        <f t="shared" si="223"/>
        <v>0</v>
      </c>
      <c r="AB524" s="10">
        <f t="shared" si="224"/>
        <v>0</v>
      </c>
      <c r="AC524" s="10">
        <f t="shared" si="225"/>
        <v>0</v>
      </c>
      <c r="AD524" s="46" t="str">
        <f t="shared" si="226"/>
        <v/>
      </c>
      <c r="AE524" s="46" t="str">
        <f t="shared" si="227"/>
        <v/>
      </c>
      <c r="AF524" s="46" t="str">
        <f t="shared" si="228"/>
        <v/>
      </c>
      <c r="AG524" s="46" t="str">
        <f t="shared" si="229"/>
        <v/>
      </c>
      <c r="AH524" s="46" t="str">
        <f t="shared" si="230"/>
        <v/>
      </c>
      <c r="AI524" s="46" t="str">
        <f t="shared" si="231"/>
        <v/>
      </c>
      <c r="AJ524" s="46" t="str">
        <f t="shared" si="232"/>
        <v/>
      </c>
      <c r="AK524" s="46" t="str">
        <f t="shared" si="233"/>
        <v/>
      </c>
      <c r="AL524" s="46" t="str">
        <f t="shared" si="234"/>
        <v/>
      </c>
      <c r="AM524" s="46" t="str">
        <f t="shared" si="235"/>
        <v/>
      </c>
      <c r="AN524" s="46" t="str">
        <f t="shared" si="236"/>
        <v/>
      </c>
      <c r="AO524" s="46" t="str">
        <f t="shared" si="237"/>
        <v/>
      </c>
      <c r="AP524" s="46" t="str">
        <f t="shared" si="238"/>
        <v/>
      </c>
      <c r="AQ524" s="46" t="str">
        <f t="shared" si="239"/>
        <v/>
      </c>
      <c r="AR524" s="46" t="str">
        <f t="shared" si="240"/>
        <v/>
      </c>
      <c r="AS524" s="46" t="str">
        <f t="shared" si="241"/>
        <v/>
      </c>
      <c r="AT524" s="46" t="str">
        <f t="shared" si="242"/>
        <v/>
      </c>
      <c r="AU524" s="46" t="str">
        <f t="shared" si="243"/>
        <v/>
      </c>
      <c r="AV524" s="46" t="str">
        <f t="shared" si="244"/>
        <v/>
      </c>
      <c r="AW524" s="46" t="str">
        <f t="shared" si="245"/>
        <v/>
      </c>
    </row>
    <row r="525" spans="4:49">
      <c r="D525" s="34"/>
      <c r="E525" s="34"/>
      <c r="F525" s="34"/>
      <c r="G525" s="34"/>
      <c r="H525" s="4"/>
      <c r="I525" s="4"/>
      <c r="J525" s="4"/>
      <c r="K525" s="3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37"/>
      <c r="X525" s="1"/>
      <c r="Y525" s="18">
        <f t="shared" si="221"/>
        <v>0</v>
      </c>
      <c r="Z525" s="21">
        <f t="shared" si="222"/>
        <v>0</v>
      </c>
      <c r="AA525" s="10">
        <f t="shared" si="223"/>
        <v>0</v>
      </c>
      <c r="AB525" s="10">
        <f t="shared" si="224"/>
        <v>0</v>
      </c>
      <c r="AC525" s="10">
        <f t="shared" si="225"/>
        <v>0</v>
      </c>
      <c r="AD525" s="46" t="str">
        <f t="shared" si="226"/>
        <v/>
      </c>
      <c r="AE525" s="46" t="str">
        <f t="shared" si="227"/>
        <v/>
      </c>
      <c r="AF525" s="46" t="str">
        <f t="shared" si="228"/>
        <v/>
      </c>
      <c r="AG525" s="46" t="str">
        <f t="shared" si="229"/>
        <v/>
      </c>
      <c r="AH525" s="46" t="str">
        <f t="shared" si="230"/>
        <v/>
      </c>
      <c r="AI525" s="46" t="str">
        <f t="shared" si="231"/>
        <v/>
      </c>
      <c r="AJ525" s="46" t="str">
        <f t="shared" si="232"/>
        <v/>
      </c>
      <c r="AK525" s="46" t="str">
        <f t="shared" si="233"/>
        <v/>
      </c>
      <c r="AL525" s="46" t="str">
        <f t="shared" si="234"/>
        <v/>
      </c>
      <c r="AM525" s="46" t="str">
        <f t="shared" si="235"/>
        <v/>
      </c>
      <c r="AN525" s="46" t="str">
        <f t="shared" si="236"/>
        <v/>
      </c>
      <c r="AO525" s="46" t="str">
        <f t="shared" si="237"/>
        <v/>
      </c>
      <c r="AP525" s="46" t="str">
        <f t="shared" si="238"/>
        <v/>
      </c>
      <c r="AQ525" s="46" t="str">
        <f t="shared" si="239"/>
        <v/>
      </c>
      <c r="AR525" s="46" t="str">
        <f t="shared" si="240"/>
        <v/>
      </c>
      <c r="AS525" s="46" t="str">
        <f t="shared" si="241"/>
        <v/>
      </c>
      <c r="AT525" s="46" t="str">
        <f t="shared" si="242"/>
        <v/>
      </c>
      <c r="AU525" s="46" t="str">
        <f t="shared" si="243"/>
        <v/>
      </c>
      <c r="AV525" s="46" t="str">
        <f t="shared" si="244"/>
        <v/>
      </c>
      <c r="AW525" s="46" t="str">
        <f t="shared" si="245"/>
        <v/>
      </c>
    </row>
    <row r="526" spans="4:49">
      <c r="D526" s="34"/>
      <c r="E526" s="34"/>
      <c r="F526" s="34"/>
      <c r="G526" s="34"/>
      <c r="H526" s="4"/>
      <c r="I526" s="4"/>
      <c r="J526" s="4"/>
      <c r="K526" s="3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37"/>
      <c r="X526" s="1"/>
      <c r="Y526" s="18">
        <f t="shared" si="221"/>
        <v>0</v>
      </c>
      <c r="Z526" s="21">
        <f t="shared" si="222"/>
        <v>0</v>
      </c>
      <c r="AA526" s="10">
        <f t="shared" si="223"/>
        <v>0</v>
      </c>
      <c r="AB526" s="10">
        <f t="shared" si="224"/>
        <v>0</v>
      </c>
      <c r="AC526" s="10">
        <f t="shared" si="225"/>
        <v>0</v>
      </c>
      <c r="AD526" s="46" t="str">
        <f t="shared" si="226"/>
        <v/>
      </c>
      <c r="AE526" s="46" t="str">
        <f t="shared" si="227"/>
        <v/>
      </c>
      <c r="AF526" s="46" t="str">
        <f t="shared" si="228"/>
        <v/>
      </c>
      <c r="AG526" s="46" t="str">
        <f t="shared" si="229"/>
        <v/>
      </c>
      <c r="AH526" s="46" t="str">
        <f t="shared" si="230"/>
        <v/>
      </c>
      <c r="AI526" s="46" t="str">
        <f t="shared" si="231"/>
        <v/>
      </c>
      <c r="AJ526" s="46" t="str">
        <f t="shared" si="232"/>
        <v/>
      </c>
      <c r="AK526" s="46" t="str">
        <f t="shared" si="233"/>
        <v/>
      </c>
      <c r="AL526" s="46" t="str">
        <f t="shared" si="234"/>
        <v/>
      </c>
      <c r="AM526" s="46" t="str">
        <f t="shared" si="235"/>
        <v/>
      </c>
      <c r="AN526" s="46" t="str">
        <f t="shared" si="236"/>
        <v/>
      </c>
      <c r="AO526" s="46" t="str">
        <f t="shared" si="237"/>
        <v/>
      </c>
      <c r="AP526" s="46" t="str">
        <f t="shared" si="238"/>
        <v/>
      </c>
      <c r="AQ526" s="46" t="str">
        <f t="shared" si="239"/>
        <v/>
      </c>
      <c r="AR526" s="46" t="str">
        <f t="shared" si="240"/>
        <v/>
      </c>
      <c r="AS526" s="46" t="str">
        <f t="shared" si="241"/>
        <v/>
      </c>
      <c r="AT526" s="46" t="str">
        <f t="shared" si="242"/>
        <v/>
      </c>
      <c r="AU526" s="46" t="str">
        <f t="shared" si="243"/>
        <v/>
      </c>
      <c r="AV526" s="46" t="str">
        <f t="shared" si="244"/>
        <v/>
      </c>
      <c r="AW526" s="46" t="str">
        <f t="shared" si="245"/>
        <v/>
      </c>
    </row>
    <row r="527" spans="4:49">
      <c r="D527" s="34"/>
      <c r="E527" s="34"/>
      <c r="F527" s="34"/>
      <c r="G527" s="34"/>
      <c r="H527" s="4"/>
      <c r="I527" s="4"/>
      <c r="J527" s="4"/>
      <c r="K527" s="3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37"/>
      <c r="X527" s="1"/>
      <c r="Y527" s="18">
        <f t="shared" si="221"/>
        <v>0</v>
      </c>
      <c r="Z527" s="21">
        <f t="shared" si="222"/>
        <v>0</v>
      </c>
      <c r="AA527" s="10">
        <f t="shared" si="223"/>
        <v>0</v>
      </c>
      <c r="AB527" s="10">
        <f t="shared" si="224"/>
        <v>0</v>
      </c>
      <c r="AC527" s="10">
        <f t="shared" si="225"/>
        <v>0</v>
      </c>
      <c r="AD527" s="46" t="str">
        <f t="shared" si="226"/>
        <v/>
      </c>
      <c r="AE527" s="46" t="str">
        <f t="shared" si="227"/>
        <v/>
      </c>
      <c r="AF527" s="46" t="str">
        <f t="shared" si="228"/>
        <v/>
      </c>
      <c r="AG527" s="46" t="str">
        <f t="shared" si="229"/>
        <v/>
      </c>
      <c r="AH527" s="46" t="str">
        <f t="shared" si="230"/>
        <v/>
      </c>
      <c r="AI527" s="46" t="str">
        <f t="shared" si="231"/>
        <v/>
      </c>
      <c r="AJ527" s="46" t="str">
        <f t="shared" si="232"/>
        <v/>
      </c>
      <c r="AK527" s="46" t="str">
        <f t="shared" si="233"/>
        <v/>
      </c>
      <c r="AL527" s="46" t="str">
        <f t="shared" si="234"/>
        <v/>
      </c>
      <c r="AM527" s="46" t="str">
        <f t="shared" si="235"/>
        <v/>
      </c>
      <c r="AN527" s="46" t="str">
        <f t="shared" si="236"/>
        <v/>
      </c>
      <c r="AO527" s="46" t="str">
        <f t="shared" si="237"/>
        <v/>
      </c>
      <c r="AP527" s="46" t="str">
        <f t="shared" si="238"/>
        <v/>
      </c>
      <c r="AQ527" s="46" t="str">
        <f t="shared" si="239"/>
        <v/>
      </c>
      <c r="AR527" s="46" t="str">
        <f t="shared" si="240"/>
        <v/>
      </c>
      <c r="AS527" s="46" t="str">
        <f t="shared" si="241"/>
        <v/>
      </c>
      <c r="AT527" s="46" t="str">
        <f t="shared" si="242"/>
        <v/>
      </c>
      <c r="AU527" s="46" t="str">
        <f t="shared" si="243"/>
        <v/>
      </c>
      <c r="AV527" s="46" t="str">
        <f t="shared" si="244"/>
        <v/>
      </c>
      <c r="AW527" s="46" t="str">
        <f t="shared" si="245"/>
        <v/>
      </c>
    </row>
    <row r="528" spans="4:49">
      <c r="D528" s="34"/>
      <c r="E528" s="34"/>
      <c r="F528" s="34"/>
      <c r="G528" s="34"/>
      <c r="H528" s="4"/>
      <c r="I528" s="4"/>
      <c r="J528" s="4"/>
      <c r="K528" s="3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37"/>
      <c r="X528" s="1"/>
      <c r="Y528" s="18">
        <f t="shared" si="221"/>
        <v>0</v>
      </c>
      <c r="Z528" s="21">
        <f t="shared" si="222"/>
        <v>0</v>
      </c>
      <c r="AA528" s="10">
        <f t="shared" si="223"/>
        <v>0</v>
      </c>
      <c r="AB528" s="10">
        <f t="shared" si="224"/>
        <v>0</v>
      </c>
      <c r="AC528" s="10">
        <f t="shared" si="225"/>
        <v>0</v>
      </c>
      <c r="AD528" s="46" t="str">
        <f t="shared" si="226"/>
        <v/>
      </c>
      <c r="AE528" s="46" t="str">
        <f t="shared" si="227"/>
        <v/>
      </c>
      <c r="AF528" s="46" t="str">
        <f t="shared" si="228"/>
        <v/>
      </c>
      <c r="AG528" s="46" t="str">
        <f t="shared" si="229"/>
        <v/>
      </c>
      <c r="AH528" s="46" t="str">
        <f t="shared" si="230"/>
        <v/>
      </c>
      <c r="AI528" s="46" t="str">
        <f t="shared" si="231"/>
        <v/>
      </c>
      <c r="AJ528" s="46" t="str">
        <f t="shared" si="232"/>
        <v/>
      </c>
      <c r="AK528" s="46" t="str">
        <f t="shared" si="233"/>
        <v/>
      </c>
      <c r="AL528" s="46" t="str">
        <f t="shared" si="234"/>
        <v/>
      </c>
      <c r="AM528" s="46" t="str">
        <f t="shared" si="235"/>
        <v/>
      </c>
      <c r="AN528" s="46" t="str">
        <f t="shared" si="236"/>
        <v/>
      </c>
      <c r="AO528" s="46" t="str">
        <f t="shared" si="237"/>
        <v/>
      </c>
      <c r="AP528" s="46" t="str">
        <f t="shared" si="238"/>
        <v/>
      </c>
      <c r="AQ528" s="46" t="str">
        <f t="shared" si="239"/>
        <v/>
      </c>
      <c r="AR528" s="46" t="str">
        <f t="shared" si="240"/>
        <v/>
      </c>
      <c r="AS528" s="46" t="str">
        <f t="shared" si="241"/>
        <v/>
      </c>
      <c r="AT528" s="46" t="str">
        <f t="shared" si="242"/>
        <v/>
      </c>
      <c r="AU528" s="46" t="str">
        <f t="shared" si="243"/>
        <v/>
      </c>
      <c r="AV528" s="46" t="str">
        <f t="shared" si="244"/>
        <v/>
      </c>
      <c r="AW528" s="46" t="str">
        <f t="shared" si="245"/>
        <v/>
      </c>
    </row>
    <row r="529" spans="4:49">
      <c r="D529" s="34"/>
      <c r="E529" s="34"/>
      <c r="F529" s="34"/>
      <c r="G529" s="34"/>
      <c r="H529" s="4"/>
      <c r="I529" s="4"/>
      <c r="J529" s="4"/>
      <c r="K529" s="3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37"/>
      <c r="X529" s="1"/>
      <c r="Y529" s="18">
        <f t="shared" si="221"/>
        <v>0</v>
      </c>
      <c r="Z529" s="21">
        <f t="shared" si="222"/>
        <v>0</v>
      </c>
      <c r="AA529" s="10">
        <f t="shared" si="223"/>
        <v>0</v>
      </c>
      <c r="AB529" s="10">
        <f t="shared" si="224"/>
        <v>0</v>
      </c>
      <c r="AC529" s="10">
        <f t="shared" si="225"/>
        <v>0</v>
      </c>
      <c r="AD529" s="46" t="str">
        <f t="shared" si="226"/>
        <v/>
      </c>
      <c r="AE529" s="46" t="str">
        <f t="shared" si="227"/>
        <v/>
      </c>
      <c r="AF529" s="46" t="str">
        <f t="shared" si="228"/>
        <v/>
      </c>
      <c r="AG529" s="46" t="str">
        <f t="shared" si="229"/>
        <v/>
      </c>
      <c r="AH529" s="46" t="str">
        <f t="shared" si="230"/>
        <v/>
      </c>
      <c r="AI529" s="46" t="str">
        <f t="shared" si="231"/>
        <v/>
      </c>
      <c r="AJ529" s="46" t="str">
        <f t="shared" si="232"/>
        <v/>
      </c>
      <c r="AK529" s="46" t="str">
        <f t="shared" si="233"/>
        <v/>
      </c>
      <c r="AL529" s="46" t="str">
        <f t="shared" si="234"/>
        <v/>
      </c>
      <c r="AM529" s="46" t="str">
        <f t="shared" si="235"/>
        <v/>
      </c>
      <c r="AN529" s="46" t="str">
        <f t="shared" si="236"/>
        <v/>
      </c>
      <c r="AO529" s="46" t="str">
        <f t="shared" si="237"/>
        <v/>
      </c>
      <c r="AP529" s="46" t="str">
        <f t="shared" si="238"/>
        <v/>
      </c>
      <c r="AQ529" s="46" t="str">
        <f t="shared" si="239"/>
        <v/>
      </c>
      <c r="AR529" s="46" t="str">
        <f t="shared" si="240"/>
        <v/>
      </c>
      <c r="AS529" s="46" t="str">
        <f t="shared" si="241"/>
        <v/>
      </c>
      <c r="AT529" s="46" t="str">
        <f t="shared" si="242"/>
        <v/>
      </c>
      <c r="AU529" s="46" t="str">
        <f t="shared" si="243"/>
        <v/>
      </c>
      <c r="AV529" s="46" t="str">
        <f t="shared" si="244"/>
        <v/>
      </c>
      <c r="AW529" s="46" t="str">
        <f t="shared" si="245"/>
        <v/>
      </c>
    </row>
    <row r="530" spans="4:49">
      <c r="D530" s="34"/>
      <c r="E530" s="34"/>
      <c r="F530" s="34"/>
      <c r="G530" s="34"/>
      <c r="H530" s="4"/>
      <c r="I530" s="4"/>
      <c r="J530" s="4"/>
      <c r="K530" s="3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37"/>
      <c r="X530" s="1"/>
      <c r="Y530" s="18">
        <f t="shared" si="221"/>
        <v>0</v>
      </c>
      <c r="Z530" s="21">
        <f t="shared" si="222"/>
        <v>0</v>
      </c>
      <c r="AA530" s="10">
        <f t="shared" si="223"/>
        <v>0</v>
      </c>
      <c r="AB530" s="10">
        <f t="shared" si="224"/>
        <v>0</v>
      </c>
      <c r="AC530" s="10">
        <f t="shared" si="225"/>
        <v>0</v>
      </c>
      <c r="AD530" s="46" t="str">
        <f t="shared" si="226"/>
        <v/>
      </c>
      <c r="AE530" s="46" t="str">
        <f t="shared" si="227"/>
        <v/>
      </c>
      <c r="AF530" s="46" t="str">
        <f t="shared" si="228"/>
        <v/>
      </c>
      <c r="AG530" s="46" t="str">
        <f t="shared" si="229"/>
        <v/>
      </c>
      <c r="AH530" s="46" t="str">
        <f t="shared" si="230"/>
        <v/>
      </c>
      <c r="AI530" s="46" t="str">
        <f t="shared" si="231"/>
        <v/>
      </c>
      <c r="AJ530" s="46" t="str">
        <f t="shared" si="232"/>
        <v/>
      </c>
      <c r="AK530" s="46" t="str">
        <f t="shared" si="233"/>
        <v/>
      </c>
      <c r="AL530" s="46" t="str">
        <f t="shared" si="234"/>
        <v/>
      </c>
      <c r="AM530" s="46" t="str">
        <f t="shared" si="235"/>
        <v/>
      </c>
      <c r="AN530" s="46" t="str">
        <f t="shared" si="236"/>
        <v/>
      </c>
      <c r="AO530" s="46" t="str">
        <f t="shared" si="237"/>
        <v/>
      </c>
      <c r="AP530" s="46" t="str">
        <f t="shared" si="238"/>
        <v/>
      </c>
      <c r="AQ530" s="46" t="str">
        <f t="shared" si="239"/>
        <v/>
      </c>
      <c r="AR530" s="46" t="str">
        <f t="shared" si="240"/>
        <v/>
      </c>
      <c r="AS530" s="46" t="str">
        <f t="shared" si="241"/>
        <v/>
      </c>
      <c r="AT530" s="46" t="str">
        <f t="shared" si="242"/>
        <v/>
      </c>
      <c r="AU530" s="46" t="str">
        <f t="shared" si="243"/>
        <v/>
      </c>
      <c r="AV530" s="46" t="str">
        <f t="shared" si="244"/>
        <v/>
      </c>
      <c r="AW530" s="46" t="str">
        <f t="shared" si="245"/>
        <v/>
      </c>
    </row>
    <row r="531" spans="4:49">
      <c r="D531" s="34"/>
      <c r="E531" s="34"/>
      <c r="F531" s="34"/>
      <c r="G531" s="34"/>
      <c r="H531" s="4"/>
      <c r="I531" s="4"/>
      <c r="J531" s="4"/>
      <c r="K531" s="3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37"/>
      <c r="X531" s="1"/>
      <c r="Y531" s="18">
        <f t="shared" si="221"/>
        <v>0</v>
      </c>
      <c r="Z531" s="21">
        <f t="shared" si="222"/>
        <v>0</v>
      </c>
      <c r="AA531" s="10">
        <f t="shared" si="223"/>
        <v>0</v>
      </c>
      <c r="AB531" s="10">
        <f t="shared" si="224"/>
        <v>0</v>
      </c>
      <c r="AC531" s="10">
        <f t="shared" si="225"/>
        <v>0</v>
      </c>
      <c r="AD531" s="46" t="str">
        <f t="shared" si="226"/>
        <v/>
      </c>
      <c r="AE531" s="46" t="str">
        <f t="shared" si="227"/>
        <v/>
      </c>
      <c r="AF531" s="46" t="str">
        <f t="shared" si="228"/>
        <v/>
      </c>
      <c r="AG531" s="46" t="str">
        <f t="shared" si="229"/>
        <v/>
      </c>
      <c r="AH531" s="46" t="str">
        <f t="shared" si="230"/>
        <v/>
      </c>
      <c r="AI531" s="46" t="str">
        <f t="shared" si="231"/>
        <v/>
      </c>
      <c r="AJ531" s="46" t="str">
        <f t="shared" si="232"/>
        <v/>
      </c>
      <c r="AK531" s="46" t="str">
        <f t="shared" si="233"/>
        <v/>
      </c>
      <c r="AL531" s="46" t="str">
        <f t="shared" si="234"/>
        <v/>
      </c>
      <c r="AM531" s="46" t="str">
        <f t="shared" si="235"/>
        <v/>
      </c>
      <c r="AN531" s="46" t="str">
        <f t="shared" si="236"/>
        <v/>
      </c>
      <c r="AO531" s="46" t="str">
        <f t="shared" si="237"/>
        <v/>
      </c>
      <c r="AP531" s="46" t="str">
        <f t="shared" si="238"/>
        <v/>
      </c>
      <c r="AQ531" s="46" t="str">
        <f t="shared" si="239"/>
        <v/>
      </c>
      <c r="AR531" s="46" t="str">
        <f t="shared" si="240"/>
        <v/>
      </c>
      <c r="AS531" s="46" t="str">
        <f t="shared" si="241"/>
        <v/>
      </c>
      <c r="AT531" s="46" t="str">
        <f t="shared" si="242"/>
        <v/>
      </c>
      <c r="AU531" s="46" t="str">
        <f t="shared" si="243"/>
        <v/>
      </c>
      <c r="AV531" s="46" t="str">
        <f t="shared" si="244"/>
        <v/>
      </c>
      <c r="AW531" s="46" t="str">
        <f t="shared" si="245"/>
        <v/>
      </c>
    </row>
    <row r="532" spans="4:49">
      <c r="D532" s="34"/>
      <c r="E532" s="34"/>
      <c r="F532" s="34"/>
      <c r="G532" s="34"/>
      <c r="H532" s="4"/>
      <c r="I532" s="4"/>
      <c r="J532" s="4"/>
      <c r="K532" s="3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37"/>
      <c r="X532" s="1"/>
      <c r="Y532" s="18">
        <f t="shared" si="221"/>
        <v>0</v>
      </c>
      <c r="Z532" s="21">
        <f t="shared" si="222"/>
        <v>0</v>
      </c>
      <c r="AA532" s="10">
        <f t="shared" si="223"/>
        <v>0</v>
      </c>
      <c r="AB532" s="10">
        <f t="shared" si="224"/>
        <v>0</v>
      </c>
      <c r="AC532" s="10">
        <f t="shared" si="225"/>
        <v>0</v>
      </c>
      <c r="AD532" s="46" t="str">
        <f t="shared" si="226"/>
        <v/>
      </c>
      <c r="AE532" s="46" t="str">
        <f t="shared" si="227"/>
        <v/>
      </c>
      <c r="AF532" s="46" t="str">
        <f t="shared" si="228"/>
        <v/>
      </c>
      <c r="AG532" s="46" t="str">
        <f t="shared" si="229"/>
        <v/>
      </c>
      <c r="AH532" s="46" t="str">
        <f t="shared" si="230"/>
        <v/>
      </c>
      <c r="AI532" s="46" t="str">
        <f t="shared" si="231"/>
        <v/>
      </c>
      <c r="AJ532" s="46" t="str">
        <f t="shared" si="232"/>
        <v/>
      </c>
      <c r="AK532" s="46" t="str">
        <f t="shared" si="233"/>
        <v/>
      </c>
      <c r="AL532" s="46" t="str">
        <f t="shared" si="234"/>
        <v/>
      </c>
      <c r="AM532" s="46" t="str">
        <f t="shared" si="235"/>
        <v/>
      </c>
      <c r="AN532" s="46" t="str">
        <f t="shared" si="236"/>
        <v/>
      </c>
      <c r="AO532" s="46" t="str">
        <f t="shared" si="237"/>
        <v/>
      </c>
      <c r="AP532" s="46" t="str">
        <f t="shared" si="238"/>
        <v/>
      </c>
      <c r="AQ532" s="46" t="str">
        <f t="shared" si="239"/>
        <v/>
      </c>
      <c r="AR532" s="46" t="str">
        <f t="shared" si="240"/>
        <v/>
      </c>
      <c r="AS532" s="46" t="str">
        <f t="shared" si="241"/>
        <v/>
      </c>
      <c r="AT532" s="46" t="str">
        <f t="shared" si="242"/>
        <v/>
      </c>
      <c r="AU532" s="46" t="str">
        <f t="shared" si="243"/>
        <v/>
      </c>
      <c r="AV532" s="46" t="str">
        <f t="shared" si="244"/>
        <v/>
      </c>
      <c r="AW532" s="46" t="str">
        <f t="shared" si="245"/>
        <v/>
      </c>
    </row>
    <row r="533" spans="4:49">
      <c r="D533" s="34"/>
      <c r="E533" s="34"/>
      <c r="F533" s="34"/>
      <c r="G533" s="34"/>
      <c r="H533" s="4"/>
      <c r="I533" s="4"/>
      <c r="J533" s="4"/>
      <c r="K533" s="3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37"/>
      <c r="X533" s="1"/>
      <c r="Y533" s="18">
        <f t="shared" si="221"/>
        <v>0</v>
      </c>
      <c r="Z533" s="21">
        <f t="shared" si="222"/>
        <v>0</v>
      </c>
      <c r="AA533" s="10">
        <f t="shared" si="223"/>
        <v>0</v>
      </c>
      <c r="AB533" s="10">
        <f t="shared" si="224"/>
        <v>0</v>
      </c>
      <c r="AC533" s="10">
        <f t="shared" si="225"/>
        <v>0</v>
      </c>
      <c r="AD533" s="46" t="str">
        <f t="shared" si="226"/>
        <v/>
      </c>
      <c r="AE533" s="46" t="str">
        <f t="shared" si="227"/>
        <v/>
      </c>
      <c r="AF533" s="46" t="str">
        <f t="shared" si="228"/>
        <v/>
      </c>
      <c r="AG533" s="46" t="str">
        <f t="shared" si="229"/>
        <v/>
      </c>
      <c r="AH533" s="46" t="str">
        <f t="shared" si="230"/>
        <v/>
      </c>
      <c r="AI533" s="46" t="str">
        <f t="shared" si="231"/>
        <v/>
      </c>
      <c r="AJ533" s="46" t="str">
        <f t="shared" si="232"/>
        <v/>
      </c>
      <c r="AK533" s="46" t="str">
        <f t="shared" si="233"/>
        <v/>
      </c>
      <c r="AL533" s="46" t="str">
        <f t="shared" si="234"/>
        <v/>
      </c>
      <c r="AM533" s="46" t="str">
        <f t="shared" si="235"/>
        <v/>
      </c>
      <c r="AN533" s="46" t="str">
        <f t="shared" si="236"/>
        <v/>
      </c>
      <c r="AO533" s="46" t="str">
        <f t="shared" si="237"/>
        <v/>
      </c>
      <c r="AP533" s="46" t="str">
        <f t="shared" si="238"/>
        <v/>
      </c>
      <c r="AQ533" s="46" t="str">
        <f t="shared" si="239"/>
        <v/>
      </c>
      <c r="AR533" s="46" t="str">
        <f t="shared" si="240"/>
        <v/>
      </c>
      <c r="AS533" s="46" t="str">
        <f t="shared" si="241"/>
        <v/>
      </c>
      <c r="AT533" s="46" t="str">
        <f t="shared" si="242"/>
        <v/>
      </c>
      <c r="AU533" s="46" t="str">
        <f t="shared" si="243"/>
        <v/>
      </c>
      <c r="AV533" s="46" t="str">
        <f t="shared" si="244"/>
        <v/>
      </c>
      <c r="AW533" s="46" t="str">
        <f t="shared" si="245"/>
        <v/>
      </c>
    </row>
    <row r="534" spans="4:49">
      <c r="D534" s="34"/>
      <c r="E534" s="34"/>
      <c r="F534" s="34"/>
      <c r="G534" s="34"/>
      <c r="H534" s="4"/>
      <c r="I534" s="4"/>
      <c r="J534" s="4"/>
      <c r="K534" s="3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37"/>
      <c r="X534" s="1"/>
      <c r="Y534" s="18">
        <f t="shared" si="221"/>
        <v>0</v>
      </c>
      <c r="Z534" s="21">
        <f t="shared" si="222"/>
        <v>0</v>
      </c>
      <c r="AA534" s="10">
        <f t="shared" si="223"/>
        <v>0</v>
      </c>
      <c r="AB534" s="10">
        <f t="shared" si="224"/>
        <v>0</v>
      </c>
      <c r="AC534" s="10">
        <f t="shared" si="225"/>
        <v>0</v>
      </c>
      <c r="AD534" s="46" t="str">
        <f t="shared" si="226"/>
        <v/>
      </c>
      <c r="AE534" s="46" t="str">
        <f t="shared" si="227"/>
        <v/>
      </c>
      <c r="AF534" s="46" t="str">
        <f t="shared" si="228"/>
        <v/>
      </c>
      <c r="AG534" s="46" t="str">
        <f t="shared" si="229"/>
        <v/>
      </c>
      <c r="AH534" s="46" t="str">
        <f t="shared" si="230"/>
        <v/>
      </c>
      <c r="AI534" s="46" t="str">
        <f t="shared" si="231"/>
        <v/>
      </c>
      <c r="AJ534" s="46" t="str">
        <f t="shared" si="232"/>
        <v/>
      </c>
      <c r="AK534" s="46" t="str">
        <f t="shared" si="233"/>
        <v/>
      </c>
      <c r="AL534" s="46" t="str">
        <f t="shared" si="234"/>
        <v/>
      </c>
      <c r="AM534" s="46" t="str">
        <f t="shared" si="235"/>
        <v/>
      </c>
      <c r="AN534" s="46" t="str">
        <f t="shared" si="236"/>
        <v/>
      </c>
      <c r="AO534" s="46" t="str">
        <f t="shared" si="237"/>
        <v/>
      </c>
      <c r="AP534" s="46" t="str">
        <f t="shared" si="238"/>
        <v/>
      </c>
      <c r="AQ534" s="46" t="str">
        <f t="shared" si="239"/>
        <v/>
      </c>
      <c r="AR534" s="46" t="str">
        <f t="shared" si="240"/>
        <v/>
      </c>
      <c r="AS534" s="46" t="str">
        <f t="shared" si="241"/>
        <v/>
      </c>
      <c r="AT534" s="46" t="str">
        <f t="shared" si="242"/>
        <v/>
      </c>
      <c r="AU534" s="46" t="str">
        <f t="shared" si="243"/>
        <v/>
      </c>
      <c r="AV534" s="46" t="str">
        <f t="shared" si="244"/>
        <v/>
      </c>
      <c r="AW534" s="46" t="str">
        <f t="shared" si="245"/>
        <v/>
      </c>
    </row>
    <row r="535" spans="4:49">
      <c r="D535" s="34"/>
      <c r="E535" s="34"/>
      <c r="F535" s="34"/>
      <c r="G535" s="34"/>
      <c r="H535" s="4"/>
      <c r="I535" s="4"/>
      <c r="J535" s="4"/>
      <c r="K535" s="3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37"/>
      <c r="X535" s="1"/>
      <c r="Y535" s="18">
        <f t="shared" si="221"/>
        <v>0</v>
      </c>
      <c r="Z535" s="21">
        <f t="shared" si="222"/>
        <v>0</v>
      </c>
      <c r="AA535" s="10">
        <f t="shared" si="223"/>
        <v>0</v>
      </c>
      <c r="AB535" s="10">
        <f t="shared" si="224"/>
        <v>0</v>
      </c>
      <c r="AC535" s="10">
        <f t="shared" si="225"/>
        <v>0</v>
      </c>
      <c r="AD535" s="46" t="str">
        <f t="shared" si="226"/>
        <v/>
      </c>
      <c r="AE535" s="46" t="str">
        <f t="shared" si="227"/>
        <v/>
      </c>
      <c r="AF535" s="46" t="str">
        <f t="shared" si="228"/>
        <v/>
      </c>
      <c r="AG535" s="46" t="str">
        <f t="shared" si="229"/>
        <v/>
      </c>
      <c r="AH535" s="46" t="str">
        <f t="shared" si="230"/>
        <v/>
      </c>
      <c r="AI535" s="46" t="str">
        <f t="shared" si="231"/>
        <v/>
      </c>
      <c r="AJ535" s="46" t="str">
        <f t="shared" si="232"/>
        <v/>
      </c>
      <c r="AK535" s="46" t="str">
        <f t="shared" si="233"/>
        <v/>
      </c>
      <c r="AL535" s="46" t="str">
        <f t="shared" si="234"/>
        <v/>
      </c>
      <c r="AM535" s="46" t="str">
        <f t="shared" si="235"/>
        <v/>
      </c>
      <c r="AN535" s="46" t="str">
        <f t="shared" si="236"/>
        <v/>
      </c>
      <c r="AO535" s="46" t="str">
        <f t="shared" si="237"/>
        <v/>
      </c>
      <c r="AP535" s="46" t="str">
        <f t="shared" si="238"/>
        <v/>
      </c>
      <c r="AQ535" s="46" t="str">
        <f t="shared" si="239"/>
        <v/>
      </c>
      <c r="AR535" s="46" t="str">
        <f t="shared" si="240"/>
        <v/>
      </c>
      <c r="AS535" s="46" t="str">
        <f t="shared" si="241"/>
        <v/>
      </c>
      <c r="AT535" s="46" t="str">
        <f t="shared" si="242"/>
        <v/>
      </c>
      <c r="AU535" s="46" t="str">
        <f t="shared" si="243"/>
        <v/>
      </c>
      <c r="AV535" s="46" t="str">
        <f t="shared" si="244"/>
        <v/>
      </c>
      <c r="AW535" s="46" t="str">
        <f t="shared" si="245"/>
        <v/>
      </c>
    </row>
    <row r="536" spans="4:49">
      <c r="D536" s="34"/>
      <c r="E536" s="34"/>
      <c r="F536" s="34"/>
      <c r="G536" s="34"/>
      <c r="H536" s="4"/>
      <c r="I536" s="4"/>
      <c r="J536" s="4"/>
      <c r="K536" s="3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37"/>
      <c r="X536" s="1"/>
      <c r="Y536" s="18">
        <f t="shared" si="221"/>
        <v>0</v>
      </c>
      <c r="Z536" s="21">
        <f t="shared" si="222"/>
        <v>0</v>
      </c>
      <c r="AA536" s="10">
        <f t="shared" si="223"/>
        <v>0</v>
      </c>
      <c r="AB536" s="10">
        <f t="shared" si="224"/>
        <v>0</v>
      </c>
      <c r="AC536" s="10">
        <f t="shared" si="225"/>
        <v>0</v>
      </c>
      <c r="AD536" s="46" t="str">
        <f t="shared" si="226"/>
        <v/>
      </c>
      <c r="AE536" s="46" t="str">
        <f t="shared" si="227"/>
        <v/>
      </c>
      <c r="AF536" s="46" t="str">
        <f t="shared" si="228"/>
        <v/>
      </c>
      <c r="AG536" s="46" t="str">
        <f t="shared" si="229"/>
        <v/>
      </c>
      <c r="AH536" s="46" t="str">
        <f t="shared" si="230"/>
        <v/>
      </c>
      <c r="AI536" s="46" t="str">
        <f t="shared" si="231"/>
        <v/>
      </c>
      <c r="AJ536" s="46" t="str">
        <f t="shared" si="232"/>
        <v/>
      </c>
      <c r="AK536" s="46" t="str">
        <f t="shared" si="233"/>
        <v/>
      </c>
      <c r="AL536" s="46" t="str">
        <f t="shared" si="234"/>
        <v/>
      </c>
      <c r="AM536" s="46" t="str">
        <f t="shared" si="235"/>
        <v/>
      </c>
      <c r="AN536" s="46" t="str">
        <f t="shared" si="236"/>
        <v/>
      </c>
      <c r="AO536" s="46" t="str">
        <f t="shared" si="237"/>
        <v/>
      </c>
      <c r="AP536" s="46" t="str">
        <f t="shared" si="238"/>
        <v/>
      </c>
      <c r="AQ536" s="46" t="str">
        <f t="shared" si="239"/>
        <v/>
      </c>
      <c r="AR536" s="46" t="str">
        <f t="shared" si="240"/>
        <v/>
      </c>
      <c r="AS536" s="46" t="str">
        <f t="shared" si="241"/>
        <v/>
      </c>
      <c r="AT536" s="46" t="str">
        <f t="shared" si="242"/>
        <v/>
      </c>
      <c r="AU536" s="46" t="str">
        <f t="shared" si="243"/>
        <v/>
      </c>
      <c r="AV536" s="46" t="str">
        <f t="shared" si="244"/>
        <v/>
      </c>
      <c r="AW536" s="46" t="str">
        <f t="shared" si="245"/>
        <v/>
      </c>
    </row>
    <row r="537" spans="4:49">
      <c r="D537" s="34"/>
      <c r="E537" s="34"/>
      <c r="F537" s="34"/>
      <c r="G537" s="34"/>
      <c r="H537" s="4"/>
      <c r="I537" s="4"/>
      <c r="J537" s="4"/>
      <c r="K537" s="3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37"/>
      <c r="X537" s="1"/>
      <c r="Y537" s="18">
        <f t="shared" si="221"/>
        <v>0</v>
      </c>
      <c r="Z537" s="21">
        <f t="shared" si="222"/>
        <v>0</v>
      </c>
      <c r="AA537" s="10">
        <f t="shared" si="223"/>
        <v>0</v>
      </c>
      <c r="AB537" s="10">
        <f t="shared" si="224"/>
        <v>0</v>
      </c>
      <c r="AC537" s="10">
        <f t="shared" si="225"/>
        <v>0</v>
      </c>
      <c r="AD537" s="46" t="str">
        <f t="shared" si="226"/>
        <v/>
      </c>
      <c r="AE537" s="46" t="str">
        <f t="shared" si="227"/>
        <v/>
      </c>
      <c r="AF537" s="46" t="str">
        <f t="shared" si="228"/>
        <v/>
      </c>
      <c r="AG537" s="46" t="str">
        <f t="shared" si="229"/>
        <v/>
      </c>
      <c r="AH537" s="46" t="str">
        <f t="shared" si="230"/>
        <v/>
      </c>
      <c r="AI537" s="46" t="str">
        <f t="shared" si="231"/>
        <v/>
      </c>
      <c r="AJ537" s="46" t="str">
        <f t="shared" si="232"/>
        <v/>
      </c>
      <c r="AK537" s="46" t="str">
        <f t="shared" si="233"/>
        <v/>
      </c>
      <c r="AL537" s="46" t="str">
        <f t="shared" si="234"/>
        <v/>
      </c>
      <c r="AM537" s="46" t="str">
        <f t="shared" si="235"/>
        <v/>
      </c>
      <c r="AN537" s="46" t="str">
        <f t="shared" si="236"/>
        <v/>
      </c>
      <c r="AO537" s="46" t="str">
        <f t="shared" si="237"/>
        <v/>
      </c>
      <c r="AP537" s="46" t="str">
        <f t="shared" si="238"/>
        <v/>
      </c>
      <c r="AQ537" s="46" t="str">
        <f t="shared" si="239"/>
        <v/>
      </c>
      <c r="AR537" s="46" t="str">
        <f t="shared" si="240"/>
        <v/>
      </c>
      <c r="AS537" s="46" t="str">
        <f t="shared" si="241"/>
        <v/>
      </c>
      <c r="AT537" s="46" t="str">
        <f t="shared" si="242"/>
        <v/>
      </c>
      <c r="AU537" s="46" t="str">
        <f t="shared" si="243"/>
        <v/>
      </c>
      <c r="AV537" s="46" t="str">
        <f t="shared" si="244"/>
        <v/>
      </c>
      <c r="AW537" s="46" t="str">
        <f t="shared" si="245"/>
        <v/>
      </c>
    </row>
    <row r="538" spans="4:49">
      <c r="D538" s="34"/>
      <c r="E538" s="34"/>
      <c r="F538" s="34"/>
      <c r="G538" s="34"/>
      <c r="H538" s="4"/>
      <c r="I538" s="4"/>
      <c r="J538" s="4"/>
      <c r="K538" s="3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37"/>
      <c r="X538" s="1"/>
      <c r="Y538" s="18">
        <f t="shared" si="221"/>
        <v>0</v>
      </c>
      <c r="Z538" s="21">
        <f t="shared" si="222"/>
        <v>0</v>
      </c>
      <c r="AA538" s="10">
        <f t="shared" si="223"/>
        <v>0</v>
      </c>
      <c r="AB538" s="10">
        <f t="shared" si="224"/>
        <v>0</v>
      </c>
      <c r="AC538" s="10">
        <f t="shared" si="225"/>
        <v>0</v>
      </c>
      <c r="AD538" s="46" t="str">
        <f t="shared" si="226"/>
        <v/>
      </c>
      <c r="AE538" s="46" t="str">
        <f t="shared" si="227"/>
        <v/>
      </c>
      <c r="AF538" s="46" t="str">
        <f t="shared" si="228"/>
        <v/>
      </c>
      <c r="AG538" s="46" t="str">
        <f t="shared" si="229"/>
        <v/>
      </c>
      <c r="AH538" s="46" t="str">
        <f t="shared" si="230"/>
        <v/>
      </c>
      <c r="AI538" s="46" t="str">
        <f t="shared" si="231"/>
        <v/>
      </c>
      <c r="AJ538" s="46" t="str">
        <f t="shared" si="232"/>
        <v/>
      </c>
      <c r="AK538" s="46" t="str">
        <f t="shared" si="233"/>
        <v/>
      </c>
      <c r="AL538" s="46" t="str">
        <f t="shared" si="234"/>
        <v/>
      </c>
      <c r="AM538" s="46" t="str">
        <f t="shared" si="235"/>
        <v/>
      </c>
      <c r="AN538" s="46" t="str">
        <f t="shared" si="236"/>
        <v/>
      </c>
      <c r="AO538" s="46" t="str">
        <f t="shared" si="237"/>
        <v/>
      </c>
      <c r="AP538" s="46" t="str">
        <f t="shared" si="238"/>
        <v/>
      </c>
      <c r="AQ538" s="46" t="str">
        <f t="shared" si="239"/>
        <v/>
      </c>
      <c r="AR538" s="46" t="str">
        <f t="shared" si="240"/>
        <v/>
      </c>
      <c r="AS538" s="46" t="str">
        <f t="shared" si="241"/>
        <v/>
      </c>
      <c r="AT538" s="46" t="str">
        <f t="shared" si="242"/>
        <v/>
      </c>
      <c r="AU538" s="46" t="str">
        <f t="shared" si="243"/>
        <v/>
      </c>
      <c r="AV538" s="46" t="str">
        <f t="shared" si="244"/>
        <v/>
      </c>
      <c r="AW538" s="46" t="str">
        <f t="shared" si="245"/>
        <v/>
      </c>
    </row>
    <row r="539" spans="4:49">
      <c r="D539" s="34"/>
      <c r="E539" s="34"/>
      <c r="F539" s="34"/>
      <c r="G539" s="34"/>
      <c r="H539" s="4"/>
      <c r="I539" s="4"/>
      <c r="J539" s="4"/>
      <c r="K539" s="3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37"/>
      <c r="X539" s="1"/>
      <c r="Y539" s="18">
        <f t="shared" si="221"/>
        <v>0</v>
      </c>
      <c r="Z539" s="21">
        <f t="shared" si="222"/>
        <v>0</v>
      </c>
      <c r="AA539" s="10">
        <f t="shared" si="223"/>
        <v>0</v>
      </c>
      <c r="AB539" s="10">
        <f t="shared" si="224"/>
        <v>0</v>
      </c>
      <c r="AC539" s="10">
        <f t="shared" si="225"/>
        <v>0</v>
      </c>
      <c r="AD539" s="46" t="str">
        <f t="shared" si="226"/>
        <v/>
      </c>
      <c r="AE539" s="46" t="str">
        <f t="shared" si="227"/>
        <v/>
      </c>
      <c r="AF539" s="46" t="str">
        <f t="shared" si="228"/>
        <v/>
      </c>
      <c r="AG539" s="46" t="str">
        <f t="shared" si="229"/>
        <v/>
      </c>
      <c r="AH539" s="46" t="str">
        <f t="shared" si="230"/>
        <v/>
      </c>
      <c r="AI539" s="46" t="str">
        <f t="shared" si="231"/>
        <v/>
      </c>
      <c r="AJ539" s="46" t="str">
        <f t="shared" si="232"/>
        <v/>
      </c>
      <c r="AK539" s="46" t="str">
        <f t="shared" si="233"/>
        <v/>
      </c>
      <c r="AL539" s="46" t="str">
        <f t="shared" si="234"/>
        <v/>
      </c>
      <c r="AM539" s="46" t="str">
        <f t="shared" si="235"/>
        <v/>
      </c>
      <c r="AN539" s="46" t="str">
        <f t="shared" si="236"/>
        <v/>
      </c>
      <c r="AO539" s="46" t="str">
        <f t="shared" si="237"/>
        <v/>
      </c>
      <c r="AP539" s="46" t="str">
        <f t="shared" si="238"/>
        <v/>
      </c>
      <c r="AQ539" s="46" t="str">
        <f t="shared" si="239"/>
        <v/>
      </c>
      <c r="AR539" s="46" t="str">
        <f t="shared" si="240"/>
        <v/>
      </c>
      <c r="AS539" s="46" t="str">
        <f t="shared" si="241"/>
        <v/>
      </c>
      <c r="AT539" s="46" t="str">
        <f t="shared" si="242"/>
        <v/>
      </c>
      <c r="AU539" s="46" t="str">
        <f t="shared" si="243"/>
        <v/>
      </c>
      <c r="AV539" s="46" t="str">
        <f t="shared" si="244"/>
        <v/>
      </c>
      <c r="AW539" s="46" t="str">
        <f t="shared" si="245"/>
        <v/>
      </c>
    </row>
    <row r="540" spans="4:49">
      <c r="D540" s="34"/>
      <c r="E540" s="34"/>
      <c r="F540" s="34"/>
      <c r="G540" s="34"/>
      <c r="H540" s="4"/>
      <c r="I540" s="4"/>
      <c r="J540" s="4"/>
      <c r="K540" s="3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37"/>
      <c r="X540" s="1"/>
      <c r="Y540" s="18">
        <f t="shared" si="221"/>
        <v>0</v>
      </c>
      <c r="Z540" s="21">
        <f t="shared" si="222"/>
        <v>0</v>
      </c>
      <c r="AA540" s="10">
        <f t="shared" si="223"/>
        <v>0</v>
      </c>
      <c r="AB540" s="10">
        <f t="shared" si="224"/>
        <v>0</v>
      </c>
      <c r="AC540" s="10">
        <f t="shared" si="225"/>
        <v>0</v>
      </c>
      <c r="AD540" s="46" t="str">
        <f t="shared" si="226"/>
        <v/>
      </c>
      <c r="AE540" s="46" t="str">
        <f t="shared" si="227"/>
        <v/>
      </c>
      <c r="AF540" s="46" t="str">
        <f t="shared" si="228"/>
        <v/>
      </c>
      <c r="AG540" s="46" t="str">
        <f t="shared" si="229"/>
        <v/>
      </c>
      <c r="AH540" s="46" t="str">
        <f t="shared" si="230"/>
        <v/>
      </c>
      <c r="AI540" s="46" t="str">
        <f t="shared" si="231"/>
        <v/>
      </c>
      <c r="AJ540" s="46" t="str">
        <f t="shared" si="232"/>
        <v/>
      </c>
      <c r="AK540" s="46" t="str">
        <f t="shared" si="233"/>
        <v/>
      </c>
      <c r="AL540" s="46" t="str">
        <f t="shared" si="234"/>
        <v/>
      </c>
      <c r="AM540" s="46" t="str">
        <f t="shared" si="235"/>
        <v/>
      </c>
      <c r="AN540" s="46" t="str">
        <f t="shared" si="236"/>
        <v/>
      </c>
      <c r="AO540" s="46" t="str">
        <f t="shared" si="237"/>
        <v/>
      </c>
      <c r="AP540" s="46" t="str">
        <f t="shared" si="238"/>
        <v/>
      </c>
      <c r="AQ540" s="46" t="str">
        <f t="shared" si="239"/>
        <v/>
      </c>
      <c r="AR540" s="46" t="str">
        <f t="shared" si="240"/>
        <v/>
      </c>
      <c r="AS540" s="46" t="str">
        <f t="shared" si="241"/>
        <v/>
      </c>
      <c r="AT540" s="46" t="str">
        <f t="shared" si="242"/>
        <v/>
      </c>
      <c r="AU540" s="46" t="str">
        <f t="shared" si="243"/>
        <v/>
      </c>
      <c r="AV540" s="46" t="str">
        <f t="shared" si="244"/>
        <v/>
      </c>
      <c r="AW540" s="46" t="str">
        <f t="shared" si="245"/>
        <v/>
      </c>
    </row>
    <row r="541" spans="4:49">
      <c r="D541" s="34"/>
      <c r="E541" s="34"/>
      <c r="F541" s="34"/>
      <c r="G541" s="34"/>
      <c r="H541" s="4"/>
      <c r="I541" s="4"/>
      <c r="J541" s="4"/>
      <c r="K541" s="3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37"/>
      <c r="X541" s="1"/>
      <c r="Y541" s="18">
        <f t="shared" si="221"/>
        <v>0</v>
      </c>
      <c r="Z541" s="21">
        <f t="shared" si="222"/>
        <v>0</v>
      </c>
      <c r="AA541" s="10">
        <f t="shared" si="223"/>
        <v>0</v>
      </c>
      <c r="AB541" s="10">
        <f t="shared" si="224"/>
        <v>0</v>
      </c>
      <c r="AC541" s="10">
        <f t="shared" si="225"/>
        <v>0</v>
      </c>
      <c r="AD541" s="46" t="str">
        <f t="shared" si="226"/>
        <v/>
      </c>
      <c r="AE541" s="46" t="str">
        <f t="shared" si="227"/>
        <v/>
      </c>
      <c r="AF541" s="46" t="str">
        <f t="shared" si="228"/>
        <v/>
      </c>
      <c r="AG541" s="46" t="str">
        <f t="shared" si="229"/>
        <v/>
      </c>
      <c r="AH541" s="46" t="str">
        <f t="shared" si="230"/>
        <v/>
      </c>
      <c r="AI541" s="46" t="str">
        <f t="shared" si="231"/>
        <v/>
      </c>
      <c r="AJ541" s="46" t="str">
        <f t="shared" si="232"/>
        <v/>
      </c>
      <c r="AK541" s="46" t="str">
        <f t="shared" si="233"/>
        <v/>
      </c>
      <c r="AL541" s="46" t="str">
        <f t="shared" si="234"/>
        <v/>
      </c>
      <c r="AM541" s="46" t="str">
        <f t="shared" si="235"/>
        <v/>
      </c>
      <c r="AN541" s="46" t="str">
        <f t="shared" si="236"/>
        <v/>
      </c>
      <c r="AO541" s="46" t="str">
        <f t="shared" si="237"/>
        <v/>
      </c>
      <c r="AP541" s="46" t="str">
        <f t="shared" si="238"/>
        <v/>
      </c>
      <c r="AQ541" s="46" t="str">
        <f t="shared" si="239"/>
        <v/>
      </c>
      <c r="AR541" s="46" t="str">
        <f t="shared" si="240"/>
        <v/>
      </c>
      <c r="AS541" s="46" t="str">
        <f t="shared" si="241"/>
        <v/>
      </c>
      <c r="AT541" s="46" t="str">
        <f t="shared" si="242"/>
        <v/>
      </c>
      <c r="AU541" s="46" t="str">
        <f t="shared" si="243"/>
        <v/>
      </c>
      <c r="AV541" s="46" t="str">
        <f t="shared" si="244"/>
        <v/>
      </c>
      <c r="AW541" s="46" t="str">
        <f t="shared" si="245"/>
        <v/>
      </c>
    </row>
    <row r="542" spans="4:49">
      <c r="D542" s="34"/>
      <c r="E542" s="34"/>
      <c r="F542" s="34"/>
      <c r="G542" s="34"/>
      <c r="H542" s="4"/>
      <c r="I542" s="4"/>
      <c r="J542" s="4"/>
      <c r="K542" s="3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37"/>
      <c r="X542" s="1"/>
      <c r="Y542" s="18">
        <f t="shared" si="221"/>
        <v>0</v>
      </c>
      <c r="Z542" s="21">
        <f t="shared" si="222"/>
        <v>0</v>
      </c>
      <c r="AA542" s="10">
        <f t="shared" si="223"/>
        <v>0</v>
      </c>
      <c r="AB542" s="10">
        <f t="shared" si="224"/>
        <v>0</v>
      </c>
      <c r="AC542" s="10">
        <f t="shared" si="225"/>
        <v>0</v>
      </c>
      <c r="AD542" s="46" t="str">
        <f t="shared" si="226"/>
        <v/>
      </c>
      <c r="AE542" s="46" t="str">
        <f t="shared" si="227"/>
        <v/>
      </c>
      <c r="AF542" s="46" t="str">
        <f t="shared" si="228"/>
        <v/>
      </c>
      <c r="AG542" s="46" t="str">
        <f t="shared" si="229"/>
        <v/>
      </c>
      <c r="AH542" s="46" t="str">
        <f t="shared" si="230"/>
        <v/>
      </c>
      <c r="AI542" s="46" t="str">
        <f t="shared" si="231"/>
        <v/>
      </c>
      <c r="AJ542" s="46" t="str">
        <f t="shared" si="232"/>
        <v/>
      </c>
      <c r="AK542" s="46" t="str">
        <f t="shared" si="233"/>
        <v/>
      </c>
      <c r="AL542" s="46" t="str">
        <f t="shared" si="234"/>
        <v/>
      </c>
      <c r="AM542" s="46" t="str">
        <f t="shared" si="235"/>
        <v/>
      </c>
      <c r="AN542" s="46" t="str">
        <f t="shared" si="236"/>
        <v/>
      </c>
      <c r="AO542" s="46" t="str">
        <f t="shared" si="237"/>
        <v/>
      </c>
      <c r="AP542" s="46" t="str">
        <f t="shared" si="238"/>
        <v/>
      </c>
      <c r="AQ542" s="46" t="str">
        <f t="shared" si="239"/>
        <v/>
      </c>
      <c r="AR542" s="46" t="str">
        <f t="shared" si="240"/>
        <v/>
      </c>
      <c r="AS542" s="46" t="str">
        <f t="shared" si="241"/>
        <v/>
      </c>
      <c r="AT542" s="46" t="str">
        <f t="shared" si="242"/>
        <v/>
      </c>
      <c r="AU542" s="46" t="str">
        <f t="shared" si="243"/>
        <v/>
      </c>
      <c r="AV542" s="46" t="str">
        <f t="shared" si="244"/>
        <v/>
      </c>
      <c r="AW542" s="46" t="str">
        <f t="shared" si="245"/>
        <v/>
      </c>
    </row>
    <row r="543" spans="4:49">
      <c r="D543" s="34"/>
      <c r="E543" s="34"/>
      <c r="F543" s="34"/>
      <c r="G543" s="34"/>
      <c r="H543" s="4"/>
      <c r="I543" s="4"/>
      <c r="J543" s="4"/>
      <c r="K543" s="3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37"/>
      <c r="X543" s="1"/>
      <c r="Y543" s="18">
        <f t="shared" si="221"/>
        <v>0</v>
      </c>
      <c r="Z543" s="21">
        <f t="shared" si="222"/>
        <v>0</v>
      </c>
      <c r="AA543" s="10">
        <f t="shared" si="223"/>
        <v>0</v>
      </c>
      <c r="AB543" s="10">
        <f t="shared" si="224"/>
        <v>0</v>
      </c>
      <c r="AC543" s="10">
        <f t="shared" si="225"/>
        <v>0</v>
      </c>
      <c r="AD543" s="46" t="str">
        <f t="shared" si="226"/>
        <v/>
      </c>
      <c r="AE543" s="46" t="str">
        <f t="shared" si="227"/>
        <v/>
      </c>
      <c r="AF543" s="46" t="str">
        <f t="shared" si="228"/>
        <v/>
      </c>
      <c r="AG543" s="46" t="str">
        <f t="shared" si="229"/>
        <v/>
      </c>
      <c r="AH543" s="46" t="str">
        <f t="shared" si="230"/>
        <v/>
      </c>
      <c r="AI543" s="46" t="str">
        <f t="shared" si="231"/>
        <v/>
      </c>
      <c r="AJ543" s="46" t="str">
        <f t="shared" si="232"/>
        <v/>
      </c>
      <c r="AK543" s="46" t="str">
        <f t="shared" si="233"/>
        <v/>
      </c>
      <c r="AL543" s="46" t="str">
        <f t="shared" si="234"/>
        <v/>
      </c>
      <c r="AM543" s="46" t="str">
        <f t="shared" si="235"/>
        <v/>
      </c>
      <c r="AN543" s="46" t="str">
        <f t="shared" si="236"/>
        <v/>
      </c>
      <c r="AO543" s="46" t="str">
        <f t="shared" si="237"/>
        <v/>
      </c>
      <c r="AP543" s="46" t="str">
        <f t="shared" si="238"/>
        <v/>
      </c>
      <c r="AQ543" s="46" t="str">
        <f t="shared" si="239"/>
        <v/>
      </c>
      <c r="AR543" s="46" t="str">
        <f t="shared" si="240"/>
        <v/>
      </c>
      <c r="AS543" s="46" t="str">
        <f t="shared" si="241"/>
        <v/>
      </c>
      <c r="AT543" s="46" t="str">
        <f t="shared" si="242"/>
        <v/>
      </c>
      <c r="AU543" s="46" t="str">
        <f t="shared" si="243"/>
        <v/>
      </c>
      <c r="AV543" s="46" t="str">
        <f t="shared" si="244"/>
        <v/>
      </c>
      <c r="AW543" s="46" t="str">
        <f t="shared" si="245"/>
        <v/>
      </c>
    </row>
    <row r="544" spans="4:49">
      <c r="D544" s="34"/>
      <c r="E544" s="34"/>
      <c r="F544" s="34"/>
      <c r="G544" s="34"/>
      <c r="H544" s="4"/>
      <c r="I544" s="4"/>
      <c r="J544" s="4"/>
      <c r="K544" s="3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37"/>
      <c r="X544" s="1"/>
      <c r="Y544" s="18">
        <f t="shared" si="221"/>
        <v>0</v>
      </c>
      <c r="Z544" s="21">
        <f t="shared" si="222"/>
        <v>0</v>
      </c>
      <c r="AA544" s="10">
        <f t="shared" si="223"/>
        <v>0</v>
      </c>
      <c r="AB544" s="10">
        <f t="shared" si="224"/>
        <v>0</v>
      </c>
      <c r="AC544" s="10">
        <f t="shared" si="225"/>
        <v>0</v>
      </c>
      <c r="AD544" s="46" t="str">
        <f t="shared" si="226"/>
        <v/>
      </c>
      <c r="AE544" s="46" t="str">
        <f t="shared" si="227"/>
        <v/>
      </c>
      <c r="AF544" s="46" t="str">
        <f t="shared" si="228"/>
        <v/>
      </c>
      <c r="AG544" s="46" t="str">
        <f t="shared" si="229"/>
        <v/>
      </c>
      <c r="AH544" s="46" t="str">
        <f t="shared" si="230"/>
        <v/>
      </c>
      <c r="AI544" s="46" t="str">
        <f t="shared" si="231"/>
        <v/>
      </c>
      <c r="AJ544" s="46" t="str">
        <f t="shared" si="232"/>
        <v/>
      </c>
      <c r="AK544" s="46" t="str">
        <f t="shared" si="233"/>
        <v/>
      </c>
      <c r="AL544" s="46" t="str">
        <f t="shared" si="234"/>
        <v/>
      </c>
      <c r="AM544" s="46" t="str">
        <f t="shared" si="235"/>
        <v/>
      </c>
      <c r="AN544" s="46" t="str">
        <f t="shared" si="236"/>
        <v/>
      </c>
      <c r="AO544" s="46" t="str">
        <f t="shared" si="237"/>
        <v/>
      </c>
      <c r="AP544" s="46" t="str">
        <f t="shared" si="238"/>
        <v/>
      </c>
      <c r="AQ544" s="46" t="str">
        <f t="shared" si="239"/>
        <v/>
      </c>
      <c r="AR544" s="46" t="str">
        <f t="shared" si="240"/>
        <v/>
      </c>
      <c r="AS544" s="46" t="str">
        <f t="shared" si="241"/>
        <v/>
      </c>
      <c r="AT544" s="46" t="str">
        <f t="shared" si="242"/>
        <v/>
      </c>
      <c r="AU544" s="46" t="str">
        <f t="shared" si="243"/>
        <v/>
      </c>
      <c r="AV544" s="46" t="str">
        <f t="shared" si="244"/>
        <v/>
      </c>
      <c r="AW544" s="46" t="str">
        <f t="shared" si="245"/>
        <v/>
      </c>
    </row>
    <row r="545" spans="4:49">
      <c r="D545" s="34"/>
      <c r="E545" s="34"/>
      <c r="F545" s="34"/>
      <c r="G545" s="34"/>
      <c r="H545" s="4"/>
      <c r="I545" s="4"/>
      <c r="J545" s="4"/>
      <c r="K545" s="3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37"/>
      <c r="X545" s="1"/>
      <c r="Y545" s="18">
        <f t="shared" si="221"/>
        <v>0</v>
      </c>
      <c r="Z545" s="21">
        <f t="shared" si="222"/>
        <v>0</v>
      </c>
      <c r="AA545" s="10">
        <f t="shared" si="223"/>
        <v>0</v>
      </c>
      <c r="AB545" s="10">
        <f t="shared" si="224"/>
        <v>0</v>
      </c>
      <c r="AC545" s="10">
        <f t="shared" si="225"/>
        <v>0</v>
      </c>
      <c r="AD545" s="46" t="str">
        <f t="shared" si="226"/>
        <v/>
      </c>
      <c r="AE545" s="46" t="str">
        <f t="shared" si="227"/>
        <v/>
      </c>
      <c r="AF545" s="46" t="str">
        <f t="shared" si="228"/>
        <v/>
      </c>
      <c r="AG545" s="46" t="str">
        <f t="shared" si="229"/>
        <v/>
      </c>
      <c r="AH545" s="46" t="str">
        <f t="shared" si="230"/>
        <v/>
      </c>
      <c r="AI545" s="46" t="str">
        <f t="shared" si="231"/>
        <v/>
      </c>
      <c r="AJ545" s="46" t="str">
        <f t="shared" si="232"/>
        <v/>
      </c>
      <c r="AK545" s="46" t="str">
        <f t="shared" si="233"/>
        <v/>
      </c>
      <c r="AL545" s="46" t="str">
        <f t="shared" si="234"/>
        <v/>
      </c>
      <c r="AM545" s="46" t="str">
        <f t="shared" si="235"/>
        <v/>
      </c>
      <c r="AN545" s="46" t="str">
        <f t="shared" si="236"/>
        <v/>
      </c>
      <c r="AO545" s="46" t="str">
        <f t="shared" si="237"/>
        <v/>
      </c>
      <c r="AP545" s="46" t="str">
        <f t="shared" si="238"/>
        <v/>
      </c>
      <c r="AQ545" s="46" t="str">
        <f t="shared" si="239"/>
        <v/>
      </c>
      <c r="AR545" s="46" t="str">
        <f t="shared" si="240"/>
        <v/>
      </c>
      <c r="AS545" s="46" t="str">
        <f t="shared" si="241"/>
        <v/>
      </c>
      <c r="AT545" s="46" t="str">
        <f t="shared" si="242"/>
        <v/>
      </c>
      <c r="AU545" s="46" t="str">
        <f t="shared" si="243"/>
        <v/>
      </c>
      <c r="AV545" s="46" t="str">
        <f t="shared" si="244"/>
        <v/>
      </c>
      <c r="AW545" s="46" t="str">
        <f t="shared" si="245"/>
        <v/>
      </c>
    </row>
    <row r="546" spans="4:49">
      <c r="D546" s="34"/>
      <c r="E546" s="34"/>
      <c r="F546" s="34"/>
      <c r="G546" s="34"/>
      <c r="H546" s="4"/>
      <c r="I546" s="4"/>
      <c r="J546" s="4"/>
      <c r="K546" s="3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37"/>
      <c r="X546" s="1"/>
      <c r="Y546" s="18">
        <f t="shared" si="221"/>
        <v>0</v>
      </c>
      <c r="Z546" s="21">
        <f t="shared" si="222"/>
        <v>0</v>
      </c>
      <c r="AA546" s="10">
        <f t="shared" si="223"/>
        <v>0</v>
      </c>
      <c r="AB546" s="10">
        <f t="shared" si="224"/>
        <v>0</v>
      </c>
      <c r="AC546" s="10">
        <f t="shared" si="225"/>
        <v>0</v>
      </c>
      <c r="AD546" s="46" t="str">
        <f t="shared" si="226"/>
        <v/>
      </c>
      <c r="AE546" s="46" t="str">
        <f t="shared" si="227"/>
        <v/>
      </c>
      <c r="AF546" s="46" t="str">
        <f t="shared" si="228"/>
        <v/>
      </c>
      <c r="AG546" s="46" t="str">
        <f t="shared" si="229"/>
        <v/>
      </c>
      <c r="AH546" s="46" t="str">
        <f t="shared" si="230"/>
        <v/>
      </c>
      <c r="AI546" s="46" t="str">
        <f t="shared" si="231"/>
        <v/>
      </c>
      <c r="AJ546" s="46" t="str">
        <f t="shared" si="232"/>
        <v/>
      </c>
      <c r="AK546" s="46" t="str">
        <f t="shared" si="233"/>
        <v/>
      </c>
      <c r="AL546" s="46" t="str">
        <f t="shared" si="234"/>
        <v/>
      </c>
      <c r="AM546" s="46" t="str">
        <f t="shared" si="235"/>
        <v/>
      </c>
      <c r="AN546" s="46" t="str">
        <f t="shared" si="236"/>
        <v/>
      </c>
      <c r="AO546" s="46" t="str">
        <f t="shared" si="237"/>
        <v/>
      </c>
      <c r="AP546" s="46" t="str">
        <f t="shared" si="238"/>
        <v/>
      </c>
      <c r="AQ546" s="46" t="str">
        <f t="shared" si="239"/>
        <v/>
      </c>
      <c r="AR546" s="46" t="str">
        <f t="shared" si="240"/>
        <v/>
      </c>
      <c r="AS546" s="46" t="str">
        <f t="shared" si="241"/>
        <v/>
      </c>
      <c r="AT546" s="46" t="str">
        <f t="shared" si="242"/>
        <v/>
      </c>
      <c r="AU546" s="46" t="str">
        <f t="shared" si="243"/>
        <v/>
      </c>
      <c r="AV546" s="46" t="str">
        <f t="shared" si="244"/>
        <v/>
      </c>
      <c r="AW546" s="46" t="str">
        <f t="shared" si="245"/>
        <v/>
      </c>
    </row>
    <row r="547" spans="4:49">
      <c r="D547" s="34"/>
      <c r="E547" s="34"/>
      <c r="F547" s="34"/>
      <c r="G547" s="34"/>
      <c r="H547" s="4"/>
      <c r="I547" s="4"/>
      <c r="J547" s="4"/>
      <c r="K547" s="3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37"/>
      <c r="X547" s="1"/>
      <c r="Y547" s="18">
        <f t="shared" si="221"/>
        <v>0</v>
      </c>
      <c r="Z547" s="21">
        <f t="shared" si="222"/>
        <v>0</v>
      </c>
      <c r="AA547" s="10">
        <f t="shared" si="223"/>
        <v>0</v>
      </c>
      <c r="AB547" s="10">
        <f t="shared" si="224"/>
        <v>0</v>
      </c>
      <c r="AC547" s="10">
        <f t="shared" si="225"/>
        <v>0</v>
      </c>
      <c r="AD547" s="46" t="str">
        <f t="shared" si="226"/>
        <v/>
      </c>
      <c r="AE547" s="46" t="str">
        <f t="shared" si="227"/>
        <v/>
      </c>
      <c r="AF547" s="46" t="str">
        <f t="shared" si="228"/>
        <v/>
      </c>
      <c r="AG547" s="46" t="str">
        <f t="shared" si="229"/>
        <v/>
      </c>
      <c r="AH547" s="46" t="str">
        <f t="shared" si="230"/>
        <v/>
      </c>
      <c r="AI547" s="46" t="str">
        <f t="shared" si="231"/>
        <v/>
      </c>
      <c r="AJ547" s="46" t="str">
        <f t="shared" si="232"/>
        <v/>
      </c>
      <c r="AK547" s="46" t="str">
        <f t="shared" si="233"/>
        <v/>
      </c>
      <c r="AL547" s="46" t="str">
        <f t="shared" si="234"/>
        <v/>
      </c>
      <c r="AM547" s="46" t="str">
        <f t="shared" si="235"/>
        <v/>
      </c>
      <c r="AN547" s="46" t="str">
        <f t="shared" si="236"/>
        <v/>
      </c>
      <c r="AO547" s="46" t="str">
        <f t="shared" si="237"/>
        <v/>
      </c>
      <c r="AP547" s="46" t="str">
        <f t="shared" si="238"/>
        <v/>
      </c>
      <c r="AQ547" s="46" t="str">
        <f t="shared" si="239"/>
        <v/>
      </c>
      <c r="AR547" s="46" t="str">
        <f t="shared" si="240"/>
        <v/>
      </c>
      <c r="AS547" s="46" t="str">
        <f t="shared" si="241"/>
        <v/>
      </c>
      <c r="AT547" s="46" t="str">
        <f t="shared" si="242"/>
        <v/>
      </c>
      <c r="AU547" s="46" t="str">
        <f t="shared" si="243"/>
        <v/>
      </c>
      <c r="AV547" s="46" t="str">
        <f t="shared" si="244"/>
        <v/>
      </c>
      <c r="AW547" s="46" t="str">
        <f t="shared" si="245"/>
        <v/>
      </c>
    </row>
    <row r="548" spans="4:49">
      <c r="D548" s="34"/>
      <c r="E548" s="34"/>
      <c r="F548" s="34"/>
      <c r="G548" s="34"/>
      <c r="H548" s="4"/>
      <c r="I548" s="4"/>
      <c r="J548" s="4"/>
      <c r="K548" s="3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37"/>
      <c r="X548" s="1"/>
      <c r="Y548" s="18">
        <f t="shared" si="221"/>
        <v>0</v>
      </c>
      <c r="Z548" s="21">
        <f t="shared" si="222"/>
        <v>0</v>
      </c>
      <c r="AA548" s="10">
        <f t="shared" si="223"/>
        <v>0</v>
      </c>
      <c r="AB548" s="10">
        <f t="shared" si="224"/>
        <v>0</v>
      </c>
      <c r="AC548" s="10">
        <f t="shared" si="225"/>
        <v>0</v>
      </c>
      <c r="AD548" s="46" t="str">
        <f t="shared" si="226"/>
        <v/>
      </c>
      <c r="AE548" s="46" t="str">
        <f t="shared" si="227"/>
        <v/>
      </c>
      <c r="AF548" s="46" t="str">
        <f t="shared" si="228"/>
        <v/>
      </c>
      <c r="AG548" s="46" t="str">
        <f t="shared" si="229"/>
        <v/>
      </c>
      <c r="AH548" s="46" t="str">
        <f t="shared" si="230"/>
        <v/>
      </c>
      <c r="AI548" s="46" t="str">
        <f t="shared" si="231"/>
        <v/>
      </c>
      <c r="AJ548" s="46" t="str">
        <f t="shared" si="232"/>
        <v/>
      </c>
      <c r="AK548" s="46" t="str">
        <f t="shared" si="233"/>
        <v/>
      </c>
      <c r="AL548" s="46" t="str">
        <f t="shared" si="234"/>
        <v/>
      </c>
      <c r="AM548" s="46" t="str">
        <f t="shared" si="235"/>
        <v/>
      </c>
      <c r="AN548" s="46" t="str">
        <f t="shared" si="236"/>
        <v/>
      </c>
      <c r="AO548" s="46" t="str">
        <f t="shared" si="237"/>
        <v/>
      </c>
      <c r="AP548" s="46" t="str">
        <f t="shared" si="238"/>
        <v/>
      </c>
      <c r="AQ548" s="46" t="str">
        <f t="shared" si="239"/>
        <v/>
      </c>
      <c r="AR548" s="46" t="str">
        <f t="shared" si="240"/>
        <v/>
      </c>
      <c r="AS548" s="46" t="str">
        <f t="shared" si="241"/>
        <v/>
      </c>
      <c r="AT548" s="46" t="str">
        <f t="shared" si="242"/>
        <v/>
      </c>
      <c r="AU548" s="46" t="str">
        <f t="shared" si="243"/>
        <v/>
      </c>
      <c r="AV548" s="46" t="str">
        <f t="shared" si="244"/>
        <v/>
      </c>
      <c r="AW548" s="46" t="str">
        <f t="shared" si="245"/>
        <v/>
      </c>
    </row>
    <row r="549" spans="4:49">
      <c r="D549" s="34"/>
      <c r="E549" s="34"/>
      <c r="F549" s="34"/>
      <c r="G549" s="34"/>
      <c r="H549" s="4"/>
      <c r="I549" s="4"/>
      <c r="J549" s="4"/>
      <c r="K549" s="3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37"/>
      <c r="X549" s="1"/>
      <c r="Y549" s="18">
        <f t="shared" si="221"/>
        <v>0</v>
      </c>
      <c r="Z549" s="21">
        <f t="shared" si="222"/>
        <v>0</v>
      </c>
      <c r="AA549" s="10">
        <f t="shared" si="223"/>
        <v>0</v>
      </c>
      <c r="AB549" s="10">
        <f t="shared" si="224"/>
        <v>0</v>
      </c>
      <c r="AC549" s="10">
        <f t="shared" si="225"/>
        <v>0</v>
      </c>
      <c r="AD549" s="46" t="str">
        <f t="shared" si="226"/>
        <v/>
      </c>
      <c r="AE549" s="46" t="str">
        <f t="shared" si="227"/>
        <v/>
      </c>
      <c r="AF549" s="46" t="str">
        <f t="shared" si="228"/>
        <v/>
      </c>
      <c r="AG549" s="46" t="str">
        <f t="shared" si="229"/>
        <v/>
      </c>
      <c r="AH549" s="46" t="str">
        <f t="shared" si="230"/>
        <v/>
      </c>
      <c r="AI549" s="46" t="str">
        <f t="shared" si="231"/>
        <v/>
      </c>
      <c r="AJ549" s="46" t="str">
        <f t="shared" si="232"/>
        <v/>
      </c>
      <c r="AK549" s="46" t="str">
        <f t="shared" si="233"/>
        <v/>
      </c>
      <c r="AL549" s="46" t="str">
        <f t="shared" si="234"/>
        <v/>
      </c>
      <c r="AM549" s="46" t="str">
        <f t="shared" si="235"/>
        <v/>
      </c>
      <c r="AN549" s="46" t="str">
        <f t="shared" si="236"/>
        <v/>
      </c>
      <c r="AO549" s="46" t="str">
        <f t="shared" si="237"/>
        <v/>
      </c>
      <c r="AP549" s="46" t="str">
        <f t="shared" si="238"/>
        <v/>
      </c>
      <c r="AQ549" s="46" t="str">
        <f t="shared" si="239"/>
        <v/>
      </c>
      <c r="AR549" s="46" t="str">
        <f t="shared" si="240"/>
        <v/>
      </c>
      <c r="AS549" s="46" t="str">
        <f t="shared" si="241"/>
        <v/>
      </c>
      <c r="AT549" s="46" t="str">
        <f t="shared" si="242"/>
        <v/>
      </c>
      <c r="AU549" s="46" t="str">
        <f t="shared" si="243"/>
        <v/>
      </c>
      <c r="AV549" s="46" t="str">
        <f t="shared" si="244"/>
        <v/>
      </c>
      <c r="AW549" s="46" t="str">
        <f t="shared" si="245"/>
        <v/>
      </c>
    </row>
    <row r="550" spans="4:49">
      <c r="D550" s="34"/>
      <c r="E550" s="34"/>
      <c r="F550" s="34"/>
      <c r="G550" s="34"/>
      <c r="H550" s="4"/>
      <c r="I550" s="4"/>
      <c r="J550" s="4"/>
      <c r="K550" s="3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37"/>
      <c r="X550" s="1"/>
      <c r="Y550" s="18">
        <f t="shared" si="221"/>
        <v>0</v>
      </c>
      <c r="Z550" s="21">
        <f t="shared" si="222"/>
        <v>0</v>
      </c>
      <c r="AA550" s="10">
        <f t="shared" si="223"/>
        <v>0</v>
      </c>
      <c r="AB550" s="10">
        <f t="shared" si="224"/>
        <v>0</v>
      </c>
      <c r="AC550" s="10">
        <f t="shared" si="225"/>
        <v>0</v>
      </c>
      <c r="AD550" s="46" t="str">
        <f t="shared" si="226"/>
        <v/>
      </c>
      <c r="AE550" s="46" t="str">
        <f t="shared" si="227"/>
        <v/>
      </c>
      <c r="AF550" s="46" t="str">
        <f t="shared" si="228"/>
        <v/>
      </c>
      <c r="AG550" s="46" t="str">
        <f t="shared" si="229"/>
        <v/>
      </c>
      <c r="AH550" s="46" t="str">
        <f t="shared" si="230"/>
        <v/>
      </c>
      <c r="AI550" s="46" t="str">
        <f t="shared" si="231"/>
        <v/>
      </c>
      <c r="AJ550" s="46" t="str">
        <f t="shared" si="232"/>
        <v/>
      </c>
      <c r="AK550" s="46" t="str">
        <f t="shared" si="233"/>
        <v/>
      </c>
      <c r="AL550" s="46" t="str">
        <f t="shared" si="234"/>
        <v/>
      </c>
      <c r="AM550" s="46" t="str">
        <f t="shared" si="235"/>
        <v/>
      </c>
      <c r="AN550" s="46" t="str">
        <f t="shared" si="236"/>
        <v/>
      </c>
      <c r="AO550" s="46" t="str">
        <f t="shared" si="237"/>
        <v/>
      </c>
      <c r="AP550" s="46" t="str">
        <f t="shared" si="238"/>
        <v/>
      </c>
      <c r="AQ550" s="46" t="str">
        <f t="shared" si="239"/>
        <v/>
      </c>
      <c r="AR550" s="46" t="str">
        <f t="shared" si="240"/>
        <v/>
      </c>
      <c r="AS550" s="46" t="str">
        <f t="shared" si="241"/>
        <v/>
      </c>
      <c r="AT550" s="46" t="str">
        <f t="shared" si="242"/>
        <v/>
      </c>
      <c r="AU550" s="46" t="str">
        <f t="shared" si="243"/>
        <v/>
      </c>
      <c r="AV550" s="46" t="str">
        <f t="shared" si="244"/>
        <v/>
      </c>
      <c r="AW550" s="46" t="str">
        <f t="shared" si="245"/>
        <v/>
      </c>
    </row>
    <row r="551" spans="4:49">
      <c r="D551" s="34"/>
      <c r="E551" s="34"/>
      <c r="F551" s="34"/>
      <c r="G551" s="34"/>
      <c r="H551" s="4"/>
      <c r="I551" s="4"/>
      <c r="J551" s="4"/>
      <c r="K551" s="3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37"/>
      <c r="X551" s="1"/>
      <c r="Y551" s="18">
        <f t="shared" si="221"/>
        <v>0</v>
      </c>
      <c r="Z551" s="21">
        <f t="shared" si="222"/>
        <v>0</v>
      </c>
      <c r="AA551" s="10">
        <f t="shared" si="223"/>
        <v>0</v>
      </c>
      <c r="AB551" s="10">
        <f t="shared" si="224"/>
        <v>0</v>
      </c>
      <c r="AC551" s="10">
        <f t="shared" si="225"/>
        <v>0</v>
      </c>
      <c r="AD551" s="46" t="str">
        <f t="shared" si="226"/>
        <v/>
      </c>
      <c r="AE551" s="46" t="str">
        <f t="shared" si="227"/>
        <v/>
      </c>
      <c r="AF551" s="46" t="str">
        <f t="shared" si="228"/>
        <v/>
      </c>
      <c r="AG551" s="46" t="str">
        <f t="shared" si="229"/>
        <v/>
      </c>
      <c r="AH551" s="46" t="str">
        <f t="shared" si="230"/>
        <v/>
      </c>
      <c r="AI551" s="46" t="str">
        <f t="shared" si="231"/>
        <v/>
      </c>
      <c r="AJ551" s="46" t="str">
        <f t="shared" si="232"/>
        <v/>
      </c>
      <c r="AK551" s="46" t="str">
        <f t="shared" si="233"/>
        <v/>
      </c>
      <c r="AL551" s="46" t="str">
        <f t="shared" si="234"/>
        <v/>
      </c>
      <c r="AM551" s="46" t="str">
        <f t="shared" si="235"/>
        <v/>
      </c>
      <c r="AN551" s="46" t="str">
        <f t="shared" si="236"/>
        <v/>
      </c>
      <c r="AO551" s="46" t="str">
        <f t="shared" si="237"/>
        <v/>
      </c>
      <c r="AP551" s="46" t="str">
        <f t="shared" si="238"/>
        <v/>
      </c>
      <c r="AQ551" s="46" t="str">
        <f t="shared" si="239"/>
        <v/>
      </c>
      <c r="AR551" s="46" t="str">
        <f t="shared" si="240"/>
        <v/>
      </c>
      <c r="AS551" s="46" t="str">
        <f t="shared" si="241"/>
        <v/>
      </c>
      <c r="AT551" s="46" t="str">
        <f t="shared" si="242"/>
        <v/>
      </c>
      <c r="AU551" s="46" t="str">
        <f t="shared" si="243"/>
        <v/>
      </c>
      <c r="AV551" s="46" t="str">
        <f t="shared" si="244"/>
        <v/>
      </c>
      <c r="AW551" s="46" t="str">
        <f t="shared" si="245"/>
        <v/>
      </c>
    </row>
    <row r="552" spans="4:49">
      <c r="D552" s="34"/>
      <c r="E552" s="34"/>
      <c r="F552" s="34"/>
      <c r="G552" s="34"/>
      <c r="H552" s="4"/>
      <c r="I552" s="4"/>
      <c r="J552" s="4"/>
      <c r="K552" s="3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37"/>
      <c r="X552" s="1"/>
      <c r="Y552" s="18">
        <f t="shared" si="221"/>
        <v>0</v>
      </c>
      <c r="Z552" s="21">
        <f t="shared" si="222"/>
        <v>0</v>
      </c>
      <c r="AA552" s="10">
        <f t="shared" si="223"/>
        <v>0</v>
      </c>
      <c r="AB552" s="10">
        <f t="shared" si="224"/>
        <v>0</v>
      </c>
      <c r="AC552" s="10">
        <f t="shared" si="225"/>
        <v>0</v>
      </c>
      <c r="AD552" s="46" t="str">
        <f t="shared" si="226"/>
        <v/>
      </c>
      <c r="AE552" s="46" t="str">
        <f t="shared" si="227"/>
        <v/>
      </c>
      <c r="AF552" s="46" t="str">
        <f t="shared" si="228"/>
        <v/>
      </c>
      <c r="AG552" s="46" t="str">
        <f t="shared" si="229"/>
        <v/>
      </c>
      <c r="AH552" s="46" t="str">
        <f t="shared" si="230"/>
        <v/>
      </c>
      <c r="AI552" s="46" t="str">
        <f t="shared" si="231"/>
        <v/>
      </c>
      <c r="AJ552" s="46" t="str">
        <f t="shared" si="232"/>
        <v/>
      </c>
      <c r="AK552" s="46" t="str">
        <f t="shared" si="233"/>
        <v/>
      </c>
      <c r="AL552" s="46" t="str">
        <f t="shared" si="234"/>
        <v/>
      </c>
      <c r="AM552" s="46" t="str">
        <f t="shared" si="235"/>
        <v/>
      </c>
      <c r="AN552" s="46" t="str">
        <f t="shared" si="236"/>
        <v/>
      </c>
      <c r="AO552" s="46" t="str">
        <f t="shared" si="237"/>
        <v/>
      </c>
      <c r="AP552" s="46" t="str">
        <f t="shared" si="238"/>
        <v/>
      </c>
      <c r="AQ552" s="46" t="str">
        <f t="shared" si="239"/>
        <v/>
      </c>
      <c r="AR552" s="46" t="str">
        <f t="shared" si="240"/>
        <v/>
      </c>
      <c r="AS552" s="46" t="str">
        <f t="shared" si="241"/>
        <v/>
      </c>
      <c r="AT552" s="46" t="str">
        <f t="shared" si="242"/>
        <v/>
      </c>
      <c r="AU552" s="46" t="str">
        <f t="shared" si="243"/>
        <v/>
      </c>
      <c r="AV552" s="46" t="str">
        <f t="shared" si="244"/>
        <v/>
      </c>
      <c r="AW552" s="46" t="str">
        <f t="shared" si="245"/>
        <v/>
      </c>
    </row>
    <row r="553" spans="4:49">
      <c r="D553" s="34"/>
      <c r="E553" s="34"/>
      <c r="F553" s="34"/>
      <c r="G553" s="34"/>
      <c r="H553" s="4"/>
      <c r="I553" s="4"/>
      <c r="J553" s="4"/>
      <c r="K553" s="3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37"/>
      <c r="X553" s="1"/>
      <c r="Y553" s="18">
        <f t="shared" si="221"/>
        <v>0</v>
      </c>
      <c r="Z553" s="21">
        <f t="shared" si="222"/>
        <v>0</v>
      </c>
      <c r="AA553" s="10">
        <f t="shared" si="223"/>
        <v>0</v>
      </c>
      <c r="AB553" s="10">
        <f t="shared" si="224"/>
        <v>0</v>
      </c>
      <c r="AC553" s="10">
        <f t="shared" si="225"/>
        <v>0</v>
      </c>
      <c r="AD553" s="46" t="str">
        <f t="shared" si="226"/>
        <v/>
      </c>
      <c r="AE553" s="46" t="str">
        <f t="shared" si="227"/>
        <v/>
      </c>
      <c r="AF553" s="46" t="str">
        <f t="shared" si="228"/>
        <v/>
      </c>
      <c r="AG553" s="46" t="str">
        <f t="shared" si="229"/>
        <v/>
      </c>
      <c r="AH553" s="46" t="str">
        <f t="shared" si="230"/>
        <v/>
      </c>
      <c r="AI553" s="46" t="str">
        <f t="shared" si="231"/>
        <v/>
      </c>
      <c r="AJ553" s="46" t="str">
        <f t="shared" si="232"/>
        <v/>
      </c>
      <c r="AK553" s="46" t="str">
        <f t="shared" si="233"/>
        <v/>
      </c>
      <c r="AL553" s="46" t="str">
        <f t="shared" si="234"/>
        <v/>
      </c>
      <c r="AM553" s="46" t="str">
        <f t="shared" si="235"/>
        <v/>
      </c>
      <c r="AN553" s="46" t="str">
        <f t="shared" si="236"/>
        <v/>
      </c>
      <c r="AO553" s="46" t="str">
        <f t="shared" si="237"/>
        <v/>
      </c>
      <c r="AP553" s="46" t="str">
        <f t="shared" si="238"/>
        <v/>
      </c>
      <c r="AQ553" s="46" t="str">
        <f t="shared" si="239"/>
        <v/>
      </c>
      <c r="AR553" s="46" t="str">
        <f t="shared" si="240"/>
        <v/>
      </c>
      <c r="AS553" s="46" t="str">
        <f t="shared" si="241"/>
        <v/>
      </c>
      <c r="AT553" s="46" t="str">
        <f t="shared" si="242"/>
        <v/>
      </c>
      <c r="AU553" s="46" t="str">
        <f t="shared" si="243"/>
        <v/>
      </c>
      <c r="AV553" s="46" t="str">
        <f t="shared" si="244"/>
        <v/>
      </c>
      <c r="AW553" s="46" t="str">
        <f t="shared" si="245"/>
        <v/>
      </c>
    </row>
    <row r="554" spans="4:49">
      <c r="D554" s="34"/>
      <c r="E554" s="34"/>
      <c r="F554" s="34"/>
      <c r="G554" s="34"/>
      <c r="H554" s="4"/>
      <c r="I554" s="4"/>
      <c r="J554" s="4"/>
      <c r="K554" s="3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37"/>
      <c r="X554" s="1"/>
      <c r="Y554" s="18">
        <f t="shared" si="221"/>
        <v>0</v>
      </c>
      <c r="Z554" s="21">
        <f t="shared" si="222"/>
        <v>0</v>
      </c>
      <c r="AA554" s="10">
        <f t="shared" si="223"/>
        <v>0</v>
      </c>
      <c r="AB554" s="10">
        <f t="shared" si="224"/>
        <v>0</v>
      </c>
      <c r="AC554" s="10">
        <f t="shared" si="225"/>
        <v>0</v>
      </c>
      <c r="AD554" s="46" t="str">
        <f t="shared" si="226"/>
        <v/>
      </c>
      <c r="AE554" s="46" t="str">
        <f t="shared" si="227"/>
        <v/>
      </c>
      <c r="AF554" s="46" t="str">
        <f t="shared" si="228"/>
        <v/>
      </c>
      <c r="AG554" s="46" t="str">
        <f t="shared" si="229"/>
        <v/>
      </c>
      <c r="AH554" s="46" t="str">
        <f t="shared" si="230"/>
        <v/>
      </c>
      <c r="AI554" s="46" t="str">
        <f t="shared" si="231"/>
        <v/>
      </c>
      <c r="AJ554" s="46" t="str">
        <f t="shared" si="232"/>
        <v/>
      </c>
      <c r="AK554" s="46" t="str">
        <f t="shared" si="233"/>
        <v/>
      </c>
      <c r="AL554" s="46" t="str">
        <f t="shared" si="234"/>
        <v/>
      </c>
      <c r="AM554" s="46" t="str">
        <f t="shared" si="235"/>
        <v/>
      </c>
      <c r="AN554" s="46" t="str">
        <f t="shared" si="236"/>
        <v/>
      </c>
      <c r="AO554" s="46" t="str">
        <f t="shared" si="237"/>
        <v/>
      </c>
      <c r="AP554" s="46" t="str">
        <f t="shared" si="238"/>
        <v/>
      </c>
      <c r="AQ554" s="46" t="str">
        <f t="shared" si="239"/>
        <v/>
      </c>
      <c r="AR554" s="46" t="str">
        <f t="shared" si="240"/>
        <v/>
      </c>
      <c r="AS554" s="46" t="str">
        <f t="shared" si="241"/>
        <v/>
      </c>
      <c r="AT554" s="46" t="str">
        <f t="shared" si="242"/>
        <v/>
      </c>
      <c r="AU554" s="46" t="str">
        <f t="shared" si="243"/>
        <v/>
      </c>
      <c r="AV554" s="46" t="str">
        <f t="shared" si="244"/>
        <v/>
      </c>
      <c r="AW554" s="46" t="str">
        <f t="shared" si="245"/>
        <v/>
      </c>
    </row>
    <row r="555" spans="4:49">
      <c r="D555" s="34"/>
      <c r="E555" s="34"/>
      <c r="F555" s="34"/>
      <c r="G555" s="34"/>
      <c r="H555" s="4"/>
      <c r="I555" s="4"/>
      <c r="J555" s="4"/>
      <c r="K555" s="3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37"/>
      <c r="X555" s="1"/>
      <c r="Y555" s="18">
        <f t="shared" si="221"/>
        <v>0</v>
      </c>
      <c r="Z555" s="21">
        <f t="shared" si="222"/>
        <v>0</v>
      </c>
      <c r="AA555" s="10">
        <f t="shared" si="223"/>
        <v>0</v>
      </c>
      <c r="AB555" s="10">
        <f t="shared" si="224"/>
        <v>0</v>
      </c>
      <c r="AC555" s="10">
        <f t="shared" si="225"/>
        <v>0</v>
      </c>
      <c r="AD555" s="46" t="str">
        <f t="shared" si="226"/>
        <v/>
      </c>
      <c r="AE555" s="46" t="str">
        <f t="shared" si="227"/>
        <v/>
      </c>
      <c r="AF555" s="46" t="str">
        <f t="shared" si="228"/>
        <v/>
      </c>
      <c r="AG555" s="46" t="str">
        <f t="shared" si="229"/>
        <v/>
      </c>
      <c r="AH555" s="46" t="str">
        <f t="shared" si="230"/>
        <v/>
      </c>
      <c r="AI555" s="46" t="str">
        <f t="shared" si="231"/>
        <v/>
      </c>
      <c r="AJ555" s="46" t="str">
        <f t="shared" si="232"/>
        <v/>
      </c>
      <c r="AK555" s="46" t="str">
        <f t="shared" si="233"/>
        <v/>
      </c>
      <c r="AL555" s="46" t="str">
        <f t="shared" si="234"/>
        <v/>
      </c>
      <c r="AM555" s="46" t="str">
        <f t="shared" si="235"/>
        <v/>
      </c>
      <c r="AN555" s="46" t="str">
        <f t="shared" si="236"/>
        <v/>
      </c>
      <c r="AO555" s="46" t="str">
        <f t="shared" si="237"/>
        <v/>
      </c>
      <c r="AP555" s="46" t="str">
        <f t="shared" si="238"/>
        <v/>
      </c>
      <c r="AQ555" s="46" t="str">
        <f t="shared" si="239"/>
        <v/>
      </c>
      <c r="AR555" s="46" t="str">
        <f t="shared" si="240"/>
        <v/>
      </c>
      <c r="AS555" s="46" t="str">
        <f t="shared" si="241"/>
        <v/>
      </c>
      <c r="AT555" s="46" t="str">
        <f t="shared" si="242"/>
        <v/>
      </c>
      <c r="AU555" s="46" t="str">
        <f t="shared" si="243"/>
        <v/>
      </c>
      <c r="AV555" s="46" t="str">
        <f t="shared" si="244"/>
        <v/>
      </c>
      <c r="AW555" s="46" t="str">
        <f t="shared" si="245"/>
        <v/>
      </c>
    </row>
    <row r="556" spans="4:49">
      <c r="D556" s="34"/>
      <c r="E556" s="34"/>
      <c r="F556" s="34"/>
      <c r="G556" s="34"/>
      <c r="H556" s="4"/>
      <c r="I556" s="4"/>
      <c r="J556" s="4"/>
      <c r="K556" s="3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37"/>
      <c r="X556" s="1"/>
      <c r="Y556" s="18">
        <f t="shared" si="221"/>
        <v>0</v>
      </c>
      <c r="Z556" s="21">
        <f t="shared" si="222"/>
        <v>0</v>
      </c>
      <c r="AA556" s="10">
        <f t="shared" si="223"/>
        <v>0</v>
      </c>
      <c r="AB556" s="10">
        <f t="shared" si="224"/>
        <v>0</v>
      </c>
      <c r="AC556" s="10">
        <f t="shared" si="225"/>
        <v>0</v>
      </c>
      <c r="AD556" s="46" t="str">
        <f t="shared" si="226"/>
        <v/>
      </c>
      <c r="AE556" s="46" t="str">
        <f t="shared" si="227"/>
        <v/>
      </c>
      <c r="AF556" s="46" t="str">
        <f t="shared" si="228"/>
        <v/>
      </c>
      <c r="AG556" s="46" t="str">
        <f t="shared" si="229"/>
        <v/>
      </c>
      <c r="AH556" s="46" t="str">
        <f t="shared" si="230"/>
        <v/>
      </c>
      <c r="AI556" s="46" t="str">
        <f t="shared" si="231"/>
        <v/>
      </c>
      <c r="AJ556" s="46" t="str">
        <f t="shared" si="232"/>
        <v/>
      </c>
      <c r="AK556" s="46" t="str">
        <f t="shared" si="233"/>
        <v/>
      </c>
      <c r="AL556" s="46" t="str">
        <f t="shared" si="234"/>
        <v/>
      </c>
      <c r="AM556" s="46" t="str">
        <f t="shared" si="235"/>
        <v/>
      </c>
      <c r="AN556" s="46" t="str">
        <f t="shared" si="236"/>
        <v/>
      </c>
      <c r="AO556" s="46" t="str">
        <f t="shared" si="237"/>
        <v/>
      </c>
      <c r="AP556" s="46" t="str">
        <f t="shared" si="238"/>
        <v/>
      </c>
      <c r="AQ556" s="46" t="str">
        <f t="shared" si="239"/>
        <v/>
      </c>
      <c r="AR556" s="46" t="str">
        <f t="shared" si="240"/>
        <v/>
      </c>
      <c r="AS556" s="46" t="str">
        <f t="shared" si="241"/>
        <v/>
      </c>
      <c r="AT556" s="46" t="str">
        <f t="shared" si="242"/>
        <v/>
      </c>
      <c r="AU556" s="46" t="str">
        <f t="shared" si="243"/>
        <v/>
      </c>
      <c r="AV556" s="46" t="str">
        <f t="shared" si="244"/>
        <v/>
      </c>
      <c r="AW556" s="46" t="str">
        <f t="shared" si="245"/>
        <v/>
      </c>
    </row>
    <row r="557" spans="4:49">
      <c r="D557" s="34"/>
      <c r="E557" s="34"/>
      <c r="F557" s="34"/>
      <c r="G557" s="34"/>
      <c r="H557" s="4"/>
      <c r="I557" s="4"/>
      <c r="J557" s="4"/>
      <c r="K557" s="3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37"/>
      <c r="X557" s="1"/>
      <c r="Y557" s="18">
        <f t="shared" si="221"/>
        <v>0</v>
      </c>
      <c r="Z557" s="21">
        <f t="shared" si="222"/>
        <v>0</v>
      </c>
      <c r="AA557" s="10">
        <f t="shared" si="223"/>
        <v>0</v>
      </c>
      <c r="AB557" s="10">
        <f t="shared" si="224"/>
        <v>0</v>
      </c>
      <c r="AC557" s="10">
        <f t="shared" si="225"/>
        <v>0</v>
      </c>
      <c r="AD557" s="46" t="str">
        <f t="shared" si="226"/>
        <v/>
      </c>
      <c r="AE557" s="46" t="str">
        <f t="shared" si="227"/>
        <v/>
      </c>
      <c r="AF557" s="46" t="str">
        <f t="shared" si="228"/>
        <v/>
      </c>
      <c r="AG557" s="46" t="str">
        <f t="shared" si="229"/>
        <v/>
      </c>
      <c r="AH557" s="46" t="str">
        <f t="shared" si="230"/>
        <v/>
      </c>
      <c r="AI557" s="46" t="str">
        <f t="shared" si="231"/>
        <v/>
      </c>
      <c r="AJ557" s="46" t="str">
        <f t="shared" si="232"/>
        <v/>
      </c>
      <c r="AK557" s="46" t="str">
        <f t="shared" si="233"/>
        <v/>
      </c>
      <c r="AL557" s="46" t="str">
        <f t="shared" si="234"/>
        <v/>
      </c>
      <c r="AM557" s="46" t="str">
        <f t="shared" si="235"/>
        <v/>
      </c>
      <c r="AN557" s="46" t="str">
        <f t="shared" si="236"/>
        <v/>
      </c>
      <c r="AO557" s="46" t="str">
        <f t="shared" si="237"/>
        <v/>
      </c>
      <c r="AP557" s="46" t="str">
        <f t="shared" si="238"/>
        <v/>
      </c>
      <c r="AQ557" s="46" t="str">
        <f t="shared" si="239"/>
        <v/>
      </c>
      <c r="AR557" s="46" t="str">
        <f t="shared" si="240"/>
        <v/>
      </c>
      <c r="AS557" s="46" t="str">
        <f t="shared" si="241"/>
        <v/>
      </c>
      <c r="AT557" s="46" t="str">
        <f t="shared" si="242"/>
        <v/>
      </c>
      <c r="AU557" s="46" t="str">
        <f t="shared" si="243"/>
        <v/>
      </c>
      <c r="AV557" s="46" t="str">
        <f t="shared" si="244"/>
        <v/>
      </c>
      <c r="AW557" s="46" t="str">
        <f t="shared" si="245"/>
        <v/>
      </c>
    </row>
    <row r="558" spans="4:49">
      <c r="D558" s="34"/>
      <c r="E558" s="34"/>
      <c r="F558" s="34"/>
      <c r="G558" s="34"/>
      <c r="H558" s="4"/>
      <c r="I558" s="4"/>
      <c r="J558" s="4"/>
      <c r="K558" s="3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37"/>
      <c r="X558" s="1"/>
      <c r="Y558" s="18">
        <f t="shared" si="221"/>
        <v>0</v>
      </c>
      <c r="Z558" s="21">
        <f t="shared" si="222"/>
        <v>0</v>
      </c>
      <c r="AA558" s="10">
        <f t="shared" si="223"/>
        <v>0</v>
      </c>
      <c r="AB558" s="10">
        <f t="shared" si="224"/>
        <v>0</v>
      </c>
      <c r="AC558" s="10">
        <f t="shared" si="225"/>
        <v>0</v>
      </c>
      <c r="AD558" s="46" t="str">
        <f t="shared" si="226"/>
        <v/>
      </c>
      <c r="AE558" s="46" t="str">
        <f t="shared" si="227"/>
        <v/>
      </c>
      <c r="AF558" s="46" t="str">
        <f t="shared" si="228"/>
        <v/>
      </c>
      <c r="AG558" s="46" t="str">
        <f t="shared" si="229"/>
        <v/>
      </c>
      <c r="AH558" s="46" t="str">
        <f t="shared" si="230"/>
        <v/>
      </c>
      <c r="AI558" s="46" t="str">
        <f t="shared" si="231"/>
        <v/>
      </c>
      <c r="AJ558" s="46" t="str">
        <f t="shared" si="232"/>
        <v/>
      </c>
      <c r="AK558" s="46" t="str">
        <f t="shared" si="233"/>
        <v/>
      </c>
      <c r="AL558" s="46" t="str">
        <f t="shared" si="234"/>
        <v/>
      </c>
      <c r="AM558" s="46" t="str">
        <f t="shared" si="235"/>
        <v/>
      </c>
      <c r="AN558" s="46" t="str">
        <f t="shared" si="236"/>
        <v/>
      </c>
      <c r="AO558" s="46" t="str">
        <f t="shared" si="237"/>
        <v/>
      </c>
      <c r="AP558" s="46" t="str">
        <f t="shared" si="238"/>
        <v/>
      </c>
      <c r="AQ558" s="46" t="str">
        <f t="shared" si="239"/>
        <v/>
      </c>
      <c r="AR558" s="46" t="str">
        <f t="shared" si="240"/>
        <v/>
      </c>
      <c r="AS558" s="46" t="str">
        <f t="shared" si="241"/>
        <v/>
      </c>
      <c r="AT558" s="46" t="str">
        <f t="shared" si="242"/>
        <v/>
      </c>
      <c r="AU558" s="46" t="str">
        <f t="shared" si="243"/>
        <v/>
      </c>
      <c r="AV558" s="46" t="str">
        <f t="shared" si="244"/>
        <v/>
      </c>
      <c r="AW558" s="46" t="str">
        <f t="shared" si="245"/>
        <v/>
      </c>
    </row>
    <row r="559" spans="4:49">
      <c r="D559" s="34"/>
      <c r="E559" s="34"/>
      <c r="F559" s="34"/>
      <c r="G559" s="34"/>
      <c r="H559" s="4"/>
      <c r="I559" s="4"/>
      <c r="J559" s="4"/>
      <c r="K559" s="3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37"/>
      <c r="X559" s="1"/>
      <c r="Y559" s="18">
        <f t="shared" si="221"/>
        <v>0</v>
      </c>
      <c r="Z559" s="21">
        <f t="shared" si="222"/>
        <v>0</v>
      </c>
      <c r="AA559" s="10">
        <f t="shared" si="223"/>
        <v>0</v>
      </c>
      <c r="AB559" s="10">
        <f t="shared" si="224"/>
        <v>0</v>
      </c>
      <c r="AC559" s="10">
        <f t="shared" si="225"/>
        <v>0</v>
      </c>
      <c r="AD559" s="46" t="str">
        <f t="shared" si="226"/>
        <v/>
      </c>
      <c r="AE559" s="46" t="str">
        <f t="shared" si="227"/>
        <v/>
      </c>
      <c r="AF559" s="46" t="str">
        <f t="shared" si="228"/>
        <v/>
      </c>
      <c r="AG559" s="46" t="str">
        <f t="shared" si="229"/>
        <v/>
      </c>
      <c r="AH559" s="46" t="str">
        <f t="shared" si="230"/>
        <v/>
      </c>
      <c r="AI559" s="46" t="str">
        <f t="shared" si="231"/>
        <v/>
      </c>
      <c r="AJ559" s="46" t="str">
        <f t="shared" si="232"/>
        <v/>
      </c>
      <c r="AK559" s="46" t="str">
        <f t="shared" si="233"/>
        <v/>
      </c>
      <c r="AL559" s="46" t="str">
        <f t="shared" si="234"/>
        <v/>
      </c>
      <c r="AM559" s="46" t="str">
        <f t="shared" si="235"/>
        <v/>
      </c>
      <c r="AN559" s="46" t="str">
        <f t="shared" si="236"/>
        <v/>
      </c>
      <c r="AO559" s="46" t="str">
        <f t="shared" si="237"/>
        <v/>
      </c>
      <c r="AP559" s="46" t="str">
        <f t="shared" si="238"/>
        <v/>
      </c>
      <c r="AQ559" s="46" t="str">
        <f t="shared" si="239"/>
        <v/>
      </c>
      <c r="AR559" s="46" t="str">
        <f t="shared" si="240"/>
        <v/>
      </c>
      <c r="AS559" s="46" t="str">
        <f t="shared" si="241"/>
        <v/>
      </c>
      <c r="AT559" s="46" t="str">
        <f t="shared" si="242"/>
        <v/>
      </c>
      <c r="AU559" s="46" t="str">
        <f t="shared" si="243"/>
        <v/>
      </c>
      <c r="AV559" s="46" t="str">
        <f t="shared" si="244"/>
        <v/>
      </c>
      <c r="AW559" s="46" t="str">
        <f t="shared" si="245"/>
        <v/>
      </c>
    </row>
    <row r="560" spans="4:49">
      <c r="D560" s="34"/>
      <c r="E560" s="34"/>
      <c r="F560" s="34"/>
      <c r="G560" s="34"/>
      <c r="H560" s="4"/>
      <c r="I560" s="4"/>
      <c r="J560" s="4"/>
      <c r="K560" s="3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37"/>
      <c r="X560" s="1"/>
      <c r="Y560" s="18">
        <f t="shared" si="221"/>
        <v>0</v>
      </c>
      <c r="Z560" s="21">
        <f t="shared" si="222"/>
        <v>0</v>
      </c>
      <c r="AA560" s="10">
        <f t="shared" si="223"/>
        <v>0</v>
      </c>
      <c r="AB560" s="10">
        <f t="shared" si="224"/>
        <v>0</v>
      </c>
      <c r="AC560" s="10">
        <f t="shared" si="225"/>
        <v>0</v>
      </c>
      <c r="AD560" s="46" t="str">
        <f t="shared" si="226"/>
        <v/>
      </c>
      <c r="AE560" s="46" t="str">
        <f t="shared" si="227"/>
        <v/>
      </c>
      <c r="AF560" s="46" t="str">
        <f t="shared" si="228"/>
        <v/>
      </c>
      <c r="AG560" s="46" t="str">
        <f t="shared" si="229"/>
        <v/>
      </c>
      <c r="AH560" s="46" t="str">
        <f t="shared" si="230"/>
        <v/>
      </c>
      <c r="AI560" s="46" t="str">
        <f t="shared" si="231"/>
        <v/>
      </c>
      <c r="AJ560" s="46" t="str">
        <f t="shared" si="232"/>
        <v/>
      </c>
      <c r="AK560" s="46" t="str">
        <f t="shared" si="233"/>
        <v/>
      </c>
      <c r="AL560" s="46" t="str">
        <f t="shared" si="234"/>
        <v/>
      </c>
      <c r="AM560" s="46" t="str">
        <f t="shared" si="235"/>
        <v/>
      </c>
      <c r="AN560" s="46" t="str">
        <f t="shared" si="236"/>
        <v/>
      </c>
      <c r="AO560" s="46" t="str">
        <f t="shared" si="237"/>
        <v/>
      </c>
      <c r="AP560" s="46" t="str">
        <f t="shared" si="238"/>
        <v/>
      </c>
      <c r="AQ560" s="46" t="str">
        <f t="shared" si="239"/>
        <v/>
      </c>
      <c r="AR560" s="46" t="str">
        <f t="shared" si="240"/>
        <v/>
      </c>
      <c r="AS560" s="46" t="str">
        <f t="shared" si="241"/>
        <v/>
      </c>
      <c r="AT560" s="46" t="str">
        <f t="shared" si="242"/>
        <v/>
      </c>
      <c r="AU560" s="46" t="str">
        <f t="shared" si="243"/>
        <v/>
      </c>
      <c r="AV560" s="46" t="str">
        <f t="shared" si="244"/>
        <v/>
      </c>
      <c r="AW560" s="46" t="str">
        <f t="shared" si="245"/>
        <v/>
      </c>
    </row>
    <row r="561" spans="4:49">
      <c r="D561" s="34"/>
      <c r="E561" s="34"/>
      <c r="F561" s="34"/>
      <c r="G561" s="34"/>
      <c r="H561" s="4"/>
      <c r="I561" s="4"/>
      <c r="J561" s="4"/>
      <c r="K561" s="3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37"/>
      <c r="X561" s="1"/>
      <c r="Y561" s="18">
        <f t="shared" si="221"/>
        <v>0</v>
      </c>
      <c r="Z561" s="21">
        <f t="shared" si="222"/>
        <v>0</v>
      </c>
      <c r="AA561" s="10">
        <f t="shared" si="223"/>
        <v>0</v>
      </c>
      <c r="AB561" s="10">
        <f t="shared" si="224"/>
        <v>0</v>
      </c>
      <c r="AC561" s="10">
        <f t="shared" si="225"/>
        <v>0</v>
      </c>
      <c r="AD561" s="46" t="str">
        <f t="shared" si="226"/>
        <v/>
      </c>
      <c r="AE561" s="46" t="str">
        <f t="shared" si="227"/>
        <v/>
      </c>
      <c r="AF561" s="46" t="str">
        <f t="shared" si="228"/>
        <v/>
      </c>
      <c r="AG561" s="46" t="str">
        <f t="shared" si="229"/>
        <v/>
      </c>
      <c r="AH561" s="46" t="str">
        <f t="shared" si="230"/>
        <v/>
      </c>
      <c r="AI561" s="46" t="str">
        <f t="shared" si="231"/>
        <v/>
      </c>
      <c r="AJ561" s="46" t="str">
        <f t="shared" si="232"/>
        <v/>
      </c>
      <c r="AK561" s="46" t="str">
        <f t="shared" si="233"/>
        <v/>
      </c>
      <c r="AL561" s="46" t="str">
        <f t="shared" si="234"/>
        <v/>
      </c>
      <c r="AM561" s="46" t="str">
        <f t="shared" si="235"/>
        <v/>
      </c>
      <c r="AN561" s="46" t="str">
        <f t="shared" si="236"/>
        <v/>
      </c>
      <c r="AO561" s="46" t="str">
        <f t="shared" si="237"/>
        <v/>
      </c>
      <c r="AP561" s="46" t="str">
        <f t="shared" si="238"/>
        <v/>
      </c>
      <c r="AQ561" s="46" t="str">
        <f t="shared" si="239"/>
        <v/>
      </c>
      <c r="AR561" s="46" t="str">
        <f t="shared" si="240"/>
        <v/>
      </c>
      <c r="AS561" s="46" t="str">
        <f t="shared" si="241"/>
        <v/>
      </c>
      <c r="AT561" s="46" t="str">
        <f t="shared" si="242"/>
        <v/>
      </c>
      <c r="AU561" s="46" t="str">
        <f t="shared" si="243"/>
        <v/>
      </c>
      <c r="AV561" s="46" t="str">
        <f t="shared" si="244"/>
        <v/>
      </c>
      <c r="AW561" s="46" t="str">
        <f t="shared" si="245"/>
        <v/>
      </c>
    </row>
    <row r="562" spans="4:49">
      <c r="D562" s="34"/>
      <c r="E562" s="34"/>
      <c r="F562" s="34"/>
      <c r="G562" s="34"/>
      <c r="H562" s="4"/>
      <c r="I562" s="4"/>
      <c r="J562" s="4"/>
      <c r="K562" s="3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37"/>
      <c r="X562" s="1"/>
      <c r="Y562" s="18">
        <f t="shared" si="221"/>
        <v>0</v>
      </c>
      <c r="Z562" s="21">
        <f t="shared" si="222"/>
        <v>0</v>
      </c>
      <c r="AA562" s="10">
        <f t="shared" si="223"/>
        <v>0</v>
      </c>
      <c r="AB562" s="10">
        <f t="shared" si="224"/>
        <v>0</v>
      </c>
      <c r="AC562" s="10">
        <f t="shared" si="225"/>
        <v>0</v>
      </c>
      <c r="AD562" s="46" t="str">
        <f t="shared" si="226"/>
        <v/>
      </c>
      <c r="AE562" s="46" t="str">
        <f t="shared" si="227"/>
        <v/>
      </c>
      <c r="AF562" s="46" t="str">
        <f t="shared" si="228"/>
        <v/>
      </c>
      <c r="AG562" s="46" t="str">
        <f t="shared" si="229"/>
        <v/>
      </c>
      <c r="AH562" s="46" t="str">
        <f t="shared" si="230"/>
        <v/>
      </c>
      <c r="AI562" s="46" t="str">
        <f t="shared" si="231"/>
        <v/>
      </c>
      <c r="AJ562" s="46" t="str">
        <f t="shared" si="232"/>
        <v/>
      </c>
      <c r="AK562" s="46" t="str">
        <f t="shared" si="233"/>
        <v/>
      </c>
      <c r="AL562" s="46" t="str">
        <f t="shared" si="234"/>
        <v/>
      </c>
      <c r="AM562" s="46" t="str">
        <f t="shared" si="235"/>
        <v/>
      </c>
      <c r="AN562" s="46" t="str">
        <f t="shared" si="236"/>
        <v/>
      </c>
      <c r="AO562" s="46" t="str">
        <f t="shared" si="237"/>
        <v/>
      </c>
      <c r="AP562" s="46" t="str">
        <f t="shared" si="238"/>
        <v/>
      </c>
      <c r="AQ562" s="46" t="str">
        <f t="shared" si="239"/>
        <v/>
      </c>
      <c r="AR562" s="46" t="str">
        <f t="shared" si="240"/>
        <v/>
      </c>
      <c r="AS562" s="46" t="str">
        <f t="shared" si="241"/>
        <v/>
      </c>
      <c r="AT562" s="46" t="str">
        <f t="shared" si="242"/>
        <v/>
      </c>
      <c r="AU562" s="46" t="str">
        <f t="shared" si="243"/>
        <v/>
      </c>
      <c r="AV562" s="46" t="str">
        <f t="shared" si="244"/>
        <v/>
      </c>
      <c r="AW562" s="46" t="str">
        <f t="shared" si="245"/>
        <v/>
      </c>
    </row>
    <row r="563" spans="4:49">
      <c r="D563" s="34"/>
      <c r="E563" s="34"/>
      <c r="F563" s="34"/>
      <c r="G563" s="34"/>
      <c r="H563" s="4"/>
      <c r="I563" s="4"/>
      <c r="J563" s="4"/>
      <c r="K563" s="3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37"/>
      <c r="X563" s="1"/>
      <c r="Y563" s="18">
        <f t="shared" si="221"/>
        <v>0</v>
      </c>
      <c r="Z563" s="21">
        <f t="shared" si="222"/>
        <v>0</v>
      </c>
      <c r="AA563" s="10">
        <f t="shared" si="223"/>
        <v>0</v>
      </c>
      <c r="AB563" s="10">
        <f t="shared" si="224"/>
        <v>0</v>
      </c>
      <c r="AC563" s="10">
        <f t="shared" si="225"/>
        <v>0</v>
      </c>
      <c r="AD563" s="46" t="str">
        <f t="shared" si="226"/>
        <v/>
      </c>
      <c r="AE563" s="46" t="str">
        <f t="shared" si="227"/>
        <v/>
      </c>
      <c r="AF563" s="46" t="str">
        <f t="shared" si="228"/>
        <v/>
      </c>
      <c r="AG563" s="46" t="str">
        <f t="shared" si="229"/>
        <v/>
      </c>
      <c r="AH563" s="46" t="str">
        <f t="shared" si="230"/>
        <v/>
      </c>
      <c r="AI563" s="46" t="str">
        <f t="shared" si="231"/>
        <v/>
      </c>
      <c r="AJ563" s="46" t="str">
        <f t="shared" si="232"/>
        <v/>
      </c>
      <c r="AK563" s="46" t="str">
        <f t="shared" si="233"/>
        <v/>
      </c>
      <c r="AL563" s="46" t="str">
        <f t="shared" si="234"/>
        <v/>
      </c>
      <c r="AM563" s="46" t="str">
        <f t="shared" si="235"/>
        <v/>
      </c>
      <c r="AN563" s="46" t="str">
        <f t="shared" si="236"/>
        <v/>
      </c>
      <c r="AO563" s="46" t="str">
        <f t="shared" si="237"/>
        <v/>
      </c>
      <c r="AP563" s="46" t="str">
        <f t="shared" si="238"/>
        <v/>
      </c>
      <c r="AQ563" s="46" t="str">
        <f t="shared" si="239"/>
        <v/>
      </c>
      <c r="AR563" s="46" t="str">
        <f t="shared" si="240"/>
        <v/>
      </c>
      <c r="AS563" s="46" t="str">
        <f t="shared" si="241"/>
        <v/>
      </c>
      <c r="AT563" s="46" t="str">
        <f t="shared" si="242"/>
        <v/>
      </c>
      <c r="AU563" s="46" t="str">
        <f t="shared" si="243"/>
        <v/>
      </c>
      <c r="AV563" s="46" t="str">
        <f t="shared" si="244"/>
        <v/>
      </c>
      <c r="AW563" s="46" t="str">
        <f t="shared" si="245"/>
        <v/>
      </c>
    </row>
    <row r="564" spans="4:49">
      <c r="D564" s="34"/>
      <c r="E564" s="34"/>
      <c r="F564" s="34"/>
      <c r="G564" s="34"/>
      <c r="H564" s="4"/>
      <c r="I564" s="4"/>
      <c r="J564" s="4"/>
      <c r="K564" s="3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37"/>
      <c r="X564" s="1"/>
      <c r="Y564" s="18">
        <f t="shared" si="221"/>
        <v>0</v>
      </c>
      <c r="Z564" s="21">
        <f t="shared" si="222"/>
        <v>0</v>
      </c>
      <c r="AA564" s="10">
        <f t="shared" si="223"/>
        <v>0</v>
      </c>
      <c r="AB564" s="10">
        <f t="shared" si="224"/>
        <v>0</v>
      </c>
      <c r="AC564" s="10">
        <f t="shared" si="225"/>
        <v>0</v>
      </c>
      <c r="AD564" s="46" t="str">
        <f t="shared" si="226"/>
        <v/>
      </c>
      <c r="AE564" s="46" t="str">
        <f t="shared" si="227"/>
        <v/>
      </c>
      <c r="AF564" s="46" t="str">
        <f t="shared" si="228"/>
        <v/>
      </c>
      <c r="AG564" s="46" t="str">
        <f t="shared" si="229"/>
        <v/>
      </c>
      <c r="AH564" s="46" t="str">
        <f t="shared" si="230"/>
        <v/>
      </c>
      <c r="AI564" s="46" t="str">
        <f t="shared" si="231"/>
        <v/>
      </c>
      <c r="AJ564" s="46" t="str">
        <f t="shared" si="232"/>
        <v/>
      </c>
      <c r="AK564" s="46" t="str">
        <f t="shared" si="233"/>
        <v/>
      </c>
      <c r="AL564" s="46" t="str">
        <f t="shared" si="234"/>
        <v/>
      </c>
      <c r="AM564" s="46" t="str">
        <f t="shared" si="235"/>
        <v/>
      </c>
      <c r="AN564" s="46" t="str">
        <f t="shared" si="236"/>
        <v/>
      </c>
      <c r="AO564" s="46" t="str">
        <f t="shared" si="237"/>
        <v/>
      </c>
      <c r="AP564" s="46" t="str">
        <f t="shared" si="238"/>
        <v/>
      </c>
      <c r="AQ564" s="46" t="str">
        <f t="shared" si="239"/>
        <v/>
      </c>
      <c r="AR564" s="46" t="str">
        <f t="shared" si="240"/>
        <v/>
      </c>
      <c r="AS564" s="46" t="str">
        <f t="shared" si="241"/>
        <v/>
      </c>
      <c r="AT564" s="46" t="str">
        <f t="shared" si="242"/>
        <v/>
      </c>
      <c r="AU564" s="46" t="str">
        <f t="shared" si="243"/>
        <v/>
      </c>
      <c r="AV564" s="46" t="str">
        <f t="shared" si="244"/>
        <v/>
      </c>
      <c r="AW564" s="46" t="str">
        <f t="shared" si="245"/>
        <v/>
      </c>
    </row>
    <row r="565" spans="4:49">
      <c r="D565" s="34"/>
      <c r="E565" s="34"/>
      <c r="F565" s="34"/>
      <c r="G565" s="34"/>
      <c r="H565" s="4"/>
      <c r="I565" s="4"/>
      <c r="J565" s="4"/>
      <c r="K565" s="3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37"/>
      <c r="X565" s="1"/>
      <c r="Y565" s="18">
        <f t="shared" si="221"/>
        <v>0</v>
      </c>
      <c r="Z565" s="21">
        <f t="shared" si="222"/>
        <v>0</v>
      </c>
      <c r="AA565" s="10">
        <f t="shared" si="223"/>
        <v>0</v>
      </c>
      <c r="AB565" s="10">
        <f t="shared" si="224"/>
        <v>0</v>
      </c>
      <c r="AC565" s="10">
        <f t="shared" si="225"/>
        <v>0</v>
      </c>
      <c r="AD565" s="46" t="str">
        <f t="shared" si="226"/>
        <v/>
      </c>
      <c r="AE565" s="46" t="str">
        <f t="shared" si="227"/>
        <v/>
      </c>
      <c r="AF565" s="46" t="str">
        <f t="shared" si="228"/>
        <v/>
      </c>
      <c r="AG565" s="46" t="str">
        <f t="shared" si="229"/>
        <v/>
      </c>
      <c r="AH565" s="46" t="str">
        <f t="shared" si="230"/>
        <v/>
      </c>
      <c r="AI565" s="46" t="str">
        <f t="shared" si="231"/>
        <v/>
      </c>
      <c r="AJ565" s="46" t="str">
        <f t="shared" si="232"/>
        <v/>
      </c>
      <c r="AK565" s="46" t="str">
        <f t="shared" si="233"/>
        <v/>
      </c>
      <c r="AL565" s="46" t="str">
        <f t="shared" si="234"/>
        <v/>
      </c>
      <c r="AM565" s="46" t="str">
        <f t="shared" si="235"/>
        <v/>
      </c>
      <c r="AN565" s="46" t="str">
        <f t="shared" si="236"/>
        <v/>
      </c>
      <c r="AO565" s="46" t="str">
        <f t="shared" si="237"/>
        <v/>
      </c>
      <c r="AP565" s="46" t="str">
        <f t="shared" si="238"/>
        <v/>
      </c>
      <c r="AQ565" s="46" t="str">
        <f t="shared" si="239"/>
        <v/>
      </c>
      <c r="AR565" s="46" t="str">
        <f t="shared" si="240"/>
        <v/>
      </c>
      <c r="AS565" s="46" t="str">
        <f t="shared" si="241"/>
        <v/>
      </c>
      <c r="AT565" s="46" t="str">
        <f t="shared" si="242"/>
        <v/>
      </c>
      <c r="AU565" s="46" t="str">
        <f t="shared" si="243"/>
        <v/>
      </c>
      <c r="AV565" s="46" t="str">
        <f t="shared" si="244"/>
        <v/>
      </c>
      <c r="AW565" s="46" t="str">
        <f t="shared" si="245"/>
        <v/>
      </c>
    </row>
    <row r="566" spans="4:49">
      <c r="D566" s="34"/>
      <c r="E566" s="34"/>
      <c r="F566" s="34"/>
      <c r="G566" s="34"/>
      <c r="H566" s="4"/>
      <c r="I566" s="4"/>
      <c r="J566" s="4"/>
      <c r="K566" s="3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37"/>
      <c r="X566" s="1"/>
      <c r="Y566" s="18">
        <f t="shared" si="221"/>
        <v>0</v>
      </c>
      <c r="Z566" s="21">
        <f t="shared" si="222"/>
        <v>0</v>
      </c>
      <c r="AA566" s="10">
        <f t="shared" si="223"/>
        <v>0</v>
      </c>
      <c r="AB566" s="10">
        <f t="shared" si="224"/>
        <v>0</v>
      </c>
      <c r="AC566" s="10">
        <f t="shared" si="225"/>
        <v>0</v>
      </c>
      <c r="AD566" s="46" t="str">
        <f t="shared" si="226"/>
        <v/>
      </c>
      <c r="AE566" s="46" t="str">
        <f t="shared" si="227"/>
        <v/>
      </c>
      <c r="AF566" s="46" t="str">
        <f t="shared" si="228"/>
        <v/>
      </c>
      <c r="AG566" s="46" t="str">
        <f t="shared" si="229"/>
        <v/>
      </c>
      <c r="AH566" s="46" t="str">
        <f t="shared" si="230"/>
        <v/>
      </c>
      <c r="AI566" s="46" t="str">
        <f t="shared" si="231"/>
        <v/>
      </c>
      <c r="AJ566" s="46" t="str">
        <f t="shared" si="232"/>
        <v/>
      </c>
      <c r="AK566" s="46" t="str">
        <f t="shared" si="233"/>
        <v/>
      </c>
      <c r="AL566" s="46" t="str">
        <f t="shared" si="234"/>
        <v/>
      </c>
      <c r="AM566" s="46" t="str">
        <f t="shared" si="235"/>
        <v/>
      </c>
      <c r="AN566" s="46" t="str">
        <f t="shared" si="236"/>
        <v/>
      </c>
      <c r="AO566" s="46" t="str">
        <f t="shared" si="237"/>
        <v/>
      </c>
      <c r="AP566" s="46" t="str">
        <f t="shared" si="238"/>
        <v/>
      </c>
      <c r="AQ566" s="46" t="str">
        <f t="shared" si="239"/>
        <v/>
      </c>
      <c r="AR566" s="46" t="str">
        <f t="shared" si="240"/>
        <v/>
      </c>
      <c r="AS566" s="46" t="str">
        <f t="shared" si="241"/>
        <v/>
      </c>
      <c r="AT566" s="46" t="str">
        <f t="shared" si="242"/>
        <v/>
      </c>
      <c r="AU566" s="46" t="str">
        <f t="shared" si="243"/>
        <v/>
      </c>
      <c r="AV566" s="46" t="str">
        <f t="shared" si="244"/>
        <v/>
      </c>
      <c r="AW566" s="46" t="str">
        <f t="shared" si="245"/>
        <v/>
      </c>
    </row>
    <row r="567" spans="4:49">
      <c r="D567" s="34"/>
      <c r="E567" s="34"/>
      <c r="F567" s="34"/>
      <c r="G567" s="34"/>
      <c r="H567" s="4"/>
      <c r="I567" s="4"/>
      <c r="J567" s="4"/>
      <c r="K567" s="3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37"/>
      <c r="X567" s="1"/>
      <c r="Y567" s="18">
        <f t="shared" si="221"/>
        <v>0</v>
      </c>
      <c r="Z567" s="21">
        <f t="shared" si="222"/>
        <v>0</v>
      </c>
      <c r="AA567" s="10">
        <f t="shared" si="223"/>
        <v>0</v>
      </c>
      <c r="AB567" s="10">
        <f t="shared" si="224"/>
        <v>0</v>
      </c>
      <c r="AC567" s="10">
        <f t="shared" si="225"/>
        <v>0</v>
      </c>
      <c r="AD567" s="46" t="str">
        <f t="shared" si="226"/>
        <v/>
      </c>
      <c r="AE567" s="46" t="str">
        <f t="shared" si="227"/>
        <v/>
      </c>
      <c r="AF567" s="46" t="str">
        <f t="shared" si="228"/>
        <v/>
      </c>
      <c r="AG567" s="46" t="str">
        <f t="shared" si="229"/>
        <v/>
      </c>
      <c r="AH567" s="46" t="str">
        <f t="shared" si="230"/>
        <v/>
      </c>
      <c r="AI567" s="46" t="str">
        <f t="shared" si="231"/>
        <v/>
      </c>
      <c r="AJ567" s="46" t="str">
        <f t="shared" si="232"/>
        <v/>
      </c>
      <c r="AK567" s="46" t="str">
        <f t="shared" si="233"/>
        <v/>
      </c>
      <c r="AL567" s="46" t="str">
        <f t="shared" si="234"/>
        <v/>
      </c>
      <c r="AM567" s="46" t="str">
        <f t="shared" si="235"/>
        <v/>
      </c>
      <c r="AN567" s="46" t="str">
        <f t="shared" si="236"/>
        <v/>
      </c>
      <c r="AO567" s="46" t="str">
        <f t="shared" si="237"/>
        <v/>
      </c>
      <c r="AP567" s="46" t="str">
        <f t="shared" si="238"/>
        <v/>
      </c>
      <c r="AQ567" s="46" t="str">
        <f t="shared" si="239"/>
        <v/>
      </c>
      <c r="AR567" s="46" t="str">
        <f t="shared" si="240"/>
        <v/>
      </c>
      <c r="AS567" s="46" t="str">
        <f t="shared" si="241"/>
        <v/>
      </c>
      <c r="AT567" s="46" t="str">
        <f t="shared" si="242"/>
        <v/>
      </c>
      <c r="AU567" s="46" t="str">
        <f t="shared" si="243"/>
        <v/>
      </c>
      <c r="AV567" s="46" t="str">
        <f t="shared" si="244"/>
        <v/>
      </c>
      <c r="AW567" s="46" t="str">
        <f t="shared" si="245"/>
        <v/>
      </c>
    </row>
    <row r="568" spans="4:49">
      <c r="D568" s="34"/>
      <c r="E568" s="34"/>
      <c r="F568" s="34"/>
      <c r="G568" s="34"/>
      <c r="H568" s="4"/>
      <c r="I568" s="4"/>
      <c r="J568" s="4"/>
      <c r="K568" s="3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37"/>
      <c r="X568" s="1"/>
      <c r="Y568" s="18">
        <f t="shared" si="221"/>
        <v>0</v>
      </c>
      <c r="Z568" s="21">
        <f t="shared" si="222"/>
        <v>0</v>
      </c>
      <c r="AA568" s="10">
        <f t="shared" si="223"/>
        <v>0</v>
      </c>
      <c r="AB568" s="10">
        <f t="shared" si="224"/>
        <v>0</v>
      </c>
      <c r="AC568" s="10">
        <f t="shared" si="225"/>
        <v>0</v>
      </c>
      <c r="AD568" s="46" t="str">
        <f t="shared" si="226"/>
        <v/>
      </c>
      <c r="AE568" s="46" t="str">
        <f t="shared" si="227"/>
        <v/>
      </c>
      <c r="AF568" s="46" t="str">
        <f t="shared" si="228"/>
        <v/>
      </c>
      <c r="AG568" s="46" t="str">
        <f t="shared" si="229"/>
        <v/>
      </c>
      <c r="AH568" s="46" t="str">
        <f t="shared" si="230"/>
        <v/>
      </c>
      <c r="AI568" s="46" t="str">
        <f t="shared" si="231"/>
        <v/>
      </c>
      <c r="AJ568" s="46" t="str">
        <f t="shared" si="232"/>
        <v/>
      </c>
      <c r="AK568" s="46" t="str">
        <f t="shared" si="233"/>
        <v/>
      </c>
      <c r="AL568" s="46" t="str">
        <f t="shared" si="234"/>
        <v/>
      </c>
      <c r="AM568" s="46" t="str">
        <f t="shared" si="235"/>
        <v/>
      </c>
      <c r="AN568" s="46" t="str">
        <f t="shared" si="236"/>
        <v/>
      </c>
      <c r="AO568" s="46" t="str">
        <f t="shared" si="237"/>
        <v/>
      </c>
      <c r="AP568" s="46" t="str">
        <f t="shared" si="238"/>
        <v/>
      </c>
      <c r="AQ568" s="46" t="str">
        <f t="shared" si="239"/>
        <v/>
      </c>
      <c r="AR568" s="46" t="str">
        <f t="shared" si="240"/>
        <v/>
      </c>
      <c r="AS568" s="46" t="str">
        <f t="shared" si="241"/>
        <v/>
      </c>
      <c r="AT568" s="46" t="str">
        <f t="shared" si="242"/>
        <v/>
      </c>
      <c r="AU568" s="46" t="str">
        <f t="shared" si="243"/>
        <v/>
      </c>
      <c r="AV568" s="46" t="str">
        <f t="shared" si="244"/>
        <v/>
      </c>
      <c r="AW568" s="46" t="str">
        <f t="shared" si="245"/>
        <v/>
      </c>
    </row>
    <row r="569" spans="4:49">
      <c r="D569" s="34"/>
      <c r="E569" s="34"/>
      <c r="F569" s="34"/>
      <c r="G569" s="34"/>
      <c r="H569" s="4"/>
      <c r="I569" s="4"/>
      <c r="J569" s="4"/>
      <c r="K569" s="3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37"/>
      <c r="X569" s="1"/>
      <c r="Y569" s="18">
        <f t="shared" si="221"/>
        <v>0</v>
      </c>
      <c r="Z569" s="21">
        <f t="shared" si="222"/>
        <v>0</v>
      </c>
      <c r="AA569" s="10">
        <f t="shared" si="223"/>
        <v>0</v>
      </c>
      <c r="AB569" s="10">
        <f t="shared" si="224"/>
        <v>0</v>
      </c>
      <c r="AC569" s="10">
        <f t="shared" si="225"/>
        <v>0</v>
      </c>
      <c r="AD569" s="46" t="str">
        <f t="shared" si="226"/>
        <v/>
      </c>
      <c r="AE569" s="46" t="str">
        <f t="shared" si="227"/>
        <v/>
      </c>
      <c r="AF569" s="46" t="str">
        <f t="shared" si="228"/>
        <v/>
      </c>
      <c r="AG569" s="46" t="str">
        <f t="shared" si="229"/>
        <v/>
      </c>
      <c r="AH569" s="46" t="str">
        <f t="shared" si="230"/>
        <v/>
      </c>
      <c r="AI569" s="46" t="str">
        <f t="shared" si="231"/>
        <v/>
      </c>
      <c r="AJ569" s="46" t="str">
        <f t="shared" si="232"/>
        <v/>
      </c>
      <c r="AK569" s="46" t="str">
        <f t="shared" si="233"/>
        <v/>
      </c>
      <c r="AL569" s="46" t="str">
        <f t="shared" si="234"/>
        <v/>
      </c>
      <c r="AM569" s="46" t="str">
        <f t="shared" si="235"/>
        <v/>
      </c>
      <c r="AN569" s="46" t="str">
        <f t="shared" si="236"/>
        <v/>
      </c>
      <c r="AO569" s="46" t="str">
        <f t="shared" si="237"/>
        <v/>
      </c>
      <c r="AP569" s="46" t="str">
        <f t="shared" si="238"/>
        <v/>
      </c>
      <c r="AQ569" s="46" t="str">
        <f t="shared" si="239"/>
        <v/>
      </c>
      <c r="AR569" s="46" t="str">
        <f t="shared" si="240"/>
        <v/>
      </c>
      <c r="AS569" s="46" t="str">
        <f t="shared" si="241"/>
        <v/>
      </c>
      <c r="AT569" s="46" t="str">
        <f t="shared" si="242"/>
        <v/>
      </c>
      <c r="AU569" s="46" t="str">
        <f t="shared" si="243"/>
        <v/>
      </c>
      <c r="AV569" s="46" t="str">
        <f t="shared" si="244"/>
        <v/>
      </c>
      <c r="AW569" s="46" t="str">
        <f t="shared" si="245"/>
        <v/>
      </c>
    </row>
    <row r="570" spans="4:49">
      <c r="D570" s="34"/>
      <c r="E570" s="34"/>
      <c r="F570" s="34"/>
      <c r="G570" s="34"/>
      <c r="H570" s="4"/>
      <c r="I570" s="4"/>
      <c r="J570" s="4"/>
      <c r="K570" s="3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37"/>
      <c r="X570" s="1"/>
      <c r="Y570" s="18">
        <f t="shared" si="221"/>
        <v>0</v>
      </c>
      <c r="Z570" s="21">
        <f t="shared" si="222"/>
        <v>0</v>
      </c>
      <c r="AA570" s="10">
        <f t="shared" si="223"/>
        <v>0</v>
      </c>
      <c r="AB570" s="10">
        <f t="shared" si="224"/>
        <v>0</v>
      </c>
      <c r="AC570" s="10">
        <f t="shared" si="225"/>
        <v>0</v>
      </c>
      <c r="AD570" s="46" t="str">
        <f t="shared" si="226"/>
        <v/>
      </c>
      <c r="AE570" s="46" t="str">
        <f t="shared" si="227"/>
        <v/>
      </c>
      <c r="AF570" s="46" t="str">
        <f t="shared" si="228"/>
        <v/>
      </c>
      <c r="AG570" s="46" t="str">
        <f t="shared" si="229"/>
        <v/>
      </c>
      <c r="AH570" s="46" t="str">
        <f t="shared" si="230"/>
        <v/>
      </c>
      <c r="AI570" s="46" t="str">
        <f t="shared" si="231"/>
        <v/>
      </c>
      <c r="AJ570" s="46" t="str">
        <f t="shared" si="232"/>
        <v/>
      </c>
      <c r="AK570" s="46" t="str">
        <f t="shared" si="233"/>
        <v/>
      </c>
      <c r="AL570" s="46" t="str">
        <f t="shared" si="234"/>
        <v/>
      </c>
      <c r="AM570" s="46" t="str">
        <f t="shared" si="235"/>
        <v/>
      </c>
      <c r="AN570" s="46" t="str">
        <f t="shared" si="236"/>
        <v/>
      </c>
      <c r="AO570" s="46" t="str">
        <f t="shared" si="237"/>
        <v/>
      </c>
      <c r="AP570" s="46" t="str">
        <f t="shared" si="238"/>
        <v/>
      </c>
      <c r="AQ570" s="46" t="str">
        <f t="shared" si="239"/>
        <v/>
      </c>
      <c r="AR570" s="46" t="str">
        <f t="shared" si="240"/>
        <v/>
      </c>
      <c r="AS570" s="46" t="str">
        <f t="shared" si="241"/>
        <v/>
      </c>
      <c r="AT570" s="46" t="str">
        <f t="shared" si="242"/>
        <v/>
      </c>
      <c r="AU570" s="46" t="str">
        <f t="shared" si="243"/>
        <v/>
      </c>
      <c r="AV570" s="46" t="str">
        <f t="shared" si="244"/>
        <v/>
      </c>
      <c r="AW570" s="46" t="str">
        <f t="shared" si="245"/>
        <v/>
      </c>
    </row>
    <row r="571" spans="4:49">
      <c r="D571" s="34"/>
      <c r="E571" s="34"/>
      <c r="F571" s="34"/>
      <c r="G571" s="34"/>
      <c r="H571" s="4"/>
      <c r="I571" s="4"/>
      <c r="J571" s="4"/>
      <c r="K571" s="3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37"/>
      <c r="X571" s="1"/>
      <c r="Y571" s="18">
        <f t="shared" si="221"/>
        <v>0</v>
      </c>
      <c r="Z571" s="21">
        <f t="shared" si="222"/>
        <v>0</v>
      </c>
      <c r="AA571" s="10">
        <f t="shared" si="223"/>
        <v>0</v>
      </c>
      <c r="AB571" s="10">
        <f t="shared" si="224"/>
        <v>0</v>
      </c>
      <c r="AC571" s="10">
        <f t="shared" si="225"/>
        <v>0</v>
      </c>
      <c r="AD571" s="46" t="str">
        <f t="shared" si="226"/>
        <v/>
      </c>
      <c r="AE571" s="46" t="str">
        <f t="shared" si="227"/>
        <v/>
      </c>
      <c r="AF571" s="46" t="str">
        <f t="shared" si="228"/>
        <v/>
      </c>
      <c r="AG571" s="46" t="str">
        <f t="shared" si="229"/>
        <v/>
      </c>
      <c r="AH571" s="46" t="str">
        <f t="shared" si="230"/>
        <v/>
      </c>
      <c r="AI571" s="46" t="str">
        <f t="shared" si="231"/>
        <v/>
      </c>
      <c r="AJ571" s="46" t="str">
        <f t="shared" si="232"/>
        <v/>
      </c>
      <c r="AK571" s="46" t="str">
        <f t="shared" si="233"/>
        <v/>
      </c>
      <c r="AL571" s="46" t="str">
        <f t="shared" si="234"/>
        <v/>
      </c>
      <c r="AM571" s="46" t="str">
        <f t="shared" si="235"/>
        <v/>
      </c>
      <c r="AN571" s="46" t="str">
        <f t="shared" si="236"/>
        <v/>
      </c>
      <c r="AO571" s="46" t="str">
        <f t="shared" si="237"/>
        <v/>
      </c>
      <c r="AP571" s="46" t="str">
        <f t="shared" si="238"/>
        <v/>
      </c>
      <c r="AQ571" s="46" t="str">
        <f t="shared" si="239"/>
        <v/>
      </c>
      <c r="AR571" s="46" t="str">
        <f t="shared" si="240"/>
        <v/>
      </c>
      <c r="AS571" s="46" t="str">
        <f t="shared" si="241"/>
        <v/>
      </c>
      <c r="AT571" s="46" t="str">
        <f t="shared" si="242"/>
        <v/>
      </c>
      <c r="AU571" s="46" t="str">
        <f t="shared" si="243"/>
        <v/>
      </c>
      <c r="AV571" s="46" t="str">
        <f t="shared" si="244"/>
        <v/>
      </c>
      <c r="AW571" s="46" t="str">
        <f t="shared" si="245"/>
        <v/>
      </c>
    </row>
    <row r="572" spans="4:49">
      <c r="D572" s="34"/>
      <c r="E572" s="34"/>
      <c r="F572" s="34"/>
      <c r="G572" s="34"/>
      <c r="H572" s="4"/>
      <c r="I572" s="4"/>
      <c r="J572" s="4"/>
      <c r="K572" s="3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37"/>
      <c r="X572" s="1"/>
      <c r="Y572" s="18">
        <f t="shared" si="221"/>
        <v>0</v>
      </c>
      <c r="Z572" s="21">
        <f t="shared" si="222"/>
        <v>0</v>
      </c>
      <c r="AA572" s="10">
        <f t="shared" si="223"/>
        <v>0</v>
      </c>
      <c r="AB572" s="10">
        <f t="shared" si="224"/>
        <v>0</v>
      </c>
      <c r="AC572" s="10">
        <f t="shared" si="225"/>
        <v>0</v>
      </c>
      <c r="AD572" s="46" t="str">
        <f t="shared" si="226"/>
        <v/>
      </c>
      <c r="AE572" s="46" t="str">
        <f t="shared" si="227"/>
        <v/>
      </c>
      <c r="AF572" s="46" t="str">
        <f t="shared" si="228"/>
        <v/>
      </c>
      <c r="AG572" s="46" t="str">
        <f t="shared" si="229"/>
        <v/>
      </c>
      <c r="AH572" s="46" t="str">
        <f t="shared" si="230"/>
        <v/>
      </c>
      <c r="AI572" s="46" t="str">
        <f t="shared" si="231"/>
        <v/>
      </c>
      <c r="AJ572" s="46" t="str">
        <f t="shared" si="232"/>
        <v/>
      </c>
      <c r="AK572" s="46" t="str">
        <f t="shared" si="233"/>
        <v/>
      </c>
      <c r="AL572" s="46" t="str">
        <f t="shared" si="234"/>
        <v/>
      </c>
      <c r="AM572" s="46" t="str">
        <f t="shared" si="235"/>
        <v/>
      </c>
      <c r="AN572" s="46" t="str">
        <f t="shared" si="236"/>
        <v/>
      </c>
      <c r="AO572" s="46" t="str">
        <f t="shared" si="237"/>
        <v/>
      </c>
      <c r="AP572" s="46" t="str">
        <f t="shared" si="238"/>
        <v/>
      </c>
      <c r="AQ572" s="46" t="str">
        <f t="shared" si="239"/>
        <v/>
      </c>
      <c r="AR572" s="46" t="str">
        <f t="shared" si="240"/>
        <v/>
      </c>
      <c r="AS572" s="46" t="str">
        <f t="shared" si="241"/>
        <v/>
      </c>
      <c r="AT572" s="46" t="str">
        <f t="shared" si="242"/>
        <v/>
      </c>
      <c r="AU572" s="46" t="str">
        <f t="shared" si="243"/>
        <v/>
      </c>
      <c r="AV572" s="46" t="str">
        <f t="shared" si="244"/>
        <v/>
      </c>
      <c r="AW572" s="46" t="str">
        <f t="shared" si="245"/>
        <v/>
      </c>
    </row>
    <row r="573" spans="4:49">
      <c r="D573" s="34"/>
      <c r="E573" s="34"/>
      <c r="F573" s="34"/>
      <c r="G573" s="34"/>
      <c r="H573" s="4"/>
      <c r="I573" s="4"/>
      <c r="J573" s="4"/>
      <c r="K573" s="3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37"/>
      <c r="X573" s="1"/>
      <c r="Y573" s="18">
        <f t="shared" si="221"/>
        <v>0</v>
      </c>
      <c r="Z573" s="21">
        <f t="shared" si="222"/>
        <v>0</v>
      </c>
      <c r="AA573" s="10">
        <f t="shared" si="223"/>
        <v>0</v>
      </c>
      <c r="AB573" s="10">
        <f t="shared" si="224"/>
        <v>0</v>
      </c>
      <c r="AC573" s="10">
        <f t="shared" si="225"/>
        <v>0</v>
      </c>
      <c r="AD573" s="46" t="str">
        <f t="shared" si="226"/>
        <v/>
      </c>
      <c r="AE573" s="46" t="str">
        <f t="shared" si="227"/>
        <v/>
      </c>
      <c r="AF573" s="46" t="str">
        <f t="shared" si="228"/>
        <v/>
      </c>
      <c r="AG573" s="46" t="str">
        <f t="shared" si="229"/>
        <v/>
      </c>
      <c r="AH573" s="46" t="str">
        <f t="shared" si="230"/>
        <v/>
      </c>
      <c r="AI573" s="46" t="str">
        <f t="shared" si="231"/>
        <v/>
      </c>
      <c r="AJ573" s="46" t="str">
        <f t="shared" si="232"/>
        <v/>
      </c>
      <c r="AK573" s="46" t="str">
        <f t="shared" si="233"/>
        <v/>
      </c>
      <c r="AL573" s="46" t="str">
        <f t="shared" si="234"/>
        <v/>
      </c>
      <c r="AM573" s="46" t="str">
        <f t="shared" si="235"/>
        <v/>
      </c>
      <c r="AN573" s="46" t="str">
        <f t="shared" si="236"/>
        <v/>
      </c>
      <c r="AO573" s="46" t="str">
        <f t="shared" si="237"/>
        <v/>
      </c>
      <c r="AP573" s="46" t="str">
        <f t="shared" si="238"/>
        <v/>
      </c>
      <c r="AQ573" s="46" t="str">
        <f t="shared" si="239"/>
        <v/>
      </c>
      <c r="AR573" s="46" t="str">
        <f t="shared" si="240"/>
        <v/>
      </c>
      <c r="AS573" s="46" t="str">
        <f t="shared" si="241"/>
        <v/>
      </c>
      <c r="AT573" s="46" t="str">
        <f t="shared" si="242"/>
        <v/>
      </c>
      <c r="AU573" s="46" t="str">
        <f t="shared" si="243"/>
        <v/>
      </c>
      <c r="AV573" s="46" t="str">
        <f t="shared" si="244"/>
        <v/>
      </c>
      <c r="AW573" s="46" t="str">
        <f t="shared" si="245"/>
        <v/>
      </c>
    </row>
    <row r="574" spans="4:49">
      <c r="D574" s="34"/>
      <c r="E574" s="34"/>
      <c r="F574" s="34"/>
      <c r="G574" s="34"/>
      <c r="H574" s="4"/>
      <c r="I574" s="4"/>
      <c r="J574" s="4"/>
      <c r="K574" s="3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37"/>
      <c r="X574" s="1"/>
      <c r="Y574" s="18">
        <f t="shared" si="221"/>
        <v>0</v>
      </c>
      <c r="Z574" s="21">
        <f t="shared" si="222"/>
        <v>0</v>
      </c>
      <c r="AA574" s="10">
        <f t="shared" si="223"/>
        <v>0</v>
      </c>
      <c r="AB574" s="10">
        <f t="shared" si="224"/>
        <v>0</v>
      </c>
      <c r="AC574" s="10">
        <f t="shared" si="225"/>
        <v>0</v>
      </c>
      <c r="AD574" s="46" t="str">
        <f t="shared" si="226"/>
        <v/>
      </c>
      <c r="AE574" s="46" t="str">
        <f t="shared" si="227"/>
        <v/>
      </c>
      <c r="AF574" s="46" t="str">
        <f t="shared" si="228"/>
        <v/>
      </c>
      <c r="AG574" s="46" t="str">
        <f t="shared" si="229"/>
        <v/>
      </c>
      <c r="AH574" s="46" t="str">
        <f t="shared" si="230"/>
        <v/>
      </c>
      <c r="AI574" s="46" t="str">
        <f t="shared" si="231"/>
        <v/>
      </c>
      <c r="AJ574" s="46" t="str">
        <f t="shared" si="232"/>
        <v/>
      </c>
      <c r="AK574" s="46" t="str">
        <f t="shared" si="233"/>
        <v/>
      </c>
      <c r="AL574" s="46" t="str">
        <f t="shared" si="234"/>
        <v/>
      </c>
      <c r="AM574" s="46" t="str">
        <f t="shared" si="235"/>
        <v/>
      </c>
      <c r="AN574" s="46" t="str">
        <f t="shared" si="236"/>
        <v/>
      </c>
      <c r="AO574" s="46" t="str">
        <f t="shared" si="237"/>
        <v/>
      </c>
      <c r="AP574" s="46" t="str">
        <f t="shared" si="238"/>
        <v/>
      </c>
      <c r="AQ574" s="46" t="str">
        <f t="shared" si="239"/>
        <v/>
      </c>
      <c r="AR574" s="46" t="str">
        <f t="shared" si="240"/>
        <v/>
      </c>
      <c r="AS574" s="46" t="str">
        <f t="shared" si="241"/>
        <v/>
      </c>
      <c r="AT574" s="46" t="str">
        <f t="shared" si="242"/>
        <v/>
      </c>
      <c r="AU574" s="46" t="str">
        <f t="shared" si="243"/>
        <v/>
      </c>
      <c r="AV574" s="46" t="str">
        <f t="shared" si="244"/>
        <v/>
      </c>
      <c r="AW574" s="46" t="str">
        <f t="shared" si="245"/>
        <v/>
      </c>
    </row>
    <row r="575" spans="4:49">
      <c r="D575" s="34"/>
      <c r="E575" s="34"/>
      <c r="F575" s="34"/>
      <c r="G575" s="34"/>
      <c r="H575" s="4"/>
      <c r="I575" s="4"/>
      <c r="J575" s="4"/>
      <c r="K575" s="3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37"/>
      <c r="X575" s="1"/>
      <c r="Y575" s="18">
        <f t="shared" si="221"/>
        <v>0</v>
      </c>
      <c r="Z575" s="21">
        <f t="shared" si="222"/>
        <v>0</v>
      </c>
      <c r="AA575" s="10">
        <f t="shared" si="223"/>
        <v>0</v>
      </c>
      <c r="AB575" s="10">
        <f t="shared" si="224"/>
        <v>0</v>
      </c>
      <c r="AC575" s="10">
        <f t="shared" si="225"/>
        <v>0</v>
      </c>
      <c r="AD575" s="46" t="str">
        <f t="shared" si="226"/>
        <v/>
      </c>
      <c r="AE575" s="46" t="str">
        <f t="shared" si="227"/>
        <v/>
      </c>
      <c r="AF575" s="46" t="str">
        <f t="shared" si="228"/>
        <v/>
      </c>
      <c r="AG575" s="46" t="str">
        <f t="shared" si="229"/>
        <v/>
      </c>
      <c r="AH575" s="46" t="str">
        <f t="shared" si="230"/>
        <v/>
      </c>
      <c r="AI575" s="46" t="str">
        <f t="shared" si="231"/>
        <v/>
      </c>
      <c r="AJ575" s="46" t="str">
        <f t="shared" si="232"/>
        <v/>
      </c>
      <c r="AK575" s="46" t="str">
        <f t="shared" si="233"/>
        <v/>
      </c>
      <c r="AL575" s="46" t="str">
        <f t="shared" si="234"/>
        <v/>
      </c>
      <c r="AM575" s="46" t="str">
        <f t="shared" si="235"/>
        <v/>
      </c>
      <c r="AN575" s="46" t="str">
        <f t="shared" si="236"/>
        <v/>
      </c>
      <c r="AO575" s="46" t="str">
        <f t="shared" si="237"/>
        <v/>
      </c>
      <c r="AP575" s="46" t="str">
        <f t="shared" si="238"/>
        <v/>
      </c>
      <c r="AQ575" s="46" t="str">
        <f t="shared" si="239"/>
        <v/>
      </c>
      <c r="AR575" s="46" t="str">
        <f t="shared" si="240"/>
        <v/>
      </c>
      <c r="AS575" s="46" t="str">
        <f t="shared" si="241"/>
        <v/>
      </c>
      <c r="AT575" s="46" t="str">
        <f t="shared" si="242"/>
        <v/>
      </c>
      <c r="AU575" s="46" t="str">
        <f t="shared" si="243"/>
        <v/>
      </c>
      <c r="AV575" s="46" t="str">
        <f t="shared" si="244"/>
        <v/>
      </c>
      <c r="AW575" s="46" t="str">
        <f t="shared" si="245"/>
        <v/>
      </c>
    </row>
    <row r="576" spans="4:49">
      <c r="D576" s="34"/>
      <c r="E576" s="34"/>
      <c r="F576" s="34"/>
      <c r="G576" s="34"/>
      <c r="H576" s="4"/>
      <c r="I576" s="4"/>
      <c r="J576" s="4"/>
      <c r="K576" s="3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37"/>
      <c r="X576" s="1"/>
      <c r="Y576" s="18">
        <f t="shared" si="221"/>
        <v>0</v>
      </c>
      <c r="Z576" s="21">
        <f t="shared" si="222"/>
        <v>0</v>
      </c>
      <c r="AA576" s="10">
        <f t="shared" si="223"/>
        <v>0</v>
      </c>
      <c r="AB576" s="10">
        <f t="shared" si="224"/>
        <v>0</v>
      </c>
      <c r="AC576" s="10">
        <f t="shared" si="225"/>
        <v>0</v>
      </c>
      <c r="AD576" s="46" t="str">
        <f t="shared" si="226"/>
        <v/>
      </c>
      <c r="AE576" s="46" t="str">
        <f t="shared" si="227"/>
        <v/>
      </c>
      <c r="AF576" s="46" t="str">
        <f t="shared" si="228"/>
        <v/>
      </c>
      <c r="AG576" s="46" t="str">
        <f t="shared" si="229"/>
        <v/>
      </c>
      <c r="AH576" s="46" t="str">
        <f t="shared" si="230"/>
        <v/>
      </c>
      <c r="AI576" s="46" t="str">
        <f t="shared" si="231"/>
        <v/>
      </c>
      <c r="AJ576" s="46" t="str">
        <f t="shared" si="232"/>
        <v/>
      </c>
      <c r="AK576" s="46" t="str">
        <f t="shared" si="233"/>
        <v/>
      </c>
      <c r="AL576" s="46" t="str">
        <f t="shared" si="234"/>
        <v/>
      </c>
      <c r="AM576" s="46" t="str">
        <f t="shared" si="235"/>
        <v/>
      </c>
      <c r="AN576" s="46" t="str">
        <f t="shared" si="236"/>
        <v/>
      </c>
      <c r="AO576" s="46" t="str">
        <f t="shared" si="237"/>
        <v/>
      </c>
      <c r="AP576" s="46" t="str">
        <f t="shared" si="238"/>
        <v/>
      </c>
      <c r="AQ576" s="46" t="str">
        <f t="shared" si="239"/>
        <v/>
      </c>
      <c r="AR576" s="46" t="str">
        <f t="shared" si="240"/>
        <v/>
      </c>
      <c r="AS576" s="46" t="str">
        <f t="shared" si="241"/>
        <v/>
      </c>
      <c r="AT576" s="46" t="str">
        <f t="shared" si="242"/>
        <v/>
      </c>
      <c r="AU576" s="46" t="str">
        <f t="shared" si="243"/>
        <v/>
      </c>
      <c r="AV576" s="46" t="str">
        <f t="shared" si="244"/>
        <v/>
      </c>
      <c r="AW576" s="46" t="str">
        <f t="shared" si="245"/>
        <v/>
      </c>
    </row>
    <row r="577" spans="4:49">
      <c r="D577" s="34"/>
      <c r="E577" s="34"/>
      <c r="F577" s="34"/>
      <c r="G577" s="34"/>
      <c r="H577" s="4"/>
      <c r="I577" s="4"/>
      <c r="J577" s="4"/>
      <c r="K577" s="3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37"/>
      <c r="X577" s="1"/>
      <c r="Y577" s="18">
        <f t="shared" si="221"/>
        <v>0</v>
      </c>
      <c r="Z577" s="21">
        <f t="shared" si="222"/>
        <v>0</v>
      </c>
      <c r="AA577" s="10">
        <f t="shared" si="223"/>
        <v>0</v>
      </c>
      <c r="AB577" s="10">
        <f t="shared" si="224"/>
        <v>0</v>
      </c>
      <c r="AC577" s="10">
        <f t="shared" si="225"/>
        <v>0</v>
      </c>
      <c r="AD577" s="46" t="str">
        <f t="shared" si="226"/>
        <v/>
      </c>
      <c r="AE577" s="46" t="str">
        <f t="shared" si="227"/>
        <v/>
      </c>
      <c r="AF577" s="46" t="str">
        <f t="shared" si="228"/>
        <v/>
      </c>
      <c r="AG577" s="46" t="str">
        <f t="shared" si="229"/>
        <v/>
      </c>
      <c r="AH577" s="46" t="str">
        <f t="shared" si="230"/>
        <v/>
      </c>
      <c r="AI577" s="46" t="str">
        <f t="shared" si="231"/>
        <v/>
      </c>
      <c r="AJ577" s="46" t="str">
        <f t="shared" si="232"/>
        <v/>
      </c>
      <c r="AK577" s="46" t="str">
        <f t="shared" si="233"/>
        <v/>
      </c>
      <c r="AL577" s="46" t="str">
        <f t="shared" si="234"/>
        <v/>
      </c>
      <c r="AM577" s="46" t="str">
        <f t="shared" si="235"/>
        <v/>
      </c>
      <c r="AN577" s="46" t="str">
        <f t="shared" si="236"/>
        <v/>
      </c>
      <c r="AO577" s="46" t="str">
        <f t="shared" si="237"/>
        <v/>
      </c>
      <c r="AP577" s="46" t="str">
        <f t="shared" si="238"/>
        <v/>
      </c>
      <c r="AQ577" s="46" t="str">
        <f t="shared" si="239"/>
        <v/>
      </c>
      <c r="AR577" s="46" t="str">
        <f t="shared" si="240"/>
        <v/>
      </c>
      <c r="AS577" s="46" t="str">
        <f t="shared" si="241"/>
        <v/>
      </c>
      <c r="AT577" s="46" t="str">
        <f t="shared" si="242"/>
        <v/>
      </c>
      <c r="AU577" s="46" t="str">
        <f t="shared" si="243"/>
        <v/>
      </c>
      <c r="AV577" s="46" t="str">
        <f t="shared" si="244"/>
        <v/>
      </c>
      <c r="AW577" s="46" t="str">
        <f t="shared" si="245"/>
        <v/>
      </c>
    </row>
    <row r="578" spans="4:49">
      <c r="D578" s="34"/>
      <c r="E578" s="34"/>
      <c r="F578" s="34"/>
      <c r="G578" s="34"/>
      <c r="H578" s="4"/>
      <c r="I578" s="4"/>
      <c r="J578" s="4"/>
      <c r="K578" s="3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37"/>
      <c r="X578" s="1"/>
      <c r="Y578" s="18">
        <f t="shared" si="221"/>
        <v>0</v>
      </c>
      <c r="Z578" s="21">
        <f t="shared" si="222"/>
        <v>0</v>
      </c>
      <c r="AA578" s="10">
        <f t="shared" si="223"/>
        <v>0</v>
      </c>
      <c r="AB578" s="10">
        <f t="shared" si="224"/>
        <v>0</v>
      </c>
      <c r="AC578" s="10">
        <f t="shared" si="225"/>
        <v>0</v>
      </c>
      <c r="AD578" s="46" t="str">
        <f t="shared" si="226"/>
        <v/>
      </c>
      <c r="AE578" s="46" t="str">
        <f t="shared" si="227"/>
        <v/>
      </c>
      <c r="AF578" s="46" t="str">
        <f t="shared" si="228"/>
        <v/>
      </c>
      <c r="AG578" s="46" t="str">
        <f t="shared" si="229"/>
        <v/>
      </c>
      <c r="AH578" s="46" t="str">
        <f t="shared" si="230"/>
        <v/>
      </c>
      <c r="AI578" s="46" t="str">
        <f t="shared" si="231"/>
        <v/>
      </c>
      <c r="AJ578" s="46" t="str">
        <f t="shared" si="232"/>
        <v/>
      </c>
      <c r="AK578" s="46" t="str">
        <f t="shared" si="233"/>
        <v/>
      </c>
      <c r="AL578" s="46" t="str">
        <f t="shared" si="234"/>
        <v/>
      </c>
      <c r="AM578" s="46" t="str">
        <f t="shared" si="235"/>
        <v/>
      </c>
      <c r="AN578" s="46" t="str">
        <f t="shared" si="236"/>
        <v/>
      </c>
      <c r="AO578" s="46" t="str">
        <f t="shared" si="237"/>
        <v/>
      </c>
      <c r="AP578" s="46" t="str">
        <f t="shared" si="238"/>
        <v/>
      </c>
      <c r="AQ578" s="46" t="str">
        <f t="shared" si="239"/>
        <v/>
      </c>
      <c r="AR578" s="46" t="str">
        <f t="shared" si="240"/>
        <v/>
      </c>
      <c r="AS578" s="46" t="str">
        <f t="shared" si="241"/>
        <v/>
      </c>
      <c r="AT578" s="46" t="str">
        <f t="shared" si="242"/>
        <v/>
      </c>
      <c r="AU578" s="46" t="str">
        <f t="shared" si="243"/>
        <v/>
      </c>
      <c r="AV578" s="46" t="str">
        <f t="shared" si="244"/>
        <v/>
      </c>
      <c r="AW578" s="46" t="str">
        <f t="shared" si="245"/>
        <v/>
      </c>
    </row>
    <row r="579" spans="4:49">
      <c r="D579" s="34"/>
      <c r="E579" s="34"/>
      <c r="F579" s="34"/>
      <c r="G579" s="34"/>
      <c r="H579" s="4"/>
      <c r="I579" s="4"/>
      <c r="J579" s="4"/>
      <c r="K579" s="3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37"/>
      <c r="X579" s="1"/>
      <c r="Y579" s="18">
        <f t="shared" si="221"/>
        <v>0</v>
      </c>
      <c r="Z579" s="21">
        <f t="shared" si="222"/>
        <v>0</v>
      </c>
      <c r="AA579" s="10">
        <f t="shared" si="223"/>
        <v>0</v>
      </c>
      <c r="AB579" s="10">
        <f t="shared" si="224"/>
        <v>0</v>
      </c>
      <c r="AC579" s="10">
        <f t="shared" si="225"/>
        <v>0</v>
      </c>
      <c r="AD579" s="46" t="str">
        <f t="shared" si="226"/>
        <v/>
      </c>
      <c r="AE579" s="46" t="str">
        <f t="shared" si="227"/>
        <v/>
      </c>
      <c r="AF579" s="46" t="str">
        <f t="shared" si="228"/>
        <v/>
      </c>
      <c r="AG579" s="46" t="str">
        <f t="shared" si="229"/>
        <v/>
      </c>
      <c r="AH579" s="46" t="str">
        <f t="shared" si="230"/>
        <v/>
      </c>
      <c r="AI579" s="46" t="str">
        <f t="shared" si="231"/>
        <v/>
      </c>
      <c r="AJ579" s="46" t="str">
        <f t="shared" si="232"/>
        <v/>
      </c>
      <c r="AK579" s="46" t="str">
        <f t="shared" si="233"/>
        <v/>
      </c>
      <c r="AL579" s="46" t="str">
        <f t="shared" si="234"/>
        <v/>
      </c>
      <c r="AM579" s="46" t="str">
        <f t="shared" si="235"/>
        <v/>
      </c>
      <c r="AN579" s="46" t="str">
        <f t="shared" si="236"/>
        <v/>
      </c>
      <c r="AO579" s="46" t="str">
        <f t="shared" si="237"/>
        <v/>
      </c>
      <c r="AP579" s="46" t="str">
        <f t="shared" si="238"/>
        <v/>
      </c>
      <c r="AQ579" s="46" t="str">
        <f t="shared" si="239"/>
        <v/>
      </c>
      <c r="AR579" s="46" t="str">
        <f t="shared" si="240"/>
        <v/>
      </c>
      <c r="AS579" s="46" t="str">
        <f t="shared" si="241"/>
        <v/>
      </c>
      <c r="AT579" s="46" t="str">
        <f t="shared" si="242"/>
        <v/>
      </c>
      <c r="AU579" s="46" t="str">
        <f t="shared" si="243"/>
        <v/>
      </c>
      <c r="AV579" s="46" t="str">
        <f t="shared" si="244"/>
        <v/>
      </c>
      <c r="AW579" s="46" t="str">
        <f t="shared" si="245"/>
        <v/>
      </c>
    </row>
    <row r="580" spans="4:49">
      <c r="D580" s="34"/>
      <c r="E580" s="34"/>
      <c r="F580" s="34"/>
      <c r="G580" s="34"/>
      <c r="H580" s="4"/>
      <c r="I580" s="4"/>
      <c r="J580" s="4"/>
      <c r="K580" s="3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37"/>
      <c r="X580" s="1"/>
      <c r="Y580" s="18">
        <f t="shared" ref="Y580:Y602" si="246">COUNTA(D580:V580)-X580</f>
        <v>0</v>
      </c>
      <c r="Z580" s="21">
        <f t="shared" ref="Z580:Z602" si="247">IF(W580&lt;&gt;"",0.0001,IF(X580+Y580=0,0,IF(X580=0,70+(Y580*50),IF(X580&gt;0,80+(Y580*50)))))</f>
        <v>0</v>
      </c>
      <c r="AA580" s="10">
        <f t="shared" ref="AA580:AA602" si="248">COUNTA(K580:V580)</f>
        <v>0</v>
      </c>
      <c r="AB580" s="10">
        <f t="shared" ref="AB580:AB602" si="249">COUNTA(K580:P580)</f>
        <v>0</v>
      </c>
      <c r="AC580" s="10">
        <f t="shared" ref="AC580:AC602" si="250">COUNTA(Q580:U580)</f>
        <v>0</v>
      </c>
      <c r="AD580" s="46" t="str">
        <f t="shared" ref="AD580:AD602" si="251">IF(AND(B580="Feminino",C580&gt;=$AY$2,C580&lt;=$AZ$2),$AY$3,IF(AND(B580="Masculino",C580&gt;=$AY$2,C580&lt;=$AZ$2),$AZ$3,IF(AND(B580="Feminino",C580&gt;=$BA$2,C580&lt;=$BB$2),$BA$3,IF(AND(B580="Masculino",C580&gt;=$BA$2,C580&lt;=$BB$2),$BB$3,IF(AND(B580="Feminino",C580&gt;=$BC$2,C580&lt;=$BD$2),$BC$3,IF(AND(B580="Masculino",C580&gt;=$BC$2,C580&lt;=$BD$2),$BD$3,""))))))</f>
        <v/>
      </c>
      <c r="AE580" s="46" t="str">
        <f t="shared" ref="AE580:AE602" si="252">IF(AND(B580="Feminino",C580&gt;=$BA$2,C580&lt;=$BB$2),$BE$3,IF(AND(B580="Masculino",C580&gt;=$BA$2,C580&lt;=$BB$2),$BF$3,IF(AND(B580="Feminino",C580&lt;=$BD$2),$BG$3,IF(AND(B580="Masculino",C580&lt;=$BD$2),$BH$3,""))))</f>
        <v/>
      </c>
      <c r="AF580" s="46" t="str">
        <f t="shared" ref="AF580:AF602" si="253">IF(AND(B580="Feminino",C580&gt;=$BI$2,C580&lt;=$BJ$2),$BI$3,IF(AND(B580="Masculino",C580&gt;=$BI$2,C580&lt;=$BJ$2),$BJ$3,""))</f>
        <v/>
      </c>
      <c r="AG580" s="46" t="str">
        <f t="shared" ref="AG580:AG602" si="254">IF(C580="","",IF(C580&gt;=$BK$2,$BK$3,IF(AND(C580&gt;=$BL$1,C580&lt;=$BL$2),$BL$3,IF(AND(C580&gt;=$BM$1,C580&lt;=$BM$2),$BM$3,IF(AND(C580&gt;=$BN$1,C580&lt;=$BN$2),$BN$3,IF(AND(C580&gt;=$BO$1,C580&lt;=$BO$2),$BO$3,IF(C580&lt;=$BP$2,$BP$3,"")))))))</f>
        <v/>
      </c>
      <c r="AH580" s="46" t="str">
        <f t="shared" ref="AH580:AH602" si="255">IF(C580="","",IF(C580&gt;=$BK$2,$BQ$3,IF(AND(C580&gt;=$BL$1,C580&lt;=$BL$2),$BR$3,IF(AND(C580&gt;=$BM$1,C580&lt;=$BM$2),$BS$3,IF(AND(C580&gt;=$BN$1,C580&lt;=$BN$2),$BT$3,IF(AND(C580&gt;=$BO$1,C580&lt;=$BO$2),$BU$3,IF(C580&lt;=$BP$2,$BV$3,"")))))))</f>
        <v/>
      </c>
      <c r="AI580" s="46" t="str">
        <f t="shared" ref="AI580:AI602" si="256">IF(C580="","",IF(C580&gt;=$BK$2,$BW$3,IF(AND(C580&gt;=$BL$1,C580&lt;=$BL$2),$BX$3,IF(AND(C580&gt;=$BM$1,C580&lt;=$BM$2),$BY$3,IF(AND(C580&gt;=$BN$1,C580&lt;=$BN$2),$BZ$3,IF(AND(C580&gt;=$BO$1,C580&lt;=$BO$2),$CA$3,IF(C580&lt;=$BP$2,$CB$3,"")))))))</f>
        <v/>
      </c>
      <c r="AJ580" s="46" t="str">
        <f t="shared" ref="AJ580:AJ602" si="257">IF(C580="","",IF(AND(C580&gt;=$BN$1,C580&lt;=$BN$2),$CC$3,IF(AND(C580&gt;=$BO$1,C580&lt;=$BO$2),$CD$3,IF(C580&lt;=$BP$2,$CE$3,""))))</f>
        <v/>
      </c>
      <c r="AK580" s="46" t="str">
        <f t="shared" ref="AK580:AK602" si="258">IF(C580="","",IF(AA580&gt;=3,"",IF(AB580&gt;=2,"",IF(C580&gt;=$CF$2,$CF$3,IF(AND(C580&gt;=$CG$1,C580&lt;=$CG$2),$CG$3,IF(AND(C580&gt;=$CH$1,C580&lt;=$CH$2),$CH$3,IF(AND(C580&gt;=$CI$1,C580&lt;=$CI$2),$CI$3,IF(AND(C580&gt;=$CJ$1,C580&lt;=$CJ$2),$CJ$3,IF(C580&lt;=$CK$2,$CK$3,"")))))))))</f>
        <v/>
      </c>
      <c r="AL580" s="46" t="str">
        <f t="shared" ref="AL580:AL602" si="259">IF(C580="","",IF(AA580&gt;=3,"",IF(AB580&gt;=2,"",IF(C580&gt;=$CF$2,$CL$3,IF(AND(C580&gt;=$CG$1,C580&lt;=$CG$2),$CM$3,IF(AND(C580&gt;=$CH$1,C580&lt;=$CH$2),$CN$3,IF(AND(C580&gt;=$CI$1,C580&lt;=$CI$2),$CO$3,IF(AND(C580&gt;=$CJ$1,C580&lt;=$CJ$2),$CP$3,IF(C580&lt;=$CK$2,$CQ$3,"")))))))))</f>
        <v/>
      </c>
      <c r="AM580" s="46" t="str">
        <f t="shared" ref="AM580:AM602" si="260">IF(C580="","",IF(AA580&gt;=3,"",IF(AB580&gt;=2,"",IF(C580&gt;=$CF$2,$CR$3,IF(AND(C580&gt;=$CG$1,C580&lt;=$CG$2),$CS$3,IF(AND(C580&gt;=$CH$1,C580&lt;=$CH$2),$CT$3,IF(AND(C580&gt;=$CI$1,C580&lt;=$CI$2),$CU$3,IF(AND(C580&gt;=$CJ$1,C580&lt;=$CJ$2),$CV$3,IF(C580&lt;=$CK$2,$CW$3,"")))))))))</f>
        <v/>
      </c>
      <c r="AN580" s="46" t="str">
        <f t="shared" ref="AN580:AN602" si="261">IF(C580="","",IF(AA580&gt;=3,"",IF(AB580&gt;=2,"",IF(C580&gt;=$CF$2,$CX$3,IF(AND(C580&gt;=$CG$1,C580&lt;=$CG$2),$CY$3,IF(AND(C580&gt;=$CH$1,C580&lt;=$CH$2),$CZ$3,IF(AND(C580&gt;=$CI$1,C580&lt;=$CI$2),$DA$3,IF(AND(C580&gt;=$CJ$1,C580&lt;=$CJ$2),$DB$3,IF(C580&lt;=$CK$2,$DC$3,"")))))))))</f>
        <v/>
      </c>
      <c r="AO580" s="46" t="str">
        <f t="shared" ref="AO580:AO602" si="262">IF(C580="","",IF(AA580&gt;=3,"",IF(AB580&gt;=2,"",IF(C580&gt;=$CF$2,$DD$3,IF(AND(C580&gt;=$CG$1,C580&lt;=$CG$2),$DE$3,IF(AND(C580&gt;=$CH$1,C580&lt;=$CH$2),$DF$3,IF(AND(C580&gt;=$CI$1,C580&lt;=$CI$2),$DG$3,IF(AND(C580&gt;=$CJ$1,C580&lt;=$CJ$2),$DH$3,IF(C580&lt;=$CK$2,$DI$3,"")))))))))</f>
        <v/>
      </c>
      <c r="AP580" s="46" t="str">
        <f t="shared" ref="AP580:AP602" si="263">IF(C580="","",IF(AA580&gt;=3,"",IF(AB580&gt;=2,"",IF(C580&gt;=$CF$2,$DJ$3,IF(AND(C580&gt;=$CG$1,C580&lt;=$CG$2),$DK$3,IF(AND(C580&gt;=$CH$1,C580&lt;=$CH$2),$DL$3,IF(AND(C580&gt;=$CI$1,C580&lt;=$CI$2),$DM$3,IF(AND(C580&gt;=$CJ$1,C580&lt;=$CJ$2),$DN$3,IF(C580&lt;=$CK$2,$DO$3,"")))))))))</f>
        <v/>
      </c>
      <c r="AQ580" s="46" t="str">
        <f t="shared" ref="AQ580:AQ602" si="264">IF(C580="","",IF(AA580&gt;=3,"",IF(AC580&gt;=2,"",IF(C580&gt;=$CF$2,$DP$3,IF(AND(C580&gt;=$CG$1,C580&lt;=$CG$2),$DQ$3,IF(AND(C580&gt;=$CH$1,C580&lt;=$CH$2),$DR$3,IF(AND(C580&gt;=$CI$1,C580&lt;=$CI$2),$DS$3,IF(AND(C580&gt;=$CJ$1,C580&lt;=$CJ$2),$DT$3,IF(C580&lt;=$CK$2,$DU$3,"")))))))))</f>
        <v/>
      </c>
      <c r="AR580" s="46" t="str">
        <f t="shared" ref="AR580:AR602" si="265">IF(C580="","",IF(AA580&gt;=3,"",IF(AC580&gt;=2,"",IF(C580&gt;=$CF$2,$DV$3,IF(AND(C580&gt;=$CG$1,C580&lt;=$CG$2),$DW$3,IF(AND(C580&gt;=$CH$1,C580&lt;=$CH$2),$DX$3,IF(AND(C580&gt;=$CI$1,C580&lt;=$CI$2),$DY$3,IF(AND(C580&gt;=$CJ$1,C580&lt;=$CJ$2),$DZ$3,IF(C580&lt;=$CK$2,$EA$3,"")))))))))</f>
        <v/>
      </c>
      <c r="AS580" s="46" t="str">
        <f t="shared" ref="AS580:AS602" si="266">IF(C580="","",IF(AA580&gt;=3,"",IF(AC580&gt;=2,"",IF(C580&gt;=$CF$2,$EB$3,IF(AND(C580&gt;=$CG$1,C580&lt;=$CG$2),$EC$3,IF(AND(C580&gt;=$CH$1,C580&lt;=$CH$2),$ED$3,IF(AND(C580&gt;=$CI$1,C580&lt;=$CI$2),$EE$3,IF(AND(C580&gt;=$CJ$1,C580&lt;=$CJ$2),$EF$3,IF(C580&lt;=$CK$2,$EG$3,"")))))))))</f>
        <v/>
      </c>
      <c r="AT580" s="46" t="str">
        <f t="shared" ref="AT580:AT602" si="267">IF(C580="","",IF(AA580&gt;=3,"",IF(AC580&gt;=2,"",IF(C580&gt;=$CF$2,$EH$3,IF(AND(C580&gt;=$CG$1,C580&lt;=$CG$2),$EI$3,IF(AND(C580&gt;=$CH$1,C580&lt;=$CH$2),$EJ$3,IF(AND(C580&gt;=$CI$1,C580&lt;=$CI$2),$EK$3,IF(AND(C580&gt;=$CJ$1,C580&lt;=$CJ$2),$EL$3,IF(C580&lt;=$CK$2,$EM$3,"")))))))))</f>
        <v/>
      </c>
      <c r="AU580" s="46" t="str">
        <f t="shared" ref="AU580:AU602" si="268">IF(C580="","",IF(AA580&gt;=3,"",IF(AC580&gt;=2,"",IF(C580&gt;=$CF$2,$EN$3,IF(AND(C580&gt;=$CG$1,C580&lt;=$CG$2),$EO$3,IF(AND(C580&gt;=$CH$1,C580&lt;=$CH$2),$EP$3,IF(AND(C580&gt;=$CI$1,C580&lt;=$CI$2),$EQ$3,IF(AND(C580&gt;=$CJ$1,C580&lt;=$CJ$2),$ER$3,IF(C580&lt;=$CK$2,$ES$3,"")))))))))</f>
        <v/>
      </c>
      <c r="AV580" s="46" t="str">
        <f t="shared" ref="AV580:AV602" si="269">IF(C580="","",IF(AA580&gt;=3,"",IF(C580&gt;=$CG$1,$ET$3,IF(AND(C580&gt;=$CI$1,C580&lt;=$CH$2),$EU$3,IF(C580&lt;=$CJ$2,$EV$3,"")))))</f>
        <v/>
      </c>
      <c r="AW580" s="46" t="str">
        <f t="shared" ref="AW580:AW602" si="270">IF(C580="","",IF(AND(D580="",E580="",G580="",H580="",I580="",J580=""),"ADAPTADO",""))</f>
        <v/>
      </c>
    </row>
    <row r="581" spans="4:49">
      <c r="D581" s="34"/>
      <c r="E581" s="34"/>
      <c r="F581" s="34"/>
      <c r="G581" s="34"/>
      <c r="H581" s="4"/>
      <c r="I581" s="4"/>
      <c r="J581" s="4"/>
      <c r="K581" s="3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37"/>
      <c r="X581" s="1"/>
      <c r="Y581" s="18">
        <f t="shared" si="246"/>
        <v>0</v>
      </c>
      <c r="Z581" s="21">
        <f t="shared" si="247"/>
        <v>0</v>
      </c>
      <c r="AA581" s="10">
        <f t="shared" si="248"/>
        <v>0</v>
      </c>
      <c r="AB581" s="10">
        <f t="shared" si="249"/>
        <v>0</v>
      </c>
      <c r="AC581" s="10">
        <f t="shared" si="250"/>
        <v>0</v>
      </c>
      <c r="AD581" s="46" t="str">
        <f t="shared" si="251"/>
        <v/>
      </c>
      <c r="AE581" s="46" t="str">
        <f t="shared" si="252"/>
        <v/>
      </c>
      <c r="AF581" s="46" t="str">
        <f t="shared" si="253"/>
        <v/>
      </c>
      <c r="AG581" s="46" t="str">
        <f t="shared" si="254"/>
        <v/>
      </c>
      <c r="AH581" s="46" t="str">
        <f t="shared" si="255"/>
        <v/>
      </c>
      <c r="AI581" s="46" t="str">
        <f t="shared" si="256"/>
        <v/>
      </c>
      <c r="AJ581" s="46" t="str">
        <f t="shared" si="257"/>
        <v/>
      </c>
      <c r="AK581" s="46" t="str">
        <f t="shared" si="258"/>
        <v/>
      </c>
      <c r="AL581" s="46" t="str">
        <f t="shared" si="259"/>
        <v/>
      </c>
      <c r="AM581" s="46" t="str">
        <f t="shared" si="260"/>
        <v/>
      </c>
      <c r="AN581" s="46" t="str">
        <f t="shared" si="261"/>
        <v/>
      </c>
      <c r="AO581" s="46" t="str">
        <f t="shared" si="262"/>
        <v/>
      </c>
      <c r="AP581" s="46" t="str">
        <f t="shared" si="263"/>
        <v/>
      </c>
      <c r="AQ581" s="46" t="str">
        <f t="shared" si="264"/>
        <v/>
      </c>
      <c r="AR581" s="46" t="str">
        <f t="shared" si="265"/>
        <v/>
      </c>
      <c r="AS581" s="46" t="str">
        <f t="shared" si="266"/>
        <v/>
      </c>
      <c r="AT581" s="46" t="str">
        <f t="shared" si="267"/>
        <v/>
      </c>
      <c r="AU581" s="46" t="str">
        <f t="shared" si="268"/>
        <v/>
      </c>
      <c r="AV581" s="46" t="str">
        <f t="shared" si="269"/>
        <v/>
      </c>
      <c r="AW581" s="46" t="str">
        <f t="shared" si="270"/>
        <v/>
      </c>
    </row>
    <row r="582" spans="4:49">
      <c r="D582" s="34"/>
      <c r="E582" s="34"/>
      <c r="F582" s="34"/>
      <c r="G582" s="34"/>
      <c r="H582" s="4"/>
      <c r="I582" s="4"/>
      <c r="J582" s="4"/>
      <c r="K582" s="3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37"/>
      <c r="X582" s="1"/>
      <c r="Y582" s="18">
        <f t="shared" si="246"/>
        <v>0</v>
      </c>
      <c r="Z582" s="21">
        <f t="shared" si="247"/>
        <v>0</v>
      </c>
      <c r="AA582" s="10">
        <f t="shared" si="248"/>
        <v>0</v>
      </c>
      <c r="AB582" s="10">
        <f t="shared" si="249"/>
        <v>0</v>
      </c>
      <c r="AC582" s="10">
        <f t="shared" si="250"/>
        <v>0</v>
      </c>
      <c r="AD582" s="46" t="str">
        <f t="shared" si="251"/>
        <v/>
      </c>
      <c r="AE582" s="46" t="str">
        <f t="shared" si="252"/>
        <v/>
      </c>
      <c r="AF582" s="46" t="str">
        <f t="shared" si="253"/>
        <v/>
      </c>
      <c r="AG582" s="46" t="str">
        <f t="shared" si="254"/>
        <v/>
      </c>
      <c r="AH582" s="46" t="str">
        <f t="shared" si="255"/>
        <v/>
      </c>
      <c r="AI582" s="46" t="str">
        <f t="shared" si="256"/>
        <v/>
      </c>
      <c r="AJ582" s="46" t="str">
        <f t="shared" si="257"/>
        <v/>
      </c>
      <c r="AK582" s="46" t="str">
        <f t="shared" si="258"/>
        <v/>
      </c>
      <c r="AL582" s="46" t="str">
        <f t="shared" si="259"/>
        <v/>
      </c>
      <c r="AM582" s="46" t="str">
        <f t="shared" si="260"/>
        <v/>
      </c>
      <c r="AN582" s="46" t="str">
        <f t="shared" si="261"/>
        <v/>
      </c>
      <c r="AO582" s="46" t="str">
        <f t="shared" si="262"/>
        <v/>
      </c>
      <c r="AP582" s="46" t="str">
        <f t="shared" si="263"/>
        <v/>
      </c>
      <c r="AQ582" s="46" t="str">
        <f t="shared" si="264"/>
        <v/>
      </c>
      <c r="AR582" s="46" t="str">
        <f t="shared" si="265"/>
        <v/>
      </c>
      <c r="AS582" s="46" t="str">
        <f t="shared" si="266"/>
        <v/>
      </c>
      <c r="AT582" s="46" t="str">
        <f t="shared" si="267"/>
        <v/>
      </c>
      <c r="AU582" s="46" t="str">
        <f t="shared" si="268"/>
        <v/>
      </c>
      <c r="AV582" s="46" t="str">
        <f t="shared" si="269"/>
        <v/>
      </c>
      <c r="AW582" s="46" t="str">
        <f t="shared" si="270"/>
        <v/>
      </c>
    </row>
    <row r="583" spans="4:49">
      <c r="D583" s="34"/>
      <c r="E583" s="34"/>
      <c r="F583" s="34"/>
      <c r="G583" s="34"/>
      <c r="H583" s="4"/>
      <c r="I583" s="4"/>
      <c r="J583" s="4"/>
      <c r="K583" s="3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37"/>
      <c r="X583" s="1"/>
      <c r="Y583" s="18">
        <f t="shared" si="246"/>
        <v>0</v>
      </c>
      <c r="Z583" s="21">
        <f t="shared" si="247"/>
        <v>0</v>
      </c>
      <c r="AA583" s="10">
        <f t="shared" si="248"/>
        <v>0</v>
      </c>
      <c r="AB583" s="10">
        <f t="shared" si="249"/>
        <v>0</v>
      </c>
      <c r="AC583" s="10">
        <f t="shared" si="250"/>
        <v>0</v>
      </c>
      <c r="AD583" s="46" t="str">
        <f t="shared" si="251"/>
        <v/>
      </c>
      <c r="AE583" s="46" t="str">
        <f t="shared" si="252"/>
        <v/>
      </c>
      <c r="AF583" s="46" t="str">
        <f t="shared" si="253"/>
        <v/>
      </c>
      <c r="AG583" s="46" t="str">
        <f t="shared" si="254"/>
        <v/>
      </c>
      <c r="AH583" s="46" t="str">
        <f t="shared" si="255"/>
        <v/>
      </c>
      <c r="AI583" s="46" t="str">
        <f t="shared" si="256"/>
        <v/>
      </c>
      <c r="AJ583" s="46" t="str">
        <f t="shared" si="257"/>
        <v/>
      </c>
      <c r="AK583" s="46" t="str">
        <f t="shared" si="258"/>
        <v/>
      </c>
      <c r="AL583" s="46" t="str">
        <f t="shared" si="259"/>
        <v/>
      </c>
      <c r="AM583" s="46" t="str">
        <f t="shared" si="260"/>
        <v/>
      </c>
      <c r="AN583" s="46" t="str">
        <f t="shared" si="261"/>
        <v/>
      </c>
      <c r="AO583" s="46" t="str">
        <f t="shared" si="262"/>
        <v/>
      </c>
      <c r="AP583" s="46" t="str">
        <f t="shared" si="263"/>
        <v/>
      </c>
      <c r="AQ583" s="46" t="str">
        <f t="shared" si="264"/>
        <v/>
      </c>
      <c r="AR583" s="46" t="str">
        <f t="shared" si="265"/>
        <v/>
      </c>
      <c r="AS583" s="46" t="str">
        <f t="shared" si="266"/>
        <v/>
      </c>
      <c r="AT583" s="46" t="str">
        <f t="shared" si="267"/>
        <v/>
      </c>
      <c r="AU583" s="46" t="str">
        <f t="shared" si="268"/>
        <v/>
      </c>
      <c r="AV583" s="46" t="str">
        <f t="shared" si="269"/>
        <v/>
      </c>
      <c r="AW583" s="46" t="str">
        <f t="shared" si="270"/>
        <v/>
      </c>
    </row>
    <row r="584" spans="4:49">
      <c r="D584" s="34"/>
      <c r="E584" s="34"/>
      <c r="F584" s="34"/>
      <c r="G584" s="34"/>
      <c r="H584" s="4"/>
      <c r="I584" s="4"/>
      <c r="J584" s="4"/>
      <c r="K584" s="3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37"/>
      <c r="X584" s="1"/>
      <c r="Y584" s="18">
        <f t="shared" si="246"/>
        <v>0</v>
      </c>
      <c r="Z584" s="21">
        <f t="shared" si="247"/>
        <v>0</v>
      </c>
      <c r="AA584" s="10">
        <f t="shared" si="248"/>
        <v>0</v>
      </c>
      <c r="AB584" s="10">
        <f t="shared" si="249"/>
        <v>0</v>
      </c>
      <c r="AC584" s="10">
        <f t="shared" si="250"/>
        <v>0</v>
      </c>
      <c r="AD584" s="46" t="str">
        <f t="shared" si="251"/>
        <v/>
      </c>
      <c r="AE584" s="46" t="str">
        <f t="shared" si="252"/>
        <v/>
      </c>
      <c r="AF584" s="46" t="str">
        <f t="shared" si="253"/>
        <v/>
      </c>
      <c r="AG584" s="46" t="str">
        <f t="shared" si="254"/>
        <v/>
      </c>
      <c r="AH584" s="46" t="str">
        <f t="shared" si="255"/>
        <v/>
      </c>
      <c r="AI584" s="46" t="str">
        <f t="shared" si="256"/>
        <v/>
      </c>
      <c r="AJ584" s="46" t="str">
        <f t="shared" si="257"/>
        <v/>
      </c>
      <c r="AK584" s="46" t="str">
        <f t="shared" si="258"/>
        <v/>
      </c>
      <c r="AL584" s="46" t="str">
        <f t="shared" si="259"/>
        <v/>
      </c>
      <c r="AM584" s="46" t="str">
        <f t="shared" si="260"/>
        <v/>
      </c>
      <c r="AN584" s="46" t="str">
        <f t="shared" si="261"/>
        <v/>
      </c>
      <c r="AO584" s="46" t="str">
        <f t="shared" si="262"/>
        <v/>
      </c>
      <c r="AP584" s="46" t="str">
        <f t="shared" si="263"/>
        <v/>
      </c>
      <c r="AQ584" s="46" t="str">
        <f t="shared" si="264"/>
        <v/>
      </c>
      <c r="AR584" s="46" t="str">
        <f t="shared" si="265"/>
        <v/>
      </c>
      <c r="AS584" s="46" t="str">
        <f t="shared" si="266"/>
        <v/>
      </c>
      <c r="AT584" s="46" t="str">
        <f t="shared" si="267"/>
        <v/>
      </c>
      <c r="AU584" s="46" t="str">
        <f t="shared" si="268"/>
        <v/>
      </c>
      <c r="AV584" s="46" t="str">
        <f t="shared" si="269"/>
        <v/>
      </c>
      <c r="AW584" s="46" t="str">
        <f t="shared" si="270"/>
        <v/>
      </c>
    </row>
    <row r="585" spans="4:49">
      <c r="D585" s="34"/>
      <c r="E585" s="34"/>
      <c r="F585" s="34"/>
      <c r="G585" s="34"/>
      <c r="H585" s="4"/>
      <c r="I585" s="4"/>
      <c r="J585" s="4"/>
      <c r="K585" s="3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37"/>
      <c r="X585" s="1"/>
      <c r="Y585" s="18">
        <f t="shared" si="246"/>
        <v>0</v>
      </c>
      <c r="Z585" s="21">
        <f t="shared" si="247"/>
        <v>0</v>
      </c>
      <c r="AA585" s="10">
        <f t="shared" si="248"/>
        <v>0</v>
      </c>
      <c r="AB585" s="10">
        <f t="shared" si="249"/>
        <v>0</v>
      </c>
      <c r="AC585" s="10">
        <f t="shared" si="250"/>
        <v>0</v>
      </c>
      <c r="AD585" s="46" t="str">
        <f t="shared" si="251"/>
        <v/>
      </c>
      <c r="AE585" s="46" t="str">
        <f t="shared" si="252"/>
        <v/>
      </c>
      <c r="AF585" s="46" t="str">
        <f t="shared" si="253"/>
        <v/>
      </c>
      <c r="AG585" s="46" t="str">
        <f t="shared" si="254"/>
        <v/>
      </c>
      <c r="AH585" s="46" t="str">
        <f t="shared" si="255"/>
        <v/>
      </c>
      <c r="AI585" s="46" t="str">
        <f t="shared" si="256"/>
        <v/>
      </c>
      <c r="AJ585" s="46" t="str">
        <f t="shared" si="257"/>
        <v/>
      </c>
      <c r="AK585" s="46" t="str">
        <f t="shared" si="258"/>
        <v/>
      </c>
      <c r="AL585" s="46" t="str">
        <f t="shared" si="259"/>
        <v/>
      </c>
      <c r="AM585" s="46" t="str">
        <f t="shared" si="260"/>
        <v/>
      </c>
      <c r="AN585" s="46" t="str">
        <f t="shared" si="261"/>
        <v/>
      </c>
      <c r="AO585" s="46" t="str">
        <f t="shared" si="262"/>
        <v/>
      </c>
      <c r="AP585" s="46" t="str">
        <f t="shared" si="263"/>
        <v/>
      </c>
      <c r="AQ585" s="46" t="str">
        <f t="shared" si="264"/>
        <v/>
      </c>
      <c r="AR585" s="46" t="str">
        <f t="shared" si="265"/>
        <v/>
      </c>
      <c r="AS585" s="46" t="str">
        <f t="shared" si="266"/>
        <v/>
      </c>
      <c r="AT585" s="46" t="str">
        <f t="shared" si="267"/>
        <v/>
      </c>
      <c r="AU585" s="46" t="str">
        <f t="shared" si="268"/>
        <v/>
      </c>
      <c r="AV585" s="46" t="str">
        <f t="shared" si="269"/>
        <v/>
      </c>
      <c r="AW585" s="46" t="str">
        <f t="shared" si="270"/>
        <v/>
      </c>
    </row>
    <row r="586" spans="4:49">
      <c r="D586" s="34"/>
      <c r="E586" s="34"/>
      <c r="F586" s="34"/>
      <c r="G586" s="34"/>
      <c r="H586" s="4"/>
      <c r="I586" s="4"/>
      <c r="J586" s="4"/>
      <c r="K586" s="3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37"/>
      <c r="X586" s="1"/>
      <c r="Y586" s="18">
        <f t="shared" si="246"/>
        <v>0</v>
      </c>
      <c r="Z586" s="21">
        <f t="shared" si="247"/>
        <v>0</v>
      </c>
      <c r="AA586" s="10">
        <f t="shared" si="248"/>
        <v>0</v>
      </c>
      <c r="AB586" s="10">
        <f t="shared" si="249"/>
        <v>0</v>
      </c>
      <c r="AC586" s="10">
        <f t="shared" si="250"/>
        <v>0</v>
      </c>
      <c r="AD586" s="46" t="str">
        <f t="shared" si="251"/>
        <v/>
      </c>
      <c r="AE586" s="46" t="str">
        <f t="shared" si="252"/>
        <v/>
      </c>
      <c r="AF586" s="46" t="str">
        <f t="shared" si="253"/>
        <v/>
      </c>
      <c r="AG586" s="46" t="str">
        <f t="shared" si="254"/>
        <v/>
      </c>
      <c r="AH586" s="46" t="str">
        <f t="shared" si="255"/>
        <v/>
      </c>
      <c r="AI586" s="46" t="str">
        <f t="shared" si="256"/>
        <v/>
      </c>
      <c r="AJ586" s="46" t="str">
        <f t="shared" si="257"/>
        <v/>
      </c>
      <c r="AK586" s="46" t="str">
        <f t="shared" si="258"/>
        <v/>
      </c>
      <c r="AL586" s="46" t="str">
        <f t="shared" si="259"/>
        <v/>
      </c>
      <c r="AM586" s="46" t="str">
        <f t="shared" si="260"/>
        <v/>
      </c>
      <c r="AN586" s="46" t="str">
        <f t="shared" si="261"/>
        <v/>
      </c>
      <c r="AO586" s="46" t="str">
        <f t="shared" si="262"/>
        <v/>
      </c>
      <c r="AP586" s="46" t="str">
        <f t="shared" si="263"/>
        <v/>
      </c>
      <c r="AQ586" s="46" t="str">
        <f t="shared" si="264"/>
        <v/>
      </c>
      <c r="AR586" s="46" t="str">
        <f t="shared" si="265"/>
        <v/>
      </c>
      <c r="AS586" s="46" t="str">
        <f t="shared" si="266"/>
        <v/>
      </c>
      <c r="AT586" s="46" t="str">
        <f t="shared" si="267"/>
        <v/>
      </c>
      <c r="AU586" s="46" t="str">
        <f t="shared" si="268"/>
        <v/>
      </c>
      <c r="AV586" s="46" t="str">
        <f t="shared" si="269"/>
        <v/>
      </c>
      <c r="AW586" s="46" t="str">
        <f t="shared" si="270"/>
        <v/>
      </c>
    </row>
    <row r="587" spans="4:49">
      <c r="D587" s="34"/>
      <c r="E587" s="34"/>
      <c r="F587" s="34"/>
      <c r="G587" s="34"/>
      <c r="H587" s="4"/>
      <c r="I587" s="4"/>
      <c r="J587" s="4"/>
      <c r="K587" s="3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37"/>
      <c r="X587" s="1"/>
      <c r="Y587" s="18">
        <f t="shared" si="246"/>
        <v>0</v>
      </c>
      <c r="Z587" s="21">
        <f t="shared" si="247"/>
        <v>0</v>
      </c>
      <c r="AA587" s="10">
        <f t="shared" si="248"/>
        <v>0</v>
      </c>
      <c r="AB587" s="10">
        <f t="shared" si="249"/>
        <v>0</v>
      </c>
      <c r="AC587" s="10">
        <f t="shared" si="250"/>
        <v>0</v>
      </c>
      <c r="AD587" s="46" t="str">
        <f t="shared" si="251"/>
        <v/>
      </c>
      <c r="AE587" s="46" t="str">
        <f t="shared" si="252"/>
        <v/>
      </c>
      <c r="AF587" s="46" t="str">
        <f t="shared" si="253"/>
        <v/>
      </c>
      <c r="AG587" s="46" t="str">
        <f t="shared" si="254"/>
        <v/>
      </c>
      <c r="AH587" s="46" t="str">
        <f t="shared" si="255"/>
        <v/>
      </c>
      <c r="AI587" s="46" t="str">
        <f t="shared" si="256"/>
        <v/>
      </c>
      <c r="AJ587" s="46" t="str">
        <f t="shared" si="257"/>
        <v/>
      </c>
      <c r="AK587" s="46" t="str">
        <f t="shared" si="258"/>
        <v/>
      </c>
      <c r="AL587" s="46" t="str">
        <f t="shared" si="259"/>
        <v/>
      </c>
      <c r="AM587" s="46" t="str">
        <f t="shared" si="260"/>
        <v/>
      </c>
      <c r="AN587" s="46" t="str">
        <f t="shared" si="261"/>
        <v/>
      </c>
      <c r="AO587" s="46" t="str">
        <f t="shared" si="262"/>
        <v/>
      </c>
      <c r="AP587" s="46" t="str">
        <f t="shared" si="263"/>
        <v/>
      </c>
      <c r="AQ587" s="46" t="str">
        <f t="shared" si="264"/>
        <v/>
      </c>
      <c r="AR587" s="46" t="str">
        <f t="shared" si="265"/>
        <v/>
      </c>
      <c r="AS587" s="46" t="str">
        <f t="shared" si="266"/>
        <v/>
      </c>
      <c r="AT587" s="46" t="str">
        <f t="shared" si="267"/>
        <v/>
      </c>
      <c r="AU587" s="46" t="str">
        <f t="shared" si="268"/>
        <v/>
      </c>
      <c r="AV587" s="46" t="str">
        <f t="shared" si="269"/>
        <v/>
      </c>
      <c r="AW587" s="46" t="str">
        <f t="shared" si="270"/>
        <v/>
      </c>
    </row>
    <row r="588" spans="4:49">
      <c r="D588" s="34"/>
      <c r="E588" s="34"/>
      <c r="F588" s="34"/>
      <c r="G588" s="34"/>
      <c r="H588" s="4"/>
      <c r="I588" s="4"/>
      <c r="J588" s="4"/>
      <c r="K588" s="3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37"/>
      <c r="X588" s="1"/>
      <c r="Y588" s="18">
        <f t="shared" si="246"/>
        <v>0</v>
      </c>
      <c r="Z588" s="21">
        <f t="shared" si="247"/>
        <v>0</v>
      </c>
      <c r="AA588" s="10">
        <f t="shared" si="248"/>
        <v>0</v>
      </c>
      <c r="AB588" s="10">
        <f t="shared" si="249"/>
        <v>0</v>
      </c>
      <c r="AC588" s="10">
        <f t="shared" si="250"/>
        <v>0</v>
      </c>
      <c r="AD588" s="46" t="str">
        <f t="shared" si="251"/>
        <v/>
      </c>
      <c r="AE588" s="46" t="str">
        <f t="shared" si="252"/>
        <v/>
      </c>
      <c r="AF588" s="46" t="str">
        <f t="shared" si="253"/>
        <v/>
      </c>
      <c r="AG588" s="46" t="str">
        <f t="shared" si="254"/>
        <v/>
      </c>
      <c r="AH588" s="46" t="str">
        <f t="shared" si="255"/>
        <v/>
      </c>
      <c r="AI588" s="46" t="str">
        <f t="shared" si="256"/>
        <v/>
      </c>
      <c r="AJ588" s="46" t="str">
        <f t="shared" si="257"/>
        <v/>
      </c>
      <c r="AK588" s="46" t="str">
        <f t="shared" si="258"/>
        <v/>
      </c>
      <c r="AL588" s="46" t="str">
        <f t="shared" si="259"/>
        <v/>
      </c>
      <c r="AM588" s="46" t="str">
        <f t="shared" si="260"/>
        <v/>
      </c>
      <c r="AN588" s="46" t="str">
        <f t="shared" si="261"/>
        <v/>
      </c>
      <c r="AO588" s="46" t="str">
        <f t="shared" si="262"/>
        <v/>
      </c>
      <c r="AP588" s="46" t="str">
        <f t="shared" si="263"/>
        <v/>
      </c>
      <c r="AQ588" s="46" t="str">
        <f t="shared" si="264"/>
        <v/>
      </c>
      <c r="AR588" s="46" t="str">
        <f t="shared" si="265"/>
        <v/>
      </c>
      <c r="AS588" s="46" t="str">
        <f t="shared" si="266"/>
        <v/>
      </c>
      <c r="AT588" s="46" t="str">
        <f t="shared" si="267"/>
        <v/>
      </c>
      <c r="AU588" s="46" t="str">
        <f t="shared" si="268"/>
        <v/>
      </c>
      <c r="AV588" s="46" t="str">
        <f t="shared" si="269"/>
        <v/>
      </c>
      <c r="AW588" s="46" t="str">
        <f t="shared" si="270"/>
        <v/>
      </c>
    </row>
    <row r="589" spans="4:49">
      <c r="D589" s="34"/>
      <c r="E589" s="34"/>
      <c r="F589" s="34"/>
      <c r="G589" s="34"/>
      <c r="H589" s="4"/>
      <c r="I589" s="4"/>
      <c r="J589" s="4"/>
      <c r="K589" s="3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37"/>
      <c r="X589" s="1"/>
      <c r="Y589" s="18">
        <f t="shared" si="246"/>
        <v>0</v>
      </c>
      <c r="Z589" s="21">
        <f t="shared" si="247"/>
        <v>0</v>
      </c>
      <c r="AA589" s="10">
        <f t="shared" si="248"/>
        <v>0</v>
      </c>
      <c r="AB589" s="10">
        <f t="shared" si="249"/>
        <v>0</v>
      </c>
      <c r="AC589" s="10">
        <f t="shared" si="250"/>
        <v>0</v>
      </c>
      <c r="AD589" s="46" t="str">
        <f t="shared" si="251"/>
        <v/>
      </c>
      <c r="AE589" s="46" t="str">
        <f t="shared" si="252"/>
        <v/>
      </c>
      <c r="AF589" s="46" t="str">
        <f t="shared" si="253"/>
        <v/>
      </c>
      <c r="AG589" s="46" t="str">
        <f t="shared" si="254"/>
        <v/>
      </c>
      <c r="AH589" s="46" t="str">
        <f t="shared" si="255"/>
        <v/>
      </c>
      <c r="AI589" s="46" t="str">
        <f t="shared" si="256"/>
        <v/>
      </c>
      <c r="AJ589" s="46" t="str">
        <f t="shared" si="257"/>
        <v/>
      </c>
      <c r="AK589" s="46" t="str">
        <f t="shared" si="258"/>
        <v/>
      </c>
      <c r="AL589" s="46" t="str">
        <f t="shared" si="259"/>
        <v/>
      </c>
      <c r="AM589" s="46" t="str">
        <f t="shared" si="260"/>
        <v/>
      </c>
      <c r="AN589" s="46" t="str">
        <f t="shared" si="261"/>
        <v/>
      </c>
      <c r="AO589" s="46" t="str">
        <f t="shared" si="262"/>
        <v/>
      </c>
      <c r="AP589" s="46" t="str">
        <f t="shared" si="263"/>
        <v/>
      </c>
      <c r="AQ589" s="46" t="str">
        <f t="shared" si="264"/>
        <v/>
      </c>
      <c r="AR589" s="46" t="str">
        <f t="shared" si="265"/>
        <v/>
      </c>
      <c r="AS589" s="46" t="str">
        <f t="shared" si="266"/>
        <v/>
      </c>
      <c r="AT589" s="46" t="str">
        <f t="shared" si="267"/>
        <v/>
      </c>
      <c r="AU589" s="46" t="str">
        <f t="shared" si="268"/>
        <v/>
      </c>
      <c r="AV589" s="46" t="str">
        <f t="shared" si="269"/>
        <v/>
      </c>
      <c r="AW589" s="46" t="str">
        <f t="shared" si="270"/>
        <v/>
      </c>
    </row>
    <row r="590" spans="4:49">
      <c r="D590" s="34"/>
      <c r="E590" s="34"/>
      <c r="F590" s="34"/>
      <c r="G590" s="34"/>
      <c r="H590" s="4"/>
      <c r="I590" s="4"/>
      <c r="J590" s="4"/>
      <c r="K590" s="3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37"/>
      <c r="X590" s="1"/>
      <c r="Y590" s="18">
        <f t="shared" si="246"/>
        <v>0</v>
      </c>
      <c r="Z590" s="21">
        <f t="shared" si="247"/>
        <v>0</v>
      </c>
      <c r="AA590" s="10">
        <f t="shared" si="248"/>
        <v>0</v>
      </c>
      <c r="AB590" s="10">
        <f t="shared" si="249"/>
        <v>0</v>
      </c>
      <c r="AC590" s="10">
        <f t="shared" si="250"/>
        <v>0</v>
      </c>
      <c r="AD590" s="46" t="str">
        <f t="shared" si="251"/>
        <v/>
      </c>
      <c r="AE590" s="46" t="str">
        <f t="shared" si="252"/>
        <v/>
      </c>
      <c r="AF590" s="46" t="str">
        <f t="shared" si="253"/>
        <v/>
      </c>
      <c r="AG590" s="46" t="str">
        <f t="shared" si="254"/>
        <v/>
      </c>
      <c r="AH590" s="46" t="str">
        <f t="shared" si="255"/>
        <v/>
      </c>
      <c r="AI590" s="46" t="str">
        <f t="shared" si="256"/>
        <v/>
      </c>
      <c r="AJ590" s="46" t="str">
        <f t="shared" si="257"/>
        <v/>
      </c>
      <c r="AK590" s="46" t="str">
        <f t="shared" si="258"/>
        <v/>
      </c>
      <c r="AL590" s="46" t="str">
        <f t="shared" si="259"/>
        <v/>
      </c>
      <c r="AM590" s="46" t="str">
        <f t="shared" si="260"/>
        <v/>
      </c>
      <c r="AN590" s="46" t="str">
        <f t="shared" si="261"/>
        <v/>
      </c>
      <c r="AO590" s="46" t="str">
        <f t="shared" si="262"/>
        <v/>
      </c>
      <c r="AP590" s="46" t="str">
        <f t="shared" si="263"/>
        <v/>
      </c>
      <c r="AQ590" s="46" t="str">
        <f t="shared" si="264"/>
        <v/>
      </c>
      <c r="AR590" s="46" t="str">
        <f t="shared" si="265"/>
        <v/>
      </c>
      <c r="AS590" s="46" t="str">
        <f t="shared" si="266"/>
        <v/>
      </c>
      <c r="AT590" s="46" t="str">
        <f t="shared" si="267"/>
        <v/>
      </c>
      <c r="AU590" s="46" t="str">
        <f t="shared" si="268"/>
        <v/>
      </c>
      <c r="AV590" s="46" t="str">
        <f t="shared" si="269"/>
        <v/>
      </c>
      <c r="AW590" s="46" t="str">
        <f t="shared" si="270"/>
        <v/>
      </c>
    </row>
    <row r="591" spans="4:49">
      <c r="D591" s="34"/>
      <c r="E591" s="34"/>
      <c r="F591" s="34"/>
      <c r="G591" s="34"/>
      <c r="H591" s="4"/>
      <c r="I591" s="4"/>
      <c r="J591" s="4"/>
      <c r="K591" s="3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37"/>
      <c r="X591" s="1"/>
      <c r="Y591" s="18">
        <f t="shared" si="246"/>
        <v>0</v>
      </c>
      <c r="Z591" s="21">
        <f t="shared" si="247"/>
        <v>0</v>
      </c>
      <c r="AA591" s="10">
        <f t="shared" si="248"/>
        <v>0</v>
      </c>
      <c r="AB591" s="10">
        <f t="shared" si="249"/>
        <v>0</v>
      </c>
      <c r="AC591" s="10">
        <f t="shared" si="250"/>
        <v>0</v>
      </c>
      <c r="AD591" s="46" t="str">
        <f t="shared" si="251"/>
        <v/>
      </c>
      <c r="AE591" s="46" t="str">
        <f t="shared" si="252"/>
        <v/>
      </c>
      <c r="AF591" s="46" t="str">
        <f t="shared" si="253"/>
        <v/>
      </c>
      <c r="AG591" s="46" t="str">
        <f t="shared" si="254"/>
        <v/>
      </c>
      <c r="AH591" s="46" t="str">
        <f t="shared" si="255"/>
        <v/>
      </c>
      <c r="AI591" s="46" t="str">
        <f t="shared" si="256"/>
        <v/>
      </c>
      <c r="AJ591" s="46" t="str">
        <f t="shared" si="257"/>
        <v/>
      </c>
      <c r="AK591" s="46" t="str">
        <f t="shared" si="258"/>
        <v/>
      </c>
      <c r="AL591" s="46" t="str">
        <f t="shared" si="259"/>
        <v/>
      </c>
      <c r="AM591" s="46" t="str">
        <f t="shared" si="260"/>
        <v/>
      </c>
      <c r="AN591" s="46" t="str">
        <f t="shared" si="261"/>
        <v/>
      </c>
      <c r="AO591" s="46" t="str">
        <f t="shared" si="262"/>
        <v/>
      </c>
      <c r="AP591" s="46" t="str">
        <f t="shared" si="263"/>
        <v/>
      </c>
      <c r="AQ591" s="46" t="str">
        <f t="shared" si="264"/>
        <v/>
      </c>
      <c r="AR591" s="46" t="str">
        <f t="shared" si="265"/>
        <v/>
      </c>
      <c r="AS591" s="46" t="str">
        <f t="shared" si="266"/>
        <v/>
      </c>
      <c r="AT591" s="46" t="str">
        <f t="shared" si="267"/>
        <v/>
      </c>
      <c r="AU591" s="46" t="str">
        <f t="shared" si="268"/>
        <v/>
      </c>
      <c r="AV591" s="46" t="str">
        <f t="shared" si="269"/>
        <v/>
      </c>
      <c r="AW591" s="46" t="str">
        <f t="shared" si="270"/>
        <v/>
      </c>
    </row>
    <row r="592" spans="4:49">
      <c r="D592" s="34"/>
      <c r="E592" s="34"/>
      <c r="F592" s="34"/>
      <c r="G592" s="34"/>
      <c r="H592" s="4"/>
      <c r="I592" s="4"/>
      <c r="J592" s="4"/>
      <c r="K592" s="3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37"/>
      <c r="X592" s="1"/>
      <c r="Y592" s="18">
        <f t="shared" si="246"/>
        <v>0</v>
      </c>
      <c r="Z592" s="21">
        <f t="shared" si="247"/>
        <v>0</v>
      </c>
      <c r="AA592" s="10">
        <f t="shared" si="248"/>
        <v>0</v>
      </c>
      <c r="AB592" s="10">
        <f t="shared" si="249"/>
        <v>0</v>
      </c>
      <c r="AC592" s="10">
        <f t="shared" si="250"/>
        <v>0</v>
      </c>
      <c r="AD592" s="46" t="str">
        <f t="shared" si="251"/>
        <v/>
      </c>
      <c r="AE592" s="46" t="str">
        <f t="shared" si="252"/>
        <v/>
      </c>
      <c r="AF592" s="46" t="str">
        <f t="shared" si="253"/>
        <v/>
      </c>
      <c r="AG592" s="46" t="str">
        <f t="shared" si="254"/>
        <v/>
      </c>
      <c r="AH592" s="46" t="str">
        <f t="shared" si="255"/>
        <v/>
      </c>
      <c r="AI592" s="46" t="str">
        <f t="shared" si="256"/>
        <v/>
      </c>
      <c r="AJ592" s="46" t="str">
        <f t="shared" si="257"/>
        <v/>
      </c>
      <c r="AK592" s="46" t="str">
        <f t="shared" si="258"/>
        <v/>
      </c>
      <c r="AL592" s="46" t="str">
        <f t="shared" si="259"/>
        <v/>
      </c>
      <c r="AM592" s="46" t="str">
        <f t="shared" si="260"/>
        <v/>
      </c>
      <c r="AN592" s="46" t="str">
        <f t="shared" si="261"/>
        <v/>
      </c>
      <c r="AO592" s="46" t="str">
        <f t="shared" si="262"/>
        <v/>
      </c>
      <c r="AP592" s="46" t="str">
        <f t="shared" si="263"/>
        <v/>
      </c>
      <c r="AQ592" s="46" t="str">
        <f t="shared" si="264"/>
        <v/>
      </c>
      <c r="AR592" s="46" t="str">
        <f t="shared" si="265"/>
        <v/>
      </c>
      <c r="AS592" s="46" t="str">
        <f t="shared" si="266"/>
        <v/>
      </c>
      <c r="AT592" s="46" t="str">
        <f t="shared" si="267"/>
        <v/>
      </c>
      <c r="AU592" s="46" t="str">
        <f t="shared" si="268"/>
        <v/>
      </c>
      <c r="AV592" s="46" t="str">
        <f t="shared" si="269"/>
        <v/>
      </c>
      <c r="AW592" s="46" t="str">
        <f t="shared" si="270"/>
        <v/>
      </c>
    </row>
    <row r="593" spans="3:49">
      <c r="D593" s="34"/>
      <c r="E593" s="34"/>
      <c r="F593" s="34"/>
      <c r="G593" s="34"/>
      <c r="H593" s="4"/>
      <c r="I593" s="4"/>
      <c r="J593" s="4"/>
      <c r="K593" s="3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37"/>
      <c r="X593" s="1"/>
      <c r="Y593" s="18">
        <f t="shared" si="246"/>
        <v>0</v>
      </c>
      <c r="Z593" s="21">
        <f t="shared" si="247"/>
        <v>0</v>
      </c>
      <c r="AA593" s="10">
        <f t="shared" si="248"/>
        <v>0</v>
      </c>
      <c r="AB593" s="10">
        <f t="shared" si="249"/>
        <v>0</v>
      </c>
      <c r="AC593" s="10">
        <f t="shared" si="250"/>
        <v>0</v>
      </c>
      <c r="AD593" s="46" t="str">
        <f t="shared" si="251"/>
        <v/>
      </c>
      <c r="AE593" s="46" t="str">
        <f t="shared" si="252"/>
        <v/>
      </c>
      <c r="AF593" s="46" t="str">
        <f t="shared" si="253"/>
        <v/>
      </c>
      <c r="AG593" s="46" t="str">
        <f t="shared" si="254"/>
        <v/>
      </c>
      <c r="AH593" s="46" t="str">
        <f t="shared" si="255"/>
        <v/>
      </c>
      <c r="AI593" s="46" t="str">
        <f t="shared" si="256"/>
        <v/>
      </c>
      <c r="AJ593" s="46" t="str">
        <f t="shared" si="257"/>
        <v/>
      </c>
      <c r="AK593" s="46" t="str">
        <f t="shared" si="258"/>
        <v/>
      </c>
      <c r="AL593" s="46" t="str">
        <f t="shared" si="259"/>
        <v/>
      </c>
      <c r="AM593" s="46" t="str">
        <f t="shared" si="260"/>
        <v/>
      </c>
      <c r="AN593" s="46" t="str">
        <f t="shared" si="261"/>
        <v/>
      </c>
      <c r="AO593" s="46" t="str">
        <f t="shared" si="262"/>
        <v/>
      </c>
      <c r="AP593" s="46" t="str">
        <f t="shared" si="263"/>
        <v/>
      </c>
      <c r="AQ593" s="46" t="str">
        <f t="shared" si="264"/>
        <v/>
      </c>
      <c r="AR593" s="46" t="str">
        <f t="shared" si="265"/>
        <v/>
      </c>
      <c r="AS593" s="46" t="str">
        <f t="shared" si="266"/>
        <v/>
      </c>
      <c r="AT593" s="46" t="str">
        <f t="shared" si="267"/>
        <v/>
      </c>
      <c r="AU593" s="46" t="str">
        <f t="shared" si="268"/>
        <v/>
      </c>
      <c r="AV593" s="46" t="str">
        <f t="shared" si="269"/>
        <v/>
      </c>
      <c r="AW593" s="46" t="str">
        <f t="shared" si="270"/>
        <v/>
      </c>
    </row>
    <row r="594" spans="3:49">
      <c r="D594" s="34"/>
      <c r="E594" s="34"/>
      <c r="F594" s="34"/>
      <c r="G594" s="34"/>
      <c r="H594" s="4"/>
      <c r="I594" s="4"/>
      <c r="J594" s="4"/>
      <c r="K594" s="3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37"/>
      <c r="X594" s="1"/>
      <c r="Y594" s="18">
        <f t="shared" si="246"/>
        <v>0</v>
      </c>
      <c r="Z594" s="21">
        <f t="shared" si="247"/>
        <v>0</v>
      </c>
      <c r="AA594" s="10">
        <f t="shared" si="248"/>
        <v>0</v>
      </c>
      <c r="AB594" s="10">
        <f t="shared" si="249"/>
        <v>0</v>
      </c>
      <c r="AC594" s="10">
        <f t="shared" si="250"/>
        <v>0</v>
      </c>
      <c r="AD594" s="46" t="str">
        <f t="shared" si="251"/>
        <v/>
      </c>
      <c r="AE594" s="46" t="str">
        <f t="shared" si="252"/>
        <v/>
      </c>
      <c r="AF594" s="46" t="str">
        <f t="shared" si="253"/>
        <v/>
      </c>
      <c r="AG594" s="46" t="str">
        <f t="shared" si="254"/>
        <v/>
      </c>
      <c r="AH594" s="46" t="str">
        <f t="shared" si="255"/>
        <v/>
      </c>
      <c r="AI594" s="46" t="str">
        <f t="shared" si="256"/>
        <v/>
      </c>
      <c r="AJ594" s="46" t="str">
        <f t="shared" si="257"/>
        <v/>
      </c>
      <c r="AK594" s="46" t="str">
        <f t="shared" si="258"/>
        <v/>
      </c>
      <c r="AL594" s="46" t="str">
        <f t="shared" si="259"/>
        <v/>
      </c>
      <c r="AM594" s="46" t="str">
        <f t="shared" si="260"/>
        <v/>
      </c>
      <c r="AN594" s="46" t="str">
        <f t="shared" si="261"/>
        <v/>
      </c>
      <c r="AO594" s="46" t="str">
        <f t="shared" si="262"/>
        <v/>
      </c>
      <c r="AP594" s="46" t="str">
        <f t="shared" si="263"/>
        <v/>
      </c>
      <c r="AQ594" s="46" t="str">
        <f t="shared" si="264"/>
        <v/>
      </c>
      <c r="AR594" s="46" t="str">
        <f t="shared" si="265"/>
        <v/>
      </c>
      <c r="AS594" s="46" t="str">
        <f t="shared" si="266"/>
        <v/>
      </c>
      <c r="AT594" s="46" t="str">
        <f t="shared" si="267"/>
        <v/>
      </c>
      <c r="AU594" s="46" t="str">
        <f t="shared" si="268"/>
        <v/>
      </c>
      <c r="AV594" s="46" t="str">
        <f t="shared" si="269"/>
        <v/>
      </c>
      <c r="AW594" s="46" t="str">
        <f t="shared" si="270"/>
        <v/>
      </c>
    </row>
    <row r="595" spans="3:49">
      <c r="D595" s="34"/>
      <c r="E595" s="34"/>
      <c r="F595" s="34"/>
      <c r="G595" s="34"/>
      <c r="H595" s="4"/>
      <c r="I595" s="4"/>
      <c r="J595" s="4"/>
      <c r="K595" s="3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37"/>
      <c r="X595" s="1"/>
      <c r="Y595" s="18">
        <f t="shared" si="246"/>
        <v>0</v>
      </c>
      <c r="Z595" s="21">
        <f t="shared" si="247"/>
        <v>0</v>
      </c>
      <c r="AA595" s="10">
        <f t="shared" si="248"/>
        <v>0</v>
      </c>
      <c r="AB595" s="10">
        <f t="shared" si="249"/>
        <v>0</v>
      </c>
      <c r="AC595" s="10">
        <f t="shared" si="250"/>
        <v>0</v>
      </c>
      <c r="AD595" s="46" t="str">
        <f t="shared" si="251"/>
        <v/>
      </c>
      <c r="AE595" s="46" t="str">
        <f t="shared" si="252"/>
        <v/>
      </c>
      <c r="AF595" s="46" t="str">
        <f t="shared" si="253"/>
        <v/>
      </c>
      <c r="AG595" s="46" t="str">
        <f t="shared" si="254"/>
        <v/>
      </c>
      <c r="AH595" s="46" t="str">
        <f t="shared" si="255"/>
        <v/>
      </c>
      <c r="AI595" s="46" t="str">
        <f t="shared" si="256"/>
        <v/>
      </c>
      <c r="AJ595" s="46" t="str">
        <f t="shared" si="257"/>
        <v/>
      </c>
      <c r="AK595" s="46" t="str">
        <f t="shared" si="258"/>
        <v/>
      </c>
      <c r="AL595" s="46" t="str">
        <f t="shared" si="259"/>
        <v/>
      </c>
      <c r="AM595" s="46" t="str">
        <f t="shared" si="260"/>
        <v/>
      </c>
      <c r="AN595" s="46" t="str">
        <f t="shared" si="261"/>
        <v/>
      </c>
      <c r="AO595" s="46" t="str">
        <f t="shared" si="262"/>
        <v/>
      </c>
      <c r="AP595" s="46" t="str">
        <f t="shared" si="263"/>
        <v/>
      </c>
      <c r="AQ595" s="46" t="str">
        <f t="shared" si="264"/>
        <v/>
      </c>
      <c r="AR595" s="46" t="str">
        <f t="shared" si="265"/>
        <v/>
      </c>
      <c r="AS595" s="46" t="str">
        <f t="shared" si="266"/>
        <v/>
      </c>
      <c r="AT595" s="46" t="str">
        <f t="shared" si="267"/>
        <v/>
      </c>
      <c r="AU595" s="46" t="str">
        <f t="shared" si="268"/>
        <v/>
      </c>
      <c r="AV595" s="46" t="str">
        <f t="shared" si="269"/>
        <v/>
      </c>
      <c r="AW595" s="46" t="str">
        <f t="shared" si="270"/>
        <v/>
      </c>
    </row>
    <row r="596" spans="3:49">
      <c r="D596" s="34"/>
      <c r="E596" s="34"/>
      <c r="F596" s="34"/>
      <c r="G596" s="34"/>
      <c r="H596" s="4"/>
      <c r="I596" s="4"/>
      <c r="J596" s="4"/>
      <c r="K596" s="3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37"/>
      <c r="X596" s="1"/>
      <c r="Y596" s="18">
        <f t="shared" si="246"/>
        <v>0</v>
      </c>
      <c r="Z596" s="21">
        <f t="shared" si="247"/>
        <v>0</v>
      </c>
      <c r="AA596" s="10">
        <f t="shared" si="248"/>
        <v>0</v>
      </c>
      <c r="AB596" s="10">
        <f t="shared" si="249"/>
        <v>0</v>
      </c>
      <c r="AC596" s="10">
        <f t="shared" si="250"/>
        <v>0</v>
      </c>
      <c r="AD596" s="46" t="str">
        <f t="shared" si="251"/>
        <v/>
      </c>
      <c r="AE596" s="46" t="str">
        <f t="shared" si="252"/>
        <v/>
      </c>
      <c r="AF596" s="46" t="str">
        <f t="shared" si="253"/>
        <v/>
      </c>
      <c r="AG596" s="46" t="str">
        <f t="shared" si="254"/>
        <v/>
      </c>
      <c r="AH596" s="46" t="str">
        <f t="shared" si="255"/>
        <v/>
      </c>
      <c r="AI596" s="46" t="str">
        <f t="shared" si="256"/>
        <v/>
      </c>
      <c r="AJ596" s="46" t="str">
        <f t="shared" si="257"/>
        <v/>
      </c>
      <c r="AK596" s="46" t="str">
        <f t="shared" si="258"/>
        <v/>
      </c>
      <c r="AL596" s="46" t="str">
        <f t="shared" si="259"/>
        <v/>
      </c>
      <c r="AM596" s="46" t="str">
        <f t="shared" si="260"/>
        <v/>
      </c>
      <c r="AN596" s="46" t="str">
        <f t="shared" si="261"/>
        <v/>
      </c>
      <c r="AO596" s="46" t="str">
        <f t="shared" si="262"/>
        <v/>
      </c>
      <c r="AP596" s="46" t="str">
        <f t="shared" si="263"/>
        <v/>
      </c>
      <c r="AQ596" s="46" t="str">
        <f t="shared" si="264"/>
        <v/>
      </c>
      <c r="AR596" s="46" t="str">
        <f t="shared" si="265"/>
        <v/>
      </c>
      <c r="AS596" s="46" t="str">
        <f t="shared" si="266"/>
        <v/>
      </c>
      <c r="AT596" s="46" t="str">
        <f t="shared" si="267"/>
        <v/>
      </c>
      <c r="AU596" s="46" t="str">
        <f t="shared" si="268"/>
        <v/>
      </c>
      <c r="AV596" s="46" t="str">
        <f t="shared" si="269"/>
        <v/>
      </c>
      <c r="AW596" s="46" t="str">
        <f t="shared" si="270"/>
        <v/>
      </c>
    </row>
    <row r="597" spans="3:49">
      <c r="D597" s="34"/>
      <c r="E597" s="34"/>
      <c r="F597" s="34"/>
      <c r="G597" s="34"/>
      <c r="H597" s="4"/>
      <c r="I597" s="4"/>
      <c r="J597" s="4"/>
      <c r="K597" s="3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37"/>
      <c r="X597" s="1"/>
      <c r="Y597" s="18">
        <f t="shared" si="246"/>
        <v>0</v>
      </c>
      <c r="Z597" s="21">
        <f t="shared" si="247"/>
        <v>0</v>
      </c>
      <c r="AA597" s="10">
        <f t="shared" si="248"/>
        <v>0</v>
      </c>
      <c r="AB597" s="10">
        <f t="shared" si="249"/>
        <v>0</v>
      </c>
      <c r="AC597" s="10">
        <f t="shared" si="250"/>
        <v>0</v>
      </c>
      <c r="AD597" s="46" t="str">
        <f t="shared" si="251"/>
        <v/>
      </c>
      <c r="AE597" s="46" t="str">
        <f t="shared" si="252"/>
        <v/>
      </c>
      <c r="AF597" s="46" t="str">
        <f t="shared" si="253"/>
        <v/>
      </c>
      <c r="AG597" s="46" t="str">
        <f t="shared" si="254"/>
        <v/>
      </c>
      <c r="AH597" s="46" t="str">
        <f t="shared" si="255"/>
        <v/>
      </c>
      <c r="AI597" s="46" t="str">
        <f t="shared" si="256"/>
        <v/>
      </c>
      <c r="AJ597" s="46" t="str">
        <f t="shared" si="257"/>
        <v/>
      </c>
      <c r="AK597" s="46" t="str">
        <f t="shared" si="258"/>
        <v/>
      </c>
      <c r="AL597" s="46" t="str">
        <f t="shared" si="259"/>
        <v/>
      </c>
      <c r="AM597" s="46" t="str">
        <f t="shared" si="260"/>
        <v/>
      </c>
      <c r="AN597" s="46" t="str">
        <f t="shared" si="261"/>
        <v/>
      </c>
      <c r="AO597" s="46" t="str">
        <f t="shared" si="262"/>
        <v/>
      </c>
      <c r="AP597" s="46" t="str">
        <f t="shared" si="263"/>
        <v/>
      </c>
      <c r="AQ597" s="46" t="str">
        <f t="shared" si="264"/>
        <v/>
      </c>
      <c r="AR597" s="46" t="str">
        <f t="shared" si="265"/>
        <v/>
      </c>
      <c r="AS597" s="46" t="str">
        <f t="shared" si="266"/>
        <v/>
      </c>
      <c r="AT597" s="46" t="str">
        <f t="shared" si="267"/>
        <v/>
      </c>
      <c r="AU597" s="46" t="str">
        <f t="shared" si="268"/>
        <v/>
      </c>
      <c r="AV597" s="46" t="str">
        <f t="shared" si="269"/>
        <v/>
      </c>
      <c r="AW597" s="46" t="str">
        <f t="shared" si="270"/>
        <v/>
      </c>
    </row>
    <row r="598" spans="3:49">
      <c r="D598" s="34"/>
      <c r="E598" s="34"/>
      <c r="F598" s="34"/>
      <c r="G598" s="34"/>
      <c r="H598" s="4"/>
      <c r="I598" s="4"/>
      <c r="J598" s="4"/>
      <c r="K598" s="3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37"/>
      <c r="X598" s="1"/>
      <c r="Y598" s="18">
        <f t="shared" si="246"/>
        <v>0</v>
      </c>
      <c r="Z598" s="21">
        <f t="shared" si="247"/>
        <v>0</v>
      </c>
      <c r="AA598" s="10">
        <f t="shared" si="248"/>
        <v>0</v>
      </c>
      <c r="AB598" s="10">
        <f t="shared" si="249"/>
        <v>0</v>
      </c>
      <c r="AC598" s="10">
        <f t="shared" si="250"/>
        <v>0</v>
      </c>
      <c r="AD598" s="46" t="str">
        <f t="shared" si="251"/>
        <v/>
      </c>
      <c r="AE598" s="46" t="str">
        <f t="shared" si="252"/>
        <v/>
      </c>
      <c r="AF598" s="46" t="str">
        <f t="shared" si="253"/>
        <v/>
      </c>
      <c r="AG598" s="46" t="str">
        <f t="shared" si="254"/>
        <v/>
      </c>
      <c r="AH598" s="46" t="str">
        <f t="shared" si="255"/>
        <v/>
      </c>
      <c r="AI598" s="46" t="str">
        <f t="shared" si="256"/>
        <v/>
      </c>
      <c r="AJ598" s="46" t="str">
        <f t="shared" si="257"/>
        <v/>
      </c>
      <c r="AK598" s="46" t="str">
        <f t="shared" si="258"/>
        <v/>
      </c>
      <c r="AL598" s="46" t="str">
        <f t="shared" si="259"/>
        <v/>
      </c>
      <c r="AM598" s="46" t="str">
        <f t="shared" si="260"/>
        <v/>
      </c>
      <c r="AN598" s="46" t="str">
        <f t="shared" si="261"/>
        <v/>
      </c>
      <c r="AO598" s="46" t="str">
        <f t="shared" si="262"/>
        <v/>
      </c>
      <c r="AP598" s="46" t="str">
        <f t="shared" si="263"/>
        <v/>
      </c>
      <c r="AQ598" s="46" t="str">
        <f t="shared" si="264"/>
        <v/>
      </c>
      <c r="AR598" s="46" t="str">
        <f t="shared" si="265"/>
        <v/>
      </c>
      <c r="AS598" s="46" t="str">
        <f t="shared" si="266"/>
        <v/>
      </c>
      <c r="AT598" s="46" t="str">
        <f t="shared" si="267"/>
        <v/>
      </c>
      <c r="AU598" s="46" t="str">
        <f t="shared" si="268"/>
        <v/>
      </c>
      <c r="AV598" s="46" t="str">
        <f t="shared" si="269"/>
        <v/>
      </c>
      <c r="AW598" s="46" t="str">
        <f t="shared" si="270"/>
        <v/>
      </c>
    </row>
    <row r="599" spans="3:49">
      <c r="D599" s="34"/>
      <c r="E599" s="34"/>
      <c r="F599" s="34"/>
      <c r="G599" s="34"/>
      <c r="H599" s="4"/>
      <c r="I599" s="4"/>
      <c r="J599" s="4"/>
      <c r="K599" s="3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37"/>
      <c r="X599" s="1"/>
      <c r="Y599" s="18">
        <f t="shared" si="246"/>
        <v>0</v>
      </c>
      <c r="Z599" s="21">
        <f t="shared" si="247"/>
        <v>0</v>
      </c>
      <c r="AA599" s="10">
        <f t="shared" si="248"/>
        <v>0</v>
      </c>
      <c r="AB599" s="10">
        <f t="shared" si="249"/>
        <v>0</v>
      </c>
      <c r="AC599" s="10">
        <f t="shared" si="250"/>
        <v>0</v>
      </c>
      <c r="AD599" s="46" t="str">
        <f t="shared" si="251"/>
        <v/>
      </c>
      <c r="AE599" s="46" t="str">
        <f t="shared" si="252"/>
        <v/>
      </c>
      <c r="AF599" s="46" t="str">
        <f t="shared" si="253"/>
        <v/>
      </c>
      <c r="AG599" s="46" t="str">
        <f t="shared" si="254"/>
        <v/>
      </c>
      <c r="AH599" s="46" t="str">
        <f t="shared" si="255"/>
        <v/>
      </c>
      <c r="AI599" s="46" t="str">
        <f t="shared" si="256"/>
        <v/>
      </c>
      <c r="AJ599" s="46" t="str">
        <f t="shared" si="257"/>
        <v/>
      </c>
      <c r="AK599" s="46" t="str">
        <f t="shared" si="258"/>
        <v/>
      </c>
      <c r="AL599" s="46" t="str">
        <f t="shared" si="259"/>
        <v/>
      </c>
      <c r="AM599" s="46" t="str">
        <f t="shared" si="260"/>
        <v/>
      </c>
      <c r="AN599" s="46" t="str">
        <f t="shared" si="261"/>
        <v/>
      </c>
      <c r="AO599" s="46" t="str">
        <f t="shared" si="262"/>
        <v/>
      </c>
      <c r="AP599" s="46" t="str">
        <f t="shared" si="263"/>
        <v/>
      </c>
      <c r="AQ599" s="46" t="str">
        <f t="shared" si="264"/>
        <v/>
      </c>
      <c r="AR599" s="46" t="str">
        <f t="shared" si="265"/>
        <v/>
      </c>
      <c r="AS599" s="46" t="str">
        <f t="shared" si="266"/>
        <v/>
      </c>
      <c r="AT599" s="46" t="str">
        <f t="shared" si="267"/>
        <v/>
      </c>
      <c r="AU599" s="46" t="str">
        <f t="shared" si="268"/>
        <v/>
      </c>
      <c r="AV599" s="46" t="str">
        <f t="shared" si="269"/>
        <v/>
      </c>
      <c r="AW599" s="46" t="str">
        <f t="shared" si="270"/>
        <v/>
      </c>
    </row>
    <row r="600" spans="3:49">
      <c r="D600" s="34"/>
      <c r="E600" s="34"/>
      <c r="F600" s="34"/>
      <c r="G600" s="34"/>
      <c r="H600" s="4"/>
      <c r="I600" s="4"/>
      <c r="J600" s="4"/>
      <c r="K600" s="3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37"/>
      <c r="X600" s="1"/>
      <c r="Y600" s="18">
        <f t="shared" si="246"/>
        <v>0</v>
      </c>
      <c r="Z600" s="21">
        <f t="shared" si="247"/>
        <v>0</v>
      </c>
      <c r="AA600" s="10">
        <f t="shared" si="248"/>
        <v>0</v>
      </c>
      <c r="AB600" s="10">
        <f t="shared" si="249"/>
        <v>0</v>
      </c>
      <c r="AC600" s="10">
        <f t="shared" si="250"/>
        <v>0</v>
      </c>
      <c r="AD600" s="46" t="str">
        <f t="shared" si="251"/>
        <v/>
      </c>
      <c r="AE600" s="46" t="str">
        <f t="shared" si="252"/>
        <v/>
      </c>
      <c r="AF600" s="46" t="str">
        <f t="shared" si="253"/>
        <v/>
      </c>
      <c r="AG600" s="46" t="str">
        <f t="shared" si="254"/>
        <v/>
      </c>
      <c r="AH600" s="46" t="str">
        <f t="shared" si="255"/>
        <v/>
      </c>
      <c r="AI600" s="46" t="str">
        <f t="shared" si="256"/>
        <v/>
      </c>
      <c r="AJ600" s="46" t="str">
        <f t="shared" si="257"/>
        <v/>
      </c>
      <c r="AK600" s="46" t="str">
        <f t="shared" si="258"/>
        <v/>
      </c>
      <c r="AL600" s="46" t="str">
        <f t="shared" si="259"/>
        <v/>
      </c>
      <c r="AM600" s="46" t="str">
        <f t="shared" si="260"/>
        <v/>
      </c>
      <c r="AN600" s="46" t="str">
        <f t="shared" si="261"/>
        <v/>
      </c>
      <c r="AO600" s="46" t="str">
        <f t="shared" si="262"/>
        <v/>
      </c>
      <c r="AP600" s="46" t="str">
        <f t="shared" si="263"/>
        <v/>
      </c>
      <c r="AQ600" s="46" t="str">
        <f t="shared" si="264"/>
        <v/>
      </c>
      <c r="AR600" s="46" t="str">
        <f t="shared" si="265"/>
        <v/>
      </c>
      <c r="AS600" s="46" t="str">
        <f t="shared" si="266"/>
        <v/>
      </c>
      <c r="AT600" s="46" t="str">
        <f t="shared" si="267"/>
        <v/>
      </c>
      <c r="AU600" s="46" t="str">
        <f t="shared" si="268"/>
        <v/>
      </c>
      <c r="AV600" s="46" t="str">
        <f t="shared" si="269"/>
        <v/>
      </c>
      <c r="AW600" s="46" t="str">
        <f t="shared" si="270"/>
        <v/>
      </c>
    </row>
    <row r="601" spans="3:49">
      <c r="D601" s="34"/>
      <c r="E601" s="34"/>
      <c r="F601" s="34"/>
      <c r="G601" s="34"/>
      <c r="H601" s="4"/>
      <c r="I601" s="4"/>
      <c r="J601" s="4"/>
      <c r="K601" s="3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37"/>
      <c r="X601" s="1"/>
      <c r="Y601" s="18">
        <f t="shared" si="246"/>
        <v>0</v>
      </c>
      <c r="Z601" s="21">
        <f t="shared" si="247"/>
        <v>0</v>
      </c>
      <c r="AA601" s="10">
        <f t="shared" si="248"/>
        <v>0</v>
      </c>
      <c r="AB601" s="10">
        <f t="shared" si="249"/>
        <v>0</v>
      </c>
      <c r="AC601" s="10">
        <f t="shared" si="250"/>
        <v>0</v>
      </c>
      <c r="AD601" s="46" t="str">
        <f t="shared" si="251"/>
        <v/>
      </c>
      <c r="AE601" s="46" t="str">
        <f t="shared" si="252"/>
        <v/>
      </c>
      <c r="AF601" s="46" t="str">
        <f t="shared" si="253"/>
        <v/>
      </c>
      <c r="AG601" s="46" t="str">
        <f t="shared" si="254"/>
        <v/>
      </c>
      <c r="AH601" s="46" t="str">
        <f t="shared" si="255"/>
        <v/>
      </c>
      <c r="AI601" s="46" t="str">
        <f t="shared" si="256"/>
        <v/>
      </c>
      <c r="AJ601" s="46" t="str">
        <f t="shared" si="257"/>
        <v/>
      </c>
      <c r="AK601" s="46" t="str">
        <f t="shared" si="258"/>
        <v/>
      </c>
      <c r="AL601" s="46" t="str">
        <f t="shared" si="259"/>
        <v/>
      </c>
      <c r="AM601" s="46" t="str">
        <f t="shared" si="260"/>
        <v/>
      </c>
      <c r="AN601" s="46" t="str">
        <f t="shared" si="261"/>
        <v/>
      </c>
      <c r="AO601" s="46" t="str">
        <f t="shared" si="262"/>
        <v/>
      </c>
      <c r="AP601" s="46" t="str">
        <f t="shared" si="263"/>
        <v/>
      </c>
      <c r="AQ601" s="46" t="str">
        <f t="shared" si="264"/>
        <v/>
      </c>
      <c r="AR601" s="46" t="str">
        <f t="shared" si="265"/>
        <v/>
      </c>
      <c r="AS601" s="46" t="str">
        <f t="shared" si="266"/>
        <v/>
      </c>
      <c r="AT601" s="46" t="str">
        <f t="shared" si="267"/>
        <v/>
      </c>
      <c r="AU601" s="46" t="str">
        <f t="shared" si="268"/>
        <v/>
      </c>
      <c r="AV601" s="46" t="str">
        <f t="shared" si="269"/>
        <v/>
      </c>
      <c r="AW601" s="46" t="str">
        <f t="shared" si="270"/>
        <v/>
      </c>
    </row>
    <row r="602" spans="3:49">
      <c r="C602" s="3"/>
      <c r="D602" s="34"/>
      <c r="E602" s="34"/>
      <c r="F602" s="34"/>
      <c r="G602" s="34"/>
      <c r="H602" s="4"/>
      <c r="I602" s="4"/>
      <c r="J602" s="4"/>
      <c r="K602" s="3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37"/>
      <c r="X602" s="1"/>
      <c r="Y602" s="18">
        <f t="shared" si="246"/>
        <v>0</v>
      </c>
      <c r="Z602" s="21">
        <f t="shared" si="247"/>
        <v>0</v>
      </c>
      <c r="AA602" s="10">
        <f t="shared" si="248"/>
        <v>0</v>
      </c>
      <c r="AB602" s="10">
        <f t="shared" si="249"/>
        <v>0</v>
      </c>
      <c r="AC602" s="10">
        <f t="shared" si="250"/>
        <v>0</v>
      </c>
      <c r="AD602" s="46" t="str">
        <f t="shared" si="251"/>
        <v/>
      </c>
      <c r="AE602" s="46" t="str">
        <f t="shared" si="252"/>
        <v/>
      </c>
      <c r="AF602" s="46" t="str">
        <f t="shared" si="253"/>
        <v/>
      </c>
      <c r="AG602" s="46" t="str">
        <f t="shared" si="254"/>
        <v/>
      </c>
      <c r="AH602" s="46" t="str">
        <f t="shared" si="255"/>
        <v/>
      </c>
      <c r="AI602" s="46" t="str">
        <f t="shared" si="256"/>
        <v/>
      </c>
      <c r="AJ602" s="46" t="str">
        <f t="shared" si="257"/>
        <v/>
      </c>
      <c r="AK602" s="46" t="str">
        <f t="shared" si="258"/>
        <v/>
      </c>
      <c r="AL602" s="46" t="str">
        <f t="shared" si="259"/>
        <v/>
      </c>
      <c r="AM602" s="46" t="str">
        <f t="shared" si="260"/>
        <v/>
      </c>
      <c r="AN602" s="46" t="str">
        <f t="shared" si="261"/>
        <v/>
      </c>
      <c r="AO602" s="46" t="str">
        <f t="shared" si="262"/>
        <v/>
      </c>
      <c r="AP602" s="46" t="str">
        <f t="shared" si="263"/>
        <v/>
      </c>
      <c r="AQ602" s="46" t="str">
        <f t="shared" si="264"/>
        <v/>
      </c>
      <c r="AR602" s="46" t="str">
        <f t="shared" si="265"/>
        <v/>
      </c>
      <c r="AS602" s="46" t="str">
        <f t="shared" si="266"/>
        <v/>
      </c>
      <c r="AT602" s="46" t="str">
        <f t="shared" si="267"/>
        <v/>
      </c>
      <c r="AU602" s="46" t="str">
        <f t="shared" si="268"/>
        <v/>
      </c>
      <c r="AV602" s="46" t="str">
        <f t="shared" si="269"/>
        <v/>
      </c>
      <c r="AW602" s="46" t="str">
        <f t="shared" si="270"/>
        <v/>
      </c>
    </row>
    <row r="603" spans="3:49">
      <c r="D603" s="35"/>
      <c r="E603" s="35"/>
      <c r="F603" s="34"/>
      <c r="G603" s="35"/>
      <c r="H603" s="5"/>
      <c r="I603" s="5"/>
      <c r="J603" s="5"/>
      <c r="K603" s="35"/>
      <c r="L603" s="5"/>
      <c r="M603" s="5"/>
      <c r="N603" s="5"/>
      <c r="O603" s="5"/>
      <c r="P603" s="5"/>
      <c r="Q603" s="5"/>
      <c r="R603" s="5"/>
      <c r="S603" s="5"/>
      <c r="U603" s="4"/>
      <c r="Y603" s="74">
        <f t="shared" ref="Y603" si="271">COUNTA(D603:V603)-X603</f>
        <v>0</v>
      </c>
      <c r="Z603" s="75">
        <f t="shared" ref="Z603" si="272">IF(W603&lt;&gt;"",0.0001,IF(X603+Y603=0,0,IF(X603=0,70+(Y603*50),IF(X603&gt;0,80+(Y603*50)))))</f>
        <v>0</v>
      </c>
    </row>
    <row r="604" spans="3:49">
      <c r="D604" s="35"/>
      <c r="E604" s="35"/>
      <c r="F604" s="35"/>
      <c r="G604" s="35"/>
      <c r="H604" s="5"/>
      <c r="I604" s="5"/>
      <c r="J604" s="5"/>
      <c r="K604" s="35"/>
      <c r="L604" s="5"/>
      <c r="M604" s="5"/>
      <c r="N604" s="5"/>
      <c r="O604" s="5"/>
      <c r="P604" s="5"/>
      <c r="Q604" s="5"/>
      <c r="R604" s="5"/>
      <c r="S604" s="5"/>
    </row>
    <row r="605" spans="3:49">
      <c r="D605" s="35"/>
      <c r="E605" s="35"/>
      <c r="F605" s="35"/>
      <c r="G605" s="35"/>
      <c r="H605" s="5"/>
      <c r="I605" s="5"/>
      <c r="J605" s="5"/>
      <c r="K605" s="35"/>
      <c r="L605" s="5"/>
      <c r="M605" s="5"/>
      <c r="N605" s="5"/>
      <c r="O605" s="5"/>
      <c r="P605" s="5"/>
      <c r="Q605" s="5"/>
      <c r="R605" s="5"/>
      <c r="S605" s="5"/>
    </row>
    <row r="606" spans="3:49">
      <c r="D606" s="35"/>
      <c r="E606" s="35"/>
      <c r="F606" s="35"/>
      <c r="G606" s="35"/>
      <c r="H606" s="5"/>
      <c r="I606" s="5"/>
      <c r="J606" s="5"/>
      <c r="K606" s="35"/>
      <c r="L606" s="5"/>
      <c r="M606" s="5"/>
      <c r="N606" s="5"/>
      <c r="O606" s="5"/>
      <c r="P606" s="5"/>
      <c r="Q606" s="5"/>
      <c r="R606" s="5"/>
      <c r="S606" s="5"/>
    </row>
    <row r="607" spans="3:49">
      <c r="D607" s="35"/>
      <c r="E607" s="35"/>
      <c r="F607" s="35"/>
      <c r="G607" s="35"/>
      <c r="H607" s="5"/>
      <c r="I607" s="5"/>
      <c r="J607" s="5"/>
      <c r="K607" s="35"/>
      <c r="L607" s="5"/>
      <c r="M607" s="5"/>
      <c r="N607" s="5"/>
      <c r="O607" s="5"/>
      <c r="P607" s="5"/>
      <c r="Q607" s="5"/>
      <c r="R607" s="5"/>
      <c r="S607" s="5"/>
    </row>
    <row r="608" spans="3:49">
      <c r="D608" s="35"/>
      <c r="E608" s="35"/>
      <c r="F608" s="35"/>
      <c r="G608" s="35"/>
      <c r="H608" s="5"/>
      <c r="I608" s="5"/>
      <c r="J608" s="5"/>
      <c r="K608" s="35"/>
      <c r="L608" s="5"/>
      <c r="M608" s="5"/>
      <c r="N608" s="5"/>
      <c r="O608" s="5"/>
      <c r="P608" s="5"/>
      <c r="Q608" s="5"/>
      <c r="R608" s="5"/>
      <c r="S608" s="5"/>
    </row>
    <row r="609" spans="4:19">
      <c r="D609" s="35"/>
      <c r="E609" s="35"/>
      <c r="F609" s="35"/>
      <c r="G609" s="35"/>
      <c r="H609" s="5"/>
      <c r="I609" s="5"/>
      <c r="J609" s="5"/>
      <c r="K609" s="35"/>
      <c r="L609" s="5"/>
      <c r="M609" s="5"/>
      <c r="N609" s="5"/>
      <c r="O609" s="5"/>
      <c r="P609" s="5"/>
      <c r="Q609" s="5"/>
      <c r="R609" s="5"/>
      <c r="S609" s="5"/>
    </row>
    <row r="610" spans="4:19">
      <c r="D610" s="35"/>
      <c r="E610" s="35"/>
      <c r="F610" s="35"/>
      <c r="G610" s="35"/>
      <c r="H610" s="5"/>
      <c r="I610" s="5"/>
      <c r="J610" s="5"/>
      <c r="K610" s="35"/>
      <c r="L610" s="5"/>
      <c r="M610" s="5"/>
      <c r="N610" s="5"/>
      <c r="O610" s="5"/>
      <c r="P610" s="5"/>
      <c r="Q610" s="5"/>
      <c r="R610" s="5"/>
      <c r="S610" s="5"/>
    </row>
    <row r="611" spans="4:19">
      <c r="D611" s="35"/>
      <c r="E611" s="35"/>
      <c r="F611" s="35"/>
      <c r="G611" s="35"/>
      <c r="H611" s="5"/>
      <c r="I611" s="5"/>
      <c r="J611" s="5"/>
      <c r="K611" s="35"/>
      <c r="L611" s="5"/>
      <c r="M611" s="5"/>
      <c r="N611" s="5"/>
      <c r="O611" s="5"/>
      <c r="P611" s="5"/>
      <c r="Q611" s="5"/>
      <c r="R611" s="5"/>
      <c r="S611" s="5"/>
    </row>
    <row r="612" spans="4:19">
      <c r="D612" s="35"/>
      <c r="E612" s="35"/>
      <c r="F612" s="35"/>
      <c r="G612" s="35"/>
      <c r="H612" s="5"/>
      <c r="I612" s="5"/>
      <c r="J612" s="5"/>
      <c r="K612" s="35"/>
      <c r="L612" s="5"/>
      <c r="M612" s="5"/>
      <c r="N612" s="5"/>
      <c r="O612" s="5"/>
      <c r="P612" s="5"/>
      <c r="Q612" s="5"/>
      <c r="R612" s="5"/>
      <c r="S612" s="5"/>
    </row>
    <row r="613" spans="4:19">
      <c r="D613" s="35"/>
      <c r="E613" s="35"/>
      <c r="F613" s="35"/>
      <c r="G613" s="35"/>
      <c r="H613" s="5"/>
      <c r="I613" s="5"/>
      <c r="J613" s="5"/>
      <c r="K613" s="35"/>
      <c r="L613" s="5"/>
      <c r="M613" s="5"/>
      <c r="N613" s="5"/>
      <c r="O613" s="5"/>
      <c r="P613" s="5"/>
      <c r="Q613" s="5"/>
      <c r="R613" s="5"/>
      <c r="S613" s="5"/>
    </row>
    <row r="614" spans="4:19">
      <c r="D614" s="35"/>
      <c r="E614" s="35"/>
      <c r="F614" s="35"/>
      <c r="G614" s="35"/>
      <c r="H614" s="5"/>
      <c r="I614" s="5"/>
      <c r="J614" s="5"/>
      <c r="K614" s="35"/>
      <c r="L614" s="5"/>
      <c r="M614" s="5"/>
      <c r="N614" s="5"/>
      <c r="O614" s="5"/>
      <c r="P614" s="5"/>
      <c r="Q614" s="5"/>
      <c r="R614" s="5"/>
      <c r="S614" s="5"/>
    </row>
    <row r="615" spans="4:19">
      <c r="D615" s="35"/>
      <c r="E615" s="35"/>
      <c r="F615" s="35"/>
      <c r="G615" s="35"/>
      <c r="H615" s="5"/>
      <c r="I615" s="5"/>
      <c r="J615" s="5"/>
      <c r="K615" s="35"/>
      <c r="L615" s="5"/>
      <c r="M615" s="5"/>
      <c r="N615" s="5"/>
      <c r="O615" s="5"/>
      <c r="P615" s="5"/>
      <c r="Q615" s="5"/>
      <c r="R615" s="5"/>
      <c r="S615" s="5"/>
    </row>
    <row r="616" spans="4:19">
      <c r="D616" s="35"/>
      <c r="E616" s="35"/>
      <c r="F616" s="35"/>
      <c r="G616" s="35"/>
      <c r="H616" s="5"/>
      <c r="I616" s="5"/>
      <c r="J616" s="5"/>
      <c r="K616" s="35"/>
      <c r="L616" s="5"/>
      <c r="M616" s="5"/>
      <c r="N616" s="5"/>
      <c r="O616" s="5"/>
      <c r="P616" s="5"/>
      <c r="Q616" s="5"/>
      <c r="R616" s="5"/>
      <c r="S616" s="5"/>
    </row>
    <row r="617" spans="4:19">
      <c r="D617" s="35"/>
      <c r="E617" s="35"/>
      <c r="F617" s="35"/>
      <c r="G617" s="35"/>
      <c r="H617" s="5"/>
      <c r="I617" s="5"/>
      <c r="J617" s="5"/>
      <c r="K617" s="35"/>
      <c r="L617" s="5"/>
      <c r="M617" s="5"/>
      <c r="N617" s="5"/>
      <c r="O617" s="5"/>
      <c r="P617" s="5"/>
      <c r="Q617" s="5"/>
      <c r="R617" s="5"/>
      <c r="S617" s="5"/>
    </row>
    <row r="618" spans="4:19">
      <c r="D618" s="35"/>
      <c r="E618" s="35"/>
      <c r="F618" s="35"/>
      <c r="G618" s="35"/>
      <c r="H618" s="5"/>
      <c r="I618" s="5"/>
      <c r="J618" s="5"/>
      <c r="K618" s="35"/>
      <c r="L618" s="5"/>
      <c r="M618" s="5"/>
      <c r="N618" s="5"/>
      <c r="O618" s="5"/>
      <c r="P618" s="5"/>
      <c r="Q618" s="5"/>
      <c r="R618" s="5"/>
      <c r="S618" s="5"/>
    </row>
    <row r="619" spans="4:19">
      <c r="D619" s="35"/>
      <c r="E619" s="35"/>
      <c r="F619" s="35"/>
      <c r="G619" s="35"/>
      <c r="H619" s="5"/>
      <c r="I619" s="5"/>
      <c r="J619" s="5"/>
      <c r="K619" s="35"/>
      <c r="L619" s="5"/>
      <c r="M619" s="5"/>
      <c r="N619" s="5"/>
      <c r="O619" s="5"/>
      <c r="P619" s="5"/>
      <c r="Q619" s="5"/>
      <c r="R619" s="5"/>
      <c r="S619" s="5"/>
    </row>
    <row r="620" spans="4:19">
      <c r="D620" s="35"/>
      <c r="E620" s="35"/>
      <c r="F620" s="35"/>
      <c r="G620" s="35"/>
      <c r="H620" s="5"/>
      <c r="I620" s="5"/>
      <c r="J620" s="5"/>
      <c r="K620" s="35"/>
      <c r="L620" s="5"/>
      <c r="M620" s="5"/>
      <c r="N620" s="5"/>
      <c r="O620" s="5"/>
      <c r="P620" s="5"/>
      <c r="Q620" s="5"/>
      <c r="R620" s="5"/>
      <c r="S620" s="5"/>
    </row>
    <row r="621" spans="4:19">
      <c r="D621" s="35"/>
      <c r="E621" s="35"/>
      <c r="F621" s="35"/>
      <c r="G621" s="35"/>
      <c r="H621" s="5"/>
      <c r="I621" s="5"/>
      <c r="J621" s="5"/>
      <c r="K621" s="35"/>
      <c r="L621" s="5"/>
      <c r="M621" s="5"/>
      <c r="N621" s="5"/>
      <c r="O621" s="5"/>
      <c r="P621" s="5"/>
      <c r="Q621" s="5"/>
      <c r="R621" s="5"/>
      <c r="S621" s="5"/>
    </row>
    <row r="622" spans="4:19">
      <c r="D622" s="35"/>
      <c r="E622" s="35"/>
      <c r="F622" s="35"/>
      <c r="G622" s="35"/>
      <c r="H622" s="5"/>
      <c r="I622" s="5"/>
      <c r="J622" s="5"/>
      <c r="K622" s="35"/>
      <c r="L622" s="5"/>
      <c r="M622" s="5"/>
      <c r="N622" s="5"/>
      <c r="O622" s="5"/>
      <c r="P622" s="5"/>
      <c r="Q622" s="5"/>
      <c r="R622" s="5"/>
      <c r="S622" s="5"/>
    </row>
    <row r="623" spans="4:19">
      <c r="D623" s="35"/>
      <c r="E623" s="35"/>
      <c r="F623" s="35"/>
      <c r="G623" s="35"/>
      <c r="H623" s="5"/>
      <c r="I623" s="5"/>
      <c r="J623" s="5"/>
      <c r="K623" s="35"/>
      <c r="L623" s="5"/>
      <c r="M623" s="5"/>
      <c r="N623" s="5"/>
      <c r="O623" s="5"/>
      <c r="P623" s="5"/>
      <c r="Q623" s="5"/>
      <c r="R623" s="5"/>
      <c r="S623" s="5"/>
    </row>
    <row r="624" spans="4:19">
      <c r="D624" s="35"/>
      <c r="E624" s="35"/>
      <c r="F624" s="35"/>
      <c r="G624" s="35"/>
      <c r="H624" s="5"/>
      <c r="I624" s="5"/>
      <c r="J624" s="5"/>
      <c r="K624" s="35"/>
      <c r="L624" s="5"/>
      <c r="M624" s="5"/>
      <c r="N624" s="5"/>
      <c r="O624" s="5"/>
      <c r="P624" s="5"/>
      <c r="Q624" s="5"/>
      <c r="R624" s="5"/>
      <c r="S624" s="5"/>
    </row>
    <row r="625" spans="4:19">
      <c r="D625" s="35"/>
      <c r="E625" s="35"/>
      <c r="F625" s="35"/>
      <c r="G625" s="35"/>
      <c r="H625" s="5"/>
      <c r="I625" s="5"/>
      <c r="J625" s="5"/>
      <c r="K625" s="35"/>
      <c r="L625" s="5"/>
      <c r="M625" s="5"/>
      <c r="N625" s="5"/>
      <c r="O625" s="5"/>
      <c r="P625" s="5"/>
      <c r="Q625" s="5"/>
      <c r="R625" s="5"/>
      <c r="S625" s="5"/>
    </row>
    <row r="626" spans="4:19">
      <c r="D626" s="35"/>
      <c r="E626" s="35"/>
      <c r="F626" s="35"/>
      <c r="G626" s="35"/>
      <c r="H626" s="5"/>
      <c r="I626" s="5"/>
      <c r="J626" s="5"/>
      <c r="K626" s="35"/>
      <c r="L626" s="5"/>
      <c r="M626" s="5"/>
      <c r="N626" s="5"/>
      <c r="O626" s="5"/>
      <c r="P626" s="5"/>
      <c r="Q626" s="5"/>
      <c r="R626" s="5"/>
      <c r="S626" s="5"/>
    </row>
    <row r="627" spans="4:19">
      <c r="D627" s="35"/>
      <c r="E627" s="35"/>
      <c r="F627" s="35"/>
      <c r="G627" s="35"/>
      <c r="H627" s="5"/>
      <c r="I627" s="5"/>
      <c r="J627" s="5"/>
      <c r="K627" s="35"/>
      <c r="L627" s="5"/>
      <c r="M627" s="5"/>
      <c r="N627" s="5"/>
      <c r="O627" s="5"/>
      <c r="P627" s="5"/>
      <c r="Q627" s="5"/>
      <c r="R627" s="5"/>
      <c r="S627" s="5"/>
    </row>
    <row r="628" spans="4:19">
      <c r="D628" s="35"/>
      <c r="E628" s="35"/>
      <c r="F628" s="35"/>
      <c r="G628" s="35"/>
      <c r="H628" s="5"/>
      <c r="I628" s="5"/>
      <c r="J628" s="5"/>
      <c r="K628" s="35"/>
      <c r="L628" s="5"/>
      <c r="M628" s="5"/>
      <c r="N628" s="5"/>
      <c r="O628" s="5"/>
      <c r="P628" s="5"/>
      <c r="Q628" s="5"/>
      <c r="R628" s="5"/>
      <c r="S628" s="5"/>
    </row>
    <row r="629" spans="4:19">
      <c r="D629" s="35"/>
      <c r="E629" s="35"/>
      <c r="F629" s="35"/>
      <c r="G629" s="35"/>
      <c r="H629" s="5"/>
      <c r="I629" s="5"/>
      <c r="J629" s="5"/>
      <c r="K629" s="35"/>
      <c r="L629" s="5"/>
      <c r="M629" s="5"/>
      <c r="N629" s="5"/>
      <c r="O629" s="5"/>
      <c r="P629" s="5"/>
      <c r="Q629" s="5"/>
      <c r="R629" s="5"/>
      <c r="S629" s="5"/>
    </row>
    <row r="630" spans="4:19">
      <c r="D630" s="35"/>
      <c r="E630" s="35"/>
      <c r="F630" s="35"/>
      <c r="G630" s="35"/>
      <c r="H630" s="5"/>
      <c r="I630" s="5"/>
      <c r="J630" s="5"/>
      <c r="K630" s="35"/>
      <c r="L630" s="5"/>
      <c r="M630" s="5"/>
      <c r="N630" s="5"/>
      <c r="O630" s="5"/>
      <c r="P630" s="5"/>
      <c r="Q630" s="5"/>
      <c r="R630" s="5"/>
      <c r="S630" s="5"/>
    </row>
    <row r="631" spans="4:19">
      <c r="D631" s="35"/>
      <c r="E631" s="35"/>
      <c r="F631" s="35"/>
      <c r="G631" s="35"/>
      <c r="H631" s="5"/>
      <c r="I631" s="5"/>
      <c r="J631" s="5"/>
      <c r="K631" s="35"/>
      <c r="L631" s="5"/>
      <c r="M631" s="5"/>
      <c r="N631" s="5"/>
      <c r="O631" s="5"/>
      <c r="P631" s="5"/>
      <c r="Q631" s="5"/>
      <c r="R631" s="5"/>
      <c r="S631" s="5"/>
    </row>
    <row r="632" spans="4:19">
      <c r="D632" s="35"/>
      <c r="E632" s="35"/>
      <c r="F632" s="35"/>
      <c r="G632" s="35"/>
      <c r="H632" s="5"/>
      <c r="I632" s="5"/>
      <c r="J632" s="5"/>
      <c r="K632" s="35"/>
      <c r="L632" s="5"/>
      <c r="M632" s="5"/>
      <c r="N632" s="5"/>
      <c r="O632" s="5"/>
      <c r="P632" s="5"/>
      <c r="Q632" s="5"/>
      <c r="R632" s="5"/>
      <c r="S632" s="5"/>
    </row>
    <row r="633" spans="4:19">
      <c r="D633" s="35"/>
      <c r="E633" s="35"/>
      <c r="F633" s="35"/>
      <c r="G633" s="35"/>
      <c r="H633" s="5"/>
      <c r="I633" s="5"/>
      <c r="J633" s="5"/>
      <c r="K633" s="35"/>
      <c r="L633" s="5"/>
      <c r="M633" s="5"/>
      <c r="N633" s="5"/>
      <c r="O633" s="5"/>
      <c r="P633" s="5"/>
      <c r="Q633" s="5"/>
      <c r="R633" s="5"/>
      <c r="S633" s="5"/>
    </row>
    <row r="634" spans="4:19">
      <c r="D634" s="35"/>
      <c r="E634" s="35"/>
      <c r="F634" s="35"/>
      <c r="G634" s="35"/>
      <c r="H634" s="5"/>
      <c r="I634" s="5"/>
      <c r="J634" s="5"/>
      <c r="K634" s="35"/>
      <c r="L634" s="5"/>
      <c r="M634" s="5"/>
      <c r="N634" s="5"/>
      <c r="O634" s="5"/>
      <c r="P634" s="5"/>
      <c r="Q634" s="5"/>
      <c r="R634" s="5"/>
      <c r="S634" s="5"/>
    </row>
    <row r="635" spans="4:19">
      <c r="D635" s="35"/>
      <c r="E635" s="35"/>
      <c r="F635" s="35"/>
      <c r="G635" s="35"/>
      <c r="H635" s="5"/>
      <c r="I635" s="5"/>
      <c r="J635" s="5"/>
      <c r="K635" s="35"/>
      <c r="L635" s="5"/>
      <c r="M635" s="5"/>
      <c r="N635" s="5"/>
      <c r="O635" s="5"/>
      <c r="P635" s="5"/>
      <c r="Q635" s="5"/>
      <c r="R635" s="5"/>
      <c r="S635" s="5"/>
    </row>
    <row r="636" spans="4:19">
      <c r="D636" s="35"/>
      <c r="E636" s="35"/>
      <c r="F636" s="35"/>
      <c r="G636" s="35"/>
      <c r="H636" s="5"/>
      <c r="I636" s="5"/>
      <c r="J636" s="5"/>
      <c r="K636" s="35"/>
      <c r="L636" s="5"/>
      <c r="M636" s="5"/>
      <c r="N636" s="5"/>
      <c r="O636" s="5"/>
      <c r="P636" s="5"/>
      <c r="Q636" s="5"/>
      <c r="R636" s="5"/>
      <c r="S636" s="5"/>
    </row>
    <row r="637" spans="4:19">
      <c r="D637" s="35"/>
      <c r="E637" s="35"/>
      <c r="F637" s="35"/>
      <c r="G637" s="35"/>
      <c r="H637" s="5"/>
      <c r="I637" s="5"/>
      <c r="J637" s="5"/>
      <c r="K637" s="35"/>
      <c r="L637" s="5"/>
      <c r="M637" s="5"/>
      <c r="N637" s="5"/>
      <c r="O637" s="5"/>
      <c r="P637" s="5"/>
      <c r="Q637" s="5"/>
      <c r="R637" s="5"/>
      <c r="S637" s="5"/>
    </row>
    <row r="638" spans="4:19">
      <c r="D638" s="35"/>
      <c r="E638" s="35"/>
      <c r="F638" s="35"/>
      <c r="G638" s="35"/>
      <c r="H638" s="5"/>
      <c r="I638" s="5"/>
      <c r="J638" s="5"/>
      <c r="K638" s="35"/>
      <c r="L638" s="5"/>
      <c r="M638" s="5"/>
      <c r="N638" s="5"/>
      <c r="O638" s="5"/>
      <c r="P638" s="5"/>
      <c r="Q638" s="5"/>
      <c r="R638" s="5"/>
      <c r="S638" s="5"/>
    </row>
    <row r="639" spans="4:19">
      <c r="D639" s="35"/>
      <c r="E639" s="35"/>
      <c r="F639" s="35"/>
      <c r="G639" s="35"/>
      <c r="H639" s="5"/>
      <c r="I639" s="5"/>
      <c r="J639" s="5"/>
      <c r="K639" s="35"/>
      <c r="L639" s="5"/>
      <c r="M639" s="5"/>
      <c r="N639" s="5"/>
      <c r="O639" s="5"/>
      <c r="P639" s="5"/>
      <c r="Q639" s="5"/>
      <c r="R639" s="5"/>
      <c r="S639" s="5"/>
    </row>
    <row r="640" spans="4:19">
      <c r="D640" s="35"/>
      <c r="E640" s="35"/>
      <c r="F640" s="35"/>
      <c r="G640" s="35"/>
      <c r="H640" s="5"/>
      <c r="I640" s="5"/>
      <c r="J640" s="5"/>
      <c r="K640" s="35"/>
      <c r="L640" s="5"/>
      <c r="M640" s="5"/>
      <c r="N640" s="5"/>
      <c r="O640" s="5"/>
      <c r="P640" s="5"/>
      <c r="Q640" s="5"/>
      <c r="R640" s="5"/>
      <c r="S640" s="5"/>
    </row>
    <row r="641" spans="4:19">
      <c r="D641" s="35"/>
      <c r="E641" s="35"/>
      <c r="F641" s="35"/>
      <c r="G641" s="35"/>
      <c r="H641" s="5"/>
      <c r="I641" s="5"/>
      <c r="J641" s="5"/>
      <c r="K641" s="35"/>
      <c r="L641" s="5"/>
      <c r="M641" s="5"/>
      <c r="N641" s="5"/>
      <c r="O641" s="5"/>
      <c r="P641" s="5"/>
      <c r="Q641" s="5"/>
      <c r="R641" s="5"/>
      <c r="S641" s="5"/>
    </row>
    <row r="642" spans="4:19">
      <c r="D642" s="35"/>
      <c r="E642" s="35"/>
      <c r="F642" s="35"/>
      <c r="G642" s="35"/>
      <c r="H642" s="5"/>
      <c r="I642" s="5"/>
      <c r="J642" s="5"/>
      <c r="K642" s="35"/>
      <c r="L642" s="5"/>
      <c r="M642" s="5"/>
      <c r="N642" s="5"/>
      <c r="O642" s="5"/>
      <c r="P642" s="5"/>
      <c r="Q642" s="5"/>
      <c r="R642" s="5"/>
      <c r="S642" s="5"/>
    </row>
    <row r="643" spans="4:19">
      <c r="D643" s="35"/>
      <c r="E643" s="35"/>
      <c r="F643" s="35"/>
      <c r="G643" s="35"/>
      <c r="H643" s="5"/>
      <c r="I643" s="5"/>
      <c r="J643" s="5"/>
      <c r="K643" s="35"/>
      <c r="L643" s="5"/>
      <c r="M643" s="5"/>
      <c r="N643" s="5"/>
      <c r="O643" s="5"/>
      <c r="P643" s="5"/>
      <c r="Q643" s="5"/>
      <c r="R643" s="5"/>
      <c r="S643" s="5"/>
    </row>
    <row r="644" spans="4:19">
      <c r="D644" s="35"/>
      <c r="E644" s="35"/>
      <c r="F644" s="35"/>
      <c r="G644" s="35"/>
      <c r="H644" s="5"/>
      <c r="I644" s="5"/>
      <c r="J644" s="5"/>
      <c r="K644" s="35"/>
      <c r="L644" s="5"/>
      <c r="M644" s="5"/>
      <c r="N644" s="5"/>
      <c r="O644" s="5"/>
      <c r="P644" s="5"/>
      <c r="Q644" s="5"/>
      <c r="R644" s="5"/>
      <c r="S644" s="5"/>
    </row>
    <row r="645" spans="4:19">
      <c r="D645" s="35"/>
      <c r="E645" s="35"/>
      <c r="F645" s="35"/>
      <c r="G645" s="35"/>
      <c r="H645" s="5"/>
      <c r="I645" s="5"/>
      <c r="J645" s="5"/>
      <c r="K645" s="35"/>
      <c r="L645" s="5"/>
      <c r="M645" s="5"/>
      <c r="N645" s="5"/>
      <c r="O645" s="5"/>
      <c r="P645" s="5"/>
      <c r="Q645" s="5"/>
      <c r="R645" s="5"/>
      <c r="S645" s="5"/>
    </row>
    <row r="646" spans="4:19">
      <c r="D646" s="35"/>
      <c r="E646" s="35"/>
      <c r="F646" s="35"/>
      <c r="G646" s="35"/>
      <c r="H646" s="5"/>
      <c r="I646" s="5"/>
      <c r="J646" s="5"/>
      <c r="K646" s="35"/>
      <c r="L646" s="5"/>
      <c r="M646" s="5"/>
      <c r="N646" s="5"/>
      <c r="O646" s="5"/>
      <c r="P646" s="5"/>
      <c r="Q646" s="5"/>
      <c r="R646" s="5"/>
      <c r="S646" s="5"/>
    </row>
    <row r="647" spans="4:19">
      <c r="D647" s="35"/>
      <c r="E647" s="35"/>
      <c r="F647" s="35"/>
      <c r="G647" s="35"/>
      <c r="H647" s="5"/>
      <c r="I647" s="5"/>
      <c r="J647" s="5"/>
      <c r="K647" s="35"/>
      <c r="L647" s="5"/>
      <c r="M647" s="5"/>
      <c r="N647" s="5"/>
      <c r="O647" s="5"/>
      <c r="P647" s="5"/>
      <c r="Q647" s="5"/>
      <c r="R647" s="5"/>
      <c r="S647" s="5"/>
    </row>
    <row r="648" spans="4:19">
      <c r="D648" s="35"/>
      <c r="E648" s="35"/>
      <c r="F648" s="35"/>
      <c r="G648" s="35"/>
      <c r="H648" s="5"/>
      <c r="I648" s="5"/>
      <c r="J648" s="5"/>
      <c r="K648" s="35"/>
      <c r="L648" s="5"/>
      <c r="M648" s="5"/>
      <c r="N648" s="5"/>
      <c r="O648" s="5"/>
      <c r="P648" s="5"/>
      <c r="Q648" s="5"/>
      <c r="R648" s="5"/>
      <c r="S648" s="5"/>
    </row>
    <row r="649" spans="4:19">
      <c r="D649" s="35"/>
      <c r="E649" s="35"/>
      <c r="F649" s="35"/>
      <c r="G649" s="35"/>
      <c r="H649" s="5"/>
      <c r="I649" s="5"/>
      <c r="J649" s="5"/>
      <c r="K649" s="35"/>
      <c r="L649" s="5"/>
      <c r="M649" s="5"/>
      <c r="N649" s="5"/>
      <c r="O649" s="5"/>
      <c r="P649" s="5"/>
      <c r="Q649" s="5"/>
      <c r="R649" s="5"/>
      <c r="S649" s="5"/>
    </row>
    <row r="650" spans="4:19">
      <c r="D650" s="35"/>
      <c r="E650" s="35"/>
      <c r="F650" s="35"/>
      <c r="G650" s="35"/>
      <c r="H650" s="5"/>
      <c r="I650" s="5"/>
      <c r="J650" s="5"/>
      <c r="K650" s="35"/>
      <c r="L650" s="5"/>
      <c r="M650" s="5"/>
      <c r="N650" s="5"/>
      <c r="O650" s="5"/>
      <c r="P650" s="5"/>
      <c r="Q650" s="5"/>
      <c r="R650" s="5"/>
      <c r="S650" s="5"/>
    </row>
    <row r="651" spans="4:19">
      <c r="D651" s="35"/>
      <c r="E651" s="35"/>
      <c r="F651" s="35"/>
      <c r="G651" s="35"/>
      <c r="H651" s="5"/>
      <c r="I651" s="5"/>
      <c r="J651" s="5"/>
      <c r="K651" s="35"/>
      <c r="L651" s="5"/>
      <c r="M651" s="5"/>
      <c r="N651" s="5"/>
      <c r="O651" s="5"/>
      <c r="P651" s="5"/>
      <c r="Q651" s="5"/>
      <c r="R651" s="5"/>
      <c r="S651" s="5"/>
    </row>
    <row r="652" spans="4:19">
      <c r="D652" s="35"/>
      <c r="E652" s="35"/>
      <c r="F652" s="35"/>
      <c r="G652" s="35"/>
      <c r="H652" s="5"/>
      <c r="I652" s="5"/>
      <c r="J652" s="5"/>
      <c r="K652" s="35"/>
      <c r="L652" s="5"/>
      <c r="M652" s="5"/>
      <c r="N652" s="5"/>
      <c r="O652" s="5"/>
      <c r="P652" s="5"/>
      <c r="Q652" s="5"/>
      <c r="R652" s="5"/>
      <c r="S652" s="5"/>
    </row>
    <row r="653" spans="4:19">
      <c r="D653" s="35"/>
      <c r="E653" s="35"/>
      <c r="F653" s="35"/>
      <c r="G653" s="35"/>
      <c r="H653" s="5"/>
      <c r="I653" s="5"/>
      <c r="J653" s="5"/>
      <c r="K653" s="35"/>
      <c r="L653" s="5"/>
      <c r="M653" s="5"/>
      <c r="N653" s="5"/>
      <c r="O653" s="5"/>
      <c r="P653" s="5"/>
      <c r="Q653" s="5"/>
      <c r="R653" s="5"/>
      <c r="S653" s="5"/>
    </row>
    <row r="654" spans="4:19">
      <c r="D654" s="35"/>
      <c r="E654" s="35"/>
      <c r="F654" s="35"/>
      <c r="G654" s="35"/>
      <c r="H654" s="5"/>
      <c r="I654" s="5"/>
      <c r="J654" s="5"/>
      <c r="K654" s="35"/>
      <c r="L654" s="5"/>
      <c r="M654" s="5"/>
      <c r="N654" s="5"/>
      <c r="O654" s="5"/>
      <c r="P654" s="5"/>
      <c r="Q654" s="5"/>
      <c r="R654" s="5"/>
      <c r="S654" s="5"/>
    </row>
    <row r="655" spans="4:19">
      <c r="D655" s="35"/>
      <c r="E655" s="35"/>
      <c r="F655" s="35"/>
      <c r="G655" s="35"/>
      <c r="H655" s="5"/>
      <c r="I655" s="5"/>
      <c r="J655" s="5"/>
      <c r="K655" s="35"/>
      <c r="L655" s="5"/>
      <c r="M655" s="5"/>
      <c r="N655" s="5"/>
      <c r="O655" s="5"/>
      <c r="P655" s="5"/>
      <c r="Q655" s="5"/>
      <c r="R655" s="5"/>
      <c r="S655" s="5"/>
    </row>
    <row r="656" spans="4:19">
      <c r="D656" s="35"/>
      <c r="E656" s="35"/>
      <c r="F656" s="35"/>
      <c r="G656" s="35"/>
      <c r="H656" s="5"/>
      <c r="I656" s="5"/>
      <c r="J656" s="5"/>
      <c r="K656" s="35"/>
      <c r="L656" s="5"/>
      <c r="M656" s="5"/>
      <c r="N656" s="5"/>
      <c r="O656" s="5"/>
      <c r="P656" s="5"/>
      <c r="Q656" s="5"/>
      <c r="R656" s="5"/>
      <c r="S656" s="5"/>
    </row>
    <row r="657" spans="4:19">
      <c r="D657" s="35"/>
      <c r="E657" s="35"/>
      <c r="F657" s="35"/>
      <c r="G657" s="35"/>
      <c r="H657" s="5"/>
      <c r="I657" s="5"/>
      <c r="J657" s="5"/>
      <c r="K657" s="35"/>
      <c r="L657" s="5"/>
      <c r="M657" s="5"/>
      <c r="N657" s="5"/>
      <c r="O657" s="5"/>
      <c r="P657" s="5"/>
      <c r="Q657" s="5"/>
      <c r="R657" s="5"/>
      <c r="S657" s="5"/>
    </row>
    <row r="658" spans="4:19">
      <c r="D658" s="35"/>
      <c r="E658" s="35"/>
      <c r="F658" s="35"/>
      <c r="G658" s="35"/>
      <c r="H658" s="5"/>
      <c r="I658" s="5"/>
      <c r="J658" s="5"/>
      <c r="K658" s="35"/>
      <c r="L658" s="5"/>
      <c r="M658" s="5"/>
      <c r="N658" s="5"/>
      <c r="O658" s="5"/>
      <c r="P658" s="5"/>
      <c r="Q658" s="5"/>
      <c r="R658" s="5"/>
      <c r="S658" s="5"/>
    </row>
    <row r="659" spans="4:19">
      <c r="D659" s="35"/>
      <c r="E659" s="35"/>
      <c r="F659" s="35"/>
      <c r="G659" s="35"/>
      <c r="H659" s="5"/>
      <c r="I659" s="5"/>
      <c r="J659" s="5"/>
      <c r="K659" s="35"/>
      <c r="L659" s="5"/>
      <c r="M659" s="5"/>
      <c r="N659" s="5"/>
      <c r="O659" s="5"/>
      <c r="P659" s="5"/>
      <c r="Q659" s="5"/>
      <c r="R659" s="5"/>
      <c r="S659" s="5"/>
    </row>
    <row r="660" spans="4:19">
      <c r="D660" s="35"/>
      <c r="E660" s="35"/>
      <c r="F660" s="35"/>
      <c r="G660" s="35"/>
      <c r="H660" s="5"/>
      <c r="I660" s="5"/>
      <c r="J660" s="5"/>
      <c r="K660" s="35"/>
      <c r="L660" s="5"/>
      <c r="M660" s="5"/>
      <c r="N660" s="5"/>
      <c r="O660" s="5"/>
      <c r="P660" s="5"/>
      <c r="Q660" s="5"/>
      <c r="R660" s="5"/>
      <c r="S660" s="5"/>
    </row>
    <row r="661" spans="4:19">
      <c r="D661" s="35"/>
      <c r="E661" s="35"/>
      <c r="F661" s="35"/>
      <c r="G661" s="35"/>
      <c r="H661" s="5"/>
      <c r="I661" s="5"/>
      <c r="J661" s="5"/>
      <c r="K661" s="35"/>
      <c r="L661" s="5"/>
      <c r="M661" s="5"/>
      <c r="N661" s="5"/>
      <c r="O661" s="5"/>
      <c r="P661" s="5"/>
      <c r="Q661" s="5"/>
      <c r="R661" s="5"/>
      <c r="S661" s="5"/>
    </row>
    <row r="662" spans="4:19">
      <c r="D662" s="35"/>
      <c r="E662" s="35"/>
      <c r="F662" s="35"/>
      <c r="G662" s="35"/>
      <c r="H662" s="5"/>
      <c r="I662" s="5"/>
      <c r="J662" s="5"/>
      <c r="K662" s="35"/>
      <c r="L662" s="5"/>
      <c r="M662" s="5"/>
      <c r="N662" s="5"/>
      <c r="O662" s="5"/>
      <c r="P662" s="5"/>
      <c r="Q662" s="5"/>
      <c r="R662" s="5"/>
      <c r="S662" s="5"/>
    </row>
    <row r="663" spans="4:19">
      <c r="D663" s="35"/>
      <c r="E663" s="35"/>
      <c r="F663" s="35"/>
      <c r="G663" s="35"/>
      <c r="H663" s="5"/>
      <c r="I663" s="5"/>
      <c r="J663" s="5"/>
      <c r="K663" s="35"/>
      <c r="L663" s="5"/>
      <c r="M663" s="5"/>
      <c r="N663" s="5"/>
      <c r="O663" s="5"/>
      <c r="P663" s="5"/>
      <c r="Q663" s="5"/>
      <c r="R663" s="5"/>
      <c r="S663" s="5"/>
    </row>
    <row r="664" spans="4:19">
      <c r="D664" s="35"/>
      <c r="E664" s="35"/>
      <c r="F664" s="35"/>
      <c r="G664" s="35"/>
      <c r="H664" s="5"/>
      <c r="I664" s="5"/>
      <c r="J664" s="5"/>
      <c r="K664" s="35"/>
      <c r="L664" s="5"/>
      <c r="M664" s="5"/>
      <c r="N664" s="5"/>
      <c r="O664" s="5"/>
      <c r="P664" s="5"/>
      <c r="Q664" s="5"/>
      <c r="R664" s="5"/>
      <c r="S664" s="5"/>
    </row>
    <row r="665" spans="4:19">
      <c r="D665" s="35"/>
      <c r="E665" s="35"/>
      <c r="F665" s="35"/>
      <c r="G665" s="35"/>
      <c r="H665" s="5"/>
      <c r="I665" s="5"/>
      <c r="J665" s="5"/>
      <c r="K665" s="35"/>
      <c r="L665" s="5"/>
      <c r="M665" s="5"/>
      <c r="N665" s="5"/>
      <c r="O665" s="5"/>
      <c r="P665" s="5"/>
      <c r="Q665" s="5"/>
      <c r="R665" s="5"/>
      <c r="S665" s="5"/>
    </row>
    <row r="666" spans="4:19">
      <c r="D666" s="35"/>
      <c r="E666" s="35"/>
      <c r="F666" s="35"/>
      <c r="G666" s="35"/>
      <c r="H666" s="5"/>
      <c r="I666" s="5"/>
      <c r="J666" s="5"/>
      <c r="K666" s="35"/>
      <c r="L666" s="5"/>
      <c r="M666" s="5"/>
      <c r="N666" s="5"/>
      <c r="O666" s="5"/>
      <c r="P666" s="5"/>
      <c r="Q666" s="5"/>
      <c r="R666" s="5"/>
      <c r="S666" s="5"/>
    </row>
    <row r="667" spans="4:19">
      <c r="D667" s="35"/>
      <c r="E667" s="35"/>
      <c r="F667" s="35"/>
      <c r="G667" s="35"/>
      <c r="H667" s="5"/>
      <c r="I667" s="5"/>
      <c r="J667" s="5"/>
      <c r="K667" s="35"/>
      <c r="L667" s="5"/>
      <c r="M667" s="5"/>
      <c r="N667" s="5"/>
      <c r="O667" s="5"/>
      <c r="P667" s="5"/>
      <c r="Q667" s="5"/>
      <c r="R667" s="5"/>
      <c r="S667" s="5"/>
    </row>
    <row r="668" spans="4:19">
      <c r="D668" s="35"/>
      <c r="E668" s="35"/>
      <c r="F668" s="35"/>
      <c r="G668" s="35"/>
      <c r="H668" s="5"/>
      <c r="I668" s="5"/>
      <c r="J668" s="5"/>
      <c r="K668" s="35"/>
      <c r="L668" s="5"/>
      <c r="M668" s="5"/>
      <c r="N668" s="5"/>
      <c r="O668" s="5"/>
      <c r="P668" s="5"/>
      <c r="Q668" s="5"/>
      <c r="R668" s="5"/>
      <c r="S668" s="5"/>
    </row>
    <row r="669" spans="4:19">
      <c r="D669" s="35"/>
      <c r="E669" s="35"/>
      <c r="F669" s="35"/>
      <c r="G669" s="35"/>
      <c r="H669" s="5"/>
      <c r="I669" s="5"/>
      <c r="J669" s="5"/>
      <c r="K669" s="35"/>
      <c r="L669" s="5"/>
      <c r="M669" s="5"/>
      <c r="N669" s="5"/>
      <c r="O669" s="5"/>
      <c r="P669" s="5"/>
      <c r="Q669" s="5"/>
      <c r="R669" s="5"/>
      <c r="S669" s="5"/>
    </row>
    <row r="670" spans="4:19">
      <c r="D670" s="35"/>
      <c r="E670" s="35"/>
      <c r="F670" s="35"/>
      <c r="G670" s="35"/>
      <c r="H670" s="5"/>
      <c r="I670" s="5"/>
      <c r="J670" s="5"/>
      <c r="K670" s="35"/>
      <c r="L670" s="5"/>
      <c r="M670" s="5"/>
      <c r="N670" s="5"/>
      <c r="O670" s="5"/>
      <c r="P670" s="5"/>
      <c r="Q670" s="5"/>
      <c r="R670" s="5"/>
      <c r="S670" s="5"/>
    </row>
    <row r="671" spans="4:19">
      <c r="D671" s="35"/>
      <c r="E671" s="35"/>
      <c r="F671" s="35"/>
      <c r="G671" s="35"/>
      <c r="H671" s="5"/>
      <c r="I671" s="5"/>
      <c r="J671" s="5"/>
      <c r="K671" s="35"/>
      <c r="L671" s="5"/>
      <c r="M671" s="5"/>
      <c r="N671" s="5"/>
      <c r="O671" s="5"/>
      <c r="P671" s="5"/>
      <c r="Q671" s="5"/>
      <c r="R671" s="5"/>
      <c r="S671" s="5"/>
    </row>
    <row r="672" spans="4:19">
      <c r="D672" s="35"/>
      <c r="E672" s="35"/>
      <c r="F672" s="35"/>
      <c r="G672" s="35"/>
      <c r="H672" s="5"/>
      <c r="I672" s="5"/>
      <c r="J672" s="5"/>
      <c r="K672" s="35"/>
      <c r="L672" s="5"/>
      <c r="M672" s="5"/>
      <c r="N672" s="5"/>
      <c r="O672" s="5"/>
      <c r="P672" s="5"/>
      <c r="Q672" s="5"/>
      <c r="R672" s="5"/>
      <c r="S672" s="5"/>
    </row>
    <row r="673" spans="4:19">
      <c r="D673" s="35"/>
      <c r="E673" s="35"/>
      <c r="F673" s="35"/>
      <c r="G673" s="35"/>
      <c r="H673" s="5"/>
      <c r="I673" s="5"/>
      <c r="J673" s="5"/>
      <c r="K673" s="35"/>
      <c r="L673" s="5"/>
      <c r="M673" s="5"/>
      <c r="N673" s="5"/>
      <c r="O673" s="5"/>
      <c r="P673" s="5"/>
      <c r="Q673" s="5"/>
      <c r="R673" s="5"/>
      <c r="S673" s="5"/>
    </row>
    <row r="674" spans="4:19">
      <c r="D674" s="35"/>
      <c r="E674" s="35"/>
      <c r="F674" s="35"/>
      <c r="G674" s="35"/>
      <c r="H674" s="5"/>
      <c r="I674" s="5"/>
      <c r="J674" s="5"/>
      <c r="K674" s="35"/>
      <c r="L674" s="5"/>
      <c r="M674" s="5"/>
      <c r="N674" s="5"/>
      <c r="O674" s="5"/>
      <c r="P674" s="5"/>
      <c r="Q674" s="5"/>
      <c r="R674" s="5"/>
      <c r="S674" s="5"/>
    </row>
    <row r="675" spans="4:19">
      <c r="D675" s="35"/>
      <c r="E675" s="35"/>
      <c r="F675" s="35"/>
      <c r="G675" s="35"/>
      <c r="H675" s="5"/>
      <c r="I675" s="5"/>
      <c r="J675" s="5"/>
      <c r="K675" s="35"/>
      <c r="L675" s="5"/>
      <c r="M675" s="5"/>
      <c r="N675" s="5"/>
      <c r="O675" s="5"/>
      <c r="P675" s="5"/>
      <c r="Q675" s="5"/>
      <c r="R675" s="5"/>
      <c r="S675" s="5"/>
    </row>
    <row r="676" spans="4:19">
      <c r="D676" s="35"/>
      <c r="E676" s="35"/>
      <c r="F676" s="35"/>
      <c r="G676" s="35"/>
      <c r="H676" s="5"/>
      <c r="I676" s="5"/>
      <c r="J676" s="5"/>
      <c r="K676" s="35"/>
      <c r="L676" s="5"/>
      <c r="M676" s="5"/>
      <c r="N676" s="5"/>
      <c r="O676" s="5"/>
      <c r="P676" s="5"/>
      <c r="Q676" s="5"/>
      <c r="R676" s="5"/>
      <c r="S676" s="5"/>
    </row>
    <row r="677" spans="4:19">
      <c r="D677" s="35"/>
      <c r="E677" s="35"/>
      <c r="F677" s="35"/>
      <c r="G677" s="35"/>
      <c r="H677" s="5"/>
      <c r="I677" s="5"/>
      <c r="J677" s="5"/>
      <c r="K677" s="35"/>
      <c r="L677" s="5"/>
      <c r="M677" s="5"/>
      <c r="N677" s="5"/>
      <c r="O677" s="5"/>
      <c r="P677" s="5"/>
      <c r="Q677" s="5"/>
      <c r="R677" s="5"/>
      <c r="S677" s="5"/>
    </row>
    <row r="678" spans="4:19">
      <c r="D678" s="35"/>
      <c r="E678" s="35"/>
      <c r="F678" s="35"/>
      <c r="G678" s="35"/>
      <c r="H678" s="5"/>
      <c r="I678" s="5"/>
      <c r="J678" s="5"/>
      <c r="K678" s="35"/>
      <c r="L678" s="5"/>
      <c r="M678" s="5"/>
      <c r="N678" s="5"/>
      <c r="O678" s="5"/>
      <c r="P678" s="5"/>
      <c r="Q678" s="5"/>
      <c r="R678" s="5"/>
      <c r="S678" s="5"/>
    </row>
    <row r="679" spans="4:19">
      <c r="D679" s="35"/>
      <c r="E679" s="35"/>
      <c r="F679" s="35"/>
      <c r="G679" s="35"/>
      <c r="H679" s="5"/>
      <c r="I679" s="5"/>
      <c r="J679" s="5"/>
      <c r="K679" s="35"/>
      <c r="L679" s="5"/>
      <c r="M679" s="5"/>
      <c r="N679" s="5"/>
      <c r="O679" s="5"/>
      <c r="P679" s="5"/>
      <c r="Q679" s="5"/>
      <c r="R679" s="5"/>
      <c r="S679" s="5"/>
    </row>
    <row r="680" spans="4:19">
      <c r="D680" s="35"/>
      <c r="E680" s="35"/>
      <c r="F680" s="35"/>
      <c r="G680" s="35"/>
      <c r="H680" s="5"/>
      <c r="I680" s="5"/>
      <c r="J680" s="5"/>
      <c r="K680" s="35"/>
      <c r="L680" s="5"/>
      <c r="M680" s="5"/>
      <c r="N680" s="5"/>
      <c r="O680" s="5"/>
      <c r="P680" s="5"/>
      <c r="Q680" s="5"/>
      <c r="R680" s="5"/>
      <c r="S680" s="5"/>
    </row>
    <row r="681" spans="4:19">
      <c r="D681" s="35"/>
      <c r="E681" s="35"/>
      <c r="F681" s="35"/>
      <c r="G681" s="35"/>
      <c r="H681" s="5"/>
      <c r="I681" s="5"/>
      <c r="J681" s="5"/>
      <c r="K681" s="35"/>
      <c r="L681" s="5"/>
      <c r="M681" s="5"/>
      <c r="N681" s="5"/>
      <c r="O681" s="5"/>
      <c r="P681" s="5"/>
      <c r="Q681" s="5"/>
      <c r="R681" s="5"/>
      <c r="S681" s="5"/>
    </row>
    <row r="682" spans="4:19">
      <c r="D682" s="35"/>
      <c r="E682" s="35"/>
      <c r="F682" s="35"/>
      <c r="G682" s="35"/>
      <c r="H682" s="5"/>
      <c r="I682" s="5"/>
      <c r="J682" s="5"/>
      <c r="K682" s="35"/>
      <c r="L682" s="5"/>
      <c r="M682" s="5"/>
      <c r="N682" s="5"/>
      <c r="O682" s="5"/>
      <c r="P682" s="5"/>
      <c r="Q682" s="5"/>
      <c r="R682" s="5"/>
      <c r="S682" s="5"/>
    </row>
    <row r="683" spans="4:19">
      <c r="D683" s="35"/>
      <c r="E683" s="35"/>
      <c r="F683" s="35"/>
      <c r="G683" s="35"/>
      <c r="H683" s="5"/>
      <c r="I683" s="5"/>
      <c r="J683" s="5"/>
      <c r="K683" s="35"/>
      <c r="L683" s="5"/>
      <c r="M683" s="5"/>
      <c r="N683" s="5"/>
      <c r="O683" s="5"/>
      <c r="P683" s="5"/>
      <c r="Q683" s="5"/>
      <c r="R683" s="5"/>
      <c r="S683" s="5"/>
    </row>
    <row r="684" spans="4:19">
      <c r="D684" s="35"/>
      <c r="E684" s="35"/>
      <c r="F684" s="35"/>
      <c r="G684" s="35"/>
      <c r="H684" s="5"/>
      <c r="I684" s="5"/>
      <c r="J684" s="5"/>
      <c r="K684" s="35"/>
      <c r="L684" s="5"/>
      <c r="M684" s="5"/>
      <c r="N684" s="5"/>
      <c r="O684" s="5"/>
      <c r="P684" s="5"/>
      <c r="Q684" s="5"/>
      <c r="R684" s="5"/>
      <c r="S684" s="5"/>
    </row>
    <row r="685" spans="4:19">
      <c r="D685" s="35"/>
      <c r="E685" s="35"/>
      <c r="F685" s="35"/>
      <c r="G685" s="35"/>
      <c r="H685" s="5"/>
      <c r="I685" s="5"/>
      <c r="J685" s="5"/>
      <c r="K685" s="35"/>
      <c r="L685" s="5"/>
      <c r="M685" s="5"/>
      <c r="N685" s="5"/>
      <c r="O685" s="5"/>
      <c r="P685" s="5"/>
      <c r="Q685" s="5"/>
      <c r="R685" s="5"/>
      <c r="S685" s="5"/>
    </row>
    <row r="686" spans="4:19">
      <c r="D686" s="35"/>
      <c r="E686" s="35"/>
      <c r="F686" s="35"/>
      <c r="G686" s="35"/>
      <c r="H686" s="5"/>
      <c r="I686" s="5"/>
      <c r="J686" s="5"/>
      <c r="K686" s="35"/>
      <c r="L686" s="5"/>
      <c r="M686" s="5"/>
      <c r="N686" s="5"/>
      <c r="O686" s="5"/>
      <c r="P686" s="5"/>
      <c r="Q686" s="5"/>
      <c r="R686" s="5"/>
      <c r="S686" s="5"/>
    </row>
    <row r="687" spans="4:19">
      <c r="D687" s="35"/>
      <c r="E687" s="35"/>
      <c r="F687" s="35"/>
      <c r="G687" s="35"/>
      <c r="H687" s="5"/>
      <c r="I687" s="5"/>
      <c r="J687" s="5"/>
      <c r="K687" s="35"/>
      <c r="L687" s="5"/>
      <c r="M687" s="5"/>
      <c r="N687" s="5"/>
      <c r="O687" s="5"/>
      <c r="P687" s="5"/>
      <c r="Q687" s="5"/>
      <c r="R687" s="5"/>
      <c r="S687" s="5"/>
    </row>
    <row r="688" spans="4:19">
      <c r="D688" s="35"/>
      <c r="E688" s="35"/>
      <c r="F688" s="35"/>
      <c r="G688" s="35"/>
      <c r="H688" s="5"/>
      <c r="I688" s="5"/>
      <c r="J688" s="5"/>
      <c r="K688" s="35"/>
      <c r="L688" s="5"/>
      <c r="M688" s="5"/>
      <c r="N688" s="5"/>
      <c r="O688" s="5"/>
      <c r="P688" s="5"/>
      <c r="Q688" s="5"/>
      <c r="R688" s="5"/>
      <c r="S688" s="5"/>
    </row>
    <row r="689" spans="4:19">
      <c r="D689" s="35"/>
      <c r="E689" s="35"/>
      <c r="F689" s="35"/>
      <c r="G689" s="35"/>
      <c r="H689" s="5"/>
      <c r="I689" s="5"/>
      <c r="J689" s="5"/>
      <c r="K689" s="35"/>
      <c r="L689" s="5"/>
      <c r="M689" s="5"/>
      <c r="N689" s="5"/>
      <c r="O689" s="5"/>
      <c r="P689" s="5"/>
      <c r="Q689" s="5"/>
      <c r="R689" s="5"/>
      <c r="S689" s="5"/>
    </row>
    <row r="690" spans="4:19">
      <c r="D690" s="35"/>
      <c r="E690" s="35"/>
      <c r="F690" s="35"/>
      <c r="G690" s="35"/>
      <c r="H690" s="5"/>
      <c r="I690" s="5"/>
      <c r="J690" s="5"/>
      <c r="K690" s="35"/>
      <c r="L690" s="5"/>
      <c r="M690" s="5"/>
      <c r="N690" s="5"/>
      <c r="O690" s="5"/>
      <c r="P690" s="5"/>
      <c r="Q690" s="5"/>
      <c r="R690" s="5"/>
      <c r="S690" s="5"/>
    </row>
    <row r="691" spans="4:19">
      <c r="D691" s="35"/>
      <c r="E691" s="35"/>
      <c r="F691" s="35"/>
      <c r="G691" s="35"/>
      <c r="H691" s="5"/>
      <c r="I691" s="5"/>
      <c r="J691" s="5"/>
      <c r="K691" s="35"/>
      <c r="L691" s="5"/>
      <c r="M691" s="5"/>
      <c r="N691" s="5"/>
      <c r="O691" s="5"/>
      <c r="P691" s="5"/>
      <c r="Q691" s="5"/>
      <c r="R691" s="5"/>
      <c r="S691" s="5"/>
    </row>
    <row r="692" spans="4:19">
      <c r="D692" s="35"/>
      <c r="E692" s="35"/>
      <c r="F692" s="35"/>
      <c r="G692" s="35"/>
      <c r="H692" s="5"/>
      <c r="I692" s="5"/>
      <c r="J692" s="5"/>
      <c r="K692" s="35"/>
      <c r="L692" s="5"/>
      <c r="M692" s="5"/>
      <c r="N692" s="5"/>
      <c r="O692" s="5"/>
      <c r="P692" s="5"/>
      <c r="Q692" s="5"/>
      <c r="R692" s="5"/>
      <c r="S692" s="5"/>
    </row>
    <row r="693" spans="4:19">
      <c r="D693" s="35"/>
      <c r="E693" s="35"/>
      <c r="F693" s="35"/>
      <c r="G693" s="35"/>
      <c r="H693" s="5"/>
      <c r="I693" s="5"/>
      <c r="J693" s="5"/>
      <c r="K693" s="35"/>
      <c r="L693" s="5"/>
      <c r="M693" s="5"/>
      <c r="N693" s="5"/>
      <c r="O693" s="5"/>
      <c r="P693" s="5"/>
      <c r="Q693" s="5"/>
      <c r="R693" s="5"/>
      <c r="S693" s="5"/>
    </row>
    <row r="694" spans="4:19">
      <c r="D694" s="35"/>
      <c r="E694" s="35"/>
      <c r="F694" s="35"/>
      <c r="G694" s="35"/>
      <c r="H694" s="5"/>
      <c r="I694" s="5"/>
      <c r="J694" s="5"/>
      <c r="K694" s="35"/>
      <c r="L694" s="5"/>
      <c r="M694" s="5"/>
      <c r="N694" s="5"/>
      <c r="O694" s="5"/>
      <c r="P694" s="5"/>
      <c r="Q694" s="5"/>
      <c r="R694" s="5"/>
      <c r="S694" s="5"/>
    </row>
    <row r="695" spans="4:19">
      <c r="D695" s="35"/>
      <c r="E695" s="35"/>
      <c r="F695" s="35"/>
      <c r="G695" s="35"/>
      <c r="H695" s="5"/>
      <c r="I695" s="5"/>
      <c r="J695" s="5"/>
      <c r="K695" s="35"/>
      <c r="L695" s="5"/>
      <c r="M695" s="5"/>
      <c r="N695" s="5"/>
      <c r="O695" s="5"/>
      <c r="P695" s="5"/>
      <c r="Q695" s="5"/>
      <c r="R695" s="5"/>
      <c r="S695" s="5"/>
    </row>
    <row r="696" spans="4:19">
      <c r="D696" s="35"/>
      <c r="E696" s="35"/>
      <c r="F696" s="35"/>
      <c r="G696" s="35"/>
      <c r="H696" s="5"/>
      <c r="I696" s="5"/>
      <c r="J696" s="5"/>
      <c r="K696" s="35"/>
      <c r="L696" s="5"/>
      <c r="M696" s="5"/>
      <c r="N696" s="5"/>
      <c r="O696" s="5"/>
      <c r="P696" s="5"/>
      <c r="Q696" s="5"/>
      <c r="R696" s="5"/>
      <c r="S696" s="5"/>
    </row>
    <row r="697" spans="4:19">
      <c r="D697" s="35"/>
      <c r="E697" s="35"/>
      <c r="F697" s="35"/>
      <c r="G697" s="35"/>
      <c r="H697" s="5"/>
      <c r="I697" s="5"/>
      <c r="J697" s="5"/>
      <c r="K697" s="35"/>
      <c r="L697" s="5"/>
      <c r="M697" s="5"/>
      <c r="N697" s="5"/>
      <c r="O697" s="5"/>
      <c r="P697" s="5"/>
      <c r="Q697" s="5"/>
      <c r="R697" s="5"/>
      <c r="S697" s="5"/>
    </row>
    <row r="698" spans="4:19">
      <c r="D698" s="35"/>
      <c r="E698" s="35"/>
      <c r="F698" s="35"/>
      <c r="G698" s="35"/>
      <c r="H698" s="5"/>
      <c r="I698" s="5"/>
      <c r="J698" s="5"/>
      <c r="K698" s="35"/>
      <c r="L698" s="5"/>
      <c r="M698" s="5"/>
      <c r="N698" s="5"/>
      <c r="O698" s="5"/>
      <c r="P698" s="5"/>
      <c r="Q698" s="5"/>
      <c r="R698" s="5"/>
      <c r="S698" s="5"/>
    </row>
    <row r="699" spans="4:19">
      <c r="D699" s="35"/>
      <c r="E699" s="35"/>
      <c r="F699" s="35"/>
      <c r="G699" s="35"/>
      <c r="H699" s="5"/>
      <c r="I699" s="5"/>
      <c r="J699" s="5"/>
      <c r="K699" s="35"/>
      <c r="L699" s="5"/>
      <c r="M699" s="5"/>
      <c r="N699" s="5"/>
      <c r="O699" s="5"/>
      <c r="P699" s="5"/>
      <c r="Q699" s="5"/>
      <c r="R699" s="5"/>
      <c r="S699" s="5"/>
    </row>
    <row r="700" spans="4:19">
      <c r="D700" s="35"/>
      <c r="E700" s="35"/>
      <c r="F700" s="35"/>
      <c r="G700" s="35"/>
      <c r="H700" s="5"/>
      <c r="I700" s="5"/>
      <c r="J700" s="5"/>
      <c r="K700" s="35"/>
      <c r="L700" s="5"/>
      <c r="M700" s="5"/>
      <c r="N700" s="5"/>
      <c r="O700" s="5"/>
      <c r="P700" s="5"/>
      <c r="Q700" s="5"/>
      <c r="R700" s="5"/>
      <c r="S700" s="5"/>
    </row>
    <row r="701" spans="4:19">
      <c r="D701" s="35"/>
      <c r="E701" s="35"/>
      <c r="F701" s="35"/>
      <c r="G701" s="35"/>
      <c r="H701" s="5"/>
      <c r="I701" s="5"/>
      <c r="J701" s="5"/>
      <c r="K701" s="35"/>
      <c r="L701" s="5"/>
      <c r="M701" s="5"/>
      <c r="N701" s="5"/>
      <c r="O701" s="5"/>
      <c r="P701" s="5"/>
      <c r="Q701" s="5"/>
      <c r="R701" s="5"/>
      <c r="S701" s="5"/>
    </row>
    <row r="702" spans="4:19">
      <c r="D702" s="35"/>
      <c r="E702" s="35"/>
      <c r="F702" s="35"/>
      <c r="G702" s="35"/>
      <c r="H702" s="5"/>
      <c r="I702" s="5"/>
      <c r="J702" s="5"/>
      <c r="K702" s="35"/>
      <c r="L702" s="5"/>
      <c r="M702" s="5"/>
      <c r="N702" s="5"/>
      <c r="O702" s="5"/>
      <c r="P702" s="5"/>
      <c r="Q702" s="5"/>
      <c r="R702" s="5"/>
      <c r="S702" s="5"/>
    </row>
    <row r="703" spans="4:19">
      <c r="D703" s="35"/>
      <c r="E703" s="35"/>
      <c r="F703" s="35"/>
      <c r="G703" s="35"/>
      <c r="H703" s="5"/>
      <c r="I703" s="5"/>
      <c r="J703" s="5"/>
      <c r="K703" s="35"/>
      <c r="L703" s="5"/>
      <c r="M703" s="5"/>
      <c r="N703" s="5"/>
      <c r="O703" s="5"/>
      <c r="P703" s="5"/>
      <c r="Q703" s="5"/>
      <c r="R703" s="5"/>
      <c r="S703" s="5"/>
    </row>
    <row r="704" spans="4:19">
      <c r="D704" s="35"/>
      <c r="E704" s="35"/>
      <c r="F704" s="35"/>
      <c r="G704" s="35"/>
      <c r="H704" s="5"/>
      <c r="I704" s="5"/>
      <c r="J704" s="5"/>
      <c r="K704" s="35"/>
      <c r="L704" s="5"/>
      <c r="M704" s="5"/>
      <c r="N704" s="5"/>
      <c r="O704" s="5"/>
      <c r="P704" s="5"/>
      <c r="Q704" s="5"/>
      <c r="R704" s="5"/>
      <c r="S704" s="5"/>
    </row>
    <row r="705" spans="4:19">
      <c r="D705" s="35"/>
      <c r="E705" s="35"/>
      <c r="F705" s="35"/>
      <c r="G705" s="35"/>
      <c r="H705" s="5"/>
      <c r="I705" s="5"/>
      <c r="J705" s="5"/>
      <c r="K705" s="35"/>
      <c r="L705" s="5"/>
      <c r="M705" s="5"/>
      <c r="N705" s="5"/>
      <c r="O705" s="5"/>
      <c r="P705" s="5"/>
      <c r="Q705" s="5"/>
      <c r="R705" s="5"/>
      <c r="S705" s="5"/>
    </row>
    <row r="706" spans="4:19">
      <c r="D706" s="35"/>
      <c r="E706" s="35"/>
      <c r="F706" s="35"/>
      <c r="G706" s="35"/>
      <c r="H706" s="5"/>
      <c r="I706" s="5"/>
      <c r="J706" s="5"/>
      <c r="K706" s="35"/>
      <c r="L706" s="5"/>
      <c r="M706" s="5"/>
      <c r="N706" s="5"/>
      <c r="O706" s="5"/>
      <c r="P706" s="5"/>
      <c r="Q706" s="5"/>
      <c r="R706" s="5"/>
      <c r="S706" s="5"/>
    </row>
    <row r="707" spans="4:19">
      <c r="D707" s="35"/>
      <c r="E707" s="35"/>
      <c r="F707" s="35"/>
      <c r="G707" s="35"/>
      <c r="H707" s="5"/>
      <c r="I707" s="5"/>
      <c r="J707" s="5"/>
      <c r="K707" s="35"/>
      <c r="L707" s="5"/>
      <c r="M707" s="5"/>
      <c r="N707" s="5"/>
      <c r="O707" s="5"/>
      <c r="P707" s="5"/>
      <c r="Q707" s="5"/>
      <c r="R707" s="5"/>
      <c r="S707" s="5"/>
    </row>
    <row r="708" spans="4:19">
      <c r="D708" s="35"/>
      <c r="E708" s="35"/>
      <c r="F708" s="35"/>
      <c r="G708" s="35"/>
      <c r="H708" s="5"/>
      <c r="I708" s="5"/>
      <c r="J708" s="5"/>
      <c r="K708" s="35"/>
      <c r="L708" s="5"/>
      <c r="M708" s="5"/>
      <c r="N708" s="5"/>
      <c r="O708" s="5"/>
      <c r="P708" s="5"/>
      <c r="Q708" s="5"/>
      <c r="R708" s="5"/>
      <c r="S708" s="5"/>
    </row>
    <row r="709" spans="4:19">
      <c r="D709" s="35"/>
      <c r="E709" s="35"/>
      <c r="F709" s="35"/>
      <c r="G709" s="35"/>
      <c r="H709" s="5"/>
      <c r="I709" s="5"/>
      <c r="J709" s="5"/>
      <c r="K709" s="35"/>
      <c r="L709" s="5"/>
      <c r="M709" s="5"/>
      <c r="N709" s="5"/>
      <c r="O709" s="5"/>
      <c r="P709" s="5"/>
      <c r="Q709" s="5"/>
      <c r="R709" s="5"/>
      <c r="S709" s="5"/>
    </row>
    <row r="710" spans="4:19">
      <c r="D710" s="35"/>
      <c r="E710" s="35"/>
      <c r="F710" s="35"/>
      <c r="G710" s="35"/>
      <c r="H710" s="5"/>
      <c r="I710" s="5"/>
      <c r="J710" s="5"/>
      <c r="K710" s="35"/>
      <c r="L710" s="5"/>
      <c r="M710" s="5"/>
      <c r="N710" s="5"/>
      <c r="O710" s="5"/>
      <c r="P710" s="5"/>
      <c r="Q710" s="5"/>
      <c r="R710" s="5"/>
      <c r="S710" s="5"/>
    </row>
    <row r="711" spans="4:19">
      <c r="D711" s="35"/>
      <c r="E711" s="35"/>
      <c r="F711" s="35"/>
      <c r="G711" s="35"/>
      <c r="H711" s="5"/>
      <c r="I711" s="5"/>
      <c r="J711" s="5"/>
      <c r="K711" s="35"/>
      <c r="L711" s="5"/>
      <c r="M711" s="5"/>
      <c r="N711" s="5"/>
      <c r="O711" s="5"/>
      <c r="P711" s="5"/>
      <c r="Q711" s="5"/>
      <c r="R711" s="5"/>
      <c r="S711" s="5"/>
    </row>
    <row r="712" spans="4:19">
      <c r="D712" s="35"/>
      <c r="E712" s="35"/>
      <c r="F712" s="35"/>
      <c r="G712" s="35"/>
      <c r="H712" s="5"/>
      <c r="I712" s="5"/>
      <c r="J712" s="5"/>
      <c r="K712" s="35"/>
      <c r="L712" s="5"/>
      <c r="M712" s="5"/>
      <c r="N712" s="5"/>
      <c r="O712" s="5"/>
      <c r="P712" s="5"/>
      <c r="Q712" s="5"/>
      <c r="R712" s="5"/>
      <c r="S712" s="5"/>
    </row>
    <row r="713" spans="4:19">
      <c r="D713" s="35"/>
      <c r="E713" s="35"/>
      <c r="F713" s="35"/>
      <c r="G713" s="35"/>
      <c r="H713" s="5"/>
      <c r="I713" s="5"/>
      <c r="J713" s="5"/>
      <c r="K713" s="35"/>
      <c r="L713" s="5"/>
      <c r="M713" s="5"/>
      <c r="N713" s="5"/>
      <c r="O713" s="5"/>
      <c r="P713" s="5"/>
      <c r="Q713" s="5"/>
      <c r="R713" s="5"/>
      <c r="S713" s="5"/>
    </row>
    <row r="714" spans="4:19">
      <c r="D714" s="35"/>
      <c r="E714" s="35"/>
      <c r="F714" s="35"/>
      <c r="G714" s="35"/>
      <c r="H714" s="5"/>
      <c r="I714" s="5"/>
      <c r="J714" s="5"/>
      <c r="K714" s="35"/>
      <c r="L714" s="5"/>
      <c r="M714" s="5"/>
      <c r="N714" s="5"/>
      <c r="O714" s="5"/>
      <c r="P714" s="5"/>
      <c r="Q714" s="5"/>
      <c r="R714" s="5"/>
      <c r="S714" s="5"/>
    </row>
    <row r="715" spans="4:19">
      <c r="D715" s="35"/>
      <c r="E715" s="35"/>
      <c r="F715" s="35"/>
      <c r="G715" s="35"/>
      <c r="H715" s="5"/>
      <c r="I715" s="5"/>
      <c r="J715" s="5"/>
      <c r="K715" s="35"/>
      <c r="L715" s="5"/>
      <c r="M715" s="5"/>
      <c r="N715" s="5"/>
      <c r="O715" s="5"/>
      <c r="P715" s="5"/>
      <c r="Q715" s="5"/>
      <c r="R715" s="5"/>
      <c r="S715" s="5"/>
    </row>
    <row r="716" spans="4:19">
      <c r="D716" s="35"/>
      <c r="E716" s="35"/>
      <c r="F716" s="35"/>
      <c r="G716" s="35"/>
      <c r="H716" s="5"/>
      <c r="I716" s="5"/>
      <c r="J716" s="5"/>
      <c r="K716" s="35"/>
      <c r="L716" s="5"/>
      <c r="M716" s="5"/>
      <c r="N716" s="5"/>
      <c r="O716" s="5"/>
      <c r="P716" s="5"/>
      <c r="Q716" s="5"/>
      <c r="R716" s="5"/>
      <c r="S716" s="5"/>
    </row>
    <row r="717" spans="4:19">
      <c r="D717" s="35"/>
      <c r="E717" s="35"/>
      <c r="F717" s="35"/>
      <c r="G717" s="35"/>
      <c r="H717" s="5"/>
      <c r="I717" s="5"/>
      <c r="J717" s="5"/>
      <c r="K717" s="35"/>
      <c r="L717" s="5"/>
      <c r="M717" s="5"/>
      <c r="N717" s="5"/>
      <c r="O717" s="5"/>
      <c r="P717" s="5"/>
      <c r="Q717" s="5"/>
      <c r="R717" s="5"/>
      <c r="S717" s="5"/>
    </row>
    <row r="718" spans="4:19">
      <c r="D718" s="35"/>
      <c r="E718" s="35"/>
      <c r="F718" s="35"/>
      <c r="G718" s="35"/>
      <c r="H718" s="5"/>
      <c r="I718" s="5"/>
      <c r="J718" s="5"/>
      <c r="K718" s="35"/>
      <c r="L718" s="5"/>
      <c r="M718" s="5"/>
      <c r="N718" s="5"/>
      <c r="O718" s="5"/>
      <c r="P718" s="5"/>
      <c r="Q718" s="5"/>
      <c r="R718" s="5"/>
      <c r="S718" s="5"/>
    </row>
    <row r="719" spans="4:19">
      <c r="D719" s="35"/>
      <c r="E719" s="35"/>
      <c r="F719" s="35"/>
      <c r="G719" s="35"/>
      <c r="H719" s="5"/>
      <c r="I719" s="5"/>
      <c r="J719" s="5"/>
      <c r="K719" s="35"/>
      <c r="L719" s="5"/>
      <c r="M719" s="5"/>
      <c r="N719" s="5"/>
      <c r="O719" s="5"/>
      <c r="P719" s="5"/>
      <c r="Q719" s="5"/>
      <c r="R719" s="5"/>
      <c r="S719" s="5"/>
    </row>
    <row r="720" spans="4:19">
      <c r="D720" s="35"/>
      <c r="E720" s="35"/>
      <c r="F720" s="35"/>
      <c r="G720" s="35"/>
      <c r="H720" s="5"/>
      <c r="I720" s="5"/>
      <c r="J720" s="5"/>
      <c r="K720" s="35"/>
      <c r="L720" s="5"/>
      <c r="M720" s="5"/>
      <c r="N720" s="5"/>
      <c r="O720" s="5"/>
      <c r="P720" s="5"/>
      <c r="Q720" s="5"/>
      <c r="R720" s="5"/>
      <c r="S720" s="5"/>
    </row>
    <row r="721" spans="4:19">
      <c r="D721" s="35"/>
      <c r="E721" s="35"/>
      <c r="F721" s="35"/>
      <c r="G721" s="35"/>
      <c r="H721" s="5"/>
      <c r="I721" s="5"/>
      <c r="J721" s="5"/>
      <c r="K721" s="35"/>
      <c r="L721" s="5"/>
      <c r="M721" s="5"/>
      <c r="N721" s="5"/>
      <c r="O721" s="5"/>
      <c r="P721" s="5"/>
      <c r="Q721" s="5"/>
      <c r="R721" s="5"/>
      <c r="S721" s="5"/>
    </row>
    <row r="722" spans="4:19">
      <c r="D722" s="35"/>
      <c r="E722" s="35"/>
      <c r="F722" s="35"/>
      <c r="G722" s="35"/>
      <c r="H722" s="5"/>
      <c r="I722" s="5"/>
      <c r="J722" s="5"/>
      <c r="K722" s="35"/>
      <c r="L722" s="5"/>
      <c r="M722" s="5"/>
      <c r="N722" s="5"/>
      <c r="O722" s="5"/>
      <c r="P722" s="5"/>
      <c r="Q722" s="5"/>
      <c r="R722" s="5"/>
      <c r="S722" s="5"/>
    </row>
    <row r="723" spans="4:19">
      <c r="D723" s="35"/>
      <c r="E723" s="35"/>
      <c r="F723" s="35"/>
      <c r="G723" s="35"/>
      <c r="H723" s="5"/>
      <c r="I723" s="5"/>
      <c r="J723" s="5"/>
      <c r="K723" s="35"/>
      <c r="L723" s="5"/>
      <c r="M723" s="5"/>
      <c r="N723" s="5"/>
      <c r="O723" s="5"/>
      <c r="P723" s="5"/>
      <c r="Q723" s="5"/>
      <c r="R723" s="5"/>
      <c r="S723" s="5"/>
    </row>
    <row r="724" spans="4:19">
      <c r="D724" s="35"/>
      <c r="E724" s="35"/>
      <c r="F724" s="35"/>
      <c r="G724" s="35"/>
      <c r="H724" s="5"/>
      <c r="I724" s="5"/>
      <c r="J724" s="5"/>
      <c r="K724" s="35"/>
      <c r="L724" s="5"/>
      <c r="M724" s="5"/>
      <c r="N724" s="5"/>
      <c r="O724" s="5"/>
      <c r="P724" s="5"/>
      <c r="Q724" s="5"/>
      <c r="R724" s="5"/>
      <c r="S724" s="5"/>
    </row>
    <row r="725" spans="4:19">
      <c r="D725" s="35"/>
      <c r="E725" s="35"/>
      <c r="F725" s="35"/>
      <c r="G725" s="35"/>
      <c r="H725" s="5"/>
      <c r="I725" s="5"/>
      <c r="J725" s="5"/>
      <c r="K725" s="35"/>
      <c r="L725" s="5"/>
      <c r="M725" s="5"/>
      <c r="N725" s="5"/>
      <c r="O725" s="5"/>
      <c r="P725" s="5"/>
      <c r="Q725" s="5"/>
      <c r="R725" s="5"/>
      <c r="S725" s="5"/>
    </row>
    <row r="726" spans="4:19">
      <c r="D726" s="35"/>
      <c r="E726" s="35"/>
      <c r="F726" s="35"/>
      <c r="G726" s="35"/>
      <c r="H726" s="5"/>
      <c r="I726" s="5"/>
      <c r="J726" s="5"/>
      <c r="K726" s="35"/>
      <c r="L726" s="5"/>
      <c r="M726" s="5"/>
      <c r="N726" s="5"/>
      <c r="O726" s="5"/>
      <c r="P726" s="5"/>
      <c r="Q726" s="5"/>
      <c r="R726" s="5"/>
      <c r="S726" s="5"/>
    </row>
    <row r="727" spans="4:19">
      <c r="D727" s="35"/>
      <c r="E727" s="35"/>
      <c r="F727" s="35"/>
      <c r="G727" s="35"/>
      <c r="H727" s="5"/>
      <c r="I727" s="5"/>
      <c r="J727" s="5"/>
      <c r="K727" s="35"/>
      <c r="L727" s="5"/>
      <c r="M727" s="5"/>
      <c r="N727" s="5"/>
      <c r="O727" s="5"/>
      <c r="P727" s="5"/>
      <c r="Q727" s="5"/>
      <c r="R727" s="5"/>
      <c r="S727" s="5"/>
    </row>
    <row r="728" spans="4:19">
      <c r="D728" s="35"/>
      <c r="E728" s="35"/>
      <c r="F728" s="35"/>
      <c r="G728" s="35"/>
      <c r="H728" s="5"/>
      <c r="I728" s="5"/>
      <c r="J728" s="5"/>
      <c r="K728" s="35"/>
      <c r="L728" s="5"/>
      <c r="M728" s="5"/>
      <c r="N728" s="5"/>
      <c r="O728" s="5"/>
      <c r="P728" s="5"/>
      <c r="Q728" s="5"/>
      <c r="R728" s="5"/>
      <c r="S728" s="5"/>
    </row>
    <row r="729" spans="4:19">
      <c r="D729" s="35"/>
      <c r="E729" s="35"/>
      <c r="F729" s="35"/>
      <c r="G729" s="35"/>
      <c r="H729" s="5"/>
      <c r="I729" s="5"/>
      <c r="J729" s="5"/>
      <c r="K729" s="35"/>
      <c r="L729" s="5"/>
      <c r="M729" s="5"/>
      <c r="N729" s="5"/>
      <c r="O729" s="5"/>
      <c r="P729" s="5"/>
      <c r="Q729" s="5"/>
      <c r="R729" s="5"/>
      <c r="S729" s="5"/>
    </row>
    <row r="730" spans="4:19">
      <c r="D730" s="35"/>
      <c r="E730" s="35"/>
      <c r="F730" s="35"/>
      <c r="G730" s="35"/>
      <c r="H730" s="5"/>
      <c r="I730" s="5"/>
      <c r="J730" s="5"/>
      <c r="K730" s="35"/>
      <c r="L730" s="5"/>
      <c r="M730" s="5"/>
      <c r="N730" s="5"/>
      <c r="O730" s="5"/>
      <c r="P730" s="5"/>
      <c r="Q730" s="5"/>
      <c r="R730" s="5"/>
      <c r="S730" s="5"/>
    </row>
    <row r="731" spans="4:19">
      <c r="D731" s="35"/>
      <c r="E731" s="35"/>
      <c r="F731" s="35"/>
      <c r="G731" s="35"/>
      <c r="H731" s="5"/>
      <c r="I731" s="5"/>
      <c r="J731" s="5"/>
      <c r="K731" s="35"/>
      <c r="L731" s="5"/>
      <c r="M731" s="5"/>
      <c r="N731" s="5"/>
      <c r="O731" s="5"/>
      <c r="P731" s="5"/>
      <c r="Q731" s="5"/>
      <c r="R731" s="5"/>
      <c r="S731" s="5"/>
    </row>
    <row r="732" spans="4:19">
      <c r="D732" s="35"/>
      <c r="E732" s="35"/>
      <c r="F732" s="35"/>
      <c r="G732" s="35"/>
      <c r="H732" s="5"/>
      <c r="I732" s="5"/>
      <c r="J732" s="5"/>
      <c r="K732" s="35"/>
      <c r="L732" s="5"/>
      <c r="M732" s="5"/>
      <c r="N732" s="5"/>
      <c r="O732" s="5"/>
      <c r="P732" s="5"/>
      <c r="Q732" s="5"/>
      <c r="R732" s="5"/>
      <c r="S732" s="5"/>
    </row>
    <row r="733" spans="4:19">
      <c r="D733" s="35"/>
      <c r="E733" s="35"/>
      <c r="F733" s="35"/>
      <c r="G733" s="35"/>
      <c r="H733" s="5"/>
      <c r="I733" s="5"/>
      <c r="J733" s="5"/>
      <c r="K733" s="35"/>
      <c r="L733" s="5"/>
      <c r="M733" s="5"/>
      <c r="N733" s="5"/>
      <c r="O733" s="5"/>
      <c r="P733" s="5"/>
      <c r="Q733" s="5"/>
      <c r="R733" s="5"/>
      <c r="S733" s="5"/>
    </row>
    <row r="734" spans="4:19">
      <c r="D734" s="35"/>
      <c r="E734" s="35"/>
      <c r="F734" s="35"/>
      <c r="G734" s="35"/>
      <c r="H734" s="5"/>
      <c r="I734" s="5"/>
      <c r="J734" s="5"/>
      <c r="K734" s="35"/>
      <c r="L734" s="5"/>
      <c r="M734" s="5"/>
      <c r="N734" s="5"/>
      <c r="O734" s="5"/>
      <c r="P734" s="5"/>
      <c r="Q734" s="5"/>
      <c r="R734" s="5"/>
      <c r="S734" s="5"/>
    </row>
    <row r="735" spans="4:19">
      <c r="D735" s="35"/>
      <c r="E735" s="35"/>
      <c r="F735" s="35"/>
      <c r="G735" s="35"/>
      <c r="H735" s="5"/>
      <c r="I735" s="5"/>
      <c r="J735" s="5"/>
      <c r="K735" s="35"/>
      <c r="L735" s="5"/>
      <c r="M735" s="5"/>
      <c r="N735" s="5"/>
      <c r="O735" s="5"/>
      <c r="P735" s="5"/>
      <c r="Q735" s="5"/>
      <c r="R735" s="5"/>
      <c r="S735" s="5"/>
    </row>
    <row r="736" spans="4:19">
      <c r="D736" s="35"/>
      <c r="E736" s="35"/>
      <c r="F736" s="35"/>
      <c r="G736" s="35"/>
      <c r="H736" s="5"/>
      <c r="I736" s="5"/>
      <c r="J736" s="5"/>
      <c r="K736" s="35"/>
      <c r="L736" s="5"/>
      <c r="M736" s="5"/>
      <c r="N736" s="5"/>
      <c r="O736" s="5"/>
      <c r="P736" s="5"/>
      <c r="Q736" s="5"/>
      <c r="R736" s="5"/>
      <c r="S736" s="5"/>
    </row>
    <row r="737" spans="4:19">
      <c r="D737" s="35"/>
      <c r="E737" s="35"/>
      <c r="F737" s="35"/>
      <c r="G737" s="35"/>
      <c r="H737" s="5"/>
      <c r="I737" s="5"/>
      <c r="J737" s="5"/>
      <c r="K737" s="35"/>
      <c r="L737" s="5"/>
      <c r="M737" s="5"/>
      <c r="N737" s="5"/>
      <c r="O737" s="5"/>
      <c r="P737" s="5"/>
      <c r="Q737" s="5"/>
      <c r="R737" s="5"/>
      <c r="S737" s="5"/>
    </row>
    <row r="738" spans="4:19">
      <c r="D738" s="35"/>
      <c r="E738" s="35"/>
      <c r="F738" s="35"/>
      <c r="G738" s="35"/>
      <c r="H738" s="5"/>
      <c r="I738" s="5"/>
      <c r="J738" s="5"/>
      <c r="K738" s="35"/>
      <c r="L738" s="5"/>
      <c r="M738" s="5"/>
      <c r="N738" s="5"/>
      <c r="O738" s="5"/>
      <c r="P738" s="5"/>
      <c r="Q738" s="5"/>
      <c r="R738" s="5"/>
      <c r="S738" s="5"/>
    </row>
    <row r="739" spans="4:19">
      <c r="D739" s="35"/>
      <c r="E739" s="35"/>
      <c r="F739" s="35"/>
      <c r="G739" s="35"/>
      <c r="H739" s="5"/>
      <c r="I739" s="5"/>
      <c r="J739" s="5"/>
      <c r="K739" s="35"/>
      <c r="L739" s="5"/>
      <c r="M739" s="5"/>
      <c r="N739" s="5"/>
      <c r="O739" s="5"/>
      <c r="P739" s="5"/>
      <c r="Q739" s="5"/>
      <c r="R739" s="5"/>
      <c r="S739" s="5"/>
    </row>
    <row r="740" spans="4:19">
      <c r="D740" s="35"/>
      <c r="E740" s="35"/>
      <c r="F740" s="35"/>
      <c r="G740" s="35"/>
      <c r="H740" s="5"/>
      <c r="I740" s="5"/>
      <c r="J740" s="5"/>
      <c r="K740" s="35"/>
      <c r="L740" s="5"/>
      <c r="M740" s="5"/>
      <c r="N740" s="5"/>
      <c r="O740" s="5"/>
      <c r="P740" s="5"/>
      <c r="Q740" s="5"/>
      <c r="R740" s="5"/>
      <c r="S740" s="5"/>
    </row>
    <row r="741" spans="4:19">
      <c r="D741" s="35"/>
      <c r="E741" s="35"/>
      <c r="F741" s="35"/>
      <c r="G741" s="35"/>
      <c r="H741" s="5"/>
      <c r="I741" s="5"/>
      <c r="J741" s="5"/>
      <c r="K741" s="35"/>
      <c r="L741" s="5"/>
      <c r="M741" s="5"/>
      <c r="N741" s="5"/>
      <c r="O741" s="5"/>
      <c r="P741" s="5"/>
      <c r="Q741" s="5"/>
      <c r="R741" s="5"/>
      <c r="S741" s="5"/>
    </row>
    <row r="742" spans="4:19">
      <c r="D742" s="35"/>
      <c r="E742" s="35"/>
      <c r="F742" s="35"/>
      <c r="G742" s="35"/>
      <c r="H742" s="5"/>
      <c r="I742" s="5"/>
      <c r="J742" s="5"/>
      <c r="K742" s="35"/>
      <c r="L742" s="5"/>
      <c r="M742" s="5"/>
      <c r="N742" s="5"/>
      <c r="O742" s="5"/>
      <c r="P742" s="5"/>
      <c r="Q742" s="5"/>
      <c r="R742" s="5"/>
      <c r="S742" s="5"/>
    </row>
    <row r="743" spans="4:19">
      <c r="D743" s="35"/>
      <c r="E743" s="35"/>
      <c r="F743" s="35"/>
      <c r="G743" s="35"/>
      <c r="H743" s="5"/>
      <c r="I743" s="5"/>
      <c r="J743" s="5"/>
      <c r="K743" s="35"/>
      <c r="L743" s="5"/>
      <c r="M743" s="5"/>
      <c r="N743" s="5"/>
      <c r="O743" s="5"/>
      <c r="P743" s="5"/>
      <c r="Q743" s="5"/>
      <c r="R743" s="5"/>
      <c r="S743" s="5"/>
    </row>
    <row r="744" spans="4:19">
      <c r="D744" s="35"/>
      <c r="E744" s="35"/>
      <c r="F744" s="35"/>
      <c r="G744" s="35"/>
      <c r="H744" s="5"/>
      <c r="I744" s="5"/>
      <c r="J744" s="5"/>
      <c r="K744" s="35"/>
      <c r="L744" s="5"/>
      <c r="M744" s="5"/>
      <c r="N744" s="5"/>
      <c r="O744" s="5"/>
      <c r="P744" s="5"/>
      <c r="Q744" s="5"/>
      <c r="R744" s="5"/>
      <c r="S744" s="5"/>
    </row>
    <row r="745" spans="4:19">
      <c r="D745" s="35"/>
      <c r="E745" s="35"/>
      <c r="F745" s="35"/>
      <c r="G745" s="35"/>
      <c r="H745" s="5"/>
      <c r="I745" s="5"/>
      <c r="J745" s="5"/>
      <c r="K745" s="35"/>
      <c r="L745" s="5"/>
      <c r="M745" s="5"/>
      <c r="N745" s="5"/>
      <c r="O745" s="5"/>
      <c r="P745" s="5"/>
      <c r="Q745" s="5"/>
      <c r="R745" s="5"/>
      <c r="S745" s="5"/>
    </row>
    <row r="746" spans="4:19">
      <c r="D746" s="35"/>
      <c r="E746" s="35"/>
      <c r="F746" s="35"/>
      <c r="G746" s="35"/>
      <c r="H746" s="5"/>
      <c r="I746" s="5"/>
      <c r="J746" s="5"/>
      <c r="K746" s="35"/>
      <c r="L746" s="5"/>
      <c r="M746" s="5"/>
      <c r="N746" s="5"/>
      <c r="O746" s="5"/>
      <c r="P746" s="5"/>
      <c r="Q746" s="5"/>
      <c r="R746" s="5"/>
      <c r="S746" s="5"/>
    </row>
    <row r="747" spans="4:19">
      <c r="D747" s="35"/>
      <c r="E747" s="35"/>
      <c r="F747" s="35"/>
      <c r="G747" s="35"/>
      <c r="H747" s="5"/>
      <c r="I747" s="5"/>
      <c r="J747" s="5"/>
      <c r="K747" s="35"/>
      <c r="L747" s="5"/>
      <c r="M747" s="5"/>
      <c r="N747" s="5"/>
      <c r="O747" s="5"/>
      <c r="P747" s="5"/>
      <c r="Q747" s="5"/>
      <c r="R747" s="5"/>
      <c r="S747" s="5"/>
    </row>
    <row r="748" spans="4:19">
      <c r="D748" s="35"/>
      <c r="E748" s="35"/>
      <c r="F748" s="35"/>
      <c r="G748" s="35"/>
      <c r="H748" s="5"/>
      <c r="I748" s="5"/>
      <c r="J748" s="5"/>
      <c r="K748" s="35"/>
      <c r="L748" s="5"/>
      <c r="M748" s="5"/>
      <c r="N748" s="5"/>
      <c r="O748" s="5"/>
      <c r="P748" s="5"/>
      <c r="Q748" s="5"/>
      <c r="R748" s="5"/>
      <c r="S748" s="5"/>
    </row>
    <row r="749" spans="4:19">
      <c r="D749" s="35"/>
      <c r="E749" s="35"/>
      <c r="F749" s="35"/>
      <c r="G749" s="35"/>
      <c r="H749" s="5"/>
      <c r="I749" s="5"/>
      <c r="J749" s="5"/>
      <c r="K749" s="35"/>
      <c r="L749" s="5"/>
      <c r="M749" s="5"/>
      <c r="N749" s="5"/>
      <c r="O749" s="5"/>
      <c r="P749" s="5"/>
      <c r="Q749" s="5"/>
      <c r="R749" s="5"/>
      <c r="S749" s="5"/>
    </row>
    <row r="750" spans="4:19">
      <c r="D750" s="35"/>
      <c r="E750" s="35"/>
      <c r="F750" s="35"/>
      <c r="G750" s="35"/>
      <c r="H750" s="5"/>
      <c r="I750" s="5"/>
      <c r="J750" s="5"/>
      <c r="K750" s="35"/>
      <c r="L750" s="5"/>
      <c r="M750" s="5"/>
      <c r="N750" s="5"/>
      <c r="O750" s="5"/>
      <c r="P750" s="5"/>
      <c r="Q750" s="5"/>
      <c r="R750" s="5"/>
      <c r="S750" s="5"/>
    </row>
    <row r="751" spans="4:19">
      <c r="D751" s="35"/>
      <c r="E751" s="35"/>
      <c r="F751" s="35"/>
      <c r="G751" s="35"/>
      <c r="H751" s="5"/>
      <c r="I751" s="5"/>
      <c r="J751" s="5"/>
      <c r="K751" s="35"/>
      <c r="L751" s="5"/>
      <c r="M751" s="5"/>
      <c r="N751" s="5"/>
      <c r="O751" s="5"/>
      <c r="P751" s="5"/>
      <c r="Q751" s="5"/>
      <c r="R751" s="5"/>
      <c r="S751" s="5"/>
    </row>
    <row r="752" spans="4:19">
      <c r="D752" s="35"/>
      <c r="E752" s="35"/>
      <c r="F752" s="35"/>
      <c r="G752" s="35"/>
      <c r="H752" s="5"/>
      <c r="I752" s="5"/>
      <c r="J752" s="5"/>
      <c r="K752" s="35"/>
      <c r="L752" s="5"/>
      <c r="M752" s="5"/>
      <c r="N752" s="5"/>
      <c r="O752" s="5"/>
      <c r="P752" s="5"/>
      <c r="Q752" s="5"/>
      <c r="R752" s="5"/>
      <c r="S752" s="5"/>
    </row>
    <row r="753" spans="4:19">
      <c r="D753" s="35"/>
      <c r="E753" s="35"/>
      <c r="F753" s="35"/>
      <c r="G753" s="35"/>
      <c r="H753" s="5"/>
      <c r="I753" s="5"/>
      <c r="J753" s="5"/>
      <c r="K753" s="35"/>
      <c r="L753" s="5"/>
      <c r="M753" s="5"/>
      <c r="N753" s="5"/>
      <c r="O753" s="5"/>
      <c r="P753" s="5"/>
      <c r="Q753" s="5"/>
      <c r="R753" s="5"/>
      <c r="S753" s="5"/>
    </row>
    <row r="754" spans="4:19">
      <c r="D754" s="35"/>
      <c r="E754" s="35"/>
      <c r="F754" s="35"/>
      <c r="G754" s="35"/>
      <c r="H754" s="5"/>
      <c r="I754" s="5"/>
      <c r="J754" s="5"/>
      <c r="K754" s="35"/>
      <c r="L754" s="5"/>
      <c r="M754" s="5"/>
      <c r="N754" s="5"/>
      <c r="O754" s="5"/>
      <c r="P754" s="5"/>
      <c r="Q754" s="5"/>
      <c r="R754" s="5"/>
      <c r="S754" s="5"/>
    </row>
    <row r="755" spans="4:19">
      <c r="D755" s="35"/>
      <c r="E755" s="35"/>
      <c r="F755" s="35"/>
      <c r="G755" s="35"/>
      <c r="H755" s="5"/>
      <c r="I755" s="5"/>
      <c r="J755" s="5"/>
      <c r="K755" s="35"/>
      <c r="L755" s="5"/>
      <c r="M755" s="5"/>
      <c r="N755" s="5"/>
      <c r="O755" s="5"/>
      <c r="P755" s="5"/>
      <c r="Q755" s="5"/>
      <c r="R755" s="5"/>
      <c r="S755" s="5"/>
    </row>
    <row r="756" spans="4:19">
      <c r="D756" s="35"/>
      <c r="E756" s="35"/>
      <c r="F756" s="35"/>
      <c r="G756" s="35"/>
      <c r="H756" s="5"/>
      <c r="I756" s="5"/>
      <c r="J756" s="5"/>
      <c r="K756" s="35"/>
      <c r="L756" s="5"/>
      <c r="M756" s="5"/>
      <c r="N756" s="5"/>
      <c r="O756" s="5"/>
      <c r="P756" s="5"/>
      <c r="Q756" s="5"/>
      <c r="R756" s="5"/>
      <c r="S756" s="5"/>
    </row>
    <row r="757" spans="4:19">
      <c r="D757" s="35"/>
      <c r="E757" s="35"/>
      <c r="F757" s="35"/>
      <c r="G757" s="35"/>
      <c r="H757" s="5"/>
      <c r="I757" s="5"/>
      <c r="J757" s="5"/>
      <c r="K757" s="35"/>
      <c r="L757" s="5"/>
      <c r="M757" s="5"/>
      <c r="N757" s="5"/>
      <c r="O757" s="5"/>
      <c r="P757" s="5"/>
      <c r="Q757" s="5"/>
      <c r="R757" s="5"/>
      <c r="S757" s="5"/>
    </row>
    <row r="758" spans="4:19">
      <c r="D758" s="35"/>
      <c r="E758" s="35"/>
      <c r="F758" s="35"/>
      <c r="G758" s="35"/>
      <c r="H758" s="5"/>
      <c r="I758" s="5"/>
      <c r="J758" s="5"/>
      <c r="K758" s="35"/>
      <c r="L758" s="5"/>
      <c r="M758" s="5"/>
      <c r="N758" s="5"/>
      <c r="O758" s="5"/>
      <c r="P758" s="5"/>
      <c r="Q758" s="5"/>
      <c r="R758" s="5"/>
      <c r="S758" s="5"/>
    </row>
    <row r="759" spans="4:19">
      <c r="D759" s="35"/>
      <c r="E759" s="35"/>
      <c r="F759" s="35"/>
      <c r="G759" s="35"/>
      <c r="H759" s="5"/>
      <c r="I759" s="5"/>
      <c r="J759" s="5"/>
      <c r="K759" s="35"/>
      <c r="L759" s="5"/>
      <c r="M759" s="5"/>
      <c r="N759" s="5"/>
      <c r="O759" s="5"/>
      <c r="P759" s="5"/>
      <c r="Q759" s="5"/>
      <c r="R759" s="5"/>
      <c r="S759" s="5"/>
    </row>
    <row r="760" spans="4:19">
      <c r="D760" s="35"/>
      <c r="E760" s="35"/>
      <c r="F760" s="35"/>
      <c r="G760" s="35"/>
      <c r="H760" s="5"/>
      <c r="I760" s="5"/>
      <c r="J760" s="5"/>
      <c r="K760" s="35"/>
      <c r="L760" s="5"/>
      <c r="M760" s="5"/>
      <c r="N760" s="5"/>
      <c r="O760" s="5"/>
      <c r="P760" s="5"/>
      <c r="Q760" s="5"/>
      <c r="R760" s="5"/>
      <c r="S760" s="5"/>
    </row>
    <row r="761" spans="4:19">
      <c r="D761" s="35"/>
      <c r="E761" s="35"/>
      <c r="F761" s="35"/>
      <c r="G761" s="35"/>
      <c r="H761" s="5"/>
      <c r="I761" s="5"/>
      <c r="J761" s="5"/>
      <c r="K761" s="35"/>
      <c r="L761" s="5"/>
      <c r="M761" s="5"/>
      <c r="N761" s="5"/>
      <c r="O761" s="5"/>
      <c r="P761" s="5"/>
      <c r="Q761" s="5"/>
      <c r="R761" s="5"/>
      <c r="S761" s="5"/>
    </row>
    <row r="762" spans="4:19">
      <c r="D762" s="35"/>
      <c r="E762" s="35"/>
      <c r="F762" s="35"/>
      <c r="G762" s="35"/>
      <c r="H762" s="5"/>
      <c r="I762" s="5"/>
      <c r="J762" s="5"/>
      <c r="K762" s="35"/>
      <c r="L762" s="5"/>
      <c r="M762" s="5"/>
      <c r="N762" s="5"/>
      <c r="O762" s="5"/>
      <c r="P762" s="5"/>
      <c r="Q762" s="5"/>
      <c r="R762" s="5"/>
      <c r="S762" s="5"/>
    </row>
    <row r="763" spans="4:19">
      <c r="D763" s="35"/>
      <c r="E763" s="35"/>
      <c r="F763" s="35"/>
      <c r="G763" s="35"/>
      <c r="H763" s="5"/>
      <c r="I763" s="5"/>
      <c r="J763" s="5"/>
      <c r="K763" s="35"/>
      <c r="L763" s="5"/>
      <c r="M763" s="5"/>
      <c r="N763" s="5"/>
      <c r="O763" s="5"/>
      <c r="P763" s="5"/>
      <c r="Q763" s="5"/>
      <c r="R763" s="5"/>
      <c r="S763" s="5"/>
    </row>
    <row r="764" spans="4:19">
      <c r="D764" s="35"/>
      <c r="E764" s="35"/>
      <c r="F764" s="35"/>
      <c r="G764" s="35"/>
      <c r="H764" s="5"/>
      <c r="I764" s="5"/>
      <c r="J764" s="5"/>
      <c r="K764" s="35"/>
      <c r="L764" s="5"/>
      <c r="M764" s="5"/>
      <c r="N764" s="5"/>
      <c r="O764" s="5"/>
      <c r="P764" s="5"/>
      <c r="Q764" s="5"/>
      <c r="R764" s="5"/>
      <c r="S764" s="5"/>
    </row>
    <row r="765" spans="4:19">
      <c r="D765" s="35"/>
      <c r="E765" s="35"/>
      <c r="F765" s="35"/>
      <c r="G765" s="35"/>
      <c r="H765" s="5"/>
      <c r="I765" s="5"/>
      <c r="J765" s="5"/>
      <c r="K765" s="35"/>
      <c r="L765" s="5"/>
      <c r="M765" s="5"/>
      <c r="N765" s="5"/>
      <c r="O765" s="5"/>
      <c r="P765" s="5"/>
      <c r="Q765" s="5"/>
      <c r="R765" s="5"/>
      <c r="S765" s="5"/>
    </row>
    <row r="766" spans="4:19">
      <c r="D766" s="35"/>
      <c r="E766" s="35"/>
      <c r="F766" s="35"/>
      <c r="G766" s="35"/>
      <c r="H766" s="5"/>
      <c r="I766" s="5"/>
      <c r="J766" s="5"/>
      <c r="K766" s="35"/>
      <c r="L766" s="5"/>
      <c r="M766" s="5"/>
      <c r="N766" s="5"/>
      <c r="O766" s="5"/>
      <c r="P766" s="5"/>
      <c r="Q766" s="5"/>
      <c r="R766" s="5"/>
      <c r="S766" s="5"/>
    </row>
    <row r="767" spans="4:19">
      <c r="D767" s="35"/>
      <c r="E767" s="35"/>
      <c r="F767" s="35"/>
      <c r="G767" s="35"/>
      <c r="H767" s="5"/>
      <c r="I767" s="5"/>
      <c r="J767" s="5"/>
      <c r="K767" s="35"/>
      <c r="L767" s="5"/>
      <c r="M767" s="5"/>
      <c r="N767" s="5"/>
      <c r="O767" s="5"/>
      <c r="P767" s="5"/>
      <c r="Q767" s="5"/>
      <c r="R767" s="5"/>
      <c r="S767" s="5"/>
    </row>
    <row r="768" spans="4:19">
      <c r="D768" s="35"/>
      <c r="E768" s="35"/>
      <c r="F768" s="35"/>
      <c r="G768" s="35"/>
      <c r="H768" s="5"/>
      <c r="I768" s="5"/>
      <c r="J768" s="5"/>
      <c r="K768" s="35"/>
      <c r="L768" s="5"/>
      <c r="M768" s="5"/>
      <c r="N768" s="5"/>
      <c r="O768" s="5"/>
      <c r="P768" s="5"/>
      <c r="Q768" s="5"/>
      <c r="R768" s="5"/>
      <c r="S768" s="5"/>
    </row>
    <row r="769" spans="4:19">
      <c r="D769" s="35"/>
      <c r="E769" s="35"/>
      <c r="F769" s="35"/>
      <c r="G769" s="35"/>
      <c r="H769" s="5"/>
      <c r="I769" s="5"/>
      <c r="J769" s="5"/>
      <c r="K769" s="35"/>
      <c r="L769" s="5"/>
      <c r="M769" s="5"/>
      <c r="N769" s="5"/>
      <c r="O769" s="5"/>
      <c r="P769" s="5"/>
      <c r="Q769" s="5"/>
      <c r="R769" s="5"/>
      <c r="S769" s="5"/>
    </row>
    <row r="770" spans="4:19">
      <c r="D770" s="35"/>
      <c r="E770" s="35"/>
      <c r="F770" s="35"/>
      <c r="G770" s="35"/>
      <c r="H770" s="5"/>
      <c r="I770" s="5"/>
      <c r="J770" s="5"/>
      <c r="K770" s="35"/>
      <c r="L770" s="5"/>
      <c r="M770" s="5"/>
      <c r="N770" s="5"/>
      <c r="O770" s="5"/>
      <c r="P770" s="5"/>
      <c r="Q770" s="5"/>
      <c r="R770" s="5"/>
      <c r="S770" s="5"/>
    </row>
    <row r="771" spans="4:19">
      <c r="D771" s="35"/>
      <c r="E771" s="35"/>
      <c r="F771" s="35"/>
      <c r="G771" s="35"/>
      <c r="H771" s="5"/>
      <c r="I771" s="5"/>
      <c r="J771" s="5"/>
      <c r="K771" s="35"/>
      <c r="L771" s="5"/>
      <c r="M771" s="5"/>
      <c r="N771" s="5"/>
      <c r="O771" s="5"/>
      <c r="P771" s="5"/>
      <c r="Q771" s="5"/>
      <c r="R771" s="5"/>
      <c r="S771" s="5"/>
    </row>
    <row r="772" spans="4:19">
      <c r="D772" s="35"/>
      <c r="E772" s="35"/>
      <c r="F772" s="35"/>
      <c r="G772" s="35"/>
      <c r="H772" s="5"/>
      <c r="I772" s="5"/>
      <c r="J772" s="5"/>
      <c r="K772" s="35"/>
      <c r="L772" s="5"/>
      <c r="M772" s="5"/>
      <c r="N772" s="5"/>
      <c r="O772" s="5"/>
      <c r="P772" s="5"/>
      <c r="Q772" s="5"/>
      <c r="R772" s="5"/>
      <c r="S772" s="5"/>
    </row>
    <row r="773" spans="4:19">
      <c r="D773" s="35"/>
      <c r="E773" s="35"/>
      <c r="F773" s="35"/>
      <c r="G773" s="35"/>
      <c r="H773" s="5"/>
      <c r="I773" s="5"/>
      <c r="J773" s="5"/>
      <c r="K773" s="35"/>
      <c r="L773" s="5"/>
      <c r="M773" s="5"/>
      <c r="N773" s="5"/>
      <c r="O773" s="5"/>
      <c r="P773" s="5"/>
      <c r="Q773" s="5"/>
      <c r="R773" s="5"/>
      <c r="S773" s="5"/>
    </row>
    <row r="774" spans="4:19">
      <c r="D774" s="35"/>
      <c r="E774" s="35"/>
      <c r="F774" s="35"/>
      <c r="G774" s="35"/>
      <c r="H774" s="5"/>
      <c r="I774" s="5"/>
      <c r="J774" s="5"/>
      <c r="K774" s="35"/>
      <c r="L774" s="5"/>
      <c r="M774" s="5"/>
      <c r="N774" s="5"/>
      <c r="O774" s="5"/>
      <c r="P774" s="5"/>
      <c r="Q774" s="5"/>
      <c r="R774" s="5"/>
      <c r="S774" s="5"/>
    </row>
    <row r="775" spans="4:19">
      <c r="D775" s="35"/>
      <c r="E775" s="35"/>
      <c r="F775" s="35"/>
      <c r="G775" s="35"/>
      <c r="H775" s="5"/>
      <c r="I775" s="5"/>
      <c r="J775" s="5"/>
      <c r="K775" s="35"/>
      <c r="L775" s="5"/>
      <c r="M775" s="5"/>
      <c r="N775" s="5"/>
      <c r="O775" s="5"/>
      <c r="P775" s="5"/>
      <c r="Q775" s="5"/>
      <c r="R775" s="5"/>
      <c r="S775" s="5"/>
    </row>
    <row r="776" spans="4:19">
      <c r="D776" s="35"/>
      <c r="E776" s="35"/>
      <c r="F776" s="35"/>
      <c r="G776" s="35"/>
      <c r="H776" s="5"/>
      <c r="I776" s="5"/>
      <c r="J776" s="5"/>
      <c r="K776" s="35"/>
      <c r="L776" s="5"/>
      <c r="M776" s="5"/>
      <c r="N776" s="5"/>
      <c r="O776" s="5"/>
      <c r="P776" s="5"/>
      <c r="Q776" s="5"/>
      <c r="R776" s="5"/>
      <c r="S776" s="5"/>
    </row>
    <row r="777" spans="4:19">
      <c r="D777" s="35"/>
      <c r="E777" s="35"/>
      <c r="F777" s="35"/>
      <c r="G777" s="35"/>
      <c r="H777" s="5"/>
      <c r="I777" s="5"/>
      <c r="J777" s="5"/>
      <c r="K777" s="35"/>
      <c r="L777" s="5"/>
      <c r="M777" s="5"/>
      <c r="N777" s="5"/>
      <c r="O777" s="5"/>
      <c r="P777" s="5"/>
      <c r="Q777" s="5"/>
      <c r="R777" s="5"/>
      <c r="S777" s="5"/>
    </row>
    <row r="778" spans="4:19">
      <c r="D778" s="35"/>
      <c r="E778" s="35"/>
      <c r="F778" s="35"/>
      <c r="G778" s="35"/>
      <c r="H778" s="5"/>
      <c r="I778" s="5"/>
      <c r="J778" s="5"/>
      <c r="K778" s="35"/>
      <c r="L778" s="5"/>
      <c r="M778" s="5"/>
      <c r="N778" s="5"/>
      <c r="O778" s="5"/>
      <c r="P778" s="5"/>
      <c r="Q778" s="5"/>
      <c r="R778" s="5"/>
      <c r="S778" s="5"/>
    </row>
    <row r="779" spans="4:19">
      <c r="D779" s="35"/>
      <c r="E779" s="35"/>
      <c r="F779" s="35"/>
      <c r="G779" s="35"/>
      <c r="H779" s="5"/>
      <c r="I779" s="5"/>
      <c r="J779" s="5"/>
      <c r="K779" s="35"/>
      <c r="L779" s="5"/>
      <c r="M779" s="5"/>
      <c r="N779" s="5"/>
      <c r="O779" s="5"/>
      <c r="P779" s="5"/>
      <c r="Q779" s="5"/>
      <c r="R779" s="5"/>
      <c r="S779" s="5"/>
    </row>
    <row r="780" spans="4:19">
      <c r="D780" s="35"/>
      <c r="E780" s="35"/>
      <c r="F780" s="35"/>
      <c r="G780" s="35"/>
      <c r="H780" s="5"/>
      <c r="I780" s="5"/>
      <c r="J780" s="5"/>
      <c r="K780" s="35"/>
      <c r="L780" s="5"/>
      <c r="M780" s="5"/>
      <c r="N780" s="5"/>
      <c r="O780" s="5"/>
      <c r="P780" s="5"/>
      <c r="Q780" s="5"/>
      <c r="R780" s="5"/>
      <c r="S780" s="5"/>
    </row>
    <row r="781" spans="4:19">
      <c r="D781" s="35"/>
      <c r="E781" s="35"/>
      <c r="F781" s="35"/>
      <c r="G781" s="35"/>
      <c r="H781" s="5"/>
      <c r="I781" s="5"/>
      <c r="J781" s="5"/>
      <c r="K781" s="35"/>
      <c r="L781" s="5"/>
      <c r="M781" s="5"/>
      <c r="N781" s="5"/>
      <c r="O781" s="5"/>
      <c r="P781" s="5"/>
      <c r="Q781" s="5"/>
      <c r="R781" s="5"/>
      <c r="S781" s="5"/>
    </row>
    <row r="782" spans="4:19">
      <c r="D782" s="35"/>
      <c r="E782" s="35"/>
      <c r="F782" s="35"/>
      <c r="G782" s="35"/>
      <c r="H782" s="5"/>
      <c r="I782" s="5"/>
      <c r="J782" s="5"/>
      <c r="K782" s="35"/>
      <c r="L782" s="5"/>
      <c r="M782" s="5"/>
      <c r="N782" s="5"/>
      <c r="O782" s="5"/>
      <c r="P782" s="5"/>
      <c r="Q782" s="5"/>
      <c r="R782" s="5"/>
      <c r="S782" s="5"/>
    </row>
    <row r="783" spans="4:19">
      <c r="D783" s="35"/>
      <c r="E783" s="35"/>
      <c r="F783" s="35"/>
      <c r="G783" s="35"/>
      <c r="H783" s="5"/>
      <c r="I783" s="5"/>
      <c r="J783" s="5"/>
      <c r="K783" s="35"/>
      <c r="L783" s="5"/>
      <c r="M783" s="5"/>
      <c r="N783" s="5"/>
      <c r="O783" s="5"/>
      <c r="P783" s="5"/>
      <c r="Q783" s="5"/>
      <c r="R783" s="5"/>
      <c r="S783" s="5"/>
    </row>
    <row r="784" spans="4:19">
      <c r="D784" s="35"/>
      <c r="E784" s="35"/>
      <c r="F784" s="35"/>
      <c r="G784" s="35"/>
      <c r="H784" s="5"/>
      <c r="I784" s="5"/>
      <c r="J784" s="5"/>
      <c r="K784" s="35"/>
      <c r="L784" s="5"/>
      <c r="M784" s="5"/>
      <c r="N784" s="5"/>
      <c r="O784" s="5"/>
      <c r="P784" s="5"/>
      <c r="Q784" s="5"/>
      <c r="R784" s="5"/>
      <c r="S784" s="5"/>
    </row>
    <row r="785" spans="4:19">
      <c r="D785" s="35"/>
      <c r="E785" s="35"/>
      <c r="F785" s="35"/>
      <c r="G785" s="35"/>
      <c r="H785" s="5"/>
      <c r="I785" s="5"/>
      <c r="J785" s="5"/>
      <c r="K785" s="35"/>
      <c r="L785" s="5"/>
      <c r="M785" s="5"/>
      <c r="N785" s="5"/>
      <c r="O785" s="5"/>
      <c r="P785" s="5"/>
      <c r="Q785" s="5"/>
      <c r="R785" s="5"/>
      <c r="S785" s="5"/>
    </row>
    <row r="786" spans="4:19">
      <c r="D786" s="35"/>
      <c r="E786" s="35"/>
      <c r="F786" s="35"/>
      <c r="G786" s="35"/>
      <c r="H786" s="5"/>
      <c r="I786" s="5"/>
      <c r="J786" s="5"/>
      <c r="K786" s="35"/>
      <c r="L786" s="5"/>
      <c r="M786" s="5"/>
      <c r="N786" s="5"/>
      <c r="O786" s="5"/>
      <c r="P786" s="5"/>
      <c r="Q786" s="5"/>
      <c r="R786" s="5"/>
      <c r="S786" s="5"/>
    </row>
    <row r="787" spans="4:19">
      <c r="D787" s="35"/>
      <c r="E787" s="35"/>
      <c r="F787" s="35"/>
      <c r="G787" s="35"/>
      <c r="H787" s="5"/>
      <c r="I787" s="5"/>
      <c r="J787" s="5"/>
      <c r="K787" s="35"/>
      <c r="L787" s="5"/>
      <c r="M787" s="5"/>
      <c r="N787" s="5"/>
      <c r="O787" s="5"/>
      <c r="P787" s="5"/>
      <c r="Q787" s="5"/>
      <c r="R787" s="5"/>
      <c r="S787" s="5"/>
    </row>
    <row r="788" spans="4:19">
      <c r="D788" s="35"/>
      <c r="E788" s="35"/>
      <c r="F788" s="35"/>
      <c r="G788" s="35"/>
      <c r="H788" s="5"/>
      <c r="I788" s="5"/>
      <c r="J788" s="5"/>
      <c r="K788" s="35"/>
      <c r="L788" s="5"/>
      <c r="M788" s="5"/>
      <c r="N788" s="5"/>
      <c r="O788" s="5"/>
      <c r="P788" s="5"/>
      <c r="Q788" s="5"/>
      <c r="R788" s="5"/>
      <c r="S788" s="5"/>
    </row>
    <row r="789" spans="4:19">
      <c r="D789" s="35"/>
      <c r="E789" s="35"/>
      <c r="F789" s="35"/>
      <c r="G789" s="35"/>
      <c r="H789" s="5"/>
      <c r="I789" s="5"/>
      <c r="J789" s="5"/>
      <c r="K789" s="35"/>
      <c r="L789" s="5"/>
      <c r="M789" s="5"/>
      <c r="N789" s="5"/>
      <c r="O789" s="5"/>
      <c r="P789" s="5"/>
      <c r="Q789" s="5"/>
      <c r="R789" s="5"/>
      <c r="S789" s="5"/>
    </row>
    <row r="790" spans="4:19">
      <c r="D790" s="35"/>
      <c r="E790" s="35"/>
      <c r="F790" s="35"/>
      <c r="G790" s="35"/>
      <c r="H790" s="5"/>
      <c r="I790" s="5"/>
      <c r="J790" s="5"/>
      <c r="K790" s="35"/>
      <c r="L790" s="5"/>
      <c r="M790" s="5"/>
      <c r="N790" s="5"/>
      <c r="O790" s="5"/>
      <c r="P790" s="5"/>
      <c r="Q790" s="5"/>
      <c r="R790" s="5"/>
      <c r="S790" s="5"/>
    </row>
    <row r="791" spans="4:19">
      <c r="D791" s="35"/>
      <c r="E791" s="35"/>
      <c r="F791" s="35"/>
      <c r="G791" s="35"/>
      <c r="H791" s="5"/>
      <c r="I791" s="5"/>
      <c r="J791" s="5"/>
      <c r="K791" s="35"/>
      <c r="L791" s="5"/>
      <c r="M791" s="5"/>
      <c r="N791" s="5"/>
      <c r="O791" s="5"/>
      <c r="P791" s="5"/>
      <c r="Q791" s="5"/>
      <c r="R791" s="5"/>
      <c r="S791" s="5"/>
    </row>
    <row r="792" spans="4:19">
      <c r="D792" s="35"/>
      <c r="E792" s="35"/>
      <c r="F792" s="35"/>
      <c r="G792" s="35"/>
      <c r="H792" s="5"/>
      <c r="I792" s="5"/>
      <c r="J792" s="5"/>
      <c r="K792" s="35"/>
      <c r="L792" s="5"/>
      <c r="M792" s="5"/>
      <c r="N792" s="5"/>
      <c r="O792" s="5"/>
      <c r="P792" s="5"/>
      <c r="Q792" s="5"/>
      <c r="R792" s="5"/>
      <c r="S792" s="5"/>
    </row>
    <row r="793" spans="4:19">
      <c r="D793" s="35"/>
      <c r="E793" s="35"/>
      <c r="F793" s="35"/>
      <c r="G793" s="35"/>
      <c r="H793" s="5"/>
      <c r="I793" s="5"/>
      <c r="J793" s="5"/>
      <c r="K793" s="35"/>
      <c r="L793" s="5"/>
      <c r="M793" s="5"/>
      <c r="N793" s="5"/>
      <c r="O793" s="5"/>
      <c r="P793" s="5"/>
      <c r="Q793" s="5"/>
      <c r="R793" s="5"/>
      <c r="S793" s="5"/>
    </row>
    <row r="794" spans="4:19">
      <c r="D794" s="35"/>
      <c r="E794" s="35"/>
      <c r="F794" s="35"/>
      <c r="G794" s="35"/>
      <c r="H794" s="5"/>
      <c r="I794" s="5"/>
      <c r="J794" s="5"/>
      <c r="K794" s="35"/>
      <c r="L794" s="5"/>
      <c r="M794" s="5"/>
      <c r="N794" s="5"/>
      <c r="O794" s="5"/>
      <c r="P794" s="5"/>
      <c r="Q794" s="5"/>
      <c r="R794" s="5"/>
      <c r="S794" s="5"/>
    </row>
    <row r="795" spans="4:19">
      <c r="D795" s="35"/>
      <c r="E795" s="35"/>
      <c r="F795" s="35"/>
      <c r="G795" s="35"/>
      <c r="H795" s="5"/>
      <c r="I795" s="5"/>
      <c r="J795" s="5"/>
      <c r="K795" s="35"/>
      <c r="L795" s="5"/>
      <c r="M795" s="5"/>
      <c r="N795" s="5"/>
      <c r="O795" s="5"/>
      <c r="P795" s="5"/>
      <c r="Q795" s="5"/>
      <c r="R795" s="5"/>
      <c r="S795" s="5"/>
    </row>
    <row r="796" spans="4:19">
      <c r="D796" s="35"/>
      <c r="E796" s="35"/>
      <c r="F796" s="35"/>
      <c r="G796" s="35"/>
      <c r="H796" s="5"/>
      <c r="I796" s="5"/>
      <c r="J796" s="5"/>
      <c r="K796" s="35"/>
      <c r="L796" s="5"/>
      <c r="M796" s="5"/>
      <c r="N796" s="5"/>
      <c r="O796" s="5"/>
      <c r="P796" s="5"/>
      <c r="Q796" s="5"/>
      <c r="R796" s="5"/>
      <c r="S796" s="5"/>
    </row>
    <row r="797" spans="4:19">
      <c r="D797" s="35"/>
      <c r="E797" s="35"/>
      <c r="F797" s="35"/>
      <c r="G797" s="35"/>
      <c r="H797" s="5"/>
      <c r="I797" s="5"/>
      <c r="J797" s="5"/>
      <c r="K797" s="35"/>
      <c r="L797" s="5"/>
      <c r="M797" s="5"/>
      <c r="N797" s="5"/>
      <c r="O797" s="5"/>
      <c r="P797" s="5"/>
      <c r="Q797" s="5"/>
      <c r="R797" s="5"/>
      <c r="S797" s="5"/>
    </row>
    <row r="798" spans="4:19">
      <c r="D798" s="35"/>
      <c r="E798" s="35"/>
      <c r="F798" s="35"/>
      <c r="G798" s="35"/>
      <c r="H798" s="5"/>
      <c r="I798" s="5"/>
      <c r="J798" s="5"/>
      <c r="K798" s="35"/>
      <c r="L798" s="5"/>
      <c r="M798" s="5"/>
      <c r="N798" s="5"/>
      <c r="O798" s="5"/>
      <c r="P798" s="5"/>
      <c r="Q798" s="5"/>
      <c r="R798" s="5"/>
      <c r="S798" s="5"/>
    </row>
    <row r="799" spans="4:19">
      <c r="D799" s="35"/>
      <c r="E799" s="35"/>
      <c r="F799" s="35"/>
      <c r="G799" s="35"/>
      <c r="H799" s="5"/>
      <c r="I799" s="5"/>
      <c r="J799" s="5"/>
      <c r="K799" s="35"/>
      <c r="L799" s="5"/>
      <c r="M799" s="5"/>
      <c r="N799" s="5"/>
      <c r="O799" s="5"/>
      <c r="P799" s="5"/>
      <c r="Q799" s="5"/>
      <c r="R799" s="5"/>
      <c r="S799" s="5"/>
    </row>
    <row r="800" spans="4:19">
      <c r="D800" s="35"/>
      <c r="E800" s="35"/>
      <c r="F800" s="35"/>
      <c r="G800" s="35"/>
      <c r="H800" s="5"/>
      <c r="I800" s="5"/>
      <c r="J800" s="5"/>
      <c r="K800" s="35"/>
      <c r="L800" s="5"/>
      <c r="M800" s="5"/>
      <c r="N800" s="5"/>
      <c r="O800" s="5"/>
      <c r="P800" s="5"/>
      <c r="Q800" s="5"/>
      <c r="R800" s="5"/>
      <c r="S800" s="5"/>
    </row>
    <row r="801" spans="4:19">
      <c r="D801" s="35"/>
      <c r="E801" s="35"/>
      <c r="F801" s="35"/>
      <c r="G801" s="35"/>
      <c r="H801" s="5"/>
      <c r="I801" s="5"/>
      <c r="J801" s="5"/>
      <c r="K801" s="35"/>
      <c r="L801" s="5"/>
      <c r="M801" s="5"/>
      <c r="N801" s="5"/>
      <c r="O801" s="5"/>
      <c r="P801" s="5"/>
      <c r="Q801" s="5"/>
      <c r="R801" s="5"/>
      <c r="S801" s="5"/>
    </row>
    <row r="802" spans="4:19">
      <c r="D802" s="35"/>
      <c r="E802" s="35"/>
      <c r="F802" s="35"/>
      <c r="G802" s="35"/>
      <c r="H802" s="5"/>
      <c r="I802" s="5"/>
      <c r="J802" s="5"/>
      <c r="K802" s="35"/>
      <c r="L802" s="5"/>
      <c r="M802" s="5"/>
      <c r="N802" s="5"/>
      <c r="O802" s="5"/>
      <c r="P802" s="5"/>
      <c r="Q802" s="5"/>
      <c r="R802" s="5"/>
      <c r="S802" s="5"/>
    </row>
    <row r="803" spans="4:19">
      <c r="D803" s="35"/>
      <c r="E803" s="35"/>
      <c r="F803" s="35"/>
      <c r="G803" s="35"/>
      <c r="H803" s="5"/>
      <c r="I803" s="5"/>
      <c r="J803" s="5"/>
      <c r="K803" s="35"/>
      <c r="L803" s="5"/>
      <c r="M803" s="5"/>
      <c r="N803" s="5"/>
      <c r="O803" s="5"/>
      <c r="P803" s="5"/>
      <c r="Q803" s="5"/>
      <c r="R803" s="5"/>
      <c r="S803" s="5"/>
    </row>
    <row r="804" spans="4:19">
      <c r="D804" s="35"/>
      <c r="E804" s="35"/>
      <c r="F804" s="35"/>
      <c r="G804" s="35"/>
      <c r="H804" s="5"/>
      <c r="I804" s="5"/>
      <c r="J804" s="5"/>
      <c r="K804" s="35"/>
      <c r="L804" s="5"/>
      <c r="M804" s="5"/>
      <c r="N804" s="5"/>
      <c r="O804" s="5"/>
      <c r="P804" s="5"/>
      <c r="Q804" s="5"/>
      <c r="R804" s="5"/>
      <c r="S804" s="5"/>
    </row>
    <row r="805" spans="4:19">
      <c r="D805" s="35"/>
      <c r="E805" s="35"/>
      <c r="F805" s="35"/>
      <c r="G805" s="35"/>
      <c r="H805" s="5"/>
      <c r="I805" s="5"/>
      <c r="J805" s="5"/>
      <c r="K805" s="35"/>
      <c r="L805" s="5"/>
      <c r="M805" s="5"/>
      <c r="N805" s="5"/>
      <c r="O805" s="5"/>
      <c r="P805" s="5"/>
      <c r="Q805" s="5"/>
      <c r="R805" s="5"/>
      <c r="S805" s="5"/>
    </row>
    <row r="806" spans="4:19">
      <c r="D806" s="35"/>
      <c r="E806" s="35"/>
      <c r="F806" s="35"/>
      <c r="G806" s="35"/>
      <c r="H806" s="5"/>
      <c r="I806" s="5"/>
      <c r="J806" s="5"/>
      <c r="K806" s="35"/>
      <c r="L806" s="5"/>
      <c r="M806" s="5"/>
      <c r="N806" s="5"/>
      <c r="O806" s="5"/>
      <c r="P806" s="5"/>
      <c r="Q806" s="5"/>
      <c r="R806" s="5"/>
      <c r="S806" s="5"/>
    </row>
    <row r="807" spans="4:19">
      <c r="D807" s="35"/>
      <c r="E807" s="35"/>
      <c r="F807" s="35"/>
      <c r="G807" s="35"/>
      <c r="H807" s="5"/>
      <c r="I807" s="5"/>
      <c r="J807" s="5"/>
      <c r="K807" s="35"/>
      <c r="L807" s="5"/>
      <c r="M807" s="5"/>
      <c r="N807" s="5"/>
      <c r="O807" s="5"/>
      <c r="P807" s="5"/>
      <c r="Q807" s="5"/>
      <c r="R807" s="5"/>
      <c r="S807" s="5"/>
    </row>
    <row r="808" spans="4:19">
      <c r="D808" s="35"/>
      <c r="E808" s="35"/>
      <c r="F808" s="35"/>
      <c r="G808" s="35"/>
      <c r="H808" s="5"/>
      <c r="I808" s="5"/>
      <c r="J808" s="5"/>
      <c r="K808" s="35"/>
      <c r="L808" s="5"/>
      <c r="M808" s="5"/>
      <c r="N808" s="5"/>
      <c r="O808" s="5"/>
      <c r="P808" s="5"/>
      <c r="Q808" s="5"/>
      <c r="R808" s="5"/>
      <c r="S808" s="5"/>
    </row>
    <row r="809" spans="4:19">
      <c r="D809" s="35"/>
      <c r="E809" s="35"/>
      <c r="F809" s="35"/>
      <c r="G809" s="35"/>
      <c r="H809" s="5"/>
      <c r="I809" s="5"/>
      <c r="J809" s="5"/>
      <c r="K809" s="35"/>
      <c r="L809" s="5"/>
      <c r="M809" s="5"/>
      <c r="N809" s="5"/>
      <c r="O809" s="5"/>
      <c r="P809" s="5"/>
      <c r="Q809" s="5"/>
      <c r="R809" s="5"/>
      <c r="S809" s="5"/>
    </row>
    <row r="810" spans="4:19">
      <c r="D810" s="35"/>
      <c r="E810" s="35"/>
      <c r="F810" s="35"/>
      <c r="G810" s="35"/>
      <c r="H810" s="5"/>
      <c r="I810" s="5"/>
      <c r="J810" s="5"/>
      <c r="K810" s="35"/>
      <c r="L810" s="5"/>
      <c r="M810" s="5"/>
      <c r="N810" s="5"/>
      <c r="O810" s="5"/>
      <c r="P810" s="5"/>
      <c r="Q810" s="5"/>
      <c r="R810" s="5"/>
      <c r="S810" s="5"/>
    </row>
    <row r="811" spans="4:19">
      <c r="D811" s="35"/>
      <c r="E811" s="35"/>
      <c r="F811" s="35"/>
      <c r="G811" s="35"/>
      <c r="H811" s="5"/>
      <c r="I811" s="5"/>
      <c r="J811" s="5"/>
      <c r="K811" s="35"/>
      <c r="L811" s="5"/>
      <c r="M811" s="5"/>
      <c r="N811" s="5"/>
      <c r="O811" s="5"/>
      <c r="P811" s="5"/>
      <c r="Q811" s="5"/>
      <c r="R811" s="5"/>
      <c r="S811" s="5"/>
    </row>
    <row r="812" spans="4:19">
      <c r="D812" s="35"/>
      <c r="E812" s="35"/>
      <c r="F812" s="35"/>
      <c r="G812" s="35"/>
      <c r="H812" s="5"/>
      <c r="I812" s="5"/>
      <c r="J812" s="5"/>
      <c r="K812" s="35"/>
      <c r="L812" s="5"/>
      <c r="M812" s="5"/>
      <c r="N812" s="5"/>
      <c r="O812" s="5"/>
      <c r="P812" s="5"/>
      <c r="Q812" s="5"/>
      <c r="R812" s="5"/>
      <c r="S812" s="5"/>
    </row>
    <row r="813" spans="4:19">
      <c r="D813" s="35"/>
      <c r="E813" s="35"/>
      <c r="F813" s="35"/>
      <c r="G813" s="35"/>
      <c r="H813" s="5"/>
      <c r="I813" s="5"/>
      <c r="J813" s="5"/>
      <c r="K813" s="35"/>
      <c r="L813" s="5"/>
      <c r="M813" s="5"/>
      <c r="N813" s="5"/>
      <c r="O813" s="5"/>
      <c r="P813" s="5"/>
      <c r="Q813" s="5"/>
      <c r="R813" s="5"/>
      <c r="S813" s="5"/>
    </row>
    <row r="814" spans="4:19">
      <c r="D814" s="35"/>
      <c r="E814" s="35"/>
      <c r="F814" s="35"/>
      <c r="G814" s="35"/>
      <c r="H814" s="5"/>
      <c r="I814" s="5"/>
      <c r="J814" s="5"/>
      <c r="K814" s="35"/>
      <c r="L814" s="5"/>
      <c r="M814" s="5"/>
      <c r="N814" s="5"/>
      <c r="O814" s="5"/>
      <c r="P814" s="5"/>
      <c r="Q814" s="5"/>
      <c r="R814" s="5"/>
      <c r="S814" s="5"/>
    </row>
    <row r="815" spans="4:19">
      <c r="D815" s="35"/>
      <c r="E815" s="35"/>
      <c r="F815" s="35"/>
      <c r="G815" s="35"/>
      <c r="H815" s="5"/>
      <c r="I815" s="5"/>
      <c r="J815" s="5"/>
      <c r="K815" s="35"/>
      <c r="L815" s="5"/>
      <c r="M815" s="5"/>
      <c r="N815" s="5"/>
      <c r="O815" s="5"/>
      <c r="P815" s="5"/>
      <c r="Q815" s="5"/>
      <c r="R815" s="5"/>
      <c r="S815" s="5"/>
    </row>
    <row r="816" spans="4:19">
      <c r="D816" s="35"/>
      <c r="E816" s="35"/>
      <c r="F816" s="35"/>
      <c r="G816" s="35"/>
      <c r="H816" s="5"/>
      <c r="I816" s="5"/>
      <c r="J816" s="5"/>
      <c r="K816" s="35"/>
      <c r="L816" s="5"/>
      <c r="M816" s="5"/>
      <c r="N816" s="5"/>
      <c r="O816" s="5"/>
      <c r="P816" s="5"/>
      <c r="Q816" s="5"/>
      <c r="R816" s="5"/>
      <c r="S816" s="5"/>
    </row>
    <row r="817" spans="4:19">
      <c r="D817" s="35"/>
      <c r="E817" s="35"/>
      <c r="F817" s="35"/>
      <c r="G817" s="35"/>
      <c r="H817" s="5"/>
      <c r="I817" s="5"/>
      <c r="J817" s="5"/>
      <c r="K817" s="35"/>
      <c r="L817" s="5"/>
      <c r="M817" s="5"/>
      <c r="N817" s="5"/>
      <c r="O817" s="5"/>
      <c r="P817" s="5"/>
      <c r="Q817" s="5"/>
      <c r="R817" s="5"/>
      <c r="S817" s="5"/>
    </row>
    <row r="818" spans="4:19">
      <c r="D818" s="35"/>
      <c r="E818" s="35"/>
      <c r="F818" s="35"/>
      <c r="G818" s="35"/>
      <c r="H818" s="5"/>
      <c r="I818" s="5"/>
      <c r="J818" s="5"/>
      <c r="K818" s="35"/>
      <c r="L818" s="5"/>
      <c r="M818" s="5"/>
      <c r="N818" s="5"/>
      <c r="O818" s="5"/>
      <c r="P818" s="5"/>
      <c r="Q818" s="5"/>
      <c r="R818" s="5"/>
      <c r="S818" s="5"/>
    </row>
    <row r="819" spans="4:19">
      <c r="D819" s="35"/>
      <c r="E819" s="35"/>
      <c r="F819" s="35"/>
      <c r="G819" s="35"/>
      <c r="H819" s="5"/>
      <c r="I819" s="5"/>
      <c r="J819" s="5"/>
      <c r="K819" s="35"/>
      <c r="L819" s="5"/>
      <c r="M819" s="5"/>
      <c r="N819" s="5"/>
      <c r="O819" s="5"/>
      <c r="P819" s="5"/>
      <c r="Q819" s="5"/>
      <c r="R819" s="5"/>
      <c r="S819" s="5"/>
    </row>
    <row r="820" spans="4:19">
      <c r="D820" s="35"/>
      <c r="E820" s="35"/>
      <c r="F820" s="35"/>
      <c r="G820" s="35"/>
      <c r="H820" s="5"/>
      <c r="I820" s="5"/>
      <c r="J820" s="5"/>
      <c r="K820" s="35"/>
      <c r="L820" s="5"/>
      <c r="M820" s="5"/>
      <c r="N820" s="5"/>
      <c r="O820" s="5"/>
      <c r="P820" s="5"/>
      <c r="Q820" s="5"/>
      <c r="R820" s="5"/>
      <c r="S820" s="5"/>
    </row>
    <row r="821" spans="4:19">
      <c r="D821" s="35"/>
      <c r="E821" s="35"/>
      <c r="F821" s="35"/>
      <c r="G821" s="35"/>
      <c r="H821" s="5"/>
      <c r="I821" s="5"/>
      <c r="J821" s="5"/>
      <c r="K821" s="35"/>
      <c r="L821" s="5"/>
      <c r="M821" s="5"/>
      <c r="N821" s="5"/>
      <c r="O821" s="5"/>
      <c r="P821" s="5"/>
      <c r="Q821" s="5"/>
      <c r="R821" s="5"/>
      <c r="S821" s="5"/>
    </row>
    <row r="822" spans="4:19">
      <c r="D822" s="35"/>
      <c r="E822" s="35"/>
      <c r="F822" s="35"/>
      <c r="G822" s="35"/>
      <c r="H822" s="5"/>
      <c r="I822" s="5"/>
      <c r="J822" s="5"/>
      <c r="K822" s="35"/>
      <c r="L822" s="5"/>
      <c r="M822" s="5"/>
      <c r="N822" s="5"/>
      <c r="O822" s="5"/>
      <c r="P822" s="5"/>
      <c r="Q822" s="5"/>
      <c r="R822" s="5"/>
      <c r="S822" s="5"/>
    </row>
    <row r="823" spans="4:19">
      <c r="D823" s="35"/>
      <c r="E823" s="35"/>
      <c r="F823" s="35"/>
      <c r="G823" s="35"/>
      <c r="H823" s="5"/>
      <c r="I823" s="5"/>
      <c r="J823" s="5"/>
      <c r="K823" s="35"/>
      <c r="L823" s="5"/>
      <c r="M823" s="5"/>
      <c r="N823" s="5"/>
      <c r="O823" s="5"/>
      <c r="P823" s="5"/>
      <c r="Q823" s="5"/>
      <c r="R823" s="5"/>
      <c r="S823" s="5"/>
    </row>
    <row r="824" spans="4:19">
      <c r="D824" s="35"/>
      <c r="E824" s="35"/>
      <c r="F824" s="35"/>
      <c r="G824" s="35"/>
      <c r="H824" s="5"/>
      <c r="I824" s="5"/>
      <c r="J824" s="5"/>
      <c r="K824" s="35"/>
      <c r="L824" s="5"/>
      <c r="M824" s="5"/>
      <c r="N824" s="5"/>
      <c r="O824" s="5"/>
      <c r="P824" s="5"/>
      <c r="Q824" s="5"/>
      <c r="R824" s="5"/>
      <c r="S824" s="5"/>
    </row>
    <row r="825" spans="4:19">
      <c r="D825" s="35"/>
      <c r="E825" s="35"/>
      <c r="F825" s="35"/>
      <c r="G825" s="35"/>
      <c r="H825" s="5"/>
      <c r="I825" s="5"/>
      <c r="J825" s="5"/>
      <c r="K825" s="35"/>
      <c r="L825" s="5"/>
      <c r="M825" s="5"/>
      <c r="N825" s="5"/>
      <c r="O825" s="5"/>
      <c r="P825" s="5"/>
      <c r="Q825" s="5"/>
      <c r="R825" s="5"/>
      <c r="S825" s="5"/>
    </row>
    <row r="826" spans="4:19">
      <c r="D826" s="35"/>
      <c r="E826" s="35"/>
      <c r="F826" s="35"/>
      <c r="G826" s="35"/>
      <c r="H826" s="5"/>
      <c r="I826" s="5"/>
      <c r="J826" s="5"/>
      <c r="K826" s="35"/>
      <c r="L826" s="5"/>
      <c r="M826" s="5"/>
      <c r="N826" s="5"/>
      <c r="O826" s="5"/>
      <c r="P826" s="5"/>
      <c r="Q826" s="5"/>
      <c r="R826" s="5"/>
      <c r="S826" s="5"/>
    </row>
    <row r="827" spans="4:19">
      <c r="D827" s="35"/>
      <c r="E827" s="35"/>
      <c r="F827" s="35"/>
      <c r="G827" s="35"/>
      <c r="H827" s="5"/>
      <c r="I827" s="5"/>
      <c r="J827" s="5"/>
      <c r="K827" s="35"/>
      <c r="L827" s="5"/>
      <c r="M827" s="5"/>
      <c r="N827" s="5"/>
      <c r="O827" s="5"/>
      <c r="P827" s="5"/>
      <c r="Q827" s="5"/>
      <c r="R827" s="5"/>
      <c r="S827" s="5"/>
    </row>
    <row r="828" spans="4:19">
      <c r="D828" s="35"/>
      <c r="E828" s="35"/>
      <c r="F828" s="35"/>
      <c r="G828" s="35"/>
      <c r="H828" s="5"/>
      <c r="I828" s="5"/>
      <c r="J828" s="5"/>
      <c r="K828" s="35"/>
      <c r="L828" s="5"/>
      <c r="M828" s="5"/>
      <c r="N828" s="5"/>
      <c r="O828" s="5"/>
      <c r="P828" s="5"/>
      <c r="Q828" s="5"/>
      <c r="R828" s="5"/>
      <c r="S828" s="5"/>
    </row>
    <row r="829" spans="4:19">
      <c r="D829" s="35"/>
      <c r="E829" s="35"/>
      <c r="F829" s="35"/>
      <c r="G829" s="35"/>
      <c r="H829" s="5"/>
      <c r="I829" s="5"/>
      <c r="J829" s="5"/>
      <c r="K829" s="35"/>
      <c r="L829" s="5"/>
      <c r="M829" s="5"/>
      <c r="N829" s="5"/>
      <c r="O829" s="5"/>
      <c r="P829" s="5"/>
      <c r="Q829" s="5"/>
      <c r="R829" s="5"/>
      <c r="S829" s="5"/>
    </row>
    <row r="830" spans="4:19">
      <c r="D830" s="35"/>
      <c r="E830" s="35"/>
      <c r="F830" s="35"/>
      <c r="G830" s="35"/>
      <c r="H830" s="5"/>
      <c r="I830" s="5"/>
      <c r="J830" s="5"/>
      <c r="K830" s="35"/>
      <c r="L830" s="5"/>
      <c r="M830" s="5"/>
      <c r="N830" s="5"/>
      <c r="O830" s="5"/>
      <c r="P830" s="5"/>
      <c r="Q830" s="5"/>
      <c r="R830" s="5"/>
      <c r="S830" s="5"/>
    </row>
    <row r="831" spans="4:19">
      <c r="D831" s="35"/>
      <c r="E831" s="35"/>
      <c r="F831" s="35"/>
      <c r="G831" s="35"/>
      <c r="H831" s="5"/>
      <c r="I831" s="5"/>
      <c r="J831" s="5"/>
      <c r="K831" s="35"/>
      <c r="L831" s="5"/>
      <c r="M831" s="5"/>
      <c r="N831" s="5"/>
      <c r="O831" s="5"/>
      <c r="P831" s="5"/>
      <c r="Q831" s="5"/>
      <c r="R831" s="5"/>
      <c r="S831" s="5"/>
    </row>
    <row r="832" spans="4:19">
      <c r="D832" s="35"/>
      <c r="E832" s="35"/>
      <c r="F832" s="35"/>
      <c r="G832" s="35"/>
      <c r="H832" s="5"/>
      <c r="I832" s="5"/>
      <c r="J832" s="5"/>
      <c r="K832" s="35"/>
      <c r="L832" s="5"/>
      <c r="M832" s="5"/>
      <c r="N832" s="5"/>
      <c r="O832" s="5"/>
      <c r="P832" s="5"/>
      <c r="Q832" s="5"/>
      <c r="R832" s="5"/>
      <c r="S832" s="5"/>
    </row>
    <row r="833" spans="4:19">
      <c r="D833" s="35"/>
      <c r="E833" s="35"/>
      <c r="F833" s="35"/>
      <c r="G833" s="35"/>
      <c r="H833" s="5"/>
      <c r="I833" s="5"/>
      <c r="J833" s="5"/>
      <c r="K833" s="35"/>
      <c r="L833" s="5"/>
      <c r="M833" s="5"/>
      <c r="N833" s="5"/>
      <c r="O833" s="5"/>
      <c r="P833" s="5"/>
      <c r="Q833" s="5"/>
      <c r="R833" s="5"/>
      <c r="S833" s="5"/>
    </row>
    <row r="834" spans="4:19">
      <c r="D834" s="35"/>
      <c r="E834" s="35"/>
      <c r="F834" s="35"/>
      <c r="G834" s="35"/>
      <c r="H834" s="5"/>
      <c r="I834" s="5"/>
      <c r="J834" s="5"/>
      <c r="K834" s="35"/>
      <c r="L834" s="5"/>
      <c r="M834" s="5"/>
      <c r="N834" s="5"/>
      <c r="O834" s="5"/>
      <c r="P834" s="5"/>
      <c r="Q834" s="5"/>
      <c r="R834" s="5"/>
      <c r="S834" s="5"/>
    </row>
    <row r="835" spans="4:19">
      <c r="D835" s="35"/>
      <c r="E835" s="35"/>
      <c r="F835" s="35"/>
      <c r="G835" s="35"/>
      <c r="H835" s="5"/>
      <c r="I835" s="5"/>
      <c r="J835" s="5"/>
      <c r="K835" s="35"/>
      <c r="L835" s="5"/>
      <c r="M835" s="5"/>
      <c r="N835" s="5"/>
      <c r="O835" s="5"/>
      <c r="P835" s="5"/>
      <c r="Q835" s="5"/>
      <c r="R835" s="5"/>
      <c r="S835" s="5"/>
    </row>
    <row r="836" spans="4:19">
      <c r="D836" s="35"/>
      <c r="E836" s="35"/>
      <c r="F836" s="35"/>
      <c r="G836" s="35"/>
      <c r="H836" s="5"/>
      <c r="I836" s="5"/>
      <c r="J836" s="5"/>
      <c r="K836" s="35"/>
      <c r="L836" s="5"/>
      <c r="M836" s="5"/>
      <c r="N836" s="5"/>
      <c r="O836" s="5"/>
      <c r="P836" s="5"/>
      <c r="Q836" s="5"/>
      <c r="R836" s="5"/>
      <c r="S836" s="5"/>
    </row>
    <row r="837" spans="4:19">
      <c r="D837" s="35"/>
      <c r="E837" s="35"/>
      <c r="F837" s="35"/>
      <c r="G837" s="35"/>
      <c r="H837" s="5"/>
      <c r="I837" s="5"/>
      <c r="J837" s="5"/>
      <c r="K837" s="35"/>
      <c r="L837" s="5"/>
      <c r="M837" s="5"/>
      <c r="N837" s="5"/>
      <c r="O837" s="5"/>
      <c r="P837" s="5"/>
      <c r="Q837" s="5"/>
      <c r="R837" s="5"/>
      <c r="S837" s="5"/>
    </row>
    <row r="838" spans="4:19">
      <c r="D838" s="35"/>
      <c r="E838" s="35"/>
      <c r="F838" s="35"/>
      <c r="G838" s="35"/>
      <c r="H838" s="5"/>
      <c r="I838" s="5"/>
      <c r="J838" s="5"/>
      <c r="K838" s="35"/>
      <c r="L838" s="5"/>
      <c r="M838" s="5"/>
      <c r="N838" s="5"/>
      <c r="O838" s="5"/>
      <c r="P838" s="5"/>
      <c r="Q838" s="5"/>
      <c r="R838" s="5"/>
      <c r="S838" s="5"/>
    </row>
    <row r="839" spans="4:19">
      <c r="D839" s="35"/>
      <c r="E839" s="35"/>
      <c r="F839" s="35"/>
      <c r="G839" s="35"/>
      <c r="H839" s="5"/>
      <c r="I839" s="5"/>
      <c r="J839" s="5"/>
      <c r="K839" s="35"/>
      <c r="L839" s="5"/>
      <c r="M839" s="5"/>
      <c r="N839" s="5"/>
      <c r="O839" s="5"/>
      <c r="P839" s="5"/>
      <c r="Q839" s="5"/>
      <c r="R839" s="5"/>
      <c r="S839" s="5"/>
    </row>
    <row r="840" spans="4:19">
      <c r="D840" s="35"/>
      <c r="E840" s="35"/>
      <c r="F840" s="35"/>
      <c r="G840" s="35"/>
      <c r="H840" s="5"/>
      <c r="I840" s="5"/>
      <c r="J840" s="5"/>
      <c r="K840" s="35"/>
      <c r="L840" s="5"/>
      <c r="M840" s="5"/>
      <c r="N840" s="5"/>
      <c r="O840" s="5"/>
      <c r="P840" s="5"/>
      <c r="Q840" s="5"/>
      <c r="R840" s="5"/>
      <c r="S840" s="5"/>
    </row>
    <row r="841" spans="4:19">
      <c r="D841" s="35"/>
      <c r="E841" s="35"/>
      <c r="F841" s="35"/>
      <c r="G841" s="35"/>
      <c r="H841" s="5"/>
      <c r="I841" s="5"/>
      <c r="J841" s="5"/>
      <c r="K841" s="35"/>
      <c r="L841" s="5"/>
      <c r="M841" s="5"/>
      <c r="N841" s="5"/>
      <c r="O841" s="5"/>
      <c r="P841" s="5"/>
      <c r="Q841" s="5"/>
      <c r="R841" s="5"/>
      <c r="S841" s="5"/>
    </row>
    <row r="842" spans="4:19">
      <c r="D842" s="35"/>
      <c r="E842" s="35"/>
      <c r="F842" s="35"/>
      <c r="G842" s="35"/>
      <c r="H842" s="5"/>
      <c r="I842" s="5"/>
      <c r="J842" s="5"/>
      <c r="K842" s="35"/>
      <c r="L842" s="5"/>
      <c r="M842" s="5"/>
      <c r="N842" s="5"/>
      <c r="O842" s="5"/>
      <c r="P842" s="5"/>
      <c r="Q842" s="5"/>
      <c r="R842" s="5"/>
      <c r="S842" s="5"/>
    </row>
    <row r="843" spans="4:19">
      <c r="D843" s="35"/>
      <c r="E843" s="35"/>
      <c r="F843" s="35"/>
      <c r="G843" s="35"/>
      <c r="H843" s="5"/>
      <c r="I843" s="5"/>
      <c r="J843" s="5"/>
      <c r="K843" s="35"/>
      <c r="L843" s="5"/>
      <c r="M843" s="5"/>
      <c r="N843" s="5"/>
      <c r="O843" s="5"/>
      <c r="P843" s="5"/>
      <c r="Q843" s="5"/>
      <c r="R843" s="5"/>
      <c r="S843" s="5"/>
    </row>
    <row r="844" spans="4:19">
      <c r="D844" s="35"/>
      <c r="E844" s="35"/>
      <c r="F844" s="35"/>
      <c r="G844" s="35"/>
      <c r="H844" s="5"/>
      <c r="I844" s="5"/>
      <c r="J844" s="5"/>
      <c r="K844" s="35"/>
      <c r="L844" s="5"/>
      <c r="M844" s="5"/>
      <c r="N844" s="5"/>
      <c r="O844" s="5"/>
      <c r="P844" s="5"/>
      <c r="Q844" s="5"/>
      <c r="R844" s="5"/>
      <c r="S844" s="5"/>
    </row>
    <row r="845" spans="4:19">
      <c r="D845" s="35"/>
      <c r="E845" s="35"/>
      <c r="F845" s="35"/>
      <c r="G845" s="35"/>
      <c r="H845" s="5"/>
      <c r="I845" s="5"/>
      <c r="J845" s="5"/>
      <c r="K845" s="35"/>
      <c r="L845" s="5"/>
      <c r="M845" s="5"/>
      <c r="N845" s="5"/>
      <c r="O845" s="5"/>
      <c r="P845" s="5"/>
      <c r="Q845" s="5"/>
      <c r="R845" s="5"/>
      <c r="S845" s="5"/>
    </row>
    <row r="846" spans="4:19">
      <c r="D846" s="35"/>
      <c r="E846" s="35"/>
      <c r="F846" s="35"/>
      <c r="G846" s="35"/>
      <c r="H846" s="5"/>
      <c r="I846" s="5"/>
      <c r="J846" s="5"/>
      <c r="K846" s="35"/>
      <c r="L846" s="5"/>
      <c r="M846" s="5"/>
      <c r="N846" s="5"/>
      <c r="O846" s="5"/>
      <c r="P846" s="5"/>
      <c r="Q846" s="5"/>
      <c r="R846" s="5"/>
      <c r="S846" s="5"/>
    </row>
    <row r="847" spans="4:19">
      <c r="D847" s="35"/>
      <c r="E847" s="35"/>
      <c r="F847" s="35"/>
      <c r="G847" s="35"/>
      <c r="H847" s="5"/>
      <c r="I847" s="5"/>
      <c r="J847" s="5"/>
      <c r="K847" s="35"/>
      <c r="L847" s="5"/>
      <c r="M847" s="5"/>
      <c r="N847" s="5"/>
      <c r="O847" s="5"/>
      <c r="P847" s="5"/>
      <c r="Q847" s="5"/>
      <c r="R847" s="5"/>
      <c r="S847" s="5"/>
    </row>
    <row r="848" spans="4:19">
      <c r="D848" s="35"/>
      <c r="E848" s="35"/>
      <c r="F848" s="35"/>
      <c r="G848" s="35"/>
      <c r="H848" s="5"/>
      <c r="I848" s="5"/>
      <c r="J848" s="5"/>
      <c r="K848" s="35"/>
      <c r="L848" s="5"/>
      <c r="M848" s="5"/>
      <c r="N848" s="5"/>
      <c r="O848" s="5"/>
      <c r="P848" s="5"/>
      <c r="Q848" s="5"/>
      <c r="R848" s="5"/>
      <c r="S848" s="5"/>
    </row>
    <row r="849" spans="4:19">
      <c r="D849" s="35"/>
      <c r="E849" s="35"/>
      <c r="F849" s="35"/>
      <c r="G849" s="35"/>
      <c r="H849" s="5"/>
      <c r="I849" s="5"/>
      <c r="J849" s="5"/>
      <c r="K849" s="35"/>
      <c r="L849" s="5"/>
      <c r="M849" s="5"/>
      <c r="N849" s="5"/>
      <c r="O849" s="5"/>
      <c r="P849" s="5"/>
      <c r="Q849" s="5"/>
      <c r="R849" s="5"/>
      <c r="S849" s="5"/>
    </row>
    <row r="850" spans="4:19">
      <c r="D850" s="35"/>
      <c r="E850" s="35"/>
      <c r="F850" s="35"/>
      <c r="G850" s="35"/>
      <c r="H850" s="5"/>
      <c r="I850" s="5"/>
      <c r="J850" s="5"/>
      <c r="K850" s="35"/>
      <c r="L850" s="5"/>
      <c r="M850" s="5"/>
      <c r="N850" s="5"/>
      <c r="O850" s="5"/>
      <c r="P850" s="5"/>
      <c r="Q850" s="5"/>
      <c r="R850" s="5"/>
      <c r="S850" s="5"/>
    </row>
    <row r="851" spans="4:19">
      <c r="D851" s="35"/>
      <c r="E851" s="35"/>
      <c r="F851" s="35"/>
      <c r="G851" s="35"/>
      <c r="H851" s="5"/>
      <c r="I851" s="5"/>
      <c r="J851" s="5"/>
      <c r="K851" s="35"/>
      <c r="L851" s="5"/>
      <c r="M851" s="5"/>
      <c r="N851" s="5"/>
      <c r="O851" s="5"/>
      <c r="P851" s="5"/>
      <c r="Q851" s="5"/>
      <c r="R851" s="5"/>
      <c r="S851" s="5"/>
    </row>
    <row r="852" spans="4:19">
      <c r="D852" s="35"/>
      <c r="E852" s="35"/>
      <c r="F852" s="35"/>
      <c r="G852" s="35"/>
      <c r="H852" s="5"/>
      <c r="I852" s="5"/>
      <c r="J852" s="5"/>
      <c r="K852" s="35"/>
      <c r="L852" s="5"/>
      <c r="M852" s="5"/>
      <c r="N852" s="5"/>
      <c r="O852" s="5"/>
      <c r="P852" s="5"/>
      <c r="Q852" s="5"/>
      <c r="R852" s="5"/>
      <c r="S852" s="5"/>
    </row>
    <row r="853" spans="4:19">
      <c r="D853" s="35"/>
      <c r="E853" s="35"/>
      <c r="F853" s="35"/>
      <c r="G853" s="35"/>
      <c r="H853" s="5"/>
      <c r="I853" s="5"/>
      <c r="J853" s="5"/>
      <c r="K853" s="35"/>
      <c r="L853" s="5"/>
      <c r="M853" s="5"/>
      <c r="N853" s="5"/>
      <c r="O853" s="5"/>
      <c r="P853" s="5"/>
      <c r="Q853" s="5"/>
      <c r="R853" s="5"/>
      <c r="S853" s="5"/>
    </row>
    <row r="854" spans="4:19">
      <c r="D854" s="35"/>
      <c r="E854" s="35"/>
      <c r="F854" s="35"/>
      <c r="G854" s="35"/>
      <c r="H854" s="5"/>
      <c r="I854" s="5"/>
      <c r="J854" s="5"/>
      <c r="K854" s="35"/>
      <c r="L854" s="5"/>
      <c r="M854" s="5"/>
      <c r="N854" s="5"/>
      <c r="O854" s="5"/>
      <c r="P854" s="5"/>
      <c r="Q854" s="5"/>
      <c r="R854" s="5"/>
      <c r="S854" s="5"/>
    </row>
    <row r="855" spans="4:19">
      <c r="D855" s="35"/>
      <c r="E855" s="35"/>
      <c r="F855" s="35"/>
      <c r="G855" s="35"/>
      <c r="H855" s="5"/>
      <c r="I855" s="5"/>
      <c r="J855" s="5"/>
      <c r="K855" s="35"/>
      <c r="L855" s="5"/>
      <c r="M855" s="5"/>
      <c r="N855" s="5"/>
      <c r="O855" s="5"/>
      <c r="P855" s="5"/>
      <c r="Q855" s="5"/>
      <c r="R855" s="5"/>
      <c r="S855" s="5"/>
    </row>
    <row r="856" spans="4:19">
      <c r="D856" s="35"/>
      <c r="E856" s="35"/>
      <c r="F856" s="35"/>
      <c r="G856" s="35"/>
      <c r="H856" s="5"/>
      <c r="I856" s="5"/>
      <c r="J856" s="5"/>
      <c r="K856" s="35"/>
      <c r="L856" s="5"/>
      <c r="M856" s="5"/>
      <c r="N856" s="5"/>
      <c r="O856" s="5"/>
      <c r="P856" s="5"/>
      <c r="Q856" s="5"/>
      <c r="R856" s="5"/>
      <c r="S856" s="5"/>
    </row>
    <row r="857" spans="4:19">
      <c r="D857" s="35"/>
      <c r="E857" s="35"/>
      <c r="F857" s="35"/>
      <c r="G857" s="35"/>
      <c r="H857" s="5"/>
      <c r="I857" s="5"/>
      <c r="J857" s="5"/>
      <c r="K857" s="35"/>
      <c r="L857" s="5"/>
      <c r="M857" s="5"/>
      <c r="N857" s="5"/>
      <c r="O857" s="5"/>
      <c r="P857" s="5"/>
      <c r="Q857" s="5"/>
      <c r="R857" s="5"/>
      <c r="S857" s="5"/>
    </row>
    <row r="858" spans="4:19">
      <c r="D858" s="35"/>
      <c r="E858" s="35"/>
      <c r="F858" s="35"/>
      <c r="G858" s="35"/>
      <c r="H858" s="5"/>
      <c r="I858" s="5"/>
      <c r="J858" s="5"/>
      <c r="K858" s="35"/>
      <c r="L858" s="5"/>
      <c r="M858" s="5"/>
      <c r="N858" s="5"/>
      <c r="O858" s="5"/>
      <c r="P858" s="5"/>
      <c r="Q858" s="5"/>
      <c r="R858" s="5"/>
      <c r="S858" s="5"/>
    </row>
    <row r="859" spans="4:19">
      <c r="D859" s="35"/>
      <c r="E859" s="35"/>
      <c r="F859" s="35"/>
      <c r="G859" s="35"/>
      <c r="H859" s="5"/>
      <c r="I859" s="5"/>
      <c r="J859" s="5"/>
      <c r="K859" s="35"/>
      <c r="L859" s="5"/>
      <c r="M859" s="5"/>
      <c r="N859" s="5"/>
      <c r="O859" s="5"/>
      <c r="P859" s="5"/>
      <c r="Q859" s="5"/>
      <c r="R859" s="5"/>
      <c r="S859" s="5"/>
    </row>
    <row r="860" spans="4:19">
      <c r="D860" s="35"/>
      <c r="E860" s="35"/>
      <c r="F860" s="35"/>
      <c r="G860" s="35"/>
      <c r="H860" s="5"/>
      <c r="I860" s="5"/>
      <c r="J860" s="5"/>
      <c r="K860" s="35"/>
      <c r="L860" s="5"/>
      <c r="M860" s="5"/>
      <c r="N860" s="5"/>
      <c r="O860" s="5"/>
      <c r="P860" s="5"/>
      <c r="Q860" s="5"/>
      <c r="R860" s="5"/>
      <c r="S860" s="5"/>
    </row>
    <row r="861" spans="4:19">
      <c r="D861" s="35"/>
      <c r="E861" s="35"/>
      <c r="F861" s="35"/>
      <c r="G861" s="35"/>
      <c r="H861" s="5"/>
      <c r="I861" s="5"/>
      <c r="J861" s="5"/>
      <c r="K861" s="35"/>
      <c r="L861" s="5"/>
      <c r="M861" s="5"/>
      <c r="N861" s="5"/>
      <c r="O861" s="5"/>
      <c r="P861" s="5"/>
      <c r="Q861" s="5"/>
      <c r="R861" s="5"/>
      <c r="S861" s="5"/>
    </row>
    <row r="862" spans="4:19">
      <c r="D862" s="35"/>
      <c r="E862" s="35"/>
      <c r="F862" s="35"/>
      <c r="G862" s="35"/>
      <c r="H862" s="5"/>
      <c r="I862" s="5"/>
      <c r="J862" s="5"/>
      <c r="K862" s="35"/>
      <c r="L862" s="5"/>
      <c r="M862" s="5"/>
      <c r="N862" s="5"/>
      <c r="O862" s="5"/>
      <c r="P862" s="5"/>
      <c r="Q862" s="5"/>
      <c r="R862" s="5"/>
      <c r="S862" s="5"/>
    </row>
    <row r="863" spans="4:19">
      <c r="D863" s="35"/>
      <c r="E863" s="35"/>
      <c r="F863" s="35"/>
      <c r="G863" s="35"/>
      <c r="H863" s="5"/>
      <c r="I863" s="5"/>
      <c r="J863" s="5"/>
      <c r="K863" s="35"/>
      <c r="L863" s="5"/>
      <c r="M863" s="5"/>
      <c r="N863" s="5"/>
      <c r="O863" s="5"/>
      <c r="P863" s="5"/>
      <c r="Q863" s="5"/>
      <c r="R863" s="5"/>
      <c r="S863" s="5"/>
    </row>
    <row r="864" spans="4:19">
      <c r="D864" s="35"/>
      <c r="E864" s="35"/>
      <c r="F864" s="35"/>
      <c r="G864" s="35"/>
      <c r="H864" s="5"/>
      <c r="I864" s="5"/>
      <c r="J864" s="5"/>
      <c r="K864" s="35"/>
      <c r="L864" s="5"/>
      <c r="M864" s="5"/>
      <c r="N864" s="5"/>
      <c r="O864" s="5"/>
      <c r="P864" s="5"/>
      <c r="Q864" s="5"/>
      <c r="R864" s="5"/>
      <c r="S864" s="5"/>
    </row>
    <row r="865" spans="4:19">
      <c r="D865" s="35"/>
      <c r="E865" s="35"/>
      <c r="F865" s="35"/>
      <c r="G865" s="35"/>
      <c r="H865" s="5"/>
      <c r="I865" s="5"/>
      <c r="J865" s="5"/>
      <c r="K865" s="35"/>
      <c r="L865" s="5"/>
      <c r="M865" s="5"/>
      <c r="N865" s="5"/>
      <c r="O865" s="5"/>
      <c r="P865" s="5"/>
      <c r="Q865" s="5"/>
      <c r="R865" s="5"/>
      <c r="S865" s="5"/>
    </row>
    <row r="866" spans="4:19">
      <c r="D866" s="35"/>
      <c r="E866" s="35"/>
      <c r="F866" s="35"/>
      <c r="G866" s="35"/>
      <c r="H866" s="5"/>
      <c r="I866" s="5"/>
      <c r="J866" s="5"/>
      <c r="K866" s="35"/>
      <c r="L866" s="5"/>
      <c r="M866" s="5"/>
      <c r="N866" s="5"/>
      <c r="O866" s="5"/>
      <c r="P866" s="5"/>
      <c r="Q866" s="5"/>
      <c r="R866" s="5"/>
      <c r="S866" s="5"/>
    </row>
    <row r="867" spans="4:19">
      <c r="D867" s="35"/>
      <c r="E867" s="35"/>
      <c r="F867" s="35"/>
      <c r="G867" s="35"/>
      <c r="H867" s="5"/>
      <c r="I867" s="5"/>
      <c r="J867" s="5"/>
      <c r="K867" s="35"/>
      <c r="L867" s="5"/>
      <c r="M867" s="5"/>
      <c r="N867" s="5"/>
      <c r="O867" s="5"/>
      <c r="P867" s="5"/>
      <c r="Q867" s="5"/>
      <c r="R867" s="5"/>
      <c r="S867" s="5"/>
    </row>
    <row r="868" spans="4:19">
      <c r="D868" s="35"/>
      <c r="E868" s="35"/>
      <c r="F868" s="35"/>
      <c r="G868" s="35"/>
      <c r="H868" s="5"/>
      <c r="I868" s="5"/>
      <c r="J868" s="5"/>
      <c r="K868" s="35"/>
      <c r="L868" s="5"/>
      <c r="M868" s="5"/>
      <c r="N868" s="5"/>
      <c r="O868" s="5"/>
      <c r="P868" s="5"/>
      <c r="Q868" s="5"/>
      <c r="R868" s="5"/>
      <c r="S868" s="5"/>
    </row>
    <row r="869" spans="4:19">
      <c r="D869" s="35"/>
      <c r="E869" s="35"/>
      <c r="F869" s="35"/>
      <c r="G869" s="35"/>
      <c r="H869" s="5"/>
      <c r="I869" s="5"/>
      <c r="J869" s="5"/>
      <c r="K869" s="35"/>
      <c r="L869" s="5"/>
      <c r="M869" s="5"/>
      <c r="N869" s="5"/>
      <c r="O869" s="5"/>
      <c r="P869" s="5"/>
      <c r="Q869" s="5"/>
      <c r="R869" s="5"/>
      <c r="S869" s="5"/>
    </row>
    <row r="870" spans="4:19">
      <c r="D870" s="35"/>
      <c r="E870" s="35"/>
      <c r="F870" s="35"/>
      <c r="G870" s="35"/>
      <c r="H870" s="5"/>
      <c r="I870" s="5"/>
      <c r="J870" s="5"/>
      <c r="K870" s="35"/>
      <c r="L870" s="5"/>
      <c r="M870" s="5"/>
      <c r="N870" s="5"/>
      <c r="O870" s="5"/>
      <c r="P870" s="5"/>
      <c r="Q870" s="5"/>
      <c r="R870" s="5"/>
      <c r="S870" s="5"/>
    </row>
    <row r="871" spans="4:19">
      <c r="D871" s="35"/>
      <c r="E871" s="35"/>
      <c r="F871" s="35"/>
      <c r="G871" s="35"/>
      <c r="H871" s="5"/>
      <c r="I871" s="5"/>
      <c r="J871" s="5"/>
      <c r="K871" s="35"/>
      <c r="L871" s="5"/>
      <c r="M871" s="5"/>
      <c r="N871" s="5"/>
      <c r="O871" s="5"/>
      <c r="P871" s="5"/>
      <c r="Q871" s="5"/>
      <c r="R871" s="5"/>
      <c r="S871" s="5"/>
    </row>
    <row r="872" spans="4:19">
      <c r="D872" s="35"/>
      <c r="E872" s="35"/>
      <c r="F872" s="35"/>
      <c r="G872" s="35"/>
      <c r="H872" s="5"/>
      <c r="I872" s="5"/>
      <c r="J872" s="5"/>
      <c r="K872" s="35"/>
      <c r="L872" s="5"/>
      <c r="M872" s="5"/>
      <c r="N872" s="5"/>
      <c r="O872" s="5"/>
      <c r="P872" s="5"/>
      <c r="Q872" s="5"/>
      <c r="R872" s="5"/>
      <c r="S872" s="5"/>
    </row>
    <row r="873" spans="4:19">
      <c r="D873" s="35"/>
      <c r="E873" s="35"/>
      <c r="F873" s="35"/>
      <c r="G873" s="35"/>
      <c r="H873" s="5"/>
      <c r="I873" s="5"/>
      <c r="J873" s="5"/>
      <c r="K873" s="35"/>
      <c r="L873" s="5"/>
      <c r="M873" s="5"/>
      <c r="N873" s="5"/>
      <c r="O873" s="5"/>
      <c r="P873" s="5"/>
      <c r="Q873" s="5"/>
      <c r="R873" s="5"/>
      <c r="S873" s="5"/>
    </row>
    <row r="874" spans="4:19">
      <c r="D874" s="35"/>
      <c r="E874" s="35"/>
      <c r="F874" s="35"/>
      <c r="G874" s="35"/>
      <c r="H874" s="5"/>
      <c r="I874" s="5"/>
      <c r="J874" s="5"/>
      <c r="K874" s="35"/>
      <c r="L874" s="5"/>
      <c r="M874" s="5"/>
      <c r="N874" s="5"/>
      <c r="O874" s="5"/>
      <c r="P874" s="5"/>
      <c r="Q874" s="5"/>
      <c r="R874" s="5"/>
      <c r="S874" s="5"/>
    </row>
    <row r="875" spans="4:19">
      <c r="D875" s="35"/>
      <c r="E875" s="35"/>
      <c r="F875" s="35"/>
      <c r="G875" s="35"/>
      <c r="H875" s="5"/>
      <c r="I875" s="5"/>
      <c r="J875" s="5"/>
      <c r="K875" s="35"/>
      <c r="L875" s="5"/>
      <c r="M875" s="5"/>
      <c r="N875" s="5"/>
      <c r="O875" s="5"/>
      <c r="P875" s="5"/>
      <c r="Q875" s="5"/>
      <c r="R875" s="5"/>
      <c r="S875" s="5"/>
    </row>
    <row r="876" spans="4:19">
      <c r="D876" s="35"/>
      <c r="E876" s="35"/>
      <c r="F876" s="35"/>
      <c r="G876" s="35"/>
      <c r="H876" s="5"/>
      <c r="I876" s="5"/>
      <c r="J876" s="5"/>
      <c r="K876" s="35"/>
      <c r="L876" s="5"/>
      <c r="M876" s="5"/>
      <c r="N876" s="5"/>
      <c r="O876" s="5"/>
      <c r="P876" s="5"/>
      <c r="Q876" s="5"/>
      <c r="R876" s="5"/>
      <c r="S876" s="5"/>
    </row>
    <row r="877" spans="4:19">
      <c r="D877" s="35"/>
      <c r="E877" s="35"/>
      <c r="F877" s="35"/>
      <c r="G877" s="35"/>
      <c r="H877" s="5"/>
      <c r="I877" s="5"/>
      <c r="J877" s="5"/>
      <c r="K877" s="35"/>
      <c r="L877" s="5"/>
      <c r="M877" s="5"/>
      <c r="N877" s="5"/>
      <c r="O877" s="5"/>
      <c r="P877" s="5"/>
      <c r="Q877" s="5"/>
      <c r="R877" s="5"/>
      <c r="S877" s="5"/>
    </row>
    <row r="878" spans="4:19">
      <c r="D878" s="35"/>
      <c r="E878" s="35"/>
      <c r="F878" s="35"/>
      <c r="G878" s="35"/>
      <c r="H878" s="5"/>
      <c r="I878" s="5"/>
      <c r="J878" s="5"/>
      <c r="K878" s="35"/>
      <c r="L878" s="5"/>
      <c r="M878" s="5"/>
      <c r="N878" s="5"/>
      <c r="O878" s="5"/>
      <c r="P878" s="5"/>
      <c r="Q878" s="5"/>
      <c r="R878" s="5"/>
      <c r="S878" s="5"/>
    </row>
    <row r="879" spans="4:19">
      <c r="D879" s="35"/>
      <c r="E879" s="35"/>
      <c r="F879" s="35"/>
      <c r="G879" s="35"/>
      <c r="H879" s="5"/>
      <c r="I879" s="5"/>
      <c r="J879" s="5"/>
      <c r="K879" s="35"/>
      <c r="L879" s="5"/>
      <c r="M879" s="5"/>
      <c r="N879" s="5"/>
      <c r="O879" s="5"/>
      <c r="P879" s="5"/>
      <c r="Q879" s="5"/>
      <c r="R879" s="5"/>
      <c r="S879" s="5"/>
    </row>
    <row r="880" spans="4:19">
      <c r="D880" s="35"/>
      <c r="E880" s="35"/>
      <c r="F880" s="35"/>
      <c r="G880" s="35"/>
      <c r="H880" s="5"/>
      <c r="I880" s="5"/>
      <c r="J880" s="5"/>
      <c r="K880" s="35"/>
      <c r="L880" s="5"/>
      <c r="M880" s="5"/>
      <c r="N880" s="5"/>
      <c r="O880" s="5"/>
      <c r="P880" s="5"/>
      <c r="Q880" s="5"/>
      <c r="R880" s="5"/>
      <c r="S880" s="5"/>
    </row>
    <row r="881" spans="4:19">
      <c r="D881" s="35"/>
      <c r="E881" s="35"/>
      <c r="F881" s="35"/>
      <c r="G881" s="35"/>
      <c r="H881" s="5"/>
      <c r="I881" s="5"/>
      <c r="J881" s="5"/>
      <c r="K881" s="35"/>
      <c r="L881" s="5"/>
      <c r="M881" s="5"/>
      <c r="N881" s="5"/>
      <c r="O881" s="5"/>
      <c r="P881" s="5"/>
      <c r="Q881" s="5"/>
      <c r="R881" s="5"/>
      <c r="S881" s="5"/>
    </row>
    <row r="882" spans="4:19">
      <c r="D882" s="35"/>
      <c r="E882" s="35"/>
      <c r="F882" s="35"/>
      <c r="G882" s="35"/>
      <c r="H882" s="5"/>
      <c r="I882" s="5"/>
      <c r="J882" s="5"/>
      <c r="K882" s="35"/>
      <c r="L882" s="5"/>
      <c r="M882" s="5"/>
      <c r="N882" s="5"/>
      <c r="O882" s="5"/>
      <c r="P882" s="5"/>
      <c r="Q882" s="5"/>
      <c r="R882" s="5"/>
      <c r="S882" s="5"/>
    </row>
    <row r="883" spans="4:19">
      <c r="D883" s="35"/>
      <c r="E883" s="35"/>
      <c r="F883" s="35"/>
      <c r="G883" s="35"/>
      <c r="H883" s="5"/>
      <c r="I883" s="5"/>
      <c r="J883" s="5"/>
      <c r="K883" s="35"/>
      <c r="L883" s="5"/>
      <c r="M883" s="5"/>
      <c r="N883" s="5"/>
      <c r="O883" s="5"/>
      <c r="P883" s="5"/>
      <c r="Q883" s="5"/>
      <c r="R883" s="5"/>
      <c r="S883" s="5"/>
    </row>
    <row r="884" spans="4:19">
      <c r="D884" s="35"/>
      <c r="E884" s="35"/>
      <c r="F884" s="35"/>
      <c r="G884" s="35"/>
      <c r="H884" s="5"/>
      <c r="I884" s="5"/>
      <c r="J884" s="5"/>
      <c r="K884" s="35"/>
      <c r="L884" s="5"/>
      <c r="M884" s="5"/>
      <c r="N884" s="5"/>
      <c r="O884" s="5"/>
      <c r="P884" s="5"/>
      <c r="Q884" s="5"/>
      <c r="R884" s="5"/>
      <c r="S884" s="5"/>
    </row>
    <row r="885" spans="4:19">
      <c r="D885" s="35"/>
      <c r="E885" s="35"/>
      <c r="F885" s="35"/>
      <c r="G885" s="35"/>
      <c r="H885" s="5"/>
      <c r="I885" s="5"/>
      <c r="J885" s="5"/>
      <c r="K885" s="35"/>
      <c r="L885" s="5"/>
      <c r="M885" s="5"/>
      <c r="N885" s="5"/>
      <c r="O885" s="5"/>
      <c r="P885" s="5"/>
      <c r="Q885" s="5"/>
      <c r="R885" s="5"/>
      <c r="S885" s="5"/>
    </row>
    <row r="886" spans="4:19">
      <c r="D886" s="35"/>
      <c r="E886" s="35"/>
      <c r="F886" s="35"/>
      <c r="G886" s="35"/>
      <c r="H886" s="5"/>
      <c r="I886" s="5"/>
      <c r="J886" s="5"/>
      <c r="K886" s="35"/>
      <c r="L886" s="5"/>
      <c r="M886" s="5"/>
      <c r="N886" s="5"/>
      <c r="O886" s="5"/>
      <c r="P886" s="5"/>
      <c r="Q886" s="5"/>
      <c r="R886" s="5"/>
      <c r="S886" s="5"/>
    </row>
    <row r="887" spans="4:19">
      <c r="D887" s="35"/>
      <c r="E887" s="35"/>
      <c r="F887" s="35"/>
      <c r="G887" s="35"/>
      <c r="H887" s="5"/>
      <c r="I887" s="5"/>
      <c r="J887" s="5"/>
      <c r="K887" s="35"/>
      <c r="L887" s="5"/>
      <c r="M887" s="5"/>
      <c r="N887" s="5"/>
      <c r="O887" s="5"/>
      <c r="P887" s="5"/>
      <c r="Q887" s="5"/>
      <c r="R887" s="5"/>
      <c r="S887" s="5"/>
    </row>
    <row r="888" spans="4:19">
      <c r="D888" s="35"/>
      <c r="E888" s="35"/>
      <c r="F888" s="35"/>
      <c r="G888" s="35"/>
      <c r="H888" s="5"/>
      <c r="I888" s="5"/>
      <c r="J888" s="5"/>
      <c r="K888" s="35"/>
      <c r="L888" s="5"/>
      <c r="M888" s="5"/>
      <c r="N888" s="5"/>
      <c r="O888" s="5"/>
      <c r="P888" s="5"/>
      <c r="Q888" s="5"/>
      <c r="R888" s="5"/>
      <c r="S888" s="5"/>
    </row>
    <row r="889" spans="4:19">
      <c r="D889" s="35"/>
      <c r="E889" s="35"/>
      <c r="F889" s="35"/>
      <c r="G889" s="35"/>
      <c r="H889" s="5"/>
      <c r="I889" s="5"/>
      <c r="J889" s="5"/>
      <c r="K889" s="35"/>
      <c r="L889" s="5"/>
      <c r="M889" s="5"/>
      <c r="N889" s="5"/>
      <c r="O889" s="5"/>
      <c r="P889" s="5"/>
      <c r="Q889" s="5"/>
      <c r="R889" s="5"/>
      <c r="S889" s="5"/>
    </row>
    <row r="890" spans="4:19">
      <c r="D890" s="35"/>
      <c r="E890" s="35"/>
      <c r="F890" s="35"/>
      <c r="G890" s="35"/>
      <c r="H890" s="5"/>
      <c r="I890" s="5"/>
      <c r="J890" s="5"/>
      <c r="K890" s="35"/>
      <c r="L890" s="5"/>
      <c r="M890" s="5"/>
      <c r="N890" s="5"/>
      <c r="O890" s="5"/>
      <c r="P890" s="5"/>
      <c r="Q890" s="5"/>
      <c r="R890" s="5"/>
      <c r="S890" s="5"/>
    </row>
    <row r="891" spans="4:19">
      <c r="D891" s="35"/>
      <c r="E891" s="35"/>
      <c r="F891" s="35"/>
      <c r="G891" s="35"/>
      <c r="H891" s="5"/>
      <c r="I891" s="5"/>
      <c r="J891" s="5"/>
      <c r="K891" s="35"/>
      <c r="L891" s="5"/>
      <c r="M891" s="5"/>
      <c r="N891" s="5"/>
      <c r="O891" s="5"/>
      <c r="P891" s="5"/>
      <c r="Q891" s="5"/>
      <c r="R891" s="5"/>
      <c r="S891" s="5"/>
    </row>
    <row r="892" spans="4:19">
      <c r="D892" s="35"/>
      <c r="E892" s="35"/>
      <c r="F892" s="35"/>
      <c r="G892" s="35"/>
      <c r="H892" s="5"/>
      <c r="I892" s="5"/>
      <c r="J892" s="5"/>
      <c r="K892" s="35"/>
      <c r="L892" s="5"/>
      <c r="M892" s="5"/>
      <c r="N892" s="5"/>
      <c r="O892" s="5"/>
      <c r="P892" s="5"/>
      <c r="Q892" s="5"/>
      <c r="R892" s="5"/>
      <c r="S892" s="5"/>
    </row>
    <row r="893" spans="4:19">
      <c r="D893" s="35"/>
      <c r="E893" s="35"/>
      <c r="F893" s="35"/>
      <c r="G893" s="35"/>
      <c r="H893" s="5"/>
      <c r="I893" s="5"/>
      <c r="J893" s="5"/>
      <c r="K893" s="35"/>
      <c r="L893" s="5"/>
      <c r="M893" s="5"/>
      <c r="N893" s="5"/>
      <c r="O893" s="5"/>
      <c r="P893" s="5"/>
      <c r="Q893" s="5"/>
      <c r="R893" s="5"/>
      <c r="S893" s="5"/>
    </row>
    <row r="894" spans="4:19">
      <c r="D894" s="35"/>
      <c r="E894" s="35"/>
      <c r="F894" s="35"/>
      <c r="G894" s="35"/>
      <c r="H894" s="5"/>
      <c r="I894" s="5"/>
      <c r="J894" s="5"/>
      <c r="K894" s="35"/>
      <c r="L894" s="5"/>
      <c r="M894" s="5"/>
      <c r="N894" s="5"/>
      <c r="O894" s="5"/>
      <c r="P894" s="5"/>
      <c r="Q894" s="5"/>
      <c r="R894" s="5"/>
      <c r="S894" s="5"/>
    </row>
    <row r="895" spans="4:19">
      <c r="D895" s="35"/>
      <c r="E895" s="35"/>
      <c r="F895" s="35"/>
      <c r="G895" s="35"/>
      <c r="H895" s="5"/>
      <c r="I895" s="5"/>
      <c r="J895" s="5"/>
      <c r="K895" s="35"/>
      <c r="L895" s="5"/>
      <c r="M895" s="5"/>
      <c r="N895" s="5"/>
      <c r="O895" s="5"/>
      <c r="P895" s="5"/>
      <c r="Q895" s="5"/>
      <c r="R895" s="5"/>
      <c r="S895" s="5"/>
    </row>
    <row r="896" spans="4:19">
      <c r="D896" s="35"/>
      <c r="E896" s="35"/>
      <c r="F896" s="35"/>
      <c r="G896" s="35"/>
      <c r="H896" s="5"/>
      <c r="I896" s="5"/>
      <c r="J896" s="5"/>
      <c r="K896" s="35"/>
      <c r="L896" s="5"/>
      <c r="M896" s="5"/>
      <c r="N896" s="5"/>
      <c r="O896" s="5"/>
      <c r="P896" s="5"/>
      <c r="Q896" s="5"/>
      <c r="R896" s="5"/>
      <c r="S896" s="5"/>
    </row>
    <row r="897" spans="4:19">
      <c r="D897" s="35"/>
      <c r="E897" s="35"/>
      <c r="F897" s="35"/>
      <c r="G897" s="35"/>
      <c r="H897" s="5"/>
      <c r="I897" s="5"/>
      <c r="J897" s="5"/>
      <c r="K897" s="35"/>
      <c r="L897" s="5"/>
      <c r="M897" s="5"/>
      <c r="N897" s="5"/>
      <c r="O897" s="5"/>
      <c r="P897" s="5"/>
      <c r="Q897" s="5"/>
      <c r="R897" s="5"/>
      <c r="S897" s="5"/>
    </row>
    <row r="898" spans="4:19">
      <c r="D898" s="35"/>
      <c r="E898" s="35"/>
      <c r="F898" s="35"/>
      <c r="G898" s="35"/>
      <c r="H898" s="5"/>
      <c r="I898" s="5"/>
      <c r="J898" s="5"/>
      <c r="K898" s="35"/>
      <c r="L898" s="5"/>
      <c r="M898" s="5"/>
      <c r="N898" s="5"/>
      <c r="O898" s="5"/>
      <c r="P898" s="5"/>
      <c r="Q898" s="5"/>
      <c r="R898" s="5"/>
      <c r="S898" s="5"/>
    </row>
    <row r="899" spans="4:19">
      <c r="D899" s="35"/>
      <c r="E899" s="35"/>
      <c r="F899" s="35"/>
      <c r="G899" s="35"/>
      <c r="H899" s="5"/>
      <c r="I899" s="5"/>
      <c r="J899" s="5"/>
      <c r="K899" s="35"/>
      <c r="L899" s="5"/>
      <c r="M899" s="5"/>
      <c r="N899" s="5"/>
      <c r="O899" s="5"/>
      <c r="P899" s="5"/>
      <c r="Q899" s="5"/>
      <c r="R899" s="5"/>
      <c r="S899" s="5"/>
    </row>
    <row r="900" spans="4:19">
      <c r="D900" s="35"/>
      <c r="E900" s="35"/>
      <c r="F900" s="35"/>
      <c r="G900" s="35"/>
      <c r="H900" s="5"/>
      <c r="I900" s="5"/>
      <c r="J900" s="5"/>
      <c r="K900" s="35"/>
      <c r="L900" s="5"/>
      <c r="M900" s="5"/>
      <c r="N900" s="5"/>
      <c r="O900" s="5"/>
      <c r="P900" s="5"/>
      <c r="Q900" s="5"/>
      <c r="R900" s="5"/>
      <c r="S900" s="5"/>
    </row>
    <row r="901" spans="4:19">
      <c r="D901" s="35"/>
      <c r="E901" s="35"/>
      <c r="F901" s="35"/>
      <c r="G901" s="35"/>
      <c r="H901" s="5"/>
      <c r="I901" s="5"/>
      <c r="J901" s="5"/>
      <c r="K901" s="35"/>
      <c r="L901" s="5"/>
      <c r="M901" s="5"/>
      <c r="N901" s="5"/>
      <c r="O901" s="5"/>
      <c r="P901" s="5"/>
      <c r="Q901" s="5"/>
      <c r="R901" s="5"/>
      <c r="S901" s="5"/>
    </row>
    <row r="902" spans="4:19">
      <c r="D902" s="35"/>
      <c r="E902" s="35"/>
      <c r="F902" s="35"/>
      <c r="G902" s="35"/>
      <c r="H902" s="5"/>
      <c r="I902" s="5"/>
      <c r="J902" s="5"/>
      <c r="K902" s="35"/>
      <c r="L902" s="5"/>
      <c r="M902" s="5"/>
      <c r="N902" s="5"/>
      <c r="O902" s="5"/>
      <c r="P902" s="5"/>
      <c r="Q902" s="5"/>
      <c r="R902" s="5"/>
      <c r="S902" s="5"/>
    </row>
    <row r="903" spans="4:19">
      <c r="D903" s="35"/>
      <c r="E903" s="35"/>
      <c r="F903" s="35"/>
      <c r="G903" s="35"/>
      <c r="H903" s="5"/>
      <c r="I903" s="5"/>
      <c r="J903" s="5"/>
      <c r="K903" s="35"/>
      <c r="L903" s="5"/>
      <c r="M903" s="5"/>
      <c r="N903" s="5"/>
      <c r="O903" s="5"/>
      <c r="P903" s="5"/>
      <c r="Q903" s="5"/>
      <c r="R903" s="5"/>
      <c r="S903" s="5"/>
    </row>
    <row r="904" spans="4:19">
      <c r="D904" s="35"/>
      <c r="E904" s="35"/>
      <c r="F904" s="35"/>
      <c r="G904" s="35"/>
      <c r="H904" s="5"/>
      <c r="I904" s="5"/>
      <c r="J904" s="5"/>
      <c r="K904" s="35"/>
      <c r="L904" s="5"/>
      <c r="M904" s="5"/>
      <c r="N904" s="5"/>
      <c r="O904" s="5"/>
      <c r="P904" s="5"/>
      <c r="Q904" s="5"/>
      <c r="R904" s="5"/>
      <c r="S904" s="5"/>
    </row>
    <row r="905" spans="4:19">
      <c r="D905" s="35"/>
      <c r="E905" s="35"/>
      <c r="F905" s="35"/>
      <c r="G905" s="35"/>
      <c r="H905" s="5"/>
      <c r="I905" s="5"/>
      <c r="J905" s="5"/>
      <c r="K905" s="35"/>
      <c r="L905" s="5"/>
      <c r="M905" s="5"/>
      <c r="N905" s="5"/>
      <c r="O905" s="5"/>
      <c r="P905" s="5"/>
      <c r="Q905" s="5"/>
      <c r="R905" s="5"/>
      <c r="S905" s="5"/>
    </row>
    <row r="906" spans="4:19">
      <c r="D906" s="35"/>
      <c r="E906" s="35"/>
      <c r="F906" s="35"/>
      <c r="G906" s="35"/>
      <c r="H906" s="5"/>
      <c r="I906" s="5"/>
      <c r="J906" s="5"/>
      <c r="K906" s="35"/>
      <c r="L906" s="5"/>
      <c r="M906" s="5"/>
      <c r="N906" s="5"/>
      <c r="O906" s="5"/>
      <c r="P906" s="5"/>
      <c r="Q906" s="5"/>
      <c r="R906" s="5"/>
      <c r="S906" s="5"/>
    </row>
    <row r="907" spans="4:19">
      <c r="D907" s="35"/>
      <c r="E907" s="35"/>
      <c r="F907" s="35"/>
      <c r="G907" s="35"/>
      <c r="H907" s="5"/>
      <c r="I907" s="5"/>
      <c r="J907" s="5"/>
      <c r="K907" s="35"/>
      <c r="L907" s="5"/>
      <c r="M907" s="5"/>
      <c r="N907" s="5"/>
      <c r="O907" s="5"/>
      <c r="P907" s="5"/>
      <c r="Q907" s="5"/>
      <c r="R907" s="5"/>
      <c r="S907" s="5"/>
    </row>
    <row r="908" spans="4:19">
      <c r="D908" s="35"/>
      <c r="E908" s="35"/>
      <c r="F908" s="35"/>
      <c r="G908" s="35"/>
      <c r="H908" s="5"/>
      <c r="I908" s="5"/>
      <c r="J908" s="5"/>
      <c r="K908" s="35"/>
      <c r="L908" s="5"/>
      <c r="M908" s="5"/>
      <c r="N908" s="5"/>
      <c r="O908" s="5"/>
      <c r="P908" s="5"/>
      <c r="Q908" s="5"/>
      <c r="R908" s="5"/>
      <c r="S908" s="5"/>
    </row>
    <row r="909" spans="4:19">
      <c r="D909" s="35"/>
      <c r="E909" s="35"/>
      <c r="F909" s="35"/>
      <c r="G909" s="35"/>
      <c r="H909" s="5"/>
      <c r="I909" s="5"/>
      <c r="J909" s="5"/>
      <c r="K909" s="35"/>
      <c r="L909" s="5"/>
      <c r="M909" s="5"/>
      <c r="N909" s="5"/>
      <c r="O909" s="5"/>
      <c r="P909" s="5"/>
      <c r="Q909" s="5"/>
      <c r="R909" s="5"/>
      <c r="S909" s="5"/>
    </row>
    <row r="910" spans="4:19">
      <c r="D910" s="35"/>
      <c r="E910" s="35"/>
      <c r="F910" s="35"/>
      <c r="G910" s="35"/>
      <c r="H910" s="5"/>
      <c r="I910" s="5"/>
      <c r="J910" s="5"/>
      <c r="K910" s="35"/>
      <c r="L910" s="5"/>
      <c r="M910" s="5"/>
      <c r="N910" s="5"/>
      <c r="O910" s="5"/>
      <c r="P910" s="5"/>
      <c r="Q910" s="5"/>
      <c r="R910" s="5"/>
      <c r="S910" s="5"/>
    </row>
    <row r="911" spans="4:19">
      <c r="D911" s="35"/>
      <c r="E911" s="35"/>
      <c r="F911" s="35"/>
      <c r="G911" s="35"/>
      <c r="H911" s="5"/>
      <c r="I911" s="5"/>
      <c r="J911" s="5"/>
      <c r="K911" s="35"/>
      <c r="L911" s="5"/>
      <c r="M911" s="5"/>
      <c r="N911" s="5"/>
      <c r="O911" s="5"/>
      <c r="P911" s="5"/>
      <c r="Q911" s="5"/>
      <c r="R911" s="5"/>
      <c r="S911" s="5"/>
    </row>
    <row r="912" spans="4:19">
      <c r="D912" s="35"/>
      <c r="E912" s="35"/>
      <c r="F912" s="35"/>
      <c r="G912" s="35"/>
      <c r="H912" s="5"/>
      <c r="I912" s="5"/>
      <c r="J912" s="5"/>
      <c r="K912" s="35"/>
      <c r="L912" s="5"/>
      <c r="M912" s="5"/>
      <c r="N912" s="5"/>
      <c r="O912" s="5"/>
      <c r="P912" s="5"/>
      <c r="Q912" s="5"/>
      <c r="R912" s="5"/>
      <c r="S912" s="5"/>
    </row>
    <row r="913" spans="4:19">
      <c r="D913" s="35"/>
      <c r="E913" s="35"/>
      <c r="F913" s="35"/>
      <c r="G913" s="35"/>
      <c r="H913" s="5"/>
      <c r="I913" s="5"/>
      <c r="J913" s="5"/>
      <c r="K913" s="35"/>
      <c r="L913" s="5"/>
      <c r="M913" s="5"/>
      <c r="N913" s="5"/>
      <c r="O913" s="5"/>
      <c r="P913" s="5"/>
      <c r="Q913" s="5"/>
      <c r="R913" s="5"/>
      <c r="S913" s="5"/>
    </row>
    <row r="914" spans="4:19">
      <c r="D914" s="35"/>
      <c r="E914" s="35"/>
      <c r="F914" s="35"/>
      <c r="G914" s="35"/>
      <c r="H914" s="5"/>
      <c r="I914" s="5"/>
      <c r="J914" s="5"/>
      <c r="K914" s="35"/>
      <c r="L914" s="5"/>
      <c r="M914" s="5"/>
      <c r="N914" s="5"/>
      <c r="O914" s="5"/>
      <c r="P914" s="5"/>
      <c r="Q914" s="5"/>
      <c r="R914" s="5"/>
      <c r="S914" s="5"/>
    </row>
    <row r="915" spans="4:19">
      <c r="D915" s="35"/>
      <c r="E915" s="35"/>
      <c r="F915" s="35"/>
      <c r="G915" s="35"/>
      <c r="H915" s="5"/>
      <c r="I915" s="5"/>
      <c r="J915" s="5"/>
      <c r="K915" s="35"/>
      <c r="L915" s="5"/>
      <c r="M915" s="5"/>
      <c r="N915" s="5"/>
      <c r="O915" s="5"/>
      <c r="P915" s="5"/>
      <c r="Q915" s="5"/>
      <c r="R915" s="5"/>
      <c r="S915" s="5"/>
    </row>
    <row r="916" spans="4:19">
      <c r="D916" s="35"/>
      <c r="E916" s="35"/>
      <c r="F916" s="35"/>
      <c r="G916" s="35"/>
      <c r="H916" s="5"/>
      <c r="I916" s="5"/>
      <c r="J916" s="5"/>
      <c r="K916" s="35"/>
      <c r="L916" s="5"/>
      <c r="M916" s="5"/>
      <c r="N916" s="5"/>
      <c r="O916" s="5"/>
      <c r="P916" s="5"/>
      <c r="Q916" s="5"/>
      <c r="R916" s="5"/>
      <c r="S916" s="5"/>
    </row>
    <row r="917" spans="4:19">
      <c r="D917" s="35"/>
      <c r="E917" s="35"/>
      <c r="F917" s="35"/>
      <c r="G917" s="35"/>
      <c r="H917" s="5"/>
      <c r="I917" s="5"/>
      <c r="J917" s="5"/>
      <c r="K917" s="35"/>
      <c r="L917" s="5"/>
      <c r="M917" s="5"/>
      <c r="N917" s="5"/>
      <c r="O917" s="5"/>
      <c r="P917" s="5"/>
      <c r="Q917" s="5"/>
      <c r="R917" s="5"/>
      <c r="S917" s="5"/>
    </row>
    <row r="918" spans="4:19">
      <c r="D918" s="35"/>
      <c r="E918" s="35"/>
      <c r="F918" s="35"/>
      <c r="G918" s="35"/>
      <c r="H918" s="5"/>
      <c r="I918" s="5"/>
      <c r="J918" s="5"/>
      <c r="K918" s="35"/>
      <c r="L918" s="5"/>
      <c r="M918" s="5"/>
      <c r="N918" s="5"/>
      <c r="O918" s="5"/>
      <c r="P918" s="5"/>
      <c r="Q918" s="5"/>
      <c r="R918" s="5"/>
      <c r="S918" s="5"/>
    </row>
    <row r="919" spans="4:19">
      <c r="D919" s="35"/>
      <c r="E919" s="35"/>
      <c r="F919" s="35"/>
      <c r="G919" s="35"/>
      <c r="H919" s="5"/>
      <c r="I919" s="5"/>
      <c r="J919" s="5"/>
      <c r="K919" s="35"/>
      <c r="L919" s="5"/>
      <c r="M919" s="5"/>
      <c r="N919" s="5"/>
      <c r="O919" s="5"/>
      <c r="P919" s="5"/>
      <c r="Q919" s="5"/>
      <c r="R919" s="5"/>
      <c r="S919" s="5"/>
    </row>
    <row r="920" spans="4:19">
      <c r="D920" s="35"/>
      <c r="E920" s="35"/>
      <c r="F920" s="35"/>
      <c r="G920" s="35"/>
      <c r="H920" s="5"/>
      <c r="I920" s="5"/>
      <c r="J920" s="5"/>
      <c r="K920" s="35"/>
      <c r="L920" s="5"/>
      <c r="M920" s="5"/>
      <c r="N920" s="5"/>
      <c r="O920" s="5"/>
      <c r="P920" s="5"/>
      <c r="Q920" s="5"/>
      <c r="R920" s="5"/>
      <c r="S920" s="5"/>
    </row>
    <row r="921" spans="4:19">
      <c r="D921" s="35"/>
      <c r="E921" s="35"/>
      <c r="F921" s="35"/>
      <c r="G921" s="35"/>
      <c r="H921" s="5"/>
      <c r="I921" s="5"/>
      <c r="J921" s="5"/>
      <c r="K921" s="35"/>
      <c r="L921" s="5"/>
      <c r="M921" s="5"/>
      <c r="N921" s="5"/>
      <c r="O921" s="5"/>
      <c r="P921" s="5"/>
      <c r="Q921" s="5"/>
      <c r="R921" s="5"/>
      <c r="S921" s="5"/>
    </row>
    <row r="922" spans="4:19">
      <c r="D922" s="35"/>
      <c r="E922" s="35"/>
      <c r="F922" s="35"/>
      <c r="G922" s="35"/>
      <c r="H922" s="5"/>
      <c r="I922" s="5"/>
      <c r="J922" s="5"/>
      <c r="K922" s="35"/>
      <c r="L922" s="5"/>
      <c r="M922" s="5"/>
      <c r="N922" s="5"/>
      <c r="O922" s="5"/>
      <c r="P922" s="5"/>
      <c r="Q922" s="5"/>
      <c r="R922" s="5"/>
      <c r="S922" s="5"/>
    </row>
    <row r="923" spans="4:19">
      <c r="D923" s="35"/>
      <c r="E923" s="35"/>
      <c r="F923" s="35"/>
      <c r="G923" s="35"/>
      <c r="H923" s="5"/>
      <c r="I923" s="5"/>
      <c r="J923" s="5"/>
      <c r="K923" s="35"/>
      <c r="L923" s="5"/>
      <c r="M923" s="5"/>
      <c r="N923" s="5"/>
      <c r="O923" s="5"/>
      <c r="P923" s="5"/>
      <c r="Q923" s="5"/>
      <c r="R923" s="5"/>
      <c r="S923" s="5"/>
    </row>
    <row r="924" spans="4:19">
      <c r="D924" s="35"/>
      <c r="E924" s="35"/>
      <c r="F924" s="35"/>
      <c r="G924" s="35"/>
      <c r="H924" s="5"/>
      <c r="I924" s="5"/>
      <c r="J924" s="5"/>
      <c r="K924" s="35"/>
      <c r="L924" s="5"/>
      <c r="M924" s="5"/>
      <c r="N924" s="5"/>
      <c r="O924" s="5"/>
      <c r="P924" s="5"/>
      <c r="Q924" s="5"/>
      <c r="R924" s="5"/>
      <c r="S924" s="5"/>
    </row>
    <row r="925" spans="4:19">
      <c r="D925" s="35"/>
      <c r="E925" s="35"/>
      <c r="F925" s="35"/>
      <c r="G925" s="35"/>
      <c r="H925" s="5"/>
      <c r="I925" s="5"/>
      <c r="J925" s="5"/>
      <c r="K925" s="35"/>
      <c r="L925" s="5"/>
      <c r="M925" s="5"/>
      <c r="N925" s="5"/>
      <c r="O925" s="5"/>
      <c r="P925" s="5"/>
      <c r="Q925" s="5"/>
      <c r="R925" s="5"/>
      <c r="S925" s="5"/>
    </row>
    <row r="926" spans="4:19">
      <c r="D926" s="35"/>
      <c r="E926" s="35"/>
      <c r="F926" s="35"/>
      <c r="G926" s="35"/>
      <c r="H926" s="5"/>
      <c r="I926" s="5"/>
      <c r="J926" s="5"/>
      <c r="K926" s="35"/>
      <c r="L926" s="5"/>
      <c r="M926" s="5"/>
      <c r="N926" s="5"/>
      <c r="O926" s="5"/>
      <c r="P926" s="5"/>
      <c r="Q926" s="5"/>
      <c r="R926" s="5"/>
      <c r="S926" s="5"/>
    </row>
    <row r="927" spans="4:19">
      <c r="D927" s="35"/>
      <c r="E927" s="35"/>
      <c r="F927" s="35"/>
      <c r="G927" s="35"/>
      <c r="H927" s="5"/>
      <c r="I927" s="5"/>
      <c r="J927" s="5"/>
      <c r="K927" s="35"/>
      <c r="L927" s="5"/>
      <c r="M927" s="5"/>
      <c r="N927" s="5"/>
      <c r="O927" s="5"/>
      <c r="P927" s="5"/>
      <c r="Q927" s="5"/>
      <c r="R927" s="5"/>
      <c r="S927" s="5"/>
    </row>
    <row r="928" spans="4:19">
      <c r="D928" s="35"/>
      <c r="E928" s="35"/>
      <c r="F928" s="35"/>
      <c r="G928" s="35"/>
      <c r="H928" s="5"/>
      <c r="I928" s="5"/>
      <c r="J928" s="5"/>
      <c r="K928" s="35"/>
      <c r="L928" s="5"/>
      <c r="M928" s="5"/>
      <c r="N928" s="5"/>
      <c r="O928" s="5"/>
      <c r="P928" s="5"/>
      <c r="Q928" s="5"/>
      <c r="R928" s="5"/>
      <c r="S928" s="5"/>
    </row>
    <row r="929" spans="4:19">
      <c r="D929" s="35"/>
      <c r="E929" s="35"/>
      <c r="F929" s="35"/>
      <c r="G929" s="35"/>
      <c r="H929" s="5"/>
      <c r="I929" s="5"/>
      <c r="J929" s="5"/>
      <c r="K929" s="35"/>
      <c r="L929" s="5"/>
      <c r="M929" s="5"/>
      <c r="N929" s="5"/>
      <c r="O929" s="5"/>
      <c r="P929" s="5"/>
      <c r="Q929" s="5"/>
      <c r="R929" s="5"/>
      <c r="S929" s="5"/>
    </row>
    <row r="930" spans="4:19">
      <c r="D930" s="35"/>
      <c r="E930" s="35"/>
      <c r="F930" s="35"/>
      <c r="G930" s="35"/>
      <c r="H930" s="5"/>
      <c r="I930" s="5"/>
      <c r="J930" s="5"/>
      <c r="K930" s="35"/>
      <c r="L930" s="5"/>
      <c r="M930" s="5"/>
      <c r="N930" s="5"/>
      <c r="O930" s="5"/>
      <c r="P930" s="5"/>
      <c r="Q930" s="5"/>
      <c r="R930" s="5"/>
      <c r="S930" s="5"/>
    </row>
    <row r="931" spans="4:19">
      <c r="D931" s="35"/>
      <c r="E931" s="35"/>
      <c r="F931" s="35"/>
      <c r="G931" s="35"/>
      <c r="H931" s="5"/>
      <c r="I931" s="5"/>
      <c r="J931" s="5"/>
      <c r="K931" s="35"/>
      <c r="L931" s="5"/>
      <c r="M931" s="5"/>
      <c r="N931" s="5"/>
      <c r="O931" s="5"/>
      <c r="P931" s="5"/>
      <c r="Q931" s="5"/>
      <c r="R931" s="5"/>
      <c r="S931" s="5"/>
    </row>
    <row r="932" spans="4:19">
      <c r="D932" s="35"/>
      <c r="E932" s="35"/>
      <c r="F932" s="35"/>
      <c r="G932" s="35"/>
      <c r="H932" s="5"/>
      <c r="I932" s="5"/>
      <c r="J932" s="5"/>
      <c r="K932" s="35"/>
      <c r="L932" s="5"/>
      <c r="M932" s="5"/>
      <c r="N932" s="5"/>
      <c r="O932" s="5"/>
      <c r="P932" s="5"/>
      <c r="Q932" s="5"/>
      <c r="R932" s="5"/>
      <c r="S932" s="5"/>
    </row>
    <row r="933" spans="4:19">
      <c r="D933" s="35"/>
      <c r="E933" s="35"/>
      <c r="F933" s="35"/>
      <c r="G933" s="35"/>
      <c r="H933" s="5"/>
      <c r="I933" s="5"/>
      <c r="J933" s="5"/>
      <c r="K933" s="35"/>
      <c r="L933" s="5"/>
      <c r="M933" s="5"/>
      <c r="N933" s="5"/>
      <c r="O933" s="5"/>
      <c r="P933" s="5"/>
      <c r="Q933" s="5"/>
      <c r="R933" s="5"/>
      <c r="S933" s="5"/>
    </row>
    <row r="934" spans="4:19">
      <c r="D934" s="35"/>
      <c r="E934" s="35"/>
      <c r="F934" s="35"/>
      <c r="G934" s="35"/>
      <c r="H934" s="5"/>
      <c r="I934" s="5"/>
      <c r="J934" s="5"/>
      <c r="K934" s="35"/>
      <c r="L934" s="5"/>
      <c r="M934" s="5"/>
      <c r="N934" s="5"/>
      <c r="O934" s="5"/>
      <c r="P934" s="5"/>
      <c r="Q934" s="5"/>
      <c r="R934" s="5"/>
      <c r="S934" s="5"/>
    </row>
    <row r="935" spans="4:19">
      <c r="D935" s="35"/>
      <c r="E935" s="35"/>
      <c r="F935" s="35"/>
      <c r="G935" s="35"/>
      <c r="H935" s="5"/>
      <c r="I935" s="5"/>
      <c r="J935" s="5"/>
      <c r="K935" s="35"/>
      <c r="L935" s="5"/>
      <c r="M935" s="5"/>
      <c r="N935" s="5"/>
      <c r="O935" s="5"/>
      <c r="P935" s="5"/>
      <c r="Q935" s="5"/>
      <c r="R935" s="5"/>
      <c r="S935" s="5"/>
    </row>
    <row r="936" spans="4:19">
      <c r="D936" s="35"/>
      <c r="E936" s="35"/>
      <c r="F936" s="35"/>
      <c r="G936" s="35"/>
      <c r="H936" s="5"/>
      <c r="I936" s="5"/>
      <c r="J936" s="5"/>
      <c r="K936" s="35"/>
      <c r="L936" s="5"/>
      <c r="M936" s="5"/>
      <c r="N936" s="5"/>
      <c r="O936" s="5"/>
      <c r="P936" s="5"/>
      <c r="Q936" s="5"/>
      <c r="R936" s="5"/>
      <c r="S936" s="5"/>
    </row>
    <row r="937" spans="4:19">
      <c r="D937" s="35"/>
      <c r="E937" s="35"/>
      <c r="F937" s="35"/>
      <c r="G937" s="35"/>
      <c r="H937" s="5"/>
      <c r="I937" s="5"/>
      <c r="J937" s="5"/>
      <c r="K937" s="35"/>
      <c r="L937" s="5"/>
      <c r="M937" s="5"/>
      <c r="N937" s="5"/>
      <c r="O937" s="5"/>
      <c r="P937" s="5"/>
      <c r="Q937" s="5"/>
      <c r="R937" s="5"/>
      <c r="S937" s="5"/>
    </row>
    <row r="938" spans="4:19">
      <c r="D938" s="35"/>
      <c r="E938" s="35"/>
      <c r="F938" s="35"/>
      <c r="G938" s="35"/>
      <c r="H938" s="5"/>
      <c r="I938" s="5"/>
      <c r="J938" s="5"/>
      <c r="K938" s="35"/>
      <c r="L938" s="5"/>
      <c r="M938" s="5"/>
      <c r="N938" s="5"/>
      <c r="O938" s="5"/>
      <c r="P938" s="5"/>
      <c r="Q938" s="5"/>
      <c r="R938" s="5"/>
      <c r="S938" s="5"/>
    </row>
    <row r="939" spans="4:19">
      <c r="D939" s="35"/>
      <c r="E939" s="35"/>
      <c r="F939" s="35"/>
      <c r="G939" s="35"/>
      <c r="H939" s="5"/>
      <c r="I939" s="5"/>
      <c r="J939" s="5"/>
      <c r="K939" s="35"/>
      <c r="L939" s="5"/>
      <c r="M939" s="5"/>
      <c r="N939" s="5"/>
      <c r="O939" s="5"/>
      <c r="P939" s="5"/>
      <c r="Q939" s="5"/>
      <c r="R939" s="5"/>
      <c r="S939" s="5"/>
    </row>
    <row r="940" spans="4:19">
      <c r="D940" s="35"/>
      <c r="E940" s="35"/>
      <c r="F940" s="35"/>
      <c r="G940" s="35"/>
      <c r="H940" s="5"/>
      <c r="I940" s="5"/>
      <c r="J940" s="5"/>
      <c r="K940" s="35"/>
      <c r="L940" s="5"/>
      <c r="M940" s="5"/>
      <c r="N940" s="5"/>
      <c r="O940" s="5"/>
      <c r="P940" s="5"/>
      <c r="Q940" s="5"/>
      <c r="R940" s="5"/>
      <c r="S940" s="5"/>
    </row>
    <row r="941" spans="4:19">
      <c r="D941" s="35"/>
      <c r="E941" s="35"/>
      <c r="F941" s="35"/>
      <c r="G941" s="35"/>
      <c r="H941" s="5"/>
      <c r="I941" s="5"/>
      <c r="J941" s="5"/>
      <c r="K941" s="35"/>
      <c r="L941" s="5"/>
      <c r="M941" s="5"/>
      <c r="N941" s="5"/>
      <c r="O941" s="5"/>
      <c r="P941" s="5"/>
      <c r="Q941" s="5"/>
      <c r="R941" s="5"/>
      <c r="S941" s="5"/>
    </row>
    <row r="942" spans="4:19">
      <c r="D942" s="35"/>
      <c r="E942" s="35"/>
      <c r="F942" s="35"/>
      <c r="G942" s="35"/>
      <c r="H942" s="5"/>
      <c r="I942" s="5"/>
      <c r="J942" s="5"/>
      <c r="K942" s="35"/>
      <c r="L942" s="5"/>
      <c r="M942" s="5"/>
      <c r="N942" s="5"/>
      <c r="O942" s="5"/>
      <c r="P942" s="5"/>
      <c r="Q942" s="5"/>
      <c r="R942" s="5"/>
      <c r="S942" s="5"/>
    </row>
    <row r="943" spans="4:19">
      <c r="D943" s="35"/>
      <c r="E943" s="35"/>
      <c r="F943" s="35"/>
      <c r="G943" s="35"/>
      <c r="H943" s="5"/>
      <c r="I943" s="5"/>
      <c r="J943" s="5"/>
      <c r="K943" s="35"/>
      <c r="L943" s="5"/>
      <c r="M943" s="5"/>
      <c r="N943" s="5"/>
      <c r="O943" s="5"/>
      <c r="P943" s="5"/>
      <c r="Q943" s="5"/>
      <c r="R943" s="5"/>
      <c r="S943" s="5"/>
    </row>
    <row r="944" spans="4:19">
      <c r="D944" s="35"/>
      <c r="E944" s="35"/>
      <c r="F944" s="35"/>
      <c r="G944" s="35"/>
      <c r="H944" s="5"/>
      <c r="I944" s="5"/>
      <c r="J944" s="5"/>
      <c r="K944" s="35"/>
      <c r="L944" s="5"/>
      <c r="M944" s="5"/>
      <c r="N944" s="5"/>
      <c r="O944" s="5"/>
      <c r="P944" s="5"/>
      <c r="Q944" s="5"/>
      <c r="R944" s="5"/>
      <c r="S944" s="5"/>
    </row>
    <row r="945" spans="4:19">
      <c r="D945" s="35"/>
      <c r="E945" s="35"/>
      <c r="F945" s="35"/>
      <c r="G945" s="35"/>
      <c r="H945" s="5"/>
      <c r="I945" s="5"/>
      <c r="J945" s="5"/>
      <c r="K945" s="35"/>
      <c r="L945" s="5"/>
      <c r="M945" s="5"/>
      <c r="N945" s="5"/>
      <c r="O945" s="5"/>
      <c r="P945" s="5"/>
      <c r="Q945" s="5"/>
      <c r="R945" s="5"/>
      <c r="S945" s="5"/>
    </row>
    <row r="946" spans="4:19">
      <c r="D946" s="35"/>
      <c r="E946" s="35"/>
      <c r="F946" s="35"/>
      <c r="G946" s="35"/>
      <c r="H946" s="5"/>
      <c r="I946" s="5"/>
      <c r="J946" s="5"/>
      <c r="K946" s="35"/>
      <c r="L946" s="5"/>
      <c r="M946" s="5"/>
      <c r="N946" s="5"/>
      <c r="O946" s="5"/>
      <c r="P946" s="5"/>
      <c r="Q946" s="5"/>
      <c r="R946" s="5"/>
      <c r="S946" s="5"/>
    </row>
    <row r="947" spans="4:19">
      <c r="D947" s="35"/>
      <c r="E947" s="35"/>
      <c r="F947" s="35"/>
      <c r="G947" s="35"/>
      <c r="H947" s="5"/>
      <c r="I947" s="5"/>
      <c r="J947" s="5"/>
      <c r="K947" s="35"/>
      <c r="L947" s="5"/>
      <c r="M947" s="5"/>
      <c r="N947" s="5"/>
      <c r="O947" s="5"/>
      <c r="P947" s="5"/>
      <c r="Q947" s="5"/>
      <c r="R947" s="5"/>
      <c r="S947" s="5"/>
    </row>
    <row r="948" spans="4:19">
      <c r="D948" s="35"/>
      <c r="E948" s="35"/>
      <c r="F948" s="35"/>
      <c r="G948" s="35"/>
      <c r="H948" s="5"/>
      <c r="I948" s="5"/>
      <c r="J948" s="5"/>
      <c r="K948" s="35"/>
      <c r="L948" s="5"/>
      <c r="M948" s="5"/>
      <c r="N948" s="5"/>
      <c r="O948" s="5"/>
      <c r="P948" s="5"/>
      <c r="Q948" s="5"/>
      <c r="R948" s="5"/>
      <c r="S948" s="5"/>
    </row>
    <row r="949" spans="4:19">
      <c r="D949" s="35"/>
      <c r="E949" s="35"/>
      <c r="F949" s="35"/>
      <c r="G949" s="35"/>
      <c r="H949" s="5"/>
      <c r="I949" s="5"/>
      <c r="J949" s="5"/>
      <c r="K949" s="35"/>
      <c r="L949" s="5"/>
      <c r="M949" s="5"/>
      <c r="N949" s="5"/>
      <c r="O949" s="5"/>
      <c r="P949" s="5"/>
      <c r="Q949" s="5"/>
      <c r="R949" s="5"/>
      <c r="S949" s="5"/>
    </row>
    <row r="950" spans="4:19">
      <c r="D950" s="35"/>
      <c r="E950" s="35"/>
      <c r="F950" s="35"/>
      <c r="G950" s="35"/>
      <c r="H950" s="5"/>
      <c r="I950" s="5"/>
      <c r="J950" s="5"/>
      <c r="K950" s="35"/>
      <c r="L950" s="5"/>
      <c r="M950" s="5"/>
      <c r="N950" s="5"/>
      <c r="O950" s="5"/>
      <c r="P950" s="5"/>
      <c r="Q950" s="5"/>
      <c r="R950" s="5"/>
      <c r="S950" s="5"/>
    </row>
    <row r="951" spans="4:19">
      <c r="D951" s="35"/>
      <c r="E951" s="35"/>
      <c r="F951" s="35"/>
      <c r="G951" s="35"/>
      <c r="H951" s="5"/>
      <c r="I951" s="5"/>
      <c r="J951" s="5"/>
      <c r="K951" s="35"/>
      <c r="L951" s="5"/>
      <c r="M951" s="5"/>
      <c r="N951" s="5"/>
      <c r="O951" s="5"/>
      <c r="P951" s="5"/>
      <c r="Q951" s="5"/>
      <c r="R951" s="5"/>
      <c r="S951" s="5"/>
    </row>
    <row r="952" spans="4:19">
      <c r="D952" s="35"/>
      <c r="E952" s="35"/>
      <c r="F952" s="35"/>
      <c r="G952" s="35"/>
      <c r="H952" s="5"/>
      <c r="I952" s="5"/>
      <c r="J952" s="5"/>
      <c r="K952" s="35"/>
      <c r="L952" s="5"/>
      <c r="M952" s="5"/>
      <c r="N952" s="5"/>
      <c r="O952" s="5"/>
      <c r="P952" s="5"/>
      <c r="Q952" s="5"/>
      <c r="R952" s="5"/>
      <c r="S952" s="5"/>
    </row>
    <row r="953" spans="4:19">
      <c r="D953" s="35"/>
      <c r="E953" s="35"/>
      <c r="F953" s="35"/>
      <c r="G953" s="35"/>
      <c r="H953" s="5"/>
      <c r="I953" s="5"/>
      <c r="J953" s="5"/>
      <c r="K953" s="35"/>
      <c r="L953" s="5"/>
      <c r="M953" s="5"/>
      <c r="N953" s="5"/>
      <c r="O953" s="5"/>
      <c r="P953" s="5"/>
      <c r="Q953" s="5"/>
      <c r="R953" s="5"/>
      <c r="S953" s="5"/>
    </row>
    <row r="954" spans="4:19">
      <c r="D954" s="35"/>
      <c r="E954" s="35"/>
      <c r="F954" s="35"/>
      <c r="G954" s="35"/>
      <c r="H954" s="5"/>
      <c r="I954" s="5"/>
      <c r="J954" s="5"/>
      <c r="K954" s="35"/>
      <c r="L954" s="5"/>
      <c r="M954" s="5"/>
      <c r="N954" s="5"/>
      <c r="O954" s="5"/>
      <c r="P954" s="5"/>
      <c r="Q954" s="5"/>
      <c r="R954" s="5"/>
      <c r="S954" s="5"/>
    </row>
    <row r="955" spans="4:19">
      <c r="D955" s="35"/>
      <c r="E955" s="35"/>
      <c r="F955" s="35"/>
      <c r="G955" s="35"/>
      <c r="H955" s="5"/>
      <c r="I955" s="5"/>
      <c r="J955" s="5"/>
      <c r="K955" s="35"/>
      <c r="L955" s="5"/>
      <c r="M955" s="5"/>
      <c r="N955" s="5"/>
      <c r="O955" s="5"/>
      <c r="P955" s="5"/>
      <c r="Q955" s="5"/>
      <c r="R955" s="5"/>
      <c r="S955" s="5"/>
    </row>
    <row r="956" spans="4:19">
      <c r="D956" s="35"/>
      <c r="E956" s="35"/>
      <c r="F956" s="35"/>
      <c r="G956" s="35"/>
      <c r="H956" s="5"/>
      <c r="I956" s="5"/>
      <c r="J956" s="5"/>
      <c r="K956" s="35"/>
      <c r="L956" s="5"/>
      <c r="M956" s="5"/>
      <c r="N956" s="5"/>
      <c r="O956" s="5"/>
      <c r="P956" s="5"/>
      <c r="Q956" s="5"/>
      <c r="R956" s="5"/>
      <c r="S956" s="5"/>
    </row>
    <row r="957" spans="4:19">
      <c r="D957" s="35"/>
      <c r="E957" s="35"/>
      <c r="F957" s="35"/>
      <c r="G957" s="35"/>
      <c r="H957" s="5"/>
      <c r="I957" s="5"/>
      <c r="J957" s="5"/>
      <c r="K957" s="35"/>
      <c r="L957" s="5"/>
      <c r="M957" s="5"/>
      <c r="N957" s="5"/>
      <c r="O957" s="5"/>
      <c r="P957" s="5"/>
      <c r="Q957" s="5"/>
      <c r="R957" s="5"/>
      <c r="S957" s="5"/>
    </row>
    <row r="958" spans="4:19">
      <c r="D958" s="35"/>
      <c r="E958" s="35"/>
      <c r="F958" s="35"/>
      <c r="G958" s="35"/>
      <c r="H958" s="5"/>
      <c r="I958" s="5"/>
      <c r="J958" s="5"/>
      <c r="K958" s="35"/>
      <c r="L958" s="5"/>
      <c r="M958" s="5"/>
      <c r="N958" s="5"/>
      <c r="O958" s="5"/>
      <c r="P958" s="5"/>
      <c r="Q958" s="5"/>
      <c r="R958" s="5"/>
      <c r="S958" s="5"/>
    </row>
    <row r="959" spans="4:19">
      <c r="D959" s="35"/>
      <c r="E959" s="35"/>
      <c r="F959" s="35"/>
      <c r="G959" s="35"/>
      <c r="H959" s="5"/>
      <c r="I959" s="5"/>
      <c r="J959" s="5"/>
      <c r="K959" s="35"/>
      <c r="L959" s="5"/>
      <c r="M959" s="5"/>
      <c r="N959" s="5"/>
      <c r="O959" s="5"/>
      <c r="P959" s="5"/>
      <c r="Q959" s="5"/>
      <c r="R959" s="5"/>
      <c r="S959" s="5"/>
    </row>
    <row r="960" spans="4:19">
      <c r="D960" s="35"/>
      <c r="E960" s="35"/>
      <c r="F960" s="35"/>
      <c r="G960" s="35"/>
      <c r="H960" s="5"/>
      <c r="I960" s="5"/>
      <c r="J960" s="5"/>
      <c r="K960" s="35"/>
      <c r="L960" s="5"/>
      <c r="M960" s="5"/>
      <c r="N960" s="5"/>
      <c r="O960" s="5"/>
      <c r="P960" s="5"/>
      <c r="Q960" s="5"/>
      <c r="R960" s="5"/>
      <c r="S960" s="5"/>
    </row>
    <row r="961" spans="4:19">
      <c r="D961" s="35"/>
      <c r="E961" s="35"/>
      <c r="F961" s="35"/>
      <c r="G961" s="35"/>
      <c r="H961" s="5"/>
      <c r="I961" s="5"/>
      <c r="J961" s="5"/>
      <c r="K961" s="35"/>
      <c r="L961" s="5"/>
      <c r="M961" s="5"/>
      <c r="N961" s="5"/>
      <c r="O961" s="5"/>
      <c r="P961" s="5"/>
      <c r="Q961" s="5"/>
      <c r="R961" s="5"/>
      <c r="S961" s="5"/>
    </row>
    <row r="962" spans="4:19">
      <c r="D962" s="35"/>
      <c r="E962" s="35"/>
      <c r="F962" s="35"/>
      <c r="G962" s="35"/>
      <c r="H962" s="5"/>
      <c r="I962" s="5"/>
      <c r="J962" s="5"/>
      <c r="K962" s="35"/>
      <c r="L962" s="5"/>
      <c r="M962" s="5"/>
      <c r="N962" s="5"/>
      <c r="O962" s="5"/>
      <c r="P962" s="5"/>
      <c r="Q962" s="5"/>
      <c r="R962" s="5"/>
      <c r="S962" s="5"/>
    </row>
    <row r="963" spans="4:19">
      <c r="D963" s="35"/>
      <c r="E963" s="35"/>
      <c r="F963" s="35"/>
      <c r="G963" s="35"/>
      <c r="H963" s="5"/>
      <c r="I963" s="5"/>
      <c r="J963" s="5"/>
      <c r="K963" s="35"/>
      <c r="L963" s="5"/>
      <c r="M963" s="5"/>
      <c r="N963" s="5"/>
      <c r="O963" s="5"/>
      <c r="P963" s="5"/>
      <c r="Q963" s="5"/>
      <c r="R963" s="5"/>
      <c r="S963" s="5"/>
    </row>
    <row r="964" spans="4:19">
      <c r="D964" s="35"/>
      <c r="E964" s="35"/>
      <c r="F964" s="35"/>
      <c r="G964" s="35"/>
      <c r="H964" s="5"/>
      <c r="I964" s="5"/>
      <c r="J964" s="5"/>
      <c r="K964" s="35"/>
      <c r="L964" s="5"/>
      <c r="M964" s="5"/>
      <c r="N964" s="5"/>
      <c r="O964" s="5"/>
      <c r="P964" s="5"/>
      <c r="Q964" s="5"/>
      <c r="R964" s="5"/>
      <c r="S964" s="5"/>
    </row>
    <row r="965" spans="4:19">
      <c r="D965" s="35"/>
      <c r="E965" s="35"/>
      <c r="F965" s="35"/>
      <c r="G965" s="35"/>
      <c r="H965" s="5"/>
      <c r="I965" s="5"/>
      <c r="J965" s="5"/>
      <c r="K965" s="35"/>
      <c r="L965" s="5"/>
      <c r="M965" s="5"/>
      <c r="N965" s="5"/>
      <c r="O965" s="5"/>
      <c r="P965" s="5"/>
      <c r="Q965" s="5"/>
      <c r="R965" s="5"/>
      <c r="S965" s="5"/>
    </row>
    <row r="966" spans="4:19">
      <c r="D966" s="35"/>
      <c r="E966" s="35"/>
      <c r="F966" s="35"/>
      <c r="G966" s="35"/>
      <c r="H966" s="5"/>
      <c r="I966" s="5"/>
      <c r="J966" s="5"/>
      <c r="K966" s="35"/>
      <c r="L966" s="5"/>
      <c r="M966" s="5"/>
      <c r="N966" s="5"/>
      <c r="O966" s="5"/>
      <c r="P966" s="5"/>
      <c r="Q966" s="5"/>
      <c r="R966" s="5"/>
      <c r="S966" s="5"/>
    </row>
    <row r="967" spans="4:19">
      <c r="D967" s="35"/>
      <c r="E967" s="35"/>
      <c r="F967" s="35"/>
      <c r="G967" s="35"/>
      <c r="H967" s="5"/>
      <c r="I967" s="5"/>
      <c r="J967" s="5"/>
      <c r="K967" s="35"/>
      <c r="L967" s="5"/>
      <c r="M967" s="5"/>
      <c r="N967" s="5"/>
      <c r="O967" s="5"/>
      <c r="P967" s="5"/>
      <c r="Q967" s="5"/>
      <c r="R967" s="5"/>
      <c r="S967" s="5"/>
    </row>
    <row r="968" spans="4:19">
      <c r="D968" s="35"/>
      <c r="E968" s="35"/>
      <c r="F968" s="35"/>
      <c r="G968" s="35"/>
      <c r="H968" s="5"/>
      <c r="I968" s="5"/>
      <c r="J968" s="5"/>
      <c r="K968" s="35"/>
      <c r="L968" s="5"/>
      <c r="M968" s="5"/>
      <c r="N968" s="5"/>
      <c r="O968" s="5"/>
      <c r="P968" s="5"/>
      <c r="Q968" s="5"/>
      <c r="R968" s="5"/>
      <c r="S968" s="5"/>
    </row>
    <row r="969" spans="4:19">
      <c r="D969" s="35"/>
      <c r="E969" s="35"/>
      <c r="F969" s="35"/>
      <c r="G969" s="35"/>
      <c r="H969" s="5"/>
      <c r="I969" s="5"/>
      <c r="J969" s="5"/>
      <c r="K969" s="35"/>
      <c r="L969" s="5"/>
      <c r="M969" s="5"/>
      <c r="N969" s="5"/>
      <c r="O969" s="5"/>
      <c r="P969" s="5"/>
      <c r="Q969" s="5"/>
      <c r="R969" s="5"/>
      <c r="S969" s="5"/>
    </row>
    <row r="970" spans="4:19">
      <c r="D970" s="35"/>
      <c r="E970" s="35"/>
      <c r="F970" s="35"/>
      <c r="G970" s="35"/>
      <c r="H970" s="5"/>
      <c r="I970" s="5"/>
      <c r="J970" s="5"/>
      <c r="K970" s="35"/>
      <c r="L970" s="5"/>
      <c r="M970" s="5"/>
      <c r="N970" s="5"/>
      <c r="O970" s="5"/>
      <c r="P970" s="5"/>
      <c r="Q970" s="5"/>
      <c r="R970" s="5"/>
      <c r="S970" s="5"/>
    </row>
    <row r="971" spans="4:19">
      <c r="D971" s="35"/>
      <c r="E971" s="35"/>
      <c r="F971" s="35"/>
      <c r="G971" s="35"/>
      <c r="H971" s="5"/>
      <c r="I971" s="5"/>
      <c r="J971" s="5"/>
      <c r="K971" s="35"/>
      <c r="L971" s="5"/>
      <c r="M971" s="5"/>
      <c r="N971" s="5"/>
      <c r="O971" s="5"/>
      <c r="P971" s="5"/>
      <c r="Q971" s="5"/>
      <c r="R971" s="5"/>
      <c r="S971" s="5"/>
    </row>
    <row r="972" spans="4:19">
      <c r="D972" s="35"/>
      <c r="E972" s="35"/>
      <c r="F972" s="35"/>
      <c r="G972" s="35"/>
      <c r="H972" s="5"/>
      <c r="I972" s="5"/>
      <c r="J972" s="5"/>
      <c r="K972" s="35"/>
      <c r="L972" s="5"/>
      <c r="M972" s="5"/>
      <c r="N972" s="5"/>
      <c r="O972" s="5"/>
      <c r="P972" s="5"/>
      <c r="Q972" s="5"/>
      <c r="R972" s="5"/>
      <c r="S972" s="5"/>
    </row>
    <row r="973" spans="4:19">
      <c r="D973" s="35"/>
      <c r="E973" s="35"/>
      <c r="F973" s="35"/>
      <c r="G973" s="35"/>
      <c r="H973" s="5"/>
      <c r="I973" s="5"/>
      <c r="J973" s="5"/>
      <c r="K973" s="35"/>
      <c r="L973" s="5"/>
      <c r="M973" s="5"/>
      <c r="N973" s="5"/>
      <c r="O973" s="5"/>
      <c r="P973" s="5"/>
      <c r="Q973" s="5"/>
      <c r="R973" s="5"/>
      <c r="S973" s="5"/>
    </row>
    <row r="974" spans="4:19">
      <c r="D974" s="35"/>
      <c r="E974" s="35"/>
      <c r="F974" s="35"/>
      <c r="G974" s="35"/>
      <c r="H974" s="5"/>
      <c r="I974" s="5"/>
      <c r="J974" s="5"/>
      <c r="K974" s="35"/>
      <c r="L974" s="5"/>
      <c r="M974" s="5"/>
      <c r="N974" s="5"/>
      <c r="O974" s="5"/>
      <c r="P974" s="5"/>
      <c r="Q974" s="5"/>
      <c r="R974" s="5"/>
      <c r="S974" s="5"/>
    </row>
    <row r="975" spans="4:19">
      <c r="D975" s="35"/>
      <c r="E975" s="35"/>
      <c r="F975" s="35"/>
      <c r="G975" s="35"/>
      <c r="H975" s="5"/>
      <c r="I975" s="5"/>
      <c r="J975" s="5"/>
      <c r="K975" s="35"/>
      <c r="L975" s="5"/>
      <c r="M975" s="5"/>
      <c r="N975" s="5"/>
      <c r="O975" s="5"/>
      <c r="P975" s="5"/>
      <c r="Q975" s="5"/>
      <c r="R975" s="5"/>
      <c r="S975" s="5"/>
    </row>
    <row r="976" spans="4:19">
      <c r="D976" s="35"/>
      <c r="E976" s="35"/>
      <c r="F976" s="35"/>
      <c r="G976" s="35"/>
      <c r="H976" s="5"/>
      <c r="I976" s="5"/>
      <c r="J976" s="5"/>
      <c r="K976" s="35"/>
      <c r="L976" s="5"/>
      <c r="M976" s="5"/>
      <c r="N976" s="5"/>
      <c r="O976" s="5"/>
      <c r="P976" s="5"/>
      <c r="Q976" s="5"/>
      <c r="R976" s="5"/>
      <c r="S976" s="5"/>
    </row>
    <row r="977" spans="4:19">
      <c r="D977" s="35"/>
      <c r="E977" s="35"/>
      <c r="F977" s="35"/>
      <c r="G977" s="35"/>
      <c r="H977" s="5"/>
      <c r="I977" s="5"/>
      <c r="J977" s="5"/>
      <c r="K977" s="35"/>
      <c r="L977" s="5"/>
      <c r="M977" s="5"/>
      <c r="N977" s="5"/>
      <c r="O977" s="5"/>
      <c r="P977" s="5"/>
      <c r="Q977" s="5"/>
      <c r="R977" s="5"/>
      <c r="S977" s="5"/>
    </row>
    <row r="978" spans="4:19">
      <c r="D978" s="35"/>
      <c r="E978" s="35"/>
      <c r="F978" s="35"/>
      <c r="G978" s="35"/>
      <c r="H978" s="5"/>
      <c r="I978" s="5"/>
      <c r="J978" s="5"/>
      <c r="K978" s="35"/>
      <c r="L978" s="5"/>
      <c r="M978" s="5"/>
      <c r="N978" s="5"/>
      <c r="O978" s="5"/>
      <c r="P978" s="5"/>
      <c r="Q978" s="5"/>
      <c r="R978" s="5"/>
      <c r="S978" s="5"/>
    </row>
    <row r="979" spans="4:19">
      <c r="D979" s="35"/>
      <c r="E979" s="35"/>
      <c r="F979" s="35"/>
      <c r="G979" s="35"/>
      <c r="H979" s="5"/>
      <c r="I979" s="5"/>
      <c r="J979" s="5"/>
      <c r="K979" s="35"/>
      <c r="L979" s="5"/>
      <c r="M979" s="5"/>
      <c r="N979" s="5"/>
      <c r="O979" s="5"/>
      <c r="P979" s="5"/>
      <c r="Q979" s="5"/>
      <c r="R979" s="5"/>
      <c r="S979" s="5"/>
    </row>
    <row r="980" spans="4:19">
      <c r="D980" s="35"/>
      <c r="E980" s="35"/>
      <c r="F980" s="35"/>
      <c r="G980" s="35"/>
      <c r="H980" s="5"/>
      <c r="I980" s="5"/>
      <c r="J980" s="5"/>
      <c r="K980" s="35"/>
      <c r="L980" s="5"/>
      <c r="M980" s="5"/>
      <c r="N980" s="5"/>
      <c r="O980" s="5"/>
      <c r="P980" s="5"/>
      <c r="Q980" s="5"/>
      <c r="R980" s="5"/>
      <c r="S980" s="5"/>
    </row>
    <row r="981" spans="4:19">
      <c r="D981" s="35"/>
      <c r="E981" s="35"/>
      <c r="F981" s="35"/>
      <c r="G981" s="35"/>
      <c r="H981" s="5"/>
      <c r="I981" s="5"/>
      <c r="J981" s="5"/>
      <c r="K981" s="35"/>
      <c r="L981" s="5"/>
      <c r="M981" s="5"/>
      <c r="N981" s="5"/>
      <c r="O981" s="5"/>
      <c r="P981" s="5"/>
      <c r="Q981" s="5"/>
      <c r="R981" s="5"/>
      <c r="S981" s="5"/>
    </row>
    <row r="982" spans="4:19">
      <c r="D982" s="35"/>
      <c r="E982" s="35"/>
      <c r="F982" s="35"/>
      <c r="G982" s="35"/>
      <c r="H982" s="5"/>
      <c r="I982" s="5"/>
      <c r="J982" s="5"/>
      <c r="K982" s="35"/>
      <c r="L982" s="5"/>
      <c r="M982" s="5"/>
      <c r="N982" s="5"/>
      <c r="O982" s="5"/>
      <c r="P982" s="5"/>
      <c r="Q982" s="5"/>
      <c r="R982" s="5"/>
      <c r="S982" s="5"/>
    </row>
    <row r="983" spans="4:19">
      <c r="D983" s="35"/>
      <c r="E983" s="35"/>
      <c r="F983" s="35"/>
      <c r="G983" s="35"/>
      <c r="H983" s="5"/>
      <c r="I983" s="5"/>
      <c r="J983" s="5"/>
      <c r="K983" s="35"/>
      <c r="L983" s="5"/>
      <c r="M983" s="5"/>
      <c r="N983" s="5"/>
      <c r="O983" s="5"/>
      <c r="P983" s="5"/>
      <c r="Q983" s="5"/>
      <c r="R983" s="5"/>
      <c r="S983" s="5"/>
    </row>
    <row r="984" spans="4:19">
      <c r="D984" s="35"/>
      <c r="E984" s="35"/>
      <c r="F984" s="35"/>
      <c r="G984" s="35"/>
      <c r="H984" s="5"/>
      <c r="I984" s="5"/>
      <c r="J984" s="5"/>
      <c r="K984" s="35"/>
      <c r="L984" s="5"/>
      <c r="M984" s="5"/>
      <c r="N984" s="5"/>
      <c r="O984" s="5"/>
      <c r="P984" s="5"/>
      <c r="Q984" s="5"/>
      <c r="R984" s="5"/>
      <c r="S984" s="5"/>
    </row>
    <row r="985" spans="4:19">
      <c r="D985" s="35"/>
      <c r="E985" s="35"/>
      <c r="F985" s="35"/>
      <c r="G985" s="35"/>
      <c r="H985" s="5"/>
      <c r="I985" s="5"/>
      <c r="J985" s="5"/>
      <c r="K985" s="35"/>
      <c r="L985" s="5"/>
      <c r="M985" s="5"/>
      <c r="N985" s="5"/>
      <c r="O985" s="5"/>
      <c r="P985" s="5"/>
      <c r="Q985" s="5"/>
      <c r="R985" s="5"/>
      <c r="S985" s="5"/>
    </row>
    <row r="986" spans="4:19">
      <c r="D986" s="35"/>
      <c r="E986" s="35"/>
      <c r="F986" s="35"/>
      <c r="G986" s="35"/>
      <c r="H986" s="5"/>
      <c r="I986" s="5"/>
      <c r="J986" s="5"/>
      <c r="K986" s="35"/>
      <c r="L986" s="5"/>
      <c r="M986" s="5"/>
      <c r="N986" s="5"/>
      <c r="O986" s="5"/>
      <c r="P986" s="5"/>
      <c r="Q986" s="5"/>
      <c r="R986" s="5"/>
      <c r="S986" s="5"/>
    </row>
    <row r="987" spans="4:19">
      <c r="D987" s="35"/>
      <c r="E987" s="35"/>
      <c r="F987" s="35"/>
      <c r="G987" s="35"/>
      <c r="H987" s="5"/>
      <c r="I987" s="5"/>
      <c r="J987" s="5"/>
      <c r="K987" s="35"/>
      <c r="L987" s="5"/>
      <c r="M987" s="5"/>
      <c r="N987" s="5"/>
      <c r="O987" s="5"/>
      <c r="P987" s="5"/>
      <c r="Q987" s="5"/>
      <c r="R987" s="5"/>
      <c r="S987" s="5"/>
    </row>
    <row r="988" spans="4:19">
      <c r="D988" s="35"/>
      <c r="E988" s="35"/>
      <c r="F988" s="35"/>
      <c r="G988" s="35"/>
      <c r="H988" s="5"/>
      <c r="I988" s="5"/>
      <c r="J988" s="5"/>
      <c r="K988" s="35"/>
      <c r="L988" s="5"/>
      <c r="M988" s="5"/>
      <c r="N988" s="5"/>
      <c r="O988" s="5"/>
      <c r="P988" s="5"/>
      <c r="Q988" s="5"/>
      <c r="R988" s="5"/>
      <c r="S988" s="5"/>
    </row>
    <row r="989" spans="4:19">
      <c r="D989" s="35"/>
      <c r="E989" s="35"/>
      <c r="F989" s="35"/>
      <c r="G989" s="35"/>
      <c r="H989" s="5"/>
      <c r="I989" s="5"/>
      <c r="J989" s="5"/>
      <c r="K989" s="35"/>
      <c r="L989" s="5"/>
      <c r="M989" s="5"/>
      <c r="N989" s="5"/>
      <c r="O989" s="5"/>
      <c r="P989" s="5"/>
      <c r="Q989" s="5"/>
      <c r="R989" s="5"/>
      <c r="S989" s="5"/>
    </row>
    <row r="990" spans="4:19">
      <c r="D990" s="35"/>
      <c r="E990" s="35"/>
      <c r="F990" s="35"/>
      <c r="G990" s="35"/>
      <c r="H990" s="5"/>
      <c r="I990" s="5"/>
      <c r="J990" s="5"/>
      <c r="K990" s="35"/>
      <c r="L990" s="5"/>
      <c r="M990" s="5"/>
      <c r="N990" s="5"/>
      <c r="O990" s="5"/>
      <c r="P990" s="5"/>
      <c r="Q990" s="5"/>
      <c r="R990" s="5"/>
      <c r="S990" s="5"/>
    </row>
    <row r="991" spans="4:19">
      <c r="D991" s="35"/>
      <c r="E991" s="35"/>
      <c r="F991" s="35"/>
      <c r="G991" s="35"/>
      <c r="H991" s="5"/>
      <c r="I991" s="5"/>
      <c r="J991" s="5"/>
      <c r="K991" s="35"/>
      <c r="L991" s="5"/>
      <c r="M991" s="5"/>
      <c r="N991" s="5"/>
      <c r="O991" s="5"/>
      <c r="P991" s="5"/>
      <c r="Q991" s="5"/>
      <c r="R991" s="5"/>
      <c r="S991" s="5"/>
    </row>
    <row r="992" spans="4:19">
      <c r="D992" s="35"/>
      <c r="E992" s="35"/>
      <c r="F992" s="35"/>
      <c r="G992" s="35"/>
      <c r="H992" s="5"/>
      <c r="I992" s="5"/>
      <c r="J992" s="5"/>
      <c r="K992" s="35"/>
      <c r="L992" s="5"/>
      <c r="M992" s="5"/>
      <c r="N992" s="5"/>
      <c r="O992" s="5"/>
      <c r="P992" s="5"/>
      <c r="Q992" s="5"/>
      <c r="R992" s="5"/>
      <c r="S992" s="5"/>
    </row>
    <row r="993" spans="4:19">
      <c r="D993" s="35"/>
      <c r="E993" s="35"/>
      <c r="F993" s="35"/>
      <c r="G993" s="35"/>
      <c r="H993" s="5"/>
      <c r="I993" s="5"/>
      <c r="J993" s="5"/>
      <c r="K993" s="35"/>
      <c r="L993" s="5"/>
      <c r="M993" s="5"/>
      <c r="N993" s="5"/>
      <c r="O993" s="5"/>
      <c r="P993" s="5"/>
      <c r="Q993" s="5"/>
      <c r="R993" s="5"/>
      <c r="S993" s="5"/>
    </row>
    <row r="994" spans="4:19">
      <c r="D994" s="35"/>
      <c r="E994" s="35"/>
      <c r="F994" s="35"/>
      <c r="G994" s="35"/>
      <c r="H994" s="5"/>
      <c r="I994" s="5"/>
      <c r="J994" s="5"/>
      <c r="K994" s="35"/>
      <c r="L994" s="5"/>
      <c r="M994" s="5"/>
      <c r="N994" s="5"/>
      <c r="O994" s="5"/>
      <c r="P994" s="5"/>
      <c r="Q994" s="5"/>
      <c r="R994" s="5"/>
      <c r="S994" s="5"/>
    </row>
    <row r="995" spans="4:19">
      <c r="D995" s="35"/>
      <c r="E995" s="35"/>
      <c r="F995" s="35"/>
      <c r="G995" s="35"/>
      <c r="H995" s="5"/>
      <c r="I995" s="5"/>
      <c r="J995" s="5"/>
      <c r="K995" s="35"/>
      <c r="L995" s="5"/>
      <c r="M995" s="5"/>
      <c r="N995" s="5"/>
      <c r="O995" s="5"/>
      <c r="P995" s="5"/>
      <c r="Q995" s="5"/>
      <c r="R995" s="5"/>
      <c r="S995" s="5"/>
    </row>
    <row r="996" spans="4:19">
      <c r="D996" s="35"/>
      <c r="E996" s="35"/>
      <c r="F996" s="35"/>
      <c r="G996" s="35"/>
      <c r="H996" s="5"/>
      <c r="I996" s="5"/>
      <c r="J996" s="5"/>
      <c r="K996" s="35"/>
      <c r="L996" s="5"/>
      <c r="M996" s="5"/>
      <c r="N996" s="5"/>
      <c r="O996" s="5"/>
      <c r="P996" s="5"/>
      <c r="Q996" s="5"/>
      <c r="R996" s="5"/>
      <c r="S996" s="5"/>
    </row>
    <row r="997" spans="4:19">
      <c r="D997" s="35"/>
      <c r="E997" s="35"/>
      <c r="F997" s="35"/>
      <c r="G997" s="35"/>
      <c r="H997" s="5"/>
      <c r="I997" s="5"/>
      <c r="J997" s="5"/>
      <c r="K997" s="35"/>
      <c r="L997" s="5"/>
      <c r="M997" s="5"/>
      <c r="N997" s="5"/>
      <c r="O997" s="5"/>
      <c r="P997" s="5"/>
      <c r="Q997" s="5"/>
      <c r="R997" s="5"/>
      <c r="S997" s="5"/>
    </row>
  </sheetData>
  <mergeCells count="4">
    <mergeCell ref="W1:Z1"/>
    <mergeCell ref="K1:V1"/>
    <mergeCell ref="G1:J1"/>
    <mergeCell ref="A1:C1"/>
  </mergeCells>
  <phoneticPr fontId="7" type="noConversion"/>
  <conditionalFormatting sqref="K3:V302">
    <cfRule type="cellIs" dxfId="14" priority="3" operator="greaterThan">
      <formula>$AA3&gt;3</formula>
    </cfRule>
  </conditionalFormatting>
  <dataValidations count="3">
    <dataValidation type="list" allowBlank="1" showInputMessage="1" showErrorMessage="1" sqref="B3:B302" xr:uid="{2837264F-BD49-C041-9542-6CCA4882608C}">
      <formula1>$AX$4:$AX$6</formula1>
    </dataValidation>
    <dataValidation type="date" operator="lessThan" allowBlank="1" showInputMessage="1" showErrorMessage="1" sqref="C3:C302" xr:uid="{23A9965D-37F1-0147-9BA5-7119DFB03460}">
      <formula1>43465</formula1>
    </dataValidation>
    <dataValidation type="list" allowBlank="1" showInputMessage="1" showErrorMessage="1" sqref="D3:W302" xr:uid="{500A930D-E05D-2843-9937-E9573A6CA053}">
      <formula1>INDIRECT(AD3)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2B4A2-E6D8-584E-A36C-BF5DBD573466}">
  <dimension ref="A2:CR607"/>
  <sheetViews>
    <sheetView showGridLines="0" topLeftCell="D1" zoomScaleNormal="100" workbookViewId="0">
      <selection activeCell="CL1" sqref="AJ1:CL1048576"/>
    </sheetView>
  </sheetViews>
  <sheetFormatPr defaultColWidth="11.19921875" defaultRowHeight="15.6"/>
  <cols>
    <col min="2" max="2" width="16" style="1" customWidth="1"/>
    <col min="3" max="3" width="5.69921875" style="1" customWidth="1"/>
    <col min="4" max="4" width="16" style="1" customWidth="1"/>
    <col min="5" max="5" width="5.69921875" style="1" customWidth="1"/>
    <col min="6" max="6" width="16" style="1" customWidth="1"/>
    <col min="7" max="7" width="5.69921875" style="1" customWidth="1"/>
    <col min="8" max="8" width="16" style="1" customWidth="1"/>
    <col min="9" max="9" width="5.69921875" style="1" customWidth="1"/>
    <col min="10" max="10" width="15.796875" style="1" customWidth="1"/>
    <col min="11" max="11" width="5.69921875" style="1" customWidth="1"/>
    <col min="12" max="12" width="16" style="1" customWidth="1"/>
    <col min="13" max="13" width="5.69921875" style="1" customWidth="1"/>
    <col min="14" max="14" width="16" style="1" customWidth="1"/>
    <col min="15" max="15" width="5.69921875" style="1" customWidth="1"/>
    <col min="16" max="18" width="16" style="1" customWidth="1"/>
    <col min="19" max="19" width="5.69921875" style="1" customWidth="1"/>
    <col min="20" max="20" width="16" style="1" customWidth="1"/>
    <col min="21" max="21" width="5.69921875" style="1" customWidth="1"/>
    <col min="22" max="22" width="16" style="1" customWidth="1"/>
    <col min="23" max="23" width="5.69921875" style="1" customWidth="1"/>
    <col min="24" max="24" width="16" style="1" customWidth="1"/>
    <col min="25" max="25" width="5.69921875" style="1" customWidth="1"/>
    <col min="26" max="26" width="16" style="1" customWidth="1"/>
    <col min="27" max="27" width="5.69921875" style="1" customWidth="1"/>
    <col min="28" max="28" width="16" style="1" customWidth="1"/>
    <col min="29" max="29" width="5.69921875" style="1" customWidth="1"/>
    <col min="30" max="30" width="16" style="1" customWidth="1"/>
    <col min="31" max="31" width="5.5" style="1" customWidth="1"/>
    <col min="32" max="32" width="16" style="1" customWidth="1"/>
    <col min="33" max="33" width="5.5" style="1" customWidth="1"/>
    <col min="34" max="34" width="16" style="1" customWidth="1"/>
    <col min="35" max="35" width="5.5" style="70" customWidth="1"/>
    <col min="36" max="90" width="10.796875" style="10" hidden="1" customWidth="1"/>
    <col min="91" max="92" width="10.796875" style="19" customWidth="1"/>
    <col min="93" max="93" width="10.796875" style="19"/>
  </cols>
  <sheetData>
    <row r="2" spans="1:96">
      <c r="B2" s="90" t="s">
        <v>624</v>
      </c>
      <c r="C2" s="91"/>
      <c r="D2" s="91"/>
      <c r="E2" s="91"/>
      <c r="F2" s="91"/>
      <c r="G2" s="91"/>
      <c r="H2" s="91"/>
      <c r="I2" s="91"/>
      <c r="J2" s="62"/>
      <c r="K2" s="62"/>
      <c r="L2" s="62"/>
      <c r="M2" s="62"/>
      <c r="N2" s="62"/>
      <c r="O2" s="62"/>
      <c r="P2" s="62"/>
      <c r="Q2" s="62"/>
      <c r="R2" s="63"/>
    </row>
    <row r="3" spans="1:96">
      <c r="B3" s="88" t="s">
        <v>609</v>
      </c>
      <c r="C3" s="88"/>
      <c r="D3" s="87" t="s">
        <v>607</v>
      </c>
      <c r="E3" s="87"/>
      <c r="F3" s="86" t="s">
        <v>608</v>
      </c>
      <c r="G3" s="86"/>
      <c r="H3" s="89" t="s">
        <v>613</v>
      </c>
      <c r="I3" s="89"/>
      <c r="J3" s="60"/>
      <c r="K3" s="60"/>
      <c r="L3" s="60"/>
      <c r="M3" s="60"/>
      <c r="N3" s="61"/>
    </row>
    <row r="4" spans="1:96">
      <c r="A4" s="20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</row>
    <row r="5" spans="1:96">
      <c r="A5" s="25"/>
      <c r="B5" s="93" t="s">
        <v>11</v>
      </c>
      <c r="C5" s="93"/>
      <c r="D5" s="93"/>
      <c r="E5" s="93"/>
      <c r="F5" s="92" t="s">
        <v>12</v>
      </c>
      <c r="G5" s="92"/>
      <c r="H5" s="92"/>
      <c r="I5" s="92"/>
      <c r="J5" s="93" t="s">
        <v>718</v>
      </c>
      <c r="K5" s="93"/>
      <c r="L5" s="93"/>
      <c r="M5" s="93"/>
      <c r="N5" s="92" t="s">
        <v>614</v>
      </c>
      <c r="O5" s="92"/>
      <c r="P5" s="92"/>
      <c r="Q5" s="92"/>
      <c r="R5" s="93" t="s">
        <v>622</v>
      </c>
      <c r="S5" s="93"/>
      <c r="T5" s="93"/>
      <c r="U5" s="93"/>
      <c r="V5" s="92" t="s">
        <v>732</v>
      </c>
      <c r="W5" s="92"/>
      <c r="X5" s="92"/>
      <c r="Y5" s="92"/>
      <c r="Z5" s="93" t="s">
        <v>733</v>
      </c>
      <c r="AA5" s="93"/>
      <c r="AB5" s="93"/>
      <c r="AC5" s="93"/>
      <c r="AD5" s="92" t="s">
        <v>623</v>
      </c>
      <c r="AE5" s="92"/>
      <c r="AF5" s="92"/>
      <c r="AG5" s="92"/>
      <c r="AH5" s="92"/>
      <c r="AI5" s="92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</row>
    <row r="6" spans="1:96">
      <c r="A6" s="25"/>
      <c r="B6" s="67" t="s">
        <v>735</v>
      </c>
      <c r="C6" s="67">
        <f>SUM(C8:C37)</f>
        <v>0</v>
      </c>
      <c r="D6" s="67" t="s">
        <v>735</v>
      </c>
      <c r="E6" s="67">
        <f>SUM(E8:E37)</f>
        <v>0</v>
      </c>
      <c r="F6" s="68" t="s">
        <v>735</v>
      </c>
      <c r="G6" s="68">
        <f>SUM(G8:G37)</f>
        <v>0</v>
      </c>
      <c r="H6" s="68" t="s">
        <v>735</v>
      </c>
      <c r="I6" s="68">
        <f>SUM(I8:I37)</f>
        <v>0</v>
      </c>
      <c r="J6" s="67" t="s">
        <v>735</v>
      </c>
      <c r="K6" s="67">
        <f>SUM(K8:K37)</f>
        <v>0</v>
      </c>
      <c r="L6" s="67" t="s">
        <v>735</v>
      </c>
      <c r="M6" s="67">
        <f>SUM(M8:M37)</f>
        <v>0</v>
      </c>
      <c r="N6" s="68" t="s">
        <v>736</v>
      </c>
      <c r="O6" s="68">
        <f>SUM(O8:O37)</f>
        <v>0</v>
      </c>
      <c r="P6" s="68" t="s">
        <v>736</v>
      </c>
      <c r="Q6" s="68">
        <f>SUM(Q8:Q37)</f>
        <v>0</v>
      </c>
      <c r="R6" s="67" t="s">
        <v>736</v>
      </c>
      <c r="S6" s="67">
        <f>COUNTIF(S8:S37,"&gt;0")</f>
        <v>0</v>
      </c>
      <c r="T6" s="67" t="s">
        <v>736</v>
      </c>
      <c r="U6" s="67">
        <f>COUNTIF(U8:U37,"&gt;0")</f>
        <v>0</v>
      </c>
      <c r="V6" s="68" t="s">
        <v>736</v>
      </c>
      <c r="W6" s="68">
        <f>SUM(W8:W37)</f>
        <v>0</v>
      </c>
      <c r="X6" s="68" t="s">
        <v>736</v>
      </c>
      <c r="Y6" s="68">
        <f>SUM(Y8:Y37)</f>
        <v>0</v>
      </c>
      <c r="Z6" s="67" t="s">
        <v>736</v>
      </c>
      <c r="AA6" s="67">
        <f>SUM(AA8:AA37)</f>
        <v>0</v>
      </c>
      <c r="AB6" s="67" t="s">
        <v>736</v>
      </c>
      <c r="AC6" s="67">
        <f>SUM(AC8:AC37)</f>
        <v>0</v>
      </c>
      <c r="AD6" s="68" t="s">
        <v>736</v>
      </c>
      <c r="AE6" s="68">
        <f>COUNTIF(AE8:AE37,"&gt;0")</f>
        <v>0</v>
      </c>
      <c r="AF6" s="68" t="s">
        <v>736</v>
      </c>
      <c r="AG6" s="68">
        <f>COUNTIF(AG8:AG37,"&gt;0")</f>
        <v>0</v>
      </c>
      <c r="AH6" s="68" t="s">
        <v>736</v>
      </c>
      <c r="AI6" s="68">
        <f>COUNTIF(AI8:AI37,"&gt;0")</f>
        <v>0</v>
      </c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</row>
    <row r="7" spans="1:96">
      <c r="A7" s="25"/>
      <c r="B7" s="25" t="s">
        <v>46</v>
      </c>
      <c r="C7" s="25" t="s">
        <v>610</v>
      </c>
      <c r="D7" s="25" t="s">
        <v>47</v>
      </c>
      <c r="E7" s="25" t="s">
        <v>611</v>
      </c>
      <c r="F7" s="27" t="s">
        <v>46</v>
      </c>
      <c r="G7" s="28" t="s">
        <v>610</v>
      </c>
      <c r="H7" s="28" t="s">
        <v>47</v>
      </c>
      <c r="I7" s="29" t="s">
        <v>612</v>
      </c>
      <c r="J7" s="25" t="s">
        <v>46</v>
      </c>
      <c r="K7" s="25" t="s">
        <v>610</v>
      </c>
      <c r="L7" s="25" t="s">
        <v>47</v>
      </c>
      <c r="M7" s="25" t="s">
        <v>611</v>
      </c>
      <c r="N7" s="27" t="s">
        <v>46</v>
      </c>
      <c r="O7" s="28" t="s">
        <v>610</v>
      </c>
      <c r="P7" s="28" t="s">
        <v>47</v>
      </c>
      <c r="Q7" s="29" t="s">
        <v>612</v>
      </c>
      <c r="R7" s="30" t="s">
        <v>46</v>
      </c>
      <c r="S7" s="28" t="s">
        <v>610</v>
      </c>
      <c r="T7" s="28" t="s">
        <v>47</v>
      </c>
      <c r="U7" s="25" t="s">
        <v>611</v>
      </c>
      <c r="V7" s="30" t="s">
        <v>46</v>
      </c>
      <c r="W7" s="28" t="s">
        <v>610</v>
      </c>
      <c r="X7" s="28" t="s">
        <v>47</v>
      </c>
      <c r="Y7" s="32" t="s">
        <v>615</v>
      </c>
      <c r="Z7" s="25" t="s">
        <v>46</v>
      </c>
      <c r="AA7" s="25" t="s">
        <v>610</v>
      </c>
      <c r="AB7" s="25" t="s">
        <v>47</v>
      </c>
      <c r="AC7" s="25" t="s">
        <v>611</v>
      </c>
      <c r="AD7" s="33" t="s">
        <v>16</v>
      </c>
      <c r="AE7" s="28" t="s">
        <v>610</v>
      </c>
      <c r="AF7" s="28" t="s">
        <v>725</v>
      </c>
      <c r="AG7" s="28" t="s">
        <v>615</v>
      </c>
      <c r="AH7" s="28" t="s">
        <v>724</v>
      </c>
      <c r="AI7" s="25" t="s">
        <v>734</v>
      </c>
      <c r="AJ7" s="46" t="str">
        <f>IF(Atletas!D3="","",IF(Atletas!B3="Feminino",100,IF(Atletas!B3="Masculino",200,""))+(IF(Atletas!D3="Infantil 39kg",1,IF(Atletas!D3="Infantil 42kg",2,IF(Atletas!D3="Infantil 45kg",3,IF(Atletas!D3="Infantil 48kg",4,IF(Atletas!D3="Infantil 52kg",5,IF(Atletas!D3="Infantil 56kg",6,IF(Atletas!D3="Infantil 60kg",7,IF(Atletas!D3="Juvenil 48kg",8,IF(Atletas!D3="Juvenil 52kg",9,IF(Atletas!D3="Juvenil 56kg",10,IF(Atletas!D3="Juvenil 60kg",11,IF(Atletas!D3="Juvenil 65kg",12,IF(Atletas!D3="Juvenil 70kg",13,IF(Atletas!D3="Juvenil 75kg",14,IF(Atletas!D3="Juvenil 80kg",15,IF(Atletas!D3="Adulto 48kg",16,IF(Atletas!D3="Adulto 52kg",17,IF(Atletas!D3="Adulto 56kg",18,IF(Atletas!D3="Adulto 60kg",19,IF(Atletas!D3="Adulto 65kg",20,IF(Atletas!D3="Adulto 70kg",21,IF(Atletas!D3="Adulto 75kg",22,IF(Atletas!D3="Adulto 80kg",23,IF(Atletas!D3="Adulto 85kg",24,IF(Atletas!D3="Adulto 90kg",25,IF(Atletas!D3="Adulto +90kg",26,""))))))))))))))))))))))))))))</f>
        <v/>
      </c>
      <c r="AK7" s="52" t="str">
        <f>IF(AL7&lt;&gt;"","Infantil 39kg","")</f>
        <v/>
      </c>
      <c r="AL7" s="10" t="str">
        <f>IF(COUNTIF(AJ:AJ,101)&gt;0,COUNTIF(AJ:AJ,101),"")</f>
        <v/>
      </c>
      <c r="AM7" s="52" t="str">
        <f>IF(AN7&lt;&gt;"","Infantil 39kg","")</f>
        <v/>
      </c>
      <c r="AN7" s="10" t="str">
        <f>IF(COUNTIF(AJ:AJ,201)&gt;0,COUNTIF(AJ:AJ,201),"")</f>
        <v/>
      </c>
      <c r="AO7" s="10" t="str">
        <f>IF(Atletas!E3="","",IF(Atletas!B3="Feminino",100,IF(Atletas!B3="Masculino",200,""))+(IF(Atletas!E3="Juvenil 44kg",1,IF(Atletas!E3="Juvenil 48kg",2,IF(Atletas!E3="Juvenil 52kg",3,IF(Atletas!E3="Juvenil 56kg",4,IF(Atletas!E3="Juvenil 60kg",5,IF(Atletas!E3="Juvenil 65kg",6,IF(Atletas!E3="Juvenil 70kg",7,IF(Atletas!E3="Juvenil 75kg",8,IF(Atletas!E3="Juvenil 82kg",9,IF(Atletas!E3="Juvenil 90kg",10,IF(Atletas!E3="Juvenil 100kg",11,IF(Atletas!E3="Adulto 48kg",12,IF(Atletas!E3="Adulto 52kg",13,IF(Atletas!E3="Adulto 56kg",14,IF(Atletas!E3="Adulto 60kg",15,IF(Atletas!E3="Adulto 65kg",16,IF(Atletas!E3="Adulto 70kg",17,IF(Atletas!E3="Adulto 75kg",18,IF(Atletas!E3="Adulto 82kg",19,IF(Atletas!E3="Adulto 90kg",20,IF(Atletas!E3="Adulto 100kg",21,IF(Atletas!E3="Adulto +100kg",22,""))))))))))))))))))))))))</f>
        <v/>
      </c>
      <c r="AP7" s="52" t="str">
        <f>IF(AQ7&lt;&gt;"","Juvenil 44kg","")</f>
        <v/>
      </c>
      <c r="AQ7" s="10" t="str">
        <f>IF(COUNTIF(AO:AO,101)&gt;0,COUNTIF(AO:AO,101),"")</f>
        <v/>
      </c>
      <c r="AR7" s="52" t="str">
        <f>IF(AS7&lt;&gt;"","Juvenil 48kg","")</f>
        <v/>
      </c>
      <c r="AS7" s="10" t="str">
        <f>IF(COUNTIF(AO:AO,202)&gt;0,COUNTIF(AO:AO,202),"")</f>
        <v/>
      </c>
      <c r="AT7" s="10" t="str">
        <f>IF(Atletas!F3="","",IF(Atletas!B3="Feminino",100,IF(Atletas!B3="Masculino",200,""))+(IF(Atletas!F3="Adulto 48kg",1,IF(Atletas!F3="Adulto 56kg",2,IF(Atletas!F3="Adulto 65kg",3,IF(Atletas!F3="Adulto 75kg",4,IF(Atletas!F3="Adulto +75kg",5,IF(Atletas!F3="Adulto 52kg",6,IF(Atletas!F3="Adulto 60kg",7,IF(Atletas!F3="Adulto 70kg",8,IF(Atletas!F3="Adulto 80kg",9,IF(Atletas!F3="Adulto 90kg",10,IF(Atletas!F3="Adulto +90kg",11,"")))))))))))))</f>
        <v/>
      </c>
      <c r="AU7" s="52" t="str">
        <f>IF(AV7&lt;&gt;"","Adulto 48kg","")</f>
        <v/>
      </c>
      <c r="AV7" s="10" t="str">
        <f>IF(COUNTIF(AT:AT,101)&gt;0,COUNTIF(AT:AT,101),"")</f>
        <v/>
      </c>
      <c r="AW7" s="52" t="str">
        <f>IF(AX7&lt;&gt;"","Adulto 52kg","")</f>
        <v/>
      </c>
      <c r="AX7" s="10" t="str">
        <f>IF(COUNTIF(AT:AT,206)&gt;0,COUNTIF(AT:AT,206),"")</f>
        <v/>
      </c>
      <c r="AY7" s="46" t="str">
        <f>IF(Atletas!G3="","",IF(Atletas!B3="Feminino",100,IF(Atletas!B3="Masculino",200,""))+(IF(Atletas!G3="Changquan Mirim",1,IF(Atletas!G3="Nanquan Mirim",2,IF(Atletas!G3="Taijiquan Mirim",3,IF(Atletas!G3="Changquan Grupo C",4,IF(Atletas!G3="Nanquan Grupo C",5,IF(Atletas!G3="Taijiquan Grupo C",6,IF(Atletas!G3="Changquan Grupo B",7,IF(Atletas!G3="Nanquan Grupo B",8,IF(Atletas!G3="Taijiquan Grupo B",9,IF(Atletas!G3="Changquan Grupo A",10,IF(Atletas!G3="Nanquan Grupo A",11,IF(Atletas!G3="Taijiquan Grupo A",12,IF(Atletas!G3="Changquan Opcional",13,IF(Atletas!G3="Nanquan Opcional",14,IF(Atletas!G3="Taijiquan Opcional",15,IF(Atletas!G3="Changquan Adulto",16,IF(Atletas!G3="Nanquan Adulto",17,IF(Atletas!G3="Taijiquan Adulto",18,""))))))))))))))))))))</f>
        <v/>
      </c>
      <c r="AZ7" s="46" t="str">
        <f>IF(Atletas!H3="","",IF(Atletas!B3="Feminino",100,IF(Atletas!B3="Masculino",200,""))+(IF(Atletas!H3="Daoshu Mirim",19,IF(Atletas!H3="Jianshu Mirim",20,IF(Atletas!H3="Nandao Mirim",21,IF(Atletas!H3="Taijijian Mirim",22,IF(Atletas!H3="Daoshu Grupo C",23,IF(Atletas!H3="Jianshu Grupo C",24,IF(Atletas!H3="Nandao Grupo C",25,IF(Atletas!H3="Taijijian Grupo C",26,IF(Atletas!H3="Daoshu Grupo B",27,IF(Atletas!H3="Jianshu Grupo B",28,IF(Atletas!H3="Nandao Grupo B",29,IF(Atletas!H3="Taijijian Grupo B",30,IF(Atletas!H3="Daoshu Grupo A",31,IF(Atletas!H3="Jianshu Grupo A",32,IF(Atletas!H3="Nandao Grupo A",33,IF(Atletas!H3="Taijijian Grupo A",34,IF(Atletas!H3="Daoshu Opcional",35,IF(Atletas!H3="Jianshu Opcional",36,IF(Atletas!H3="Nandao Opcional",37,IF(Atletas!H3="Taijijian Opcional",38,IF(Atletas!H3="Daoshu Adulto",39,IF(Atletas!H3="Jianshu Adulto",40,IF(Atletas!H3="Nandao Adulto",41,IF(Atletas!H3="Taijijian Adulto",42,""))))))))))))))))))))))))))</f>
        <v/>
      </c>
      <c r="BA7" s="46" t="str">
        <f>IF(Atletas!I3="","",IF(Atletas!B3="Feminino",100,IF(Atletas!B3="Masculino",200,""))+(IF(Atletas!I3="Gunshu Mirim",43,IF(Atletas!I3="Qiangshu Mirim",44,IF(Atletas!I3="Nangun Mirim",45,IF(Atletas!I3="Gunshu Grupo C",46,IF(Atletas!I3="Qiangshu Grupo C",47,IF(Atletas!I3="Nangun Grupo C",48,IF(Atletas!I3="Gunshu Grupo B",49,IF(Atletas!I3="Qiangshu Grupo B",50,IF(Atletas!I3="Nangun Grupo B",51,IF(Atletas!I3="Gunshu Grupo A",52,IF(Atletas!I3="Qiangshu Grupo A",53,IF(Atletas!I3="Nangun Grupo A",54,IF(Atletas!I3="Gunshu Opcional",55,IF(Atletas!I3="Qiangshu Opcional",56,IF(Atletas!I3="Nangun Opcional",57,IF(Atletas!I3="Gunshu Adulto",58,IF(Atletas!I3="Qiangshu Adulto",59,IF(Atletas!I3="Nangun Adulto",60,""))))))))))))))))))))</f>
        <v/>
      </c>
      <c r="BB7" s="52" t="str">
        <f>IF(BC7&lt;&gt;"","Chanquan Mirim","")</f>
        <v/>
      </c>
      <c r="BC7" s="52" t="str">
        <f>IF(COUNTIF(AY:BA,101)&gt;0,COUNTIF(AY:BA,101),"")</f>
        <v/>
      </c>
      <c r="BD7" s="52" t="str">
        <f>IF(BE7&lt;&gt;"","Chanquan Mirim","")</f>
        <v/>
      </c>
      <c r="BE7" s="52" t="str">
        <f>IF(COUNTIF(AY:BA,201)&gt;0,COUNTIF(AY:BA,201),"")</f>
        <v/>
      </c>
      <c r="BF7" s="52" t="str">
        <f>IF(Atletas!J3="","",IF(Atletas!B3="Feminino",100,IF(Atletas!B3="Masculino",200,""))+(IF(Atletas!J3="Equipe 1 Grupo B",1,IF(Atletas!J3="Equipe 2 Grupo B",2,IF(Atletas!J3="Equipe 1 Grupo A",3,IF(Atletas!J3="Equipe 2 Grupo A",4,IF(Atletas!J3="Equipe 1 Adulto",5,IF(Atletas!J3="Equipe 2 Adulto",6,""))))))))</f>
        <v/>
      </c>
      <c r="BG7" s="52" t="str">
        <f>IF(BH7&lt;&gt;"","Equipe 1 Grupo B","")</f>
        <v/>
      </c>
      <c r="BH7" s="52" t="str">
        <f>IF(COUNTIF(BF:BF,101)&gt;0,COUNTIF(BF:BF,101),"")</f>
        <v/>
      </c>
      <c r="BI7" s="52" t="str">
        <f>IF(BJ7&lt;&gt;"","Equipe 1 Grupo B","")</f>
        <v/>
      </c>
      <c r="BJ7" s="52" t="str">
        <f>IF(COUNTIF(BF:BF,201)&gt;0,COUNTIF(BF:BF,201),"")</f>
        <v/>
      </c>
      <c r="BK7" s="52" t="str">
        <f>IF(Atletas!K3="","",IF(Atletas!W3&lt;&gt;"",10000,0)+(IF(Atletas!B3="Feminino",1000,IF(Atletas!B3="Masculino",2000,""))+IF(Atletas!K3="Choylayfut A",1,IF(Atletas!K3="Hunggar A",2,IF(Atletas!K3="Wuzuquan A",3,IF(Atletas!K3="Wingchun A",4,IF(Atletas!K3="Outra Mão de Sul A",5,IF(Atletas!K3="Choylayfut B",6,IF(Atletas!K3="Hunggar B",7,IF(Atletas!K3="Wuzuquan B",8,IF(Atletas!K3="Wingchun B",9,IF(Atletas!K3="Outra Mão de Sul B",10,IF(Atletas!K3="Choylayfut C",11,IF(Atletas!K3="Hunggar C",12,IF(Atletas!K3="Wuzuquan C",13,IF(Atletas!K3="Wingchun C",14,IF(Atletas!K3="Outra Mão de Sul C",15,IF(Atletas!K3="Choylayfut D",16,IF(Atletas!K3="Hunggar D",17,IF(Atletas!K3="Wuzuquan D",18,IF(Atletas!K3="Wingchun D",19,IF(Atletas!K3="Outra Mão de Sul D",20,IF(Atletas!K3="Choylayfut E",21,IF(Atletas!K3="Hunggar E",22,IF(Atletas!K3="Wuzuquan E",23,IF(Atletas!K3="Wingchun E",24,IF(Atletas!K3="Outra Mão de Sul E",25,IF(Atletas!K3="Choylayfut F",26,IF(Atletas!K3="Hunggar F",27,IF(Atletas!K3="Wuzuquan F",28,IF(Atletas!K3="Wingchun F",29,IF(Atletas!K3="Outra Mão de Sul F",30,""))))))))))))))))))))))))))))))))</f>
        <v/>
      </c>
      <c r="BL7" s="52" t="str">
        <f>IF(Atletas!L3="","",IF(Atletas!W3&lt;&gt;"",10000,0)+(IF(Atletas!B3="Feminino",1000,IF(Atletas!B3="Masculino",2000,""))+(IF(Atletas!L3="Chaquan A",101,IF(Atletas!L3="Emeiquan A",102,IF(Atletas!L3="Fanziquan A",103,IF(Atletas!L3="Huaquan A",104,IF(Atletas!L3="Hongquan A",105,IF(Atletas!L3="Paochui A",106,IF(Atletas!L3="Piguaquan A",107,IF(Atletas!L3="Shaolinquan A",108,IF(Atletas!L3="Tanglangquan A",109,IF(Atletas!L3="Yinzhaophai A",110,IF(Atletas!L3="Tongbeiquan A",111,IF(Atletas!L3="Wudangquan A",112,IF(Atletas!L3="Outros Estilos A",113,IF(Atletas!L3="Chaquan B",114,IF(Atletas!L3="Emeiquan B",115,IF(Atletas!L3="Fanziquan B",116,IF(Atletas!L3="Huaquan B",117,IF(Atletas!L3="Hongquan B",118,IF(Atletas!L3="Paochui B",119,IF(Atletas!L3="Piguaquan B",120,IF(Atletas!L3="Shaolinquan B",121,IF(Atletas!L3="Tanglangquan B",122,IF(Atletas!L3="Yinzhaophai B",123,IF(Atletas!L3="Tongbeiquan B",124,IF(Atletas!L3="Wudangquan B",125,IF(Atletas!L3="Outros Estilos B",126,IF(Atletas!L3="Chaquan C",127,IF(Atletas!L3="Emeiquan C",128,IF(Atletas!L3="Fanziquan C",129,IF(Atletas!L3="Huaquan C",130,IF(Atletas!L3="Hongquan C",131,IF(Atletas!L3="Paochui C",132,IF(Atletas!L3="Piguaquan C",133,IF(Atletas!L3="Shaolinquan C",134,IF(Atletas!L3="Tanglangquan C",135,IF(Atletas!L3="Yinzhaophai C",136,IF(Atletas!L3="Tongbeiquan C",137,IF(Atletas!L3="Wudangquan C",138,IF(Atletas!L3="Outros Estilos C",139,0))))))))))))))))))))))))))))))))))))))))))</f>
        <v/>
      </c>
      <c r="BM7" s="52" t="str">
        <f>IF(Atletas!L3="","",IF(Atletas!W3&lt;&gt;"",10000,0)+(IF(Atletas!B3="Feminino",1000,IF(Atletas!B3="Masculino",2000,""))+(IF(Atletas!L3="Chaquan D",140,IF(Atletas!L3="Emeiquan D",141,IF(Atletas!L3="Fanziquan D",142,IF(Atletas!L3="Huaquan D",143,IF(Atletas!L3="Hongquan D",144,IF(Atletas!L3="Paochui D",145,IF(Atletas!L3="Piguaquan D",146,IF(Atletas!L3="Shaolinquan D",147,IF(Atletas!L3="Tanglangquan D",148,IF(Atletas!L3="Yinzhaophai D",149,IF(Atletas!L3="Tongbeiquan D",150,IF(Atletas!L3="Wudangquan D",151,IF(Atletas!L3="Outros Estilos D",152,IF(Atletas!L3="Chaquan E",153,IF(Atletas!L3="Emeiquan E",154,IF(Atletas!L3="Fanziquan E",155,IF(Atletas!L3="Huaquan E",156,IF(Atletas!L3="Hongquan E",157,IF(Atletas!L3="Paochui E",158,IF(Atletas!L3="Piguaquan E",159,IF(Atletas!L3="Shaolinquan E",160,IF(Atletas!L3="Tanglangquan E",161,IF(Atletas!L3="Yinzhaophai E",162,IF(Atletas!L3="Tongbeiquan E",163,IF(Atletas!L3="Wudangquan E",164,IF(Atletas!L3="Outros Estilos E",165,IF(Atletas!L3="Chaquan F",166,IF(Atletas!L3="Emeiquan F",167,IF(Atletas!L3="Fanziquan F",168,IF(Atletas!L3="Huaquan F",169,IF(Atletas!L3="Hongquan F",170,IF(Atletas!L3="Paochui F",171,IF(Atletas!L3="Piguaquan F",172,IF(Atletas!L3="Shaolinquan F",173,IF(Atletas!L3="Tanglangquan F",174,IF(Atletas!L3="Yinzhaophai F",175,IF(Atletas!L3="Tongbeiquan F",176,IF(Atletas!L3="Wudangquan F",177,IF(Atletas!L3="Outros Estilos F",178,0))))))))))))))))))))))))))))))))))))))))))</f>
        <v/>
      </c>
      <c r="BN7" s="52" t="str">
        <f>IF(Atletas!M3="","",IF(Atletas!W3&lt;&gt;"",10000,0)+(IF(Atletas!B3="Feminino",1000,IF(Atletas!B3="Masculino",2000,""))+(IF(Atletas!M3="Ditangquan A",201,IF(Atletas!M3="Houquan A",202,IF(Atletas!M3="Zuiquan A",203,IF(Atletas!M3="Ditangquan B",204,IF(Atletas!M3="Houquan B",205,IF(Atletas!M3="Zuiquan B",206,IF(Atletas!M3="Ditangquan C",207,IF(Atletas!M3="Houquan C",208,IF(Atletas!M3="Zuiquan C",209,IF(Atletas!M3="Ditangquan D",210,IF(Atletas!M3="Houquan D",211,IF(Atletas!M3="Zuiquan D",212,IF(Atletas!M3="Ditangquan E",213,IF(Atletas!M3="Houquan E",214,IF(Atletas!M3="Zuiquan E",215,IF(Atletas!M3="Ditangquan F",216,IF(Atletas!M3="Houquan F",217,IF(Atletas!M3="Zuiquan F",218,"")))))))))))))))))))))</f>
        <v/>
      </c>
      <c r="BO7" s="52" t="str">
        <f>IF(Atletas!N3="","",IF(Atletas!W3&lt;&gt;"",10000,0)+IF(Atletas!B3="Feminino",1000,IF(Atletas!B3="Masculino",2000,""))+IF(Atletas!N3="Yang A",301,IF(Atletas!N3="Chen A",30,IF(Atletas!N3="Sun A",303,IF(Atletas!N3="Wu A",304,IF(Atletas!N3="Wu-Hao A",305,IF(Atletas!N3="Outro Taijiquan A",306,IF(Atletas!N3="Yang B",307,IF(Atletas!N3="Chen B",308,IF(Atletas!N3="Sun B",309,IF(Atletas!N3="Wu B",310,IF(Atletas!N3="Wu-Hao B",311,IF(Atletas!N3="Outro Taijiquan B",312,IF(Atletas!N3="Yang C",313,IF(Atletas!N3="Chen C",314,IF(Atletas!N3="Sun C",315,IF(Atletas!N3="Wu C",316,IF(Atletas!N3="Wu-Hao C",317,IF(Atletas!N3="Outro Taijiquan C",318,IF(Atletas!N3="Yang D",319,IF(Atletas!N3="Chen D",320,IF(Atletas!N3="Sun D",321,IF(Atletas!N3="Wu D",322,IF(Atletas!N3="Wu-Hao D",323,IF(Atletas!N3="Outro Taijiquan D",324,IF(Atletas!N3="Yang E",325,IF(Atletas!N3="Chen E",326,IF(Atletas!N3="Sun E",327,IF(Atletas!N3="Wu E",328,IF(Atletas!N3="Wu-Hao E",329,IF(Atletas!N3="Outro Taijiquan E",330,IF(Atletas!N3="Yang F",331,IF(Atletas!N3="Chen F",332,IF(Atletas!N3="Sun F",333,IF(Atletas!N3="Wu F",334,IF(Atletas!N3="Wu-Hao F",335,IF(Atletas!N3="Outro Taijiquan F",336,"")))))))))))))))))))))))))))))))))))))</f>
        <v/>
      </c>
      <c r="BP7" s="52" t="str">
        <f>IF(Atletas!O3="","",IF(Atletas!W3&lt;&gt;"",10000,0)+IF(Atletas!B3="Feminino",1000,IF(Atletas!B3="Masculino",2000,""))+IF(OR(Atletas!O3="Yang 26 A",Atletas!O3="Yang 40 A"),401,IF(OR(Atletas!O3="Chen 25 A",Atletas!O3="Chen 36 A",Atletas!O3="Chen 56 A"),402,IF(Atletas!O3="Sun 73 A",403,IF(Atletas!O3="Wu 45 A",404,IF(Atletas!O3="Wu-Hao 46 A",405,IF(OR(Atletas!O3="Taijiquan 16 A",Atletas!O3="Taijiquan 24 A",Atletas!O3="Taijiquan 32 A",Atletas!O3="Taijiquan 42 A"),406,IF(OR(Atletas!O3="Yang 26 B",Atletas!O3="Yang 40 B"),407,IF(OR(Atletas!O3="Chen 25 B",Atletas!O3="Chen 36 B",Atletas!O3="Chen 56 B"),408,IF(Atletas!O3="Sun 73 B",409,IF(Atletas!O3="Wu 45 B",410,IF(Atletas!O3="Wu-Hao 46 B",411,IF(OR(Atletas!O3="Taijiquan 16 B",Atletas!O3="Taijiquan 24 B",Atletas!O3="Taijiquan 32 B",Atletas!O3="Taijiquan 42 B"),412,IF(OR(Atletas!O3="Yang 26 C",Atletas!O3="Yang 40 C"),413,IF(OR(Atletas!O3="Chen 25 C",Atletas!O3="Chen 36 C",Atletas!O3="Chen 56 C"),414,IF(Atletas!O3="Sun 73 C",415,IF(Atletas!O3="Wu 45 C",416,IF(Atletas!O3="Wu-Hao 46 C",417,IF(OR(Atletas!O3="Taijiquan 16 C",Atletas!O3="Taijiquan 24 C",Atletas!O3="Taijiquan 32 C",Atletas!O3="Taijiquan 42 C"),418,0)))))))))))))))))))</f>
        <v/>
      </c>
      <c r="BQ7" s="52" t="str">
        <f>IF(Atletas!O3="","",IF(Atletas!W3&lt;&gt;"",10000,0)+IF(Atletas!B3="Feminino",1000,IF(Atletas!B3="Masculino",2000,""))+IF(OR(Atletas!O3="Yang 26 D",Atletas!O3="Yang 40 D"),419,IF(OR(Atletas!O3="Chen 25 D",Atletas!O3="Chen 36 D",Atletas!O3="Chen 56 D"),420,IF(Atletas!O3="Sun 73 D",421,IF(Atletas!O3="Wu 45 D",422,IF(Atletas!O3="Wu-Hao 46 D",423,IF(OR(Atletas!O3="Taijiquan 16 D",Atletas!O3="Taijiquan 24 D",Atletas!O3="Taijiquan 32 D",Atletas!O3="Taijiquan 42 D"),424,IF(OR(Atletas!O3="Yang 26 E",Atletas!O3="Yang 40 E"),425,IF(OR(Atletas!O3="Chen 25 E",Atletas!O3="Chen 36 E",Atletas!O3="Chen 56 E"),426,IF(Atletas!O3="Sun 73 E",427,IF(Atletas!O3="Wu 45 E",428,IF(Atletas!O3="Wu-Hao 46 E",429,IF(OR(Atletas!O3="Taijiquan 16 E",Atletas!O3="Taijiquan 24 E",Atletas!O3="Taijiquan 32 E",Atletas!O3="Taijiquan 42 E"),430,IF(OR(Atletas!O3="Yang 26 F",Atletas!O3="Yang 40 F"),431,IF(OR(Atletas!O3="Chen 25 F",Atletas!O3="Chen 36 F",Atletas!O3="Chen 56 F"),432,IF(Atletas!O3="Sun 73 F",433,IF(Atletas!O3="Wu 45 F",434,IF(Atletas!O3="Wu-Hao 46 F",435,IF(OR(Atletas!O3="Taijiquan 16 F",Atletas!O3="Taijiquan 24 F",Atletas!O3="Taijiquan 32 F",Atletas!O3="Taijiquan 42 F"),436,0)))))))))))))))))))</f>
        <v/>
      </c>
      <c r="BR7" s="52" t="str">
        <f>IF(Atletas!P3="","",IF(Atletas!W3&lt;&gt;"",10000,0)+IF(Atletas!B3="Feminino",1000,IF(Atletas!B3="Masculino",2000,""))+IF(Atletas!P3="Xingyiquan A",501,IF(Atletas!P3="Baguazhang A",502,IF(Atletas!P3="Outro Estilo Interno A",503,IF(Atletas!P3="Xingyiquan B",504,IF(Atletas!P3="Baguazhang B",505,IF(Atletas!P3="Outro Estilo Interno B",506,IF(Atletas!P3="Xingyiquan C",507,IF(Atletas!P3="Baguazhang C",508,IF(Atletas!P3="Outro Estilo Interno C",509,IF(Atletas!P3="Xingyiquan D",510,IF(Atletas!P3="Baguazhang D",511,IF(Atletas!P3="Outro Estilo Interno D",512,IF(Atletas!P3="Xingyiquan E",513,IF(Atletas!P3="Baguazhang E",514,IF(Atletas!P3="Outro Estilo Interno E",515,IF(Atletas!P3="Xingyiquan F",516,IF(Atletas!P3="Baguazhang F",517,IF(Atletas!P3="Outro Estilo Interno F",518, "")))))))))))))))))))</f>
        <v/>
      </c>
      <c r="BS7" s="52" t="str">
        <f>IF(Atletas!Q3="","",IF(Atletas!W3&lt;&gt;"",10000,0)+IF(Atletas!B3="Feminino",1000,IF(Atletas!B3="Masculino",2000,""))+IF(Atletas!Q3="Dao A",601,IF(Atletas!Q3="Jian A",602,IF(Atletas!Q3="Bishou A",603,IF(Atletas!Q3="Shan A",604,IF(Atletas!Q3="Outra Arma Curta A",605,IF(Atletas!Q3="Dao B",606,IF(Atletas!Q3="Jian B",607,IF(Atletas!Q3="Bishou B",608,IF(Atletas!Q3="Shan B",609,IF(Atletas!Q3="Outra Arma Curta B",610,IF(Atletas!Q3="Dao C",611,IF(Atletas!Q3="Jian C",612,IF(Atletas!Q3="Bishou C",613,IF(Atletas!Q3="Shan C",614,IF(Atletas!Q3="Outra Arma Curta C",615,IF(Atletas!Q3="Dao D",616,IF(Atletas!Q3="Jian D",617,IF(Atletas!Q3="Bishou D",618,IF(Atletas!Q3="Shan D",619,IF(Atletas!Q3="Outra Arma Curta D",620,IF(Atletas!Q3="Dao E",621,IF(Atletas!Q3="Jian E",622,IF(Atletas!Q3="Bishou E",623,IF(Atletas!Q3="Shan E",624,IF(Atletas!Q3="Outra Arma Curta E",625,IF(Atletas!Q3="Dao F",626,IF(Atletas!Q3="Jian F",627,IF(Atletas!Q3="Bishou F",628,IF(Atletas!Q3="Shan F",629,IF(Atletas!Q3="Outra Arma Curta F",630, "")))))))))))))))))))))))))))))))</f>
        <v/>
      </c>
      <c r="BT7" s="52" t="str">
        <f>IF(Atletas!R3="","",IF(Atletas!W3&lt;&gt;"",10000,0)+IF(Atletas!B3="Feminino",1000,IF(Atletas!B3="Masculino",2000,""))+IF(Atletas!R3="Gun A",701,IF(Atletas!R3="Qiang A",702,IF(Atletas!R3="Pudao / Guandao A",703,IF(Atletas!R3="Outra Arma Longa A",704,IF(Atletas!R3="Gun B",705,IF(Atletas!R3="Qiang B",706,IF(Atletas!R3="Pudao / Guandao B",707,IF(Atletas!R3="Outra Arma Longa B",708,IF(Atletas!R3="Gun C",709,IF(Atletas!R3="Qiang C",710,IF(Atletas!R3="Pudao / Guandao C",711,IF(Atletas!R3="Outra Arma Longa C",712,IF(Atletas!R3="Gun D",713,IF(Atletas!R3="Qiang D",714,IF(Atletas!R3="Pudao / Guandao D",715,IF(Atletas!R3="Outra Arma Longa D",716,IF(Atletas!R3="Gun E",717,IF(Atletas!R3="Qiang E",718,IF(Atletas!R3="Pudao / Guandao E",719,IF(Atletas!R3="Outra Arma Longa E",720,IF(Atletas!R3="Gun F",721,IF(Atletas!R3="Qiang F",722,IF(Atletas!R3="Pudao / Guandao F",723,IF(Atletas!R3="Outra Arma Longa F",724,"")))))))))))))))))))))))))</f>
        <v/>
      </c>
      <c r="BU7" s="52" t="str">
        <f>IF(Atletas!S3="","",IF(Atletas!W3&lt;&gt;"",10000,0)+IF(Atletas!B3="Feminino",1000,IF(Atletas!B3="Masculino",2000,""))+IF(Atletas!S3="Arma Dupla A",801,IF(Atletas!S3="Arma Maleável A",802,IF(Atletas!S3="Arma Dupla B",803,IF(Atletas!S3="Arma Maleável B",804,IF(Atletas!S3="Arma Dupla C",805,IF(Atletas!S3="Arma Maleável C",806,IF(Atletas!S3="Arma Dupla D",807,IF(Atletas!S3="Arma Maleável D",808,IF(Atletas!S3="Arma Dupla E",809,IF(Atletas!S3="Arma Maleável E",810,IF(Atletas!S3="Arma Dupla F",811,IF(Atletas!S3="Arma Maleável F",812, "")))))))))))))</f>
        <v/>
      </c>
      <c r="BV7" s="52" t="str">
        <f>IF(Atletas!T3="","",IF(Atletas!W3&lt;&gt;"",10000,0)+IF(Atletas!B3="Feminino",1000,IF(Atletas!B3="Masculino",2000,""))+IF(Atletas!T3="Taijijian Yang A",901,IF(Atletas!T3="Taijijian Chen A",902,IF(Atletas!T3="Taijijian Sun A",903,IF(Atletas!T3="Taijijian Wu A",904,IF(Atletas!T3="Taijijian Wu-Hao A",905,IF(Atletas!T3="Taijijian 32 A",906,IF(Atletas!T3="Taijijian 42 A",907,IF(Atletas!T3="Taijijian Yang B",908,IF(Atletas!T3="Taijijian Chen B",909,IF(Atletas!T3="Taijijian Sun B",910,IF(Atletas!T3="Taijijian Wu B",911,IF(Atletas!T3="Taijijian Wu-Hao B",912,IF(Atletas!T3="Taijijian 32 B",913,IF(Atletas!T3="Taijijian 42 B",914,IF(Atletas!T3="Taijijian Yang C",915,IF(Atletas!T3="Taijijian Chen C",916,IF(Atletas!T3="Taijijian Sun C",917,IF(Atletas!T3="Taijijian Wu C",918,IF(Atletas!T3="Taijijian Wu-Hao C",919,IF(Atletas!T3="Taijijian 32 C",920,IF(Atletas!T3="Taijijian 42 C",921,IF(Atletas!T3="Taijijian Yang D",922,IF(Atletas!T3="Taijijian Chen D",923,IF(Atletas!T3="Taijijian Sun D",924,IF(Atletas!T3="Taijijian Wu D",925,IF(Atletas!T3="Taijijian Wu-Hao D",926,IF(Atletas!T3="Taijijian 32 D",927,IF(Atletas!T3="Taijijian 42 D",928,IF(Atletas!T3="Taijijian Yang E",929,IF(Atletas!T3="Taijijian Chen E",930,IF(Atletas!T3="Taijijian Sun E",931,IF(Atletas!T3="Taijijian Wu E",932,IF(Atletas!T3="Taijijian Wu-Hao E",933,IF(Atletas!T3="Taijijian 32 E",934,IF(Atletas!T3="Taijijian 42 E",935,IF(Atletas!T3="Taijijian Yang F",936,IF(Atletas!T3="Taijijian Chen F",937,IF(Atletas!T3="Taijijian Sun F",938,IF(Atletas!T3="Taijijian Wu F",939,IF(Atletas!T3="Taijijian Wu-Hao F",940,IF(Atletas!T3="Taijijian 32 F",941,IF(Atletas!T3="Taijijian 42 F",942,"")))))))))))))))))))))))))))))))))))))))))))</f>
        <v/>
      </c>
      <c r="BW7" s="52" t="str">
        <f>IF(Atletas!U3="","",IF(Atletas!W3&lt;&gt;"",10000,0)+IF(Atletas!B3="Feminino",1000,IF(Atletas!B3="Masculino",2000,""))+IF(Atletas!T3="Taijijian 42 F",942,IF(Atletas!U3="Taijidao A",943,IF(Atletas!U3="Taijishan A",944,IF(Atletas!U3="Taijiqiang A",945,IF(Atletas!U3="Taijidao B",946,IF(Atletas!U3="Taijishan B",947,IF(Atletas!U3="Taijiqiang B",948,IF(Atletas!U3="Taijidao C",949,IF(Atletas!U3="Taijishan C",950,IF(Atletas!U3="Taijiqiang C",951,IF(Atletas!U3="Taijidao D",952,IF(Atletas!U3="Taijishan D",953,IF(Atletas!U3="Taijiqiang D",954,IF(Atletas!U3="Taijidao E",955,IF(Atletas!U3="Taijishan E",956,IF(Atletas!U3="Taijiqiang E",957,IF(Atletas!U3="Taijidao F",958,IF(Atletas!U3="Taijishan F",959,IF(Atletas!U3="Taijiqiang F",960))))))))))))))))))))</f>
        <v/>
      </c>
      <c r="BX7" s="64" t="str">
        <f>IF(BY7&lt;&gt;"","Choylayfut A","")</f>
        <v/>
      </c>
      <c r="BY7" s="64" t="str">
        <f>IF(COUNTIF(BK:BW,1001)&gt;0,COUNTIF(BK:BW,1001),"")</f>
        <v/>
      </c>
      <c r="BZ7" s="64" t="str">
        <f>IF(CA7&lt;&gt;"","Choylayfut A","")</f>
        <v/>
      </c>
      <c r="CA7" s="64" t="str">
        <f>IF(COUNTIF(BK:BW,2001)&gt;0,COUNTIF(BK:BW,2001),"")</f>
        <v/>
      </c>
      <c r="CB7" s="64" t="str">
        <f>IF(CC7&lt;&gt;"","Choylayfut A","")</f>
        <v/>
      </c>
      <c r="CC7" s="64" t="str">
        <f>IF(COUNTIF(BK:BW,11001)&gt;0,COUNTIF(BK:BW,11001),"")</f>
        <v/>
      </c>
      <c r="CD7" s="64" t="str">
        <f>IF(CE7&lt;&gt;"","Choylayfut A","")</f>
        <v/>
      </c>
      <c r="CE7" s="64" t="str">
        <f>IF(COUNTIF(BK:BW,12001)&gt;0,COUNTIF(BK:BW,12001),"")</f>
        <v/>
      </c>
      <c r="CF7" s="52" t="str">
        <f xml:space="preserve"> IF(Atletas!V3="","",IF(Atletas!V3="Duilian de Mãos AB - Equipe 1",1,IF(Atletas!V3="Duilian de Mãos AB - Equipe 2",2,IF(Atletas!V3="Duilian de Armas AB - Equipe 1",3,IF(Atletas!V3="Duilian de Armas AB - Equipe 2",4,IF(Atletas!V3="Duilian de Tuishou - Equipe 1",5,IF(Atletas!V3="Duilian de Tuishou - Equipe 2",6,IF(Atletas!V3="Grupo Externo AB - Equipe 1",7,IF(Atletas!V3="Grupo Externo AB - Equipe 2",8,IF(Atletas!V3="Grupo Interno AB - Equipe 1",9,IF(Atletas!V3="Grupo Interno AB - Equipe 2",10,IF(Atletas!V3="Duilian de Mãos CD - Equipe 1",11,IF(Atletas!V3="Duilian de Mãos CD - Equipe 2",12,IF(Atletas!V3="Duilian de Armas CD - Equipe 1",13,IF(Atletas!V3="Duilian de Armas CD - Equipe 2",14,IF(Atletas!V3="Duilian de Tuishou - Equipe 1",15,IF(Atletas!V3="Duilian de Tuishou - Equipe 2",16,IF(Atletas!V3="Grupo Externo CDEF - Equipe 1",17,IF(Atletas!V3="Grupo Externo CDEF - Equipe 2",18,IF(Atletas!V3="Grupo Interno CDEF - Equipe 1",19,IF(Atletas!V3="Grupo Interno CDEF - Equipe 2",20,IF(Atletas!V3="Duilian de Mãos EF - Equipe 1",21,IF(Atletas!V3="Duilian de Mãos EF - Equipe 2",22,IF(Atletas!V3="Duilian de Armas EF - Equipe 1",23,IF(Atletas!V3="Duilian de Armas EF - Equipe 2",24,IF(Atletas!V3="Duilian de Tuishou - Equipe 1",25,IF(Atletas!V3="Duilian de Tuishou - Equipe 2",26,"")))))))))))))))))))))))))))</f>
        <v/>
      </c>
      <c r="CG7" s="52" t="str">
        <f>IF(CH7&lt;&gt;"","Duilian de Mãos AB - Equipe 1","")</f>
        <v/>
      </c>
      <c r="CH7" s="52" t="str">
        <f>IF(COUNTIF(CF:CF,1)&gt;0,COUNTIF(CF:CF,1),"")</f>
        <v/>
      </c>
      <c r="CI7" s="46" t="str">
        <f>IF(CJ7&lt;&gt;"","Duilian de Tuishou - Equipe 1","")</f>
        <v/>
      </c>
      <c r="CJ7" s="46" t="str">
        <f>IF(COUNTIF(CF:CF,5)&gt;0,COUNTIF(CF:CF,5),"")</f>
        <v/>
      </c>
      <c r="CK7" s="46" t="str">
        <f>IF(CL7&lt;&gt;"","Grupo Externo AB - Equipe 1","")</f>
        <v/>
      </c>
      <c r="CL7" s="46" t="str">
        <f>IF(COUNTIF(CF:CF,7)&gt;0,COUNTIF(CF:CF,7),"")</f>
        <v/>
      </c>
    </row>
    <row r="8" spans="1:96">
      <c r="A8" s="25"/>
      <c r="B8" s="4" t="str">
        <f t="array" ref="B8">IFERROR(INDEX(AK$7:AK$36,SMALL(IF(AK$7:AK$36&lt;&gt;"",ROW(AK$7:AK$36)-ROW(AK$7)+1),ROWS(AK$7:AK7))),"")</f>
        <v/>
      </c>
      <c r="C8" s="4" t="str">
        <f t="array" ref="C8">IFERROR(INDEX(AL$7:AL$36,SMALL(IF(AL$7:AL$36&lt;&gt;"",ROW(AL$7:AL$36)-ROW(AL$7)+1),ROWS(AL$7:AL7))),"")</f>
        <v/>
      </c>
      <c r="D8" s="4" t="str">
        <f t="array" ref="D8">IFERROR(INDEX(AM$7:AM$36,SMALL(IF(AM$7:AM$36&lt;&gt;"",ROW(AM$7:AM$36)-ROW(AM$7)+1),ROWS(AM$7:AM7))),"")</f>
        <v/>
      </c>
      <c r="E8" s="4" t="str">
        <f t="array" ref="E8">IFERROR(INDEX(AN$7:AN$36,SMALL(IF(AN$7:AN$36&lt;&gt;"",ROW(AN$7:AN$36)-ROW(AN$7)+1),ROWS(AN$7:AN7))),"")</f>
        <v/>
      </c>
      <c r="F8" s="4" t="str">
        <f t="array" ref="F8">IFERROR(INDEX(AP$7:AP$36,SMALL(IF(AP$7:AP$36&lt;&gt;"",ROW(AP$7:AP$36)-ROW(AP$7)+1),ROWS(AP$7:AP7))),"")</f>
        <v/>
      </c>
      <c r="G8" s="4" t="str">
        <f t="array" ref="G8">IFERROR(INDEX(AQ$7:AQ$36,SMALL(IF(AQ$7:AQ$36&lt;&gt;"",ROW(AQ$7:AQ$36)-ROW(AQ$7)+1),ROWS(AQ$7:AQ7))),"")</f>
        <v/>
      </c>
      <c r="H8" s="4" t="str">
        <f t="array" ref="H8">IFERROR(INDEX(AR$7:AR$36,SMALL(IF(AR$7:AR$36&lt;&gt;"",ROW(AR$7:AR$36)-ROW(AR$7)+1),ROWS(AR$7:AR7))),"")</f>
        <v/>
      </c>
      <c r="I8" s="4" t="str">
        <f t="array" ref="I8">IFERROR(INDEX(AS$7:AS$36,SMALL(IF(AS$7:AS$36&lt;&gt;"",ROW(AS$7:AS$36)-ROW(AS$7)+1),ROWS(AS$7:AS7))),"")</f>
        <v/>
      </c>
      <c r="J8" s="4" t="str">
        <f t="array" ref="J8">IFERROR(INDEX(AU$7:AU$36,SMALL(IF(AU$7:AU$36&lt;&gt;"",ROW(AU$7:AU$36)-ROW(AU$7)+1),ROWS(AU$7:AU7))),"")</f>
        <v/>
      </c>
      <c r="K8" s="4" t="str">
        <f t="array" ref="K8">IFERROR(INDEX(AV$7:AV$36,SMALL(IF(AV$7:AV$36&lt;&gt;"",ROW(AV$7:AV$36)-ROW(AV$7)+1),ROWS(AV$7:AV7))),"")</f>
        <v/>
      </c>
      <c r="L8" s="4" t="str">
        <f t="array" ref="L8">IFERROR(INDEX(AW$7:AW$36,SMALL(IF(AW$7:AW$36&lt;&gt;"",ROW(AW$7:AW$36)-ROW(AW$7)+1),ROWS(AW$7:AW7))),"")</f>
        <v/>
      </c>
      <c r="M8" s="4" t="str">
        <f t="array" ref="M8">IFERROR(INDEX(AX$7:AX$36,SMALL(IF(AX$7:AX$36&lt;&gt;"",ROW(AX$7:AX$36)-ROW(AX$7)+1),ROWS(AX$7:AX7))),"")</f>
        <v/>
      </c>
      <c r="N8" s="4" t="str">
        <f t="array" ref="N8">IFERROR(INDEX(BB$7:BB$66,SMALL(IF(BB$7:BB$66&lt;&gt;"",ROW(BB$7:BB$66)-ROW(BB$7)+1),ROWS(BB$7:BB7))),"")</f>
        <v/>
      </c>
      <c r="O8" s="4" t="str">
        <f t="array" ref="O8">IFERROR(INDEX(BC$7:BC$66,SMALL(IF(BC$7:BC$66&lt;&gt;"",ROW(BC$7:BC$66)-ROW(BC$7)+1),ROWS(BC$7:BC7))),"")</f>
        <v/>
      </c>
      <c r="P8" s="4" t="str">
        <f t="array" ref="P8">IFERROR(INDEX(BD$7:BD$66,SMALL(IF(BD$7:BD$66&lt;&gt;"",ROW(BD$7:BD$66)-ROW(BD$7)+1),ROWS(BD$7:BD7))),"")</f>
        <v/>
      </c>
      <c r="Q8" s="4" t="str">
        <f t="array" ref="Q8">IFERROR(INDEX(BE$7:BE$66,SMALL(IF(BE$7:BE$66&lt;&gt;"",ROW(BE$7:BE$66)-ROW(BE$7)+1),ROWS(BE$7:BE7))),"")</f>
        <v/>
      </c>
      <c r="R8" s="4" t="str">
        <f t="array" ref="R8">IFERROR(INDEX(BG$7:BG$12,SMALL(IF(BG$7:BG$12&lt;&gt;"",ROW(BG$7:BG$12)-ROW(BG$7)+1),ROWS(BG$7:BG7))),"")</f>
        <v/>
      </c>
      <c r="S8" s="4" t="str">
        <f t="array" ref="S8">IFERROR(INDEX(BH$7:BH$12,SMALL(IF(BH$7:BH$12&lt;&gt;"",ROW(BH$7:BH$12)-ROW(BH$7)+1),ROWS(BH$7:BH7))),"")</f>
        <v/>
      </c>
      <c r="T8" s="4" t="str">
        <f t="array" ref="T8">IFERROR(INDEX(BI$7:BI$12,SMALL(IF(BI$7:BI$12&lt;&gt;"",ROW(BI$7:BI$12)-ROW(BI$7)+1),ROWS(BI$7:BI7))),"")</f>
        <v/>
      </c>
      <c r="U8" s="4" t="str">
        <f t="array" ref="U8">IFERROR(INDEX(BJ$7:BJ$12,SMALL(IF(BJ$7:BJ$12&lt;&gt;"",ROW(BJ$7:BJ$12)-ROW(BJ$7)+1),ROWS(BJ$7:BJ7))),"")</f>
        <v/>
      </c>
      <c r="V8" s="4" t="str">
        <f t="array" ref="V8">IFERROR(INDEX(BX$7:BX$336,SMALL(IF(BX$7:BX$336&lt;&gt;"",ROW(BX$7:BX$336)-ROW(BX$7)+1),ROWS(BX$7:BX7))),"")</f>
        <v/>
      </c>
      <c r="W8" s="4" t="str">
        <f t="array" ref="W8">IFERROR(INDEX(BY$7:BY$336,SMALL(IF(BY$7:BY$336&lt;&gt;"",ROW(BY$7:BY$336)-ROW(BY$7)+1),ROWS(BY$7:BY7))),"")</f>
        <v/>
      </c>
      <c r="X8" s="4" t="str">
        <f t="array" ref="X8">IFERROR(INDEX(BZ$7:BZ$336,SMALL(IF(BZ$7:BZ$336&lt;&gt;"",ROW(BZ$7:BZ$336)-ROW(BZ$7)+1),ROWS(BZ$7:BZ7))),"")</f>
        <v/>
      </c>
      <c r="Y8" s="4" t="str">
        <f t="array" ref="Y8">IFERROR(INDEX(CA$7:CA$336,SMALL(IF(CA$7:CA$336&lt;&gt;"",ROW(CA$7:CA$336)-ROW(CA$7)+1),ROWS(CA$7:CA7))),"")</f>
        <v/>
      </c>
      <c r="Z8" s="4" t="str">
        <f t="array" ref="Z8">IFERROR(INDEX(CB$7:CB$378,SMALL(IF(CB$7:CB$378&lt;&gt;"",ROW(CB$7:CB$378)-ROW(CB$7)+1),ROWS(CB$7:CB7))),"")</f>
        <v/>
      </c>
      <c r="AA8" s="4" t="str">
        <f t="array" ref="AA8">IFERROR(INDEX(CC$7:CC$378,SMALL(IF(CC$7:CC$378&lt;&gt;"",ROW(CC$7:CC$378)-ROW(CC$7)+1),ROWS(CC$7:CC7))),"")</f>
        <v/>
      </c>
      <c r="AB8" s="4" t="str">
        <f t="array" ref="AB8">IFERROR(INDEX(CD$7:CD$378,SMALL(IF(CD$7:CD$378&lt;&gt;"",ROW(CD$7:CD$378)-ROW(CD$7)+1),ROWS(CD$7:CD7))),"")</f>
        <v/>
      </c>
      <c r="AC8" s="4" t="str">
        <f t="array" ref="AC8">IFERROR(INDEX(CE$7:CE$378,SMALL(IF(CE$7:CE$378&lt;&gt;"",ROW(CE$7:CE$378)-ROW(CE$7)+1),ROWS(CE$7:CE7))),"")</f>
        <v/>
      </c>
      <c r="AD8" s="69" t="str">
        <f t="array" ref="AD8">IFERROR(INDEX(CG$7:CG$18,SMALL(IF(CG$7:CG$18&lt;&gt;"",ROW(CG$7:CG$18)-ROW(CG$7)+1),ROWS(CG$7:CG7))),"")</f>
        <v/>
      </c>
      <c r="AE8" s="69" t="str">
        <f t="array" ref="AE8">IFERROR(INDEX(CH$7:CH$18,SMALL(IF(CH$7:CH$18&lt;&gt;"",ROW(CH$7:CH$18)-ROW(CH$7)+1),ROWS(CH$7:CH7))),"")</f>
        <v/>
      </c>
      <c r="AF8" s="69" t="str">
        <f t="array" ref="AF8">IFERROR(INDEX(CI$7:CI$8,SMALL(IF(CI$7:CI$8&lt;&gt;"",ROW(CI$7:CI$8)-ROW(CI$7)+1),ROWS(CI$7:CI7))),"")</f>
        <v/>
      </c>
      <c r="AG8" s="69" t="str">
        <f t="array" ref="AG8">IFERROR(INDEX(CJ$7:CJ$8,SMALL(IF(CJ$7:CJ$8&lt;&gt;"",ROW(CJ$7:CJ$8)-ROW(CJ$7)+1),ROWS(CJ$7:CJ7))),"")</f>
        <v/>
      </c>
      <c r="AH8" s="69" t="str">
        <f t="array" ref="AH8">IFERROR(INDEX(CK$7:CK$14,SMALL(IF(CK$7:CK$14&lt;&gt;"",ROW(CK$7:CK$14)-ROW(CK$7)+1),ROWS(CK$7:CK7))),"")</f>
        <v/>
      </c>
      <c r="AI8" s="69" t="str">
        <f t="array" ref="AI8">IFERROR(INDEX(CL$7:CL$14,SMALL(IF(CL$7:CL$14&lt;&gt;"",ROW(CL$7:CL$14)-ROW(CL$7)+1),ROWS(CL$7:CL7))),"")</f>
        <v/>
      </c>
      <c r="AJ8" s="46" t="str">
        <f>IF(Atletas!D4="","",IF(Atletas!B4="Feminino",100,IF(Atletas!B4="Masculino",200,""))+(IF(Atletas!D4="Infantil 39kg",1,IF(Atletas!D4="Infantil 42kg",2,IF(Atletas!D4="Infantil 45kg",3,IF(Atletas!D4="Infantil 48kg",4,IF(Atletas!D4="Infantil 52kg",5,IF(Atletas!D4="Infantil 56kg",6,IF(Atletas!D4="Infantil 60kg",7,IF(Atletas!D4="Juvenil 48kg",8,IF(Atletas!D4="Juvenil 52kg",9,IF(Atletas!D4="Juvenil 56kg",10,IF(Atletas!D4="Juvenil 60kg",11,IF(Atletas!D4="Juvenil 65kg",12,IF(Atletas!D4="Juvenil 70kg",13,IF(Atletas!D4="Juvenil 75kg",14,IF(Atletas!D4="Juvenil 80kg",15,IF(Atletas!D4="Adulto 48kg",16,IF(Atletas!D4="Adulto 52kg",17,IF(Atletas!D4="Adulto 56kg",18,IF(Atletas!D4="Adulto 60kg",19,IF(Atletas!D4="Adulto 65kg",20,IF(Atletas!D4="Adulto 70kg",21,IF(Atletas!D4="Adulto 75kg",22,IF(Atletas!D4="Adulto 80kg",23,IF(Atletas!D4="Adulto 85kg",24,IF(Atletas!D4="Adulto 90kg",25,IF(Atletas!D4="Adulto +90kg",26,""))))))))))))))))))))))))))))</f>
        <v/>
      </c>
      <c r="AK8" s="52" t="str">
        <f>IF(AL8&lt;&gt;"","Infantil 42kg","")</f>
        <v/>
      </c>
      <c r="AL8" s="10" t="str">
        <f>IF(COUNTIF(AJ:AJ,102)&gt;0,COUNTIF(AJ:AJ,102),"")</f>
        <v/>
      </c>
      <c r="AM8" s="52" t="str">
        <f>IF(AN8&lt;&gt;"","Infantil 42kg","")</f>
        <v/>
      </c>
      <c r="AN8" s="10" t="str">
        <f>IF(COUNTIF(AJ:AJ,202)&gt;0,COUNTIF(AJ:AJ,202),"")</f>
        <v/>
      </c>
      <c r="AO8" s="10" t="str">
        <f>IF(Atletas!E4="","",IF(Atletas!B4="Feminino",100,IF(Atletas!B4="Masculino",200,""))+(IF(Atletas!E4="Juvenil 44kg",1,IF(Atletas!E4="Juvenil 48kg",2,IF(Atletas!E4="Juvenil 52kg",3,IF(Atletas!E4="Juvenil 56kg",4,IF(Atletas!E4="Juvenil 60kg",5,IF(Atletas!E4="Juvenil 65kg",6,IF(Atletas!E4="Juvenil 70kg",7,IF(Atletas!E4="Juvenil 75kg",8,IF(Atletas!E4="Juvenil 82kg",9,IF(Atletas!E4="Juvenil 90kg",10,IF(Atletas!E4="Juvenil 100kg",11,IF(Atletas!E4="Adulto 48kg",12,IF(Atletas!E4="Adulto 52kg",13,IF(Atletas!E4="Adulto 56kg",14,IF(Atletas!E4="Adulto 60kg",15,IF(Atletas!E4="Adulto 65kg",16,IF(Atletas!E4="Adulto 70kg",17,IF(Atletas!E4="Adulto 75kg",18,IF(Atletas!E4="Adulto 82kg",19,IF(Atletas!E4="Adulto 90kg",20,IF(Atletas!E4="Adulto 100kg",21,IF(Atletas!E4="Adulto +100kg",22,""))))))))))))))))))))))))</f>
        <v/>
      </c>
      <c r="AP8" s="52" t="str">
        <f>IF(AQ8&lt;&gt;"","Juvenil 48kg","")</f>
        <v/>
      </c>
      <c r="AQ8" s="10" t="str">
        <f>IF(COUNTIF(AO:AO,102)&gt;0,COUNTIF(AO:AO,102),"")</f>
        <v/>
      </c>
      <c r="AR8" s="52" t="str">
        <f>IF(AS8&lt;&gt;"","Juvenil 52kg","")</f>
        <v/>
      </c>
      <c r="AS8" s="10" t="str">
        <f>IF(COUNTIF(AO:AO,203)&gt;0,COUNTIF(AO:AO,203),"")</f>
        <v/>
      </c>
      <c r="AT8" s="10" t="str">
        <f>IF(Atletas!F4="","",IF(Atletas!B4="Feminino",100,IF(Atletas!B4="Masculino",200,""))+(IF(Atletas!F4="Adulto 48kg",1,IF(Atletas!F4="Adulto 56kg",2,IF(Atletas!F4="Adulto 65kg",3,IF(Atletas!F4="Adulto 75kg",4,IF(Atletas!F4="Adulto +75kg",5,IF(Atletas!F4="Adulto 52kg",6,IF(Atletas!F4="Adulto 60kg",7,IF(Atletas!F4="Adulto 70kg",8,IF(Atletas!F4="Adulto 80kg",9,IF(Atletas!F4="Adulto 90kg",10,IF(Atletas!F4="Adulto +90kg",11,"")))))))))))))</f>
        <v/>
      </c>
      <c r="AU8" s="52" t="str">
        <f>IF(AV8&lt;&gt;"","Adulto 56kg","")</f>
        <v/>
      </c>
      <c r="AV8" s="10" t="str">
        <f>IF(COUNTIF(AT:AT,102)&gt;0,COUNTIF(AT:AT,102),"")</f>
        <v/>
      </c>
      <c r="AW8" s="52" t="str">
        <f>IF(AX8&lt;&gt;"","Adulto 60kg","")</f>
        <v/>
      </c>
      <c r="AX8" s="10" t="str">
        <f>IF(COUNTIF(AT:AT,207)&gt;0,COUNTIF(AT:AT,207),"")</f>
        <v/>
      </c>
      <c r="AY8" s="46" t="str">
        <f>IF(Atletas!G4="","",IF(Atletas!B4="Feminino",100,IF(Atletas!B4="Masculino",200,""))+(IF(Atletas!G4="Changquan Mirim",1,IF(Atletas!G4="Nanquan Mirim",2,IF(Atletas!G4="Taijiquan Mirim",3,IF(Atletas!G4="Changquan Grupo C",4,IF(Atletas!G4="Nanquan Grupo C",5,IF(Atletas!G4="Taijiquan Grupo C",6,IF(Atletas!G4="Changquan Grupo B",7,IF(Atletas!G4="Nanquan Grupo B",8,IF(Atletas!G4="Taijiquan Grupo B",9,IF(Atletas!G4="Changquan Grupo A",10,IF(Atletas!G4="Nanquan Grupo A",11,IF(Atletas!G4="Taijiquan Grupo A",12,IF(Atletas!G4="Changquan Opcional",13,IF(Atletas!G4="Nanquan Opcional",14,IF(Atletas!G4="Taijiquan Opcional",15,IF(Atletas!G4="Changquan Adulto",16,IF(Atletas!G4="Nanquan Adulto",17,IF(Atletas!G4="Taijiquan Adulto",18,""))))))))))))))))))))</f>
        <v/>
      </c>
      <c r="AZ8" s="46" t="str">
        <f>IF(Atletas!H4="","",IF(Atletas!B4="Feminino",100,IF(Atletas!B4="Masculino",200,""))+(IF(Atletas!H4="Daoshu Mirim",19,IF(Atletas!H4="Jianshu Mirim",20,IF(Atletas!H4="Nandao Mirim",21,IF(Atletas!H4="Taijijian Mirim",22,IF(Atletas!H4="Daoshu Grupo C",23,IF(Atletas!H4="Jianshu Grupo C",24,IF(Atletas!H4="Nandao Grupo C",25,IF(Atletas!H4="Taijijian Grupo C",26,IF(Atletas!H4="Daoshu Grupo B",27,IF(Atletas!H4="Jianshu Grupo B",28,IF(Atletas!H4="Nandao Grupo B",29,IF(Atletas!H4="Taijijian Grupo B",30,IF(Atletas!H4="Daoshu Grupo A",31,IF(Atletas!H4="Jianshu Grupo A",32,IF(Atletas!H4="Nandao Grupo A",33,IF(Atletas!H4="Taijijian Grupo A",34,IF(Atletas!H4="Daoshu Opcional",35,IF(Atletas!H4="Jianshu Opcional",36,IF(Atletas!H4="Nandao Opcional",37,IF(Atletas!H4="Taijijian Opcional",38,IF(Atletas!H4="Daoshu Adulto",39,IF(Atletas!H4="Jianshu Adulto",40,IF(Atletas!H4="Nandao Adulto",41,IF(Atletas!H4="Taijijian Adulto",42,""))))))))))))))))))))))))))</f>
        <v/>
      </c>
      <c r="BA8" s="46" t="str">
        <f>IF(Atletas!I4="","",IF(Atletas!B4="Feminino",100,IF(Atletas!B4="Masculino",200,""))+(IF(Atletas!I4="Gunshu Mirim",43,IF(Atletas!I4="Qiangshu Mirim",44,IF(Atletas!I4="Nangun Mirim",45,IF(Atletas!I4="Gunshu Grupo C",46,IF(Atletas!I4="Qiangshu Grupo C",47,IF(Atletas!I4="Nangun Grupo C",48,IF(Atletas!I4="Gunshu Grupo B",49,IF(Atletas!I4="Qiangshu Grupo B",50,IF(Atletas!I4="Nangun Grupo B",51,IF(Atletas!I4="Gunshu Grupo A",52,IF(Atletas!I4="Qiangshu Grupo A",53,IF(Atletas!I4="Nangun Grupo A",54,IF(Atletas!I4="Gunshu Opcional",55,IF(Atletas!I4="Qiangshu Opcional",56,IF(Atletas!I4="Nangun Opcional",57,IF(Atletas!I4="Gunshu Adulto",58,IF(Atletas!I4="Qiangshu Adulto",59,IF(Atletas!I4="Nangun Adulto",60,""))))))))))))))))))))</f>
        <v/>
      </c>
      <c r="BB8" s="52" t="str">
        <f>IF(BC8&lt;&gt;"","Nanquan Mirim","")</f>
        <v/>
      </c>
      <c r="BC8" s="52" t="str">
        <f>IF(COUNTIF(AY:BA,102)&gt;0,COUNTIF(AY:BA,102),"")</f>
        <v/>
      </c>
      <c r="BD8" s="52" t="str">
        <f>IF(BE8&lt;&gt;"","Nanquan Mirim","")</f>
        <v/>
      </c>
      <c r="BE8" s="52" t="str">
        <f>IF(COUNTIF(AY:BA,202)&gt;0,COUNTIF(AY:BA,202),"")</f>
        <v/>
      </c>
      <c r="BF8" s="52" t="str">
        <f>IF(Atletas!J4="","",IF(Atletas!B4="Feminino",100,IF(Atletas!B4="Masculino",200,""))+(IF(Atletas!J4="Equipe 1 Grupo B",1,IF(Atletas!J4="Equipe 2 Grupo B",2,IF(Atletas!J4="Equipe 1 Grupo A",3,IF(Atletas!J4="Equipe 2 Grupo A",4,IF(Atletas!J4="Equipe 1 Adulto",5,IF(Atletas!J4="Equipe 2 Adulto",6,""))))))))</f>
        <v/>
      </c>
      <c r="BG8" s="52" t="str">
        <f>IF(BH8&lt;&gt;"","Equipe 2 Grupo B","")</f>
        <v/>
      </c>
      <c r="BH8" s="52" t="str">
        <f>IF(COUNTIF(BF:BF,102)&gt;0,COUNTIF(BF:BF,102),"")</f>
        <v/>
      </c>
      <c r="BI8" s="52" t="str">
        <f>IF(BJ8&lt;&gt;"","Equipe 2 Grupo B","")</f>
        <v/>
      </c>
      <c r="BJ8" s="52" t="str">
        <f>IF(COUNTIF(BF:BF,202)&gt;0,COUNTIF(BF:BF,202),"")</f>
        <v/>
      </c>
      <c r="BK8" s="52" t="str">
        <f>IF(Atletas!K4="","",IF(Atletas!W4&lt;&gt;"",10000,0)+(IF(Atletas!B4="Feminino",1000,IF(Atletas!B4="Masculino",2000,""))+IF(Atletas!K4="Choylayfut A",1,IF(Atletas!K4="Hunggar A",2,IF(Atletas!K4="Wuzuquan A",3,IF(Atletas!K4="Wingchun A",4,IF(Atletas!K4="Outra Mão de Sul A",5,IF(Atletas!K4="Choylayfut B",6,IF(Atletas!K4="Hunggar B",7,IF(Atletas!K4="Wuzuquan B",8,IF(Atletas!K4="Wingchun B",9,IF(Atletas!K4="Outra Mão de Sul B",10,IF(Atletas!K4="Choylayfut C",11,IF(Atletas!K4="Hunggar C",12,IF(Atletas!K4="Wuzuquan C",13,IF(Atletas!K4="Wingchun C",14,IF(Atletas!K4="Outra Mão de Sul C",15,IF(Atletas!K4="Choylayfut D",16,IF(Atletas!K4="Hunggar D",17,IF(Atletas!K4="Wuzuquan D",18,IF(Atletas!K4="Wingchun D",19,IF(Atletas!K4="Outra Mão de Sul D",20,IF(Atletas!K4="Choylayfut E",21,IF(Atletas!K4="Hunggar E",22,IF(Atletas!K4="Wuzuquan E",23,IF(Atletas!K4="Wingchun E",24,IF(Atletas!K4="Outra Mão de Sul E",25,IF(Atletas!K4="Choylayfut F",26,IF(Atletas!K4="Hunggar F",27,IF(Atletas!K4="Wuzuquan F",28,IF(Atletas!K4="Wingchun F",29,IF(Atletas!K4="Outra Mão de Sul F",30,""))))))))))))))))))))))))))))))))</f>
        <v/>
      </c>
      <c r="BL8" s="52" t="str">
        <f>IF(Atletas!L4="","",IF(Atletas!W4&lt;&gt;"",10000,0)+(IF(Atletas!B4="Feminino",1000,IF(Atletas!B4="Masculino",2000,""))+(IF(Atletas!L4="Chaquan A",101,IF(Atletas!L4="Emeiquan A",102,IF(Atletas!L4="Fanziquan A",103,IF(Atletas!L4="Huaquan A",104,IF(Atletas!L4="Hongquan A",105,IF(Atletas!L4="Paochui A",106,IF(Atletas!L4="Piguaquan A",107,IF(Atletas!L4="Shaolinquan A",108,IF(Atletas!L4="Tanglangquan A",109,IF(Atletas!L4="Yinzhaophai A",110,IF(Atletas!L4="Tongbeiquan A",111,IF(Atletas!L4="Wudangquan A",112,IF(Atletas!L4="Outros Estilos A",113,IF(Atletas!L4="Chaquan B",114,IF(Atletas!L4="Emeiquan B",115,IF(Atletas!L4="Fanziquan B",116,IF(Atletas!L4="Huaquan B",117,IF(Atletas!L4="Hongquan B",118,IF(Atletas!L4="Paochui B",119,IF(Atletas!L4="Piguaquan B",120,IF(Atletas!L4="Shaolinquan B",121,IF(Atletas!L4="Tanglangquan B",122,IF(Atletas!L4="Yinzhaophai B",123,IF(Atletas!L4="Tongbeiquan B",124,IF(Atletas!L4="Wudangquan B",125,IF(Atletas!L4="Outros Estilos B",126,IF(Atletas!L4="Chaquan C",127,IF(Atletas!L4="Emeiquan C",128,IF(Atletas!L4="Fanziquan C",129,IF(Atletas!L4="Huaquan C",130,IF(Atletas!L4="Hongquan C",131,IF(Atletas!L4="Paochui C",132,IF(Atletas!L4="Piguaquan C",133,IF(Atletas!L4="Shaolinquan C",134,IF(Atletas!L4="Tanglangquan C",135,IF(Atletas!L4="Yinzhaophai C",136,IF(Atletas!L4="Tongbeiquan C",137,IF(Atletas!L4="Wudangquan C",138,IF(Atletas!L4="Outros Estilos C",139,0))))))))))))))))))))))))))))))))))))))))))</f>
        <v/>
      </c>
      <c r="BM8" s="52" t="str">
        <f>IF(Atletas!L4="","",IF(Atletas!W4&lt;&gt;"",10000,0)+(IF(Atletas!B4="Feminino",1000,IF(Atletas!B4="Masculino",2000,""))+(IF(Atletas!L4="Chaquan D",140,IF(Atletas!L4="Emeiquan D",141,IF(Atletas!L4="Fanziquan D",142,IF(Atletas!L4="Huaquan D",143,IF(Atletas!L4="Hongquan D",144,IF(Atletas!L4="Paochui D",145,IF(Atletas!L4="Piguaquan D",146,IF(Atletas!L4="Shaolinquan D",147,IF(Atletas!L4="Tanglangquan D",148,IF(Atletas!L4="Yinzhaophai D",149,IF(Atletas!L4="Tongbeiquan D",150,IF(Atletas!L4="Wudangquan D",151,IF(Atletas!L4="Outros Estilos D",152,IF(Atletas!L4="Chaquan E",153,IF(Atletas!L4="Emeiquan E",154,IF(Atletas!L4="Fanziquan E",155,IF(Atletas!L4="Huaquan E",156,IF(Atletas!L4="Hongquan E",157,IF(Atletas!L4="Paochui E",158,IF(Atletas!L4="Piguaquan E",159,IF(Atletas!L4="Shaolinquan E",160,IF(Atletas!L4="Tanglangquan E",161,IF(Atletas!L4="Yinzhaophai E",162,IF(Atletas!L4="Tongbeiquan E",163,IF(Atletas!L4="Wudangquan E",164,IF(Atletas!L4="Outros Estilos E",165,IF(Atletas!L4="Chaquan F",166,IF(Atletas!L4="Emeiquan F",167,IF(Atletas!L4="Fanziquan F",168,IF(Atletas!L4="Huaquan F",169,IF(Atletas!L4="Hongquan F",170,IF(Atletas!L4="Paochui F",171,IF(Atletas!L4="Piguaquan F",172,IF(Atletas!L4="Shaolinquan F",173,IF(Atletas!L4="Tanglangquan F",174,IF(Atletas!L4="Yinzhaophai F",175,IF(Atletas!L4="Tongbeiquan F",176,IF(Atletas!L4="Wudangquan F",177,IF(Atletas!L4="Outros Estilos F",178,0))))))))))))))))))))))))))))))))))))))))))</f>
        <v/>
      </c>
      <c r="BN8" s="52" t="str">
        <f>IF(Atletas!M4="","",IF(Atletas!W4&lt;&gt;"",10000,0)+(IF(Atletas!B4="Feminino",1000,IF(Atletas!B4="Masculino",2000,""))+(IF(Atletas!M4="Ditangquan A",201,IF(Atletas!M4="Houquan A",202,IF(Atletas!M4="Zuiquan A",203,IF(Atletas!M4="Ditangquan B",204,IF(Atletas!M4="Houquan B",205,IF(Atletas!M4="Zuiquan B",206,IF(Atletas!M4="Ditangquan C",207,IF(Atletas!M4="Houquan C",208,IF(Atletas!M4="Zuiquan C",209,IF(Atletas!M4="Ditangquan D",210,IF(Atletas!M4="Houquan D",211,IF(Atletas!M4="Zuiquan D",212,IF(Atletas!M4="Ditangquan E",213,IF(Atletas!M4="Houquan E",214,IF(Atletas!M4="Zuiquan E",215,IF(Atletas!M4="Ditangquan F",216,IF(Atletas!M4="Houquan F",217,IF(Atletas!M4="Zuiquan F",218,"")))))))))))))))))))))</f>
        <v/>
      </c>
      <c r="BO8" s="52" t="str">
        <f>IF(Atletas!N4="","",IF(Atletas!W4&lt;&gt;"",10000,0)+IF(Atletas!B4="Feminino",1000,IF(Atletas!B4="Masculino",2000,""))+IF(Atletas!N4="Yang A",301,IF(Atletas!N4="Chen A",30,IF(Atletas!N4="Sun A",303,IF(Atletas!N4="Wu A",304,IF(Atletas!N4="Wu-Hao A",305,IF(Atletas!N4="Outro Taijiquan A",306,IF(Atletas!N4="Yang B",307,IF(Atletas!N4="Chen B",308,IF(Atletas!N4="Sun B",309,IF(Atletas!N4="Wu B",310,IF(Atletas!N4="Wu-Hao B",311,IF(Atletas!N4="Outro Taijiquan B",312,IF(Atletas!N4="Yang C",313,IF(Atletas!N4="Chen C",314,IF(Atletas!N4="Sun C",315,IF(Atletas!N4="Wu C",316,IF(Atletas!N4="Wu-Hao C",317,IF(Atletas!N4="Outro Taijiquan C",318,IF(Atletas!N4="Yang D",319,IF(Atletas!N4="Chen D",320,IF(Atletas!N4="Sun D",321,IF(Atletas!N4="Wu D",322,IF(Atletas!N4="Wu-Hao D",323,IF(Atletas!N4="Outro Taijiquan D",324,IF(Atletas!N4="Yang E",325,IF(Atletas!N4="Chen E",326,IF(Atletas!N4="Sun E",327,IF(Atletas!N4="Wu E",328,IF(Atletas!N4="Wu-Hao E",329,IF(Atletas!N4="Outro Taijiquan E",330,IF(Atletas!N4="Yang F",331,IF(Atletas!N4="Chen F",332,IF(Atletas!N4="Sun F",333,IF(Atletas!N4="Wu F",334,IF(Atletas!N4="Wu-Hao F",335,IF(Atletas!N4="Outro Taijiquan F",336,"")))))))))))))))))))))))))))))))))))))</f>
        <v/>
      </c>
      <c r="BP8" s="52" t="str">
        <f>IF(Atletas!O4="","",IF(Atletas!W4&lt;&gt;"",10000,0)+IF(Atletas!B4="Feminino",1000,IF(Atletas!B4="Masculino",2000,""))+IF(OR(Atletas!O4="Yang 26 A",Atletas!O4="Yang 40 A"),401,IF(OR(Atletas!O4="Chen 25 A",Atletas!O4="Chen 36 A",Atletas!O4="Chen 56 A"),402,IF(Atletas!O4="Sun 73 A",403,IF(Atletas!O4="Wu 45 A",404,IF(Atletas!O4="Wu-Hao 46 A",405,IF(OR(Atletas!O4="Taijiquan 16 A",Atletas!O4="Taijiquan 24 A",Atletas!O4="Taijiquan 32 A",Atletas!O4="Taijiquan 42 A"),406,IF(OR(Atletas!O4="Yang 26 B",Atletas!O4="Yang 40 B"),407,IF(OR(Atletas!O4="Chen 25 B",Atletas!O4="Chen 36 B",Atletas!O4="Chen 56 B"),408,IF(Atletas!O4="Sun 73 B",409,IF(Atletas!O4="Wu 45 B",410,IF(Atletas!O4="Wu-Hao 46 B",411,IF(OR(Atletas!O4="Taijiquan 16 B",Atletas!O4="Taijiquan 24 B",Atletas!O4="Taijiquan 32 B",Atletas!O4="Taijiquan 42 B"),412,IF(OR(Atletas!O4="Yang 26 C",Atletas!O4="Yang 40 C"),413,IF(OR(Atletas!O4="Chen 25 C",Atletas!O4="Chen 36 C",Atletas!O4="Chen 56 C"),414,IF(Atletas!O4="Sun 73 C",415,IF(Atletas!O4="Wu 45 C",416,IF(Atletas!O4="Wu-Hao 46 C",417,IF(OR(Atletas!O4="Taijiquan 16 C",Atletas!O4="Taijiquan 24 C",Atletas!O4="Taijiquan 32 C",Atletas!O4="Taijiquan 42 C"),418,0)))))))))))))))))))</f>
        <v/>
      </c>
      <c r="BQ8" s="52" t="str">
        <f>IF(Atletas!O4="","",IF(Atletas!W4&lt;&gt;"",10000,0)+IF(Atletas!B4="Feminino",1000,IF(Atletas!B4="Masculino",2000,""))+IF(OR(Atletas!O4="Yang 26 D",Atletas!O4="Yang 40 D"),419,IF(OR(Atletas!O4="Chen 25 D",Atletas!O4="Chen 36 D",Atletas!O4="Chen 56 D"),420,IF(Atletas!O4="Sun 73 D",421,IF(Atletas!O4="Wu 45 D",422,IF(Atletas!O4="Wu-Hao 46 D",423,IF(OR(Atletas!O4="Taijiquan 16 D",Atletas!O4="Taijiquan 24 D",Atletas!O4="Taijiquan 32 D",Atletas!O4="Taijiquan 42 D"),424,IF(OR(Atletas!O4="Yang 26 E",Atletas!O4="Yang 40 E"),425,IF(OR(Atletas!O4="Chen 25 E",Atletas!O4="Chen 36 E",Atletas!O4="Chen 56 E"),426,IF(Atletas!O4="Sun 73 E",427,IF(Atletas!O4="Wu 45 E",428,IF(Atletas!O4="Wu-Hao 46 E",429,IF(OR(Atletas!O4="Taijiquan 16 E",Atletas!O4="Taijiquan 24 E",Atletas!O4="Taijiquan 32 E",Atletas!O4="Taijiquan 42 E"),430,IF(OR(Atletas!O4="Yang 26 F",Atletas!O4="Yang 40 F"),431,IF(OR(Atletas!O4="Chen 25 F",Atletas!O4="Chen 36 F",Atletas!O4="Chen 56 F"),432,IF(Atletas!O4="Sun 73 F",433,IF(Atletas!O4="Wu 45 F",434,IF(Atletas!O4="Wu-Hao 46 F",435,IF(OR(Atletas!O4="Taijiquan 16 F",Atletas!O4="Taijiquan 24 F",Atletas!O4="Taijiquan 32 F",Atletas!O4="Taijiquan 42 F"),436,0)))))))))))))))))))</f>
        <v/>
      </c>
      <c r="BR8" s="52" t="str">
        <f>IF(Atletas!P4="","",IF(Atletas!W4&lt;&gt;"",10000,0)+IF(Atletas!B4="Feminino",1000,IF(Atletas!B4="Masculino",2000,""))+IF(Atletas!P4="Xingyiquan A",501,IF(Atletas!P4="Baguazhang A",502,IF(Atletas!P4="Outro Estilo Interno A",503,IF(Atletas!P4="Xingyiquan B",504,IF(Atletas!P4="Baguazhang B",505,IF(Atletas!P4="Outro Estilo Interno B",506,IF(Atletas!P4="Xingyiquan C",507,IF(Atletas!P4="Baguazhang C",508,IF(Atletas!P4="Outro Estilo Interno C",509,IF(Atletas!P4="Xingyiquan D",510,IF(Atletas!P4="Baguazhang D",511,IF(Atletas!P4="Outro Estilo Interno D",512,IF(Atletas!P4="Xingyiquan E",513,IF(Atletas!P4="Baguazhang E",514,IF(Atletas!P4="Outro Estilo Interno E",515,IF(Atletas!P4="Xingyiquan F",516,IF(Atletas!P4="Baguazhang F",517,IF(Atletas!P4="Outro Estilo Interno F",518, "")))))))))))))))))))</f>
        <v/>
      </c>
      <c r="BS8" s="52" t="str">
        <f>IF(Atletas!Q4="","",IF(Atletas!W4&lt;&gt;"",10000,0)+IF(Atletas!B4="Feminino",1000,IF(Atletas!B4="Masculino",2000,""))+IF(Atletas!Q4="Dao A",601,IF(Atletas!Q4="Jian A",602,IF(Atletas!Q4="Bishou A",603,IF(Atletas!Q4="Shan A",604,IF(Atletas!Q4="Outra Arma Curta A",605,IF(Atletas!Q4="Dao B",606,IF(Atletas!Q4="Jian B",607,IF(Atletas!Q4="Bishou B",608,IF(Atletas!Q4="Shan B",609,IF(Atletas!Q4="Outra Arma Curta B",610,IF(Atletas!Q4="Dao C",611,IF(Atletas!Q4="Jian C",612,IF(Atletas!Q4="Bishou C",613,IF(Atletas!Q4="Shan C",614,IF(Atletas!Q4="Outra Arma Curta C",615,IF(Atletas!Q4="Dao D",616,IF(Atletas!Q4="Jian D",617,IF(Atletas!Q4="Bishou D",618,IF(Atletas!Q4="Shan D",619,IF(Atletas!Q4="Outra Arma Curta D",620,IF(Atletas!Q4="Dao E",621,IF(Atletas!Q4="Jian E",622,IF(Atletas!Q4="Bishou E",623,IF(Atletas!Q4="Shan E",624,IF(Atletas!Q4="Outra Arma Curta E",625,IF(Atletas!Q4="Dao F",626,IF(Atletas!Q4="Jian F",627,IF(Atletas!Q4="Bishou F",628,IF(Atletas!Q4="Shan F",629,IF(Atletas!Q4="Outra Arma Curta F",630, "")))))))))))))))))))))))))))))))</f>
        <v/>
      </c>
      <c r="BT8" s="52" t="str">
        <f>IF(Atletas!R4="","",IF(Atletas!W4&lt;&gt;"",10000,0)+IF(Atletas!B4="Feminino",1000,IF(Atletas!B4="Masculino",2000,""))+IF(Atletas!R4="Gun A",701,IF(Atletas!R4="Qiang A",702,IF(Atletas!R4="Pudao / Guandao A",703,IF(Atletas!R4="Outra Arma Longa A",704,IF(Atletas!R4="Gun B",705,IF(Atletas!R4="Qiang B",706,IF(Atletas!R4="Pudao / Guandao B",707,IF(Atletas!R4="Outra Arma Longa B",708,IF(Atletas!R4="Gun C",709,IF(Atletas!R4="Qiang C",710,IF(Atletas!R4="Pudao / Guandao C",711,IF(Atletas!R4="Outra Arma Longa C",712,IF(Atletas!R4="Gun D",713,IF(Atletas!R4="Qiang D",714,IF(Atletas!R4="Pudao / Guandao D",715,IF(Atletas!R4="Outra Arma Longa D",716,IF(Atletas!R4="Gun E",717,IF(Atletas!R4="Qiang E",718,IF(Atletas!R4="Pudao / Guandao E",719,IF(Atletas!R4="Outra Arma Longa E",720,IF(Atletas!R4="Gun F",721,IF(Atletas!R4="Qiang F",722,IF(Atletas!R4="Pudao / Guandao F",723,IF(Atletas!R4="Outra Arma Longa F",724,"")))))))))))))))))))))))))</f>
        <v/>
      </c>
      <c r="BU8" s="52" t="str">
        <f>IF(Atletas!S4="","",IF(Atletas!W4&lt;&gt;"",10000,0)+IF(Atletas!B4="Feminino",1000,IF(Atletas!B4="Masculino",2000,""))+IF(Atletas!S4="Arma Dupla A",801,IF(Atletas!S4="Arma Maleável A",802,IF(Atletas!S4="Arma Dupla B",803,IF(Atletas!S4="Arma Maleável B",804,IF(Atletas!S4="Arma Dupla C",805,IF(Atletas!S4="Arma Maleável C",806,IF(Atletas!S4="Arma Dupla D",807,IF(Atletas!S4="Arma Maleável D",808,IF(Atletas!S4="Arma Dupla E",809,IF(Atletas!S4="Arma Maleável E",810,IF(Atletas!S4="Arma Dupla F",811,IF(Atletas!S4="Arma Maleável F",812, "")))))))))))))</f>
        <v/>
      </c>
      <c r="BV8" s="52" t="str">
        <f>IF(Atletas!T4="","",IF(Atletas!W4&lt;&gt;"",10000,0)+IF(Atletas!B4="Feminino",1000,IF(Atletas!B4="Masculino",2000,""))+IF(Atletas!T4="Taijijian Yang A",901,IF(Atletas!T4="Taijijian Chen A",902,IF(Atletas!T4="Taijijian Sun A",903,IF(Atletas!T4="Taijijian Wu A",904,IF(Atletas!T4="Taijijian Wu-Hao A",905,IF(Atletas!T4="Taijijian 32 A",906,IF(Atletas!T4="Taijijian 42 A",907,IF(Atletas!T4="Taijijian Yang B",908,IF(Atletas!T4="Taijijian Chen B",909,IF(Atletas!T4="Taijijian Sun B",910,IF(Atletas!T4="Taijijian Wu B",911,IF(Atletas!T4="Taijijian Wu-Hao B",912,IF(Atletas!T4="Taijijian 32 B",913,IF(Atletas!T4="Taijijian 42 B",914,IF(Atletas!T4="Taijijian Yang C",915,IF(Atletas!T4="Taijijian Chen C",916,IF(Atletas!T4="Taijijian Sun C",917,IF(Atletas!T4="Taijijian Wu C",918,IF(Atletas!T4="Taijijian Wu-Hao C",919,IF(Atletas!T4="Taijijian 32 C",920,IF(Atletas!T4="Taijijian 42 C",921,IF(Atletas!T4="Taijijian Yang D",922,IF(Atletas!T4="Taijijian Chen D",923,IF(Atletas!T4="Taijijian Sun D",924,IF(Atletas!T4="Taijijian Wu D",925,IF(Atletas!T4="Taijijian Wu-Hao D",926,IF(Atletas!T4="Taijijian 32 D",927,IF(Atletas!T4="Taijijian 42 D",928,IF(Atletas!T4="Taijijian Yang E",929,IF(Atletas!T4="Taijijian Chen E",930,IF(Atletas!T4="Taijijian Sun E",931,IF(Atletas!T4="Taijijian Wu E",932,IF(Atletas!T4="Taijijian Wu-Hao E",933,IF(Atletas!T4="Taijijian 32 E",934,IF(Atletas!T4="Taijijian 42 E",935,IF(Atletas!T4="Taijijian Yang F",936,IF(Atletas!T4="Taijijian Chen F",937,IF(Atletas!T4="Taijijian Sun F",938,IF(Atletas!T4="Taijijian Wu F",939,IF(Atletas!T4="Taijijian Wu-Hao F",940,IF(Atletas!T4="Taijijian 32 F",941,IF(Atletas!T4="Taijijian 42 F",942,"")))))))))))))))))))))))))))))))))))))))))))</f>
        <v/>
      </c>
      <c r="BW8" s="52" t="str">
        <f>IF(Atletas!U4="","",IF(Atletas!W4&lt;&gt;"",10000,0)+IF(Atletas!B4="Feminino",1000,IF(Atletas!B4="Masculino",2000,""))+IF(Atletas!T4="Taijijian 42 F",942,IF(Atletas!U4="Taijidao A",943,IF(Atletas!U4="Taijishan A",944,IF(Atletas!U4="Taijiqiang A",945,IF(Atletas!U4="Taijidao B",946,IF(Atletas!U4="Taijishan B",947,IF(Atletas!U4="Taijiqiang B",948,IF(Atletas!U4="Taijidao C",949,IF(Atletas!U4="Taijishan C",950,IF(Atletas!U4="Taijiqiang C",951,IF(Atletas!U4="Taijidao D",952,IF(Atletas!U4="Taijishan D",953,IF(Atletas!U4="Taijiqiang D",954,IF(Atletas!U4="Taijidao E",955,IF(Atletas!U4="Taijishan E",956,IF(Atletas!U4="Taijiqiang E",957,IF(Atletas!U4="Taijidao F",958,IF(Atletas!U4="Taijishan F",959,IF(Atletas!U4="Taijiqiang F",960))))))))))))))))))))</f>
        <v/>
      </c>
      <c r="BX8" s="64" t="str">
        <f>IF(BY8&lt;&gt;"","Hunggar A","")</f>
        <v/>
      </c>
      <c r="BY8" s="64" t="str">
        <f>IF(COUNTIF(BK:BW,1002)&gt;0,COUNTIF(BK:BW,1002),"")</f>
        <v/>
      </c>
      <c r="BZ8" s="64" t="str">
        <f>IF(CA8&lt;&gt;"","Hunggar A","")</f>
        <v/>
      </c>
      <c r="CA8" s="64" t="str">
        <f>IF(COUNTIF(BK:BW,2002)&gt;0,COUNTIF(BK:BW,2002),"")</f>
        <v/>
      </c>
      <c r="CB8" s="64" t="str">
        <f>IF(CC8&lt;&gt;"","Hunggar A","")</f>
        <v/>
      </c>
      <c r="CC8" s="64" t="str">
        <f>IF(COUNTIF(BK:BW,11002)&gt;0,COUNTIF(BK:BW,11002),"")</f>
        <v/>
      </c>
      <c r="CD8" s="64" t="str">
        <f>IF(CE8&lt;&gt;"","Hunggar A","")</f>
        <v/>
      </c>
      <c r="CE8" s="64" t="str">
        <f>IF(COUNTIF(BK:BW,12002)&gt;0,COUNTIF(BK:BW,12002),"")</f>
        <v/>
      </c>
      <c r="CF8" s="52" t="str">
        <f xml:space="preserve"> IF(Atletas!V4="","",IF(Atletas!V4="Duilian de Mãos AB - Equipe 1",1,IF(Atletas!V4="Duilian de Mãos AB - Equipe 2",2,IF(Atletas!V4="Duilian de Armas AB - Equipe 1",3,IF(Atletas!V4="Duilian de Armas AB - Equipe 2",4,IF(Atletas!V4="Duilian de Tuishou - Equipe 1",5,IF(Atletas!V4="Duilian de Tuishou - Equipe 2",6,IF(Atletas!V4="Grupo Externo AB - Equipe 1",7,IF(Atletas!V4="Grupo Externo AB - Equipe 2",8,IF(Atletas!V4="Grupo Interno AB - Equipe 1",9,IF(Atletas!V4="Grupo Interno AB - Equipe 2",10,IF(Atletas!V4="Duilian de Mãos CD - Equipe 1",11,IF(Atletas!V4="Duilian de Mãos CD - Equipe 2",12,IF(Atletas!V4="Duilian de Armas CD - Equipe 1",13,IF(Atletas!V4="Duilian de Armas CD - Equipe 2",14,IF(Atletas!V4="Duilian de Tuishou - Equipe 1",15,IF(Atletas!V4="Duilian de Tuishou - Equipe 2",16,IF(Atletas!V4="Grupo Externo CDEF - Equipe 1",17,IF(Atletas!V4="Grupo Externo CDEF - Equipe 2",18,IF(Atletas!V4="Grupo Interno CDEF - Equipe 1",19,IF(Atletas!V4="Grupo Interno CDEF - Equipe 2",20,IF(Atletas!V4="Duilian de Mãos EF - Equipe 1",21,IF(Atletas!V4="Duilian de Mãos EF - Equipe 2",22,IF(Atletas!V4="Duilian de Armas EF - Equipe 1",23,IF(Atletas!V4="Duilian de Armas EF - Equipe 2",24,IF(Atletas!V4="Duilian de Tuishou - Equipe 1",25,IF(Atletas!V4="Duilian de Tuishou - Equipe 2",26,"")))))))))))))))))))))))))))</f>
        <v/>
      </c>
      <c r="CG8" s="52" t="str">
        <f>IF(CH8&lt;&gt;"","Duilian de Mãos AB - Equipe 2","")</f>
        <v/>
      </c>
      <c r="CH8" s="52" t="str">
        <f>IF(COUNTIF(CF:CF,2)&gt;0,COUNTIF(CF:CF,2),"")</f>
        <v/>
      </c>
      <c r="CI8" s="46" t="str">
        <f>IF(CJ8&lt;&gt;"","Duilian de Tuishou - Equipe 2","")</f>
        <v/>
      </c>
      <c r="CJ8" s="46" t="str">
        <f>IF(COUNTIF(CF:CF,6)&gt;0,COUNTIF(CF:CF,6),"")</f>
        <v/>
      </c>
      <c r="CK8" s="53" t="str">
        <f>IF(CL8&lt;&gt;"","Grupo Externo AB - Equipe 2","")</f>
        <v/>
      </c>
      <c r="CL8" s="53" t="str">
        <f>IF(COUNTIF(CF:CF,8)&gt;0,COUNTIF(CF:CF,8),"")</f>
        <v/>
      </c>
      <c r="CR8" s="71"/>
    </row>
    <row r="9" spans="1:96">
      <c r="A9" s="25"/>
      <c r="B9" s="4" t="str">
        <f t="array" ref="B9">IFERROR(INDEX(AK$7:AK$36,SMALL(IF(AK$7:AK$36&lt;&gt;"",ROW(AK$7:AK$36)-ROW(AK$7)+1),ROWS(AK$7:AK8))),"")</f>
        <v/>
      </c>
      <c r="C9" s="4" t="str">
        <f t="array" ref="C9">IFERROR(INDEX(AL$7:AL$36,SMALL(IF(AL$7:AL$36&lt;&gt;"",ROW(AL$7:AL$36)-ROW(AL$7)+1),ROWS(AL$7:AL8))),"")</f>
        <v/>
      </c>
      <c r="D9" s="4" t="str">
        <f t="array" ref="D9">IFERROR(INDEX(AM$7:AM$36,SMALL(IF(AM$7:AM$36&lt;&gt;"",ROW(AM$7:AM$36)-ROW(AM$7)+1),ROWS(AM$7:AM8))),"")</f>
        <v/>
      </c>
      <c r="E9" s="4" t="str">
        <f t="array" ref="E9">IFERROR(INDEX(AN$7:AN$36,SMALL(IF(AN$7:AN$36&lt;&gt;"",ROW(AN$7:AN$36)-ROW(AN$7)+1),ROWS(AN$7:AN8))),"")</f>
        <v/>
      </c>
      <c r="F9" s="4" t="str">
        <f t="array" ref="F9">IFERROR(INDEX(AP$7:AP$36,SMALL(IF(AP$7:AP$36&lt;&gt;"",ROW(AP$7:AP$36)-ROW(AP$7)+1),ROWS(AP$7:AP8))),"")</f>
        <v/>
      </c>
      <c r="G9" s="4" t="str">
        <f t="array" ref="G9">IFERROR(INDEX(AQ$7:AQ$36,SMALL(IF(AQ$7:AQ$36&lt;&gt;"",ROW(AQ$7:AQ$36)-ROW(AQ$7)+1),ROWS(AQ$7:AQ8))),"")</f>
        <v/>
      </c>
      <c r="H9" s="4" t="str">
        <f t="array" ref="H9">IFERROR(INDEX(AR$7:AR$36,SMALL(IF(AR$7:AR$36&lt;&gt;"",ROW(AR$7:AR$36)-ROW(AR$7)+1),ROWS(AR$7:AR8))),"")</f>
        <v/>
      </c>
      <c r="I9" s="4" t="str">
        <f t="array" ref="I9">IFERROR(INDEX(AS$7:AS$36,SMALL(IF(AS$7:AS$36&lt;&gt;"",ROW(AS$7:AS$36)-ROW(AS$7)+1),ROWS(AS$7:AS8))),"")</f>
        <v/>
      </c>
      <c r="J9" s="4" t="str">
        <f t="array" ref="J9">IFERROR(INDEX(AU$7:AU$36,SMALL(IF(AU$7:AU$36&lt;&gt;"",ROW(AU$7:AU$36)-ROW(AU$7)+1),ROWS(AU$7:AU8))),"")</f>
        <v/>
      </c>
      <c r="K9" s="4" t="str">
        <f t="array" ref="K9">IFERROR(INDEX(AV$7:AV$36,SMALL(IF(AV$7:AV$36&lt;&gt;"",ROW(AV$7:AV$36)-ROW(AV$7)+1),ROWS(AV$7:AV8))),"")</f>
        <v/>
      </c>
      <c r="L9" s="4" t="str">
        <f t="array" ref="L9">IFERROR(INDEX(AW$7:AW$36,SMALL(IF(AW$7:AW$36&lt;&gt;"",ROW(AW$7:AW$36)-ROW(AW$7)+1),ROWS(AW$7:AW8))),"")</f>
        <v/>
      </c>
      <c r="M9" s="4" t="str">
        <f t="array" ref="M9">IFERROR(INDEX(AX$7:AX$36,SMALL(IF(AX$7:AX$36&lt;&gt;"",ROW(AX$7:AX$36)-ROW(AX$7)+1),ROWS(AX$7:AX8))),"")</f>
        <v/>
      </c>
      <c r="N9" s="4" t="str">
        <f t="array" ref="N9">IFERROR(INDEX(BB$7:BB$66,SMALL(IF(BB$7:BB$66&lt;&gt;"",ROW(BB$7:BB$66)-ROW(BB$7)+1),ROWS(BB$7:BB8))),"")</f>
        <v/>
      </c>
      <c r="O9" s="4" t="str">
        <f t="array" ref="O9">IFERROR(INDEX(BC$7:BC$66,SMALL(IF(BC$7:BC$66&lt;&gt;"",ROW(BC$7:BC$66)-ROW(BC$7)+1),ROWS(BC$7:BC8))),"")</f>
        <v/>
      </c>
      <c r="P9" s="4" t="str">
        <f t="array" ref="P9">IFERROR(INDEX(BD$7:BD$66,SMALL(IF(BD$7:BD$66&lt;&gt;"",ROW(BD$7:BD$66)-ROW(BD$7)+1),ROWS(BD$7:BD8))),"")</f>
        <v/>
      </c>
      <c r="Q9" s="4" t="str">
        <f t="array" ref="Q9">IFERROR(INDEX(BE$7:BE$66,SMALL(IF(BE$7:BE$66&lt;&gt;"",ROW(BE$7:BE$66)-ROW(BE$7)+1),ROWS(BE$7:BE8))),"")</f>
        <v/>
      </c>
      <c r="R9" s="4" t="str">
        <f t="array" ref="R9">IFERROR(INDEX(BG$7:BG$12,SMALL(IF(BG$7:BG$12&lt;&gt;"",ROW(BG$7:BG$12)-ROW(BG$7)+1),ROWS(BG$7:BG8))),"")</f>
        <v/>
      </c>
      <c r="S9" s="4" t="str">
        <f t="array" ref="S9">IFERROR(INDEX(BH$7:BH$12,SMALL(IF(BH$7:BH$12&lt;&gt;"",ROW(BH$7:BH$12)-ROW(BH$7)+1),ROWS(BH$7:BH8))),"")</f>
        <v/>
      </c>
      <c r="T9" s="4" t="str">
        <f t="array" ref="T9">IFERROR(INDEX(BI$7:BI$12,SMALL(IF(BI$7:BI$12&lt;&gt;"",ROW(BI$7:BI$12)-ROW(BI$7)+1),ROWS(BI$7:BI8))),"")</f>
        <v/>
      </c>
      <c r="U9" s="4" t="str">
        <f t="array" ref="U9">IFERROR(INDEX(BJ$7:BJ$12,SMALL(IF(BJ$7:BJ$12&lt;&gt;"",ROW(BJ$7:BJ$12)-ROW(BJ$7)+1),ROWS(BJ$7:BJ8))),"")</f>
        <v/>
      </c>
      <c r="V9" s="4" t="str">
        <f t="array" ref="V9">IFERROR(INDEX(BX$7:BX$336,SMALL(IF(BX$7:BX$336&lt;&gt;"",ROW(BX$7:BX$336)-ROW(BX$7)+1),ROWS(BX$7:BX8))),"")</f>
        <v/>
      </c>
      <c r="W9" s="4" t="str">
        <f t="array" ref="W9">IFERROR(INDEX(BY$7:BY$336,SMALL(IF(BY$7:BY$336&lt;&gt;"",ROW(BY$7:BY$336)-ROW(BY$7)+1),ROWS(BY$7:BY8))),"")</f>
        <v/>
      </c>
      <c r="X9" s="4" t="str">
        <f t="array" ref="X9">IFERROR(INDEX(BZ$7:BZ$336,SMALL(IF(BZ$7:BZ$336&lt;&gt;"",ROW(BZ$7:BZ$336)-ROW(BZ$7)+1),ROWS(BZ$7:BZ8))),"")</f>
        <v/>
      </c>
      <c r="Y9" s="4" t="str">
        <f t="array" ref="Y9">IFERROR(INDEX(CA$7:CA$336,SMALL(IF(CA$7:CA$336&lt;&gt;"",ROW(CA$7:CA$336)-ROW(CA$7)+1),ROWS(CA$7:CA8))),"")</f>
        <v/>
      </c>
      <c r="Z9" s="4" t="str">
        <f t="array" ref="Z9">IFERROR(INDEX(CB$7:CB$378,SMALL(IF(CB$7:CB$378&lt;&gt;"",ROW(CB$7:CB$378)-ROW(CB$7)+1),ROWS(CB$7:CB8))),"")</f>
        <v/>
      </c>
      <c r="AA9" s="4" t="str">
        <f t="array" ref="AA9">IFERROR(INDEX(CC$7:CC$378,SMALL(IF(CC$7:CC$378&lt;&gt;"",ROW(CC$7:CC$378)-ROW(CC$7)+1),ROWS(CC$7:CC8))),"")</f>
        <v/>
      </c>
      <c r="AB9" s="4" t="str">
        <f t="array" ref="AB9">IFERROR(INDEX(CD$7:CD$378,SMALL(IF(CD$7:CD$378&lt;&gt;"",ROW(CD$7:CD$378)-ROW(CD$7)+1),ROWS(CD$7:CD8))),"")</f>
        <v/>
      </c>
      <c r="AC9" s="4" t="str">
        <f t="array" ref="AC9">IFERROR(INDEX(CE$7:CE$378,SMALL(IF(CE$7:CE$378&lt;&gt;"",ROW(CE$7:CE$378)-ROW(CE$7)+1),ROWS(CE$7:CE8))),"")</f>
        <v/>
      </c>
      <c r="AD9" s="69" t="str">
        <f t="array" ref="AD9">IFERROR(INDEX(CG$7:CG$18,SMALL(IF(CG$7:CG$18&lt;&gt;"",ROW(CG$7:CG$18)-ROW(CG$7)+1),ROWS(CG$7:CG8))),"")</f>
        <v/>
      </c>
      <c r="AE9" s="69" t="str">
        <f t="array" ref="AE9">IFERROR(INDEX(CH$7:CH$18,SMALL(IF(CH$7:CH$18&lt;&gt;"",ROW(CH$7:CH$18)-ROW(CH$7)+1),ROWS(CH$7:CH8))),"")</f>
        <v/>
      </c>
      <c r="AF9" s="69" t="str">
        <f t="array" ref="AF9">IFERROR(INDEX(CI$7:CI$8,SMALL(IF(CI$7:CI$8&lt;&gt;"",ROW(CI$7:CI$8)-ROW(CI$7)+1),ROWS(CI$7:CI8))),"")</f>
        <v/>
      </c>
      <c r="AG9" s="69" t="str">
        <f t="array" ref="AG9">IFERROR(INDEX(CJ$7:CJ$8,SMALL(IF(CJ$7:CJ$8&lt;&gt;"",ROW(CJ$7:CJ$8)-ROW(CJ$7)+1),ROWS(CJ$7:CJ8))),"")</f>
        <v/>
      </c>
      <c r="AH9" s="69" t="str">
        <f t="array" ref="AH9">IFERROR(INDEX(CK$7:CK$14,SMALL(IF(CK$7:CK$14&lt;&gt;"",ROW(CK$7:CK$14)-ROW(CK$7)+1),ROWS(CK$7:CK8))),"")</f>
        <v/>
      </c>
      <c r="AI9" s="69" t="str">
        <f t="array" ref="AI9">IFERROR(INDEX(CL$7:CL$14,SMALL(IF(CL$7:CL$14&lt;&gt;"",ROW(CL$7:CL$14)-ROW(CL$7)+1),ROWS(CL$7:CL8))),"")</f>
        <v/>
      </c>
      <c r="AJ9" s="46" t="str">
        <f>IF(Atletas!D5="","",IF(Atletas!B5="Feminino",100,IF(Atletas!B5="Masculino",200,""))+(IF(Atletas!D5="Infantil 39kg",1,IF(Atletas!D5="Infantil 42kg",2,IF(Atletas!D5="Infantil 45kg",3,IF(Atletas!D5="Infantil 48kg",4,IF(Atletas!D5="Infantil 52kg",5,IF(Atletas!D5="Infantil 56kg",6,IF(Atletas!D5="Infantil 60kg",7,IF(Atletas!D5="Juvenil 48kg",8,IF(Atletas!D5="Juvenil 52kg",9,IF(Atletas!D5="Juvenil 56kg",10,IF(Atletas!D5="Juvenil 60kg",11,IF(Atletas!D5="Juvenil 65kg",12,IF(Atletas!D5="Juvenil 70kg",13,IF(Atletas!D5="Juvenil 75kg",14,IF(Atletas!D5="Juvenil 80kg",15,IF(Atletas!D5="Adulto 48kg",16,IF(Atletas!D5="Adulto 52kg",17,IF(Atletas!D5="Adulto 56kg",18,IF(Atletas!D5="Adulto 60kg",19,IF(Atletas!D5="Adulto 65kg",20,IF(Atletas!D5="Adulto 70kg",21,IF(Atletas!D5="Adulto 75kg",22,IF(Atletas!D5="Adulto 80kg",23,IF(Atletas!D5="Adulto 85kg",24,IF(Atletas!D5="Adulto 90kg",25,IF(Atletas!D5="Adulto +90kg",26,""))))))))))))))))))))))))))))</f>
        <v/>
      </c>
      <c r="AK9" s="52" t="str">
        <f>IF(AL9&lt;&gt;"","Infantil 45kg","")</f>
        <v/>
      </c>
      <c r="AL9" s="10" t="str">
        <f>IF(COUNTIF(AJ:AJ,103)&gt;0,COUNTIF(AJ:AJ,103),"")</f>
        <v/>
      </c>
      <c r="AM9" s="52" t="str">
        <f>IF(AN9&lt;&gt;"","Infantil 45kg","")</f>
        <v/>
      </c>
      <c r="AN9" s="10" t="str">
        <f>IF(COUNTIF(AJ:AJ,203)&gt;0,COUNTIF(AJ:AJ,203),"")</f>
        <v/>
      </c>
      <c r="AO9" s="10" t="str">
        <f>IF(Atletas!E5="","",IF(Atletas!B5="Feminino",100,IF(Atletas!B5="Masculino",200,""))+(IF(Atletas!E5="Juvenil 44kg",1,IF(Atletas!E5="Juvenil 48kg",2,IF(Atletas!E5="Juvenil 52kg",3,IF(Atletas!E5="Juvenil 56kg",4,IF(Atletas!E5="Juvenil 60kg",5,IF(Atletas!E5="Juvenil 65kg",6,IF(Atletas!E5="Juvenil 70kg",7,IF(Atletas!E5="Juvenil 75kg",8,IF(Atletas!E5="Juvenil 82kg",9,IF(Atletas!E5="Juvenil 90kg",10,IF(Atletas!E5="Juvenil 100kg",11,IF(Atletas!E5="Adulto 48kg",12,IF(Atletas!E5="Adulto 52kg",13,IF(Atletas!E5="Adulto 56kg",14,IF(Atletas!E5="Adulto 60kg",15,IF(Atletas!E5="Adulto 65kg",16,IF(Atletas!E5="Adulto 70kg",17,IF(Atletas!E5="Adulto 75kg",18,IF(Atletas!E5="Adulto 82kg",19,IF(Atletas!E5="Adulto 90kg",20,IF(Atletas!E5="Adulto 100kg",21,IF(Atletas!E5="Adulto +100kg",22,""))))))))))))))))))))))))</f>
        <v/>
      </c>
      <c r="AP9" s="52" t="str">
        <f>IF(AQ9&lt;&gt;"","Juvenil 52kg","")</f>
        <v/>
      </c>
      <c r="AQ9" s="10" t="str">
        <f>IF(COUNTIF(AO:AO,103)&gt;0,COUNTIF(AO:AO,103),"")</f>
        <v/>
      </c>
      <c r="AR9" s="52" t="str">
        <f>IF(AS9&lt;&gt;"","Juvenil 56kg","")</f>
        <v/>
      </c>
      <c r="AS9" s="10" t="str">
        <f>IF(COUNTIF(AO:AO,204)&gt;0,COUNTIF(AO:AO,204),"")</f>
        <v/>
      </c>
      <c r="AT9" s="10" t="str">
        <f>IF(Atletas!F5="","",IF(Atletas!B5="Feminino",100,IF(Atletas!B5="Masculino",200,""))+(IF(Atletas!F5="Adulto 48kg",1,IF(Atletas!F5="Adulto 56kg",2,IF(Atletas!F5="Adulto 65kg",3,IF(Atletas!F5="Adulto 75kg",4,IF(Atletas!F5="Adulto +75kg",5,IF(Atletas!F5="Adulto 52kg",6,IF(Atletas!F5="Adulto 60kg",7,IF(Atletas!F5="Adulto 70kg",8,IF(Atletas!F5="Adulto 80kg",9,IF(Atletas!F5="Adulto 90kg",10,IF(Atletas!F5="Adulto +90kg",11,"")))))))))))))</f>
        <v/>
      </c>
      <c r="AU9" s="52" t="str">
        <f>IF(AV9&lt;&gt;"","Adulto 65kg","")</f>
        <v/>
      </c>
      <c r="AV9" s="10" t="str">
        <f>IF(COUNTIF(AT:AT,103)&gt;0,COUNTIF(AT:AT,103),"")</f>
        <v/>
      </c>
      <c r="AW9" s="52" t="str">
        <f>IF(AX9&lt;&gt;"","Adulto 70kg","")</f>
        <v/>
      </c>
      <c r="AX9" s="10" t="str">
        <f>IF(COUNTIF(AT:AT,208)&gt;0,COUNTIF(AT:AT,208),"")</f>
        <v/>
      </c>
      <c r="AY9" s="46" t="str">
        <f>IF(Atletas!G5="","",IF(Atletas!B5="Feminino",100,IF(Atletas!B5="Masculino",200,""))+(IF(Atletas!G5="Changquan Mirim",1,IF(Atletas!G5="Nanquan Mirim",2,IF(Atletas!G5="Taijiquan Mirim",3,IF(Atletas!G5="Changquan Grupo C",4,IF(Atletas!G5="Nanquan Grupo C",5,IF(Atletas!G5="Taijiquan Grupo C",6,IF(Atletas!G5="Changquan Grupo B",7,IF(Atletas!G5="Nanquan Grupo B",8,IF(Atletas!G5="Taijiquan Grupo B",9,IF(Atletas!G5="Changquan Grupo A",10,IF(Atletas!G5="Nanquan Grupo A",11,IF(Atletas!G5="Taijiquan Grupo A",12,IF(Atletas!G5="Changquan Opcional",13,IF(Atletas!G5="Nanquan Opcional",14,IF(Atletas!G5="Taijiquan Opcional",15,IF(Atletas!G5="Changquan Adulto",16,IF(Atletas!G5="Nanquan Adulto",17,IF(Atletas!G5="Taijiquan Adulto",18,""))))))))))))))))))))</f>
        <v/>
      </c>
      <c r="AZ9" s="46" t="str">
        <f>IF(Atletas!H5="","",IF(Atletas!B5="Feminino",100,IF(Atletas!B5="Masculino",200,""))+(IF(Atletas!H5="Daoshu Mirim",19,IF(Atletas!H5="Jianshu Mirim",20,IF(Atletas!H5="Nandao Mirim",21,IF(Atletas!H5="Taijijian Mirim",22,IF(Atletas!H5="Daoshu Grupo C",23,IF(Atletas!H5="Jianshu Grupo C",24,IF(Atletas!H5="Nandao Grupo C",25,IF(Atletas!H5="Taijijian Grupo C",26,IF(Atletas!H5="Daoshu Grupo B",27,IF(Atletas!H5="Jianshu Grupo B",28,IF(Atletas!H5="Nandao Grupo B",29,IF(Atletas!H5="Taijijian Grupo B",30,IF(Atletas!H5="Daoshu Grupo A",31,IF(Atletas!H5="Jianshu Grupo A",32,IF(Atletas!H5="Nandao Grupo A",33,IF(Atletas!H5="Taijijian Grupo A",34,IF(Atletas!H5="Daoshu Opcional",35,IF(Atletas!H5="Jianshu Opcional",36,IF(Atletas!H5="Nandao Opcional",37,IF(Atletas!H5="Taijijian Opcional",38,IF(Atletas!H5="Daoshu Adulto",39,IF(Atletas!H5="Jianshu Adulto",40,IF(Atletas!H5="Nandao Adulto",41,IF(Atletas!H5="Taijijian Adulto",42,""))))))))))))))))))))))))))</f>
        <v/>
      </c>
      <c r="BA9" s="46" t="str">
        <f>IF(Atletas!I5="","",IF(Atletas!B5="Feminino",100,IF(Atletas!B5="Masculino",200,""))+(IF(Atletas!I5="Gunshu Mirim",43,IF(Atletas!I5="Qiangshu Mirim",44,IF(Atletas!I5="Nangun Mirim",45,IF(Atletas!I5="Gunshu Grupo C",46,IF(Atletas!I5="Qiangshu Grupo C",47,IF(Atletas!I5="Nangun Grupo C",48,IF(Atletas!I5="Gunshu Grupo B",49,IF(Atletas!I5="Qiangshu Grupo B",50,IF(Atletas!I5="Nangun Grupo B",51,IF(Atletas!I5="Gunshu Grupo A",52,IF(Atletas!I5="Qiangshu Grupo A",53,IF(Atletas!I5="Nangun Grupo A",54,IF(Atletas!I5="Gunshu Opcional",55,IF(Atletas!I5="Qiangshu Opcional",56,IF(Atletas!I5="Nangun Opcional",57,IF(Atletas!I5="Gunshu Adulto",58,IF(Atletas!I5="Qiangshu Adulto",59,IF(Atletas!I5="Nangun Adulto",60,""))))))))))))))))))))</f>
        <v/>
      </c>
      <c r="BB9" s="46" t="str">
        <f>IF(BC9&lt;&gt;"","Taijiquan Mirim","")</f>
        <v/>
      </c>
      <c r="BC9" s="52" t="str">
        <f>IF(COUNTIF(AY:BA,103)&gt;0,COUNTIF(AY:BA,103),"")</f>
        <v/>
      </c>
      <c r="BD9" s="46" t="str">
        <f>IF(BE9&lt;&gt;"","Taijiquan Mirim","")</f>
        <v/>
      </c>
      <c r="BE9" s="52" t="str">
        <f>IF(COUNTIF(AY:BA,203)&gt;0,COUNTIF(AY:BA,203),"")</f>
        <v/>
      </c>
      <c r="BF9" s="52" t="str">
        <f>IF(Atletas!J5="","",IF(Atletas!B5="Feminino",100,IF(Atletas!B5="Masculino",200,""))+(IF(Atletas!J5="Equipe 1 Grupo B",1,IF(Atletas!J5="Equipe 2 Grupo B",2,IF(Atletas!J5="Equipe 1 Grupo A",3,IF(Atletas!J5="Equipe 2 Grupo A",4,IF(Atletas!J5="Equipe 1 Adulto",5,IF(Atletas!J5="Equipe 2 Adulto",6,""))))))))</f>
        <v/>
      </c>
      <c r="BG9" s="46" t="str">
        <f>IF(BH9&lt;&gt;"","Equipe 1 Grupo A","")</f>
        <v/>
      </c>
      <c r="BH9" s="52" t="str">
        <f>IF(COUNTIF(BF:BF,103)&gt;0,COUNTIF(BF:BF,103),"")</f>
        <v/>
      </c>
      <c r="BI9" s="46" t="str">
        <f>IF(BJ9&lt;&gt;"","Equipe 1 Grupo A","")</f>
        <v/>
      </c>
      <c r="BJ9" s="52" t="str">
        <f>IF(COUNTIF(BF:BF,203)&gt;0,COUNTIF(BF:BF,203),"")</f>
        <v/>
      </c>
      <c r="BK9" s="52" t="str">
        <f>IF(Atletas!K5="","",IF(Atletas!W5&lt;&gt;"",10000,0)+(IF(Atletas!B5="Feminino",1000,IF(Atletas!B5="Masculino",2000,""))+IF(Atletas!K5="Choylayfut A",1,IF(Atletas!K5="Hunggar A",2,IF(Atletas!K5="Wuzuquan A",3,IF(Atletas!K5="Wingchun A",4,IF(Atletas!K5="Outra Mão de Sul A",5,IF(Atletas!K5="Choylayfut B",6,IF(Atletas!K5="Hunggar B",7,IF(Atletas!K5="Wuzuquan B",8,IF(Atletas!K5="Wingchun B",9,IF(Atletas!K5="Outra Mão de Sul B",10,IF(Atletas!K5="Choylayfut C",11,IF(Atletas!K5="Hunggar C",12,IF(Atletas!K5="Wuzuquan C",13,IF(Atletas!K5="Wingchun C",14,IF(Atletas!K5="Outra Mão de Sul C",15,IF(Atletas!K5="Choylayfut D",16,IF(Atletas!K5="Hunggar D",17,IF(Atletas!K5="Wuzuquan D",18,IF(Atletas!K5="Wingchun D",19,IF(Atletas!K5="Outra Mão de Sul D",20,IF(Atletas!K5="Choylayfut E",21,IF(Atletas!K5="Hunggar E",22,IF(Atletas!K5="Wuzuquan E",23,IF(Atletas!K5="Wingchun E",24,IF(Atletas!K5="Outra Mão de Sul E",25,IF(Atletas!K5="Choylayfut F",26,IF(Atletas!K5="Hunggar F",27,IF(Atletas!K5="Wuzuquan F",28,IF(Atletas!K5="Wingchun F",29,IF(Atletas!K5="Outra Mão de Sul F",30,""))))))))))))))))))))))))))))))))</f>
        <v/>
      </c>
      <c r="BL9" s="52" t="str">
        <f>IF(Atletas!L5="","",IF(Atletas!W5&lt;&gt;"",10000,0)+(IF(Atletas!B5="Feminino",1000,IF(Atletas!B5="Masculino",2000,""))+(IF(Atletas!L5="Chaquan A",101,IF(Atletas!L5="Emeiquan A",102,IF(Atletas!L5="Fanziquan A",103,IF(Atletas!L5="Huaquan A",104,IF(Atletas!L5="Hongquan A",105,IF(Atletas!L5="Paochui A",106,IF(Atletas!L5="Piguaquan A",107,IF(Atletas!L5="Shaolinquan A",108,IF(Atletas!L5="Tanglangquan A",109,IF(Atletas!L5="Yinzhaophai A",110,IF(Atletas!L5="Tongbeiquan A",111,IF(Atletas!L5="Wudangquan A",112,IF(Atletas!L5="Outros Estilos A",113,IF(Atletas!L5="Chaquan B",114,IF(Atletas!L5="Emeiquan B",115,IF(Atletas!L5="Fanziquan B",116,IF(Atletas!L5="Huaquan B",117,IF(Atletas!L5="Hongquan B",118,IF(Atletas!L5="Paochui B",119,IF(Atletas!L5="Piguaquan B",120,IF(Atletas!L5="Shaolinquan B",121,IF(Atletas!L5="Tanglangquan B",122,IF(Atletas!L5="Yinzhaophai B",123,IF(Atletas!L5="Tongbeiquan B",124,IF(Atletas!L5="Wudangquan B",125,IF(Atletas!L5="Outros Estilos B",126,IF(Atletas!L5="Chaquan C",127,IF(Atletas!L5="Emeiquan C",128,IF(Atletas!L5="Fanziquan C",129,IF(Atletas!L5="Huaquan C",130,IF(Atletas!L5="Hongquan C",131,IF(Atletas!L5="Paochui C",132,IF(Atletas!L5="Piguaquan C",133,IF(Atletas!L5="Shaolinquan C",134,IF(Atletas!L5="Tanglangquan C",135,IF(Atletas!L5="Yinzhaophai C",136,IF(Atletas!L5="Tongbeiquan C",137,IF(Atletas!L5="Wudangquan C",138,IF(Atletas!L5="Outros Estilos C",139,0))))))))))))))))))))))))))))))))))))))))))</f>
        <v/>
      </c>
      <c r="BM9" s="52" t="str">
        <f>IF(Atletas!L5="","",IF(Atletas!W5&lt;&gt;"",10000,0)+(IF(Atletas!B5="Feminino",1000,IF(Atletas!B5="Masculino",2000,""))+(IF(Atletas!L5="Chaquan D",140,IF(Atletas!L5="Emeiquan D",141,IF(Atletas!L5="Fanziquan D",142,IF(Atletas!L5="Huaquan D",143,IF(Atletas!L5="Hongquan D",144,IF(Atletas!L5="Paochui D",145,IF(Atletas!L5="Piguaquan D",146,IF(Atletas!L5="Shaolinquan D",147,IF(Atletas!L5="Tanglangquan D",148,IF(Atletas!L5="Yinzhaophai D",149,IF(Atletas!L5="Tongbeiquan D",150,IF(Atletas!L5="Wudangquan D",151,IF(Atletas!L5="Outros Estilos D",152,IF(Atletas!L5="Chaquan E",153,IF(Atletas!L5="Emeiquan E",154,IF(Atletas!L5="Fanziquan E",155,IF(Atletas!L5="Huaquan E",156,IF(Atletas!L5="Hongquan E",157,IF(Atletas!L5="Paochui E",158,IF(Atletas!L5="Piguaquan E",159,IF(Atletas!L5="Shaolinquan E",160,IF(Atletas!L5="Tanglangquan E",161,IF(Atletas!L5="Yinzhaophai E",162,IF(Atletas!L5="Tongbeiquan E",163,IF(Atletas!L5="Wudangquan E",164,IF(Atletas!L5="Outros Estilos E",165,IF(Atletas!L5="Chaquan F",166,IF(Atletas!L5="Emeiquan F",167,IF(Atletas!L5="Fanziquan F",168,IF(Atletas!L5="Huaquan F",169,IF(Atletas!L5="Hongquan F",170,IF(Atletas!L5="Paochui F",171,IF(Atletas!L5="Piguaquan F",172,IF(Atletas!L5="Shaolinquan F",173,IF(Atletas!L5="Tanglangquan F",174,IF(Atletas!L5="Yinzhaophai F",175,IF(Atletas!L5="Tongbeiquan F",176,IF(Atletas!L5="Wudangquan F",177,IF(Atletas!L5="Outros Estilos F",178,0))))))))))))))))))))))))))))))))))))))))))</f>
        <v/>
      </c>
      <c r="BN9" s="52" t="str">
        <f>IF(Atletas!M5="","",IF(Atletas!W5&lt;&gt;"",10000,0)+(IF(Atletas!B5="Feminino",1000,IF(Atletas!B5="Masculino",2000,""))+(IF(Atletas!M5="Ditangquan A",201,IF(Atletas!M5="Houquan A",202,IF(Atletas!M5="Zuiquan A",203,IF(Atletas!M5="Ditangquan B",204,IF(Atletas!M5="Houquan B",205,IF(Atletas!M5="Zuiquan B",206,IF(Atletas!M5="Ditangquan C",207,IF(Atletas!M5="Houquan C",208,IF(Atletas!M5="Zuiquan C",209,IF(Atletas!M5="Ditangquan D",210,IF(Atletas!M5="Houquan D",211,IF(Atletas!M5="Zuiquan D",212,IF(Atletas!M5="Ditangquan E",213,IF(Atletas!M5="Houquan E",214,IF(Atletas!M5="Zuiquan E",215,IF(Atletas!M5="Ditangquan F",216,IF(Atletas!M5="Houquan F",217,IF(Atletas!M5="Zuiquan F",218,"")))))))))))))))))))))</f>
        <v/>
      </c>
      <c r="BO9" s="52" t="str">
        <f>IF(Atletas!N5="","",IF(Atletas!W5&lt;&gt;"",10000,0)+IF(Atletas!B5="Feminino",1000,IF(Atletas!B5="Masculino",2000,""))+IF(Atletas!N5="Yang A",301,IF(Atletas!N5="Chen A",30,IF(Atletas!N5="Sun A",303,IF(Atletas!N5="Wu A",304,IF(Atletas!N5="Wu-Hao A",305,IF(Atletas!N5="Outro Taijiquan A",306,IF(Atletas!N5="Yang B",307,IF(Atletas!N5="Chen B",308,IF(Atletas!N5="Sun B",309,IF(Atletas!N5="Wu B",310,IF(Atletas!N5="Wu-Hao B",311,IF(Atletas!N5="Outro Taijiquan B",312,IF(Atletas!N5="Yang C",313,IF(Atletas!N5="Chen C",314,IF(Atletas!N5="Sun C",315,IF(Atletas!N5="Wu C",316,IF(Atletas!N5="Wu-Hao C",317,IF(Atletas!N5="Outro Taijiquan C",318,IF(Atletas!N5="Yang D",319,IF(Atletas!N5="Chen D",320,IF(Atletas!N5="Sun D",321,IF(Atletas!N5="Wu D",322,IF(Atletas!N5="Wu-Hao D",323,IF(Atletas!N5="Outro Taijiquan D",324,IF(Atletas!N5="Yang E",325,IF(Atletas!N5="Chen E",326,IF(Atletas!N5="Sun E",327,IF(Atletas!N5="Wu E",328,IF(Atletas!N5="Wu-Hao E",329,IF(Atletas!N5="Outro Taijiquan E",330,IF(Atletas!N5="Yang F",331,IF(Atletas!N5="Chen F",332,IF(Atletas!N5="Sun F",333,IF(Atletas!N5="Wu F",334,IF(Atletas!N5="Wu-Hao F",335,IF(Atletas!N5="Outro Taijiquan F",336,"")))))))))))))))))))))))))))))))))))))</f>
        <v/>
      </c>
      <c r="BP9" s="52" t="str">
        <f>IF(Atletas!O5="","",IF(Atletas!W5&lt;&gt;"",10000,0)+IF(Atletas!B5="Feminino",1000,IF(Atletas!B5="Masculino",2000,""))+IF(OR(Atletas!O5="Yang 26 A",Atletas!O5="Yang 40 A"),401,IF(OR(Atletas!O5="Chen 25 A",Atletas!O5="Chen 36 A",Atletas!O5="Chen 56 A"),402,IF(Atletas!O5="Sun 73 A",403,IF(Atletas!O5="Wu 45 A",404,IF(Atletas!O5="Wu-Hao 46 A",405,IF(OR(Atletas!O5="Taijiquan 16 A",Atletas!O5="Taijiquan 24 A",Atletas!O5="Taijiquan 32 A",Atletas!O5="Taijiquan 42 A"),406,IF(OR(Atletas!O5="Yang 26 B",Atletas!O5="Yang 40 B"),407,IF(OR(Atletas!O5="Chen 25 B",Atletas!O5="Chen 36 B",Atletas!O5="Chen 56 B"),408,IF(Atletas!O5="Sun 73 B",409,IF(Atletas!O5="Wu 45 B",410,IF(Atletas!O5="Wu-Hao 46 B",411,IF(OR(Atletas!O5="Taijiquan 16 B",Atletas!O5="Taijiquan 24 B",Atletas!O5="Taijiquan 32 B",Atletas!O5="Taijiquan 42 B"),412,IF(OR(Atletas!O5="Yang 26 C",Atletas!O5="Yang 40 C"),413,IF(OR(Atletas!O5="Chen 25 C",Atletas!O5="Chen 36 C",Atletas!O5="Chen 56 C"),414,IF(Atletas!O5="Sun 73 C",415,IF(Atletas!O5="Wu 45 C",416,IF(Atletas!O5="Wu-Hao 46 C",417,IF(OR(Atletas!O5="Taijiquan 16 C",Atletas!O5="Taijiquan 24 C",Atletas!O5="Taijiquan 32 C",Atletas!O5="Taijiquan 42 C"),418,0)))))))))))))))))))</f>
        <v/>
      </c>
      <c r="BQ9" s="52" t="str">
        <f>IF(Atletas!O5="","",IF(Atletas!W5&lt;&gt;"",10000,0)+IF(Atletas!B5="Feminino",1000,IF(Atletas!B5="Masculino",2000,""))+IF(OR(Atletas!O5="Yang 26 D",Atletas!O5="Yang 40 D"),419,IF(OR(Atletas!O5="Chen 25 D",Atletas!O5="Chen 36 D",Atletas!O5="Chen 56 D"),420,IF(Atletas!O5="Sun 73 D",421,IF(Atletas!O5="Wu 45 D",422,IF(Atletas!O5="Wu-Hao 46 D",423,IF(OR(Atletas!O5="Taijiquan 16 D",Atletas!O5="Taijiquan 24 D",Atletas!O5="Taijiquan 32 D",Atletas!O5="Taijiquan 42 D"),424,IF(OR(Atletas!O5="Yang 26 E",Atletas!O5="Yang 40 E"),425,IF(OR(Atletas!O5="Chen 25 E",Atletas!O5="Chen 36 E",Atletas!O5="Chen 56 E"),426,IF(Atletas!O5="Sun 73 E",427,IF(Atletas!O5="Wu 45 E",428,IF(Atletas!O5="Wu-Hao 46 E",429,IF(OR(Atletas!O5="Taijiquan 16 E",Atletas!O5="Taijiquan 24 E",Atletas!O5="Taijiquan 32 E",Atletas!O5="Taijiquan 42 E"),430,IF(OR(Atletas!O5="Yang 26 F",Atletas!O5="Yang 40 F"),431,IF(OR(Atletas!O5="Chen 25 F",Atletas!O5="Chen 36 F",Atletas!O5="Chen 56 F"),432,IF(Atletas!O5="Sun 73 F",433,IF(Atletas!O5="Wu 45 F",434,IF(Atletas!O5="Wu-Hao 46 F",435,IF(OR(Atletas!O5="Taijiquan 16 F",Atletas!O5="Taijiquan 24 F",Atletas!O5="Taijiquan 32 F",Atletas!O5="Taijiquan 42 F"),436,0)))))))))))))))))))</f>
        <v/>
      </c>
      <c r="BR9" s="52" t="str">
        <f>IF(Atletas!P5="","",IF(Atletas!W5&lt;&gt;"",10000,0)+IF(Atletas!B5="Feminino",1000,IF(Atletas!B5="Masculino",2000,""))+IF(Atletas!P5="Xingyiquan A",501,IF(Atletas!P5="Baguazhang A",502,IF(Atletas!P5="Outro Estilo Interno A",503,IF(Atletas!P5="Xingyiquan B",504,IF(Atletas!P5="Baguazhang B",505,IF(Atletas!P5="Outro Estilo Interno B",506,IF(Atletas!P5="Xingyiquan C",507,IF(Atletas!P5="Baguazhang C",508,IF(Atletas!P5="Outro Estilo Interno C",509,IF(Atletas!P5="Xingyiquan D",510,IF(Atletas!P5="Baguazhang D",511,IF(Atletas!P5="Outro Estilo Interno D",512,IF(Atletas!P5="Xingyiquan E",513,IF(Atletas!P5="Baguazhang E",514,IF(Atletas!P5="Outro Estilo Interno E",515,IF(Atletas!P5="Xingyiquan F",516,IF(Atletas!P5="Baguazhang F",517,IF(Atletas!P5="Outro Estilo Interno F",518, "")))))))))))))))))))</f>
        <v/>
      </c>
      <c r="BS9" s="52" t="str">
        <f>IF(Atletas!Q5="","",IF(Atletas!W5&lt;&gt;"",10000,0)+IF(Atletas!B5="Feminino",1000,IF(Atletas!B5="Masculino",2000,""))+IF(Atletas!Q5="Dao A",601,IF(Atletas!Q5="Jian A",602,IF(Atletas!Q5="Bishou A",603,IF(Atletas!Q5="Shan A",604,IF(Atletas!Q5="Outra Arma Curta A",605,IF(Atletas!Q5="Dao B",606,IF(Atletas!Q5="Jian B",607,IF(Atletas!Q5="Bishou B",608,IF(Atletas!Q5="Shan B",609,IF(Atletas!Q5="Outra Arma Curta B",610,IF(Atletas!Q5="Dao C",611,IF(Atletas!Q5="Jian C",612,IF(Atletas!Q5="Bishou C",613,IF(Atletas!Q5="Shan C",614,IF(Atletas!Q5="Outra Arma Curta C",615,IF(Atletas!Q5="Dao D",616,IF(Atletas!Q5="Jian D",617,IF(Atletas!Q5="Bishou D",618,IF(Atletas!Q5="Shan D",619,IF(Atletas!Q5="Outra Arma Curta D",620,IF(Atletas!Q5="Dao E",621,IF(Atletas!Q5="Jian E",622,IF(Atletas!Q5="Bishou E",623,IF(Atletas!Q5="Shan E",624,IF(Atletas!Q5="Outra Arma Curta E",625,IF(Atletas!Q5="Dao F",626,IF(Atletas!Q5="Jian F",627,IF(Atletas!Q5="Bishou F",628,IF(Atletas!Q5="Shan F",629,IF(Atletas!Q5="Outra Arma Curta F",630, "")))))))))))))))))))))))))))))))</f>
        <v/>
      </c>
      <c r="BT9" s="52" t="str">
        <f>IF(Atletas!R5="","",IF(Atletas!W5&lt;&gt;"",10000,0)+IF(Atletas!B5="Feminino",1000,IF(Atletas!B5="Masculino",2000,""))+IF(Atletas!R5="Gun A",701,IF(Atletas!R5="Qiang A",702,IF(Atletas!R5="Pudao / Guandao A",703,IF(Atletas!R5="Outra Arma Longa A",704,IF(Atletas!R5="Gun B",705,IF(Atletas!R5="Qiang B",706,IF(Atletas!R5="Pudao / Guandao B",707,IF(Atletas!R5="Outra Arma Longa B",708,IF(Atletas!R5="Gun C",709,IF(Atletas!R5="Qiang C",710,IF(Atletas!R5="Pudao / Guandao C",711,IF(Atletas!R5="Outra Arma Longa C",712,IF(Atletas!R5="Gun D",713,IF(Atletas!R5="Qiang D",714,IF(Atletas!R5="Pudao / Guandao D",715,IF(Atletas!R5="Outra Arma Longa D",716,IF(Atletas!R5="Gun E",717,IF(Atletas!R5="Qiang E",718,IF(Atletas!R5="Pudao / Guandao E",719,IF(Atletas!R5="Outra Arma Longa E",720,IF(Atletas!R5="Gun F",721,IF(Atletas!R5="Qiang F",722,IF(Atletas!R5="Pudao / Guandao F",723,IF(Atletas!R5="Outra Arma Longa F",724,"")))))))))))))))))))))))))</f>
        <v/>
      </c>
      <c r="BU9" s="52" t="str">
        <f>IF(Atletas!S5="","",IF(Atletas!W5&lt;&gt;"",10000,0)+IF(Atletas!B5="Feminino",1000,IF(Atletas!B5="Masculino",2000,""))+IF(Atletas!S5="Arma Dupla A",801,IF(Atletas!S5="Arma Maleável A",802,IF(Atletas!S5="Arma Dupla B",803,IF(Atletas!S5="Arma Maleável B",804,IF(Atletas!S5="Arma Dupla C",805,IF(Atletas!S5="Arma Maleável C",806,IF(Atletas!S5="Arma Dupla D",807,IF(Atletas!S5="Arma Maleável D",808,IF(Atletas!S5="Arma Dupla E",809,IF(Atletas!S5="Arma Maleável E",810,IF(Atletas!S5="Arma Dupla F",811,IF(Atletas!S5="Arma Maleável F",812, "")))))))))))))</f>
        <v/>
      </c>
      <c r="BV9" s="52" t="str">
        <f>IF(Atletas!T5="","",IF(Atletas!W5&lt;&gt;"",10000,0)+IF(Atletas!B5="Feminino",1000,IF(Atletas!B5="Masculino",2000,""))+IF(Atletas!T5="Taijijian Yang A",901,IF(Atletas!T5="Taijijian Chen A",902,IF(Atletas!T5="Taijijian Sun A",903,IF(Atletas!T5="Taijijian Wu A",904,IF(Atletas!T5="Taijijian Wu-Hao A",905,IF(Atletas!T5="Taijijian 32 A",906,IF(Atletas!T5="Taijijian 42 A",907,IF(Atletas!T5="Taijijian Yang B",908,IF(Atletas!T5="Taijijian Chen B",909,IF(Atletas!T5="Taijijian Sun B",910,IF(Atletas!T5="Taijijian Wu B",911,IF(Atletas!T5="Taijijian Wu-Hao B",912,IF(Atletas!T5="Taijijian 32 B",913,IF(Atletas!T5="Taijijian 42 B",914,IF(Atletas!T5="Taijijian Yang C",915,IF(Atletas!T5="Taijijian Chen C",916,IF(Atletas!T5="Taijijian Sun C",917,IF(Atletas!T5="Taijijian Wu C",918,IF(Atletas!T5="Taijijian Wu-Hao C",919,IF(Atletas!T5="Taijijian 32 C",920,IF(Atletas!T5="Taijijian 42 C",921,IF(Atletas!T5="Taijijian Yang D",922,IF(Atletas!T5="Taijijian Chen D",923,IF(Atletas!T5="Taijijian Sun D",924,IF(Atletas!T5="Taijijian Wu D",925,IF(Atletas!T5="Taijijian Wu-Hao D",926,IF(Atletas!T5="Taijijian 32 D",927,IF(Atletas!T5="Taijijian 42 D",928,IF(Atletas!T5="Taijijian Yang E",929,IF(Atletas!T5="Taijijian Chen E",930,IF(Atletas!T5="Taijijian Sun E",931,IF(Atletas!T5="Taijijian Wu E",932,IF(Atletas!T5="Taijijian Wu-Hao E",933,IF(Atletas!T5="Taijijian 32 E",934,IF(Atletas!T5="Taijijian 42 E",935,IF(Atletas!T5="Taijijian Yang F",936,IF(Atletas!T5="Taijijian Chen F",937,IF(Atletas!T5="Taijijian Sun F",938,IF(Atletas!T5="Taijijian Wu F",939,IF(Atletas!T5="Taijijian Wu-Hao F",940,IF(Atletas!T5="Taijijian 32 F",941,IF(Atletas!T5="Taijijian 42 F",942,"")))))))))))))))))))))))))))))))))))))))))))</f>
        <v/>
      </c>
      <c r="BW9" s="52" t="str">
        <f>IF(Atletas!U5="","",IF(Atletas!W5&lt;&gt;"",10000,0)+IF(Atletas!B5="Feminino",1000,IF(Atletas!B5="Masculino",2000,""))+IF(Atletas!T5="Taijijian 42 F",942,IF(Atletas!U5="Taijidao A",943,IF(Atletas!U5="Taijishan A",944,IF(Atletas!U5="Taijiqiang A",945,IF(Atletas!U5="Taijidao B",946,IF(Atletas!U5="Taijishan B",947,IF(Atletas!U5="Taijiqiang B",948,IF(Atletas!U5="Taijidao C",949,IF(Atletas!U5="Taijishan C",950,IF(Atletas!U5="Taijiqiang C",951,IF(Atletas!U5="Taijidao D",952,IF(Atletas!U5="Taijishan D",953,IF(Atletas!U5="Taijiqiang D",954,IF(Atletas!U5="Taijidao E",955,IF(Atletas!U5="Taijishan E",956,IF(Atletas!U5="Taijiqiang E",957,IF(Atletas!U5="Taijidao F",958,IF(Atletas!U5="Taijishan F",959,IF(Atletas!U5="Taijiqiang F",960))))))))))))))))))))</f>
        <v/>
      </c>
      <c r="BX9" s="64" t="str">
        <f>IF(BY9&lt;&gt;"","Wuzuquan A","")</f>
        <v/>
      </c>
      <c r="BY9" s="64" t="str">
        <f>IF(COUNTIF(BK:BW,1003)&gt;0,COUNTIF(BK:BW,1003),"")</f>
        <v/>
      </c>
      <c r="BZ9" s="64" t="str">
        <f>IF(CA9&lt;&gt;"","Wuzuquan A","")</f>
        <v/>
      </c>
      <c r="CA9" s="64" t="str">
        <f>IF(COUNTIF(BK:BW,2003)&gt;0,COUNTIF(BK:BW,2003),"")</f>
        <v/>
      </c>
      <c r="CB9" s="64" t="str">
        <f>IF(CC9&lt;&gt;"","Wuzuquan A","")</f>
        <v/>
      </c>
      <c r="CC9" s="64" t="str">
        <f>IF(COUNTIF(BK:BW,11003)&gt;0,COUNTIF(BK:BW,11003),"")</f>
        <v/>
      </c>
      <c r="CD9" s="64" t="str">
        <f>IF(CE9&lt;&gt;"","Wuzuquan A","")</f>
        <v/>
      </c>
      <c r="CE9" s="64" t="str">
        <f>IF(COUNTIF(BK:BW,12003)&gt;0,COUNTIF(BK:BW,12003),"")</f>
        <v/>
      </c>
      <c r="CF9" s="52" t="str">
        <f xml:space="preserve"> IF(Atletas!V5="","",IF(Atletas!V5="Duilian de Mãos AB - Equipe 1",1,IF(Atletas!V5="Duilian de Mãos AB - Equipe 2",2,IF(Atletas!V5="Duilian de Armas AB - Equipe 1",3,IF(Atletas!V5="Duilian de Armas AB - Equipe 2",4,IF(Atletas!V5="Duilian de Tuishou - Equipe 1",5,IF(Atletas!V5="Duilian de Tuishou - Equipe 2",6,IF(Atletas!V5="Grupo Externo AB - Equipe 1",7,IF(Atletas!V5="Grupo Externo AB - Equipe 2",8,IF(Atletas!V5="Grupo Interno AB - Equipe 1",9,IF(Atletas!V5="Grupo Interno AB - Equipe 2",10,IF(Atletas!V5="Duilian de Mãos CD - Equipe 1",11,IF(Atletas!V5="Duilian de Mãos CD - Equipe 2",12,IF(Atletas!V5="Duilian de Armas CD - Equipe 1",13,IF(Atletas!V5="Duilian de Armas CD - Equipe 2",14,IF(Atletas!V5="Duilian de Tuishou - Equipe 1",15,IF(Atletas!V5="Duilian de Tuishou - Equipe 2",16,IF(Atletas!V5="Grupo Externo CDEF - Equipe 1",17,IF(Atletas!V5="Grupo Externo CDEF - Equipe 2",18,IF(Atletas!V5="Grupo Interno CDEF - Equipe 1",19,IF(Atletas!V5="Grupo Interno CDEF - Equipe 2",20,IF(Atletas!V5="Duilian de Mãos EF - Equipe 1",21,IF(Atletas!V5="Duilian de Mãos EF - Equipe 2",22,IF(Atletas!V5="Duilian de Armas EF - Equipe 1",23,IF(Atletas!V5="Duilian de Armas EF - Equipe 2",24,IF(Atletas!V5="Duilian de Tuishou - Equipe 1",25,IF(Atletas!V5="Duilian de Tuishou - Equipe 2",26,"")))))))))))))))))))))))))))</f>
        <v/>
      </c>
      <c r="CG9" s="46" t="str">
        <f>IF(CH9&lt;&gt;"","Duilian de Armas AB - Equipe 1","")</f>
        <v/>
      </c>
      <c r="CH9" s="46" t="str">
        <f>IF(COUNTIF(CF:CF,3)&gt;0,COUNTIF(CF:CF,3),"")</f>
        <v/>
      </c>
      <c r="CI9" s="52"/>
      <c r="CJ9" s="52"/>
      <c r="CK9" s="53" t="str">
        <f>IF(CL9&lt;&gt;"","Grupo Interno AB - Equipe 1","")</f>
        <v/>
      </c>
      <c r="CL9" s="53" t="str">
        <f>IF(COUNTIF(CF:CF,9)&gt;0,COUNTIF(CF:CF,9),"")</f>
        <v/>
      </c>
      <c r="CR9" s="71"/>
    </row>
    <row r="10" spans="1:96">
      <c r="A10" s="25"/>
      <c r="B10" s="4" t="str">
        <f t="array" ref="B10">IFERROR(INDEX(AK$7:AK$36,SMALL(IF(AK$7:AK$36&lt;&gt;"",ROW(AK$7:AK$36)-ROW(AK$7)+1),ROWS(AK$7:AK9))),"")</f>
        <v/>
      </c>
      <c r="C10" s="4" t="str">
        <f t="array" ref="C10">IFERROR(INDEX(AL$7:AL$36,SMALL(IF(AL$7:AL$36&lt;&gt;"",ROW(AL$7:AL$36)-ROW(AL$7)+1),ROWS(AL$7:AL9))),"")</f>
        <v/>
      </c>
      <c r="D10" s="4" t="str">
        <f t="array" ref="D10">IFERROR(INDEX(AM$7:AM$36,SMALL(IF(AM$7:AM$36&lt;&gt;"",ROW(AM$7:AM$36)-ROW(AM$7)+1),ROWS(AM$7:AM9))),"")</f>
        <v/>
      </c>
      <c r="E10" s="4" t="str">
        <f t="array" ref="E10">IFERROR(INDEX(AN$7:AN$36,SMALL(IF(AN$7:AN$36&lt;&gt;"",ROW(AN$7:AN$36)-ROW(AN$7)+1),ROWS(AN$7:AN9))),"")</f>
        <v/>
      </c>
      <c r="F10" s="4" t="str">
        <f t="array" ref="F10">IFERROR(INDEX(AP$7:AP$36,SMALL(IF(AP$7:AP$36&lt;&gt;"",ROW(AP$7:AP$36)-ROW(AP$7)+1),ROWS(AP$7:AP9))),"")</f>
        <v/>
      </c>
      <c r="G10" s="4" t="str">
        <f t="array" ref="G10">IFERROR(INDEX(AQ$7:AQ$36,SMALL(IF(AQ$7:AQ$36&lt;&gt;"",ROW(AQ$7:AQ$36)-ROW(AQ$7)+1),ROWS(AQ$7:AQ9))),"")</f>
        <v/>
      </c>
      <c r="H10" s="4" t="str">
        <f t="array" ref="H10">IFERROR(INDEX(AR$7:AR$36,SMALL(IF(AR$7:AR$36&lt;&gt;"",ROW(AR$7:AR$36)-ROW(AR$7)+1),ROWS(AR$7:AR9))),"")</f>
        <v/>
      </c>
      <c r="I10" s="4" t="str">
        <f t="array" ref="I10">IFERROR(INDEX(AS$7:AS$36,SMALL(IF(AS$7:AS$36&lt;&gt;"",ROW(AS$7:AS$36)-ROW(AS$7)+1),ROWS(AS$7:AS9))),"")</f>
        <v/>
      </c>
      <c r="J10" s="4" t="str">
        <f t="array" ref="J10">IFERROR(INDEX(AU$7:AU$36,SMALL(IF(AU$7:AU$36&lt;&gt;"",ROW(AU$7:AU$36)-ROW(AU$7)+1),ROWS(AU$7:AU9))),"")</f>
        <v/>
      </c>
      <c r="K10" s="4" t="str">
        <f t="array" ref="K10">IFERROR(INDEX(AV$7:AV$36,SMALL(IF(AV$7:AV$36&lt;&gt;"",ROW(AV$7:AV$36)-ROW(AV$7)+1),ROWS(AV$7:AV9))),"")</f>
        <v/>
      </c>
      <c r="L10" s="4" t="str">
        <f t="array" ref="L10">IFERROR(INDEX(AW$7:AW$36,SMALL(IF(AW$7:AW$36&lt;&gt;"",ROW(AW$7:AW$36)-ROW(AW$7)+1),ROWS(AW$7:AW9))),"")</f>
        <v/>
      </c>
      <c r="M10" s="4" t="str">
        <f t="array" ref="M10">IFERROR(INDEX(AX$7:AX$36,SMALL(IF(AX$7:AX$36&lt;&gt;"",ROW(AX$7:AX$36)-ROW(AX$7)+1),ROWS(AX$7:AX9))),"")</f>
        <v/>
      </c>
      <c r="N10" s="4" t="str">
        <f t="array" ref="N10">IFERROR(INDEX(BB$7:BB$66,SMALL(IF(BB$7:BB$66&lt;&gt;"",ROW(BB$7:BB$66)-ROW(BB$7)+1),ROWS(BB$7:BB9))),"")</f>
        <v/>
      </c>
      <c r="O10" s="4" t="str">
        <f t="array" ref="O10">IFERROR(INDEX(BC$7:BC$66,SMALL(IF(BC$7:BC$66&lt;&gt;"",ROW(BC$7:BC$66)-ROW(BC$7)+1),ROWS(BC$7:BC9))),"")</f>
        <v/>
      </c>
      <c r="P10" s="4" t="str">
        <f t="array" ref="P10">IFERROR(INDEX(BD$7:BD$66,SMALL(IF(BD$7:BD$66&lt;&gt;"",ROW(BD$7:BD$66)-ROW(BD$7)+1),ROWS(BD$7:BD9))),"")</f>
        <v/>
      </c>
      <c r="Q10" s="4" t="str">
        <f t="array" ref="Q10">IFERROR(INDEX(BE$7:BE$66,SMALL(IF(BE$7:BE$66&lt;&gt;"",ROW(BE$7:BE$66)-ROW(BE$7)+1),ROWS(BE$7:BE9))),"")</f>
        <v/>
      </c>
      <c r="R10" s="4" t="str">
        <f t="array" ref="R10">IFERROR(INDEX(BG$7:BG$12,SMALL(IF(BG$7:BG$12&lt;&gt;"",ROW(BG$7:BG$12)-ROW(BG$7)+1),ROWS(BG$7:BG9))),"")</f>
        <v/>
      </c>
      <c r="S10" s="4" t="str">
        <f t="array" ref="S10">IFERROR(INDEX(BH$7:BH$12,SMALL(IF(BH$7:BH$12&lt;&gt;"",ROW(BH$7:BH$12)-ROW(BH$7)+1),ROWS(BH$7:BH9))),"")</f>
        <v/>
      </c>
      <c r="T10" s="4" t="str">
        <f t="array" ref="T10">IFERROR(INDEX(BI$7:BI$12,SMALL(IF(BI$7:BI$12&lt;&gt;"",ROW(BI$7:BI$12)-ROW(BI$7)+1),ROWS(BI$7:BI9))),"")</f>
        <v/>
      </c>
      <c r="U10" s="4" t="str">
        <f t="array" ref="U10">IFERROR(INDEX(BJ$7:BJ$12,SMALL(IF(BJ$7:BJ$12&lt;&gt;"",ROW(BJ$7:BJ$12)-ROW(BJ$7)+1),ROWS(BJ$7:BJ9))),"")</f>
        <v/>
      </c>
      <c r="V10" s="4" t="str">
        <f t="array" ref="V10">IFERROR(INDEX(BX$7:BX$336,SMALL(IF(BX$7:BX$336&lt;&gt;"",ROW(BX$7:BX$336)-ROW(BX$7)+1),ROWS(BX$7:BX9))),"")</f>
        <v/>
      </c>
      <c r="W10" s="4" t="str">
        <f t="array" ref="W10">IFERROR(INDEX(BY$7:BY$336,SMALL(IF(BY$7:BY$336&lt;&gt;"",ROW(BY$7:BY$336)-ROW(BY$7)+1),ROWS(BY$7:BY9))),"")</f>
        <v/>
      </c>
      <c r="X10" s="4" t="str">
        <f t="array" ref="X10">IFERROR(INDEX(BZ$7:BZ$336,SMALL(IF(BZ$7:BZ$336&lt;&gt;"",ROW(BZ$7:BZ$336)-ROW(BZ$7)+1),ROWS(BZ$7:BZ9))),"")</f>
        <v/>
      </c>
      <c r="Y10" s="4" t="str">
        <f t="array" ref="Y10">IFERROR(INDEX(CA$7:CA$336,SMALL(IF(CA$7:CA$336&lt;&gt;"",ROW(CA$7:CA$336)-ROW(CA$7)+1),ROWS(CA$7:CA9))),"")</f>
        <v/>
      </c>
      <c r="Z10" s="4" t="str">
        <f t="array" ref="Z10">IFERROR(INDEX(CB$7:CB$378,SMALL(IF(CB$7:CB$378&lt;&gt;"",ROW(CB$7:CB$378)-ROW(CB$7)+1),ROWS(CB$7:CB9))),"")</f>
        <v/>
      </c>
      <c r="AA10" s="4" t="str">
        <f t="array" ref="AA10">IFERROR(INDEX(CC$7:CC$378,SMALL(IF(CC$7:CC$378&lt;&gt;"",ROW(CC$7:CC$378)-ROW(CC$7)+1),ROWS(CC$7:CC9))),"")</f>
        <v/>
      </c>
      <c r="AB10" s="4" t="str">
        <f t="array" ref="AB10">IFERROR(INDEX(CD$7:CD$378,SMALL(IF(CD$7:CD$378&lt;&gt;"",ROW(CD$7:CD$378)-ROW(CD$7)+1),ROWS(CD$7:CD9))),"")</f>
        <v/>
      </c>
      <c r="AC10" s="4" t="str">
        <f t="array" ref="AC10">IFERROR(INDEX(CE$7:CE$378,SMALL(IF(CE$7:CE$378&lt;&gt;"",ROW(CE$7:CE$378)-ROW(CE$7)+1),ROWS(CE$7:CE9))),"")</f>
        <v/>
      </c>
      <c r="AD10" s="69" t="str">
        <f t="array" ref="AD10">IFERROR(INDEX(CG$7:CG$18,SMALL(IF(CG$7:CG$18&lt;&gt;"",ROW(CG$7:CG$18)-ROW(CG$7)+1),ROWS(CG$7:CG9))),"")</f>
        <v/>
      </c>
      <c r="AE10" s="69" t="str">
        <f t="array" ref="AE10">IFERROR(INDEX(CH$7:CH$18,SMALL(IF(CH$7:CH$18&lt;&gt;"",ROW(CH$7:CH$18)-ROW(CH$7)+1),ROWS(CH$7:CH9))),"")</f>
        <v/>
      </c>
      <c r="AF10" s="69"/>
      <c r="AG10" s="69"/>
      <c r="AH10" s="69" t="str">
        <f t="array" ref="AH10">IFERROR(INDEX(CK$7:CK$14,SMALL(IF(CK$7:CK$14&lt;&gt;"",ROW(CK$7:CK$14)-ROW(CK$7)+1),ROWS(CK$7:CK9))),"")</f>
        <v/>
      </c>
      <c r="AI10" s="69" t="str">
        <f t="array" ref="AI10">IFERROR(INDEX(CL$7:CL$14,SMALL(IF(CL$7:CL$14&lt;&gt;"",ROW(CL$7:CL$14)-ROW(CL$7)+1),ROWS(CL$7:CL9))),"")</f>
        <v/>
      </c>
      <c r="AJ10" s="46" t="str">
        <f>IF(Atletas!D6="","",IF(Atletas!B6="Feminino",100,IF(Atletas!B6="Masculino",200,""))+(IF(Atletas!D6="Infantil 39kg",1,IF(Atletas!D6="Infantil 42kg",2,IF(Atletas!D6="Infantil 45kg",3,IF(Atletas!D6="Infantil 48kg",4,IF(Atletas!D6="Infantil 52kg",5,IF(Atletas!D6="Infantil 56kg",6,IF(Atletas!D6="Infantil 60kg",7,IF(Atletas!D6="Juvenil 48kg",8,IF(Atletas!D6="Juvenil 52kg",9,IF(Atletas!D6="Juvenil 56kg",10,IF(Atletas!D6="Juvenil 60kg",11,IF(Atletas!D6="Juvenil 65kg",12,IF(Atletas!D6="Juvenil 70kg",13,IF(Atletas!D6="Juvenil 75kg",14,IF(Atletas!D6="Juvenil 80kg",15,IF(Atletas!D6="Adulto 48kg",16,IF(Atletas!D6="Adulto 52kg",17,IF(Atletas!D6="Adulto 56kg",18,IF(Atletas!D6="Adulto 60kg",19,IF(Atletas!D6="Adulto 65kg",20,IF(Atletas!D6="Adulto 70kg",21,IF(Atletas!D6="Adulto 75kg",22,IF(Atletas!D6="Adulto 80kg",23,IF(Atletas!D6="Adulto 85kg",24,IF(Atletas!D6="Adulto 90kg",25,IF(Atletas!D6="Adulto +90kg",26,""))))))))))))))))))))))))))))</f>
        <v/>
      </c>
      <c r="AK10" s="52" t="str">
        <f>IF(AL10&lt;&gt;"","Infantil 48kg","")</f>
        <v/>
      </c>
      <c r="AL10" s="10" t="str">
        <f>IF(COUNTIF(AJ:AJ,104)&gt;0,COUNTIF(AJ:AJ,104),"")</f>
        <v/>
      </c>
      <c r="AM10" s="52" t="str">
        <f>IF(AN10&lt;&gt;"","Infantil 48kg","")</f>
        <v/>
      </c>
      <c r="AN10" s="10" t="str">
        <f>IF(COUNTIF(AJ:AJ,204)&gt;0,COUNTIF(AJ:AJ,204),"")</f>
        <v/>
      </c>
      <c r="AO10" s="10" t="str">
        <f>IF(Atletas!E6="","",IF(Atletas!B6="Feminino",100,IF(Atletas!B6="Masculino",200,""))+(IF(Atletas!E6="Juvenil 44kg",1,IF(Atletas!E6="Juvenil 48kg",2,IF(Atletas!E6="Juvenil 52kg",3,IF(Atletas!E6="Juvenil 56kg",4,IF(Atletas!E6="Juvenil 60kg",5,IF(Atletas!E6="Juvenil 65kg",6,IF(Atletas!E6="Juvenil 70kg",7,IF(Atletas!E6="Juvenil 75kg",8,IF(Atletas!E6="Juvenil 82kg",9,IF(Atletas!E6="Juvenil 90kg",10,IF(Atletas!E6="Juvenil 100kg",11,IF(Atletas!E6="Adulto 48kg",12,IF(Atletas!E6="Adulto 52kg",13,IF(Atletas!E6="Adulto 56kg",14,IF(Atletas!E6="Adulto 60kg",15,IF(Atletas!E6="Adulto 65kg",16,IF(Atletas!E6="Adulto 70kg",17,IF(Atletas!E6="Adulto 75kg",18,IF(Atletas!E6="Adulto 82kg",19,IF(Atletas!E6="Adulto 90kg",20,IF(Atletas!E6="Adulto 100kg",21,IF(Atletas!E6="Adulto +100kg",22,""))))))))))))))))))))))))</f>
        <v/>
      </c>
      <c r="AP10" s="52" t="str">
        <f>IF(AQ10&lt;&gt;"","Juvenil 56kg","")</f>
        <v/>
      </c>
      <c r="AQ10" s="10" t="str">
        <f>IF(COUNTIF(AO:AO,104)&gt;0,COUNTIF(AO:AO,104),"")</f>
        <v/>
      </c>
      <c r="AR10" s="52" t="str">
        <f>IF(AS10&lt;&gt;"","Juvenil 60kg","")</f>
        <v/>
      </c>
      <c r="AS10" s="10" t="str">
        <f>IF(COUNTIF(AO:AO,205)&gt;0,COUNTIF(AO:AO,205),"")</f>
        <v/>
      </c>
      <c r="AT10" s="10" t="str">
        <f>IF(Atletas!F6="","",IF(Atletas!B6="Feminino",100,IF(Atletas!B6="Masculino",200,""))+(IF(Atletas!F6="Adulto 48kg",1,IF(Atletas!F6="Adulto 56kg",2,IF(Atletas!F6="Adulto 65kg",3,IF(Atletas!F6="Adulto 75kg",4,IF(Atletas!F6="Adulto +75kg",5,IF(Atletas!F6="Adulto 52kg",6,IF(Atletas!F6="Adulto 60kg",7,IF(Atletas!F6="Adulto 70kg",8,IF(Atletas!F6="Adulto 80kg",9,IF(Atletas!F6="Adulto 90kg",10,IF(Atletas!F6="Adulto +90kg",11,"")))))))))))))</f>
        <v/>
      </c>
      <c r="AU10" s="52" t="str">
        <f>IF(AV10&lt;&gt;"","Adulto 75kg","")</f>
        <v/>
      </c>
      <c r="AV10" s="10" t="str">
        <f>IF(COUNTIF(AT:AT,104)&gt;0,COUNTIF(AT:AT,104),"")</f>
        <v/>
      </c>
      <c r="AW10" s="52" t="str">
        <f>IF(AX10&lt;&gt;"","Adulto 80kg","")</f>
        <v/>
      </c>
      <c r="AX10" s="10" t="str">
        <f>IF(COUNTIF(AT:AT,209)&gt;0,COUNTIF(AT:AT,209),"")</f>
        <v/>
      </c>
      <c r="AY10" s="46" t="str">
        <f>IF(Atletas!G6="","",IF(Atletas!B6="Feminino",100,IF(Atletas!B6="Masculino",200,""))+(IF(Atletas!G6="Changquan Mirim",1,IF(Atletas!G6="Nanquan Mirim",2,IF(Atletas!G6="Taijiquan Mirim",3,IF(Atletas!G6="Changquan Grupo C",4,IF(Atletas!G6="Nanquan Grupo C",5,IF(Atletas!G6="Taijiquan Grupo C",6,IF(Atletas!G6="Changquan Grupo B",7,IF(Atletas!G6="Nanquan Grupo B",8,IF(Atletas!G6="Taijiquan Grupo B",9,IF(Atletas!G6="Changquan Grupo A",10,IF(Atletas!G6="Nanquan Grupo A",11,IF(Atletas!G6="Taijiquan Grupo A",12,IF(Atletas!G6="Changquan Opcional",13,IF(Atletas!G6="Nanquan Opcional",14,IF(Atletas!G6="Taijiquan Opcional",15,IF(Atletas!G6="Changquan Adulto",16,IF(Atletas!G6="Nanquan Adulto",17,IF(Atletas!G6="Taijiquan Adulto",18,""))))))))))))))))))))</f>
        <v/>
      </c>
      <c r="AZ10" s="46" t="str">
        <f>IF(Atletas!H6="","",IF(Atletas!B6="Feminino",100,IF(Atletas!B6="Masculino",200,""))+(IF(Atletas!H6="Daoshu Mirim",19,IF(Atletas!H6="Jianshu Mirim",20,IF(Atletas!H6="Nandao Mirim",21,IF(Atletas!H6="Taijijian Mirim",22,IF(Atletas!H6="Daoshu Grupo C",23,IF(Atletas!H6="Jianshu Grupo C",24,IF(Atletas!H6="Nandao Grupo C",25,IF(Atletas!H6="Taijijian Grupo C",26,IF(Atletas!H6="Daoshu Grupo B",27,IF(Atletas!H6="Jianshu Grupo B",28,IF(Atletas!H6="Nandao Grupo B",29,IF(Atletas!H6="Taijijian Grupo B",30,IF(Atletas!H6="Daoshu Grupo A",31,IF(Atletas!H6="Jianshu Grupo A",32,IF(Atletas!H6="Nandao Grupo A",33,IF(Atletas!H6="Taijijian Grupo A",34,IF(Atletas!H6="Daoshu Opcional",35,IF(Atletas!H6="Jianshu Opcional",36,IF(Atletas!H6="Nandao Opcional",37,IF(Atletas!H6="Taijijian Opcional",38,IF(Atletas!H6="Daoshu Adulto",39,IF(Atletas!H6="Jianshu Adulto",40,IF(Atletas!H6="Nandao Adulto",41,IF(Atletas!H6="Taijijian Adulto",42,""))))))))))))))))))))))))))</f>
        <v/>
      </c>
      <c r="BA10" s="46" t="str">
        <f>IF(Atletas!I6="","",IF(Atletas!B6="Feminino",100,IF(Atletas!B6="Masculino",200,""))+(IF(Atletas!I6="Gunshu Mirim",43,IF(Atletas!I6="Qiangshu Mirim",44,IF(Atletas!I6="Nangun Mirim",45,IF(Atletas!I6="Gunshu Grupo C",46,IF(Atletas!I6="Qiangshu Grupo C",47,IF(Atletas!I6="Nangun Grupo C",48,IF(Atletas!I6="Gunshu Grupo B",49,IF(Atletas!I6="Qiangshu Grupo B",50,IF(Atletas!I6="Nangun Grupo B",51,IF(Atletas!I6="Gunshu Grupo A",52,IF(Atletas!I6="Qiangshu Grupo A",53,IF(Atletas!I6="Nangun Grupo A",54,IF(Atletas!I6="Gunshu Opcional",55,IF(Atletas!I6="Qiangshu Opcional",56,IF(Atletas!I6="Nangun Opcional",57,IF(Atletas!I6="Gunshu Adulto",58,IF(Atletas!I6="Qiangshu Adulto",59,IF(Atletas!I6="Nangun Adulto",60,""))))))))))))))))))))</f>
        <v/>
      </c>
      <c r="BB10" s="46" t="str">
        <f>IF(BC10&lt;&gt;"","Daoshu Mirim","")</f>
        <v/>
      </c>
      <c r="BC10" s="52" t="str">
        <f>IF(COUNTIF(AY:BA,119)&gt;0,COUNTIF(AY:BA,119),"")</f>
        <v/>
      </c>
      <c r="BD10" s="46" t="str">
        <f>IF(BE10&lt;&gt;"","Daoshu Mirim","")</f>
        <v/>
      </c>
      <c r="BE10" s="52" t="str">
        <f>IF(COUNTIF(AY:BA,219)&gt;0,COUNTIF(AY:BA,219),"")</f>
        <v/>
      </c>
      <c r="BF10" s="52" t="str">
        <f>IF(Atletas!J6="","",IF(Atletas!B6="Feminino",100,IF(Atletas!B6="Masculino",200,""))+(IF(Atletas!J6="Equipe 1 Grupo B",1,IF(Atletas!J6="Equipe 2 Grupo B",2,IF(Atletas!J6="Equipe 1 Grupo A",3,IF(Atletas!J6="Equipe 2 Grupo A",4,IF(Atletas!J6="Equipe 1 Adulto",5,IF(Atletas!J6="Equipe 2 Adulto",6,""))))))))</f>
        <v/>
      </c>
      <c r="BG10" s="46" t="str">
        <f>IF(BH10&lt;&gt;"","Equipe 2 Grupo A","")</f>
        <v/>
      </c>
      <c r="BH10" s="52" t="str">
        <f>IF(COUNTIF(BF:BF,104)&gt;0,COUNTIF(BF:BF,104),"")</f>
        <v/>
      </c>
      <c r="BI10" s="46" t="str">
        <f>IF(BJ10&lt;&gt;"","Equipe 2 Grupo A","")</f>
        <v/>
      </c>
      <c r="BJ10" s="52" t="str">
        <f>IF(COUNTIF(BF:BF,204)&gt;0,COUNTIF(BF:BF,204),"")</f>
        <v/>
      </c>
      <c r="BK10" s="52" t="str">
        <f>IF(Atletas!K6="","",IF(Atletas!W6&lt;&gt;"",10000,0)+(IF(Atletas!B6="Feminino",1000,IF(Atletas!B6="Masculino",2000,""))+IF(Atletas!K6="Choylayfut A",1,IF(Atletas!K6="Hunggar A",2,IF(Atletas!K6="Wuzuquan A",3,IF(Atletas!K6="Wingchun A",4,IF(Atletas!K6="Outra Mão de Sul A",5,IF(Atletas!K6="Choylayfut B",6,IF(Atletas!K6="Hunggar B",7,IF(Atletas!K6="Wuzuquan B",8,IF(Atletas!K6="Wingchun B",9,IF(Atletas!K6="Outra Mão de Sul B",10,IF(Atletas!K6="Choylayfut C",11,IF(Atletas!K6="Hunggar C",12,IF(Atletas!K6="Wuzuquan C",13,IF(Atletas!K6="Wingchun C",14,IF(Atletas!K6="Outra Mão de Sul C",15,IF(Atletas!K6="Choylayfut D",16,IF(Atletas!K6="Hunggar D",17,IF(Atletas!K6="Wuzuquan D",18,IF(Atletas!K6="Wingchun D",19,IF(Atletas!K6="Outra Mão de Sul D",20,IF(Atletas!K6="Choylayfut E",21,IF(Atletas!K6="Hunggar E",22,IF(Atletas!K6="Wuzuquan E",23,IF(Atletas!K6="Wingchun E",24,IF(Atletas!K6="Outra Mão de Sul E",25,IF(Atletas!K6="Choylayfut F",26,IF(Atletas!K6="Hunggar F",27,IF(Atletas!K6="Wuzuquan F",28,IF(Atletas!K6="Wingchun F",29,IF(Atletas!K6="Outra Mão de Sul F",30,""))))))))))))))))))))))))))))))))</f>
        <v/>
      </c>
      <c r="BL10" s="52" t="str">
        <f>IF(Atletas!L6="","",IF(Atletas!W6&lt;&gt;"",10000,0)+(IF(Atletas!B6="Feminino",1000,IF(Atletas!B6="Masculino",2000,""))+(IF(Atletas!L6="Chaquan A",101,IF(Atletas!L6="Emeiquan A",102,IF(Atletas!L6="Fanziquan A",103,IF(Atletas!L6="Huaquan A",104,IF(Atletas!L6="Hongquan A",105,IF(Atletas!L6="Paochui A",106,IF(Atletas!L6="Piguaquan A",107,IF(Atletas!L6="Shaolinquan A",108,IF(Atletas!L6="Tanglangquan A",109,IF(Atletas!L6="Yinzhaophai A",110,IF(Atletas!L6="Tongbeiquan A",111,IF(Atletas!L6="Wudangquan A",112,IF(Atletas!L6="Outros Estilos A",113,IF(Atletas!L6="Chaquan B",114,IF(Atletas!L6="Emeiquan B",115,IF(Atletas!L6="Fanziquan B",116,IF(Atletas!L6="Huaquan B",117,IF(Atletas!L6="Hongquan B",118,IF(Atletas!L6="Paochui B",119,IF(Atletas!L6="Piguaquan B",120,IF(Atletas!L6="Shaolinquan B",121,IF(Atletas!L6="Tanglangquan B",122,IF(Atletas!L6="Yinzhaophai B",123,IF(Atletas!L6="Tongbeiquan B",124,IF(Atletas!L6="Wudangquan B",125,IF(Atletas!L6="Outros Estilos B",126,IF(Atletas!L6="Chaquan C",127,IF(Atletas!L6="Emeiquan C",128,IF(Atletas!L6="Fanziquan C",129,IF(Atletas!L6="Huaquan C",130,IF(Atletas!L6="Hongquan C",131,IF(Atletas!L6="Paochui C",132,IF(Atletas!L6="Piguaquan C",133,IF(Atletas!L6="Shaolinquan C",134,IF(Atletas!L6="Tanglangquan C",135,IF(Atletas!L6="Yinzhaophai C",136,IF(Atletas!L6="Tongbeiquan C",137,IF(Atletas!L6="Wudangquan C",138,IF(Atletas!L6="Outros Estilos C",139,0))))))))))))))))))))))))))))))))))))))))))</f>
        <v/>
      </c>
      <c r="BM10" s="52" t="str">
        <f>IF(Atletas!L6="","",IF(Atletas!W6&lt;&gt;"",10000,0)+(IF(Atletas!B6="Feminino",1000,IF(Atletas!B6="Masculino",2000,""))+(IF(Atletas!L6="Chaquan D",140,IF(Atletas!L6="Emeiquan D",141,IF(Atletas!L6="Fanziquan D",142,IF(Atletas!L6="Huaquan D",143,IF(Atletas!L6="Hongquan D",144,IF(Atletas!L6="Paochui D",145,IF(Atletas!L6="Piguaquan D",146,IF(Atletas!L6="Shaolinquan D",147,IF(Atletas!L6="Tanglangquan D",148,IF(Atletas!L6="Yinzhaophai D",149,IF(Atletas!L6="Tongbeiquan D",150,IF(Atletas!L6="Wudangquan D",151,IF(Atletas!L6="Outros Estilos D",152,IF(Atletas!L6="Chaquan E",153,IF(Atletas!L6="Emeiquan E",154,IF(Atletas!L6="Fanziquan E",155,IF(Atletas!L6="Huaquan E",156,IF(Atletas!L6="Hongquan E",157,IF(Atletas!L6="Paochui E",158,IF(Atletas!L6="Piguaquan E",159,IF(Atletas!L6="Shaolinquan E",160,IF(Atletas!L6="Tanglangquan E",161,IF(Atletas!L6="Yinzhaophai E",162,IF(Atletas!L6="Tongbeiquan E",163,IF(Atletas!L6="Wudangquan E",164,IF(Atletas!L6="Outros Estilos E",165,IF(Atletas!L6="Chaquan F",166,IF(Atletas!L6="Emeiquan F",167,IF(Atletas!L6="Fanziquan F",168,IF(Atletas!L6="Huaquan F",169,IF(Atletas!L6="Hongquan F",170,IF(Atletas!L6="Paochui F",171,IF(Atletas!L6="Piguaquan F",172,IF(Atletas!L6="Shaolinquan F",173,IF(Atletas!L6="Tanglangquan F",174,IF(Atletas!L6="Yinzhaophai F",175,IF(Atletas!L6="Tongbeiquan F",176,IF(Atletas!L6="Wudangquan F",177,IF(Atletas!L6="Outros Estilos F",178,0))))))))))))))))))))))))))))))))))))))))))</f>
        <v/>
      </c>
      <c r="BN10" s="52" t="str">
        <f>IF(Atletas!M6="","",IF(Atletas!W6&lt;&gt;"",10000,0)+(IF(Atletas!B6="Feminino",1000,IF(Atletas!B6="Masculino",2000,""))+(IF(Atletas!M6="Ditangquan A",201,IF(Atletas!M6="Houquan A",202,IF(Atletas!M6="Zuiquan A",203,IF(Atletas!M6="Ditangquan B",204,IF(Atletas!M6="Houquan B",205,IF(Atletas!M6="Zuiquan B",206,IF(Atletas!M6="Ditangquan C",207,IF(Atletas!M6="Houquan C",208,IF(Atletas!M6="Zuiquan C",209,IF(Atletas!M6="Ditangquan D",210,IF(Atletas!M6="Houquan D",211,IF(Atletas!M6="Zuiquan D",212,IF(Atletas!M6="Ditangquan E",213,IF(Atletas!M6="Houquan E",214,IF(Atletas!M6="Zuiquan E",215,IF(Atletas!M6="Ditangquan F",216,IF(Atletas!M6="Houquan F",217,IF(Atletas!M6="Zuiquan F",218,"")))))))))))))))))))))</f>
        <v/>
      </c>
      <c r="BO10" s="52" t="str">
        <f>IF(Atletas!N6="","",IF(Atletas!W6&lt;&gt;"",10000,0)+IF(Atletas!B6="Feminino",1000,IF(Atletas!B6="Masculino",2000,""))+IF(Atletas!N6="Yang A",301,IF(Atletas!N6="Chen A",30,IF(Atletas!N6="Sun A",303,IF(Atletas!N6="Wu A",304,IF(Atletas!N6="Wu-Hao A",305,IF(Atletas!N6="Outro Taijiquan A",306,IF(Atletas!N6="Yang B",307,IF(Atletas!N6="Chen B",308,IF(Atletas!N6="Sun B",309,IF(Atletas!N6="Wu B",310,IF(Atletas!N6="Wu-Hao B",311,IF(Atletas!N6="Outro Taijiquan B",312,IF(Atletas!N6="Yang C",313,IF(Atletas!N6="Chen C",314,IF(Atletas!N6="Sun C",315,IF(Atletas!N6="Wu C",316,IF(Atletas!N6="Wu-Hao C",317,IF(Atletas!N6="Outro Taijiquan C",318,IF(Atletas!N6="Yang D",319,IF(Atletas!N6="Chen D",320,IF(Atletas!N6="Sun D",321,IF(Atletas!N6="Wu D",322,IF(Atletas!N6="Wu-Hao D",323,IF(Atletas!N6="Outro Taijiquan D",324,IF(Atletas!N6="Yang E",325,IF(Atletas!N6="Chen E",326,IF(Atletas!N6="Sun E",327,IF(Atletas!N6="Wu E",328,IF(Atletas!N6="Wu-Hao E",329,IF(Atletas!N6="Outro Taijiquan E",330,IF(Atletas!N6="Yang F",331,IF(Atletas!N6="Chen F",332,IF(Atletas!N6="Sun F",333,IF(Atletas!N6="Wu F",334,IF(Atletas!N6="Wu-Hao F",335,IF(Atletas!N6="Outro Taijiquan F",336,"")))))))))))))))))))))))))))))))))))))</f>
        <v/>
      </c>
      <c r="BP10" s="52" t="str">
        <f>IF(Atletas!O6="","",IF(Atletas!W6&lt;&gt;"",10000,0)+IF(Atletas!B6="Feminino",1000,IF(Atletas!B6="Masculino",2000,""))+IF(OR(Atletas!O6="Yang 26 A",Atletas!O6="Yang 40 A"),401,IF(OR(Atletas!O6="Chen 25 A",Atletas!O6="Chen 36 A",Atletas!O6="Chen 56 A"),402,IF(Atletas!O6="Sun 73 A",403,IF(Atletas!O6="Wu 45 A",404,IF(Atletas!O6="Wu-Hao 46 A",405,IF(OR(Atletas!O6="Taijiquan 16 A",Atletas!O6="Taijiquan 24 A",Atletas!O6="Taijiquan 32 A",Atletas!O6="Taijiquan 42 A"),406,IF(OR(Atletas!O6="Yang 26 B",Atletas!O6="Yang 40 B"),407,IF(OR(Atletas!O6="Chen 25 B",Atletas!O6="Chen 36 B",Atletas!O6="Chen 56 B"),408,IF(Atletas!O6="Sun 73 B",409,IF(Atletas!O6="Wu 45 B",410,IF(Atletas!O6="Wu-Hao 46 B",411,IF(OR(Atletas!O6="Taijiquan 16 B",Atletas!O6="Taijiquan 24 B",Atletas!O6="Taijiquan 32 B",Atletas!O6="Taijiquan 42 B"),412,IF(OR(Atletas!O6="Yang 26 C",Atletas!O6="Yang 40 C"),413,IF(OR(Atletas!O6="Chen 25 C",Atletas!O6="Chen 36 C",Atletas!O6="Chen 56 C"),414,IF(Atletas!O6="Sun 73 C",415,IF(Atletas!O6="Wu 45 C",416,IF(Atletas!O6="Wu-Hao 46 C",417,IF(OR(Atletas!O6="Taijiquan 16 C",Atletas!O6="Taijiquan 24 C",Atletas!O6="Taijiquan 32 C",Atletas!O6="Taijiquan 42 C"),418,0)))))))))))))))))))</f>
        <v/>
      </c>
      <c r="BQ10" s="52" t="str">
        <f>IF(Atletas!O6="","",IF(Atletas!W6&lt;&gt;"",10000,0)+IF(Atletas!B6="Feminino",1000,IF(Atletas!B6="Masculino",2000,""))+IF(OR(Atletas!O6="Yang 26 D",Atletas!O6="Yang 40 D"),419,IF(OR(Atletas!O6="Chen 25 D",Atletas!O6="Chen 36 D",Atletas!O6="Chen 56 D"),420,IF(Atletas!O6="Sun 73 D",421,IF(Atletas!O6="Wu 45 D",422,IF(Atletas!O6="Wu-Hao 46 D",423,IF(OR(Atletas!O6="Taijiquan 16 D",Atletas!O6="Taijiquan 24 D",Atletas!O6="Taijiquan 32 D",Atletas!O6="Taijiquan 42 D"),424,IF(OR(Atletas!O6="Yang 26 E",Atletas!O6="Yang 40 E"),425,IF(OR(Atletas!O6="Chen 25 E",Atletas!O6="Chen 36 E",Atletas!O6="Chen 56 E"),426,IF(Atletas!O6="Sun 73 E",427,IF(Atletas!O6="Wu 45 E",428,IF(Atletas!O6="Wu-Hao 46 E",429,IF(OR(Atletas!O6="Taijiquan 16 E",Atletas!O6="Taijiquan 24 E",Atletas!O6="Taijiquan 32 E",Atletas!O6="Taijiquan 42 E"),430,IF(OR(Atletas!O6="Yang 26 F",Atletas!O6="Yang 40 F"),431,IF(OR(Atletas!O6="Chen 25 F",Atletas!O6="Chen 36 F",Atletas!O6="Chen 56 F"),432,IF(Atletas!O6="Sun 73 F",433,IF(Atletas!O6="Wu 45 F",434,IF(Atletas!O6="Wu-Hao 46 F",435,IF(OR(Atletas!O6="Taijiquan 16 F",Atletas!O6="Taijiquan 24 F",Atletas!O6="Taijiquan 32 F",Atletas!O6="Taijiquan 42 F"),436,0)))))))))))))))))))</f>
        <v/>
      </c>
      <c r="BR10" s="52" t="str">
        <f>IF(Atletas!P6="","",IF(Atletas!W6&lt;&gt;"",10000,0)+IF(Atletas!B6="Feminino",1000,IF(Atletas!B6="Masculino",2000,""))+IF(Atletas!P6="Xingyiquan A",501,IF(Atletas!P6="Baguazhang A",502,IF(Atletas!P6="Outro Estilo Interno A",503,IF(Atletas!P6="Xingyiquan B",504,IF(Atletas!P6="Baguazhang B",505,IF(Atletas!P6="Outro Estilo Interno B",506,IF(Atletas!P6="Xingyiquan C",507,IF(Atletas!P6="Baguazhang C",508,IF(Atletas!P6="Outro Estilo Interno C",509,IF(Atletas!P6="Xingyiquan D",510,IF(Atletas!P6="Baguazhang D",511,IF(Atletas!P6="Outro Estilo Interno D",512,IF(Atletas!P6="Xingyiquan E",513,IF(Atletas!P6="Baguazhang E",514,IF(Atletas!P6="Outro Estilo Interno E",515,IF(Atletas!P6="Xingyiquan F",516,IF(Atletas!P6="Baguazhang F",517,IF(Atletas!P6="Outro Estilo Interno F",518, "")))))))))))))))))))</f>
        <v/>
      </c>
      <c r="BS10" s="52" t="str">
        <f>IF(Atletas!Q6="","",IF(Atletas!W6&lt;&gt;"",10000,0)+IF(Atletas!B6="Feminino",1000,IF(Atletas!B6="Masculino",2000,""))+IF(Atletas!Q6="Dao A",601,IF(Atletas!Q6="Jian A",602,IF(Atletas!Q6="Bishou A",603,IF(Atletas!Q6="Shan A",604,IF(Atletas!Q6="Outra Arma Curta A",605,IF(Atletas!Q6="Dao B",606,IF(Atletas!Q6="Jian B",607,IF(Atletas!Q6="Bishou B",608,IF(Atletas!Q6="Shan B",609,IF(Atletas!Q6="Outra Arma Curta B",610,IF(Atletas!Q6="Dao C",611,IF(Atletas!Q6="Jian C",612,IF(Atletas!Q6="Bishou C",613,IF(Atletas!Q6="Shan C",614,IF(Atletas!Q6="Outra Arma Curta C",615,IF(Atletas!Q6="Dao D",616,IF(Atletas!Q6="Jian D",617,IF(Atletas!Q6="Bishou D",618,IF(Atletas!Q6="Shan D",619,IF(Atletas!Q6="Outra Arma Curta D",620,IF(Atletas!Q6="Dao E",621,IF(Atletas!Q6="Jian E",622,IF(Atletas!Q6="Bishou E",623,IF(Atletas!Q6="Shan E",624,IF(Atletas!Q6="Outra Arma Curta E",625,IF(Atletas!Q6="Dao F",626,IF(Atletas!Q6="Jian F",627,IF(Atletas!Q6="Bishou F",628,IF(Atletas!Q6="Shan F",629,IF(Atletas!Q6="Outra Arma Curta F",630, "")))))))))))))))))))))))))))))))</f>
        <v/>
      </c>
      <c r="BT10" s="52" t="str">
        <f>IF(Atletas!R6="","",IF(Atletas!W6&lt;&gt;"",10000,0)+IF(Atletas!B6="Feminino",1000,IF(Atletas!B6="Masculino",2000,""))+IF(Atletas!R6="Gun A",701,IF(Atletas!R6="Qiang A",702,IF(Atletas!R6="Pudao / Guandao A",703,IF(Atletas!R6="Outra Arma Longa A",704,IF(Atletas!R6="Gun B",705,IF(Atletas!R6="Qiang B",706,IF(Atletas!R6="Pudao / Guandao B",707,IF(Atletas!R6="Outra Arma Longa B",708,IF(Atletas!R6="Gun C",709,IF(Atletas!R6="Qiang C",710,IF(Atletas!R6="Pudao / Guandao C",711,IF(Atletas!R6="Outra Arma Longa C",712,IF(Atletas!R6="Gun D",713,IF(Atletas!R6="Qiang D",714,IF(Atletas!R6="Pudao / Guandao D",715,IF(Atletas!R6="Outra Arma Longa D",716,IF(Atletas!R6="Gun E",717,IF(Atletas!R6="Qiang E",718,IF(Atletas!R6="Pudao / Guandao E",719,IF(Atletas!R6="Outra Arma Longa E",720,IF(Atletas!R6="Gun F",721,IF(Atletas!R6="Qiang F",722,IF(Atletas!R6="Pudao / Guandao F",723,IF(Atletas!R6="Outra Arma Longa F",724,"")))))))))))))))))))))))))</f>
        <v/>
      </c>
      <c r="BU10" s="52" t="str">
        <f>IF(Atletas!S6="","",IF(Atletas!W6&lt;&gt;"",10000,0)+IF(Atletas!B6="Feminino",1000,IF(Atletas!B6="Masculino",2000,""))+IF(Atletas!S6="Arma Dupla A",801,IF(Atletas!S6="Arma Maleável A",802,IF(Atletas!S6="Arma Dupla B",803,IF(Atletas!S6="Arma Maleável B",804,IF(Atletas!S6="Arma Dupla C",805,IF(Atletas!S6="Arma Maleável C",806,IF(Atletas!S6="Arma Dupla D",807,IF(Atletas!S6="Arma Maleável D",808,IF(Atletas!S6="Arma Dupla E",809,IF(Atletas!S6="Arma Maleável E",810,IF(Atletas!S6="Arma Dupla F",811,IF(Atletas!S6="Arma Maleável F",812, "")))))))))))))</f>
        <v/>
      </c>
      <c r="BV10" s="52" t="str">
        <f>IF(Atletas!T6="","",IF(Atletas!W6&lt;&gt;"",10000,0)+IF(Atletas!B6="Feminino",1000,IF(Atletas!B6="Masculino",2000,""))+IF(Atletas!T6="Taijijian Yang A",901,IF(Atletas!T6="Taijijian Chen A",902,IF(Atletas!T6="Taijijian Sun A",903,IF(Atletas!T6="Taijijian Wu A",904,IF(Atletas!T6="Taijijian Wu-Hao A",905,IF(Atletas!T6="Taijijian 32 A",906,IF(Atletas!T6="Taijijian 42 A",907,IF(Atletas!T6="Taijijian Yang B",908,IF(Atletas!T6="Taijijian Chen B",909,IF(Atletas!T6="Taijijian Sun B",910,IF(Atletas!T6="Taijijian Wu B",911,IF(Atletas!T6="Taijijian Wu-Hao B",912,IF(Atletas!T6="Taijijian 32 B",913,IF(Atletas!T6="Taijijian 42 B",914,IF(Atletas!T6="Taijijian Yang C",915,IF(Atletas!T6="Taijijian Chen C",916,IF(Atletas!T6="Taijijian Sun C",917,IF(Atletas!T6="Taijijian Wu C",918,IF(Atletas!T6="Taijijian Wu-Hao C",919,IF(Atletas!T6="Taijijian 32 C",920,IF(Atletas!T6="Taijijian 42 C",921,IF(Atletas!T6="Taijijian Yang D",922,IF(Atletas!T6="Taijijian Chen D",923,IF(Atletas!T6="Taijijian Sun D",924,IF(Atletas!T6="Taijijian Wu D",925,IF(Atletas!T6="Taijijian Wu-Hao D",926,IF(Atletas!T6="Taijijian 32 D",927,IF(Atletas!T6="Taijijian 42 D",928,IF(Atletas!T6="Taijijian Yang E",929,IF(Atletas!T6="Taijijian Chen E",930,IF(Atletas!T6="Taijijian Sun E",931,IF(Atletas!T6="Taijijian Wu E",932,IF(Atletas!T6="Taijijian Wu-Hao E",933,IF(Atletas!T6="Taijijian 32 E",934,IF(Atletas!T6="Taijijian 42 E",935,IF(Atletas!T6="Taijijian Yang F",936,IF(Atletas!T6="Taijijian Chen F",937,IF(Atletas!T6="Taijijian Sun F",938,IF(Atletas!T6="Taijijian Wu F",939,IF(Atletas!T6="Taijijian Wu-Hao F",940,IF(Atletas!T6="Taijijian 32 F",941,IF(Atletas!T6="Taijijian 42 F",942,"")))))))))))))))))))))))))))))))))))))))))))</f>
        <v/>
      </c>
      <c r="BW10" s="52" t="str">
        <f>IF(Atletas!U6="","",IF(Atletas!W6&lt;&gt;"",10000,0)+IF(Atletas!B6="Feminino",1000,IF(Atletas!B6="Masculino",2000,""))+IF(Atletas!T6="Taijijian 42 F",942,IF(Atletas!U6="Taijidao A",943,IF(Atletas!U6="Taijishan A",944,IF(Atletas!U6="Taijiqiang A",945,IF(Atletas!U6="Taijidao B",946,IF(Atletas!U6="Taijishan B",947,IF(Atletas!U6="Taijiqiang B",948,IF(Atletas!U6="Taijidao C",949,IF(Atletas!U6="Taijishan C",950,IF(Atletas!U6="Taijiqiang C",951,IF(Atletas!U6="Taijidao D",952,IF(Atletas!U6="Taijishan D",953,IF(Atletas!U6="Taijiqiang D",954,IF(Atletas!U6="Taijidao E",955,IF(Atletas!U6="Taijishan E",956,IF(Atletas!U6="Taijiqiang E",957,IF(Atletas!U6="Taijidao F",958,IF(Atletas!U6="Taijishan F",959,IF(Atletas!U6="Taijiqiang F",960))))))))))))))))))))</f>
        <v/>
      </c>
      <c r="BX10" s="64" t="str">
        <f>IF(BY10&lt;&gt;"","Wingchun A","")</f>
        <v/>
      </c>
      <c r="BY10" s="64" t="str">
        <f>IF(COUNTIF(BK:BW,1004)&gt;0,COUNTIF(BK:BW,1004),"")</f>
        <v/>
      </c>
      <c r="BZ10" s="64" t="str">
        <f>IF(CA10&lt;&gt;"","Wingchun A","")</f>
        <v/>
      </c>
      <c r="CA10" s="64" t="str">
        <f>IF(COUNTIF(BK:BW,2004)&gt;0,COUNTIF(BK:BW,2004),"")</f>
        <v/>
      </c>
      <c r="CB10" s="64" t="str">
        <f>IF(CC10&lt;&gt;"","Wingchun A","")</f>
        <v/>
      </c>
      <c r="CC10" s="64" t="str">
        <f>IF(COUNTIF(BK:BW,11004)&gt;0,COUNTIF(BK:BW,11004),"")</f>
        <v/>
      </c>
      <c r="CD10" s="64" t="str">
        <f>IF(CE10&lt;&gt;"","Wingchun A","")</f>
        <v/>
      </c>
      <c r="CE10" s="64" t="str">
        <f>IF(COUNTIF(BK:BW,12004)&gt;0,COUNTIF(BK:BW,12004),"")</f>
        <v/>
      </c>
      <c r="CF10" s="52" t="str">
        <f xml:space="preserve"> IF(Atletas!V6="","",IF(Atletas!V6="Duilian de Mãos AB - Equipe 1",1,IF(Atletas!V6="Duilian de Mãos AB - Equipe 2",2,IF(Atletas!V6="Duilian de Armas AB - Equipe 1",3,IF(Atletas!V6="Duilian de Armas AB - Equipe 2",4,IF(Atletas!V6="Duilian de Tuishou - Equipe 1",5,IF(Atletas!V6="Duilian de Tuishou - Equipe 2",6,IF(Atletas!V6="Grupo Externo AB - Equipe 1",7,IF(Atletas!V6="Grupo Externo AB - Equipe 2",8,IF(Atletas!V6="Grupo Interno AB - Equipe 1",9,IF(Atletas!V6="Grupo Interno AB - Equipe 2",10,IF(Atletas!V6="Duilian de Mãos CD - Equipe 1",11,IF(Atletas!V6="Duilian de Mãos CD - Equipe 2",12,IF(Atletas!V6="Duilian de Armas CD - Equipe 1",13,IF(Atletas!V6="Duilian de Armas CD - Equipe 2",14,IF(Atletas!V6="Duilian de Tuishou - Equipe 1",15,IF(Atletas!V6="Duilian de Tuishou - Equipe 2",16,IF(Atletas!V6="Grupo Externo CDEF - Equipe 1",17,IF(Atletas!V6="Grupo Externo CDEF - Equipe 2",18,IF(Atletas!V6="Grupo Interno CDEF - Equipe 1",19,IF(Atletas!V6="Grupo Interno CDEF - Equipe 2",20,IF(Atletas!V6="Duilian de Mãos EF - Equipe 1",21,IF(Atletas!V6="Duilian de Mãos EF - Equipe 2",22,IF(Atletas!V6="Duilian de Armas EF - Equipe 1",23,IF(Atletas!V6="Duilian de Armas EF - Equipe 2",24,IF(Atletas!V6="Duilian de Tuishou - Equipe 1",25,IF(Atletas!V6="Duilian de Tuishou - Equipe 2",26,"")))))))))))))))))))))))))))</f>
        <v/>
      </c>
      <c r="CG10" s="46" t="str">
        <f>IF(CH10&lt;&gt;"","Duilian de Armas AB - Equipe 2","")</f>
        <v/>
      </c>
      <c r="CH10" s="46" t="str">
        <f>IF(COUNTIF(CF:CF,4)&gt;0,COUNTIF(CF:CF,4),"")</f>
        <v/>
      </c>
      <c r="CI10" s="52"/>
      <c r="CJ10" s="52"/>
      <c r="CK10" s="53" t="str">
        <f>IF(CL10&lt;&gt;"","Grupo Interno AB - Equipe 2","")</f>
        <v/>
      </c>
      <c r="CL10" s="53" t="str">
        <f>IF(COUNTIF(CF:CF,10)&gt;0,COUNTIF(CF:CF,10),"")</f>
        <v/>
      </c>
      <c r="CR10" s="71"/>
    </row>
    <row r="11" spans="1:96">
      <c r="A11" s="25"/>
      <c r="B11" s="4" t="str">
        <f t="array" ref="B11">IFERROR(INDEX(AK$7:AK$36,SMALL(IF(AK$7:AK$36&lt;&gt;"",ROW(AK$7:AK$36)-ROW(AK$7)+1),ROWS(AK$7:AK10))),"")</f>
        <v/>
      </c>
      <c r="C11" s="4" t="str">
        <f t="array" ref="C11">IFERROR(INDEX(AL$7:AL$36,SMALL(IF(AL$7:AL$36&lt;&gt;"",ROW(AL$7:AL$36)-ROW(AL$7)+1),ROWS(AL$7:AL10))),"")</f>
        <v/>
      </c>
      <c r="D11" s="4" t="str">
        <f t="array" ref="D11">IFERROR(INDEX(AM$7:AM$36,SMALL(IF(AM$7:AM$36&lt;&gt;"",ROW(AM$7:AM$36)-ROW(AM$7)+1),ROWS(AM$7:AM10))),"")</f>
        <v/>
      </c>
      <c r="E11" s="4" t="str">
        <f t="array" ref="E11">IFERROR(INDEX(AN$7:AN$36,SMALL(IF(AN$7:AN$36&lt;&gt;"",ROW(AN$7:AN$36)-ROW(AN$7)+1),ROWS(AN$7:AN10))),"")</f>
        <v/>
      </c>
      <c r="F11" s="4" t="str">
        <f t="array" ref="F11">IFERROR(INDEX(AP$7:AP$36,SMALL(IF(AP$7:AP$36&lt;&gt;"",ROW(AP$7:AP$36)-ROW(AP$7)+1),ROWS(AP$7:AP10))),"")</f>
        <v/>
      </c>
      <c r="G11" s="4" t="str">
        <f t="array" ref="G11">IFERROR(INDEX(AQ$7:AQ$36,SMALL(IF(AQ$7:AQ$36&lt;&gt;"",ROW(AQ$7:AQ$36)-ROW(AQ$7)+1),ROWS(AQ$7:AQ10))),"")</f>
        <v/>
      </c>
      <c r="H11" s="4" t="str">
        <f t="array" ref="H11">IFERROR(INDEX(AR$7:AR$36,SMALL(IF(AR$7:AR$36&lt;&gt;"",ROW(AR$7:AR$36)-ROW(AR$7)+1),ROWS(AR$7:AR10))),"")</f>
        <v/>
      </c>
      <c r="I11" s="4" t="str">
        <f t="array" ref="I11">IFERROR(INDEX(AS$7:AS$36,SMALL(IF(AS$7:AS$36&lt;&gt;"",ROW(AS$7:AS$36)-ROW(AS$7)+1),ROWS(AS$7:AS10))),"")</f>
        <v/>
      </c>
      <c r="J11" s="4" t="str">
        <f t="array" ref="J11">IFERROR(INDEX(AU$7:AU$36,SMALL(IF(AU$7:AU$36&lt;&gt;"",ROW(AU$7:AU$36)-ROW(AU$7)+1),ROWS(AU$7:AU10))),"")</f>
        <v/>
      </c>
      <c r="K11" s="4" t="str">
        <f t="array" ref="K11">IFERROR(INDEX(AV$7:AV$36,SMALL(IF(AV$7:AV$36&lt;&gt;"",ROW(AV$7:AV$36)-ROW(AV$7)+1),ROWS(AV$7:AV10))),"")</f>
        <v/>
      </c>
      <c r="L11" s="4" t="str">
        <f t="array" ref="L11">IFERROR(INDEX(AW$7:AW$36,SMALL(IF(AW$7:AW$36&lt;&gt;"",ROW(AW$7:AW$36)-ROW(AW$7)+1),ROWS(AW$7:AW10))),"")</f>
        <v/>
      </c>
      <c r="M11" s="4" t="str">
        <f t="array" ref="M11">IFERROR(INDEX(AX$7:AX$36,SMALL(IF(AX$7:AX$36&lt;&gt;"",ROW(AX$7:AX$36)-ROW(AX$7)+1),ROWS(AX$7:AX10))),"")</f>
        <v/>
      </c>
      <c r="N11" s="4" t="str">
        <f t="array" ref="N11">IFERROR(INDEX(BB$7:BB$66,SMALL(IF(BB$7:BB$66&lt;&gt;"",ROW(BB$7:BB$66)-ROW(BB$7)+1),ROWS(BB$7:BB10))),"")</f>
        <v/>
      </c>
      <c r="O11" s="4" t="str">
        <f t="array" ref="O11">IFERROR(INDEX(BC$7:BC$66,SMALL(IF(BC$7:BC$66&lt;&gt;"",ROW(BC$7:BC$66)-ROW(BC$7)+1),ROWS(BC$7:BC10))),"")</f>
        <v/>
      </c>
      <c r="P11" s="4" t="str">
        <f t="array" ref="P11">IFERROR(INDEX(BD$7:BD$66,SMALL(IF(BD$7:BD$66&lt;&gt;"",ROW(BD$7:BD$66)-ROW(BD$7)+1),ROWS(BD$7:BD10))),"")</f>
        <v/>
      </c>
      <c r="Q11" s="4" t="str">
        <f t="array" ref="Q11">IFERROR(INDEX(BE$7:BE$66,SMALL(IF(BE$7:BE$66&lt;&gt;"",ROW(BE$7:BE$66)-ROW(BE$7)+1),ROWS(BE$7:BE10))),"")</f>
        <v/>
      </c>
      <c r="R11" s="4" t="str">
        <f t="array" ref="R11">IFERROR(INDEX(BG$7:BG$12,SMALL(IF(BG$7:BG$12&lt;&gt;"",ROW(BG$7:BG$12)-ROW(BG$7)+1),ROWS(BG$7:BG10))),"")</f>
        <v/>
      </c>
      <c r="S11" s="4" t="str">
        <f t="array" ref="S11">IFERROR(INDEX(BH$7:BH$12,SMALL(IF(BH$7:BH$12&lt;&gt;"",ROW(BH$7:BH$12)-ROW(BH$7)+1),ROWS(BH$7:BH10))),"")</f>
        <v/>
      </c>
      <c r="T11" s="4" t="str">
        <f t="array" ref="T11">IFERROR(INDEX(BI$7:BI$12,SMALL(IF(BI$7:BI$12&lt;&gt;"",ROW(BI$7:BI$12)-ROW(BI$7)+1),ROWS(BI$7:BI10))),"")</f>
        <v/>
      </c>
      <c r="U11" s="4" t="str">
        <f t="array" ref="U11">IFERROR(INDEX(BJ$7:BJ$12,SMALL(IF(BJ$7:BJ$12&lt;&gt;"",ROW(BJ$7:BJ$12)-ROW(BJ$7)+1),ROWS(BJ$7:BJ10))),"")</f>
        <v/>
      </c>
      <c r="V11" s="4" t="str">
        <f t="array" ref="V11">IFERROR(INDEX(BX$7:BX$336,SMALL(IF(BX$7:BX$336&lt;&gt;"",ROW(BX$7:BX$336)-ROW(BX$7)+1),ROWS(BX$7:BX10))),"")</f>
        <v/>
      </c>
      <c r="W11" s="4" t="str">
        <f t="array" ref="W11">IFERROR(INDEX(BY$7:BY$336,SMALL(IF(BY$7:BY$336&lt;&gt;"",ROW(BY$7:BY$336)-ROW(BY$7)+1),ROWS(BY$7:BY10))),"")</f>
        <v/>
      </c>
      <c r="X11" s="4" t="str">
        <f t="array" ref="X11">IFERROR(INDEX(BZ$7:BZ$336,SMALL(IF(BZ$7:BZ$336&lt;&gt;"",ROW(BZ$7:BZ$336)-ROW(BZ$7)+1),ROWS(BZ$7:BZ10))),"")</f>
        <v/>
      </c>
      <c r="Y11" s="4" t="str">
        <f t="array" ref="Y11">IFERROR(INDEX(CA$7:CA$336,SMALL(IF(CA$7:CA$336&lt;&gt;"",ROW(CA$7:CA$336)-ROW(CA$7)+1),ROWS(CA$7:CA10))),"")</f>
        <v/>
      </c>
      <c r="Z11" s="4" t="str">
        <f t="array" ref="Z11">IFERROR(INDEX(CB$7:CB$378,SMALL(IF(CB$7:CB$378&lt;&gt;"",ROW(CB$7:CB$378)-ROW(CB$7)+1),ROWS(CB$7:CB10))),"")</f>
        <v/>
      </c>
      <c r="AA11" s="4" t="str">
        <f t="array" ref="AA11">IFERROR(INDEX(CC$7:CC$378,SMALL(IF(CC$7:CC$378&lt;&gt;"",ROW(CC$7:CC$378)-ROW(CC$7)+1),ROWS(CC$7:CC10))),"")</f>
        <v/>
      </c>
      <c r="AB11" s="4" t="str">
        <f t="array" ref="AB11">IFERROR(INDEX(CD$7:CD$378,SMALL(IF(CD$7:CD$378&lt;&gt;"",ROW(CD$7:CD$378)-ROW(CD$7)+1),ROWS(CD$7:CD10))),"")</f>
        <v/>
      </c>
      <c r="AC11" s="4" t="str">
        <f t="array" ref="AC11">IFERROR(INDEX(CE$7:CE$378,SMALL(IF(CE$7:CE$378&lt;&gt;"",ROW(CE$7:CE$378)-ROW(CE$7)+1),ROWS(CE$7:CE10))),"")</f>
        <v/>
      </c>
      <c r="AD11" s="69" t="str">
        <f t="array" ref="AD11">IFERROR(INDEX(CG$7:CG$18,SMALL(IF(CG$7:CG$18&lt;&gt;"",ROW(CG$7:CG$18)-ROW(CG$7)+1),ROWS(CG$7:CG10))),"")</f>
        <v/>
      </c>
      <c r="AE11" s="69" t="str">
        <f t="array" ref="AE11">IFERROR(INDEX(CH$7:CH$18,SMALL(IF(CH$7:CH$18&lt;&gt;"",ROW(CH$7:CH$18)-ROW(CH$7)+1),ROWS(CH$7:CH10))),"")</f>
        <v/>
      </c>
      <c r="AF11" s="69"/>
      <c r="AG11" s="69"/>
      <c r="AH11" s="69" t="str">
        <f t="array" ref="AH11">IFERROR(INDEX(CK$7:CK$14,SMALL(IF(CK$7:CK$14&lt;&gt;"",ROW(CK$7:CK$14)-ROW(CK$7)+1),ROWS(CK$7:CK10))),"")</f>
        <v/>
      </c>
      <c r="AI11" s="69" t="str">
        <f t="array" ref="AI11">IFERROR(INDEX(CL$7:CL$14,SMALL(IF(CL$7:CL$14&lt;&gt;"",ROW(CL$7:CL$14)-ROW(CL$7)+1),ROWS(CL$7:CL10))),"")</f>
        <v/>
      </c>
      <c r="AJ11" s="46" t="str">
        <f>IF(Atletas!D7="","",IF(Atletas!B7="Feminino",100,IF(Atletas!B7="Masculino",200,""))+(IF(Atletas!D7="Infantil 39kg",1,IF(Atletas!D7="Infantil 42kg",2,IF(Atletas!D7="Infantil 45kg",3,IF(Atletas!D7="Infantil 48kg",4,IF(Atletas!D7="Infantil 52kg",5,IF(Atletas!D7="Infantil 56kg",6,IF(Atletas!D7="Infantil 60kg",7,IF(Atletas!D7="Juvenil 48kg",8,IF(Atletas!D7="Juvenil 52kg",9,IF(Atletas!D7="Juvenil 56kg",10,IF(Atletas!D7="Juvenil 60kg",11,IF(Atletas!D7="Juvenil 65kg",12,IF(Atletas!D7="Juvenil 70kg",13,IF(Atletas!D7="Juvenil 75kg",14,IF(Atletas!D7="Juvenil 80kg",15,IF(Atletas!D7="Adulto 48kg",16,IF(Atletas!D7="Adulto 52kg",17,IF(Atletas!D7="Adulto 56kg",18,IF(Atletas!D7="Adulto 60kg",19,IF(Atletas!D7="Adulto 65kg",20,IF(Atletas!D7="Adulto 70kg",21,IF(Atletas!D7="Adulto 75kg",22,IF(Atletas!D7="Adulto 80kg",23,IF(Atletas!D7="Adulto 85kg",24,IF(Atletas!D7="Adulto 90kg",25,IF(Atletas!D7="Adulto +90kg",26,""))))))))))))))))))))))))))))</f>
        <v/>
      </c>
      <c r="AK11" s="52" t="str">
        <f>IF(AL11&lt;&gt;"","Juvenil 48kg","")</f>
        <v/>
      </c>
      <c r="AL11" s="10" t="str">
        <f>IF(COUNTIF(AJ:AJ,108)&gt;0,COUNTIF(AJ:AJ,108),"")</f>
        <v/>
      </c>
      <c r="AM11" s="52" t="str">
        <f>IF(AN11&lt;&gt;"","Infantil 52kg","")</f>
        <v/>
      </c>
      <c r="AN11" s="10" t="str">
        <f>IF(COUNTIF(AJ:AJ,205)&gt;0,COUNTIF(AJ:AJ,205),"")</f>
        <v/>
      </c>
      <c r="AO11" s="10" t="str">
        <f>IF(Atletas!E7="","",IF(Atletas!B7="Feminino",100,IF(Atletas!B7="Masculino",200,""))+(IF(Atletas!E7="Juvenil 44kg",1,IF(Atletas!E7="Juvenil 48kg",2,IF(Atletas!E7="Juvenil 52kg",3,IF(Atletas!E7="Juvenil 56kg",4,IF(Atletas!E7="Juvenil 60kg",5,IF(Atletas!E7="Juvenil 65kg",6,IF(Atletas!E7="Juvenil 70kg",7,IF(Atletas!E7="Juvenil 75kg",8,IF(Atletas!E7="Juvenil 82kg",9,IF(Atletas!E7="Juvenil 90kg",10,IF(Atletas!E7="Juvenil 100kg",11,IF(Atletas!E7="Adulto 48kg",12,IF(Atletas!E7="Adulto 52kg",13,IF(Atletas!E7="Adulto 56kg",14,IF(Atletas!E7="Adulto 60kg",15,IF(Atletas!E7="Adulto 65kg",16,IF(Atletas!E7="Adulto 70kg",17,IF(Atletas!E7="Adulto 75kg",18,IF(Atletas!E7="Adulto 82kg",19,IF(Atletas!E7="Adulto 90kg",20,IF(Atletas!E7="Adulto 100kg",21,IF(Atletas!E7="Adulto +100kg",22,""))))))))))))))))))))))))</f>
        <v/>
      </c>
      <c r="AP11" s="52" t="str">
        <f>IF(AQ11&lt;&gt;"","Juvenil 60kg","")</f>
        <v/>
      </c>
      <c r="AQ11" s="10" t="str">
        <f>IF(COUNTIF(AO:AO,105)&gt;0,COUNTIF(AO:AO,105),"")</f>
        <v/>
      </c>
      <c r="AR11" s="52" t="str">
        <f>IF(AS11&lt;&gt;"","Juvenil 65kg","")</f>
        <v/>
      </c>
      <c r="AS11" s="10" t="str">
        <f>IF(COUNTIF(AO:AO,206)&gt;0,COUNTIF(AO:AO,206),"")</f>
        <v/>
      </c>
      <c r="AT11" s="10" t="str">
        <f>IF(Atletas!F7="","",IF(Atletas!B7="Feminino",100,IF(Atletas!B7="Masculino",200,""))+(IF(Atletas!F7="Adulto 48kg",1,IF(Atletas!F7="Adulto 56kg",2,IF(Atletas!F7="Adulto 65kg",3,IF(Atletas!F7="Adulto 75kg",4,IF(Atletas!F7="Adulto +75kg",5,IF(Atletas!F7="Adulto 52kg",6,IF(Atletas!F7="Adulto 60kg",7,IF(Atletas!F7="Adulto 70kg",8,IF(Atletas!F7="Adulto 80kg",9,IF(Atletas!F7="Adulto 90kg",10,IF(Atletas!F7="Adulto +90kg",11,"")))))))))))))</f>
        <v/>
      </c>
      <c r="AU11" s="52" t="str">
        <f>IF(AV11&lt;&gt;"","Adulto +75kg","")</f>
        <v/>
      </c>
      <c r="AV11" s="10" t="str">
        <f>IF(COUNTIF(AT:AT,105)&gt;0,COUNTIF(AT:AT,105),"")</f>
        <v/>
      </c>
      <c r="AW11" s="52" t="str">
        <f>IF(AX11&lt;&gt;"","Adulto 90kg","")</f>
        <v/>
      </c>
      <c r="AX11" s="10" t="str">
        <f>IF(COUNTIF(AT:AT,210)&gt;0,COUNTIF(AT:AT,210),"")</f>
        <v/>
      </c>
      <c r="AY11" s="46" t="str">
        <f>IF(Atletas!G7="","",IF(Atletas!B7="Feminino",100,IF(Atletas!B7="Masculino",200,""))+(IF(Atletas!G7="Changquan Mirim",1,IF(Atletas!G7="Nanquan Mirim",2,IF(Atletas!G7="Taijiquan Mirim",3,IF(Atletas!G7="Changquan Grupo C",4,IF(Atletas!G7="Nanquan Grupo C",5,IF(Atletas!G7="Taijiquan Grupo C",6,IF(Atletas!G7="Changquan Grupo B",7,IF(Atletas!G7="Nanquan Grupo B",8,IF(Atletas!G7="Taijiquan Grupo B",9,IF(Atletas!G7="Changquan Grupo A",10,IF(Atletas!G7="Nanquan Grupo A",11,IF(Atletas!G7="Taijiquan Grupo A",12,IF(Atletas!G7="Changquan Opcional",13,IF(Atletas!G7="Nanquan Opcional",14,IF(Atletas!G7="Taijiquan Opcional",15,IF(Atletas!G7="Changquan Adulto",16,IF(Atletas!G7="Nanquan Adulto",17,IF(Atletas!G7="Taijiquan Adulto",18,""))))))))))))))))))))</f>
        <v/>
      </c>
      <c r="AZ11" s="46" t="str">
        <f>IF(Atletas!H7="","",IF(Atletas!B7="Feminino",100,IF(Atletas!B7="Masculino",200,""))+(IF(Atletas!H7="Daoshu Mirim",19,IF(Atletas!H7="Jianshu Mirim",20,IF(Atletas!H7="Nandao Mirim",21,IF(Atletas!H7="Taijijian Mirim",22,IF(Atletas!H7="Daoshu Grupo C",23,IF(Atletas!H7="Jianshu Grupo C",24,IF(Atletas!H7="Nandao Grupo C",25,IF(Atletas!H7="Taijijian Grupo C",26,IF(Atletas!H7="Daoshu Grupo B",27,IF(Atletas!H7="Jianshu Grupo B",28,IF(Atletas!H7="Nandao Grupo B",29,IF(Atletas!H7="Taijijian Grupo B",30,IF(Atletas!H7="Daoshu Grupo A",31,IF(Atletas!H7="Jianshu Grupo A",32,IF(Atletas!H7="Nandao Grupo A",33,IF(Atletas!H7="Taijijian Grupo A",34,IF(Atletas!H7="Daoshu Opcional",35,IF(Atletas!H7="Jianshu Opcional",36,IF(Atletas!H7="Nandao Opcional",37,IF(Atletas!H7="Taijijian Opcional",38,IF(Atletas!H7="Daoshu Adulto",39,IF(Atletas!H7="Jianshu Adulto",40,IF(Atletas!H7="Nandao Adulto",41,IF(Atletas!H7="Taijijian Adulto",42,""))))))))))))))))))))))))))</f>
        <v/>
      </c>
      <c r="BA11" s="46" t="str">
        <f>IF(Atletas!I7="","",IF(Atletas!B7="Feminino",100,IF(Atletas!B7="Masculino",200,""))+(IF(Atletas!I7="Gunshu Mirim",43,IF(Atletas!I7="Qiangshu Mirim",44,IF(Atletas!I7="Nangun Mirim",45,IF(Atletas!I7="Gunshu Grupo C",46,IF(Atletas!I7="Qiangshu Grupo C",47,IF(Atletas!I7="Nangun Grupo C",48,IF(Atletas!I7="Gunshu Grupo B",49,IF(Atletas!I7="Qiangshu Grupo B",50,IF(Atletas!I7="Nangun Grupo B",51,IF(Atletas!I7="Gunshu Grupo A",52,IF(Atletas!I7="Qiangshu Grupo A",53,IF(Atletas!I7="Nangun Grupo A",54,IF(Atletas!I7="Gunshu Opcional",55,IF(Atletas!I7="Qiangshu Opcional",56,IF(Atletas!I7="Nangun Opcional",57,IF(Atletas!I7="Gunshu Adulto",58,IF(Atletas!I7="Qiangshu Adulto",59,IF(Atletas!I7="Nangun Adulto",60,""))))))))))))))))))))</f>
        <v/>
      </c>
      <c r="BB11" s="46" t="str">
        <f>IF(BC11&lt;&gt;"","Jianshu Mirim","")</f>
        <v/>
      </c>
      <c r="BC11" s="52" t="str">
        <f>IF(COUNTIF(AY:BA,120)&gt;0,COUNTIF(AY:BA,120),"")</f>
        <v/>
      </c>
      <c r="BD11" s="46" t="str">
        <f>IF(BE11&lt;&gt;"","Jianshu Mirim","")</f>
        <v/>
      </c>
      <c r="BE11" s="52" t="str">
        <f>IF(COUNTIF(AY:BA,220)&gt;0,COUNTIF(AY:BA,220),"")</f>
        <v/>
      </c>
      <c r="BF11" s="52" t="str">
        <f>IF(Atletas!J7="","",IF(Atletas!B7="Feminino",100,IF(Atletas!B7="Masculino",200,""))+(IF(Atletas!J7="Equipe 1 Grupo B",1,IF(Atletas!J7="Equipe 2 Grupo B",2,IF(Atletas!J7="Equipe 1 Grupo A",3,IF(Atletas!J7="Equipe 2 Grupo A",4,IF(Atletas!J7="Equipe 1 Adulto",5,IF(Atletas!J7="Equipe 2 Adulto",6,""))))))))</f>
        <v/>
      </c>
      <c r="BG11" s="46" t="str">
        <f>IF(BH11&lt;&gt;"","Equipe 1 Adulto","")</f>
        <v/>
      </c>
      <c r="BH11" s="52" t="str">
        <f>IF(COUNTIF(BF:BF,105)&gt;0,COUNTIF(BF:BF,105),"")</f>
        <v/>
      </c>
      <c r="BI11" s="46" t="str">
        <f>IF(BJ11&lt;&gt;"","Equipe 1 Adulto","")</f>
        <v/>
      </c>
      <c r="BJ11" s="52" t="str">
        <f>IF(COUNTIF(BF:BF,205)&gt;0,COUNTIF(BF:BF,205),"")</f>
        <v/>
      </c>
      <c r="BK11" s="52" t="str">
        <f>IF(Atletas!K7="","",IF(Atletas!W7&lt;&gt;"",10000,0)+(IF(Atletas!B7="Feminino",1000,IF(Atletas!B7="Masculino",2000,""))+IF(Atletas!K7="Choylayfut A",1,IF(Atletas!K7="Hunggar A",2,IF(Atletas!K7="Wuzuquan A",3,IF(Atletas!K7="Wingchun A",4,IF(Atletas!K7="Outra Mão de Sul A",5,IF(Atletas!K7="Choylayfut B",6,IF(Atletas!K7="Hunggar B",7,IF(Atletas!K7="Wuzuquan B",8,IF(Atletas!K7="Wingchun B",9,IF(Atletas!K7="Outra Mão de Sul B",10,IF(Atletas!K7="Choylayfut C",11,IF(Atletas!K7="Hunggar C",12,IF(Atletas!K7="Wuzuquan C",13,IF(Atletas!K7="Wingchun C",14,IF(Atletas!K7="Outra Mão de Sul C",15,IF(Atletas!K7="Choylayfut D",16,IF(Atletas!K7="Hunggar D",17,IF(Atletas!K7="Wuzuquan D",18,IF(Atletas!K7="Wingchun D",19,IF(Atletas!K7="Outra Mão de Sul D",20,IF(Atletas!K7="Choylayfut E",21,IF(Atletas!K7="Hunggar E",22,IF(Atletas!K7="Wuzuquan E",23,IF(Atletas!K7="Wingchun E",24,IF(Atletas!K7="Outra Mão de Sul E",25,IF(Atletas!K7="Choylayfut F",26,IF(Atletas!K7="Hunggar F",27,IF(Atletas!K7="Wuzuquan F",28,IF(Atletas!K7="Wingchun F",29,IF(Atletas!K7="Outra Mão de Sul F",30,""))))))))))))))))))))))))))))))))</f>
        <v/>
      </c>
      <c r="BL11" s="52" t="str">
        <f>IF(Atletas!L7="","",IF(Atletas!W7&lt;&gt;"",10000,0)+(IF(Atletas!B7="Feminino",1000,IF(Atletas!B7="Masculino",2000,""))+(IF(Atletas!L7="Chaquan A",101,IF(Atletas!L7="Emeiquan A",102,IF(Atletas!L7="Fanziquan A",103,IF(Atletas!L7="Huaquan A",104,IF(Atletas!L7="Hongquan A",105,IF(Atletas!L7="Paochui A",106,IF(Atletas!L7="Piguaquan A",107,IF(Atletas!L7="Shaolinquan A",108,IF(Atletas!L7="Tanglangquan A",109,IF(Atletas!L7="Yinzhaophai A",110,IF(Atletas!L7="Tongbeiquan A",111,IF(Atletas!L7="Wudangquan A",112,IF(Atletas!L7="Outros Estilos A",113,IF(Atletas!L7="Chaquan B",114,IF(Atletas!L7="Emeiquan B",115,IF(Atletas!L7="Fanziquan B",116,IF(Atletas!L7="Huaquan B",117,IF(Atletas!L7="Hongquan B",118,IF(Atletas!L7="Paochui B",119,IF(Atletas!L7="Piguaquan B",120,IF(Atletas!L7="Shaolinquan B",121,IF(Atletas!L7="Tanglangquan B",122,IF(Atletas!L7="Yinzhaophai B",123,IF(Atletas!L7="Tongbeiquan B",124,IF(Atletas!L7="Wudangquan B",125,IF(Atletas!L7="Outros Estilos B",126,IF(Atletas!L7="Chaquan C",127,IF(Atletas!L7="Emeiquan C",128,IF(Atletas!L7="Fanziquan C",129,IF(Atletas!L7="Huaquan C",130,IF(Atletas!L7="Hongquan C",131,IF(Atletas!L7="Paochui C",132,IF(Atletas!L7="Piguaquan C",133,IF(Atletas!L7="Shaolinquan C",134,IF(Atletas!L7="Tanglangquan C",135,IF(Atletas!L7="Yinzhaophai C",136,IF(Atletas!L7="Tongbeiquan C",137,IF(Atletas!L7="Wudangquan C",138,IF(Atletas!L7="Outros Estilos C",139,0))))))))))))))))))))))))))))))))))))))))))</f>
        <v/>
      </c>
      <c r="BM11" s="52" t="str">
        <f>IF(Atletas!L7="","",IF(Atletas!W7&lt;&gt;"",10000,0)+(IF(Atletas!B7="Feminino",1000,IF(Atletas!B7="Masculino",2000,""))+(IF(Atletas!L7="Chaquan D",140,IF(Atletas!L7="Emeiquan D",141,IF(Atletas!L7="Fanziquan D",142,IF(Atletas!L7="Huaquan D",143,IF(Atletas!L7="Hongquan D",144,IF(Atletas!L7="Paochui D",145,IF(Atletas!L7="Piguaquan D",146,IF(Atletas!L7="Shaolinquan D",147,IF(Atletas!L7="Tanglangquan D",148,IF(Atletas!L7="Yinzhaophai D",149,IF(Atletas!L7="Tongbeiquan D",150,IF(Atletas!L7="Wudangquan D",151,IF(Atletas!L7="Outros Estilos D",152,IF(Atletas!L7="Chaquan E",153,IF(Atletas!L7="Emeiquan E",154,IF(Atletas!L7="Fanziquan E",155,IF(Atletas!L7="Huaquan E",156,IF(Atletas!L7="Hongquan E",157,IF(Atletas!L7="Paochui E",158,IF(Atletas!L7="Piguaquan E",159,IF(Atletas!L7="Shaolinquan E",160,IF(Atletas!L7="Tanglangquan E",161,IF(Atletas!L7="Yinzhaophai E",162,IF(Atletas!L7="Tongbeiquan E",163,IF(Atletas!L7="Wudangquan E",164,IF(Atletas!L7="Outros Estilos E",165,IF(Atletas!L7="Chaquan F",166,IF(Atletas!L7="Emeiquan F",167,IF(Atletas!L7="Fanziquan F",168,IF(Atletas!L7="Huaquan F",169,IF(Atletas!L7="Hongquan F",170,IF(Atletas!L7="Paochui F",171,IF(Atletas!L7="Piguaquan F",172,IF(Atletas!L7="Shaolinquan F",173,IF(Atletas!L7="Tanglangquan F",174,IF(Atletas!L7="Yinzhaophai F",175,IF(Atletas!L7="Tongbeiquan F",176,IF(Atletas!L7="Wudangquan F",177,IF(Atletas!L7="Outros Estilos F",178,0))))))))))))))))))))))))))))))))))))))))))</f>
        <v/>
      </c>
      <c r="BN11" s="52" t="str">
        <f>IF(Atletas!M7="","",IF(Atletas!W7&lt;&gt;"",10000,0)+(IF(Atletas!B7="Feminino",1000,IF(Atletas!B7="Masculino",2000,""))+(IF(Atletas!M7="Ditangquan A",201,IF(Atletas!M7="Houquan A",202,IF(Atletas!M7="Zuiquan A",203,IF(Atletas!M7="Ditangquan B",204,IF(Atletas!M7="Houquan B",205,IF(Atletas!M7="Zuiquan B",206,IF(Atletas!M7="Ditangquan C",207,IF(Atletas!M7="Houquan C",208,IF(Atletas!M7="Zuiquan C",209,IF(Atletas!M7="Ditangquan D",210,IF(Atletas!M7="Houquan D",211,IF(Atletas!M7="Zuiquan D",212,IF(Atletas!M7="Ditangquan E",213,IF(Atletas!M7="Houquan E",214,IF(Atletas!M7="Zuiquan E",215,IF(Atletas!M7="Ditangquan F",216,IF(Atletas!M7="Houquan F",217,IF(Atletas!M7="Zuiquan F",218,"")))))))))))))))))))))</f>
        <v/>
      </c>
      <c r="BO11" s="52" t="str">
        <f>IF(Atletas!N7="","",IF(Atletas!W7&lt;&gt;"",10000,0)+IF(Atletas!B7="Feminino",1000,IF(Atletas!B7="Masculino",2000,""))+IF(Atletas!N7="Yang A",301,IF(Atletas!N7="Chen A",30,IF(Atletas!N7="Sun A",303,IF(Atletas!N7="Wu A",304,IF(Atletas!N7="Wu-Hao A",305,IF(Atletas!N7="Outro Taijiquan A",306,IF(Atletas!N7="Yang B",307,IF(Atletas!N7="Chen B",308,IF(Atletas!N7="Sun B",309,IF(Atletas!N7="Wu B",310,IF(Atletas!N7="Wu-Hao B",311,IF(Atletas!N7="Outro Taijiquan B",312,IF(Atletas!N7="Yang C",313,IF(Atletas!N7="Chen C",314,IF(Atletas!N7="Sun C",315,IF(Atletas!N7="Wu C",316,IF(Atletas!N7="Wu-Hao C",317,IF(Atletas!N7="Outro Taijiquan C",318,IF(Atletas!N7="Yang D",319,IF(Atletas!N7="Chen D",320,IF(Atletas!N7="Sun D",321,IF(Atletas!N7="Wu D",322,IF(Atletas!N7="Wu-Hao D",323,IF(Atletas!N7="Outro Taijiquan D",324,IF(Atletas!N7="Yang E",325,IF(Atletas!N7="Chen E",326,IF(Atletas!N7="Sun E",327,IF(Atletas!N7="Wu E",328,IF(Atletas!N7="Wu-Hao E",329,IF(Atletas!N7="Outro Taijiquan E",330,IF(Atletas!N7="Yang F",331,IF(Atletas!N7="Chen F",332,IF(Atletas!N7="Sun F",333,IF(Atletas!N7="Wu F",334,IF(Atletas!N7="Wu-Hao F",335,IF(Atletas!N7="Outro Taijiquan F",336,"")))))))))))))))))))))))))))))))))))))</f>
        <v/>
      </c>
      <c r="BP11" s="52" t="str">
        <f>IF(Atletas!O7="","",IF(Atletas!W7&lt;&gt;"",10000,0)+IF(Atletas!B7="Feminino",1000,IF(Atletas!B7="Masculino",2000,""))+IF(OR(Atletas!O7="Yang 26 A",Atletas!O7="Yang 40 A"),401,IF(OR(Atletas!O7="Chen 25 A",Atletas!O7="Chen 36 A",Atletas!O7="Chen 56 A"),402,IF(Atletas!O7="Sun 73 A",403,IF(Atletas!O7="Wu 45 A",404,IF(Atletas!O7="Wu-Hao 46 A",405,IF(OR(Atletas!O7="Taijiquan 16 A",Atletas!O7="Taijiquan 24 A",Atletas!O7="Taijiquan 32 A",Atletas!O7="Taijiquan 42 A"),406,IF(OR(Atletas!O7="Yang 26 B",Atletas!O7="Yang 40 B"),407,IF(OR(Atletas!O7="Chen 25 B",Atletas!O7="Chen 36 B",Atletas!O7="Chen 56 B"),408,IF(Atletas!O7="Sun 73 B",409,IF(Atletas!O7="Wu 45 B",410,IF(Atletas!O7="Wu-Hao 46 B",411,IF(OR(Atletas!O7="Taijiquan 16 B",Atletas!O7="Taijiquan 24 B",Atletas!O7="Taijiquan 32 B",Atletas!O7="Taijiquan 42 B"),412,IF(OR(Atletas!O7="Yang 26 C",Atletas!O7="Yang 40 C"),413,IF(OR(Atletas!O7="Chen 25 C",Atletas!O7="Chen 36 C",Atletas!O7="Chen 56 C"),414,IF(Atletas!O7="Sun 73 C",415,IF(Atletas!O7="Wu 45 C",416,IF(Atletas!O7="Wu-Hao 46 C",417,IF(OR(Atletas!O7="Taijiquan 16 C",Atletas!O7="Taijiquan 24 C",Atletas!O7="Taijiquan 32 C",Atletas!O7="Taijiquan 42 C"),418,0)))))))))))))))))))</f>
        <v/>
      </c>
      <c r="BQ11" s="52" t="str">
        <f>IF(Atletas!O7="","",IF(Atletas!W7&lt;&gt;"",10000,0)+IF(Atletas!B7="Feminino",1000,IF(Atletas!B7="Masculino",2000,""))+IF(OR(Atletas!O7="Yang 26 D",Atletas!O7="Yang 40 D"),419,IF(OR(Atletas!O7="Chen 25 D",Atletas!O7="Chen 36 D",Atletas!O7="Chen 56 D"),420,IF(Atletas!O7="Sun 73 D",421,IF(Atletas!O7="Wu 45 D",422,IF(Atletas!O7="Wu-Hao 46 D",423,IF(OR(Atletas!O7="Taijiquan 16 D",Atletas!O7="Taijiquan 24 D",Atletas!O7="Taijiquan 32 D",Atletas!O7="Taijiquan 42 D"),424,IF(OR(Atletas!O7="Yang 26 E",Atletas!O7="Yang 40 E"),425,IF(OR(Atletas!O7="Chen 25 E",Atletas!O7="Chen 36 E",Atletas!O7="Chen 56 E"),426,IF(Atletas!O7="Sun 73 E",427,IF(Atletas!O7="Wu 45 E",428,IF(Atletas!O7="Wu-Hao 46 E",429,IF(OR(Atletas!O7="Taijiquan 16 E",Atletas!O7="Taijiquan 24 E",Atletas!O7="Taijiquan 32 E",Atletas!O7="Taijiquan 42 E"),430,IF(OR(Atletas!O7="Yang 26 F",Atletas!O7="Yang 40 F"),431,IF(OR(Atletas!O7="Chen 25 F",Atletas!O7="Chen 36 F",Atletas!O7="Chen 56 F"),432,IF(Atletas!O7="Sun 73 F",433,IF(Atletas!O7="Wu 45 F",434,IF(Atletas!O7="Wu-Hao 46 F",435,IF(OR(Atletas!O7="Taijiquan 16 F",Atletas!O7="Taijiquan 24 F",Atletas!O7="Taijiquan 32 F",Atletas!O7="Taijiquan 42 F"),436,0)))))))))))))))))))</f>
        <v/>
      </c>
      <c r="BR11" s="52" t="str">
        <f>IF(Atletas!P7="","",IF(Atletas!W7&lt;&gt;"",10000,0)+IF(Atletas!B7="Feminino",1000,IF(Atletas!B7="Masculino",2000,""))+IF(Atletas!P7="Xingyiquan A",501,IF(Atletas!P7="Baguazhang A",502,IF(Atletas!P7="Outro Estilo Interno A",503,IF(Atletas!P7="Xingyiquan B",504,IF(Atletas!P7="Baguazhang B",505,IF(Atletas!P7="Outro Estilo Interno B",506,IF(Atletas!P7="Xingyiquan C",507,IF(Atletas!P7="Baguazhang C",508,IF(Atletas!P7="Outro Estilo Interno C",509,IF(Atletas!P7="Xingyiquan D",510,IF(Atletas!P7="Baguazhang D",511,IF(Atletas!P7="Outro Estilo Interno D",512,IF(Atletas!P7="Xingyiquan E",513,IF(Atletas!P7="Baguazhang E",514,IF(Atletas!P7="Outro Estilo Interno E",515,IF(Atletas!P7="Xingyiquan F",516,IF(Atletas!P7="Baguazhang F",517,IF(Atletas!P7="Outro Estilo Interno F",518, "")))))))))))))))))))</f>
        <v/>
      </c>
      <c r="BS11" s="52" t="str">
        <f>IF(Atletas!Q7="","",IF(Atletas!W7&lt;&gt;"",10000,0)+IF(Atletas!B7="Feminino",1000,IF(Atletas!B7="Masculino",2000,""))+IF(Atletas!Q7="Dao A",601,IF(Atletas!Q7="Jian A",602,IF(Atletas!Q7="Bishou A",603,IF(Atletas!Q7="Shan A",604,IF(Atletas!Q7="Outra Arma Curta A",605,IF(Atletas!Q7="Dao B",606,IF(Atletas!Q7="Jian B",607,IF(Atletas!Q7="Bishou B",608,IF(Atletas!Q7="Shan B",609,IF(Atletas!Q7="Outra Arma Curta B",610,IF(Atletas!Q7="Dao C",611,IF(Atletas!Q7="Jian C",612,IF(Atletas!Q7="Bishou C",613,IF(Atletas!Q7="Shan C",614,IF(Atletas!Q7="Outra Arma Curta C",615,IF(Atletas!Q7="Dao D",616,IF(Atletas!Q7="Jian D",617,IF(Atletas!Q7="Bishou D",618,IF(Atletas!Q7="Shan D",619,IF(Atletas!Q7="Outra Arma Curta D",620,IF(Atletas!Q7="Dao E",621,IF(Atletas!Q7="Jian E",622,IF(Atletas!Q7="Bishou E",623,IF(Atletas!Q7="Shan E",624,IF(Atletas!Q7="Outra Arma Curta E",625,IF(Atletas!Q7="Dao F",626,IF(Atletas!Q7="Jian F",627,IF(Atletas!Q7="Bishou F",628,IF(Atletas!Q7="Shan F",629,IF(Atletas!Q7="Outra Arma Curta F",630, "")))))))))))))))))))))))))))))))</f>
        <v/>
      </c>
      <c r="BT11" s="52" t="str">
        <f>IF(Atletas!R7="","",IF(Atletas!W7&lt;&gt;"",10000,0)+IF(Atletas!B7="Feminino",1000,IF(Atletas!B7="Masculino",2000,""))+IF(Atletas!R7="Gun A",701,IF(Atletas!R7="Qiang A",702,IF(Atletas!R7="Pudao / Guandao A",703,IF(Atletas!R7="Outra Arma Longa A",704,IF(Atletas!R7="Gun B",705,IF(Atletas!R7="Qiang B",706,IF(Atletas!R7="Pudao / Guandao B",707,IF(Atletas!R7="Outra Arma Longa B",708,IF(Atletas!R7="Gun C",709,IF(Atletas!R7="Qiang C",710,IF(Atletas!R7="Pudao / Guandao C",711,IF(Atletas!R7="Outra Arma Longa C",712,IF(Atletas!R7="Gun D",713,IF(Atletas!R7="Qiang D",714,IF(Atletas!R7="Pudao / Guandao D",715,IF(Atletas!R7="Outra Arma Longa D",716,IF(Atletas!R7="Gun E",717,IF(Atletas!R7="Qiang E",718,IF(Atletas!R7="Pudao / Guandao E",719,IF(Atletas!R7="Outra Arma Longa E",720,IF(Atletas!R7="Gun F",721,IF(Atletas!R7="Qiang F",722,IF(Atletas!R7="Pudao / Guandao F",723,IF(Atletas!R7="Outra Arma Longa F",724,"")))))))))))))))))))))))))</f>
        <v/>
      </c>
      <c r="BU11" s="52" t="str">
        <f>IF(Atletas!S7="","",IF(Atletas!W7&lt;&gt;"",10000,0)+IF(Atletas!B7="Feminino",1000,IF(Atletas!B7="Masculino",2000,""))+IF(Atletas!S7="Arma Dupla A",801,IF(Atletas!S7="Arma Maleável A",802,IF(Atletas!S7="Arma Dupla B",803,IF(Atletas!S7="Arma Maleável B",804,IF(Atletas!S7="Arma Dupla C",805,IF(Atletas!S7="Arma Maleável C",806,IF(Atletas!S7="Arma Dupla D",807,IF(Atletas!S7="Arma Maleável D",808,IF(Atletas!S7="Arma Dupla E",809,IF(Atletas!S7="Arma Maleável E",810,IF(Atletas!S7="Arma Dupla F",811,IF(Atletas!S7="Arma Maleável F",812, "")))))))))))))</f>
        <v/>
      </c>
      <c r="BV11" s="52" t="str">
        <f>IF(Atletas!T7="","",IF(Atletas!W7&lt;&gt;"",10000,0)+IF(Atletas!B7="Feminino",1000,IF(Atletas!B7="Masculino",2000,""))+IF(Atletas!T7="Taijijian Yang A",901,IF(Atletas!T7="Taijijian Chen A",902,IF(Atletas!T7="Taijijian Sun A",903,IF(Atletas!T7="Taijijian Wu A",904,IF(Atletas!T7="Taijijian Wu-Hao A",905,IF(Atletas!T7="Taijijian 32 A",906,IF(Atletas!T7="Taijijian 42 A",907,IF(Atletas!T7="Taijijian Yang B",908,IF(Atletas!T7="Taijijian Chen B",909,IF(Atletas!T7="Taijijian Sun B",910,IF(Atletas!T7="Taijijian Wu B",911,IF(Atletas!T7="Taijijian Wu-Hao B",912,IF(Atletas!T7="Taijijian 32 B",913,IF(Atletas!T7="Taijijian 42 B",914,IF(Atletas!T7="Taijijian Yang C",915,IF(Atletas!T7="Taijijian Chen C",916,IF(Atletas!T7="Taijijian Sun C",917,IF(Atletas!T7="Taijijian Wu C",918,IF(Atletas!T7="Taijijian Wu-Hao C",919,IF(Atletas!T7="Taijijian 32 C",920,IF(Atletas!T7="Taijijian 42 C",921,IF(Atletas!T7="Taijijian Yang D",922,IF(Atletas!T7="Taijijian Chen D",923,IF(Atletas!T7="Taijijian Sun D",924,IF(Atletas!T7="Taijijian Wu D",925,IF(Atletas!T7="Taijijian Wu-Hao D",926,IF(Atletas!T7="Taijijian 32 D",927,IF(Atletas!T7="Taijijian 42 D",928,IF(Atletas!T7="Taijijian Yang E",929,IF(Atletas!T7="Taijijian Chen E",930,IF(Atletas!T7="Taijijian Sun E",931,IF(Atletas!T7="Taijijian Wu E",932,IF(Atletas!T7="Taijijian Wu-Hao E",933,IF(Atletas!T7="Taijijian 32 E",934,IF(Atletas!T7="Taijijian 42 E",935,IF(Atletas!T7="Taijijian Yang F",936,IF(Atletas!T7="Taijijian Chen F",937,IF(Atletas!T7="Taijijian Sun F",938,IF(Atletas!T7="Taijijian Wu F",939,IF(Atletas!T7="Taijijian Wu-Hao F",940,IF(Atletas!T7="Taijijian 32 F",941,IF(Atletas!T7="Taijijian 42 F",942,"")))))))))))))))))))))))))))))))))))))))))))</f>
        <v/>
      </c>
      <c r="BW11" s="52" t="str">
        <f>IF(Atletas!U7="","",IF(Atletas!W7&lt;&gt;"",10000,0)+IF(Atletas!B7="Feminino",1000,IF(Atletas!B7="Masculino",2000,""))+IF(Atletas!T7="Taijijian 42 F",942,IF(Atletas!U7="Taijidao A",943,IF(Atletas!U7="Taijishan A",944,IF(Atletas!U7="Taijiqiang A",945,IF(Atletas!U7="Taijidao B",946,IF(Atletas!U7="Taijishan B",947,IF(Atletas!U7="Taijiqiang B",948,IF(Atletas!U7="Taijidao C",949,IF(Atletas!U7="Taijishan C",950,IF(Atletas!U7="Taijiqiang C",951,IF(Atletas!U7="Taijidao D",952,IF(Atletas!U7="Taijishan D",953,IF(Atletas!U7="Taijiqiang D",954,IF(Atletas!U7="Taijidao E",955,IF(Atletas!U7="Taijishan E",956,IF(Atletas!U7="Taijiqiang E",957,IF(Atletas!U7="Taijidao F",958,IF(Atletas!U7="Taijishan F",959,IF(Atletas!U7="Taijiqiang F",960))))))))))))))))))))</f>
        <v/>
      </c>
      <c r="BX11" s="64" t="str">
        <f>IF(BY11&lt;&gt;"","Outra Mão de Sul A","")</f>
        <v/>
      </c>
      <c r="BY11" s="64" t="str">
        <f>IF(COUNTIF(BK:BW,1005)&gt;0,COUNTIF(BK:BW,1005),"")</f>
        <v/>
      </c>
      <c r="BZ11" s="64" t="str">
        <f>IF(CA11&lt;&gt;"","Outra Mão de Sul A","")</f>
        <v/>
      </c>
      <c r="CA11" s="64" t="str">
        <f>IF(COUNTIF(BK:BW,2005)&gt;0,COUNTIF(BK:BW,2005),"")</f>
        <v/>
      </c>
      <c r="CB11" s="64" t="str">
        <f>IF(CC11&lt;&gt;"","Outra Mão de Sul A","")</f>
        <v/>
      </c>
      <c r="CC11" s="64" t="str">
        <f>IF(COUNTIF(BK:BW,11005)&gt;0,COUNTIF(BK:BW,11005),"")</f>
        <v/>
      </c>
      <c r="CD11" s="64" t="str">
        <f>IF(CE11&lt;&gt;"","Outra Mão de Sul A","")</f>
        <v/>
      </c>
      <c r="CE11" s="64" t="str">
        <f>IF(COUNTIF(BK:BW,12005)&gt;0,COUNTIF(BK:BW,12005),"")</f>
        <v/>
      </c>
      <c r="CF11" s="52" t="str">
        <f xml:space="preserve"> IF(Atletas!V7="","",IF(Atletas!V7="Duilian de Mãos AB - Equipe 1",1,IF(Atletas!V7="Duilian de Mãos AB - Equipe 2",2,IF(Atletas!V7="Duilian de Armas AB - Equipe 1",3,IF(Atletas!V7="Duilian de Armas AB - Equipe 2",4,IF(Atletas!V7="Duilian de Tuishou - Equipe 1",5,IF(Atletas!V7="Duilian de Tuishou - Equipe 2",6,IF(Atletas!V7="Grupo Externo AB - Equipe 1",7,IF(Atletas!V7="Grupo Externo AB - Equipe 2",8,IF(Atletas!V7="Grupo Interno AB - Equipe 1",9,IF(Atletas!V7="Grupo Interno AB - Equipe 2",10,IF(Atletas!V7="Duilian de Mãos CD - Equipe 1",11,IF(Atletas!V7="Duilian de Mãos CD - Equipe 2",12,IF(Atletas!V7="Duilian de Armas CD - Equipe 1",13,IF(Atletas!V7="Duilian de Armas CD - Equipe 2",14,IF(Atletas!V7="Duilian de Tuishou - Equipe 1",15,IF(Atletas!V7="Duilian de Tuishou - Equipe 2",16,IF(Atletas!V7="Grupo Externo CDEF - Equipe 1",17,IF(Atletas!V7="Grupo Externo CDEF - Equipe 2",18,IF(Atletas!V7="Grupo Interno CDEF - Equipe 1",19,IF(Atletas!V7="Grupo Interno CDEF - Equipe 2",20,IF(Atletas!V7="Duilian de Mãos EF - Equipe 1",21,IF(Atletas!V7="Duilian de Mãos EF - Equipe 2",22,IF(Atletas!V7="Duilian de Armas EF - Equipe 1",23,IF(Atletas!V7="Duilian de Armas EF - Equipe 2",24,IF(Atletas!V7="Duilian de Tuishou - Equipe 1",25,IF(Atletas!V7="Duilian de Tuishou - Equipe 2",26,"")))))))))))))))))))))))))))</f>
        <v/>
      </c>
      <c r="CG11" s="53" t="str">
        <f>IF(CH11&lt;&gt;"","Duilian de Mãos CD - Equipe 1","")</f>
        <v/>
      </c>
      <c r="CH11" s="53" t="str">
        <f>IF(COUNTIF(CF:CF,11)&gt;0,COUNTIF(CF:CF,11),"")</f>
        <v/>
      </c>
      <c r="CK11" s="10" t="str">
        <f>IF(CL11&lt;&gt;"","Grupo Externo CDEF - Equipe 1","")</f>
        <v/>
      </c>
      <c r="CL11" s="10" t="str">
        <f>IF(COUNTIF(CF:CF,17)&gt;0,COUNTIF(CF:CF,17),"")</f>
        <v/>
      </c>
      <c r="CR11" s="71"/>
    </row>
    <row r="12" spans="1:96">
      <c r="A12" s="25"/>
      <c r="B12" s="4" t="str">
        <f t="array" ref="B12">IFERROR(INDEX(AK$7:AK$36,SMALL(IF(AK$7:AK$36&lt;&gt;"",ROW(AK$7:AK$36)-ROW(AK$7)+1),ROWS(AK$7:AK11))),"")</f>
        <v/>
      </c>
      <c r="C12" s="4" t="str">
        <f t="array" ref="C12">IFERROR(INDEX(AL$7:AL$36,SMALL(IF(AL$7:AL$36&lt;&gt;"",ROW(AL$7:AL$36)-ROW(AL$7)+1),ROWS(AL$7:AL11))),"")</f>
        <v/>
      </c>
      <c r="D12" s="4" t="str">
        <f t="array" ref="D12">IFERROR(INDEX(AM$7:AM$36,SMALL(IF(AM$7:AM$36&lt;&gt;"",ROW(AM$7:AM$36)-ROW(AM$7)+1),ROWS(AM$7:AM11))),"")</f>
        <v/>
      </c>
      <c r="E12" s="4" t="str">
        <f t="array" ref="E12">IFERROR(INDEX(AN$7:AN$36,SMALL(IF(AN$7:AN$36&lt;&gt;"",ROW(AN$7:AN$36)-ROW(AN$7)+1),ROWS(AN$7:AN11))),"")</f>
        <v/>
      </c>
      <c r="F12" s="4" t="str">
        <f t="array" ref="F12">IFERROR(INDEX(AP$7:AP$36,SMALL(IF(AP$7:AP$36&lt;&gt;"",ROW(AP$7:AP$36)-ROW(AP$7)+1),ROWS(AP$7:AP11))),"")</f>
        <v/>
      </c>
      <c r="G12" s="4" t="str">
        <f t="array" ref="G12">IFERROR(INDEX(AQ$7:AQ$36,SMALL(IF(AQ$7:AQ$36&lt;&gt;"",ROW(AQ$7:AQ$36)-ROW(AQ$7)+1),ROWS(AQ$7:AQ11))),"")</f>
        <v/>
      </c>
      <c r="H12" s="4" t="str">
        <f t="array" ref="H12">IFERROR(INDEX(AR$7:AR$36,SMALL(IF(AR$7:AR$36&lt;&gt;"",ROW(AR$7:AR$36)-ROW(AR$7)+1),ROWS(AR$7:AR11))),"")</f>
        <v/>
      </c>
      <c r="I12" s="4" t="str">
        <f t="array" ref="I12">IFERROR(INDEX(AS$7:AS$36,SMALL(IF(AS$7:AS$36&lt;&gt;"",ROW(AS$7:AS$36)-ROW(AS$7)+1),ROWS(AS$7:AS11))),"")</f>
        <v/>
      </c>
      <c r="J12" s="4" t="str">
        <f t="array" ref="J12">IFERROR(INDEX(AU$7:AU$36,SMALL(IF(AU$7:AU$36&lt;&gt;"",ROW(AU$7:AU$36)-ROW(AU$7)+1),ROWS(AU$7:AU11))),"")</f>
        <v/>
      </c>
      <c r="K12" s="4" t="str">
        <f t="array" ref="K12">IFERROR(INDEX(AV$7:AV$36,SMALL(IF(AV$7:AV$36&lt;&gt;"",ROW(AV$7:AV$36)-ROW(AV$7)+1),ROWS(AV$7:AV11))),"")</f>
        <v/>
      </c>
      <c r="L12" s="4" t="str">
        <f t="array" ref="L12">IFERROR(INDEX(AW$7:AW$36,SMALL(IF(AW$7:AW$36&lt;&gt;"",ROW(AW$7:AW$36)-ROW(AW$7)+1),ROWS(AW$7:AW11))),"")</f>
        <v/>
      </c>
      <c r="M12" s="4" t="str">
        <f t="array" ref="M12">IFERROR(INDEX(AX$7:AX$36,SMALL(IF(AX$7:AX$36&lt;&gt;"",ROW(AX$7:AX$36)-ROW(AX$7)+1),ROWS(AX$7:AX11))),"")</f>
        <v/>
      </c>
      <c r="N12" s="4" t="str">
        <f t="array" ref="N12">IFERROR(INDEX(BB$7:BB$66,SMALL(IF(BB$7:BB$66&lt;&gt;"",ROW(BB$7:BB$66)-ROW(BB$7)+1),ROWS(BB$7:BB11))),"")</f>
        <v/>
      </c>
      <c r="O12" s="4" t="str">
        <f t="array" ref="O12">IFERROR(INDEX(BC$7:BC$66,SMALL(IF(BC$7:BC$66&lt;&gt;"",ROW(BC$7:BC$66)-ROW(BC$7)+1),ROWS(BC$7:BC11))),"")</f>
        <v/>
      </c>
      <c r="P12" s="4" t="str">
        <f t="array" ref="P12">IFERROR(INDEX(BD$7:BD$66,SMALL(IF(BD$7:BD$66&lt;&gt;"",ROW(BD$7:BD$66)-ROW(BD$7)+1),ROWS(BD$7:BD11))),"")</f>
        <v/>
      </c>
      <c r="Q12" s="4" t="str">
        <f t="array" ref="Q12">IFERROR(INDEX(BE$7:BE$66,SMALL(IF(BE$7:BE$66&lt;&gt;"",ROW(BE$7:BE$66)-ROW(BE$7)+1),ROWS(BE$7:BE11))),"")</f>
        <v/>
      </c>
      <c r="R12" s="4" t="str">
        <f t="array" ref="R12">IFERROR(INDEX(BG$7:BG$12,SMALL(IF(BG$7:BG$12&lt;&gt;"",ROW(BG$7:BG$12)-ROW(BG$7)+1),ROWS(BG$7:BG11))),"")</f>
        <v/>
      </c>
      <c r="S12" s="4" t="str">
        <f t="array" ref="S12">IFERROR(INDEX(BH$7:BH$12,SMALL(IF(BH$7:BH$12&lt;&gt;"",ROW(BH$7:BH$12)-ROW(BH$7)+1),ROWS(BH$7:BH11))),"")</f>
        <v/>
      </c>
      <c r="T12" s="4" t="str">
        <f t="array" ref="T12">IFERROR(INDEX(BI$7:BI$12,SMALL(IF(BI$7:BI$12&lt;&gt;"",ROW(BI$7:BI$12)-ROW(BI$7)+1),ROWS(BI$7:BI11))),"")</f>
        <v/>
      </c>
      <c r="U12" s="4" t="str">
        <f t="array" ref="U12">IFERROR(INDEX(BJ$7:BJ$12,SMALL(IF(BJ$7:BJ$12&lt;&gt;"",ROW(BJ$7:BJ$12)-ROW(BJ$7)+1),ROWS(BJ$7:BJ11))),"")</f>
        <v/>
      </c>
      <c r="V12" s="4" t="str">
        <f t="array" ref="V12">IFERROR(INDEX(BX$7:BX$336,SMALL(IF(BX$7:BX$336&lt;&gt;"",ROW(BX$7:BX$336)-ROW(BX$7)+1),ROWS(BX$7:BX11))),"")</f>
        <v/>
      </c>
      <c r="W12" s="4" t="str">
        <f t="array" ref="W12">IFERROR(INDEX(BY$7:BY$336,SMALL(IF(BY$7:BY$336&lt;&gt;"",ROW(BY$7:BY$336)-ROW(BY$7)+1),ROWS(BY$7:BY11))),"")</f>
        <v/>
      </c>
      <c r="X12" s="4" t="str">
        <f t="array" ref="X12">IFERROR(INDEX(BZ$7:BZ$336,SMALL(IF(BZ$7:BZ$336&lt;&gt;"",ROW(BZ$7:BZ$336)-ROW(BZ$7)+1),ROWS(BZ$7:BZ11))),"")</f>
        <v/>
      </c>
      <c r="Y12" s="4" t="str">
        <f t="array" ref="Y12">IFERROR(INDEX(CA$7:CA$336,SMALL(IF(CA$7:CA$336&lt;&gt;"",ROW(CA$7:CA$336)-ROW(CA$7)+1),ROWS(CA$7:CA11))),"")</f>
        <v/>
      </c>
      <c r="Z12" s="4" t="str">
        <f t="array" ref="Z12">IFERROR(INDEX(CB$7:CB$378,SMALL(IF(CB$7:CB$378&lt;&gt;"",ROW(CB$7:CB$378)-ROW(CB$7)+1),ROWS(CB$7:CB11))),"")</f>
        <v/>
      </c>
      <c r="AA12" s="4" t="str">
        <f t="array" ref="AA12">IFERROR(INDEX(CC$7:CC$378,SMALL(IF(CC$7:CC$378&lt;&gt;"",ROW(CC$7:CC$378)-ROW(CC$7)+1),ROWS(CC$7:CC11))),"")</f>
        <v/>
      </c>
      <c r="AB12" s="4" t="str">
        <f t="array" ref="AB12">IFERROR(INDEX(CD$7:CD$378,SMALL(IF(CD$7:CD$378&lt;&gt;"",ROW(CD$7:CD$378)-ROW(CD$7)+1),ROWS(CD$7:CD11))),"")</f>
        <v/>
      </c>
      <c r="AC12" s="4" t="str">
        <f t="array" ref="AC12">IFERROR(INDEX(CE$7:CE$378,SMALL(IF(CE$7:CE$378&lt;&gt;"",ROW(CE$7:CE$378)-ROW(CE$7)+1),ROWS(CE$7:CE11))),"")</f>
        <v/>
      </c>
      <c r="AD12" s="69" t="str">
        <f t="array" ref="AD12">IFERROR(INDEX(CG$7:CG$18,SMALL(IF(CG$7:CG$18&lt;&gt;"",ROW(CG$7:CG$18)-ROW(CG$7)+1),ROWS(CG$7:CG11))),"")</f>
        <v/>
      </c>
      <c r="AE12" s="69" t="str">
        <f t="array" ref="AE12">IFERROR(INDEX(CH$7:CH$18,SMALL(IF(CH$7:CH$18&lt;&gt;"",ROW(CH$7:CH$18)-ROW(CH$7)+1),ROWS(CH$7:CH11))),"")</f>
        <v/>
      </c>
      <c r="AF12" s="69"/>
      <c r="AG12" s="69"/>
      <c r="AH12" s="69" t="str">
        <f t="array" ref="AH12">IFERROR(INDEX(CK$7:CK$14,SMALL(IF(CK$7:CK$14&lt;&gt;"",ROW(CK$7:CK$14)-ROW(CK$7)+1),ROWS(CK$7:CK11))),"")</f>
        <v/>
      </c>
      <c r="AI12" s="69" t="str">
        <f t="array" ref="AI12">IFERROR(INDEX(CL$7:CL$14,SMALL(IF(CL$7:CL$14&lt;&gt;"",ROW(CL$7:CL$14)-ROW(CL$7)+1),ROWS(CL$7:CL11))),"")</f>
        <v/>
      </c>
      <c r="AJ12" s="46" t="str">
        <f>IF(Atletas!D8="","",IF(Atletas!B8="Feminino",100,IF(Atletas!B8="Masculino",200,""))+(IF(Atletas!D8="Infantil 39kg",1,IF(Atletas!D8="Infantil 42kg",2,IF(Atletas!D8="Infantil 45kg",3,IF(Atletas!D8="Infantil 48kg",4,IF(Atletas!D8="Infantil 52kg",5,IF(Atletas!D8="Infantil 56kg",6,IF(Atletas!D8="Infantil 60kg",7,IF(Atletas!D8="Juvenil 48kg",8,IF(Atletas!D8="Juvenil 52kg",9,IF(Atletas!D8="Juvenil 56kg",10,IF(Atletas!D8="Juvenil 60kg",11,IF(Atletas!D8="Juvenil 65kg",12,IF(Atletas!D8="Juvenil 70kg",13,IF(Atletas!D8="Juvenil 75kg",14,IF(Atletas!D8="Juvenil 80kg",15,IF(Atletas!D8="Adulto 48kg",16,IF(Atletas!D8="Adulto 52kg",17,IF(Atletas!D8="Adulto 56kg",18,IF(Atletas!D8="Adulto 60kg",19,IF(Atletas!D8="Adulto 65kg",20,IF(Atletas!D8="Adulto 70kg",21,IF(Atletas!D8="Adulto 75kg",22,IF(Atletas!D8="Adulto 80kg",23,IF(Atletas!D8="Adulto 85kg",24,IF(Atletas!D8="Adulto 90kg",25,IF(Atletas!D8="Adulto +90kg",26,""))))))))))))))))))))))))))))</f>
        <v/>
      </c>
      <c r="AK12" s="52" t="str">
        <f>IF(AL12&lt;&gt;"","Juvenil 52kg","")</f>
        <v/>
      </c>
      <c r="AL12" s="10" t="str">
        <f>IF(COUNTIF(AJ:AJ,109)&gt;0,COUNTIF(AJ:AJ,109),"")</f>
        <v/>
      </c>
      <c r="AM12" s="52" t="str">
        <f>IF(AN12&lt;&gt;"","Infantil 56kg","")</f>
        <v/>
      </c>
      <c r="AN12" s="10" t="str">
        <f>IF(COUNTIF(AJ:AJ,206)&gt;0,COUNTIF(AJ:AJ,206),"")</f>
        <v/>
      </c>
      <c r="AO12" s="10" t="str">
        <f>IF(Atletas!E8="","",IF(Atletas!B8="Feminino",100,IF(Atletas!B8="Masculino",200,""))+(IF(Atletas!E8="Juvenil 44kg",1,IF(Atletas!E8="Juvenil 48kg",2,IF(Atletas!E8="Juvenil 52kg",3,IF(Atletas!E8="Juvenil 56kg",4,IF(Atletas!E8="Juvenil 60kg",5,IF(Atletas!E8="Juvenil 65kg",6,IF(Atletas!E8="Juvenil 70kg",7,IF(Atletas!E8="Juvenil 75kg",8,IF(Atletas!E8="Juvenil 82kg",9,IF(Atletas!E8="Juvenil 90kg",10,IF(Atletas!E8="Juvenil 100kg",11,IF(Atletas!E8="Adulto 48kg",12,IF(Atletas!E8="Adulto 52kg",13,IF(Atletas!E8="Adulto 56kg",14,IF(Atletas!E8="Adulto 60kg",15,IF(Atletas!E8="Adulto 65kg",16,IF(Atletas!E8="Adulto 70kg",17,IF(Atletas!E8="Adulto 75kg",18,IF(Atletas!E8="Adulto 82kg",19,IF(Atletas!E8="Adulto 90kg",20,IF(Atletas!E8="Adulto 100kg",21,IF(Atletas!E8="Adulto +100kg",22,""))))))))))))))))))))))))</f>
        <v/>
      </c>
      <c r="AP12" s="52" t="str">
        <f>IF(AQ12&lt;&gt;"","Juvenil 65kg","")</f>
        <v/>
      </c>
      <c r="AQ12" s="10" t="str">
        <f>IF(COUNTIF(AO:AO,106)&gt;0,COUNTIF(AO:AO,106),"")</f>
        <v/>
      </c>
      <c r="AR12" s="52" t="str">
        <f>IF(AS12&lt;&gt;"","Juvenil 70kg","")</f>
        <v/>
      </c>
      <c r="AS12" s="10" t="str">
        <f>IF(COUNTIF(AO:AO,207)&gt;0,COUNTIF(AO:AO,207),"")</f>
        <v/>
      </c>
      <c r="AT12" s="10" t="str">
        <f>IF(Atletas!F8="","",IF(Atletas!B8="Feminino",100,IF(Atletas!B8="Masculino",200,""))+(IF(Atletas!F8="Adulto 48kg",1,IF(Atletas!F8="Adulto 56kg",2,IF(Atletas!F8="Adulto 65kg",3,IF(Atletas!F8="Adulto 75kg",4,IF(Atletas!F8="Adulto +75kg",5,IF(Atletas!F8="Adulto 52kg",6,IF(Atletas!F8="Adulto 60kg",7,IF(Atletas!F8="Adulto 70kg",8,IF(Atletas!F8="Adulto 80kg",9,IF(Atletas!F8="Adulto 90kg",10,IF(Atletas!F8="Adulto +90kg",11,"")))))))))))))</f>
        <v/>
      </c>
      <c r="AU12" s="52"/>
      <c r="AW12" s="52" t="str">
        <f>IF(AX12&lt;&gt;"","Adulto +90kg","")</f>
        <v/>
      </c>
      <c r="AX12" s="10" t="str">
        <f>IF(COUNTIF(AT:AT,211)&gt;0,COUNTIF(AT:AT,211),"")</f>
        <v/>
      </c>
      <c r="AY12" s="46" t="str">
        <f>IF(Atletas!G8="","",IF(Atletas!B8="Feminino",100,IF(Atletas!B8="Masculino",200,""))+(IF(Atletas!G8="Changquan Mirim",1,IF(Atletas!G8="Nanquan Mirim",2,IF(Atletas!G8="Taijiquan Mirim",3,IF(Atletas!G8="Changquan Grupo C",4,IF(Atletas!G8="Nanquan Grupo C",5,IF(Atletas!G8="Taijiquan Grupo C",6,IF(Atletas!G8="Changquan Grupo B",7,IF(Atletas!G8="Nanquan Grupo B",8,IF(Atletas!G8="Taijiquan Grupo B",9,IF(Atletas!G8="Changquan Grupo A",10,IF(Atletas!G8="Nanquan Grupo A",11,IF(Atletas!G8="Taijiquan Grupo A",12,IF(Atletas!G8="Changquan Opcional",13,IF(Atletas!G8="Nanquan Opcional",14,IF(Atletas!G8="Taijiquan Opcional",15,IF(Atletas!G8="Changquan Adulto",16,IF(Atletas!G8="Nanquan Adulto",17,IF(Atletas!G8="Taijiquan Adulto",18,""))))))))))))))))))))</f>
        <v/>
      </c>
      <c r="AZ12" s="46" t="str">
        <f>IF(Atletas!H8="","",IF(Atletas!B8="Feminino",100,IF(Atletas!B8="Masculino",200,""))+(IF(Atletas!H8="Daoshu Mirim",19,IF(Atletas!H8="Jianshu Mirim",20,IF(Atletas!H8="Nandao Mirim",21,IF(Atletas!H8="Taijijian Mirim",22,IF(Atletas!H8="Daoshu Grupo C",23,IF(Atletas!H8="Jianshu Grupo C",24,IF(Atletas!H8="Nandao Grupo C",25,IF(Atletas!H8="Taijijian Grupo C",26,IF(Atletas!H8="Daoshu Grupo B",27,IF(Atletas!H8="Jianshu Grupo B",28,IF(Atletas!H8="Nandao Grupo B",29,IF(Atletas!H8="Taijijian Grupo B",30,IF(Atletas!H8="Daoshu Grupo A",31,IF(Atletas!H8="Jianshu Grupo A",32,IF(Atletas!H8="Nandao Grupo A",33,IF(Atletas!H8="Taijijian Grupo A",34,IF(Atletas!H8="Daoshu Opcional",35,IF(Atletas!H8="Jianshu Opcional",36,IF(Atletas!H8="Nandao Opcional",37,IF(Atletas!H8="Taijijian Opcional",38,IF(Atletas!H8="Daoshu Adulto",39,IF(Atletas!H8="Jianshu Adulto",40,IF(Atletas!H8="Nandao Adulto",41,IF(Atletas!H8="Taijijian Adulto",42,""))))))))))))))))))))))))))</f>
        <v/>
      </c>
      <c r="BA12" s="46" t="str">
        <f>IF(Atletas!I8="","",IF(Atletas!B8="Feminino",100,IF(Atletas!B8="Masculino",200,""))+(IF(Atletas!I8="Gunshu Mirim",43,IF(Atletas!I8="Qiangshu Mirim",44,IF(Atletas!I8="Nangun Mirim",45,IF(Atletas!I8="Gunshu Grupo C",46,IF(Atletas!I8="Qiangshu Grupo C",47,IF(Atletas!I8="Nangun Grupo C",48,IF(Atletas!I8="Gunshu Grupo B",49,IF(Atletas!I8="Qiangshu Grupo B",50,IF(Atletas!I8="Nangun Grupo B",51,IF(Atletas!I8="Gunshu Grupo A",52,IF(Atletas!I8="Qiangshu Grupo A",53,IF(Atletas!I8="Nangun Grupo A",54,IF(Atletas!I8="Gunshu Opcional",55,IF(Atletas!I8="Qiangshu Opcional",56,IF(Atletas!I8="Nangun Opcional",57,IF(Atletas!I8="Gunshu Adulto",58,IF(Atletas!I8="Qiangshu Adulto",59,IF(Atletas!I8="Nangun Adulto",60,""))))))))))))))))))))</f>
        <v/>
      </c>
      <c r="BB12" s="46" t="str">
        <f>IF(BC12&lt;&gt;"","Nandao Mirim","")</f>
        <v/>
      </c>
      <c r="BC12" s="52" t="str">
        <f>IF(COUNTIF(AY:BA,121)&gt;0,COUNTIF(AY:BA,121),"")</f>
        <v/>
      </c>
      <c r="BD12" s="46" t="str">
        <f>IF(BE12&lt;&gt;"","Nandao Mirim","")</f>
        <v/>
      </c>
      <c r="BE12" s="52" t="str">
        <f>IF(COUNTIF(AY:BA,221)&gt;0,COUNTIF(AY:BA,221),"")</f>
        <v/>
      </c>
      <c r="BF12" s="52" t="str">
        <f>IF(Atletas!J8="","",IF(Atletas!B8="Feminino",100,IF(Atletas!B8="Masculino",200,""))+(IF(Atletas!J8="Equipe 1 Grupo B",1,IF(Atletas!J8="Equipe 2 Grupo B",2,IF(Atletas!J8="Equipe 1 Grupo A",3,IF(Atletas!J8="Equipe 2 Grupo A",4,IF(Atletas!J8="Equipe 1 Adulto",5,IF(Atletas!J8="Equipe 2 Adulto",6,""))))))))</f>
        <v/>
      </c>
      <c r="BG12" s="46" t="str">
        <f>IF(BH12&lt;&gt;"","Equipe 2 Adulto","")</f>
        <v/>
      </c>
      <c r="BH12" s="52" t="str">
        <f>IF(COUNTIF(BF:BF,106)&gt;0,COUNTIF(BF:BF,106),"")</f>
        <v/>
      </c>
      <c r="BI12" s="46" t="str">
        <f>IF(BJ12&lt;&gt;"","Equipe 2 Adulto","")</f>
        <v/>
      </c>
      <c r="BJ12" s="52" t="str">
        <f>IF(COUNTIF(BF:BF,206)&gt;0,COUNTIF(BF:BF,206),"")</f>
        <v/>
      </c>
      <c r="BK12" s="52" t="str">
        <f>IF(Atletas!K8="","",IF(Atletas!W8&lt;&gt;"",10000,0)+(IF(Atletas!B8="Feminino",1000,IF(Atletas!B8="Masculino",2000,""))+IF(Atletas!K8="Choylayfut A",1,IF(Atletas!K8="Hunggar A",2,IF(Atletas!K8="Wuzuquan A",3,IF(Atletas!K8="Wingchun A",4,IF(Atletas!K8="Outra Mão de Sul A",5,IF(Atletas!K8="Choylayfut B",6,IF(Atletas!K8="Hunggar B",7,IF(Atletas!K8="Wuzuquan B",8,IF(Atletas!K8="Wingchun B",9,IF(Atletas!K8="Outra Mão de Sul B",10,IF(Atletas!K8="Choylayfut C",11,IF(Atletas!K8="Hunggar C",12,IF(Atletas!K8="Wuzuquan C",13,IF(Atletas!K8="Wingchun C",14,IF(Atletas!K8="Outra Mão de Sul C",15,IF(Atletas!K8="Choylayfut D",16,IF(Atletas!K8="Hunggar D",17,IF(Atletas!K8="Wuzuquan D",18,IF(Atletas!K8="Wingchun D",19,IF(Atletas!K8="Outra Mão de Sul D",20,IF(Atletas!K8="Choylayfut E",21,IF(Atletas!K8="Hunggar E",22,IF(Atletas!K8="Wuzuquan E",23,IF(Atletas!K8="Wingchun E",24,IF(Atletas!K8="Outra Mão de Sul E",25,IF(Atletas!K8="Choylayfut F",26,IF(Atletas!K8="Hunggar F",27,IF(Atletas!K8="Wuzuquan F",28,IF(Atletas!K8="Wingchun F",29,IF(Atletas!K8="Outra Mão de Sul F",30,""))))))))))))))))))))))))))))))))</f>
        <v/>
      </c>
      <c r="BL12" s="52" t="str">
        <f>IF(Atletas!L8="","",IF(Atletas!W8&lt;&gt;"",10000,0)+(IF(Atletas!B8="Feminino",1000,IF(Atletas!B8="Masculino",2000,""))+(IF(Atletas!L8="Chaquan A",101,IF(Atletas!L8="Emeiquan A",102,IF(Atletas!L8="Fanziquan A",103,IF(Atletas!L8="Huaquan A",104,IF(Atletas!L8="Hongquan A",105,IF(Atletas!L8="Paochui A",106,IF(Atletas!L8="Piguaquan A",107,IF(Atletas!L8="Shaolinquan A",108,IF(Atletas!L8="Tanglangquan A",109,IF(Atletas!L8="Yinzhaophai A",110,IF(Atletas!L8="Tongbeiquan A",111,IF(Atletas!L8="Wudangquan A",112,IF(Atletas!L8="Outros Estilos A",113,IF(Atletas!L8="Chaquan B",114,IF(Atletas!L8="Emeiquan B",115,IF(Atletas!L8="Fanziquan B",116,IF(Atletas!L8="Huaquan B",117,IF(Atletas!L8="Hongquan B",118,IF(Atletas!L8="Paochui B",119,IF(Atletas!L8="Piguaquan B",120,IF(Atletas!L8="Shaolinquan B",121,IF(Atletas!L8="Tanglangquan B",122,IF(Atletas!L8="Yinzhaophai B",123,IF(Atletas!L8="Tongbeiquan B",124,IF(Atletas!L8="Wudangquan B",125,IF(Atletas!L8="Outros Estilos B",126,IF(Atletas!L8="Chaquan C",127,IF(Atletas!L8="Emeiquan C",128,IF(Atletas!L8="Fanziquan C",129,IF(Atletas!L8="Huaquan C",130,IF(Atletas!L8="Hongquan C",131,IF(Atletas!L8="Paochui C",132,IF(Atletas!L8="Piguaquan C",133,IF(Atletas!L8="Shaolinquan C",134,IF(Atletas!L8="Tanglangquan C",135,IF(Atletas!L8="Yinzhaophai C",136,IF(Atletas!L8="Tongbeiquan C",137,IF(Atletas!L8="Wudangquan C",138,IF(Atletas!L8="Outros Estilos C",139,0))))))))))))))))))))))))))))))))))))))))))</f>
        <v/>
      </c>
      <c r="BM12" s="52" t="str">
        <f>IF(Atletas!L8="","",IF(Atletas!W8&lt;&gt;"",10000,0)+(IF(Atletas!B8="Feminino",1000,IF(Atletas!B8="Masculino",2000,""))+(IF(Atletas!L8="Chaquan D",140,IF(Atletas!L8="Emeiquan D",141,IF(Atletas!L8="Fanziquan D",142,IF(Atletas!L8="Huaquan D",143,IF(Atletas!L8="Hongquan D",144,IF(Atletas!L8="Paochui D",145,IF(Atletas!L8="Piguaquan D",146,IF(Atletas!L8="Shaolinquan D",147,IF(Atletas!L8="Tanglangquan D",148,IF(Atletas!L8="Yinzhaophai D",149,IF(Atletas!L8="Tongbeiquan D",150,IF(Atletas!L8="Wudangquan D",151,IF(Atletas!L8="Outros Estilos D",152,IF(Atletas!L8="Chaquan E",153,IF(Atletas!L8="Emeiquan E",154,IF(Atletas!L8="Fanziquan E",155,IF(Atletas!L8="Huaquan E",156,IF(Atletas!L8="Hongquan E",157,IF(Atletas!L8="Paochui E",158,IF(Atletas!L8="Piguaquan E",159,IF(Atletas!L8="Shaolinquan E",160,IF(Atletas!L8="Tanglangquan E",161,IF(Atletas!L8="Yinzhaophai E",162,IF(Atletas!L8="Tongbeiquan E",163,IF(Atletas!L8="Wudangquan E",164,IF(Atletas!L8="Outros Estilos E",165,IF(Atletas!L8="Chaquan F",166,IF(Atletas!L8="Emeiquan F",167,IF(Atletas!L8="Fanziquan F",168,IF(Atletas!L8="Huaquan F",169,IF(Atletas!L8="Hongquan F",170,IF(Atletas!L8="Paochui F",171,IF(Atletas!L8="Piguaquan F",172,IF(Atletas!L8="Shaolinquan F",173,IF(Atletas!L8="Tanglangquan F",174,IF(Atletas!L8="Yinzhaophai F",175,IF(Atletas!L8="Tongbeiquan F",176,IF(Atletas!L8="Wudangquan F",177,IF(Atletas!L8="Outros Estilos F",178,0))))))))))))))))))))))))))))))))))))))))))</f>
        <v/>
      </c>
      <c r="BN12" s="52" t="str">
        <f>IF(Atletas!M8="","",IF(Atletas!W8&lt;&gt;"",10000,0)+(IF(Atletas!B8="Feminino",1000,IF(Atletas!B8="Masculino",2000,""))+(IF(Atletas!M8="Ditangquan A",201,IF(Atletas!M8="Houquan A",202,IF(Atletas!M8="Zuiquan A",203,IF(Atletas!M8="Ditangquan B",204,IF(Atletas!M8="Houquan B",205,IF(Atletas!M8="Zuiquan B",206,IF(Atletas!M8="Ditangquan C",207,IF(Atletas!M8="Houquan C",208,IF(Atletas!M8="Zuiquan C",209,IF(Atletas!M8="Ditangquan D",210,IF(Atletas!M8="Houquan D",211,IF(Atletas!M8="Zuiquan D",212,IF(Atletas!M8="Ditangquan E",213,IF(Atletas!M8="Houquan E",214,IF(Atletas!M8="Zuiquan E",215,IF(Atletas!M8="Ditangquan F",216,IF(Atletas!M8="Houquan F",217,IF(Atletas!M8="Zuiquan F",218,"")))))))))))))))))))))</f>
        <v/>
      </c>
      <c r="BO12" s="52" t="str">
        <f>IF(Atletas!N8="","",IF(Atletas!W8&lt;&gt;"",10000,0)+IF(Atletas!B8="Feminino",1000,IF(Atletas!B8="Masculino",2000,""))+IF(Atletas!N8="Yang A",301,IF(Atletas!N8="Chen A",30,IF(Atletas!N8="Sun A",303,IF(Atletas!N8="Wu A",304,IF(Atletas!N8="Wu-Hao A",305,IF(Atletas!N8="Outro Taijiquan A",306,IF(Atletas!N8="Yang B",307,IF(Atletas!N8="Chen B",308,IF(Atletas!N8="Sun B",309,IF(Atletas!N8="Wu B",310,IF(Atletas!N8="Wu-Hao B",311,IF(Atletas!N8="Outro Taijiquan B",312,IF(Atletas!N8="Yang C",313,IF(Atletas!N8="Chen C",314,IF(Atletas!N8="Sun C",315,IF(Atletas!N8="Wu C",316,IF(Atletas!N8="Wu-Hao C",317,IF(Atletas!N8="Outro Taijiquan C",318,IF(Atletas!N8="Yang D",319,IF(Atletas!N8="Chen D",320,IF(Atletas!N8="Sun D",321,IF(Atletas!N8="Wu D",322,IF(Atletas!N8="Wu-Hao D",323,IF(Atletas!N8="Outro Taijiquan D",324,IF(Atletas!N8="Yang E",325,IF(Atletas!N8="Chen E",326,IF(Atletas!N8="Sun E",327,IF(Atletas!N8="Wu E",328,IF(Atletas!N8="Wu-Hao E",329,IF(Atletas!N8="Outro Taijiquan E",330,IF(Atletas!N8="Yang F",331,IF(Atletas!N8="Chen F",332,IF(Atletas!N8="Sun F",333,IF(Atletas!N8="Wu F",334,IF(Atletas!N8="Wu-Hao F",335,IF(Atletas!N8="Outro Taijiquan F",336,"")))))))))))))))))))))))))))))))))))))</f>
        <v/>
      </c>
      <c r="BP12" s="52" t="str">
        <f>IF(Atletas!O8="","",IF(Atletas!W8&lt;&gt;"",10000,0)+IF(Atletas!B8="Feminino",1000,IF(Atletas!B8="Masculino",2000,""))+IF(OR(Atletas!O8="Yang 26 A",Atletas!O8="Yang 40 A"),401,IF(OR(Atletas!O8="Chen 25 A",Atletas!O8="Chen 36 A",Atletas!O8="Chen 56 A"),402,IF(Atletas!O8="Sun 73 A",403,IF(Atletas!O8="Wu 45 A",404,IF(Atletas!O8="Wu-Hao 46 A",405,IF(OR(Atletas!O8="Taijiquan 16 A",Atletas!O8="Taijiquan 24 A",Atletas!O8="Taijiquan 32 A",Atletas!O8="Taijiquan 42 A"),406,IF(OR(Atletas!O8="Yang 26 B",Atletas!O8="Yang 40 B"),407,IF(OR(Atletas!O8="Chen 25 B",Atletas!O8="Chen 36 B",Atletas!O8="Chen 56 B"),408,IF(Atletas!O8="Sun 73 B",409,IF(Atletas!O8="Wu 45 B",410,IF(Atletas!O8="Wu-Hao 46 B",411,IF(OR(Atletas!O8="Taijiquan 16 B",Atletas!O8="Taijiquan 24 B",Atletas!O8="Taijiquan 32 B",Atletas!O8="Taijiquan 42 B"),412,IF(OR(Atletas!O8="Yang 26 C",Atletas!O8="Yang 40 C"),413,IF(OR(Atletas!O8="Chen 25 C",Atletas!O8="Chen 36 C",Atletas!O8="Chen 56 C"),414,IF(Atletas!O8="Sun 73 C",415,IF(Atletas!O8="Wu 45 C",416,IF(Atletas!O8="Wu-Hao 46 C",417,IF(OR(Atletas!O8="Taijiquan 16 C",Atletas!O8="Taijiquan 24 C",Atletas!O8="Taijiquan 32 C",Atletas!O8="Taijiquan 42 C"),418,0)))))))))))))))))))</f>
        <v/>
      </c>
      <c r="BQ12" s="52" t="str">
        <f>IF(Atletas!O8="","",IF(Atletas!W8&lt;&gt;"",10000,0)+IF(Atletas!B8="Feminino",1000,IF(Atletas!B8="Masculino",2000,""))+IF(OR(Atletas!O8="Yang 26 D",Atletas!O8="Yang 40 D"),419,IF(OR(Atletas!O8="Chen 25 D",Atletas!O8="Chen 36 D",Atletas!O8="Chen 56 D"),420,IF(Atletas!O8="Sun 73 D",421,IF(Atletas!O8="Wu 45 D",422,IF(Atletas!O8="Wu-Hao 46 D",423,IF(OR(Atletas!O8="Taijiquan 16 D",Atletas!O8="Taijiquan 24 D",Atletas!O8="Taijiquan 32 D",Atletas!O8="Taijiquan 42 D"),424,IF(OR(Atletas!O8="Yang 26 E",Atletas!O8="Yang 40 E"),425,IF(OR(Atletas!O8="Chen 25 E",Atletas!O8="Chen 36 E",Atletas!O8="Chen 56 E"),426,IF(Atletas!O8="Sun 73 E",427,IF(Atletas!O8="Wu 45 E",428,IF(Atletas!O8="Wu-Hao 46 E",429,IF(OR(Atletas!O8="Taijiquan 16 E",Atletas!O8="Taijiquan 24 E",Atletas!O8="Taijiquan 32 E",Atletas!O8="Taijiquan 42 E"),430,IF(OR(Atletas!O8="Yang 26 F",Atletas!O8="Yang 40 F"),431,IF(OR(Atletas!O8="Chen 25 F",Atletas!O8="Chen 36 F",Atletas!O8="Chen 56 F"),432,IF(Atletas!O8="Sun 73 F",433,IF(Atletas!O8="Wu 45 F",434,IF(Atletas!O8="Wu-Hao 46 F",435,IF(OR(Atletas!O8="Taijiquan 16 F",Atletas!O8="Taijiquan 24 F",Atletas!O8="Taijiquan 32 F",Atletas!O8="Taijiquan 42 F"),436,0)))))))))))))))))))</f>
        <v/>
      </c>
      <c r="BR12" s="52" t="str">
        <f>IF(Atletas!P8="","",IF(Atletas!W8&lt;&gt;"",10000,0)+IF(Atletas!B8="Feminino",1000,IF(Atletas!B8="Masculino",2000,""))+IF(Atletas!P8="Xingyiquan A",501,IF(Atletas!P8="Baguazhang A",502,IF(Atletas!P8="Outro Estilo Interno A",503,IF(Atletas!P8="Xingyiquan B",504,IF(Atletas!P8="Baguazhang B",505,IF(Atletas!P8="Outro Estilo Interno B",506,IF(Atletas!P8="Xingyiquan C",507,IF(Atletas!P8="Baguazhang C",508,IF(Atletas!P8="Outro Estilo Interno C",509,IF(Atletas!P8="Xingyiquan D",510,IF(Atletas!P8="Baguazhang D",511,IF(Atletas!P8="Outro Estilo Interno D",512,IF(Atletas!P8="Xingyiquan E",513,IF(Atletas!P8="Baguazhang E",514,IF(Atletas!P8="Outro Estilo Interno E",515,IF(Atletas!P8="Xingyiquan F",516,IF(Atletas!P8="Baguazhang F",517,IF(Atletas!P8="Outro Estilo Interno F",518, "")))))))))))))))))))</f>
        <v/>
      </c>
      <c r="BS12" s="52" t="str">
        <f>IF(Atletas!Q8="","",IF(Atletas!W8&lt;&gt;"",10000,0)+IF(Atletas!B8="Feminino",1000,IF(Atletas!B8="Masculino",2000,""))+IF(Atletas!Q8="Dao A",601,IF(Atletas!Q8="Jian A",602,IF(Atletas!Q8="Bishou A",603,IF(Atletas!Q8="Shan A",604,IF(Atletas!Q8="Outra Arma Curta A",605,IF(Atletas!Q8="Dao B",606,IF(Atletas!Q8="Jian B",607,IF(Atletas!Q8="Bishou B",608,IF(Atletas!Q8="Shan B",609,IF(Atletas!Q8="Outra Arma Curta B",610,IF(Atletas!Q8="Dao C",611,IF(Atletas!Q8="Jian C",612,IF(Atletas!Q8="Bishou C",613,IF(Atletas!Q8="Shan C",614,IF(Atletas!Q8="Outra Arma Curta C",615,IF(Atletas!Q8="Dao D",616,IF(Atletas!Q8="Jian D",617,IF(Atletas!Q8="Bishou D",618,IF(Atletas!Q8="Shan D",619,IF(Atletas!Q8="Outra Arma Curta D",620,IF(Atletas!Q8="Dao E",621,IF(Atletas!Q8="Jian E",622,IF(Atletas!Q8="Bishou E",623,IF(Atletas!Q8="Shan E",624,IF(Atletas!Q8="Outra Arma Curta E",625,IF(Atletas!Q8="Dao F",626,IF(Atletas!Q8="Jian F",627,IF(Atletas!Q8="Bishou F",628,IF(Atletas!Q8="Shan F",629,IF(Atletas!Q8="Outra Arma Curta F",630, "")))))))))))))))))))))))))))))))</f>
        <v/>
      </c>
      <c r="BT12" s="52" t="str">
        <f>IF(Atletas!R8="","",IF(Atletas!W8&lt;&gt;"",10000,0)+IF(Atletas!B8="Feminino",1000,IF(Atletas!B8="Masculino",2000,""))+IF(Atletas!R8="Gun A",701,IF(Atletas!R8="Qiang A",702,IF(Atletas!R8="Pudao / Guandao A",703,IF(Atletas!R8="Outra Arma Longa A",704,IF(Atletas!R8="Gun B",705,IF(Atletas!R8="Qiang B",706,IF(Atletas!R8="Pudao / Guandao B",707,IF(Atletas!R8="Outra Arma Longa B",708,IF(Atletas!R8="Gun C",709,IF(Atletas!R8="Qiang C",710,IF(Atletas!R8="Pudao / Guandao C",711,IF(Atletas!R8="Outra Arma Longa C",712,IF(Atletas!R8="Gun D",713,IF(Atletas!R8="Qiang D",714,IF(Atletas!R8="Pudao / Guandao D",715,IF(Atletas!R8="Outra Arma Longa D",716,IF(Atletas!R8="Gun E",717,IF(Atletas!R8="Qiang E",718,IF(Atletas!R8="Pudao / Guandao E",719,IF(Atletas!R8="Outra Arma Longa E",720,IF(Atletas!R8="Gun F",721,IF(Atletas!R8="Qiang F",722,IF(Atletas!R8="Pudao / Guandao F",723,IF(Atletas!R8="Outra Arma Longa F",724,"")))))))))))))))))))))))))</f>
        <v/>
      </c>
      <c r="BU12" s="52" t="str">
        <f>IF(Atletas!S8="","",IF(Atletas!W8&lt;&gt;"",10000,0)+IF(Atletas!B8="Feminino",1000,IF(Atletas!B8="Masculino",2000,""))+IF(Atletas!S8="Arma Dupla A",801,IF(Atletas!S8="Arma Maleável A",802,IF(Atletas!S8="Arma Dupla B",803,IF(Atletas!S8="Arma Maleável B",804,IF(Atletas!S8="Arma Dupla C",805,IF(Atletas!S8="Arma Maleável C",806,IF(Atletas!S8="Arma Dupla D",807,IF(Atletas!S8="Arma Maleável D",808,IF(Atletas!S8="Arma Dupla E",809,IF(Atletas!S8="Arma Maleável E",810,IF(Atletas!S8="Arma Dupla F",811,IF(Atletas!S8="Arma Maleável F",812, "")))))))))))))</f>
        <v/>
      </c>
      <c r="BV12" s="52" t="str">
        <f>IF(Atletas!T8="","",IF(Atletas!W8&lt;&gt;"",10000,0)+IF(Atletas!B8="Feminino",1000,IF(Atletas!B8="Masculino",2000,""))+IF(Atletas!T8="Taijijian Yang A",901,IF(Atletas!T8="Taijijian Chen A",902,IF(Atletas!T8="Taijijian Sun A",903,IF(Atletas!T8="Taijijian Wu A",904,IF(Atletas!T8="Taijijian Wu-Hao A",905,IF(Atletas!T8="Taijijian 32 A",906,IF(Atletas!T8="Taijijian 42 A",907,IF(Atletas!T8="Taijijian Yang B",908,IF(Atletas!T8="Taijijian Chen B",909,IF(Atletas!T8="Taijijian Sun B",910,IF(Atletas!T8="Taijijian Wu B",911,IF(Atletas!T8="Taijijian Wu-Hao B",912,IF(Atletas!T8="Taijijian 32 B",913,IF(Atletas!T8="Taijijian 42 B",914,IF(Atletas!T8="Taijijian Yang C",915,IF(Atletas!T8="Taijijian Chen C",916,IF(Atletas!T8="Taijijian Sun C",917,IF(Atletas!T8="Taijijian Wu C",918,IF(Atletas!T8="Taijijian Wu-Hao C",919,IF(Atletas!T8="Taijijian 32 C",920,IF(Atletas!T8="Taijijian 42 C",921,IF(Atletas!T8="Taijijian Yang D",922,IF(Atletas!T8="Taijijian Chen D",923,IF(Atletas!T8="Taijijian Sun D",924,IF(Atletas!T8="Taijijian Wu D",925,IF(Atletas!T8="Taijijian Wu-Hao D",926,IF(Atletas!T8="Taijijian 32 D",927,IF(Atletas!T8="Taijijian 42 D",928,IF(Atletas!T8="Taijijian Yang E",929,IF(Atletas!T8="Taijijian Chen E",930,IF(Atletas!T8="Taijijian Sun E",931,IF(Atletas!T8="Taijijian Wu E",932,IF(Atletas!T8="Taijijian Wu-Hao E",933,IF(Atletas!T8="Taijijian 32 E",934,IF(Atletas!T8="Taijijian 42 E",935,IF(Atletas!T8="Taijijian Yang F",936,IF(Atletas!T8="Taijijian Chen F",937,IF(Atletas!T8="Taijijian Sun F",938,IF(Atletas!T8="Taijijian Wu F",939,IF(Atletas!T8="Taijijian Wu-Hao F",940,IF(Atletas!T8="Taijijian 32 F",941,IF(Atletas!T8="Taijijian 42 F",942,"")))))))))))))))))))))))))))))))))))))))))))</f>
        <v/>
      </c>
      <c r="BW12" s="52" t="str">
        <f>IF(Atletas!U8="","",IF(Atletas!W8&lt;&gt;"",10000,0)+IF(Atletas!B8="Feminino",1000,IF(Atletas!B8="Masculino",2000,""))+IF(Atletas!T8="Taijijian 42 F",942,IF(Atletas!U8="Taijidao A",943,IF(Atletas!U8="Taijishan A",944,IF(Atletas!U8="Taijiqiang A",945,IF(Atletas!U8="Taijidao B",946,IF(Atletas!U8="Taijishan B",947,IF(Atletas!U8="Taijiqiang B",948,IF(Atletas!U8="Taijidao C",949,IF(Atletas!U8="Taijishan C",950,IF(Atletas!U8="Taijiqiang C",951,IF(Atletas!U8="Taijidao D",952,IF(Atletas!U8="Taijishan D",953,IF(Atletas!U8="Taijiqiang D",954,IF(Atletas!U8="Taijidao E",955,IF(Atletas!U8="Taijishan E",956,IF(Atletas!U8="Taijiqiang E",957,IF(Atletas!U8="Taijidao F",958,IF(Atletas!U8="Taijishan F",959,IF(Atletas!U8="Taijiqiang F",960))))))))))))))))))))</f>
        <v/>
      </c>
      <c r="BX12" s="64" t="str">
        <f>IF(BY12&lt;&gt;"","Choylayfut B","")</f>
        <v/>
      </c>
      <c r="BY12" s="64" t="str">
        <f>IF(COUNTIF(BK:BW,1006)&gt;0,COUNTIF(BK:BW,1006),"")</f>
        <v/>
      </c>
      <c r="BZ12" s="64" t="str">
        <f>IF(CA12&lt;&gt;"","Choylayfut B","")</f>
        <v/>
      </c>
      <c r="CA12" s="64" t="str">
        <f>IF(COUNTIF(BK:BW,2006)&gt;0,COUNTIF(BK:BW,2006),"")</f>
        <v/>
      </c>
      <c r="CB12" s="64" t="str">
        <f>IF(CC12&lt;&gt;"","Choylayfut B","")</f>
        <v/>
      </c>
      <c r="CC12" s="64" t="str">
        <f>IF(COUNTIF(BK:BW,11006)&gt;0,COUNTIF(BK:BW,11006),"")</f>
        <v/>
      </c>
      <c r="CD12" s="64" t="str">
        <f>IF(CE12&lt;&gt;"","Choylayfut B","")</f>
        <v/>
      </c>
      <c r="CE12" s="64" t="str">
        <f>IF(COUNTIF(BK:BW,12006)&gt;0,COUNTIF(BK:BW,12006),"")</f>
        <v/>
      </c>
      <c r="CF12" s="52" t="str">
        <f xml:space="preserve"> IF(Atletas!V8="","",IF(Atletas!V8="Duilian de Mãos AB - Equipe 1",1,IF(Atletas!V8="Duilian de Mãos AB - Equipe 2",2,IF(Atletas!V8="Duilian de Armas AB - Equipe 1",3,IF(Atletas!V8="Duilian de Armas AB - Equipe 2",4,IF(Atletas!V8="Duilian de Tuishou - Equipe 1",5,IF(Atletas!V8="Duilian de Tuishou - Equipe 2",6,IF(Atletas!V8="Grupo Externo AB - Equipe 1",7,IF(Atletas!V8="Grupo Externo AB - Equipe 2",8,IF(Atletas!V8="Grupo Interno AB - Equipe 1",9,IF(Atletas!V8="Grupo Interno AB - Equipe 2",10,IF(Atletas!V8="Duilian de Mãos CD - Equipe 1",11,IF(Atletas!V8="Duilian de Mãos CD - Equipe 2",12,IF(Atletas!V8="Duilian de Armas CD - Equipe 1",13,IF(Atletas!V8="Duilian de Armas CD - Equipe 2",14,IF(Atletas!V8="Duilian de Tuishou - Equipe 1",15,IF(Atletas!V8="Duilian de Tuishou - Equipe 2",16,IF(Atletas!V8="Grupo Externo CDEF - Equipe 1",17,IF(Atletas!V8="Grupo Externo CDEF - Equipe 2",18,IF(Atletas!V8="Grupo Interno CDEF - Equipe 1",19,IF(Atletas!V8="Grupo Interno CDEF - Equipe 2",20,IF(Atletas!V8="Duilian de Mãos EF - Equipe 1",21,IF(Atletas!V8="Duilian de Mãos EF - Equipe 2",22,IF(Atletas!V8="Duilian de Armas EF - Equipe 1",23,IF(Atletas!V8="Duilian de Armas EF - Equipe 2",24,IF(Atletas!V8="Duilian de Tuishou - Equipe 1",25,IF(Atletas!V8="Duilian de Tuishou - Equipe 2",26,"")))))))))))))))))))))))))))</f>
        <v/>
      </c>
      <c r="CG12" s="53" t="str">
        <f>IF(CH12&lt;&gt;"","Duilian de Mãos CD - Equipe 2","")</f>
        <v/>
      </c>
      <c r="CH12" s="53" t="str">
        <f>IF(COUNTIF(CF:CF,12)&gt;0,COUNTIF(CF:CF,12),"")</f>
        <v/>
      </c>
      <c r="CK12" s="10" t="str">
        <f>IF(CL12&lt;&gt;"","Grupo Externo CDEF - Equipe 2","")</f>
        <v/>
      </c>
      <c r="CL12" s="10" t="str">
        <f>IF(COUNTIF(CF:CF,18)&gt;0,COUNTIF(CF:CF,18),"")</f>
        <v/>
      </c>
      <c r="CR12" s="71"/>
    </row>
    <row r="13" spans="1:96">
      <c r="A13" s="25"/>
      <c r="B13" s="4" t="str">
        <f t="array" ref="B13">IFERROR(INDEX(AK$7:AK$36,SMALL(IF(AK$7:AK$36&lt;&gt;"",ROW(AK$7:AK$36)-ROW(AK$7)+1),ROWS(AK$7:AK12))),"")</f>
        <v/>
      </c>
      <c r="C13" s="4" t="str">
        <f t="array" ref="C13">IFERROR(INDEX(AL$7:AL$36,SMALL(IF(AL$7:AL$36&lt;&gt;"",ROW(AL$7:AL$36)-ROW(AL$7)+1),ROWS(AL$7:AL12))),"")</f>
        <v/>
      </c>
      <c r="D13" s="4" t="str">
        <f t="array" ref="D13">IFERROR(INDEX(AM$7:AM$36,SMALL(IF(AM$7:AM$36&lt;&gt;"",ROW(AM$7:AM$36)-ROW(AM$7)+1),ROWS(AM$7:AM12))),"")</f>
        <v/>
      </c>
      <c r="E13" s="4" t="str">
        <f t="array" ref="E13">IFERROR(INDEX(AN$7:AN$36,SMALL(IF(AN$7:AN$36&lt;&gt;"",ROW(AN$7:AN$36)-ROW(AN$7)+1),ROWS(AN$7:AN12))),"")</f>
        <v/>
      </c>
      <c r="F13" s="4" t="str">
        <f t="array" ref="F13">IFERROR(INDEX(AP$7:AP$36,SMALL(IF(AP$7:AP$36&lt;&gt;"",ROW(AP$7:AP$36)-ROW(AP$7)+1),ROWS(AP$7:AP12))),"")</f>
        <v/>
      </c>
      <c r="G13" s="4" t="str">
        <f t="array" ref="G13">IFERROR(INDEX(AQ$7:AQ$36,SMALL(IF(AQ$7:AQ$36&lt;&gt;"",ROW(AQ$7:AQ$36)-ROW(AQ$7)+1),ROWS(AQ$7:AQ12))),"")</f>
        <v/>
      </c>
      <c r="H13" s="4" t="str">
        <f t="array" ref="H13">IFERROR(INDEX(AR$7:AR$36,SMALL(IF(AR$7:AR$36&lt;&gt;"",ROW(AR$7:AR$36)-ROW(AR$7)+1),ROWS(AR$7:AR12))),"")</f>
        <v/>
      </c>
      <c r="I13" s="4" t="str">
        <f t="array" ref="I13">IFERROR(INDEX(AS$7:AS$36,SMALL(IF(AS$7:AS$36&lt;&gt;"",ROW(AS$7:AS$36)-ROW(AS$7)+1),ROWS(AS$7:AS12))),"")</f>
        <v/>
      </c>
      <c r="J13" s="4" t="str">
        <f t="array" ref="J13">IFERROR(INDEX(AU$7:AU$36,SMALL(IF(AU$7:AU$36&lt;&gt;"",ROW(AU$7:AU$36)-ROW(AU$7)+1),ROWS(AU$7:AU12))),"")</f>
        <v/>
      </c>
      <c r="K13" s="4" t="str">
        <f t="array" ref="K13">IFERROR(INDEX(AV$7:AV$36,SMALL(IF(AV$7:AV$36&lt;&gt;"",ROW(AV$7:AV$36)-ROW(AV$7)+1),ROWS(AV$7:AV12))),"")</f>
        <v/>
      </c>
      <c r="L13" s="4" t="str">
        <f t="array" ref="L13">IFERROR(INDEX(AW$7:AW$36,SMALL(IF(AW$7:AW$36&lt;&gt;"",ROW(AW$7:AW$36)-ROW(AW$7)+1),ROWS(AW$7:AW12))),"")</f>
        <v/>
      </c>
      <c r="M13" s="4" t="str">
        <f t="array" ref="M13">IFERROR(INDEX(AX$7:AX$36,SMALL(IF(AX$7:AX$36&lt;&gt;"",ROW(AX$7:AX$36)-ROW(AX$7)+1),ROWS(AX$7:AX12))),"")</f>
        <v/>
      </c>
      <c r="N13" s="4" t="str">
        <f t="array" ref="N13">IFERROR(INDEX(BB$7:BB$66,SMALL(IF(BB$7:BB$66&lt;&gt;"",ROW(BB$7:BB$66)-ROW(BB$7)+1),ROWS(BB$7:BB12))),"")</f>
        <v/>
      </c>
      <c r="O13" s="4" t="str">
        <f t="array" ref="O13">IFERROR(INDEX(BC$7:BC$66,SMALL(IF(BC$7:BC$66&lt;&gt;"",ROW(BC$7:BC$66)-ROW(BC$7)+1),ROWS(BC$7:BC12))),"")</f>
        <v/>
      </c>
      <c r="P13" s="4" t="str">
        <f t="array" ref="P13">IFERROR(INDEX(BD$7:BD$66,SMALL(IF(BD$7:BD$66&lt;&gt;"",ROW(BD$7:BD$66)-ROW(BD$7)+1),ROWS(BD$7:BD12))),"")</f>
        <v/>
      </c>
      <c r="Q13" s="4" t="str">
        <f t="array" ref="Q13">IFERROR(INDEX(BE$7:BE$66,SMALL(IF(BE$7:BE$66&lt;&gt;"",ROW(BE$7:BE$66)-ROW(BE$7)+1),ROWS(BE$7:BE12))),"")</f>
        <v/>
      </c>
      <c r="R13" s="4" t="str">
        <f t="array" ref="R13">IFERROR(INDEX(BG$7:BG$12,SMALL(IF(BG$7:BG$12&lt;&gt;"",ROW(BG$7:BG$12)-ROW(BG$7)+1),ROWS(BG$7:BG12))),"")</f>
        <v/>
      </c>
      <c r="S13" s="4" t="str">
        <f t="array" ref="S13">IFERROR(INDEX(BH$7:BH$12,SMALL(IF(BH$7:BH$12&lt;&gt;"",ROW(BH$7:BH$12)-ROW(BH$7)+1),ROWS(BH$7:BH12))),"")</f>
        <v/>
      </c>
      <c r="T13" s="4" t="str">
        <f t="array" ref="T13">IFERROR(INDEX(BI$7:BI$12,SMALL(IF(BI$7:BI$12&lt;&gt;"",ROW(BI$7:BI$12)-ROW(BI$7)+1),ROWS(BI$7:BI12))),"")</f>
        <v/>
      </c>
      <c r="U13" s="4" t="str">
        <f t="array" ref="U13">IFERROR(INDEX(BJ$7:BJ$12,SMALL(IF(BJ$7:BJ$12&lt;&gt;"",ROW(BJ$7:BJ$12)-ROW(BJ$7)+1),ROWS(BJ$7:BJ12))),"")</f>
        <v/>
      </c>
      <c r="V13" s="4" t="str">
        <f t="array" ref="V13">IFERROR(INDEX(BX$7:BX$336,SMALL(IF(BX$7:BX$336&lt;&gt;"",ROW(BX$7:BX$336)-ROW(BX$7)+1),ROWS(BX$7:BX12))),"")</f>
        <v/>
      </c>
      <c r="W13" s="4" t="str">
        <f t="array" ref="W13">IFERROR(INDEX(BY$7:BY$336,SMALL(IF(BY$7:BY$336&lt;&gt;"",ROW(BY$7:BY$336)-ROW(BY$7)+1),ROWS(BY$7:BY12))),"")</f>
        <v/>
      </c>
      <c r="X13" s="4" t="str">
        <f t="array" ref="X13">IFERROR(INDEX(BZ$7:BZ$336,SMALL(IF(BZ$7:BZ$336&lt;&gt;"",ROW(BZ$7:BZ$336)-ROW(BZ$7)+1),ROWS(BZ$7:BZ12))),"")</f>
        <v/>
      </c>
      <c r="Y13" s="4" t="str">
        <f t="array" ref="Y13">IFERROR(INDEX(CA$7:CA$336,SMALL(IF(CA$7:CA$336&lt;&gt;"",ROW(CA$7:CA$336)-ROW(CA$7)+1),ROWS(CA$7:CA12))),"")</f>
        <v/>
      </c>
      <c r="Z13" s="4" t="str">
        <f t="array" ref="Z13">IFERROR(INDEX(CB$7:CB$378,SMALL(IF(CB$7:CB$378&lt;&gt;"",ROW(CB$7:CB$378)-ROW(CB$7)+1),ROWS(CB$7:CB12))),"")</f>
        <v/>
      </c>
      <c r="AA13" s="4" t="str">
        <f t="array" ref="AA13">IFERROR(INDEX(CC$7:CC$378,SMALL(IF(CC$7:CC$378&lt;&gt;"",ROW(CC$7:CC$378)-ROW(CC$7)+1),ROWS(CC$7:CC12))),"")</f>
        <v/>
      </c>
      <c r="AB13" s="4" t="str">
        <f t="array" ref="AB13">IFERROR(INDEX(CD$7:CD$378,SMALL(IF(CD$7:CD$378&lt;&gt;"",ROW(CD$7:CD$378)-ROW(CD$7)+1),ROWS(CD$7:CD12))),"")</f>
        <v/>
      </c>
      <c r="AC13" s="4" t="str">
        <f t="array" ref="AC13">IFERROR(INDEX(CE$7:CE$378,SMALL(IF(CE$7:CE$378&lt;&gt;"",ROW(CE$7:CE$378)-ROW(CE$7)+1),ROWS(CE$7:CE12))),"")</f>
        <v/>
      </c>
      <c r="AD13" s="69" t="str">
        <f t="array" ref="AD13">IFERROR(INDEX(CG$7:CG$18,SMALL(IF(CG$7:CG$18&lt;&gt;"",ROW(CG$7:CG$18)-ROW(CG$7)+1),ROWS(CG$7:CG12))),"")</f>
        <v/>
      </c>
      <c r="AE13" s="69" t="str">
        <f t="array" ref="AE13">IFERROR(INDEX(CH$7:CH$18,SMALL(IF(CH$7:CH$18&lt;&gt;"",ROW(CH$7:CH$18)-ROW(CH$7)+1),ROWS(CH$7:CH12))),"")</f>
        <v/>
      </c>
      <c r="AF13" s="69"/>
      <c r="AG13" s="69"/>
      <c r="AH13" s="69" t="str">
        <f t="array" ref="AH13">IFERROR(INDEX(CK$7:CK$14,SMALL(IF(CK$7:CK$14&lt;&gt;"",ROW(CK$7:CK$14)-ROW(CK$7)+1),ROWS(CK$7:CK12))),"")</f>
        <v/>
      </c>
      <c r="AI13" s="69" t="str">
        <f t="array" ref="AI13">IFERROR(INDEX(CL$7:CL$14,SMALL(IF(CL$7:CL$14&lt;&gt;"",ROW(CL$7:CL$14)-ROW(CL$7)+1),ROWS(CL$7:CL12))),"")</f>
        <v/>
      </c>
      <c r="AJ13" s="46" t="str">
        <f>IF(Atletas!D9="","",IF(Atletas!B9="Feminino",100,IF(Atletas!B9="Masculino",200,""))+(IF(Atletas!D9="Infantil 39kg",1,IF(Atletas!D9="Infantil 42kg",2,IF(Atletas!D9="Infantil 45kg",3,IF(Atletas!D9="Infantil 48kg",4,IF(Atletas!D9="Infantil 52kg",5,IF(Atletas!D9="Infantil 56kg",6,IF(Atletas!D9="Infantil 60kg",7,IF(Atletas!D9="Juvenil 48kg",8,IF(Atletas!D9="Juvenil 52kg",9,IF(Atletas!D9="Juvenil 56kg",10,IF(Atletas!D9="Juvenil 60kg",11,IF(Atletas!D9="Juvenil 65kg",12,IF(Atletas!D9="Juvenil 70kg",13,IF(Atletas!D9="Juvenil 75kg",14,IF(Atletas!D9="Juvenil 80kg",15,IF(Atletas!D9="Adulto 48kg",16,IF(Atletas!D9="Adulto 52kg",17,IF(Atletas!D9="Adulto 56kg",18,IF(Atletas!D9="Adulto 60kg",19,IF(Atletas!D9="Adulto 65kg",20,IF(Atletas!D9="Adulto 70kg",21,IF(Atletas!D9="Adulto 75kg",22,IF(Atletas!D9="Adulto 80kg",23,IF(Atletas!D9="Adulto 85kg",24,IF(Atletas!D9="Adulto 90kg",25,IF(Atletas!D9="Adulto +90kg",26,""))))))))))))))))))))))))))))</f>
        <v/>
      </c>
      <c r="AK13" s="52" t="str">
        <f>IF(AL13&lt;&gt;"","Juvenil 56kg","")</f>
        <v/>
      </c>
      <c r="AL13" s="10" t="str">
        <f>IF(COUNTIF(AJ:AJ,110)&gt;0,COUNTIF(AJ:AJ,110),"")</f>
        <v/>
      </c>
      <c r="AM13" s="52" t="str">
        <f>IF(AN13&lt;&gt;"","Infantil 60kg","")</f>
        <v/>
      </c>
      <c r="AN13" s="10" t="str">
        <f>IF(COUNTIF(AJ:AJ,207)&gt;0,COUNTIF(AJ:AJ,207),"")</f>
        <v/>
      </c>
      <c r="AO13" s="10" t="str">
        <f>IF(Atletas!E9="","",IF(Atletas!B9="Feminino",100,IF(Atletas!B9="Masculino",200,""))+(IF(Atletas!E9="Juvenil 44kg",1,IF(Atletas!E9="Juvenil 48kg",2,IF(Atletas!E9="Juvenil 52kg",3,IF(Atletas!E9="Juvenil 56kg",4,IF(Atletas!E9="Juvenil 60kg",5,IF(Atletas!E9="Juvenil 65kg",6,IF(Atletas!E9="Juvenil 70kg",7,IF(Atletas!E9="Juvenil 75kg",8,IF(Atletas!E9="Juvenil 82kg",9,IF(Atletas!E9="Juvenil 90kg",10,IF(Atletas!E9="Juvenil 100kg",11,IF(Atletas!E9="Adulto 48kg",12,IF(Atletas!E9="Adulto 52kg",13,IF(Atletas!E9="Adulto 56kg",14,IF(Atletas!E9="Adulto 60kg",15,IF(Atletas!E9="Adulto 65kg",16,IF(Atletas!E9="Adulto 70kg",17,IF(Atletas!E9="Adulto 75kg",18,IF(Atletas!E9="Adulto 82kg",19,IF(Atletas!E9="Adulto 90kg",20,IF(Atletas!E9="Adulto 100kg",21,IF(Atletas!E9="Adulto +100kg",22,""))))))))))))))))))))))))</f>
        <v/>
      </c>
      <c r="AP13" s="52" t="str">
        <f>IF(AQ13&lt;&gt;"","Juvenil 70kg","")</f>
        <v/>
      </c>
      <c r="AQ13" s="10" t="str">
        <f>IF(COUNTIF(AO:AO,107)&gt;0,COUNTIF(AO:AO,107),"")</f>
        <v/>
      </c>
      <c r="AR13" s="52" t="str">
        <f>IF(AS13&lt;&gt;"","Juvenil 75kg","")</f>
        <v/>
      </c>
      <c r="AS13" s="10" t="str">
        <f>IF(COUNTIF(AO:AO,208)&gt;0,COUNTIF(AO:AO,208),"")</f>
        <v/>
      </c>
      <c r="AT13" s="10" t="str">
        <f>IF(Atletas!F9="","",IF(Atletas!B9="Feminino",100,IF(Atletas!B9="Masculino",200,""))+(IF(Atletas!F9="Adulto 48kg",1,IF(Atletas!F9="Adulto 56kg",2,IF(Atletas!F9="Adulto 65kg",3,IF(Atletas!F9="Adulto 75kg",4,IF(Atletas!F9="Adulto +75kg",5,IF(Atletas!F9="Adulto 52kg",6,IF(Atletas!F9="Adulto 60kg",7,IF(Atletas!F9="Adulto 70kg",8,IF(Atletas!F9="Adulto 80kg",9,IF(Atletas!F9="Adulto 90kg",10,IF(Atletas!F9="Adulto +90kg",11,"")))))))))))))</f>
        <v/>
      </c>
      <c r="AU13" s="52"/>
      <c r="AW13" s="52"/>
      <c r="AY13" s="46" t="str">
        <f>IF(Atletas!G9="","",IF(Atletas!B9="Feminino",100,IF(Atletas!B9="Masculino",200,""))+(IF(Atletas!G9="Changquan Mirim",1,IF(Atletas!G9="Nanquan Mirim",2,IF(Atletas!G9="Taijiquan Mirim",3,IF(Atletas!G9="Changquan Grupo C",4,IF(Atletas!G9="Nanquan Grupo C",5,IF(Atletas!G9="Taijiquan Grupo C",6,IF(Atletas!G9="Changquan Grupo B",7,IF(Atletas!G9="Nanquan Grupo B",8,IF(Atletas!G9="Taijiquan Grupo B",9,IF(Atletas!G9="Changquan Grupo A",10,IF(Atletas!G9="Nanquan Grupo A",11,IF(Atletas!G9="Taijiquan Grupo A",12,IF(Atletas!G9="Changquan Opcional",13,IF(Atletas!G9="Nanquan Opcional",14,IF(Atletas!G9="Taijiquan Opcional",15,IF(Atletas!G9="Changquan Adulto",16,IF(Atletas!G9="Nanquan Adulto",17,IF(Atletas!G9="Taijiquan Adulto",18,""))))))))))))))))))))</f>
        <v/>
      </c>
      <c r="AZ13" s="46" t="str">
        <f>IF(Atletas!H9="","",IF(Atletas!B9="Feminino",100,IF(Atletas!B9="Masculino",200,""))+(IF(Atletas!H9="Daoshu Mirim",19,IF(Atletas!H9="Jianshu Mirim",20,IF(Atletas!H9="Nandao Mirim",21,IF(Atletas!H9="Taijijian Mirim",22,IF(Atletas!H9="Daoshu Grupo C",23,IF(Atletas!H9="Jianshu Grupo C",24,IF(Atletas!H9="Nandao Grupo C",25,IF(Atletas!H9="Taijijian Grupo C",26,IF(Atletas!H9="Daoshu Grupo B",27,IF(Atletas!H9="Jianshu Grupo B",28,IF(Atletas!H9="Nandao Grupo B",29,IF(Atletas!H9="Taijijian Grupo B",30,IF(Atletas!H9="Daoshu Grupo A",31,IF(Atletas!H9="Jianshu Grupo A",32,IF(Atletas!H9="Nandao Grupo A",33,IF(Atletas!H9="Taijijian Grupo A",34,IF(Atletas!H9="Daoshu Opcional",35,IF(Atletas!H9="Jianshu Opcional",36,IF(Atletas!H9="Nandao Opcional",37,IF(Atletas!H9="Taijijian Opcional",38,IF(Atletas!H9="Daoshu Adulto",39,IF(Atletas!H9="Jianshu Adulto",40,IF(Atletas!H9="Nandao Adulto",41,IF(Atletas!H9="Taijijian Adulto",42,""))))))))))))))))))))))))))</f>
        <v/>
      </c>
      <c r="BA13" s="46" t="str">
        <f>IF(Atletas!I9="","",IF(Atletas!B9="Feminino",100,IF(Atletas!B9="Masculino",200,""))+(IF(Atletas!I9="Gunshu Mirim",43,IF(Atletas!I9="Qiangshu Mirim",44,IF(Atletas!I9="Nangun Mirim",45,IF(Atletas!I9="Gunshu Grupo C",46,IF(Atletas!I9="Qiangshu Grupo C",47,IF(Atletas!I9="Nangun Grupo C",48,IF(Atletas!I9="Gunshu Grupo B",49,IF(Atletas!I9="Qiangshu Grupo B",50,IF(Atletas!I9="Nangun Grupo B",51,IF(Atletas!I9="Gunshu Grupo A",52,IF(Atletas!I9="Qiangshu Grupo A",53,IF(Atletas!I9="Nangun Grupo A",54,IF(Atletas!I9="Gunshu Opcional",55,IF(Atletas!I9="Qiangshu Opcional",56,IF(Atletas!I9="Nangun Opcional",57,IF(Atletas!I9="Gunshu Adulto",58,IF(Atletas!I9="Qiangshu Adulto",59,IF(Atletas!I9="Nangun Adulto",60,""))))))))))))))))))))</f>
        <v/>
      </c>
      <c r="BB13" s="46" t="str">
        <f>IF(BC13&lt;&gt;"","Taijijian Mirim","")</f>
        <v/>
      </c>
      <c r="BC13" s="52" t="str">
        <f>IF(COUNTIF(AY:BA,122)&gt;0,COUNTIF(AY:BA,122),"")</f>
        <v/>
      </c>
      <c r="BD13" s="46" t="str">
        <f>IF(BE13&lt;&gt;"","Taijijian Mirim","")</f>
        <v/>
      </c>
      <c r="BE13" s="52" t="str">
        <f>IF(COUNTIF(AY:BA,222)&gt;0,COUNTIF(AY:BA,222),"")</f>
        <v/>
      </c>
      <c r="BF13" s="52" t="str">
        <f>IF(Atletas!J9="","",IF(Atletas!B9="Feminino",100,IF(Atletas!B9="Masculino",200,""))+(IF(Atletas!J9="Equipe 1 Grupo B",1,IF(Atletas!J9="Equipe 2 Grupo B",2,IF(Atletas!J9="Equipe 1 Grupo A",3,IF(Atletas!J9="Equipe 2 Grupo A",4,IF(Atletas!J9="Equipe 1 Adulto",5,IF(Atletas!J9="Equipe 2 Adulto",6,""))))))))</f>
        <v/>
      </c>
      <c r="BG13" s="46"/>
      <c r="BH13" s="46"/>
      <c r="BI13" s="52"/>
      <c r="BJ13" s="46"/>
      <c r="BK13" s="52" t="str">
        <f>IF(Atletas!K9="","",IF(Atletas!W9&lt;&gt;"",10000,0)+(IF(Atletas!B9="Feminino",1000,IF(Atletas!B9="Masculino",2000,""))+IF(Atletas!K9="Choylayfut A",1,IF(Atletas!K9="Hunggar A",2,IF(Atletas!K9="Wuzuquan A",3,IF(Atletas!K9="Wingchun A",4,IF(Atletas!K9="Outra Mão de Sul A",5,IF(Atletas!K9="Choylayfut B",6,IF(Atletas!K9="Hunggar B",7,IF(Atletas!K9="Wuzuquan B",8,IF(Atletas!K9="Wingchun B",9,IF(Atletas!K9="Outra Mão de Sul B",10,IF(Atletas!K9="Choylayfut C",11,IF(Atletas!K9="Hunggar C",12,IF(Atletas!K9="Wuzuquan C",13,IF(Atletas!K9="Wingchun C",14,IF(Atletas!K9="Outra Mão de Sul C",15,IF(Atletas!K9="Choylayfut D",16,IF(Atletas!K9="Hunggar D",17,IF(Atletas!K9="Wuzuquan D",18,IF(Atletas!K9="Wingchun D",19,IF(Atletas!K9="Outra Mão de Sul D",20,IF(Atletas!K9="Choylayfut E",21,IF(Atletas!K9="Hunggar E",22,IF(Atletas!K9="Wuzuquan E",23,IF(Atletas!K9="Wingchun E",24,IF(Atletas!K9="Outra Mão de Sul E",25,IF(Atletas!K9="Choylayfut F",26,IF(Atletas!K9="Hunggar F",27,IF(Atletas!K9="Wuzuquan F",28,IF(Atletas!K9="Wingchun F",29,IF(Atletas!K9="Outra Mão de Sul F",30,""))))))))))))))))))))))))))))))))</f>
        <v/>
      </c>
      <c r="BL13" s="52" t="str">
        <f>IF(Atletas!L9="","",IF(Atletas!W9&lt;&gt;"",10000,0)+(IF(Atletas!B9="Feminino",1000,IF(Atletas!B9="Masculino",2000,""))+(IF(Atletas!L9="Chaquan A",101,IF(Atletas!L9="Emeiquan A",102,IF(Atletas!L9="Fanziquan A",103,IF(Atletas!L9="Huaquan A",104,IF(Atletas!L9="Hongquan A",105,IF(Atletas!L9="Paochui A",106,IF(Atletas!L9="Piguaquan A",107,IF(Atletas!L9="Shaolinquan A",108,IF(Atletas!L9="Tanglangquan A",109,IF(Atletas!L9="Yinzhaophai A",110,IF(Atletas!L9="Tongbeiquan A",111,IF(Atletas!L9="Wudangquan A",112,IF(Atletas!L9="Outros Estilos A",113,IF(Atletas!L9="Chaquan B",114,IF(Atletas!L9="Emeiquan B",115,IF(Atletas!L9="Fanziquan B",116,IF(Atletas!L9="Huaquan B",117,IF(Atletas!L9="Hongquan B",118,IF(Atletas!L9="Paochui B",119,IF(Atletas!L9="Piguaquan B",120,IF(Atletas!L9="Shaolinquan B",121,IF(Atletas!L9="Tanglangquan B",122,IF(Atletas!L9="Yinzhaophai B",123,IF(Atletas!L9="Tongbeiquan B",124,IF(Atletas!L9="Wudangquan B",125,IF(Atletas!L9="Outros Estilos B",126,IF(Atletas!L9="Chaquan C",127,IF(Atletas!L9="Emeiquan C",128,IF(Atletas!L9="Fanziquan C",129,IF(Atletas!L9="Huaquan C",130,IF(Atletas!L9="Hongquan C",131,IF(Atletas!L9="Paochui C",132,IF(Atletas!L9="Piguaquan C",133,IF(Atletas!L9="Shaolinquan C",134,IF(Atletas!L9="Tanglangquan C",135,IF(Atletas!L9="Yinzhaophai C",136,IF(Atletas!L9="Tongbeiquan C",137,IF(Atletas!L9="Wudangquan C",138,IF(Atletas!L9="Outros Estilos C",139,0))))))))))))))))))))))))))))))))))))))))))</f>
        <v/>
      </c>
      <c r="BM13" s="52" t="str">
        <f>IF(Atletas!L9="","",IF(Atletas!W9&lt;&gt;"",10000,0)+(IF(Atletas!B9="Feminino",1000,IF(Atletas!B9="Masculino",2000,""))+(IF(Atletas!L9="Chaquan D",140,IF(Atletas!L9="Emeiquan D",141,IF(Atletas!L9="Fanziquan D",142,IF(Atletas!L9="Huaquan D",143,IF(Atletas!L9="Hongquan D",144,IF(Atletas!L9="Paochui D",145,IF(Atletas!L9="Piguaquan D",146,IF(Atletas!L9="Shaolinquan D",147,IF(Atletas!L9="Tanglangquan D",148,IF(Atletas!L9="Yinzhaophai D",149,IF(Atletas!L9="Tongbeiquan D",150,IF(Atletas!L9="Wudangquan D",151,IF(Atletas!L9="Outros Estilos D",152,IF(Atletas!L9="Chaquan E",153,IF(Atletas!L9="Emeiquan E",154,IF(Atletas!L9="Fanziquan E",155,IF(Atletas!L9="Huaquan E",156,IF(Atletas!L9="Hongquan E",157,IF(Atletas!L9="Paochui E",158,IF(Atletas!L9="Piguaquan E",159,IF(Atletas!L9="Shaolinquan E",160,IF(Atletas!L9="Tanglangquan E",161,IF(Atletas!L9="Yinzhaophai E",162,IF(Atletas!L9="Tongbeiquan E",163,IF(Atletas!L9="Wudangquan E",164,IF(Atletas!L9="Outros Estilos E",165,IF(Atletas!L9="Chaquan F",166,IF(Atletas!L9="Emeiquan F",167,IF(Atletas!L9="Fanziquan F",168,IF(Atletas!L9="Huaquan F",169,IF(Atletas!L9="Hongquan F",170,IF(Atletas!L9="Paochui F",171,IF(Atletas!L9="Piguaquan F",172,IF(Atletas!L9="Shaolinquan F",173,IF(Atletas!L9="Tanglangquan F",174,IF(Atletas!L9="Yinzhaophai F",175,IF(Atletas!L9="Tongbeiquan F",176,IF(Atletas!L9="Wudangquan F",177,IF(Atletas!L9="Outros Estilos F",178,0))))))))))))))))))))))))))))))))))))))))))</f>
        <v/>
      </c>
      <c r="BN13" s="52" t="str">
        <f>IF(Atletas!M9="","",IF(Atletas!W9&lt;&gt;"",10000,0)+(IF(Atletas!B9="Feminino",1000,IF(Atletas!B9="Masculino",2000,""))+(IF(Atletas!M9="Ditangquan A",201,IF(Atletas!M9="Houquan A",202,IF(Atletas!M9="Zuiquan A",203,IF(Atletas!M9="Ditangquan B",204,IF(Atletas!M9="Houquan B",205,IF(Atletas!M9="Zuiquan B",206,IF(Atletas!M9="Ditangquan C",207,IF(Atletas!M9="Houquan C",208,IF(Atletas!M9="Zuiquan C",209,IF(Atletas!M9="Ditangquan D",210,IF(Atletas!M9="Houquan D",211,IF(Atletas!M9="Zuiquan D",212,IF(Atletas!M9="Ditangquan E",213,IF(Atletas!M9="Houquan E",214,IF(Atletas!M9="Zuiquan E",215,IF(Atletas!M9="Ditangquan F",216,IF(Atletas!M9="Houquan F",217,IF(Atletas!M9="Zuiquan F",218,"")))))))))))))))))))))</f>
        <v/>
      </c>
      <c r="BO13" s="52" t="str">
        <f>IF(Atletas!N9="","",IF(Atletas!W9&lt;&gt;"",10000,0)+IF(Atletas!B9="Feminino",1000,IF(Atletas!B9="Masculino",2000,""))+IF(Atletas!N9="Yang A",301,IF(Atletas!N9="Chen A",30,IF(Atletas!N9="Sun A",303,IF(Atletas!N9="Wu A",304,IF(Atletas!N9="Wu-Hao A",305,IF(Atletas!N9="Outro Taijiquan A",306,IF(Atletas!N9="Yang B",307,IF(Atletas!N9="Chen B",308,IF(Atletas!N9="Sun B",309,IF(Atletas!N9="Wu B",310,IF(Atletas!N9="Wu-Hao B",311,IF(Atletas!N9="Outro Taijiquan B",312,IF(Atletas!N9="Yang C",313,IF(Atletas!N9="Chen C",314,IF(Atletas!N9="Sun C",315,IF(Atletas!N9="Wu C",316,IF(Atletas!N9="Wu-Hao C",317,IF(Atletas!N9="Outro Taijiquan C",318,IF(Atletas!N9="Yang D",319,IF(Atletas!N9="Chen D",320,IF(Atletas!N9="Sun D",321,IF(Atletas!N9="Wu D",322,IF(Atletas!N9="Wu-Hao D",323,IF(Atletas!N9="Outro Taijiquan D",324,IF(Atletas!N9="Yang E",325,IF(Atletas!N9="Chen E",326,IF(Atletas!N9="Sun E",327,IF(Atletas!N9="Wu E",328,IF(Atletas!N9="Wu-Hao E",329,IF(Atletas!N9="Outro Taijiquan E",330,IF(Atletas!N9="Yang F",331,IF(Atletas!N9="Chen F",332,IF(Atletas!N9="Sun F",333,IF(Atletas!N9="Wu F",334,IF(Atletas!N9="Wu-Hao F",335,IF(Atletas!N9="Outro Taijiquan F",336,"")))))))))))))))))))))))))))))))))))))</f>
        <v/>
      </c>
      <c r="BP13" s="52" t="str">
        <f>IF(Atletas!O9="","",IF(Atletas!W9&lt;&gt;"",10000,0)+IF(Atletas!B9="Feminino",1000,IF(Atletas!B9="Masculino",2000,""))+IF(OR(Atletas!O9="Yang 26 A",Atletas!O9="Yang 40 A"),401,IF(OR(Atletas!O9="Chen 25 A",Atletas!O9="Chen 36 A",Atletas!O9="Chen 56 A"),402,IF(Atletas!O9="Sun 73 A",403,IF(Atletas!O9="Wu 45 A",404,IF(Atletas!O9="Wu-Hao 46 A",405,IF(OR(Atletas!O9="Taijiquan 16 A",Atletas!O9="Taijiquan 24 A",Atletas!O9="Taijiquan 32 A",Atletas!O9="Taijiquan 42 A"),406,IF(OR(Atletas!O9="Yang 26 B",Atletas!O9="Yang 40 B"),407,IF(OR(Atletas!O9="Chen 25 B",Atletas!O9="Chen 36 B",Atletas!O9="Chen 56 B"),408,IF(Atletas!O9="Sun 73 B",409,IF(Atletas!O9="Wu 45 B",410,IF(Atletas!O9="Wu-Hao 46 B",411,IF(OR(Atletas!O9="Taijiquan 16 B",Atletas!O9="Taijiquan 24 B",Atletas!O9="Taijiquan 32 B",Atletas!O9="Taijiquan 42 B"),412,IF(OR(Atletas!O9="Yang 26 C",Atletas!O9="Yang 40 C"),413,IF(OR(Atletas!O9="Chen 25 C",Atletas!O9="Chen 36 C",Atletas!O9="Chen 56 C"),414,IF(Atletas!O9="Sun 73 C",415,IF(Atletas!O9="Wu 45 C",416,IF(Atletas!O9="Wu-Hao 46 C",417,IF(OR(Atletas!O9="Taijiquan 16 C",Atletas!O9="Taijiquan 24 C",Atletas!O9="Taijiquan 32 C",Atletas!O9="Taijiquan 42 C"),418,0)))))))))))))))))))</f>
        <v/>
      </c>
      <c r="BQ13" s="52" t="str">
        <f>IF(Atletas!O9="","",IF(Atletas!W9&lt;&gt;"",10000,0)+IF(Atletas!B9="Feminino",1000,IF(Atletas!B9="Masculino",2000,""))+IF(OR(Atletas!O9="Yang 26 D",Atletas!O9="Yang 40 D"),419,IF(OR(Atletas!O9="Chen 25 D",Atletas!O9="Chen 36 D",Atletas!O9="Chen 56 D"),420,IF(Atletas!O9="Sun 73 D",421,IF(Atletas!O9="Wu 45 D",422,IF(Atletas!O9="Wu-Hao 46 D",423,IF(OR(Atletas!O9="Taijiquan 16 D",Atletas!O9="Taijiquan 24 D",Atletas!O9="Taijiquan 32 D",Atletas!O9="Taijiquan 42 D"),424,IF(OR(Atletas!O9="Yang 26 E",Atletas!O9="Yang 40 E"),425,IF(OR(Atletas!O9="Chen 25 E",Atletas!O9="Chen 36 E",Atletas!O9="Chen 56 E"),426,IF(Atletas!O9="Sun 73 E",427,IF(Atletas!O9="Wu 45 E",428,IF(Atletas!O9="Wu-Hao 46 E",429,IF(OR(Atletas!O9="Taijiquan 16 E",Atletas!O9="Taijiquan 24 E",Atletas!O9="Taijiquan 32 E",Atletas!O9="Taijiquan 42 E"),430,IF(OR(Atletas!O9="Yang 26 F",Atletas!O9="Yang 40 F"),431,IF(OR(Atletas!O9="Chen 25 F",Atletas!O9="Chen 36 F",Atletas!O9="Chen 56 F"),432,IF(Atletas!O9="Sun 73 F",433,IF(Atletas!O9="Wu 45 F",434,IF(Atletas!O9="Wu-Hao 46 F",435,IF(OR(Atletas!O9="Taijiquan 16 F",Atletas!O9="Taijiquan 24 F",Atletas!O9="Taijiquan 32 F",Atletas!O9="Taijiquan 42 F"),436,0)))))))))))))))))))</f>
        <v/>
      </c>
      <c r="BR13" s="52" t="str">
        <f>IF(Atletas!P9="","",IF(Atletas!W9&lt;&gt;"",10000,0)+IF(Atletas!B9="Feminino",1000,IF(Atletas!B9="Masculino",2000,""))+IF(Atletas!P9="Xingyiquan A",501,IF(Atletas!P9="Baguazhang A",502,IF(Atletas!P9="Outro Estilo Interno A",503,IF(Atletas!P9="Xingyiquan B",504,IF(Atletas!P9="Baguazhang B",505,IF(Atletas!P9="Outro Estilo Interno B",506,IF(Atletas!P9="Xingyiquan C",507,IF(Atletas!P9="Baguazhang C",508,IF(Atletas!P9="Outro Estilo Interno C",509,IF(Atletas!P9="Xingyiquan D",510,IF(Atletas!P9="Baguazhang D",511,IF(Atletas!P9="Outro Estilo Interno D",512,IF(Atletas!P9="Xingyiquan E",513,IF(Atletas!P9="Baguazhang E",514,IF(Atletas!P9="Outro Estilo Interno E",515,IF(Atletas!P9="Xingyiquan F",516,IF(Atletas!P9="Baguazhang F",517,IF(Atletas!P9="Outro Estilo Interno F",518, "")))))))))))))))))))</f>
        <v/>
      </c>
      <c r="BS13" s="52" t="str">
        <f>IF(Atletas!Q9="","",IF(Atletas!W9&lt;&gt;"",10000,0)+IF(Atletas!B9="Feminino",1000,IF(Atletas!B9="Masculino",2000,""))+IF(Atletas!Q9="Dao A",601,IF(Atletas!Q9="Jian A",602,IF(Atletas!Q9="Bishou A",603,IF(Atletas!Q9="Shan A",604,IF(Atletas!Q9="Outra Arma Curta A",605,IF(Atletas!Q9="Dao B",606,IF(Atletas!Q9="Jian B",607,IF(Atletas!Q9="Bishou B",608,IF(Atletas!Q9="Shan B",609,IF(Atletas!Q9="Outra Arma Curta B",610,IF(Atletas!Q9="Dao C",611,IF(Atletas!Q9="Jian C",612,IF(Atletas!Q9="Bishou C",613,IF(Atletas!Q9="Shan C",614,IF(Atletas!Q9="Outra Arma Curta C",615,IF(Atletas!Q9="Dao D",616,IF(Atletas!Q9="Jian D",617,IF(Atletas!Q9="Bishou D",618,IF(Atletas!Q9="Shan D",619,IF(Atletas!Q9="Outra Arma Curta D",620,IF(Atletas!Q9="Dao E",621,IF(Atletas!Q9="Jian E",622,IF(Atletas!Q9="Bishou E",623,IF(Atletas!Q9="Shan E",624,IF(Atletas!Q9="Outra Arma Curta E",625,IF(Atletas!Q9="Dao F",626,IF(Atletas!Q9="Jian F",627,IF(Atletas!Q9="Bishou F",628,IF(Atletas!Q9="Shan F",629,IF(Atletas!Q9="Outra Arma Curta F",630, "")))))))))))))))))))))))))))))))</f>
        <v/>
      </c>
      <c r="BT13" s="52" t="str">
        <f>IF(Atletas!R9="","",IF(Atletas!W9&lt;&gt;"",10000,0)+IF(Atletas!B9="Feminino",1000,IF(Atletas!B9="Masculino",2000,""))+IF(Atletas!R9="Gun A",701,IF(Atletas!R9="Qiang A",702,IF(Atletas!R9="Pudao / Guandao A",703,IF(Atletas!R9="Outra Arma Longa A",704,IF(Atletas!R9="Gun B",705,IF(Atletas!R9="Qiang B",706,IF(Atletas!R9="Pudao / Guandao B",707,IF(Atletas!R9="Outra Arma Longa B",708,IF(Atletas!R9="Gun C",709,IF(Atletas!R9="Qiang C",710,IF(Atletas!R9="Pudao / Guandao C",711,IF(Atletas!R9="Outra Arma Longa C",712,IF(Atletas!R9="Gun D",713,IF(Atletas!R9="Qiang D",714,IF(Atletas!R9="Pudao / Guandao D",715,IF(Atletas!R9="Outra Arma Longa D",716,IF(Atletas!R9="Gun E",717,IF(Atletas!R9="Qiang E",718,IF(Atletas!R9="Pudao / Guandao E",719,IF(Atletas!R9="Outra Arma Longa E",720,IF(Atletas!R9="Gun F",721,IF(Atletas!R9="Qiang F",722,IF(Atletas!R9="Pudao / Guandao F",723,IF(Atletas!R9="Outra Arma Longa F",724,"")))))))))))))))))))))))))</f>
        <v/>
      </c>
      <c r="BU13" s="52" t="str">
        <f>IF(Atletas!S9="","",IF(Atletas!W9&lt;&gt;"",10000,0)+IF(Atletas!B9="Feminino",1000,IF(Atletas!B9="Masculino",2000,""))+IF(Atletas!S9="Arma Dupla A",801,IF(Atletas!S9="Arma Maleável A",802,IF(Atletas!S9="Arma Dupla B",803,IF(Atletas!S9="Arma Maleável B",804,IF(Atletas!S9="Arma Dupla C",805,IF(Atletas!S9="Arma Maleável C",806,IF(Atletas!S9="Arma Dupla D",807,IF(Atletas!S9="Arma Maleável D",808,IF(Atletas!S9="Arma Dupla E",809,IF(Atletas!S9="Arma Maleável E",810,IF(Atletas!S9="Arma Dupla F",811,IF(Atletas!S9="Arma Maleável F",812, "")))))))))))))</f>
        <v/>
      </c>
      <c r="BV13" s="52" t="str">
        <f>IF(Atletas!T9="","",IF(Atletas!W9&lt;&gt;"",10000,0)+IF(Atletas!B9="Feminino",1000,IF(Atletas!B9="Masculino",2000,""))+IF(Atletas!T9="Taijijian Yang A",901,IF(Atletas!T9="Taijijian Chen A",902,IF(Atletas!T9="Taijijian Sun A",903,IF(Atletas!T9="Taijijian Wu A",904,IF(Atletas!T9="Taijijian Wu-Hao A",905,IF(Atletas!T9="Taijijian 32 A",906,IF(Atletas!T9="Taijijian 42 A",907,IF(Atletas!T9="Taijijian Yang B",908,IF(Atletas!T9="Taijijian Chen B",909,IF(Atletas!T9="Taijijian Sun B",910,IF(Atletas!T9="Taijijian Wu B",911,IF(Atletas!T9="Taijijian Wu-Hao B",912,IF(Atletas!T9="Taijijian 32 B",913,IF(Atletas!T9="Taijijian 42 B",914,IF(Atletas!T9="Taijijian Yang C",915,IF(Atletas!T9="Taijijian Chen C",916,IF(Atletas!T9="Taijijian Sun C",917,IF(Atletas!T9="Taijijian Wu C",918,IF(Atletas!T9="Taijijian Wu-Hao C",919,IF(Atletas!T9="Taijijian 32 C",920,IF(Atletas!T9="Taijijian 42 C",921,IF(Atletas!T9="Taijijian Yang D",922,IF(Atletas!T9="Taijijian Chen D",923,IF(Atletas!T9="Taijijian Sun D",924,IF(Atletas!T9="Taijijian Wu D",925,IF(Atletas!T9="Taijijian Wu-Hao D",926,IF(Atletas!T9="Taijijian 32 D",927,IF(Atletas!T9="Taijijian 42 D",928,IF(Atletas!T9="Taijijian Yang E",929,IF(Atletas!T9="Taijijian Chen E",930,IF(Atletas!T9="Taijijian Sun E",931,IF(Atletas!T9="Taijijian Wu E",932,IF(Atletas!T9="Taijijian Wu-Hao E",933,IF(Atletas!T9="Taijijian 32 E",934,IF(Atletas!T9="Taijijian 42 E",935,IF(Atletas!T9="Taijijian Yang F",936,IF(Atletas!T9="Taijijian Chen F",937,IF(Atletas!T9="Taijijian Sun F",938,IF(Atletas!T9="Taijijian Wu F",939,IF(Atletas!T9="Taijijian Wu-Hao F",940,IF(Atletas!T9="Taijijian 32 F",941,IF(Atletas!T9="Taijijian 42 F",942,"")))))))))))))))))))))))))))))))))))))))))))</f>
        <v/>
      </c>
      <c r="BW13" s="52" t="str">
        <f>IF(Atletas!U9="","",IF(Atletas!W9&lt;&gt;"",10000,0)+IF(Atletas!B9="Feminino",1000,IF(Atletas!B9="Masculino",2000,""))+IF(Atletas!T9="Taijijian 42 F",942,IF(Atletas!U9="Taijidao A",943,IF(Atletas!U9="Taijishan A",944,IF(Atletas!U9="Taijiqiang A",945,IF(Atletas!U9="Taijidao B",946,IF(Atletas!U9="Taijishan B",947,IF(Atletas!U9="Taijiqiang B",948,IF(Atletas!U9="Taijidao C",949,IF(Atletas!U9="Taijishan C",950,IF(Atletas!U9="Taijiqiang C",951,IF(Atletas!U9="Taijidao D",952,IF(Atletas!U9="Taijishan D",953,IF(Atletas!U9="Taijiqiang D",954,IF(Atletas!U9="Taijidao E",955,IF(Atletas!U9="Taijishan E",956,IF(Atletas!U9="Taijiqiang E",957,IF(Atletas!U9="Taijidao F",958,IF(Atletas!U9="Taijishan F",959,IF(Atletas!U9="Taijiqiang F",960))))))))))))))))))))</f>
        <v/>
      </c>
      <c r="BX13" s="64" t="str">
        <f>IF(BY13&lt;&gt;"","Hunggar B","")</f>
        <v/>
      </c>
      <c r="BY13" s="64" t="str">
        <f>IF(COUNTIF(BK:BW,1007)&gt;0,COUNTIF(BK:BW,1007),"")</f>
        <v/>
      </c>
      <c r="BZ13" s="64" t="str">
        <f>IF(CA13&lt;&gt;"","Hunggar B","")</f>
        <v/>
      </c>
      <c r="CA13" s="64" t="str">
        <f>IF(COUNTIF(BK:BW,2007)&gt;0,COUNTIF(BK:BW,2007),"")</f>
        <v/>
      </c>
      <c r="CB13" s="64" t="str">
        <f>IF(CC13&lt;&gt;"","Hunggar B","")</f>
        <v/>
      </c>
      <c r="CC13" s="64" t="str">
        <f>IF(COUNTIF(BK:BW,11007)&gt;0,COUNTIF(BK:BW,11007),"")</f>
        <v/>
      </c>
      <c r="CD13" s="64" t="str">
        <f>IF(CE13&lt;&gt;"","Hunggar B","")</f>
        <v/>
      </c>
      <c r="CE13" s="64" t="str">
        <f>IF(COUNTIF(BK:BW,12007)&gt;0,COUNTIF(BK:BW,12007),"")</f>
        <v/>
      </c>
      <c r="CF13" s="52" t="str">
        <f xml:space="preserve"> IF(Atletas!V9="","",IF(Atletas!V9="Duilian de Mãos AB - Equipe 1",1,IF(Atletas!V9="Duilian de Mãos AB - Equipe 2",2,IF(Atletas!V9="Duilian de Armas AB - Equipe 1",3,IF(Atletas!V9="Duilian de Armas AB - Equipe 2",4,IF(Atletas!V9="Duilian de Tuishou - Equipe 1",5,IF(Atletas!V9="Duilian de Tuishou - Equipe 2",6,IF(Atletas!V9="Grupo Externo AB - Equipe 1",7,IF(Atletas!V9="Grupo Externo AB - Equipe 2",8,IF(Atletas!V9="Grupo Interno AB - Equipe 1",9,IF(Atletas!V9="Grupo Interno AB - Equipe 2",10,IF(Atletas!V9="Duilian de Mãos CD - Equipe 1",11,IF(Atletas!V9="Duilian de Mãos CD - Equipe 2",12,IF(Atletas!V9="Duilian de Armas CD - Equipe 1",13,IF(Atletas!V9="Duilian de Armas CD - Equipe 2",14,IF(Atletas!V9="Duilian de Tuishou - Equipe 1",15,IF(Atletas!V9="Duilian de Tuishou - Equipe 2",16,IF(Atletas!V9="Grupo Externo CDEF - Equipe 1",17,IF(Atletas!V9="Grupo Externo CDEF - Equipe 2",18,IF(Atletas!V9="Grupo Interno CDEF - Equipe 1",19,IF(Atletas!V9="Grupo Interno CDEF - Equipe 2",20,IF(Atletas!V9="Duilian de Mãos EF - Equipe 1",21,IF(Atletas!V9="Duilian de Mãos EF - Equipe 2",22,IF(Atletas!V9="Duilian de Armas EF - Equipe 1",23,IF(Atletas!V9="Duilian de Armas EF - Equipe 2",24,IF(Atletas!V9="Duilian de Tuishou - Equipe 1",25,IF(Atletas!V9="Duilian de Tuishou - Equipe 2",26,"")))))))))))))))))))))))))))</f>
        <v/>
      </c>
      <c r="CG13" s="53" t="str">
        <f>IF(CH13&lt;&gt;"","Duilian de Armas CD - Equipe 1","")</f>
        <v/>
      </c>
      <c r="CH13" s="53" t="str">
        <f>IF(COUNTIF(CF:CF,13)&gt;0,COUNTIF(CF:CF,13),"")</f>
        <v/>
      </c>
      <c r="CI13" s="53"/>
      <c r="CJ13" s="53"/>
      <c r="CK13" s="10" t="str">
        <f>IF(CL13&lt;&gt;"","Grupo Interno CDEF - Equipe 1","")</f>
        <v/>
      </c>
      <c r="CL13" s="10" t="str">
        <f>IF(COUNTIF(CF:CF,19)&gt;0,COUNTIF(CF:CF,19),"")</f>
        <v/>
      </c>
      <c r="CR13" s="71"/>
    </row>
    <row r="14" spans="1:96">
      <c r="A14" s="26"/>
      <c r="B14" s="4" t="str">
        <f t="array" ref="B14">IFERROR(INDEX(AK$7:AK$36,SMALL(IF(AK$7:AK$36&lt;&gt;"",ROW(AK$7:AK$36)-ROW(AK$7)+1),ROWS(AK$7:AK13))),"")</f>
        <v/>
      </c>
      <c r="C14" s="4" t="str">
        <f t="array" ref="C14">IFERROR(INDEX(AL$7:AL$36,SMALL(IF(AL$7:AL$36&lt;&gt;"",ROW(AL$7:AL$36)-ROW(AL$7)+1),ROWS(AL$7:AL13))),"")</f>
        <v/>
      </c>
      <c r="D14" s="4" t="str">
        <f t="array" ref="D14">IFERROR(INDEX(AM$7:AM$36,SMALL(IF(AM$7:AM$36&lt;&gt;"",ROW(AM$7:AM$36)-ROW(AM$7)+1),ROWS(AM$7:AM13))),"")</f>
        <v/>
      </c>
      <c r="E14" s="4" t="str">
        <f t="array" ref="E14">IFERROR(INDEX(AN$7:AN$36,SMALL(IF(AN$7:AN$36&lt;&gt;"",ROW(AN$7:AN$36)-ROW(AN$7)+1),ROWS(AN$7:AN13))),"")</f>
        <v/>
      </c>
      <c r="F14" s="4" t="str">
        <f t="array" ref="F14">IFERROR(INDEX(AP$7:AP$36,SMALL(IF(AP$7:AP$36&lt;&gt;"",ROW(AP$7:AP$36)-ROW(AP$7)+1),ROWS(AP$7:AP13))),"")</f>
        <v/>
      </c>
      <c r="G14" s="4" t="str">
        <f t="array" ref="G14">IFERROR(INDEX(AQ$7:AQ$36,SMALL(IF(AQ$7:AQ$36&lt;&gt;"",ROW(AQ$7:AQ$36)-ROW(AQ$7)+1),ROWS(AQ$7:AQ13))),"")</f>
        <v/>
      </c>
      <c r="H14" s="4" t="str">
        <f t="array" ref="H14">IFERROR(INDEX(AR$7:AR$36,SMALL(IF(AR$7:AR$36&lt;&gt;"",ROW(AR$7:AR$36)-ROW(AR$7)+1),ROWS(AR$7:AR13))),"")</f>
        <v/>
      </c>
      <c r="I14" s="4" t="str">
        <f t="array" ref="I14">IFERROR(INDEX(AS$7:AS$36,SMALL(IF(AS$7:AS$36&lt;&gt;"",ROW(AS$7:AS$36)-ROW(AS$7)+1),ROWS(AS$7:AS13))),"")</f>
        <v/>
      </c>
      <c r="J14" s="4" t="str">
        <f t="array" ref="J14">IFERROR(INDEX(AU$7:AU$36,SMALL(IF(AU$7:AU$36&lt;&gt;"",ROW(AU$7:AU$36)-ROW(AU$7)+1),ROWS(AU$7:AU13))),"")</f>
        <v/>
      </c>
      <c r="K14" s="4" t="str">
        <f t="array" ref="K14">IFERROR(INDEX(AV$7:AV$36,SMALL(IF(AV$7:AV$36&lt;&gt;"",ROW(AV$7:AV$36)-ROW(AV$7)+1),ROWS(AV$7:AV13))),"")</f>
        <v/>
      </c>
      <c r="L14" s="4" t="str">
        <f t="array" ref="L14">IFERROR(INDEX(AW$7:AW$36,SMALL(IF(AW$7:AW$36&lt;&gt;"",ROW(AW$7:AW$36)-ROW(AW$7)+1),ROWS(AW$7:AW13))),"")</f>
        <v/>
      </c>
      <c r="M14" s="4" t="str">
        <f t="array" ref="M14">IFERROR(INDEX(AX$7:AX$36,SMALL(IF(AX$7:AX$36&lt;&gt;"",ROW(AX$7:AX$36)-ROW(AX$7)+1),ROWS(AX$7:AX13))),"")</f>
        <v/>
      </c>
      <c r="N14" s="4" t="str">
        <f t="array" ref="N14">IFERROR(INDEX(BB$7:BB$66,SMALL(IF(BB$7:BB$66&lt;&gt;"",ROW(BB$7:BB$66)-ROW(BB$7)+1),ROWS(BB$7:BB13))),"")</f>
        <v/>
      </c>
      <c r="O14" s="4" t="str">
        <f t="array" ref="O14">IFERROR(INDEX(BC$7:BC$66,SMALL(IF(BC$7:BC$66&lt;&gt;"",ROW(BC$7:BC$66)-ROW(BC$7)+1),ROWS(BC$7:BC13))),"")</f>
        <v/>
      </c>
      <c r="P14" s="4" t="str">
        <f t="array" ref="P14">IFERROR(INDEX(BD$7:BD$66,SMALL(IF(BD$7:BD$66&lt;&gt;"",ROW(BD$7:BD$66)-ROW(BD$7)+1),ROWS(BD$7:BD13))),"")</f>
        <v/>
      </c>
      <c r="Q14" s="4" t="str">
        <f t="array" ref="Q14">IFERROR(INDEX(BE$7:BE$66,SMALL(IF(BE$7:BE$66&lt;&gt;"",ROW(BE$7:BE$66)-ROW(BE$7)+1),ROWS(BE$7:BE13))),"")</f>
        <v/>
      </c>
      <c r="R14" s="31"/>
      <c r="S14" s="31"/>
      <c r="T14" s="31"/>
      <c r="U14" s="31"/>
      <c r="V14" s="4" t="str">
        <f t="array" ref="V14">IFERROR(INDEX(BX$7:BX$336,SMALL(IF(BX$7:BX$336&lt;&gt;"",ROW(BX$7:BX$336)-ROW(BX$7)+1),ROWS(BX$7:BX13))),"")</f>
        <v/>
      </c>
      <c r="W14" s="4" t="str">
        <f t="array" ref="W14">IFERROR(INDEX(BY$7:BY$336,SMALL(IF(BY$7:BY$336&lt;&gt;"",ROW(BY$7:BY$336)-ROW(BY$7)+1),ROWS(BY$7:BY13))),"")</f>
        <v/>
      </c>
      <c r="X14" s="4" t="str">
        <f t="array" ref="X14">IFERROR(INDEX(BZ$7:BZ$336,SMALL(IF(BZ$7:BZ$336&lt;&gt;"",ROW(BZ$7:BZ$336)-ROW(BZ$7)+1),ROWS(BZ$7:BZ13))),"")</f>
        <v/>
      </c>
      <c r="Y14" s="4" t="str">
        <f t="array" ref="Y14">IFERROR(INDEX(CA$7:CA$336,SMALL(IF(CA$7:CA$336&lt;&gt;"",ROW(CA$7:CA$336)-ROW(CA$7)+1),ROWS(CA$7:CA13))),"")</f>
        <v/>
      </c>
      <c r="Z14" s="4" t="str">
        <f t="array" ref="Z14">IFERROR(INDEX(CB$7:CB$378,SMALL(IF(CB$7:CB$378&lt;&gt;"",ROW(CB$7:CB$378)-ROW(CB$7)+1),ROWS(CB$7:CB13))),"")</f>
        <v/>
      </c>
      <c r="AA14" s="4" t="str">
        <f t="array" ref="AA14">IFERROR(INDEX(CC$7:CC$378,SMALL(IF(CC$7:CC$378&lt;&gt;"",ROW(CC$7:CC$378)-ROW(CC$7)+1),ROWS(CC$7:CC13))),"")</f>
        <v/>
      </c>
      <c r="AB14" s="4" t="str">
        <f t="array" ref="AB14">IFERROR(INDEX(CD$7:CD$378,SMALL(IF(CD$7:CD$378&lt;&gt;"",ROW(CD$7:CD$378)-ROW(CD$7)+1),ROWS(CD$7:CD13))),"")</f>
        <v/>
      </c>
      <c r="AC14" s="4" t="str">
        <f t="array" ref="AC14">IFERROR(INDEX(CE$7:CE$378,SMALL(IF(CE$7:CE$378&lt;&gt;"",ROW(CE$7:CE$378)-ROW(CE$7)+1),ROWS(CE$7:CE13))),"")</f>
        <v/>
      </c>
      <c r="AD14" s="69" t="str">
        <f t="array" ref="AD14">IFERROR(INDEX(CG$7:CG$18,SMALL(IF(CG$7:CG$18&lt;&gt;"",ROW(CG$7:CG$18)-ROW(CG$7)+1),ROWS(CG$7:CG13))),"")</f>
        <v/>
      </c>
      <c r="AE14" s="69" t="str">
        <f t="array" ref="AE14">IFERROR(INDEX(CH$7:CH$18,SMALL(IF(CH$7:CH$18&lt;&gt;"",ROW(CH$7:CH$18)-ROW(CH$7)+1),ROWS(CH$7:CH13))),"")</f>
        <v/>
      </c>
      <c r="AF14" s="69"/>
      <c r="AG14" s="69"/>
      <c r="AH14" s="69" t="str">
        <f t="array" ref="AH14">IFERROR(INDEX(CK$7:CK$14,SMALL(IF(CK$7:CK$14&lt;&gt;"",ROW(CK$7:CK$14)-ROW(CK$7)+1),ROWS(CK$7:CK13))),"")</f>
        <v/>
      </c>
      <c r="AI14" s="69" t="str">
        <f t="array" ref="AI14">IFERROR(INDEX(CL$7:CL$14,SMALL(IF(CL$7:CL$14&lt;&gt;"",ROW(CL$7:CL$14)-ROW(CL$7)+1),ROWS(CL$7:CL13))),"")</f>
        <v/>
      </c>
      <c r="AJ14" s="46" t="str">
        <f>IF(Atletas!D10="","",IF(Atletas!B10="Feminino",100,IF(Atletas!B10="Masculino",200,""))+(IF(Atletas!D10="Infantil 39kg",1,IF(Atletas!D10="Infantil 42kg",2,IF(Atletas!D10="Infantil 45kg",3,IF(Atletas!D10="Infantil 48kg",4,IF(Atletas!D10="Infantil 52kg",5,IF(Atletas!D10="Infantil 56kg",6,IF(Atletas!D10="Infantil 60kg",7,IF(Atletas!D10="Juvenil 48kg",8,IF(Atletas!D10="Juvenil 52kg",9,IF(Atletas!D10="Juvenil 56kg",10,IF(Atletas!D10="Juvenil 60kg",11,IF(Atletas!D10="Juvenil 65kg",12,IF(Atletas!D10="Juvenil 70kg",13,IF(Atletas!D10="Juvenil 75kg",14,IF(Atletas!D10="Juvenil 80kg",15,IF(Atletas!D10="Adulto 48kg",16,IF(Atletas!D10="Adulto 52kg",17,IF(Atletas!D10="Adulto 56kg",18,IF(Atletas!D10="Adulto 60kg",19,IF(Atletas!D10="Adulto 65kg",20,IF(Atletas!D10="Adulto 70kg",21,IF(Atletas!D10="Adulto 75kg",22,IF(Atletas!D10="Adulto 80kg",23,IF(Atletas!D10="Adulto 85kg",24,IF(Atletas!D10="Adulto 90kg",25,IF(Atletas!D10="Adulto +90kg",26,""))))))))))))))))))))))))))))</f>
        <v/>
      </c>
      <c r="AK14" s="52" t="str">
        <f>IF(AL14&lt;&gt;"","Juvenil 60kg","")</f>
        <v/>
      </c>
      <c r="AL14" s="10" t="str">
        <f>IF(COUNTIF(AJ:AJ,111)&gt;0,COUNTIF(AJ:AJ,111),"")</f>
        <v/>
      </c>
      <c r="AM14" s="52" t="str">
        <f>IF(AN14&lt;&gt;"","Juvenil 48kg","")</f>
        <v/>
      </c>
      <c r="AN14" s="10" t="str">
        <f>IF(COUNTIF(AJ:AJ,208)&gt;0,COUNTIF(AJ:AJ,208),"")</f>
        <v/>
      </c>
      <c r="AO14" s="10" t="str">
        <f>IF(Atletas!E10="","",IF(Atletas!B10="Feminino",100,IF(Atletas!B10="Masculino",200,""))+(IF(Atletas!E10="Juvenil 44kg",1,IF(Atletas!E10="Juvenil 48kg",2,IF(Atletas!E10="Juvenil 52kg",3,IF(Atletas!E10="Juvenil 56kg",4,IF(Atletas!E10="Juvenil 60kg",5,IF(Atletas!E10="Juvenil 65kg",6,IF(Atletas!E10="Juvenil 70kg",7,IF(Atletas!E10="Juvenil 75kg",8,IF(Atletas!E10="Juvenil 82kg",9,IF(Atletas!E10="Juvenil 90kg",10,IF(Atletas!E10="Juvenil 100kg",11,IF(Atletas!E10="Adulto 48kg",12,IF(Atletas!E10="Adulto 52kg",13,IF(Atletas!E10="Adulto 56kg",14,IF(Atletas!E10="Adulto 60kg",15,IF(Atletas!E10="Adulto 65kg",16,IF(Atletas!E10="Adulto 70kg",17,IF(Atletas!E10="Adulto 75kg",18,IF(Atletas!E10="Adulto 82kg",19,IF(Atletas!E10="Adulto 90kg",20,IF(Atletas!E10="Adulto 100kg",21,IF(Atletas!E10="Adulto +100kg",22,""))))))))))))))))))))))))</f>
        <v/>
      </c>
      <c r="AP14" s="52" t="str">
        <f>IF(AQ14&lt;&gt;"","Juvenil 75kg","")</f>
        <v/>
      </c>
      <c r="AQ14" s="10" t="str">
        <f>IF(COUNTIF(AO:AO,108)&gt;0,COUNTIF(AO:AO,108),"")</f>
        <v/>
      </c>
      <c r="AR14" s="52" t="str">
        <f>IF(AS14&lt;&gt;"","Juvenil 82kg","")</f>
        <v/>
      </c>
      <c r="AS14" s="10" t="str">
        <f>IF(COUNTIF(AO:AO,209)&gt;0,COUNTIF(AO:AO,209),"")</f>
        <v/>
      </c>
      <c r="AT14" s="10" t="str">
        <f>IF(Atletas!F10="","",IF(Atletas!B10="Feminino",100,IF(Atletas!B10="Masculino",200,""))+(IF(Atletas!F10="Adulto 48kg",1,IF(Atletas!F10="Adulto 56kg",2,IF(Atletas!F10="Adulto 65kg",3,IF(Atletas!F10="Adulto 75kg",4,IF(Atletas!F10="Adulto +75kg",5,IF(Atletas!F10="Adulto 52kg",6,IF(Atletas!F10="Adulto 60kg",7,IF(Atletas!F10="Adulto 70kg",8,IF(Atletas!F10="Adulto 80kg",9,IF(Atletas!F10="Adulto 90kg",10,IF(Atletas!F10="Adulto +90kg",11,"")))))))))))))</f>
        <v/>
      </c>
      <c r="AU14" s="52"/>
      <c r="AW14" s="52"/>
      <c r="AY14" s="46" t="str">
        <f>IF(Atletas!G10="","",IF(Atletas!B10="Feminino",100,IF(Atletas!B10="Masculino",200,""))+(IF(Atletas!G10="Changquan Mirim",1,IF(Atletas!G10="Nanquan Mirim",2,IF(Atletas!G10="Taijiquan Mirim",3,IF(Atletas!G10="Changquan Grupo C",4,IF(Atletas!G10="Nanquan Grupo C",5,IF(Atletas!G10="Taijiquan Grupo C",6,IF(Atletas!G10="Changquan Grupo B",7,IF(Atletas!G10="Nanquan Grupo B",8,IF(Atletas!G10="Taijiquan Grupo B",9,IF(Atletas!G10="Changquan Grupo A",10,IF(Atletas!G10="Nanquan Grupo A",11,IF(Atletas!G10="Taijiquan Grupo A",12,IF(Atletas!G10="Changquan Opcional",13,IF(Atletas!G10="Nanquan Opcional",14,IF(Atletas!G10="Taijiquan Opcional",15,IF(Atletas!G10="Changquan Adulto",16,IF(Atletas!G10="Nanquan Adulto",17,IF(Atletas!G10="Taijiquan Adulto",18,""))))))))))))))))))))</f>
        <v/>
      </c>
      <c r="AZ14" s="46" t="str">
        <f>IF(Atletas!H10="","",IF(Atletas!B10="Feminino",100,IF(Atletas!B10="Masculino",200,""))+(IF(Atletas!H10="Daoshu Mirim",19,IF(Atletas!H10="Jianshu Mirim",20,IF(Atletas!H10="Nandao Mirim",21,IF(Atletas!H10="Taijijian Mirim",22,IF(Atletas!H10="Daoshu Grupo C",23,IF(Atletas!H10="Jianshu Grupo C",24,IF(Atletas!H10="Nandao Grupo C",25,IF(Atletas!H10="Taijijian Grupo C",26,IF(Atletas!H10="Daoshu Grupo B",27,IF(Atletas!H10="Jianshu Grupo B",28,IF(Atletas!H10="Nandao Grupo B",29,IF(Atletas!H10="Taijijian Grupo B",30,IF(Atletas!H10="Daoshu Grupo A",31,IF(Atletas!H10="Jianshu Grupo A",32,IF(Atletas!H10="Nandao Grupo A",33,IF(Atletas!H10="Taijijian Grupo A",34,IF(Atletas!H10="Daoshu Opcional",35,IF(Atletas!H10="Jianshu Opcional",36,IF(Atletas!H10="Nandao Opcional",37,IF(Atletas!H10="Taijijian Opcional",38,IF(Atletas!H10="Daoshu Adulto",39,IF(Atletas!H10="Jianshu Adulto",40,IF(Atletas!H10="Nandao Adulto",41,IF(Atletas!H10="Taijijian Adulto",42,""))))))))))))))))))))))))))</f>
        <v/>
      </c>
      <c r="BA14" s="46" t="str">
        <f>IF(Atletas!I10="","",IF(Atletas!B10="Feminino",100,IF(Atletas!B10="Masculino",200,""))+(IF(Atletas!I10="Gunshu Mirim",43,IF(Atletas!I10="Qiangshu Mirim",44,IF(Atletas!I10="Nangun Mirim",45,IF(Atletas!I10="Gunshu Grupo C",46,IF(Atletas!I10="Qiangshu Grupo C",47,IF(Atletas!I10="Nangun Grupo C",48,IF(Atletas!I10="Gunshu Grupo B",49,IF(Atletas!I10="Qiangshu Grupo B",50,IF(Atletas!I10="Nangun Grupo B",51,IF(Atletas!I10="Gunshu Grupo A",52,IF(Atletas!I10="Qiangshu Grupo A",53,IF(Atletas!I10="Nangun Grupo A",54,IF(Atletas!I10="Gunshu Opcional",55,IF(Atletas!I10="Qiangshu Opcional",56,IF(Atletas!I10="Nangun Opcional",57,IF(Atletas!I10="Gunshu Adulto",58,IF(Atletas!I10="Qiangshu Adulto",59,IF(Atletas!I10="Nangun Adulto",60,""))))))))))))))))))))</f>
        <v/>
      </c>
      <c r="BB14" s="46" t="str">
        <f>IF(BC14&lt;&gt;"","Gunshu Mirim","")</f>
        <v/>
      </c>
      <c r="BC14" s="52" t="str">
        <f>IF(COUNTIF(AY:BA,143)&gt;0,COUNTIF(AY:BA,143),"")</f>
        <v/>
      </c>
      <c r="BD14" s="46" t="str">
        <f>IF(BE14&lt;&gt;"","Gunshu Mirim","")</f>
        <v/>
      </c>
      <c r="BE14" s="52" t="str">
        <f>IF(COUNTIF(AY:BA,243)&gt;0,COUNTIF(AY:BA,243),"")</f>
        <v/>
      </c>
      <c r="BF14" s="52" t="str">
        <f>IF(Atletas!J10="","",IF(Atletas!B10="Feminino",100,IF(Atletas!B10="Masculino",200,""))+(IF(Atletas!J10="Equipe 1 Grupo B",1,IF(Atletas!J10="Equipe 2 Grupo B",2,IF(Atletas!J10="Equipe 1 Grupo A",3,IF(Atletas!J10="Equipe 2 Grupo A",4,IF(Atletas!J10="Equipe 1 Adulto",5,IF(Atletas!J10="Equipe 2 Adulto",6,""))))))))</f>
        <v/>
      </c>
      <c r="BG14" s="55"/>
      <c r="BH14" s="55"/>
      <c r="BI14" s="55"/>
      <c r="BJ14" s="53"/>
      <c r="BK14" s="52" t="str">
        <f>IF(Atletas!K10="","",IF(Atletas!W10&lt;&gt;"",10000,0)+(IF(Atletas!B10="Feminino",1000,IF(Atletas!B10="Masculino",2000,""))+IF(Atletas!K10="Choylayfut A",1,IF(Atletas!K10="Hunggar A",2,IF(Atletas!K10="Wuzuquan A",3,IF(Atletas!K10="Wingchun A",4,IF(Atletas!K10="Outra Mão de Sul A",5,IF(Atletas!K10="Choylayfut B",6,IF(Atletas!K10="Hunggar B",7,IF(Atletas!K10="Wuzuquan B",8,IF(Atletas!K10="Wingchun B",9,IF(Atletas!K10="Outra Mão de Sul B",10,IF(Atletas!K10="Choylayfut C",11,IF(Atletas!K10="Hunggar C",12,IF(Atletas!K10="Wuzuquan C",13,IF(Atletas!K10="Wingchun C",14,IF(Atletas!K10="Outra Mão de Sul C",15,IF(Atletas!K10="Choylayfut D",16,IF(Atletas!K10="Hunggar D",17,IF(Atletas!K10="Wuzuquan D",18,IF(Atletas!K10="Wingchun D",19,IF(Atletas!K10="Outra Mão de Sul D",20,IF(Atletas!K10="Choylayfut E",21,IF(Atletas!K10="Hunggar E",22,IF(Atletas!K10="Wuzuquan E",23,IF(Atletas!K10="Wingchun E",24,IF(Atletas!K10="Outra Mão de Sul E",25,IF(Atletas!K10="Choylayfut F",26,IF(Atletas!K10="Hunggar F",27,IF(Atletas!K10="Wuzuquan F",28,IF(Atletas!K10="Wingchun F",29,IF(Atletas!K10="Outra Mão de Sul F",30,""))))))))))))))))))))))))))))))))</f>
        <v/>
      </c>
      <c r="BL14" s="52" t="str">
        <f>IF(Atletas!L10="","",IF(Atletas!W10&lt;&gt;"",10000,0)+(IF(Atletas!B10="Feminino",1000,IF(Atletas!B10="Masculino",2000,""))+(IF(Atletas!L10="Chaquan A",101,IF(Atletas!L10="Emeiquan A",102,IF(Atletas!L10="Fanziquan A",103,IF(Atletas!L10="Huaquan A",104,IF(Atletas!L10="Hongquan A",105,IF(Atletas!L10="Paochui A",106,IF(Atletas!L10="Piguaquan A",107,IF(Atletas!L10="Shaolinquan A",108,IF(Atletas!L10="Tanglangquan A",109,IF(Atletas!L10="Yinzhaophai A",110,IF(Atletas!L10="Tongbeiquan A",111,IF(Atletas!L10="Wudangquan A",112,IF(Atletas!L10="Outros Estilos A",113,IF(Atletas!L10="Chaquan B",114,IF(Atletas!L10="Emeiquan B",115,IF(Atletas!L10="Fanziquan B",116,IF(Atletas!L10="Huaquan B",117,IF(Atletas!L10="Hongquan B",118,IF(Atletas!L10="Paochui B",119,IF(Atletas!L10="Piguaquan B",120,IF(Atletas!L10="Shaolinquan B",121,IF(Atletas!L10="Tanglangquan B",122,IF(Atletas!L10="Yinzhaophai B",123,IF(Atletas!L10="Tongbeiquan B",124,IF(Atletas!L10="Wudangquan B",125,IF(Atletas!L10="Outros Estilos B",126,IF(Atletas!L10="Chaquan C",127,IF(Atletas!L10="Emeiquan C",128,IF(Atletas!L10="Fanziquan C",129,IF(Atletas!L10="Huaquan C",130,IF(Atletas!L10="Hongquan C",131,IF(Atletas!L10="Paochui C",132,IF(Atletas!L10="Piguaquan C",133,IF(Atletas!L10="Shaolinquan C",134,IF(Atletas!L10="Tanglangquan C",135,IF(Atletas!L10="Yinzhaophai C",136,IF(Atletas!L10="Tongbeiquan C",137,IF(Atletas!L10="Wudangquan C",138,IF(Atletas!L10="Outros Estilos C",139,0))))))))))))))))))))))))))))))))))))))))))</f>
        <v/>
      </c>
      <c r="BM14" s="52" t="str">
        <f>IF(Atletas!L10="","",IF(Atletas!W10&lt;&gt;"",10000,0)+(IF(Atletas!B10="Feminino",1000,IF(Atletas!B10="Masculino",2000,""))+(IF(Atletas!L10="Chaquan D",140,IF(Atletas!L10="Emeiquan D",141,IF(Atletas!L10="Fanziquan D",142,IF(Atletas!L10="Huaquan D",143,IF(Atletas!L10="Hongquan D",144,IF(Atletas!L10="Paochui D",145,IF(Atletas!L10="Piguaquan D",146,IF(Atletas!L10="Shaolinquan D",147,IF(Atletas!L10="Tanglangquan D",148,IF(Atletas!L10="Yinzhaophai D",149,IF(Atletas!L10="Tongbeiquan D",150,IF(Atletas!L10="Wudangquan D",151,IF(Atletas!L10="Outros Estilos D",152,IF(Atletas!L10="Chaquan E",153,IF(Atletas!L10="Emeiquan E",154,IF(Atletas!L10="Fanziquan E",155,IF(Atletas!L10="Huaquan E",156,IF(Atletas!L10="Hongquan E",157,IF(Atletas!L10="Paochui E",158,IF(Atletas!L10="Piguaquan E",159,IF(Atletas!L10="Shaolinquan E",160,IF(Atletas!L10="Tanglangquan E",161,IF(Atletas!L10="Yinzhaophai E",162,IF(Atletas!L10="Tongbeiquan E",163,IF(Atletas!L10="Wudangquan E",164,IF(Atletas!L10="Outros Estilos E",165,IF(Atletas!L10="Chaquan F",166,IF(Atletas!L10="Emeiquan F",167,IF(Atletas!L10="Fanziquan F",168,IF(Atletas!L10="Huaquan F",169,IF(Atletas!L10="Hongquan F",170,IF(Atletas!L10="Paochui F",171,IF(Atletas!L10="Piguaquan F",172,IF(Atletas!L10="Shaolinquan F",173,IF(Atletas!L10="Tanglangquan F",174,IF(Atletas!L10="Yinzhaophai F",175,IF(Atletas!L10="Tongbeiquan F",176,IF(Atletas!L10="Wudangquan F",177,IF(Atletas!L10="Outros Estilos F",178,0))))))))))))))))))))))))))))))))))))))))))</f>
        <v/>
      </c>
      <c r="BN14" s="52" t="str">
        <f>IF(Atletas!M10="","",IF(Atletas!W10&lt;&gt;"",10000,0)+(IF(Atletas!B10="Feminino",1000,IF(Atletas!B10="Masculino",2000,""))+(IF(Atletas!M10="Ditangquan A",201,IF(Atletas!M10="Houquan A",202,IF(Atletas!M10="Zuiquan A",203,IF(Atletas!M10="Ditangquan B",204,IF(Atletas!M10="Houquan B",205,IF(Atletas!M10="Zuiquan B",206,IF(Atletas!M10="Ditangquan C",207,IF(Atletas!M10="Houquan C",208,IF(Atletas!M10="Zuiquan C",209,IF(Atletas!M10="Ditangquan D",210,IF(Atletas!M10="Houquan D",211,IF(Atletas!M10="Zuiquan D",212,IF(Atletas!M10="Ditangquan E",213,IF(Atletas!M10="Houquan E",214,IF(Atletas!M10="Zuiquan E",215,IF(Atletas!M10="Ditangquan F",216,IF(Atletas!M10="Houquan F",217,IF(Atletas!M10="Zuiquan F",218,"")))))))))))))))))))))</f>
        <v/>
      </c>
      <c r="BO14" s="52" t="str">
        <f>IF(Atletas!N10="","",IF(Atletas!W10&lt;&gt;"",10000,0)+IF(Atletas!B10="Feminino",1000,IF(Atletas!B10="Masculino",2000,""))+IF(Atletas!N10="Yang A",301,IF(Atletas!N10="Chen A",30,IF(Atletas!N10="Sun A",303,IF(Atletas!N10="Wu A",304,IF(Atletas!N10="Wu-Hao A",305,IF(Atletas!N10="Outro Taijiquan A",306,IF(Atletas!N10="Yang B",307,IF(Atletas!N10="Chen B",308,IF(Atletas!N10="Sun B",309,IF(Atletas!N10="Wu B",310,IF(Atletas!N10="Wu-Hao B",311,IF(Atletas!N10="Outro Taijiquan B",312,IF(Atletas!N10="Yang C",313,IF(Atletas!N10="Chen C",314,IF(Atletas!N10="Sun C",315,IF(Atletas!N10="Wu C",316,IF(Atletas!N10="Wu-Hao C",317,IF(Atletas!N10="Outro Taijiquan C",318,IF(Atletas!N10="Yang D",319,IF(Atletas!N10="Chen D",320,IF(Atletas!N10="Sun D",321,IF(Atletas!N10="Wu D",322,IF(Atletas!N10="Wu-Hao D",323,IF(Atletas!N10="Outro Taijiquan D",324,IF(Atletas!N10="Yang E",325,IF(Atletas!N10="Chen E",326,IF(Atletas!N10="Sun E",327,IF(Atletas!N10="Wu E",328,IF(Atletas!N10="Wu-Hao E",329,IF(Atletas!N10="Outro Taijiquan E",330,IF(Atletas!N10="Yang F",331,IF(Atletas!N10="Chen F",332,IF(Atletas!N10="Sun F",333,IF(Atletas!N10="Wu F",334,IF(Atletas!N10="Wu-Hao F",335,IF(Atletas!N10="Outro Taijiquan F",336,"")))))))))))))))))))))))))))))))))))))</f>
        <v/>
      </c>
      <c r="BP14" s="52" t="str">
        <f>IF(Atletas!O10="","",IF(Atletas!W10&lt;&gt;"",10000,0)+IF(Atletas!B10="Feminino",1000,IF(Atletas!B10="Masculino",2000,""))+IF(OR(Atletas!O10="Yang 26 A",Atletas!O10="Yang 40 A"),401,IF(OR(Atletas!O10="Chen 25 A",Atletas!O10="Chen 36 A",Atletas!O10="Chen 56 A"),402,IF(Atletas!O10="Sun 73 A",403,IF(Atletas!O10="Wu 45 A",404,IF(Atletas!O10="Wu-Hao 46 A",405,IF(OR(Atletas!O10="Taijiquan 16 A",Atletas!O10="Taijiquan 24 A",Atletas!O10="Taijiquan 32 A",Atletas!O10="Taijiquan 42 A"),406,IF(OR(Atletas!O10="Yang 26 B",Atletas!O10="Yang 40 B"),407,IF(OR(Atletas!O10="Chen 25 B",Atletas!O10="Chen 36 B",Atletas!O10="Chen 56 B"),408,IF(Atletas!O10="Sun 73 B",409,IF(Atletas!O10="Wu 45 B",410,IF(Atletas!O10="Wu-Hao 46 B",411,IF(OR(Atletas!O10="Taijiquan 16 B",Atletas!O10="Taijiquan 24 B",Atletas!O10="Taijiquan 32 B",Atletas!O10="Taijiquan 42 B"),412,IF(OR(Atletas!O10="Yang 26 C",Atletas!O10="Yang 40 C"),413,IF(OR(Atletas!O10="Chen 25 C",Atletas!O10="Chen 36 C",Atletas!O10="Chen 56 C"),414,IF(Atletas!O10="Sun 73 C",415,IF(Atletas!O10="Wu 45 C",416,IF(Atletas!O10="Wu-Hao 46 C",417,IF(OR(Atletas!O10="Taijiquan 16 C",Atletas!O10="Taijiquan 24 C",Atletas!O10="Taijiquan 32 C",Atletas!O10="Taijiquan 42 C"),418,0)))))))))))))))))))</f>
        <v/>
      </c>
      <c r="BQ14" s="52" t="str">
        <f>IF(Atletas!O10="","",IF(Atletas!W10&lt;&gt;"",10000,0)+IF(Atletas!B10="Feminino",1000,IF(Atletas!B10="Masculino",2000,""))+IF(OR(Atletas!O10="Yang 26 D",Atletas!O10="Yang 40 D"),419,IF(OR(Atletas!O10="Chen 25 D",Atletas!O10="Chen 36 D",Atletas!O10="Chen 56 D"),420,IF(Atletas!O10="Sun 73 D",421,IF(Atletas!O10="Wu 45 D",422,IF(Atletas!O10="Wu-Hao 46 D",423,IF(OR(Atletas!O10="Taijiquan 16 D",Atletas!O10="Taijiquan 24 D",Atletas!O10="Taijiquan 32 D",Atletas!O10="Taijiquan 42 D"),424,IF(OR(Atletas!O10="Yang 26 E",Atletas!O10="Yang 40 E"),425,IF(OR(Atletas!O10="Chen 25 E",Atletas!O10="Chen 36 E",Atletas!O10="Chen 56 E"),426,IF(Atletas!O10="Sun 73 E",427,IF(Atletas!O10="Wu 45 E",428,IF(Atletas!O10="Wu-Hao 46 E",429,IF(OR(Atletas!O10="Taijiquan 16 E",Atletas!O10="Taijiquan 24 E",Atletas!O10="Taijiquan 32 E",Atletas!O10="Taijiquan 42 E"),430,IF(OR(Atletas!O10="Yang 26 F",Atletas!O10="Yang 40 F"),431,IF(OR(Atletas!O10="Chen 25 F",Atletas!O10="Chen 36 F",Atletas!O10="Chen 56 F"),432,IF(Atletas!O10="Sun 73 F",433,IF(Atletas!O10="Wu 45 F",434,IF(Atletas!O10="Wu-Hao 46 F",435,IF(OR(Atletas!O10="Taijiquan 16 F",Atletas!O10="Taijiquan 24 F",Atletas!O10="Taijiquan 32 F",Atletas!O10="Taijiquan 42 F"),436,0)))))))))))))))))))</f>
        <v/>
      </c>
      <c r="BR14" s="52" t="str">
        <f>IF(Atletas!P10="","",IF(Atletas!W10&lt;&gt;"",10000,0)+IF(Atletas!B10="Feminino",1000,IF(Atletas!B10="Masculino",2000,""))+IF(Atletas!P10="Xingyiquan A",501,IF(Atletas!P10="Baguazhang A",502,IF(Atletas!P10="Outro Estilo Interno A",503,IF(Atletas!P10="Xingyiquan B",504,IF(Atletas!P10="Baguazhang B",505,IF(Atletas!P10="Outro Estilo Interno B",506,IF(Atletas!P10="Xingyiquan C",507,IF(Atletas!P10="Baguazhang C",508,IF(Atletas!P10="Outro Estilo Interno C",509,IF(Atletas!P10="Xingyiquan D",510,IF(Atletas!P10="Baguazhang D",511,IF(Atletas!P10="Outro Estilo Interno D",512,IF(Atletas!P10="Xingyiquan E",513,IF(Atletas!P10="Baguazhang E",514,IF(Atletas!P10="Outro Estilo Interno E",515,IF(Atletas!P10="Xingyiquan F",516,IF(Atletas!P10="Baguazhang F",517,IF(Atletas!P10="Outro Estilo Interno F",518, "")))))))))))))))))))</f>
        <v/>
      </c>
      <c r="BS14" s="52" t="str">
        <f>IF(Atletas!Q10="","",IF(Atletas!W10&lt;&gt;"",10000,0)+IF(Atletas!B10="Feminino",1000,IF(Atletas!B10="Masculino",2000,""))+IF(Atletas!Q10="Dao A",601,IF(Atletas!Q10="Jian A",602,IF(Atletas!Q10="Bishou A",603,IF(Atletas!Q10="Shan A",604,IF(Atletas!Q10="Outra Arma Curta A",605,IF(Atletas!Q10="Dao B",606,IF(Atletas!Q10="Jian B",607,IF(Atletas!Q10="Bishou B",608,IF(Atletas!Q10="Shan B",609,IF(Atletas!Q10="Outra Arma Curta B",610,IF(Atletas!Q10="Dao C",611,IF(Atletas!Q10="Jian C",612,IF(Atletas!Q10="Bishou C",613,IF(Atletas!Q10="Shan C",614,IF(Atletas!Q10="Outra Arma Curta C",615,IF(Atletas!Q10="Dao D",616,IF(Atletas!Q10="Jian D",617,IF(Atletas!Q10="Bishou D",618,IF(Atletas!Q10="Shan D",619,IF(Atletas!Q10="Outra Arma Curta D",620,IF(Atletas!Q10="Dao E",621,IF(Atletas!Q10="Jian E",622,IF(Atletas!Q10="Bishou E",623,IF(Atletas!Q10="Shan E",624,IF(Atletas!Q10="Outra Arma Curta E",625,IF(Atletas!Q10="Dao F",626,IF(Atletas!Q10="Jian F",627,IF(Atletas!Q10="Bishou F",628,IF(Atletas!Q10="Shan F",629,IF(Atletas!Q10="Outra Arma Curta F",630, "")))))))))))))))))))))))))))))))</f>
        <v/>
      </c>
      <c r="BT14" s="52" t="str">
        <f>IF(Atletas!R10="","",IF(Atletas!W10&lt;&gt;"",10000,0)+IF(Atletas!B10="Feminino",1000,IF(Atletas!B10="Masculino",2000,""))+IF(Atletas!R10="Gun A",701,IF(Atletas!R10="Qiang A",702,IF(Atletas!R10="Pudao / Guandao A",703,IF(Atletas!R10="Outra Arma Longa A",704,IF(Atletas!R10="Gun B",705,IF(Atletas!R10="Qiang B",706,IF(Atletas!R10="Pudao / Guandao B",707,IF(Atletas!R10="Outra Arma Longa B",708,IF(Atletas!R10="Gun C",709,IF(Atletas!R10="Qiang C",710,IF(Atletas!R10="Pudao / Guandao C",711,IF(Atletas!R10="Outra Arma Longa C",712,IF(Atletas!R10="Gun D",713,IF(Atletas!R10="Qiang D",714,IF(Atletas!R10="Pudao / Guandao D",715,IF(Atletas!R10="Outra Arma Longa D",716,IF(Atletas!R10="Gun E",717,IF(Atletas!R10="Qiang E",718,IF(Atletas!R10="Pudao / Guandao E",719,IF(Atletas!R10="Outra Arma Longa E",720,IF(Atletas!R10="Gun F",721,IF(Atletas!R10="Qiang F",722,IF(Atletas!R10="Pudao / Guandao F",723,IF(Atletas!R10="Outra Arma Longa F",724,"")))))))))))))))))))))))))</f>
        <v/>
      </c>
      <c r="BU14" s="52" t="str">
        <f>IF(Atletas!S10="","",IF(Atletas!W10&lt;&gt;"",10000,0)+IF(Atletas!B10="Feminino",1000,IF(Atletas!B10="Masculino",2000,""))+IF(Atletas!S10="Arma Dupla A",801,IF(Atletas!S10="Arma Maleável A",802,IF(Atletas!S10="Arma Dupla B",803,IF(Atletas!S10="Arma Maleável B",804,IF(Atletas!S10="Arma Dupla C",805,IF(Atletas!S10="Arma Maleável C",806,IF(Atletas!S10="Arma Dupla D",807,IF(Atletas!S10="Arma Maleável D",808,IF(Atletas!S10="Arma Dupla E",809,IF(Atletas!S10="Arma Maleável E",810,IF(Atletas!S10="Arma Dupla F",811,IF(Atletas!S10="Arma Maleável F",812, "")))))))))))))</f>
        <v/>
      </c>
      <c r="BV14" s="52" t="str">
        <f>IF(Atletas!T10="","",IF(Atletas!W10&lt;&gt;"",10000,0)+IF(Atletas!B10="Feminino",1000,IF(Atletas!B10="Masculino",2000,""))+IF(Atletas!T10="Taijijian Yang A",901,IF(Atletas!T10="Taijijian Chen A",902,IF(Atletas!T10="Taijijian Sun A",903,IF(Atletas!T10="Taijijian Wu A",904,IF(Atletas!T10="Taijijian Wu-Hao A",905,IF(Atletas!T10="Taijijian 32 A",906,IF(Atletas!T10="Taijijian 42 A",907,IF(Atletas!T10="Taijijian Yang B",908,IF(Atletas!T10="Taijijian Chen B",909,IF(Atletas!T10="Taijijian Sun B",910,IF(Atletas!T10="Taijijian Wu B",911,IF(Atletas!T10="Taijijian Wu-Hao B",912,IF(Atletas!T10="Taijijian 32 B",913,IF(Atletas!T10="Taijijian 42 B",914,IF(Atletas!T10="Taijijian Yang C",915,IF(Atletas!T10="Taijijian Chen C",916,IF(Atletas!T10="Taijijian Sun C",917,IF(Atletas!T10="Taijijian Wu C",918,IF(Atletas!T10="Taijijian Wu-Hao C",919,IF(Atletas!T10="Taijijian 32 C",920,IF(Atletas!T10="Taijijian 42 C",921,IF(Atletas!T10="Taijijian Yang D",922,IF(Atletas!T10="Taijijian Chen D",923,IF(Atletas!T10="Taijijian Sun D",924,IF(Atletas!T10="Taijijian Wu D",925,IF(Atletas!T10="Taijijian Wu-Hao D",926,IF(Atletas!T10="Taijijian 32 D",927,IF(Atletas!T10="Taijijian 42 D",928,IF(Atletas!T10="Taijijian Yang E",929,IF(Atletas!T10="Taijijian Chen E",930,IF(Atletas!T10="Taijijian Sun E",931,IF(Atletas!T10="Taijijian Wu E",932,IF(Atletas!T10="Taijijian Wu-Hao E",933,IF(Atletas!T10="Taijijian 32 E",934,IF(Atletas!T10="Taijijian 42 E",935,IF(Atletas!T10="Taijijian Yang F",936,IF(Atletas!T10="Taijijian Chen F",937,IF(Atletas!T10="Taijijian Sun F",938,IF(Atletas!T10="Taijijian Wu F",939,IF(Atletas!T10="Taijijian Wu-Hao F",940,IF(Atletas!T10="Taijijian 32 F",941,IF(Atletas!T10="Taijijian 42 F",942,"")))))))))))))))))))))))))))))))))))))))))))</f>
        <v/>
      </c>
      <c r="BW14" s="52" t="str">
        <f>IF(Atletas!U10="","",IF(Atletas!W10&lt;&gt;"",10000,0)+IF(Atletas!B10="Feminino",1000,IF(Atletas!B10="Masculino",2000,""))+IF(Atletas!T10="Taijijian 42 F",942,IF(Atletas!U10="Taijidao A",943,IF(Atletas!U10="Taijishan A",944,IF(Atletas!U10="Taijiqiang A",945,IF(Atletas!U10="Taijidao B",946,IF(Atletas!U10="Taijishan B",947,IF(Atletas!U10="Taijiqiang B",948,IF(Atletas!U10="Taijidao C",949,IF(Atletas!U10="Taijishan C",950,IF(Atletas!U10="Taijiqiang C",951,IF(Atletas!U10="Taijidao D",952,IF(Atletas!U10="Taijishan D",953,IF(Atletas!U10="Taijiqiang D",954,IF(Atletas!U10="Taijidao E",955,IF(Atletas!U10="Taijishan E",956,IF(Atletas!U10="Taijiqiang E",957,IF(Atletas!U10="Taijidao F",958,IF(Atletas!U10="Taijishan F",959,IF(Atletas!U10="Taijiqiang F",960))))))))))))))))))))</f>
        <v/>
      </c>
      <c r="BX14" s="64" t="str">
        <f>IF(BY14&lt;&gt;"","Wuzuquan B","")</f>
        <v/>
      </c>
      <c r="BY14" s="64" t="str">
        <f>IF(COUNTIF(BK:BW,1008)&gt;0,COUNTIF(BK:BW,1008),"")</f>
        <v/>
      </c>
      <c r="BZ14" s="64" t="str">
        <f>IF(CA14&lt;&gt;"","Wuzuquan B","")</f>
        <v/>
      </c>
      <c r="CA14" s="64" t="str">
        <f>IF(COUNTIF(BK:BW,2008)&gt;0,COUNTIF(BK:BW,2008),"")</f>
        <v/>
      </c>
      <c r="CB14" s="64" t="str">
        <f>IF(CC14&lt;&gt;"","Wuzuquan B","")</f>
        <v/>
      </c>
      <c r="CC14" s="64" t="str">
        <f>IF(COUNTIF(BK:BW,11008)&gt;0,COUNTIF(BK:BW,11008),"")</f>
        <v/>
      </c>
      <c r="CD14" s="64" t="str">
        <f>IF(CE14&lt;&gt;"","Wuzuquan B","")</f>
        <v/>
      </c>
      <c r="CE14" s="64" t="str">
        <f>IF(COUNTIF(BK:BW,12008)&gt;0,COUNTIF(BK:BW,12008),"")</f>
        <v/>
      </c>
      <c r="CF14" s="52" t="str">
        <f xml:space="preserve"> IF(Atletas!V10="","",IF(Atletas!V10="Duilian de Mãos AB - Equipe 1",1,IF(Atletas!V10="Duilian de Mãos AB - Equipe 2",2,IF(Atletas!V10="Duilian de Armas AB - Equipe 1",3,IF(Atletas!V10="Duilian de Armas AB - Equipe 2",4,IF(Atletas!V10="Duilian de Tuishou - Equipe 1",5,IF(Atletas!V10="Duilian de Tuishou - Equipe 2",6,IF(Atletas!V10="Grupo Externo AB - Equipe 1",7,IF(Atletas!V10="Grupo Externo AB - Equipe 2",8,IF(Atletas!V10="Grupo Interno AB - Equipe 1",9,IF(Atletas!V10="Grupo Interno AB - Equipe 2",10,IF(Atletas!V10="Duilian de Mãos CD - Equipe 1",11,IF(Atletas!V10="Duilian de Mãos CD - Equipe 2",12,IF(Atletas!V10="Duilian de Armas CD - Equipe 1",13,IF(Atletas!V10="Duilian de Armas CD - Equipe 2",14,IF(Atletas!V10="Duilian de Tuishou - Equipe 1",15,IF(Atletas!V10="Duilian de Tuishou - Equipe 2",16,IF(Atletas!V10="Grupo Externo CDEF - Equipe 1",17,IF(Atletas!V10="Grupo Externo CDEF - Equipe 2",18,IF(Atletas!V10="Grupo Interno CDEF - Equipe 1",19,IF(Atletas!V10="Grupo Interno CDEF - Equipe 2",20,IF(Atletas!V10="Duilian de Mãos EF - Equipe 1",21,IF(Atletas!V10="Duilian de Mãos EF - Equipe 2",22,IF(Atletas!V10="Duilian de Armas EF - Equipe 1",23,IF(Atletas!V10="Duilian de Armas EF - Equipe 2",24,IF(Atletas!V10="Duilian de Tuishou - Equipe 1",25,IF(Atletas!V10="Duilian de Tuishou - Equipe 2",26,"")))))))))))))))))))))))))))</f>
        <v/>
      </c>
      <c r="CG14" s="53" t="str">
        <f>IF(CH14&lt;&gt;"","Duilian de Armas CD - Equipe 2","")</f>
        <v/>
      </c>
      <c r="CH14" s="53" t="str">
        <f>IF(COUNTIF(CF:CF,14)&gt;0,COUNTIF(CF:CF,14),"")</f>
        <v/>
      </c>
      <c r="CI14" s="53"/>
      <c r="CJ14" s="53"/>
      <c r="CK14" s="10" t="str">
        <f>IF(CL14&lt;&gt;"","Grupo Interno CDEF - Equipe 2","")</f>
        <v/>
      </c>
      <c r="CL14" s="10" t="str">
        <f>IF(COUNTIF(CF:CF,20)&gt;0,COUNTIF(CF:CF,20),"")</f>
        <v/>
      </c>
      <c r="CR14" s="71"/>
    </row>
    <row r="15" spans="1:96">
      <c r="A15" s="26"/>
      <c r="B15" s="4" t="str">
        <f t="array" ref="B15">IFERROR(INDEX(AK$7:AK$36,SMALL(IF(AK$7:AK$36&lt;&gt;"",ROW(AK$7:AK$36)-ROW(AK$7)+1),ROWS(AK$7:AK14))),"")</f>
        <v/>
      </c>
      <c r="C15" s="4" t="str">
        <f t="array" ref="C15">IFERROR(INDEX(AL$7:AL$36,SMALL(IF(AL$7:AL$36&lt;&gt;"",ROW(AL$7:AL$36)-ROW(AL$7)+1),ROWS(AL$7:AL14))),"")</f>
        <v/>
      </c>
      <c r="D15" s="4" t="str">
        <f t="array" ref="D15">IFERROR(INDEX(AM$7:AM$36,SMALL(IF(AM$7:AM$36&lt;&gt;"",ROW(AM$7:AM$36)-ROW(AM$7)+1),ROWS(AM$7:AM14))),"")</f>
        <v/>
      </c>
      <c r="E15" s="4" t="str">
        <f t="array" ref="E15">IFERROR(INDEX(AN$7:AN$36,SMALL(IF(AN$7:AN$36&lt;&gt;"",ROW(AN$7:AN$36)-ROW(AN$7)+1),ROWS(AN$7:AN14))),"")</f>
        <v/>
      </c>
      <c r="F15" s="4" t="str">
        <f t="array" ref="F15">IFERROR(INDEX(AP$7:AP$36,SMALL(IF(AP$7:AP$36&lt;&gt;"",ROW(AP$7:AP$36)-ROW(AP$7)+1),ROWS(AP$7:AP14))),"")</f>
        <v/>
      </c>
      <c r="G15" s="4" t="str">
        <f t="array" ref="G15">IFERROR(INDEX(AQ$7:AQ$36,SMALL(IF(AQ$7:AQ$36&lt;&gt;"",ROW(AQ$7:AQ$36)-ROW(AQ$7)+1),ROWS(AQ$7:AQ14))),"")</f>
        <v/>
      </c>
      <c r="H15" s="4" t="str">
        <f t="array" ref="H15">IFERROR(INDEX(AR$7:AR$36,SMALL(IF(AR$7:AR$36&lt;&gt;"",ROW(AR$7:AR$36)-ROW(AR$7)+1),ROWS(AR$7:AR14))),"")</f>
        <v/>
      </c>
      <c r="I15" s="4" t="str">
        <f t="array" ref="I15">IFERROR(INDEX(AS$7:AS$36,SMALL(IF(AS$7:AS$36&lt;&gt;"",ROW(AS$7:AS$36)-ROW(AS$7)+1),ROWS(AS$7:AS14))),"")</f>
        <v/>
      </c>
      <c r="J15" s="4" t="str">
        <f t="array" ref="J15">IFERROR(INDEX(AU$7:AU$36,SMALL(IF(AU$7:AU$36&lt;&gt;"",ROW(AU$7:AU$36)-ROW(AU$7)+1),ROWS(AU$7:AU14))),"")</f>
        <v/>
      </c>
      <c r="K15" s="4" t="str">
        <f t="array" ref="K15">IFERROR(INDEX(AV$7:AV$36,SMALL(IF(AV$7:AV$36&lt;&gt;"",ROW(AV$7:AV$36)-ROW(AV$7)+1),ROWS(AV$7:AV14))),"")</f>
        <v/>
      </c>
      <c r="L15" s="4" t="str">
        <f t="array" ref="L15">IFERROR(INDEX(AW$7:AW$36,SMALL(IF(AW$7:AW$36&lt;&gt;"",ROW(AW$7:AW$36)-ROW(AW$7)+1),ROWS(AW$7:AW14))),"")</f>
        <v/>
      </c>
      <c r="M15" s="4" t="str">
        <f t="array" ref="M15">IFERROR(INDEX(AX$7:AX$36,SMALL(IF(AX$7:AX$36&lt;&gt;"",ROW(AX$7:AX$36)-ROW(AX$7)+1),ROWS(AX$7:AX14))),"")</f>
        <v/>
      </c>
      <c r="N15" s="4" t="str">
        <f t="array" ref="N15">IFERROR(INDEX(BB$7:BB$66,SMALL(IF(BB$7:BB$66&lt;&gt;"",ROW(BB$7:BB$66)-ROW(BB$7)+1),ROWS(BB$7:BB14))),"")</f>
        <v/>
      </c>
      <c r="O15" s="4" t="str">
        <f t="array" ref="O15">IFERROR(INDEX(BC$7:BC$66,SMALL(IF(BC$7:BC$66&lt;&gt;"",ROW(BC$7:BC$66)-ROW(BC$7)+1),ROWS(BC$7:BC14))),"")</f>
        <v/>
      </c>
      <c r="P15" s="4" t="str">
        <f t="array" ref="P15">IFERROR(INDEX(BD$7:BD$66,SMALL(IF(BD$7:BD$66&lt;&gt;"",ROW(BD$7:BD$66)-ROW(BD$7)+1),ROWS(BD$7:BD14))),"")</f>
        <v/>
      </c>
      <c r="Q15" s="4" t="str">
        <f t="array" ref="Q15">IFERROR(INDEX(BE$7:BE$66,SMALL(IF(BE$7:BE$66&lt;&gt;"",ROW(BE$7:BE$66)-ROW(BE$7)+1),ROWS(BE$7:BE14))),"")</f>
        <v/>
      </c>
      <c r="R15" s="31"/>
      <c r="S15" s="31"/>
      <c r="T15" s="31"/>
      <c r="U15" s="31"/>
      <c r="V15" s="4" t="str">
        <f t="array" ref="V15">IFERROR(INDEX(BX$7:BX$336,SMALL(IF(BX$7:BX$336&lt;&gt;"",ROW(BX$7:BX$336)-ROW(BX$7)+1),ROWS(BX$7:BX14))),"")</f>
        <v/>
      </c>
      <c r="W15" s="4" t="str">
        <f t="array" ref="W15">IFERROR(INDEX(BY$7:BY$336,SMALL(IF(BY$7:BY$336&lt;&gt;"",ROW(BY$7:BY$336)-ROW(BY$7)+1),ROWS(BY$7:BY14))),"")</f>
        <v/>
      </c>
      <c r="X15" s="4" t="str">
        <f t="array" ref="X15">IFERROR(INDEX(BZ$7:BZ$336,SMALL(IF(BZ$7:BZ$336&lt;&gt;"",ROW(BZ$7:BZ$336)-ROW(BZ$7)+1),ROWS(BZ$7:BZ14))),"")</f>
        <v/>
      </c>
      <c r="Y15" s="4" t="str">
        <f t="array" ref="Y15">IFERROR(INDEX(CA$7:CA$336,SMALL(IF(CA$7:CA$336&lt;&gt;"",ROW(CA$7:CA$336)-ROW(CA$7)+1),ROWS(CA$7:CA14))),"")</f>
        <v/>
      </c>
      <c r="Z15" s="4" t="str">
        <f t="array" ref="Z15">IFERROR(INDEX(CB$7:CB$378,SMALL(IF(CB$7:CB$378&lt;&gt;"",ROW(CB$7:CB$378)-ROW(CB$7)+1),ROWS(CB$7:CB14))),"")</f>
        <v/>
      </c>
      <c r="AA15" s="4" t="str">
        <f t="array" ref="AA15">IFERROR(INDEX(CC$7:CC$378,SMALL(IF(CC$7:CC$378&lt;&gt;"",ROW(CC$7:CC$378)-ROW(CC$7)+1),ROWS(CC$7:CC14))),"")</f>
        <v/>
      </c>
      <c r="AB15" s="4" t="str">
        <f t="array" ref="AB15">IFERROR(INDEX(CD$7:CD$378,SMALL(IF(CD$7:CD$378&lt;&gt;"",ROW(CD$7:CD$378)-ROW(CD$7)+1),ROWS(CD$7:CD14))),"")</f>
        <v/>
      </c>
      <c r="AC15" s="4" t="str">
        <f t="array" ref="AC15">IFERROR(INDEX(CE$7:CE$378,SMALL(IF(CE$7:CE$378&lt;&gt;"",ROW(CE$7:CE$378)-ROW(CE$7)+1),ROWS(CE$7:CE14))),"")</f>
        <v/>
      </c>
      <c r="AD15" s="69" t="str">
        <f t="array" ref="AD15">IFERROR(INDEX(CG$7:CG$18,SMALL(IF(CG$7:CG$18&lt;&gt;"",ROW(CG$7:CG$18)-ROW(CG$7)+1),ROWS(CG$7:CG14))),"")</f>
        <v/>
      </c>
      <c r="AE15" s="69" t="str">
        <f t="array" ref="AE15">IFERROR(INDEX(CH$7:CH$18,SMALL(IF(CH$7:CH$18&lt;&gt;"",ROW(CH$7:CH$18)-ROW(CH$7)+1),ROWS(CH$7:CH14))),"")</f>
        <v/>
      </c>
      <c r="AF15" s="69"/>
      <c r="AG15" s="69"/>
      <c r="AH15" s="69" t="str">
        <f t="array" ref="AH15">IFERROR(INDEX(CK$7:CK$14,SMALL(IF(CK$7:CK$14&lt;&gt;"",ROW(CK$7:CK$14)-ROW(CK$7)+1),ROWS(CK$7:CK14))),"")</f>
        <v/>
      </c>
      <c r="AI15" s="69" t="str">
        <f t="array" ref="AI15">IFERROR(INDEX(CL$7:CL$14,SMALL(IF(CL$7:CL$14&lt;&gt;"",ROW(CL$7:CL$14)-ROW(CL$7)+1),ROWS(CL$7:CL14))),"")</f>
        <v/>
      </c>
      <c r="AJ15" s="46" t="str">
        <f>IF(Atletas!D11="","",IF(Atletas!B11="Feminino",100,IF(Atletas!B11="Masculino",200,""))+(IF(Atletas!D11="Infantil 39kg",1,IF(Atletas!D11="Infantil 42kg",2,IF(Atletas!D11="Infantil 45kg",3,IF(Atletas!D11="Infantil 48kg",4,IF(Atletas!D11="Infantil 52kg",5,IF(Atletas!D11="Infantil 56kg",6,IF(Atletas!D11="Infantil 60kg",7,IF(Atletas!D11="Juvenil 48kg",8,IF(Atletas!D11="Juvenil 52kg",9,IF(Atletas!D11="Juvenil 56kg",10,IF(Atletas!D11="Juvenil 60kg",11,IF(Atletas!D11="Juvenil 65kg",12,IF(Atletas!D11="Juvenil 70kg",13,IF(Atletas!D11="Juvenil 75kg",14,IF(Atletas!D11="Juvenil 80kg",15,IF(Atletas!D11="Adulto 48kg",16,IF(Atletas!D11="Adulto 52kg",17,IF(Atletas!D11="Adulto 56kg",18,IF(Atletas!D11="Adulto 60kg",19,IF(Atletas!D11="Adulto 65kg",20,IF(Atletas!D11="Adulto 70kg",21,IF(Atletas!D11="Adulto 75kg",22,IF(Atletas!D11="Adulto 80kg",23,IF(Atletas!D11="Adulto 85kg",24,IF(Atletas!D11="Adulto 90kg",25,IF(Atletas!D11="Adulto +90kg",26,""))))))))))))))))))))))))))))</f>
        <v/>
      </c>
      <c r="AK15" s="52" t="str">
        <f>IF(AL15&lt;&gt;"","Adulto 48kg","")</f>
        <v/>
      </c>
      <c r="AL15" s="10" t="str">
        <f>IF(COUNTIF(AJ:AJ,116)&gt;0,COUNTIF(AJ:AJ,116),"")</f>
        <v/>
      </c>
      <c r="AM15" s="52" t="str">
        <f>IF(AN15&lt;&gt;"","Juvenil 52kg","")</f>
        <v/>
      </c>
      <c r="AN15" s="10" t="str">
        <f>IF(COUNTIF(AJ:AJ,209)&gt;0,COUNTIF(AJ:AJ,209),"")</f>
        <v/>
      </c>
      <c r="AO15" s="10" t="str">
        <f>IF(Atletas!E11="","",IF(Atletas!B11="Feminino",100,IF(Atletas!B11="Masculino",200,""))+(IF(Atletas!E11="Juvenil 44kg",1,IF(Atletas!E11="Juvenil 48kg",2,IF(Atletas!E11="Juvenil 52kg",3,IF(Atletas!E11="Juvenil 56kg",4,IF(Atletas!E11="Juvenil 60kg",5,IF(Atletas!E11="Juvenil 65kg",6,IF(Atletas!E11="Juvenil 70kg",7,IF(Atletas!E11="Juvenil 75kg",8,IF(Atletas!E11="Juvenil 82kg",9,IF(Atletas!E11="Juvenil 90kg",10,IF(Atletas!E11="Juvenil 100kg",11,IF(Atletas!E11="Adulto 48kg",12,IF(Atletas!E11="Adulto 52kg",13,IF(Atletas!E11="Adulto 56kg",14,IF(Atletas!E11="Adulto 60kg",15,IF(Atletas!E11="Adulto 65kg",16,IF(Atletas!E11="Adulto 70kg",17,IF(Atletas!E11="Adulto 75kg",18,IF(Atletas!E11="Adulto 82kg",19,IF(Atletas!E11="Adulto 90kg",20,IF(Atletas!E11="Adulto 100kg",21,IF(Atletas!E11="Adulto +100kg",22,""))))))))))))))))))))))))</f>
        <v/>
      </c>
      <c r="AP15" s="52" t="str">
        <f>IF(AQ15&lt;&gt;"","Adulto 48kg","")</f>
        <v/>
      </c>
      <c r="AQ15" s="10" t="str">
        <f>IF(COUNTIF(AO:AO,112)&gt;0,COUNTIF(AO:AO,112),"")</f>
        <v/>
      </c>
      <c r="AR15" s="52" t="str">
        <f>IF(AS15&lt;&gt;"","Juvenil 90kg","")</f>
        <v/>
      </c>
      <c r="AS15" s="10" t="str">
        <f>IF(COUNTIF(AO:AO,210)&gt;0,COUNTIF(AO:AO,210),"")</f>
        <v/>
      </c>
      <c r="AT15" s="10" t="str">
        <f>IF(Atletas!F11="","",IF(Atletas!B11="Feminino",100,IF(Atletas!B11="Masculino",200,""))+(IF(Atletas!F11="Adulto 48kg",1,IF(Atletas!F11="Adulto 56kg",2,IF(Atletas!F11="Adulto 65kg",3,IF(Atletas!F11="Adulto 75kg",4,IF(Atletas!F11="Adulto +75kg",5,IF(Atletas!F11="Adulto 52kg",6,IF(Atletas!F11="Adulto 60kg",7,IF(Atletas!F11="Adulto 70kg",8,IF(Atletas!F11="Adulto 80kg",9,IF(Atletas!F11="Adulto 90kg",10,IF(Atletas!F11="Adulto +90kg",11,"")))))))))))))</f>
        <v/>
      </c>
      <c r="AW15" s="52"/>
      <c r="AY15" s="46" t="str">
        <f>IF(Atletas!G11="","",IF(Atletas!B11="Feminino",100,IF(Atletas!B11="Masculino",200,""))+(IF(Atletas!G11="Changquan Mirim",1,IF(Atletas!G11="Nanquan Mirim",2,IF(Atletas!G11="Taijiquan Mirim",3,IF(Atletas!G11="Changquan Grupo C",4,IF(Atletas!G11="Nanquan Grupo C",5,IF(Atletas!G11="Taijiquan Grupo C",6,IF(Atletas!G11="Changquan Grupo B",7,IF(Atletas!G11="Nanquan Grupo B",8,IF(Atletas!G11="Taijiquan Grupo B",9,IF(Atletas!G11="Changquan Grupo A",10,IF(Atletas!G11="Nanquan Grupo A",11,IF(Atletas!G11="Taijiquan Grupo A",12,IF(Atletas!G11="Changquan Opcional",13,IF(Atletas!G11="Nanquan Opcional",14,IF(Atletas!G11="Taijiquan Opcional",15,IF(Atletas!G11="Changquan Adulto",16,IF(Atletas!G11="Nanquan Adulto",17,IF(Atletas!G11="Taijiquan Adulto",18,""))))))))))))))))))))</f>
        <v/>
      </c>
      <c r="AZ15" s="46" t="str">
        <f>IF(Atletas!H11="","",IF(Atletas!B11="Feminino",100,IF(Atletas!B11="Masculino",200,""))+(IF(Atletas!H11="Daoshu Mirim",19,IF(Atletas!H11="Jianshu Mirim",20,IF(Atletas!H11="Nandao Mirim",21,IF(Atletas!H11="Taijijian Mirim",22,IF(Atletas!H11="Daoshu Grupo C",23,IF(Atletas!H11="Jianshu Grupo C",24,IF(Atletas!H11="Nandao Grupo C",25,IF(Atletas!H11="Taijijian Grupo C",26,IF(Atletas!H11="Daoshu Grupo B",27,IF(Atletas!H11="Jianshu Grupo B",28,IF(Atletas!H11="Nandao Grupo B",29,IF(Atletas!H11="Taijijian Grupo B",30,IF(Atletas!H11="Daoshu Grupo A",31,IF(Atletas!H11="Jianshu Grupo A",32,IF(Atletas!H11="Nandao Grupo A",33,IF(Atletas!H11="Taijijian Grupo A",34,IF(Atletas!H11="Daoshu Opcional",35,IF(Atletas!H11="Jianshu Opcional",36,IF(Atletas!H11="Nandao Opcional",37,IF(Atletas!H11="Taijijian Opcional",38,IF(Atletas!H11="Daoshu Adulto",39,IF(Atletas!H11="Jianshu Adulto",40,IF(Atletas!H11="Nandao Adulto",41,IF(Atletas!H11="Taijijian Adulto",42,""))))))))))))))))))))))))))</f>
        <v/>
      </c>
      <c r="BA15" s="46" t="str">
        <f>IF(Atletas!I11="","",IF(Atletas!B11="Feminino",100,IF(Atletas!B11="Masculino",200,""))+(IF(Atletas!I11="Gunshu Mirim",43,IF(Atletas!I11="Qiangshu Mirim",44,IF(Atletas!I11="Nangun Mirim",45,IF(Atletas!I11="Gunshu Grupo C",46,IF(Atletas!I11="Qiangshu Grupo C",47,IF(Atletas!I11="Nangun Grupo C",48,IF(Atletas!I11="Gunshu Grupo B",49,IF(Atletas!I11="Qiangshu Grupo B",50,IF(Atletas!I11="Nangun Grupo B",51,IF(Atletas!I11="Gunshu Grupo A",52,IF(Atletas!I11="Qiangshu Grupo A",53,IF(Atletas!I11="Nangun Grupo A",54,IF(Atletas!I11="Gunshu Opcional",55,IF(Atletas!I11="Qiangshu Opcional",56,IF(Atletas!I11="Nangun Opcional",57,IF(Atletas!I11="Gunshu Adulto",58,IF(Atletas!I11="Qiangshu Adulto",59,IF(Atletas!I11="Nangun Adulto",60,""))))))))))))))))))))</f>
        <v/>
      </c>
      <c r="BB15" s="46" t="str">
        <f>IF(BC15&lt;&gt;"","Qiangshu Mirim","")</f>
        <v/>
      </c>
      <c r="BC15" s="52" t="str">
        <f>IF(COUNTIF(AY:BA,144)&gt;0,COUNTIF(AY:BA,144),"")</f>
        <v/>
      </c>
      <c r="BD15" s="46" t="str">
        <f>IF(BE15&lt;&gt;"","Qiangshu Mirim","")</f>
        <v/>
      </c>
      <c r="BE15" s="52" t="str">
        <f>IF(COUNTIF(AY:BA,244)&gt;0,COUNTIF(AY:BA,244),"")</f>
        <v/>
      </c>
      <c r="BF15" s="52" t="str">
        <f>IF(Atletas!J11="","",IF(Atletas!B11="Feminino",100,IF(Atletas!B11="Masculino",200,""))+(IF(Atletas!J11="Equipe 1 Grupo B",1,IF(Atletas!J11="Equipe 2 Grupo B",2,IF(Atletas!J11="Equipe 1 Grupo A",3,IF(Atletas!J11="Equipe 2 Grupo A",4,IF(Atletas!J11="Equipe 1 Adulto",5,IF(Atletas!J11="Equipe 2 Adulto",6,""))))))))</f>
        <v/>
      </c>
      <c r="BG15" s="55"/>
      <c r="BH15" s="55"/>
      <c r="BI15" s="55"/>
      <c r="BJ15" s="53"/>
      <c r="BK15" s="52" t="str">
        <f>IF(Atletas!K11="","",IF(Atletas!W11&lt;&gt;"",10000,0)+(IF(Atletas!B11="Feminino",1000,IF(Atletas!B11="Masculino",2000,""))+IF(Atletas!K11="Choylayfut A",1,IF(Atletas!K11="Hunggar A",2,IF(Atletas!K11="Wuzuquan A",3,IF(Atletas!K11="Wingchun A",4,IF(Atletas!K11="Outra Mão de Sul A",5,IF(Atletas!K11="Choylayfut B",6,IF(Atletas!K11="Hunggar B",7,IF(Atletas!K11="Wuzuquan B",8,IF(Atletas!K11="Wingchun B",9,IF(Atletas!K11="Outra Mão de Sul B",10,IF(Atletas!K11="Choylayfut C",11,IF(Atletas!K11="Hunggar C",12,IF(Atletas!K11="Wuzuquan C",13,IF(Atletas!K11="Wingchun C",14,IF(Atletas!K11="Outra Mão de Sul C",15,IF(Atletas!K11="Choylayfut D",16,IF(Atletas!K11="Hunggar D",17,IF(Atletas!K11="Wuzuquan D",18,IF(Atletas!K11="Wingchun D",19,IF(Atletas!K11="Outra Mão de Sul D",20,IF(Atletas!K11="Choylayfut E",21,IF(Atletas!K11="Hunggar E",22,IF(Atletas!K11="Wuzuquan E",23,IF(Atletas!K11="Wingchun E",24,IF(Atletas!K11="Outra Mão de Sul E",25,IF(Atletas!K11="Choylayfut F",26,IF(Atletas!K11="Hunggar F",27,IF(Atletas!K11="Wuzuquan F",28,IF(Atletas!K11="Wingchun F",29,IF(Atletas!K11="Outra Mão de Sul F",30,""))))))))))))))))))))))))))))))))</f>
        <v/>
      </c>
      <c r="BL15" s="52" t="str">
        <f>IF(Atletas!L11="","",IF(Atletas!W11&lt;&gt;"",10000,0)+(IF(Atletas!B11="Feminino",1000,IF(Atletas!B11="Masculino",2000,""))+(IF(Atletas!L11="Chaquan A",101,IF(Atletas!L11="Emeiquan A",102,IF(Atletas!L11="Fanziquan A",103,IF(Atletas!L11="Huaquan A",104,IF(Atletas!L11="Hongquan A",105,IF(Atletas!L11="Paochui A",106,IF(Atletas!L11="Piguaquan A",107,IF(Atletas!L11="Shaolinquan A",108,IF(Atletas!L11="Tanglangquan A",109,IF(Atletas!L11="Yinzhaophai A",110,IF(Atletas!L11="Tongbeiquan A",111,IF(Atletas!L11="Wudangquan A",112,IF(Atletas!L11="Outros Estilos A",113,IF(Atletas!L11="Chaquan B",114,IF(Atletas!L11="Emeiquan B",115,IF(Atletas!L11="Fanziquan B",116,IF(Atletas!L11="Huaquan B",117,IF(Atletas!L11="Hongquan B",118,IF(Atletas!L11="Paochui B",119,IF(Atletas!L11="Piguaquan B",120,IF(Atletas!L11="Shaolinquan B",121,IF(Atletas!L11="Tanglangquan B",122,IF(Atletas!L11="Yinzhaophai B",123,IF(Atletas!L11="Tongbeiquan B",124,IF(Atletas!L11="Wudangquan B",125,IF(Atletas!L11="Outros Estilos B",126,IF(Atletas!L11="Chaquan C",127,IF(Atletas!L11="Emeiquan C",128,IF(Atletas!L11="Fanziquan C",129,IF(Atletas!L11="Huaquan C",130,IF(Atletas!L11="Hongquan C",131,IF(Atletas!L11="Paochui C",132,IF(Atletas!L11="Piguaquan C",133,IF(Atletas!L11="Shaolinquan C",134,IF(Atletas!L11="Tanglangquan C",135,IF(Atletas!L11="Yinzhaophai C",136,IF(Atletas!L11="Tongbeiquan C",137,IF(Atletas!L11="Wudangquan C",138,IF(Atletas!L11="Outros Estilos C",139,0))))))))))))))))))))))))))))))))))))))))))</f>
        <v/>
      </c>
      <c r="BM15" s="52" t="str">
        <f>IF(Atletas!L11="","",IF(Atletas!W11&lt;&gt;"",10000,0)+(IF(Atletas!B11="Feminino",1000,IF(Atletas!B11="Masculino",2000,""))+(IF(Atletas!L11="Chaquan D",140,IF(Atletas!L11="Emeiquan D",141,IF(Atletas!L11="Fanziquan D",142,IF(Atletas!L11="Huaquan D",143,IF(Atletas!L11="Hongquan D",144,IF(Atletas!L11="Paochui D",145,IF(Atletas!L11="Piguaquan D",146,IF(Atletas!L11="Shaolinquan D",147,IF(Atletas!L11="Tanglangquan D",148,IF(Atletas!L11="Yinzhaophai D",149,IF(Atletas!L11="Tongbeiquan D",150,IF(Atletas!L11="Wudangquan D",151,IF(Atletas!L11="Outros Estilos D",152,IF(Atletas!L11="Chaquan E",153,IF(Atletas!L11="Emeiquan E",154,IF(Atletas!L11="Fanziquan E",155,IF(Atletas!L11="Huaquan E",156,IF(Atletas!L11="Hongquan E",157,IF(Atletas!L11="Paochui E",158,IF(Atletas!L11="Piguaquan E",159,IF(Atletas!L11="Shaolinquan E",160,IF(Atletas!L11="Tanglangquan E",161,IF(Atletas!L11="Yinzhaophai E",162,IF(Atletas!L11="Tongbeiquan E",163,IF(Atletas!L11="Wudangquan E",164,IF(Atletas!L11="Outros Estilos E",165,IF(Atletas!L11="Chaquan F",166,IF(Atletas!L11="Emeiquan F",167,IF(Atletas!L11="Fanziquan F",168,IF(Atletas!L11="Huaquan F",169,IF(Atletas!L11="Hongquan F",170,IF(Atletas!L11="Paochui F",171,IF(Atletas!L11="Piguaquan F",172,IF(Atletas!L11="Shaolinquan F",173,IF(Atletas!L11="Tanglangquan F",174,IF(Atletas!L11="Yinzhaophai F",175,IF(Atletas!L11="Tongbeiquan F",176,IF(Atletas!L11="Wudangquan F",177,IF(Atletas!L11="Outros Estilos F",178,0))))))))))))))))))))))))))))))))))))))))))</f>
        <v/>
      </c>
      <c r="BN15" s="52" t="str">
        <f>IF(Atletas!M11="","",IF(Atletas!W11&lt;&gt;"",10000,0)+(IF(Atletas!B11="Feminino",1000,IF(Atletas!B11="Masculino",2000,""))+(IF(Atletas!M11="Ditangquan A",201,IF(Atletas!M11="Houquan A",202,IF(Atletas!M11="Zuiquan A",203,IF(Atletas!M11="Ditangquan B",204,IF(Atletas!M11="Houquan B",205,IF(Atletas!M11="Zuiquan B",206,IF(Atletas!M11="Ditangquan C",207,IF(Atletas!M11="Houquan C",208,IF(Atletas!M11="Zuiquan C",209,IF(Atletas!M11="Ditangquan D",210,IF(Atletas!M11="Houquan D",211,IF(Atletas!M11="Zuiquan D",212,IF(Atletas!M11="Ditangquan E",213,IF(Atletas!M11="Houquan E",214,IF(Atletas!M11="Zuiquan E",215,IF(Atletas!M11="Ditangquan F",216,IF(Atletas!M11="Houquan F",217,IF(Atletas!M11="Zuiquan F",218,"")))))))))))))))))))))</f>
        <v/>
      </c>
      <c r="BO15" s="52" t="str">
        <f>IF(Atletas!N11="","",IF(Atletas!W11&lt;&gt;"",10000,0)+IF(Atletas!B11="Feminino",1000,IF(Atletas!B11="Masculino",2000,""))+IF(Atletas!N11="Yang A",301,IF(Atletas!N11="Chen A",30,IF(Atletas!N11="Sun A",303,IF(Atletas!N11="Wu A",304,IF(Atletas!N11="Wu-Hao A",305,IF(Atletas!N11="Outro Taijiquan A",306,IF(Atletas!N11="Yang B",307,IF(Atletas!N11="Chen B",308,IF(Atletas!N11="Sun B",309,IF(Atletas!N11="Wu B",310,IF(Atletas!N11="Wu-Hao B",311,IF(Atletas!N11="Outro Taijiquan B",312,IF(Atletas!N11="Yang C",313,IF(Atletas!N11="Chen C",314,IF(Atletas!N11="Sun C",315,IF(Atletas!N11="Wu C",316,IF(Atletas!N11="Wu-Hao C",317,IF(Atletas!N11="Outro Taijiquan C",318,IF(Atletas!N11="Yang D",319,IF(Atletas!N11="Chen D",320,IF(Atletas!N11="Sun D",321,IF(Atletas!N11="Wu D",322,IF(Atletas!N11="Wu-Hao D",323,IF(Atletas!N11="Outro Taijiquan D",324,IF(Atletas!N11="Yang E",325,IF(Atletas!N11="Chen E",326,IF(Atletas!N11="Sun E",327,IF(Atletas!N11="Wu E",328,IF(Atletas!N11="Wu-Hao E",329,IF(Atletas!N11="Outro Taijiquan E",330,IF(Atletas!N11="Yang F",331,IF(Atletas!N11="Chen F",332,IF(Atletas!N11="Sun F",333,IF(Atletas!N11="Wu F",334,IF(Atletas!N11="Wu-Hao F",335,IF(Atletas!N11="Outro Taijiquan F",336,"")))))))))))))))))))))))))))))))))))))</f>
        <v/>
      </c>
      <c r="BP15" s="52" t="str">
        <f>IF(Atletas!O11="","",IF(Atletas!W11&lt;&gt;"",10000,0)+IF(Atletas!B11="Feminino",1000,IF(Atletas!B11="Masculino",2000,""))+IF(OR(Atletas!O11="Yang 26 A",Atletas!O11="Yang 40 A"),401,IF(OR(Atletas!O11="Chen 25 A",Atletas!O11="Chen 36 A",Atletas!O11="Chen 56 A"),402,IF(Atletas!O11="Sun 73 A",403,IF(Atletas!O11="Wu 45 A",404,IF(Atletas!O11="Wu-Hao 46 A",405,IF(OR(Atletas!O11="Taijiquan 16 A",Atletas!O11="Taijiquan 24 A",Atletas!O11="Taijiquan 32 A",Atletas!O11="Taijiquan 42 A"),406,IF(OR(Atletas!O11="Yang 26 B",Atletas!O11="Yang 40 B"),407,IF(OR(Atletas!O11="Chen 25 B",Atletas!O11="Chen 36 B",Atletas!O11="Chen 56 B"),408,IF(Atletas!O11="Sun 73 B",409,IF(Atletas!O11="Wu 45 B",410,IF(Atletas!O11="Wu-Hao 46 B",411,IF(OR(Atletas!O11="Taijiquan 16 B",Atletas!O11="Taijiquan 24 B",Atletas!O11="Taijiquan 32 B",Atletas!O11="Taijiquan 42 B"),412,IF(OR(Atletas!O11="Yang 26 C",Atletas!O11="Yang 40 C"),413,IF(OR(Atletas!O11="Chen 25 C",Atletas!O11="Chen 36 C",Atletas!O11="Chen 56 C"),414,IF(Atletas!O11="Sun 73 C",415,IF(Atletas!O11="Wu 45 C",416,IF(Atletas!O11="Wu-Hao 46 C",417,IF(OR(Atletas!O11="Taijiquan 16 C",Atletas!O11="Taijiquan 24 C",Atletas!O11="Taijiquan 32 C",Atletas!O11="Taijiquan 42 C"),418,0)))))))))))))))))))</f>
        <v/>
      </c>
      <c r="BQ15" s="52" t="str">
        <f>IF(Atletas!O11="","",IF(Atletas!W11&lt;&gt;"",10000,0)+IF(Atletas!B11="Feminino",1000,IF(Atletas!B11="Masculino",2000,""))+IF(OR(Atletas!O11="Yang 26 D",Atletas!O11="Yang 40 D"),419,IF(OR(Atletas!O11="Chen 25 D",Atletas!O11="Chen 36 D",Atletas!O11="Chen 56 D"),420,IF(Atletas!O11="Sun 73 D",421,IF(Atletas!O11="Wu 45 D",422,IF(Atletas!O11="Wu-Hao 46 D",423,IF(OR(Atletas!O11="Taijiquan 16 D",Atletas!O11="Taijiquan 24 D",Atletas!O11="Taijiquan 32 D",Atletas!O11="Taijiquan 42 D"),424,IF(OR(Atletas!O11="Yang 26 E",Atletas!O11="Yang 40 E"),425,IF(OR(Atletas!O11="Chen 25 E",Atletas!O11="Chen 36 E",Atletas!O11="Chen 56 E"),426,IF(Atletas!O11="Sun 73 E",427,IF(Atletas!O11="Wu 45 E",428,IF(Atletas!O11="Wu-Hao 46 E",429,IF(OR(Atletas!O11="Taijiquan 16 E",Atletas!O11="Taijiquan 24 E",Atletas!O11="Taijiquan 32 E",Atletas!O11="Taijiquan 42 E"),430,IF(OR(Atletas!O11="Yang 26 F",Atletas!O11="Yang 40 F"),431,IF(OR(Atletas!O11="Chen 25 F",Atletas!O11="Chen 36 F",Atletas!O11="Chen 56 F"),432,IF(Atletas!O11="Sun 73 F",433,IF(Atletas!O11="Wu 45 F",434,IF(Atletas!O11="Wu-Hao 46 F",435,IF(OR(Atletas!O11="Taijiquan 16 F",Atletas!O11="Taijiquan 24 F",Atletas!O11="Taijiquan 32 F",Atletas!O11="Taijiquan 42 F"),436,0)))))))))))))))))))</f>
        <v/>
      </c>
      <c r="BR15" s="52" t="str">
        <f>IF(Atletas!P11="","",IF(Atletas!W11&lt;&gt;"",10000,0)+IF(Atletas!B11="Feminino",1000,IF(Atletas!B11="Masculino",2000,""))+IF(Atletas!P11="Xingyiquan A",501,IF(Atletas!P11="Baguazhang A",502,IF(Atletas!P11="Outro Estilo Interno A",503,IF(Atletas!P11="Xingyiquan B",504,IF(Atletas!P11="Baguazhang B",505,IF(Atletas!P11="Outro Estilo Interno B",506,IF(Atletas!P11="Xingyiquan C",507,IF(Atletas!P11="Baguazhang C",508,IF(Atletas!P11="Outro Estilo Interno C",509,IF(Atletas!P11="Xingyiquan D",510,IF(Atletas!P11="Baguazhang D",511,IF(Atletas!P11="Outro Estilo Interno D",512,IF(Atletas!P11="Xingyiquan E",513,IF(Atletas!P11="Baguazhang E",514,IF(Atletas!P11="Outro Estilo Interno E",515,IF(Atletas!P11="Xingyiquan F",516,IF(Atletas!P11="Baguazhang F",517,IF(Atletas!P11="Outro Estilo Interno F",518, "")))))))))))))))))))</f>
        <v/>
      </c>
      <c r="BS15" s="52" t="str">
        <f>IF(Atletas!Q11="","",IF(Atletas!W11&lt;&gt;"",10000,0)+IF(Atletas!B11="Feminino",1000,IF(Atletas!B11="Masculino",2000,""))+IF(Atletas!Q11="Dao A",601,IF(Atletas!Q11="Jian A",602,IF(Atletas!Q11="Bishou A",603,IF(Atletas!Q11="Shan A",604,IF(Atletas!Q11="Outra Arma Curta A",605,IF(Atletas!Q11="Dao B",606,IF(Atletas!Q11="Jian B",607,IF(Atletas!Q11="Bishou B",608,IF(Atletas!Q11="Shan B",609,IF(Atletas!Q11="Outra Arma Curta B",610,IF(Atletas!Q11="Dao C",611,IF(Atletas!Q11="Jian C",612,IF(Atletas!Q11="Bishou C",613,IF(Atletas!Q11="Shan C",614,IF(Atletas!Q11="Outra Arma Curta C",615,IF(Atletas!Q11="Dao D",616,IF(Atletas!Q11="Jian D",617,IF(Atletas!Q11="Bishou D",618,IF(Atletas!Q11="Shan D",619,IF(Atletas!Q11="Outra Arma Curta D",620,IF(Atletas!Q11="Dao E",621,IF(Atletas!Q11="Jian E",622,IF(Atletas!Q11="Bishou E",623,IF(Atletas!Q11="Shan E",624,IF(Atletas!Q11="Outra Arma Curta E",625,IF(Atletas!Q11="Dao F",626,IF(Atletas!Q11="Jian F",627,IF(Atletas!Q11="Bishou F",628,IF(Atletas!Q11="Shan F",629,IF(Atletas!Q11="Outra Arma Curta F",630, "")))))))))))))))))))))))))))))))</f>
        <v/>
      </c>
      <c r="BT15" s="52" t="str">
        <f>IF(Atletas!R11="","",IF(Atletas!W11&lt;&gt;"",10000,0)+IF(Atletas!B11="Feminino",1000,IF(Atletas!B11="Masculino",2000,""))+IF(Atletas!R11="Gun A",701,IF(Atletas!R11="Qiang A",702,IF(Atletas!R11="Pudao / Guandao A",703,IF(Atletas!R11="Outra Arma Longa A",704,IF(Atletas!R11="Gun B",705,IF(Atletas!R11="Qiang B",706,IF(Atletas!R11="Pudao / Guandao B",707,IF(Atletas!R11="Outra Arma Longa B",708,IF(Atletas!R11="Gun C",709,IF(Atletas!R11="Qiang C",710,IF(Atletas!R11="Pudao / Guandao C",711,IF(Atletas!R11="Outra Arma Longa C",712,IF(Atletas!R11="Gun D",713,IF(Atletas!R11="Qiang D",714,IF(Atletas!R11="Pudao / Guandao D",715,IF(Atletas!R11="Outra Arma Longa D",716,IF(Atletas!R11="Gun E",717,IF(Atletas!R11="Qiang E",718,IF(Atletas!R11="Pudao / Guandao E",719,IF(Atletas!R11="Outra Arma Longa E",720,IF(Atletas!R11="Gun F",721,IF(Atletas!R11="Qiang F",722,IF(Atletas!R11="Pudao / Guandao F",723,IF(Atletas!R11="Outra Arma Longa F",724,"")))))))))))))))))))))))))</f>
        <v/>
      </c>
      <c r="BU15" s="52" t="str">
        <f>IF(Atletas!S11="","",IF(Atletas!W11&lt;&gt;"",10000,0)+IF(Atletas!B11="Feminino",1000,IF(Atletas!B11="Masculino",2000,""))+IF(Atletas!S11="Arma Dupla A",801,IF(Atletas!S11="Arma Maleável A",802,IF(Atletas!S11="Arma Dupla B",803,IF(Atletas!S11="Arma Maleável B",804,IF(Atletas!S11="Arma Dupla C",805,IF(Atletas!S11="Arma Maleável C",806,IF(Atletas!S11="Arma Dupla D",807,IF(Atletas!S11="Arma Maleável D",808,IF(Atletas!S11="Arma Dupla E",809,IF(Atletas!S11="Arma Maleável E",810,IF(Atletas!S11="Arma Dupla F",811,IF(Atletas!S11="Arma Maleável F",812, "")))))))))))))</f>
        <v/>
      </c>
      <c r="BV15" s="52" t="str">
        <f>IF(Atletas!T11="","",IF(Atletas!W11&lt;&gt;"",10000,0)+IF(Atletas!B11="Feminino",1000,IF(Atletas!B11="Masculino",2000,""))+IF(Atletas!T11="Taijijian Yang A",901,IF(Atletas!T11="Taijijian Chen A",902,IF(Atletas!T11="Taijijian Sun A",903,IF(Atletas!T11="Taijijian Wu A",904,IF(Atletas!T11="Taijijian Wu-Hao A",905,IF(Atletas!T11="Taijijian 32 A",906,IF(Atletas!T11="Taijijian 42 A",907,IF(Atletas!T11="Taijijian Yang B",908,IF(Atletas!T11="Taijijian Chen B",909,IF(Atletas!T11="Taijijian Sun B",910,IF(Atletas!T11="Taijijian Wu B",911,IF(Atletas!T11="Taijijian Wu-Hao B",912,IF(Atletas!T11="Taijijian 32 B",913,IF(Atletas!T11="Taijijian 42 B",914,IF(Atletas!T11="Taijijian Yang C",915,IF(Atletas!T11="Taijijian Chen C",916,IF(Atletas!T11="Taijijian Sun C",917,IF(Atletas!T11="Taijijian Wu C",918,IF(Atletas!T11="Taijijian Wu-Hao C",919,IF(Atletas!T11="Taijijian 32 C",920,IF(Atletas!T11="Taijijian 42 C",921,IF(Atletas!T11="Taijijian Yang D",922,IF(Atletas!T11="Taijijian Chen D",923,IF(Atletas!T11="Taijijian Sun D",924,IF(Atletas!T11="Taijijian Wu D",925,IF(Atletas!T11="Taijijian Wu-Hao D",926,IF(Atletas!T11="Taijijian 32 D",927,IF(Atletas!T11="Taijijian 42 D",928,IF(Atletas!T11="Taijijian Yang E",929,IF(Atletas!T11="Taijijian Chen E",930,IF(Atletas!T11="Taijijian Sun E",931,IF(Atletas!T11="Taijijian Wu E",932,IF(Atletas!T11="Taijijian Wu-Hao E",933,IF(Atletas!T11="Taijijian 32 E",934,IF(Atletas!T11="Taijijian 42 E",935,IF(Atletas!T11="Taijijian Yang F",936,IF(Atletas!T11="Taijijian Chen F",937,IF(Atletas!T11="Taijijian Sun F",938,IF(Atletas!T11="Taijijian Wu F",939,IF(Atletas!T11="Taijijian Wu-Hao F",940,IF(Atletas!T11="Taijijian 32 F",941,IF(Atletas!T11="Taijijian 42 F",942,"")))))))))))))))))))))))))))))))))))))))))))</f>
        <v/>
      </c>
      <c r="BW15" s="52" t="str">
        <f>IF(Atletas!U11="","",IF(Atletas!W11&lt;&gt;"",10000,0)+IF(Atletas!B11="Feminino",1000,IF(Atletas!B11="Masculino",2000,""))+IF(Atletas!T11="Taijijian 42 F",942,IF(Atletas!U11="Taijidao A",943,IF(Atletas!U11="Taijishan A",944,IF(Atletas!U11="Taijiqiang A",945,IF(Atletas!U11="Taijidao B",946,IF(Atletas!U11="Taijishan B",947,IF(Atletas!U11="Taijiqiang B",948,IF(Atletas!U11="Taijidao C",949,IF(Atletas!U11="Taijishan C",950,IF(Atletas!U11="Taijiqiang C",951,IF(Atletas!U11="Taijidao D",952,IF(Atletas!U11="Taijishan D",953,IF(Atletas!U11="Taijiqiang D",954,IF(Atletas!U11="Taijidao E",955,IF(Atletas!U11="Taijishan E",956,IF(Atletas!U11="Taijiqiang E",957,IF(Atletas!U11="Taijidao F",958,IF(Atletas!U11="Taijishan F",959,IF(Atletas!U11="Taijiqiang F",960))))))))))))))))))))</f>
        <v/>
      </c>
      <c r="BX15" s="64" t="str">
        <f>IF(BY15&lt;&gt;"","Wingchun B","")</f>
        <v/>
      </c>
      <c r="BY15" s="64" t="str">
        <f>IF(COUNTIF(BK:BW,1009)&gt;0,COUNTIF(BK:BW,1009),"")</f>
        <v/>
      </c>
      <c r="BZ15" s="64" t="str">
        <f>IF(CA15&lt;&gt;"","Wingchun B","")</f>
        <v/>
      </c>
      <c r="CA15" s="64" t="str">
        <f>IF(COUNTIF(BK:BW,2009)&gt;0,COUNTIF(BK:BW,2009),"")</f>
        <v/>
      </c>
      <c r="CB15" s="64" t="str">
        <f>IF(CC15&lt;&gt;"","Wingchun B","")</f>
        <v/>
      </c>
      <c r="CC15" s="64" t="str">
        <f>IF(COUNTIF(BK:BW,11009)&gt;0,COUNTIF(BK:BW,11009),"")</f>
        <v/>
      </c>
      <c r="CD15" s="64" t="str">
        <f>IF(CE15&lt;&gt;"","Wingchun B","")</f>
        <v/>
      </c>
      <c r="CE15" s="64" t="str">
        <f>IF(COUNTIF(BK:BW,12009)&gt;0,COUNTIF(BK:BW,12009),"")</f>
        <v/>
      </c>
      <c r="CF15" s="52" t="str">
        <f xml:space="preserve"> IF(Atletas!V11="","",IF(Atletas!V11="Duilian de Mãos AB - Equipe 1",1,IF(Atletas!V11="Duilian de Mãos AB - Equipe 2",2,IF(Atletas!V11="Duilian de Armas AB - Equipe 1",3,IF(Atletas!V11="Duilian de Armas AB - Equipe 2",4,IF(Atletas!V11="Duilian de Tuishou - Equipe 1",5,IF(Atletas!V11="Duilian de Tuishou - Equipe 2",6,IF(Atletas!V11="Grupo Externo AB - Equipe 1",7,IF(Atletas!V11="Grupo Externo AB - Equipe 2",8,IF(Atletas!V11="Grupo Interno AB - Equipe 1",9,IF(Atletas!V11="Grupo Interno AB - Equipe 2",10,IF(Atletas!V11="Duilian de Mãos CD - Equipe 1",11,IF(Atletas!V11="Duilian de Mãos CD - Equipe 2",12,IF(Atletas!V11="Duilian de Armas CD - Equipe 1",13,IF(Atletas!V11="Duilian de Armas CD - Equipe 2",14,IF(Atletas!V11="Duilian de Tuishou - Equipe 1",15,IF(Atletas!V11="Duilian de Tuishou - Equipe 2",16,IF(Atletas!V11="Grupo Externo CDEF - Equipe 1",17,IF(Atletas!V11="Grupo Externo CDEF - Equipe 2",18,IF(Atletas!V11="Grupo Interno CDEF - Equipe 1",19,IF(Atletas!V11="Grupo Interno CDEF - Equipe 2",20,IF(Atletas!V11="Duilian de Mãos EF - Equipe 1",21,IF(Atletas!V11="Duilian de Mãos EF - Equipe 2",22,IF(Atletas!V11="Duilian de Armas EF - Equipe 1",23,IF(Atletas!V11="Duilian de Armas EF - Equipe 2",24,IF(Atletas!V11="Duilian de Tuishou - Equipe 1",25,IF(Atletas!V11="Duilian de Tuishou - Equipe 2",26,"")))))))))))))))))))))))))))</f>
        <v/>
      </c>
      <c r="CG15" s="10" t="str">
        <f>IF(CH15&lt;&gt;"","Duilian de Mãos EF - Equipe 1","")</f>
        <v/>
      </c>
      <c r="CH15" s="10" t="str">
        <f>IF(COUNTIF(CF:CF,21)&gt;0,COUNTIF(CF:CF,21),"")</f>
        <v/>
      </c>
      <c r="CI15" s="53"/>
      <c r="CJ15" s="53"/>
      <c r="CK15" s="53"/>
      <c r="CL15" s="53"/>
      <c r="CR15" s="71"/>
    </row>
    <row r="16" spans="1:96">
      <c r="A16" s="26"/>
      <c r="B16" s="4" t="str">
        <f t="array" ref="B16">IFERROR(INDEX(AK$7:AK$36,SMALL(IF(AK$7:AK$36&lt;&gt;"",ROW(AK$7:AK$36)-ROW(AK$7)+1),ROWS(AK$7:AK15))),"")</f>
        <v/>
      </c>
      <c r="C16" s="4" t="str">
        <f t="array" ref="C16">IFERROR(INDEX(AL$7:AL$36,SMALL(IF(AL$7:AL$36&lt;&gt;"",ROW(AL$7:AL$36)-ROW(AL$7)+1),ROWS(AL$7:AL15))),"")</f>
        <v/>
      </c>
      <c r="D16" s="4" t="str">
        <f t="array" ref="D16">IFERROR(INDEX(AM$7:AM$36,SMALL(IF(AM$7:AM$36&lt;&gt;"",ROW(AM$7:AM$36)-ROW(AM$7)+1),ROWS(AM$7:AM15))),"")</f>
        <v/>
      </c>
      <c r="E16" s="4" t="str">
        <f t="array" ref="E16">IFERROR(INDEX(AN$7:AN$36,SMALL(IF(AN$7:AN$36&lt;&gt;"",ROW(AN$7:AN$36)-ROW(AN$7)+1),ROWS(AN$7:AN15))),"")</f>
        <v/>
      </c>
      <c r="F16" s="4" t="str">
        <f t="array" ref="F16">IFERROR(INDEX(AP$7:AP$36,SMALL(IF(AP$7:AP$36&lt;&gt;"",ROW(AP$7:AP$36)-ROW(AP$7)+1),ROWS(AP$7:AP15))),"")</f>
        <v/>
      </c>
      <c r="G16" s="4" t="str">
        <f t="array" ref="G16">IFERROR(INDEX(AQ$7:AQ$36,SMALL(IF(AQ$7:AQ$36&lt;&gt;"",ROW(AQ$7:AQ$36)-ROW(AQ$7)+1),ROWS(AQ$7:AQ15))),"")</f>
        <v/>
      </c>
      <c r="H16" s="4" t="str">
        <f t="array" ref="H16">IFERROR(INDEX(AR$7:AR$36,SMALL(IF(AR$7:AR$36&lt;&gt;"",ROW(AR$7:AR$36)-ROW(AR$7)+1),ROWS(AR$7:AR15))),"")</f>
        <v/>
      </c>
      <c r="I16" s="4" t="str">
        <f t="array" ref="I16">IFERROR(INDEX(AS$7:AS$36,SMALL(IF(AS$7:AS$36&lt;&gt;"",ROW(AS$7:AS$36)-ROW(AS$7)+1),ROWS(AS$7:AS15))),"")</f>
        <v/>
      </c>
      <c r="J16" s="4" t="str">
        <f t="array" ref="J16">IFERROR(INDEX(AU$7:AU$36,SMALL(IF(AU$7:AU$36&lt;&gt;"",ROW(AU$7:AU$36)-ROW(AU$7)+1),ROWS(AU$7:AU15))),"")</f>
        <v/>
      </c>
      <c r="K16" s="4" t="str">
        <f t="array" ref="K16">IFERROR(INDEX(AV$7:AV$36,SMALL(IF(AV$7:AV$36&lt;&gt;"",ROW(AV$7:AV$36)-ROW(AV$7)+1),ROWS(AV$7:AV15))),"")</f>
        <v/>
      </c>
      <c r="L16" s="4" t="str">
        <f t="array" ref="L16">IFERROR(INDEX(AW$7:AW$36,SMALL(IF(AW$7:AW$36&lt;&gt;"",ROW(AW$7:AW$36)-ROW(AW$7)+1),ROWS(AW$7:AW15))),"")</f>
        <v/>
      </c>
      <c r="M16" s="4" t="str">
        <f t="array" ref="M16">IFERROR(INDEX(AX$7:AX$36,SMALL(IF(AX$7:AX$36&lt;&gt;"",ROW(AX$7:AX$36)-ROW(AX$7)+1),ROWS(AX$7:AX15))),"")</f>
        <v/>
      </c>
      <c r="N16" s="4" t="str">
        <f t="array" ref="N16">IFERROR(INDEX(BB$7:BB$66,SMALL(IF(BB$7:BB$66&lt;&gt;"",ROW(BB$7:BB$66)-ROW(BB$7)+1),ROWS(BB$7:BB15))),"")</f>
        <v/>
      </c>
      <c r="O16" s="4" t="str">
        <f t="array" ref="O16">IFERROR(INDEX(BC$7:BC$66,SMALL(IF(BC$7:BC$66&lt;&gt;"",ROW(BC$7:BC$66)-ROW(BC$7)+1),ROWS(BC$7:BC15))),"")</f>
        <v/>
      </c>
      <c r="P16" s="4" t="str">
        <f t="array" ref="P16">IFERROR(INDEX(BD$7:BD$66,SMALL(IF(BD$7:BD$66&lt;&gt;"",ROW(BD$7:BD$66)-ROW(BD$7)+1),ROWS(BD$7:BD15))),"")</f>
        <v/>
      </c>
      <c r="Q16" s="4" t="str">
        <f t="array" ref="Q16">IFERROR(INDEX(BE$7:BE$66,SMALL(IF(BE$7:BE$66&lt;&gt;"",ROW(BE$7:BE$66)-ROW(BE$7)+1),ROWS(BE$7:BE15))),"")</f>
        <v/>
      </c>
      <c r="R16" s="31"/>
      <c r="S16" s="31"/>
      <c r="T16" s="31"/>
      <c r="U16" s="31"/>
      <c r="V16" s="4" t="str">
        <f t="array" ref="V16">IFERROR(INDEX(BX$7:BX$336,SMALL(IF(BX$7:BX$336&lt;&gt;"",ROW(BX$7:BX$336)-ROW(BX$7)+1),ROWS(BX$7:BX15))),"")</f>
        <v/>
      </c>
      <c r="W16" s="4" t="str">
        <f t="array" ref="W16">IFERROR(INDEX(BY$7:BY$336,SMALL(IF(BY$7:BY$336&lt;&gt;"",ROW(BY$7:BY$336)-ROW(BY$7)+1),ROWS(BY$7:BY15))),"")</f>
        <v/>
      </c>
      <c r="X16" s="4" t="str">
        <f t="array" ref="X16">IFERROR(INDEX(BZ$7:BZ$336,SMALL(IF(BZ$7:BZ$336&lt;&gt;"",ROW(BZ$7:BZ$336)-ROW(BZ$7)+1),ROWS(BZ$7:BZ15))),"")</f>
        <v/>
      </c>
      <c r="Y16" s="4" t="str">
        <f t="array" ref="Y16">IFERROR(INDEX(CA$7:CA$336,SMALL(IF(CA$7:CA$336&lt;&gt;"",ROW(CA$7:CA$336)-ROW(CA$7)+1),ROWS(CA$7:CA15))),"")</f>
        <v/>
      </c>
      <c r="Z16" s="4" t="str">
        <f t="array" ref="Z16">IFERROR(INDEX(CB$7:CB$378,SMALL(IF(CB$7:CB$378&lt;&gt;"",ROW(CB$7:CB$378)-ROW(CB$7)+1),ROWS(CB$7:CB15))),"")</f>
        <v/>
      </c>
      <c r="AA16" s="4" t="str">
        <f t="array" ref="AA16">IFERROR(INDEX(CC$7:CC$378,SMALL(IF(CC$7:CC$378&lt;&gt;"",ROW(CC$7:CC$378)-ROW(CC$7)+1),ROWS(CC$7:CC15))),"")</f>
        <v/>
      </c>
      <c r="AB16" s="4" t="str">
        <f t="array" ref="AB16">IFERROR(INDEX(CD$7:CD$378,SMALL(IF(CD$7:CD$378&lt;&gt;"",ROW(CD$7:CD$378)-ROW(CD$7)+1),ROWS(CD$7:CD15))),"")</f>
        <v/>
      </c>
      <c r="AC16" s="4" t="str">
        <f t="array" ref="AC16">IFERROR(INDEX(CE$7:CE$378,SMALL(IF(CE$7:CE$378&lt;&gt;"",ROW(CE$7:CE$378)-ROW(CE$7)+1),ROWS(CE$7:CE15))),"")</f>
        <v/>
      </c>
      <c r="AD16" s="69" t="str">
        <f t="array" ref="AD16">IFERROR(INDEX(CG$7:CG$18,SMALL(IF(CG$7:CG$18&lt;&gt;"",ROW(CG$7:CG$18)-ROW(CG$7)+1),ROWS(CG$7:CG15))),"")</f>
        <v/>
      </c>
      <c r="AE16" s="69" t="str">
        <f t="array" ref="AE16">IFERROR(INDEX(CH$7:CH$18,SMALL(IF(CH$7:CH$18&lt;&gt;"",ROW(CH$7:CH$18)-ROW(CH$7)+1),ROWS(CH$7:CH15))),"")</f>
        <v/>
      </c>
      <c r="AF16" s="69"/>
      <c r="AG16" s="69"/>
      <c r="AH16" s="69" t="str">
        <f t="array" ref="AH16">IFERROR(INDEX(CK$7:CK$14,SMALL(IF(CK$7:CK$14&lt;&gt;"",ROW(CK$7:CK$14)-ROW(CK$7)+1),ROWS(CK$7:CK15))),"")</f>
        <v/>
      </c>
      <c r="AI16" s="69"/>
      <c r="AJ16" s="46" t="str">
        <f>IF(Atletas!D12="","",IF(Atletas!B12="Feminino",100,IF(Atletas!B12="Masculino",200,""))+(IF(Atletas!D12="Infantil 39kg",1,IF(Atletas!D12="Infantil 42kg",2,IF(Atletas!D12="Infantil 45kg",3,IF(Atletas!D12="Infantil 48kg",4,IF(Atletas!D12="Infantil 52kg",5,IF(Atletas!D12="Infantil 56kg",6,IF(Atletas!D12="Infantil 60kg",7,IF(Atletas!D12="Juvenil 48kg",8,IF(Atletas!D12="Juvenil 52kg",9,IF(Atletas!D12="Juvenil 56kg",10,IF(Atletas!D12="Juvenil 60kg",11,IF(Atletas!D12="Juvenil 65kg",12,IF(Atletas!D12="Juvenil 70kg",13,IF(Atletas!D12="Juvenil 75kg",14,IF(Atletas!D12="Juvenil 80kg",15,IF(Atletas!D12="Adulto 48kg",16,IF(Atletas!D12="Adulto 52kg",17,IF(Atletas!D12="Adulto 56kg",18,IF(Atletas!D12="Adulto 60kg",19,IF(Atletas!D12="Adulto 65kg",20,IF(Atletas!D12="Adulto 70kg",21,IF(Atletas!D12="Adulto 75kg",22,IF(Atletas!D12="Adulto 80kg",23,IF(Atletas!D12="Adulto 85kg",24,IF(Atletas!D12="Adulto 90kg",25,IF(Atletas!D12="Adulto +90kg",26,""))))))))))))))))))))))))))))</f>
        <v/>
      </c>
      <c r="AK16" s="52" t="str">
        <f>IF(AL16&lt;&gt;"","Adulto 52kg","")</f>
        <v/>
      </c>
      <c r="AL16" s="10" t="str">
        <f>IF(COUNTIF(AJ:AJ,117)&gt;0,COUNTIF(AJ:AJ,117),"")</f>
        <v/>
      </c>
      <c r="AM16" s="52" t="str">
        <f>IF(AN16&lt;&gt;"","Juvenil 56kg","")</f>
        <v/>
      </c>
      <c r="AN16" s="10" t="str">
        <f>IF(COUNTIF(AJ:AJ,210)&gt;0,COUNTIF(AJ:AJ,210),"")</f>
        <v/>
      </c>
      <c r="AO16" s="10" t="str">
        <f>IF(Atletas!E12="","",IF(Atletas!B12="Feminino",100,IF(Atletas!B12="Masculino",200,""))+(IF(Atletas!E12="Juvenil 44kg",1,IF(Atletas!E12="Juvenil 48kg",2,IF(Atletas!E12="Juvenil 52kg",3,IF(Atletas!E12="Juvenil 56kg",4,IF(Atletas!E12="Juvenil 60kg",5,IF(Atletas!E12="Juvenil 65kg",6,IF(Atletas!E12="Juvenil 70kg",7,IF(Atletas!E12="Juvenil 75kg",8,IF(Atletas!E12="Juvenil 82kg",9,IF(Atletas!E12="Juvenil 90kg",10,IF(Atletas!E12="Juvenil 100kg",11,IF(Atletas!E12="Adulto 48kg",12,IF(Atletas!E12="Adulto 52kg",13,IF(Atletas!E12="Adulto 56kg",14,IF(Atletas!E12="Adulto 60kg",15,IF(Atletas!E12="Adulto 65kg",16,IF(Atletas!E12="Adulto 70kg",17,IF(Atletas!E12="Adulto 75kg",18,IF(Atletas!E12="Adulto 82kg",19,IF(Atletas!E12="Adulto 90kg",20,IF(Atletas!E12="Adulto 100kg",21,IF(Atletas!E12="Adulto +100kg",22,""))))))))))))))))))))))))</f>
        <v/>
      </c>
      <c r="AP16" s="52" t="str">
        <f>IF(AQ16&lt;&gt;"","Adulto 52kg","")</f>
        <v/>
      </c>
      <c r="AQ16" s="10" t="str">
        <f>IF(COUNTIF(AO:AO,113)&gt;0,COUNTIF(AO:AO,113),"")</f>
        <v/>
      </c>
      <c r="AR16" s="52" t="str">
        <f>IF(AS16&lt;&gt;"","Juvenil 100kg","")</f>
        <v/>
      </c>
      <c r="AS16" s="10" t="str">
        <f>IF(COUNTIF(AO:AO,211)&gt;0,COUNTIF(AO:AO,211),"")</f>
        <v/>
      </c>
      <c r="AT16" s="10" t="str">
        <f>IF(Atletas!F12="","",IF(Atletas!B12="Feminino",100,IF(Atletas!B12="Masculino",200,""))+(IF(Atletas!F12="Adulto 48kg",1,IF(Atletas!F12="Adulto 56kg",2,IF(Atletas!F12="Adulto 65kg",3,IF(Atletas!F12="Adulto 75kg",4,IF(Atletas!F12="Adulto +75kg",5,IF(Atletas!F12="Adulto 52kg",6,IF(Atletas!F12="Adulto 60kg",7,IF(Atletas!F12="Adulto 70kg",8,IF(Atletas!F12="Adulto 80kg",9,IF(Atletas!F12="Adulto 90kg",10,IF(Atletas!F12="Adulto +90kg",11,"")))))))))))))</f>
        <v/>
      </c>
      <c r="AW16" s="52"/>
      <c r="AY16" s="46" t="str">
        <f>IF(Atletas!G12="","",IF(Atletas!B12="Feminino",100,IF(Atletas!B12="Masculino",200,""))+(IF(Atletas!G12="Changquan Mirim",1,IF(Atletas!G12="Nanquan Mirim",2,IF(Atletas!G12="Taijiquan Mirim",3,IF(Atletas!G12="Changquan Grupo C",4,IF(Atletas!G12="Nanquan Grupo C",5,IF(Atletas!G12="Taijiquan Grupo C",6,IF(Atletas!G12="Changquan Grupo B",7,IF(Atletas!G12="Nanquan Grupo B",8,IF(Atletas!G12="Taijiquan Grupo B",9,IF(Atletas!G12="Changquan Grupo A",10,IF(Atletas!G12="Nanquan Grupo A",11,IF(Atletas!G12="Taijiquan Grupo A",12,IF(Atletas!G12="Changquan Opcional",13,IF(Atletas!G12="Nanquan Opcional",14,IF(Atletas!G12="Taijiquan Opcional",15,IF(Atletas!G12="Changquan Adulto",16,IF(Atletas!G12="Nanquan Adulto",17,IF(Atletas!G12="Taijiquan Adulto",18,""))))))))))))))))))))</f>
        <v/>
      </c>
      <c r="AZ16" s="46" t="str">
        <f>IF(Atletas!H12="","",IF(Atletas!B12="Feminino",100,IF(Atletas!B12="Masculino",200,""))+(IF(Atletas!H12="Daoshu Mirim",19,IF(Atletas!H12="Jianshu Mirim",20,IF(Atletas!H12="Nandao Mirim",21,IF(Atletas!H12="Taijijian Mirim",22,IF(Atletas!H12="Daoshu Grupo C",23,IF(Atletas!H12="Jianshu Grupo C",24,IF(Atletas!H12="Nandao Grupo C",25,IF(Atletas!H12="Taijijian Grupo C",26,IF(Atletas!H12="Daoshu Grupo B",27,IF(Atletas!H12="Jianshu Grupo B",28,IF(Atletas!H12="Nandao Grupo B",29,IF(Atletas!H12="Taijijian Grupo B",30,IF(Atletas!H12="Daoshu Grupo A",31,IF(Atletas!H12="Jianshu Grupo A",32,IF(Atletas!H12="Nandao Grupo A",33,IF(Atletas!H12="Taijijian Grupo A",34,IF(Atletas!H12="Daoshu Opcional",35,IF(Atletas!H12="Jianshu Opcional",36,IF(Atletas!H12="Nandao Opcional",37,IF(Atletas!H12="Taijijian Opcional",38,IF(Atletas!H12="Daoshu Adulto",39,IF(Atletas!H12="Jianshu Adulto",40,IF(Atletas!H12="Nandao Adulto",41,IF(Atletas!H12="Taijijian Adulto",42,""))))))))))))))))))))))))))</f>
        <v/>
      </c>
      <c r="BA16" s="46" t="str">
        <f>IF(Atletas!I12="","",IF(Atletas!B12="Feminino",100,IF(Atletas!B12="Masculino",200,""))+(IF(Atletas!I12="Gunshu Mirim",43,IF(Atletas!I12="Qiangshu Mirim",44,IF(Atletas!I12="Nangun Mirim",45,IF(Atletas!I12="Gunshu Grupo C",46,IF(Atletas!I12="Qiangshu Grupo C",47,IF(Atletas!I12="Nangun Grupo C",48,IF(Atletas!I12="Gunshu Grupo B",49,IF(Atletas!I12="Qiangshu Grupo B",50,IF(Atletas!I12="Nangun Grupo B",51,IF(Atletas!I12="Gunshu Grupo A",52,IF(Atletas!I12="Qiangshu Grupo A",53,IF(Atletas!I12="Nangun Grupo A",54,IF(Atletas!I12="Gunshu Opcional",55,IF(Atletas!I12="Qiangshu Opcional",56,IF(Atletas!I12="Nangun Opcional",57,IF(Atletas!I12="Gunshu Adulto",58,IF(Atletas!I12="Qiangshu Adulto",59,IF(Atletas!I12="Nangun Adulto",60,""))))))))))))))))))))</f>
        <v/>
      </c>
      <c r="BB16" s="46" t="str">
        <f>IF(BC16&lt;&gt;"","Nangun Mirim","")</f>
        <v/>
      </c>
      <c r="BC16" s="52" t="str">
        <f>IF(COUNTIF(AY:BA,145)&gt;0,COUNTIF(AY:BA,145),"")</f>
        <v/>
      </c>
      <c r="BD16" s="46" t="str">
        <f>IF(BE16&lt;&gt;"","Nangun Mirim","")</f>
        <v/>
      </c>
      <c r="BE16" s="52" t="str">
        <f>IF(COUNTIF(AY:BA,245)&gt;0,COUNTIF(AY:BA,245),"")</f>
        <v/>
      </c>
      <c r="BF16" s="52" t="str">
        <f>IF(Atletas!J12="","",IF(Atletas!B12="Feminino",100,IF(Atletas!B12="Masculino",200,""))+(IF(Atletas!J12="Equipe 1 Grupo B",1,IF(Atletas!J12="Equipe 2 Grupo B",2,IF(Atletas!J12="Equipe 1 Grupo A",3,IF(Atletas!J12="Equipe 2 Grupo A",4,IF(Atletas!J12="Equipe 1 Adulto",5,IF(Atletas!J12="Equipe 2 Adulto",6,""))))))))</f>
        <v/>
      </c>
      <c r="BG16" s="55"/>
      <c r="BH16" s="55"/>
      <c r="BI16" s="55"/>
      <c r="BJ16" s="53"/>
      <c r="BK16" s="52" t="str">
        <f>IF(Atletas!K12="","",IF(Atletas!W12&lt;&gt;"",10000,0)+(IF(Atletas!B12="Feminino",1000,IF(Atletas!B12="Masculino",2000,""))+IF(Atletas!K12="Choylayfut A",1,IF(Atletas!K12="Hunggar A",2,IF(Atletas!K12="Wuzuquan A",3,IF(Atletas!K12="Wingchun A",4,IF(Atletas!K12="Outra Mão de Sul A",5,IF(Atletas!K12="Choylayfut B",6,IF(Atletas!K12="Hunggar B",7,IF(Atletas!K12="Wuzuquan B",8,IF(Atletas!K12="Wingchun B",9,IF(Atletas!K12="Outra Mão de Sul B",10,IF(Atletas!K12="Choylayfut C",11,IF(Atletas!K12="Hunggar C",12,IF(Atletas!K12="Wuzuquan C",13,IF(Atletas!K12="Wingchun C",14,IF(Atletas!K12="Outra Mão de Sul C",15,IF(Atletas!K12="Choylayfut D",16,IF(Atletas!K12="Hunggar D",17,IF(Atletas!K12="Wuzuquan D",18,IF(Atletas!K12="Wingchun D",19,IF(Atletas!K12="Outra Mão de Sul D",20,IF(Atletas!K12="Choylayfut E",21,IF(Atletas!K12="Hunggar E",22,IF(Atletas!K12="Wuzuquan E",23,IF(Atletas!K12="Wingchun E",24,IF(Atletas!K12="Outra Mão de Sul E",25,IF(Atletas!K12="Choylayfut F",26,IF(Atletas!K12="Hunggar F",27,IF(Atletas!K12="Wuzuquan F",28,IF(Atletas!K12="Wingchun F",29,IF(Atletas!K12="Outra Mão de Sul F",30,""))))))))))))))))))))))))))))))))</f>
        <v/>
      </c>
      <c r="BL16" s="52" t="str">
        <f>IF(Atletas!L12="","",IF(Atletas!W12&lt;&gt;"",10000,0)+(IF(Atletas!B12="Feminino",1000,IF(Atletas!B12="Masculino",2000,""))+(IF(Atletas!L12="Chaquan A",101,IF(Atletas!L12="Emeiquan A",102,IF(Atletas!L12="Fanziquan A",103,IF(Atletas!L12="Huaquan A",104,IF(Atletas!L12="Hongquan A",105,IF(Atletas!L12="Paochui A",106,IF(Atletas!L12="Piguaquan A",107,IF(Atletas!L12="Shaolinquan A",108,IF(Atletas!L12="Tanglangquan A",109,IF(Atletas!L12="Yinzhaophai A",110,IF(Atletas!L12="Tongbeiquan A",111,IF(Atletas!L12="Wudangquan A",112,IF(Atletas!L12="Outros Estilos A",113,IF(Atletas!L12="Chaquan B",114,IF(Atletas!L12="Emeiquan B",115,IF(Atletas!L12="Fanziquan B",116,IF(Atletas!L12="Huaquan B",117,IF(Atletas!L12="Hongquan B",118,IF(Atletas!L12="Paochui B",119,IF(Atletas!L12="Piguaquan B",120,IF(Atletas!L12="Shaolinquan B",121,IF(Atletas!L12="Tanglangquan B",122,IF(Atletas!L12="Yinzhaophai B",123,IF(Atletas!L12="Tongbeiquan B",124,IF(Atletas!L12="Wudangquan B",125,IF(Atletas!L12="Outros Estilos B",126,IF(Atletas!L12="Chaquan C",127,IF(Atletas!L12="Emeiquan C",128,IF(Atletas!L12="Fanziquan C",129,IF(Atletas!L12="Huaquan C",130,IF(Atletas!L12="Hongquan C",131,IF(Atletas!L12="Paochui C",132,IF(Atletas!L12="Piguaquan C",133,IF(Atletas!L12="Shaolinquan C",134,IF(Atletas!L12="Tanglangquan C",135,IF(Atletas!L12="Yinzhaophai C",136,IF(Atletas!L12="Tongbeiquan C",137,IF(Atletas!L12="Wudangquan C",138,IF(Atletas!L12="Outros Estilos C",139,0))))))))))))))))))))))))))))))))))))))))))</f>
        <v/>
      </c>
      <c r="BM16" s="52" t="str">
        <f>IF(Atletas!L12="","",IF(Atletas!W12&lt;&gt;"",10000,0)+(IF(Atletas!B12="Feminino",1000,IF(Atletas!B12="Masculino",2000,""))+(IF(Atletas!L12="Chaquan D",140,IF(Atletas!L12="Emeiquan D",141,IF(Atletas!L12="Fanziquan D",142,IF(Atletas!L12="Huaquan D",143,IF(Atletas!L12="Hongquan D",144,IF(Atletas!L12="Paochui D",145,IF(Atletas!L12="Piguaquan D",146,IF(Atletas!L12="Shaolinquan D",147,IF(Atletas!L12="Tanglangquan D",148,IF(Atletas!L12="Yinzhaophai D",149,IF(Atletas!L12="Tongbeiquan D",150,IF(Atletas!L12="Wudangquan D",151,IF(Atletas!L12="Outros Estilos D",152,IF(Atletas!L12="Chaquan E",153,IF(Atletas!L12="Emeiquan E",154,IF(Atletas!L12="Fanziquan E",155,IF(Atletas!L12="Huaquan E",156,IF(Atletas!L12="Hongquan E",157,IF(Atletas!L12="Paochui E",158,IF(Atletas!L12="Piguaquan E",159,IF(Atletas!L12="Shaolinquan E",160,IF(Atletas!L12="Tanglangquan E",161,IF(Atletas!L12="Yinzhaophai E",162,IF(Atletas!L12="Tongbeiquan E",163,IF(Atletas!L12="Wudangquan E",164,IF(Atletas!L12="Outros Estilos E",165,IF(Atletas!L12="Chaquan F",166,IF(Atletas!L12="Emeiquan F",167,IF(Atletas!L12="Fanziquan F",168,IF(Atletas!L12="Huaquan F",169,IF(Atletas!L12="Hongquan F",170,IF(Atletas!L12="Paochui F",171,IF(Atletas!L12="Piguaquan F",172,IF(Atletas!L12="Shaolinquan F",173,IF(Atletas!L12="Tanglangquan F",174,IF(Atletas!L12="Yinzhaophai F",175,IF(Atletas!L12="Tongbeiquan F",176,IF(Atletas!L12="Wudangquan F",177,IF(Atletas!L12="Outros Estilos F",178,0))))))))))))))))))))))))))))))))))))))))))</f>
        <v/>
      </c>
      <c r="BN16" s="52" t="str">
        <f>IF(Atletas!M12="","",IF(Atletas!W12&lt;&gt;"",10000,0)+(IF(Atletas!B12="Feminino",1000,IF(Atletas!B12="Masculino",2000,""))+(IF(Atletas!M12="Ditangquan A",201,IF(Atletas!M12="Houquan A",202,IF(Atletas!M12="Zuiquan A",203,IF(Atletas!M12="Ditangquan B",204,IF(Atletas!M12="Houquan B",205,IF(Atletas!M12="Zuiquan B",206,IF(Atletas!M12="Ditangquan C",207,IF(Atletas!M12="Houquan C",208,IF(Atletas!M12="Zuiquan C",209,IF(Atletas!M12="Ditangquan D",210,IF(Atletas!M12="Houquan D",211,IF(Atletas!M12="Zuiquan D",212,IF(Atletas!M12="Ditangquan E",213,IF(Atletas!M12="Houquan E",214,IF(Atletas!M12="Zuiquan E",215,IF(Atletas!M12="Ditangquan F",216,IF(Atletas!M12="Houquan F",217,IF(Atletas!M12="Zuiquan F",218,"")))))))))))))))))))))</f>
        <v/>
      </c>
      <c r="BO16" s="52" t="str">
        <f>IF(Atletas!N12="","",IF(Atletas!W12&lt;&gt;"",10000,0)+IF(Atletas!B12="Feminino",1000,IF(Atletas!B12="Masculino",2000,""))+IF(Atletas!N12="Yang A",301,IF(Atletas!N12="Chen A",30,IF(Atletas!N12="Sun A",303,IF(Atletas!N12="Wu A",304,IF(Atletas!N12="Wu-Hao A",305,IF(Atletas!N12="Outro Taijiquan A",306,IF(Atletas!N12="Yang B",307,IF(Atletas!N12="Chen B",308,IF(Atletas!N12="Sun B",309,IF(Atletas!N12="Wu B",310,IF(Atletas!N12="Wu-Hao B",311,IF(Atletas!N12="Outro Taijiquan B",312,IF(Atletas!N12="Yang C",313,IF(Atletas!N12="Chen C",314,IF(Atletas!N12="Sun C",315,IF(Atletas!N12="Wu C",316,IF(Atletas!N12="Wu-Hao C",317,IF(Atletas!N12="Outro Taijiquan C",318,IF(Atletas!N12="Yang D",319,IF(Atletas!N12="Chen D",320,IF(Atletas!N12="Sun D",321,IF(Atletas!N12="Wu D",322,IF(Atletas!N12="Wu-Hao D",323,IF(Atletas!N12="Outro Taijiquan D",324,IF(Atletas!N12="Yang E",325,IF(Atletas!N12="Chen E",326,IF(Atletas!N12="Sun E",327,IF(Atletas!N12="Wu E",328,IF(Atletas!N12="Wu-Hao E",329,IF(Atletas!N12="Outro Taijiquan E",330,IF(Atletas!N12="Yang F",331,IF(Atletas!N12="Chen F",332,IF(Atletas!N12="Sun F",333,IF(Atletas!N12="Wu F",334,IF(Atletas!N12="Wu-Hao F",335,IF(Atletas!N12="Outro Taijiquan F",336,"")))))))))))))))))))))))))))))))))))))</f>
        <v/>
      </c>
      <c r="BP16" s="52" t="str">
        <f>IF(Atletas!O12="","",IF(Atletas!W12&lt;&gt;"",10000,0)+IF(Atletas!B12="Feminino",1000,IF(Atletas!B12="Masculino",2000,""))+IF(OR(Atletas!O12="Yang 26 A",Atletas!O12="Yang 40 A"),401,IF(OR(Atletas!O12="Chen 25 A",Atletas!O12="Chen 36 A",Atletas!O12="Chen 56 A"),402,IF(Atletas!O12="Sun 73 A",403,IF(Atletas!O12="Wu 45 A",404,IF(Atletas!O12="Wu-Hao 46 A",405,IF(OR(Atletas!O12="Taijiquan 16 A",Atletas!O12="Taijiquan 24 A",Atletas!O12="Taijiquan 32 A",Atletas!O12="Taijiquan 42 A"),406,IF(OR(Atletas!O12="Yang 26 B",Atletas!O12="Yang 40 B"),407,IF(OR(Atletas!O12="Chen 25 B",Atletas!O12="Chen 36 B",Atletas!O12="Chen 56 B"),408,IF(Atletas!O12="Sun 73 B",409,IF(Atletas!O12="Wu 45 B",410,IF(Atletas!O12="Wu-Hao 46 B",411,IF(OR(Atletas!O12="Taijiquan 16 B",Atletas!O12="Taijiquan 24 B",Atletas!O12="Taijiquan 32 B",Atletas!O12="Taijiquan 42 B"),412,IF(OR(Atletas!O12="Yang 26 C",Atletas!O12="Yang 40 C"),413,IF(OR(Atletas!O12="Chen 25 C",Atletas!O12="Chen 36 C",Atletas!O12="Chen 56 C"),414,IF(Atletas!O12="Sun 73 C",415,IF(Atletas!O12="Wu 45 C",416,IF(Atletas!O12="Wu-Hao 46 C",417,IF(OR(Atletas!O12="Taijiquan 16 C",Atletas!O12="Taijiquan 24 C",Atletas!O12="Taijiquan 32 C",Atletas!O12="Taijiquan 42 C"),418,0)))))))))))))))))))</f>
        <v/>
      </c>
      <c r="BQ16" s="52" t="str">
        <f>IF(Atletas!O12="","",IF(Atletas!W12&lt;&gt;"",10000,0)+IF(Atletas!B12="Feminino",1000,IF(Atletas!B12="Masculino",2000,""))+IF(OR(Atletas!O12="Yang 26 D",Atletas!O12="Yang 40 D"),419,IF(OR(Atletas!O12="Chen 25 D",Atletas!O12="Chen 36 D",Atletas!O12="Chen 56 D"),420,IF(Atletas!O12="Sun 73 D",421,IF(Atletas!O12="Wu 45 D",422,IF(Atletas!O12="Wu-Hao 46 D",423,IF(OR(Atletas!O12="Taijiquan 16 D",Atletas!O12="Taijiquan 24 D",Atletas!O12="Taijiquan 32 D",Atletas!O12="Taijiquan 42 D"),424,IF(OR(Atletas!O12="Yang 26 E",Atletas!O12="Yang 40 E"),425,IF(OR(Atletas!O12="Chen 25 E",Atletas!O12="Chen 36 E",Atletas!O12="Chen 56 E"),426,IF(Atletas!O12="Sun 73 E",427,IF(Atletas!O12="Wu 45 E",428,IF(Atletas!O12="Wu-Hao 46 E",429,IF(OR(Atletas!O12="Taijiquan 16 E",Atletas!O12="Taijiquan 24 E",Atletas!O12="Taijiquan 32 E",Atletas!O12="Taijiquan 42 E"),430,IF(OR(Atletas!O12="Yang 26 F",Atletas!O12="Yang 40 F"),431,IF(OR(Atletas!O12="Chen 25 F",Atletas!O12="Chen 36 F",Atletas!O12="Chen 56 F"),432,IF(Atletas!O12="Sun 73 F",433,IF(Atletas!O12="Wu 45 F",434,IF(Atletas!O12="Wu-Hao 46 F",435,IF(OR(Atletas!O12="Taijiquan 16 F",Atletas!O12="Taijiquan 24 F",Atletas!O12="Taijiquan 32 F",Atletas!O12="Taijiquan 42 F"),436,0)))))))))))))))))))</f>
        <v/>
      </c>
      <c r="BR16" s="52" t="str">
        <f>IF(Atletas!P12="","",IF(Atletas!W12&lt;&gt;"",10000,0)+IF(Atletas!B12="Feminino",1000,IF(Atletas!B12="Masculino",2000,""))+IF(Atletas!P12="Xingyiquan A",501,IF(Atletas!P12="Baguazhang A",502,IF(Atletas!P12="Outro Estilo Interno A",503,IF(Atletas!P12="Xingyiquan B",504,IF(Atletas!P12="Baguazhang B",505,IF(Atletas!P12="Outro Estilo Interno B",506,IF(Atletas!P12="Xingyiquan C",507,IF(Atletas!P12="Baguazhang C",508,IF(Atletas!P12="Outro Estilo Interno C",509,IF(Atletas!P12="Xingyiquan D",510,IF(Atletas!P12="Baguazhang D",511,IF(Atletas!P12="Outro Estilo Interno D",512,IF(Atletas!P12="Xingyiquan E",513,IF(Atletas!P12="Baguazhang E",514,IF(Atletas!P12="Outro Estilo Interno E",515,IF(Atletas!P12="Xingyiquan F",516,IF(Atletas!P12="Baguazhang F",517,IF(Atletas!P12="Outro Estilo Interno F",518, "")))))))))))))))))))</f>
        <v/>
      </c>
      <c r="BS16" s="52" t="str">
        <f>IF(Atletas!Q12="","",IF(Atletas!W12&lt;&gt;"",10000,0)+IF(Atletas!B12="Feminino",1000,IF(Atletas!B12="Masculino",2000,""))+IF(Atletas!Q12="Dao A",601,IF(Atletas!Q12="Jian A",602,IF(Atletas!Q12="Bishou A",603,IF(Atletas!Q12="Shan A",604,IF(Atletas!Q12="Outra Arma Curta A",605,IF(Atletas!Q12="Dao B",606,IF(Atletas!Q12="Jian B",607,IF(Atletas!Q12="Bishou B",608,IF(Atletas!Q12="Shan B",609,IF(Atletas!Q12="Outra Arma Curta B",610,IF(Atletas!Q12="Dao C",611,IF(Atletas!Q12="Jian C",612,IF(Atletas!Q12="Bishou C",613,IF(Atletas!Q12="Shan C",614,IF(Atletas!Q12="Outra Arma Curta C",615,IF(Atletas!Q12="Dao D",616,IF(Atletas!Q12="Jian D",617,IF(Atletas!Q12="Bishou D",618,IF(Atletas!Q12="Shan D",619,IF(Atletas!Q12="Outra Arma Curta D",620,IF(Atletas!Q12="Dao E",621,IF(Atletas!Q12="Jian E",622,IF(Atletas!Q12="Bishou E",623,IF(Atletas!Q12="Shan E",624,IF(Atletas!Q12="Outra Arma Curta E",625,IF(Atletas!Q12="Dao F",626,IF(Atletas!Q12="Jian F",627,IF(Atletas!Q12="Bishou F",628,IF(Atletas!Q12="Shan F",629,IF(Atletas!Q12="Outra Arma Curta F",630, "")))))))))))))))))))))))))))))))</f>
        <v/>
      </c>
      <c r="BT16" s="52" t="str">
        <f>IF(Atletas!R12="","",IF(Atletas!W12&lt;&gt;"",10000,0)+IF(Atletas!B12="Feminino",1000,IF(Atletas!B12="Masculino",2000,""))+IF(Atletas!R12="Gun A",701,IF(Atletas!R12="Qiang A",702,IF(Atletas!R12="Pudao / Guandao A",703,IF(Atletas!R12="Outra Arma Longa A",704,IF(Atletas!R12="Gun B",705,IF(Atletas!R12="Qiang B",706,IF(Atletas!R12="Pudao / Guandao B",707,IF(Atletas!R12="Outra Arma Longa B",708,IF(Atletas!R12="Gun C",709,IF(Atletas!R12="Qiang C",710,IF(Atletas!R12="Pudao / Guandao C",711,IF(Atletas!R12="Outra Arma Longa C",712,IF(Atletas!R12="Gun D",713,IF(Atletas!R12="Qiang D",714,IF(Atletas!R12="Pudao / Guandao D",715,IF(Atletas!R12="Outra Arma Longa D",716,IF(Atletas!R12="Gun E",717,IF(Atletas!R12="Qiang E",718,IF(Atletas!R12="Pudao / Guandao E",719,IF(Atletas!R12="Outra Arma Longa E",720,IF(Atletas!R12="Gun F",721,IF(Atletas!R12="Qiang F",722,IF(Atletas!R12="Pudao / Guandao F",723,IF(Atletas!R12="Outra Arma Longa F",724,"")))))))))))))))))))))))))</f>
        <v/>
      </c>
      <c r="BU16" s="52" t="str">
        <f>IF(Atletas!S12="","",IF(Atletas!W12&lt;&gt;"",10000,0)+IF(Atletas!B12="Feminino",1000,IF(Atletas!B12="Masculino",2000,""))+IF(Atletas!S12="Arma Dupla A",801,IF(Atletas!S12="Arma Maleável A",802,IF(Atletas!S12="Arma Dupla B",803,IF(Atletas!S12="Arma Maleável B",804,IF(Atletas!S12="Arma Dupla C",805,IF(Atletas!S12="Arma Maleável C",806,IF(Atletas!S12="Arma Dupla D",807,IF(Atletas!S12="Arma Maleável D",808,IF(Atletas!S12="Arma Dupla E",809,IF(Atletas!S12="Arma Maleável E",810,IF(Atletas!S12="Arma Dupla F",811,IF(Atletas!S12="Arma Maleável F",812, "")))))))))))))</f>
        <v/>
      </c>
      <c r="BV16" s="52" t="str">
        <f>IF(Atletas!T12="","",IF(Atletas!W12&lt;&gt;"",10000,0)+IF(Atletas!B12="Feminino",1000,IF(Atletas!B12="Masculino",2000,""))+IF(Atletas!T12="Taijijian Yang A",901,IF(Atletas!T12="Taijijian Chen A",902,IF(Atletas!T12="Taijijian Sun A",903,IF(Atletas!T12="Taijijian Wu A",904,IF(Atletas!T12="Taijijian Wu-Hao A",905,IF(Atletas!T12="Taijijian 32 A",906,IF(Atletas!T12="Taijijian 42 A",907,IF(Atletas!T12="Taijijian Yang B",908,IF(Atletas!T12="Taijijian Chen B",909,IF(Atletas!T12="Taijijian Sun B",910,IF(Atletas!T12="Taijijian Wu B",911,IF(Atletas!T12="Taijijian Wu-Hao B",912,IF(Atletas!T12="Taijijian 32 B",913,IF(Atletas!T12="Taijijian 42 B",914,IF(Atletas!T12="Taijijian Yang C",915,IF(Atletas!T12="Taijijian Chen C",916,IF(Atletas!T12="Taijijian Sun C",917,IF(Atletas!T12="Taijijian Wu C",918,IF(Atletas!T12="Taijijian Wu-Hao C",919,IF(Atletas!T12="Taijijian 32 C",920,IF(Atletas!T12="Taijijian 42 C",921,IF(Atletas!T12="Taijijian Yang D",922,IF(Atletas!T12="Taijijian Chen D",923,IF(Atletas!T12="Taijijian Sun D",924,IF(Atletas!T12="Taijijian Wu D",925,IF(Atletas!T12="Taijijian Wu-Hao D",926,IF(Atletas!T12="Taijijian 32 D",927,IF(Atletas!T12="Taijijian 42 D",928,IF(Atletas!T12="Taijijian Yang E",929,IF(Atletas!T12="Taijijian Chen E",930,IF(Atletas!T12="Taijijian Sun E",931,IF(Atletas!T12="Taijijian Wu E",932,IF(Atletas!T12="Taijijian Wu-Hao E",933,IF(Atletas!T12="Taijijian 32 E",934,IF(Atletas!T12="Taijijian 42 E",935,IF(Atletas!T12="Taijijian Yang F",936,IF(Atletas!T12="Taijijian Chen F",937,IF(Atletas!T12="Taijijian Sun F",938,IF(Atletas!T12="Taijijian Wu F",939,IF(Atletas!T12="Taijijian Wu-Hao F",940,IF(Atletas!T12="Taijijian 32 F",941,IF(Atletas!T12="Taijijian 42 F",942,"")))))))))))))))))))))))))))))))))))))))))))</f>
        <v/>
      </c>
      <c r="BW16" s="52" t="str">
        <f>IF(Atletas!U12="","",IF(Atletas!W12&lt;&gt;"",10000,0)+IF(Atletas!B12="Feminino",1000,IF(Atletas!B12="Masculino",2000,""))+IF(Atletas!T12="Taijijian 42 F",942,IF(Atletas!U12="Taijidao A",943,IF(Atletas!U12="Taijishan A",944,IF(Atletas!U12="Taijiqiang A",945,IF(Atletas!U12="Taijidao B",946,IF(Atletas!U12="Taijishan B",947,IF(Atletas!U12="Taijiqiang B",948,IF(Atletas!U12="Taijidao C",949,IF(Atletas!U12="Taijishan C",950,IF(Atletas!U12="Taijiqiang C",951,IF(Atletas!U12="Taijidao D",952,IF(Atletas!U12="Taijishan D",953,IF(Atletas!U12="Taijiqiang D",954,IF(Atletas!U12="Taijidao E",955,IF(Atletas!U12="Taijishan E",956,IF(Atletas!U12="Taijiqiang E",957,IF(Atletas!U12="Taijidao F",958,IF(Atletas!U12="Taijishan F",959,IF(Atletas!U12="Taijiqiang F",960))))))))))))))))))))</f>
        <v/>
      </c>
      <c r="BX16" s="64" t="str">
        <f>IF(BY16&lt;&gt;"","Outra Mão de Sul B","")</f>
        <v/>
      </c>
      <c r="BY16" s="64" t="str">
        <f>IF(COUNTIF(BK:BW,1010)&gt;0,COUNTIF(BK:BW,1010),"")</f>
        <v/>
      </c>
      <c r="BZ16" s="64" t="str">
        <f>IF(CA16&lt;&gt;"","Outra Mão de Sul B","")</f>
        <v/>
      </c>
      <c r="CA16" s="64" t="str">
        <f>IF(COUNTIF(BK:BW,2010)&gt;0,COUNTIF(BK:BW,2010),"")</f>
        <v/>
      </c>
      <c r="CB16" s="64" t="str">
        <f>IF(CC16&lt;&gt;"","Outra Mão de Sul B","")</f>
        <v/>
      </c>
      <c r="CC16" s="64" t="str">
        <f>IF(COUNTIF(BK:BW,11010)&gt;0,COUNTIF(BK:BW,11010),"")</f>
        <v/>
      </c>
      <c r="CD16" s="64" t="str">
        <f>IF(CE16&lt;&gt;"","Outra Mão de Sul B","")</f>
        <v/>
      </c>
      <c r="CE16" s="64" t="str">
        <f>IF(COUNTIF(BK:BW,12010)&gt;0,COUNTIF(BK:BW,12010),"")</f>
        <v/>
      </c>
      <c r="CF16" s="52" t="str">
        <f xml:space="preserve"> IF(Atletas!V12="","",IF(Atletas!V12="Duilian de Mãos AB - Equipe 1",1,IF(Atletas!V12="Duilian de Mãos AB - Equipe 2",2,IF(Atletas!V12="Duilian de Armas AB - Equipe 1",3,IF(Atletas!V12="Duilian de Armas AB - Equipe 2",4,IF(Atletas!V12="Duilian de Tuishou - Equipe 1",5,IF(Atletas!V12="Duilian de Tuishou - Equipe 2",6,IF(Atletas!V12="Grupo Externo AB - Equipe 1",7,IF(Atletas!V12="Grupo Externo AB - Equipe 2",8,IF(Atletas!V12="Grupo Interno AB - Equipe 1",9,IF(Atletas!V12="Grupo Interno AB - Equipe 2",10,IF(Atletas!V12="Duilian de Mãos CD - Equipe 1",11,IF(Atletas!V12="Duilian de Mãos CD - Equipe 2",12,IF(Atletas!V12="Duilian de Armas CD - Equipe 1",13,IF(Atletas!V12="Duilian de Armas CD - Equipe 2",14,IF(Atletas!V12="Duilian de Tuishou - Equipe 1",15,IF(Atletas!V12="Duilian de Tuishou - Equipe 2",16,IF(Atletas!V12="Grupo Externo CDEF - Equipe 1",17,IF(Atletas!V12="Grupo Externo CDEF - Equipe 2",18,IF(Atletas!V12="Grupo Interno CDEF - Equipe 1",19,IF(Atletas!V12="Grupo Interno CDEF - Equipe 2",20,IF(Atletas!V12="Duilian de Mãos EF - Equipe 1",21,IF(Atletas!V12="Duilian de Mãos EF - Equipe 2",22,IF(Atletas!V12="Duilian de Armas EF - Equipe 1",23,IF(Atletas!V12="Duilian de Armas EF - Equipe 2",24,IF(Atletas!V12="Duilian de Tuishou - Equipe 1",25,IF(Atletas!V12="Duilian de Tuishou - Equipe 2",26,"")))))))))))))))))))))))))))</f>
        <v/>
      </c>
      <c r="CG16" s="10" t="str">
        <f>IF(CH16&lt;&gt;"","Duilian de Mãos EF - Equipe 2","")</f>
        <v/>
      </c>
      <c r="CH16" s="10" t="str">
        <f>IF(COUNTIF(CF:CF,22)&gt;0,COUNTIF(CF:CF,22),"")</f>
        <v/>
      </c>
      <c r="CI16" s="53"/>
      <c r="CJ16" s="53"/>
      <c r="CK16" s="53"/>
      <c r="CL16" s="53"/>
      <c r="CR16" s="71"/>
    </row>
    <row r="17" spans="1:96">
      <c r="B17" s="4" t="str">
        <f t="array" ref="B17">IFERROR(INDEX(AK$7:AK$36,SMALL(IF(AK$7:AK$36&lt;&gt;"",ROW(AK$7:AK$36)-ROW(AK$7)+1),ROWS(AK$7:AK16))),"")</f>
        <v/>
      </c>
      <c r="C17" s="4" t="str">
        <f t="array" ref="C17">IFERROR(INDEX(AL$7:AL$36,SMALL(IF(AL$7:AL$36&lt;&gt;"",ROW(AL$7:AL$36)-ROW(AL$7)+1),ROWS(AL$7:AL16))),"")</f>
        <v/>
      </c>
      <c r="D17" s="4" t="str">
        <f t="array" ref="D17">IFERROR(INDEX(AM$7:AM$36,SMALL(IF(AM$7:AM$36&lt;&gt;"",ROW(AM$7:AM$36)-ROW(AM$7)+1),ROWS(AM$7:AM16))),"")</f>
        <v/>
      </c>
      <c r="E17" s="4" t="str">
        <f t="array" ref="E17">IFERROR(INDEX(AN$7:AN$36,SMALL(IF(AN$7:AN$36&lt;&gt;"",ROW(AN$7:AN$36)-ROW(AN$7)+1),ROWS(AN$7:AN16))),"")</f>
        <v/>
      </c>
      <c r="F17" s="4" t="str">
        <f t="array" ref="F17">IFERROR(INDEX(AP$7:AP$36,SMALL(IF(AP$7:AP$36&lt;&gt;"",ROW(AP$7:AP$36)-ROW(AP$7)+1),ROWS(AP$7:AP16))),"")</f>
        <v/>
      </c>
      <c r="G17" s="4" t="str">
        <f t="array" ref="G17">IFERROR(INDEX(AQ$7:AQ$36,SMALL(IF(AQ$7:AQ$36&lt;&gt;"",ROW(AQ$7:AQ$36)-ROW(AQ$7)+1),ROWS(AQ$7:AQ16))),"")</f>
        <v/>
      </c>
      <c r="H17" s="4" t="str">
        <f t="array" ref="H17">IFERROR(INDEX(AR$7:AR$36,SMALL(IF(AR$7:AR$36&lt;&gt;"",ROW(AR$7:AR$36)-ROW(AR$7)+1),ROWS(AR$7:AR16))),"")</f>
        <v/>
      </c>
      <c r="I17" s="4" t="str">
        <f t="array" ref="I17">IFERROR(INDEX(AS$7:AS$36,SMALL(IF(AS$7:AS$36&lt;&gt;"",ROW(AS$7:AS$36)-ROW(AS$7)+1),ROWS(AS$7:AS16))),"")</f>
        <v/>
      </c>
      <c r="J17" s="4" t="str">
        <f t="array" ref="J17">IFERROR(INDEX(AU$7:AU$36,SMALL(IF(AU$7:AU$36&lt;&gt;"",ROW(AU$7:AU$36)-ROW(AU$7)+1),ROWS(AU$7:AU16))),"")</f>
        <v/>
      </c>
      <c r="K17" s="4" t="str">
        <f t="array" ref="K17">IFERROR(INDEX(AV$7:AV$36,SMALL(IF(AV$7:AV$36&lt;&gt;"",ROW(AV$7:AV$36)-ROW(AV$7)+1),ROWS(AV$7:AV16))),"")</f>
        <v/>
      </c>
      <c r="L17" s="4" t="str">
        <f t="array" ref="L17">IFERROR(INDEX(AW$7:AW$36,SMALL(IF(AW$7:AW$36&lt;&gt;"",ROW(AW$7:AW$36)-ROW(AW$7)+1),ROWS(AW$7:AW16))),"")</f>
        <v/>
      </c>
      <c r="M17" s="4" t="str">
        <f t="array" ref="M17">IFERROR(INDEX(AX$7:AX$36,SMALL(IF(AX$7:AX$36&lt;&gt;"",ROW(AX$7:AX$36)-ROW(AX$7)+1),ROWS(AX$7:AX16))),"")</f>
        <v/>
      </c>
      <c r="N17" s="4" t="str">
        <f t="array" ref="N17">IFERROR(INDEX(BB$7:BB$66,SMALL(IF(BB$7:BB$66&lt;&gt;"",ROW(BB$7:BB$66)-ROW(BB$7)+1),ROWS(BB$7:BB16))),"")</f>
        <v/>
      </c>
      <c r="O17" s="4" t="str">
        <f t="array" ref="O17">IFERROR(INDEX(BC$7:BC$66,SMALL(IF(BC$7:BC$66&lt;&gt;"",ROW(BC$7:BC$66)-ROW(BC$7)+1),ROWS(BC$7:BC16))),"")</f>
        <v/>
      </c>
      <c r="P17" s="4" t="str">
        <f t="array" ref="P17">IFERROR(INDEX(BD$7:BD$66,SMALL(IF(BD$7:BD$66&lt;&gt;"",ROW(BD$7:BD$66)-ROW(BD$7)+1),ROWS(BD$7:BD16))),"")</f>
        <v/>
      </c>
      <c r="Q17" s="4" t="str">
        <f t="array" ref="Q17">IFERROR(INDEX(BE$7:BE$66,SMALL(IF(BE$7:BE$66&lt;&gt;"",ROW(BE$7:BE$66)-ROW(BE$7)+1),ROWS(BE$7:BE16))),"")</f>
        <v/>
      </c>
      <c r="R17" s="31"/>
      <c r="S17" s="31"/>
      <c r="T17" s="31"/>
      <c r="U17" s="31"/>
      <c r="V17" s="4" t="str">
        <f t="array" ref="V17">IFERROR(INDEX(BX$7:BX$336,SMALL(IF(BX$7:BX$336&lt;&gt;"",ROW(BX$7:BX$336)-ROW(BX$7)+1),ROWS(BX$7:BX16))),"")</f>
        <v/>
      </c>
      <c r="W17" s="4" t="str">
        <f t="array" ref="W17">IFERROR(INDEX(BY$7:BY$336,SMALL(IF(BY$7:BY$336&lt;&gt;"",ROW(BY$7:BY$336)-ROW(BY$7)+1),ROWS(BY$7:BY16))),"")</f>
        <v/>
      </c>
      <c r="X17" s="4" t="str">
        <f t="array" ref="X17">IFERROR(INDEX(BZ$7:BZ$336,SMALL(IF(BZ$7:BZ$336&lt;&gt;"",ROW(BZ$7:BZ$336)-ROW(BZ$7)+1),ROWS(BZ$7:BZ16))),"")</f>
        <v/>
      </c>
      <c r="Y17" s="4" t="str">
        <f t="array" ref="Y17">IFERROR(INDEX(CA$7:CA$336,SMALL(IF(CA$7:CA$336&lt;&gt;"",ROW(CA$7:CA$336)-ROW(CA$7)+1),ROWS(CA$7:CA16))),"")</f>
        <v/>
      </c>
      <c r="Z17" s="4" t="str">
        <f t="array" ref="Z17">IFERROR(INDEX(CB$7:CB$378,SMALL(IF(CB$7:CB$378&lt;&gt;"",ROW(CB$7:CB$378)-ROW(CB$7)+1),ROWS(CB$7:CB16))),"")</f>
        <v/>
      </c>
      <c r="AA17" s="4" t="str">
        <f t="array" ref="AA17">IFERROR(INDEX(CC$7:CC$378,SMALL(IF(CC$7:CC$378&lt;&gt;"",ROW(CC$7:CC$378)-ROW(CC$7)+1),ROWS(CC$7:CC16))),"")</f>
        <v/>
      </c>
      <c r="AB17" s="4" t="str">
        <f t="array" ref="AB17">IFERROR(INDEX(CD$7:CD$378,SMALL(IF(CD$7:CD$378&lt;&gt;"",ROW(CD$7:CD$378)-ROW(CD$7)+1),ROWS(CD$7:CD16))),"")</f>
        <v/>
      </c>
      <c r="AC17" s="4" t="str">
        <f t="array" ref="AC17">IFERROR(INDEX(CE$7:CE$378,SMALL(IF(CE$7:CE$378&lt;&gt;"",ROW(CE$7:CE$378)-ROW(CE$7)+1),ROWS(CE$7:CE16))),"")</f>
        <v/>
      </c>
      <c r="AD17" s="69" t="str">
        <f t="array" ref="AD17">IFERROR(INDEX(CG$7:CG$18,SMALL(IF(CG$7:CG$18&lt;&gt;"",ROW(CG$7:CG$18)-ROW(CG$7)+1),ROWS(CG$7:CG16))),"")</f>
        <v/>
      </c>
      <c r="AE17" s="69" t="str">
        <f t="array" ref="AE17">IFERROR(INDEX(CH$7:CH$18,SMALL(IF(CH$7:CH$18&lt;&gt;"",ROW(CH$7:CH$18)-ROW(CH$7)+1),ROWS(CH$7:CH16))),"")</f>
        <v/>
      </c>
      <c r="AF17" s="69"/>
      <c r="AG17" s="69"/>
      <c r="AH17" s="69" t="str">
        <f t="array" ref="AH17">IFERROR(INDEX(CK$7:CK$14,SMALL(IF(CK$7:CK$14&lt;&gt;"",ROW(CK$7:CK$14)-ROW(CK$7)+1),ROWS(CK$7:CK16))),"")</f>
        <v/>
      </c>
      <c r="AI17" s="69"/>
      <c r="AJ17" s="46" t="str">
        <f>IF(Atletas!D13="","",IF(Atletas!B13="Feminino",100,IF(Atletas!B13="Masculino",200,""))+(IF(Atletas!D13="Infantil 39kg",1,IF(Atletas!D13="Infantil 42kg",2,IF(Atletas!D13="Infantil 45kg",3,IF(Atletas!D13="Infantil 48kg",4,IF(Atletas!D13="Infantil 52kg",5,IF(Atletas!D13="Infantil 56kg",6,IF(Atletas!D13="Infantil 60kg",7,IF(Atletas!D13="Juvenil 48kg",8,IF(Atletas!D13="Juvenil 52kg",9,IF(Atletas!D13="Juvenil 56kg",10,IF(Atletas!D13="Juvenil 60kg",11,IF(Atletas!D13="Juvenil 65kg",12,IF(Atletas!D13="Juvenil 70kg",13,IF(Atletas!D13="Juvenil 75kg",14,IF(Atletas!D13="Juvenil 80kg",15,IF(Atletas!D13="Adulto 48kg",16,IF(Atletas!D13="Adulto 52kg",17,IF(Atletas!D13="Adulto 56kg",18,IF(Atletas!D13="Adulto 60kg",19,IF(Atletas!D13="Adulto 65kg",20,IF(Atletas!D13="Adulto 70kg",21,IF(Atletas!D13="Adulto 75kg",22,IF(Atletas!D13="Adulto 80kg",23,IF(Atletas!D13="Adulto 85kg",24,IF(Atletas!D13="Adulto 90kg",25,IF(Atletas!D13="Adulto +90kg",26,""))))))))))))))))))))))))))))</f>
        <v/>
      </c>
      <c r="AK17" s="52" t="str">
        <f>IF(AL17&lt;&gt;"","Adulto 56kg","")</f>
        <v/>
      </c>
      <c r="AL17" s="10" t="str">
        <f>IF(COUNTIF(AJ:AJ,118)&gt;0,COUNTIF(AJ:AJ,118),"")</f>
        <v/>
      </c>
      <c r="AM17" s="52" t="str">
        <f>IF(AN17&lt;&gt;"","Juvenil 60kg","")</f>
        <v/>
      </c>
      <c r="AN17" s="10" t="str">
        <f>IF(COUNTIF(AJ:AJ,211)&gt;0,COUNTIF(AJ:AJ,211),"")</f>
        <v/>
      </c>
      <c r="AO17" s="10" t="str">
        <f>IF(Atletas!E13="","",IF(Atletas!B13="Feminino",100,IF(Atletas!B13="Masculino",200,""))+(IF(Atletas!E13="Juvenil 44kg",1,IF(Atletas!E13="Juvenil 48kg",2,IF(Atletas!E13="Juvenil 52kg",3,IF(Atletas!E13="Juvenil 56kg",4,IF(Atletas!E13="Juvenil 60kg",5,IF(Atletas!E13="Juvenil 65kg",6,IF(Atletas!E13="Juvenil 70kg",7,IF(Atletas!E13="Juvenil 75kg",8,IF(Atletas!E13="Juvenil 82kg",9,IF(Atletas!E13="Juvenil 90kg",10,IF(Atletas!E13="Juvenil 100kg",11,IF(Atletas!E13="Adulto 48kg",12,IF(Atletas!E13="Adulto 52kg",13,IF(Atletas!E13="Adulto 56kg",14,IF(Atletas!E13="Adulto 60kg",15,IF(Atletas!E13="Adulto 65kg",16,IF(Atletas!E13="Adulto 70kg",17,IF(Atletas!E13="Adulto 75kg",18,IF(Atletas!E13="Adulto 82kg",19,IF(Atletas!E13="Adulto 90kg",20,IF(Atletas!E13="Adulto 100kg",21,IF(Atletas!E13="Adulto +100kg",22,""))))))))))))))))))))))))</f>
        <v/>
      </c>
      <c r="AP17" s="52" t="str">
        <f>IF(AQ17&lt;&gt;"","Adulto 56kg","")</f>
        <v/>
      </c>
      <c r="AQ17" s="10" t="str">
        <f>IF(COUNTIF(AO:AO,114)&gt;0,COUNTIF(AO:AO,114),"")</f>
        <v/>
      </c>
      <c r="AR17" s="52" t="str">
        <f>IF(AS17&lt;&gt;"","Adulto 52kg","")</f>
        <v/>
      </c>
      <c r="AS17" s="10" t="str">
        <f>IF(COUNTIF(AO:AO,213)&gt;0,COUNTIF(AO:AO,213),"")</f>
        <v/>
      </c>
      <c r="AT17" s="10" t="str">
        <f>IF(Atletas!F13="","",IF(Atletas!B13="Feminino",100,IF(Atletas!B13="Masculino",200,""))+(IF(Atletas!F13="Adulto 48kg",1,IF(Atletas!F13="Adulto 56kg",2,IF(Atletas!F13="Adulto 65kg",3,IF(Atletas!F13="Adulto 75kg",4,IF(Atletas!F13="Adulto +75kg",5,IF(Atletas!F13="Adulto 52kg",6,IF(Atletas!F13="Adulto 60kg",7,IF(Atletas!F13="Adulto 70kg",8,IF(Atletas!F13="Adulto 80kg",9,IF(Atletas!F13="Adulto 90kg",10,IF(Atletas!F13="Adulto +90kg",11,"")))))))))))))</f>
        <v/>
      </c>
      <c r="AY17" s="46" t="str">
        <f>IF(Atletas!G13="","",IF(Atletas!B13="Feminino",100,IF(Atletas!B13="Masculino",200,""))+(IF(Atletas!G13="Changquan Mirim",1,IF(Atletas!G13="Nanquan Mirim",2,IF(Atletas!G13="Taijiquan Mirim",3,IF(Atletas!G13="Changquan Grupo C",4,IF(Atletas!G13="Nanquan Grupo C",5,IF(Atletas!G13="Taijiquan Grupo C",6,IF(Atletas!G13="Changquan Grupo B",7,IF(Atletas!G13="Nanquan Grupo B",8,IF(Atletas!G13="Taijiquan Grupo B",9,IF(Atletas!G13="Changquan Grupo A",10,IF(Atletas!G13="Nanquan Grupo A",11,IF(Atletas!G13="Taijiquan Grupo A",12,IF(Atletas!G13="Changquan Opcional",13,IF(Atletas!G13="Nanquan Opcional",14,IF(Atletas!G13="Taijiquan Opcional",15,IF(Atletas!G13="Changquan Adulto",16,IF(Atletas!G13="Nanquan Adulto",17,IF(Atletas!G13="Taijiquan Adulto",18,""))))))))))))))))))))</f>
        <v/>
      </c>
      <c r="AZ17" s="46" t="str">
        <f>IF(Atletas!H13="","",IF(Atletas!B13="Feminino",100,IF(Atletas!B13="Masculino",200,""))+(IF(Atletas!H13="Daoshu Mirim",19,IF(Atletas!H13="Jianshu Mirim",20,IF(Atletas!H13="Nandao Mirim",21,IF(Atletas!H13="Taijijian Mirim",22,IF(Atletas!H13="Daoshu Grupo C",23,IF(Atletas!H13="Jianshu Grupo C",24,IF(Atletas!H13="Nandao Grupo C",25,IF(Atletas!H13="Taijijian Grupo C",26,IF(Atletas!H13="Daoshu Grupo B",27,IF(Atletas!H13="Jianshu Grupo B",28,IF(Atletas!H13="Nandao Grupo B",29,IF(Atletas!H13="Taijijian Grupo B",30,IF(Atletas!H13="Daoshu Grupo A",31,IF(Atletas!H13="Jianshu Grupo A",32,IF(Atletas!H13="Nandao Grupo A",33,IF(Atletas!H13="Taijijian Grupo A",34,IF(Atletas!H13="Daoshu Opcional",35,IF(Atletas!H13="Jianshu Opcional",36,IF(Atletas!H13="Nandao Opcional",37,IF(Atletas!H13="Taijijian Opcional",38,IF(Atletas!H13="Daoshu Adulto",39,IF(Atletas!H13="Jianshu Adulto",40,IF(Atletas!H13="Nandao Adulto",41,IF(Atletas!H13="Taijijian Adulto",42,""))))))))))))))))))))))))))</f>
        <v/>
      </c>
      <c r="BA17" s="46" t="str">
        <f>IF(Atletas!I13="","",IF(Atletas!B13="Feminino",100,IF(Atletas!B13="Masculino",200,""))+(IF(Atletas!I13="Gunshu Mirim",43,IF(Atletas!I13="Qiangshu Mirim",44,IF(Atletas!I13="Nangun Mirim",45,IF(Atletas!I13="Gunshu Grupo C",46,IF(Atletas!I13="Qiangshu Grupo C",47,IF(Atletas!I13="Nangun Grupo C",48,IF(Atletas!I13="Gunshu Grupo B",49,IF(Atletas!I13="Qiangshu Grupo B",50,IF(Atletas!I13="Nangun Grupo B",51,IF(Atletas!I13="Gunshu Grupo A",52,IF(Atletas!I13="Qiangshu Grupo A",53,IF(Atletas!I13="Nangun Grupo A",54,IF(Atletas!I13="Gunshu Opcional",55,IF(Atletas!I13="Qiangshu Opcional",56,IF(Atletas!I13="Nangun Opcional",57,IF(Atletas!I13="Gunshu Adulto",58,IF(Atletas!I13="Qiangshu Adulto",59,IF(Atletas!I13="Nangun Adulto",60,""))))))))))))))))))))</f>
        <v/>
      </c>
      <c r="BB17" s="46" t="str">
        <f>IF(BC17&lt;&gt;"","Chanquan Grupo C","")</f>
        <v/>
      </c>
      <c r="BC17" s="52" t="str">
        <f>IF(COUNTIF(AY:BA,104)&gt;0,COUNTIF(AY:BA,104),"")</f>
        <v/>
      </c>
      <c r="BD17" s="46" t="str">
        <f>IF(BE17&lt;&gt;"","Chanquan Grupo C","")</f>
        <v/>
      </c>
      <c r="BE17" s="52" t="str">
        <f>IF(COUNTIF(AY:BA,204)&gt;0,COUNTIF(AY:BA,204),"")</f>
        <v/>
      </c>
      <c r="BF17" s="52" t="str">
        <f>IF(Atletas!J13="","",IF(Atletas!B13="Feminino",100,IF(Atletas!B13="Masculino",200,""))+(IF(Atletas!J13="Equipe 1 Grupo B",1,IF(Atletas!J13="Equipe 2 Grupo B",2,IF(Atletas!J13="Equipe 1 Grupo A",3,IF(Atletas!J13="Equipe 2 Grupo A",4,IF(Atletas!J13="Equipe 1 Adulto",5,IF(Atletas!J13="Equipe 2 Adulto",6,""))))))))</f>
        <v/>
      </c>
      <c r="BG17" s="55"/>
      <c r="BH17" s="55"/>
      <c r="BI17" s="55"/>
      <c r="BJ17" s="53"/>
      <c r="BK17" s="52" t="str">
        <f>IF(Atletas!K13="","",IF(Atletas!W13&lt;&gt;"",10000,0)+(IF(Atletas!B13="Feminino",1000,IF(Atletas!B13="Masculino",2000,""))+IF(Atletas!K13="Choylayfut A",1,IF(Atletas!K13="Hunggar A",2,IF(Atletas!K13="Wuzuquan A",3,IF(Atletas!K13="Wingchun A",4,IF(Atletas!K13="Outra Mão de Sul A",5,IF(Atletas!K13="Choylayfut B",6,IF(Atletas!K13="Hunggar B",7,IF(Atletas!K13="Wuzuquan B",8,IF(Atletas!K13="Wingchun B",9,IF(Atletas!K13="Outra Mão de Sul B",10,IF(Atletas!K13="Choylayfut C",11,IF(Atletas!K13="Hunggar C",12,IF(Atletas!K13="Wuzuquan C",13,IF(Atletas!K13="Wingchun C",14,IF(Atletas!K13="Outra Mão de Sul C",15,IF(Atletas!K13="Choylayfut D",16,IF(Atletas!K13="Hunggar D",17,IF(Atletas!K13="Wuzuquan D",18,IF(Atletas!K13="Wingchun D",19,IF(Atletas!K13="Outra Mão de Sul D",20,IF(Atletas!K13="Choylayfut E",21,IF(Atletas!K13="Hunggar E",22,IF(Atletas!K13="Wuzuquan E",23,IF(Atletas!K13="Wingchun E",24,IF(Atletas!K13="Outra Mão de Sul E",25,IF(Atletas!K13="Choylayfut F",26,IF(Atletas!K13="Hunggar F",27,IF(Atletas!K13="Wuzuquan F",28,IF(Atletas!K13="Wingchun F",29,IF(Atletas!K13="Outra Mão de Sul F",30,""))))))))))))))))))))))))))))))))</f>
        <v/>
      </c>
      <c r="BL17" s="52" t="str">
        <f>IF(Atletas!L13="","",IF(Atletas!W13&lt;&gt;"",10000,0)+(IF(Atletas!B13="Feminino",1000,IF(Atletas!B13="Masculino",2000,""))+(IF(Atletas!L13="Chaquan A",101,IF(Atletas!L13="Emeiquan A",102,IF(Atletas!L13="Fanziquan A",103,IF(Atletas!L13="Huaquan A",104,IF(Atletas!L13="Hongquan A",105,IF(Atletas!L13="Paochui A",106,IF(Atletas!L13="Piguaquan A",107,IF(Atletas!L13="Shaolinquan A",108,IF(Atletas!L13="Tanglangquan A",109,IF(Atletas!L13="Yinzhaophai A",110,IF(Atletas!L13="Tongbeiquan A",111,IF(Atletas!L13="Wudangquan A",112,IF(Atletas!L13="Outros Estilos A",113,IF(Atletas!L13="Chaquan B",114,IF(Atletas!L13="Emeiquan B",115,IF(Atletas!L13="Fanziquan B",116,IF(Atletas!L13="Huaquan B",117,IF(Atletas!L13="Hongquan B",118,IF(Atletas!L13="Paochui B",119,IF(Atletas!L13="Piguaquan B",120,IF(Atletas!L13="Shaolinquan B",121,IF(Atletas!L13="Tanglangquan B",122,IF(Atletas!L13="Yinzhaophai B",123,IF(Atletas!L13="Tongbeiquan B",124,IF(Atletas!L13="Wudangquan B",125,IF(Atletas!L13="Outros Estilos B",126,IF(Atletas!L13="Chaquan C",127,IF(Atletas!L13="Emeiquan C",128,IF(Atletas!L13="Fanziquan C",129,IF(Atletas!L13="Huaquan C",130,IF(Atletas!L13="Hongquan C",131,IF(Atletas!L13="Paochui C",132,IF(Atletas!L13="Piguaquan C",133,IF(Atletas!L13="Shaolinquan C",134,IF(Atletas!L13="Tanglangquan C",135,IF(Atletas!L13="Yinzhaophai C",136,IF(Atletas!L13="Tongbeiquan C",137,IF(Atletas!L13="Wudangquan C",138,IF(Atletas!L13="Outros Estilos C",139,0))))))))))))))))))))))))))))))))))))))))))</f>
        <v/>
      </c>
      <c r="BM17" s="52" t="str">
        <f>IF(Atletas!L13="","",IF(Atletas!W13&lt;&gt;"",10000,0)+(IF(Atletas!B13="Feminino",1000,IF(Atletas!B13="Masculino",2000,""))+(IF(Atletas!L13="Chaquan D",140,IF(Atletas!L13="Emeiquan D",141,IF(Atletas!L13="Fanziquan D",142,IF(Atletas!L13="Huaquan D",143,IF(Atletas!L13="Hongquan D",144,IF(Atletas!L13="Paochui D",145,IF(Atletas!L13="Piguaquan D",146,IF(Atletas!L13="Shaolinquan D",147,IF(Atletas!L13="Tanglangquan D",148,IF(Atletas!L13="Yinzhaophai D",149,IF(Atletas!L13="Tongbeiquan D",150,IF(Atletas!L13="Wudangquan D",151,IF(Atletas!L13="Outros Estilos D",152,IF(Atletas!L13="Chaquan E",153,IF(Atletas!L13="Emeiquan E",154,IF(Atletas!L13="Fanziquan E",155,IF(Atletas!L13="Huaquan E",156,IF(Atletas!L13="Hongquan E",157,IF(Atletas!L13="Paochui E",158,IF(Atletas!L13="Piguaquan E",159,IF(Atletas!L13="Shaolinquan E",160,IF(Atletas!L13="Tanglangquan E",161,IF(Atletas!L13="Yinzhaophai E",162,IF(Atletas!L13="Tongbeiquan E",163,IF(Atletas!L13="Wudangquan E",164,IF(Atletas!L13="Outros Estilos E",165,IF(Atletas!L13="Chaquan F",166,IF(Atletas!L13="Emeiquan F",167,IF(Atletas!L13="Fanziquan F",168,IF(Atletas!L13="Huaquan F",169,IF(Atletas!L13="Hongquan F",170,IF(Atletas!L13="Paochui F",171,IF(Atletas!L13="Piguaquan F",172,IF(Atletas!L13="Shaolinquan F",173,IF(Atletas!L13="Tanglangquan F",174,IF(Atletas!L13="Yinzhaophai F",175,IF(Atletas!L13="Tongbeiquan F",176,IF(Atletas!L13="Wudangquan F",177,IF(Atletas!L13="Outros Estilos F",178,0))))))))))))))))))))))))))))))))))))))))))</f>
        <v/>
      </c>
      <c r="BN17" s="52" t="str">
        <f>IF(Atletas!M13="","",IF(Atletas!W13&lt;&gt;"",10000,0)+(IF(Atletas!B13="Feminino",1000,IF(Atletas!B13="Masculino",2000,""))+(IF(Atletas!M13="Ditangquan A",201,IF(Atletas!M13="Houquan A",202,IF(Atletas!M13="Zuiquan A",203,IF(Atletas!M13="Ditangquan B",204,IF(Atletas!M13="Houquan B",205,IF(Atletas!M13="Zuiquan B",206,IF(Atletas!M13="Ditangquan C",207,IF(Atletas!M13="Houquan C",208,IF(Atletas!M13="Zuiquan C",209,IF(Atletas!M13="Ditangquan D",210,IF(Atletas!M13="Houquan D",211,IF(Atletas!M13="Zuiquan D",212,IF(Atletas!M13="Ditangquan E",213,IF(Atletas!M13="Houquan E",214,IF(Atletas!M13="Zuiquan E",215,IF(Atletas!M13="Ditangquan F",216,IF(Atletas!M13="Houquan F",217,IF(Atletas!M13="Zuiquan F",218,"")))))))))))))))))))))</f>
        <v/>
      </c>
      <c r="BO17" s="52" t="str">
        <f>IF(Atletas!N13="","",IF(Atletas!W13&lt;&gt;"",10000,0)+IF(Atletas!B13="Feminino",1000,IF(Atletas!B13="Masculino",2000,""))+IF(Atletas!N13="Yang A",301,IF(Atletas!N13="Chen A",30,IF(Atletas!N13="Sun A",303,IF(Atletas!N13="Wu A",304,IF(Atletas!N13="Wu-Hao A",305,IF(Atletas!N13="Outro Taijiquan A",306,IF(Atletas!N13="Yang B",307,IF(Atletas!N13="Chen B",308,IF(Atletas!N13="Sun B",309,IF(Atletas!N13="Wu B",310,IF(Atletas!N13="Wu-Hao B",311,IF(Atletas!N13="Outro Taijiquan B",312,IF(Atletas!N13="Yang C",313,IF(Atletas!N13="Chen C",314,IF(Atletas!N13="Sun C",315,IF(Atletas!N13="Wu C",316,IF(Atletas!N13="Wu-Hao C",317,IF(Atletas!N13="Outro Taijiquan C",318,IF(Atletas!N13="Yang D",319,IF(Atletas!N13="Chen D",320,IF(Atletas!N13="Sun D",321,IF(Atletas!N13="Wu D",322,IF(Atletas!N13="Wu-Hao D",323,IF(Atletas!N13="Outro Taijiquan D",324,IF(Atletas!N13="Yang E",325,IF(Atletas!N13="Chen E",326,IF(Atletas!N13="Sun E",327,IF(Atletas!N13="Wu E",328,IF(Atletas!N13="Wu-Hao E",329,IF(Atletas!N13="Outro Taijiquan E",330,IF(Atletas!N13="Yang F",331,IF(Atletas!N13="Chen F",332,IF(Atletas!N13="Sun F",333,IF(Atletas!N13="Wu F",334,IF(Atletas!N13="Wu-Hao F",335,IF(Atletas!N13="Outro Taijiquan F",336,"")))))))))))))))))))))))))))))))))))))</f>
        <v/>
      </c>
      <c r="BP17" s="52" t="str">
        <f>IF(Atletas!O13="","",IF(Atletas!W13&lt;&gt;"",10000,0)+IF(Atletas!B13="Feminino",1000,IF(Atletas!B13="Masculino",2000,""))+IF(OR(Atletas!O13="Yang 26 A",Atletas!O13="Yang 40 A"),401,IF(OR(Atletas!O13="Chen 25 A",Atletas!O13="Chen 36 A",Atletas!O13="Chen 56 A"),402,IF(Atletas!O13="Sun 73 A",403,IF(Atletas!O13="Wu 45 A",404,IF(Atletas!O13="Wu-Hao 46 A",405,IF(OR(Atletas!O13="Taijiquan 16 A",Atletas!O13="Taijiquan 24 A",Atletas!O13="Taijiquan 32 A",Atletas!O13="Taijiquan 42 A"),406,IF(OR(Atletas!O13="Yang 26 B",Atletas!O13="Yang 40 B"),407,IF(OR(Atletas!O13="Chen 25 B",Atletas!O13="Chen 36 B",Atletas!O13="Chen 56 B"),408,IF(Atletas!O13="Sun 73 B",409,IF(Atletas!O13="Wu 45 B",410,IF(Atletas!O13="Wu-Hao 46 B",411,IF(OR(Atletas!O13="Taijiquan 16 B",Atletas!O13="Taijiquan 24 B",Atletas!O13="Taijiquan 32 B",Atletas!O13="Taijiquan 42 B"),412,IF(OR(Atletas!O13="Yang 26 C",Atletas!O13="Yang 40 C"),413,IF(OR(Atletas!O13="Chen 25 C",Atletas!O13="Chen 36 C",Atletas!O13="Chen 56 C"),414,IF(Atletas!O13="Sun 73 C",415,IF(Atletas!O13="Wu 45 C",416,IF(Atletas!O13="Wu-Hao 46 C",417,IF(OR(Atletas!O13="Taijiquan 16 C",Atletas!O13="Taijiquan 24 C",Atletas!O13="Taijiquan 32 C",Atletas!O13="Taijiquan 42 C"),418,0)))))))))))))))))))</f>
        <v/>
      </c>
      <c r="BQ17" s="52" t="str">
        <f>IF(Atletas!O13="","",IF(Atletas!W13&lt;&gt;"",10000,0)+IF(Atletas!B13="Feminino",1000,IF(Atletas!B13="Masculino",2000,""))+IF(OR(Atletas!O13="Yang 26 D",Atletas!O13="Yang 40 D"),419,IF(OR(Atletas!O13="Chen 25 D",Atletas!O13="Chen 36 D",Atletas!O13="Chen 56 D"),420,IF(Atletas!O13="Sun 73 D",421,IF(Atletas!O13="Wu 45 D",422,IF(Atletas!O13="Wu-Hao 46 D",423,IF(OR(Atletas!O13="Taijiquan 16 D",Atletas!O13="Taijiquan 24 D",Atletas!O13="Taijiquan 32 D",Atletas!O13="Taijiquan 42 D"),424,IF(OR(Atletas!O13="Yang 26 E",Atletas!O13="Yang 40 E"),425,IF(OR(Atletas!O13="Chen 25 E",Atletas!O13="Chen 36 E",Atletas!O13="Chen 56 E"),426,IF(Atletas!O13="Sun 73 E",427,IF(Atletas!O13="Wu 45 E",428,IF(Atletas!O13="Wu-Hao 46 E",429,IF(OR(Atletas!O13="Taijiquan 16 E",Atletas!O13="Taijiquan 24 E",Atletas!O13="Taijiquan 32 E",Atletas!O13="Taijiquan 42 E"),430,IF(OR(Atletas!O13="Yang 26 F",Atletas!O13="Yang 40 F"),431,IF(OR(Atletas!O13="Chen 25 F",Atletas!O13="Chen 36 F",Atletas!O13="Chen 56 F"),432,IF(Atletas!O13="Sun 73 F",433,IF(Atletas!O13="Wu 45 F",434,IF(Atletas!O13="Wu-Hao 46 F",435,IF(OR(Atletas!O13="Taijiquan 16 F",Atletas!O13="Taijiquan 24 F",Atletas!O13="Taijiquan 32 F",Atletas!O13="Taijiquan 42 F"),436,0)))))))))))))))))))</f>
        <v/>
      </c>
      <c r="BR17" s="52" t="str">
        <f>IF(Atletas!P13="","",IF(Atletas!W13&lt;&gt;"",10000,0)+IF(Atletas!B13="Feminino",1000,IF(Atletas!B13="Masculino",2000,""))+IF(Atletas!P13="Xingyiquan A",501,IF(Atletas!P13="Baguazhang A",502,IF(Atletas!P13="Outro Estilo Interno A",503,IF(Atletas!P13="Xingyiquan B",504,IF(Atletas!P13="Baguazhang B",505,IF(Atletas!P13="Outro Estilo Interno B",506,IF(Atletas!P13="Xingyiquan C",507,IF(Atletas!P13="Baguazhang C",508,IF(Atletas!P13="Outro Estilo Interno C",509,IF(Atletas!P13="Xingyiquan D",510,IF(Atletas!P13="Baguazhang D",511,IF(Atletas!P13="Outro Estilo Interno D",512,IF(Atletas!P13="Xingyiquan E",513,IF(Atletas!P13="Baguazhang E",514,IF(Atletas!P13="Outro Estilo Interno E",515,IF(Atletas!P13="Xingyiquan F",516,IF(Atletas!P13="Baguazhang F",517,IF(Atletas!P13="Outro Estilo Interno F",518, "")))))))))))))))))))</f>
        <v/>
      </c>
      <c r="BS17" s="52" t="str">
        <f>IF(Atletas!Q13="","",IF(Atletas!W13&lt;&gt;"",10000,0)+IF(Atletas!B13="Feminino",1000,IF(Atletas!B13="Masculino",2000,""))+IF(Atletas!Q13="Dao A",601,IF(Atletas!Q13="Jian A",602,IF(Atletas!Q13="Bishou A",603,IF(Atletas!Q13="Shan A",604,IF(Atletas!Q13="Outra Arma Curta A",605,IF(Atletas!Q13="Dao B",606,IF(Atletas!Q13="Jian B",607,IF(Atletas!Q13="Bishou B",608,IF(Atletas!Q13="Shan B",609,IF(Atletas!Q13="Outra Arma Curta B",610,IF(Atletas!Q13="Dao C",611,IF(Atletas!Q13="Jian C",612,IF(Atletas!Q13="Bishou C",613,IF(Atletas!Q13="Shan C",614,IF(Atletas!Q13="Outra Arma Curta C",615,IF(Atletas!Q13="Dao D",616,IF(Atletas!Q13="Jian D",617,IF(Atletas!Q13="Bishou D",618,IF(Atletas!Q13="Shan D",619,IF(Atletas!Q13="Outra Arma Curta D",620,IF(Atletas!Q13="Dao E",621,IF(Atletas!Q13="Jian E",622,IF(Atletas!Q13="Bishou E",623,IF(Atletas!Q13="Shan E",624,IF(Atletas!Q13="Outra Arma Curta E",625,IF(Atletas!Q13="Dao F",626,IF(Atletas!Q13="Jian F",627,IF(Atletas!Q13="Bishou F",628,IF(Atletas!Q13="Shan F",629,IF(Atletas!Q13="Outra Arma Curta F",630, "")))))))))))))))))))))))))))))))</f>
        <v/>
      </c>
      <c r="BT17" s="52" t="str">
        <f>IF(Atletas!R13="","",IF(Atletas!W13&lt;&gt;"",10000,0)+IF(Atletas!B13="Feminino",1000,IF(Atletas!B13="Masculino",2000,""))+IF(Atletas!R13="Gun A",701,IF(Atletas!R13="Qiang A",702,IF(Atletas!R13="Pudao / Guandao A",703,IF(Atletas!R13="Outra Arma Longa A",704,IF(Atletas!R13="Gun B",705,IF(Atletas!R13="Qiang B",706,IF(Atletas!R13="Pudao / Guandao B",707,IF(Atletas!R13="Outra Arma Longa B",708,IF(Atletas!R13="Gun C",709,IF(Atletas!R13="Qiang C",710,IF(Atletas!R13="Pudao / Guandao C",711,IF(Atletas!R13="Outra Arma Longa C",712,IF(Atletas!R13="Gun D",713,IF(Atletas!R13="Qiang D",714,IF(Atletas!R13="Pudao / Guandao D",715,IF(Atletas!R13="Outra Arma Longa D",716,IF(Atletas!R13="Gun E",717,IF(Atletas!R13="Qiang E",718,IF(Atletas!R13="Pudao / Guandao E",719,IF(Atletas!R13="Outra Arma Longa E",720,IF(Atletas!R13="Gun F",721,IF(Atletas!R13="Qiang F",722,IF(Atletas!R13="Pudao / Guandao F",723,IF(Atletas!R13="Outra Arma Longa F",724,"")))))))))))))))))))))))))</f>
        <v/>
      </c>
      <c r="BU17" s="52" t="str">
        <f>IF(Atletas!S13="","",IF(Atletas!W13&lt;&gt;"",10000,0)+IF(Atletas!B13="Feminino",1000,IF(Atletas!B13="Masculino",2000,""))+IF(Atletas!S13="Arma Dupla A",801,IF(Atletas!S13="Arma Maleável A",802,IF(Atletas!S13="Arma Dupla B",803,IF(Atletas!S13="Arma Maleável B",804,IF(Atletas!S13="Arma Dupla C",805,IF(Atletas!S13="Arma Maleável C",806,IF(Atletas!S13="Arma Dupla D",807,IF(Atletas!S13="Arma Maleável D",808,IF(Atletas!S13="Arma Dupla E",809,IF(Atletas!S13="Arma Maleável E",810,IF(Atletas!S13="Arma Dupla F",811,IF(Atletas!S13="Arma Maleável F",812, "")))))))))))))</f>
        <v/>
      </c>
      <c r="BV17" s="52" t="str">
        <f>IF(Atletas!T13="","",IF(Atletas!W13&lt;&gt;"",10000,0)+IF(Atletas!B13="Feminino",1000,IF(Atletas!B13="Masculino",2000,""))+IF(Atletas!T13="Taijijian Yang A",901,IF(Atletas!T13="Taijijian Chen A",902,IF(Atletas!T13="Taijijian Sun A",903,IF(Atletas!T13="Taijijian Wu A",904,IF(Atletas!T13="Taijijian Wu-Hao A",905,IF(Atletas!T13="Taijijian 32 A",906,IF(Atletas!T13="Taijijian 42 A",907,IF(Atletas!T13="Taijijian Yang B",908,IF(Atletas!T13="Taijijian Chen B",909,IF(Atletas!T13="Taijijian Sun B",910,IF(Atletas!T13="Taijijian Wu B",911,IF(Atletas!T13="Taijijian Wu-Hao B",912,IF(Atletas!T13="Taijijian 32 B",913,IF(Atletas!T13="Taijijian 42 B",914,IF(Atletas!T13="Taijijian Yang C",915,IF(Atletas!T13="Taijijian Chen C",916,IF(Atletas!T13="Taijijian Sun C",917,IF(Atletas!T13="Taijijian Wu C",918,IF(Atletas!T13="Taijijian Wu-Hao C",919,IF(Atletas!T13="Taijijian 32 C",920,IF(Atletas!T13="Taijijian 42 C",921,IF(Atletas!T13="Taijijian Yang D",922,IF(Atletas!T13="Taijijian Chen D",923,IF(Atletas!T13="Taijijian Sun D",924,IF(Atletas!T13="Taijijian Wu D",925,IF(Atletas!T13="Taijijian Wu-Hao D",926,IF(Atletas!T13="Taijijian 32 D",927,IF(Atletas!T13="Taijijian 42 D",928,IF(Atletas!T13="Taijijian Yang E",929,IF(Atletas!T13="Taijijian Chen E",930,IF(Atletas!T13="Taijijian Sun E",931,IF(Atletas!T13="Taijijian Wu E",932,IF(Atletas!T13="Taijijian Wu-Hao E",933,IF(Atletas!T13="Taijijian 32 E",934,IF(Atletas!T13="Taijijian 42 E",935,IF(Atletas!T13="Taijijian Yang F",936,IF(Atletas!T13="Taijijian Chen F",937,IF(Atletas!T13="Taijijian Sun F",938,IF(Atletas!T13="Taijijian Wu F",939,IF(Atletas!T13="Taijijian Wu-Hao F",940,IF(Atletas!T13="Taijijian 32 F",941,IF(Atletas!T13="Taijijian 42 F",942,"")))))))))))))))))))))))))))))))))))))))))))</f>
        <v/>
      </c>
      <c r="BW17" s="52" t="str">
        <f>IF(Atletas!U13="","",IF(Atletas!W13&lt;&gt;"",10000,0)+IF(Atletas!B13="Feminino",1000,IF(Atletas!B13="Masculino",2000,""))+IF(Atletas!T13="Taijijian 42 F",942,IF(Atletas!U13="Taijidao A",943,IF(Atletas!U13="Taijishan A",944,IF(Atletas!U13="Taijiqiang A",945,IF(Atletas!U13="Taijidao B",946,IF(Atletas!U13="Taijishan B",947,IF(Atletas!U13="Taijiqiang B",948,IF(Atletas!U13="Taijidao C",949,IF(Atletas!U13="Taijishan C",950,IF(Atletas!U13="Taijiqiang C",951,IF(Atletas!U13="Taijidao D",952,IF(Atletas!U13="Taijishan D",953,IF(Atletas!U13="Taijiqiang D",954,IF(Atletas!U13="Taijidao E",955,IF(Atletas!U13="Taijishan E",956,IF(Atletas!U13="Taijiqiang E",957,IF(Atletas!U13="Taijidao F",958,IF(Atletas!U13="Taijishan F",959,IF(Atletas!U13="Taijiqiang F",960))))))))))))))))))))</f>
        <v/>
      </c>
      <c r="BX17" s="64" t="str">
        <f>IF(BY17&lt;&gt;"","Choylayfut C","")</f>
        <v/>
      </c>
      <c r="BY17" s="64" t="str">
        <f>IF(COUNTIF(BK:BW,1011)&gt;0,COUNTIF(BK:BW,1011),"")</f>
        <v/>
      </c>
      <c r="BZ17" s="64" t="str">
        <f>IF(CA17&lt;&gt;"","Choylayfut C","")</f>
        <v/>
      </c>
      <c r="CA17" s="64" t="str">
        <f>IF(COUNTIF(BK:BW,2011)&gt;0,COUNTIF(BK:BW,2011),"")</f>
        <v/>
      </c>
      <c r="CB17" s="64" t="str">
        <f>IF(CC17&lt;&gt;"","Choylayfut C","")</f>
        <v/>
      </c>
      <c r="CC17" s="64" t="str">
        <f>IF(COUNTIF(BK:BW,11011)&gt;0,COUNTIF(BK:BW,11011),"")</f>
        <v/>
      </c>
      <c r="CD17" s="64" t="str">
        <f>IF(CE17&lt;&gt;"","Choylayfut C","")</f>
        <v/>
      </c>
      <c r="CE17" s="64" t="str">
        <f>IF(COUNTIF(BK:BW,12011)&gt;0,COUNTIF(BK:BW,12011),"")</f>
        <v/>
      </c>
      <c r="CF17" s="52" t="str">
        <f xml:space="preserve"> IF(Atletas!V13="","",IF(Atletas!V13="Duilian de Mãos AB - Equipe 1",1,IF(Atletas!V13="Duilian de Mãos AB - Equipe 2",2,IF(Atletas!V13="Duilian de Armas AB - Equipe 1",3,IF(Atletas!V13="Duilian de Armas AB - Equipe 2",4,IF(Atletas!V13="Duilian de Tuishou - Equipe 1",5,IF(Atletas!V13="Duilian de Tuishou - Equipe 2",6,IF(Atletas!V13="Grupo Externo AB - Equipe 1",7,IF(Atletas!V13="Grupo Externo AB - Equipe 2",8,IF(Atletas!V13="Grupo Interno AB - Equipe 1",9,IF(Atletas!V13="Grupo Interno AB - Equipe 2",10,IF(Atletas!V13="Duilian de Mãos CD - Equipe 1",11,IF(Atletas!V13="Duilian de Mãos CD - Equipe 2",12,IF(Atletas!V13="Duilian de Armas CD - Equipe 1",13,IF(Atletas!V13="Duilian de Armas CD - Equipe 2",14,IF(Atletas!V13="Duilian de Tuishou - Equipe 1",15,IF(Atletas!V13="Duilian de Tuishou - Equipe 2",16,IF(Atletas!V13="Grupo Externo CDEF - Equipe 1",17,IF(Atletas!V13="Grupo Externo CDEF - Equipe 2",18,IF(Atletas!V13="Grupo Interno CDEF - Equipe 1",19,IF(Atletas!V13="Grupo Interno CDEF - Equipe 2",20,IF(Atletas!V13="Duilian de Mãos EF - Equipe 1",21,IF(Atletas!V13="Duilian de Mãos EF - Equipe 2",22,IF(Atletas!V13="Duilian de Armas EF - Equipe 1",23,IF(Atletas!V13="Duilian de Armas EF - Equipe 2",24,IF(Atletas!V13="Duilian de Tuishou - Equipe 1",25,IF(Atletas!V13="Duilian de Tuishou - Equipe 2",26,"")))))))))))))))))))))))))))</f>
        <v/>
      </c>
      <c r="CG17" s="10" t="str">
        <f>IF(CH17&lt;&gt;"","Duilian de Armas EF - Equipe 1","")</f>
        <v/>
      </c>
      <c r="CH17" s="10" t="str">
        <f>IF(COUNTIF(CF:CF,23)&gt;0,COUNTIF(CF:CF,23),"")</f>
        <v/>
      </c>
      <c r="CI17" s="52"/>
      <c r="CJ17" s="52"/>
      <c r="CK17" s="53"/>
      <c r="CL17" s="53"/>
      <c r="CR17" s="71"/>
    </row>
    <row r="18" spans="1:96">
      <c r="B18" s="4" t="str">
        <f t="array" ref="B18">IFERROR(INDEX(AK$7:AK$36,SMALL(IF(AK$7:AK$36&lt;&gt;"",ROW(AK$7:AK$36)-ROW(AK$7)+1),ROWS(AK$7:AK17))),"")</f>
        <v/>
      </c>
      <c r="C18" s="4" t="str">
        <f t="array" ref="C18">IFERROR(INDEX(AL$7:AL$36,SMALL(IF(AL$7:AL$36&lt;&gt;"",ROW(AL$7:AL$36)-ROW(AL$7)+1),ROWS(AL$7:AL17))),"")</f>
        <v/>
      </c>
      <c r="D18" s="4" t="str">
        <f t="array" ref="D18">IFERROR(INDEX(AM$7:AM$36,SMALL(IF(AM$7:AM$36&lt;&gt;"",ROW(AM$7:AM$36)-ROW(AM$7)+1),ROWS(AM$7:AM17))),"")</f>
        <v/>
      </c>
      <c r="E18" s="4" t="str">
        <f t="array" ref="E18">IFERROR(INDEX(AN$7:AN$36,SMALL(IF(AN$7:AN$36&lt;&gt;"",ROW(AN$7:AN$36)-ROW(AN$7)+1),ROWS(AN$7:AN17))),"")</f>
        <v/>
      </c>
      <c r="F18" s="4" t="str">
        <f t="array" ref="F18">IFERROR(INDEX(AP$7:AP$36,SMALL(IF(AP$7:AP$36&lt;&gt;"",ROW(AP$7:AP$36)-ROW(AP$7)+1),ROWS(AP$7:AP17))),"")</f>
        <v/>
      </c>
      <c r="G18" s="4" t="str">
        <f t="array" ref="G18">IFERROR(INDEX(AQ$7:AQ$36,SMALL(IF(AQ$7:AQ$36&lt;&gt;"",ROW(AQ$7:AQ$36)-ROW(AQ$7)+1),ROWS(AQ$7:AQ17))),"")</f>
        <v/>
      </c>
      <c r="H18" s="4" t="str">
        <f t="array" ref="H18">IFERROR(INDEX(AR$7:AR$36,SMALL(IF(AR$7:AR$36&lt;&gt;"",ROW(AR$7:AR$36)-ROW(AR$7)+1),ROWS(AR$7:AR17))),"")</f>
        <v/>
      </c>
      <c r="I18" s="4" t="str">
        <f t="array" ref="I18">IFERROR(INDEX(AS$7:AS$36,SMALL(IF(AS$7:AS$36&lt;&gt;"",ROW(AS$7:AS$36)-ROW(AS$7)+1),ROWS(AS$7:AS17))),"")</f>
        <v/>
      </c>
      <c r="J18" s="4" t="str">
        <f t="array" ref="J18">IFERROR(INDEX(AU$7:AU$36,SMALL(IF(AU$7:AU$36&lt;&gt;"",ROW(AU$7:AU$36)-ROW(AU$7)+1),ROWS(AU$7:AU17))),"")</f>
        <v/>
      </c>
      <c r="K18" s="4" t="str">
        <f t="array" ref="K18">IFERROR(INDEX(AV$7:AV$36,SMALL(IF(AV$7:AV$36&lt;&gt;"",ROW(AV$7:AV$36)-ROW(AV$7)+1),ROWS(AV$7:AV17))),"")</f>
        <v/>
      </c>
      <c r="L18" s="4" t="str">
        <f t="array" ref="L18">IFERROR(INDEX(AW$7:AW$36,SMALL(IF(AW$7:AW$36&lt;&gt;"",ROW(AW$7:AW$36)-ROW(AW$7)+1),ROWS(AW$7:AW17))),"")</f>
        <v/>
      </c>
      <c r="M18" s="4" t="str">
        <f t="array" ref="M18">IFERROR(INDEX(AX$7:AX$36,SMALL(IF(AX$7:AX$36&lt;&gt;"",ROW(AX$7:AX$36)-ROW(AX$7)+1),ROWS(AX$7:AX17))),"")</f>
        <v/>
      </c>
      <c r="N18" s="4" t="str">
        <f t="array" ref="N18">IFERROR(INDEX(BB$7:BB$66,SMALL(IF(BB$7:BB$66&lt;&gt;"",ROW(BB$7:BB$66)-ROW(BB$7)+1),ROWS(BB$7:BB17))),"")</f>
        <v/>
      </c>
      <c r="O18" s="4" t="str">
        <f t="array" ref="O18">IFERROR(INDEX(BC$7:BC$66,SMALL(IF(BC$7:BC$66&lt;&gt;"",ROW(BC$7:BC$66)-ROW(BC$7)+1),ROWS(BC$7:BC17))),"")</f>
        <v/>
      </c>
      <c r="P18" s="4" t="str">
        <f t="array" ref="P18">IFERROR(INDEX(BD$7:BD$66,SMALL(IF(BD$7:BD$66&lt;&gt;"",ROW(BD$7:BD$66)-ROW(BD$7)+1),ROWS(BD$7:BD17))),"")</f>
        <v/>
      </c>
      <c r="Q18" s="4" t="str">
        <f t="array" ref="Q18">IFERROR(INDEX(BE$7:BE$66,SMALL(IF(BE$7:BE$66&lt;&gt;"",ROW(BE$7:BE$66)-ROW(BE$7)+1),ROWS(BE$7:BE17))),"")</f>
        <v/>
      </c>
      <c r="R18" s="31"/>
      <c r="S18" s="31"/>
      <c r="T18" s="31"/>
      <c r="U18" s="31"/>
      <c r="V18" s="4" t="str">
        <f t="array" ref="V18">IFERROR(INDEX(BX$7:BX$336,SMALL(IF(BX$7:BX$336&lt;&gt;"",ROW(BX$7:BX$336)-ROW(BX$7)+1),ROWS(BX$7:BX17))),"")</f>
        <v/>
      </c>
      <c r="W18" s="4" t="str">
        <f t="array" ref="W18">IFERROR(INDEX(BY$7:BY$336,SMALL(IF(BY$7:BY$336&lt;&gt;"",ROW(BY$7:BY$336)-ROW(BY$7)+1),ROWS(BY$7:BY17))),"")</f>
        <v/>
      </c>
      <c r="X18" s="4" t="str">
        <f t="array" ref="X18">IFERROR(INDEX(BZ$7:BZ$336,SMALL(IF(BZ$7:BZ$336&lt;&gt;"",ROW(BZ$7:BZ$336)-ROW(BZ$7)+1),ROWS(BZ$7:BZ17))),"")</f>
        <v/>
      </c>
      <c r="Y18" s="4" t="str">
        <f t="array" ref="Y18">IFERROR(INDEX(CA$7:CA$336,SMALL(IF(CA$7:CA$336&lt;&gt;"",ROW(CA$7:CA$336)-ROW(CA$7)+1),ROWS(CA$7:CA17))),"")</f>
        <v/>
      </c>
      <c r="Z18" s="4" t="str">
        <f t="array" ref="Z18">IFERROR(INDEX(CB$7:CB$378,SMALL(IF(CB$7:CB$378&lt;&gt;"",ROW(CB$7:CB$378)-ROW(CB$7)+1),ROWS(CB$7:CB17))),"")</f>
        <v/>
      </c>
      <c r="AA18" s="4" t="str">
        <f t="array" ref="AA18">IFERROR(INDEX(CC$7:CC$378,SMALL(IF(CC$7:CC$378&lt;&gt;"",ROW(CC$7:CC$378)-ROW(CC$7)+1),ROWS(CC$7:CC17))),"")</f>
        <v/>
      </c>
      <c r="AB18" s="4" t="str">
        <f t="array" ref="AB18">IFERROR(INDEX(CD$7:CD$378,SMALL(IF(CD$7:CD$378&lt;&gt;"",ROW(CD$7:CD$378)-ROW(CD$7)+1),ROWS(CD$7:CD17))),"")</f>
        <v/>
      </c>
      <c r="AC18" s="4" t="str">
        <f t="array" ref="AC18">IFERROR(INDEX(CE$7:CE$378,SMALL(IF(CE$7:CE$378&lt;&gt;"",ROW(CE$7:CE$378)-ROW(CE$7)+1),ROWS(CE$7:CE17))),"")</f>
        <v/>
      </c>
      <c r="AD18" s="69" t="str">
        <f t="array" ref="AD18">IFERROR(INDEX(CG$7:CG$18,SMALL(IF(CG$7:CG$18&lt;&gt;"",ROW(CG$7:CG$18)-ROW(CG$7)+1),ROWS(CG$7:CG17))),"")</f>
        <v/>
      </c>
      <c r="AE18" s="69" t="str">
        <f t="array" ref="AE18">IFERROR(INDEX(CH$7:CH$18,SMALL(IF(CH$7:CH$18&lt;&gt;"",ROW(CH$7:CH$18)-ROW(CH$7)+1),ROWS(CH$7:CH17))),"")</f>
        <v/>
      </c>
      <c r="AF18" s="69"/>
      <c r="AG18" s="69"/>
      <c r="AH18" s="69" t="str">
        <f t="array" ref="AH18">IFERROR(INDEX(CK$7:CK$14,SMALL(IF(CK$7:CK$14&lt;&gt;"",ROW(CK$7:CK$14)-ROW(CK$7)+1),ROWS(CK$7:CK17))),"")</f>
        <v/>
      </c>
      <c r="AI18" s="69"/>
      <c r="AJ18" s="46" t="str">
        <f>IF(Atletas!D14="","",IF(Atletas!B14="Feminino",100,IF(Atletas!B14="Masculino",200,""))+(IF(Atletas!D14="Infantil 39kg",1,IF(Atletas!D14="Infantil 42kg",2,IF(Atletas!D14="Infantil 45kg",3,IF(Atletas!D14="Infantil 48kg",4,IF(Atletas!D14="Infantil 52kg",5,IF(Atletas!D14="Infantil 56kg",6,IF(Atletas!D14="Infantil 60kg",7,IF(Atletas!D14="Juvenil 48kg",8,IF(Atletas!D14="Juvenil 52kg",9,IF(Atletas!D14="Juvenil 56kg",10,IF(Atletas!D14="Juvenil 60kg",11,IF(Atletas!D14="Juvenil 65kg",12,IF(Atletas!D14="Juvenil 70kg",13,IF(Atletas!D14="Juvenil 75kg",14,IF(Atletas!D14="Juvenil 80kg",15,IF(Atletas!D14="Adulto 48kg",16,IF(Atletas!D14="Adulto 52kg",17,IF(Atletas!D14="Adulto 56kg",18,IF(Atletas!D14="Adulto 60kg",19,IF(Atletas!D14="Adulto 65kg",20,IF(Atletas!D14="Adulto 70kg",21,IF(Atletas!D14="Adulto 75kg",22,IF(Atletas!D14="Adulto 80kg",23,IF(Atletas!D14="Adulto 85kg",24,IF(Atletas!D14="Adulto 90kg",25,IF(Atletas!D14="Adulto +90kg",26,""))))))))))))))))))))))))))))</f>
        <v/>
      </c>
      <c r="AK18" s="52" t="str">
        <f>IF(AL18&lt;&gt;"","Adulto 60kg","")</f>
        <v/>
      </c>
      <c r="AL18" s="10" t="str">
        <f>IF(COUNTIF(AJ:AJ,119)&gt;0,COUNTIF(AJ:AJ,119),"")</f>
        <v/>
      </c>
      <c r="AM18" s="52" t="str">
        <f>IF(AN18&lt;&gt;"","Juvenil 65kg","")</f>
        <v/>
      </c>
      <c r="AN18" s="10" t="str">
        <f>IF(COUNTIF(AJ:AJ,212)&gt;0,COUNTIF(AJ:AJ,212),"")</f>
        <v/>
      </c>
      <c r="AO18" s="10" t="str">
        <f>IF(Atletas!E14="","",IF(Atletas!B14="Feminino",100,IF(Atletas!B14="Masculino",200,""))+(IF(Atletas!E14="Juvenil 44kg",1,IF(Atletas!E14="Juvenil 48kg",2,IF(Atletas!E14="Juvenil 52kg",3,IF(Atletas!E14="Juvenil 56kg",4,IF(Atletas!E14="Juvenil 60kg",5,IF(Atletas!E14="Juvenil 65kg",6,IF(Atletas!E14="Juvenil 70kg",7,IF(Atletas!E14="Juvenil 75kg",8,IF(Atletas!E14="Juvenil 82kg",9,IF(Atletas!E14="Juvenil 90kg",10,IF(Atletas!E14="Juvenil 100kg",11,IF(Atletas!E14="Adulto 48kg",12,IF(Atletas!E14="Adulto 52kg",13,IF(Atletas!E14="Adulto 56kg",14,IF(Atletas!E14="Adulto 60kg",15,IF(Atletas!E14="Adulto 65kg",16,IF(Atletas!E14="Adulto 70kg",17,IF(Atletas!E14="Adulto 75kg",18,IF(Atletas!E14="Adulto 82kg",19,IF(Atletas!E14="Adulto 90kg",20,IF(Atletas!E14="Adulto 100kg",21,IF(Atletas!E14="Adulto +100kg",22,""))))))))))))))))))))))))</f>
        <v/>
      </c>
      <c r="AP18" s="52" t="str">
        <f>IF(AQ18&lt;&gt;"","Adulto 60kg","")</f>
        <v/>
      </c>
      <c r="AQ18" s="10" t="str">
        <f>IF(COUNTIF(AO:AO,115)&gt;0,COUNTIF(AO:AO,115),"")</f>
        <v/>
      </c>
      <c r="AR18" s="52" t="str">
        <f>IF(AS18&lt;&gt;"","Adulto 56kg","")</f>
        <v/>
      </c>
      <c r="AS18" s="10" t="str">
        <f>IF(COUNTIF(AO:AO,214)&gt;0,COUNTIF(AO:AO,214),"")</f>
        <v/>
      </c>
      <c r="AT18" s="10" t="str">
        <f>IF(Atletas!F14="","",IF(Atletas!B14="Feminino",100,IF(Atletas!B14="Masculino",200,""))+(IF(Atletas!F14="Adulto 48kg",1,IF(Atletas!F14="Adulto 56kg",2,IF(Atletas!F14="Adulto 65kg",3,IF(Atletas!F14="Adulto 75kg",4,IF(Atletas!F14="Adulto +75kg",5,IF(Atletas!F14="Adulto 52kg",6,IF(Atletas!F14="Adulto 60kg",7,IF(Atletas!F14="Adulto 70kg",8,IF(Atletas!F14="Adulto 80kg",9,IF(Atletas!F14="Adulto 90kg",10,IF(Atletas!F14="Adulto +90kg",11,"")))))))))))))</f>
        <v/>
      </c>
      <c r="AY18" s="46" t="str">
        <f>IF(Atletas!G14="","",IF(Atletas!B14="Feminino",100,IF(Atletas!B14="Masculino",200,""))+(IF(Atletas!G14="Changquan Mirim",1,IF(Atletas!G14="Nanquan Mirim",2,IF(Atletas!G14="Taijiquan Mirim",3,IF(Atletas!G14="Changquan Grupo C",4,IF(Atletas!G14="Nanquan Grupo C",5,IF(Atletas!G14="Taijiquan Grupo C",6,IF(Atletas!G14="Changquan Grupo B",7,IF(Atletas!G14="Nanquan Grupo B",8,IF(Atletas!G14="Taijiquan Grupo B",9,IF(Atletas!G14="Changquan Grupo A",10,IF(Atletas!G14="Nanquan Grupo A",11,IF(Atletas!G14="Taijiquan Grupo A",12,IF(Atletas!G14="Changquan Opcional",13,IF(Atletas!G14="Nanquan Opcional",14,IF(Atletas!G14="Taijiquan Opcional",15,IF(Atletas!G14="Changquan Adulto",16,IF(Atletas!G14="Nanquan Adulto",17,IF(Atletas!G14="Taijiquan Adulto",18,""))))))))))))))))))))</f>
        <v/>
      </c>
      <c r="AZ18" s="46" t="str">
        <f>IF(Atletas!H14="","",IF(Atletas!B14="Feminino",100,IF(Atletas!B14="Masculino",200,""))+(IF(Atletas!H14="Daoshu Mirim",19,IF(Atletas!H14="Jianshu Mirim",20,IF(Atletas!H14="Nandao Mirim",21,IF(Atletas!H14="Taijijian Mirim",22,IF(Atletas!H14="Daoshu Grupo C",23,IF(Atletas!H14="Jianshu Grupo C",24,IF(Atletas!H14="Nandao Grupo C",25,IF(Atletas!H14="Taijijian Grupo C",26,IF(Atletas!H14="Daoshu Grupo B",27,IF(Atletas!H14="Jianshu Grupo B",28,IF(Atletas!H14="Nandao Grupo B",29,IF(Atletas!H14="Taijijian Grupo B",30,IF(Atletas!H14="Daoshu Grupo A",31,IF(Atletas!H14="Jianshu Grupo A",32,IF(Atletas!H14="Nandao Grupo A",33,IF(Atletas!H14="Taijijian Grupo A",34,IF(Atletas!H14="Daoshu Opcional",35,IF(Atletas!H14="Jianshu Opcional",36,IF(Atletas!H14="Nandao Opcional",37,IF(Atletas!H14="Taijijian Opcional",38,IF(Atletas!H14="Daoshu Adulto",39,IF(Atletas!H14="Jianshu Adulto",40,IF(Atletas!H14="Nandao Adulto",41,IF(Atletas!H14="Taijijian Adulto",42,""))))))))))))))))))))))))))</f>
        <v/>
      </c>
      <c r="BA18" s="46" t="str">
        <f>IF(Atletas!I14="","",IF(Atletas!B14="Feminino",100,IF(Atletas!B14="Masculino",200,""))+(IF(Atletas!I14="Gunshu Mirim",43,IF(Atletas!I14="Qiangshu Mirim",44,IF(Atletas!I14="Nangun Mirim",45,IF(Atletas!I14="Gunshu Grupo C",46,IF(Atletas!I14="Qiangshu Grupo C",47,IF(Atletas!I14="Nangun Grupo C",48,IF(Atletas!I14="Gunshu Grupo B",49,IF(Atletas!I14="Qiangshu Grupo B",50,IF(Atletas!I14="Nangun Grupo B",51,IF(Atletas!I14="Gunshu Grupo A",52,IF(Atletas!I14="Qiangshu Grupo A",53,IF(Atletas!I14="Nangun Grupo A",54,IF(Atletas!I14="Gunshu Opcional",55,IF(Atletas!I14="Qiangshu Opcional",56,IF(Atletas!I14="Nangun Opcional",57,IF(Atletas!I14="Gunshu Adulto",58,IF(Atletas!I14="Qiangshu Adulto",59,IF(Atletas!I14="Nangun Adulto",60,""))))))))))))))))))))</f>
        <v/>
      </c>
      <c r="BB18" s="46" t="str">
        <f>IF(BC18&lt;&gt;"","Nanquan Grupo C","")</f>
        <v/>
      </c>
      <c r="BC18" s="52" t="str">
        <f>IF(COUNTIF(AY:BA,105)&gt;0,COUNTIF(AY:BA,105),"")</f>
        <v/>
      </c>
      <c r="BD18" s="46" t="str">
        <f>IF(BE18&lt;&gt;"","Nanquan Grupo C","")</f>
        <v/>
      </c>
      <c r="BE18" s="52" t="str">
        <f>IF(COUNTIF(AY:BA,205)&gt;0,COUNTIF(AY:BA,205),"")</f>
        <v/>
      </c>
      <c r="BF18" s="52" t="str">
        <f>IF(Atletas!J14="","",IF(Atletas!B14="Feminino",100,IF(Atletas!B14="Masculino",200,""))+(IF(Atletas!J14="Equipe 1 Grupo B",1,IF(Atletas!J14="Equipe 2 Grupo B",2,IF(Atletas!J14="Equipe 1 Grupo A",3,IF(Atletas!J14="Equipe 2 Grupo A",4,IF(Atletas!J14="Equipe 1 Adulto",5,IF(Atletas!J14="Equipe 2 Adulto",6,""))))))))</f>
        <v/>
      </c>
      <c r="BG18" s="55"/>
      <c r="BH18" s="55"/>
      <c r="BI18" s="55"/>
      <c r="BJ18" s="53"/>
      <c r="BK18" s="52" t="str">
        <f>IF(Atletas!K14="","",IF(Atletas!W14&lt;&gt;"",10000,0)+(IF(Atletas!B14="Feminino",1000,IF(Atletas!B14="Masculino",2000,""))+IF(Atletas!K14="Choylayfut A",1,IF(Atletas!K14="Hunggar A",2,IF(Atletas!K14="Wuzuquan A",3,IF(Atletas!K14="Wingchun A",4,IF(Atletas!K14="Outra Mão de Sul A",5,IF(Atletas!K14="Choylayfut B",6,IF(Atletas!K14="Hunggar B",7,IF(Atletas!K14="Wuzuquan B",8,IF(Atletas!K14="Wingchun B",9,IF(Atletas!K14="Outra Mão de Sul B",10,IF(Atletas!K14="Choylayfut C",11,IF(Atletas!K14="Hunggar C",12,IF(Atletas!K14="Wuzuquan C",13,IF(Atletas!K14="Wingchun C",14,IF(Atletas!K14="Outra Mão de Sul C",15,IF(Atletas!K14="Choylayfut D",16,IF(Atletas!K14="Hunggar D",17,IF(Atletas!K14="Wuzuquan D",18,IF(Atletas!K14="Wingchun D",19,IF(Atletas!K14="Outra Mão de Sul D",20,IF(Atletas!K14="Choylayfut E",21,IF(Atletas!K14="Hunggar E",22,IF(Atletas!K14="Wuzuquan E",23,IF(Atletas!K14="Wingchun E",24,IF(Atletas!K14="Outra Mão de Sul E",25,IF(Atletas!K14="Choylayfut F",26,IF(Atletas!K14="Hunggar F",27,IF(Atletas!K14="Wuzuquan F",28,IF(Atletas!K14="Wingchun F",29,IF(Atletas!K14="Outra Mão de Sul F",30,""))))))))))))))))))))))))))))))))</f>
        <v/>
      </c>
      <c r="BL18" s="52" t="str">
        <f>IF(Atletas!L14="","",IF(Atletas!W14&lt;&gt;"",10000,0)+(IF(Atletas!B14="Feminino",1000,IF(Atletas!B14="Masculino",2000,""))+(IF(Atletas!L14="Chaquan A",101,IF(Atletas!L14="Emeiquan A",102,IF(Atletas!L14="Fanziquan A",103,IF(Atletas!L14="Huaquan A",104,IF(Atletas!L14="Hongquan A",105,IF(Atletas!L14="Paochui A",106,IF(Atletas!L14="Piguaquan A",107,IF(Atletas!L14="Shaolinquan A",108,IF(Atletas!L14="Tanglangquan A",109,IF(Atletas!L14="Yinzhaophai A",110,IF(Atletas!L14="Tongbeiquan A",111,IF(Atletas!L14="Wudangquan A",112,IF(Atletas!L14="Outros Estilos A",113,IF(Atletas!L14="Chaquan B",114,IF(Atletas!L14="Emeiquan B",115,IF(Atletas!L14="Fanziquan B",116,IF(Atletas!L14="Huaquan B",117,IF(Atletas!L14="Hongquan B",118,IF(Atletas!L14="Paochui B",119,IF(Atletas!L14="Piguaquan B",120,IF(Atletas!L14="Shaolinquan B",121,IF(Atletas!L14="Tanglangquan B",122,IF(Atletas!L14="Yinzhaophai B",123,IF(Atletas!L14="Tongbeiquan B",124,IF(Atletas!L14="Wudangquan B",125,IF(Atletas!L14="Outros Estilos B",126,IF(Atletas!L14="Chaquan C",127,IF(Atletas!L14="Emeiquan C",128,IF(Atletas!L14="Fanziquan C",129,IF(Atletas!L14="Huaquan C",130,IF(Atletas!L14="Hongquan C",131,IF(Atletas!L14="Paochui C",132,IF(Atletas!L14="Piguaquan C",133,IF(Atletas!L14="Shaolinquan C",134,IF(Atletas!L14="Tanglangquan C",135,IF(Atletas!L14="Yinzhaophai C",136,IF(Atletas!L14="Tongbeiquan C",137,IF(Atletas!L14="Wudangquan C",138,IF(Atletas!L14="Outros Estilos C",139,0))))))))))))))))))))))))))))))))))))))))))</f>
        <v/>
      </c>
      <c r="BM18" s="52" t="str">
        <f>IF(Atletas!L14="","",IF(Atletas!W14&lt;&gt;"",10000,0)+(IF(Atletas!B14="Feminino",1000,IF(Atletas!B14="Masculino",2000,""))+(IF(Atletas!L14="Chaquan D",140,IF(Atletas!L14="Emeiquan D",141,IF(Atletas!L14="Fanziquan D",142,IF(Atletas!L14="Huaquan D",143,IF(Atletas!L14="Hongquan D",144,IF(Atletas!L14="Paochui D",145,IF(Atletas!L14="Piguaquan D",146,IF(Atletas!L14="Shaolinquan D",147,IF(Atletas!L14="Tanglangquan D",148,IF(Atletas!L14="Yinzhaophai D",149,IF(Atletas!L14="Tongbeiquan D",150,IF(Atletas!L14="Wudangquan D",151,IF(Atletas!L14="Outros Estilos D",152,IF(Atletas!L14="Chaquan E",153,IF(Atletas!L14="Emeiquan E",154,IF(Atletas!L14="Fanziquan E",155,IF(Atletas!L14="Huaquan E",156,IF(Atletas!L14="Hongquan E",157,IF(Atletas!L14="Paochui E",158,IF(Atletas!L14="Piguaquan E",159,IF(Atletas!L14="Shaolinquan E",160,IF(Atletas!L14="Tanglangquan E",161,IF(Atletas!L14="Yinzhaophai E",162,IF(Atletas!L14="Tongbeiquan E",163,IF(Atletas!L14="Wudangquan E",164,IF(Atletas!L14="Outros Estilos E",165,IF(Atletas!L14="Chaquan F",166,IF(Atletas!L14="Emeiquan F",167,IF(Atletas!L14="Fanziquan F",168,IF(Atletas!L14="Huaquan F",169,IF(Atletas!L14="Hongquan F",170,IF(Atletas!L14="Paochui F",171,IF(Atletas!L14="Piguaquan F",172,IF(Atletas!L14="Shaolinquan F",173,IF(Atletas!L14="Tanglangquan F",174,IF(Atletas!L14="Yinzhaophai F",175,IF(Atletas!L14="Tongbeiquan F",176,IF(Atletas!L14="Wudangquan F",177,IF(Atletas!L14="Outros Estilos F",178,0))))))))))))))))))))))))))))))))))))))))))</f>
        <v/>
      </c>
      <c r="BN18" s="52" t="str">
        <f>IF(Atletas!M14="","",IF(Atletas!W14&lt;&gt;"",10000,0)+(IF(Atletas!B14="Feminino",1000,IF(Atletas!B14="Masculino",2000,""))+(IF(Atletas!M14="Ditangquan A",201,IF(Atletas!M14="Houquan A",202,IF(Atletas!M14="Zuiquan A",203,IF(Atletas!M14="Ditangquan B",204,IF(Atletas!M14="Houquan B",205,IF(Atletas!M14="Zuiquan B",206,IF(Atletas!M14="Ditangquan C",207,IF(Atletas!M14="Houquan C",208,IF(Atletas!M14="Zuiquan C",209,IF(Atletas!M14="Ditangquan D",210,IF(Atletas!M14="Houquan D",211,IF(Atletas!M14="Zuiquan D",212,IF(Atletas!M14="Ditangquan E",213,IF(Atletas!M14="Houquan E",214,IF(Atletas!M14="Zuiquan E",215,IF(Atletas!M14="Ditangquan F",216,IF(Atletas!M14="Houquan F",217,IF(Atletas!M14="Zuiquan F",218,"")))))))))))))))))))))</f>
        <v/>
      </c>
      <c r="BO18" s="52" t="str">
        <f>IF(Atletas!N14="","",IF(Atletas!W14&lt;&gt;"",10000,0)+IF(Atletas!B14="Feminino",1000,IF(Atletas!B14="Masculino",2000,""))+IF(Atletas!N14="Yang A",301,IF(Atletas!N14="Chen A",30,IF(Atletas!N14="Sun A",303,IF(Atletas!N14="Wu A",304,IF(Atletas!N14="Wu-Hao A",305,IF(Atletas!N14="Outro Taijiquan A",306,IF(Atletas!N14="Yang B",307,IF(Atletas!N14="Chen B",308,IF(Atletas!N14="Sun B",309,IF(Atletas!N14="Wu B",310,IF(Atletas!N14="Wu-Hao B",311,IF(Atletas!N14="Outro Taijiquan B",312,IF(Atletas!N14="Yang C",313,IF(Atletas!N14="Chen C",314,IF(Atletas!N14="Sun C",315,IF(Atletas!N14="Wu C",316,IF(Atletas!N14="Wu-Hao C",317,IF(Atletas!N14="Outro Taijiquan C",318,IF(Atletas!N14="Yang D",319,IF(Atletas!N14="Chen D",320,IF(Atletas!N14="Sun D",321,IF(Atletas!N14="Wu D",322,IF(Atletas!N14="Wu-Hao D",323,IF(Atletas!N14="Outro Taijiquan D",324,IF(Atletas!N14="Yang E",325,IF(Atletas!N14="Chen E",326,IF(Atletas!N14="Sun E",327,IF(Atletas!N14="Wu E",328,IF(Atletas!N14="Wu-Hao E",329,IF(Atletas!N14="Outro Taijiquan E",330,IF(Atletas!N14="Yang F",331,IF(Atletas!N14="Chen F",332,IF(Atletas!N14="Sun F",333,IF(Atletas!N14="Wu F",334,IF(Atletas!N14="Wu-Hao F",335,IF(Atletas!N14="Outro Taijiquan F",336,"")))))))))))))))))))))))))))))))))))))</f>
        <v/>
      </c>
      <c r="BP18" s="52" t="str">
        <f>IF(Atletas!O14="","",IF(Atletas!W14&lt;&gt;"",10000,0)+IF(Atletas!B14="Feminino",1000,IF(Atletas!B14="Masculino",2000,""))+IF(OR(Atletas!O14="Yang 26 A",Atletas!O14="Yang 40 A"),401,IF(OR(Atletas!O14="Chen 25 A",Atletas!O14="Chen 36 A",Atletas!O14="Chen 56 A"),402,IF(Atletas!O14="Sun 73 A",403,IF(Atletas!O14="Wu 45 A",404,IF(Atletas!O14="Wu-Hao 46 A",405,IF(OR(Atletas!O14="Taijiquan 16 A",Atletas!O14="Taijiquan 24 A",Atletas!O14="Taijiquan 32 A",Atletas!O14="Taijiquan 42 A"),406,IF(OR(Atletas!O14="Yang 26 B",Atletas!O14="Yang 40 B"),407,IF(OR(Atletas!O14="Chen 25 B",Atletas!O14="Chen 36 B",Atletas!O14="Chen 56 B"),408,IF(Atletas!O14="Sun 73 B",409,IF(Atletas!O14="Wu 45 B",410,IF(Atletas!O14="Wu-Hao 46 B",411,IF(OR(Atletas!O14="Taijiquan 16 B",Atletas!O14="Taijiquan 24 B",Atletas!O14="Taijiquan 32 B",Atletas!O14="Taijiquan 42 B"),412,IF(OR(Atletas!O14="Yang 26 C",Atletas!O14="Yang 40 C"),413,IF(OR(Atletas!O14="Chen 25 C",Atletas!O14="Chen 36 C",Atletas!O14="Chen 56 C"),414,IF(Atletas!O14="Sun 73 C",415,IF(Atletas!O14="Wu 45 C",416,IF(Atletas!O14="Wu-Hao 46 C",417,IF(OR(Atletas!O14="Taijiquan 16 C",Atletas!O14="Taijiquan 24 C",Atletas!O14="Taijiquan 32 C",Atletas!O14="Taijiquan 42 C"),418,0)))))))))))))))))))</f>
        <v/>
      </c>
      <c r="BQ18" s="52" t="str">
        <f>IF(Atletas!O14="","",IF(Atletas!W14&lt;&gt;"",10000,0)+IF(Atletas!B14="Feminino",1000,IF(Atletas!B14="Masculino",2000,""))+IF(OR(Atletas!O14="Yang 26 D",Atletas!O14="Yang 40 D"),419,IF(OR(Atletas!O14="Chen 25 D",Atletas!O14="Chen 36 D",Atletas!O14="Chen 56 D"),420,IF(Atletas!O14="Sun 73 D",421,IF(Atletas!O14="Wu 45 D",422,IF(Atletas!O14="Wu-Hao 46 D",423,IF(OR(Atletas!O14="Taijiquan 16 D",Atletas!O14="Taijiquan 24 D",Atletas!O14="Taijiquan 32 D",Atletas!O14="Taijiquan 42 D"),424,IF(OR(Atletas!O14="Yang 26 E",Atletas!O14="Yang 40 E"),425,IF(OR(Atletas!O14="Chen 25 E",Atletas!O14="Chen 36 E",Atletas!O14="Chen 56 E"),426,IF(Atletas!O14="Sun 73 E",427,IF(Atletas!O14="Wu 45 E",428,IF(Atletas!O14="Wu-Hao 46 E",429,IF(OR(Atletas!O14="Taijiquan 16 E",Atletas!O14="Taijiquan 24 E",Atletas!O14="Taijiquan 32 E",Atletas!O14="Taijiquan 42 E"),430,IF(OR(Atletas!O14="Yang 26 F",Atletas!O14="Yang 40 F"),431,IF(OR(Atletas!O14="Chen 25 F",Atletas!O14="Chen 36 F",Atletas!O14="Chen 56 F"),432,IF(Atletas!O14="Sun 73 F",433,IF(Atletas!O14="Wu 45 F",434,IF(Atletas!O14="Wu-Hao 46 F",435,IF(OR(Atletas!O14="Taijiquan 16 F",Atletas!O14="Taijiquan 24 F",Atletas!O14="Taijiquan 32 F",Atletas!O14="Taijiquan 42 F"),436,0)))))))))))))))))))</f>
        <v/>
      </c>
      <c r="BR18" s="52" t="str">
        <f>IF(Atletas!P14="","",IF(Atletas!W14&lt;&gt;"",10000,0)+IF(Atletas!B14="Feminino",1000,IF(Atletas!B14="Masculino",2000,""))+IF(Atletas!P14="Xingyiquan A",501,IF(Atletas!P14="Baguazhang A",502,IF(Atletas!P14="Outro Estilo Interno A",503,IF(Atletas!P14="Xingyiquan B",504,IF(Atletas!P14="Baguazhang B",505,IF(Atletas!P14="Outro Estilo Interno B",506,IF(Atletas!P14="Xingyiquan C",507,IF(Atletas!P14="Baguazhang C",508,IF(Atletas!P14="Outro Estilo Interno C",509,IF(Atletas!P14="Xingyiquan D",510,IF(Atletas!P14="Baguazhang D",511,IF(Atletas!P14="Outro Estilo Interno D",512,IF(Atletas!P14="Xingyiquan E",513,IF(Atletas!P14="Baguazhang E",514,IF(Atletas!P14="Outro Estilo Interno E",515,IF(Atletas!P14="Xingyiquan F",516,IF(Atletas!P14="Baguazhang F",517,IF(Atletas!P14="Outro Estilo Interno F",518, "")))))))))))))))))))</f>
        <v/>
      </c>
      <c r="BS18" s="52" t="str">
        <f>IF(Atletas!Q14="","",IF(Atletas!W14&lt;&gt;"",10000,0)+IF(Atletas!B14="Feminino",1000,IF(Atletas!B14="Masculino",2000,""))+IF(Atletas!Q14="Dao A",601,IF(Atletas!Q14="Jian A",602,IF(Atletas!Q14="Bishou A",603,IF(Atletas!Q14="Shan A",604,IF(Atletas!Q14="Outra Arma Curta A",605,IF(Atletas!Q14="Dao B",606,IF(Atletas!Q14="Jian B",607,IF(Atletas!Q14="Bishou B",608,IF(Atletas!Q14="Shan B",609,IF(Atletas!Q14="Outra Arma Curta B",610,IF(Atletas!Q14="Dao C",611,IF(Atletas!Q14="Jian C",612,IF(Atletas!Q14="Bishou C",613,IF(Atletas!Q14="Shan C",614,IF(Atletas!Q14="Outra Arma Curta C",615,IF(Atletas!Q14="Dao D",616,IF(Atletas!Q14="Jian D",617,IF(Atletas!Q14="Bishou D",618,IF(Atletas!Q14="Shan D",619,IF(Atletas!Q14="Outra Arma Curta D",620,IF(Atletas!Q14="Dao E",621,IF(Atletas!Q14="Jian E",622,IF(Atletas!Q14="Bishou E",623,IF(Atletas!Q14="Shan E",624,IF(Atletas!Q14="Outra Arma Curta E",625,IF(Atletas!Q14="Dao F",626,IF(Atletas!Q14="Jian F",627,IF(Atletas!Q14="Bishou F",628,IF(Atletas!Q14="Shan F",629,IF(Atletas!Q14="Outra Arma Curta F",630, "")))))))))))))))))))))))))))))))</f>
        <v/>
      </c>
      <c r="BT18" s="52" t="str">
        <f>IF(Atletas!R14="","",IF(Atletas!W14&lt;&gt;"",10000,0)+IF(Atletas!B14="Feminino",1000,IF(Atletas!B14="Masculino",2000,""))+IF(Atletas!R14="Gun A",701,IF(Atletas!R14="Qiang A",702,IF(Atletas!R14="Pudao / Guandao A",703,IF(Atletas!R14="Outra Arma Longa A",704,IF(Atletas!R14="Gun B",705,IF(Atletas!R14="Qiang B",706,IF(Atletas!R14="Pudao / Guandao B",707,IF(Atletas!R14="Outra Arma Longa B",708,IF(Atletas!R14="Gun C",709,IF(Atletas!R14="Qiang C",710,IF(Atletas!R14="Pudao / Guandao C",711,IF(Atletas!R14="Outra Arma Longa C",712,IF(Atletas!R14="Gun D",713,IF(Atletas!R14="Qiang D",714,IF(Atletas!R14="Pudao / Guandao D",715,IF(Atletas!R14="Outra Arma Longa D",716,IF(Atletas!R14="Gun E",717,IF(Atletas!R14="Qiang E",718,IF(Atletas!R14="Pudao / Guandao E",719,IF(Atletas!R14="Outra Arma Longa E",720,IF(Atletas!R14="Gun F",721,IF(Atletas!R14="Qiang F",722,IF(Atletas!R14="Pudao / Guandao F",723,IF(Atletas!R14="Outra Arma Longa F",724,"")))))))))))))))))))))))))</f>
        <v/>
      </c>
      <c r="BU18" s="52" t="str">
        <f>IF(Atletas!S14="","",IF(Atletas!W14&lt;&gt;"",10000,0)+IF(Atletas!B14="Feminino",1000,IF(Atletas!B14="Masculino",2000,""))+IF(Atletas!S14="Arma Dupla A",801,IF(Atletas!S14="Arma Maleável A",802,IF(Atletas!S14="Arma Dupla B",803,IF(Atletas!S14="Arma Maleável B",804,IF(Atletas!S14="Arma Dupla C",805,IF(Atletas!S14="Arma Maleável C",806,IF(Atletas!S14="Arma Dupla D",807,IF(Atletas!S14="Arma Maleável D",808,IF(Atletas!S14="Arma Dupla E",809,IF(Atletas!S14="Arma Maleável E",810,IF(Atletas!S14="Arma Dupla F",811,IF(Atletas!S14="Arma Maleável F",812, "")))))))))))))</f>
        <v/>
      </c>
      <c r="BV18" s="52" t="str">
        <f>IF(Atletas!T14="","",IF(Atletas!W14&lt;&gt;"",10000,0)+IF(Atletas!B14="Feminino",1000,IF(Atletas!B14="Masculino",2000,""))+IF(Atletas!T14="Taijijian Yang A",901,IF(Atletas!T14="Taijijian Chen A",902,IF(Atletas!T14="Taijijian Sun A",903,IF(Atletas!T14="Taijijian Wu A",904,IF(Atletas!T14="Taijijian Wu-Hao A",905,IF(Atletas!T14="Taijijian 32 A",906,IF(Atletas!T14="Taijijian 42 A",907,IF(Atletas!T14="Taijijian Yang B",908,IF(Atletas!T14="Taijijian Chen B",909,IF(Atletas!T14="Taijijian Sun B",910,IF(Atletas!T14="Taijijian Wu B",911,IF(Atletas!T14="Taijijian Wu-Hao B",912,IF(Atletas!T14="Taijijian 32 B",913,IF(Atletas!T14="Taijijian 42 B",914,IF(Atletas!T14="Taijijian Yang C",915,IF(Atletas!T14="Taijijian Chen C",916,IF(Atletas!T14="Taijijian Sun C",917,IF(Atletas!T14="Taijijian Wu C",918,IF(Atletas!T14="Taijijian Wu-Hao C",919,IF(Atletas!T14="Taijijian 32 C",920,IF(Atletas!T14="Taijijian 42 C",921,IF(Atletas!T14="Taijijian Yang D",922,IF(Atletas!T14="Taijijian Chen D",923,IF(Atletas!T14="Taijijian Sun D",924,IF(Atletas!T14="Taijijian Wu D",925,IF(Atletas!T14="Taijijian Wu-Hao D",926,IF(Atletas!T14="Taijijian 32 D",927,IF(Atletas!T14="Taijijian 42 D",928,IF(Atletas!T14="Taijijian Yang E",929,IF(Atletas!T14="Taijijian Chen E",930,IF(Atletas!T14="Taijijian Sun E",931,IF(Atletas!T14="Taijijian Wu E",932,IF(Atletas!T14="Taijijian Wu-Hao E",933,IF(Atletas!T14="Taijijian 32 E",934,IF(Atletas!T14="Taijijian 42 E",935,IF(Atletas!T14="Taijijian Yang F",936,IF(Atletas!T14="Taijijian Chen F",937,IF(Atletas!T14="Taijijian Sun F",938,IF(Atletas!T14="Taijijian Wu F",939,IF(Atletas!T14="Taijijian Wu-Hao F",940,IF(Atletas!T14="Taijijian 32 F",941,IF(Atletas!T14="Taijijian 42 F",942,"")))))))))))))))))))))))))))))))))))))))))))</f>
        <v/>
      </c>
      <c r="BW18" s="52" t="str">
        <f>IF(Atletas!U14="","",IF(Atletas!W14&lt;&gt;"",10000,0)+IF(Atletas!B14="Feminino",1000,IF(Atletas!B14="Masculino",2000,""))+IF(Atletas!T14="Taijijian 42 F",942,IF(Atletas!U14="Taijidao A",943,IF(Atletas!U14="Taijishan A",944,IF(Atletas!U14="Taijiqiang A",945,IF(Atletas!U14="Taijidao B",946,IF(Atletas!U14="Taijishan B",947,IF(Atletas!U14="Taijiqiang B",948,IF(Atletas!U14="Taijidao C",949,IF(Atletas!U14="Taijishan C",950,IF(Atletas!U14="Taijiqiang C",951,IF(Atletas!U14="Taijidao D",952,IF(Atletas!U14="Taijishan D",953,IF(Atletas!U14="Taijiqiang D",954,IF(Atletas!U14="Taijidao E",955,IF(Atletas!U14="Taijishan E",956,IF(Atletas!U14="Taijiqiang E",957,IF(Atletas!U14="Taijidao F",958,IF(Atletas!U14="Taijishan F",959,IF(Atletas!U14="Taijiqiang F",960))))))))))))))))))))</f>
        <v/>
      </c>
      <c r="BX18" s="64" t="str">
        <f>IF(BY18&lt;&gt;"","Hunggar C","")</f>
        <v/>
      </c>
      <c r="BY18" s="64" t="str">
        <f>IF(COUNTIF(BK:BW,1012)&gt;0,COUNTIF(BK:BW,1012),"")</f>
        <v/>
      </c>
      <c r="BZ18" s="64" t="str">
        <f>IF(CA18&lt;&gt;"","Hunggar C","")</f>
        <v/>
      </c>
      <c r="CA18" s="64" t="str">
        <f>IF(COUNTIF(BK:BW,2012)&gt;0,COUNTIF(BK:BW,2012),"")</f>
        <v/>
      </c>
      <c r="CB18" s="64" t="str">
        <f>IF(CC18&lt;&gt;"","Hunggar C","")</f>
        <v/>
      </c>
      <c r="CC18" s="64" t="str">
        <f>IF(COUNTIF(BK:BW,11012)&gt;0,COUNTIF(BK:BW,11012),"")</f>
        <v/>
      </c>
      <c r="CD18" s="64" t="str">
        <f>IF(CE18&lt;&gt;"","Hunggar C","")</f>
        <v/>
      </c>
      <c r="CE18" s="64" t="str">
        <f>IF(COUNTIF(BK:BW,12012)&gt;0,COUNTIF(BK:BW,12012),"")</f>
        <v/>
      </c>
      <c r="CF18" s="52" t="str">
        <f xml:space="preserve"> IF(Atletas!V14="","",IF(Atletas!V14="Duilian de Mãos AB - Equipe 1",1,IF(Atletas!V14="Duilian de Mãos AB - Equipe 2",2,IF(Atletas!V14="Duilian de Armas AB - Equipe 1",3,IF(Atletas!V14="Duilian de Armas AB - Equipe 2",4,IF(Atletas!V14="Duilian de Tuishou - Equipe 1",5,IF(Atletas!V14="Duilian de Tuishou - Equipe 2",6,IF(Atletas!V14="Grupo Externo AB - Equipe 1",7,IF(Atletas!V14="Grupo Externo AB - Equipe 2",8,IF(Atletas!V14="Grupo Interno AB - Equipe 1",9,IF(Atletas!V14="Grupo Interno AB - Equipe 2",10,IF(Atletas!V14="Duilian de Mãos CD - Equipe 1",11,IF(Atletas!V14="Duilian de Mãos CD - Equipe 2",12,IF(Atletas!V14="Duilian de Armas CD - Equipe 1",13,IF(Atletas!V14="Duilian de Armas CD - Equipe 2",14,IF(Atletas!V14="Duilian de Tuishou - Equipe 1",15,IF(Atletas!V14="Duilian de Tuishou - Equipe 2",16,IF(Atletas!V14="Grupo Externo CDEF - Equipe 1",17,IF(Atletas!V14="Grupo Externo CDEF - Equipe 2",18,IF(Atletas!V14="Grupo Interno CDEF - Equipe 1",19,IF(Atletas!V14="Grupo Interno CDEF - Equipe 2",20,IF(Atletas!V14="Duilian de Mãos EF - Equipe 1",21,IF(Atletas!V14="Duilian de Mãos EF - Equipe 2",22,IF(Atletas!V14="Duilian de Armas EF - Equipe 1",23,IF(Atletas!V14="Duilian de Armas EF - Equipe 2",24,IF(Atletas!V14="Duilian de Tuishou - Equipe 1",25,IF(Atletas!V14="Duilian de Tuishou - Equipe 2",26,"")))))))))))))))))))))))))))</f>
        <v/>
      </c>
      <c r="CG18" s="10" t="str">
        <f>IF(CH18&lt;&gt;"","Duilian de Armas EF - Equipe 2","")</f>
        <v/>
      </c>
      <c r="CH18" s="10" t="str">
        <f>IF(COUNTIF(CF:CF,24)&gt;0,COUNTIF(CF:CF,24),"")</f>
        <v/>
      </c>
      <c r="CI18" s="52"/>
      <c r="CJ18" s="52"/>
      <c r="CK18" s="53"/>
      <c r="CL18" s="53"/>
      <c r="CR18" s="71"/>
    </row>
    <row r="19" spans="1:96">
      <c r="A19" s="24"/>
      <c r="B19" s="4" t="str">
        <f t="array" ref="B19">IFERROR(INDEX(AK$7:AK$36,SMALL(IF(AK$7:AK$36&lt;&gt;"",ROW(AK$7:AK$36)-ROW(AK$7)+1),ROWS(AK$7:AK18))),"")</f>
        <v/>
      </c>
      <c r="C19" s="4" t="str">
        <f t="array" ref="C19">IFERROR(INDEX(AL$7:AL$36,SMALL(IF(AL$7:AL$36&lt;&gt;"",ROW(AL$7:AL$36)-ROW(AL$7)+1),ROWS(AL$7:AL18))),"")</f>
        <v/>
      </c>
      <c r="D19" s="4" t="str">
        <f t="array" ref="D19">IFERROR(INDEX(AM$7:AM$36,SMALL(IF(AM$7:AM$36&lt;&gt;"",ROW(AM$7:AM$36)-ROW(AM$7)+1),ROWS(AM$7:AM18))),"")</f>
        <v/>
      </c>
      <c r="E19" s="4" t="str">
        <f t="array" ref="E19">IFERROR(INDEX(AN$7:AN$36,SMALL(IF(AN$7:AN$36&lt;&gt;"",ROW(AN$7:AN$36)-ROW(AN$7)+1),ROWS(AN$7:AN18))),"")</f>
        <v/>
      </c>
      <c r="F19" s="4" t="str">
        <f t="array" ref="F19">IFERROR(INDEX(AP$7:AP$36,SMALL(IF(AP$7:AP$36&lt;&gt;"",ROW(AP$7:AP$36)-ROW(AP$7)+1),ROWS(AP$7:AP18))),"")</f>
        <v/>
      </c>
      <c r="G19" s="4" t="str">
        <f t="array" ref="G19">IFERROR(INDEX(AQ$7:AQ$36,SMALL(IF(AQ$7:AQ$36&lt;&gt;"",ROW(AQ$7:AQ$36)-ROW(AQ$7)+1),ROWS(AQ$7:AQ18))),"")</f>
        <v/>
      </c>
      <c r="H19" s="4" t="str">
        <f t="array" ref="H19">IFERROR(INDEX(AR$7:AR$36,SMALL(IF(AR$7:AR$36&lt;&gt;"",ROW(AR$7:AR$36)-ROW(AR$7)+1),ROWS(AR$7:AR18))),"")</f>
        <v/>
      </c>
      <c r="I19" s="4" t="str">
        <f t="array" ref="I19">IFERROR(INDEX(AS$7:AS$36,SMALL(IF(AS$7:AS$36&lt;&gt;"",ROW(AS$7:AS$36)-ROW(AS$7)+1),ROWS(AS$7:AS18))),"")</f>
        <v/>
      </c>
      <c r="J19" s="4" t="str">
        <f t="array" ref="J19">IFERROR(INDEX(AU$7:AU$36,SMALL(IF(AU$7:AU$36&lt;&gt;"",ROW(AU$7:AU$36)-ROW(AU$7)+1),ROWS(AU$7:AU18))),"")</f>
        <v/>
      </c>
      <c r="K19" s="4" t="str">
        <f t="array" ref="K19">IFERROR(INDEX(AV$7:AV$36,SMALL(IF(AV$7:AV$36&lt;&gt;"",ROW(AV$7:AV$36)-ROW(AV$7)+1),ROWS(AV$7:AV18))),"")</f>
        <v/>
      </c>
      <c r="L19" s="4" t="str">
        <f t="array" ref="L19">IFERROR(INDEX(AW$7:AW$36,SMALL(IF(AW$7:AW$36&lt;&gt;"",ROW(AW$7:AW$36)-ROW(AW$7)+1),ROWS(AW$7:AW18))),"")</f>
        <v/>
      </c>
      <c r="M19" s="4" t="str">
        <f t="array" ref="M19">IFERROR(INDEX(AX$7:AX$36,SMALL(IF(AX$7:AX$36&lt;&gt;"",ROW(AX$7:AX$36)-ROW(AX$7)+1),ROWS(AX$7:AX18))),"")</f>
        <v/>
      </c>
      <c r="N19" s="4" t="str">
        <f t="array" ref="N19">IFERROR(INDEX(BB$7:BB$66,SMALL(IF(BB$7:BB$66&lt;&gt;"",ROW(BB$7:BB$66)-ROW(BB$7)+1),ROWS(BB$7:BB18))),"")</f>
        <v/>
      </c>
      <c r="O19" s="4" t="str">
        <f t="array" ref="O19">IFERROR(INDEX(BC$7:BC$66,SMALL(IF(BC$7:BC$66&lt;&gt;"",ROW(BC$7:BC$66)-ROW(BC$7)+1),ROWS(BC$7:BC18))),"")</f>
        <v/>
      </c>
      <c r="P19" s="4" t="str">
        <f t="array" ref="P19">IFERROR(INDEX(BD$7:BD$66,SMALL(IF(BD$7:BD$66&lt;&gt;"",ROW(BD$7:BD$66)-ROW(BD$7)+1),ROWS(BD$7:BD18))),"")</f>
        <v/>
      </c>
      <c r="Q19" s="4" t="str">
        <f t="array" ref="Q19">IFERROR(INDEX(BE$7:BE$66,SMALL(IF(BE$7:BE$66&lt;&gt;"",ROW(BE$7:BE$66)-ROW(BE$7)+1),ROWS(BE$7:BE18))),"")</f>
        <v/>
      </c>
      <c r="R19" s="31"/>
      <c r="S19" s="31"/>
      <c r="T19" s="31"/>
      <c r="U19" s="31"/>
      <c r="V19" s="4" t="str">
        <f t="array" ref="V19">IFERROR(INDEX(BX$7:BX$336,SMALL(IF(BX$7:BX$336&lt;&gt;"",ROW(BX$7:BX$336)-ROW(BX$7)+1),ROWS(BX$7:BX18))),"")</f>
        <v/>
      </c>
      <c r="W19" s="4" t="str">
        <f t="array" ref="W19">IFERROR(INDEX(BY$7:BY$336,SMALL(IF(BY$7:BY$336&lt;&gt;"",ROW(BY$7:BY$336)-ROW(BY$7)+1),ROWS(BY$7:BY18))),"")</f>
        <v/>
      </c>
      <c r="X19" s="4" t="str">
        <f t="array" ref="X19">IFERROR(INDEX(BZ$7:BZ$336,SMALL(IF(BZ$7:BZ$336&lt;&gt;"",ROW(BZ$7:BZ$336)-ROW(BZ$7)+1),ROWS(BZ$7:BZ18))),"")</f>
        <v/>
      </c>
      <c r="Y19" s="4" t="str">
        <f t="array" ref="Y19">IFERROR(INDEX(CA$7:CA$336,SMALL(IF(CA$7:CA$336&lt;&gt;"",ROW(CA$7:CA$336)-ROW(CA$7)+1),ROWS(CA$7:CA18))),"")</f>
        <v/>
      </c>
      <c r="Z19" s="4" t="str">
        <f t="array" ref="Z19">IFERROR(INDEX(CB$7:CB$378,SMALL(IF(CB$7:CB$378&lt;&gt;"",ROW(CB$7:CB$378)-ROW(CB$7)+1),ROWS(CB$7:CB18))),"")</f>
        <v/>
      </c>
      <c r="AA19" s="4" t="str">
        <f t="array" ref="AA19">IFERROR(INDEX(CC$7:CC$378,SMALL(IF(CC$7:CC$378&lt;&gt;"",ROW(CC$7:CC$378)-ROW(CC$7)+1),ROWS(CC$7:CC18))),"")</f>
        <v/>
      </c>
      <c r="AB19" s="4" t="str">
        <f t="array" ref="AB19">IFERROR(INDEX(CD$7:CD$378,SMALL(IF(CD$7:CD$378&lt;&gt;"",ROW(CD$7:CD$378)-ROW(CD$7)+1),ROWS(CD$7:CD18))),"")</f>
        <v/>
      </c>
      <c r="AC19" s="4" t="str">
        <f t="array" ref="AC19">IFERROR(INDEX(CE$7:CE$378,SMALL(IF(CE$7:CE$378&lt;&gt;"",ROW(CE$7:CE$378)-ROW(CE$7)+1),ROWS(CE$7:CE18))),"")</f>
        <v/>
      </c>
      <c r="AD19" s="69" t="str">
        <f t="array" ref="AD19">IFERROR(INDEX(CG$7:CG$18,SMALL(IF(CG$7:CG$18&lt;&gt;"",ROW(CG$7:CG$18)-ROW(CG$7)+1),ROWS(CG$7:CG18))),"")</f>
        <v/>
      </c>
      <c r="AE19" s="69" t="str">
        <f t="array" ref="AE19">IFERROR(INDEX(CH$7:CH$18,SMALL(IF(CH$7:CH$18&lt;&gt;"",ROW(CH$7:CH$18)-ROW(CH$7)+1),ROWS(CH$7:CH18))),"")</f>
        <v/>
      </c>
      <c r="AF19" s="69"/>
      <c r="AG19" s="69"/>
      <c r="AH19" s="69" t="str">
        <f t="array" ref="AH19">IFERROR(INDEX(CK$7:CK$14,SMALL(IF(CK$7:CK$14&lt;&gt;"",ROW(CK$7:CK$14)-ROW(CK$7)+1),ROWS(CK$7:CK18))),"")</f>
        <v/>
      </c>
      <c r="AI19" s="69"/>
      <c r="AJ19" s="46" t="str">
        <f>IF(Atletas!D15="","",IF(Atletas!B15="Feminino",100,IF(Atletas!B15="Masculino",200,""))+(IF(Atletas!D15="Infantil 39kg",1,IF(Atletas!D15="Infantil 42kg",2,IF(Atletas!D15="Infantil 45kg",3,IF(Atletas!D15="Infantil 48kg",4,IF(Atletas!D15="Infantil 52kg",5,IF(Atletas!D15="Infantil 56kg",6,IF(Atletas!D15="Infantil 60kg",7,IF(Atletas!D15="Juvenil 48kg",8,IF(Atletas!D15="Juvenil 52kg",9,IF(Atletas!D15="Juvenil 56kg",10,IF(Atletas!D15="Juvenil 60kg",11,IF(Atletas!D15="Juvenil 65kg",12,IF(Atletas!D15="Juvenil 70kg",13,IF(Atletas!D15="Juvenil 75kg",14,IF(Atletas!D15="Juvenil 80kg",15,IF(Atletas!D15="Adulto 48kg",16,IF(Atletas!D15="Adulto 52kg",17,IF(Atletas!D15="Adulto 56kg",18,IF(Atletas!D15="Adulto 60kg",19,IF(Atletas!D15="Adulto 65kg",20,IF(Atletas!D15="Adulto 70kg",21,IF(Atletas!D15="Adulto 75kg",22,IF(Atletas!D15="Adulto 80kg",23,IF(Atletas!D15="Adulto 85kg",24,IF(Atletas!D15="Adulto 90kg",25,IF(Atletas!D15="Adulto +90kg",26,""))))))))))))))))))))))))))))</f>
        <v/>
      </c>
      <c r="AK19" s="52" t="str">
        <f>IF(AL19&lt;&gt;"","Adulto 65kg","")</f>
        <v/>
      </c>
      <c r="AL19" s="10" t="str">
        <f>IF(COUNTIF(AJ:AJ,120)&gt;0,COUNTIF(AJ:AJ,120),"")</f>
        <v/>
      </c>
      <c r="AM19" s="52" t="str">
        <f>IF(AN19&lt;&gt;"","Juvenil 70kg","")</f>
        <v/>
      </c>
      <c r="AN19" s="10" t="str">
        <f>IF(COUNTIF(AJ:AJ,213)&gt;0,COUNTIF(AJ:AJ,213),"")</f>
        <v/>
      </c>
      <c r="AO19" s="10" t="str">
        <f>IF(Atletas!E15="","",IF(Atletas!B15="Feminino",100,IF(Atletas!B15="Masculino",200,""))+(IF(Atletas!E15="Juvenil 44kg",1,IF(Atletas!E15="Juvenil 48kg",2,IF(Atletas!E15="Juvenil 52kg",3,IF(Atletas!E15="Juvenil 56kg",4,IF(Atletas!E15="Juvenil 60kg",5,IF(Atletas!E15="Juvenil 65kg",6,IF(Atletas!E15="Juvenil 70kg",7,IF(Atletas!E15="Juvenil 75kg",8,IF(Atletas!E15="Juvenil 82kg",9,IF(Atletas!E15="Juvenil 90kg",10,IF(Atletas!E15="Juvenil 100kg",11,IF(Atletas!E15="Adulto 48kg",12,IF(Atletas!E15="Adulto 52kg",13,IF(Atletas!E15="Adulto 56kg",14,IF(Atletas!E15="Adulto 60kg",15,IF(Atletas!E15="Adulto 65kg",16,IF(Atletas!E15="Adulto 70kg",17,IF(Atletas!E15="Adulto 75kg",18,IF(Atletas!E15="Adulto 82kg",19,IF(Atletas!E15="Adulto 90kg",20,IF(Atletas!E15="Adulto 100kg",21,IF(Atletas!E15="Adulto +100kg",22,""))))))))))))))))))))))))</f>
        <v/>
      </c>
      <c r="AP19" s="52" t="str">
        <f>IF(AQ19&lt;&gt;"","Adulto 65kg","")</f>
        <v/>
      </c>
      <c r="AQ19" s="10" t="str">
        <f>IF(COUNTIF(AO:AO,116)&gt;0,COUNTIF(AO:AO,116),"")</f>
        <v/>
      </c>
      <c r="AR19" s="52" t="str">
        <f>IF(AS19&lt;&gt;"","Adulto 60kg","")</f>
        <v/>
      </c>
      <c r="AS19" s="10" t="str">
        <f>IF(COUNTIF(AO:AO,215)&gt;0,COUNTIF(AO:AO,215),"")</f>
        <v/>
      </c>
      <c r="AT19" s="10" t="str">
        <f>IF(Atletas!F15="","",IF(Atletas!B15="Feminino",100,IF(Atletas!B15="Masculino",200,""))+(IF(Atletas!F15="Adulto 48kg",1,IF(Atletas!F15="Adulto 56kg",2,IF(Atletas!F15="Adulto 65kg",3,IF(Atletas!F15="Adulto 75kg",4,IF(Atletas!F15="Adulto +75kg",5,IF(Atletas!F15="Adulto 52kg",6,IF(Atletas!F15="Adulto 60kg",7,IF(Atletas!F15="Adulto 70kg",8,IF(Atletas!F15="Adulto 80kg",9,IF(Atletas!F15="Adulto 90kg",10,IF(Atletas!F15="Adulto +90kg",11,"")))))))))))))</f>
        <v/>
      </c>
      <c r="AY19" s="46" t="str">
        <f>IF(Atletas!G15="","",IF(Atletas!B15="Feminino",100,IF(Atletas!B15="Masculino",200,""))+(IF(Atletas!G15="Changquan Mirim",1,IF(Atletas!G15="Nanquan Mirim",2,IF(Atletas!G15="Taijiquan Mirim",3,IF(Atletas!G15="Changquan Grupo C",4,IF(Atletas!G15="Nanquan Grupo C",5,IF(Atletas!G15="Taijiquan Grupo C",6,IF(Atletas!G15="Changquan Grupo B",7,IF(Atletas!G15="Nanquan Grupo B",8,IF(Atletas!G15="Taijiquan Grupo B",9,IF(Atletas!G15="Changquan Grupo A",10,IF(Atletas!G15="Nanquan Grupo A",11,IF(Atletas!G15="Taijiquan Grupo A",12,IF(Atletas!G15="Changquan Opcional",13,IF(Atletas!G15="Nanquan Opcional",14,IF(Atletas!G15="Taijiquan Opcional",15,IF(Atletas!G15="Changquan Adulto",16,IF(Atletas!G15="Nanquan Adulto",17,IF(Atletas!G15="Taijiquan Adulto",18,""))))))))))))))))))))</f>
        <v/>
      </c>
      <c r="AZ19" s="46" t="str">
        <f>IF(Atletas!H15="","",IF(Atletas!B15="Feminino",100,IF(Atletas!B15="Masculino",200,""))+(IF(Atletas!H15="Daoshu Mirim",19,IF(Atletas!H15="Jianshu Mirim",20,IF(Atletas!H15="Nandao Mirim",21,IF(Atletas!H15="Taijijian Mirim",22,IF(Atletas!H15="Daoshu Grupo C",23,IF(Atletas!H15="Jianshu Grupo C",24,IF(Atletas!H15="Nandao Grupo C",25,IF(Atletas!H15="Taijijian Grupo C",26,IF(Atletas!H15="Daoshu Grupo B",27,IF(Atletas!H15="Jianshu Grupo B",28,IF(Atletas!H15="Nandao Grupo B",29,IF(Atletas!H15="Taijijian Grupo B",30,IF(Atletas!H15="Daoshu Grupo A",31,IF(Atletas!H15="Jianshu Grupo A",32,IF(Atletas!H15="Nandao Grupo A",33,IF(Atletas!H15="Taijijian Grupo A",34,IF(Atletas!H15="Daoshu Opcional",35,IF(Atletas!H15="Jianshu Opcional",36,IF(Atletas!H15="Nandao Opcional",37,IF(Atletas!H15="Taijijian Opcional",38,IF(Atletas!H15="Daoshu Adulto",39,IF(Atletas!H15="Jianshu Adulto",40,IF(Atletas!H15="Nandao Adulto",41,IF(Atletas!H15="Taijijian Adulto",42,""))))))))))))))))))))))))))</f>
        <v/>
      </c>
      <c r="BA19" s="46" t="str">
        <f>IF(Atletas!I15="","",IF(Atletas!B15="Feminino",100,IF(Atletas!B15="Masculino",200,""))+(IF(Atletas!I15="Gunshu Mirim",43,IF(Atletas!I15="Qiangshu Mirim",44,IF(Atletas!I15="Nangun Mirim",45,IF(Atletas!I15="Gunshu Grupo C",46,IF(Atletas!I15="Qiangshu Grupo C",47,IF(Atletas!I15="Nangun Grupo C",48,IF(Atletas!I15="Gunshu Grupo B",49,IF(Atletas!I15="Qiangshu Grupo B",50,IF(Atletas!I15="Nangun Grupo B",51,IF(Atletas!I15="Gunshu Grupo A",52,IF(Atletas!I15="Qiangshu Grupo A",53,IF(Atletas!I15="Nangun Grupo A",54,IF(Atletas!I15="Gunshu Opcional",55,IF(Atletas!I15="Qiangshu Opcional",56,IF(Atletas!I15="Nangun Opcional",57,IF(Atletas!I15="Gunshu Adulto",58,IF(Atletas!I15="Qiangshu Adulto",59,IF(Atletas!I15="Nangun Adulto",60,""))))))))))))))))))))</f>
        <v/>
      </c>
      <c r="BB19" s="46" t="str">
        <f>IF(BC19&lt;&gt;"","Taijiquan Grupo C","")</f>
        <v/>
      </c>
      <c r="BC19" s="52" t="str">
        <f>IF(COUNTIF(AY:BA,106)&gt;0,COUNTIF(AY:BA,106),"")</f>
        <v/>
      </c>
      <c r="BD19" s="46" t="str">
        <f>IF(BE19&lt;&gt;"","Taijiquan Grupo C","")</f>
        <v/>
      </c>
      <c r="BE19" s="52" t="str">
        <f>IF(COUNTIF(AY:BA,206)&gt;0,COUNTIF(AY:BA,206),"")</f>
        <v/>
      </c>
      <c r="BF19" s="52" t="str">
        <f>IF(Atletas!J15="","",IF(Atletas!B15="Feminino",100,IF(Atletas!B15="Masculino",200,""))+(IF(Atletas!J15="Equipe 1 Grupo B",1,IF(Atletas!J15="Equipe 2 Grupo B",2,IF(Atletas!J15="Equipe 1 Grupo A",3,IF(Atletas!J15="Equipe 2 Grupo A",4,IF(Atletas!J15="Equipe 1 Adulto",5,IF(Atletas!J15="Equipe 2 Adulto",6,""))))))))</f>
        <v/>
      </c>
      <c r="BG19" s="55"/>
      <c r="BH19" s="55"/>
      <c r="BI19" s="55"/>
      <c r="BJ19" s="53"/>
      <c r="BK19" s="52" t="str">
        <f>IF(Atletas!K15="","",IF(Atletas!W15&lt;&gt;"",10000,0)+(IF(Atletas!B15="Feminino",1000,IF(Atletas!B15="Masculino",2000,""))+IF(Atletas!K15="Choylayfut A",1,IF(Atletas!K15="Hunggar A",2,IF(Atletas!K15="Wuzuquan A",3,IF(Atletas!K15="Wingchun A",4,IF(Atletas!K15="Outra Mão de Sul A",5,IF(Atletas!K15="Choylayfut B",6,IF(Atletas!K15="Hunggar B",7,IF(Atletas!K15="Wuzuquan B",8,IF(Atletas!K15="Wingchun B",9,IF(Atletas!K15="Outra Mão de Sul B",10,IF(Atletas!K15="Choylayfut C",11,IF(Atletas!K15="Hunggar C",12,IF(Atletas!K15="Wuzuquan C",13,IF(Atletas!K15="Wingchun C",14,IF(Atletas!K15="Outra Mão de Sul C",15,IF(Atletas!K15="Choylayfut D",16,IF(Atletas!K15="Hunggar D",17,IF(Atletas!K15="Wuzuquan D",18,IF(Atletas!K15="Wingchun D",19,IF(Atletas!K15="Outra Mão de Sul D",20,IF(Atletas!K15="Choylayfut E",21,IF(Atletas!K15="Hunggar E",22,IF(Atletas!K15="Wuzuquan E",23,IF(Atletas!K15="Wingchun E",24,IF(Atletas!K15="Outra Mão de Sul E",25,IF(Atletas!K15="Choylayfut F",26,IF(Atletas!K15="Hunggar F",27,IF(Atletas!K15="Wuzuquan F",28,IF(Atletas!K15="Wingchun F",29,IF(Atletas!K15="Outra Mão de Sul F",30,""))))))))))))))))))))))))))))))))</f>
        <v/>
      </c>
      <c r="BL19" s="52" t="str">
        <f>IF(Atletas!L15="","",IF(Atletas!W15&lt;&gt;"",10000,0)+(IF(Atletas!B15="Feminino",1000,IF(Atletas!B15="Masculino",2000,""))+(IF(Atletas!L15="Chaquan A",101,IF(Atletas!L15="Emeiquan A",102,IF(Atletas!L15="Fanziquan A",103,IF(Atletas!L15="Huaquan A",104,IF(Atletas!L15="Hongquan A",105,IF(Atletas!L15="Paochui A",106,IF(Atletas!L15="Piguaquan A",107,IF(Atletas!L15="Shaolinquan A",108,IF(Atletas!L15="Tanglangquan A",109,IF(Atletas!L15="Yinzhaophai A",110,IF(Atletas!L15="Tongbeiquan A",111,IF(Atletas!L15="Wudangquan A",112,IF(Atletas!L15="Outros Estilos A",113,IF(Atletas!L15="Chaquan B",114,IF(Atletas!L15="Emeiquan B",115,IF(Atletas!L15="Fanziquan B",116,IF(Atletas!L15="Huaquan B",117,IF(Atletas!L15="Hongquan B",118,IF(Atletas!L15="Paochui B",119,IF(Atletas!L15="Piguaquan B",120,IF(Atletas!L15="Shaolinquan B",121,IF(Atletas!L15="Tanglangquan B",122,IF(Atletas!L15="Yinzhaophai B",123,IF(Atletas!L15="Tongbeiquan B",124,IF(Atletas!L15="Wudangquan B",125,IF(Atletas!L15="Outros Estilos B",126,IF(Atletas!L15="Chaquan C",127,IF(Atletas!L15="Emeiquan C",128,IF(Atletas!L15="Fanziquan C",129,IF(Atletas!L15="Huaquan C",130,IF(Atletas!L15="Hongquan C",131,IF(Atletas!L15="Paochui C",132,IF(Atletas!L15="Piguaquan C",133,IF(Atletas!L15="Shaolinquan C",134,IF(Atletas!L15="Tanglangquan C",135,IF(Atletas!L15="Yinzhaophai C",136,IF(Atletas!L15="Tongbeiquan C",137,IF(Atletas!L15="Wudangquan C",138,IF(Atletas!L15="Outros Estilos C",139,0))))))))))))))))))))))))))))))))))))))))))</f>
        <v/>
      </c>
      <c r="BM19" s="52" t="str">
        <f>IF(Atletas!L15="","",IF(Atletas!W15&lt;&gt;"",10000,0)+(IF(Atletas!B15="Feminino",1000,IF(Atletas!B15="Masculino",2000,""))+(IF(Atletas!L15="Chaquan D",140,IF(Atletas!L15="Emeiquan D",141,IF(Atletas!L15="Fanziquan D",142,IF(Atletas!L15="Huaquan D",143,IF(Atletas!L15="Hongquan D",144,IF(Atletas!L15="Paochui D",145,IF(Atletas!L15="Piguaquan D",146,IF(Atletas!L15="Shaolinquan D",147,IF(Atletas!L15="Tanglangquan D",148,IF(Atletas!L15="Yinzhaophai D",149,IF(Atletas!L15="Tongbeiquan D",150,IF(Atletas!L15="Wudangquan D",151,IF(Atletas!L15="Outros Estilos D",152,IF(Atletas!L15="Chaquan E",153,IF(Atletas!L15="Emeiquan E",154,IF(Atletas!L15="Fanziquan E",155,IF(Atletas!L15="Huaquan E",156,IF(Atletas!L15="Hongquan E",157,IF(Atletas!L15="Paochui E",158,IF(Atletas!L15="Piguaquan E",159,IF(Atletas!L15="Shaolinquan E",160,IF(Atletas!L15="Tanglangquan E",161,IF(Atletas!L15="Yinzhaophai E",162,IF(Atletas!L15="Tongbeiquan E",163,IF(Atletas!L15="Wudangquan E",164,IF(Atletas!L15="Outros Estilos E",165,IF(Atletas!L15="Chaquan F",166,IF(Atletas!L15="Emeiquan F",167,IF(Atletas!L15="Fanziquan F",168,IF(Atletas!L15="Huaquan F",169,IF(Atletas!L15="Hongquan F",170,IF(Atletas!L15="Paochui F",171,IF(Atletas!L15="Piguaquan F",172,IF(Atletas!L15="Shaolinquan F",173,IF(Atletas!L15="Tanglangquan F",174,IF(Atletas!L15="Yinzhaophai F",175,IF(Atletas!L15="Tongbeiquan F",176,IF(Atletas!L15="Wudangquan F",177,IF(Atletas!L15="Outros Estilos F",178,0))))))))))))))))))))))))))))))))))))))))))</f>
        <v/>
      </c>
      <c r="BN19" s="52" t="str">
        <f>IF(Atletas!M15="","",IF(Atletas!W15&lt;&gt;"",10000,0)+(IF(Atletas!B15="Feminino",1000,IF(Atletas!B15="Masculino",2000,""))+(IF(Atletas!M15="Ditangquan A",201,IF(Atletas!M15="Houquan A",202,IF(Atletas!M15="Zuiquan A",203,IF(Atletas!M15="Ditangquan B",204,IF(Atletas!M15="Houquan B",205,IF(Atletas!M15="Zuiquan B",206,IF(Atletas!M15="Ditangquan C",207,IF(Atletas!M15="Houquan C",208,IF(Atletas!M15="Zuiquan C",209,IF(Atletas!M15="Ditangquan D",210,IF(Atletas!M15="Houquan D",211,IF(Atletas!M15="Zuiquan D",212,IF(Atletas!M15="Ditangquan E",213,IF(Atletas!M15="Houquan E",214,IF(Atletas!M15="Zuiquan E",215,IF(Atletas!M15="Ditangquan F",216,IF(Atletas!M15="Houquan F",217,IF(Atletas!M15="Zuiquan F",218,"")))))))))))))))))))))</f>
        <v/>
      </c>
      <c r="BO19" s="52" t="str">
        <f>IF(Atletas!N15="","",IF(Atletas!W15&lt;&gt;"",10000,0)+IF(Atletas!B15="Feminino",1000,IF(Atletas!B15="Masculino",2000,""))+IF(Atletas!N15="Yang A",301,IF(Atletas!N15="Chen A",30,IF(Atletas!N15="Sun A",303,IF(Atletas!N15="Wu A",304,IF(Atletas!N15="Wu-Hao A",305,IF(Atletas!N15="Outro Taijiquan A",306,IF(Atletas!N15="Yang B",307,IF(Atletas!N15="Chen B",308,IF(Atletas!N15="Sun B",309,IF(Atletas!N15="Wu B",310,IF(Atletas!N15="Wu-Hao B",311,IF(Atletas!N15="Outro Taijiquan B",312,IF(Atletas!N15="Yang C",313,IF(Atletas!N15="Chen C",314,IF(Atletas!N15="Sun C",315,IF(Atletas!N15="Wu C",316,IF(Atletas!N15="Wu-Hao C",317,IF(Atletas!N15="Outro Taijiquan C",318,IF(Atletas!N15="Yang D",319,IF(Atletas!N15="Chen D",320,IF(Atletas!N15="Sun D",321,IF(Atletas!N15="Wu D",322,IF(Atletas!N15="Wu-Hao D",323,IF(Atletas!N15="Outro Taijiquan D",324,IF(Atletas!N15="Yang E",325,IF(Atletas!N15="Chen E",326,IF(Atletas!N15="Sun E",327,IF(Atletas!N15="Wu E",328,IF(Atletas!N15="Wu-Hao E",329,IF(Atletas!N15="Outro Taijiquan E",330,IF(Atletas!N15="Yang F",331,IF(Atletas!N15="Chen F",332,IF(Atletas!N15="Sun F",333,IF(Atletas!N15="Wu F",334,IF(Atletas!N15="Wu-Hao F",335,IF(Atletas!N15="Outro Taijiquan F",336,"")))))))))))))))))))))))))))))))))))))</f>
        <v/>
      </c>
      <c r="BP19" s="52" t="str">
        <f>IF(Atletas!O15="","",IF(Atletas!W15&lt;&gt;"",10000,0)+IF(Atletas!B15="Feminino",1000,IF(Atletas!B15="Masculino",2000,""))+IF(OR(Atletas!O15="Yang 26 A",Atletas!O15="Yang 40 A"),401,IF(OR(Atletas!O15="Chen 25 A",Atletas!O15="Chen 36 A",Atletas!O15="Chen 56 A"),402,IF(Atletas!O15="Sun 73 A",403,IF(Atletas!O15="Wu 45 A",404,IF(Atletas!O15="Wu-Hao 46 A",405,IF(OR(Atletas!O15="Taijiquan 16 A",Atletas!O15="Taijiquan 24 A",Atletas!O15="Taijiquan 32 A",Atletas!O15="Taijiquan 42 A"),406,IF(OR(Atletas!O15="Yang 26 B",Atletas!O15="Yang 40 B"),407,IF(OR(Atletas!O15="Chen 25 B",Atletas!O15="Chen 36 B",Atletas!O15="Chen 56 B"),408,IF(Atletas!O15="Sun 73 B",409,IF(Atletas!O15="Wu 45 B",410,IF(Atletas!O15="Wu-Hao 46 B",411,IF(OR(Atletas!O15="Taijiquan 16 B",Atletas!O15="Taijiquan 24 B",Atletas!O15="Taijiquan 32 B",Atletas!O15="Taijiquan 42 B"),412,IF(OR(Atletas!O15="Yang 26 C",Atletas!O15="Yang 40 C"),413,IF(OR(Atletas!O15="Chen 25 C",Atletas!O15="Chen 36 C",Atletas!O15="Chen 56 C"),414,IF(Atletas!O15="Sun 73 C",415,IF(Atletas!O15="Wu 45 C",416,IF(Atletas!O15="Wu-Hao 46 C",417,IF(OR(Atletas!O15="Taijiquan 16 C",Atletas!O15="Taijiquan 24 C",Atletas!O15="Taijiquan 32 C",Atletas!O15="Taijiquan 42 C"),418,0)))))))))))))))))))</f>
        <v/>
      </c>
      <c r="BQ19" s="52" t="str">
        <f>IF(Atletas!O15="","",IF(Atletas!W15&lt;&gt;"",10000,0)+IF(Atletas!B15="Feminino",1000,IF(Atletas!B15="Masculino",2000,""))+IF(OR(Atletas!O15="Yang 26 D",Atletas!O15="Yang 40 D"),419,IF(OR(Atletas!O15="Chen 25 D",Atletas!O15="Chen 36 D",Atletas!O15="Chen 56 D"),420,IF(Atletas!O15="Sun 73 D",421,IF(Atletas!O15="Wu 45 D",422,IF(Atletas!O15="Wu-Hao 46 D",423,IF(OR(Atletas!O15="Taijiquan 16 D",Atletas!O15="Taijiquan 24 D",Atletas!O15="Taijiquan 32 D",Atletas!O15="Taijiquan 42 D"),424,IF(OR(Atletas!O15="Yang 26 E",Atletas!O15="Yang 40 E"),425,IF(OR(Atletas!O15="Chen 25 E",Atletas!O15="Chen 36 E",Atletas!O15="Chen 56 E"),426,IF(Atletas!O15="Sun 73 E",427,IF(Atletas!O15="Wu 45 E",428,IF(Atletas!O15="Wu-Hao 46 E",429,IF(OR(Atletas!O15="Taijiquan 16 E",Atletas!O15="Taijiquan 24 E",Atletas!O15="Taijiquan 32 E",Atletas!O15="Taijiquan 42 E"),430,IF(OR(Atletas!O15="Yang 26 F",Atletas!O15="Yang 40 F"),431,IF(OR(Atletas!O15="Chen 25 F",Atletas!O15="Chen 36 F",Atletas!O15="Chen 56 F"),432,IF(Atletas!O15="Sun 73 F",433,IF(Atletas!O15="Wu 45 F",434,IF(Atletas!O15="Wu-Hao 46 F",435,IF(OR(Atletas!O15="Taijiquan 16 F",Atletas!O15="Taijiquan 24 F",Atletas!O15="Taijiquan 32 F",Atletas!O15="Taijiquan 42 F"),436,0)))))))))))))))))))</f>
        <v/>
      </c>
      <c r="BR19" s="52" t="str">
        <f>IF(Atletas!P15="","",IF(Atletas!W15&lt;&gt;"",10000,0)+IF(Atletas!B15="Feminino",1000,IF(Atletas!B15="Masculino",2000,""))+IF(Atletas!P15="Xingyiquan A",501,IF(Atletas!P15="Baguazhang A",502,IF(Atletas!P15="Outro Estilo Interno A",503,IF(Atletas!P15="Xingyiquan B",504,IF(Atletas!P15="Baguazhang B",505,IF(Atletas!P15="Outro Estilo Interno B",506,IF(Atletas!P15="Xingyiquan C",507,IF(Atletas!P15="Baguazhang C",508,IF(Atletas!P15="Outro Estilo Interno C",509,IF(Atletas!P15="Xingyiquan D",510,IF(Atletas!P15="Baguazhang D",511,IF(Atletas!P15="Outro Estilo Interno D",512,IF(Atletas!P15="Xingyiquan E",513,IF(Atletas!P15="Baguazhang E",514,IF(Atletas!P15="Outro Estilo Interno E",515,IF(Atletas!P15="Xingyiquan F",516,IF(Atletas!P15="Baguazhang F",517,IF(Atletas!P15="Outro Estilo Interno F",518, "")))))))))))))))))))</f>
        <v/>
      </c>
      <c r="BS19" s="52" t="str">
        <f>IF(Atletas!Q15="","",IF(Atletas!W15&lt;&gt;"",10000,0)+IF(Atletas!B15="Feminino",1000,IF(Atletas!B15="Masculino",2000,""))+IF(Atletas!Q15="Dao A",601,IF(Atletas!Q15="Jian A",602,IF(Atletas!Q15="Bishou A",603,IF(Atletas!Q15="Shan A",604,IF(Atletas!Q15="Outra Arma Curta A",605,IF(Atletas!Q15="Dao B",606,IF(Atletas!Q15="Jian B",607,IF(Atletas!Q15="Bishou B",608,IF(Atletas!Q15="Shan B",609,IF(Atletas!Q15="Outra Arma Curta B",610,IF(Atletas!Q15="Dao C",611,IF(Atletas!Q15="Jian C",612,IF(Atletas!Q15="Bishou C",613,IF(Atletas!Q15="Shan C",614,IF(Atletas!Q15="Outra Arma Curta C",615,IF(Atletas!Q15="Dao D",616,IF(Atletas!Q15="Jian D",617,IF(Atletas!Q15="Bishou D",618,IF(Atletas!Q15="Shan D",619,IF(Atletas!Q15="Outra Arma Curta D",620,IF(Atletas!Q15="Dao E",621,IF(Atletas!Q15="Jian E",622,IF(Atletas!Q15="Bishou E",623,IF(Atletas!Q15="Shan E",624,IF(Atletas!Q15="Outra Arma Curta E",625,IF(Atletas!Q15="Dao F",626,IF(Atletas!Q15="Jian F",627,IF(Atletas!Q15="Bishou F",628,IF(Atletas!Q15="Shan F",629,IF(Atletas!Q15="Outra Arma Curta F",630, "")))))))))))))))))))))))))))))))</f>
        <v/>
      </c>
      <c r="BT19" s="52" t="str">
        <f>IF(Atletas!R15="","",IF(Atletas!W15&lt;&gt;"",10000,0)+IF(Atletas!B15="Feminino",1000,IF(Atletas!B15="Masculino",2000,""))+IF(Atletas!R15="Gun A",701,IF(Atletas!R15="Qiang A",702,IF(Atletas!R15="Pudao / Guandao A",703,IF(Atletas!R15="Outra Arma Longa A",704,IF(Atletas!R15="Gun B",705,IF(Atletas!R15="Qiang B",706,IF(Atletas!R15="Pudao / Guandao B",707,IF(Atletas!R15="Outra Arma Longa B",708,IF(Atletas!R15="Gun C",709,IF(Atletas!R15="Qiang C",710,IF(Atletas!R15="Pudao / Guandao C",711,IF(Atletas!R15="Outra Arma Longa C",712,IF(Atletas!R15="Gun D",713,IF(Atletas!R15="Qiang D",714,IF(Atletas!R15="Pudao / Guandao D",715,IF(Atletas!R15="Outra Arma Longa D",716,IF(Atletas!R15="Gun E",717,IF(Atletas!R15="Qiang E",718,IF(Atletas!R15="Pudao / Guandao E",719,IF(Atletas!R15="Outra Arma Longa E",720,IF(Atletas!R15="Gun F",721,IF(Atletas!R15="Qiang F",722,IF(Atletas!R15="Pudao / Guandao F",723,IF(Atletas!R15="Outra Arma Longa F",724,"")))))))))))))))))))))))))</f>
        <v/>
      </c>
      <c r="BU19" s="52" t="str">
        <f>IF(Atletas!S15="","",IF(Atletas!W15&lt;&gt;"",10000,0)+IF(Atletas!B15="Feminino",1000,IF(Atletas!B15="Masculino",2000,""))+IF(Atletas!S15="Arma Dupla A",801,IF(Atletas!S15="Arma Maleável A",802,IF(Atletas!S15="Arma Dupla B",803,IF(Atletas!S15="Arma Maleável B",804,IF(Atletas!S15="Arma Dupla C",805,IF(Atletas!S15="Arma Maleável C",806,IF(Atletas!S15="Arma Dupla D",807,IF(Atletas!S15="Arma Maleável D",808,IF(Atletas!S15="Arma Dupla E",809,IF(Atletas!S15="Arma Maleável E",810,IF(Atletas!S15="Arma Dupla F",811,IF(Atletas!S15="Arma Maleável F",812, "")))))))))))))</f>
        <v/>
      </c>
      <c r="BV19" s="52" t="str">
        <f>IF(Atletas!T15="","",IF(Atletas!W15&lt;&gt;"",10000,0)+IF(Atletas!B15="Feminino",1000,IF(Atletas!B15="Masculino",2000,""))+IF(Atletas!T15="Taijijian Yang A",901,IF(Atletas!T15="Taijijian Chen A",902,IF(Atletas!T15="Taijijian Sun A",903,IF(Atletas!T15="Taijijian Wu A",904,IF(Atletas!T15="Taijijian Wu-Hao A",905,IF(Atletas!T15="Taijijian 32 A",906,IF(Atletas!T15="Taijijian 42 A",907,IF(Atletas!T15="Taijijian Yang B",908,IF(Atletas!T15="Taijijian Chen B",909,IF(Atletas!T15="Taijijian Sun B",910,IF(Atletas!T15="Taijijian Wu B",911,IF(Atletas!T15="Taijijian Wu-Hao B",912,IF(Atletas!T15="Taijijian 32 B",913,IF(Atletas!T15="Taijijian 42 B",914,IF(Atletas!T15="Taijijian Yang C",915,IF(Atletas!T15="Taijijian Chen C",916,IF(Atletas!T15="Taijijian Sun C",917,IF(Atletas!T15="Taijijian Wu C",918,IF(Atletas!T15="Taijijian Wu-Hao C",919,IF(Atletas!T15="Taijijian 32 C",920,IF(Atletas!T15="Taijijian 42 C",921,IF(Atletas!T15="Taijijian Yang D",922,IF(Atletas!T15="Taijijian Chen D",923,IF(Atletas!T15="Taijijian Sun D",924,IF(Atletas!T15="Taijijian Wu D",925,IF(Atletas!T15="Taijijian Wu-Hao D",926,IF(Atletas!T15="Taijijian 32 D",927,IF(Atletas!T15="Taijijian 42 D",928,IF(Atletas!T15="Taijijian Yang E",929,IF(Atletas!T15="Taijijian Chen E",930,IF(Atletas!T15="Taijijian Sun E",931,IF(Atletas!T15="Taijijian Wu E",932,IF(Atletas!T15="Taijijian Wu-Hao E",933,IF(Atletas!T15="Taijijian 32 E",934,IF(Atletas!T15="Taijijian 42 E",935,IF(Atletas!T15="Taijijian Yang F",936,IF(Atletas!T15="Taijijian Chen F",937,IF(Atletas!T15="Taijijian Sun F",938,IF(Atletas!T15="Taijijian Wu F",939,IF(Atletas!T15="Taijijian Wu-Hao F",940,IF(Atletas!T15="Taijijian 32 F",941,IF(Atletas!T15="Taijijian 42 F",942,"")))))))))))))))))))))))))))))))))))))))))))</f>
        <v/>
      </c>
      <c r="BW19" s="52" t="str">
        <f>IF(Atletas!U15="","",IF(Atletas!W15&lt;&gt;"",10000,0)+IF(Atletas!B15="Feminino",1000,IF(Atletas!B15="Masculino",2000,""))+IF(Atletas!T15="Taijijian 42 F",942,IF(Atletas!U15="Taijidao A",943,IF(Atletas!U15="Taijishan A",944,IF(Atletas!U15="Taijiqiang A",945,IF(Atletas!U15="Taijidao B",946,IF(Atletas!U15="Taijishan B",947,IF(Atletas!U15="Taijiqiang B",948,IF(Atletas!U15="Taijidao C",949,IF(Atletas!U15="Taijishan C",950,IF(Atletas!U15="Taijiqiang C",951,IF(Atletas!U15="Taijidao D",952,IF(Atletas!U15="Taijishan D",953,IF(Atletas!U15="Taijiqiang D",954,IF(Atletas!U15="Taijidao E",955,IF(Atletas!U15="Taijishan E",956,IF(Atletas!U15="Taijiqiang E",957,IF(Atletas!U15="Taijidao F",958,IF(Atletas!U15="Taijishan F",959,IF(Atletas!U15="Taijiqiang F",960))))))))))))))))))))</f>
        <v/>
      </c>
      <c r="BX19" s="64" t="str">
        <f>IF(BY19&lt;&gt;"","Wuzuquan C","")</f>
        <v/>
      </c>
      <c r="BY19" s="64" t="str">
        <f>IF(COUNTIF(BK:BW,1013)&gt;0,COUNTIF(BK:BW,1013),"")</f>
        <v/>
      </c>
      <c r="BZ19" s="64" t="str">
        <f>IF(CA19&lt;&gt;"","Wuzuquan C","")</f>
        <v/>
      </c>
      <c r="CA19" s="64" t="str">
        <f>IF(COUNTIF(BK:BW,2013)&gt;0,COUNTIF(BK:BW,2013),"")</f>
        <v/>
      </c>
      <c r="CB19" s="64" t="str">
        <f>IF(CC19&lt;&gt;"","Wuzuquan C","")</f>
        <v/>
      </c>
      <c r="CC19" s="64" t="str">
        <f>IF(COUNTIF(BK:BW,11013)&gt;0,COUNTIF(BK:BW,11013),"")</f>
        <v/>
      </c>
      <c r="CD19" s="64" t="str">
        <f>IF(CE19&lt;&gt;"","Wuzuquan C","")</f>
        <v/>
      </c>
      <c r="CE19" s="64" t="str">
        <f>IF(COUNTIF(BK:BW,12013)&gt;0,COUNTIF(BK:BW,12013),"")</f>
        <v/>
      </c>
      <c r="CF19" s="52" t="str">
        <f xml:space="preserve"> IF(Atletas!V15="","",IF(Atletas!V15="Duilian de Mãos AB - Equipe 1",1,IF(Atletas!V15="Duilian de Mãos AB - Equipe 2",2,IF(Atletas!V15="Duilian de Armas AB - Equipe 1",3,IF(Atletas!V15="Duilian de Armas AB - Equipe 2",4,IF(Atletas!V15="Duilian de Tuishou - Equipe 1",5,IF(Atletas!V15="Duilian de Tuishou - Equipe 2",6,IF(Atletas!V15="Grupo Externo AB - Equipe 1",7,IF(Atletas!V15="Grupo Externo AB - Equipe 2",8,IF(Atletas!V15="Grupo Interno AB - Equipe 1",9,IF(Atletas!V15="Grupo Interno AB - Equipe 2",10,IF(Atletas!V15="Duilian de Mãos CD - Equipe 1",11,IF(Atletas!V15="Duilian de Mãos CD - Equipe 2",12,IF(Atletas!V15="Duilian de Armas CD - Equipe 1",13,IF(Atletas!V15="Duilian de Armas CD - Equipe 2",14,IF(Atletas!V15="Duilian de Tuishou - Equipe 1",15,IF(Atletas!V15="Duilian de Tuishou - Equipe 2",16,IF(Atletas!V15="Grupo Externo CDEF - Equipe 1",17,IF(Atletas!V15="Grupo Externo CDEF - Equipe 2",18,IF(Atletas!V15="Grupo Interno CDEF - Equipe 1",19,IF(Atletas!V15="Grupo Interno CDEF - Equipe 2",20,IF(Atletas!V15="Duilian de Mãos EF - Equipe 1",21,IF(Atletas!V15="Duilian de Mãos EF - Equipe 2",22,IF(Atletas!V15="Duilian de Armas EF - Equipe 1",23,IF(Atletas!V15="Duilian de Armas EF - Equipe 2",24,IF(Atletas!V15="Duilian de Tuishou - Equipe 1",25,IF(Atletas!V15="Duilian de Tuishou - Equipe 2",26,"")))))))))))))))))))))))))))</f>
        <v/>
      </c>
      <c r="CK19" s="53"/>
      <c r="CL19" s="53"/>
      <c r="CR19" s="71"/>
    </row>
    <row r="20" spans="1:96">
      <c r="A20" s="20"/>
      <c r="B20" s="4" t="str">
        <f t="array" ref="B20">IFERROR(INDEX(AK$7:AK$36,SMALL(IF(AK$7:AK$36&lt;&gt;"",ROW(AK$7:AK$36)-ROW(AK$7)+1),ROWS(AK$7:AK19))),"")</f>
        <v/>
      </c>
      <c r="C20" s="4" t="str">
        <f t="array" ref="C20">IFERROR(INDEX(AL$7:AL$36,SMALL(IF(AL$7:AL$36&lt;&gt;"",ROW(AL$7:AL$36)-ROW(AL$7)+1),ROWS(AL$7:AL19))),"")</f>
        <v/>
      </c>
      <c r="D20" s="4" t="str">
        <f t="array" ref="D20">IFERROR(INDEX(AM$7:AM$36,SMALL(IF(AM$7:AM$36&lt;&gt;"",ROW(AM$7:AM$36)-ROW(AM$7)+1),ROWS(AM$7:AM19))),"")</f>
        <v/>
      </c>
      <c r="E20" s="4" t="str">
        <f t="array" ref="E20">IFERROR(INDEX(AN$7:AN$36,SMALL(IF(AN$7:AN$36&lt;&gt;"",ROW(AN$7:AN$36)-ROW(AN$7)+1),ROWS(AN$7:AN19))),"")</f>
        <v/>
      </c>
      <c r="F20" s="4" t="str">
        <f t="array" ref="F20">IFERROR(INDEX(AP$7:AP$36,SMALL(IF(AP$7:AP$36&lt;&gt;"",ROW(AP$7:AP$36)-ROW(AP$7)+1),ROWS(AP$7:AP19))),"")</f>
        <v/>
      </c>
      <c r="G20" s="4" t="str">
        <f t="array" ref="G20">IFERROR(INDEX(AQ$7:AQ$36,SMALL(IF(AQ$7:AQ$36&lt;&gt;"",ROW(AQ$7:AQ$36)-ROW(AQ$7)+1),ROWS(AQ$7:AQ19))),"")</f>
        <v/>
      </c>
      <c r="H20" s="4" t="str">
        <f t="array" ref="H20">IFERROR(INDEX(AR$7:AR$36,SMALL(IF(AR$7:AR$36&lt;&gt;"",ROW(AR$7:AR$36)-ROW(AR$7)+1),ROWS(AR$7:AR19))),"")</f>
        <v/>
      </c>
      <c r="I20" s="4" t="str">
        <f t="array" ref="I20">IFERROR(INDEX(AS$7:AS$36,SMALL(IF(AS$7:AS$36&lt;&gt;"",ROW(AS$7:AS$36)-ROW(AS$7)+1),ROWS(AS$7:AS19))),"")</f>
        <v/>
      </c>
      <c r="J20" s="4" t="str">
        <f t="array" ref="J20">IFERROR(INDEX(AU$7:AU$36,SMALL(IF(AU$7:AU$36&lt;&gt;"",ROW(AU$7:AU$36)-ROW(AU$7)+1),ROWS(AU$7:AU19))),"")</f>
        <v/>
      </c>
      <c r="K20" s="4" t="str">
        <f t="array" ref="K20">IFERROR(INDEX(AV$7:AV$36,SMALL(IF(AV$7:AV$36&lt;&gt;"",ROW(AV$7:AV$36)-ROW(AV$7)+1),ROWS(AV$7:AV19))),"")</f>
        <v/>
      </c>
      <c r="L20" s="4" t="str">
        <f t="array" ref="L20">IFERROR(INDEX(AW$7:AW$36,SMALL(IF(AW$7:AW$36&lt;&gt;"",ROW(AW$7:AW$36)-ROW(AW$7)+1),ROWS(AW$7:AW19))),"")</f>
        <v/>
      </c>
      <c r="M20" s="4" t="str">
        <f t="array" ref="M20">IFERROR(INDEX(AX$7:AX$36,SMALL(IF(AX$7:AX$36&lt;&gt;"",ROW(AX$7:AX$36)-ROW(AX$7)+1),ROWS(AX$7:AX19))),"")</f>
        <v/>
      </c>
      <c r="N20" s="4" t="str">
        <f t="array" ref="N20">IFERROR(INDEX(BB$7:BB$66,SMALL(IF(BB$7:BB$66&lt;&gt;"",ROW(BB$7:BB$66)-ROW(BB$7)+1),ROWS(BB$7:BB19))),"")</f>
        <v/>
      </c>
      <c r="O20" s="4" t="str">
        <f t="array" ref="O20">IFERROR(INDEX(BC$7:BC$66,SMALL(IF(BC$7:BC$66&lt;&gt;"",ROW(BC$7:BC$66)-ROW(BC$7)+1),ROWS(BC$7:BC19))),"")</f>
        <v/>
      </c>
      <c r="P20" s="4" t="str">
        <f t="array" ref="P20">IFERROR(INDEX(BD$7:BD$66,SMALL(IF(BD$7:BD$66&lt;&gt;"",ROW(BD$7:BD$66)-ROW(BD$7)+1),ROWS(BD$7:BD19))),"")</f>
        <v/>
      </c>
      <c r="Q20" s="4" t="str">
        <f t="array" ref="Q20">IFERROR(INDEX(BE$7:BE$66,SMALL(IF(BE$7:BE$66&lt;&gt;"",ROW(BE$7:BE$66)-ROW(BE$7)+1),ROWS(BE$7:BE19))),"")</f>
        <v/>
      </c>
      <c r="R20" s="31"/>
      <c r="S20" s="31"/>
      <c r="T20" s="31"/>
      <c r="U20" s="31"/>
      <c r="V20" s="4" t="str">
        <f t="array" ref="V20">IFERROR(INDEX(BX$7:BX$336,SMALL(IF(BX$7:BX$336&lt;&gt;"",ROW(BX$7:BX$336)-ROW(BX$7)+1),ROWS(BX$7:BX19))),"")</f>
        <v/>
      </c>
      <c r="W20" s="4" t="str">
        <f t="array" ref="W20">IFERROR(INDEX(BY$7:BY$336,SMALL(IF(BY$7:BY$336&lt;&gt;"",ROW(BY$7:BY$336)-ROW(BY$7)+1),ROWS(BY$7:BY19))),"")</f>
        <v/>
      </c>
      <c r="X20" s="4" t="str">
        <f t="array" ref="X20">IFERROR(INDEX(BZ$7:BZ$336,SMALL(IF(BZ$7:BZ$336&lt;&gt;"",ROW(BZ$7:BZ$336)-ROW(BZ$7)+1),ROWS(BZ$7:BZ19))),"")</f>
        <v/>
      </c>
      <c r="Y20" s="4" t="str">
        <f t="array" ref="Y20">IFERROR(INDEX(CA$7:CA$336,SMALL(IF(CA$7:CA$336&lt;&gt;"",ROW(CA$7:CA$336)-ROW(CA$7)+1),ROWS(CA$7:CA19))),"")</f>
        <v/>
      </c>
      <c r="Z20" s="4" t="str">
        <f t="array" ref="Z20">IFERROR(INDEX(CB$7:CB$378,SMALL(IF(CB$7:CB$378&lt;&gt;"",ROW(CB$7:CB$378)-ROW(CB$7)+1),ROWS(CB$7:CB19))),"")</f>
        <v/>
      </c>
      <c r="AA20" s="4" t="str">
        <f t="array" ref="AA20">IFERROR(INDEX(CC$7:CC$378,SMALL(IF(CC$7:CC$378&lt;&gt;"",ROW(CC$7:CC$378)-ROW(CC$7)+1),ROWS(CC$7:CC19))),"")</f>
        <v/>
      </c>
      <c r="AB20" s="4" t="str">
        <f t="array" ref="AB20">IFERROR(INDEX(CD$7:CD$378,SMALL(IF(CD$7:CD$378&lt;&gt;"",ROW(CD$7:CD$378)-ROW(CD$7)+1),ROWS(CD$7:CD19))),"")</f>
        <v/>
      </c>
      <c r="AC20" s="4" t="str">
        <f t="array" ref="AC20">IFERROR(INDEX(CE$7:CE$378,SMALL(IF(CE$7:CE$378&lt;&gt;"",ROW(CE$7:CE$378)-ROW(CE$7)+1),ROWS(CE$7:CE19))),"")</f>
        <v/>
      </c>
      <c r="AD20" s="69" t="str">
        <f t="array" ref="AD20">IFERROR(INDEX(CG$7:CG$18,SMALL(IF(CG$7:CG$18&lt;&gt;"",ROW(CG$7:CG$18)-ROW(CG$7)+1),ROWS(CG$7:CG19))),"")</f>
        <v/>
      </c>
      <c r="AE20" s="69" t="str">
        <f t="array" ref="AE20">IFERROR(INDEX(CH$7:CH$18,SMALL(IF(CH$7:CH$18&lt;&gt;"",ROW(CH$7:CH$18)-ROW(CH$7)+1),ROWS(CH$7:CH19))),"")</f>
        <v/>
      </c>
      <c r="AF20" s="69"/>
      <c r="AG20" s="69"/>
      <c r="AH20" s="69" t="str">
        <f t="array" ref="AH20">IFERROR(INDEX(CK$7:CK$14,SMALL(IF(CK$7:CK$14&lt;&gt;"",ROW(CK$7:CK$14)-ROW(CK$7)+1),ROWS(CK$7:CK19))),"")</f>
        <v/>
      </c>
      <c r="AI20" s="69"/>
      <c r="AJ20" s="46" t="str">
        <f>IF(Atletas!D16="","",IF(Atletas!B16="Feminino",100,IF(Atletas!B16="Masculino",200,""))+(IF(Atletas!D16="Infantil 39kg",1,IF(Atletas!D16="Infantil 42kg",2,IF(Atletas!D16="Infantil 45kg",3,IF(Atletas!D16="Infantil 48kg",4,IF(Atletas!D16="Infantil 52kg",5,IF(Atletas!D16="Infantil 56kg",6,IF(Atletas!D16="Infantil 60kg",7,IF(Atletas!D16="Juvenil 48kg",8,IF(Atletas!D16="Juvenil 52kg",9,IF(Atletas!D16="Juvenil 56kg",10,IF(Atletas!D16="Juvenil 60kg",11,IF(Atletas!D16="Juvenil 65kg",12,IF(Atletas!D16="Juvenil 70kg",13,IF(Atletas!D16="Juvenil 75kg",14,IF(Atletas!D16="Juvenil 80kg",15,IF(Atletas!D16="Adulto 48kg",16,IF(Atletas!D16="Adulto 52kg",17,IF(Atletas!D16="Adulto 56kg",18,IF(Atletas!D16="Adulto 60kg",19,IF(Atletas!D16="Adulto 65kg",20,IF(Atletas!D16="Adulto 70kg",21,IF(Atletas!D16="Adulto 75kg",22,IF(Atletas!D16="Adulto 80kg",23,IF(Atletas!D16="Adulto 85kg",24,IF(Atletas!D16="Adulto 90kg",25,IF(Atletas!D16="Adulto +90kg",26,""))))))))))))))))))))))))))))</f>
        <v/>
      </c>
      <c r="AK20" s="52" t="str">
        <f>IF(AL20&lt;&gt;"","Adulto 70kg","")</f>
        <v/>
      </c>
      <c r="AL20" s="10" t="str">
        <f>IF(COUNTIF(AJ:AJ,121)&gt;0,COUNTIF(AJ:AJ,121),"")</f>
        <v/>
      </c>
      <c r="AM20" s="52" t="str">
        <f>IF(AN20&lt;&gt;"","Juvenil 75kg","")</f>
        <v/>
      </c>
      <c r="AN20" s="10" t="str">
        <f>IF(COUNTIF(AJ:AJ,214)&gt;0,COUNTIF(AJ:AJ,214),"")</f>
        <v/>
      </c>
      <c r="AO20" s="10" t="str">
        <f>IF(Atletas!E16="","",IF(Atletas!B16="Feminino",100,IF(Atletas!B16="Masculino",200,""))+(IF(Atletas!E16="Juvenil 44kg",1,IF(Atletas!E16="Juvenil 48kg",2,IF(Atletas!E16="Juvenil 52kg",3,IF(Atletas!E16="Juvenil 56kg",4,IF(Atletas!E16="Juvenil 60kg",5,IF(Atletas!E16="Juvenil 65kg",6,IF(Atletas!E16="Juvenil 70kg",7,IF(Atletas!E16="Juvenil 75kg",8,IF(Atletas!E16="Juvenil 82kg",9,IF(Atletas!E16="Juvenil 90kg",10,IF(Atletas!E16="Juvenil 100kg",11,IF(Atletas!E16="Adulto 48kg",12,IF(Atletas!E16="Adulto 52kg",13,IF(Atletas!E16="Adulto 56kg",14,IF(Atletas!E16="Adulto 60kg",15,IF(Atletas!E16="Adulto 65kg",16,IF(Atletas!E16="Adulto 70kg",17,IF(Atletas!E16="Adulto 75kg",18,IF(Atletas!E16="Adulto 82kg",19,IF(Atletas!E16="Adulto 90kg",20,IF(Atletas!E16="Adulto 100kg",21,IF(Atletas!E16="Adulto +100kg",22,""))))))))))))))))))))))))</f>
        <v/>
      </c>
      <c r="AP20" s="52" t="str">
        <f>IF(AQ20&lt;&gt;"","Adulto 70kg","")</f>
        <v/>
      </c>
      <c r="AQ20" s="10" t="str">
        <f>IF(COUNTIF(AO:AO,117)&gt;0,COUNTIF(AO:AO,117),"")</f>
        <v/>
      </c>
      <c r="AR20" s="52" t="str">
        <f>IF(AS20&lt;&gt;"","Adulto 65kg","")</f>
        <v/>
      </c>
      <c r="AS20" s="10" t="str">
        <f>IF(COUNTIF(AO:AO,216)&gt;0,COUNTIF(AO:AO,216),"")</f>
        <v/>
      </c>
      <c r="AT20" s="10" t="str">
        <f>IF(Atletas!F16="","",IF(Atletas!B16="Feminino",100,IF(Atletas!B16="Masculino",200,""))+(IF(Atletas!F16="Adulto 48kg",1,IF(Atletas!F16="Adulto 56kg",2,IF(Atletas!F16="Adulto 65kg",3,IF(Atletas!F16="Adulto 75kg",4,IF(Atletas!F16="Adulto +75kg",5,IF(Atletas!F16="Adulto 52kg",6,IF(Atletas!F16="Adulto 60kg",7,IF(Atletas!F16="Adulto 70kg",8,IF(Atletas!F16="Adulto 80kg",9,IF(Atletas!F16="Adulto 90kg",10,IF(Atletas!F16="Adulto +90kg",11,"")))))))))))))</f>
        <v/>
      </c>
      <c r="AY20" s="46" t="str">
        <f>IF(Atletas!G16="","",IF(Atletas!B16="Feminino",100,IF(Atletas!B16="Masculino",200,""))+(IF(Atletas!G16="Changquan Mirim",1,IF(Atletas!G16="Nanquan Mirim",2,IF(Atletas!G16="Taijiquan Mirim",3,IF(Atletas!G16="Changquan Grupo C",4,IF(Atletas!G16="Nanquan Grupo C",5,IF(Atletas!G16="Taijiquan Grupo C",6,IF(Atletas!G16="Changquan Grupo B",7,IF(Atletas!G16="Nanquan Grupo B",8,IF(Atletas!G16="Taijiquan Grupo B",9,IF(Atletas!G16="Changquan Grupo A",10,IF(Atletas!G16="Nanquan Grupo A",11,IF(Atletas!G16="Taijiquan Grupo A",12,IF(Atletas!G16="Changquan Opcional",13,IF(Atletas!G16="Nanquan Opcional",14,IF(Atletas!G16="Taijiquan Opcional",15,IF(Atletas!G16="Changquan Adulto",16,IF(Atletas!G16="Nanquan Adulto",17,IF(Atletas!G16="Taijiquan Adulto",18,""))))))))))))))))))))</f>
        <v/>
      </c>
      <c r="AZ20" s="46" t="str">
        <f>IF(Atletas!H16="","",IF(Atletas!B16="Feminino",100,IF(Atletas!B16="Masculino",200,""))+(IF(Atletas!H16="Daoshu Mirim",19,IF(Atletas!H16="Jianshu Mirim",20,IF(Atletas!H16="Nandao Mirim",21,IF(Atletas!H16="Taijijian Mirim",22,IF(Atletas!H16="Daoshu Grupo C",23,IF(Atletas!H16="Jianshu Grupo C",24,IF(Atletas!H16="Nandao Grupo C",25,IF(Atletas!H16="Taijijian Grupo C",26,IF(Atletas!H16="Daoshu Grupo B",27,IF(Atletas!H16="Jianshu Grupo B",28,IF(Atletas!H16="Nandao Grupo B",29,IF(Atletas!H16="Taijijian Grupo B",30,IF(Atletas!H16="Daoshu Grupo A",31,IF(Atletas!H16="Jianshu Grupo A",32,IF(Atletas!H16="Nandao Grupo A",33,IF(Atletas!H16="Taijijian Grupo A",34,IF(Atletas!H16="Daoshu Opcional",35,IF(Atletas!H16="Jianshu Opcional",36,IF(Atletas!H16="Nandao Opcional",37,IF(Atletas!H16="Taijijian Opcional",38,IF(Atletas!H16="Daoshu Adulto",39,IF(Atletas!H16="Jianshu Adulto",40,IF(Atletas!H16="Nandao Adulto",41,IF(Atletas!H16="Taijijian Adulto",42,""))))))))))))))))))))))))))</f>
        <v/>
      </c>
      <c r="BA20" s="46" t="str">
        <f>IF(Atletas!I16="","",IF(Atletas!B16="Feminino",100,IF(Atletas!B16="Masculino",200,""))+(IF(Atletas!I16="Gunshu Mirim",43,IF(Atletas!I16="Qiangshu Mirim",44,IF(Atletas!I16="Nangun Mirim",45,IF(Atletas!I16="Gunshu Grupo C",46,IF(Atletas!I16="Qiangshu Grupo C",47,IF(Atletas!I16="Nangun Grupo C",48,IF(Atletas!I16="Gunshu Grupo B",49,IF(Atletas!I16="Qiangshu Grupo B",50,IF(Atletas!I16="Nangun Grupo B",51,IF(Atletas!I16="Gunshu Grupo A",52,IF(Atletas!I16="Qiangshu Grupo A",53,IF(Atletas!I16="Nangun Grupo A",54,IF(Atletas!I16="Gunshu Opcional",55,IF(Atletas!I16="Qiangshu Opcional",56,IF(Atletas!I16="Nangun Opcional",57,IF(Atletas!I16="Gunshu Adulto",58,IF(Atletas!I16="Qiangshu Adulto",59,IF(Atletas!I16="Nangun Adulto",60,""))))))))))))))))))))</f>
        <v/>
      </c>
      <c r="BB20" s="46" t="str">
        <f>IF(BC20&lt;&gt;"","Daoshu Grupo C","")</f>
        <v/>
      </c>
      <c r="BC20" s="52" t="str">
        <f>IF(COUNTIF(AY:BA,123)&gt;0,COUNTIF(AY:BA,123),"")</f>
        <v/>
      </c>
      <c r="BD20" s="46" t="str">
        <f>IF(BE20&lt;&gt;"","Daoshu Grupo C","")</f>
        <v/>
      </c>
      <c r="BE20" s="52" t="str">
        <f>IF(COUNTIF(AY:BA,223)&gt;0,COUNTIF(AY:BA,223),"")</f>
        <v/>
      </c>
      <c r="BF20" s="52" t="str">
        <f>IF(Atletas!J16="","",IF(Atletas!B16="Feminino",100,IF(Atletas!B16="Masculino",200,""))+(IF(Atletas!J16="Equipe 1 Grupo B",1,IF(Atletas!J16="Equipe 2 Grupo B",2,IF(Atletas!J16="Equipe 1 Grupo A",3,IF(Atletas!J16="Equipe 2 Grupo A",4,IF(Atletas!J16="Equipe 1 Adulto",5,IF(Atletas!J16="Equipe 2 Adulto",6,""))))))))</f>
        <v/>
      </c>
      <c r="BG20" s="55"/>
      <c r="BH20" s="55"/>
      <c r="BI20" s="55"/>
      <c r="BJ20" s="53"/>
      <c r="BK20" s="52" t="str">
        <f>IF(Atletas!K16="","",IF(Atletas!W16&lt;&gt;"",10000,0)+(IF(Atletas!B16="Feminino",1000,IF(Atletas!B16="Masculino",2000,""))+IF(Atletas!K16="Choylayfut A",1,IF(Atletas!K16="Hunggar A",2,IF(Atletas!K16="Wuzuquan A",3,IF(Atletas!K16="Wingchun A",4,IF(Atletas!K16="Outra Mão de Sul A",5,IF(Atletas!K16="Choylayfut B",6,IF(Atletas!K16="Hunggar B",7,IF(Atletas!K16="Wuzuquan B",8,IF(Atletas!K16="Wingchun B",9,IF(Atletas!K16="Outra Mão de Sul B",10,IF(Atletas!K16="Choylayfut C",11,IF(Atletas!K16="Hunggar C",12,IF(Atletas!K16="Wuzuquan C",13,IF(Atletas!K16="Wingchun C",14,IF(Atletas!K16="Outra Mão de Sul C",15,IF(Atletas!K16="Choylayfut D",16,IF(Atletas!K16="Hunggar D",17,IF(Atletas!K16="Wuzuquan D",18,IF(Atletas!K16="Wingchun D",19,IF(Atletas!K16="Outra Mão de Sul D",20,IF(Atletas!K16="Choylayfut E",21,IF(Atletas!K16="Hunggar E",22,IF(Atletas!K16="Wuzuquan E",23,IF(Atletas!K16="Wingchun E",24,IF(Atletas!K16="Outra Mão de Sul E",25,IF(Atletas!K16="Choylayfut F",26,IF(Atletas!K16="Hunggar F",27,IF(Atletas!K16="Wuzuquan F",28,IF(Atletas!K16="Wingchun F",29,IF(Atletas!K16="Outra Mão de Sul F",30,""))))))))))))))))))))))))))))))))</f>
        <v/>
      </c>
      <c r="BL20" s="52" t="str">
        <f>IF(Atletas!L16="","",IF(Atletas!W16&lt;&gt;"",10000,0)+(IF(Atletas!B16="Feminino",1000,IF(Atletas!B16="Masculino",2000,""))+(IF(Atletas!L16="Chaquan A",101,IF(Atletas!L16="Emeiquan A",102,IF(Atletas!L16="Fanziquan A",103,IF(Atletas!L16="Huaquan A",104,IF(Atletas!L16="Hongquan A",105,IF(Atletas!L16="Paochui A",106,IF(Atletas!L16="Piguaquan A",107,IF(Atletas!L16="Shaolinquan A",108,IF(Atletas!L16="Tanglangquan A",109,IF(Atletas!L16="Yinzhaophai A",110,IF(Atletas!L16="Tongbeiquan A",111,IF(Atletas!L16="Wudangquan A",112,IF(Atletas!L16="Outros Estilos A",113,IF(Atletas!L16="Chaquan B",114,IF(Atletas!L16="Emeiquan B",115,IF(Atletas!L16="Fanziquan B",116,IF(Atletas!L16="Huaquan B",117,IF(Atletas!L16="Hongquan B",118,IF(Atletas!L16="Paochui B",119,IF(Atletas!L16="Piguaquan B",120,IF(Atletas!L16="Shaolinquan B",121,IF(Atletas!L16="Tanglangquan B",122,IF(Atletas!L16="Yinzhaophai B",123,IF(Atletas!L16="Tongbeiquan B",124,IF(Atletas!L16="Wudangquan B",125,IF(Atletas!L16="Outros Estilos B",126,IF(Atletas!L16="Chaquan C",127,IF(Atletas!L16="Emeiquan C",128,IF(Atletas!L16="Fanziquan C",129,IF(Atletas!L16="Huaquan C",130,IF(Atletas!L16="Hongquan C",131,IF(Atletas!L16="Paochui C",132,IF(Atletas!L16="Piguaquan C",133,IF(Atletas!L16="Shaolinquan C",134,IF(Atletas!L16="Tanglangquan C",135,IF(Atletas!L16="Yinzhaophai C",136,IF(Atletas!L16="Tongbeiquan C",137,IF(Atletas!L16="Wudangquan C",138,IF(Atletas!L16="Outros Estilos C",139,0))))))))))))))))))))))))))))))))))))))))))</f>
        <v/>
      </c>
      <c r="BM20" s="52" t="str">
        <f>IF(Atletas!L16="","",IF(Atletas!W16&lt;&gt;"",10000,0)+(IF(Atletas!B16="Feminino",1000,IF(Atletas!B16="Masculino",2000,""))+(IF(Atletas!L16="Chaquan D",140,IF(Atletas!L16="Emeiquan D",141,IF(Atletas!L16="Fanziquan D",142,IF(Atletas!L16="Huaquan D",143,IF(Atletas!L16="Hongquan D",144,IF(Atletas!L16="Paochui D",145,IF(Atletas!L16="Piguaquan D",146,IF(Atletas!L16="Shaolinquan D",147,IF(Atletas!L16="Tanglangquan D",148,IF(Atletas!L16="Yinzhaophai D",149,IF(Atletas!L16="Tongbeiquan D",150,IF(Atletas!L16="Wudangquan D",151,IF(Atletas!L16="Outros Estilos D",152,IF(Atletas!L16="Chaquan E",153,IF(Atletas!L16="Emeiquan E",154,IF(Atletas!L16="Fanziquan E",155,IF(Atletas!L16="Huaquan E",156,IF(Atletas!L16="Hongquan E",157,IF(Atletas!L16="Paochui E",158,IF(Atletas!L16="Piguaquan E",159,IF(Atletas!L16="Shaolinquan E",160,IF(Atletas!L16="Tanglangquan E",161,IF(Atletas!L16="Yinzhaophai E",162,IF(Atletas!L16="Tongbeiquan E",163,IF(Atletas!L16="Wudangquan E",164,IF(Atletas!L16="Outros Estilos E",165,IF(Atletas!L16="Chaquan F",166,IF(Atletas!L16="Emeiquan F",167,IF(Atletas!L16="Fanziquan F",168,IF(Atletas!L16="Huaquan F",169,IF(Atletas!L16="Hongquan F",170,IF(Atletas!L16="Paochui F",171,IF(Atletas!L16="Piguaquan F",172,IF(Atletas!L16="Shaolinquan F",173,IF(Atletas!L16="Tanglangquan F",174,IF(Atletas!L16="Yinzhaophai F",175,IF(Atletas!L16="Tongbeiquan F",176,IF(Atletas!L16="Wudangquan F",177,IF(Atletas!L16="Outros Estilos F",178,0))))))))))))))))))))))))))))))))))))))))))</f>
        <v/>
      </c>
      <c r="BN20" s="52" t="str">
        <f>IF(Atletas!M16="","",IF(Atletas!W16&lt;&gt;"",10000,0)+(IF(Atletas!B16="Feminino",1000,IF(Atletas!B16="Masculino",2000,""))+(IF(Atletas!M16="Ditangquan A",201,IF(Atletas!M16="Houquan A",202,IF(Atletas!M16="Zuiquan A",203,IF(Atletas!M16="Ditangquan B",204,IF(Atletas!M16="Houquan B",205,IF(Atletas!M16="Zuiquan B",206,IF(Atletas!M16="Ditangquan C",207,IF(Atletas!M16="Houquan C",208,IF(Atletas!M16="Zuiquan C",209,IF(Atletas!M16="Ditangquan D",210,IF(Atletas!M16="Houquan D",211,IF(Atletas!M16="Zuiquan D",212,IF(Atletas!M16="Ditangquan E",213,IF(Atletas!M16="Houquan E",214,IF(Atletas!M16="Zuiquan E",215,IF(Atletas!M16="Ditangquan F",216,IF(Atletas!M16="Houquan F",217,IF(Atletas!M16="Zuiquan F",218,"")))))))))))))))))))))</f>
        <v/>
      </c>
      <c r="BO20" s="52" t="str">
        <f>IF(Atletas!N16="","",IF(Atletas!W16&lt;&gt;"",10000,0)+IF(Atletas!B16="Feminino",1000,IF(Atletas!B16="Masculino",2000,""))+IF(Atletas!N16="Yang A",301,IF(Atletas!N16="Chen A",30,IF(Atletas!N16="Sun A",303,IF(Atletas!N16="Wu A",304,IF(Atletas!N16="Wu-Hao A",305,IF(Atletas!N16="Outro Taijiquan A",306,IF(Atletas!N16="Yang B",307,IF(Atletas!N16="Chen B",308,IF(Atletas!N16="Sun B",309,IF(Atletas!N16="Wu B",310,IF(Atletas!N16="Wu-Hao B",311,IF(Atletas!N16="Outro Taijiquan B",312,IF(Atletas!N16="Yang C",313,IF(Atletas!N16="Chen C",314,IF(Atletas!N16="Sun C",315,IF(Atletas!N16="Wu C",316,IF(Atletas!N16="Wu-Hao C",317,IF(Atletas!N16="Outro Taijiquan C",318,IF(Atletas!N16="Yang D",319,IF(Atletas!N16="Chen D",320,IF(Atletas!N16="Sun D",321,IF(Atletas!N16="Wu D",322,IF(Atletas!N16="Wu-Hao D",323,IF(Atletas!N16="Outro Taijiquan D",324,IF(Atletas!N16="Yang E",325,IF(Atletas!N16="Chen E",326,IF(Atletas!N16="Sun E",327,IF(Atletas!N16="Wu E",328,IF(Atletas!N16="Wu-Hao E",329,IF(Atletas!N16="Outro Taijiquan E",330,IF(Atletas!N16="Yang F",331,IF(Atletas!N16="Chen F",332,IF(Atletas!N16="Sun F",333,IF(Atletas!N16="Wu F",334,IF(Atletas!N16="Wu-Hao F",335,IF(Atletas!N16="Outro Taijiquan F",336,"")))))))))))))))))))))))))))))))))))))</f>
        <v/>
      </c>
      <c r="BP20" s="52" t="str">
        <f>IF(Atletas!O16="","",IF(Atletas!W16&lt;&gt;"",10000,0)+IF(Atletas!B16="Feminino",1000,IF(Atletas!B16="Masculino",2000,""))+IF(OR(Atletas!O16="Yang 26 A",Atletas!O16="Yang 40 A"),401,IF(OR(Atletas!O16="Chen 25 A",Atletas!O16="Chen 36 A",Atletas!O16="Chen 56 A"),402,IF(Atletas!O16="Sun 73 A",403,IF(Atletas!O16="Wu 45 A",404,IF(Atletas!O16="Wu-Hao 46 A",405,IF(OR(Atletas!O16="Taijiquan 16 A",Atletas!O16="Taijiquan 24 A",Atletas!O16="Taijiquan 32 A",Atletas!O16="Taijiquan 42 A"),406,IF(OR(Atletas!O16="Yang 26 B",Atletas!O16="Yang 40 B"),407,IF(OR(Atletas!O16="Chen 25 B",Atletas!O16="Chen 36 B",Atletas!O16="Chen 56 B"),408,IF(Atletas!O16="Sun 73 B",409,IF(Atletas!O16="Wu 45 B",410,IF(Atletas!O16="Wu-Hao 46 B",411,IF(OR(Atletas!O16="Taijiquan 16 B",Atletas!O16="Taijiquan 24 B",Atletas!O16="Taijiquan 32 B",Atletas!O16="Taijiquan 42 B"),412,IF(OR(Atletas!O16="Yang 26 C",Atletas!O16="Yang 40 C"),413,IF(OR(Atletas!O16="Chen 25 C",Atletas!O16="Chen 36 C",Atletas!O16="Chen 56 C"),414,IF(Atletas!O16="Sun 73 C",415,IF(Atletas!O16="Wu 45 C",416,IF(Atletas!O16="Wu-Hao 46 C",417,IF(OR(Atletas!O16="Taijiquan 16 C",Atletas!O16="Taijiquan 24 C",Atletas!O16="Taijiquan 32 C",Atletas!O16="Taijiquan 42 C"),418,0)))))))))))))))))))</f>
        <v/>
      </c>
      <c r="BQ20" s="52" t="str">
        <f>IF(Atletas!O16="","",IF(Atletas!W16&lt;&gt;"",10000,0)+IF(Atletas!B16="Feminino",1000,IF(Atletas!B16="Masculino",2000,""))+IF(OR(Atletas!O16="Yang 26 D",Atletas!O16="Yang 40 D"),419,IF(OR(Atletas!O16="Chen 25 D",Atletas!O16="Chen 36 D",Atletas!O16="Chen 56 D"),420,IF(Atletas!O16="Sun 73 D",421,IF(Atletas!O16="Wu 45 D",422,IF(Atletas!O16="Wu-Hao 46 D",423,IF(OR(Atletas!O16="Taijiquan 16 D",Atletas!O16="Taijiquan 24 D",Atletas!O16="Taijiquan 32 D",Atletas!O16="Taijiquan 42 D"),424,IF(OR(Atletas!O16="Yang 26 E",Atletas!O16="Yang 40 E"),425,IF(OR(Atletas!O16="Chen 25 E",Atletas!O16="Chen 36 E",Atletas!O16="Chen 56 E"),426,IF(Atletas!O16="Sun 73 E",427,IF(Atletas!O16="Wu 45 E",428,IF(Atletas!O16="Wu-Hao 46 E",429,IF(OR(Atletas!O16="Taijiquan 16 E",Atletas!O16="Taijiquan 24 E",Atletas!O16="Taijiquan 32 E",Atletas!O16="Taijiquan 42 E"),430,IF(OR(Atletas!O16="Yang 26 F",Atletas!O16="Yang 40 F"),431,IF(OR(Atletas!O16="Chen 25 F",Atletas!O16="Chen 36 F",Atletas!O16="Chen 56 F"),432,IF(Atletas!O16="Sun 73 F",433,IF(Atletas!O16="Wu 45 F",434,IF(Atletas!O16="Wu-Hao 46 F",435,IF(OR(Atletas!O16="Taijiquan 16 F",Atletas!O16="Taijiquan 24 F",Atletas!O16="Taijiquan 32 F",Atletas!O16="Taijiquan 42 F"),436,0)))))))))))))))))))</f>
        <v/>
      </c>
      <c r="BR20" s="52" t="str">
        <f>IF(Atletas!P16="","",IF(Atletas!W16&lt;&gt;"",10000,0)+IF(Atletas!B16="Feminino",1000,IF(Atletas!B16="Masculino",2000,""))+IF(Atletas!P16="Xingyiquan A",501,IF(Atletas!P16="Baguazhang A",502,IF(Atletas!P16="Outro Estilo Interno A",503,IF(Atletas!P16="Xingyiquan B",504,IF(Atletas!P16="Baguazhang B",505,IF(Atletas!P16="Outro Estilo Interno B",506,IF(Atletas!P16="Xingyiquan C",507,IF(Atletas!P16="Baguazhang C",508,IF(Atletas!P16="Outro Estilo Interno C",509,IF(Atletas!P16="Xingyiquan D",510,IF(Atletas!P16="Baguazhang D",511,IF(Atletas!P16="Outro Estilo Interno D",512,IF(Atletas!P16="Xingyiquan E",513,IF(Atletas!P16="Baguazhang E",514,IF(Atletas!P16="Outro Estilo Interno E",515,IF(Atletas!P16="Xingyiquan F",516,IF(Atletas!P16="Baguazhang F",517,IF(Atletas!P16="Outro Estilo Interno F",518, "")))))))))))))))))))</f>
        <v/>
      </c>
      <c r="BS20" s="52" t="str">
        <f>IF(Atletas!Q16="","",IF(Atletas!W16&lt;&gt;"",10000,0)+IF(Atletas!B16="Feminino",1000,IF(Atletas!B16="Masculino",2000,""))+IF(Atletas!Q16="Dao A",601,IF(Atletas!Q16="Jian A",602,IF(Atletas!Q16="Bishou A",603,IF(Atletas!Q16="Shan A",604,IF(Atletas!Q16="Outra Arma Curta A",605,IF(Atletas!Q16="Dao B",606,IF(Atletas!Q16="Jian B",607,IF(Atletas!Q16="Bishou B",608,IF(Atletas!Q16="Shan B",609,IF(Atletas!Q16="Outra Arma Curta B",610,IF(Atletas!Q16="Dao C",611,IF(Atletas!Q16="Jian C",612,IF(Atletas!Q16="Bishou C",613,IF(Atletas!Q16="Shan C",614,IF(Atletas!Q16="Outra Arma Curta C",615,IF(Atletas!Q16="Dao D",616,IF(Atletas!Q16="Jian D",617,IF(Atletas!Q16="Bishou D",618,IF(Atletas!Q16="Shan D",619,IF(Atletas!Q16="Outra Arma Curta D",620,IF(Atletas!Q16="Dao E",621,IF(Atletas!Q16="Jian E",622,IF(Atletas!Q16="Bishou E",623,IF(Atletas!Q16="Shan E",624,IF(Atletas!Q16="Outra Arma Curta E",625,IF(Atletas!Q16="Dao F",626,IF(Atletas!Q16="Jian F",627,IF(Atletas!Q16="Bishou F",628,IF(Atletas!Q16="Shan F",629,IF(Atletas!Q16="Outra Arma Curta F",630, "")))))))))))))))))))))))))))))))</f>
        <v/>
      </c>
      <c r="BT20" s="52" t="str">
        <f>IF(Atletas!R16="","",IF(Atletas!W16&lt;&gt;"",10000,0)+IF(Atletas!B16="Feminino",1000,IF(Atletas!B16="Masculino",2000,""))+IF(Atletas!R16="Gun A",701,IF(Atletas!R16="Qiang A",702,IF(Atletas!R16="Pudao / Guandao A",703,IF(Atletas!R16="Outra Arma Longa A",704,IF(Atletas!R16="Gun B",705,IF(Atletas!R16="Qiang B",706,IF(Atletas!R16="Pudao / Guandao B",707,IF(Atletas!R16="Outra Arma Longa B",708,IF(Atletas!R16="Gun C",709,IF(Atletas!R16="Qiang C",710,IF(Atletas!R16="Pudao / Guandao C",711,IF(Atletas!R16="Outra Arma Longa C",712,IF(Atletas!R16="Gun D",713,IF(Atletas!R16="Qiang D",714,IF(Atletas!R16="Pudao / Guandao D",715,IF(Atletas!R16="Outra Arma Longa D",716,IF(Atletas!R16="Gun E",717,IF(Atletas!R16="Qiang E",718,IF(Atletas!R16="Pudao / Guandao E",719,IF(Atletas!R16="Outra Arma Longa E",720,IF(Atletas!R16="Gun F",721,IF(Atletas!R16="Qiang F",722,IF(Atletas!R16="Pudao / Guandao F",723,IF(Atletas!R16="Outra Arma Longa F",724,"")))))))))))))))))))))))))</f>
        <v/>
      </c>
      <c r="BU20" s="52" t="str">
        <f>IF(Atletas!S16="","",IF(Atletas!W16&lt;&gt;"",10000,0)+IF(Atletas!B16="Feminino",1000,IF(Atletas!B16="Masculino",2000,""))+IF(Atletas!S16="Arma Dupla A",801,IF(Atletas!S16="Arma Maleável A",802,IF(Atletas!S16="Arma Dupla B",803,IF(Atletas!S16="Arma Maleável B",804,IF(Atletas!S16="Arma Dupla C",805,IF(Atletas!S16="Arma Maleável C",806,IF(Atletas!S16="Arma Dupla D",807,IF(Atletas!S16="Arma Maleável D",808,IF(Atletas!S16="Arma Dupla E",809,IF(Atletas!S16="Arma Maleável E",810,IF(Atletas!S16="Arma Dupla F",811,IF(Atletas!S16="Arma Maleável F",812, "")))))))))))))</f>
        <v/>
      </c>
      <c r="BV20" s="52" t="str">
        <f>IF(Atletas!T16="","",IF(Atletas!W16&lt;&gt;"",10000,0)+IF(Atletas!B16="Feminino",1000,IF(Atletas!B16="Masculino",2000,""))+IF(Atletas!T16="Taijijian Yang A",901,IF(Atletas!T16="Taijijian Chen A",902,IF(Atletas!T16="Taijijian Sun A",903,IF(Atletas!T16="Taijijian Wu A",904,IF(Atletas!T16="Taijijian Wu-Hao A",905,IF(Atletas!T16="Taijijian 32 A",906,IF(Atletas!T16="Taijijian 42 A",907,IF(Atletas!T16="Taijijian Yang B",908,IF(Atletas!T16="Taijijian Chen B",909,IF(Atletas!T16="Taijijian Sun B",910,IF(Atletas!T16="Taijijian Wu B",911,IF(Atletas!T16="Taijijian Wu-Hao B",912,IF(Atletas!T16="Taijijian 32 B",913,IF(Atletas!T16="Taijijian 42 B",914,IF(Atletas!T16="Taijijian Yang C",915,IF(Atletas!T16="Taijijian Chen C",916,IF(Atletas!T16="Taijijian Sun C",917,IF(Atletas!T16="Taijijian Wu C",918,IF(Atletas!T16="Taijijian Wu-Hao C",919,IF(Atletas!T16="Taijijian 32 C",920,IF(Atletas!T16="Taijijian 42 C",921,IF(Atletas!T16="Taijijian Yang D",922,IF(Atletas!T16="Taijijian Chen D",923,IF(Atletas!T16="Taijijian Sun D",924,IF(Atletas!T16="Taijijian Wu D",925,IF(Atletas!T16="Taijijian Wu-Hao D",926,IF(Atletas!T16="Taijijian 32 D",927,IF(Atletas!T16="Taijijian 42 D",928,IF(Atletas!T16="Taijijian Yang E",929,IF(Atletas!T16="Taijijian Chen E",930,IF(Atletas!T16="Taijijian Sun E",931,IF(Atletas!T16="Taijijian Wu E",932,IF(Atletas!T16="Taijijian Wu-Hao E",933,IF(Atletas!T16="Taijijian 32 E",934,IF(Atletas!T16="Taijijian 42 E",935,IF(Atletas!T16="Taijijian Yang F",936,IF(Atletas!T16="Taijijian Chen F",937,IF(Atletas!T16="Taijijian Sun F",938,IF(Atletas!T16="Taijijian Wu F",939,IF(Atletas!T16="Taijijian Wu-Hao F",940,IF(Atletas!T16="Taijijian 32 F",941,IF(Atletas!T16="Taijijian 42 F",942,"")))))))))))))))))))))))))))))))))))))))))))</f>
        <v/>
      </c>
      <c r="BW20" s="52" t="str">
        <f>IF(Atletas!U16="","",IF(Atletas!W16&lt;&gt;"",10000,0)+IF(Atletas!B16="Feminino",1000,IF(Atletas!B16="Masculino",2000,""))+IF(Atletas!T16="Taijijian 42 F",942,IF(Atletas!U16="Taijidao A",943,IF(Atletas!U16="Taijishan A",944,IF(Atletas!U16="Taijiqiang A",945,IF(Atletas!U16="Taijidao B",946,IF(Atletas!U16="Taijishan B",947,IF(Atletas!U16="Taijiqiang B",948,IF(Atletas!U16="Taijidao C",949,IF(Atletas!U16="Taijishan C",950,IF(Atletas!U16="Taijiqiang C",951,IF(Atletas!U16="Taijidao D",952,IF(Atletas!U16="Taijishan D",953,IF(Atletas!U16="Taijiqiang D",954,IF(Atletas!U16="Taijidao E",955,IF(Atletas!U16="Taijishan E",956,IF(Atletas!U16="Taijiqiang E",957,IF(Atletas!U16="Taijidao F",958,IF(Atletas!U16="Taijishan F",959,IF(Atletas!U16="Taijiqiang F",960))))))))))))))))))))</f>
        <v/>
      </c>
      <c r="BX20" s="64" t="str">
        <f>IF(BY20&lt;&gt;"","Wingchun C","")</f>
        <v/>
      </c>
      <c r="BY20" s="64" t="str">
        <f>IF(COUNTIF(BK:BW,1014)&gt;0,COUNTIF(BK:BW,1014),"")</f>
        <v/>
      </c>
      <c r="BZ20" s="64" t="str">
        <f>IF(CA20&lt;&gt;"","Wingchun C","")</f>
        <v/>
      </c>
      <c r="CA20" s="64" t="str">
        <f>IF(COUNTIF(BK:BW,2014)&gt;0,COUNTIF(BK:BW,2014),"")</f>
        <v/>
      </c>
      <c r="CB20" s="64" t="str">
        <f>IF(CC20&lt;&gt;"","Wingchun C","")</f>
        <v/>
      </c>
      <c r="CC20" s="64" t="str">
        <f>IF(COUNTIF(BK:BW,11014)&gt;0,COUNTIF(BK:BW,11014),"")</f>
        <v/>
      </c>
      <c r="CD20" s="64" t="str">
        <f>IF(CE20&lt;&gt;"","Wingchun C","")</f>
        <v/>
      </c>
      <c r="CE20" s="64" t="str">
        <f>IF(COUNTIF(BK:BW,12014)&gt;0,COUNTIF(BK:BW,12014),"")</f>
        <v/>
      </c>
      <c r="CF20" s="52" t="str">
        <f xml:space="preserve"> IF(Atletas!V16="","",IF(Atletas!V16="Duilian de Mãos AB - Equipe 1",1,IF(Atletas!V16="Duilian de Mãos AB - Equipe 2",2,IF(Atletas!V16="Duilian de Armas AB - Equipe 1",3,IF(Atletas!V16="Duilian de Armas AB - Equipe 2",4,IF(Atletas!V16="Duilian de Tuishou - Equipe 1",5,IF(Atletas!V16="Duilian de Tuishou - Equipe 2",6,IF(Atletas!V16="Grupo Externo AB - Equipe 1",7,IF(Atletas!V16="Grupo Externo AB - Equipe 2",8,IF(Atletas!V16="Grupo Interno AB - Equipe 1",9,IF(Atletas!V16="Grupo Interno AB - Equipe 2",10,IF(Atletas!V16="Duilian de Mãos CD - Equipe 1",11,IF(Atletas!V16="Duilian de Mãos CD - Equipe 2",12,IF(Atletas!V16="Duilian de Armas CD - Equipe 1",13,IF(Atletas!V16="Duilian de Armas CD - Equipe 2",14,IF(Atletas!V16="Duilian de Tuishou - Equipe 1",15,IF(Atletas!V16="Duilian de Tuishou - Equipe 2",16,IF(Atletas!V16="Grupo Externo CDEF - Equipe 1",17,IF(Atletas!V16="Grupo Externo CDEF - Equipe 2",18,IF(Atletas!V16="Grupo Interno CDEF - Equipe 1",19,IF(Atletas!V16="Grupo Interno CDEF - Equipe 2",20,IF(Atletas!V16="Duilian de Mãos EF - Equipe 1",21,IF(Atletas!V16="Duilian de Mãos EF - Equipe 2",22,IF(Atletas!V16="Duilian de Armas EF - Equipe 1",23,IF(Atletas!V16="Duilian de Armas EF - Equipe 2",24,IF(Atletas!V16="Duilian de Tuishou - Equipe 1",25,IF(Atletas!V16="Duilian de Tuishou - Equipe 2",26,"")))))))))))))))))))))))))))</f>
        <v/>
      </c>
      <c r="CK20" s="53"/>
      <c r="CL20" s="53"/>
      <c r="CR20" s="71"/>
    </row>
    <row r="21" spans="1:96">
      <c r="A21" s="25"/>
      <c r="B21" s="4" t="str">
        <f t="array" ref="B21">IFERROR(INDEX(AK$7:AK$36,SMALL(IF(AK$7:AK$36&lt;&gt;"",ROW(AK$7:AK$36)-ROW(AK$7)+1),ROWS(AK$7:AK20))),"")</f>
        <v/>
      </c>
      <c r="C21" s="4" t="str">
        <f t="array" ref="C21">IFERROR(INDEX(AL$7:AL$36,SMALL(IF(AL$7:AL$36&lt;&gt;"",ROW(AL$7:AL$36)-ROW(AL$7)+1),ROWS(AL$7:AL20))),"")</f>
        <v/>
      </c>
      <c r="D21" s="4" t="str">
        <f t="array" ref="D21">IFERROR(INDEX(AM$7:AM$36,SMALL(IF(AM$7:AM$36&lt;&gt;"",ROW(AM$7:AM$36)-ROW(AM$7)+1),ROWS(AM$7:AM20))),"")</f>
        <v/>
      </c>
      <c r="E21" s="4" t="str">
        <f t="array" ref="E21">IFERROR(INDEX(AN$7:AN$36,SMALL(IF(AN$7:AN$36&lt;&gt;"",ROW(AN$7:AN$36)-ROW(AN$7)+1),ROWS(AN$7:AN20))),"")</f>
        <v/>
      </c>
      <c r="F21" s="4" t="str">
        <f t="array" ref="F21">IFERROR(INDEX(AP$7:AP$36,SMALL(IF(AP$7:AP$36&lt;&gt;"",ROW(AP$7:AP$36)-ROW(AP$7)+1),ROWS(AP$7:AP20))),"")</f>
        <v/>
      </c>
      <c r="G21" s="4" t="str">
        <f t="array" ref="G21">IFERROR(INDEX(AQ$7:AQ$36,SMALL(IF(AQ$7:AQ$36&lt;&gt;"",ROW(AQ$7:AQ$36)-ROW(AQ$7)+1),ROWS(AQ$7:AQ20))),"")</f>
        <v/>
      </c>
      <c r="H21" s="4" t="str">
        <f t="array" ref="H21">IFERROR(INDEX(AR$7:AR$36,SMALL(IF(AR$7:AR$36&lt;&gt;"",ROW(AR$7:AR$36)-ROW(AR$7)+1),ROWS(AR$7:AR20))),"")</f>
        <v/>
      </c>
      <c r="I21" s="4" t="str">
        <f t="array" ref="I21">IFERROR(INDEX(AS$7:AS$36,SMALL(IF(AS$7:AS$36&lt;&gt;"",ROW(AS$7:AS$36)-ROW(AS$7)+1),ROWS(AS$7:AS20))),"")</f>
        <v/>
      </c>
      <c r="J21" s="4" t="str">
        <f t="array" ref="J21">IFERROR(INDEX(AU$7:AU$36,SMALL(IF(AU$7:AU$36&lt;&gt;"",ROW(AU$7:AU$36)-ROW(AU$7)+1),ROWS(AU$7:AU20))),"")</f>
        <v/>
      </c>
      <c r="K21" s="4" t="str">
        <f t="array" ref="K21">IFERROR(INDEX(AV$7:AV$36,SMALL(IF(AV$7:AV$36&lt;&gt;"",ROW(AV$7:AV$36)-ROW(AV$7)+1),ROWS(AV$7:AV20))),"")</f>
        <v/>
      </c>
      <c r="L21" s="4" t="str">
        <f t="array" ref="L21">IFERROR(INDEX(AW$7:AW$36,SMALL(IF(AW$7:AW$36&lt;&gt;"",ROW(AW$7:AW$36)-ROW(AW$7)+1),ROWS(AW$7:AW20))),"")</f>
        <v/>
      </c>
      <c r="M21" s="4" t="str">
        <f t="array" ref="M21">IFERROR(INDEX(AX$7:AX$36,SMALL(IF(AX$7:AX$36&lt;&gt;"",ROW(AX$7:AX$36)-ROW(AX$7)+1),ROWS(AX$7:AX20))),"")</f>
        <v/>
      </c>
      <c r="N21" s="4" t="str">
        <f t="array" ref="N21">IFERROR(INDEX(BB$7:BB$66,SMALL(IF(BB$7:BB$66&lt;&gt;"",ROW(BB$7:BB$66)-ROW(BB$7)+1),ROWS(BB$7:BB20))),"")</f>
        <v/>
      </c>
      <c r="O21" s="4" t="str">
        <f t="array" ref="O21">IFERROR(INDEX(BC$7:BC$66,SMALL(IF(BC$7:BC$66&lt;&gt;"",ROW(BC$7:BC$66)-ROW(BC$7)+1),ROWS(BC$7:BC20))),"")</f>
        <v/>
      </c>
      <c r="P21" s="4" t="str">
        <f t="array" ref="P21">IFERROR(INDEX(BD$7:BD$66,SMALL(IF(BD$7:BD$66&lt;&gt;"",ROW(BD$7:BD$66)-ROW(BD$7)+1),ROWS(BD$7:BD20))),"")</f>
        <v/>
      </c>
      <c r="Q21" s="4" t="str">
        <f t="array" ref="Q21">IFERROR(INDEX(BE$7:BE$66,SMALL(IF(BE$7:BE$66&lt;&gt;"",ROW(BE$7:BE$66)-ROW(BE$7)+1),ROWS(BE$7:BE20))),"")</f>
        <v/>
      </c>
      <c r="R21" s="31"/>
      <c r="S21" s="31"/>
      <c r="T21" s="31"/>
      <c r="U21" s="31"/>
      <c r="V21" s="4" t="str">
        <f t="array" ref="V21">IFERROR(INDEX(BX$7:BX$336,SMALL(IF(BX$7:BX$336&lt;&gt;"",ROW(BX$7:BX$336)-ROW(BX$7)+1),ROWS(BX$7:BX20))),"")</f>
        <v/>
      </c>
      <c r="W21" s="4" t="str">
        <f t="array" ref="W21">IFERROR(INDEX(BY$7:BY$336,SMALL(IF(BY$7:BY$336&lt;&gt;"",ROW(BY$7:BY$336)-ROW(BY$7)+1),ROWS(BY$7:BY20))),"")</f>
        <v/>
      </c>
      <c r="X21" s="4" t="str">
        <f t="array" ref="X21">IFERROR(INDEX(BZ$7:BZ$336,SMALL(IF(BZ$7:BZ$336&lt;&gt;"",ROW(BZ$7:BZ$336)-ROW(BZ$7)+1),ROWS(BZ$7:BZ20))),"")</f>
        <v/>
      </c>
      <c r="Y21" s="4" t="str">
        <f t="array" ref="Y21">IFERROR(INDEX(CA$7:CA$336,SMALL(IF(CA$7:CA$336&lt;&gt;"",ROW(CA$7:CA$336)-ROW(CA$7)+1),ROWS(CA$7:CA20))),"")</f>
        <v/>
      </c>
      <c r="Z21" s="4" t="str">
        <f t="array" ref="Z21">IFERROR(INDEX(CB$7:CB$378,SMALL(IF(CB$7:CB$378&lt;&gt;"",ROW(CB$7:CB$378)-ROW(CB$7)+1),ROWS(CB$7:CB20))),"")</f>
        <v/>
      </c>
      <c r="AA21" s="4" t="str">
        <f t="array" ref="AA21">IFERROR(INDEX(CC$7:CC$378,SMALL(IF(CC$7:CC$378&lt;&gt;"",ROW(CC$7:CC$378)-ROW(CC$7)+1),ROWS(CC$7:CC20))),"")</f>
        <v/>
      </c>
      <c r="AB21" s="4" t="str">
        <f t="array" ref="AB21">IFERROR(INDEX(CD$7:CD$378,SMALL(IF(CD$7:CD$378&lt;&gt;"",ROW(CD$7:CD$378)-ROW(CD$7)+1),ROWS(CD$7:CD20))),"")</f>
        <v/>
      </c>
      <c r="AC21" s="4" t="str">
        <f t="array" ref="AC21">IFERROR(INDEX(CE$7:CE$378,SMALL(IF(CE$7:CE$378&lt;&gt;"",ROW(CE$7:CE$378)-ROW(CE$7)+1),ROWS(CE$7:CE20))),"")</f>
        <v/>
      </c>
      <c r="AD21" s="69" t="str">
        <f t="array" ref="AD21">IFERROR(INDEX(CG$7:CG$18,SMALL(IF(CG$7:CG$18&lt;&gt;"",ROW(CG$7:CG$18)-ROW(CG$7)+1),ROWS(CG$7:CG20))),"")</f>
        <v/>
      </c>
      <c r="AE21" s="69" t="str">
        <f t="array" ref="AE21">IFERROR(INDEX(CH$7:CH$18,SMALL(IF(CH$7:CH$18&lt;&gt;"",ROW(CH$7:CH$18)-ROW(CH$7)+1),ROWS(CH$7:CH20))),"")</f>
        <v/>
      </c>
      <c r="AF21" s="69" t="str">
        <f t="array" ref="AF21">IFERROR(INDEX(CI$7:CI$8,SMALL(IF(CI$7:CI$8&lt;&gt;"",ROW(CI$7:CI$8)-ROW(CI$7)+1),ROWS(CI$7:CI20))),"")</f>
        <v/>
      </c>
      <c r="AG21" s="69"/>
      <c r="AH21" s="69" t="str">
        <f t="array" ref="AH21">IFERROR(INDEX(CK$7:CK$14,SMALL(IF(CK$7:CK$14&lt;&gt;"",ROW(CK$7:CK$14)-ROW(CK$7)+1),ROWS(CK$7:CK20))),"")</f>
        <v/>
      </c>
      <c r="AI21" s="69"/>
      <c r="AJ21" s="46" t="str">
        <f>IF(Atletas!D17="","",IF(Atletas!B17="Feminino",100,IF(Atletas!B17="Masculino",200,""))+(IF(Atletas!D17="Infantil 39kg",1,IF(Atletas!D17="Infantil 42kg",2,IF(Atletas!D17="Infantil 45kg",3,IF(Atletas!D17="Infantil 48kg",4,IF(Atletas!D17="Infantil 52kg",5,IF(Atletas!D17="Infantil 56kg",6,IF(Atletas!D17="Infantil 60kg",7,IF(Atletas!D17="Juvenil 48kg",8,IF(Atletas!D17="Juvenil 52kg",9,IF(Atletas!D17="Juvenil 56kg",10,IF(Atletas!D17="Juvenil 60kg",11,IF(Atletas!D17="Juvenil 65kg",12,IF(Atletas!D17="Juvenil 70kg",13,IF(Atletas!D17="Juvenil 75kg",14,IF(Atletas!D17="Juvenil 80kg",15,IF(Atletas!D17="Adulto 48kg",16,IF(Atletas!D17="Adulto 52kg",17,IF(Atletas!D17="Adulto 56kg",18,IF(Atletas!D17="Adulto 60kg",19,IF(Atletas!D17="Adulto 65kg",20,IF(Atletas!D17="Adulto 70kg",21,IF(Atletas!D17="Adulto 75kg",22,IF(Atletas!D17="Adulto 80kg",23,IF(Atletas!D17="Adulto 85kg",24,IF(Atletas!D17="Adulto 90kg",25,IF(Atletas!D17="Adulto +90kg",26,""))))))))))))))))))))))))))))</f>
        <v/>
      </c>
      <c r="AK21" s="52" t="str">
        <f>IF(AL21&lt;&gt;"","Adulto 75kg","")</f>
        <v/>
      </c>
      <c r="AL21" s="10" t="str">
        <f>IF(COUNTIF(AJ:AJ,122)&gt;0,COUNTIF(AJ:AJ,122),"")</f>
        <v/>
      </c>
      <c r="AM21" s="52" t="str">
        <f>IF(AN21&lt;&gt;"","Juvenil 80kg","")</f>
        <v/>
      </c>
      <c r="AN21" s="10" t="str">
        <f>IF(COUNTIF(AJ:AJ,215)&gt;0,COUNTIF(AJ:AJ,215),"")</f>
        <v/>
      </c>
      <c r="AO21" s="10" t="str">
        <f>IF(Atletas!E17="","",IF(Atletas!B17="Feminino",100,IF(Atletas!B17="Masculino",200,""))+(IF(Atletas!E17="Juvenil 44kg",1,IF(Atletas!E17="Juvenil 48kg",2,IF(Atletas!E17="Juvenil 52kg",3,IF(Atletas!E17="Juvenil 56kg",4,IF(Atletas!E17="Juvenil 60kg",5,IF(Atletas!E17="Juvenil 65kg",6,IF(Atletas!E17="Juvenil 70kg",7,IF(Atletas!E17="Juvenil 75kg",8,IF(Atletas!E17="Juvenil 82kg",9,IF(Atletas!E17="Juvenil 90kg",10,IF(Atletas!E17="Juvenil 100kg",11,IF(Atletas!E17="Adulto 48kg",12,IF(Atletas!E17="Adulto 52kg",13,IF(Atletas!E17="Adulto 56kg",14,IF(Atletas!E17="Adulto 60kg",15,IF(Atletas!E17="Adulto 65kg",16,IF(Atletas!E17="Adulto 70kg",17,IF(Atletas!E17="Adulto 75kg",18,IF(Atletas!E17="Adulto 82kg",19,IF(Atletas!E17="Adulto 90kg",20,IF(Atletas!E17="Adulto 100kg",21,IF(Atletas!E17="Adulto +100kg",22,""))))))))))))))))))))))))</f>
        <v/>
      </c>
      <c r="AP21" s="52" t="str">
        <f>IF(AQ21&lt;&gt;"","Adulto 75kg","")</f>
        <v/>
      </c>
      <c r="AQ21" s="10" t="str">
        <f>IF(COUNTIF(AO:AO,118)&gt;0,COUNTIF(AO:AO,118),"")</f>
        <v/>
      </c>
      <c r="AR21" s="52" t="str">
        <f>IF(AS21&lt;&gt;"","Adulto 70kg","")</f>
        <v/>
      </c>
      <c r="AS21" s="10" t="str">
        <f>IF(COUNTIF(AO:AO,217)&gt;0,COUNTIF(AO:AO,217),"")</f>
        <v/>
      </c>
      <c r="AT21" s="10" t="str">
        <f>IF(Atletas!F17="","",IF(Atletas!B17="Feminino",100,IF(Atletas!B17="Masculino",200,""))+(IF(Atletas!F17="Adulto 48kg",1,IF(Atletas!F17="Adulto 56kg",2,IF(Atletas!F17="Adulto 65kg",3,IF(Atletas!F17="Adulto 75kg",4,IF(Atletas!F17="Adulto +75kg",5,IF(Atletas!F17="Adulto 52kg",6,IF(Atletas!F17="Adulto 60kg",7,IF(Atletas!F17="Adulto 70kg",8,IF(Atletas!F17="Adulto 80kg",9,IF(Atletas!F17="Adulto 90kg",10,IF(Atletas!F17="Adulto +90kg",11,"")))))))))))))</f>
        <v/>
      </c>
      <c r="AY21" s="46" t="str">
        <f>IF(Atletas!G17="","",IF(Atletas!B17="Feminino",100,IF(Atletas!B17="Masculino",200,""))+(IF(Atletas!G17="Changquan Mirim",1,IF(Atletas!G17="Nanquan Mirim",2,IF(Atletas!G17="Taijiquan Mirim",3,IF(Atletas!G17="Changquan Grupo C",4,IF(Atletas!G17="Nanquan Grupo C",5,IF(Atletas!G17="Taijiquan Grupo C",6,IF(Atletas!G17="Changquan Grupo B",7,IF(Atletas!G17="Nanquan Grupo B",8,IF(Atletas!G17="Taijiquan Grupo B",9,IF(Atletas!G17="Changquan Grupo A",10,IF(Atletas!G17="Nanquan Grupo A",11,IF(Atletas!G17="Taijiquan Grupo A",12,IF(Atletas!G17="Changquan Opcional",13,IF(Atletas!G17="Nanquan Opcional",14,IF(Atletas!G17="Taijiquan Opcional",15,IF(Atletas!G17="Changquan Adulto",16,IF(Atletas!G17="Nanquan Adulto",17,IF(Atletas!G17="Taijiquan Adulto",18,""))))))))))))))))))))</f>
        <v/>
      </c>
      <c r="AZ21" s="46" t="str">
        <f>IF(Atletas!H17="","",IF(Atletas!B17="Feminino",100,IF(Atletas!B17="Masculino",200,""))+(IF(Atletas!H17="Daoshu Mirim",19,IF(Atletas!H17="Jianshu Mirim",20,IF(Atletas!H17="Nandao Mirim",21,IF(Atletas!H17="Taijijian Mirim",22,IF(Atletas!H17="Daoshu Grupo C",23,IF(Atletas!H17="Jianshu Grupo C",24,IF(Atletas!H17="Nandao Grupo C",25,IF(Atletas!H17="Taijijian Grupo C",26,IF(Atletas!H17="Daoshu Grupo B",27,IF(Atletas!H17="Jianshu Grupo B",28,IF(Atletas!H17="Nandao Grupo B",29,IF(Atletas!H17="Taijijian Grupo B",30,IF(Atletas!H17="Daoshu Grupo A",31,IF(Atletas!H17="Jianshu Grupo A",32,IF(Atletas!H17="Nandao Grupo A",33,IF(Atletas!H17="Taijijian Grupo A",34,IF(Atletas!H17="Daoshu Opcional",35,IF(Atletas!H17="Jianshu Opcional",36,IF(Atletas!H17="Nandao Opcional",37,IF(Atletas!H17="Taijijian Opcional",38,IF(Atletas!H17="Daoshu Adulto",39,IF(Atletas!H17="Jianshu Adulto",40,IF(Atletas!H17="Nandao Adulto",41,IF(Atletas!H17="Taijijian Adulto",42,""))))))))))))))))))))))))))</f>
        <v/>
      </c>
      <c r="BA21" s="46" t="str">
        <f>IF(Atletas!I17="","",IF(Atletas!B17="Feminino",100,IF(Atletas!B17="Masculino",200,""))+(IF(Atletas!I17="Gunshu Mirim",43,IF(Atletas!I17="Qiangshu Mirim",44,IF(Atletas!I17="Nangun Mirim",45,IF(Atletas!I17="Gunshu Grupo C",46,IF(Atletas!I17="Qiangshu Grupo C",47,IF(Atletas!I17="Nangun Grupo C",48,IF(Atletas!I17="Gunshu Grupo B",49,IF(Atletas!I17="Qiangshu Grupo B",50,IF(Atletas!I17="Nangun Grupo B",51,IF(Atletas!I17="Gunshu Grupo A",52,IF(Atletas!I17="Qiangshu Grupo A",53,IF(Atletas!I17="Nangun Grupo A",54,IF(Atletas!I17="Gunshu Opcional",55,IF(Atletas!I17="Qiangshu Opcional",56,IF(Atletas!I17="Nangun Opcional",57,IF(Atletas!I17="Gunshu Adulto",58,IF(Atletas!I17="Qiangshu Adulto",59,IF(Atletas!I17="Nangun Adulto",60,""))))))))))))))))))))</f>
        <v/>
      </c>
      <c r="BB21" s="46" t="str">
        <f>IF(BC21&lt;&gt;"","Jianshu Grupo C","")</f>
        <v/>
      </c>
      <c r="BC21" s="52" t="str">
        <f>IF(COUNTIF(AY:BA,124)&gt;0,COUNTIF(AY:BA,124),"")</f>
        <v/>
      </c>
      <c r="BD21" s="46" t="str">
        <f>IF(BE21&lt;&gt;"","Jianshu Grupo C","")</f>
        <v/>
      </c>
      <c r="BE21" s="52" t="str">
        <f>IF(COUNTIF(AY:BA,224)&gt;0,COUNTIF(AY:BA,224),"")</f>
        <v/>
      </c>
      <c r="BF21" s="52" t="str">
        <f>IF(Atletas!J17="","",IF(Atletas!B17="Feminino",100,IF(Atletas!B17="Masculino",200,""))+(IF(Atletas!J17="Equipe 1 Grupo B",1,IF(Atletas!J17="Equipe 2 Grupo B",2,IF(Atletas!J17="Equipe 1 Grupo A",3,IF(Atletas!J17="Equipe 2 Grupo A",4,IF(Atletas!J17="Equipe 1 Adulto",5,IF(Atletas!J17="Equipe 2 Adulto",6,""))))))))</f>
        <v/>
      </c>
      <c r="BG21" s="52"/>
      <c r="BH21" s="52"/>
      <c r="BI21" s="52"/>
      <c r="BJ21" s="52"/>
      <c r="BK21" s="52" t="str">
        <f>IF(Atletas!K17="","",IF(Atletas!W17&lt;&gt;"",10000,0)+(IF(Atletas!B17="Feminino",1000,IF(Atletas!B17="Masculino",2000,""))+IF(Atletas!K17="Choylayfut A",1,IF(Atletas!K17="Hunggar A",2,IF(Atletas!K17="Wuzuquan A",3,IF(Atletas!K17="Wingchun A",4,IF(Atletas!K17="Outra Mão de Sul A",5,IF(Atletas!K17="Choylayfut B",6,IF(Atletas!K17="Hunggar B",7,IF(Atletas!K17="Wuzuquan B",8,IF(Atletas!K17="Wingchun B",9,IF(Atletas!K17="Outra Mão de Sul B",10,IF(Atletas!K17="Choylayfut C",11,IF(Atletas!K17="Hunggar C",12,IF(Atletas!K17="Wuzuquan C",13,IF(Atletas!K17="Wingchun C",14,IF(Atletas!K17="Outra Mão de Sul C",15,IF(Atletas!K17="Choylayfut D",16,IF(Atletas!K17="Hunggar D",17,IF(Atletas!K17="Wuzuquan D",18,IF(Atletas!K17="Wingchun D",19,IF(Atletas!K17="Outra Mão de Sul D",20,IF(Atletas!K17="Choylayfut E",21,IF(Atletas!K17="Hunggar E",22,IF(Atletas!K17="Wuzuquan E",23,IF(Atletas!K17="Wingchun E",24,IF(Atletas!K17="Outra Mão de Sul E",25,IF(Atletas!K17="Choylayfut F",26,IF(Atletas!K17="Hunggar F",27,IF(Atletas!K17="Wuzuquan F",28,IF(Atletas!K17="Wingchun F",29,IF(Atletas!K17="Outra Mão de Sul F",30,""))))))))))))))))))))))))))))))))</f>
        <v/>
      </c>
      <c r="BL21" s="52" t="str">
        <f>IF(Atletas!L17="","",IF(Atletas!W17&lt;&gt;"",10000,0)+(IF(Atletas!B17="Feminino",1000,IF(Atletas!B17="Masculino",2000,""))+(IF(Atletas!L17="Chaquan A",101,IF(Atletas!L17="Emeiquan A",102,IF(Atletas!L17="Fanziquan A",103,IF(Atletas!L17="Huaquan A",104,IF(Atletas!L17="Hongquan A",105,IF(Atletas!L17="Paochui A",106,IF(Atletas!L17="Piguaquan A",107,IF(Atletas!L17="Shaolinquan A",108,IF(Atletas!L17="Tanglangquan A",109,IF(Atletas!L17="Yinzhaophai A",110,IF(Atletas!L17="Tongbeiquan A",111,IF(Atletas!L17="Wudangquan A",112,IF(Atletas!L17="Outros Estilos A",113,IF(Atletas!L17="Chaquan B",114,IF(Atletas!L17="Emeiquan B",115,IF(Atletas!L17="Fanziquan B",116,IF(Atletas!L17="Huaquan B",117,IF(Atletas!L17="Hongquan B",118,IF(Atletas!L17="Paochui B",119,IF(Atletas!L17="Piguaquan B",120,IF(Atletas!L17="Shaolinquan B",121,IF(Atletas!L17="Tanglangquan B",122,IF(Atletas!L17="Yinzhaophai B",123,IF(Atletas!L17="Tongbeiquan B",124,IF(Atletas!L17="Wudangquan B",125,IF(Atletas!L17="Outros Estilos B",126,IF(Atletas!L17="Chaquan C",127,IF(Atletas!L17="Emeiquan C",128,IF(Atletas!L17="Fanziquan C",129,IF(Atletas!L17="Huaquan C",130,IF(Atletas!L17="Hongquan C",131,IF(Atletas!L17="Paochui C",132,IF(Atletas!L17="Piguaquan C",133,IF(Atletas!L17="Shaolinquan C",134,IF(Atletas!L17="Tanglangquan C",135,IF(Atletas!L17="Yinzhaophai C",136,IF(Atletas!L17="Tongbeiquan C",137,IF(Atletas!L17="Wudangquan C",138,IF(Atletas!L17="Outros Estilos C",139,0))))))))))))))))))))))))))))))))))))))))))</f>
        <v/>
      </c>
      <c r="BM21" s="52" t="str">
        <f>IF(Atletas!L17="","",IF(Atletas!W17&lt;&gt;"",10000,0)+(IF(Atletas!B17="Feminino",1000,IF(Atletas!B17="Masculino",2000,""))+(IF(Atletas!L17="Chaquan D",140,IF(Atletas!L17="Emeiquan D",141,IF(Atletas!L17="Fanziquan D",142,IF(Atletas!L17="Huaquan D",143,IF(Atletas!L17="Hongquan D",144,IF(Atletas!L17="Paochui D",145,IF(Atletas!L17="Piguaquan D",146,IF(Atletas!L17="Shaolinquan D",147,IF(Atletas!L17="Tanglangquan D",148,IF(Atletas!L17="Yinzhaophai D",149,IF(Atletas!L17="Tongbeiquan D",150,IF(Atletas!L17="Wudangquan D",151,IF(Atletas!L17="Outros Estilos D",152,IF(Atletas!L17="Chaquan E",153,IF(Atletas!L17="Emeiquan E",154,IF(Atletas!L17="Fanziquan E",155,IF(Atletas!L17="Huaquan E",156,IF(Atletas!L17="Hongquan E",157,IF(Atletas!L17="Paochui E",158,IF(Atletas!L17="Piguaquan E",159,IF(Atletas!L17="Shaolinquan E",160,IF(Atletas!L17="Tanglangquan E",161,IF(Atletas!L17="Yinzhaophai E",162,IF(Atletas!L17="Tongbeiquan E",163,IF(Atletas!L17="Wudangquan E",164,IF(Atletas!L17="Outros Estilos E",165,IF(Atletas!L17="Chaquan F",166,IF(Atletas!L17="Emeiquan F",167,IF(Atletas!L17="Fanziquan F",168,IF(Atletas!L17="Huaquan F",169,IF(Atletas!L17="Hongquan F",170,IF(Atletas!L17="Paochui F",171,IF(Atletas!L17="Piguaquan F",172,IF(Atletas!L17="Shaolinquan F",173,IF(Atletas!L17="Tanglangquan F",174,IF(Atletas!L17="Yinzhaophai F",175,IF(Atletas!L17="Tongbeiquan F",176,IF(Atletas!L17="Wudangquan F",177,IF(Atletas!L17="Outros Estilos F",178,0))))))))))))))))))))))))))))))))))))))))))</f>
        <v/>
      </c>
      <c r="BN21" s="52" t="str">
        <f>IF(Atletas!M17="","",IF(Atletas!W17&lt;&gt;"",10000,0)+(IF(Atletas!B17="Feminino",1000,IF(Atletas!B17="Masculino",2000,""))+(IF(Atletas!M17="Ditangquan A",201,IF(Atletas!M17="Houquan A",202,IF(Atletas!M17="Zuiquan A",203,IF(Atletas!M17="Ditangquan B",204,IF(Atletas!M17="Houquan B",205,IF(Atletas!M17="Zuiquan B",206,IF(Atletas!M17="Ditangquan C",207,IF(Atletas!M17="Houquan C",208,IF(Atletas!M17="Zuiquan C",209,IF(Atletas!M17="Ditangquan D",210,IF(Atletas!M17="Houquan D",211,IF(Atletas!M17="Zuiquan D",212,IF(Atletas!M17="Ditangquan E",213,IF(Atletas!M17="Houquan E",214,IF(Atletas!M17="Zuiquan E",215,IF(Atletas!M17="Ditangquan F",216,IF(Atletas!M17="Houquan F",217,IF(Atletas!M17="Zuiquan F",218,"")))))))))))))))))))))</f>
        <v/>
      </c>
      <c r="BO21" s="52" t="str">
        <f>IF(Atletas!N17="","",IF(Atletas!W17&lt;&gt;"",10000,0)+IF(Atletas!B17="Feminino",1000,IF(Atletas!B17="Masculino",2000,""))+IF(Atletas!N17="Yang A",301,IF(Atletas!N17="Chen A",30,IF(Atletas!N17="Sun A",303,IF(Atletas!N17="Wu A",304,IF(Atletas!N17="Wu-Hao A",305,IF(Atletas!N17="Outro Taijiquan A",306,IF(Atletas!N17="Yang B",307,IF(Atletas!N17="Chen B",308,IF(Atletas!N17="Sun B",309,IF(Atletas!N17="Wu B",310,IF(Atletas!N17="Wu-Hao B",311,IF(Atletas!N17="Outro Taijiquan B",312,IF(Atletas!N17="Yang C",313,IF(Atletas!N17="Chen C",314,IF(Atletas!N17="Sun C",315,IF(Atletas!N17="Wu C",316,IF(Atletas!N17="Wu-Hao C",317,IF(Atletas!N17="Outro Taijiquan C",318,IF(Atletas!N17="Yang D",319,IF(Atletas!N17="Chen D",320,IF(Atletas!N17="Sun D",321,IF(Atletas!N17="Wu D",322,IF(Atletas!N17="Wu-Hao D",323,IF(Atletas!N17="Outro Taijiquan D",324,IF(Atletas!N17="Yang E",325,IF(Atletas!N17="Chen E",326,IF(Atletas!N17="Sun E",327,IF(Atletas!N17="Wu E",328,IF(Atletas!N17="Wu-Hao E",329,IF(Atletas!N17="Outro Taijiquan E",330,IF(Atletas!N17="Yang F",331,IF(Atletas!N17="Chen F",332,IF(Atletas!N17="Sun F",333,IF(Atletas!N17="Wu F",334,IF(Atletas!N17="Wu-Hao F",335,IF(Atletas!N17="Outro Taijiquan F",336,"")))))))))))))))))))))))))))))))))))))</f>
        <v/>
      </c>
      <c r="BP21" s="52" t="str">
        <f>IF(Atletas!O17="","",IF(Atletas!W17&lt;&gt;"",10000,0)+IF(Atletas!B17="Feminino",1000,IF(Atletas!B17="Masculino",2000,""))+IF(OR(Atletas!O17="Yang 26 A",Atletas!O17="Yang 40 A"),401,IF(OR(Atletas!O17="Chen 25 A",Atletas!O17="Chen 36 A",Atletas!O17="Chen 56 A"),402,IF(Atletas!O17="Sun 73 A",403,IF(Atletas!O17="Wu 45 A",404,IF(Atletas!O17="Wu-Hao 46 A",405,IF(OR(Atletas!O17="Taijiquan 16 A",Atletas!O17="Taijiquan 24 A",Atletas!O17="Taijiquan 32 A",Atletas!O17="Taijiquan 42 A"),406,IF(OR(Atletas!O17="Yang 26 B",Atletas!O17="Yang 40 B"),407,IF(OR(Atletas!O17="Chen 25 B",Atletas!O17="Chen 36 B",Atletas!O17="Chen 56 B"),408,IF(Atletas!O17="Sun 73 B",409,IF(Atletas!O17="Wu 45 B",410,IF(Atletas!O17="Wu-Hao 46 B",411,IF(OR(Atletas!O17="Taijiquan 16 B",Atletas!O17="Taijiquan 24 B",Atletas!O17="Taijiquan 32 B",Atletas!O17="Taijiquan 42 B"),412,IF(OR(Atletas!O17="Yang 26 C",Atletas!O17="Yang 40 C"),413,IF(OR(Atletas!O17="Chen 25 C",Atletas!O17="Chen 36 C",Atletas!O17="Chen 56 C"),414,IF(Atletas!O17="Sun 73 C",415,IF(Atletas!O17="Wu 45 C",416,IF(Atletas!O17="Wu-Hao 46 C",417,IF(OR(Atletas!O17="Taijiquan 16 C",Atletas!O17="Taijiquan 24 C",Atletas!O17="Taijiquan 32 C",Atletas!O17="Taijiquan 42 C"),418,0)))))))))))))))))))</f>
        <v/>
      </c>
      <c r="BQ21" s="52" t="str">
        <f>IF(Atletas!O17="","",IF(Atletas!W17&lt;&gt;"",10000,0)+IF(Atletas!B17="Feminino",1000,IF(Atletas!B17="Masculino",2000,""))+IF(OR(Atletas!O17="Yang 26 D",Atletas!O17="Yang 40 D"),419,IF(OR(Atletas!O17="Chen 25 D",Atletas!O17="Chen 36 D",Atletas!O17="Chen 56 D"),420,IF(Atletas!O17="Sun 73 D",421,IF(Atletas!O17="Wu 45 D",422,IF(Atletas!O17="Wu-Hao 46 D",423,IF(OR(Atletas!O17="Taijiquan 16 D",Atletas!O17="Taijiquan 24 D",Atletas!O17="Taijiquan 32 D",Atletas!O17="Taijiquan 42 D"),424,IF(OR(Atletas!O17="Yang 26 E",Atletas!O17="Yang 40 E"),425,IF(OR(Atletas!O17="Chen 25 E",Atletas!O17="Chen 36 E",Atletas!O17="Chen 56 E"),426,IF(Atletas!O17="Sun 73 E",427,IF(Atletas!O17="Wu 45 E",428,IF(Atletas!O17="Wu-Hao 46 E",429,IF(OR(Atletas!O17="Taijiquan 16 E",Atletas!O17="Taijiquan 24 E",Atletas!O17="Taijiquan 32 E",Atletas!O17="Taijiquan 42 E"),430,IF(OR(Atletas!O17="Yang 26 F",Atletas!O17="Yang 40 F"),431,IF(OR(Atletas!O17="Chen 25 F",Atletas!O17="Chen 36 F",Atletas!O17="Chen 56 F"),432,IF(Atletas!O17="Sun 73 F",433,IF(Atletas!O17="Wu 45 F",434,IF(Atletas!O17="Wu-Hao 46 F",435,IF(OR(Atletas!O17="Taijiquan 16 F",Atletas!O17="Taijiquan 24 F",Atletas!O17="Taijiquan 32 F",Atletas!O17="Taijiquan 42 F"),436,0)))))))))))))))))))</f>
        <v/>
      </c>
      <c r="BR21" s="52" t="str">
        <f>IF(Atletas!P17="","",IF(Atletas!W17&lt;&gt;"",10000,0)+IF(Atletas!B17="Feminino",1000,IF(Atletas!B17="Masculino",2000,""))+IF(Atletas!P17="Xingyiquan A",501,IF(Atletas!P17="Baguazhang A",502,IF(Atletas!P17="Outro Estilo Interno A",503,IF(Atletas!P17="Xingyiquan B",504,IF(Atletas!P17="Baguazhang B",505,IF(Atletas!P17="Outro Estilo Interno B",506,IF(Atletas!P17="Xingyiquan C",507,IF(Atletas!P17="Baguazhang C",508,IF(Atletas!P17="Outro Estilo Interno C",509,IF(Atletas!P17="Xingyiquan D",510,IF(Atletas!P17="Baguazhang D",511,IF(Atletas!P17="Outro Estilo Interno D",512,IF(Atletas!P17="Xingyiquan E",513,IF(Atletas!P17="Baguazhang E",514,IF(Atletas!P17="Outro Estilo Interno E",515,IF(Atletas!P17="Xingyiquan F",516,IF(Atletas!P17="Baguazhang F",517,IF(Atletas!P17="Outro Estilo Interno F",518, "")))))))))))))))))))</f>
        <v/>
      </c>
      <c r="BS21" s="52" t="str">
        <f>IF(Atletas!Q17="","",IF(Atletas!W17&lt;&gt;"",10000,0)+IF(Atletas!B17="Feminino",1000,IF(Atletas!B17="Masculino",2000,""))+IF(Atletas!Q17="Dao A",601,IF(Atletas!Q17="Jian A",602,IF(Atletas!Q17="Bishou A",603,IF(Atletas!Q17="Shan A",604,IF(Atletas!Q17="Outra Arma Curta A",605,IF(Atletas!Q17="Dao B",606,IF(Atletas!Q17="Jian B",607,IF(Atletas!Q17="Bishou B",608,IF(Atletas!Q17="Shan B",609,IF(Atletas!Q17="Outra Arma Curta B",610,IF(Atletas!Q17="Dao C",611,IF(Atletas!Q17="Jian C",612,IF(Atletas!Q17="Bishou C",613,IF(Atletas!Q17="Shan C",614,IF(Atletas!Q17="Outra Arma Curta C",615,IF(Atletas!Q17="Dao D",616,IF(Atletas!Q17="Jian D",617,IF(Atletas!Q17="Bishou D",618,IF(Atletas!Q17="Shan D",619,IF(Atletas!Q17="Outra Arma Curta D",620,IF(Atletas!Q17="Dao E",621,IF(Atletas!Q17="Jian E",622,IF(Atletas!Q17="Bishou E",623,IF(Atletas!Q17="Shan E",624,IF(Atletas!Q17="Outra Arma Curta E",625,IF(Atletas!Q17="Dao F",626,IF(Atletas!Q17="Jian F",627,IF(Atletas!Q17="Bishou F",628,IF(Atletas!Q17="Shan F",629,IF(Atletas!Q17="Outra Arma Curta F",630, "")))))))))))))))))))))))))))))))</f>
        <v/>
      </c>
      <c r="BT21" s="52" t="str">
        <f>IF(Atletas!R17="","",IF(Atletas!W17&lt;&gt;"",10000,0)+IF(Atletas!B17="Feminino",1000,IF(Atletas!B17="Masculino",2000,""))+IF(Atletas!R17="Gun A",701,IF(Atletas!R17="Qiang A",702,IF(Atletas!R17="Pudao / Guandao A",703,IF(Atletas!R17="Outra Arma Longa A",704,IF(Atletas!R17="Gun B",705,IF(Atletas!R17="Qiang B",706,IF(Atletas!R17="Pudao / Guandao B",707,IF(Atletas!R17="Outra Arma Longa B",708,IF(Atletas!R17="Gun C",709,IF(Atletas!R17="Qiang C",710,IF(Atletas!R17="Pudao / Guandao C",711,IF(Atletas!R17="Outra Arma Longa C",712,IF(Atletas!R17="Gun D",713,IF(Atletas!R17="Qiang D",714,IF(Atletas!R17="Pudao / Guandao D",715,IF(Atletas!R17="Outra Arma Longa D",716,IF(Atletas!R17="Gun E",717,IF(Atletas!R17="Qiang E",718,IF(Atletas!R17="Pudao / Guandao E",719,IF(Atletas!R17="Outra Arma Longa E",720,IF(Atletas!R17="Gun F",721,IF(Atletas!R17="Qiang F",722,IF(Atletas!R17="Pudao / Guandao F",723,IF(Atletas!R17="Outra Arma Longa F",724,"")))))))))))))))))))))))))</f>
        <v/>
      </c>
      <c r="BU21" s="52" t="str">
        <f>IF(Atletas!S17="","",IF(Atletas!W17&lt;&gt;"",10000,0)+IF(Atletas!B17="Feminino",1000,IF(Atletas!B17="Masculino",2000,""))+IF(Atletas!S17="Arma Dupla A",801,IF(Atletas!S17="Arma Maleável A",802,IF(Atletas!S17="Arma Dupla B",803,IF(Atletas!S17="Arma Maleável B",804,IF(Atletas!S17="Arma Dupla C",805,IF(Atletas!S17="Arma Maleável C",806,IF(Atletas!S17="Arma Dupla D",807,IF(Atletas!S17="Arma Maleável D",808,IF(Atletas!S17="Arma Dupla E",809,IF(Atletas!S17="Arma Maleável E",810,IF(Atletas!S17="Arma Dupla F",811,IF(Atletas!S17="Arma Maleável F",812, "")))))))))))))</f>
        <v/>
      </c>
      <c r="BV21" s="52" t="str">
        <f>IF(Atletas!T17="","",IF(Atletas!W17&lt;&gt;"",10000,0)+IF(Atletas!B17="Feminino",1000,IF(Atletas!B17="Masculino",2000,""))+IF(Atletas!T17="Taijijian Yang A",901,IF(Atletas!T17="Taijijian Chen A",902,IF(Atletas!T17="Taijijian Sun A",903,IF(Atletas!T17="Taijijian Wu A",904,IF(Atletas!T17="Taijijian Wu-Hao A",905,IF(Atletas!T17="Taijijian 32 A",906,IF(Atletas!T17="Taijijian 42 A",907,IF(Atletas!T17="Taijijian Yang B",908,IF(Atletas!T17="Taijijian Chen B",909,IF(Atletas!T17="Taijijian Sun B",910,IF(Atletas!T17="Taijijian Wu B",911,IF(Atletas!T17="Taijijian Wu-Hao B",912,IF(Atletas!T17="Taijijian 32 B",913,IF(Atletas!T17="Taijijian 42 B",914,IF(Atletas!T17="Taijijian Yang C",915,IF(Atletas!T17="Taijijian Chen C",916,IF(Atletas!T17="Taijijian Sun C",917,IF(Atletas!T17="Taijijian Wu C",918,IF(Atletas!T17="Taijijian Wu-Hao C",919,IF(Atletas!T17="Taijijian 32 C",920,IF(Atletas!T17="Taijijian 42 C",921,IF(Atletas!T17="Taijijian Yang D",922,IF(Atletas!T17="Taijijian Chen D",923,IF(Atletas!T17="Taijijian Sun D",924,IF(Atletas!T17="Taijijian Wu D",925,IF(Atletas!T17="Taijijian Wu-Hao D",926,IF(Atletas!T17="Taijijian 32 D",927,IF(Atletas!T17="Taijijian 42 D",928,IF(Atletas!T17="Taijijian Yang E",929,IF(Atletas!T17="Taijijian Chen E",930,IF(Atletas!T17="Taijijian Sun E",931,IF(Atletas!T17="Taijijian Wu E",932,IF(Atletas!T17="Taijijian Wu-Hao E",933,IF(Atletas!T17="Taijijian 32 E",934,IF(Atletas!T17="Taijijian 42 E",935,IF(Atletas!T17="Taijijian Yang F",936,IF(Atletas!T17="Taijijian Chen F",937,IF(Atletas!T17="Taijijian Sun F",938,IF(Atletas!T17="Taijijian Wu F",939,IF(Atletas!T17="Taijijian Wu-Hao F",940,IF(Atletas!T17="Taijijian 32 F",941,IF(Atletas!T17="Taijijian 42 F",942,"")))))))))))))))))))))))))))))))))))))))))))</f>
        <v/>
      </c>
      <c r="BW21" s="52" t="str">
        <f>IF(Atletas!U17="","",IF(Atletas!W17&lt;&gt;"",10000,0)+IF(Atletas!B17="Feminino",1000,IF(Atletas!B17="Masculino",2000,""))+IF(Atletas!T17="Taijijian 42 F",942,IF(Atletas!U17="Taijidao A",943,IF(Atletas!U17="Taijishan A",944,IF(Atletas!U17="Taijiqiang A",945,IF(Atletas!U17="Taijidao B",946,IF(Atletas!U17="Taijishan B",947,IF(Atletas!U17="Taijiqiang B",948,IF(Atletas!U17="Taijidao C",949,IF(Atletas!U17="Taijishan C",950,IF(Atletas!U17="Taijiqiang C",951,IF(Atletas!U17="Taijidao D",952,IF(Atletas!U17="Taijishan D",953,IF(Atletas!U17="Taijiqiang D",954,IF(Atletas!U17="Taijidao E",955,IF(Atletas!U17="Taijishan E",956,IF(Atletas!U17="Taijiqiang E",957,IF(Atletas!U17="Taijidao F",958,IF(Atletas!U17="Taijishan F",959,IF(Atletas!U17="Taijiqiang F",960))))))))))))))))))))</f>
        <v/>
      </c>
      <c r="BX21" s="64" t="str">
        <f>IF(BY21&lt;&gt;"","Outra Mão de Sul C","")</f>
        <v/>
      </c>
      <c r="BY21" s="64" t="str">
        <f>IF(COUNTIF(BK:BW,1015)&gt;0,COUNTIF(BK:BW,1015),"")</f>
        <v/>
      </c>
      <c r="BZ21" s="64" t="str">
        <f>IF(CA21&lt;&gt;"","Outra Mão de Sul C","")</f>
        <v/>
      </c>
      <c r="CA21" s="64" t="str">
        <f>IF(COUNTIF(BK:BW,2015)&gt;0,COUNTIF(BK:BW,2015),"")</f>
        <v/>
      </c>
      <c r="CB21" s="64" t="str">
        <f>IF(CC21&lt;&gt;"","Outra Mão de Sul C","")</f>
        <v/>
      </c>
      <c r="CC21" s="64" t="str">
        <f>IF(COUNTIF(BK:BW,11015)&gt;0,COUNTIF(BK:BW,11015),"")</f>
        <v/>
      </c>
      <c r="CD21" s="64" t="str">
        <f>IF(CE21&lt;&gt;"","Outra Mão de Sul C","")</f>
        <v/>
      </c>
      <c r="CE21" s="64" t="str">
        <f>IF(COUNTIF(BK:BW,12015)&gt;0,COUNTIF(BK:BW,12015),"")</f>
        <v/>
      </c>
      <c r="CF21" s="52" t="str">
        <f xml:space="preserve"> IF(Atletas!V17="","",IF(Atletas!V17="Duilian de Mãos AB - Equipe 1",1,IF(Atletas!V17="Duilian de Mãos AB - Equipe 2",2,IF(Atletas!V17="Duilian de Armas AB - Equipe 1",3,IF(Atletas!V17="Duilian de Armas AB - Equipe 2",4,IF(Atletas!V17="Duilian de Tuishou - Equipe 1",5,IF(Atletas!V17="Duilian de Tuishou - Equipe 2",6,IF(Atletas!V17="Grupo Externo AB - Equipe 1",7,IF(Atletas!V17="Grupo Externo AB - Equipe 2",8,IF(Atletas!V17="Grupo Interno AB - Equipe 1",9,IF(Atletas!V17="Grupo Interno AB - Equipe 2",10,IF(Atletas!V17="Duilian de Mãos CD - Equipe 1",11,IF(Atletas!V17="Duilian de Mãos CD - Equipe 2",12,IF(Atletas!V17="Duilian de Armas CD - Equipe 1",13,IF(Atletas!V17="Duilian de Armas CD - Equipe 2",14,IF(Atletas!V17="Duilian de Tuishou - Equipe 1",15,IF(Atletas!V17="Duilian de Tuishou - Equipe 2",16,IF(Atletas!V17="Grupo Externo CDEF - Equipe 1",17,IF(Atletas!V17="Grupo Externo CDEF - Equipe 2",18,IF(Atletas!V17="Grupo Interno CDEF - Equipe 1",19,IF(Atletas!V17="Grupo Interno CDEF - Equipe 2",20,IF(Atletas!V17="Duilian de Mãos EF - Equipe 1",21,IF(Atletas!V17="Duilian de Mãos EF - Equipe 2",22,IF(Atletas!V17="Duilian de Armas EF - Equipe 1",23,IF(Atletas!V17="Duilian de Armas EF - Equipe 2",24,IF(Atletas!V17="Duilian de Tuishou - Equipe 1",25,IF(Atletas!V17="Duilian de Tuishou - Equipe 2",26,"")))))))))))))))))))))))))))</f>
        <v/>
      </c>
      <c r="CK21" s="52"/>
      <c r="CL21" s="52"/>
      <c r="CR21" s="71"/>
    </row>
    <row r="22" spans="1:96">
      <c r="A22" s="25"/>
      <c r="B22" s="4" t="str">
        <f t="array" ref="B22">IFERROR(INDEX(AK$7:AK$36,SMALL(IF(AK$7:AK$36&lt;&gt;"",ROW(AK$7:AK$36)-ROW(AK$7)+1),ROWS(AK$7:AK21))),"")</f>
        <v/>
      </c>
      <c r="C22" s="4" t="str">
        <f t="array" ref="C22">IFERROR(INDEX(AL$7:AL$36,SMALL(IF(AL$7:AL$36&lt;&gt;"",ROW(AL$7:AL$36)-ROW(AL$7)+1),ROWS(AL$7:AL21))),"")</f>
        <v/>
      </c>
      <c r="D22" s="4" t="str">
        <f t="array" ref="D22">IFERROR(INDEX(AM$7:AM$36,SMALL(IF(AM$7:AM$36&lt;&gt;"",ROW(AM$7:AM$36)-ROW(AM$7)+1),ROWS(AM$7:AM21))),"")</f>
        <v/>
      </c>
      <c r="E22" s="4" t="str">
        <f t="array" ref="E22">IFERROR(INDEX(AN$7:AN$36,SMALL(IF(AN$7:AN$36&lt;&gt;"",ROW(AN$7:AN$36)-ROW(AN$7)+1),ROWS(AN$7:AN21))),"")</f>
        <v/>
      </c>
      <c r="F22" s="4" t="str">
        <f t="array" ref="F22">IFERROR(INDEX(AP$7:AP$36,SMALL(IF(AP$7:AP$36&lt;&gt;"",ROW(AP$7:AP$36)-ROW(AP$7)+1),ROWS(AP$7:AP21))),"")</f>
        <v/>
      </c>
      <c r="G22" s="4" t="str">
        <f t="array" ref="G22">IFERROR(INDEX(AQ$7:AQ$36,SMALL(IF(AQ$7:AQ$36&lt;&gt;"",ROW(AQ$7:AQ$36)-ROW(AQ$7)+1),ROWS(AQ$7:AQ21))),"")</f>
        <v/>
      </c>
      <c r="H22" s="4" t="str">
        <f t="array" ref="H22">IFERROR(INDEX(AR$7:AR$36,SMALL(IF(AR$7:AR$36&lt;&gt;"",ROW(AR$7:AR$36)-ROW(AR$7)+1),ROWS(AR$7:AR21))),"")</f>
        <v/>
      </c>
      <c r="I22" s="4" t="str">
        <f t="array" ref="I22">IFERROR(INDEX(AS$7:AS$36,SMALL(IF(AS$7:AS$36&lt;&gt;"",ROW(AS$7:AS$36)-ROW(AS$7)+1),ROWS(AS$7:AS21))),"")</f>
        <v/>
      </c>
      <c r="J22" s="4" t="str">
        <f t="array" ref="J22">IFERROR(INDEX(AU$7:AU$36,SMALL(IF(AU$7:AU$36&lt;&gt;"",ROW(AU$7:AU$36)-ROW(AU$7)+1),ROWS(AU$7:AU21))),"")</f>
        <v/>
      </c>
      <c r="K22" s="4" t="str">
        <f t="array" ref="K22">IFERROR(INDEX(AV$7:AV$36,SMALL(IF(AV$7:AV$36&lt;&gt;"",ROW(AV$7:AV$36)-ROW(AV$7)+1),ROWS(AV$7:AV21))),"")</f>
        <v/>
      </c>
      <c r="L22" s="4" t="str">
        <f t="array" ref="L22">IFERROR(INDEX(AW$7:AW$36,SMALL(IF(AW$7:AW$36&lt;&gt;"",ROW(AW$7:AW$36)-ROW(AW$7)+1),ROWS(AW$7:AW21))),"")</f>
        <v/>
      </c>
      <c r="M22" s="4" t="str">
        <f t="array" ref="M22">IFERROR(INDEX(AX$7:AX$36,SMALL(IF(AX$7:AX$36&lt;&gt;"",ROW(AX$7:AX$36)-ROW(AX$7)+1),ROWS(AX$7:AX21))),"")</f>
        <v/>
      </c>
      <c r="N22" s="4" t="str">
        <f t="array" ref="N22">IFERROR(INDEX(BB$7:BB$66,SMALL(IF(BB$7:BB$66&lt;&gt;"",ROW(BB$7:BB$66)-ROW(BB$7)+1),ROWS(BB$7:BB21))),"")</f>
        <v/>
      </c>
      <c r="O22" s="4" t="str">
        <f t="array" ref="O22">IFERROR(INDEX(BC$7:BC$66,SMALL(IF(BC$7:BC$66&lt;&gt;"",ROW(BC$7:BC$66)-ROW(BC$7)+1),ROWS(BC$7:BC21))),"")</f>
        <v/>
      </c>
      <c r="P22" s="4" t="str">
        <f t="array" ref="P22">IFERROR(INDEX(BD$7:BD$66,SMALL(IF(BD$7:BD$66&lt;&gt;"",ROW(BD$7:BD$66)-ROW(BD$7)+1),ROWS(BD$7:BD21))),"")</f>
        <v/>
      </c>
      <c r="Q22" s="4" t="str">
        <f t="array" ref="Q22">IFERROR(INDEX(BE$7:BE$66,SMALL(IF(BE$7:BE$66&lt;&gt;"",ROW(BE$7:BE$66)-ROW(BE$7)+1),ROWS(BE$7:BE21))),"")</f>
        <v/>
      </c>
      <c r="R22" s="31"/>
      <c r="S22" s="31"/>
      <c r="T22" s="31"/>
      <c r="U22" s="31"/>
      <c r="V22" s="4" t="str">
        <f t="array" ref="V22">IFERROR(INDEX(BX$7:BX$336,SMALL(IF(BX$7:BX$336&lt;&gt;"",ROW(BX$7:BX$336)-ROW(BX$7)+1),ROWS(BX$7:BX21))),"")</f>
        <v/>
      </c>
      <c r="W22" s="4" t="str">
        <f t="array" ref="W22">IFERROR(INDEX(BY$7:BY$336,SMALL(IF(BY$7:BY$336&lt;&gt;"",ROW(BY$7:BY$336)-ROW(BY$7)+1),ROWS(BY$7:BY21))),"")</f>
        <v/>
      </c>
      <c r="X22" s="4" t="str">
        <f t="array" ref="X22">IFERROR(INDEX(BZ$7:BZ$336,SMALL(IF(BZ$7:BZ$336&lt;&gt;"",ROW(BZ$7:BZ$336)-ROW(BZ$7)+1),ROWS(BZ$7:BZ21))),"")</f>
        <v/>
      </c>
      <c r="Y22" s="4" t="str">
        <f t="array" ref="Y22">IFERROR(INDEX(CA$7:CA$336,SMALL(IF(CA$7:CA$336&lt;&gt;"",ROW(CA$7:CA$336)-ROW(CA$7)+1),ROWS(CA$7:CA21))),"")</f>
        <v/>
      </c>
      <c r="Z22" s="4" t="str">
        <f t="array" ref="Z22">IFERROR(INDEX(CB$7:CB$378,SMALL(IF(CB$7:CB$378&lt;&gt;"",ROW(CB$7:CB$378)-ROW(CB$7)+1),ROWS(CB$7:CB21))),"")</f>
        <v/>
      </c>
      <c r="AA22" s="4" t="str">
        <f t="array" ref="AA22">IFERROR(INDEX(CC$7:CC$378,SMALL(IF(CC$7:CC$378&lt;&gt;"",ROW(CC$7:CC$378)-ROW(CC$7)+1),ROWS(CC$7:CC21))),"")</f>
        <v/>
      </c>
      <c r="AB22" s="4" t="str">
        <f t="array" ref="AB22">IFERROR(INDEX(CD$7:CD$378,SMALL(IF(CD$7:CD$378&lt;&gt;"",ROW(CD$7:CD$378)-ROW(CD$7)+1),ROWS(CD$7:CD21))),"")</f>
        <v/>
      </c>
      <c r="AC22" s="4" t="str">
        <f t="array" ref="AC22">IFERROR(INDEX(CE$7:CE$378,SMALL(IF(CE$7:CE$378&lt;&gt;"",ROW(CE$7:CE$378)-ROW(CE$7)+1),ROWS(CE$7:CE21))),"")</f>
        <v/>
      </c>
      <c r="AD22" s="69" t="str">
        <f t="array" ref="AD22">IFERROR(INDEX(CG$7:CG$18,SMALL(IF(CG$7:CG$18&lt;&gt;"",ROW(CG$7:CG$18)-ROW(CG$7)+1),ROWS(CG$7:CG21))),"")</f>
        <v/>
      </c>
      <c r="AE22" s="69" t="str">
        <f t="array" ref="AE22">IFERROR(INDEX(CH$7:CH$18,SMALL(IF(CH$7:CH$18&lt;&gt;"",ROW(CH$7:CH$18)-ROW(CH$7)+1),ROWS(CH$7:CH21))),"")</f>
        <v/>
      </c>
      <c r="AF22" s="69" t="str">
        <f t="array" ref="AF22">IFERROR(INDEX(CI$7:CI$8,SMALL(IF(CI$7:CI$8&lt;&gt;"",ROW(CI$7:CI$8)-ROW(CI$7)+1),ROWS(CI$7:CI21))),"")</f>
        <v/>
      </c>
      <c r="AG22" s="69"/>
      <c r="AH22" s="69" t="str">
        <f t="array" ref="AH22">IFERROR(INDEX(CK$7:CK$14,SMALL(IF(CK$7:CK$14&lt;&gt;"",ROW(CK$7:CK$14)-ROW(CK$7)+1),ROWS(CK$7:CK21))),"")</f>
        <v/>
      </c>
      <c r="AI22" s="69"/>
      <c r="AJ22" s="46" t="str">
        <f>IF(Atletas!D18="","",IF(Atletas!B18="Feminino",100,IF(Atletas!B18="Masculino",200,""))+(IF(Atletas!D18="Infantil 39kg",1,IF(Atletas!D18="Infantil 42kg",2,IF(Atletas!D18="Infantil 45kg",3,IF(Atletas!D18="Infantil 48kg",4,IF(Atletas!D18="Infantil 52kg",5,IF(Atletas!D18="Infantil 56kg",6,IF(Atletas!D18="Infantil 60kg",7,IF(Atletas!D18="Juvenil 48kg",8,IF(Atletas!D18="Juvenil 52kg",9,IF(Atletas!D18="Juvenil 56kg",10,IF(Atletas!D18="Juvenil 60kg",11,IF(Atletas!D18="Juvenil 65kg",12,IF(Atletas!D18="Juvenil 70kg",13,IF(Atletas!D18="Juvenil 75kg",14,IF(Atletas!D18="Juvenil 80kg",15,IF(Atletas!D18="Adulto 48kg",16,IF(Atletas!D18="Adulto 52kg",17,IF(Atletas!D18="Adulto 56kg",18,IF(Atletas!D18="Adulto 60kg",19,IF(Atletas!D18="Adulto 65kg",20,IF(Atletas!D18="Adulto 70kg",21,IF(Atletas!D18="Adulto 75kg",22,IF(Atletas!D18="Adulto 80kg",23,IF(Atletas!D18="Adulto 85kg",24,IF(Atletas!D18="Adulto 90kg",25,IF(Atletas!D18="Adulto +90kg",26,""))))))))))))))))))))))))))))</f>
        <v/>
      </c>
      <c r="AK22" s="52"/>
      <c r="AL22" s="52"/>
      <c r="AM22" s="52" t="str">
        <f>IF(AN22&lt;&gt;"","Adulto 48kg","")</f>
        <v/>
      </c>
      <c r="AN22" s="10" t="str">
        <f>IF(COUNTIF(AJ:AJ,216)&gt;0,COUNTIF(AJ:AJ,216),"")</f>
        <v/>
      </c>
      <c r="AO22" s="10" t="str">
        <f>IF(Atletas!E18="","",IF(Atletas!B18="Feminino",100,IF(Atletas!B18="Masculino",200,""))+(IF(Atletas!E18="Juvenil 44kg",1,IF(Atletas!E18="Juvenil 48kg",2,IF(Atletas!E18="Juvenil 52kg",3,IF(Atletas!E18="Juvenil 56kg",4,IF(Atletas!E18="Juvenil 60kg",5,IF(Atletas!E18="Juvenil 65kg",6,IF(Atletas!E18="Juvenil 70kg",7,IF(Atletas!E18="Juvenil 75kg",8,IF(Atletas!E18="Juvenil 82kg",9,IF(Atletas!E18="Juvenil 90kg",10,IF(Atletas!E18="Juvenil 100kg",11,IF(Atletas!E18="Adulto 48kg",12,IF(Atletas!E18="Adulto 52kg",13,IF(Atletas!E18="Adulto 56kg",14,IF(Atletas!E18="Adulto 60kg",15,IF(Atletas!E18="Adulto 65kg",16,IF(Atletas!E18="Adulto 70kg",17,IF(Atletas!E18="Adulto 75kg",18,IF(Atletas!E18="Adulto 82kg",19,IF(Atletas!E18="Adulto 90kg",20,IF(Atletas!E18="Adulto 100kg",21,IF(Atletas!E18="Adulto +100kg",22,""))))))))))))))))))))))))</f>
        <v/>
      </c>
      <c r="AP22" s="52" t="str">
        <f>IF(AQ22&lt;&gt;"","Adulto 82kg","")</f>
        <v/>
      </c>
      <c r="AQ22" s="10" t="str">
        <f>IF(COUNTIF(AO:AO,119)&gt;0,COUNTIF(AO:AO,119),"")</f>
        <v/>
      </c>
      <c r="AR22" s="52" t="str">
        <f>IF(AS22&lt;&gt;"","Adulto 75kg","")</f>
        <v/>
      </c>
      <c r="AS22" s="10" t="str">
        <f>IF(COUNTIF(AO:AO,218)&gt;0,COUNTIF(AO:AO,218),"")</f>
        <v/>
      </c>
      <c r="AT22" s="10" t="str">
        <f>IF(Atletas!F18="","",IF(Atletas!B18="Feminino",100,IF(Atletas!B18="Masculino",200,""))+(IF(Atletas!F18="Adulto 48kg",1,IF(Atletas!F18="Adulto 56kg",2,IF(Atletas!F18="Adulto 65kg",3,IF(Atletas!F18="Adulto 75kg",4,IF(Atletas!F18="Adulto +75kg",5,IF(Atletas!F18="Adulto 52kg",6,IF(Atletas!F18="Adulto 60kg",7,IF(Atletas!F18="Adulto 70kg",8,IF(Atletas!F18="Adulto 80kg",9,IF(Atletas!F18="Adulto 90kg",10,IF(Atletas!F18="Adulto +90kg",11,"")))))))))))))</f>
        <v/>
      </c>
      <c r="AY22" s="46" t="str">
        <f>IF(Atletas!G18="","",IF(Atletas!B18="Feminino",100,IF(Atletas!B18="Masculino",200,""))+(IF(Atletas!G18="Changquan Mirim",1,IF(Atletas!G18="Nanquan Mirim",2,IF(Atletas!G18="Taijiquan Mirim",3,IF(Atletas!G18="Changquan Grupo C",4,IF(Atletas!G18="Nanquan Grupo C",5,IF(Atletas!G18="Taijiquan Grupo C",6,IF(Atletas!G18="Changquan Grupo B",7,IF(Atletas!G18="Nanquan Grupo B",8,IF(Atletas!G18="Taijiquan Grupo B",9,IF(Atletas!G18="Changquan Grupo A",10,IF(Atletas!G18="Nanquan Grupo A",11,IF(Atletas!G18="Taijiquan Grupo A",12,IF(Atletas!G18="Changquan Opcional",13,IF(Atletas!G18="Nanquan Opcional",14,IF(Atletas!G18="Taijiquan Opcional",15,IF(Atletas!G18="Changquan Adulto",16,IF(Atletas!G18="Nanquan Adulto",17,IF(Atletas!G18="Taijiquan Adulto",18,""))))))))))))))))))))</f>
        <v/>
      </c>
      <c r="AZ22" s="46" t="str">
        <f>IF(Atletas!H18="","",IF(Atletas!B18="Feminino",100,IF(Atletas!B18="Masculino",200,""))+(IF(Atletas!H18="Daoshu Mirim",19,IF(Atletas!H18="Jianshu Mirim",20,IF(Atletas!H18="Nandao Mirim",21,IF(Atletas!H18="Taijijian Mirim",22,IF(Atletas!H18="Daoshu Grupo C",23,IF(Atletas!H18="Jianshu Grupo C",24,IF(Atletas!H18="Nandao Grupo C",25,IF(Atletas!H18="Taijijian Grupo C",26,IF(Atletas!H18="Daoshu Grupo B",27,IF(Atletas!H18="Jianshu Grupo B",28,IF(Atletas!H18="Nandao Grupo B",29,IF(Atletas!H18="Taijijian Grupo B",30,IF(Atletas!H18="Daoshu Grupo A",31,IF(Atletas!H18="Jianshu Grupo A",32,IF(Atletas!H18="Nandao Grupo A",33,IF(Atletas!H18="Taijijian Grupo A",34,IF(Atletas!H18="Daoshu Opcional",35,IF(Atletas!H18="Jianshu Opcional",36,IF(Atletas!H18="Nandao Opcional",37,IF(Atletas!H18="Taijijian Opcional",38,IF(Atletas!H18="Daoshu Adulto",39,IF(Atletas!H18="Jianshu Adulto",40,IF(Atletas!H18="Nandao Adulto",41,IF(Atletas!H18="Taijijian Adulto",42,""))))))))))))))))))))))))))</f>
        <v/>
      </c>
      <c r="BA22" s="46" t="str">
        <f>IF(Atletas!I18="","",IF(Atletas!B18="Feminino",100,IF(Atletas!B18="Masculino",200,""))+(IF(Atletas!I18="Gunshu Mirim",43,IF(Atletas!I18="Qiangshu Mirim",44,IF(Atletas!I18="Nangun Mirim",45,IF(Atletas!I18="Gunshu Grupo C",46,IF(Atletas!I18="Qiangshu Grupo C",47,IF(Atletas!I18="Nangun Grupo C",48,IF(Atletas!I18="Gunshu Grupo B",49,IF(Atletas!I18="Qiangshu Grupo B",50,IF(Atletas!I18="Nangun Grupo B",51,IF(Atletas!I18="Gunshu Grupo A",52,IF(Atletas!I18="Qiangshu Grupo A",53,IF(Atletas!I18="Nangun Grupo A",54,IF(Atletas!I18="Gunshu Opcional",55,IF(Atletas!I18="Qiangshu Opcional",56,IF(Atletas!I18="Nangun Opcional",57,IF(Atletas!I18="Gunshu Adulto",58,IF(Atletas!I18="Qiangshu Adulto",59,IF(Atletas!I18="Nangun Adulto",60,""))))))))))))))))))))</f>
        <v/>
      </c>
      <c r="BB22" s="46" t="str">
        <f>IF(BC22&lt;&gt;"","Nandao Grupo C","")</f>
        <v/>
      </c>
      <c r="BC22" s="52" t="str">
        <f>IF(COUNTIF(AY:BA,125)&gt;0,COUNTIF(AY:BA,125),"")</f>
        <v/>
      </c>
      <c r="BD22" s="46" t="str">
        <f>IF(BE22&lt;&gt;"","Nandao Grupo C","")</f>
        <v/>
      </c>
      <c r="BE22" s="52" t="str">
        <f>IF(COUNTIF(AY:BA,225)&gt;0,COUNTIF(AY:BA,225),"")</f>
        <v/>
      </c>
      <c r="BF22" s="52" t="str">
        <f>IF(Atletas!J18="","",IF(Atletas!B18="Feminino",100,IF(Atletas!B18="Masculino",200,""))+(IF(Atletas!J18="Equipe 1 Grupo B",1,IF(Atletas!J18="Equipe 2 Grupo B",2,IF(Atletas!J18="Equipe 1 Grupo A",3,IF(Atletas!J18="Equipe 2 Grupo A",4,IF(Atletas!J18="Equipe 1 Adulto",5,IF(Atletas!J18="Equipe 2 Adulto",6,""))))))))</f>
        <v/>
      </c>
      <c r="BG22" s="52"/>
      <c r="BH22" s="52"/>
      <c r="BI22" s="52"/>
      <c r="BJ22" s="52"/>
      <c r="BK22" s="52" t="str">
        <f>IF(Atletas!K18="","",IF(Atletas!W18&lt;&gt;"",10000,0)+(IF(Atletas!B18="Feminino",1000,IF(Atletas!B18="Masculino",2000,""))+IF(Atletas!K18="Choylayfut A",1,IF(Atletas!K18="Hunggar A",2,IF(Atletas!K18="Wuzuquan A",3,IF(Atletas!K18="Wingchun A",4,IF(Atletas!K18="Outra Mão de Sul A",5,IF(Atletas!K18="Choylayfut B",6,IF(Atletas!K18="Hunggar B",7,IF(Atletas!K18="Wuzuquan B",8,IF(Atletas!K18="Wingchun B",9,IF(Atletas!K18="Outra Mão de Sul B",10,IF(Atletas!K18="Choylayfut C",11,IF(Atletas!K18="Hunggar C",12,IF(Atletas!K18="Wuzuquan C",13,IF(Atletas!K18="Wingchun C",14,IF(Atletas!K18="Outra Mão de Sul C",15,IF(Atletas!K18="Choylayfut D",16,IF(Atletas!K18="Hunggar D",17,IF(Atletas!K18="Wuzuquan D",18,IF(Atletas!K18="Wingchun D",19,IF(Atletas!K18="Outra Mão de Sul D",20,IF(Atletas!K18="Choylayfut E",21,IF(Atletas!K18="Hunggar E",22,IF(Atletas!K18="Wuzuquan E",23,IF(Atletas!K18="Wingchun E",24,IF(Atletas!K18="Outra Mão de Sul E",25,IF(Atletas!K18="Choylayfut F",26,IF(Atletas!K18="Hunggar F",27,IF(Atletas!K18="Wuzuquan F",28,IF(Atletas!K18="Wingchun F",29,IF(Atletas!K18="Outra Mão de Sul F",30,""))))))))))))))))))))))))))))))))</f>
        <v/>
      </c>
      <c r="BL22" s="52" t="str">
        <f>IF(Atletas!L18="","",IF(Atletas!W18&lt;&gt;"",10000,0)+(IF(Atletas!B18="Feminino",1000,IF(Atletas!B18="Masculino",2000,""))+(IF(Atletas!L18="Chaquan A",101,IF(Atletas!L18="Emeiquan A",102,IF(Atletas!L18="Fanziquan A",103,IF(Atletas!L18="Huaquan A",104,IF(Atletas!L18="Hongquan A",105,IF(Atletas!L18="Paochui A",106,IF(Atletas!L18="Piguaquan A",107,IF(Atletas!L18="Shaolinquan A",108,IF(Atletas!L18="Tanglangquan A",109,IF(Atletas!L18="Yinzhaophai A",110,IF(Atletas!L18="Tongbeiquan A",111,IF(Atletas!L18="Wudangquan A",112,IF(Atletas!L18="Outros Estilos A",113,IF(Atletas!L18="Chaquan B",114,IF(Atletas!L18="Emeiquan B",115,IF(Atletas!L18="Fanziquan B",116,IF(Atletas!L18="Huaquan B",117,IF(Atletas!L18="Hongquan B",118,IF(Atletas!L18="Paochui B",119,IF(Atletas!L18="Piguaquan B",120,IF(Atletas!L18="Shaolinquan B",121,IF(Atletas!L18="Tanglangquan B",122,IF(Atletas!L18="Yinzhaophai B",123,IF(Atletas!L18="Tongbeiquan B",124,IF(Atletas!L18="Wudangquan B",125,IF(Atletas!L18="Outros Estilos B",126,IF(Atletas!L18="Chaquan C",127,IF(Atletas!L18="Emeiquan C",128,IF(Atletas!L18="Fanziquan C",129,IF(Atletas!L18="Huaquan C",130,IF(Atletas!L18="Hongquan C",131,IF(Atletas!L18="Paochui C",132,IF(Atletas!L18="Piguaquan C",133,IF(Atletas!L18="Shaolinquan C",134,IF(Atletas!L18="Tanglangquan C",135,IF(Atletas!L18="Yinzhaophai C",136,IF(Atletas!L18="Tongbeiquan C",137,IF(Atletas!L18="Wudangquan C",138,IF(Atletas!L18="Outros Estilos C",139,0))))))))))))))))))))))))))))))))))))))))))</f>
        <v/>
      </c>
      <c r="BM22" s="52" t="str">
        <f>IF(Atletas!L18="","",IF(Atletas!W18&lt;&gt;"",10000,0)+(IF(Atletas!B18="Feminino",1000,IF(Atletas!B18="Masculino",2000,""))+(IF(Atletas!L18="Chaquan D",140,IF(Atletas!L18="Emeiquan D",141,IF(Atletas!L18="Fanziquan D",142,IF(Atletas!L18="Huaquan D",143,IF(Atletas!L18="Hongquan D",144,IF(Atletas!L18="Paochui D",145,IF(Atletas!L18="Piguaquan D",146,IF(Atletas!L18="Shaolinquan D",147,IF(Atletas!L18="Tanglangquan D",148,IF(Atletas!L18="Yinzhaophai D",149,IF(Atletas!L18="Tongbeiquan D",150,IF(Atletas!L18="Wudangquan D",151,IF(Atletas!L18="Outros Estilos D",152,IF(Atletas!L18="Chaquan E",153,IF(Atletas!L18="Emeiquan E",154,IF(Atletas!L18="Fanziquan E",155,IF(Atletas!L18="Huaquan E",156,IF(Atletas!L18="Hongquan E",157,IF(Atletas!L18="Paochui E",158,IF(Atletas!L18="Piguaquan E",159,IF(Atletas!L18="Shaolinquan E",160,IF(Atletas!L18="Tanglangquan E",161,IF(Atletas!L18="Yinzhaophai E",162,IF(Atletas!L18="Tongbeiquan E",163,IF(Atletas!L18="Wudangquan E",164,IF(Atletas!L18="Outros Estilos E",165,IF(Atletas!L18="Chaquan F",166,IF(Atletas!L18="Emeiquan F",167,IF(Atletas!L18="Fanziquan F",168,IF(Atletas!L18="Huaquan F",169,IF(Atletas!L18="Hongquan F",170,IF(Atletas!L18="Paochui F",171,IF(Atletas!L18="Piguaquan F",172,IF(Atletas!L18="Shaolinquan F",173,IF(Atletas!L18="Tanglangquan F",174,IF(Atletas!L18="Yinzhaophai F",175,IF(Atletas!L18="Tongbeiquan F",176,IF(Atletas!L18="Wudangquan F",177,IF(Atletas!L18="Outros Estilos F",178,0))))))))))))))))))))))))))))))))))))))))))</f>
        <v/>
      </c>
      <c r="BN22" s="52" t="str">
        <f>IF(Atletas!M18="","",IF(Atletas!W18&lt;&gt;"",10000,0)+(IF(Atletas!B18="Feminino",1000,IF(Atletas!B18="Masculino",2000,""))+(IF(Atletas!M18="Ditangquan A",201,IF(Atletas!M18="Houquan A",202,IF(Atletas!M18="Zuiquan A",203,IF(Atletas!M18="Ditangquan B",204,IF(Atletas!M18="Houquan B",205,IF(Atletas!M18="Zuiquan B",206,IF(Atletas!M18="Ditangquan C",207,IF(Atletas!M18="Houquan C",208,IF(Atletas!M18="Zuiquan C",209,IF(Atletas!M18="Ditangquan D",210,IF(Atletas!M18="Houquan D",211,IF(Atletas!M18="Zuiquan D",212,IF(Atletas!M18="Ditangquan E",213,IF(Atletas!M18="Houquan E",214,IF(Atletas!M18="Zuiquan E",215,IF(Atletas!M18="Ditangquan F",216,IF(Atletas!M18="Houquan F",217,IF(Atletas!M18="Zuiquan F",218,"")))))))))))))))))))))</f>
        <v/>
      </c>
      <c r="BO22" s="52" t="str">
        <f>IF(Atletas!N18="","",IF(Atletas!W18&lt;&gt;"",10000,0)+IF(Atletas!B18="Feminino",1000,IF(Atletas!B18="Masculino",2000,""))+IF(Atletas!N18="Yang A",301,IF(Atletas!N18="Chen A",30,IF(Atletas!N18="Sun A",303,IF(Atletas!N18="Wu A",304,IF(Atletas!N18="Wu-Hao A",305,IF(Atletas!N18="Outro Taijiquan A",306,IF(Atletas!N18="Yang B",307,IF(Atletas!N18="Chen B",308,IF(Atletas!N18="Sun B",309,IF(Atletas!N18="Wu B",310,IF(Atletas!N18="Wu-Hao B",311,IF(Atletas!N18="Outro Taijiquan B",312,IF(Atletas!N18="Yang C",313,IF(Atletas!N18="Chen C",314,IF(Atletas!N18="Sun C",315,IF(Atletas!N18="Wu C",316,IF(Atletas!N18="Wu-Hao C",317,IF(Atletas!N18="Outro Taijiquan C",318,IF(Atletas!N18="Yang D",319,IF(Atletas!N18="Chen D",320,IF(Atletas!N18="Sun D",321,IF(Atletas!N18="Wu D",322,IF(Atletas!N18="Wu-Hao D",323,IF(Atletas!N18="Outro Taijiquan D",324,IF(Atletas!N18="Yang E",325,IF(Atletas!N18="Chen E",326,IF(Atletas!N18="Sun E",327,IF(Atletas!N18="Wu E",328,IF(Atletas!N18="Wu-Hao E",329,IF(Atletas!N18="Outro Taijiquan E",330,IF(Atletas!N18="Yang F",331,IF(Atletas!N18="Chen F",332,IF(Atletas!N18="Sun F",333,IF(Atletas!N18="Wu F",334,IF(Atletas!N18="Wu-Hao F",335,IF(Atletas!N18="Outro Taijiquan F",336,"")))))))))))))))))))))))))))))))))))))</f>
        <v/>
      </c>
      <c r="BP22" s="52" t="str">
        <f>IF(Atletas!O18="","",IF(Atletas!W18&lt;&gt;"",10000,0)+IF(Atletas!B18="Feminino",1000,IF(Atletas!B18="Masculino",2000,""))+IF(OR(Atletas!O18="Yang 26 A",Atletas!O18="Yang 40 A"),401,IF(OR(Atletas!O18="Chen 25 A",Atletas!O18="Chen 36 A",Atletas!O18="Chen 56 A"),402,IF(Atletas!O18="Sun 73 A",403,IF(Atletas!O18="Wu 45 A",404,IF(Atletas!O18="Wu-Hao 46 A",405,IF(OR(Atletas!O18="Taijiquan 16 A",Atletas!O18="Taijiquan 24 A",Atletas!O18="Taijiquan 32 A",Atletas!O18="Taijiquan 42 A"),406,IF(OR(Atletas!O18="Yang 26 B",Atletas!O18="Yang 40 B"),407,IF(OR(Atletas!O18="Chen 25 B",Atletas!O18="Chen 36 B",Atletas!O18="Chen 56 B"),408,IF(Atletas!O18="Sun 73 B",409,IF(Atletas!O18="Wu 45 B",410,IF(Atletas!O18="Wu-Hao 46 B",411,IF(OR(Atletas!O18="Taijiquan 16 B",Atletas!O18="Taijiquan 24 B",Atletas!O18="Taijiquan 32 B",Atletas!O18="Taijiquan 42 B"),412,IF(OR(Atletas!O18="Yang 26 C",Atletas!O18="Yang 40 C"),413,IF(OR(Atletas!O18="Chen 25 C",Atletas!O18="Chen 36 C",Atletas!O18="Chen 56 C"),414,IF(Atletas!O18="Sun 73 C",415,IF(Atletas!O18="Wu 45 C",416,IF(Atletas!O18="Wu-Hao 46 C",417,IF(OR(Atletas!O18="Taijiquan 16 C",Atletas!O18="Taijiquan 24 C",Atletas!O18="Taijiquan 32 C",Atletas!O18="Taijiquan 42 C"),418,0)))))))))))))))))))</f>
        <v/>
      </c>
      <c r="BQ22" s="52" t="str">
        <f>IF(Atletas!O18="","",IF(Atletas!W18&lt;&gt;"",10000,0)+IF(Atletas!B18="Feminino",1000,IF(Atletas!B18="Masculino",2000,""))+IF(OR(Atletas!O18="Yang 26 D",Atletas!O18="Yang 40 D"),419,IF(OR(Atletas!O18="Chen 25 D",Atletas!O18="Chen 36 D",Atletas!O18="Chen 56 D"),420,IF(Atletas!O18="Sun 73 D",421,IF(Atletas!O18="Wu 45 D",422,IF(Atletas!O18="Wu-Hao 46 D",423,IF(OR(Atletas!O18="Taijiquan 16 D",Atletas!O18="Taijiquan 24 D",Atletas!O18="Taijiquan 32 D",Atletas!O18="Taijiquan 42 D"),424,IF(OR(Atletas!O18="Yang 26 E",Atletas!O18="Yang 40 E"),425,IF(OR(Atletas!O18="Chen 25 E",Atletas!O18="Chen 36 E",Atletas!O18="Chen 56 E"),426,IF(Atletas!O18="Sun 73 E",427,IF(Atletas!O18="Wu 45 E",428,IF(Atletas!O18="Wu-Hao 46 E",429,IF(OR(Atletas!O18="Taijiquan 16 E",Atletas!O18="Taijiquan 24 E",Atletas!O18="Taijiquan 32 E",Atletas!O18="Taijiquan 42 E"),430,IF(OR(Atletas!O18="Yang 26 F",Atletas!O18="Yang 40 F"),431,IF(OR(Atletas!O18="Chen 25 F",Atletas!O18="Chen 36 F",Atletas!O18="Chen 56 F"),432,IF(Atletas!O18="Sun 73 F",433,IF(Atletas!O18="Wu 45 F",434,IF(Atletas!O18="Wu-Hao 46 F",435,IF(OR(Atletas!O18="Taijiquan 16 F",Atletas!O18="Taijiquan 24 F",Atletas!O18="Taijiquan 32 F",Atletas!O18="Taijiquan 42 F"),436,0)))))))))))))))))))</f>
        <v/>
      </c>
      <c r="BR22" s="52" t="str">
        <f>IF(Atletas!P18="","",IF(Atletas!W18&lt;&gt;"",10000,0)+IF(Atletas!B18="Feminino",1000,IF(Atletas!B18="Masculino",2000,""))+IF(Atletas!P18="Xingyiquan A",501,IF(Atletas!P18="Baguazhang A",502,IF(Atletas!P18="Outro Estilo Interno A",503,IF(Atletas!P18="Xingyiquan B",504,IF(Atletas!P18="Baguazhang B",505,IF(Atletas!P18="Outro Estilo Interno B",506,IF(Atletas!P18="Xingyiquan C",507,IF(Atletas!P18="Baguazhang C",508,IF(Atletas!P18="Outro Estilo Interno C",509,IF(Atletas!P18="Xingyiquan D",510,IF(Atletas!P18="Baguazhang D",511,IF(Atletas!P18="Outro Estilo Interno D",512,IF(Atletas!P18="Xingyiquan E",513,IF(Atletas!P18="Baguazhang E",514,IF(Atletas!P18="Outro Estilo Interno E",515,IF(Atletas!P18="Xingyiquan F",516,IF(Atletas!P18="Baguazhang F",517,IF(Atletas!P18="Outro Estilo Interno F",518, "")))))))))))))))))))</f>
        <v/>
      </c>
      <c r="BS22" s="52" t="str">
        <f>IF(Atletas!Q18="","",IF(Atletas!W18&lt;&gt;"",10000,0)+IF(Atletas!B18="Feminino",1000,IF(Atletas!B18="Masculino",2000,""))+IF(Atletas!Q18="Dao A",601,IF(Atletas!Q18="Jian A",602,IF(Atletas!Q18="Bishou A",603,IF(Atletas!Q18="Shan A",604,IF(Atletas!Q18="Outra Arma Curta A",605,IF(Atletas!Q18="Dao B",606,IF(Atletas!Q18="Jian B",607,IF(Atletas!Q18="Bishou B",608,IF(Atletas!Q18="Shan B",609,IF(Atletas!Q18="Outra Arma Curta B",610,IF(Atletas!Q18="Dao C",611,IF(Atletas!Q18="Jian C",612,IF(Atletas!Q18="Bishou C",613,IF(Atletas!Q18="Shan C",614,IF(Atletas!Q18="Outra Arma Curta C",615,IF(Atletas!Q18="Dao D",616,IF(Atletas!Q18="Jian D",617,IF(Atletas!Q18="Bishou D",618,IF(Atletas!Q18="Shan D",619,IF(Atletas!Q18="Outra Arma Curta D",620,IF(Atletas!Q18="Dao E",621,IF(Atletas!Q18="Jian E",622,IF(Atletas!Q18="Bishou E",623,IF(Atletas!Q18="Shan E",624,IF(Atletas!Q18="Outra Arma Curta E",625,IF(Atletas!Q18="Dao F",626,IF(Atletas!Q18="Jian F",627,IF(Atletas!Q18="Bishou F",628,IF(Atletas!Q18="Shan F",629,IF(Atletas!Q18="Outra Arma Curta F",630, "")))))))))))))))))))))))))))))))</f>
        <v/>
      </c>
      <c r="BT22" s="52" t="str">
        <f>IF(Atletas!R18="","",IF(Atletas!W18&lt;&gt;"",10000,0)+IF(Atletas!B18="Feminino",1000,IF(Atletas!B18="Masculino",2000,""))+IF(Atletas!R18="Gun A",701,IF(Atletas!R18="Qiang A",702,IF(Atletas!R18="Pudao / Guandao A",703,IF(Atletas!R18="Outra Arma Longa A",704,IF(Atletas!R18="Gun B",705,IF(Atletas!R18="Qiang B",706,IF(Atletas!R18="Pudao / Guandao B",707,IF(Atletas!R18="Outra Arma Longa B",708,IF(Atletas!R18="Gun C",709,IF(Atletas!R18="Qiang C",710,IF(Atletas!R18="Pudao / Guandao C",711,IF(Atletas!R18="Outra Arma Longa C",712,IF(Atletas!R18="Gun D",713,IF(Atletas!R18="Qiang D",714,IF(Atletas!R18="Pudao / Guandao D",715,IF(Atletas!R18="Outra Arma Longa D",716,IF(Atletas!R18="Gun E",717,IF(Atletas!R18="Qiang E",718,IF(Atletas!R18="Pudao / Guandao E",719,IF(Atletas!R18="Outra Arma Longa E",720,IF(Atletas!R18="Gun F",721,IF(Atletas!R18="Qiang F",722,IF(Atletas!R18="Pudao / Guandao F",723,IF(Atletas!R18="Outra Arma Longa F",724,"")))))))))))))))))))))))))</f>
        <v/>
      </c>
      <c r="BU22" s="52" t="str">
        <f>IF(Atletas!S18="","",IF(Atletas!W18&lt;&gt;"",10000,0)+IF(Atletas!B18="Feminino",1000,IF(Atletas!B18="Masculino",2000,""))+IF(Atletas!S18="Arma Dupla A",801,IF(Atletas!S18="Arma Maleável A",802,IF(Atletas!S18="Arma Dupla B",803,IF(Atletas!S18="Arma Maleável B",804,IF(Atletas!S18="Arma Dupla C",805,IF(Atletas!S18="Arma Maleável C",806,IF(Atletas!S18="Arma Dupla D",807,IF(Atletas!S18="Arma Maleável D",808,IF(Atletas!S18="Arma Dupla E",809,IF(Atletas!S18="Arma Maleável E",810,IF(Atletas!S18="Arma Dupla F",811,IF(Atletas!S18="Arma Maleável F",812, "")))))))))))))</f>
        <v/>
      </c>
      <c r="BV22" s="52" t="str">
        <f>IF(Atletas!T18="","",IF(Atletas!W18&lt;&gt;"",10000,0)+IF(Atletas!B18="Feminino",1000,IF(Atletas!B18="Masculino",2000,""))+IF(Atletas!T18="Taijijian Yang A",901,IF(Atletas!T18="Taijijian Chen A",902,IF(Atletas!T18="Taijijian Sun A",903,IF(Atletas!T18="Taijijian Wu A",904,IF(Atletas!T18="Taijijian Wu-Hao A",905,IF(Atletas!T18="Taijijian 32 A",906,IF(Atletas!T18="Taijijian 42 A",907,IF(Atletas!T18="Taijijian Yang B",908,IF(Atletas!T18="Taijijian Chen B",909,IF(Atletas!T18="Taijijian Sun B",910,IF(Atletas!T18="Taijijian Wu B",911,IF(Atletas!T18="Taijijian Wu-Hao B",912,IF(Atletas!T18="Taijijian 32 B",913,IF(Atletas!T18="Taijijian 42 B",914,IF(Atletas!T18="Taijijian Yang C",915,IF(Atletas!T18="Taijijian Chen C",916,IF(Atletas!T18="Taijijian Sun C",917,IF(Atletas!T18="Taijijian Wu C",918,IF(Atletas!T18="Taijijian Wu-Hao C",919,IF(Atletas!T18="Taijijian 32 C",920,IF(Atletas!T18="Taijijian 42 C",921,IF(Atletas!T18="Taijijian Yang D",922,IF(Atletas!T18="Taijijian Chen D",923,IF(Atletas!T18="Taijijian Sun D",924,IF(Atletas!T18="Taijijian Wu D",925,IF(Atletas!T18="Taijijian Wu-Hao D",926,IF(Atletas!T18="Taijijian 32 D",927,IF(Atletas!T18="Taijijian 42 D",928,IF(Atletas!T18="Taijijian Yang E",929,IF(Atletas!T18="Taijijian Chen E",930,IF(Atletas!T18="Taijijian Sun E",931,IF(Atletas!T18="Taijijian Wu E",932,IF(Atletas!T18="Taijijian Wu-Hao E",933,IF(Atletas!T18="Taijijian 32 E",934,IF(Atletas!T18="Taijijian 42 E",935,IF(Atletas!T18="Taijijian Yang F",936,IF(Atletas!T18="Taijijian Chen F",937,IF(Atletas!T18="Taijijian Sun F",938,IF(Atletas!T18="Taijijian Wu F",939,IF(Atletas!T18="Taijijian Wu-Hao F",940,IF(Atletas!T18="Taijijian 32 F",941,IF(Atletas!T18="Taijijian 42 F",942,"")))))))))))))))))))))))))))))))))))))))))))</f>
        <v/>
      </c>
      <c r="BW22" s="52" t="str">
        <f>IF(Atletas!U18="","",IF(Atletas!W18&lt;&gt;"",10000,0)+IF(Atletas!B18="Feminino",1000,IF(Atletas!B18="Masculino",2000,""))+IF(Atletas!T18="Taijijian 42 F",942,IF(Atletas!U18="Taijidao A",943,IF(Atletas!U18="Taijishan A",944,IF(Atletas!U18="Taijiqiang A",945,IF(Atletas!U18="Taijidao B",946,IF(Atletas!U18="Taijishan B",947,IF(Atletas!U18="Taijiqiang B",948,IF(Atletas!U18="Taijidao C",949,IF(Atletas!U18="Taijishan C",950,IF(Atletas!U18="Taijiqiang C",951,IF(Atletas!U18="Taijidao D",952,IF(Atletas!U18="Taijishan D",953,IF(Atletas!U18="Taijiqiang D",954,IF(Atletas!U18="Taijidao E",955,IF(Atletas!U18="Taijishan E",956,IF(Atletas!U18="Taijiqiang E",957,IF(Atletas!U18="Taijidao F",958,IF(Atletas!U18="Taijishan F",959,IF(Atletas!U18="Taijiqiang F",960))))))))))))))))))))</f>
        <v/>
      </c>
      <c r="BX22" s="64" t="str">
        <f>IF(BY22&lt;&gt;"","Choylayfut D","")</f>
        <v/>
      </c>
      <c r="BY22" s="64" t="str">
        <f>IF(COUNTIF(BK:BW,1016)&gt;0,COUNTIF(BK:BW,1016),"")</f>
        <v/>
      </c>
      <c r="BZ22" s="64" t="str">
        <f>IF(CA22&lt;&gt;"","Choylayfut D","")</f>
        <v/>
      </c>
      <c r="CA22" s="64" t="str">
        <f>IF(COUNTIF(BK:BW,2016)&gt;0,COUNTIF(BK:BW,2016),"")</f>
        <v/>
      </c>
      <c r="CB22" s="64" t="str">
        <f>IF(CC22&lt;&gt;"","Choylayfut D","")</f>
        <v/>
      </c>
      <c r="CC22" s="64" t="str">
        <f>IF(COUNTIF(BK:BW,11016)&gt;0,COUNTIF(BK:BW,11016),"")</f>
        <v/>
      </c>
      <c r="CD22" s="64" t="str">
        <f>IF(CE22&lt;&gt;"","Choylayfut D","")</f>
        <v/>
      </c>
      <c r="CE22" s="64" t="str">
        <f>IF(COUNTIF(BK:BW,12016)&gt;0,COUNTIF(BK:BW,12016),"")</f>
        <v/>
      </c>
      <c r="CF22" s="52" t="str">
        <f xml:space="preserve"> IF(Atletas!V18="","",IF(Atletas!V18="Duilian de Mãos AB - Equipe 1",1,IF(Atletas!V18="Duilian de Mãos AB - Equipe 2",2,IF(Atletas!V18="Duilian de Armas AB - Equipe 1",3,IF(Atletas!V18="Duilian de Armas AB - Equipe 2",4,IF(Atletas!V18="Duilian de Tuishou - Equipe 1",5,IF(Atletas!V18="Duilian de Tuishou - Equipe 2",6,IF(Atletas!V18="Grupo Externo AB - Equipe 1",7,IF(Atletas!V18="Grupo Externo AB - Equipe 2",8,IF(Atletas!V18="Grupo Interno AB - Equipe 1",9,IF(Atletas!V18="Grupo Interno AB - Equipe 2",10,IF(Atletas!V18="Duilian de Mãos CD - Equipe 1",11,IF(Atletas!V18="Duilian de Mãos CD - Equipe 2",12,IF(Atletas!V18="Duilian de Armas CD - Equipe 1",13,IF(Atletas!V18="Duilian de Armas CD - Equipe 2",14,IF(Atletas!V18="Duilian de Tuishou - Equipe 1",15,IF(Atletas!V18="Duilian de Tuishou - Equipe 2",16,IF(Atletas!V18="Grupo Externo CDEF - Equipe 1",17,IF(Atletas!V18="Grupo Externo CDEF - Equipe 2",18,IF(Atletas!V18="Grupo Interno CDEF - Equipe 1",19,IF(Atletas!V18="Grupo Interno CDEF - Equipe 2",20,IF(Atletas!V18="Duilian de Mãos EF - Equipe 1",21,IF(Atletas!V18="Duilian de Mãos EF - Equipe 2",22,IF(Atletas!V18="Duilian de Armas EF - Equipe 1",23,IF(Atletas!V18="Duilian de Armas EF - Equipe 2",24,IF(Atletas!V18="Duilian de Tuishou - Equipe 1",25,IF(Atletas!V18="Duilian de Tuishou - Equipe 2",26,"")))))))))))))))))))))))))))</f>
        <v/>
      </c>
      <c r="CK22" s="52"/>
      <c r="CL22" s="52"/>
      <c r="CR22" s="71"/>
    </row>
    <row r="23" spans="1:96">
      <c r="A23" s="25"/>
      <c r="B23" s="4" t="str">
        <f t="array" ref="B23">IFERROR(INDEX(AK$7:AK$36,SMALL(IF(AK$7:AK$36&lt;&gt;"",ROW(AK$7:AK$36)-ROW(AK$7)+1),ROWS(AK$7:AK22))),"")</f>
        <v/>
      </c>
      <c r="C23" s="4" t="str">
        <f t="array" ref="C23">IFERROR(INDEX(AL$7:AL$36,SMALL(IF(AL$7:AL$36&lt;&gt;"",ROW(AL$7:AL$36)-ROW(AL$7)+1),ROWS(AL$7:AL22))),"")</f>
        <v/>
      </c>
      <c r="D23" s="4" t="str">
        <f t="array" ref="D23">IFERROR(INDEX(AM$7:AM$36,SMALL(IF(AM$7:AM$36&lt;&gt;"",ROW(AM$7:AM$36)-ROW(AM$7)+1),ROWS(AM$7:AM22))),"")</f>
        <v/>
      </c>
      <c r="E23" s="4" t="str">
        <f t="array" ref="E23">IFERROR(INDEX(AN$7:AN$36,SMALL(IF(AN$7:AN$36&lt;&gt;"",ROW(AN$7:AN$36)-ROW(AN$7)+1),ROWS(AN$7:AN22))),"")</f>
        <v/>
      </c>
      <c r="F23" s="4" t="str">
        <f t="array" ref="F23">IFERROR(INDEX(AP$7:AP$36,SMALL(IF(AP$7:AP$36&lt;&gt;"",ROW(AP$7:AP$36)-ROW(AP$7)+1),ROWS(AP$7:AP22))),"")</f>
        <v/>
      </c>
      <c r="G23" s="4" t="str">
        <f t="array" ref="G23">IFERROR(INDEX(AQ$7:AQ$36,SMALL(IF(AQ$7:AQ$36&lt;&gt;"",ROW(AQ$7:AQ$36)-ROW(AQ$7)+1),ROWS(AQ$7:AQ22))),"")</f>
        <v/>
      </c>
      <c r="H23" s="4" t="str">
        <f t="array" ref="H23">IFERROR(INDEX(AR$7:AR$36,SMALL(IF(AR$7:AR$36&lt;&gt;"",ROW(AR$7:AR$36)-ROW(AR$7)+1),ROWS(AR$7:AR22))),"")</f>
        <v/>
      </c>
      <c r="I23" s="4" t="str">
        <f t="array" ref="I23">IFERROR(INDEX(AS$7:AS$36,SMALL(IF(AS$7:AS$36&lt;&gt;"",ROW(AS$7:AS$36)-ROW(AS$7)+1),ROWS(AS$7:AS22))),"")</f>
        <v/>
      </c>
      <c r="J23" s="4" t="str">
        <f t="array" ref="J23">IFERROR(INDEX(AU$7:AU$36,SMALL(IF(AU$7:AU$36&lt;&gt;"",ROW(AU$7:AU$36)-ROW(AU$7)+1),ROWS(AU$7:AU22))),"")</f>
        <v/>
      </c>
      <c r="K23" s="4" t="str">
        <f t="array" ref="K23">IFERROR(INDEX(AV$7:AV$36,SMALL(IF(AV$7:AV$36&lt;&gt;"",ROW(AV$7:AV$36)-ROW(AV$7)+1),ROWS(AV$7:AV22))),"")</f>
        <v/>
      </c>
      <c r="L23" s="4" t="str">
        <f t="array" ref="L23">IFERROR(INDEX(AW$7:AW$36,SMALL(IF(AW$7:AW$36&lt;&gt;"",ROW(AW$7:AW$36)-ROW(AW$7)+1),ROWS(AW$7:AW22))),"")</f>
        <v/>
      </c>
      <c r="M23" s="4" t="str">
        <f t="array" ref="M23">IFERROR(INDEX(AX$7:AX$36,SMALL(IF(AX$7:AX$36&lt;&gt;"",ROW(AX$7:AX$36)-ROW(AX$7)+1),ROWS(AX$7:AX22))),"")</f>
        <v/>
      </c>
      <c r="N23" s="4" t="str">
        <f t="array" ref="N23">IFERROR(INDEX(BB$7:BB$66,SMALL(IF(BB$7:BB$66&lt;&gt;"",ROW(BB$7:BB$66)-ROW(BB$7)+1),ROWS(BB$7:BB22))),"")</f>
        <v/>
      </c>
      <c r="O23" s="4" t="str">
        <f t="array" ref="O23">IFERROR(INDEX(BC$7:BC$66,SMALL(IF(BC$7:BC$66&lt;&gt;"",ROW(BC$7:BC$66)-ROW(BC$7)+1),ROWS(BC$7:BC22))),"")</f>
        <v/>
      </c>
      <c r="P23" s="4" t="str">
        <f t="array" ref="P23">IFERROR(INDEX(BD$7:BD$66,SMALL(IF(BD$7:BD$66&lt;&gt;"",ROW(BD$7:BD$66)-ROW(BD$7)+1),ROWS(BD$7:BD22))),"")</f>
        <v/>
      </c>
      <c r="Q23" s="4" t="str">
        <f t="array" ref="Q23">IFERROR(INDEX(BE$7:BE$66,SMALL(IF(BE$7:BE$66&lt;&gt;"",ROW(BE$7:BE$66)-ROW(BE$7)+1),ROWS(BE$7:BE22))),"")</f>
        <v/>
      </c>
      <c r="R23" s="4"/>
      <c r="S23" s="4"/>
      <c r="T23" s="4"/>
      <c r="U23" s="4"/>
      <c r="V23" s="4" t="str">
        <f t="array" ref="V23">IFERROR(INDEX(BX$7:BX$336,SMALL(IF(BX$7:BX$336&lt;&gt;"",ROW(BX$7:BX$336)-ROW(BX$7)+1),ROWS(BX$7:BX22))),"")</f>
        <v/>
      </c>
      <c r="W23" s="4" t="str">
        <f t="array" ref="W23">IFERROR(INDEX(BY$7:BY$336,SMALL(IF(BY$7:BY$336&lt;&gt;"",ROW(BY$7:BY$336)-ROW(BY$7)+1),ROWS(BY$7:BY22))),"")</f>
        <v/>
      </c>
      <c r="X23" s="4" t="str">
        <f t="array" ref="X23">IFERROR(INDEX(BZ$7:BZ$336,SMALL(IF(BZ$7:BZ$336&lt;&gt;"",ROW(BZ$7:BZ$336)-ROW(BZ$7)+1),ROWS(BZ$7:BZ22))),"")</f>
        <v/>
      </c>
      <c r="Y23" s="4" t="str">
        <f t="array" ref="Y23">IFERROR(INDEX(CA$7:CA$336,SMALL(IF(CA$7:CA$336&lt;&gt;"",ROW(CA$7:CA$336)-ROW(CA$7)+1),ROWS(CA$7:CA22))),"")</f>
        <v/>
      </c>
      <c r="Z23" s="4" t="str">
        <f t="array" ref="Z23">IFERROR(INDEX(CB$7:CB$378,SMALL(IF(CB$7:CB$378&lt;&gt;"",ROW(CB$7:CB$378)-ROW(CB$7)+1),ROWS(CB$7:CB22))),"")</f>
        <v/>
      </c>
      <c r="AA23" s="4" t="str">
        <f t="array" ref="AA23">IFERROR(INDEX(CC$7:CC$378,SMALL(IF(CC$7:CC$378&lt;&gt;"",ROW(CC$7:CC$378)-ROW(CC$7)+1),ROWS(CC$7:CC22))),"")</f>
        <v/>
      </c>
      <c r="AB23" s="4" t="str">
        <f t="array" ref="AB23">IFERROR(INDEX(CD$7:CD$378,SMALL(IF(CD$7:CD$378&lt;&gt;"",ROW(CD$7:CD$378)-ROW(CD$7)+1),ROWS(CD$7:CD22))),"")</f>
        <v/>
      </c>
      <c r="AC23" s="4" t="str">
        <f t="array" ref="AC23">IFERROR(INDEX(CE$7:CE$378,SMALL(IF(CE$7:CE$378&lt;&gt;"",ROW(CE$7:CE$378)-ROW(CE$7)+1),ROWS(CE$7:CE22))),"")</f>
        <v/>
      </c>
      <c r="AD23" s="69" t="str">
        <f t="array" ref="AD23">IFERROR(INDEX(CG$7:CG$18,SMALL(IF(CG$7:CG$18&lt;&gt;"",ROW(CG$7:CG$18)-ROW(CG$7)+1),ROWS(CG$7:CG22))),"")</f>
        <v/>
      </c>
      <c r="AE23" s="69" t="str">
        <f t="array" ref="AE23">IFERROR(INDEX(CH$7:CH$18,SMALL(IF(CH$7:CH$18&lt;&gt;"",ROW(CH$7:CH$18)-ROW(CH$7)+1),ROWS(CH$7:CH22))),"")</f>
        <v/>
      </c>
      <c r="AF23" s="69" t="str">
        <f t="array" ref="AF23">IFERROR(INDEX(CI$7:CI$8,SMALL(IF(CI$7:CI$8&lt;&gt;"",ROW(CI$7:CI$8)-ROW(CI$7)+1),ROWS(CI$7:CI22))),"")</f>
        <v/>
      </c>
      <c r="AG23" s="69"/>
      <c r="AH23" s="69" t="str">
        <f t="array" ref="AH23">IFERROR(INDEX(CK$7:CK$14,SMALL(IF(CK$7:CK$14&lt;&gt;"",ROW(CK$7:CK$14)-ROW(CK$7)+1),ROWS(CK$7:CK22))),"")</f>
        <v/>
      </c>
      <c r="AI23" s="69"/>
      <c r="AJ23" s="46" t="str">
        <f>IF(Atletas!D19="","",IF(Atletas!B19="Feminino",100,IF(Atletas!B19="Masculino",200,""))+(IF(Atletas!D19="Infantil 39kg",1,IF(Atletas!D19="Infantil 42kg",2,IF(Atletas!D19="Infantil 45kg",3,IF(Atletas!D19="Infantil 48kg",4,IF(Atletas!D19="Infantil 52kg",5,IF(Atletas!D19="Infantil 56kg",6,IF(Atletas!D19="Infantil 60kg",7,IF(Atletas!D19="Juvenil 48kg",8,IF(Atletas!D19="Juvenil 52kg",9,IF(Atletas!D19="Juvenil 56kg",10,IF(Atletas!D19="Juvenil 60kg",11,IF(Atletas!D19="Juvenil 65kg",12,IF(Atletas!D19="Juvenil 70kg",13,IF(Atletas!D19="Juvenil 75kg",14,IF(Atletas!D19="Juvenil 80kg",15,IF(Atletas!D19="Adulto 48kg",16,IF(Atletas!D19="Adulto 52kg",17,IF(Atletas!D19="Adulto 56kg",18,IF(Atletas!D19="Adulto 60kg",19,IF(Atletas!D19="Adulto 65kg",20,IF(Atletas!D19="Adulto 70kg",21,IF(Atletas!D19="Adulto 75kg",22,IF(Atletas!D19="Adulto 80kg",23,IF(Atletas!D19="Adulto 85kg",24,IF(Atletas!D19="Adulto 90kg",25,IF(Atletas!D19="Adulto +90kg",26,""))))))))))))))))))))))))))))</f>
        <v/>
      </c>
      <c r="AK23" s="52"/>
      <c r="AL23" s="52"/>
      <c r="AM23" s="52" t="str">
        <f>IF(AN23&lt;&gt;"","Adulto 52kg","")</f>
        <v/>
      </c>
      <c r="AN23" s="10" t="str">
        <f>IF(COUNTIF(AJ:AJ,217)&gt;0,COUNTIF(AJ:AJ,217),"")</f>
        <v/>
      </c>
      <c r="AO23" s="10" t="str">
        <f>IF(Atletas!E19="","",IF(Atletas!B19="Feminino",100,IF(Atletas!B19="Masculino",200,""))+(IF(Atletas!E19="Juvenil 44kg",1,IF(Atletas!E19="Juvenil 48kg",2,IF(Atletas!E19="Juvenil 52kg",3,IF(Atletas!E19="Juvenil 56kg",4,IF(Atletas!E19="Juvenil 60kg",5,IF(Atletas!E19="Juvenil 65kg",6,IF(Atletas!E19="Juvenil 70kg",7,IF(Atletas!E19="Juvenil 75kg",8,IF(Atletas!E19="Juvenil 82kg",9,IF(Atletas!E19="Juvenil 90kg",10,IF(Atletas!E19="Juvenil 100kg",11,IF(Atletas!E19="Adulto 48kg",12,IF(Atletas!E19="Adulto 52kg",13,IF(Atletas!E19="Adulto 56kg",14,IF(Atletas!E19="Adulto 60kg",15,IF(Atletas!E19="Adulto 65kg",16,IF(Atletas!E19="Adulto 70kg",17,IF(Atletas!E19="Adulto 75kg",18,IF(Atletas!E19="Adulto 82kg",19,IF(Atletas!E19="Adulto 90kg",20,IF(Atletas!E19="Adulto 100kg",21,IF(Atletas!E19="Adulto +100kg",22,""))))))))))))))))))))))))</f>
        <v/>
      </c>
      <c r="AR23" s="52" t="str">
        <f>IF(AS23&lt;&gt;"","Adulto 82kg","")</f>
        <v/>
      </c>
      <c r="AS23" s="10" t="str">
        <f>IF(COUNTIF(AO:AO,219)&gt;0,COUNTIF(AO:AO,219),"")</f>
        <v/>
      </c>
      <c r="AT23" s="10" t="str">
        <f>IF(Atletas!F19="","",IF(Atletas!B19="Feminino",100,IF(Atletas!B19="Masculino",200,""))+(IF(Atletas!F19="Adulto 48kg",1,IF(Atletas!F19="Adulto 56kg",2,IF(Atletas!F19="Adulto 65kg",3,IF(Atletas!F19="Adulto 75kg",4,IF(Atletas!F19="Adulto +75kg",5,IF(Atletas!F19="Adulto 52kg",6,IF(Atletas!F19="Adulto 60kg",7,IF(Atletas!F19="Adulto 70kg",8,IF(Atletas!F19="Adulto 80kg",9,IF(Atletas!F19="Adulto 90kg",10,IF(Atletas!F19="Adulto +90kg",11,"")))))))))))))</f>
        <v/>
      </c>
      <c r="AY23" s="46" t="str">
        <f>IF(Atletas!G19="","",IF(Atletas!B19="Feminino",100,IF(Atletas!B19="Masculino",200,""))+(IF(Atletas!G19="Changquan Mirim",1,IF(Atletas!G19="Nanquan Mirim",2,IF(Atletas!G19="Taijiquan Mirim",3,IF(Atletas!G19="Changquan Grupo C",4,IF(Atletas!G19="Nanquan Grupo C",5,IF(Atletas!G19="Taijiquan Grupo C",6,IF(Atletas!G19="Changquan Grupo B",7,IF(Atletas!G19="Nanquan Grupo B",8,IF(Atletas!G19="Taijiquan Grupo B",9,IF(Atletas!G19="Changquan Grupo A",10,IF(Atletas!G19="Nanquan Grupo A",11,IF(Atletas!G19="Taijiquan Grupo A",12,IF(Atletas!G19="Changquan Opcional",13,IF(Atletas!G19="Nanquan Opcional",14,IF(Atletas!G19="Taijiquan Opcional",15,IF(Atletas!G19="Changquan Adulto",16,IF(Atletas!G19="Nanquan Adulto",17,IF(Atletas!G19="Taijiquan Adulto",18,""))))))))))))))))))))</f>
        <v/>
      </c>
      <c r="AZ23" s="46" t="str">
        <f>IF(Atletas!H19="","",IF(Atletas!B19="Feminino",100,IF(Atletas!B19="Masculino",200,""))+(IF(Atletas!H19="Daoshu Mirim",19,IF(Atletas!H19="Jianshu Mirim",20,IF(Atletas!H19="Nandao Mirim",21,IF(Atletas!H19="Taijijian Mirim",22,IF(Atletas!H19="Daoshu Grupo C",23,IF(Atletas!H19="Jianshu Grupo C",24,IF(Atletas!H19="Nandao Grupo C",25,IF(Atletas!H19="Taijijian Grupo C",26,IF(Atletas!H19="Daoshu Grupo B",27,IF(Atletas!H19="Jianshu Grupo B",28,IF(Atletas!H19="Nandao Grupo B",29,IF(Atletas!H19="Taijijian Grupo B",30,IF(Atletas!H19="Daoshu Grupo A",31,IF(Atletas!H19="Jianshu Grupo A",32,IF(Atletas!H19="Nandao Grupo A",33,IF(Atletas!H19="Taijijian Grupo A",34,IF(Atletas!H19="Daoshu Opcional",35,IF(Atletas!H19="Jianshu Opcional",36,IF(Atletas!H19="Nandao Opcional",37,IF(Atletas!H19="Taijijian Opcional",38,IF(Atletas!H19="Daoshu Adulto",39,IF(Atletas!H19="Jianshu Adulto",40,IF(Atletas!H19="Nandao Adulto",41,IF(Atletas!H19="Taijijian Adulto",42,""))))))))))))))))))))))))))</f>
        <v/>
      </c>
      <c r="BA23" s="46" t="str">
        <f>IF(Atletas!I19="","",IF(Atletas!B19="Feminino",100,IF(Atletas!B19="Masculino",200,""))+(IF(Atletas!I19="Gunshu Mirim",43,IF(Atletas!I19="Qiangshu Mirim",44,IF(Atletas!I19="Nangun Mirim",45,IF(Atletas!I19="Gunshu Grupo C",46,IF(Atletas!I19="Qiangshu Grupo C",47,IF(Atletas!I19="Nangun Grupo C",48,IF(Atletas!I19="Gunshu Grupo B",49,IF(Atletas!I19="Qiangshu Grupo B",50,IF(Atletas!I19="Nangun Grupo B",51,IF(Atletas!I19="Gunshu Grupo A",52,IF(Atletas!I19="Qiangshu Grupo A",53,IF(Atletas!I19="Nangun Grupo A",54,IF(Atletas!I19="Gunshu Opcional",55,IF(Atletas!I19="Qiangshu Opcional",56,IF(Atletas!I19="Nangun Opcional",57,IF(Atletas!I19="Gunshu Adulto",58,IF(Atletas!I19="Qiangshu Adulto",59,IF(Atletas!I19="Nangun Adulto",60,""))))))))))))))))))))</f>
        <v/>
      </c>
      <c r="BB23" s="10" t="str">
        <f>IF(BC23&lt;&gt;"","Taijijian Grupo C","")</f>
        <v/>
      </c>
      <c r="BC23" s="52" t="str">
        <f>IF(COUNTIF(AY:BA,126)&gt;0,COUNTIF(AY:BA,126),"")</f>
        <v/>
      </c>
      <c r="BD23" s="10" t="str">
        <f>IF(BE23&lt;&gt;"","Taijijian Grupo C","")</f>
        <v/>
      </c>
      <c r="BE23" s="52" t="str">
        <f>IF(COUNTIF(AY:BA,226)&gt;0,COUNTIF(AY:BA,226),"")</f>
        <v/>
      </c>
      <c r="BF23" s="52" t="str">
        <f>IF(Atletas!J19="","",IF(Atletas!B19="Feminino",100,IF(Atletas!B19="Masculino",200,""))+(IF(Atletas!J19="Equipe 1 Grupo B",1,IF(Atletas!J19="Equipe 2 Grupo B",2,IF(Atletas!J19="Equipe 1 Grupo A",3,IF(Atletas!J19="Equipe 2 Grupo A",4,IF(Atletas!J19="Equipe 1 Adulto",5,IF(Atletas!J19="Equipe 2 Adulto",6,""))))))))</f>
        <v/>
      </c>
      <c r="BK23" s="52" t="str">
        <f>IF(Atletas!K19="","",IF(Atletas!W19&lt;&gt;"",10000,0)+(IF(Atletas!B19="Feminino",1000,IF(Atletas!B19="Masculino",2000,""))+IF(Atletas!K19="Choylayfut A",1,IF(Atletas!K19="Hunggar A",2,IF(Atletas!K19="Wuzuquan A",3,IF(Atletas!K19="Wingchun A",4,IF(Atletas!K19="Outra Mão de Sul A",5,IF(Atletas!K19="Choylayfut B",6,IF(Atletas!K19="Hunggar B",7,IF(Atletas!K19="Wuzuquan B",8,IF(Atletas!K19="Wingchun B",9,IF(Atletas!K19="Outra Mão de Sul B",10,IF(Atletas!K19="Choylayfut C",11,IF(Atletas!K19="Hunggar C",12,IF(Atletas!K19="Wuzuquan C",13,IF(Atletas!K19="Wingchun C",14,IF(Atletas!K19="Outra Mão de Sul C",15,IF(Atletas!K19="Choylayfut D",16,IF(Atletas!K19="Hunggar D",17,IF(Atletas!K19="Wuzuquan D",18,IF(Atletas!K19="Wingchun D",19,IF(Atletas!K19="Outra Mão de Sul D",20,IF(Atletas!K19="Choylayfut E",21,IF(Atletas!K19="Hunggar E",22,IF(Atletas!K19="Wuzuquan E",23,IF(Atletas!K19="Wingchun E",24,IF(Atletas!K19="Outra Mão de Sul E",25,IF(Atletas!K19="Choylayfut F",26,IF(Atletas!K19="Hunggar F",27,IF(Atletas!K19="Wuzuquan F",28,IF(Atletas!K19="Wingchun F",29,IF(Atletas!K19="Outra Mão de Sul F",30,""))))))))))))))))))))))))))))))))</f>
        <v/>
      </c>
      <c r="BL23" s="52" t="str">
        <f>IF(Atletas!L19="","",IF(Atletas!W19&lt;&gt;"",10000,0)+(IF(Atletas!B19="Feminino",1000,IF(Atletas!B19="Masculino",2000,""))+(IF(Atletas!L19="Chaquan A",101,IF(Atletas!L19="Emeiquan A",102,IF(Atletas!L19="Fanziquan A",103,IF(Atletas!L19="Huaquan A",104,IF(Atletas!L19="Hongquan A",105,IF(Atletas!L19="Paochui A",106,IF(Atletas!L19="Piguaquan A",107,IF(Atletas!L19="Shaolinquan A",108,IF(Atletas!L19="Tanglangquan A",109,IF(Atletas!L19="Yinzhaophai A",110,IF(Atletas!L19="Tongbeiquan A",111,IF(Atletas!L19="Wudangquan A",112,IF(Atletas!L19="Outros Estilos A",113,IF(Atletas!L19="Chaquan B",114,IF(Atletas!L19="Emeiquan B",115,IF(Atletas!L19="Fanziquan B",116,IF(Atletas!L19="Huaquan B",117,IF(Atletas!L19="Hongquan B",118,IF(Atletas!L19="Paochui B",119,IF(Atletas!L19="Piguaquan B",120,IF(Atletas!L19="Shaolinquan B",121,IF(Atletas!L19="Tanglangquan B",122,IF(Atletas!L19="Yinzhaophai B",123,IF(Atletas!L19="Tongbeiquan B",124,IF(Atletas!L19="Wudangquan B",125,IF(Atletas!L19="Outros Estilos B",126,IF(Atletas!L19="Chaquan C",127,IF(Atletas!L19="Emeiquan C",128,IF(Atletas!L19="Fanziquan C",129,IF(Atletas!L19="Huaquan C",130,IF(Atletas!L19="Hongquan C",131,IF(Atletas!L19="Paochui C",132,IF(Atletas!L19="Piguaquan C",133,IF(Atletas!L19="Shaolinquan C",134,IF(Atletas!L19="Tanglangquan C",135,IF(Atletas!L19="Yinzhaophai C",136,IF(Atletas!L19="Tongbeiquan C",137,IF(Atletas!L19="Wudangquan C",138,IF(Atletas!L19="Outros Estilos C",139,0))))))))))))))))))))))))))))))))))))))))))</f>
        <v/>
      </c>
      <c r="BM23" s="52" t="str">
        <f>IF(Atletas!L19="","",IF(Atletas!W19&lt;&gt;"",10000,0)+(IF(Atletas!B19="Feminino",1000,IF(Atletas!B19="Masculino",2000,""))+(IF(Atletas!L19="Chaquan D",140,IF(Atletas!L19="Emeiquan D",141,IF(Atletas!L19="Fanziquan D",142,IF(Atletas!L19="Huaquan D",143,IF(Atletas!L19="Hongquan D",144,IF(Atletas!L19="Paochui D",145,IF(Atletas!L19="Piguaquan D",146,IF(Atletas!L19="Shaolinquan D",147,IF(Atletas!L19="Tanglangquan D",148,IF(Atletas!L19="Yinzhaophai D",149,IF(Atletas!L19="Tongbeiquan D",150,IF(Atletas!L19="Wudangquan D",151,IF(Atletas!L19="Outros Estilos D",152,IF(Atletas!L19="Chaquan E",153,IF(Atletas!L19="Emeiquan E",154,IF(Atletas!L19="Fanziquan E",155,IF(Atletas!L19="Huaquan E",156,IF(Atletas!L19="Hongquan E",157,IF(Atletas!L19="Paochui E",158,IF(Atletas!L19="Piguaquan E",159,IF(Atletas!L19="Shaolinquan E",160,IF(Atletas!L19="Tanglangquan E",161,IF(Atletas!L19="Yinzhaophai E",162,IF(Atletas!L19="Tongbeiquan E",163,IF(Atletas!L19="Wudangquan E",164,IF(Atletas!L19="Outros Estilos E",165,IF(Atletas!L19="Chaquan F",166,IF(Atletas!L19="Emeiquan F",167,IF(Atletas!L19="Fanziquan F",168,IF(Atletas!L19="Huaquan F",169,IF(Atletas!L19="Hongquan F",170,IF(Atletas!L19="Paochui F",171,IF(Atletas!L19="Piguaquan F",172,IF(Atletas!L19="Shaolinquan F",173,IF(Atletas!L19="Tanglangquan F",174,IF(Atletas!L19="Yinzhaophai F",175,IF(Atletas!L19="Tongbeiquan F",176,IF(Atletas!L19="Wudangquan F",177,IF(Atletas!L19="Outros Estilos F",178,0))))))))))))))))))))))))))))))))))))))))))</f>
        <v/>
      </c>
      <c r="BN23" s="52" t="str">
        <f>IF(Atletas!M19="","",IF(Atletas!W19&lt;&gt;"",10000,0)+(IF(Atletas!B19="Feminino",1000,IF(Atletas!B19="Masculino",2000,""))+(IF(Atletas!M19="Ditangquan A",201,IF(Atletas!M19="Houquan A",202,IF(Atletas!M19="Zuiquan A",203,IF(Atletas!M19="Ditangquan B",204,IF(Atletas!M19="Houquan B",205,IF(Atletas!M19="Zuiquan B",206,IF(Atletas!M19="Ditangquan C",207,IF(Atletas!M19="Houquan C",208,IF(Atletas!M19="Zuiquan C",209,IF(Atletas!M19="Ditangquan D",210,IF(Atletas!M19="Houquan D",211,IF(Atletas!M19="Zuiquan D",212,IF(Atletas!M19="Ditangquan E",213,IF(Atletas!M19="Houquan E",214,IF(Atletas!M19="Zuiquan E",215,IF(Atletas!M19="Ditangquan F",216,IF(Atletas!M19="Houquan F",217,IF(Atletas!M19="Zuiquan F",218,"")))))))))))))))))))))</f>
        <v/>
      </c>
      <c r="BO23" s="52" t="str">
        <f>IF(Atletas!N19="","",IF(Atletas!W19&lt;&gt;"",10000,0)+IF(Atletas!B19="Feminino",1000,IF(Atletas!B19="Masculino",2000,""))+IF(Atletas!N19="Yang A",301,IF(Atletas!N19="Chen A",30,IF(Atletas!N19="Sun A",303,IF(Atletas!N19="Wu A",304,IF(Atletas!N19="Wu-Hao A",305,IF(Atletas!N19="Outro Taijiquan A",306,IF(Atletas!N19="Yang B",307,IF(Atletas!N19="Chen B",308,IF(Atletas!N19="Sun B",309,IF(Atletas!N19="Wu B",310,IF(Atletas!N19="Wu-Hao B",311,IF(Atletas!N19="Outro Taijiquan B",312,IF(Atletas!N19="Yang C",313,IF(Atletas!N19="Chen C",314,IF(Atletas!N19="Sun C",315,IF(Atletas!N19="Wu C",316,IF(Atletas!N19="Wu-Hao C",317,IF(Atletas!N19="Outro Taijiquan C",318,IF(Atletas!N19="Yang D",319,IF(Atletas!N19="Chen D",320,IF(Atletas!N19="Sun D",321,IF(Atletas!N19="Wu D",322,IF(Atletas!N19="Wu-Hao D",323,IF(Atletas!N19="Outro Taijiquan D",324,IF(Atletas!N19="Yang E",325,IF(Atletas!N19="Chen E",326,IF(Atletas!N19="Sun E",327,IF(Atletas!N19="Wu E",328,IF(Atletas!N19="Wu-Hao E",329,IF(Atletas!N19="Outro Taijiquan E",330,IF(Atletas!N19="Yang F",331,IF(Atletas!N19="Chen F",332,IF(Atletas!N19="Sun F",333,IF(Atletas!N19="Wu F",334,IF(Atletas!N19="Wu-Hao F",335,IF(Atletas!N19="Outro Taijiquan F",336,"")))))))))))))))))))))))))))))))))))))</f>
        <v/>
      </c>
      <c r="BP23" s="52" t="str">
        <f>IF(Atletas!O19="","",IF(Atletas!W19&lt;&gt;"",10000,0)+IF(Atletas!B19="Feminino",1000,IF(Atletas!B19="Masculino",2000,""))+IF(OR(Atletas!O19="Yang 26 A",Atletas!O19="Yang 40 A"),401,IF(OR(Atletas!O19="Chen 25 A",Atletas!O19="Chen 36 A",Atletas!O19="Chen 56 A"),402,IF(Atletas!O19="Sun 73 A",403,IF(Atletas!O19="Wu 45 A",404,IF(Atletas!O19="Wu-Hao 46 A",405,IF(OR(Atletas!O19="Taijiquan 16 A",Atletas!O19="Taijiquan 24 A",Atletas!O19="Taijiquan 32 A",Atletas!O19="Taijiquan 42 A"),406,IF(OR(Atletas!O19="Yang 26 B",Atletas!O19="Yang 40 B"),407,IF(OR(Atletas!O19="Chen 25 B",Atletas!O19="Chen 36 B",Atletas!O19="Chen 56 B"),408,IF(Atletas!O19="Sun 73 B",409,IF(Atletas!O19="Wu 45 B",410,IF(Atletas!O19="Wu-Hao 46 B",411,IF(OR(Atletas!O19="Taijiquan 16 B",Atletas!O19="Taijiquan 24 B",Atletas!O19="Taijiquan 32 B",Atletas!O19="Taijiquan 42 B"),412,IF(OR(Atletas!O19="Yang 26 C",Atletas!O19="Yang 40 C"),413,IF(OR(Atletas!O19="Chen 25 C",Atletas!O19="Chen 36 C",Atletas!O19="Chen 56 C"),414,IF(Atletas!O19="Sun 73 C",415,IF(Atletas!O19="Wu 45 C",416,IF(Atletas!O19="Wu-Hao 46 C",417,IF(OR(Atletas!O19="Taijiquan 16 C",Atletas!O19="Taijiquan 24 C",Atletas!O19="Taijiquan 32 C",Atletas!O19="Taijiquan 42 C"),418,0)))))))))))))))))))</f>
        <v/>
      </c>
      <c r="BQ23" s="52" t="str">
        <f>IF(Atletas!O19="","",IF(Atletas!W19&lt;&gt;"",10000,0)+IF(Atletas!B19="Feminino",1000,IF(Atletas!B19="Masculino",2000,""))+IF(OR(Atletas!O19="Yang 26 D",Atletas!O19="Yang 40 D"),419,IF(OR(Atletas!O19="Chen 25 D",Atletas!O19="Chen 36 D",Atletas!O19="Chen 56 D"),420,IF(Atletas!O19="Sun 73 D",421,IF(Atletas!O19="Wu 45 D",422,IF(Atletas!O19="Wu-Hao 46 D",423,IF(OR(Atletas!O19="Taijiquan 16 D",Atletas!O19="Taijiquan 24 D",Atletas!O19="Taijiquan 32 D",Atletas!O19="Taijiquan 42 D"),424,IF(OR(Atletas!O19="Yang 26 E",Atletas!O19="Yang 40 E"),425,IF(OR(Atletas!O19="Chen 25 E",Atletas!O19="Chen 36 E",Atletas!O19="Chen 56 E"),426,IF(Atletas!O19="Sun 73 E",427,IF(Atletas!O19="Wu 45 E",428,IF(Atletas!O19="Wu-Hao 46 E",429,IF(OR(Atletas!O19="Taijiquan 16 E",Atletas!O19="Taijiquan 24 E",Atletas!O19="Taijiquan 32 E",Atletas!O19="Taijiquan 42 E"),430,IF(OR(Atletas!O19="Yang 26 F",Atletas!O19="Yang 40 F"),431,IF(OR(Atletas!O19="Chen 25 F",Atletas!O19="Chen 36 F",Atletas!O19="Chen 56 F"),432,IF(Atletas!O19="Sun 73 F",433,IF(Atletas!O19="Wu 45 F",434,IF(Atletas!O19="Wu-Hao 46 F",435,IF(OR(Atletas!O19="Taijiquan 16 F",Atletas!O19="Taijiquan 24 F",Atletas!O19="Taijiquan 32 F",Atletas!O19="Taijiquan 42 F"),436,0)))))))))))))))))))</f>
        <v/>
      </c>
      <c r="BR23" s="52" t="str">
        <f>IF(Atletas!P19="","",IF(Atletas!W19&lt;&gt;"",10000,0)+IF(Atletas!B19="Feminino",1000,IF(Atletas!B19="Masculino",2000,""))+IF(Atletas!P19="Xingyiquan A",501,IF(Atletas!P19="Baguazhang A",502,IF(Atletas!P19="Outro Estilo Interno A",503,IF(Atletas!P19="Xingyiquan B",504,IF(Atletas!P19="Baguazhang B",505,IF(Atletas!P19="Outro Estilo Interno B",506,IF(Atletas!P19="Xingyiquan C",507,IF(Atletas!P19="Baguazhang C",508,IF(Atletas!P19="Outro Estilo Interno C",509,IF(Atletas!P19="Xingyiquan D",510,IF(Atletas!P19="Baguazhang D",511,IF(Atletas!P19="Outro Estilo Interno D",512,IF(Atletas!P19="Xingyiquan E",513,IF(Atletas!P19="Baguazhang E",514,IF(Atletas!P19="Outro Estilo Interno E",515,IF(Atletas!P19="Xingyiquan F",516,IF(Atletas!P19="Baguazhang F",517,IF(Atletas!P19="Outro Estilo Interno F",518, "")))))))))))))))))))</f>
        <v/>
      </c>
      <c r="BS23" s="52" t="str">
        <f>IF(Atletas!Q19="","",IF(Atletas!W19&lt;&gt;"",10000,0)+IF(Atletas!B19="Feminino",1000,IF(Atletas!B19="Masculino",2000,""))+IF(Atletas!Q19="Dao A",601,IF(Atletas!Q19="Jian A",602,IF(Atletas!Q19="Bishou A",603,IF(Atletas!Q19="Shan A",604,IF(Atletas!Q19="Outra Arma Curta A",605,IF(Atletas!Q19="Dao B",606,IF(Atletas!Q19="Jian B",607,IF(Atletas!Q19="Bishou B",608,IF(Atletas!Q19="Shan B",609,IF(Atletas!Q19="Outra Arma Curta B",610,IF(Atletas!Q19="Dao C",611,IF(Atletas!Q19="Jian C",612,IF(Atletas!Q19="Bishou C",613,IF(Atletas!Q19="Shan C",614,IF(Atletas!Q19="Outra Arma Curta C",615,IF(Atletas!Q19="Dao D",616,IF(Atletas!Q19="Jian D",617,IF(Atletas!Q19="Bishou D",618,IF(Atletas!Q19="Shan D",619,IF(Atletas!Q19="Outra Arma Curta D",620,IF(Atletas!Q19="Dao E",621,IF(Atletas!Q19="Jian E",622,IF(Atletas!Q19="Bishou E",623,IF(Atletas!Q19="Shan E",624,IF(Atletas!Q19="Outra Arma Curta E",625,IF(Atletas!Q19="Dao F",626,IF(Atletas!Q19="Jian F",627,IF(Atletas!Q19="Bishou F",628,IF(Atletas!Q19="Shan F",629,IF(Atletas!Q19="Outra Arma Curta F",630, "")))))))))))))))))))))))))))))))</f>
        <v/>
      </c>
      <c r="BT23" s="52" t="str">
        <f>IF(Atletas!R19="","",IF(Atletas!W19&lt;&gt;"",10000,0)+IF(Atletas!B19="Feminino",1000,IF(Atletas!B19="Masculino",2000,""))+IF(Atletas!R19="Gun A",701,IF(Atletas!R19="Qiang A",702,IF(Atletas!R19="Pudao / Guandao A",703,IF(Atletas!R19="Outra Arma Longa A",704,IF(Atletas!R19="Gun B",705,IF(Atletas!R19="Qiang B",706,IF(Atletas!R19="Pudao / Guandao B",707,IF(Atletas!R19="Outra Arma Longa B",708,IF(Atletas!R19="Gun C",709,IF(Atletas!R19="Qiang C",710,IF(Atletas!R19="Pudao / Guandao C",711,IF(Atletas!R19="Outra Arma Longa C",712,IF(Atletas!R19="Gun D",713,IF(Atletas!R19="Qiang D",714,IF(Atletas!R19="Pudao / Guandao D",715,IF(Atletas!R19="Outra Arma Longa D",716,IF(Atletas!R19="Gun E",717,IF(Atletas!R19="Qiang E",718,IF(Atletas!R19="Pudao / Guandao E",719,IF(Atletas!R19="Outra Arma Longa E",720,IF(Atletas!R19="Gun F",721,IF(Atletas!R19="Qiang F",722,IF(Atletas!R19="Pudao / Guandao F",723,IF(Atletas!R19="Outra Arma Longa F",724,"")))))))))))))))))))))))))</f>
        <v/>
      </c>
      <c r="BU23" s="52" t="str">
        <f>IF(Atletas!S19="","",IF(Atletas!W19&lt;&gt;"",10000,0)+IF(Atletas!B19="Feminino",1000,IF(Atletas!B19="Masculino",2000,""))+IF(Atletas!S19="Arma Dupla A",801,IF(Atletas!S19="Arma Maleável A",802,IF(Atletas!S19="Arma Dupla B",803,IF(Atletas!S19="Arma Maleável B",804,IF(Atletas!S19="Arma Dupla C",805,IF(Atletas!S19="Arma Maleável C",806,IF(Atletas!S19="Arma Dupla D",807,IF(Atletas!S19="Arma Maleável D",808,IF(Atletas!S19="Arma Dupla E",809,IF(Atletas!S19="Arma Maleável E",810,IF(Atletas!S19="Arma Dupla F",811,IF(Atletas!S19="Arma Maleável F",812, "")))))))))))))</f>
        <v/>
      </c>
      <c r="BV23" s="52" t="str">
        <f>IF(Atletas!T19="","",IF(Atletas!W19&lt;&gt;"",10000,0)+IF(Atletas!B19="Feminino",1000,IF(Atletas!B19="Masculino",2000,""))+IF(Atletas!T19="Taijijian Yang A",901,IF(Atletas!T19="Taijijian Chen A",902,IF(Atletas!T19="Taijijian Sun A",903,IF(Atletas!T19="Taijijian Wu A",904,IF(Atletas!T19="Taijijian Wu-Hao A",905,IF(Atletas!T19="Taijijian 32 A",906,IF(Atletas!T19="Taijijian 42 A",907,IF(Atletas!T19="Taijijian Yang B",908,IF(Atletas!T19="Taijijian Chen B",909,IF(Atletas!T19="Taijijian Sun B",910,IF(Atletas!T19="Taijijian Wu B",911,IF(Atletas!T19="Taijijian Wu-Hao B",912,IF(Atletas!T19="Taijijian 32 B",913,IF(Atletas!T19="Taijijian 42 B",914,IF(Atletas!T19="Taijijian Yang C",915,IF(Atletas!T19="Taijijian Chen C",916,IF(Atletas!T19="Taijijian Sun C",917,IF(Atletas!T19="Taijijian Wu C",918,IF(Atletas!T19="Taijijian Wu-Hao C",919,IF(Atletas!T19="Taijijian 32 C",920,IF(Atletas!T19="Taijijian 42 C",921,IF(Atletas!T19="Taijijian Yang D",922,IF(Atletas!T19="Taijijian Chen D",923,IF(Atletas!T19="Taijijian Sun D",924,IF(Atletas!T19="Taijijian Wu D",925,IF(Atletas!T19="Taijijian Wu-Hao D",926,IF(Atletas!T19="Taijijian 32 D",927,IF(Atletas!T19="Taijijian 42 D",928,IF(Atletas!T19="Taijijian Yang E",929,IF(Atletas!T19="Taijijian Chen E",930,IF(Atletas!T19="Taijijian Sun E",931,IF(Atletas!T19="Taijijian Wu E",932,IF(Atletas!T19="Taijijian Wu-Hao E",933,IF(Atletas!T19="Taijijian 32 E",934,IF(Atletas!T19="Taijijian 42 E",935,IF(Atletas!T19="Taijijian Yang F",936,IF(Atletas!T19="Taijijian Chen F",937,IF(Atletas!T19="Taijijian Sun F",938,IF(Atletas!T19="Taijijian Wu F",939,IF(Atletas!T19="Taijijian Wu-Hao F",940,IF(Atletas!T19="Taijijian 32 F",941,IF(Atletas!T19="Taijijian 42 F",942,"")))))))))))))))))))))))))))))))))))))))))))</f>
        <v/>
      </c>
      <c r="BW23" s="52" t="str">
        <f>IF(Atletas!U19="","",IF(Atletas!W19&lt;&gt;"",10000,0)+IF(Atletas!B19="Feminino",1000,IF(Atletas!B19="Masculino",2000,""))+IF(Atletas!T19="Taijijian 42 F",942,IF(Atletas!U19="Taijidao A",943,IF(Atletas!U19="Taijishan A",944,IF(Atletas!U19="Taijiqiang A",945,IF(Atletas!U19="Taijidao B",946,IF(Atletas!U19="Taijishan B",947,IF(Atletas!U19="Taijiqiang B",948,IF(Atletas!U19="Taijidao C",949,IF(Atletas!U19="Taijishan C",950,IF(Atletas!U19="Taijiqiang C",951,IF(Atletas!U19="Taijidao D",952,IF(Atletas!U19="Taijishan D",953,IF(Atletas!U19="Taijiqiang D",954,IF(Atletas!U19="Taijidao E",955,IF(Atletas!U19="Taijishan E",956,IF(Atletas!U19="Taijiqiang E",957,IF(Atletas!U19="Taijidao F",958,IF(Atletas!U19="Taijishan F",959,IF(Atletas!U19="Taijiqiang F",960))))))))))))))))))))</f>
        <v/>
      </c>
      <c r="BX23" s="64" t="str">
        <f>IF(BY23&lt;&gt;"","Hunggar D","")</f>
        <v/>
      </c>
      <c r="BY23" s="64" t="str">
        <f>IF(COUNTIF(BK:BW,1017)&gt;0,COUNTIF(BK:BW,1017),"")</f>
        <v/>
      </c>
      <c r="BZ23" s="64" t="str">
        <f>IF(CA23&lt;&gt;"","Hunggar D","")</f>
        <v/>
      </c>
      <c r="CA23" s="64" t="str">
        <f>IF(COUNTIF(BK:BW,2017)&gt;0,COUNTIF(BK:BW,2017),"")</f>
        <v/>
      </c>
      <c r="CB23" s="64" t="str">
        <f>IF(CC23&lt;&gt;"","Hunggar D","")</f>
        <v/>
      </c>
      <c r="CC23" s="64" t="str">
        <f>IF(COUNTIF(BK:BW,11017)&gt;0,COUNTIF(BK:BW,11017),"")</f>
        <v/>
      </c>
      <c r="CD23" s="64" t="str">
        <f>IF(CE23&lt;&gt;"","Hunggar D","")</f>
        <v/>
      </c>
      <c r="CE23" s="64" t="str">
        <f>IF(COUNTIF(BK:BW,12017)&gt;0,COUNTIF(BK:BW,12017),"")</f>
        <v/>
      </c>
      <c r="CF23" s="52" t="str">
        <f xml:space="preserve"> IF(Atletas!V19="","",IF(Atletas!V19="Duilian de Mãos AB - Equipe 1",1,IF(Atletas!V19="Duilian de Mãos AB - Equipe 2",2,IF(Atletas!V19="Duilian de Armas AB - Equipe 1",3,IF(Atletas!V19="Duilian de Armas AB - Equipe 2",4,IF(Atletas!V19="Duilian de Tuishou - Equipe 1",5,IF(Atletas!V19="Duilian de Tuishou - Equipe 2",6,IF(Atletas!V19="Grupo Externo AB - Equipe 1",7,IF(Atletas!V19="Grupo Externo AB - Equipe 2",8,IF(Atletas!V19="Grupo Interno AB - Equipe 1",9,IF(Atletas!V19="Grupo Interno AB - Equipe 2",10,IF(Atletas!V19="Duilian de Mãos CD - Equipe 1",11,IF(Atletas!V19="Duilian de Mãos CD - Equipe 2",12,IF(Atletas!V19="Duilian de Armas CD - Equipe 1",13,IF(Atletas!V19="Duilian de Armas CD - Equipe 2",14,IF(Atletas!V19="Duilian de Tuishou - Equipe 1",15,IF(Atletas!V19="Duilian de Tuishou - Equipe 2",16,IF(Atletas!V19="Grupo Externo CDEF - Equipe 1",17,IF(Atletas!V19="Grupo Externo CDEF - Equipe 2",18,IF(Atletas!V19="Grupo Interno CDEF - Equipe 1",19,IF(Atletas!V19="Grupo Interno CDEF - Equipe 2",20,IF(Atletas!V19="Duilian de Mãos EF - Equipe 1",21,IF(Atletas!V19="Duilian de Mãos EF - Equipe 2",22,IF(Atletas!V19="Duilian de Armas EF - Equipe 1",23,IF(Atletas!V19="Duilian de Armas EF - Equipe 2",24,IF(Atletas!V19="Duilian de Tuishou - Equipe 1",25,IF(Atletas!V19="Duilian de Tuishou - Equipe 2",26,"")))))))))))))))))))))))))))</f>
        <v/>
      </c>
      <c r="CR23" s="71"/>
    </row>
    <row r="24" spans="1:96">
      <c r="A24" s="25"/>
      <c r="B24" s="4" t="str">
        <f t="array" ref="B24">IFERROR(INDEX(AK$7:AK$36,SMALL(IF(AK$7:AK$36&lt;&gt;"",ROW(AK$7:AK$36)-ROW(AK$7)+1),ROWS(AK$7:AK23))),"")</f>
        <v/>
      </c>
      <c r="C24" s="4" t="str">
        <f t="array" ref="C24">IFERROR(INDEX(AL$7:AL$36,SMALL(IF(AL$7:AL$36&lt;&gt;"",ROW(AL$7:AL$36)-ROW(AL$7)+1),ROWS(AL$7:AL23))),"")</f>
        <v/>
      </c>
      <c r="D24" s="4" t="str">
        <f t="array" ref="D24">IFERROR(INDEX(AM$7:AM$36,SMALL(IF(AM$7:AM$36&lt;&gt;"",ROW(AM$7:AM$36)-ROW(AM$7)+1),ROWS(AM$7:AM23))),"")</f>
        <v/>
      </c>
      <c r="E24" s="4" t="str">
        <f t="array" ref="E24">IFERROR(INDEX(AN$7:AN$36,SMALL(IF(AN$7:AN$36&lt;&gt;"",ROW(AN$7:AN$36)-ROW(AN$7)+1),ROWS(AN$7:AN23))),"")</f>
        <v/>
      </c>
      <c r="F24" s="4" t="str">
        <f t="array" ref="F24">IFERROR(INDEX(AP$7:AP$36,SMALL(IF(AP$7:AP$36&lt;&gt;"",ROW(AP$7:AP$36)-ROW(AP$7)+1),ROWS(AP$7:AP23))),"")</f>
        <v/>
      </c>
      <c r="G24" s="4" t="str">
        <f t="array" ref="G24">IFERROR(INDEX(AQ$7:AQ$36,SMALL(IF(AQ$7:AQ$36&lt;&gt;"",ROW(AQ$7:AQ$36)-ROW(AQ$7)+1),ROWS(AQ$7:AQ23))),"")</f>
        <v/>
      </c>
      <c r="H24" s="4" t="str">
        <f t="array" ref="H24">IFERROR(INDEX(AR$7:AR$36,SMALL(IF(AR$7:AR$36&lt;&gt;"",ROW(AR$7:AR$36)-ROW(AR$7)+1),ROWS(AR$7:AR23))),"")</f>
        <v/>
      </c>
      <c r="I24" s="4" t="str">
        <f t="array" ref="I24">IFERROR(INDEX(AS$7:AS$36,SMALL(IF(AS$7:AS$36&lt;&gt;"",ROW(AS$7:AS$36)-ROW(AS$7)+1),ROWS(AS$7:AS23))),"")</f>
        <v/>
      </c>
      <c r="J24" s="4" t="str">
        <f t="array" ref="J24">IFERROR(INDEX(AU$7:AU$36,SMALL(IF(AU$7:AU$36&lt;&gt;"",ROW(AU$7:AU$36)-ROW(AU$7)+1),ROWS(AU$7:AU23))),"")</f>
        <v/>
      </c>
      <c r="K24" s="4" t="str">
        <f t="array" ref="K24">IFERROR(INDEX(AV$7:AV$36,SMALL(IF(AV$7:AV$36&lt;&gt;"",ROW(AV$7:AV$36)-ROW(AV$7)+1),ROWS(AV$7:AV23))),"")</f>
        <v/>
      </c>
      <c r="L24" s="4" t="str">
        <f t="array" ref="L24">IFERROR(INDEX(AW$7:AW$36,SMALL(IF(AW$7:AW$36&lt;&gt;"",ROW(AW$7:AW$36)-ROW(AW$7)+1),ROWS(AW$7:AW23))),"")</f>
        <v/>
      </c>
      <c r="M24" s="4" t="str">
        <f t="array" ref="M24">IFERROR(INDEX(AX$7:AX$36,SMALL(IF(AX$7:AX$36&lt;&gt;"",ROW(AX$7:AX$36)-ROW(AX$7)+1),ROWS(AX$7:AX23))),"")</f>
        <v/>
      </c>
      <c r="N24" s="4" t="str">
        <f t="array" ref="N24">IFERROR(INDEX(BB$7:BB$66,SMALL(IF(BB$7:BB$66&lt;&gt;"",ROW(BB$7:BB$66)-ROW(BB$7)+1),ROWS(BB$7:BB23))),"")</f>
        <v/>
      </c>
      <c r="O24" s="4" t="str">
        <f t="array" ref="O24">IFERROR(INDEX(BC$7:BC$66,SMALL(IF(BC$7:BC$66&lt;&gt;"",ROW(BC$7:BC$66)-ROW(BC$7)+1),ROWS(BC$7:BC23))),"")</f>
        <v/>
      </c>
      <c r="P24" s="4" t="str">
        <f t="array" ref="P24">IFERROR(INDEX(BD$7:BD$66,SMALL(IF(BD$7:BD$66&lt;&gt;"",ROW(BD$7:BD$66)-ROW(BD$7)+1),ROWS(BD$7:BD23))),"")</f>
        <v/>
      </c>
      <c r="Q24" s="4" t="str">
        <f t="array" ref="Q24">IFERROR(INDEX(BE$7:BE$66,SMALL(IF(BE$7:BE$66&lt;&gt;"",ROW(BE$7:BE$66)-ROW(BE$7)+1),ROWS(BE$7:BE23))),"")</f>
        <v/>
      </c>
      <c r="R24" s="4"/>
      <c r="S24" s="4"/>
      <c r="T24" s="4"/>
      <c r="U24" s="4"/>
      <c r="V24" s="4" t="str">
        <f t="array" ref="V24">IFERROR(INDEX(BX$7:BX$336,SMALL(IF(BX$7:BX$336&lt;&gt;"",ROW(BX$7:BX$336)-ROW(BX$7)+1),ROWS(BX$7:BX23))),"")</f>
        <v/>
      </c>
      <c r="W24" s="4" t="str">
        <f t="array" ref="W24">IFERROR(INDEX(BY$7:BY$336,SMALL(IF(BY$7:BY$336&lt;&gt;"",ROW(BY$7:BY$336)-ROW(BY$7)+1),ROWS(BY$7:BY23))),"")</f>
        <v/>
      </c>
      <c r="X24" s="4" t="str">
        <f t="array" ref="X24">IFERROR(INDEX(BZ$7:BZ$336,SMALL(IF(BZ$7:BZ$336&lt;&gt;"",ROW(BZ$7:BZ$336)-ROW(BZ$7)+1),ROWS(BZ$7:BZ23))),"")</f>
        <v/>
      </c>
      <c r="Y24" s="4" t="str">
        <f t="array" ref="Y24">IFERROR(INDEX(CA$7:CA$336,SMALL(IF(CA$7:CA$336&lt;&gt;"",ROW(CA$7:CA$336)-ROW(CA$7)+1),ROWS(CA$7:CA23))),"")</f>
        <v/>
      </c>
      <c r="Z24" s="4" t="str">
        <f t="array" ref="Z24">IFERROR(INDEX(CB$7:CB$378,SMALL(IF(CB$7:CB$378&lt;&gt;"",ROW(CB$7:CB$378)-ROW(CB$7)+1),ROWS(CB$7:CB23))),"")</f>
        <v/>
      </c>
      <c r="AA24" s="4" t="str">
        <f t="array" ref="AA24">IFERROR(INDEX(CC$7:CC$378,SMALL(IF(CC$7:CC$378&lt;&gt;"",ROW(CC$7:CC$378)-ROW(CC$7)+1),ROWS(CC$7:CC23))),"")</f>
        <v/>
      </c>
      <c r="AB24" s="4" t="str">
        <f t="array" ref="AB24">IFERROR(INDEX(CD$7:CD$378,SMALL(IF(CD$7:CD$378&lt;&gt;"",ROW(CD$7:CD$378)-ROW(CD$7)+1),ROWS(CD$7:CD23))),"")</f>
        <v/>
      </c>
      <c r="AC24" s="4" t="str">
        <f t="array" ref="AC24">IFERROR(INDEX(CE$7:CE$378,SMALL(IF(CE$7:CE$378&lt;&gt;"",ROW(CE$7:CE$378)-ROW(CE$7)+1),ROWS(CE$7:CE23))),"")</f>
        <v/>
      </c>
      <c r="AD24" s="69" t="str">
        <f t="array" ref="AD24">IFERROR(INDEX(CG$7:CG$18,SMALL(IF(CG$7:CG$18&lt;&gt;"",ROW(CG$7:CG$18)-ROW(CG$7)+1),ROWS(CG$7:CG23))),"")</f>
        <v/>
      </c>
      <c r="AE24" s="69" t="str">
        <f t="array" ref="AE24">IFERROR(INDEX(CH$7:CH$18,SMALL(IF(CH$7:CH$18&lt;&gt;"",ROW(CH$7:CH$18)-ROW(CH$7)+1),ROWS(CH$7:CH23))),"")</f>
        <v/>
      </c>
      <c r="AF24" s="69" t="str">
        <f t="array" ref="AF24">IFERROR(INDEX(CI$7:CI$8,SMALL(IF(CI$7:CI$8&lt;&gt;"",ROW(CI$7:CI$8)-ROW(CI$7)+1),ROWS(CI$7:CI23))),"")</f>
        <v/>
      </c>
      <c r="AG24" s="69"/>
      <c r="AH24" s="69" t="str">
        <f t="array" ref="AH24">IFERROR(INDEX(CK$7:CK$14,SMALL(IF(CK$7:CK$14&lt;&gt;"",ROW(CK$7:CK$14)-ROW(CK$7)+1),ROWS(CK$7:CK23))),"")</f>
        <v/>
      </c>
      <c r="AI24" s="69"/>
      <c r="AJ24" s="46" t="str">
        <f>IF(Atletas!D20="","",IF(Atletas!B20="Feminino",100,IF(Atletas!B20="Masculino",200,""))+(IF(Atletas!D20="Infantil 39kg",1,IF(Atletas!D20="Infantil 42kg",2,IF(Atletas!D20="Infantil 45kg",3,IF(Atletas!D20="Infantil 48kg",4,IF(Atletas!D20="Infantil 52kg",5,IF(Atletas!D20="Infantil 56kg",6,IF(Atletas!D20="Infantil 60kg",7,IF(Atletas!D20="Juvenil 48kg",8,IF(Atletas!D20="Juvenil 52kg",9,IF(Atletas!D20="Juvenil 56kg",10,IF(Atletas!D20="Juvenil 60kg",11,IF(Atletas!D20="Juvenil 65kg",12,IF(Atletas!D20="Juvenil 70kg",13,IF(Atletas!D20="Juvenil 75kg",14,IF(Atletas!D20="Juvenil 80kg",15,IF(Atletas!D20="Adulto 48kg",16,IF(Atletas!D20="Adulto 52kg",17,IF(Atletas!D20="Adulto 56kg",18,IF(Atletas!D20="Adulto 60kg",19,IF(Atletas!D20="Adulto 65kg",20,IF(Atletas!D20="Adulto 70kg",21,IF(Atletas!D20="Adulto 75kg",22,IF(Atletas!D20="Adulto 80kg",23,IF(Atletas!D20="Adulto 85kg",24,IF(Atletas!D20="Adulto 90kg",25,IF(Atletas!D20="Adulto +90kg",26,""))))))))))))))))))))))))))))</f>
        <v/>
      </c>
      <c r="AK24" s="52"/>
      <c r="AL24" s="52"/>
      <c r="AM24" s="52" t="str">
        <f>IF(AN24&lt;&gt;"","Adulto 56kg","")</f>
        <v/>
      </c>
      <c r="AN24" s="10" t="str">
        <f>IF(COUNTIF(AJ:AJ,218)&gt;0,COUNTIF(AJ:AJ,218),"")</f>
        <v/>
      </c>
      <c r="AO24" s="10" t="str">
        <f>IF(Atletas!E20="","",IF(Atletas!B20="Feminino",100,IF(Atletas!B20="Masculino",200,""))+(IF(Atletas!E20="Juvenil 44kg",1,IF(Atletas!E20="Juvenil 48kg",2,IF(Atletas!E20="Juvenil 52kg",3,IF(Atletas!E20="Juvenil 56kg",4,IF(Atletas!E20="Juvenil 60kg",5,IF(Atletas!E20="Juvenil 65kg",6,IF(Atletas!E20="Juvenil 70kg",7,IF(Atletas!E20="Juvenil 75kg",8,IF(Atletas!E20="Juvenil 82kg",9,IF(Atletas!E20="Juvenil 90kg",10,IF(Atletas!E20="Juvenil 100kg",11,IF(Atletas!E20="Adulto 48kg",12,IF(Atletas!E20="Adulto 52kg",13,IF(Atletas!E20="Adulto 56kg",14,IF(Atletas!E20="Adulto 60kg",15,IF(Atletas!E20="Adulto 65kg",16,IF(Atletas!E20="Adulto 70kg",17,IF(Atletas!E20="Adulto 75kg",18,IF(Atletas!E20="Adulto 82kg",19,IF(Atletas!E20="Adulto 90kg",20,IF(Atletas!E20="Adulto 100kg",21,IF(Atletas!E20="Adulto +100kg",22,""))))))))))))))))))))))))</f>
        <v/>
      </c>
      <c r="AR24" s="52" t="str">
        <f>IF(AS24&lt;&gt;"","Adulto 90kg","")</f>
        <v/>
      </c>
      <c r="AS24" s="10" t="str">
        <f>IF(COUNTIF(AO:AO,220)&gt;0,COUNTIF(AO:AO,220),"")</f>
        <v/>
      </c>
      <c r="AT24" s="10" t="str">
        <f>IF(Atletas!F20="","",IF(Atletas!B20="Feminino",100,IF(Atletas!B20="Masculino",200,""))+(IF(Atletas!F20="Adulto 48kg",1,IF(Atletas!F20="Adulto 56kg",2,IF(Atletas!F20="Adulto 65kg",3,IF(Atletas!F20="Adulto 75kg",4,IF(Atletas!F20="Adulto +75kg",5,IF(Atletas!F20="Adulto 52kg",6,IF(Atletas!F20="Adulto 60kg",7,IF(Atletas!F20="Adulto 70kg",8,IF(Atletas!F20="Adulto 80kg",9,IF(Atletas!F20="Adulto 90kg",10,IF(Atletas!F20="Adulto +90kg",11,"")))))))))))))</f>
        <v/>
      </c>
      <c r="AY24" s="46" t="str">
        <f>IF(Atletas!G20="","",IF(Atletas!B20="Feminino",100,IF(Atletas!B20="Masculino",200,""))+(IF(Atletas!G20="Changquan Mirim",1,IF(Atletas!G20="Nanquan Mirim",2,IF(Atletas!G20="Taijiquan Mirim",3,IF(Atletas!G20="Changquan Grupo C",4,IF(Atletas!G20="Nanquan Grupo C",5,IF(Atletas!G20="Taijiquan Grupo C",6,IF(Atletas!G20="Changquan Grupo B",7,IF(Atletas!G20="Nanquan Grupo B",8,IF(Atletas!G20="Taijiquan Grupo B",9,IF(Atletas!G20="Changquan Grupo A",10,IF(Atletas!G20="Nanquan Grupo A",11,IF(Atletas!G20="Taijiquan Grupo A",12,IF(Atletas!G20="Changquan Opcional",13,IF(Atletas!G20="Nanquan Opcional",14,IF(Atletas!G20="Taijiquan Opcional",15,IF(Atletas!G20="Changquan Adulto",16,IF(Atletas!G20="Nanquan Adulto",17,IF(Atletas!G20="Taijiquan Adulto",18,""))))))))))))))))))))</f>
        <v/>
      </c>
      <c r="AZ24" s="46" t="str">
        <f>IF(Atletas!H20="","",IF(Atletas!B20="Feminino",100,IF(Atletas!B20="Masculino",200,""))+(IF(Atletas!H20="Daoshu Mirim",19,IF(Atletas!H20="Jianshu Mirim",20,IF(Atletas!H20="Nandao Mirim",21,IF(Atletas!H20="Taijijian Mirim",22,IF(Atletas!H20="Daoshu Grupo C",23,IF(Atletas!H20="Jianshu Grupo C",24,IF(Atletas!H20="Nandao Grupo C",25,IF(Atletas!H20="Taijijian Grupo C",26,IF(Atletas!H20="Daoshu Grupo B",27,IF(Atletas!H20="Jianshu Grupo B",28,IF(Atletas!H20="Nandao Grupo B",29,IF(Atletas!H20="Taijijian Grupo B",30,IF(Atletas!H20="Daoshu Grupo A",31,IF(Atletas!H20="Jianshu Grupo A",32,IF(Atletas!H20="Nandao Grupo A",33,IF(Atletas!H20="Taijijian Grupo A",34,IF(Atletas!H20="Daoshu Opcional",35,IF(Atletas!H20="Jianshu Opcional",36,IF(Atletas!H20="Nandao Opcional",37,IF(Atletas!H20="Taijijian Opcional",38,IF(Atletas!H20="Daoshu Adulto",39,IF(Atletas!H20="Jianshu Adulto",40,IF(Atletas!H20="Nandao Adulto",41,IF(Atletas!H20="Taijijian Adulto",42,""))))))))))))))))))))))))))</f>
        <v/>
      </c>
      <c r="BA24" s="46" t="str">
        <f>IF(Atletas!I20="","",IF(Atletas!B20="Feminino",100,IF(Atletas!B20="Masculino",200,""))+(IF(Atletas!I20="Gunshu Mirim",43,IF(Atletas!I20="Qiangshu Mirim",44,IF(Atletas!I20="Nangun Mirim",45,IF(Atletas!I20="Gunshu Grupo C",46,IF(Atletas!I20="Qiangshu Grupo C",47,IF(Atletas!I20="Nangun Grupo C",48,IF(Atletas!I20="Gunshu Grupo B",49,IF(Atletas!I20="Qiangshu Grupo B",50,IF(Atletas!I20="Nangun Grupo B",51,IF(Atletas!I20="Gunshu Grupo A",52,IF(Atletas!I20="Qiangshu Grupo A",53,IF(Atletas!I20="Nangun Grupo A",54,IF(Atletas!I20="Gunshu Opcional",55,IF(Atletas!I20="Qiangshu Opcional",56,IF(Atletas!I20="Nangun Opcional",57,IF(Atletas!I20="Gunshu Adulto",58,IF(Atletas!I20="Qiangshu Adulto",59,IF(Atletas!I20="Nangun Adulto",60,""))))))))))))))))))))</f>
        <v/>
      </c>
      <c r="BB24" s="10" t="str">
        <f>IF(BC24&lt;&gt;"","Gunshu Grupo C","")</f>
        <v/>
      </c>
      <c r="BC24" s="52" t="str">
        <f>IF(COUNTIF(AY:BA,146)&gt;0,COUNTIF(AY:BA,146),"")</f>
        <v/>
      </c>
      <c r="BD24" s="10" t="str">
        <f>IF(BE24&lt;&gt;"","Gunshu Grupo C","")</f>
        <v/>
      </c>
      <c r="BE24" s="52" t="str">
        <f>IF(COUNTIF(AY:BA,246)&gt;0,COUNTIF(AY:BA,246),"")</f>
        <v/>
      </c>
      <c r="BF24" s="52" t="str">
        <f>IF(Atletas!J20="","",IF(Atletas!B20="Feminino",100,IF(Atletas!B20="Masculino",200,""))+(IF(Atletas!J20="Equipe 1 Grupo B",1,IF(Atletas!J20="Equipe 2 Grupo B",2,IF(Atletas!J20="Equipe 1 Grupo A",3,IF(Atletas!J20="Equipe 2 Grupo A",4,IF(Atletas!J20="Equipe 1 Adulto",5,IF(Atletas!J20="Equipe 2 Adulto",6,""))))))))</f>
        <v/>
      </c>
      <c r="BK24" s="52" t="str">
        <f>IF(Atletas!K20="","",IF(Atletas!W20&lt;&gt;"",10000,0)+(IF(Atletas!B20="Feminino",1000,IF(Atletas!B20="Masculino",2000,""))+IF(Atletas!K20="Choylayfut A",1,IF(Atletas!K20="Hunggar A",2,IF(Atletas!K20="Wuzuquan A",3,IF(Atletas!K20="Wingchun A",4,IF(Atletas!K20="Outra Mão de Sul A",5,IF(Atletas!K20="Choylayfut B",6,IF(Atletas!K20="Hunggar B",7,IF(Atletas!K20="Wuzuquan B",8,IF(Atletas!K20="Wingchun B",9,IF(Atletas!K20="Outra Mão de Sul B",10,IF(Atletas!K20="Choylayfut C",11,IF(Atletas!K20="Hunggar C",12,IF(Atletas!K20="Wuzuquan C",13,IF(Atletas!K20="Wingchun C",14,IF(Atletas!K20="Outra Mão de Sul C",15,IF(Atletas!K20="Choylayfut D",16,IF(Atletas!K20="Hunggar D",17,IF(Atletas!K20="Wuzuquan D",18,IF(Atletas!K20="Wingchun D",19,IF(Atletas!K20="Outra Mão de Sul D",20,IF(Atletas!K20="Choylayfut E",21,IF(Atletas!K20="Hunggar E",22,IF(Atletas!K20="Wuzuquan E",23,IF(Atletas!K20="Wingchun E",24,IF(Atletas!K20="Outra Mão de Sul E",25,IF(Atletas!K20="Choylayfut F",26,IF(Atletas!K20="Hunggar F",27,IF(Atletas!K20="Wuzuquan F",28,IF(Atletas!K20="Wingchun F",29,IF(Atletas!K20="Outra Mão de Sul F",30,""))))))))))))))))))))))))))))))))</f>
        <v/>
      </c>
      <c r="BL24" s="52" t="str">
        <f>IF(Atletas!L20="","",IF(Atletas!W20&lt;&gt;"",10000,0)+(IF(Atletas!B20="Feminino",1000,IF(Atletas!B20="Masculino",2000,""))+(IF(Atletas!L20="Chaquan A",101,IF(Atletas!L20="Emeiquan A",102,IF(Atletas!L20="Fanziquan A",103,IF(Atletas!L20="Huaquan A",104,IF(Atletas!L20="Hongquan A",105,IF(Atletas!L20="Paochui A",106,IF(Atletas!L20="Piguaquan A",107,IF(Atletas!L20="Shaolinquan A",108,IF(Atletas!L20="Tanglangquan A",109,IF(Atletas!L20="Yinzhaophai A",110,IF(Atletas!L20="Tongbeiquan A",111,IF(Atletas!L20="Wudangquan A",112,IF(Atletas!L20="Outros Estilos A",113,IF(Atletas!L20="Chaquan B",114,IF(Atletas!L20="Emeiquan B",115,IF(Atletas!L20="Fanziquan B",116,IF(Atletas!L20="Huaquan B",117,IF(Atletas!L20="Hongquan B",118,IF(Atletas!L20="Paochui B",119,IF(Atletas!L20="Piguaquan B",120,IF(Atletas!L20="Shaolinquan B",121,IF(Atletas!L20="Tanglangquan B",122,IF(Atletas!L20="Yinzhaophai B",123,IF(Atletas!L20="Tongbeiquan B",124,IF(Atletas!L20="Wudangquan B",125,IF(Atletas!L20="Outros Estilos B",126,IF(Atletas!L20="Chaquan C",127,IF(Atletas!L20="Emeiquan C",128,IF(Atletas!L20="Fanziquan C",129,IF(Atletas!L20="Huaquan C",130,IF(Atletas!L20="Hongquan C",131,IF(Atletas!L20="Paochui C",132,IF(Atletas!L20="Piguaquan C",133,IF(Atletas!L20="Shaolinquan C",134,IF(Atletas!L20="Tanglangquan C",135,IF(Atletas!L20="Yinzhaophai C",136,IF(Atletas!L20="Tongbeiquan C",137,IF(Atletas!L20="Wudangquan C",138,IF(Atletas!L20="Outros Estilos C",139,0))))))))))))))))))))))))))))))))))))))))))</f>
        <v/>
      </c>
      <c r="BM24" s="52" t="str">
        <f>IF(Atletas!L20="","",IF(Atletas!W20&lt;&gt;"",10000,0)+(IF(Atletas!B20="Feminino",1000,IF(Atletas!B20="Masculino",2000,""))+(IF(Atletas!L20="Chaquan D",140,IF(Atletas!L20="Emeiquan D",141,IF(Atletas!L20="Fanziquan D",142,IF(Atletas!L20="Huaquan D",143,IF(Atletas!L20="Hongquan D",144,IF(Atletas!L20="Paochui D",145,IF(Atletas!L20="Piguaquan D",146,IF(Atletas!L20="Shaolinquan D",147,IF(Atletas!L20="Tanglangquan D",148,IF(Atletas!L20="Yinzhaophai D",149,IF(Atletas!L20="Tongbeiquan D",150,IF(Atletas!L20="Wudangquan D",151,IF(Atletas!L20="Outros Estilos D",152,IF(Atletas!L20="Chaquan E",153,IF(Atletas!L20="Emeiquan E",154,IF(Atletas!L20="Fanziquan E",155,IF(Atletas!L20="Huaquan E",156,IF(Atletas!L20="Hongquan E",157,IF(Atletas!L20="Paochui E",158,IF(Atletas!L20="Piguaquan E",159,IF(Atletas!L20="Shaolinquan E",160,IF(Atletas!L20="Tanglangquan E",161,IF(Atletas!L20="Yinzhaophai E",162,IF(Atletas!L20="Tongbeiquan E",163,IF(Atletas!L20="Wudangquan E",164,IF(Atletas!L20="Outros Estilos E",165,IF(Atletas!L20="Chaquan F",166,IF(Atletas!L20="Emeiquan F",167,IF(Atletas!L20="Fanziquan F",168,IF(Atletas!L20="Huaquan F",169,IF(Atletas!L20="Hongquan F",170,IF(Atletas!L20="Paochui F",171,IF(Atletas!L20="Piguaquan F",172,IF(Atletas!L20="Shaolinquan F",173,IF(Atletas!L20="Tanglangquan F",174,IF(Atletas!L20="Yinzhaophai F",175,IF(Atletas!L20="Tongbeiquan F",176,IF(Atletas!L20="Wudangquan F",177,IF(Atletas!L20="Outros Estilos F",178,0))))))))))))))))))))))))))))))))))))))))))</f>
        <v/>
      </c>
      <c r="BN24" s="52" t="str">
        <f>IF(Atletas!M20="","",IF(Atletas!W20&lt;&gt;"",10000,0)+(IF(Atletas!B20="Feminino",1000,IF(Atletas!B20="Masculino",2000,""))+(IF(Atletas!M20="Ditangquan A",201,IF(Atletas!M20="Houquan A",202,IF(Atletas!M20="Zuiquan A",203,IF(Atletas!M20="Ditangquan B",204,IF(Atletas!M20="Houquan B",205,IF(Atletas!M20="Zuiquan B",206,IF(Atletas!M20="Ditangquan C",207,IF(Atletas!M20="Houquan C",208,IF(Atletas!M20="Zuiquan C",209,IF(Atletas!M20="Ditangquan D",210,IF(Atletas!M20="Houquan D",211,IF(Atletas!M20="Zuiquan D",212,IF(Atletas!M20="Ditangquan E",213,IF(Atletas!M20="Houquan E",214,IF(Atletas!M20="Zuiquan E",215,IF(Atletas!M20="Ditangquan F",216,IF(Atletas!M20="Houquan F",217,IF(Atletas!M20="Zuiquan F",218,"")))))))))))))))))))))</f>
        <v/>
      </c>
      <c r="BO24" s="52" t="str">
        <f>IF(Atletas!N20="","",IF(Atletas!W20&lt;&gt;"",10000,0)+IF(Atletas!B20="Feminino",1000,IF(Atletas!B20="Masculino",2000,""))+IF(Atletas!N20="Yang A",301,IF(Atletas!N20="Chen A",30,IF(Atletas!N20="Sun A",303,IF(Atletas!N20="Wu A",304,IF(Atletas!N20="Wu-Hao A",305,IF(Atletas!N20="Outro Taijiquan A",306,IF(Atletas!N20="Yang B",307,IF(Atletas!N20="Chen B",308,IF(Atletas!N20="Sun B",309,IF(Atletas!N20="Wu B",310,IF(Atletas!N20="Wu-Hao B",311,IF(Atletas!N20="Outro Taijiquan B",312,IF(Atletas!N20="Yang C",313,IF(Atletas!N20="Chen C",314,IF(Atletas!N20="Sun C",315,IF(Atletas!N20="Wu C",316,IF(Atletas!N20="Wu-Hao C",317,IF(Atletas!N20="Outro Taijiquan C",318,IF(Atletas!N20="Yang D",319,IF(Atletas!N20="Chen D",320,IF(Atletas!N20="Sun D",321,IF(Atletas!N20="Wu D",322,IF(Atletas!N20="Wu-Hao D",323,IF(Atletas!N20="Outro Taijiquan D",324,IF(Atletas!N20="Yang E",325,IF(Atletas!N20="Chen E",326,IF(Atletas!N20="Sun E",327,IF(Atletas!N20="Wu E",328,IF(Atletas!N20="Wu-Hao E",329,IF(Atletas!N20="Outro Taijiquan E",330,IF(Atletas!N20="Yang F",331,IF(Atletas!N20="Chen F",332,IF(Atletas!N20="Sun F",333,IF(Atletas!N20="Wu F",334,IF(Atletas!N20="Wu-Hao F",335,IF(Atletas!N20="Outro Taijiquan F",336,"")))))))))))))))))))))))))))))))))))))</f>
        <v/>
      </c>
      <c r="BP24" s="52" t="str">
        <f>IF(Atletas!O20="","",IF(Atletas!W20&lt;&gt;"",10000,0)+IF(Atletas!B20="Feminino",1000,IF(Atletas!B20="Masculino",2000,""))+IF(OR(Atletas!O20="Yang 26 A",Atletas!O20="Yang 40 A"),401,IF(OR(Atletas!O20="Chen 25 A",Atletas!O20="Chen 36 A",Atletas!O20="Chen 56 A"),402,IF(Atletas!O20="Sun 73 A",403,IF(Atletas!O20="Wu 45 A",404,IF(Atletas!O20="Wu-Hao 46 A",405,IF(OR(Atletas!O20="Taijiquan 16 A",Atletas!O20="Taijiquan 24 A",Atletas!O20="Taijiquan 32 A",Atletas!O20="Taijiquan 42 A"),406,IF(OR(Atletas!O20="Yang 26 B",Atletas!O20="Yang 40 B"),407,IF(OR(Atletas!O20="Chen 25 B",Atletas!O20="Chen 36 B",Atletas!O20="Chen 56 B"),408,IF(Atletas!O20="Sun 73 B",409,IF(Atletas!O20="Wu 45 B",410,IF(Atletas!O20="Wu-Hao 46 B",411,IF(OR(Atletas!O20="Taijiquan 16 B",Atletas!O20="Taijiquan 24 B",Atletas!O20="Taijiquan 32 B",Atletas!O20="Taijiquan 42 B"),412,IF(OR(Atletas!O20="Yang 26 C",Atletas!O20="Yang 40 C"),413,IF(OR(Atletas!O20="Chen 25 C",Atletas!O20="Chen 36 C",Atletas!O20="Chen 56 C"),414,IF(Atletas!O20="Sun 73 C",415,IF(Atletas!O20="Wu 45 C",416,IF(Atletas!O20="Wu-Hao 46 C",417,IF(OR(Atletas!O20="Taijiquan 16 C",Atletas!O20="Taijiquan 24 C",Atletas!O20="Taijiquan 32 C",Atletas!O20="Taijiquan 42 C"),418,0)))))))))))))))))))</f>
        <v/>
      </c>
      <c r="BQ24" s="52" t="str">
        <f>IF(Atletas!O20="","",IF(Atletas!W20&lt;&gt;"",10000,0)+IF(Atletas!B20="Feminino",1000,IF(Atletas!B20="Masculino",2000,""))+IF(OR(Atletas!O20="Yang 26 D",Atletas!O20="Yang 40 D"),419,IF(OR(Atletas!O20="Chen 25 D",Atletas!O20="Chen 36 D",Atletas!O20="Chen 56 D"),420,IF(Atletas!O20="Sun 73 D",421,IF(Atletas!O20="Wu 45 D",422,IF(Atletas!O20="Wu-Hao 46 D",423,IF(OR(Atletas!O20="Taijiquan 16 D",Atletas!O20="Taijiquan 24 D",Atletas!O20="Taijiquan 32 D",Atletas!O20="Taijiquan 42 D"),424,IF(OR(Atletas!O20="Yang 26 E",Atletas!O20="Yang 40 E"),425,IF(OR(Atletas!O20="Chen 25 E",Atletas!O20="Chen 36 E",Atletas!O20="Chen 56 E"),426,IF(Atletas!O20="Sun 73 E",427,IF(Atletas!O20="Wu 45 E",428,IF(Atletas!O20="Wu-Hao 46 E",429,IF(OR(Atletas!O20="Taijiquan 16 E",Atletas!O20="Taijiquan 24 E",Atletas!O20="Taijiquan 32 E",Atletas!O20="Taijiquan 42 E"),430,IF(OR(Atletas!O20="Yang 26 F",Atletas!O20="Yang 40 F"),431,IF(OR(Atletas!O20="Chen 25 F",Atletas!O20="Chen 36 F",Atletas!O20="Chen 56 F"),432,IF(Atletas!O20="Sun 73 F",433,IF(Atletas!O20="Wu 45 F",434,IF(Atletas!O20="Wu-Hao 46 F",435,IF(OR(Atletas!O20="Taijiquan 16 F",Atletas!O20="Taijiquan 24 F",Atletas!O20="Taijiquan 32 F",Atletas!O20="Taijiquan 42 F"),436,0)))))))))))))))))))</f>
        <v/>
      </c>
      <c r="BR24" s="52" t="str">
        <f>IF(Atletas!P20="","",IF(Atletas!W20&lt;&gt;"",10000,0)+IF(Atletas!B20="Feminino",1000,IF(Atletas!B20="Masculino",2000,""))+IF(Atletas!P20="Xingyiquan A",501,IF(Atletas!P20="Baguazhang A",502,IF(Atletas!P20="Outro Estilo Interno A",503,IF(Atletas!P20="Xingyiquan B",504,IF(Atletas!P20="Baguazhang B",505,IF(Atletas!P20="Outro Estilo Interno B",506,IF(Atletas!P20="Xingyiquan C",507,IF(Atletas!P20="Baguazhang C",508,IF(Atletas!P20="Outro Estilo Interno C",509,IF(Atletas!P20="Xingyiquan D",510,IF(Atletas!P20="Baguazhang D",511,IF(Atletas!P20="Outro Estilo Interno D",512,IF(Atletas!P20="Xingyiquan E",513,IF(Atletas!P20="Baguazhang E",514,IF(Atletas!P20="Outro Estilo Interno E",515,IF(Atletas!P20="Xingyiquan F",516,IF(Atletas!P20="Baguazhang F",517,IF(Atletas!P20="Outro Estilo Interno F",518, "")))))))))))))))))))</f>
        <v/>
      </c>
      <c r="BS24" s="52" t="str">
        <f>IF(Atletas!Q20="","",IF(Atletas!W20&lt;&gt;"",10000,0)+IF(Atletas!B20="Feminino",1000,IF(Atletas!B20="Masculino",2000,""))+IF(Atletas!Q20="Dao A",601,IF(Atletas!Q20="Jian A",602,IF(Atletas!Q20="Bishou A",603,IF(Atletas!Q20="Shan A",604,IF(Atletas!Q20="Outra Arma Curta A",605,IF(Atletas!Q20="Dao B",606,IF(Atletas!Q20="Jian B",607,IF(Atletas!Q20="Bishou B",608,IF(Atletas!Q20="Shan B",609,IF(Atletas!Q20="Outra Arma Curta B",610,IF(Atletas!Q20="Dao C",611,IF(Atletas!Q20="Jian C",612,IF(Atletas!Q20="Bishou C",613,IF(Atletas!Q20="Shan C",614,IF(Atletas!Q20="Outra Arma Curta C",615,IF(Atletas!Q20="Dao D",616,IF(Atletas!Q20="Jian D",617,IF(Atletas!Q20="Bishou D",618,IF(Atletas!Q20="Shan D",619,IF(Atletas!Q20="Outra Arma Curta D",620,IF(Atletas!Q20="Dao E",621,IF(Atletas!Q20="Jian E",622,IF(Atletas!Q20="Bishou E",623,IF(Atletas!Q20="Shan E",624,IF(Atletas!Q20="Outra Arma Curta E",625,IF(Atletas!Q20="Dao F",626,IF(Atletas!Q20="Jian F",627,IF(Atletas!Q20="Bishou F",628,IF(Atletas!Q20="Shan F",629,IF(Atletas!Q20="Outra Arma Curta F",630, "")))))))))))))))))))))))))))))))</f>
        <v/>
      </c>
      <c r="BT24" s="52" t="str">
        <f>IF(Atletas!R20="","",IF(Atletas!W20&lt;&gt;"",10000,0)+IF(Atletas!B20="Feminino",1000,IF(Atletas!B20="Masculino",2000,""))+IF(Atletas!R20="Gun A",701,IF(Atletas!R20="Qiang A",702,IF(Atletas!R20="Pudao / Guandao A",703,IF(Atletas!R20="Outra Arma Longa A",704,IF(Atletas!R20="Gun B",705,IF(Atletas!R20="Qiang B",706,IF(Atletas!R20="Pudao / Guandao B",707,IF(Atletas!R20="Outra Arma Longa B",708,IF(Atletas!R20="Gun C",709,IF(Atletas!R20="Qiang C",710,IF(Atletas!R20="Pudao / Guandao C",711,IF(Atletas!R20="Outra Arma Longa C",712,IF(Atletas!R20="Gun D",713,IF(Atletas!R20="Qiang D",714,IF(Atletas!R20="Pudao / Guandao D",715,IF(Atletas!R20="Outra Arma Longa D",716,IF(Atletas!R20="Gun E",717,IF(Atletas!R20="Qiang E",718,IF(Atletas!R20="Pudao / Guandao E",719,IF(Atletas!R20="Outra Arma Longa E",720,IF(Atletas!R20="Gun F",721,IF(Atletas!R20="Qiang F",722,IF(Atletas!R20="Pudao / Guandao F",723,IF(Atletas!R20="Outra Arma Longa F",724,"")))))))))))))))))))))))))</f>
        <v/>
      </c>
      <c r="BU24" s="52" t="str">
        <f>IF(Atletas!S20="","",IF(Atletas!W20&lt;&gt;"",10000,0)+IF(Atletas!B20="Feminino",1000,IF(Atletas!B20="Masculino",2000,""))+IF(Atletas!S20="Arma Dupla A",801,IF(Atletas!S20="Arma Maleável A",802,IF(Atletas!S20="Arma Dupla B",803,IF(Atletas!S20="Arma Maleável B",804,IF(Atletas!S20="Arma Dupla C",805,IF(Atletas!S20="Arma Maleável C",806,IF(Atletas!S20="Arma Dupla D",807,IF(Atletas!S20="Arma Maleável D",808,IF(Atletas!S20="Arma Dupla E",809,IF(Atletas!S20="Arma Maleável E",810,IF(Atletas!S20="Arma Dupla F",811,IF(Atletas!S20="Arma Maleável F",812, "")))))))))))))</f>
        <v/>
      </c>
      <c r="BV24" s="52" t="str">
        <f>IF(Atletas!T20="","",IF(Atletas!W20&lt;&gt;"",10000,0)+IF(Atletas!B20="Feminino",1000,IF(Atletas!B20="Masculino",2000,""))+IF(Atletas!T20="Taijijian Yang A",901,IF(Atletas!T20="Taijijian Chen A",902,IF(Atletas!T20="Taijijian Sun A",903,IF(Atletas!T20="Taijijian Wu A",904,IF(Atletas!T20="Taijijian Wu-Hao A",905,IF(Atletas!T20="Taijijian 32 A",906,IF(Atletas!T20="Taijijian 42 A",907,IF(Atletas!T20="Taijijian Yang B",908,IF(Atletas!T20="Taijijian Chen B",909,IF(Atletas!T20="Taijijian Sun B",910,IF(Atletas!T20="Taijijian Wu B",911,IF(Atletas!T20="Taijijian Wu-Hao B",912,IF(Atletas!T20="Taijijian 32 B",913,IF(Atletas!T20="Taijijian 42 B",914,IF(Atletas!T20="Taijijian Yang C",915,IF(Atletas!T20="Taijijian Chen C",916,IF(Atletas!T20="Taijijian Sun C",917,IF(Atletas!T20="Taijijian Wu C",918,IF(Atletas!T20="Taijijian Wu-Hao C",919,IF(Atletas!T20="Taijijian 32 C",920,IF(Atletas!T20="Taijijian 42 C",921,IF(Atletas!T20="Taijijian Yang D",922,IF(Atletas!T20="Taijijian Chen D",923,IF(Atletas!T20="Taijijian Sun D",924,IF(Atletas!T20="Taijijian Wu D",925,IF(Atletas!T20="Taijijian Wu-Hao D",926,IF(Atletas!T20="Taijijian 32 D",927,IF(Atletas!T20="Taijijian 42 D",928,IF(Atletas!T20="Taijijian Yang E",929,IF(Atletas!T20="Taijijian Chen E",930,IF(Atletas!T20="Taijijian Sun E",931,IF(Atletas!T20="Taijijian Wu E",932,IF(Atletas!T20="Taijijian Wu-Hao E",933,IF(Atletas!T20="Taijijian 32 E",934,IF(Atletas!T20="Taijijian 42 E",935,IF(Atletas!T20="Taijijian Yang F",936,IF(Atletas!T20="Taijijian Chen F",937,IF(Atletas!T20="Taijijian Sun F",938,IF(Atletas!T20="Taijijian Wu F",939,IF(Atletas!T20="Taijijian Wu-Hao F",940,IF(Atletas!T20="Taijijian 32 F",941,IF(Atletas!T20="Taijijian 42 F",942,"")))))))))))))))))))))))))))))))))))))))))))</f>
        <v/>
      </c>
      <c r="BW24" s="52" t="str">
        <f>IF(Atletas!U20="","",IF(Atletas!W20&lt;&gt;"",10000,0)+IF(Atletas!B20="Feminino",1000,IF(Atletas!B20="Masculino",2000,""))+IF(Atletas!T20="Taijijian 42 F",942,IF(Atletas!U20="Taijidao A",943,IF(Atletas!U20="Taijishan A",944,IF(Atletas!U20="Taijiqiang A",945,IF(Atletas!U20="Taijidao B",946,IF(Atletas!U20="Taijishan B",947,IF(Atletas!U20="Taijiqiang B",948,IF(Atletas!U20="Taijidao C",949,IF(Atletas!U20="Taijishan C",950,IF(Atletas!U20="Taijiqiang C",951,IF(Atletas!U20="Taijidao D",952,IF(Atletas!U20="Taijishan D",953,IF(Atletas!U20="Taijiqiang D",954,IF(Atletas!U20="Taijidao E",955,IF(Atletas!U20="Taijishan E",956,IF(Atletas!U20="Taijiqiang E",957,IF(Atletas!U20="Taijidao F",958,IF(Atletas!U20="Taijishan F",959,IF(Atletas!U20="Taijiqiang F",960))))))))))))))))))))</f>
        <v/>
      </c>
      <c r="BX24" s="64" t="str">
        <f>IF(BY24&lt;&gt;"","Wuzuquan D","")</f>
        <v/>
      </c>
      <c r="BY24" s="64" t="str">
        <f>IF(COUNTIF(BK:BW,1018)&gt;0,COUNTIF(BK:BW,1018),"")</f>
        <v/>
      </c>
      <c r="BZ24" s="64" t="str">
        <f>IF(CA24&lt;&gt;"","Wuzuquan D","")</f>
        <v/>
      </c>
      <c r="CA24" s="64" t="str">
        <f>IF(COUNTIF(BK:BW,2018)&gt;0,COUNTIF(BK:BW,2018),"")</f>
        <v/>
      </c>
      <c r="CB24" s="64" t="str">
        <f>IF(CC24&lt;&gt;"","Wuzuquan D","")</f>
        <v/>
      </c>
      <c r="CC24" s="64" t="str">
        <f>IF(COUNTIF(BK:BW,11018)&gt;0,COUNTIF(BK:BW,11018),"")</f>
        <v/>
      </c>
      <c r="CD24" s="64" t="str">
        <f>IF(CE24&lt;&gt;"","Wuzuquan D","")</f>
        <v/>
      </c>
      <c r="CE24" s="64" t="str">
        <f>IF(COUNTIF(BK:BW,12018)&gt;0,COUNTIF(BK:BW,12018),"")</f>
        <v/>
      </c>
      <c r="CF24" s="52" t="str">
        <f xml:space="preserve"> IF(Atletas!V20="","",IF(Atletas!V20="Duilian de Mãos AB - Equipe 1",1,IF(Atletas!V20="Duilian de Mãos AB - Equipe 2",2,IF(Atletas!V20="Duilian de Armas AB - Equipe 1",3,IF(Atletas!V20="Duilian de Armas AB - Equipe 2",4,IF(Atletas!V20="Duilian de Tuishou - Equipe 1",5,IF(Atletas!V20="Duilian de Tuishou - Equipe 2",6,IF(Atletas!V20="Grupo Externo AB - Equipe 1",7,IF(Atletas!V20="Grupo Externo AB - Equipe 2",8,IF(Atletas!V20="Grupo Interno AB - Equipe 1",9,IF(Atletas!V20="Grupo Interno AB - Equipe 2",10,IF(Atletas!V20="Duilian de Mãos CD - Equipe 1",11,IF(Atletas!V20="Duilian de Mãos CD - Equipe 2",12,IF(Atletas!V20="Duilian de Armas CD - Equipe 1",13,IF(Atletas!V20="Duilian de Armas CD - Equipe 2",14,IF(Atletas!V20="Duilian de Tuishou - Equipe 1",15,IF(Atletas!V20="Duilian de Tuishou - Equipe 2",16,IF(Atletas!V20="Grupo Externo CDEF - Equipe 1",17,IF(Atletas!V20="Grupo Externo CDEF - Equipe 2",18,IF(Atletas!V20="Grupo Interno CDEF - Equipe 1",19,IF(Atletas!V20="Grupo Interno CDEF - Equipe 2",20,IF(Atletas!V20="Duilian de Mãos EF - Equipe 1",21,IF(Atletas!V20="Duilian de Mãos EF - Equipe 2",22,IF(Atletas!V20="Duilian de Armas EF - Equipe 1",23,IF(Atletas!V20="Duilian de Armas EF - Equipe 2",24,IF(Atletas!V20="Duilian de Tuishou - Equipe 1",25,IF(Atletas!V20="Duilian de Tuishou - Equipe 2",26,"")))))))))))))))))))))))))))</f>
        <v/>
      </c>
      <c r="CR24" s="71"/>
    </row>
    <row r="25" spans="1:96">
      <c r="A25" s="25"/>
      <c r="B25" s="4" t="str">
        <f t="array" ref="B25">IFERROR(INDEX(AK$7:AK$36,SMALL(IF(AK$7:AK$36&lt;&gt;"",ROW(AK$7:AK$36)-ROW(AK$7)+1),ROWS(AK$7:AK24))),"")</f>
        <v/>
      </c>
      <c r="C25" s="4" t="str">
        <f t="array" ref="C25">IFERROR(INDEX(AL$7:AL$36,SMALL(IF(AL$7:AL$36&lt;&gt;"",ROW(AL$7:AL$36)-ROW(AL$7)+1),ROWS(AL$7:AL24))),"")</f>
        <v/>
      </c>
      <c r="D25" s="4" t="str">
        <f t="array" ref="D25">IFERROR(INDEX(AM$7:AM$36,SMALL(IF(AM$7:AM$36&lt;&gt;"",ROW(AM$7:AM$36)-ROW(AM$7)+1),ROWS(AM$7:AM24))),"")</f>
        <v/>
      </c>
      <c r="E25" s="4" t="str">
        <f t="array" ref="E25">IFERROR(INDEX(AN$7:AN$36,SMALL(IF(AN$7:AN$36&lt;&gt;"",ROW(AN$7:AN$36)-ROW(AN$7)+1),ROWS(AN$7:AN24))),"")</f>
        <v/>
      </c>
      <c r="F25" s="4" t="str">
        <f t="array" ref="F25">IFERROR(INDEX(AP$7:AP$36,SMALL(IF(AP$7:AP$36&lt;&gt;"",ROW(AP$7:AP$36)-ROW(AP$7)+1),ROWS(AP$7:AP24))),"")</f>
        <v/>
      </c>
      <c r="G25" s="4" t="str">
        <f t="array" ref="G25">IFERROR(INDEX(AQ$7:AQ$36,SMALL(IF(AQ$7:AQ$36&lt;&gt;"",ROW(AQ$7:AQ$36)-ROW(AQ$7)+1),ROWS(AQ$7:AQ24))),"")</f>
        <v/>
      </c>
      <c r="H25" s="4" t="str">
        <f t="array" ref="H25">IFERROR(INDEX(AR$7:AR$36,SMALL(IF(AR$7:AR$36&lt;&gt;"",ROW(AR$7:AR$36)-ROW(AR$7)+1),ROWS(AR$7:AR24))),"")</f>
        <v/>
      </c>
      <c r="I25" s="4" t="str">
        <f t="array" ref="I25">IFERROR(INDEX(AS$7:AS$36,SMALL(IF(AS$7:AS$36&lt;&gt;"",ROW(AS$7:AS$36)-ROW(AS$7)+1),ROWS(AS$7:AS24))),"")</f>
        <v/>
      </c>
      <c r="J25" s="4" t="str">
        <f t="array" ref="J25">IFERROR(INDEX(AU$7:AU$36,SMALL(IF(AU$7:AU$36&lt;&gt;"",ROW(AU$7:AU$36)-ROW(AU$7)+1),ROWS(AU$7:AU24))),"")</f>
        <v/>
      </c>
      <c r="K25" s="4" t="str">
        <f t="array" ref="K25">IFERROR(INDEX(AV$7:AV$36,SMALL(IF(AV$7:AV$36&lt;&gt;"",ROW(AV$7:AV$36)-ROW(AV$7)+1),ROWS(AV$7:AV24))),"")</f>
        <v/>
      </c>
      <c r="L25" s="4" t="str">
        <f t="array" ref="L25">IFERROR(INDEX(AW$7:AW$36,SMALL(IF(AW$7:AW$36&lt;&gt;"",ROW(AW$7:AW$36)-ROW(AW$7)+1),ROWS(AW$7:AW24))),"")</f>
        <v/>
      </c>
      <c r="M25" s="4" t="str">
        <f t="array" ref="M25">IFERROR(INDEX(AX$7:AX$36,SMALL(IF(AX$7:AX$36&lt;&gt;"",ROW(AX$7:AX$36)-ROW(AX$7)+1),ROWS(AX$7:AX24))),"")</f>
        <v/>
      </c>
      <c r="N25" s="4" t="str">
        <f t="array" ref="N25">IFERROR(INDEX(BB$7:BB$66,SMALL(IF(BB$7:BB$66&lt;&gt;"",ROW(BB$7:BB$66)-ROW(BB$7)+1),ROWS(BB$7:BB24))),"")</f>
        <v/>
      </c>
      <c r="O25" s="4" t="str">
        <f t="array" ref="O25">IFERROR(INDEX(BC$7:BC$66,SMALL(IF(BC$7:BC$66&lt;&gt;"",ROW(BC$7:BC$66)-ROW(BC$7)+1),ROWS(BC$7:BC24))),"")</f>
        <v/>
      </c>
      <c r="P25" s="4" t="str">
        <f t="array" ref="P25">IFERROR(INDEX(BD$7:BD$66,SMALL(IF(BD$7:BD$66&lt;&gt;"",ROW(BD$7:BD$66)-ROW(BD$7)+1),ROWS(BD$7:BD24))),"")</f>
        <v/>
      </c>
      <c r="Q25" s="4" t="str">
        <f t="array" ref="Q25">IFERROR(INDEX(BE$7:BE$66,SMALL(IF(BE$7:BE$66&lt;&gt;"",ROW(BE$7:BE$66)-ROW(BE$7)+1),ROWS(BE$7:BE24))),"")</f>
        <v/>
      </c>
      <c r="R25" s="4"/>
      <c r="S25" s="4"/>
      <c r="T25" s="4"/>
      <c r="U25" s="4"/>
      <c r="V25" s="4" t="str">
        <f t="array" ref="V25">IFERROR(INDEX(BX$7:BX$336,SMALL(IF(BX$7:BX$336&lt;&gt;"",ROW(BX$7:BX$336)-ROW(BX$7)+1),ROWS(BX$7:BX24))),"")</f>
        <v/>
      </c>
      <c r="W25" s="4" t="str">
        <f t="array" ref="W25">IFERROR(INDEX(BY$7:BY$336,SMALL(IF(BY$7:BY$336&lt;&gt;"",ROW(BY$7:BY$336)-ROW(BY$7)+1),ROWS(BY$7:BY24))),"")</f>
        <v/>
      </c>
      <c r="X25" s="4" t="str">
        <f t="array" ref="X25">IFERROR(INDEX(BZ$7:BZ$336,SMALL(IF(BZ$7:BZ$336&lt;&gt;"",ROW(BZ$7:BZ$336)-ROW(BZ$7)+1),ROWS(BZ$7:BZ24))),"")</f>
        <v/>
      </c>
      <c r="Y25" s="4" t="str">
        <f t="array" ref="Y25">IFERROR(INDEX(CA$7:CA$336,SMALL(IF(CA$7:CA$336&lt;&gt;"",ROW(CA$7:CA$336)-ROW(CA$7)+1),ROWS(CA$7:CA24))),"")</f>
        <v/>
      </c>
      <c r="Z25" s="4" t="str">
        <f t="array" ref="Z25">IFERROR(INDEX(CB$7:CB$378,SMALL(IF(CB$7:CB$378&lt;&gt;"",ROW(CB$7:CB$378)-ROW(CB$7)+1),ROWS(CB$7:CB24))),"")</f>
        <v/>
      </c>
      <c r="AA25" s="4" t="str">
        <f t="array" ref="AA25">IFERROR(INDEX(CC$7:CC$378,SMALL(IF(CC$7:CC$378&lt;&gt;"",ROW(CC$7:CC$378)-ROW(CC$7)+1),ROWS(CC$7:CC24))),"")</f>
        <v/>
      </c>
      <c r="AB25" s="4" t="str">
        <f t="array" ref="AB25">IFERROR(INDEX(CD$7:CD$378,SMALL(IF(CD$7:CD$378&lt;&gt;"",ROW(CD$7:CD$378)-ROW(CD$7)+1),ROWS(CD$7:CD24))),"")</f>
        <v/>
      </c>
      <c r="AC25" s="4" t="str">
        <f t="array" ref="AC25">IFERROR(INDEX(CE$7:CE$378,SMALL(IF(CE$7:CE$378&lt;&gt;"",ROW(CE$7:CE$378)-ROW(CE$7)+1),ROWS(CE$7:CE24))),"")</f>
        <v/>
      </c>
      <c r="AD25" s="69" t="str">
        <f t="array" ref="AD25">IFERROR(INDEX(CG$7:CG$18,SMALL(IF(CG$7:CG$18&lt;&gt;"",ROW(CG$7:CG$18)-ROW(CG$7)+1),ROWS(CG$7:CG24))),"")</f>
        <v/>
      </c>
      <c r="AE25" s="69" t="str">
        <f t="array" ref="AE25">IFERROR(INDEX(CH$7:CH$18,SMALL(IF(CH$7:CH$18&lt;&gt;"",ROW(CH$7:CH$18)-ROW(CH$7)+1),ROWS(CH$7:CH24))),"")</f>
        <v/>
      </c>
      <c r="AF25" s="69" t="str">
        <f t="array" ref="AF25">IFERROR(INDEX(CI$7:CI$8,SMALL(IF(CI$7:CI$8&lt;&gt;"",ROW(CI$7:CI$8)-ROW(CI$7)+1),ROWS(CI$7:CI24))),"")</f>
        <v/>
      </c>
      <c r="AG25" s="69"/>
      <c r="AH25" s="69" t="str">
        <f t="array" ref="AH25">IFERROR(INDEX(CK$7:CK$14,SMALL(IF(CK$7:CK$14&lt;&gt;"",ROW(CK$7:CK$14)-ROW(CK$7)+1),ROWS(CK$7:CK24))),"")</f>
        <v/>
      </c>
      <c r="AI25" s="69"/>
      <c r="AJ25" s="46" t="str">
        <f>IF(Atletas!D21="","",IF(Atletas!B21="Feminino",100,IF(Atletas!B21="Masculino",200,""))+(IF(Atletas!D21="Infantil 39kg",1,IF(Atletas!D21="Infantil 42kg",2,IF(Atletas!D21="Infantil 45kg",3,IF(Atletas!D21="Infantil 48kg",4,IF(Atletas!D21="Infantil 52kg",5,IF(Atletas!D21="Infantil 56kg",6,IF(Atletas!D21="Infantil 60kg",7,IF(Atletas!D21="Juvenil 48kg",8,IF(Atletas!D21="Juvenil 52kg",9,IF(Atletas!D21="Juvenil 56kg",10,IF(Atletas!D21="Juvenil 60kg",11,IF(Atletas!D21="Juvenil 65kg",12,IF(Atletas!D21="Juvenil 70kg",13,IF(Atletas!D21="Juvenil 75kg",14,IF(Atletas!D21="Juvenil 80kg",15,IF(Atletas!D21="Adulto 48kg",16,IF(Atletas!D21="Adulto 52kg",17,IF(Atletas!D21="Adulto 56kg",18,IF(Atletas!D21="Adulto 60kg",19,IF(Atletas!D21="Adulto 65kg",20,IF(Atletas!D21="Adulto 70kg",21,IF(Atletas!D21="Adulto 75kg",22,IF(Atletas!D21="Adulto 80kg",23,IF(Atletas!D21="Adulto 85kg",24,IF(Atletas!D21="Adulto 90kg",25,IF(Atletas!D21="Adulto +90kg",26,""))))))))))))))))))))))))))))</f>
        <v/>
      </c>
      <c r="AK25" s="52"/>
      <c r="AL25" s="52"/>
      <c r="AM25" s="52" t="str">
        <f>IF(AN25&lt;&gt;"","Adulto 60kg","")</f>
        <v/>
      </c>
      <c r="AN25" s="10" t="str">
        <f>IF(COUNTIF(AJ:AJ,219)&gt;0,COUNTIF(AJ:AJ,219),"")</f>
        <v/>
      </c>
      <c r="AO25" s="10" t="str">
        <f>IF(Atletas!E21="","",IF(Atletas!B21="Feminino",100,IF(Atletas!B21="Masculino",200,""))+(IF(Atletas!E21="Juvenil 44kg",1,IF(Atletas!E21="Juvenil 48kg",2,IF(Atletas!E21="Juvenil 52kg",3,IF(Atletas!E21="Juvenil 56kg",4,IF(Atletas!E21="Juvenil 60kg",5,IF(Atletas!E21="Juvenil 65kg",6,IF(Atletas!E21="Juvenil 70kg",7,IF(Atletas!E21="Juvenil 75kg",8,IF(Atletas!E21="Juvenil 82kg",9,IF(Atletas!E21="Juvenil 90kg",10,IF(Atletas!E21="Juvenil 100kg",11,IF(Atletas!E21="Adulto 48kg",12,IF(Atletas!E21="Adulto 52kg",13,IF(Atletas!E21="Adulto 56kg",14,IF(Atletas!E21="Adulto 60kg",15,IF(Atletas!E21="Adulto 65kg",16,IF(Atletas!E21="Adulto 70kg",17,IF(Atletas!E21="Adulto 75kg",18,IF(Atletas!E21="Adulto 82kg",19,IF(Atletas!E21="Adulto 90kg",20,IF(Atletas!E21="Adulto 100kg",21,IF(Atletas!E21="Adulto +100kg",22,""))))))))))))))))))))))))</f>
        <v/>
      </c>
      <c r="AR25" s="52" t="str">
        <f>IF(AS25&lt;&gt;"","Adulto 100kg","")</f>
        <v/>
      </c>
      <c r="AS25" s="10" t="str">
        <f>IF(COUNTIF(AO:AO,221)&gt;0,COUNTIF(AO:AO,221),"")</f>
        <v/>
      </c>
      <c r="AT25" s="10" t="str">
        <f>IF(Atletas!F21="","",IF(Atletas!B21="Feminino",100,IF(Atletas!B21="Masculino",200,""))+(IF(Atletas!F21="Adulto 48kg",1,IF(Atletas!F21="Adulto 56kg",2,IF(Atletas!F21="Adulto 65kg",3,IF(Atletas!F21="Adulto 75kg",4,IF(Atletas!F21="Adulto +75kg",5,IF(Atletas!F21="Adulto 52kg",6,IF(Atletas!F21="Adulto 60kg",7,IF(Atletas!F21="Adulto 70kg",8,IF(Atletas!F21="Adulto 80kg",9,IF(Atletas!F21="Adulto 90kg",10,IF(Atletas!F21="Adulto +90kg",11,"")))))))))))))</f>
        <v/>
      </c>
      <c r="AY25" s="46" t="str">
        <f>IF(Atletas!G21="","",IF(Atletas!B21="Feminino",100,IF(Atletas!B21="Masculino",200,""))+(IF(Atletas!G21="Changquan Mirim",1,IF(Atletas!G21="Nanquan Mirim",2,IF(Atletas!G21="Taijiquan Mirim",3,IF(Atletas!G21="Changquan Grupo C",4,IF(Atletas!G21="Nanquan Grupo C",5,IF(Atletas!G21="Taijiquan Grupo C",6,IF(Atletas!G21="Changquan Grupo B",7,IF(Atletas!G21="Nanquan Grupo B",8,IF(Atletas!G21="Taijiquan Grupo B",9,IF(Atletas!G21="Changquan Grupo A",10,IF(Atletas!G21="Nanquan Grupo A",11,IF(Atletas!G21="Taijiquan Grupo A",12,IF(Atletas!G21="Changquan Opcional",13,IF(Atletas!G21="Nanquan Opcional",14,IF(Atletas!G21="Taijiquan Opcional",15,IF(Atletas!G21="Changquan Adulto",16,IF(Atletas!G21="Nanquan Adulto",17,IF(Atletas!G21="Taijiquan Adulto",18,""))))))))))))))))))))</f>
        <v/>
      </c>
      <c r="AZ25" s="46" t="str">
        <f>IF(Atletas!H21="","",IF(Atletas!B21="Feminino",100,IF(Atletas!B21="Masculino",200,""))+(IF(Atletas!H21="Daoshu Mirim",19,IF(Atletas!H21="Jianshu Mirim",20,IF(Atletas!H21="Nandao Mirim",21,IF(Atletas!H21="Taijijian Mirim",22,IF(Atletas!H21="Daoshu Grupo C",23,IF(Atletas!H21="Jianshu Grupo C",24,IF(Atletas!H21="Nandao Grupo C",25,IF(Atletas!H21="Taijijian Grupo C",26,IF(Atletas!H21="Daoshu Grupo B",27,IF(Atletas!H21="Jianshu Grupo B",28,IF(Atletas!H21="Nandao Grupo B",29,IF(Atletas!H21="Taijijian Grupo B",30,IF(Atletas!H21="Daoshu Grupo A",31,IF(Atletas!H21="Jianshu Grupo A",32,IF(Atletas!H21="Nandao Grupo A",33,IF(Atletas!H21="Taijijian Grupo A",34,IF(Atletas!H21="Daoshu Opcional",35,IF(Atletas!H21="Jianshu Opcional",36,IF(Atletas!H21="Nandao Opcional",37,IF(Atletas!H21="Taijijian Opcional",38,IF(Atletas!H21="Daoshu Adulto",39,IF(Atletas!H21="Jianshu Adulto",40,IF(Atletas!H21="Nandao Adulto",41,IF(Atletas!H21="Taijijian Adulto",42,""))))))))))))))))))))))))))</f>
        <v/>
      </c>
      <c r="BA25" s="46" t="str">
        <f>IF(Atletas!I21="","",IF(Atletas!B21="Feminino",100,IF(Atletas!B21="Masculino",200,""))+(IF(Atletas!I21="Gunshu Mirim",43,IF(Atletas!I21="Qiangshu Mirim",44,IF(Atletas!I21="Nangun Mirim",45,IF(Atletas!I21="Gunshu Grupo C",46,IF(Atletas!I21="Qiangshu Grupo C",47,IF(Atletas!I21="Nangun Grupo C",48,IF(Atletas!I21="Gunshu Grupo B",49,IF(Atletas!I21="Qiangshu Grupo B",50,IF(Atletas!I21="Nangun Grupo B",51,IF(Atletas!I21="Gunshu Grupo A",52,IF(Atletas!I21="Qiangshu Grupo A",53,IF(Atletas!I21="Nangun Grupo A",54,IF(Atletas!I21="Gunshu Opcional",55,IF(Atletas!I21="Qiangshu Opcional",56,IF(Atletas!I21="Nangun Opcional",57,IF(Atletas!I21="Gunshu Adulto",58,IF(Atletas!I21="Qiangshu Adulto",59,IF(Atletas!I21="Nangun Adulto",60,""))))))))))))))))))))</f>
        <v/>
      </c>
      <c r="BB25" s="10" t="str">
        <f>IF(BC25&lt;&gt;"","Qiangshu Grupo C","")</f>
        <v/>
      </c>
      <c r="BC25" s="52" t="str">
        <f>IF(COUNTIF(AY:BA,147)&gt;0,COUNTIF(AY:BA,147),"")</f>
        <v/>
      </c>
      <c r="BD25" s="10" t="str">
        <f>IF(BE25&lt;&gt;"","Qiangshu Grupo C","")</f>
        <v/>
      </c>
      <c r="BE25" s="52" t="str">
        <f>IF(COUNTIF(AY:BA,247)&gt;0,COUNTIF(AY:BA,247),"")</f>
        <v/>
      </c>
      <c r="BF25" s="52" t="str">
        <f>IF(Atletas!J21="","",IF(Atletas!B21="Feminino",100,IF(Atletas!B21="Masculino",200,""))+(IF(Atletas!J21="Equipe 1 Grupo B",1,IF(Atletas!J21="Equipe 2 Grupo B",2,IF(Atletas!J21="Equipe 1 Grupo A",3,IF(Atletas!J21="Equipe 2 Grupo A",4,IF(Atletas!J21="Equipe 1 Adulto",5,IF(Atletas!J21="Equipe 2 Adulto",6,""))))))))</f>
        <v/>
      </c>
      <c r="BK25" s="52" t="str">
        <f>IF(Atletas!K21="","",IF(Atletas!W21&lt;&gt;"",10000,0)+(IF(Atletas!B21="Feminino",1000,IF(Atletas!B21="Masculino",2000,""))+IF(Atletas!K21="Choylayfut A",1,IF(Atletas!K21="Hunggar A",2,IF(Atletas!K21="Wuzuquan A",3,IF(Atletas!K21="Wingchun A",4,IF(Atletas!K21="Outra Mão de Sul A",5,IF(Atletas!K21="Choylayfut B",6,IF(Atletas!K21="Hunggar B",7,IF(Atletas!K21="Wuzuquan B",8,IF(Atletas!K21="Wingchun B",9,IF(Atletas!K21="Outra Mão de Sul B",10,IF(Atletas!K21="Choylayfut C",11,IF(Atletas!K21="Hunggar C",12,IF(Atletas!K21="Wuzuquan C",13,IF(Atletas!K21="Wingchun C",14,IF(Atletas!K21="Outra Mão de Sul C",15,IF(Atletas!K21="Choylayfut D",16,IF(Atletas!K21="Hunggar D",17,IF(Atletas!K21="Wuzuquan D",18,IF(Atletas!K21="Wingchun D",19,IF(Atletas!K21="Outra Mão de Sul D",20,IF(Atletas!K21="Choylayfut E",21,IF(Atletas!K21="Hunggar E",22,IF(Atletas!K21="Wuzuquan E",23,IF(Atletas!K21="Wingchun E",24,IF(Atletas!K21="Outra Mão de Sul E",25,IF(Atletas!K21="Choylayfut F",26,IF(Atletas!K21="Hunggar F",27,IF(Atletas!K21="Wuzuquan F",28,IF(Atletas!K21="Wingchun F",29,IF(Atletas!K21="Outra Mão de Sul F",30,""))))))))))))))))))))))))))))))))</f>
        <v/>
      </c>
      <c r="BL25" s="52" t="str">
        <f>IF(Atletas!L21="","",IF(Atletas!W21&lt;&gt;"",10000,0)+(IF(Atletas!B21="Feminino",1000,IF(Atletas!B21="Masculino",2000,""))+(IF(Atletas!L21="Chaquan A",101,IF(Atletas!L21="Emeiquan A",102,IF(Atletas!L21="Fanziquan A",103,IF(Atletas!L21="Huaquan A",104,IF(Atletas!L21="Hongquan A",105,IF(Atletas!L21="Paochui A",106,IF(Atletas!L21="Piguaquan A",107,IF(Atletas!L21="Shaolinquan A",108,IF(Atletas!L21="Tanglangquan A",109,IF(Atletas!L21="Yinzhaophai A",110,IF(Atletas!L21="Tongbeiquan A",111,IF(Atletas!L21="Wudangquan A",112,IF(Atletas!L21="Outros Estilos A",113,IF(Atletas!L21="Chaquan B",114,IF(Atletas!L21="Emeiquan B",115,IF(Atletas!L21="Fanziquan B",116,IF(Atletas!L21="Huaquan B",117,IF(Atletas!L21="Hongquan B",118,IF(Atletas!L21="Paochui B",119,IF(Atletas!L21="Piguaquan B",120,IF(Atletas!L21="Shaolinquan B",121,IF(Atletas!L21="Tanglangquan B",122,IF(Atletas!L21="Yinzhaophai B",123,IF(Atletas!L21="Tongbeiquan B",124,IF(Atletas!L21="Wudangquan B",125,IF(Atletas!L21="Outros Estilos B",126,IF(Atletas!L21="Chaquan C",127,IF(Atletas!L21="Emeiquan C",128,IF(Atletas!L21="Fanziquan C",129,IF(Atletas!L21="Huaquan C",130,IF(Atletas!L21="Hongquan C",131,IF(Atletas!L21="Paochui C",132,IF(Atletas!L21="Piguaquan C",133,IF(Atletas!L21="Shaolinquan C",134,IF(Atletas!L21="Tanglangquan C",135,IF(Atletas!L21="Yinzhaophai C",136,IF(Atletas!L21="Tongbeiquan C",137,IF(Atletas!L21="Wudangquan C",138,IF(Atletas!L21="Outros Estilos C",139,0))))))))))))))))))))))))))))))))))))))))))</f>
        <v/>
      </c>
      <c r="BM25" s="52" t="str">
        <f>IF(Atletas!L21="","",IF(Atletas!W21&lt;&gt;"",10000,0)+(IF(Atletas!B21="Feminino",1000,IF(Atletas!B21="Masculino",2000,""))+(IF(Atletas!L21="Chaquan D",140,IF(Atletas!L21="Emeiquan D",141,IF(Atletas!L21="Fanziquan D",142,IF(Atletas!L21="Huaquan D",143,IF(Atletas!L21="Hongquan D",144,IF(Atletas!L21="Paochui D",145,IF(Atletas!L21="Piguaquan D",146,IF(Atletas!L21="Shaolinquan D",147,IF(Atletas!L21="Tanglangquan D",148,IF(Atletas!L21="Yinzhaophai D",149,IF(Atletas!L21="Tongbeiquan D",150,IF(Atletas!L21="Wudangquan D",151,IF(Atletas!L21="Outros Estilos D",152,IF(Atletas!L21="Chaquan E",153,IF(Atletas!L21="Emeiquan E",154,IF(Atletas!L21="Fanziquan E",155,IF(Atletas!L21="Huaquan E",156,IF(Atletas!L21="Hongquan E",157,IF(Atletas!L21="Paochui E",158,IF(Atletas!L21="Piguaquan E",159,IF(Atletas!L21="Shaolinquan E",160,IF(Atletas!L21="Tanglangquan E",161,IF(Atletas!L21="Yinzhaophai E",162,IF(Atletas!L21="Tongbeiquan E",163,IF(Atletas!L21="Wudangquan E",164,IF(Atletas!L21="Outros Estilos E",165,IF(Atletas!L21="Chaquan F",166,IF(Atletas!L21="Emeiquan F",167,IF(Atletas!L21="Fanziquan F",168,IF(Atletas!L21="Huaquan F",169,IF(Atletas!L21="Hongquan F",170,IF(Atletas!L21="Paochui F",171,IF(Atletas!L21="Piguaquan F",172,IF(Atletas!L21="Shaolinquan F",173,IF(Atletas!L21="Tanglangquan F",174,IF(Atletas!L21="Yinzhaophai F",175,IF(Atletas!L21="Tongbeiquan F",176,IF(Atletas!L21="Wudangquan F",177,IF(Atletas!L21="Outros Estilos F",178,0))))))))))))))))))))))))))))))))))))))))))</f>
        <v/>
      </c>
      <c r="BN25" s="52" t="str">
        <f>IF(Atletas!M21="","",IF(Atletas!W21&lt;&gt;"",10000,0)+(IF(Atletas!B21="Feminino",1000,IF(Atletas!B21="Masculino",2000,""))+(IF(Atletas!M21="Ditangquan A",201,IF(Atletas!M21="Houquan A",202,IF(Atletas!M21="Zuiquan A",203,IF(Atletas!M21="Ditangquan B",204,IF(Atletas!M21="Houquan B",205,IF(Atletas!M21="Zuiquan B",206,IF(Atletas!M21="Ditangquan C",207,IF(Atletas!M21="Houquan C",208,IF(Atletas!M21="Zuiquan C",209,IF(Atletas!M21="Ditangquan D",210,IF(Atletas!M21="Houquan D",211,IF(Atletas!M21="Zuiquan D",212,IF(Atletas!M21="Ditangquan E",213,IF(Atletas!M21="Houquan E",214,IF(Atletas!M21="Zuiquan E",215,IF(Atletas!M21="Ditangquan F",216,IF(Atletas!M21="Houquan F",217,IF(Atletas!M21="Zuiquan F",218,"")))))))))))))))))))))</f>
        <v/>
      </c>
      <c r="BO25" s="52" t="str">
        <f>IF(Atletas!N21="","",IF(Atletas!W21&lt;&gt;"",10000,0)+IF(Atletas!B21="Feminino",1000,IF(Atletas!B21="Masculino",2000,""))+IF(Atletas!N21="Yang A",301,IF(Atletas!N21="Chen A",30,IF(Atletas!N21="Sun A",303,IF(Atletas!N21="Wu A",304,IF(Atletas!N21="Wu-Hao A",305,IF(Atletas!N21="Outro Taijiquan A",306,IF(Atletas!N21="Yang B",307,IF(Atletas!N21="Chen B",308,IF(Atletas!N21="Sun B",309,IF(Atletas!N21="Wu B",310,IF(Atletas!N21="Wu-Hao B",311,IF(Atletas!N21="Outro Taijiquan B",312,IF(Atletas!N21="Yang C",313,IF(Atletas!N21="Chen C",314,IF(Atletas!N21="Sun C",315,IF(Atletas!N21="Wu C",316,IF(Atletas!N21="Wu-Hao C",317,IF(Atletas!N21="Outro Taijiquan C",318,IF(Atletas!N21="Yang D",319,IF(Atletas!N21="Chen D",320,IF(Atletas!N21="Sun D",321,IF(Atletas!N21="Wu D",322,IF(Atletas!N21="Wu-Hao D",323,IF(Atletas!N21="Outro Taijiquan D",324,IF(Atletas!N21="Yang E",325,IF(Atletas!N21="Chen E",326,IF(Atletas!N21="Sun E",327,IF(Atletas!N21="Wu E",328,IF(Atletas!N21="Wu-Hao E",329,IF(Atletas!N21="Outro Taijiquan E",330,IF(Atletas!N21="Yang F",331,IF(Atletas!N21="Chen F",332,IF(Atletas!N21="Sun F",333,IF(Atletas!N21="Wu F",334,IF(Atletas!N21="Wu-Hao F",335,IF(Atletas!N21="Outro Taijiquan F",336,"")))))))))))))))))))))))))))))))))))))</f>
        <v/>
      </c>
      <c r="BP25" s="52" t="str">
        <f>IF(Atletas!O21="","",IF(Atletas!W21&lt;&gt;"",10000,0)+IF(Atletas!B21="Feminino",1000,IF(Atletas!B21="Masculino",2000,""))+IF(OR(Atletas!O21="Yang 26 A",Atletas!O21="Yang 40 A"),401,IF(OR(Atletas!O21="Chen 25 A",Atletas!O21="Chen 36 A",Atletas!O21="Chen 56 A"),402,IF(Atletas!O21="Sun 73 A",403,IF(Atletas!O21="Wu 45 A",404,IF(Atletas!O21="Wu-Hao 46 A",405,IF(OR(Atletas!O21="Taijiquan 16 A",Atletas!O21="Taijiquan 24 A",Atletas!O21="Taijiquan 32 A",Atletas!O21="Taijiquan 42 A"),406,IF(OR(Atletas!O21="Yang 26 B",Atletas!O21="Yang 40 B"),407,IF(OR(Atletas!O21="Chen 25 B",Atletas!O21="Chen 36 B",Atletas!O21="Chen 56 B"),408,IF(Atletas!O21="Sun 73 B",409,IF(Atletas!O21="Wu 45 B",410,IF(Atletas!O21="Wu-Hao 46 B",411,IF(OR(Atletas!O21="Taijiquan 16 B",Atletas!O21="Taijiquan 24 B",Atletas!O21="Taijiquan 32 B",Atletas!O21="Taijiquan 42 B"),412,IF(OR(Atletas!O21="Yang 26 C",Atletas!O21="Yang 40 C"),413,IF(OR(Atletas!O21="Chen 25 C",Atletas!O21="Chen 36 C",Atletas!O21="Chen 56 C"),414,IF(Atletas!O21="Sun 73 C",415,IF(Atletas!O21="Wu 45 C",416,IF(Atletas!O21="Wu-Hao 46 C",417,IF(OR(Atletas!O21="Taijiquan 16 C",Atletas!O21="Taijiquan 24 C",Atletas!O21="Taijiquan 32 C",Atletas!O21="Taijiquan 42 C"),418,0)))))))))))))))))))</f>
        <v/>
      </c>
      <c r="BQ25" s="52" t="str">
        <f>IF(Atletas!O21="","",IF(Atletas!W21&lt;&gt;"",10000,0)+IF(Atletas!B21="Feminino",1000,IF(Atletas!B21="Masculino",2000,""))+IF(OR(Atletas!O21="Yang 26 D",Atletas!O21="Yang 40 D"),419,IF(OR(Atletas!O21="Chen 25 D",Atletas!O21="Chen 36 D",Atletas!O21="Chen 56 D"),420,IF(Atletas!O21="Sun 73 D",421,IF(Atletas!O21="Wu 45 D",422,IF(Atletas!O21="Wu-Hao 46 D",423,IF(OR(Atletas!O21="Taijiquan 16 D",Atletas!O21="Taijiquan 24 D",Atletas!O21="Taijiquan 32 D",Atletas!O21="Taijiquan 42 D"),424,IF(OR(Atletas!O21="Yang 26 E",Atletas!O21="Yang 40 E"),425,IF(OR(Atletas!O21="Chen 25 E",Atletas!O21="Chen 36 E",Atletas!O21="Chen 56 E"),426,IF(Atletas!O21="Sun 73 E",427,IF(Atletas!O21="Wu 45 E",428,IF(Atletas!O21="Wu-Hao 46 E",429,IF(OR(Atletas!O21="Taijiquan 16 E",Atletas!O21="Taijiquan 24 E",Atletas!O21="Taijiquan 32 E",Atletas!O21="Taijiquan 42 E"),430,IF(OR(Atletas!O21="Yang 26 F",Atletas!O21="Yang 40 F"),431,IF(OR(Atletas!O21="Chen 25 F",Atletas!O21="Chen 36 F",Atletas!O21="Chen 56 F"),432,IF(Atletas!O21="Sun 73 F",433,IF(Atletas!O21="Wu 45 F",434,IF(Atletas!O21="Wu-Hao 46 F",435,IF(OR(Atletas!O21="Taijiquan 16 F",Atletas!O21="Taijiquan 24 F",Atletas!O21="Taijiquan 32 F",Atletas!O21="Taijiquan 42 F"),436,0)))))))))))))))))))</f>
        <v/>
      </c>
      <c r="BR25" s="52" t="str">
        <f>IF(Atletas!P21="","",IF(Atletas!W21&lt;&gt;"",10000,0)+IF(Atletas!B21="Feminino",1000,IF(Atletas!B21="Masculino",2000,""))+IF(Atletas!P21="Xingyiquan A",501,IF(Atletas!P21="Baguazhang A",502,IF(Atletas!P21="Outro Estilo Interno A",503,IF(Atletas!P21="Xingyiquan B",504,IF(Atletas!P21="Baguazhang B",505,IF(Atletas!P21="Outro Estilo Interno B",506,IF(Atletas!P21="Xingyiquan C",507,IF(Atletas!P21="Baguazhang C",508,IF(Atletas!P21="Outro Estilo Interno C",509,IF(Atletas!P21="Xingyiquan D",510,IF(Atletas!P21="Baguazhang D",511,IF(Atletas!P21="Outro Estilo Interno D",512,IF(Atletas!P21="Xingyiquan E",513,IF(Atletas!P21="Baguazhang E",514,IF(Atletas!P21="Outro Estilo Interno E",515,IF(Atletas!P21="Xingyiquan F",516,IF(Atletas!P21="Baguazhang F",517,IF(Atletas!P21="Outro Estilo Interno F",518, "")))))))))))))))))))</f>
        <v/>
      </c>
      <c r="BS25" s="52" t="str">
        <f>IF(Atletas!Q21="","",IF(Atletas!W21&lt;&gt;"",10000,0)+IF(Atletas!B21="Feminino",1000,IF(Atletas!B21="Masculino",2000,""))+IF(Atletas!Q21="Dao A",601,IF(Atletas!Q21="Jian A",602,IF(Atletas!Q21="Bishou A",603,IF(Atletas!Q21="Shan A",604,IF(Atletas!Q21="Outra Arma Curta A",605,IF(Atletas!Q21="Dao B",606,IF(Atletas!Q21="Jian B",607,IF(Atletas!Q21="Bishou B",608,IF(Atletas!Q21="Shan B",609,IF(Atletas!Q21="Outra Arma Curta B",610,IF(Atletas!Q21="Dao C",611,IF(Atletas!Q21="Jian C",612,IF(Atletas!Q21="Bishou C",613,IF(Atletas!Q21="Shan C",614,IF(Atletas!Q21="Outra Arma Curta C",615,IF(Atletas!Q21="Dao D",616,IF(Atletas!Q21="Jian D",617,IF(Atletas!Q21="Bishou D",618,IF(Atletas!Q21="Shan D",619,IF(Atletas!Q21="Outra Arma Curta D",620,IF(Atletas!Q21="Dao E",621,IF(Atletas!Q21="Jian E",622,IF(Atletas!Q21="Bishou E",623,IF(Atletas!Q21="Shan E",624,IF(Atletas!Q21="Outra Arma Curta E",625,IF(Atletas!Q21="Dao F",626,IF(Atletas!Q21="Jian F",627,IF(Atletas!Q21="Bishou F",628,IF(Atletas!Q21="Shan F",629,IF(Atletas!Q21="Outra Arma Curta F",630, "")))))))))))))))))))))))))))))))</f>
        <v/>
      </c>
      <c r="BT25" s="52" t="str">
        <f>IF(Atletas!R21="","",IF(Atletas!W21&lt;&gt;"",10000,0)+IF(Atletas!B21="Feminino",1000,IF(Atletas!B21="Masculino",2000,""))+IF(Atletas!R21="Gun A",701,IF(Atletas!R21="Qiang A",702,IF(Atletas!R21="Pudao / Guandao A",703,IF(Atletas!R21="Outra Arma Longa A",704,IF(Atletas!R21="Gun B",705,IF(Atletas!R21="Qiang B",706,IF(Atletas!R21="Pudao / Guandao B",707,IF(Atletas!R21="Outra Arma Longa B",708,IF(Atletas!R21="Gun C",709,IF(Atletas!R21="Qiang C",710,IF(Atletas!R21="Pudao / Guandao C",711,IF(Atletas!R21="Outra Arma Longa C",712,IF(Atletas!R21="Gun D",713,IF(Atletas!R21="Qiang D",714,IF(Atletas!R21="Pudao / Guandao D",715,IF(Atletas!R21="Outra Arma Longa D",716,IF(Atletas!R21="Gun E",717,IF(Atletas!R21="Qiang E",718,IF(Atletas!R21="Pudao / Guandao E",719,IF(Atletas!R21="Outra Arma Longa E",720,IF(Atletas!R21="Gun F",721,IF(Atletas!R21="Qiang F",722,IF(Atletas!R21="Pudao / Guandao F",723,IF(Atletas!R21="Outra Arma Longa F",724,"")))))))))))))))))))))))))</f>
        <v/>
      </c>
      <c r="BU25" s="52" t="str">
        <f>IF(Atletas!S21="","",IF(Atletas!W21&lt;&gt;"",10000,0)+IF(Atletas!B21="Feminino",1000,IF(Atletas!B21="Masculino",2000,""))+IF(Atletas!S21="Arma Dupla A",801,IF(Atletas!S21="Arma Maleável A",802,IF(Atletas!S21="Arma Dupla B",803,IF(Atletas!S21="Arma Maleável B",804,IF(Atletas!S21="Arma Dupla C",805,IF(Atletas!S21="Arma Maleável C",806,IF(Atletas!S21="Arma Dupla D",807,IF(Atletas!S21="Arma Maleável D",808,IF(Atletas!S21="Arma Dupla E",809,IF(Atletas!S21="Arma Maleável E",810,IF(Atletas!S21="Arma Dupla F",811,IF(Atletas!S21="Arma Maleável F",812, "")))))))))))))</f>
        <v/>
      </c>
      <c r="BV25" s="52" t="str">
        <f>IF(Atletas!T21="","",IF(Atletas!W21&lt;&gt;"",10000,0)+IF(Atletas!B21="Feminino",1000,IF(Atletas!B21="Masculino",2000,""))+IF(Atletas!T21="Taijijian Yang A",901,IF(Atletas!T21="Taijijian Chen A",902,IF(Atletas!T21="Taijijian Sun A",903,IF(Atletas!T21="Taijijian Wu A",904,IF(Atletas!T21="Taijijian Wu-Hao A",905,IF(Atletas!T21="Taijijian 32 A",906,IF(Atletas!T21="Taijijian 42 A",907,IF(Atletas!T21="Taijijian Yang B",908,IF(Atletas!T21="Taijijian Chen B",909,IF(Atletas!T21="Taijijian Sun B",910,IF(Atletas!T21="Taijijian Wu B",911,IF(Atletas!T21="Taijijian Wu-Hao B",912,IF(Atletas!T21="Taijijian 32 B",913,IF(Atletas!T21="Taijijian 42 B",914,IF(Atletas!T21="Taijijian Yang C",915,IF(Atletas!T21="Taijijian Chen C",916,IF(Atletas!T21="Taijijian Sun C",917,IF(Atletas!T21="Taijijian Wu C",918,IF(Atletas!T21="Taijijian Wu-Hao C",919,IF(Atletas!T21="Taijijian 32 C",920,IF(Atletas!T21="Taijijian 42 C",921,IF(Atletas!T21="Taijijian Yang D",922,IF(Atletas!T21="Taijijian Chen D",923,IF(Atletas!T21="Taijijian Sun D",924,IF(Atletas!T21="Taijijian Wu D",925,IF(Atletas!T21="Taijijian Wu-Hao D",926,IF(Atletas!T21="Taijijian 32 D",927,IF(Atletas!T21="Taijijian 42 D",928,IF(Atletas!T21="Taijijian Yang E",929,IF(Atletas!T21="Taijijian Chen E",930,IF(Atletas!T21="Taijijian Sun E",931,IF(Atletas!T21="Taijijian Wu E",932,IF(Atletas!T21="Taijijian Wu-Hao E",933,IF(Atletas!T21="Taijijian 32 E",934,IF(Atletas!T21="Taijijian 42 E",935,IF(Atletas!T21="Taijijian Yang F",936,IF(Atletas!T21="Taijijian Chen F",937,IF(Atletas!T21="Taijijian Sun F",938,IF(Atletas!T21="Taijijian Wu F",939,IF(Atletas!T21="Taijijian Wu-Hao F",940,IF(Atletas!T21="Taijijian 32 F",941,IF(Atletas!T21="Taijijian 42 F",942,"")))))))))))))))))))))))))))))))))))))))))))</f>
        <v/>
      </c>
      <c r="BW25" s="52" t="str">
        <f>IF(Atletas!U21="","",IF(Atletas!W21&lt;&gt;"",10000,0)+IF(Atletas!B21="Feminino",1000,IF(Atletas!B21="Masculino",2000,""))+IF(Atletas!T21="Taijijian 42 F",942,IF(Atletas!U21="Taijidao A",943,IF(Atletas!U21="Taijishan A",944,IF(Atletas!U21="Taijiqiang A",945,IF(Atletas!U21="Taijidao B",946,IF(Atletas!U21="Taijishan B",947,IF(Atletas!U21="Taijiqiang B",948,IF(Atletas!U21="Taijidao C",949,IF(Atletas!U21="Taijishan C",950,IF(Atletas!U21="Taijiqiang C",951,IF(Atletas!U21="Taijidao D",952,IF(Atletas!U21="Taijishan D",953,IF(Atletas!U21="Taijiqiang D",954,IF(Atletas!U21="Taijidao E",955,IF(Atletas!U21="Taijishan E",956,IF(Atletas!U21="Taijiqiang E",957,IF(Atletas!U21="Taijidao F",958,IF(Atletas!U21="Taijishan F",959,IF(Atletas!U21="Taijiqiang F",960))))))))))))))))))))</f>
        <v/>
      </c>
      <c r="BX25" s="64" t="str">
        <f>IF(BY25&lt;&gt;"","Wingchun D","")</f>
        <v/>
      </c>
      <c r="BY25" s="64" t="str">
        <f>IF(COUNTIF(BK:BW,1019)&gt;0,COUNTIF(BK:BW,1019),"")</f>
        <v/>
      </c>
      <c r="BZ25" s="64" t="str">
        <f>IF(CA25&lt;&gt;"","Wingchun D","")</f>
        <v/>
      </c>
      <c r="CA25" s="64" t="str">
        <f>IF(COUNTIF(BK:BW,2019)&gt;0,COUNTIF(BK:BW,2019),"")</f>
        <v/>
      </c>
      <c r="CB25" s="64" t="str">
        <f>IF(CC25&lt;&gt;"","Wingchun D","")</f>
        <v/>
      </c>
      <c r="CC25" s="64" t="str">
        <f>IF(COUNTIF(BK:BW,11019)&gt;0,COUNTIF(BK:BW,11019),"")</f>
        <v/>
      </c>
      <c r="CD25" s="64" t="str">
        <f>IF(CE25&lt;&gt;"","Wingchun D","")</f>
        <v/>
      </c>
      <c r="CE25" s="64" t="str">
        <f>IF(COUNTIF(BK:BW,12019)&gt;0,COUNTIF(BK:BW,12019),"")</f>
        <v/>
      </c>
      <c r="CF25" s="52" t="str">
        <f xml:space="preserve"> IF(Atletas!V21="","",IF(Atletas!V21="Duilian de Mãos AB - Equipe 1",1,IF(Atletas!V21="Duilian de Mãos AB - Equipe 2",2,IF(Atletas!V21="Duilian de Armas AB - Equipe 1",3,IF(Atletas!V21="Duilian de Armas AB - Equipe 2",4,IF(Atletas!V21="Duilian de Tuishou - Equipe 1",5,IF(Atletas!V21="Duilian de Tuishou - Equipe 2",6,IF(Atletas!V21="Grupo Externo AB - Equipe 1",7,IF(Atletas!V21="Grupo Externo AB - Equipe 2",8,IF(Atletas!V21="Grupo Interno AB - Equipe 1",9,IF(Atletas!V21="Grupo Interno AB - Equipe 2",10,IF(Atletas!V21="Duilian de Mãos CD - Equipe 1",11,IF(Atletas!V21="Duilian de Mãos CD - Equipe 2",12,IF(Atletas!V21="Duilian de Armas CD - Equipe 1",13,IF(Atletas!V21="Duilian de Armas CD - Equipe 2",14,IF(Atletas!V21="Duilian de Tuishou - Equipe 1",15,IF(Atletas!V21="Duilian de Tuishou - Equipe 2",16,IF(Atletas!V21="Grupo Externo CDEF - Equipe 1",17,IF(Atletas!V21="Grupo Externo CDEF - Equipe 2",18,IF(Atletas!V21="Grupo Interno CDEF - Equipe 1",19,IF(Atletas!V21="Grupo Interno CDEF - Equipe 2",20,IF(Atletas!V21="Duilian de Mãos EF - Equipe 1",21,IF(Atletas!V21="Duilian de Mãos EF - Equipe 2",22,IF(Atletas!V21="Duilian de Armas EF - Equipe 1",23,IF(Atletas!V21="Duilian de Armas EF - Equipe 2",24,IF(Atletas!V21="Duilian de Tuishou - Equipe 1",25,IF(Atletas!V21="Duilian de Tuishou - Equipe 2",26,"")))))))))))))))))))))))))))</f>
        <v/>
      </c>
      <c r="CR25" s="71"/>
    </row>
    <row r="26" spans="1:96">
      <c r="A26" s="25"/>
      <c r="B26" s="4" t="str">
        <f t="array" ref="B26">IFERROR(INDEX(AK$7:AK$36,SMALL(IF(AK$7:AK$36&lt;&gt;"",ROW(AK$7:AK$36)-ROW(AK$7)+1),ROWS(AK$7:AK25))),"")</f>
        <v/>
      </c>
      <c r="C26" s="4" t="str">
        <f t="array" ref="C26">IFERROR(INDEX(AL$7:AL$36,SMALL(IF(AL$7:AL$36&lt;&gt;"",ROW(AL$7:AL$36)-ROW(AL$7)+1),ROWS(AL$7:AL25))),"")</f>
        <v/>
      </c>
      <c r="D26" s="4" t="str">
        <f t="array" ref="D26">IFERROR(INDEX(AM$7:AM$36,SMALL(IF(AM$7:AM$36&lt;&gt;"",ROW(AM$7:AM$36)-ROW(AM$7)+1),ROWS(AM$7:AM25))),"")</f>
        <v/>
      </c>
      <c r="E26" s="4" t="str">
        <f t="array" ref="E26">IFERROR(INDEX(AN$7:AN$36,SMALL(IF(AN$7:AN$36&lt;&gt;"",ROW(AN$7:AN$36)-ROW(AN$7)+1),ROWS(AN$7:AN25))),"")</f>
        <v/>
      </c>
      <c r="F26" s="4" t="str">
        <f t="array" ref="F26">IFERROR(INDEX(AP$7:AP$36,SMALL(IF(AP$7:AP$36&lt;&gt;"",ROW(AP$7:AP$36)-ROW(AP$7)+1),ROWS(AP$7:AP25))),"")</f>
        <v/>
      </c>
      <c r="G26" s="4" t="str">
        <f t="array" ref="G26">IFERROR(INDEX(AQ$7:AQ$36,SMALL(IF(AQ$7:AQ$36&lt;&gt;"",ROW(AQ$7:AQ$36)-ROW(AQ$7)+1),ROWS(AQ$7:AQ25))),"")</f>
        <v/>
      </c>
      <c r="H26" s="4" t="str">
        <f t="array" ref="H26">IFERROR(INDEX(AR$7:AR$36,SMALL(IF(AR$7:AR$36&lt;&gt;"",ROW(AR$7:AR$36)-ROW(AR$7)+1),ROWS(AR$7:AR25))),"")</f>
        <v/>
      </c>
      <c r="I26" s="4" t="str">
        <f t="array" ref="I26">IFERROR(INDEX(AS$7:AS$36,SMALL(IF(AS$7:AS$36&lt;&gt;"",ROW(AS$7:AS$36)-ROW(AS$7)+1),ROWS(AS$7:AS25))),"")</f>
        <v/>
      </c>
      <c r="J26" s="4" t="str">
        <f t="array" ref="J26">IFERROR(INDEX(AU$7:AU$36,SMALL(IF(AU$7:AU$36&lt;&gt;"",ROW(AU$7:AU$36)-ROW(AU$7)+1),ROWS(AU$7:AU25))),"")</f>
        <v/>
      </c>
      <c r="K26" s="4" t="str">
        <f t="array" ref="K26">IFERROR(INDEX(AV$7:AV$36,SMALL(IF(AV$7:AV$36&lt;&gt;"",ROW(AV$7:AV$36)-ROW(AV$7)+1),ROWS(AV$7:AV25))),"")</f>
        <v/>
      </c>
      <c r="L26" s="4" t="str">
        <f t="array" ref="L26">IFERROR(INDEX(AW$7:AW$36,SMALL(IF(AW$7:AW$36&lt;&gt;"",ROW(AW$7:AW$36)-ROW(AW$7)+1),ROWS(AW$7:AW25))),"")</f>
        <v/>
      </c>
      <c r="M26" s="4" t="str">
        <f t="array" ref="M26">IFERROR(INDEX(AX$7:AX$36,SMALL(IF(AX$7:AX$36&lt;&gt;"",ROW(AX$7:AX$36)-ROW(AX$7)+1),ROWS(AX$7:AX25))),"")</f>
        <v/>
      </c>
      <c r="N26" s="4" t="str">
        <f t="array" ref="N26">IFERROR(INDEX(BB$7:BB$66,SMALL(IF(BB$7:BB$66&lt;&gt;"",ROW(BB$7:BB$66)-ROW(BB$7)+1),ROWS(BB$7:BB25))),"")</f>
        <v/>
      </c>
      <c r="O26" s="4" t="str">
        <f t="array" ref="O26">IFERROR(INDEX(BC$7:BC$66,SMALL(IF(BC$7:BC$66&lt;&gt;"",ROW(BC$7:BC$66)-ROW(BC$7)+1),ROWS(BC$7:BC25))),"")</f>
        <v/>
      </c>
      <c r="P26" s="4" t="str">
        <f t="array" ref="P26">IFERROR(INDEX(BD$7:BD$66,SMALL(IF(BD$7:BD$66&lt;&gt;"",ROW(BD$7:BD$66)-ROW(BD$7)+1),ROWS(BD$7:BD25))),"")</f>
        <v/>
      </c>
      <c r="Q26" s="4" t="str">
        <f t="array" ref="Q26">IFERROR(INDEX(BE$7:BE$66,SMALL(IF(BE$7:BE$66&lt;&gt;"",ROW(BE$7:BE$66)-ROW(BE$7)+1),ROWS(BE$7:BE25))),"")</f>
        <v/>
      </c>
      <c r="R26" s="4"/>
      <c r="S26" s="4"/>
      <c r="T26" s="4"/>
      <c r="U26" s="4"/>
      <c r="V26" s="4" t="str">
        <f t="array" ref="V26">IFERROR(INDEX(BX$7:BX$336,SMALL(IF(BX$7:BX$336&lt;&gt;"",ROW(BX$7:BX$336)-ROW(BX$7)+1),ROWS(BX$7:BX25))),"")</f>
        <v/>
      </c>
      <c r="W26" s="4" t="str">
        <f t="array" ref="W26">IFERROR(INDEX(BY$7:BY$336,SMALL(IF(BY$7:BY$336&lt;&gt;"",ROW(BY$7:BY$336)-ROW(BY$7)+1),ROWS(BY$7:BY25))),"")</f>
        <v/>
      </c>
      <c r="X26" s="4" t="str">
        <f t="array" ref="X26">IFERROR(INDEX(BZ$7:BZ$336,SMALL(IF(BZ$7:BZ$336&lt;&gt;"",ROW(BZ$7:BZ$336)-ROW(BZ$7)+1),ROWS(BZ$7:BZ25))),"")</f>
        <v/>
      </c>
      <c r="Y26" s="4" t="str">
        <f t="array" ref="Y26">IFERROR(INDEX(CA$7:CA$336,SMALL(IF(CA$7:CA$336&lt;&gt;"",ROW(CA$7:CA$336)-ROW(CA$7)+1),ROWS(CA$7:CA25))),"")</f>
        <v/>
      </c>
      <c r="Z26" s="4" t="str">
        <f t="array" ref="Z26">IFERROR(INDEX(CB$7:CB$378,SMALL(IF(CB$7:CB$378&lt;&gt;"",ROW(CB$7:CB$378)-ROW(CB$7)+1),ROWS(CB$7:CB25))),"")</f>
        <v/>
      </c>
      <c r="AA26" s="4" t="str">
        <f t="array" ref="AA26">IFERROR(INDEX(CC$7:CC$378,SMALL(IF(CC$7:CC$378&lt;&gt;"",ROW(CC$7:CC$378)-ROW(CC$7)+1),ROWS(CC$7:CC25))),"")</f>
        <v/>
      </c>
      <c r="AB26" s="4" t="str">
        <f t="array" ref="AB26">IFERROR(INDEX(CD$7:CD$378,SMALL(IF(CD$7:CD$378&lt;&gt;"",ROW(CD$7:CD$378)-ROW(CD$7)+1),ROWS(CD$7:CD25))),"")</f>
        <v/>
      </c>
      <c r="AC26" s="4" t="str">
        <f t="array" ref="AC26">IFERROR(INDEX(CE$7:CE$378,SMALL(IF(CE$7:CE$378&lt;&gt;"",ROW(CE$7:CE$378)-ROW(CE$7)+1),ROWS(CE$7:CE25))),"")</f>
        <v/>
      </c>
      <c r="AD26" s="69" t="str">
        <f t="array" ref="AD26">IFERROR(INDEX(CG$7:CG$18,SMALL(IF(CG$7:CG$18&lt;&gt;"",ROW(CG$7:CG$18)-ROW(CG$7)+1),ROWS(CG$7:CG25))),"")</f>
        <v/>
      </c>
      <c r="AE26" s="69" t="str">
        <f t="array" ref="AE26">IFERROR(INDEX(CH$7:CH$18,SMALL(IF(CH$7:CH$18&lt;&gt;"",ROW(CH$7:CH$18)-ROW(CH$7)+1),ROWS(CH$7:CH25))),"")</f>
        <v/>
      </c>
      <c r="AF26" s="69" t="str">
        <f t="array" ref="AF26">IFERROR(INDEX(CI$7:CI$8,SMALL(IF(CI$7:CI$8&lt;&gt;"",ROW(CI$7:CI$8)-ROW(CI$7)+1),ROWS(CI$7:CI25))),"")</f>
        <v/>
      </c>
      <c r="AG26" s="69"/>
      <c r="AH26" s="69" t="str">
        <f t="array" ref="AH26">IFERROR(INDEX(CK$7:CK$14,SMALL(IF(CK$7:CK$14&lt;&gt;"",ROW(CK$7:CK$14)-ROW(CK$7)+1),ROWS(CK$7:CK25))),"")</f>
        <v/>
      </c>
      <c r="AI26" s="69"/>
      <c r="AJ26" s="46" t="str">
        <f>IF(Atletas!D22="","",IF(Atletas!B22="Feminino",100,IF(Atletas!B22="Masculino",200,""))+(IF(Atletas!D22="Infantil 39kg",1,IF(Atletas!D22="Infantil 42kg",2,IF(Atletas!D22="Infantil 45kg",3,IF(Atletas!D22="Infantil 48kg",4,IF(Atletas!D22="Infantil 52kg",5,IF(Atletas!D22="Infantil 56kg",6,IF(Atletas!D22="Infantil 60kg",7,IF(Atletas!D22="Juvenil 48kg",8,IF(Atletas!D22="Juvenil 52kg",9,IF(Atletas!D22="Juvenil 56kg",10,IF(Atletas!D22="Juvenil 60kg",11,IF(Atletas!D22="Juvenil 65kg",12,IF(Atletas!D22="Juvenil 70kg",13,IF(Atletas!D22="Juvenil 75kg",14,IF(Atletas!D22="Juvenil 80kg",15,IF(Atletas!D22="Adulto 48kg",16,IF(Atletas!D22="Adulto 52kg",17,IF(Atletas!D22="Adulto 56kg",18,IF(Atletas!D22="Adulto 60kg",19,IF(Atletas!D22="Adulto 65kg",20,IF(Atletas!D22="Adulto 70kg",21,IF(Atletas!D22="Adulto 75kg",22,IF(Atletas!D22="Adulto 80kg",23,IF(Atletas!D22="Adulto 85kg",24,IF(Atletas!D22="Adulto 90kg",25,IF(Atletas!D22="Adulto +90kg",26,""))))))))))))))))))))))))))))</f>
        <v/>
      </c>
      <c r="AK26" s="52"/>
      <c r="AL26" s="52"/>
      <c r="AM26" s="52" t="str">
        <f>IF(AN26&lt;&gt;"","Adulto 65kg","")</f>
        <v/>
      </c>
      <c r="AN26" s="10" t="str">
        <f>IF(COUNTIF(AJ:AJ,220)&gt;0,COUNTIF(AJ:AJ,220),"")</f>
        <v/>
      </c>
      <c r="AO26" s="10" t="str">
        <f>IF(Atletas!E22="","",IF(Atletas!B22="Feminino",100,IF(Atletas!B22="Masculino",200,""))+(IF(Atletas!E22="Juvenil 44kg",1,IF(Atletas!E22="Juvenil 48kg",2,IF(Atletas!E22="Juvenil 52kg",3,IF(Atletas!E22="Juvenil 56kg",4,IF(Atletas!E22="Juvenil 60kg",5,IF(Atletas!E22="Juvenil 65kg",6,IF(Atletas!E22="Juvenil 70kg",7,IF(Atletas!E22="Juvenil 75kg",8,IF(Atletas!E22="Juvenil 82kg",9,IF(Atletas!E22="Juvenil 90kg",10,IF(Atletas!E22="Juvenil 100kg",11,IF(Atletas!E22="Adulto 48kg",12,IF(Atletas!E22="Adulto 52kg",13,IF(Atletas!E22="Adulto 56kg",14,IF(Atletas!E22="Adulto 60kg",15,IF(Atletas!E22="Adulto 65kg",16,IF(Atletas!E22="Adulto 70kg",17,IF(Atletas!E22="Adulto 75kg",18,IF(Atletas!E22="Adulto 82kg",19,IF(Atletas!E22="Adulto 90kg",20,IF(Atletas!E22="Adulto 100kg",21,IF(Atletas!E22="Adulto +100kg",22,""))))))))))))))))))))))))</f>
        <v/>
      </c>
      <c r="AR26" s="52" t="str">
        <f>IF(AS26&lt;&gt;"","Adulto +100kg","")</f>
        <v/>
      </c>
      <c r="AS26" s="10" t="str">
        <f>IF(COUNTIF(AO:AO,222)&gt;0,COUNTIF(AO:AO,222),"")</f>
        <v/>
      </c>
      <c r="AT26" s="10" t="str">
        <f>IF(Atletas!F22="","",IF(Atletas!B22="Feminino",100,IF(Atletas!B22="Masculino",200,""))+(IF(Atletas!F22="Adulto 48kg",1,IF(Atletas!F22="Adulto 56kg",2,IF(Atletas!F22="Adulto 65kg",3,IF(Atletas!F22="Adulto 75kg",4,IF(Atletas!F22="Adulto +75kg",5,IF(Atletas!F22="Adulto 52kg",6,IF(Atletas!F22="Adulto 60kg",7,IF(Atletas!F22="Adulto 70kg",8,IF(Atletas!F22="Adulto 80kg",9,IF(Atletas!F22="Adulto 90kg",10,IF(Atletas!F22="Adulto +90kg",11,"")))))))))))))</f>
        <v/>
      </c>
      <c r="AY26" s="46" t="str">
        <f>IF(Atletas!G22="","",IF(Atletas!B22="Feminino",100,IF(Atletas!B22="Masculino",200,""))+(IF(Atletas!G22="Changquan Mirim",1,IF(Atletas!G22="Nanquan Mirim",2,IF(Atletas!G22="Taijiquan Mirim",3,IF(Atletas!G22="Changquan Grupo C",4,IF(Atletas!G22="Nanquan Grupo C",5,IF(Atletas!G22="Taijiquan Grupo C",6,IF(Atletas!G22="Changquan Grupo B",7,IF(Atletas!G22="Nanquan Grupo B",8,IF(Atletas!G22="Taijiquan Grupo B",9,IF(Atletas!G22="Changquan Grupo A",10,IF(Atletas!G22="Nanquan Grupo A",11,IF(Atletas!G22="Taijiquan Grupo A",12,IF(Atletas!G22="Changquan Opcional",13,IF(Atletas!G22="Nanquan Opcional",14,IF(Atletas!G22="Taijiquan Opcional",15,IF(Atletas!G22="Changquan Adulto",16,IF(Atletas!G22="Nanquan Adulto",17,IF(Atletas!G22="Taijiquan Adulto",18,""))))))))))))))))))))</f>
        <v/>
      </c>
      <c r="AZ26" s="46" t="str">
        <f>IF(Atletas!H22="","",IF(Atletas!B22="Feminino",100,IF(Atletas!B22="Masculino",200,""))+(IF(Atletas!H22="Daoshu Mirim",19,IF(Atletas!H22="Jianshu Mirim",20,IF(Atletas!H22="Nandao Mirim",21,IF(Atletas!H22="Taijijian Mirim",22,IF(Atletas!H22="Daoshu Grupo C",23,IF(Atletas!H22="Jianshu Grupo C",24,IF(Atletas!H22="Nandao Grupo C",25,IF(Atletas!H22="Taijijian Grupo C",26,IF(Atletas!H22="Daoshu Grupo B",27,IF(Atletas!H22="Jianshu Grupo B",28,IF(Atletas!H22="Nandao Grupo B",29,IF(Atletas!H22="Taijijian Grupo B",30,IF(Atletas!H22="Daoshu Grupo A",31,IF(Atletas!H22="Jianshu Grupo A",32,IF(Atletas!H22="Nandao Grupo A",33,IF(Atletas!H22="Taijijian Grupo A",34,IF(Atletas!H22="Daoshu Opcional",35,IF(Atletas!H22="Jianshu Opcional",36,IF(Atletas!H22="Nandao Opcional",37,IF(Atletas!H22="Taijijian Opcional",38,IF(Atletas!H22="Daoshu Adulto",39,IF(Atletas!H22="Jianshu Adulto",40,IF(Atletas!H22="Nandao Adulto",41,IF(Atletas!H22="Taijijian Adulto",42,""))))))))))))))))))))))))))</f>
        <v/>
      </c>
      <c r="BA26" s="46" t="str">
        <f>IF(Atletas!I22="","",IF(Atletas!B22="Feminino",100,IF(Atletas!B22="Masculino",200,""))+(IF(Atletas!I22="Gunshu Mirim",43,IF(Atletas!I22="Qiangshu Mirim",44,IF(Atletas!I22="Nangun Mirim",45,IF(Atletas!I22="Gunshu Grupo C",46,IF(Atletas!I22="Qiangshu Grupo C",47,IF(Atletas!I22="Nangun Grupo C",48,IF(Atletas!I22="Gunshu Grupo B",49,IF(Atletas!I22="Qiangshu Grupo B",50,IF(Atletas!I22="Nangun Grupo B",51,IF(Atletas!I22="Gunshu Grupo A",52,IF(Atletas!I22="Qiangshu Grupo A",53,IF(Atletas!I22="Nangun Grupo A",54,IF(Atletas!I22="Gunshu Opcional",55,IF(Atletas!I22="Qiangshu Opcional",56,IF(Atletas!I22="Nangun Opcional",57,IF(Atletas!I22="Gunshu Adulto",58,IF(Atletas!I22="Qiangshu Adulto",59,IF(Atletas!I22="Nangun Adulto",60,""))))))))))))))))))))</f>
        <v/>
      </c>
      <c r="BB26" s="10" t="str">
        <f>IF(BC26&lt;&gt;"","Nangun Grupo C","")</f>
        <v/>
      </c>
      <c r="BC26" s="52" t="str">
        <f>IF(COUNTIF(AY:BA,148)&gt;0,COUNTIF(AY:BA,148),"")</f>
        <v/>
      </c>
      <c r="BD26" s="10" t="str">
        <f>IF(BE26&lt;&gt;"","Nangun Grupo C","")</f>
        <v/>
      </c>
      <c r="BE26" s="52" t="str">
        <f>IF(COUNTIF(AY:BA,248)&gt;0,COUNTIF(AY:BA,248),"")</f>
        <v/>
      </c>
      <c r="BF26" s="52" t="str">
        <f>IF(Atletas!J22="","",IF(Atletas!B22="Feminino",100,IF(Atletas!B22="Masculino",200,""))+(IF(Atletas!J22="Equipe 1 Grupo B",1,IF(Atletas!J22="Equipe 2 Grupo B",2,IF(Atletas!J22="Equipe 1 Grupo A",3,IF(Atletas!J22="Equipe 2 Grupo A",4,IF(Atletas!J22="Equipe 1 Adulto",5,IF(Atletas!J22="Equipe 2 Adulto",6,""))))))))</f>
        <v/>
      </c>
      <c r="BK26" s="52" t="str">
        <f>IF(Atletas!K22="","",IF(Atletas!W22&lt;&gt;"",10000,0)+(IF(Atletas!B22="Feminino",1000,IF(Atletas!B22="Masculino",2000,""))+IF(Atletas!K22="Choylayfut A",1,IF(Atletas!K22="Hunggar A",2,IF(Atletas!K22="Wuzuquan A",3,IF(Atletas!K22="Wingchun A",4,IF(Atletas!K22="Outra Mão de Sul A",5,IF(Atletas!K22="Choylayfut B",6,IF(Atletas!K22="Hunggar B",7,IF(Atletas!K22="Wuzuquan B",8,IF(Atletas!K22="Wingchun B",9,IF(Atletas!K22="Outra Mão de Sul B",10,IF(Atletas!K22="Choylayfut C",11,IF(Atletas!K22="Hunggar C",12,IF(Atletas!K22="Wuzuquan C",13,IF(Atletas!K22="Wingchun C",14,IF(Atletas!K22="Outra Mão de Sul C",15,IF(Atletas!K22="Choylayfut D",16,IF(Atletas!K22="Hunggar D",17,IF(Atletas!K22="Wuzuquan D",18,IF(Atletas!K22="Wingchun D",19,IF(Atletas!K22="Outra Mão de Sul D",20,IF(Atletas!K22="Choylayfut E",21,IF(Atletas!K22="Hunggar E",22,IF(Atletas!K22="Wuzuquan E",23,IF(Atletas!K22="Wingchun E",24,IF(Atletas!K22="Outra Mão de Sul E",25,IF(Atletas!K22="Choylayfut F",26,IF(Atletas!K22="Hunggar F",27,IF(Atletas!K22="Wuzuquan F",28,IF(Atletas!K22="Wingchun F",29,IF(Atletas!K22="Outra Mão de Sul F",30,""))))))))))))))))))))))))))))))))</f>
        <v/>
      </c>
      <c r="BL26" s="52" t="str">
        <f>IF(Atletas!L22="","",IF(Atletas!W22&lt;&gt;"",10000,0)+(IF(Atletas!B22="Feminino",1000,IF(Atletas!B22="Masculino",2000,""))+(IF(Atletas!L22="Chaquan A",101,IF(Atletas!L22="Emeiquan A",102,IF(Atletas!L22="Fanziquan A",103,IF(Atletas!L22="Huaquan A",104,IF(Atletas!L22="Hongquan A",105,IF(Atletas!L22="Paochui A",106,IF(Atletas!L22="Piguaquan A",107,IF(Atletas!L22="Shaolinquan A",108,IF(Atletas!L22="Tanglangquan A",109,IF(Atletas!L22="Yinzhaophai A",110,IF(Atletas!L22="Tongbeiquan A",111,IF(Atletas!L22="Wudangquan A",112,IF(Atletas!L22="Outros Estilos A",113,IF(Atletas!L22="Chaquan B",114,IF(Atletas!L22="Emeiquan B",115,IF(Atletas!L22="Fanziquan B",116,IF(Atletas!L22="Huaquan B",117,IF(Atletas!L22="Hongquan B",118,IF(Atletas!L22="Paochui B",119,IF(Atletas!L22="Piguaquan B",120,IF(Atletas!L22="Shaolinquan B",121,IF(Atletas!L22="Tanglangquan B",122,IF(Atletas!L22="Yinzhaophai B",123,IF(Atletas!L22="Tongbeiquan B",124,IF(Atletas!L22="Wudangquan B",125,IF(Atletas!L22="Outros Estilos B",126,IF(Atletas!L22="Chaquan C",127,IF(Atletas!L22="Emeiquan C",128,IF(Atletas!L22="Fanziquan C",129,IF(Atletas!L22="Huaquan C",130,IF(Atletas!L22="Hongquan C",131,IF(Atletas!L22="Paochui C",132,IF(Atletas!L22="Piguaquan C",133,IF(Atletas!L22="Shaolinquan C",134,IF(Atletas!L22="Tanglangquan C",135,IF(Atletas!L22="Yinzhaophai C",136,IF(Atletas!L22="Tongbeiquan C",137,IF(Atletas!L22="Wudangquan C",138,IF(Atletas!L22="Outros Estilos C",139,0))))))))))))))))))))))))))))))))))))))))))</f>
        <v/>
      </c>
      <c r="BM26" s="52" t="str">
        <f>IF(Atletas!L22="","",IF(Atletas!W22&lt;&gt;"",10000,0)+(IF(Atletas!B22="Feminino",1000,IF(Atletas!B22="Masculino",2000,""))+(IF(Atletas!L22="Chaquan D",140,IF(Atletas!L22="Emeiquan D",141,IF(Atletas!L22="Fanziquan D",142,IF(Atletas!L22="Huaquan D",143,IF(Atletas!L22="Hongquan D",144,IF(Atletas!L22="Paochui D",145,IF(Atletas!L22="Piguaquan D",146,IF(Atletas!L22="Shaolinquan D",147,IF(Atletas!L22="Tanglangquan D",148,IF(Atletas!L22="Yinzhaophai D",149,IF(Atletas!L22="Tongbeiquan D",150,IF(Atletas!L22="Wudangquan D",151,IF(Atletas!L22="Outros Estilos D",152,IF(Atletas!L22="Chaquan E",153,IF(Atletas!L22="Emeiquan E",154,IF(Atletas!L22="Fanziquan E",155,IF(Atletas!L22="Huaquan E",156,IF(Atletas!L22="Hongquan E",157,IF(Atletas!L22="Paochui E",158,IF(Atletas!L22="Piguaquan E",159,IF(Atletas!L22="Shaolinquan E",160,IF(Atletas!L22="Tanglangquan E",161,IF(Atletas!L22="Yinzhaophai E",162,IF(Atletas!L22="Tongbeiquan E",163,IF(Atletas!L22="Wudangquan E",164,IF(Atletas!L22="Outros Estilos E",165,IF(Atletas!L22="Chaquan F",166,IF(Atletas!L22="Emeiquan F",167,IF(Atletas!L22="Fanziquan F",168,IF(Atletas!L22="Huaquan F",169,IF(Atletas!L22="Hongquan F",170,IF(Atletas!L22="Paochui F",171,IF(Atletas!L22="Piguaquan F",172,IF(Atletas!L22="Shaolinquan F",173,IF(Atletas!L22="Tanglangquan F",174,IF(Atletas!L22="Yinzhaophai F",175,IF(Atletas!L22="Tongbeiquan F",176,IF(Atletas!L22="Wudangquan F",177,IF(Atletas!L22="Outros Estilos F",178,0))))))))))))))))))))))))))))))))))))))))))</f>
        <v/>
      </c>
      <c r="BN26" s="52" t="str">
        <f>IF(Atletas!M22="","",IF(Atletas!W22&lt;&gt;"",10000,0)+(IF(Atletas!B22="Feminino",1000,IF(Atletas!B22="Masculino",2000,""))+(IF(Atletas!M22="Ditangquan A",201,IF(Atletas!M22="Houquan A",202,IF(Atletas!M22="Zuiquan A",203,IF(Atletas!M22="Ditangquan B",204,IF(Atletas!M22="Houquan B",205,IF(Atletas!M22="Zuiquan B",206,IF(Atletas!M22="Ditangquan C",207,IF(Atletas!M22="Houquan C",208,IF(Atletas!M22="Zuiquan C",209,IF(Atletas!M22="Ditangquan D",210,IF(Atletas!M22="Houquan D",211,IF(Atletas!M22="Zuiquan D",212,IF(Atletas!M22="Ditangquan E",213,IF(Atletas!M22="Houquan E",214,IF(Atletas!M22="Zuiquan E",215,IF(Atletas!M22="Ditangquan F",216,IF(Atletas!M22="Houquan F",217,IF(Atletas!M22="Zuiquan F",218,"")))))))))))))))))))))</f>
        <v/>
      </c>
      <c r="BO26" s="52" t="str">
        <f>IF(Atletas!N22="","",IF(Atletas!W22&lt;&gt;"",10000,0)+IF(Atletas!B22="Feminino",1000,IF(Atletas!B22="Masculino",2000,""))+IF(Atletas!N22="Yang A",301,IF(Atletas!N22="Chen A",30,IF(Atletas!N22="Sun A",303,IF(Atletas!N22="Wu A",304,IF(Atletas!N22="Wu-Hao A",305,IF(Atletas!N22="Outro Taijiquan A",306,IF(Atletas!N22="Yang B",307,IF(Atletas!N22="Chen B",308,IF(Atletas!N22="Sun B",309,IF(Atletas!N22="Wu B",310,IF(Atletas!N22="Wu-Hao B",311,IF(Atletas!N22="Outro Taijiquan B",312,IF(Atletas!N22="Yang C",313,IF(Atletas!N22="Chen C",314,IF(Atletas!N22="Sun C",315,IF(Atletas!N22="Wu C",316,IF(Atletas!N22="Wu-Hao C",317,IF(Atletas!N22="Outro Taijiquan C",318,IF(Atletas!N22="Yang D",319,IF(Atletas!N22="Chen D",320,IF(Atletas!N22="Sun D",321,IF(Atletas!N22="Wu D",322,IF(Atletas!N22="Wu-Hao D",323,IF(Atletas!N22="Outro Taijiquan D",324,IF(Atletas!N22="Yang E",325,IF(Atletas!N22="Chen E",326,IF(Atletas!N22="Sun E",327,IF(Atletas!N22="Wu E",328,IF(Atletas!N22="Wu-Hao E",329,IF(Atletas!N22="Outro Taijiquan E",330,IF(Atletas!N22="Yang F",331,IF(Atletas!N22="Chen F",332,IF(Atletas!N22="Sun F",333,IF(Atletas!N22="Wu F",334,IF(Atletas!N22="Wu-Hao F",335,IF(Atletas!N22="Outro Taijiquan F",336,"")))))))))))))))))))))))))))))))))))))</f>
        <v/>
      </c>
      <c r="BP26" s="52" t="str">
        <f>IF(Atletas!O22="","",IF(Atletas!W22&lt;&gt;"",10000,0)+IF(Atletas!B22="Feminino",1000,IF(Atletas!B22="Masculino",2000,""))+IF(OR(Atletas!O22="Yang 26 A",Atletas!O22="Yang 40 A"),401,IF(OR(Atletas!O22="Chen 25 A",Atletas!O22="Chen 36 A",Atletas!O22="Chen 56 A"),402,IF(Atletas!O22="Sun 73 A",403,IF(Atletas!O22="Wu 45 A",404,IF(Atletas!O22="Wu-Hao 46 A",405,IF(OR(Atletas!O22="Taijiquan 16 A",Atletas!O22="Taijiquan 24 A",Atletas!O22="Taijiquan 32 A",Atletas!O22="Taijiquan 42 A"),406,IF(OR(Atletas!O22="Yang 26 B",Atletas!O22="Yang 40 B"),407,IF(OR(Atletas!O22="Chen 25 B",Atletas!O22="Chen 36 B",Atletas!O22="Chen 56 B"),408,IF(Atletas!O22="Sun 73 B",409,IF(Atletas!O22="Wu 45 B",410,IF(Atletas!O22="Wu-Hao 46 B",411,IF(OR(Atletas!O22="Taijiquan 16 B",Atletas!O22="Taijiquan 24 B",Atletas!O22="Taijiquan 32 B",Atletas!O22="Taijiquan 42 B"),412,IF(OR(Atletas!O22="Yang 26 C",Atletas!O22="Yang 40 C"),413,IF(OR(Atletas!O22="Chen 25 C",Atletas!O22="Chen 36 C",Atletas!O22="Chen 56 C"),414,IF(Atletas!O22="Sun 73 C",415,IF(Atletas!O22="Wu 45 C",416,IF(Atletas!O22="Wu-Hao 46 C",417,IF(OR(Atletas!O22="Taijiquan 16 C",Atletas!O22="Taijiquan 24 C",Atletas!O22="Taijiquan 32 C",Atletas!O22="Taijiquan 42 C"),418,0)))))))))))))))))))</f>
        <v/>
      </c>
      <c r="BQ26" s="52" t="str">
        <f>IF(Atletas!O22="","",IF(Atletas!W22&lt;&gt;"",10000,0)+IF(Atletas!B22="Feminino",1000,IF(Atletas!B22="Masculino",2000,""))+IF(OR(Atletas!O22="Yang 26 D",Atletas!O22="Yang 40 D"),419,IF(OR(Atletas!O22="Chen 25 D",Atletas!O22="Chen 36 D",Atletas!O22="Chen 56 D"),420,IF(Atletas!O22="Sun 73 D",421,IF(Atletas!O22="Wu 45 D",422,IF(Atletas!O22="Wu-Hao 46 D",423,IF(OR(Atletas!O22="Taijiquan 16 D",Atletas!O22="Taijiquan 24 D",Atletas!O22="Taijiquan 32 D",Atletas!O22="Taijiquan 42 D"),424,IF(OR(Atletas!O22="Yang 26 E",Atletas!O22="Yang 40 E"),425,IF(OR(Atletas!O22="Chen 25 E",Atletas!O22="Chen 36 E",Atletas!O22="Chen 56 E"),426,IF(Atletas!O22="Sun 73 E",427,IF(Atletas!O22="Wu 45 E",428,IF(Atletas!O22="Wu-Hao 46 E",429,IF(OR(Atletas!O22="Taijiquan 16 E",Atletas!O22="Taijiquan 24 E",Atletas!O22="Taijiquan 32 E",Atletas!O22="Taijiquan 42 E"),430,IF(OR(Atletas!O22="Yang 26 F",Atletas!O22="Yang 40 F"),431,IF(OR(Atletas!O22="Chen 25 F",Atletas!O22="Chen 36 F",Atletas!O22="Chen 56 F"),432,IF(Atletas!O22="Sun 73 F",433,IF(Atletas!O22="Wu 45 F",434,IF(Atletas!O22="Wu-Hao 46 F",435,IF(OR(Atletas!O22="Taijiquan 16 F",Atletas!O22="Taijiquan 24 F",Atletas!O22="Taijiquan 32 F",Atletas!O22="Taijiquan 42 F"),436,0)))))))))))))))))))</f>
        <v/>
      </c>
      <c r="BR26" s="52" t="str">
        <f>IF(Atletas!P22="","",IF(Atletas!W22&lt;&gt;"",10000,0)+IF(Atletas!B22="Feminino",1000,IF(Atletas!B22="Masculino",2000,""))+IF(Atletas!P22="Xingyiquan A",501,IF(Atletas!P22="Baguazhang A",502,IF(Atletas!P22="Outro Estilo Interno A",503,IF(Atletas!P22="Xingyiquan B",504,IF(Atletas!P22="Baguazhang B",505,IF(Atletas!P22="Outro Estilo Interno B",506,IF(Atletas!P22="Xingyiquan C",507,IF(Atletas!P22="Baguazhang C",508,IF(Atletas!P22="Outro Estilo Interno C",509,IF(Atletas!P22="Xingyiquan D",510,IF(Atletas!P22="Baguazhang D",511,IF(Atletas!P22="Outro Estilo Interno D",512,IF(Atletas!P22="Xingyiquan E",513,IF(Atletas!P22="Baguazhang E",514,IF(Atletas!P22="Outro Estilo Interno E",515,IF(Atletas!P22="Xingyiquan F",516,IF(Atletas!P22="Baguazhang F",517,IF(Atletas!P22="Outro Estilo Interno F",518, "")))))))))))))))))))</f>
        <v/>
      </c>
      <c r="BS26" s="52" t="str">
        <f>IF(Atletas!Q22="","",IF(Atletas!W22&lt;&gt;"",10000,0)+IF(Atletas!B22="Feminino",1000,IF(Atletas!B22="Masculino",2000,""))+IF(Atletas!Q22="Dao A",601,IF(Atletas!Q22="Jian A",602,IF(Atletas!Q22="Bishou A",603,IF(Atletas!Q22="Shan A",604,IF(Atletas!Q22="Outra Arma Curta A",605,IF(Atletas!Q22="Dao B",606,IF(Atletas!Q22="Jian B",607,IF(Atletas!Q22="Bishou B",608,IF(Atletas!Q22="Shan B",609,IF(Atletas!Q22="Outra Arma Curta B",610,IF(Atletas!Q22="Dao C",611,IF(Atletas!Q22="Jian C",612,IF(Atletas!Q22="Bishou C",613,IF(Atletas!Q22="Shan C",614,IF(Atletas!Q22="Outra Arma Curta C",615,IF(Atletas!Q22="Dao D",616,IF(Atletas!Q22="Jian D",617,IF(Atletas!Q22="Bishou D",618,IF(Atletas!Q22="Shan D",619,IF(Atletas!Q22="Outra Arma Curta D",620,IF(Atletas!Q22="Dao E",621,IF(Atletas!Q22="Jian E",622,IF(Atletas!Q22="Bishou E",623,IF(Atletas!Q22="Shan E",624,IF(Atletas!Q22="Outra Arma Curta E",625,IF(Atletas!Q22="Dao F",626,IF(Atletas!Q22="Jian F",627,IF(Atletas!Q22="Bishou F",628,IF(Atletas!Q22="Shan F",629,IF(Atletas!Q22="Outra Arma Curta F",630, "")))))))))))))))))))))))))))))))</f>
        <v/>
      </c>
      <c r="BT26" s="52" t="str">
        <f>IF(Atletas!R22="","",IF(Atletas!W22&lt;&gt;"",10000,0)+IF(Atletas!B22="Feminino",1000,IF(Atletas!B22="Masculino",2000,""))+IF(Atletas!R22="Gun A",701,IF(Atletas!R22="Qiang A",702,IF(Atletas!R22="Pudao / Guandao A",703,IF(Atletas!R22="Outra Arma Longa A",704,IF(Atletas!R22="Gun B",705,IF(Atletas!R22="Qiang B",706,IF(Atletas!R22="Pudao / Guandao B",707,IF(Atletas!R22="Outra Arma Longa B",708,IF(Atletas!R22="Gun C",709,IF(Atletas!R22="Qiang C",710,IF(Atletas!R22="Pudao / Guandao C",711,IF(Atletas!R22="Outra Arma Longa C",712,IF(Atletas!R22="Gun D",713,IF(Atletas!R22="Qiang D",714,IF(Atletas!R22="Pudao / Guandao D",715,IF(Atletas!R22="Outra Arma Longa D",716,IF(Atletas!R22="Gun E",717,IF(Atletas!R22="Qiang E",718,IF(Atletas!R22="Pudao / Guandao E",719,IF(Atletas!R22="Outra Arma Longa E",720,IF(Atletas!R22="Gun F",721,IF(Atletas!R22="Qiang F",722,IF(Atletas!R22="Pudao / Guandao F",723,IF(Atletas!R22="Outra Arma Longa F",724,"")))))))))))))))))))))))))</f>
        <v/>
      </c>
      <c r="BU26" s="52" t="str">
        <f>IF(Atletas!S22="","",IF(Atletas!W22&lt;&gt;"",10000,0)+IF(Atletas!B22="Feminino",1000,IF(Atletas!B22="Masculino",2000,""))+IF(Atletas!S22="Arma Dupla A",801,IF(Atletas!S22="Arma Maleável A",802,IF(Atletas!S22="Arma Dupla B",803,IF(Atletas!S22="Arma Maleável B",804,IF(Atletas!S22="Arma Dupla C",805,IF(Atletas!S22="Arma Maleável C",806,IF(Atletas!S22="Arma Dupla D",807,IF(Atletas!S22="Arma Maleável D",808,IF(Atletas!S22="Arma Dupla E",809,IF(Atletas!S22="Arma Maleável E",810,IF(Atletas!S22="Arma Dupla F",811,IF(Atletas!S22="Arma Maleável F",812, "")))))))))))))</f>
        <v/>
      </c>
      <c r="BV26" s="52" t="str">
        <f>IF(Atletas!T22="","",IF(Atletas!W22&lt;&gt;"",10000,0)+IF(Atletas!B22="Feminino",1000,IF(Atletas!B22="Masculino",2000,""))+IF(Atletas!T22="Taijijian Yang A",901,IF(Atletas!T22="Taijijian Chen A",902,IF(Atletas!T22="Taijijian Sun A",903,IF(Atletas!T22="Taijijian Wu A",904,IF(Atletas!T22="Taijijian Wu-Hao A",905,IF(Atletas!T22="Taijijian 32 A",906,IF(Atletas!T22="Taijijian 42 A",907,IF(Atletas!T22="Taijijian Yang B",908,IF(Atletas!T22="Taijijian Chen B",909,IF(Atletas!T22="Taijijian Sun B",910,IF(Atletas!T22="Taijijian Wu B",911,IF(Atletas!T22="Taijijian Wu-Hao B",912,IF(Atletas!T22="Taijijian 32 B",913,IF(Atletas!T22="Taijijian 42 B",914,IF(Atletas!T22="Taijijian Yang C",915,IF(Atletas!T22="Taijijian Chen C",916,IF(Atletas!T22="Taijijian Sun C",917,IF(Atletas!T22="Taijijian Wu C",918,IF(Atletas!T22="Taijijian Wu-Hao C",919,IF(Atletas!T22="Taijijian 32 C",920,IF(Atletas!T22="Taijijian 42 C",921,IF(Atletas!T22="Taijijian Yang D",922,IF(Atletas!T22="Taijijian Chen D",923,IF(Atletas!T22="Taijijian Sun D",924,IF(Atletas!T22="Taijijian Wu D",925,IF(Atletas!T22="Taijijian Wu-Hao D",926,IF(Atletas!T22="Taijijian 32 D",927,IF(Atletas!T22="Taijijian 42 D",928,IF(Atletas!T22="Taijijian Yang E",929,IF(Atletas!T22="Taijijian Chen E",930,IF(Atletas!T22="Taijijian Sun E",931,IF(Atletas!T22="Taijijian Wu E",932,IF(Atletas!T22="Taijijian Wu-Hao E",933,IF(Atletas!T22="Taijijian 32 E",934,IF(Atletas!T22="Taijijian 42 E",935,IF(Atletas!T22="Taijijian Yang F",936,IF(Atletas!T22="Taijijian Chen F",937,IF(Atletas!T22="Taijijian Sun F",938,IF(Atletas!T22="Taijijian Wu F",939,IF(Atletas!T22="Taijijian Wu-Hao F",940,IF(Atletas!T22="Taijijian 32 F",941,IF(Atletas!T22="Taijijian 42 F",942,"")))))))))))))))))))))))))))))))))))))))))))</f>
        <v/>
      </c>
      <c r="BW26" s="52" t="str">
        <f>IF(Atletas!U22="","",IF(Atletas!W22&lt;&gt;"",10000,0)+IF(Atletas!B22="Feminino",1000,IF(Atletas!B22="Masculino",2000,""))+IF(Atletas!T22="Taijijian 42 F",942,IF(Atletas!U22="Taijidao A",943,IF(Atletas!U22="Taijishan A",944,IF(Atletas!U22="Taijiqiang A",945,IF(Atletas!U22="Taijidao B",946,IF(Atletas!U22="Taijishan B",947,IF(Atletas!U22="Taijiqiang B",948,IF(Atletas!U22="Taijidao C",949,IF(Atletas!U22="Taijishan C",950,IF(Atletas!U22="Taijiqiang C",951,IF(Atletas!U22="Taijidao D",952,IF(Atletas!U22="Taijishan D",953,IF(Atletas!U22="Taijiqiang D",954,IF(Atletas!U22="Taijidao E",955,IF(Atletas!U22="Taijishan E",956,IF(Atletas!U22="Taijiqiang E",957,IF(Atletas!U22="Taijidao F",958,IF(Atletas!U22="Taijishan F",959,IF(Atletas!U22="Taijiqiang F",960))))))))))))))))))))</f>
        <v/>
      </c>
      <c r="BX26" s="64" t="str">
        <f>IF(BY26&lt;&gt;"","Outra Mão de Sul D","")</f>
        <v/>
      </c>
      <c r="BY26" s="64" t="str">
        <f>IF(COUNTIF(BK:BW,1020)&gt;0,COUNTIF(BK:BW,1020),"")</f>
        <v/>
      </c>
      <c r="BZ26" s="64" t="str">
        <f>IF(CA26&lt;&gt;"","Outra Mão de Sul D","")</f>
        <v/>
      </c>
      <c r="CA26" s="64" t="str">
        <f>IF(COUNTIF(BK:BW,2020)&gt;0,COUNTIF(BK:BW,2020),"")</f>
        <v/>
      </c>
      <c r="CB26" s="64" t="str">
        <f>IF(CC26&lt;&gt;"","Outra Mão de Sul D","")</f>
        <v/>
      </c>
      <c r="CC26" s="64" t="str">
        <f>IF(COUNTIF(BK:BW,11020)&gt;0,COUNTIF(BK:BW,11020),"")</f>
        <v/>
      </c>
      <c r="CD26" s="64" t="str">
        <f>IF(CE26&lt;&gt;"","Outra Mão de Sul D","")</f>
        <v/>
      </c>
      <c r="CE26" s="64" t="str">
        <f>IF(COUNTIF(BK:BW,12020)&gt;0,COUNTIF(BK:BW,12020),"")</f>
        <v/>
      </c>
      <c r="CF26" s="52" t="str">
        <f xml:space="preserve"> IF(Atletas!V22="","",IF(Atletas!V22="Duilian de Mãos AB - Equipe 1",1,IF(Atletas!V22="Duilian de Mãos AB - Equipe 2",2,IF(Atletas!V22="Duilian de Armas AB - Equipe 1",3,IF(Atletas!V22="Duilian de Armas AB - Equipe 2",4,IF(Atletas!V22="Duilian de Tuishou - Equipe 1",5,IF(Atletas!V22="Duilian de Tuishou - Equipe 2",6,IF(Atletas!V22="Grupo Externo AB - Equipe 1",7,IF(Atletas!V22="Grupo Externo AB - Equipe 2",8,IF(Atletas!V22="Grupo Interno AB - Equipe 1",9,IF(Atletas!V22="Grupo Interno AB - Equipe 2",10,IF(Atletas!V22="Duilian de Mãos CD - Equipe 1",11,IF(Atletas!V22="Duilian de Mãos CD - Equipe 2",12,IF(Atletas!V22="Duilian de Armas CD - Equipe 1",13,IF(Atletas!V22="Duilian de Armas CD - Equipe 2",14,IF(Atletas!V22="Duilian de Tuishou - Equipe 1",15,IF(Atletas!V22="Duilian de Tuishou - Equipe 2",16,IF(Atletas!V22="Grupo Externo CDEF - Equipe 1",17,IF(Atletas!V22="Grupo Externo CDEF - Equipe 2",18,IF(Atletas!V22="Grupo Interno CDEF - Equipe 1",19,IF(Atletas!V22="Grupo Interno CDEF - Equipe 2",20,IF(Atletas!V22="Duilian de Mãos EF - Equipe 1",21,IF(Atletas!V22="Duilian de Mãos EF - Equipe 2",22,IF(Atletas!V22="Duilian de Armas EF - Equipe 1",23,IF(Atletas!V22="Duilian de Armas EF - Equipe 2",24,IF(Atletas!V22="Duilian de Tuishou - Equipe 1",25,IF(Atletas!V22="Duilian de Tuishou - Equipe 2",26,"")))))))))))))))))))))))))))</f>
        <v/>
      </c>
      <c r="CR26" s="71"/>
    </row>
    <row r="27" spans="1:96">
      <c r="A27" s="25"/>
      <c r="B27" s="4" t="str">
        <f t="array" ref="B27">IFERROR(INDEX(AK$7:AK$36,SMALL(IF(AK$7:AK$36&lt;&gt;"",ROW(AK$7:AK$36)-ROW(AK$7)+1),ROWS(AK$7:AK26))),"")</f>
        <v/>
      </c>
      <c r="C27" s="4" t="str">
        <f t="array" ref="C27">IFERROR(INDEX(AL$7:AL$36,SMALL(IF(AL$7:AL$36&lt;&gt;"",ROW(AL$7:AL$36)-ROW(AL$7)+1),ROWS(AL$7:AL26))),"")</f>
        <v/>
      </c>
      <c r="D27" s="4" t="str">
        <f t="array" ref="D27">IFERROR(INDEX(AM$7:AM$36,SMALL(IF(AM$7:AM$36&lt;&gt;"",ROW(AM$7:AM$36)-ROW(AM$7)+1),ROWS(AM$7:AM26))),"")</f>
        <v/>
      </c>
      <c r="E27" s="4" t="str">
        <f t="array" ref="E27">IFERROR(INDEX(AN$7:AN$36,SMALL(IF(AN$7:AN$36&lt;&gt;"",ROW(AN$7:AN$36)-ROW(AN$7)+1),ROWS(AN$7:AN26))),"")</f>
        <v/>
      </c>
      <c r="F27" s="4" t="str">
        <f t="array" ref="F27">IFERROR(INDEX(AP$7:AP$36,SMALL(IF(AP$7:AP$36&lt;&gt;"",ROW(AP$7:AP$36)-ROW(AP$7)+1),ROWS(AP$7:AP26))),"")</f>
        <v/>
      </c>
      <c r="G27" s="4" t="str">
        <f t="array" ref="G27">IFERROR(INDEX(AQ$7:AQ$36,SMALL(IF(AQ$7:AQ$36&lt;&gt;"",ROW(AQ$7:AQ$36)-ROW(AQ$7)+1),ROWS(AQ$7:AQ26))),"")</f>
        <v/>
      </c>
      <c r="H27" s="4" t="str">
        <f t="array" ref="H27">IFERROR(INDEX(AR$7:AR$36,SMALL(IF(AR$7:AR$36&lt;&gt;"",ROW(AR$7:AR$36)-ROW(AR$7)+1),ROWS(AR$7:AR26))),"")</f>
        <v/>
      </c>
      <c r="I27" s="4" t="str">
        <f t="array" ref="I27">IFERROR(INDEX(AS$7:AS$36,SMALL(IF(AS$7:AS$36&lt;&gt;"",ROW(AS$7:AS$36)-ROW(AS$7)+1),ROWS(AS$7:AS26))),"")</f>
        <v/>
      </c>
      <c r="J27" s="4" t="str">
        <f t="array" ref="J27">IFERROR(INDEX(AU$7:AU$36,SMALL(IF(AU$7:AU$36&lt;&gt;"",ROW(AU$7:AU$36)-ROW(AU$7)+1),ROWS(AU$7:AU26))),"")</f>
        <v/>
      </c>
      <c r="K27" s="4" t="str">
        <f t="array" ref="K27">IFERROR(INDEX(AV$7:AV$36,SMALL(IF(AV$7:AV$36&lt;&gt;"",ROW(AV$7:AV$36)-ROW(AV$7)+1),ROWS(AV$7:AV26))),"")</f>
        <v/>
      </c>
      <c r="L27" s="4" t="str">
        <f t="array" ref="L27">IFERROR(INDEX(AW$7:AW$36,SMALL(IF(AW$7:AW$36&lt;&gt;"",ROW(AW$7:AW$36)-ROW(AW$7)+1),ROWS(AW$7:AW26))),"")</f>
        <v/>
      </c>
      <c r="M27" s="4" t="str">
        <f t="array" ref="M27">IFERROR(INDEX(AX$7:AX$36,SMALL(IF(AX$7:AX$36&lt;&gt;"",ROW(AX$7:AX$36)-ROW(AX$7)+1),ROWS(AX$7:AX26))),"")</f>
        <v/>
      </c>
      <c r="N27" s="4" t="str">
        <f t="array" ref="N27">IFERROR(INDEX(BB$7:BB$66,SMALL(IF(BB$7:BB$66&lt;&gt;"",ROW(BB$7:BB$66)-ROW(BB$7)+1),ROWS(BB$7:BB26))),"")</f>
        <v/>
      </c>
      <c r="O27" s="4" t="str">
        <f t="array" ref="O27">IFERROR(INDEX(BC$7:BC$66,SMALL(IF(BC$7:BC$66&lt;&gt;"",ROW(BC$7:BC$66)-ROW(BC$7)+1),ROWS(BC$7:BC26))),"")</f>
        <v/>
      </c>
      <c r="P27" s="4" t="str">
        <f t="array" ref="P27">IFERROR(INDEX(BD$7:BD$66,SMALL(IF(BD$7:BD$66&lt;&gt;"",ROW(BD$7:BD$66)-ROW(BD$7)+1),ROWS(BD$7:BD26))),"")</f>
        <v/>
      </c>
      <c r="Q27" s="4" t="str">
        <f t="array" ref="Q27">IFERROR(INDEX(BE$7:BE$66,SMALL(IF(BE$7:BE$66&lt;&gt;"",ROW(BE$7:BE$66)-ROW(BE$7)+1),ROWS(BE$7:BE26))),"")</f>
        <v/>
      </c>
      <c r="R27" s="4"/>
      <c r="S27" s="4"/>
      <c r="T27" s="4"/>
      <c r="U27" s="4"/>
      <c r="V27" s="4" t="str">
        <f t="array" ref="V27">IFERROR(INDEX(BX$7:BX$336,SMALL(IF(BX$7:BX$336&lt;&gt;"",ROW(BX$7:BX$336)-ROW(BX$7)+1),ROWS(BX$7:BX26))),"")</f>
        <v/>
      </c>
      <c r="W27" s="4" t="str">
        <f t="array" ref="W27">IFERROR(INDEX(BY$7:BY$336,SMALL(IF(BY$7:BY$336&lt;&gt;"",ROW(BY$7:BY$336)-ROW(BY$7)+1),ROWS(BY$7:BY26))),"")</f>
        <v/>
      </c>
      <c r="X27" s="4" t="str">
        <f t="array" ref="X27">IFERROR(INDEX(BZ$7:BZ$336,SMALL(IF(BZ$7:BZ$336&lt;&gt;"",ROW(BZ$7:BZ$336)-ROW(BZ$7)+1),ROWS(BZ$7:BZ26))),"")</f>
        <v/>
      </c>
      <c r="Y27" s="4" t="str">
        <f t="array" ref="Y27">IFERROR(INDEX(CA$7:CA$336,SMALL(IF(CA$7:CA$336&lt;&gt;"",ROW(CA$7:CA$336)-ROW(CA$7)+1),ROWS(CA$7:CA26))),"")</f>
        <v/>
      </c>
      <c r="Z27" s="4" t="str">
        <f t="array" ref="Z27">IFERROR(INDEX(CB$7:CB$378,SMALL(IF(CB$7:CB$378&lt;&gt;"",ROW(CB$7:CB$378)-ROW(CB$7)+1),ROWS(CB$7:CB26))),"")</f>
        <v/>
      </c>
      <c r="AA27" s="4" t="str">
        <f t="array" ref="AA27">IFERROR(INDEX(CC$7:CC$378,SMALL(IF(CC$7:CC$378&lt;&gt;"",ROW(CC$7:CC$378)-ROW(CC$7)+1),ROWS(CC$7:CC26))),"")</f>
        <v/>
      </c>
      <c r="AB27" s="4" t="str">
        <f t="array" ref="AB27">IFERROR(INDEX(CD$7:CD$378,SMALL(IF(CD$7:CD$378&lt;&gt;"",ROW(CD$7:CD$378)-ROW(CD$7)+1),ROWS(CD$7:CD26))),"")</f>
        <v/>
      </c>
      <c r="AC27" s="4" t="str">
        <f t="array" ref="AC27">IFERROR(INDEX(CE$7:CE$378,SMALL(IF(CE$7:CE$378&lt;&gt;"",ROW(CE$7:CE$378)-ROW(CE$7)+1),ROWS(CE$7:CE26))),"")</f>
        <v/>
      </c>
      <c r="AD27" s="69" t="str">
        <f t="array" ref="AD27">IFERROR(INDEX(CG$7:CG$18,SMALL(IF(CG$7:CG$18&lt;&gt;"",ROW(CG$7:CG$18)-ROW(CG$7)+1),ROWS(CG$7:CG26))),"")</f>
        <v/>
      </c>
      <c r="AE27" s="69" t="str">
        <f t="array" ref="AE27">IFERROR(INDEX(CH$7:CH$18,SMALL(IF(CH$7:CH$18&lt;&gt;"",ROW(CH$7:CH$18)-ROW(CH$7)+1),ROWS(CH$7:CH26))),"")</f>
        <v/>
      </c>
      <c r="AF27" s="69" t="str">
        <f t="array" ref="AF27">IFERROR(INDEX(CI$7:CI$8,SMALL(IF(CI$7:CI$8&lt;&gt;"",ROW(CI$7:CI$8)-ROW(CI$7)+1),ROWS(CI$7:CI26))),"")</f>
        <v/>
      </c>
      <c r="AG27" s="69"/>
      <c r="AH27" s="69" t="str">
        <f t="array" ref="AH27">IFERROR(INDEX(CK$7:CK$14,SMALL(IF(CK$7:CK$14&lt;&gt;"",ROW(CK$7:CK$14)-ROW(CK$7)+1),ROWS(CK$7:CK26))),"")</f>
        <v/>
      </c>
      <c r="AI27" s="69"/>
      <c r="AJ27" s="46" t="str">
        <f>IF(Atletas!D23="","",IF(Atletas!B23="Feminino",100,IF(Atletas!B23="Masculino",200,""))+(IF(Atletas!D23="Infantil 39kg",1,IF(Atletas!D23="Infantil 42kg",2,IF(Atletas!D23="Infantil 45kg",3,IF(Atletas!D23="Infantil 48kg",4,IF(Atletas!D23="Infantil 52kg",5,IF(Atletas!D23="Infantil 56kg",6,IF(Atletas!D23="Infantil 60kg",7,IF(Atletas!D23="Juvenil 48kg",8,IF(Atletas!D23="Juvenil 52kg",9,IF(Atletas!D23="Juvenil 56kg",10,IF(Atletas!D23="Juvenil 60kg",11,IF(Atletas!D23="Juvenil 65kg",12,IF(Atletas!D23="Juvenil 70kg",13,IF(Atletas!D23="Juvenil 75kg",14,IF(Atletas!D23="Juvenil 80kg",15,IF(Atletas!D23="Adulto 48kg",16,IF(Atletas!D23="Adulto 52kg",17,IF(Atletas!D23="Adulto 56kg",18,IF(Atletas!D23="Adulto 60kg",19,IF(Atletas!D23="Adulto 65kg",20,IF(Atletas!D23="Adulto 70kg",21,IF(Atletas!D23="Adulto 75kg",22,IF(Atletas!D23="Adulto 80kg",23,IF(Atletas!D23="Adulto 85kg",24,IF(Atletas!D23="Adulto 90kg",25,IF(Atletas!D23="Adulto +90kg",26,""))))))))))))))))))))))))))))</f>
        <v/>
      </c>
      <c r="AK27" s="52"/>
      <c r="AL27" s="52"/>
      <c r="AM27" s="52" t="str">
        <f>IF(AN27&lt;&gt;"","Adulto 70kg","")</f>
        <v/>
      </c>
      <c r="AN27" s="10" t="str">
        <f>IF(COUNTIF(AJ:AJ,221)&gt;0,COUNTIF(AJ:AJ,221),"")</f>
        <v/>
      </c>
      <c r="AO27" s="10" t="str">
        <f>IF(Atletas!E23="","",IF(Atletas!B23="Feminino",100,IF(Atletas!B23="Masculino",200,""))+(IF(Atletas!E23="Juvenil 44kg",1,IF(Atletas!E23="Juvenil 48kg",2,IF(Atletas!E23="Juvenil 52kg",3,IF(Atletas!E23="Juvenil 56kg",4,IF(Atletas!E23="Juvenil 60kg",5,IF(Atletas!E23="Juvenil 65kg",6,IF(Atletas!E23="Juvenil 70kg",7,IF(Atletas!E23="Juvenil 75kg",8,IF(Atletas!E23="Juvenil 82kg",9,IF(Atletas!E23="Juvenil 90kg",10,IF(Atletas!E23="Juvenil 100kg",11,IF(Atletas!E23="Adulto 48kg",12,IF(Atletas!E23="Adulto 52kg",13,IF(Atletas!E23="Adulto 56kg",14,IF(Atletas!E23="Adulto 60kg",15,IF(Atletas!E23="Adulto 65kg",16,IF(Atletas!E23="Adulto 70kg",17,IF(Atletas!E23="Adulto 75kg",18,IF(Atletas!E23="Adulto 82kg",19,IF(Atletas!E23="Adulto 90kg",20,IF(Atletas!E23="Adulto 100kg",21,IF(Atletas!E23="Adulto +100kg",22,""))))))))))))))))))))))))</f>
        <v/>
      </c>
      <c r="AT27" s="10" t="str">
        <f>IF(Atletas!F23="","",IF(Atletas!B23="Feminino",100,IF(Atletas!B23="Masculino",200,""))+(IF(Atletas!F23="Adulto 48kg",1,IF(Atletas!F23="Adulto 56kg",2,IF(Atletas!F23="Adulto 65kg",3,IF(Atletas!F23="Adulto 75kg",4,IF(Atletas!F23="Adulto +75kg",5,IF(Atletas!F23="Adulto 52kg",6,IF(Atletas!F23="Adulto 60kg",7,IF(Atletas!F23="Adulto 70kg",8,IF(Atletas!F23="Adulto 80kg",9,IF(Atletas!F23="Adulto 90kg",10,IF(Atletas!F23="Adulto +90kg",11,"")))))))))))))</f>
        <v/>
      </c>
      <c r="AY27" s="46" t="str">
        <f>IF(Atletas!G23="","",IF(Atletas!B23="Feminino",100,IF(Atletas!B23="Masculino",200,""))+(IF(Atletas!G23="Changquan Mirim",1,IF(Atletas!G23="Nanquan Mirim",2,IF(Atletas!G23="Taijiquan Mirim",3,IF(Atletas!G23="Changquan Grupo C",4,IF(Atletas!G23="Nanquan Grupo C",5,IF(Atletas!G23="Taijiquan Grupo C",6,IF(Atletas!G23="Changquan Grupo B",7,IF(Atletas!G23="Nanquan Grupo B",8,IF(Atletas!G23="Taijiquan Grupo B",9,IF(Atletas!G23="Changquan Grupo A",10,IF(Atletas!G23="Nanquan Grupo A",11,IF(Atletas!G23="Taijiquan Grupo A",12,IF(Atletas!G23="Changquan Opcional",13,IF(Atletas!G23="Nanquan Opcional",14,IF(Atletas!G23="Taijiquan Opcional",15,IF(Atletas!G23="Changquan Adulto",16,IF(Atletas!G23="Nanquan Adulto",17,IF(Atletas!G23="Taijiquan Adulto",18,""))))))))))))))))))))</f>
        <v/>
      </c>
      <c r="AZ27" s="46" t="str">
        <f>IF(Atletas!H23="","",IF(Atletas!B23="Feminino",100,IF(Atletas!B23="Masculino",200,""))+(IF(Atletas!H23="Daoshu Mirim",19,IF(Atletas!H23="Jianshu Mirim",20,IF(Atletas!H23="Nandao Mirim",21,IF(Atletas!H23="Taijijian Mirim",22,IF(Atletas!H23="Daoshu Grupo C",23,IF(Atletas!H23="Jianshu Grupo C",24,IF(Atletas!H23="Nandao Grupo C",25,IF(Atletas!H23="Taijijian Grupo C",26,IF(Atletas!H23="Daoshu Grupo B",27,IF(Atletas!H23="Jianshu Grupo B",28,IF(Atletas!H23="Nandao Grupo B",29,IF(Atletas!H23="Taijijian Grupo B",30,IF(Atletas!H23="Daoshu Grupo A",31,IF(Atletas!H23="Jianshu Grupo A",32,IF(Atletas!H23="Nandao Grupo A",33,IF(Atletas!H23="Taijijian Grupo A",34,IF(Atletas!H23="Daoshu Opcional",35,IF(Atletas!H23="Jianshu Opcional",36,IF(Atletas!H23="Nandao Opcional",37,IF(Atletas!H23="Taijijian Opcional",38,IF(Atletas!H23="Daoshu Adulto",39,IF(Atletas!H23="Jianshu Adulto",40,IF(Atletas!H23="Nandao Adulto",41,IF(Atletas!H23="Taijijian Adulto",42,""))))))))))))))))))))))))))</f>
        <v/>
      </c>
      <c r="BA27" s="46" t="str">
        <f>IF(Atletas!I23="","",IF(Atletas!B23="Feminino",100,IF(Atletas!B23="Masculino",200,""))+(IF(Atletas!I23="Gunshu Mirim",43,IF(Atletas!I23="Qiangshu Mirim",44,IF(Atletas!I23="Nangun Mirim",45,IF(Atletas!I23="Gunshu Grupo C",46,IF(Atletas!I23="Qiangshu Grupo C",47,IF(Atletas!I23="Nangun Grupo C",48,IF(Atletas!I23="Gunshu Grupo B",49,IF(Atletas!I23="Qiangshu Grupo B",50,IF(Atletas!I23="Nangun Grupo B",51,IF(Atletas!I23="Gunshu Grupo A",52,IF(Atletas!I23="Qiangshu Grupo A",53,IF(Atletas!I23="Nangun Grupo A",54,IF(Atletas!I23="Gunshu Opcional",55,IF(Atletas!I23="Qiangshu Opcional",56,IF(Atletas!I23="Nangun Opcional",57,IF(Atletas!I23="Gunshu Adulto",58,IF(Atletas!I23="Qiangshu Adulto",59,IF(Atletas!I23="Nangun Adulto",60,""))))))))))))))))))))</f>
        <v/>
      </c>
      <c r="BB27" s="10" t="str">
        <f>IF(BC27&lt;&gt;"","Chanquan Grupo B","")</f>
        <v/>
      </c>
      <c r="BC27" s="52" t="str">
        <f>IF(COUNTIF(AY:BA,107)&gt;0,COUNTIF(AY:BA,107),"")</f>
        <v/>
      </c>
      <c r="BD27" s="10" t="str">
        <f>IF(BE27&lt;&gt;"","Chanquan Grupo B","")</f>
        <v/>
      </c>
      <c r="BE27" s="52" t="str">
        <f>IF(COUNTIF(AY:BA,207)&gt;0,COUNTIF(AY:BA,207),"")</f>
        <v/>
      </c>
      <c r="BF27" s="52" t="str">
        <f>IF(Atletas!J23="","",IF(Atletas!B23="Feminino",100,IF(Atletas!B23="Masculino",200,""))+(IF(Atletas!J23="Equipe 1 Grupo B",1,IF(Atletas!J23="Equipe 2 Grupo B",2,IF(Atletas!J23="Equipe 1 Grupo A",3,IF(Atletas!J23="Equipe 2 Grupo A",4,IF(Atletas!J23="Equipe 1 Adulto",5,IF(Atletas!J23="Equipe 2 Adulto",6,""))))))))</f>
        <v/>
      </c>
      <c r="BK27" s="52" t="str">
        <f>IF(Atletas!K23="","",IF(Atletas!W23&lt;&gt;"",10000,0)+(IF(Atletas!B23="Feminino",1000,IF(Atletas!B23="Masculino",2000,""))+IF(Atletas!K23="Choylayfut A",1,IF(Atletas!K23="Hunggar A",2,IF(Atletas!K23="Wuzuquan A",3,IF(Atletas!K23="Wingchun A",4,IF(Atletas!K23="Outra Mão de Sul A",5,IF(Atletas!K23="Choylayfut B",6,IF(Atletas!K23="Hunggar B",7,IF(Atletas!K23="Wuzuquan B",8,IF(Atletas!K23="Wingchun B",9,IF(Atletas!K23="Outra Mão de Sul B",10,IF(Atletas!K23="Choylayfut C",11,IF(Atletas!K23="Hunggar C",12,IF(Atletas!K23="Wuzuquan C",13,IF(Atletas!K23="Wingchun C",14,IF(Atletas!K23="Outra Mão de Sul C",15,IF(Atletas!K23="Choylayfut D",16,IF(Atletas!K23="Hunggar D",17,IF(Atletas!K23="Wuzuquan D",18,IF(Atletas!K23="Wingchun D",19,IF(Atletas!K23="Outra Mão de Sul D",20,IF(Atletas!K23="Choylayfut E",21,IF(Atletas!K23="Hunggar E",22,IF(Atletas!K23="Wuzuquan E",23,IF(Atletas!K23="Wingchun E",24,IF(Atletas!K23="Outra Mão de Sul E",25,IF(Atletas!K23="Choylayfut F",26,IF(Atletas!K23="Hunggar F",27,IF(Atletas!K23="Wuzuquan F",28,IF(Atletas!K23="Wingchun F",29,IF(Atletas!K23="Outra Mão de Sul F",30,""))))))))))))))))))))))))))))))))</f>
        <v/>
      </c>
      <c r="BL27" s="52" t="str">
        <f>IF(Atletas!L23="","",IF(Atletas!W23&lt;&gt;"",10000,0)+(IF(Atletas!B23="Feminino",1000,IF(Atletas!B23="Masculino",2000,""))+(IF(Atletas!L23="Chaquan A",101,IF(Atletas!L23="Emeiquan A",102,IF(Atletas!L23="Fanziquan A",103,IF(Atletas!L23="Huaquan A",104,IF(Atletas!L23="Hongquan A",105,IF(Atletas!L23="Paochui A",106,IF(Atletas!L23="Piguaquan A",107,IF(Atletas!L23="Shaolinquan A",108,IF(Atletas!L23="Tanglangquan A",109,IF(Atletas!L23="Yinzhaophai A",110,IF(Atletas!L23="Tongbeiquan A",111,IF(Atletas!L23="Wudangquan A",112,IF(Atletas!L23="Outros Estilos A",113,IF(Atletas!L23="Chaquan B",114,IF(Atletas!L23="Emeiquan B",115,IF(Atletas!L23="Fanziquan B",116,IF(Atletas!L23="Huaquan B",117,IF(Atletas!L23="Hongquan B",118,IF(Atletas!L23="Paochui B",119,IF(Atletas!L23="Piguaquan B",120,IF(Atletas!L23="Shaolinquan B",121,IF(Atletas!L23="Tanglangquan B",122,IF(Atletas!L23="Yinzhaophai B",123,IF(Atletas!L23="Tongbeiquan B",124,IF(Atletas!L23="Wudangquan B",125,IF(Atletas!L23="Outros Estilos B",126,IF(Atletas!L23="Chaquan C",127,IF(Atletas!L23="Emeiquan C",128,IF(Atletas!L23="Fanziquan C",129,IF(Atletas!L23="Huaquan C",130,IF(Atletas!L23="Hongquan C",131,IF(Atletas!L23="Paochui C",132,IF(Atletas!L23="Piguaquan C",133,IF(Atletas!L23="Shaolinquan C",134,IF(Atletas!L23="Tanglangquan C",135,IF(Atletas!L23="Yinzhaophai C",136,IF(Atletas!L23="Tongbeiquan C",137,IF(Atletas!L23="Wudangquan C",138,IF(Atletas!L23="Outros Estilos C",139,0))))))))))))))))))))))))))))))))))))))))))</f>
        <v/>
      </c>
      <c r="BM27" s="52" t="str">
        <f>IF(Atletas!L23="","",IF(Atletas!W23&lt;&gt;"",10000,0)+(IF(Atletas!B23="Feminino",1000,IF(Atletas!B23="Masculino",2000,""))+(IF(Atletas!L23="Chaquan D",140,IF(Atletas!L23="Emeiquan D",141,IF(Atletas!L23="Fanziquan D",142,IF(Atletas!L23="Huaquan D",143,IF(Atletas!L23="Hongquan D",144,IF(Atletas!L23="Paochui D",145,IF(Atletas!L23="Piguaquan D",146,IF(Atletas!L23="Shaolinquan D",147,IF(Atletas!L23="Tanglangquan D",148,IF(Atletas!L23="Yinzhaophai D",149,IF(Atletas!L23="Tongbeiquan D",150,IF(Atletas!L23="Wudangquan D",151,IF(Atletas!L23="Outros Estilos D",152,IF(Atletas!L23="Chaquan E",153,IF(Atletas!L23="Emeiquan E",154,IF(Atletas!L23="Fanziquan E",155,IF(Atletas!L23="Huaquan E",156,IF(Atletas!L23="Hongquan E",157,IF(Atletas!L23="Paochui E",158,IF(Atletas!L23="Piguaquan E",159,IF(Atletas!L23="Shaolinquan E",160,IF(Atletas!L23="Tanglangquan E",161,IF(Atletas!L23="Yinzhaophai E",162,IF(Atletas!L23="Tongbeiquan E",163,IF(Atletas!L23="Wudangquan E",164,IF(Atletas!L23="Outros Estilos E",165,IF(Atletas!L23="Chaquan F",166,IF(Atletas!L23="Emeiquan F",167,IF(Atletas!L23="Fanziquan F",168,IF(Atletas!L23="Huaquan F",169,IF(Atletas!L23="Hongquan F",170,IF(Atletas!L23="Paochui F",171,IF(Atletas!L23="Piguaquan F",172,IF(Atletas!L23="Shaolinquan F",173,IF(Atletas!L23="Tanglangquan F",174,IF(Atletas!L23="Yinzhaophai F",175,IF(Atletas!L23="Tongbeiquan F",176,IF(Atletas!L23="Wudangquan F",177,IF(Atletas!L23="Outros Estilos F",178,0))))))))))))))))))))))))))))))))))))))))))</f>
        <v/>
      </c>
      <c r="BN27" s="52" t="str">
        <f>IF(Atletas!M23="","",IF(Atletas!W23&lt;&gt;"",10000,0)+(IF(Atletas!B23="Feminino",1000,IF(Atletas!B23="Masculino",2000,""))+(IF(Atletas!M23="Ditangquan A",201,IF(Atletas!M23="Houquan A",202,IF(Atletas!M23="Zuiquan A",203,IF(Atletas!M23="Ditangquan B",204,IF(Atletas!M23="Houquan B",205,IF(Atletas!M23="Zuiquan B",206,IF(Atletas!M23="Ditangquan C",207,IF(Atletas!M23="Houquan C",208,IF(Atletas!M23="Zuiquan C",209,IF(Atletas!M23="Ditangquan D",210,IF(Atletas!M23="Houquan D",211,IF(Atletas!M23="Zuiquan D",212,IF(Atletas!M23="Ditangquan E",213,IF(Atletas!M23="Houquan E",214,IF(Atletas!M23="Zuiquan E",215,IF(Atletas!M23="Ditangquan F",216,IF(Atletas!M23="Houquan F",217,IF(Atletas!M23="Zuiquan F",218,"")))))))))))))))))))))</f>
        <v/>
      </c>
      <c r="BO27" s="52" t="str">
        <f>IF(Atletas!N23="","",IF(Atletas!W23&lt;&gt;"",10000,0)+IF(Atletas!B23="Feminino",1000,IF(Atletas!B23="Masculino",2000,""))+IF(Atletas!N23="Yang A",301,IF(Atletas!N23="Chen A",30,IF(Atletas!N23="Sun A",303,IF(Atletas!N23="Wu A",304,IF(Atletas!N23="Wu-Hao A",305,IF(Atletas!N23="Outro Taijiquan A",306,IF(Atletas!N23="Yang B",307,IF(Atletas!N23="Chen B",308,IF(Atletas!N23="Sun B",309,IF(Atletas!N23="Wu B",310,IF(Atletas!N23="Wu-Hao B",311,IF(Atletas!N23="Outro Taijiquan B",312,IF(Atletas!N23="Yang C",313,IF(Atletas!N23="Chen C",314,IF(Atletas!N23="Sun C",315,IF(Atletas!N23="Wu C",316,IF(Atletas!N23="Wu-Hao C",317,IF(Atletas!N23="Outro Taijiquan C",318,IF(Atletas!N23="Yang D",319,IF(Atletas!N23="Chen D",320,IF(Atletas!N23="Sun D",321,IF(Atletas!N23="Wu D",322,IF(Atletas!N23="Wu-Hao D",323,IF(Atletas!N23="Outro Taijiquan D",324,IF(Atletas!N23="Yang E",325,IF(Atletas!N23="Chen E",326,IF(Atletas!N23="Sun E",327,IF(Atletas!N23="Wu E",328,IF(Atletas!N23="Wu-Hao E",329,IF(Atletas!N23="Outro Taijiquan E",330,IF(Atletas!N23="Yang F",331,IF(Atletas!N23="Chen F",332,IF(Atletas!N23="Sun F",333,IF(Atletas!N23="Wu F",334,IF(Atletas!N23="Wu-Hao F",335,IF(Atletas!N23="Outro Taijiquan F",336,"")))))))))))))))))))))))))))))))))))))</f>
        <v/>
      </c>
      <c r="BP27" s="52" t="str">
        <f>IF(Atletas!O23="","",IF(Atletas!W23&lt;&gt;"",10000,0)+IF(Atletas!B23="Feminino",1000,IF(Atletas!B23="Masculino",2000,""))+IF(OR(Atletas!O23="Yang 26 A",Atletas!O23="Yang 40 A"),401,IF(OR(Atletas!O23="Chen 25 A",Atletas!O23="Chen 36 A",Atletas!O23="Chen 56 A"),402,IF(Atletas!O23="Sun 73 A",403,IF(Atletas!O23="Wu 45 A",404,IF(Atletas!O23="Wu-Hao 46 A",405,IF(OR(Atletas!O23="Taijiquan 16 A",Atletas!O23="Taijiquan 24 A",Atletas!O23="Taijiquan 32 A",Atletas!O23="Taijiquan 42 A"),406,IF(OR(Atletas!O23="Yang 26 B",Atletas!O23="Yang 40 B"),407,IF(OR(Atletas!O23="Chen 25 B",Atletas!O23="Chen 36 B",Atletas!O23="Chen 56 B"),408,IF(Atletas!O23="Sun 73 B",409,IF(Atletas!O23="Wu 45 B",410,IF(Atletas!O23="Wu-Hao 46 B",411,IF(OR(Atletas!O23="Taijiquan 16 B",Atletas!O23="Taijiquan 24 B",Atletas!O23="Taijiquan 32 B",Atletas!O23="Taijiquan 42 B"),412,IF(OR(Atletas!O23="Yang 26 C",Atletas!O23="Yang 40 C"),413,IF(OR(Atletas!O23="Chen 25 C",Atletas!O23="Chen 36 C",Atletas!O23="Chen 56 C"),414,IF(Atletas!O23="Sun 73 C",415,IF(Atletas!O23="Wu 45 C",416,IF(Atletas!O23="Wu-Hao 46 C",417,IF(OR(Atletas!O23="Taijiquan 16 C",Atletas!O23="Taijiquan 24 C",Atletas!O23="Taijiquan 32 C",Atletas!O23="Taijiquan 42 C"),418,0)))))))))))))))))))</f>
        <v/>
      </c>
      <c r="BQ27" s="52" t="str">
        <f>IF(Atletas!O23="","",IF(Atletas!W23&lt;&gt;"",10000,0)+IF(Atletas!B23="Feminino",1000,IF(Atletas!B23="Masculino",2000,""))+IF(OR(Atletas!O23="Yang 26 D",Atletas!O23="Yang 40 D"),419,IF(OR(Atletas!O23="Chen 25 D",Atletas!O23="Chen 36 D",Atletas!O23="Chen 56 D"),420,IF(Atletas!O23="Sun 73 D",421,IF(Atletas!O23="Wu 45 D",422,IF(Atletas!O23="Wu-Hao 46 D",423,IF(OR(Atletas!O23="Taijiquan 16 D",Atletas!O23="Taijiquan 24 D",Atletas!O23="Taijiquan 32 D",Atletas!O23="Taijiquan 42 D"),424,IF(OR(Atletas!O23="Yang 26 E",Atletas!O23="Yang 40 E"),425,IF(OR(Atletas!O23="Chen 25 E",Atletas!O23="Chen 36 E",Atletas!O23="Chen 56 E"),426,IF(Atletas!O23="Sun 73 E",427,IF(Atletas!O23="Wu 45 E",428,IF(Atletas!O23="Wu-Hao 46 E",429,IF(OR(Atletas!O23="Taijiquan 16 E",Atletas!O23="Taijiquan 24 E",Atletas!O23="Taijiquan 32 E",Atletas!O23="Taijiquan 42 E"),430,IF(OR(Atletas!O23="Yang 26 F",Atletas!O23="Yang 40 F"),431,IF(OR(Atletas!O23="Chen 25 F",Atletas!O23="Chen 36 F",Atletas!O23="Chen 56 F"),432,IF(Atletas!O23="Sun 73 F",433,IF(Atletas!O23="Wu 45 F",434,IF(Atletas!O23="Wu-Hao 46 F",435,IF(OR(Atletas!O23="Taijiquan 16 F",Atletas!O23="Taijiquan 24 F",Atletas!O23="Taijiquan 32 F",Atletas!O23="Taijiquan 42 F"),436,0)))))))))))))))))))</f>
        <v/>
      </c>
      <c r="BR27" s="52" t="str">
        <f>IF(Atletas!P23="","",IF(Atletas!W23&lt;&gt;"",10000,0)+IF(Atletas!B23="Feminino",1000,IF(Atletas!B23="Masculino",2000,""))+IF(Atletas!P23="Xingyiquan A",501,IF(Atletas!P23="Baguazhang A",502,IF(Atletas!P23="Outro Estilo Interno A",503,IF(Atletas!P23="Xingyiquan B",504,IF(Atletas!P23="Baguazhang B",505,IF(Atletas!P23="Outro Estilo Interno B",506,IF(Atletas!P23="Xingyiquan C",507,IF(Atletas!P23="Baguazhang C",508,IF(Atletas!P23="Outro Estilo Interno C",509,IF(Atletas!P23="Xingyiquan D",510,IF(Atletas!P23="Baguazhang D",511,IF(Atletas!P23="Outro Estilo Interno D",512,IF(Atletas!P23="Xingyiquan E",513,IF(Atletas!P23="Baguazhang E",514,IF(Atletas!P23="Outro Estilo Interno E",515,IF(Atletas!P23="Xingyiquan F",516,IF(Atletas!P23="Baguazhang F",517,IF(Atletas!P23="Outro Estilo Interno F",518, "")))))))))))))))))))</f>
        <v/>
      </c>
      <c r="BS27" s="52" t="str">
        <f>IF(Atletas!Q23="","",IF(Atletas!W23&lt;&gt;"",10000,0)+IF(Atletas!B23="Feminino",1000,IF(Atletas!B23="Masculino",2000,""))+IF(Atletas!Q23="Dao A",601,IF(Atletas!Q23="Jian A",602,IF(Atletas!Q23="Bishou A",603,IF(Atletas!Q23="Shan A",604,IF(Atletas!Q23="Outra Arma Curta A",605,IF(Atletas!Q23="Dao B",606,IF(Atletas!Q23="Jian B",607,IF(Atletas!Q23="Bishou B",608,IF(Atletas!Q23="Shan B",609,IF(Atletas!Q23="Outra Arma Curta B",610,IF(Atletas!Q23="Dao C",611,IF(Atletas!Q23="Jian C",612,IF(Atletas!Q23="Bishou C",613,IF(Atletas!Q23="Shan C",614,IF(Atletas!Q23="Outra Arma Curta C",615,IF(Atletas!Q23="Dao D",616,IF(Atletas!Q23="Jian D",617,IF(Atletas!Q23="Bishou D",618,IF(Atletas!Q23="Shan D",619,IF(Atletas!Q23="Outra Arma Curta D",620,IF(Atletas!Q23="Dao E",621,IF(Atletas!Q23="Jian E",622,IF(Atletas!Q23="Bishou E",623,IF(Atletas!Q23="Shan E",624,IF(Atletas!Q23="Outra Arma Curta E",625,IF(Atletas!Q23="Dao F",626,IF(Atletas!Q23="Jian F",627,IF(Atletas!Q23="Bishou F",628,IF(Atletas!Q23="Shan F",629,IF(Atletas!Q23="Outra Arma Curta F",630, "")))))))))))))))))))))))))))))))</f>
        <v/>
      </c>
      <c r="BT27" s="52" t="str">
        <f>IF(Atletas!R23="","",IF(Atletas!W23&lt;&gt;"",10000,0)+IF(Atletas!B23="Feminino",1000,IF(Atletas!B23="Masculino",2000,""))+IF(Atletas!R23="Gun A",701,IF(Atletas!R23="Qiang A",702,IF(Atletas!R23="Pudao / Guandao A",703,IF(Atletas!R23="Outra Arma Longa A",704,IF(Atletas!R23="Gun B",705,IF(Atletas!R23="Qiang B",706,IF(Atletas!R23="Pudao / Guandao B",707,IF(Atletas!R23="Outra Arma Longa B",708,IF(Atletas!R23="Gun C",709,IF(Atletas!R23="Qiang C",710,IF(Atletas!R23="Pudao / Guandao C",711,IF(Atletas!R23="Outra Arma Longa C",712,IF(Atletas!R23="Gun D",713,IF(Atletas!R23="Qiang D",714,IF(Atletas!R23="Pudao / Guandao D",715,IF(Atletas!R23="Outra Arma Longa D",716,IF(Atletas!R23="Gun E",717,IF(Atletas!R23="Qiang E",718,IF(Atletas!R23="Pudao / Guandao E",719,IF(Atletas!R23="Outra Arma Longa E",720,IF(Atletas!R23="Gun F",721,IF(Atletas!R23="Qiang F",722,IF(Atletas!R23="Pudao / Guandao F",723,IF(Atletas!R23="Outra Arma Longa F",724,"")))))))))))))))))))))))))</f>
        <v/>
      </c>
      <c r="BU27" s="52" t="str">
        <f>IF(Atletas!S23="","",IF(Atletas!W23&lt;&gt;"",10000,0)+IF(Atletas!B23="Feminino",1000,IF(Atletas!B23="Masculino",2000,""))+IF(Atletas!S23="Arma Dupla A",801,IF(Atletas!S23="Arma Maleável A",802,IF(Atletas!S23="Arma Dupla B",803,IF(Atletas!S23="Arma Maleável B",804,IF(Atletas!S23="Arma Dupla C",805,IF(Atletas!S23="Arma Maleável C",806,IF(Atletas!S23="Arma Dupla D",807,IF(Atletas!S23="Arma Maleável D",808,IF(Atletas!S23="Arma Dupla E",809,IF(Atletas!S23="Arma Maleável E",810,IF(Atletas!S23="Arma Dupla F",811,IF(Atletas!S23="Arma Maleável F",812, "")))))))))))))</f>
        <v/>
      </c>
      <c r="BV27" s="52" t="str">
        <f>IF(Atletas!T23="","",IF(Atletas!W23&lt;&gt;"",10000,0)+IF(Atletas!B23="Feminino",1000,IF(Atletas!B23="Masculino",2000,""))+IF(Atletas!T23="Taijijian Yang A",901,IF(Atletas!T23="Taijijian Chen A",902,IF(Atletas!T23="Taijijian Sun A",903,IF(Atletas!T23="Taijijian Wu A",904,IF(Atletas!T23="Taijijian Wu-Hao A",905,IF(Atletas!T23="Taijijian 32 A",906,IF(Atletas!T23="Taijijian 42 A",907,IF(Atletas!T23="Taijijian Yang B",908,IF(Atletas!T23="Taijijian Chen B",909,IF(Atletas!T23="Taijijian Sun B",910,IF(Atletas!T23="Taijijian Wu B",911,IF(Atletas!T23="Taijijian Wu-Hao B",912,IF(Atletas!T23="Taijijian 32 B",913,IF(Atletas!T23="Taijijian 42 B",914,IF(Atletas!T23="Taijijian Yang C",915,IF(Atletas!T23="Taijijian Chen C",916,IF(Atletas!T23="Taijijian Sun C",917,IF(Atletas!T23="Taijijian Wu C",918,IF(Atletas!T23="Taijijian Wu-Hao C",919,IF(Atletas!T23="Taijijian 32 C",920,IF(Atletas!T23="Taijijian 42 C",921,IF(Atletas!T23="Taijijian Yang D",922,IF(Atletas!T23="Taijijian Chen D",923,IF(Atletas!T23="Taijijian Sun D",924,IF(Atletas!T23="Taijijian Wu D",925,IF(Atletas!T23="Taijijian Wu-Hao D",926,IF(Atletas!T23="Taijijian 32 D",927,IF(Atletas!T23="Taijijian 42 D",928,IF(Atletas!T23="Taijijian Yang E",929,IF(Atletas!T23="Taijijian Chen E",930,IF(Atletas!T23="Taijijian Sun E",931,IF(Atletas!T23="Taijijian Wu E",932,IF(Atletas!T23="Taijijian Wu-Hao E",933,IF(Atletas!T23="Taijijian 32 E",934,IF(Atletas!T23="Taijijian 42 E",935,IF(Atletas!T23="Taijijian Yang F",936,IF(Atletas!T23="Taijijian Chen F",937,IF(Atletas!T23="Taijijian Sun F",938,IF(Atletas!T23="Taijijian Wu F",939,IF(Atletas!T23="Taijijian Wu-Hao F",940,IF(Atletas!T23="Taijijian 32 F",941,IF(Atletas!T23="Taijijian 42 F",942,"")))))))))))))))))))))))))))))))))))))))))))</f>
        <v/>
      </c>
      <c r="BW27" s="52" t="str">
        <f>IF(Atletas!U23="","",IF(Atletas!W23&lt;&gt;"",10000,0)+IF(Atletas!B23="Feminino",1000,IF(Atletas!B23="Masculino",2000,""))+IF(Atletas!T23="Taijijian 42 F",942,IF(Atletas!U23="Taijidao A",943,IF(Atletas!U23="Taijishan A",944,IF(Atletas!U23="Taijiqiang A",945,IF(Atletas!U23="Taijidao B",946,IF(Atletas!U23="Taijishan B",947,IF(Atletas!U23="Taijiqiang B",948,IF(Atletas!U23="Taijidao C",949,IF(Atletas!U23="Taijishan C",950,IF(Atletas!U23="Taijiqiang C",951,IF(Atletas!U23="Taijidao D",952,IF(Atletas!U23="Taijishan D",953,IF(Atletas!U23="Taijiqiang D",954,IF(Atletas!U23="Taijidao E",955,IF(Atletas!U23="Taijishan E",956,IF(Atletas!U23="Taijiqiang E",957,IF(Atletas!U23="Taijidao F",958,IF(Atletas!U23="Taijishan F",959,IF(Atletas!U23="Taijiqiang F",960))))))))))))))))))))</f>
        <v/>
      </c>
      <c r="BX27" s="64" t="str">
        <f>IF(BY27&lt;&gt;"","Choylayfut E","")</f>
        <v/>
      </c>
      <c r="BY27" s="64" t="str">
        <f>IF(COUNTIF(BK:BW,1021)&gt;0,COUNTIF(BK:BW,1021),"")</f>
        <v/>
      </c>
      <c r="BZ27" s="64" t="str">
        <f>IF(CA27&lt;&gt;"","Choylayfut E","")</f>
        <v/>
      </c>
      <c r="CA27" s="64" t="str">
        <f>IF(COUNTIF(BK:BW,2021)&gt;0,COUNTIF(BK:BW,2021),"")</f>
        <v/>
      </c>
      <c r="CB27" s="64" t="str">
        <f>IF(CC27&lt;&gt;"","Choylayfut E","")</f>
        <v/>
      </c>
      <c r="CC27" s="64" t="str">
        <f>IF(COUNTIF(BK:BW,11021)&gt;0,COUNTIF(BK:BW,11021),"")</f>
        <v/>
      </c>
      <c r="CD27" s="64" t="str">
        <f>IF(CE27&lt;&gt;"","Choylayfut E","")</f>
        <v/>
      </c>
      <c r="CE27" s="64" t="str">
        <f>IF(COUNTIF(BK:BW,12021)&gt;0,COUNTIF(BK:BW,12021),"")</f>
        <v/>
      </c>
      <c r="CF27" s="52" t="str">
        <f xml:space="preserve"> IF(Atletas!V23="","",IF(Atletas!V23="Duilian de Mãos AB - Equipe 1",1,IF(Atletas!V23="Duilian de Mãos AB - Equipe 2",2,IF(Atletas!V23="Duilian de Armas AB - Equipe 1",3,IF(Atletas!V23="Duilian de Armas AB - Equipe 2",4,IF(Atletas!V23="Duilian de Tuishou - Equipe 1",5,IF(Atletas!V23="Duilian de Tuishou - Equipe 2",6,IF(Atletas!V23="Grupo Externo AB - Equipe 1",7,IF(Atletas!V23="Grupo Externo AB - Equipe 2",8,IF(Atletas!V23="Grupo Interno AB - Equipe 1",9,IF(Atletas!V23="Grupo Interno AB - Equipe 2",10,IF(Atletas!V23="Duilian de Mãos CD - Equipe 1",11,IF(Atletas!V23="Duilian de Mãos CD - Equipe 2",12,IF(Atletas!V23="Duilian de Armas CD - Equipe 1",13,IF(Atletas!V23="Duilian de Armas CD - Equipe 2",14,IF(Atletas!V23="Duilian de Tuishou - Equipe 1",15,IF(Atletas!V23="Duilian de Tuishou - Equipe 2",16,IF(Atletas!V23="Grupo Externo CDEF - Equipe 1",17,IF(Atletas!V23="Grupo Externo CDEF - Equipe 2",18,IF(Atletas!V23="Grupo Interno CDEF - Equipe 1",19,IF(Atletas!V23="Grupo Interno CDEF - Equipe 2",20,IF(Atletas!V23="Duilian de Mãos EF - Equipe 1",21,IF(Atletas!V23="Duilian de Mãos EF - Equipe 2",22,IF(Atletas!V23="Duilian de Armas EF - Equipe 1",23,IF(Atletas!V23="Duilian de Armas EF - Equipe 2",24,IF(Atletas!V23="Duilian de Tuishou - Equipe 1",25,IF(Atletas!V23="Duilian de Tuishou - Equipe 2",26,"")))))))))))))))))))))))))))</f>
        <v/>
      </c>
      <c r="CR27" s="71"/>
    </row>
    <row r="28" spans="1:96">
      <c r="A28" s="25"/>
      <c r="B28" s="4" t="str">
        <f t="array" ref="B28">IFERROR(INDEX(AK$7:AK$36,SMALL(IF(AK$7:AK$36&lt;&gt;"",ROW(AK$7:AK$36)-ROW(AK$7)+1),ROWS(AK$7:AK27))),"")</f>
        <v/>
      </c>
      <c r="C28" s="4" t="str">
        <f t="array" ref="C28">IFERROR(INDEX(AL$7:AL$36,SMALL(IF(AL$7:AL$36&lt;&gt;"",ROW(AL$7:AL$36)-ROW(AL$7)+1),ROWS(AL$7:AL27))),"")</f>
        <v/>
      </c>
      <c r="D28" s="4" t="str">
        <f t="array" ref="D28">IFERROR(INDEX(AM$7:AM$36,SMALL(IF(AM$7:AM$36&lt;&gt;"",ROW(AM$7:AM$36)-ROW(AM$7)+1),ROWS(AM$7:AM27))),"")</f>
        <v/>
      </c>
      <c r="E28" s="4" t="str">
        <f t="array" ref="E28">IFERROR(INDEX(AN$7:AN$36,SMALL(IF(AN$7:AN$36&lt;&gt;"",ROW(AN$7:AN$36)-ROW(AN$7)+1),ROWS(AN$7:AN27))),"")</f>
        <v/>
      </c>
      <c r="F28" s="4" t="str">
        <f t="array" ref="F28">IFERROR(INDEX(AP$7:AP$36,SMALL(IF(AP$7:AP$36&lt;&gt;"",ROW(AP$7:AP$36)-ROW(AP$7)+1),ROWS(AP$7:AP27))),"")</f>
        <v/>
      </c>
      <c r="G28" s="4" t="str">
        <f t="array" ref="G28">IFERROR(INDEX(AQ$7:AQ$36,SMALL(IF(AQ$7:AQ$36&lt;&gt;"",ROW(AQ$7:AQ$36)-ROW(AQ$7)+1),ROWS(AQ$7:AQ27))),"")</f>
        <v/>
      </c>
      <c r="H28" s="4" t="str">
        <f t="array" ref="H28">IFERROR(INDEX(AR$7:AR$36,SMALL(IF(AR$7:AR$36&lt;&gt;"",ROW(AR$7:AR$36)-ROW(AR$7)+1),ROWS(AR$7:AR27))),"")</f>
        <v/>
      </c>
      <c r="I28" s="4" t="str">
        <f t="array" ref="I28">IFERROR(INDEX(AS$7:AS$36,SMALL(IF(AS$7:AS$36&lt;&gt;"",ROW(AS$7:AS$36)-ROW(AS$7)+1),ROWS(AS$7:AS27))),"")</f>
        <v/>
      </c>
      <c r="J28" s="4" t="str">
        <f t="array" ref="J28">IFERROR(INDEX(AS$7:AS$36,SMALL(IF(AS$7:AS$36&lt;&gt;"",ROW(AS$7:AS$36)-ROW(AS$7)+1),ROWS(AS$7:AS27))),"")</f>
        <v/>
      </c>
      <c r="K28" s="4" t="str">
        <f t="array" ref="K28">IFERROR(INDEX(AV$7:AV$36,SMALL(IF(AV$7:AV$36&lt;&gt;"",ROW(AV$7:AV$36)-ROW(AV$7)+1),ROWS(AV$7:AV27))),"")</f>
        <v/>
      </c>
      <c r="L28" s="4" t="str">
        <f t="array" ref="L28">IFERROR(INDEX(AW$7:AW$36,SMALL(IF(AW$7:AW$36&lt;&gt;"",ROW(AW$7:AW$36)-ROW(AW$7)+1),ROWS(AW$7:AW27))),"")</f>
        <v/>
      </c>
      <c r="M28" s="4" t="str">
        <f t="array" ref="M28">IFERROR(INDEX(AX$7:AX$36,SMALL(IF(AX$7:AX$36&lt;&gt;"",ROW(AX$7:AX$36)-ROW(AX$7)+1),ROWS(AX$7:AX27))),"")</f>
        <v/>
      </c>
      <c r="N28" s="4" t="str">
        <f t="array" ref="N28">IFERROR(INDEX(BB$7:BB$66,SMALL(IF(BB$7:BB$66&lt;&gt;"",ROW(BB$7:BB$66)-ROW(BB$7)+1),ROWS(BB$7:BB27))),"")</f>
        <v/>
      </c>
      <c r="O28" s="4" t="str">
        <f t="array" ref="O28">IFERROR(INDEX(BC$7:BC$66,SMALL(IF(BC$7:BC$66&lt;&gt;"",ROW(BC$7:BC$66)-ROW(BC$7)+1),ROWS(BC$7:BC27))),"")</f>
        <v/>
      </c>
      <c r="P28" s="4" t="str">
        <f t="array" ref="P28">IFERROR(INDEX(BD$7:BD$66,SMALL(IF(BD$7:BD$66&lt;&gt;"",ROW(BD$7:BD$66)-ROW(BD$7)+1),ROWS(BD$7:BD27))),"")</f>
        <v/>
      </c>
      <c r="Q28" s="4" t="str">
        <f t="array" ref="Q28">IFERROR(INDEX(BE$7:BE$66,SMALL(IF(BE$7:BE$66&lt;&gt;"",ROW(BE$7:BE$66)-ROW(BE$7)+1),ROWS(BE$7:BE27))),"")</f>
        <v/>
      </c>
      <c r="R28" s="4"/>
      <c r="S28" s="4"/>
      <c r="T28" s="4"/>
      <c r="U28" s="4"/>
      <c r="V28" s="4" t="str">
        <f t="array" ref="V28">IFERROR(INDEX(BX$7:BX$336,SMALL(IF(BX$7:BX$336&lt;&gt;"",ROW(BX$7:BX$336)-ROW(BX$7)+1),ROWS(BX$7:BX27))),"")</f>
        <v/>
      </c>
      <c r="W28" s="4" t="str">
        <f t="array" ref="W28">IFERROR(INDEX(BY$7:BY$336,SMALL(IF(BY$7:BY$336&lt;&gt;"",ROW(BY$7:BY$336)-ROW(BY$7)+1),ROWS(BY$7:BY27))),"")</f>
        <v/>
      </c>
      <c r="X28" s="4" t="str">
        <f t="array" ref="X28">IFERROR(INDEX(BZ$7:BZ$336,SMALL(IF(BZ$7:BZ$336&lt;&gt;"",ROW(BZ$7:BZ$336)-ROW(BZ$7)+1),ROWS(BZ$7:BZ27))),"")</f>
        <v/>
      </c>
      <c r="Y28" s="4" t="str">
        <f t="array" ref="Y28">IFERROR(INDEX(CA$7:CA$336,SMALL(IF(CA$7:CA$336&lt;&gt;"",ROW(CA$7:CA$336)-ROW(CA$7)+1),ROWS(CA$7:CA27))),"")</f>
        <v/>
      </c>
      <c r="Z28" s="4" t="str">
        <f t="array" ref="Z28">IFERROR(INDEX(CB$7:CB$378,SMALL(IF(CB$7:CB$378&lt;&gt;"",ROW(CB$7:CB$378)-ROW(CB$7)+1),ROWS(CB$7:CB27))),"")</f>
        <v/>
      </c>
      <c r="AA28" s="4" t="str">
        <f t="array" ref="AA28">IFERROR(INDEX(CC$7:CC$378,SMALL(IF(CC$7:CC$378&lt;&gt;"",ROW(CC$7:CC$378)-ROW(CC$7)+1),ROWS(CC$7:CC27))),"")</f>
        <v/>
      </c>
      <c r="AB28" s="4" t="str">
        <f t="array" ref="AB28">IFERROR(INDEX(CD$7:CD$378,SMALL(IF(CD$7:CD$378&lt;&gt;"",ROW(CD$7:CD$378)-ROW(CD$7)+1),ROWS(CD$7:CD27))),"")</f>
        <v/>
      </c>
      <c r="AC28" s="4" t="str">
        <f t="array" ref="AC28">IFERROR(INDEX(CE$7:CE$378,SMALL(IF(CE$7:CE$378&lt;&gt;"",ROW(CE$7:CE$378)-ROW(CE$7)+1),ROWS(CE$7:CE27))),"")</f>
        <v/>
      </c>
      <c r="AD28" s="69" t="str">
        <f t="array" ref="AD28">IFERROR(INDEX(CG$7:CG$18,SMALL(IF(CG$7:CG$18&lt;&gt;"",ROW(CG$7:CG$18)-ROW(CG$7)+1),ROWS(CG$7:CG27))),"")</f>
        <v/>
      </c>
      <c r="AE28" s="69" t="str">
        <f t="array" ref="AE28">IFERROR(INDEX(CH$7:CH$18,SMALL(IF(CH$7:CH$18&lt;&gt;"",ROW(CH$7:CH$18)-ROW(CH$7)+1),ROWS(CH$7:CH27))),"")</f>
        <v/>
      </c>
      <c r="AF28" s="69" t="str">
        <f t="array" ref="AF28">IFERROR(INDEX(CI$7:CI$8,SMALL(IF(CI$7:CI$8&lt;&gt;"",ROW(CI$7:CI$8)-ROW(CI$7)+1),ROWS(CI$7:CI27))),"")</f>
        <v/>
      </c>
      <c r="AG28" s="69"/>
      <c r="AH28" s="69" t="str">
        <f t="array" ref="AH28">IFERROR(INDEX(CK$7:CK$14,SMALL(IF(CK$7:CK$14&lt;&gt;"",ROW(CK$7:CK$14)-ROW(CK$7)+1),ROWS(CK$7:CK27))),"")</f>
        <v/>
      </c>
      <c r="AI28" s="69"/>
      <c r="AJ28" s="46" t="str">
        <f>IF(Atletas!D24="","",IF(Atletas!B24="Feminino",100,IF(Atletas!B24="Masculino",200,""))+(IF(Atletas!D24="Infantil 39kg",1,IF(Atletas!D24="Infantil 42kg",2,IF(Atletas!D24="Infantil 45kg",3,IF(Atletas!D24="Infantil 48kg",4,IF(Atletas!D24="Infantil 52kg",5,IF(Atletas!D24="Infantil 56kg",6,IF(Atletas!D24="Infantil 60kg",7,IF(Atletas!D24="Juvenil 48kg",8,IF(Atletas!D24="Juvenil 52kg",9,IF(Atletas!D24="Juvenil 56kg",10,IF(Atletas!D24="Juvenil 60kg",11,IF(Atletas!D24="Juvenil 65kg",12,IF(Atletas!D24="Juvenil 70kg",13,IF(Atletas!D24="Juvenil 75kg",14,IF(Atletas!D24="Juvenil 80kg",15,IF(Atletas!D24="Adulto 48kg",16,IF(Atletas!D24="Adulto 52kg",17,IF(Atletas!D24="Adulto 56kg",18,IF(Atletas!D24="Adulto 60kg",19,IF(Atletas!D24="Adulto 65kg",20,IF(Atletas!D24="Adulto 70kg",21,IF(Atletas!D24="Adulto 75kg",22,IF(Atletas!D24="Adulto 80kg",23,IF(Atletas!D24="Adulto 85kg",24,IF(Atletas!D24="Adulto 90kg",25,IF(Atletas!D24="Adulto +90kg",26,""))))))))))))))))))))))))))))</f>
        <v/>
      </c>
      <c r="AK28" s="52"/>
      <c r="AL28" s="52"/>
      <c r="AM28" s="52" t="str">
        <f>IF(AN28&lt;&gt;"","Adulto 75kg","")</f>
        <v/>
      </c>
      <c r="AN28" s="10" t="str">
        <f>IF(COUNTIF(AJ:AJ,222)&gt;0,COUNTIF(AJ:AJ,222),"")</f>
        <v/>
      </c>
      <c r="AO28" s="10" t="str">
        <f>IF(Atletas!E24="","",IF(Atletas!B24="Feminino",100,IF(Atletas!B24="Masculino",200,""))+(IF(Atletas!E24="Juvenil 44kg",1,IF(Atletas!E24="Juvenil 48kg",2,IF(Atletas!E24="Juvenil 52kg",3,IF(Atletas!E24="Juvenil 56kg",4,IF(Atletas!E24="Juvenil 60kg",5,IF(Atletas!E24="Juvenil 65kg",6,IF(Atletas!E24="Juvenil 70kg",7,IF(Atletas!E24="Juvenil 75kg",8,IF(Atletas!E24="Juvenil 82kg",9,IF(Atletas!E24="Juvenil 90kg",10,IF(Atletas!E24="Juvenil 100kg",11,IF(Atletas!E24="Adulto 48kg",12,IF(Atletas!E24="Adulto 52kg",13,IF(Atletas!E24="Adulto 56kg",14,IF(Atletas!E24="Adulto 60kg",15,IF(Atletas!E24="Adulto 65kg",16,IF(Atletas!E24="Adulto 70kg",17,IF(Atletas!E24="Adulto 75kg",18,IF(Atletas!E24="Adulto 82kg",19,IF(Atletas!E24="Adulto 90kg",20,IF(Atletas!E24="Adulto 100kg",21,IF(Atletas!E24="Adulto +100kg",22,""))))))))))))))))))))))))</f>
        <v/>
      </c>
      <c r="AT28" s="10" t="str">
        <f>IF(Atletas!F24="","",IF(Atletas!B24="Feminino",100,IF(Atletas!B24="Masculino",200,""))+(IF(Atletas!F24="Adulto 48kg",1,IF(Atletas!F24="Adulto 56kg",2,IF(Atletas!F24="Adulto 65kg",3,IF(Atletas!F24="Adulto 75kg",4,IF(Atletas!F24="Adulto +75kg",5,IF(Atletas!F24="Adulto 52kg",6,IF(Atletas!F24="Adulto 60kg",7,IF(Atletas!F24="Adulto 70kg",8,IF(Atletas!F24="Adulto 80kg",9,IF(Atletas!F24="Adulto 90kg",10,IF(Atletas!F24="Adulto +90kg",11,"")))))))))))))</f>
        <v/>
      </c>
      <c r="AY28" s="46" t="str">
        <f>IF(Atletas!G24="","",IF(Atletas!B24="Feminino",100,IF(Atletas!B24="Masculino",200,""))+(IF(Atletas!G24="Changquan Mirim",1,IF(Atletas!G24="Nanquan Mirim",2,IF(Atletas!G24="Taijiquan Mirim",3,IF(Atletas!G24="Changquan Grupo C",4,IF(Atletas!G24="Nanquan Grupo C",5,IF(Atletas!G24="Taijiquan Grupo C",6,IF(Atletas!G24="Changquan Grupo B",7,IF(Atletas!G24="Nanquan Grupo B",8,IF(Atletas!G24="Taijiquan Grupo B",9,IF(Atletas!G24="Changquan Grupo A",10,IF(Atletas!G24="Nanquan Grupo A",11,IF(Atletas!G24="Taijiquan Grupo A",12,IF(Atletas!G24="Changquan Opcional",13,IF(Atletas!G24="Nanquan Opcional",14,IF(Atletas!G24="Taijiquan Opcional",15,IF(Atletas!G24="Changquan Adulto",16,IF(Atletas!G24="Nanquan Adulto",17,IF(Atletas!G24="Taijiquan Adulto",18,""))))))))))))))))))))</f>
        <v/>
      </c>
      <c r="AZ28" s="46" t="str">
        <f>IF(Atletas!H24="","",IF(Atletas!B24="Feminino",100,IF(Atletas!B24="Masculino",200,""))+(IF(Atletas!H24="Daoshu Mirim",19,IF(Atletas!H24="Jianshu Mirim",20,IF(Atletas!H24="Nandao Mirim",21,IF(Atletas!H24="Taijijian Mirim",22,IF(Atletas!H24="Daoshu Grupo C",23,IF(Atletas!H24="Jianshu Grupo C",24,IF(Atletas!H24="Nandao Grupo C",25,IF(Atletas!H24="Taijijian Grupo C",26,IF(Atletas!H24="Daoshu Grupo B",27,IF(Atletas!H24="Jianshu Grupo B",28,IF(Atletas!H24="Nandao Grupo B",29,IF(Atletas!H24="Taijijian Grupo B",30,IF(Atletas!H24="Daoshu Grupo A",31,IF(Atletas!H24="Jianshu Grupo A",32,IF(Atletas!H24="Nandao Grupo A",33,IF(Atletas!H24="Taijijian Grupo A",34,IF(Atletas!H24="Daoshu Opcional",35,IF(Atletas!H24="Jianshu Opcional",36,IF(Atletas!H24="Nandao Opcional",37,IF(Atletas!H24="Taijijian Opcional",38,IF(Atletas!H24="Daoshu Adulto",39,IF(Atletas!H24="Jianshu Adulto",40,IF(Atletas!H24="Nandao Adulto",41,IF(Atletas!H24="Taijijian Adulto",42,""))))))))))))))))))))))))))</f>
        <v/>
      </c>
      <c r="BA28" s="46" t="str">
        <f>IF(Atletas!I24="","",IF(Atletas!B24="Feminino",100,IF(Atletas!B24="Masculino",200,""))+(IF(Atletas!I24="Gunshu Mirim",43,IF(Atletas!I24="Qiangshu Mirim",44,IF(Atletas!I24="Nangun Mirim",45,IF(Atletas!I24="Gunshu Grupo C",46,IF(Atletas!I24="Qiangshu Grupo C",47,IF(Atletas!I24="Nangun Grupo C",48,IF(Atletas!I24="Gunshu Grupo B",49,IF(Atletas!I24="Qiangshu Grupo B",50,IF(Atletas!I24="Nangun Grupo B",51,IF(Atletas!I24="Gunshu Grupo A",52,IF(Atletas!I24="Qiangshu Grupo A",53,IF(Atletas!I24="Nangun Grupo A",54,IF(Atletas!I24="Gunshu Opcional",55,IF(Atletas!I24="Qiangshu Opcional",56,IF(Atletas!I24="Nangun Opcional",57,IF(Atletas!I24="Gunshu Adulto",58,IF(Atletas!I24="Qiangshu Adulto",59,IF(Atletas!I24="Nangun Adulto",60,""))))))))))))))))))))</f>
        <v/>
      </c>
      <c r="BB28" s="10" t="str">
        <f>IF(BC28&lt;&gt;"","Nanquan Grupo B","")</f>
        <v/>
      </c>
      <c r="BC28" s="52" t="str">
        <f>IF(COUNTIF(AY:BA,108)&gt;0,COUNTIF(AY:BA,108),"")</f>
        <v/>
      </c>
      <c r="BD28" s="10" t="str">
        <f>IF(BE28&lt;&gt;"","Nanquan Grupo B","")</f>
        <v/>
      </c>
      <c r="BE28" s="52" t="str">
        <f>IF(COUNTIF(AY:BA,208)&gt;0,COUNTIF(AY:BA,208),"")</f>
        <v/>
      </c>
      <c r="BF28" s="52" t="str">
        <f>IF(Atletas!J24="","",IF(Atletas!B24="Feminino",100,IF(Atletas!B24="Masculino",200,""))+(IF(Atletas!J24="Equipe 1 Grupo B",1,IF(Atletas!J24="Equipe 2 Grupo B",2,IF(Atletas!J24="Equipe 1 Grupo A",3,IF(Atletas!J24="Equipe 2 Grupo A",4,IF(Atletas!J24="Equipe 1 Adulto",5,IF(Atletas!J24="Equipe 2 Adulto",6,""))))))))</f>
        <v/>
      </c>
      <c r="BK28" s="52" t="str">
        <f>IF(Atletas!K24="","",IF(Atletas!W24&lt;&gt;"",10000,0)+(IF(Atletas!B24="Feminino",1000,IF(Atletas!B24="Masculino",2000,""))+IF(Atletas!K24="Choylayfut A",1,IF(Atletas!K24="Hunggar A",2,IF(Atletas!K24="Wuzuquan A",3,IF(Atletas!K24="Wingchun A",4,IF(Atletas!K24="Outra Mão de Sul A",5,IF(Atletas!K24="Choylayfut B",6,IF(Atletas!K24="Hunggar B",7,IF(Atletas!K24="Wuzuquan B",8,IF(Atletas!K24="Wingchun B",9,IF(Atletas!K24="Outra Mão de Sul B",10,IF(Atletas!K24="Choylayfut C",11,IF(Atletas!K24="Hunggar C",12,IF(Atletas!K24="Wuzuquan C",13,IF(Atletas!K24="Wingchun C",14,IF(Atletas!K24="Outra Mão de Sul C",15,IF(Atletas!K24="Choylayfut D",16,IF(Atletas!K24="Hunggar D",17,IF(Atletas!K24="Wuzuquan D",18,IF(Atletas!K24="Wingchun D",19,IF(Atletas!K24="Outra Mão de Sul D",20,IF(Atletas!K24="Choylayfut E",21,IF(Atletas!K24="Hunggar E",22,IF(Atletas!K24="Wuzuquan E",23,IF(Atletas!K24="Wingchun E",24,IF(Atletas!K24="Outra Mão de Sul E",25,IF(Atletas!K24="Choylayfut F",26,IF(Atletas!K24="Hunggar F",27,IF(Atletas!K24="Wuzuquan F",28,IF(Atletas!K24="Wingchun F",29,IF(Atletas!K24="Outra Mão de Sul F",30,""))))))))))))))))))))))))))))))))</f>
        <v/>
      </c>
      <c r="BL28" s="52" t="str">
        <f>IF(Atletas!L24="","",IF(Atletas!W24&lt;&gt;"",10000,0)+(IF(Atletas!B24="Feminino",1000,IF(Atletas!B24="Masculino",2000,""))+(IF(Atletas!L24="Chaquan A",101,IF(Atletas!L24="Emeiquan A",102,IF(Atletas!L24="Fanziquan A",103,IF(Atletas!L24="Huaquan A",104,IF(Atletas!L24="Hongquan A",105,IF(Atletas!L24="Paochui A",106,IF(Atletas!L24="Piguaquan A",107,IF(Atletas!L24="Shaolinquan A",108,IF(Atletas!L24="Tanglangquan A",109,IF(Atletas!L24="Yinzhaophai A",110,IF(Atletas!L24="Tongbeiquan A",111,IF(Atletas!L24="Wudangquan A",112,IF(Atletas!L24="Outros Estilos A",113,IF(Atletas!L24="Chaquan B",114,IF(Atletas!L24="Emeiquan B",115,IF(Atletas!L24="Fanziquan B",116,IF(Atletas!L24="Huaquan B",117,IF(Atletas!L24="Hongquan B",118,IF(Atletas!L24="Paochui B",119,IF(Atletas!L24="Piguaquan B",120,IF(Atletas!L24="Shaolinquan B",121,IF(Atletas!L24="Tanglangquan B",122,IF(Atletas!L24="Yinzhaophai B",123,IF(Atletas!L24="Tongbeiquan B",124,IF(Atletas!L24="Wudangquan B",125,IF(Atletas!L24="Outros Estilos B",126,IF(Atletas!L24="Chaquan C",127,IF(Atletas!L24="Emeiquan C",128,IF(Atletas!L24="Fanziquan C",129,IF(Atletas!L24="Huaquan C",130,IF(Atletas!L24="Hongquan C",131,IF(Atletas!L24="Paochui C",132,IF(Atletas!L24="Piguaquan C",133,IF(Atletas!L24="Shaolinquan C",134,IF(Atletas!L24="Tanglangquan C",135,IF(Atletas!L24="Yinzhaophai C",136,IF(Atletas!L24="Tongbeiquan C",137,IF(Atletas!L24="Wudangquan C",138,IF(Atletas!L24="Outros Estilos C",139,0))))))))))))))))))))))))))))))))))))))))))</f>
        <v/>
      </c>
      <c r="BM28" s="52" t="str">
        <f>IF(Atletas!L24="","",IF(Atletas!W24&lt;&gt;"",10000,0)+(IF(Atletas!B24="Feminino",1000,IF(Atletas!B24="Masculino",2000,""))+(IF(Atletas!L24="Chaquan D",140,IF(Atletas!L24="Emeiquan D",141,IF(Atletas!L24="Fanziquan D",142,IF(Atletas!L24="Huaquan D",143,IF(Atletas!L24="Hongquan D",144,IF(Atletas!L24="Paochui D",145,IF(Atletas!L24="Piguaquan D",146,IF(Atletas!L24="Shaolinquan D",147,IF(Atletas!L24="Tanglangquan D",148,IF(Atletas!L24="Yinzhaophai D",149,IF(Atletas!L24="Tongbeiquan D",150,IF(Atletas!L24="Wudangquan D",151,IF(Atletas!L24="Outros Estilos D",152,IF(Atletas!L24="Chaquan E",153,IF(Atletas!L24="Emeiquan E",154,IF(Atletas!L24="Fanziquan E",155,IF(Atletas!L24="Huaquan E",156,IF(Atletas!L24="Hongquan E",157,IF(Atletas!L24="Paochui E",158,IF(Atletas!L24="Piguaquan E",159,IF(Atletas!L24="Shaolinquan E",160,IF(Atletas!L24="Tanglangquan E",161,IF(Atletas!L24="Yinzhaophai E",162,IF(Atletas!L24="Tongbeiquan E",163,IF(Atletas!L24="Wudangquan E",164,IF(Atletas!L24="Outros Estilos E",165,IF(Atletas!L24="Chaquan F",166,IF(Atletas!L24="Emeiquan F",167,IF(Atletas!L24="Fanziquan F",168,IF(Atletas!L24="Huaquan F",169,IF(Atletas!L24="Hongquan F",170,IF(Atletas!L24="Paochui F",171,IF(Atletas!L24="Piguaquan F",172,IF(Atletas!L24="Shaolinquan F",173,IF(Atletas!L24="Tanglangquan F",174,IF(Atletas!L24="Yinzhaophai F",175,IF(Atletas!L24="Tongbeiquan F",176,IF(Atletas!L24="Wudangquan F",177,IF(Atletas!L24="Outros Estilos F",178,0))))))))))))))))))))))))))))))))))))))))))</f>
        <v/>
      </c>
      <c r="BN28" s="52" t="str">
        <f>IF(Atletas!M24="","",IF(Atletas!W24&lt;&gt;"",10000,0)+(IF(Atletas!B24="Feminino",1000,IF(Atletas!B24="Masculino",2000,""))+(IF(Atletas!M24="Ditangquan A",201,IF(Atletas!M24="Houquan A",202,IF(Atletas!M24="Zuiquan A",203,IF(Atletas!M24="Ditangquan B",204,IF(Atletas!M24="Houquan B",205,IF(Atletas!M24="Zuiquan B",206,IF(Atletas!M24="Ditangquan C",207,IF(Atletas!M24="Houquan C",208,IF(Atletas!M24="Zuiquan C",209,IF(Atletas!M24="Ditangquan D",210,IF(Atletas!M24="Houquan D",211,IF(Atletas!M24="Zuiquan D",212,IF(Atletas!M24="Ditangquan E",213,IF(Atletas!M24="Houquan E",214,IF(Atletas!M24="Zuiquan E",215,IF(Atletas!M24="Ditangquan F",216,IF(Atletas!M24="Houquan F",217,IF(Atletas!M24="Zuiquan F",218,"")))))))))))))))))))))</f>
        <v/>
      </c>
      <c r="BO28" s="52" t="str">
        <f>IF(Atletas!N24="","",IF(Atletas!W24&lt;&gt;"",10000,0)+IF(Atletas!B24="Feminino",1000,IF(Atletas!B24="Masculino",2000,""))+IF(Atletas!N24="Yang A",301,IF(Atletas!N24="Chen A",30,IF(Atletas!N24="Sun A",303,IF(Atletas!N24="Wu A",304,IF(Atletas!N24="Wu-Hao A",305,IF(Atletas!N24="Outro Taijiquan A",306,IF(Atletas!N24="Yang B",307,IF(Atletas!N24="Chen B",308,IF(Atletas!N24="Sun B",309,IF(Atletas!N24="Wu B",310,IF(Atletas!N24="Wu-Hao B",311,IF(Atletas!N24="Outro Taijiquan B",312,IF(Atletas!N24="Yang C",313,IF(Atletas!N24="Chen C",314,IF(Atletas!N24="Sun C",315,IF(Atletas!N24="Wu C",316,IF(Atletas!N24="Wu-Hao C",317,IF(Atletas!N24="Outro Taijiquan C",318,IF(Atletas!N24="Yang D",319,IF(Atletas!N24="Chen D",320,IF(Atletas!N24="Sun D",321,IF(Atletas!N24="Wu D",322,IF(Atletas!N24="Wu-Hao D",323,IF(Atletas!N24="Outro Taijiquan D",324,IF(Atletas!N24="Yang E",325,IF(Atletas!N24="Chen E",326,IF(Atletas!N24="Sun E",327,IF(Atletas!N24="Wu E",328,IF(Atletas!N24="Wu-Hao E",329,IF(Atletas!N24="Outro Taijiquan E",330,IF(Atletas!N24="Yang F",331,IF(Atletas!N24="Chen F",332,IF(Atletas!N24="Sun F",333,IF(Atletas!N24="Wu F",334,IF(Atletas!N24="Wu-Hao F",335,IF(Atletas!N24="Outro Taijiquan F",336,"")))))))))))))))))))))))))))))))))))))</f>
        <v/>
      </c>
      <c r="BP28" s="52" t="str">
        <f>IF(Atletas!O24="","",IF(Atletas!W24&lt;&gt;"",10000,0)+IF(Atletas!B24="Feminino",1000,IF(Atletas!B24="Masculino",2000,""))+IF(OR(Atletas!O24="Yang 26 A",Atletas!O24="Yang 40 A"),401,IF(OR(Atletas!O24="Chen 25 A",Atletas!O24="Chen 36 A",Atletas!O24="Chen 56 A"),402,IF(Atletas!O24="Sun 73 A",403,IF(Atletas!O24="Wu 45 A",404,IF(Atletas!O24="Wu-Hao 46 A",405,IF(OR(Atletas!O24="Taijiquan 16 A",Atletas!O24="Taijiquan 24 A",Atletas!O24="Taijiquan 32 A",Atletas!O24="Taijiquan 42 A"),406,IF(OR(Atletas!O24="Yang 26 B",Atletas!O24="Yang 40 B"),407,IF(OR(Atletas!O24="Chen 25 B",Atletas!O24="Chen 36 B",Atletas!O24="Chen 56 B"),408,IF(Atletas!O24="Sun 73 B",409,IF(Atletas!O24="Wu 45 B",410,IF(Atletas!O24="Wu-Hao 46 B",411,IF(OR(Atletas!O24="Taijiquan 16 B",Atletas!O24="Taijiquan 24 B",Atletas!O24="Taijiquan 32 B",Atletas!O24="Taijiquan 42 B"),412,IF(OR(Atletas!O24="Yang 26 C",Atletas!O24="Yang 40 C"),413,IF(OR(Atletas!O24="Chen 25 C",Atletas!O24="Chen 36 C",Atletas!O24="Chen 56 C"),414,IF(Atletas!O24="Sun 73 C",415,IF(Atletas!O24="Wu 45 C",416,IF(Atletas!O24="Wu-Hao 46 C",417,IF(OR(Atletas!O24="Taijiquan 16 C",Atletas!O24="Taijiquan 24 C",Atletas!O24="Taijiquan 32 C",Atletas!O24="Taijiquan 42 C"),418,0)))))))))))))))))))</f>
        <v/>
      </c>
      <c r="BQ28" s="52" t="str">
        <f>IF(Atletas!O24="","",IF(Atletas!W24&lt;&gt;"",10000,0)+IF(Atletas!B24="Feminino",1000,IF(Atletas!B24="Masculino",2000,""))+IF(OR(Atletas!O24="Yang 26 D",Atletas!O24="Yang 40 D"),419,IF(OR(Atletas!O24="Chen 25 D",Atletas!O24="Chen 36 D",Atletas!O24="Chen 56 D"),420,IF(Atletas!O24="Sun 73 D",421,IF(Atletas!O24="Wu 45 D",422,IF(Atletas!O24="Wu-Hao 46 D",423,IF(OR(Atletas!O24="Taijiquan 16 D",Atletas!O24="Taijiquan 24 D",Atletas!O24="Taijiquan 32 D",Atletas!O24="Taijiquan 42 D"),424,IF(OR(Atletas!O24="Yang 26 E",Atletas!O24="Yang 40 E"),425,IF(OR(Atletas!O24="Chen 25 E",Atletas!O24="Chen 36 E",Atletas!O24="Chen 56 E"),426,IF(Atletas!O24="Sun 73 E",427,IF(Atletas!O24="Wu 45 E",428,IF(Atletas!O24="Wu-Hao 46 E",429,IF(OR(Atletas!O24="Taijiquan 16 E",Atletas!O24="Taijiquan 24 E",Atletas!O24="Taijiquan 32 E",Atletas!O24="Taijiquan 42 E"),430,IF(OR(Atletas!O24="Yang 26 F",Atletas!O24="Yang 40 F"),431,IF(OR(Atletas!O24="Chen 25 F",Atletas!O24="Chen 36 F",Atletas!O24="Chen 56 F"),432,IF(Atletas!O24="Sun 73 F",433,IF(Atletas!O24="Wu 45 F",434,IF(Atletas!O24="Wu-Hao 46 F",435,IF(OR(Atletas!O24="Taijiquan 16 F",Atletas!O24="Taijiquan 24 F",Atletas!O24="Taijiquan 32 F",Atletas!O24="Taijiquan 42 F"),436,0)))))))))))))))))))</f>
        <v/>
      </c>
      <c r="BR28" s="52" t="str">
        <f>IF(Atletas!P24="","",IF(Atletas!W24&lt;&gt;"",10000,0)+IF(Atletas!B24="Feminino",1000,IF(Atletas!B24="Masculino",2000,""))+IF(Atletas!P24="Xingyiquan A",501,IF(Atletas!P24="Baguazhang A",502,IF(Atletas!P24="Outro Estilo Interno A",503,IF(Atletas!P24="Xingyiquan B",504,IF(Atletas!P24="Baguazhang B",505,IF(Atletas!P24="Outro Estilo Interno B",506,IF(Atletas!P24="Xingyiquan C",507,IF(Atletas!P24="Baguazhang C",508,IF(Atletas!P24="Outro Estilo Interno C",509,IF(Atletas!P24="Xingyiquan D",510,IF(Atletas!P24="Baguazhang D",511,IF(Atletas!P24="Outro Estilo Interno D",512,IF(Atletas!P24="Xingyiquan E",513,IF(Atletas!P24="Baguazhang E",514,IF(Atletas!P24="Outro Estilo Interno E",515,IF(Atletas!P24="Xingyiquan F",516,IF(Atletas!P24="Baguazhang F",517,IF(Atletas!P24="Outro Estilo Interno F",518, "")))))))))))))))))))</f>
        <v/>
      </c>
      <c r="BS28" s="52" t="str">
        <f>IF(Atletas!Q24="","",IF(Atletas!W24&lt;&gt;"",10000,0)+IF(Atletas!B24="Feminino",1000,IF(Atletas!B24="Masculino",2000,""))+IF(Atletas!Q24="Dao A",601,IF(Atletas!Q24="Jian A",602,IF(Atletas!Q24="Bishou A",603,IF(Atletas!Q24="Shan A",604,IF(Atletas!Q24="Outra Arma Curta A",605,IF(Atletas!Q24="Dao B",606,IF(Atletas!Q24="Jian B",607,IF(Atletas!Q24="Bishou B",608,IF(Atletas!Q24="Shan B",609,IF(Atletas!Q24="Outra Arma Curta B",610,IF(Atletas!Q24="Dao C",611,IF(Atletas!Q24="Jian C",612,IF(Atletas!Q24="Bishou C",613,IF(Atletas!Q24="Shan C",614,IF(Atletas!Q24="Outra Arma Curta C",615,IF(Atletas!Q24="Dao D",616,IF(Atletas!Q24="Jian D",617,IF(Atletas!Q24="Bishou D",618,IF(Atletas!Q24="Shan D",619,IF(Atletas!Q24="Outra Arma Curta D",620,IF(Atletas!Q24="Dao E",621,IF(Atletas!Q24="Jian E",622,IF(Atletas!Q24="Bishou E",623,IF(Atletas!Q24="Shan E",624,IF(Atletas!Q24="Outra Arma Curta E",625,IF(Atletas!Q24="Dao F",626,IF(Atletas!Q24="Jian F",627,IF(Atletas!Q24="Bishou F",628,IF(Atletas!Q24="Shan F",629,IF(Atletas!Q24="Outra Arma Curta F",630, "")))))))))))))))))))))))))))))))</f>
        <v/>
      </c>
      <c r="BT28" s="52" t="str">
        <f>IF(Atletas!R24="","",IF(Atletas!W24&lt;&gt;"",10000,0)+IF(Atletas!B24="Feminino",1000,IF(Atletas!B24="Masculino",2000,""))+IF(Atletas!R24="Gun A",701,IF(Atletas!R24="Qiang A",702,IF(Atletas!R24="Pudao / Guandao A",703,IF(Atletas!R24="Outra Arma Longa A",704,IF(Atletas!R24="Gun B",705,IF(Atletas!R24="Qiang B",706,IF(Atletas!R24="Pudao / Guandao B",707,IF(Atletas!R24="Outra Arma Longa B",708,IF(Atletas!R24="Gun C",709,IF(Atletas!R24="Qiang C",710,IF(Atletas!R24="Pudao / Guandao C",711,IF(Atletas!R24="Outra Arma Longa C",712,IF(Atletas!R24="Gun D",713,IF(Atletas!R24="Qiang D",714,IF(Atletas!R24="Pudao / Guandao D",715,IF(Atletas!R24="Outra Arma Longa D",716,IF(Atletas!R24="Gun E",717,IF(Atletas!R24="Qiang E",718,IF(Atletas!R24="Pudao / Guandao E",719,IF(Atletas!R24="Outra Arma Longa E",720,IF(Atletas!R24="Gun F",721,IF(Atletas!R24="Qiang F",722,IF(Atletas!R24="Pudao / Guandao F",723,IF(Atletas!R24="Outra Arma Longa F",724,"")))))))))))))))))))))))))</f>
        <v/>
      </c>
      <c r="BU28" s="52" t="str">
        <f>IF(Atletas!S24="","",IF(Atletas!W24&lt;&gt;"",10000,0)+IF(Atletas!B24="Feminino",1000,IF(Atletas!B24="Masculino",2000,""))+IF(Atletas!S24="Arma Dupla A",801,IF(Atletas!S24="Arma Maleável A",802,IF(Atletas!S24="Arma Dupla B",803,IF(Atletas!S24="Arma Maleável B",804,IF(Atletas!S24="Arma Dupla C",805,IF(Atletas!S24="Arma Maleável C",806,IF(Atletas!S24="Arma Dupla D",807,IF(Atletas!S24="Arma Maleável D",808,IF(Atletas!S24="Arma Dupla E",809,IF(Atletas!S24="Arma Maleável E",810,IF(Atletas!S24="Arma Dupla F",811,IF(Atletas!S24="Arma Maleável F",812, "")))))))))))))</f>
        <v/>
      </c>
      <c r="BV28" s="52" t="str">
        <f>IF(Atletas!T24="","",IF(Atletas!W24&lt;&gt;"",10000,0)+IF(Atletas!B24="Feminino",1000,IF(Atletas!B24="Masculino",2000,""))+IF(Atletas!T24="Taijijian Yang A",901,IF(Atletas!T24="Taijijian Chen A",902,IF(Atletas!T24="Taijijian Sun A",903,IF(Atletas!T24="Taijijian Wu A",904,IF(Atletas!T24="Taijijian Wu-Hao A",905,IF(Atletas!T24="Taijijian 32 A",906,IF(Atletas!T24="Taijijian 42 A",907,IF(Atletas!T24="Taijijian Yang B",908,IF(Atletas!T24="Taijijian Chen B",909,IF(Atletas!T24="Taijijian Sun B",910,IF(Atletas!T24="Taijijian Wu B",911,IF(Atletas!T24="Taijijian Wu-Hao B",912,IF(Atletas!T24="Taijijian 32 B",913,IF(Atletas!T24="Taijijian 42 B",914,IF(Atletas!T24="Taijijian Yang C",915,IF(Atletas!T24="Taijijian Chen C",916,IF(Atletas!T24="Taijijian Sun C",917,IF(Atletas!T24="Taijijian Wu C",918,IF(Atletas!T24="Taijijian Wu-Hao C",919,IF(Atletas!T24="Taijijian 32 C",920,IF(Atletas!T24="Taijijian 42 C",921,IF(Atletas!T24="Taijijian Yang D",922,IF(Atletas!T24="Taijijian Chen D",923,IF(Atletas!T24="Taijijian Sun D",924,IF(Atletas!T24="Taijijian Wu D",925,IF(Atletas!T24="Taijijian Wu-Hao D",926,IF(Atletas!T24="Taijijian 32 D",927,IF(Atletas!T24="Taijijian 42 D",928,IF(Atletas!T24="Taijijian Yang E",929,IF(Atletas!T24="Taijijian Chen E",930,IF(Atletas!T24="Taijijian Sun E",931,IF(Atletas!T24="Taijijian Wu E",932,IF(Atletas!T24="Taijijian Wu-Hao E",933,IF(Atletas!T24="Taijijian 32 E",934,IF(Atletas!T24="Taijijian 42 E",935,IF(Atletas!T24="Taijijian Yang F",936,IF(Atletas!T24="Taijijian Chen F",937,IF(Atletas!T24="Taijijian Sun F",938,IF(Atletas!T24="Taijijian Wu F",939,IF(Atletas!T24="Taijijian Wu-Hao F",940,IF(Atletas!T24="Taijijian 32 F",941,IF(Atletas!T24="Taijijian 42 F",942,"")))))))))))))))))))))))))))))))))))))))))))</f>
        <v/>
      </c>
      <c r="BW28" s="52" t="str">
        <f>IF(Atletas!U24="","",IF(Atletas!W24&lt;&gt;"",10000,0)+IF(Atletas!B24="Feminino",1000,IF(Atletas!B24="Masculino",2000,""))+IF(Atletas!T24="Taijijian 42 F",942,IF(Atletas!U24="Taijidao A",943,IF(Atletas!U24="Taijishan A",944,IF(Atletas!U24="Taijiqiang A",945,IF(Atletas!U24="Taijidao B",946,IF(Atletas!U24="Taijishan B",947,IF(Atletas!U24="Taijiqiang B",948,IF(Atletas!U24="Taijidao C",949,IF(Atletas!U24="Taijishan C",950,IF(Atletas!U24="Taijiqiang C",951,IF(Atletas!U24="Taijidao D",952,IF(Atletas!U24="Taijishan D",953,IF(Atletas!U24="Taijiqiang D",954,IF(Atletas!U24="Taijidao E",955,IF(Atletas!U24="Taijishan E",956,IF(Atletas!U24="Taijiqiang E",957,IF(Atletas!U24="Taijidao F",958,IF(Atletas!U24="Taijishan F",959,IF(Atletas!U24="Taijiqiang F",960))))))))))))))))))))</f>
        <v/>
      </c>
      <c r="BX28" s="64" t="str">
        <f>IF(BY28&lt;&gt;"","Hunggar E","")</f>
        <v/>
      </c>
      <c r="BY28" s="64" t="str">
        <f>IF(COUNTIF(BK:BW,1022)&gt;0,COUNTIF(BK:BW,1022),"")</f>
        <v/>
      </c>
      <c r="BZ28" s="64" t="str">
        <f>IF(CA28&lt;&gt;"","Hunggar E","")</f>
        <v/>
      </c>
      <c r="CA28" s="64" t="str">
        <f>IF(COUNTIF(BK:BW,2022)&gt;0,COUNTIF(BK:BW,2022),"")</f>
        <v/>
      </c>
      <c r="CB28" s="64" t="str">
        <f>IF(CC28&lt;&gt;"","Hunggar E","")</f>
        <v/>
      </c>
      <c r="CC28" s="64" t="str">
        <f>IF(COUNTIF(BK:BW,11022)&gt;0,COUNTIF(BK:BW,11022),"")</f>
        <v/>
      </c>
      <c r="CD28" s="64" t="str">
        <f>IF(CE28&lt;&gt;"","Hunggar E","")</f>
        <v/>
      </c>
      <c r="CE28" s="64" t="str">
        <f>IF(COUNTIF(BK:BW,12022)&gt;0,COUNTIF(BK:BW,12022),"")</f>
        <v/>
      </c>
      <c r="CF28" s="52" t="str">
        <f xml:space="preserve"> IF(Atletas!V24="","",IF(Atletas!V24="Duilian de Mãos AB - Equipe 1",1,IF(Atletas!V24="Duilian de Mãos AB - Equipe 2",2,IF(Atletas!V24="Duilian de Armas AB - Equipe 1",3,IF(Atletas!V24="Duilian de Armas AB - Equipe 2",4,IF(Atletas!V24="Duilian de Tuishou - Equipe 1",5,IF(Atletas!V24="Duilian de Tuishou - Equipe 2",6,IF(Atletas!V24="Grupo Externo AB - Equipe 1",7,IF(Atletas!V24="Grupo Externo AB - Equipe 2",8,IF(Atletas!V24="Grupo Interno AB - Equipe 1",9,IF(Atletas!V24="Grupo Interno AB - Equipe 2",10,IF(Atletas!V24="Duilian de Mãos CD - Equipe 1",11,IF(Atletas!V24="Duilian de Mãos CD - Equipe 2",12,IF(Atletas!V24="Duilian de Armas CD - Equipe 1",13,IF(Atletas!V24="Duilian de Armas CD - Equipe 2",14,IF(Atletas!V24="Duilian de Tuishou - Equipe 1",15,IF(Atletas!V24="Duilian de Tuishou - Equipe 2",16,IF(Atletas!V24="Grupo Externo CDEF - Equipe 1",17,IF(Atletas!V24="Grupo Externo CDEF - Equipe 2",18,IF(Atletas!V24="Grupo Interno CDEF - Equipe 1",19,IF(Atletas!V24="Grupo Interno CDEF - Equipe 2",20,IF(Atletas!V24="Duilian de Mãos EF - Equipe 1",21,IF(Atletas!V24="Duilian de Mãos EF - Equipe 2",22,IF(Atletas!V24="Duilian de Armas EF - Equipe 1",23,IF(Atletas!V24="Duilian de Armas EF - Equipe 2",24,IF(Atletas!V24="Duilian de Tuishou - Equipe 1",25,IF(Atletas!V24="Duilian de Tuishou - Equipe 2",26,"")))))))))))))))))))))))))))</f>
        <v/>
      </c>
      <c r="CR28" s="71"/>
    </row>
    <row r="29" spans="1:96">
      <c r="A29" s="20"/>
      <c r="B29" s="4" t="str">
        <f t="array" ref="B29">IFERROR(INDEX(AK$7:AK$36,SMALL(IF(AK$7:AK$36&lt;&gt;"",ROW(AK$7:AK$36)-ROW(AK$7)+1),ROWS(AK$7:AK28))),"")</f>
        <v/>
      </c>
      <c r="C29" s="4" t="str">
        <f t="array" ref="C29">IFERROR(INDEX(AL$7:AL$36,SMALL(IF(AL$7:AL$36&lt;&gt;"",ROW(AL$7:AL$36)-ROW(AL$7)+1),ROWS(AL$7:AL28))),"")</f>
        <v/>
      </c>
      <c r="D29" s="4" t="str">
        <f t="array" ref="D29">IFERROR(INDEX(AM$7:AM$36,SMALL(IF(AM$7:AM$36&lt;&gt;"",ROW(AM$7:AM$36)-ROW(AM$7)+1),ROWS(AM$7:AM28))),"")</f>
        <v/>
      </c>
      <c r="E29" s="4" t="str">
        <f t="array" ref="E29">IFERROR(INDEX(AN$7:AN$36,SMALL(IF(AN$7:AN$36&lt;&gt;"",ROW(AN$7:AN$36)-ROW(AN$7)+1),ROWS(AN$7:AN28))),"")</f>
        <v/>
      </c>
      <c r="F29" s="4" t="str">
        <f t="array" ref="F29">IFERROR(INDEX(AP$7:AP$36,SMALL(IF(AP$7:AP$36&lt;&gt;"",ROW(AP$7:AP$36)-ROW(AP$7)+1),ROWS(AP$7:AP28))),"")</f>
        <v/>
      </c>
      <c r="G29" s="4" t="str">
        <f t="array" ref="G29">IFERROR(INDEX(AQ$7:AQ$36,SMALL(IF(AQ$7:AQ$36&lt;&gt;"",ROW(AQ$7:AQ$36)-ROW(AQ$7)+1),ROWS(AQ$7:AQ28))),"")</f>
        <v/>
      </c>
      <c r="H29" s="4" t="str">
        <f t="array" ref="H29">IFERROR(INDEX(AR$7:AR$36,SMALL(IF(AR$7:AR$36&lt;&gt;"",ROW(AR$7:AR$36)-ROW(AR$7)+1),ROWS(AR$7:AR28))),"")</f>
        <v/>
      </c>
      <c r="I29" s="4" t="str">
        <f t="array" ref="I29">IFERROR(INDEX(AS$7:AS$36,SMALL(IF(AS$7:AS$36&lt;&gt;"",ROW(AS$7:AS$36)-ROW(AS$7)+1),ROWS(AS$7:AS28))),"")</f>
        <v/>
      </c>
      <c r="J29" s="4" t="str">
        <f t="array" ref="J29">IFERROR(INDEX(AS$7:AS$36,SMALL(IF(AS$7:AS$36&lt;&gt;"",ROW(AS$7:AS$36)-ROW(AS$7)+1),ROWS(AS$7:AS28))),"")</f>
        <v/>
      </c>
      <c r="K29" s="4" t="str">
        <f t="array" ref="K29">IFERROR(INDEX(AV$7:AV$36,SMALL(IF(AV$7:AV$36&lt;&gt;"",ROW(AV$7:AV$36)-ROW(AV$7)+1),ROWS(AV$7:AV28))),"")</f>
        <v/>
      </c>
      <c r="L29" s="4" t="str">
        <f t="array" ref="L29">IFERROR(INDEX(AW$7:AW$36,SMALL(IF(AW$7:AW$36&lt;&gt;"",ROW(AW$7:AW$36)-ROW(AW$7)+1),ROWS(AW$7:AW28))),"")</f>
        <v/>
      </c>
      <c r="M29" s="4" t="str">
        <f t="array" ref="M29">IFERROR(INDEX(AX$7:AX$36,SMALL(IF(AX$7:AX$36&lt;&gt;"",ROW(AX$7:AX$36)-ROW(AX$7)+1),ROWS(AX$7:AX28))),"")</f>
        <v/>
      </c>
      <c r="N29" s="4" t="str">
        <f t="array" ref="N29">IFERROR(INDEX(BB$7:BB$66,SMALL(IF(BB$7:BB$66&lt;&gt;"",ROW(BB$7:BB$66)-ROW(BB$7)+1),ROWS(BB$7:BB28))),"")</f>
        <v/>
      </c>
      <c r="O29" s="4" t="str">
        <f t="array" ref="O29">IFERROR(INDEX(BC$7:BC$66,SMALL(IF(BC$7:BC$66&lt;&gt;"",ROW(BC$7:BC$66)-ROW(BC$7)+1),ROWS(BC$7:BC28))),"")</f>
        <v/>
      </c>
      <c r="P29" s="4" t="str">
        <f t="array" ref="P29">IFERROR(INDEX(BD$7:BD$66,SMALL(IF(BD$7:BD$66&lt;&gt;"",ROW(BD$7:BD$66)-ROW(BD$7)+1),ROWS(BD$7:BD28))),"")</f>
        <v/>
      </c>
      <c r="Q29" s="4" t="str">
        <f t="array" ref="Q29">IFERROR(INDEX(BE$7:BE$66,SMALL(IF(BE$7:BE$66&lt;&gt;"",ROW(BE$7:BE$66)-ROW(BE$7)+1),ROWS(BE$7:BE28))),"")</f>
        <v/>
      </c>
      <c r="R29" s="4"/>
      <c r="S29" s="4"/>
      <c r="T29" s="4"/>
      <c r="U29" s="4"/>
      <c r="V29" s="4" t="str">
        <f t="array" ref="V29">IFERROR(INDEX(BX$7:BX$336,SMALL(IF(BX$7:BX$336&lt;&gt;"",ROW(BX$7:BX$336)-ROW(BX$7)+1),ROWS(BX$7:BX28))),"")</f>
        <v/>
      </c>
      <c r="W29" s="4" t="str">
        <f t="array" ref="W29">IFERROR(INDEX(BY$7:BY$336,SMALL(IF(BY$7:BY$336&lt;&gt;"",ROW(BY$7:BY$336)-ROW(BY$7)+1),ROWS(BY$7:BY28))),"")</f>
        <v/>
      </c>
      <c r="X29" s="4" t="str">
        <f t="array" ref="X29">IFERROR(INDEX(BZ$7:BZ$336,SMALL(IF(BZ$7:BZ$336&lt;&gt;"",ROW(BZ$7:BZ$336)-ROW(BZ$7)+1),ROWS(BZ$7:BZ28))),"")</f>
        <v/>
      </c>
      <c r="Y29" s="4" t="str">
        <f t="array" ref="Y29">IFERROR(INDEX(CA$7:CA$336,SMALL(IF(CA$7:CA$336&lt;&gt;"",ROW(CA$7:CA$336)-ROW(CA$7)+1),ROWS(CA$7:CA28))),"")</f>
        <v/>
      </c>
      <c r="Z29" s="4" t="str">
        <f t="array" ref="Z29">IFERROR(INDEX(CB$7:CB$378,SMALL(IF(CB$7:CB$378&lt;&gt;"",ROW(CB$7:CB$378)-ROW(CB$7)+1),ROWS(CB$7:CB28))),"")</f>
        <v/>
      </c>
      <c r="AA29" s="4" t="str">
        <f t="array" ref="AA29">IFERROR(INDEX(CC$7:CC$378,SMALL(IF(CC$7:CC$378&lt;&gt;"",ROW(CC$7:CC$378)-ROW(CC$7)+1),ROWS(CC$7:CC28))),"")</f>
        <v/>
      </c>
      <c r="AB29" s="4" t="str">
        <f t="array" ref="AB29">IFERROR(INDEX(CD$7:CD$378,SMALL(IF(CD$7:CD$378&lt;&gt;"",ROW(CD$7:CD$378)-ROW(CD$7)+1),ROWS(CD$7:CD28))),"")</f>
        <v/>
      </c>
      <c r="AC29" s="4" t="str">
        <f t="array" ref="AC29">IFERROR(INDEX(CE$7:CE$378,SMALL(IF(CE$7:CE$378&lt;&gt;"",ROW(CE$7:CE$378)-ROW(CE$7)+1),ROWS(CE$7:CE28))),"")</f>
        <v/>
      </c>
      <c r="AD29" s="69" t="str">
        <f t="array" ref="AD29">IFERROR(INDEX(CG$7:CG$18,SMALL(IF(CG$7:CG$18&lt;&gt;"",ROW(CG$7:CG$18)-ROW(CG$7)+1),ROWS(CG$7:CG28))),"")</f>
        <v/>
      </c>
      <c r="AE29" s="69" t="str">
        <f t="array" ref="AE29">IFERROR(INDEX(CH$7:CH$18,SMALL(IF(CH$7:CH$18&lt;&gt;"",ROW(CH$7:CH$18)-ROW(CH$7)+1),ROWS(CH$7:CH28))),"")</f>
        <v/>
      </c>
      <c r="AF29" s="69" t="str">
        <f t="array" ref="AF29">IFERROR(INDEX(CI$7:CI$8,SMALL(IF(CI$7:CI$8&lt;&gt;"",ROW(CI$7:CI$8)-ROW(CI$7)+1),ROWS(CI$7:CI28))),"")</f>
        <v/>
      </c>
      <c r="AG29" s="69"/>
      <c r="AH29" s="69" t="str">
        <f t="array" ref="AH29">IFERROR(INDEX(CK$7:CK$14,SMALL(IF(CK$7:CK$14&lt;&gt;"",ROW(CK$7:CK$14)-ROW(CK$7)+1),ROWS(CK$7:CK28))),"")</f>
        <v/>
      </c>
      <c r="AI29" s="69"/>
      <c r="AJ29" s="46" t="str">
        <f>IF(Atletas!D25="","",IF(Atletas!B25="Feminino",100,IF(Atletas!B25="Masculino",200,""))+(IF(Atletas!D25="Infantil 39kg",1,IF(Atletas!D25="Infantil 42kg",2,IF(Atletas!D25="Infantil 45kg",3,IF(Atletas!D25="Infantil 48kg",4,IF(Atletas!D25="Infantil 52kg",5,IF(Atletas!D25="Infantil 56kg",6,IF(Atletas!D25="Infantil 60kg",7,IF(Atletas!D25="Juvenil 48kg",8,IF(Atletas!D25="Juvenil 52kg",9,IF(Atletas!D25="Juvenil 56kg",10,IF(Atletas!D25="Juvenil 60kg",11,IF(Atletas!D25="Juvenil 65kg",12,IF(Atletas!D25="Juvenil 70kg",13,IF(Atletas!D25="Juvenil 75kg",14,IF(Atletas!D25="Juvenil 80kg",15,IF(Atletas!D25="Adulto 48kg",16,IF(Atletas!D25="Adulto 52kg",17,IF(Atletas!D25="Adulto 56kg",18,IF(Atletas!D25="Adulto 60kg",19,IF(Atletas!D25="Adulto 65kg",20,IF(Atletas!D25="Adulto 70kg",21,IF(Atletas!D25="Adulto 75kg",22,IF(Atletas!D25="Adulto 80kg",23,IF(Atletas!D25="Adulto 85kg",24,IF(Atletas!D25="Adulto 90kg",25,IF(Atletas!D25="Adulto +90kg",26,""))))))))))))))))))))))))))))</f>
        <v/>
      </c>
      <c r="AK29" s="52"/>
      <c r="AL29" s="52"/>
      <c r="AM29" s="52" t="str">
        <f>IF(AN29&lt;&gt;"","Adulto 80kg","")</f>
        <v/>
      </c>
      <c r="AN29" s="10" t="str">
        <f>IF(COUNTIF(AJ:AJ,223)&gt;0,COUNTIF(AJ:AJ,223),"")</f>
        <v/>
      </c>
      <c r="AO29" s="10" t="str">
        <f>IF(Atletas!E25="","",IF(Atletas!B25="Feminino",100,IF(Atletas!B25="Masculino",200,""))+(IF(Atletas!E25="Juvenil 44kg",1,IF(Atletas!E25="Juvenil 48kg",2,IF(Atletas!E25="Juvenil 52kg",3,IF(Atletas!E25="Juvenil 56kg",4,IF(Atletas!E25="Juvenil 60kg",5,IF(Atletas!E25="Juvenil 65kg",6,IF(Atletas!E25="Juvenil 70kg",7,IF(Atletas!E25="Juvenil 75kg",8,IF(Atletas!E25="Juvenil 82kg",9,IF(Atletas!E25="Juvenil 90kg",10,IF(Atletas!E25="Juvenil 100kg",11,IF(Atletas!E25="Adulto 48kg",12,IF(Atletas!E25="Adulto 52kg",13,IF(Atletas!E25="Adulto 56kg",14,IF(Atletas!E25="Adulto 60kg",15,IF(Atletas!E25="Adulto 65kg",16,IF(Atletas!E25="Adulto 70kg",17,IF(Atletas!E25="Adulto 75kg",18,IF(Atletas!E25="Adulto 82kg",19,IF(Atletas!E25="Adulto 90kg",20,IF(Atletas!E25="Adulto 100kg",21,IF(Atletas!E25="Adulto +100kg",22,""))))))))))))))))))))))))</f>
        <v/>
      </c>
      <c r="AT29" s="10" t="str">
        <f>IF(Atletas!F25="","",IF(Atletas!B25="Feminino",100,IF(Atletas!B25="Masculino",200,""))+(IF(Atletas!F25="Adulto 48kg",1,IF(Atletas!F25="Adulto 56kg",2,IF(Atletas!F25="Adulto 65kg",3,IF(Atletas!F25="Adulto 75kg",4,IF(Atletas!F25="Adulto +75kg",5,IF(Atletas!F25="Adulto 52kg",6,IF(Atletas!F25="Adulto 60kg",7,IF(Atletas!F25="Adulto 70kg",8,IF(Atletas!F25="Adulto 80kg",9,IF(Atletas!F25="Adulto 90kg",10,IF(Atletas!F25="Adulto +90kg",11,"")))))))))))))</f>
        <v/>
      </c>
      <c r="AY29" s="46" t="str">
        <f>IF(Atletas!G25="","",IF(Atletas!B25="Feminino",100,IF(Atletas!B25="Masculino",200,""))+(IF(Atletas!G25="Changquan Mirim",1,IF(Atletas!G25="Nanquan Mirim",2,IF(Atletas!G25="Taijiquan Mirim",3,IF(Atletas!G25="Changquan Grupo C",4,IF(Atletas!G25="Nanquan Grupo C",5,IF(Atletas!G25="Taijiquan Grupo C",6,IF(Atletas!G25="Changquan Grupo B",7,IF(Atletas!G25="Nanquan Grupo B",8,IF(Atletas!G25="Taijiquan Grupo B",9,IF(Atletas!G25="Changquan Grupo A",10,IF(Atletas!G25="Nanquan Grupo A",11,IF(Atletas!G25="Taijiquan Grupo A",12,IF(Atletas!G25="Changquan Opcional",13,IF(Atletas!G25="Nanquan Opcional",14,IF(Atletas!G25="Taijiquan Opcional",15,IF(Atletas!G25="Changquan Adulto",16,IF(Atletas!G25="Nanquan Adulto",17,IF(Atletas!G25="Taijiquan Adulto",18,""))))))))))))))))))))</f>
        <v/>
      </c>
      <c r="AZ29" s="46" t="str">
        <f>IF(Atletas!H25="","",IF(Atletas!B25="Feminino",100,IF(Atletas!B25="Masculino",200,""))+(IF(Atletas!H25="Daoshu Mirim",19,IF(Atletas!H25="Jianshu Mirim",20,IF(Atletas!H25="Nandao Mirim",21,IF(Atletas!H25="Taijijian Mirim",22,IF(Atletas!H25="Daoshu Grupo C",23,IF(Atletas!H25="Jianshu Grupo C",24,IF(Atletas!H25="Nandao Grupo C",25,IF(Atletas!H25="Taijijian Grupo C",26,IF(Atletas!H25="Daoshu Grupo B",27,IF(Atletas!H25="Jianshu Grupo B",28,IF(Atletas!H25="Nandao Grupo B",29,IF(Atletas!H25="Taijijian Grupo B",30,IF(Atletas!H25="Daoshu Grupo A",31,IF(Atletas!H25="Jianshu Grupo A",32,IF(Atletas!H25="Nandao Grupo A",33,IF(Atletas!H25="Taijijian Grupo A",34,IF(Atletas!H25="Daoshu Opcional",35,IF(Atletas!H25="Jianshu Opcional",36,IF(Atletas!H25="Nandao Opcional",37,IF(Atletas!H25="Taijijian Opcional",38,IF(Atletas!H25="Daoshu Adulto",39,IF(Atletas!H25="Jianshu Adulto",40,IF(Atletas!H25="Nandao Adulto",41,IF(Atletas!H25="Taijijian Adulto",42,""))))))))))))))))))))))))))</f>
        <v/>
      </c>
      <c r="BA29" s="46" t="str">
        <f>IF(Atletas!I25="","",IF(Atletas!B25="Feminino",100,IF(Atletas!B25="Masculino",200,""))+(IF(Atletas!I25="Gunshu Mirim",43,IF(Atletas!I25="Qiangshu Mirim",44,IF(Atletas!I25="Nangun Mirim",45,IF(Atletas!I25="Gunshu Grupo C",46,IF(Atletas!I25="Qiangshu Grupo C",47,IF(Atletas!I25="Nangun Grupo C",48,IF(Atletas!I25="Gunshu Grupo B",49,IF(Atletas!I25="Qiangshu Grupo B",50,IF(Atletas!I25="Nangun Grupo B",51,IF(Atletas!I25="Gunshu Grupo A",52,IF(Atletas!I25="Qiangshu Grupo A",53,IF(Atletas!I25="Nangun Grupo A",54,IF(Atletas!I25="Gunshu Opcional",55,IF(Atletas!I25="Qiangshu Opcional",56,IF(Atletas!I25="Nangun Opcional",57,IF(Atletas!I25="Gunshu Adulto",58,IF(Atletas!I25="Qiangshu Adulto",59,IF(Atletas!I25="Nangun Adulto",60,""))))))))))))))))))))</f>
        <v/>
      </c>
      <c r="BB29" s="10" t="str">
        <f>IF(BC29&lt;&gt;"","Taijiquan Grupo B","")</f>
        <v/>
      </c>
      <c r="BC29" s="52" t="str">
        <f>IF(COUNTIF(AY:BA,109)&gt;0,COUNTIF(AY:BA,109),"")</f>
        <v/>
      </c>
      <c r="BD29" s="10" t="str">
        <f>IF(BE29&lt;&gt;"","Taijiquan Grupo B","")</f>
        <v/>
      </c>
      <c r="BE29" s="52" t="str">
        <f>IF(COUNTIF(AY:BA,209)&gt;0,COUNTIF(AY:BA,209),"")</f>
        <v/>
      </c>
      <c r="BF29" s="52" t="str">
        <f>IF(Atletas!J25="","",IF(Atletas!B25="Feminino",100,IF(Atletas!B25="Masculino",200,""))+(IF(Atletas!J25="Equipe 1 Grupo B",1,IF(Atletas!J25="Equipe 2 Grupo B",2,IF(Atletas!J25="Equipe 1 Grupo A",3,IF(Atletas!J25="Equipe 2 Grupo A",4,IF(Atletas!J25="Equipe 1 Adulto",5,IF(Atletas!J25="Equipe 2 Adulto",6,""))))))))</f>
        <v/>
      </c>
      <c r="BK29" s="52" t="str">
        <f>IF(Atletas!K25="","",IF(Atletas!W25&lt;&gt;"",10000,0)+(IF(Atletas!B25="Feminino",1000,IF(Atletas!B25="Masculino",2000,""))+IF(Atletas!K25="Choylayfut A",1,IF(Atletas!K25="Hunggar A",2,IF(Atletas!K25="Wuzuquan A",3,IF(Atletas!K25="Wingchun A",4,IF(Atletas!K25="Outra Mão de Sul A",5,IF(Atletas!K25="Choylayfut B",6,IF(Atletas!K25="Hunggar B",7,IF(Atletas!K25="Wuzuquan B",8,IF(Atletas!K25="Wingchun B",9,IF(Atletas!K25="Outra Mão de Sul B",10,IF(Atletas!K25="Choylayfut C",11,IF(Atletas!K25="Hunggar C",12,IF(Atletas!K25="Wuzuquan C",13,IF(Atletas!K25="Wingchun C",14,IF(Atletas!K25="Outra Mão de Sul C",15,IF(Atletas!K25="Choylayfut D",16,IF(Atletas!K25="Hunggar D",17,IF(Atletas!K25="Wuzuquan D",18,IF(Atletas!K25="Wingchun D",19,IF(Atletas!K25="Outra Mão de Sul D",20,IF(Atletas!K25="Choylayfut E",21,IF(Atletas!K25="Hunggar E",22,IF(Atletas!K25="Wuzuquan E",23,IF(Atletas!K25="Wingchun E",24,IF(Atletas!K25="Outra Mão de Sul E",25,IF(Atletas!K25="Choylayfut F",26,IF(Atletas!K25="Hunggar F",27,IF(Atletas!K25="Wuzuquan F",28,IF(Atletas!K25="Wingchun F",29,IF(Atletas!K25="Outra Mão de Sul F",30,""))))))))))))))))))))))))))))))))</f>
        <v/>
      </c>
      <c r="BL29" s="52" t="str">
        <f>IF(Atletas!L25="","",IF(Atletas!W25&lt;&gt;"",10000,0)+(IF(Atletas!B25="Feminino",1000,IF(Atletas!B25="Masculino",2000,""))+(IF(Atletas!L25="Chaquan A",101,IF(Atletas!L25="Emeiquan A",102,IF(Atletas!L25="Fanziquan A",103,IF(Atletas!L25="Huaquan A",104,IF(Atletas!L25="Hongquan A",105,IF(Atletas!L25="Paochui A",106,IF(Atletas!L25="Piguaquan A",107,IF(Atletas!L25="Shaolinquan A",108,IF(Atletas!L25="Tanglangquan A",109,IF(Atletas!L25="Yinzhaophai A",110,IF(Atletas!L25="Tongbeiquan A",111,IF(Atletas!L25="Wudangquan A",112,IF(Atletas!L25="Outros Estilos A",113,IF(Atletas!L25="Chaquan B",114,IF(Atletas!L25="Emeiquan B",115,IF(Atletas!L25="Fanziquan B",116,IF(Atletas!L25="Huaquan B",117,IF(Atletas!L25="Hongquan B",118,IF(Atletas!L25="Paochui B",119,IF(Atletas!L25="Piguaquan B",120,IF(Atletas!L25="Shaolinquan B",121,IF(Atletas!L25="Tanglangquan B",122,IF(Atletas!L25="Yinzhaophai B",123,IF(Atletas!L25="Tongbeiquan B",124,IF(Atletas!L25="Wudangquan B",125,IF(Atletas!L25="Outros Estilos B",126,IF(Atletas!L25="Chaquan C",127,IF(Atletas!L25="Emeiquan C",128,IF(Atletas!L25="Fanziquan C",129,IF(Atletas!L25="Huaquan C",130,IF(Atletas!L25="Hongquan C",131,IF(Atletas!L25="Paochui C",132,IF(Atletas!L25="Piguaquan C",133,IF(Atletas!L25="Shaolinquan C",134,IF(Atletas!L25="Tanglangquan C",135,IF(Atletas!L25="Yinzhaophai C",136,IF(Atletas!L25="Tongbeiquan C",137,IF(Atletas!L25="Wudangquan C",138,IF(Atletas!L25="Outros Estilos C",139,0))))))))))))))))))))))))))))))))))))))))))</f>
        <v/>
      </c>
      <c r="BM29" s="52" t="str">
        <f>IF(Atletas!L25="","",IF(Atletas!W25&lt;&gt;"",10000,0)+(IF(Atletas!B25="Feminino",1000,IF(Atletas!B25="Masculino",2000,""))+(IF(Atletas!L25="Chaquan D",140,IF(Atletas!L25="Emeiquan D",141,IF(Atletas!L25="Fanziquan D",142,IF(Atletas!L25="Huaquan D",143,IF(Atletas!L25="Hongquan D",144,IF(Atletas!L25="Paochui D",145,IF(Atletas!L25="Piguaquan D",146,IF(Atletas!L25="Shaolinquan D",147,IF(Atletas!L25="Tanglangquan D",148,IF(Atletas!L25="Yinzhaophai D",149,IF(Atletas!L25="Tongbeiquan D",150,IF(Atletas!L25="Wudangquan D",151,IF(Atletas!L25="Outros Estilos D",152,IF(Atletas!L25="Chaquan E",153,IF(Atletas!L25="Emeiquan E",154,IF(Atletas!L25="Fanziquan E",155,IF(Atletas!L25="Huaquan E",156,IF(Atletas!L25="Hongquan E",157,IF(Atletas!L25="Paochui E",158,IF(Atletas!L25="Piguaquan E",159,IF(Atletas!L25="Shaolinquan E",160,IF(Atletas!L25="Tanglangquan E",161,IF(Atletas!L25="Yinzhaophai E",162,IF(Atletas!L25="Tongbeiquan E",163,IF(Atletas!L25="Wudangquan E",164,IF(Atletas!L25="Outros Estilos E",165,IF(Atletas!L25="Chaquan F",166,IF(Atletas!L25="Emeiquan F",167,IF(Atletas!L25="Fanziquan F",168,IF(Atletas!L25="Huaquan F",169,IF(Atletas!L25="Hongquan F",170,IF(Atletas!L25="Paochui F",171,IF(Atletas!L25="Piguaquan F",172,IF(Atletas!L25="Shaolinquan F",173,IF(Atletas!L25="Tanglangquan F",174,IF(Atletas!L25="Yinzhaophai F",175,IF(Atletas!L25="Tongbeiquan F",176,IF(Atletas!L25="Wudangquan F",177,IF(Atletas!L25="Outros Estilos F",178,0))))))))))))))))))))))))))))))))))))))))))</f>
        <v/>
      </c>
      <c r="BN29" s="52" t="str">
        <f>IF(Atletas!M25="","",IF(Atletas!W25&lt;&gt;"",10000,0)+(IF(Atletas!B25="Feminino",1000,IF(Atletas!B25="Masculino",2000,""))+(IF(Atletas!M25="Ditangquan A",201,IF(Atletas!M25="Houquan A",202,IF(Atletas!M25="Zuiquan A",203,IF(Atletas!M25="Ditangquan B",204,IF(Atletas!M25="Houquan B",205,IF(Atletas!M25="Zuiquan B",206,IF(Atletas!M25="Ditangquan C",207,IF(Atletas!M25="Houquan C",208,IF(Atletas!M25="Zuiquan C",209,IF(Atletas!M25="Ditangquan D",210,IF(Atletas!M25="Houquan D",211,IF(Atletas!M25="Zuiquan D",212,IF(Atletas!M25="Ditangquan E",213,IF(Atletas!M25="Houquan E",214,IF(Atletas!M25="Zuiquan E",215,IF(Atletas!M25="Ditangquan F",216,IF(Atletas!M25="Houquan F",217,IF(Atletas!M25="Zuiquan F",218,"")))))))))))))))))))))</f>
        <v/>
      </c>
      <c r="BO29" s="52" t="str">
        <f>IF(Atletas!N25="","",IF(Atletas!W25&lt;&gt;"",10000,0)+IF(Atletas!B25="Feminino",1000,IF(Atletas!B25="Masculino",2000,""))+IF(Atletas!N25="Yang A",301,IF(Atletas!N25="Chen A",30,IF(Atletas!N25="Sun A",303,IF(Atletas!N25="Wu A",304,IF(Atletas!N25="Wu-Hao A",305,IF(Atletas!N25="Outro Taijiquan A",306,IF(Atletas!N25="Yang B",307,IF(Atletas!N25="Chen B",308,IF(Atletas!N25="Sun B",309,IF(Atletas!N25="Wu B",310,IF(Atletas!N25="Wu-Hao B",311,IF(Atletas!N25="Outro Taijiquan B",312,IF(Atletas!N25="Yang C",313,IF(Atletas!N25="Chen C",314,IF(Atletas!N25="Sun C",315,IF(Atletas!N25="Wu C",316,IF(Atletas!N25="Wu-Hao C",317,IF(Atletas!N25="Outro Taijiquan C",318,IF(Atletas!N25="Yang D",319,IF(Atletas!N25="Chen D",320,IF(Atletas!N25="Sun D",321,IF(Atletas!N25="Wu D",322,IF(Atletas!N25="Wu-Hao D",323,IF(Atletas!N25="Outro Taijiquan D",324,IF(Atletas!N25="Yang E",325,IF(Atletas!N25="Chen E",326,IF(Atletas!N25="Sun E",327,IF(Atletas!N25="Wu E",328,IF(Atletas!N25="Wu-Hao E",329,IF(Atletas!N25="Outro Taijiquan E",330,IF(Atletas!N25="Yang F",331,IF(Atletas!N25="Chen F",332,IF(Atletas!N25="Sun F",333,IF(Atletas!N25="Wu F",334,IF(Atletas!N25="Wu-Hao F",335,IF(Atletas!N25="Outro Taijiquan F",336,"")))))))))))))))))))))))))))))))))))))</f>
        <v/>
      </c>
      <c r="BP29" s="52" t="str">
        <f>IF(Atletas!O25="","",IF(Atletas!W25&lt;&gt;"",10000,0)+IF(Atletas!B25="Feminino",1000,IF(Atletas!B25="Masculino",2000,""))+IF(OR(Atletas!O25="Yang 26 A",Atletas!O25="Yang 40 A"),401,IF(OR(Atletas!O25="Chen 25 A",Atletas!O25="Chen 36 A",Atletas!O25="Chen 56 A"),402,IF(Atletas!O25="Sun 73 A",403,IF(Atletas!O25="Wu 45 A",404,IF(Atletas!O25="Wu-Hao 46 A",405,IF(OR(Atletas!O25="Taijiquan 16 A",Atletas!O25="Taijiquan 24 A",Atletas!O25="Taijiquan 32 A",Atletas!O25="Taijiquan 42 A"),406,IF(OR(Atletas!O25="Yang 26 B",Atletas!O25="Yang 40 B"),407,IF(OR(Atletas!O25="Chen 25 B",Atletas!O25="Chen 36 B",Atletas!O25="Chen 56 B"),408,IF(Atletas!O25="Sun 73 B",409,IF(Atletas!O25="Wu 45 B",410,IF(Atletas!O25="Wu-Hao 46 B",411,IF(OR(Atletas!O25="Taijiquan 16 B",Atletas!O25="Taijiquan 24 B",Atletas!O25="Taijiquan 32 B",Atletas!O25="Taijiquan 42 B"),412,IF(OR(Atletas!O25="Yang 26 C",Atletas!O25="Yang 40 C"),413,IF(OR(Atletas!O25="Chen 25 C",Atletas!O25="Chen 36 C",Atletas!O25="Chen 56 C"),414,IF(Atletas!O25="Sun 73 C",415,IF(Atletas!O25="Wu 45 C",416,IF(Atletas!O25="Wu-Hao 46 C",417,IF(OR(Atletas!O25="Taijiquan 16 C",Atletas!O25="Taijiquan 24 C",Atletas!O25="Taijiquan 32 C",Atletas!O25="Taijiquan 42 C"),418,0)))))))))))))))))))</f>
        <v/>
      </c>
      <c r="BQ29" s="52" t="str">
        <f>IF(Atletas!O25="","",IF(Atletas!W25&lt;&gt;"",10000,0)+IF(Atletas!B25="Feminino",1000,IF(Atletas!B25="Masculino",2000,""))+IF(OR(Atletas!O25="Yang 26 D",Atletas!O25="Yang 40 D"),419,IF(OR(Atletas!O25="Chen 25 D",Atletas!O25="Chen 36 D",Atletas!O25="Chen 56 D"),420,IF(Atletas!O25="Sun 73 D",421,IF(Atletas!O25="Wu 45 D",422,IF(Atletas!O25="Wu-Hao 46 D",423,IF(OR(Atletas!O25="Taijiquan 16 D",Atletas!O25="Taijiquan 24 D",Atletas!O25="Taijiquan 32 D",Atletas!O25="Taijiquan 42 D"),424,IF(OR(Atletas!O25="Yang 26 E",Atletas!O25="Yang 40 E"),425,IF(OR(Atletas!O25="Chen 25 E",Atletas!O25="Chen 36 E",Atletas!O25="Chen 56 E"),426,IF(Atletas!O25="Sun 73 E",427,IF(Atletas!O25="Wu 45 E",428,IF(Atletas!O25="Wu-Hao 46 E",429,IF(OR(Atletas!O25="Taijiquan 16 E",Atletas!O25="Taijiquan 24 E",Atletas!O25="Taijiquan 32 E",Atletas!O25="Taijiquan 42 E"),430,IF(OR(Atletas!O25="Yang 26 F",Atletas!O25="Yang 40 F"),431,IF(OR(Atletas!O25="Chen 25 F",Atletas!O25="Chen 36 F",Atletas!O25="Chen 56 F"),432,IF(Atletas!O25="Sun 73 F",433,IF(Atletas!O25="Wu 45 F",434,IF(Atletas!O25="Wu-Hao 46 F",435,IF(OR(Atletas!O25="Taijiquan 16 F",Atletas!O25="Taijiquan 24 F",Atletas!O25="Taijiquan 32 F",Atletas!O25="Taijiquan 42 F"),436,0)))))))))))))))))))</f>
        <v/>
      </c>
      <c r="BR29" s="52" t="str">
        <f>IF(Atletas!P25="","",IF(Atletas!W25&lt;&gt;"",10000,0)+IF(Atletas!B25="Feminino",1000,IF(Atletas!B25="Masculino",2000,""))+IF(Atletas!P25="Xingyiquan A",501,IF(Atletas!P25="Baguazhang A",502,IF(Atletas!P25="Outro Estilo Interno A",503,IF(Atletas!P25="Xingyiquan B",504,IF(Atletas!P25="Baguazhang B",505,IF(Atletas!P25="Outro Estilo Interno B",506,IF(Atletas!P25="Xingyiquan C",507,IF(Atletas!P25="Baguazhang C",508,IF(Atletas!P25="Outro Estilo Interno C",509,IF(Atletas!P25="Xingyiquan D",510,IF(Atletas!P25="Baguazhang D",511,IF(Atletas!P25="Outro Estilo Interno D",512,IF(Atletas!P25="Xingyiquan E",513,IF(Atletas!P25="Baguazhang E",514,IF(Atletas!P25="Outro Estilo Interno E",515,IF(Atletas!P25="Xingyiquan F",516,IF(Atletas!P25="Baguazhang F",517,IF(Atletas!P25="Outro Estilo Interno F",518, "")))))))))))))))))))</f>
        <v/>
      </c>
      <c r="BS29" s="52" t="str">
        <f>IF(Atletas!Q25="","",IF(Atletas!W25&lt;&gt;"",10000,0)+IF(Atletas!B25="Feminino",1000,IF(Atletas!B25="Masculino",2000,""))+IF(Atletas!Q25="Dao A",601,IF(Atletas!Q25="Jian A",602,IF(Atletas!Q25="Bishou A",603,IF(Atletas!Q25="Shan A",604,IF(Atletas!Q25="Outra Arma Curta A",605,IF(Atletas!Q25="Dao B",606,IF(Atletas!Q25="Jian B",607,IF(Atletas!Q25="Bishou B",608,IF(Atletas!Q25="Shan B",609,IF(Atletas!Q25="Outra Arma Curta B",610,IF(Atletas!Q25="Dao C",611,IF(Atletas!Q25="Jian C",612,IF(Atletas!Q25="Bishou C",613,IF(Atletas!Q25="Shan C",614,IF(Atletas!Q25="Outra Arma Curta C",615,IF(Atletas!Q25="Dao D",616,IF(Atletas!Q25="Jian D",617,IF(Atletas!Q25="Bishou D",618,IF(Atletas!Q25="Shan D",619,IF(Atletas!Q25="Outra Arma Curta D",620,IF(Atletas!Q25="Dao E",621,IF(Atletas!Q25="Jian E",622,IF(Atletas!Q25="Bishou E",623,IF(Atletas!Q25="Shan E",624,IF(Atletas!Q25="Outra Arma Curta E",625,IF(Atletas!Q25="Dao F",626,IF(Atletas!Q25="Jian F",627,IF(Atletas!Q25="Bishou F",628,IF(Atletas!Q25="Shan F",629,IF(Atletas!Q25="Outra Arma Curta F",630, "")))))))))))))))))))))))))))))))</f>
        <v/>
      </c>
      <c r="BT29" s="52" t="str">
        <f>IF(Atletas!R25="","",IF(Atletas!W25&lt;&gt;"",10000,0)+IF(Atletas!B25="Feminino",1000,IF(Atletas!B25="Masculino",2000,""))+IF(Atletas!R25="Gun A",701,IF(Atletas!R25="Qiang A",702,IF(Atletas!R25="Pudao / Guandao A",703,IF(Atletas!R25="Outra Arma Longa A",704,IF(Atletas!R25="Gun B",705,IF(Atletas!R25="Qiang B",706,IF(Atletas!R25="Pudao / Guandao B",707,IF(Atletas!R25="Outra Arma Longa B",708,IF(Atletas!R25="Gun C",709,IF(Atletas!R25="Qiang C",710,IF(Atletas!R25="Pudao / Guandao C",711,IF(Atletas!R25="Outra Arma Longa C",712,IF(Atletas!R25="Gun D",713,IF(Atletas!R25="Qiang D",714,IF(Atletas!R25="Pudao / Guandao D",715,IF(Atletas!R25="Outra Arma Longa D",716,IF(Atletas!R25="Gun E",717,IF(Atletas!R25="Qiang E",718,IF(Atletas!R25="Pudao / Guandao E",719,IF(Atletas!R25="Outra Arma Longa E",720,IF(Atletas!R25="Gun F",721,IF(Atletas!R25="Qiang F",722,IF(Atletas!R25="Pudao / Guandao F",723,IF(Atletas!R25="Outra Arma Longa F",724,"")))))))))))))))))))))))))</f>
        <v/>
      </c>
      <c r="BU29" s="52" t="str">
        <f>IF(Atletas!S25="","",IF(Atletas!W25&lt;&gt;"",10000,0)+IF(Atletas!B25="Feminino",1000,IF(Atletas!B25="Masculino",2000,""))+IF(Atletas!S25="Arma Dupla A",801,IF(Atletas!S25="Arma Maleável A",802,IF(Atletas!S25="Arma Dupla B",803,IF(Atletas!S25="Arma Maleável B",804,IF(Atletas!S25="Arma Dupla C",805,IF(Atletas!S25="Arma Maleável C",806,IF(Atletas!S25="Arma Dupla D",807,IF(Atletas!S25="Arma Maleável D",808,IF(Atletas!S25="Arma Dupla E",809,IF(Atletas!S25="Arma Maleável E",810,IF(Atletas!S25="Arma Dupla F",811,IF(Atletas!S25="Arma Maleável F",812, "")))))))))))))</f>
        <v/>
      </c>
      <c r="BV29" s="52" t="str">
        <f>IF(Atletas!T25="","",IF(Atletas!W25&lt;&gt;"",10000,0)+IF(Atletas!B25="Feminino",1000,IF(Atletas!B25="Masculino",2000,""))+IF(Atletas!T25="Taijijian Yang A",901,IF(Atletas!T25="Taijijian Chen A",902,IF(Atletas!T25="Taijijian Sun A",903,IF(Atletas!T25="Taijijian Wu A",904,IF(Atletas!T25="Taijijian Wu-Hao A",905,IF(Atletas!T25="Taijijian 32 A",906,IF(Atletas!T25="Taijijian 42 A",907,IF(Atletas!T25="Taijijian Yang B",908,IF(Atletas!T25="Taijijian Chen B",909,IF(Atletas!T25="Taijijian Sun B",910,IF(Atletas!T25="Taijijian Wu B",911,IF(Atletas!T25="Taijijian Wu-Hao B",912,IF(Atletas!T25="Taijijian 32 B",913,IF(Atletas!T25="Taijijian 42 B",914,IF(Atletas!T25="Taijijian Yang C",915,IF(Atletas!T25="Taijijian Chen C",916,IF(Atletas!T25="Taijijian Sun C",917,IF(Atletas!T25="Taijijian Wu C",918,IF(Atletas!T25="Taijijian Wu-Hao C",919,IF(Atletas!T25="Taijijian 32 C",920,IF(Atletas!T25="Taijijian 42 C",921,IF(Atletas!T25="Taijijian Yang D",922,IF(Atletas!T25="Taijijian Chen D",923,IF(Atletas!T25="Taijijian Sun D",924,IF(Atletas!T25="Taijijian Wu D",925,IF(Atletas!T25="Taijijian Wu-Hao D",926,IF(Atletas!T25="Taijijian 32 D",927,IF(Atletas!T25="Taijijian 42 D",928,IF(Atletas!T25="Taijijian Yang E",929,IF(Atletas!T25="Taijijian Chen E",930,IF(Atletas!T25="Taijijian Sun E",931,IF(Atletas!T25="Taijijian Wu E",932,IF(Atletas!T25="Taijijian Wu-Hao E",933,IF(Atletas!T25="Taijijian 32 E",934,IF(Atletas!T25="Taijijian 42 E",935,IF(Atletas!T25="Taijijian Yang F",936,IF(Atletas!T25="Taijijian Chen F",937,IF(Atletas!T25="Taijijian Sun F",938,IF(Atletas!T25="Taijijian Wu F",939,IF(Atletas!T25="Taijijian Wu-Hao F",940,IF(Atletas!T25="Taijijian 32 F",941,IF(Atletas!T25="Taijijian 42 F",942,"")))))))))))))))))))))))))))))))))))))))))))</f>
        <v/>
      </c>
      <c r="BW29" s="52" t="str">
        <f>IF(Atletas!U25="","",IF(Atletas!W25&lt;&gt;"",10000,0)+IF(Atletas!B25="Feminino",1000,IF(Atletas!B25="Masculino",2000,""))+IF(Atletas!T25="Taijijian 42 F",942,IF(Atletas!U25="Taijidao A",943,IF(Atletas!U25="Taijishan A",944,IF(Atletas!U25="Taijiqiang A",945,IF(Atletas!U25="Taijidao B",946,IF(Atletas!U25="Taijishan B",947,IF(Atletas!U25="Taijiqiang B",948,IF(Atletas!U25="Taijidao C",949,IF(Atletas!U25="Taijishan C",950,IF(Atletas!U25="Taijiqiang C",951,IF(Atletas!U25="Taijidao D",952,IF(Atletas!U25="Taijishan D",953,IF(Atletas!U25="Taijiqiang D",954,IF(Atletas!U25="Taijidao E",955,IF(Atletas!U25="Taijishan E",956,IF(Atletas!U25="Taijiqiang E",957,IF(Atletas!U25="Taijidao F",958,IF(Atletas!U25="Taijishan F",959,IF(Atletas!U25="Taijiqiang F",960))))))))))))))))))))</f>
        <v/>
      </c>
      <c r="BX29" s="64" t="str">
        <f>IF(BY29&lt;&gt;"","Wuzuquan E","")</f>
        <v/>
      </c>
      <c r="BY29" s="64" t="str">
        <f>IF(COUNTIF(BK:BW,1023)&gt;0,COUNTIF(BK:BW,1023),"")</f>
        <v/>
      </c>
      <c r="BZ29" s="64" t="str">
        <f>IF(CA29&lt;&gt;"","Wuzuquan E","")</f>
        <v/>
      </c>
      <c r="CA29" s="64" t="str">
        <f>IF(COUNTIF(BK:BW,2023)&gt;0,COUNTIF(BK:BW,2023),"")</f>
        <v/>
      </c>
      <c r="CB29" s="64" t="str">
        <f>IF(CC29&lt;&gt;"","Wuzuquan E","")</f>
        <v/>
      </c>
      <c r="CC29" s="64" t="str">
        <f>IF(COUNTIF(BK:BW,11023)&gt;0,COUNTIF(BK:BW,11023),"")</f>
        <v/>
      </c>
      <c r="CD29" s="64" t="str">
        <f>IF(CE29&lt;&gt;"","Wuzuquan E","")</f>
        <v/>
      </c>
      <c r="CE29" s="64" t="str">
        <f>IF(COUNTIF(BK:BW,12023)&gt;0,COUNTIF(BK:BW,12023),"")</f>
        <v/>
      </c>
      <c r="CF29" s="52" t="str">
        <f xml:space="preserve"> IF(Atletas!V25="","",IF(Atletas!V25="Duilian de Mãos AB - Equipe 1",1,IF(Atletas!V25="Duilian de Mãos AB - Equipe 2",2,IF(Atletas!V25="Duilian de Armas AB - Equipe 1",3,IF(Atletas!V25="Duilian de Armas AB - Equipe 2",4,IF(Atletas!V25="Duilian de Tuishou - Equipe 1",5,IF(Atletas!V25="Duilian de Tuishou - Equipe 2",6,IF(Atletas!V25="Grupo Externo AB - Equipe 1",7,IF(Atletas!V25="Grupo Externo AB - Equipe 2",8,IF(Atletas!V25="Grupo Interno AB - Equipe 1",9,IF(Atletas!V25="Grupo Interno AB - Equipe 2",10,IF(Atletas!V25="Duilian de Mãos CD - Equipe 1",11,IF(Atletas!V25="Duilian de Mãos CD - Equipe 2",12,IF(Atletas!V25="Duilian de Armas CD - Equipe 1",13,IF(Atletas!V25="Duilian de Armas CD - Equipe 2",14,IF(Atletas!V25="Duilian de Tuishou - Equipe 1",15,IF(Atletas!V25="Duilian de Tuishou - Equipe 2",16,IF(Atletas!V25="Grupo Externo CDEF - Equipe 1",17,IF(Atletas!V25="Grupo Externo CDEF - Equipe 2",18,IF(Atletas!V25="Grupo Interno CDEF - Equipe 1",19,IF(Atletas!V25="Grupo Interno CDEF - Equipe 2",20,IF(Atletas!V25="Duilian de Mãos EF - Equipe 1",21,IF(Atletas!V25="Duilian de Mãos EF - Equipe 2",22,IF(Atletas!V25="Duilian de Armas EF - Equipe 1",23,IF(Atletas!V25="Duilian de Armas EF - Equipe 2",24,IF(Atletas!V25="Duilian de Tuishou - Equipe 1",25,IF(Atletas!V25="Duilian de Tuishou - Equipe 2",26,"")))))))))))))))))))))))))))</f>
        <v/>
      </c>
      <c r="CR29" s="71"/>
    </row>
    <row r="30" spans="1:96">
      <c r="A30" s="20"/>
      <c r="B30" s="4" t="str">
        <f t="array" ref="B30">IFERROR(INDEX(AK$7:AK$36,SMALL(IF(AK$7:AK$36&lt;&gt;"",ROW(AK$7:AK$36)-ROW(AK$7)+1),ROWS(AK$7:AK29))),"")</f>
        <v/>
      </c>
      <c r="C30" s="4" t="str">
        <f t="array" ref="C30">IFERROR(INDEX(AL$7:AL$36,SMALL(IF(AL$7:AL$36&lt;&gt;"",ROW(AL$7:AL$36)-ROW(AL$7)+1),ROWS(AL$7:AL29))),"")</f>
        <v/>
      </c>
      <c r="D30" s="4" t="str">
        <f t="array" ref="D30">IFERROR(INDEX(AM$7:AM$36,SMALL(IF(AM$7:AM$36&lt;&gt;"",ROW(AM$7:AM$36)-ROW(AM$7)+1),ROWS(AM$7:AM29))),"")</f>
        <v/>
      </c>
      <c r="E30" s="4" t="str">
        <f t="array" ref="E30">IFERROR(INDEX(AN$7:AN$36,SMALL(IF(AN$7:AN$36&lt;&gt;"",ROW(AN$7:AN$36)-ROW(AN$7)+1),ROWS(AN$7:AN29))),"")</f>
        <v/>
      </c>
      <c r="F30" s="4" t="str">
        <f t="array" ref="F30">IFERROR(INDEX(AP$7:AP$36,SMALL(IF(AP$7:AP$36&lt;&gt;"",ROW(AP$7:AP$36)-ROW(AP$7)+1),ROWS(AP$7:AP29))),"")</f>
        <v/>
      </c>
      <c r="G30" s="4" t="str">
        <f t="array" ref="G30">IFERROR(INDEX(AQ$7:AQ$36,SMALL(IF(AQ$7:AQ$36&lt;&gt;"",ROW(AQ$7:AQ$36)-ROW(AQ$7)+1),ROWS(AQ$7:AQ29))),"")</f>
        <v/>
      </c>
      <c r="H30" s="4" t="str">
        <f t="array" ref="H30">IFERROR(INDEX(AR$7:AR$36,SMALL(IF(AR$7:AR$36&lt;&gt;"",ROW(AR$7:AR$36)-ROW(AR$7)+1),ROWS(AR$7:AR29))),"")</f>
        <v/>
      </c>
      <c r="I30" s="4" t="str">
        <f t="array" ref="I30">IFERROR(INDEX(AS$7:AS$36,SMALL(IF(AS$7:AS$36&lt;&gt;"",ROW(AS$7:AS$36)-ROW(AS$7)+1),ROWS(AS$7:AS29))),"")</f>
        <v/>
      </c>
      <c r="J30" s="4" t="str">
        <f t="array" ref="J30">IFERROR(INDEX(AS$7:AS$36,SMALL(IF(AS$7:AS$36&lt;&gt;"",ROW(AS$7:AS$36)-ROW(AS$7)+1),ROWS(AS$7:AS29))),"")</f>
        <v/>
      </c>
      <c r="K30" s="4" t="str">
        <f t="array" ref="K30">IFERROR(INDEX(AV$7:AV$36,SMALL(IF(AV$7:AV$36&lt;&gt;"",ROW(AV$7:AV$36)-ROW(AV$7)+1),ROWS(AV$7:AV29))),"")</f>
        <v/>
      </c>
      <c r="L30" s="4" t="str">
        <f t="array" ref="L30">IFERROR(INDEX(AW$7:AW$36,SMALL(IF(AW$7:AW$36&lt;&gt;"",ROW(AW$7:AW$36)-ROW(AW$7)+1),ROWS(AW$7:AW29))),"")</f>
        <v/>
      </c>
      <c r="M30" s="4" t="str">
        <f t="array" ref="M30">IFERROR(INDEX(AX$7:AX$36,SMALL(IF(AX$7:AX$36&lt;&gt;"",ROW(AX$7:AX$36)-ROW(AX$7)+1),ROWS(AX$7:AX29))),"")</f>
        <v/>
      </c>
      <c r="N30" s="4" t="str">
        <f t="array" ref="N30">IFERROR(INDEX(BB$7:BB$66,SMALL(IF(BB$7:BB$66&lt;&gt;"",ROW(BB$7:BB$66)-ROW(BB$7)+1),ROWS(BB$7:BB29))),"")</f>
        <v/>
      </c>
      <c r="O30" s="4" t="str">
        <f t="array" ref="O30">IFERROR(INDEX(BC$7:BC$66,SMALL(IF(BC$7:BC$66&lt;&gt;"",ROW(BC$7:BC$66)-ROW(BC$7)+1),ROWS(BC$7:BC29))),"")</f>
        <v/>
      </c>
      <c r="P30" s="4" t="str">
        <f t="array" ref="P30">IFERROR(INDEX(BD$7:BD$66,SMALL(IF(BD$7:BD$66&lt;&gt;"",ROW(BD$7:BD$66)-ROW(BD$7)+1),ROWS(BD$7:BD29))),"")</f>
        <v/>
      </c>
      <c r="Q30" s="4" t="str">
        <f t="array" ref="Q30">IFERROR(INDEX(BE$7:BE$66,SMALL(IF(BE$7:BE$66&lt;&gt;"",ROW(BE$7:BE$66)-ROW(BE$7)+1),ROWS(BE$7:BE29))),"")</f>
        <v/>
      </c>
      <c r="R30" s="4"/>
      <c r="S30" s="4"/>
      <c r="T30" s="4"/>
      <c r="U30" s="4"/>
      <c r="V30" s="4" t="str">
        <f t="array" ref="V30">IFERROR(INDEX(BX$7:BX$336,SMALL(IF(BX$7:BX$336&lt;&gt;"",ROW(BX$7:BX$336)-ROW(BX$7)+1),ROWS(BX$7:BX29))),"")</f>
        <v/>
      </c>
      <c r="W30" s="4" t="str">
        <f t="array" ref="W30">IFERROR(INDEX(BY$7:BY$336,SMALL(IF(BY$7:BY$336&lt;&gt;"",ROW(BY$7:BY$336)-ROW(BY$7)+1),ROWS(BY$7:BY29))),"")</f>
        <v/>
      </c>
      <c r="X30" s="4" t="str">
        <f t="array" ref="X30">IFERROR(INDEX(BZ$7:BZ$336,SMALL(IF(BZ$7:BZ$336&lt;&gt;"",ROW(BZ$7:BZ$336)-ROW(BZ$7)+1),ROWS(BZ$7:BZ29))),"")</f>
        <v/>
      </c>
      <c r="Y30" s="4" t="str">
        <f t="array" ref="Y30">IFERROR(INDEX(CA$7:CA$336,SMALL(IF(CA$7:CA$336&lt;&gt;"",ROW(CA$7:CA$336)-ROW(CA$7)+1),ROWS(CA$7:CA29))),"")</f>
        <v/>
      </c>
      <c r="Z30" s="4" t="str">
        <f t="array" ref="Z30">IFERROR(INDEX(CB$7:CB$378,SMALL(IF(CB$7:CB$378&lt;&gt;"",ROW(CB$7:CB$378)-ROW(CB$7)+1),ROWS(CB$7:CB29))),"")</f>
        <v/>
      </c>
      <c r="AA30" s="4" t="str">
        <f t="array" ref="AA30">IFERROR(INDEX(CC$7:CC$378,SMALL(IF(CC$7:CC$378&lt;&gt;"",ROW(CC$7:CC$378)-ROW(CC$7)+1),ROWS(CC$7:CC29))),"")</f>
        <v/>
      </c>
      <c r="AB30" s="4" t="str">
        <f t="array" ref="AB30">IFERROR(INDEX(CD$7:CD$378,SMALL(IF(CD$7:CD$378&lt;&gt;"",ROW(CD$7:CD$378)-ROW(CD$7)+1),ROWS(CD$7:CD29))),"")</f>
        <v/>
      </c>
      <c r="AC30" s="4" t="str">
        <f t="array" ref="AC30">IFERROR(INDEX(CE$7:CE$378,SMALL(IF(CE$7:CE$378&lt;&gt;"",ROW(CE$7:CE$378)-ROW(CE$7)+1),ROWS(CE$7:CE29))),"")</f>
        <v/>
      </c>
      <c r="AD30" s="69" t="str">
        <f t="array" ref="AD30">IFERROR(INDEX(CG$7:CG$18,SMALL(IF(CG$7:CG$18&lt;&gt;"",ROW(CG$7:CG$18)-ROW(CG$7)+1),ROWS(CG$7:CG29))),"")</f>
        <v/>
      </c>
      <c r="AE30" s="69" t="str">
        <f t="array" ref="AE30">IFERROR(INDEX(CH$7:CH$18,SMALL(IF(CH$7:CH$18&lt;&gt;"",ROW(CH$7:CH$18)-ROW(CH$7)+1),ROWS(CH$7:CH29))),"")</f>
        <v/>
      </c>
      <c r="AF30" s="69" t="str">
        <f t="array" ref="AF30">IFERROR(INDEX(CI$7:CI$8,SMALL(IF(CI$7:CI$8&lt;&gt;"",ROW(CI$7:CI$8)-ROW(CI$7)+1),ROWS(CI$7:CI29))),"")</f>
        <v/>
      </c>
      <c r="AG30" s="69"/>
      <c r="AH30" s="69" t="str">
        <f t="array" ref="AH30">IFERROR(INDEX(CK$7:CK$14,SMALL(IF(CK$7:CK$14&lt;&gt;"",ROW(CK$7:CK$14)-ROW(CK$7)+1),ROWS(CK$7:CK29))),"")</f>
        <v/>
      </c>
      <c r="AI30" s="69"/>
      <c r="AJ30" s="46" t="str">
        <f>IF(Atletas!D26="","",IF(Atletas!B26="Feminino",100,IF(Atletas!B26="Masculino",200,""))+(IF(Atletas!D26="Infantil 39kg",1,IF(Atletas!D26="Infantil 42kg",2,IF(Atletas!D26="Infantil 45kg",3,IF(Atletas!D26="Infantil 48kg",4,IF(Atletas!D26="Infantil 52kg",5,IF(Atletas!D26="Infantil 56kg",6,IF(Atletas!D26="Infantil 60kg",7,IF(Atletas!D26="Juvenil 48kg",8,IF(Atletas!D26="Juvenil 52kg",9,IF(Atletas!D26="Juvenil 56kg",10,IF(Atletas!D26="Juvenil 60kg",11,IF(Atletas!D26="Juvenil 65kg",12,IF(Atletas!D26="Juvenil 70kg",13,IF(Atletas!D26="Juvenil 75kg",14,IF(Atletas!D26="Juvenil 80kg",15,IF(Atletas!D26="Adulto 48kg",16,IF(Atletas!D26="Adulto 52kg",17,IF(Atletas!D26="Adulto 56kg",18,IF(Atletas!D26="Adulto 60kg",19,IF(Atletas!D26="Adulto 65kg",20,IF(Atletas!D26="Adulto 70kg",21,IF(Atletas!D26="Adulto 75kg",22,IF(Atletas!D26="Adulto 80kg",23,IF(Atletas!D26="Adulto 85kg",24,IF(Atletas!D26="Adulto 90kg",25,IF(Atletas!D26="Adulto +90kg",26,""))))))))))))))))))))))))))))</f>
        <v/>
      </c>
      <c r="AK30" s="52"/>
      <c r="AM30" s="52" t="str">
        <f>IF(AN30&lt;&gt;"","Adulto 85kg","")</f>
        <v/>
      </c>
      <c r="AN30" s="10" t="str">
        <f>IF(COUNTIF(AJ:AJ,224)&gt;0,COUNTIF(AJ:AJ,224),"")</f>
        <v/>
      </c>
      <c r="AO30" s="10" t="str">
        <f>IF(Atletas!E26="","",IF(Atletas!B26="Feminino",100,IF(Atletas!B26="Masculino",200,""))+(IF(Atletas!E26="Juvenil 44kg",1,IF(Atletas!E26="Juvenil 48kg",2,IF(Atletas!E26="Juvenil 52kg",3,IF(Atletas!E26="Juvenil 56kg",4,IF(Atletas!E26="Juvenil 60kg",5,IF(Atletas!E26="Juvenil 65kg",6,IF(Atletas!E26="Juvenil 70kg",7,IF(Atletas!E26="Juvenil 75kg",8,IF(Atletas!E26="Juvenil 82kg",9,IF(Atletas!E26="Juvenil 90kg",10,IF(Atletas!E26="Juvenil 100kg",11,IF(Atletas!E26="Adulto 48kg",12,IF(Atletas!E26="Adulto 52kg",13,IF(Atletas!E26="Adulto 56kg",14,IF(Atletas!E26="Adulto 60kg",15,IF(Atletas!E26="Adulto 65kg",16,IF(Atletas!E26="Adulto 70kg",17,IF(Atletas!E26="Adulto 75kg",18,IF(Atletas!E26="Adulto 82kg",19,IF(Atletas!E26="Adulto 90kg",20,IF(Atletas!E26="Adulto 100kg",21,IF(Atletas!E26="Adulto +100kg",22,""))))))))))))))))))))))))</f>
        <v/>
      </c>
      <c r="AT30" s="10" t="str">
        <f>IF(Atletas!F26="","",IF(Atletas!B26="Feminino",100,IF(Atletas!B26="Masculino",200,""))+(IF(Atletas!F26="Adulto 48kg",1,IF(Atletas!F26="Adulto 56kg",2,IF(Atletas!F26="Adulto 65kg",3,IF(Atletas!F26="Adulto 75kg",4,IF(Atletas!F26="Adulto +75kg",5,IF(Atletas!F26="Adulto 52kg",6,IF(Atletas!F26="Adulto 60kg",7,IF(Atletas!F26="Adulto 70kg",8,IF(Atletas!F26="Adulto 80kg",9,IF(Atletas!F26="Adulto 90kg",10,IF(Atletas!F26="Adulto +90kg",11,"")))))))))))))</f>
        <v/>
      </c>
      <c r="AY30" s="46" t="str">
        <f>IF(Atletas!G26="","",IF(Atletas!B26="Feminino",100,IF(Atletas!B26="Masculino",200,""))+(IF(Atletas!G26="Changquan Mirim",1,IF(Atletas!G26="Nanquan Mirim",2,IF(Atletas!G26="Taijiquan Mirim",3,IF(Atletas!G26="Changquan Grupo C",4,IF(Atletas!G26="Nanquan Grupo C",5,IF(Atletas!G26="Taijiquan Grupo C",6,IF(Atletas!G26="Changquan Grupo B",7,IF(Atletas!G26="Nanquan Grupo B",8,IF(Atletas!G26="Taijiquan Grupo B",9,IF(Atletas!G26="Changquan Grupo A",10,IF(Atletas!G26="Nanquan Grupo A",11,IF(Atletas!G26="Taijiquan Grupo A",12,IF(Atletas!G26="Changquan Opcional",13,IF(Atletas!G26="Nanquan Opcional",14,IF(Atletas!G26="Taijiquan Opcional",15,IF(Atletas!G26="Changquan Adulto",16,IF(Atletas!G26="Nanquan Adulto",17,IF(Atletas!G26="Taijiquan Adulto",18,""))))))))))))))))))))</f>
        <v/>
      </c>
      <c r="AZ30" s="46" t="str">
        <f>IF(Atletas!H26="","",IF(Atletas!B26="Feminino",100,IF(Atletas!B26="Masculino",200,""))+(IF(Atletas!H26="Daoshu Mirim",19,IF(Atletas!H26="Jianshu Mirim",20,IF(Atletas!H26="Nandao Mirim",21,IF(Atletas!H26="Taijijian Mirim",22,IF(Atletas!H26="Daoshu Grupo C",23,IF(Atletas!H26="Jianshu Grupo C",24,IF(Atletas!H26="Nandao Grupo C",25,IF(Atletas!H26="Taijijian Grupo C",26,IF(Atletas!H26="Daoshu Grupo B",27,IF(Atletas!H26="Jianshu Grupo B",28,IF(Atletas!H26="Nandao Grupo B",29,IF(Atletas!H26="Taijijian Grupo B",30,IF(Atletas!H26="Daoshu Grupo A",31,IF(Atletas!H26="Jianshu Grupo A",32,IF(Atletas!H26="Nandao Grupo A",33,IF(Atletas!H26="Taijijian Grupo A",34,IF(Atletas!H26="Daoshu Opcional",35,IF(Atletas!H26="Jianshu Opcional",36,IF(Atletas!H26="Nandao Opcional",37,IF(Atletas!H26="Taijijian Opcional",38,IF(Atletas!H26="Daoshu Adulto",39,IF(Atletas!H26="Jianshu Adulto",40,IF(Atletas!H26="Nandao Adulto",41,IF(Atletas!H26="Taijijian Adulto",42,""))))))))))))))))))))))))))</f>
        <v/>
      </c>
      <c r="BA30" s="46" t="str">
        <f>IF(Atletas!I26="","",IF(Atletas!B26="Feminino",100,IF(Atletas!B26="Masculino",200,""))+(IF(Atletas!I26="Gunshu Mirim",43,IF(Atletas!I26="Qiangshu Mirim",44,IF(Atletas!I26="Nangun Mirim",45,IF(Atletas!I26="Gunshu Grupo C",46,IF(Atletas!I26="Qiangshu Grupo C",47,IF(Atletas!I26="Nangun Grupo C",48,IF(Atletas!I26="Gunshu Grupo B",49,IF(Atletas!I26="Qiangshu Grupo B",50,IF(Atletas!I26="Nangun Grupo B",51,IF(Atletas!I26="Gunshu Grupo A",52,IF(Atletas!I26="Qiangshu Grupo A",53,IF(Atletas!I26="Nangun Grupo A",54,IF(Atletas!I26="Gunshu Opcional",55,IF(Atletas!I26="Qiangshu Opcional",56,IF(Atletas!I26="Nangun Opcional",57,IF(Atletas!I26="Gunshu Adulto",58,IF(Atletas!I26="Qiangshu Adulto",59,IF(Atletas!I26="Nangun Adulto",60,""))))))))))))))))))))</f>
        <v/>
      </c>
      <c r="BB30" s="10" t="str">
        <f>IF(BC30&lt;&gt;"","Daoshu Grupo B","")</f>
        <v/>
      </c>
      <c r="BC30" s="52" t="str">
        <f>IF(COUNTIF(AY:BA,127)&gt;0,COUNTIF(AY:BA,127),"")</f>
        <v/>
      </c>
      <c r="BD30" s="10" t="str">
        <f>IF(BE30&lt;&gt;"","Daoshu Grupo B","")</f>
        <v/>
      </c>
      <c r="BE30" s="52" t="str">
        <f>IF(COUNTIF(AY:BA,227)&gt;0,COUNTIF(AY:BA,227),"")</f>
        <v/>
      </c>
      <c r="BF30" s="52" t="str">
        <f>IF(Atletas!J26="","",IF(Atletas!B26="Feminino",100,IF(Atletas!B26="Masculino",200,""))+(IF(Atletas!J26="Equipe 1 Grupo B",1,IF(Atletas!J26="Equipe 2 Grupo B",2,IF(Atletas!J26="Equipe 1 Grupo A",3,IF(Atletas!J26="Equipe 2 Grupo A",4,IF(Atletas!J26="Equipe 1 Adulto",5,IF(Atletas!J26="Equipe 2 Adulto",6,""))))))))</f>
        <v/>
      </c>
      <c r="BK30" s="52" t="str">
        <f>IF(Atletas!K26="","",IF(Atletas!W26&lt;&gt;"",10000,0)+(IF(Atletas!B26="Feminino",1000,IF(Atletas!B26="Masculino",2000,""))+IF(Atletas!K26="Choylayfut A",1,IF(Atletas!K26="Hunggar A",2,IF(Atletas!K26="Wuzuquan A",3,IF(Atletas!K26="Wingchun A",4,IF(Atletas!K26="Outra Mão de Sul A",5,IF(Atletas!K26="Choylayfut B",6,IF(Atletas!K26="Hunggar B",7,IF(Atletas!K26="Wuzuquan B",8,IF(Atletas!K26="Wingchun B",9,IF(Atletas!K26="Outra Mão de Sul B",10,IF(Atletas!K26="Choylayfut C",11,IF(Atletas!K26="Hunggar C",12,IF(Atletas!K26="Wuzuquan C",13,IF(Atletas!K26="Wingchun C",14,IF(Atletas!K26="Outra Mão de Sul C",15,IF(Atletas!K26="Choylayfut D",16,IF(Atletas!K26="Hunggar D",17,IF(Atletas!K26="Wuzuquan D",18,IF(Atletas!K26="Wingchun D",19,IF(Atletas!K26="Outra Mão de Sul D",20,IF(Atletas!K26="Choylayfut E",21,IF(Atletas!K26="Hunggar E",22,IF(Atletas!K26="Wuzuquan E",23,IF(Atletas!K26="Wingchun E",24,IF(Atletas!K26="Outra Mão de Sul E",25,IF(Atletas!K26="Choylayfut F",26,IF(Atletas!K26="Hunggar F",27,IF(Atletas!K26="Wuzuquan F",28,IF(Atletas!K26="Wingchun F",29,IF(Atletas!K26="Outra Mão de Sul F",30,""))))))))))))))))))))))))))))))))</f>
        <v/>
      </c>
      <c r="BL30" s="52" t="str">
        <f>IF(Atletas!L26="","",IF(Atletas!W26&lt;&gt;"",10000,0)+(IF(Atletas!B26="Feminino",1000,IF(Atletas!B26="Masculino",2000,""))+(IF(Atletas!L26="Chaquan A",101,IF(Atletas!L26="Emeiquan A",102,IF(Atletas!L26="Fanziquan A",103,IF(Atletas!L26="Huaquan A",104,IF(Atletas!L26="Hongquan A",105,IF(Atletas!L26="Paochui A",106,IF(Atletas!L26="Piguaquan A",107,IF(Atletas!L26="Shaolinquan A",108,IF(Atletas!L26="Tanglangquan A",109,IF(Atletas!L26="Yinzhaophai A",110,IF(Atletas!L26="Tongbeiquan A",111,IF(Atletas!L26="Wudangquan A",112,IF(Atletas!L26="Outros Estilos A",113,IF(Atletas!L26="Chaquan B",114,IF(Atletas!L26="Emeiquan B",115,IF(Atletas!L26="Fanziquan B",116,IF(Atletas!L26="Huaquan B",117,IF(Atletas!L26="Hongquan B",118,IF(Atletas!L26="Paochui B",119,IF(Atletas!L26="Piguaquan B",120,IF(Atletas!L26="Shaolinquan B",121,IF(Atletas!L26="Tanglangquan B",122,IF(Atletas!L26="Yinzhaophai B",123,IF(Atletas!L26="Tongbeiquan B",124,IF(Atletas!L26="Wudangquan B",125,IF(Atletas!L26="Outros Estilos B",126,IF(Atletas!L26="Chaquan C",127,IF(Atletas!L26="Emeiquan C",128,IF(Atletas!L26="Fanziquan C",129,IF(Atletas!L26="Huaquan C",130,IF(Atletas!L26="Hongquan C",131,IF(Atletas!L26="Paochui C",132,IF(Atletas!L26="Piguaquan C",133,IF(Atletas!L26="Shaolinquan C",134,IF(Atletas!L26="Tanglangquan C",135,IF(Atletas!L26="Yinzhaophai C",136,IF(Atletas!L26="Tongbeiquan C",137,IF(Atletas!L26="Wudangquan C",138,IF(Atletas!L26="Outros Estilos C",139,0))))))))))))))))))))))))))))))))))))))))))</f>
        <v/>
      </c>
      <c r="BM30" s="52" t="str">
        <f>IF(Atletas!L26="","",IF(Atletas!W26&lt;&gt;"",10000,0)+(IF(Atletas!B26="Feminino",1000,IF(Atletas!B26="Masculino",2000,""))+(IF(Atletas!L26="Chaquan D",140,IF(Atletas!L26="Emeiquan D",141,IF(Atletas!L26="Fanziquan D",142,IF(Atletas!L26="Huaquan D",143,IF(Atletas!L26="Hongquan D",144,IF(Atletas!L26="Paochui D",145,IF(Atletas!L26="Piguaquan D",146,IF(Atletas!L26="Shaolinquan D",147,IF(Atletas!L26="Tanglangquan D",148,IF(Atletas!L26="Yinzhaophai D",149,IF(Atletas!L26="Tongbeiquan D",150,IF(Atletas!L26="Wudangquan D",151,IF(Atletas!L26="Outros Estilos D",152,IF(Atletas!L26="Chaquan E",153,IF(Atletas!L26="Emeiquan E",154,IF(Atletas!L26="Fanziquan E",155,IF(Atletas!L26="Huaquan E",156,IF(Atletas!L26="Hongquan E",157,IF(Atletas!L26="Paochui E",158,IF(Atletas!L26="Piguaquan E",159,IF(Atletas!L26="Shaolinquan E",160,IF(Atletas!L26="Tanglangquan E",161,IF(Atletas!L26="Yinzhaophai E",162,IF(Atletas!L26="Tongbeiquan E",163,IF(Atletas!L26="Wudangquan E",164,IF(Atletas!L26="Outros Estilos E",165,IF(Atletas!L26="Chaquan F",166,IF(Atletas!L26="Emeiquan F",167,IF(Atletas!L26="Fanziquan F",168,IF(Atletas!L26="Huaquan F",169,IF(Atletas!L26="Hongquan F",170,IF(Atletas!L26="Paochui F",171,IF(Atletas!L26="Piguaquan F",172,IF(Atletas!L26="Shaolinquan F",173,IF(Atletas!L26="Tanglangquan F",174,IF(Atletas!L26="Yinzhaophai F",175,IF(Atletas!L26="Tongbeiquan F",176,IF(Atletas!L26="Wudangquan F",177,IF(Atletas!L26="Outros Estilos F",178,0))))))))))))))))))))))))))))))))))))))))))</f>
        <v/>
      </c>
      <c r="BN30" s="52" t="str">
        <f>IF(Atletas!M26="","",IF(Atletas!W26&lt;&gt;"",10000,0)+(IF(Atletas!B26="Feminino",1000,IF(Atletas!B26="Masculino",2000,""))+(IF(Atletas!M26="Ditangquan A",201,IF(Atletas!M26="Houquan A",202,IF(Atletas!M26="Zuiquan A",203,IF(Atletas!M26="Ditangquan B",204,IF(Atletas!M26="Houquan B",205,IF(Atletas!M26="Zuiquan B",206,IF(Atletas!M26="Ditangquan C",207,IF(Atletas!M26="Houquan C",208,IF(Atletas!M26="Zuiquan C",209,IF(Atletas!M26="Ditangquan D",210,IF(Atletas!M26="Houquan D",211,IF(Atletas!M26="Zuiquan D",212,IF(Atletas!M26="Ditangquan E",213,IF(Atletas!M26="Houquan E",214,IF(Atletas!M26="Zuiquan E",215,IF(Atletas!M26="Ditangquan F",216,IF(Atletas!M26="Houquan F",217,IF(Atletas!M26="Zuiquan F",218,"")))))))))))))))))))))</f>
        <v/>
      </c>
      <c r="BO30" s="52" t="str">
        <f>IF(Atletas!N26="","",IF(Atletas!W26&lt;&gt;"",10000,0)+IF(Atletas!B26="Feminino",1000,IF(Atletas!B26="Masculino",2000,""))+IF(Atletas!N26="Yang A",301,IF(Atletas!N26="Chen A",30,IF(Atletas!N26="Sun A",303,IF(Atletas!N26="Wu A",304,IF(Atletas!N26="Wu-Hao A",305,IF(Atletas!N26="Outro Taijiquan A",306,IF(Atletas!N26="Yang B",307,IF(Atletas!N26="Chen B",308,IF(Atletas!N26="Sun B",309,IF(Atletas!N26="Wu B",310,IF(Atletas!N26="Wu-Hao B",311,IF(Atletas!N26="Outro Taijiquan B",312,IF(Atletas!N26="Yang C",313,IF(Atletas!N26="Chen C",314,IF(Atletas!N26="Sun C",315,IF(Atletas!N26="Wu C",316,IF(Atletas!N26="Wu-Hao C",317,IF(Atletas!N26="Outro Taijiquan C",318,IF(Atletas!N26="Yang D",319,IF(Atletas!N26="Chen D",320,IF(Atletas!N26="Sun D",321,IF(Atletas!N26="Wu D",322,IF(Atletas!N26="Wu-Hao D",323,IF(Atletas!N26="Outro Taijiquan D",324,IF(Atletas!N26="Yang E",325,IF(Atletas!N26="Chen E",326,IF(Atletas!N26="Sun E",327,IF(Atletas!N26="Wu E",328,IF(Atletas!N26="Wu-Hao E",329,IF(Atletas!N26="Outro Taijiquan E",330,IF(Atletas!N26="Yang F",331,IF(Atletas!N26="Chen F",332,IF(Atletas!N26="Sun F",333,IF(Atletas!N26="Wu F",334,IF(Atletas!N26="Wu-Hao F",335,IF(Atletas!N26="Outro Taijiquan F",336,"")))))))))))))))))))))))))))))))))))))</f>
        <v/>
      </c>
      <c r="BP30" s="52" t="str">
        <f>IF(Atletas!O26="","",IF(Atletas!W26&lt;&gt;"",10000,0)+IF(Atletas!B26="Feminino",1000,IF(Atletas!B26="Masculino",2000,""))+IF(OR(Atletas!O26="Yang 26 A",Atletas!O26="Yang 40 A"),401,IF(OR(Atletas!O26="Chen 25 A",Atletas!O26="Chen 36 A",Atletas!O26="Chen 56 A"),402,IF(Atletas!O26="Sun 73 A",403,IF(Atletas!O26="Wu 45 A",404,IF(Atletas!O26="Wu-Hao 46 A",405,IF(OR(Atletas!O26="Taijiquan 16 A",Atletas!O26="Taijiquan 24 A",Atletas!O26="Taijiquan 32 A",Atletas!O26="Taijiquan 42 A"),406,IF(OR(Atletas!O26="Yang 26 B",Atletas!O26="Yang 40 B"),407,IF(OR(Atletas!O26="Chen 25 B",Atletas!O26="Chen 36 B",Atletas!O26="Chen 56 B"),408,IF(Atletas!O26="Sun 73 B",409,IF(Atletas!O26="Wu 45 B",410,IF(Atletas!O26="Wu-Hao 46 B",411,IF(OR(Atletas!O26="Taijiquan 16 B",Atletas!O26="Taijiquan 24 B",Atletas!O26="Taijiquan 32 B",Atletas!O26="Taijiquan 42 B"),412,IF(OR(Atletas!O26="Yang 26 C",Atletas!O26="Yang 40 C"),413,IF(OR(Atletas!O26="Chen 25 C",Atletas!O26="Chen 36 C",Atletas!O26="Chen 56 C"),414,IF(Atletas!O26="Sun 73 C",415,IF(Atletas!O26="Wu 45 C",416,IF(Atletas!O26="Wu-Hao 46 C",417,IF(OR(Atletas!O26="Taijiquan 16 C",Atletas!O26="Taijiquan 24 C",Atletas!O26="Taijiquan 32 C",Atletas!O26="Taijiquan 42 C"),418,0)))))))))))))))))))</f>
        <v/>
      </c>
      <c r="BQ30" s="52" t="str">
        <f>IF(Atletas!O26="","",IF(Atletas!W26&lt;&gt;"",10000,0)+IF(Atletas!B26="Feminino",1000,IF(Atletas!B26="Masculino",2000,""))+IF(OR(Atletas!O26="Yang 26 D",Atletas!O26="Yang 40 D"),419,IF(OR(Atletas!O26="Chen 25 D",Atletas!O26="Chen 36 D",Atletas!O26="Chen 56 D"),420,IF(Atletas!O26="Sun 73 D",421,IF(Atletas!O26="Wu 45 D",422,IF(Atletas!O26="Wu-Hao 46 D",423,IF(OR(Atletas!O26="Taijiquan 16 D",Atletas!O26="Taijiquan 24 D",Atletas!O26="Taijiquan 32 D",Atletas!O26="Taijiquan 42 D"),424,IF(OR(Atletas!O26="Yang 26 E",Atletas!O26="Yang 40 E"),425,IF(OR(Atletas!O26="Chen 25 E",Atletas!O26="Chen 36 E",Atletas!O26="Chen 56 E"),426,IF(Atletas!O26="Sun 73 E",427,IF(Atletas!O26="Wu 45 E",428,IF(Atletas!O26="Wu-Hao 46 E",429,IF(OR(Atletas!O26="Taijiquan 16 E",Atletas!O26="Taijiquan 24 E",Atletas!O26="Taijiquan 32 E",Atletas!O26="Taijiquan 42 E"),430,IF(OR(Atletas!O26="Yang 26 F",Atletas!O26="Yang 40 F"),431,IF(OR(Atletas!O26="Chen 25 F",Atletas!O26="Chen 36 F",Atletas!O26="Chen 56 F"),432,IF(Atletas!O26="Sun 73 F",433,IF(Atletas!O26="Wu 45 F",434,IF(Atletas!O26="Wu-Hao 46 F",435,IF(OR(Atletas!O26="Taijiquan 16 F",Atletas!O26="Taijiquan 24 F",Atletas!O26="Taijiquan 32 F",Atletas!O26="Taijiquan 42 F"),436,0)))))))))))))))))))</f>
        <v/>
      </c>
      <c r="BR30" s="52" t="str">
        <f>IF(Atletas!P26="","",IF(Atletas!W26&lt;&gt;"",10000,0)+IF(Atletas!B26="Feminino",1000,IF(Atletas!B26="Masculino",2000,""))+IF(Atletas!P26="Xingyiquan A",501,IF(Atletas!P26="Baguazhang A",502,IF(Atletas!P26="Outro Estilo Interno A",503,IF(Atletas!P26="Xingyiquan B",504,IF(Atletas!P26="Baguazhang B",505,IF(Atletas!P26="Outro Estilo Interno B",506,IF(Atletas!P26="Xingyiquan C",507,IF(Atletas!P26="Baguazhang C",508,IF(Atletas!P26="Outro Estilo Interno C",509,IF(Atletas!P26="Xingyiquan D",510,IF(Atletas!P26="Baguazhang D",511,IF(Atletas!P26="Outro Estilo Interno D",512,IF(Atletas!P26="Xingyiquan E",513,IF(Atletas!P26="Baguazhang E",514,IF(Atletas!P26="Outro Estilo Interno E",515,IF(Atletas!P26="Xingyiquan F",516,IF(Atletas!P26="Baguazhang F",517,IF(Atletas!P26="Outro Estilo Interno F",518, "")))))))))))))))))))</f>
        <v/>
      </c>
      <c r="BS30" s="52" t="str">
        <f>IF(Atletas!Q26="","",IF(Atletas!W26&lt;&gt;"",10000,0)+IF(Atletas!B26="Feminino",1000,IF(Atletas!B26="Masculino",2000,""))+IF(Atletas!Q26="Dao A",601,IF(Atletas!Q26="Jian A",602,IF(Atletas!Q26="Bishou A",603,IF(Atletas!Q26="Shan A",604,IF(Atletas!Q26="Outra Arma Curta A",605,IF(Atletas!Q26="Dao B",606,IF(Atletas!Q26="Jian B",607,IF(Atletas!Q26="Bishou B",608,IF(Atletas!Q26="Shan B",609,IF(Atletas!Q26="Outra Arma Curta B",610,IF(Atletas!Q26="Dao C",611,IF(Atletas!Q26="Jian C",612,IF(Atletas!Q26="Bishou C",613,IF(Atletas!Q26="Shan C",614,IF(Atletas!Q26="Outra Arma Curta C",615,IF(Atletas!Q26="Dao D",616,IF(Atletas!Q26="Jian D",617,IF(Atletas!Q26="Bishou D",618,IF(Atletas!Q26="Shan D",619,IF(Atletas!Q26="Outra Arma Curta D",620,IF(Atletas!Q26="Dao E",621,IF(Atletas!Q26="Jian E",622,IF(Atletas!Q26="Bishou E",623,IF(Atletas!Q26="Shan E",624,IF(Atletas!Q26="Outra Arma Curta E",625,IF(Atletas!Q26="Dao F",626,IF(Atletas!Q26="Jian F",627,IF(Atletas!Q26="Bishou F",628,IF(Atletas!Q26="Shan F",629,IF(Atletas!Q26="Outra Arma Curta F",630, "")))))))))))))))))))))))))))))))</f>
        <v/>
      </c>
      <c r="BT30" s="52" t="str">
        <f>IF(Atletas!R26="","",IF(Atletas!W26&lt;&gt;"",10000,0)+IF(Atletas!B26="Feminino",1000,IF(Atletas!B26="Masculino",2000,""))+IF(Atletas!R26="Gun A",701,IF(Atletas!R26="Qiang A",702,IF(Atletas!R26="Pudao / Guandao A",703,IF(Atletas!R26="Outra Arma Longa A",704,IF(Atletas!R26="Gun B",705,IF(Atletas!R26="Qiang B",706,IF(Atletas!R26="Pudao / Guandao B",707,IF(Atletas!R26="Outra Arma Longa B",708,IF(Atletas!R26="Gun C",709,IF(Atletas!R26="Qiang C",710,IF(Atletas!R26="Pudao / Guandao C",711,IF(Atletas!R26="Outra Arma Longa C",712,IF(Atletas!R26="Gun D",713,IF(Atletas!R26="Qiang D",714,IF(Atletas!R26="Pudao / Guandao D",715,IF(Atletas!R26="Outra Arma Longa D",716,IF(Atletas!R26="Gun E",717,IF(Atletas!R26="Qiang E",718,IF(Atletas!R26="Pudao / Guandao E",719,IF(Atletas!R26="Outra Arma Longa E",720,IF(Atletas!R26="Gun F",721,IF(Atletas!R26="Qiang F",722,IF(Atletas!R26="Pudao / Guandao F",723,IF(Atletas!R26="Outra Arma Longa F",724,"")))))))))))))))))))))))))</f>
        <v/>
      </c>
      <c r="BU30" s="52" t="str">
        <f>IF(Atletas!S26="","",IF(Atletas!W26&lt;&gt;"",10000,0)+IF(Atletas!B26="Feminino",1000,IF(Atletas!B26="Masculino",2000,""))+IF(Atletas!S26="Arma Dupla A",801,IF(Atletas!S26="Arma Maleável A",802,IF(Atletas!S26="Arma Dupla B",803,IF(Atletas!S26="Arma Maleável B",804,IF(Atletas!S26="Arma Dupla C",805,IF(Atletas!S26="Arma Maleável C",806,IF(Atletas!S26="Arma Dupla D",807,IF(Atletas!S26="Arma Maleável D",808,IF(Atletas!S26="Arma Dupla E",809,IF(Atletas!S26="Arma Maleável E",810,IF(Atletas!S26="Arma Dupla F",811,IF(Atletas!S26="Arma Maleável F",812, "")))))))))))))</f>
        <v/>
      </c>
      <c r="BV30" s="52" t="str">
        <f>IF(Atletas!T26="","",IF(Atletas!W26&lt;&gt;"",10000,0)+IF(Atletas!B26="Feminino",1000,IF(Atletas!B26="Masculino",2000,""))+IF(Atletas!T26="Taijijian Yang A",901,IF(Atletas!T26="Taijijian Chen A",902,IF(Atletas!T26="Taijijian Sun A",903,IF(Atletas!T26="Taijijian Wu A",904,IF(Atletas!T26="Taijijian Wu-Hao A",905,IF(Atletas!T26="Taijijian 32 A",906,IF(Atletas!T26="Taijijian 42 A",907,IF(Atletas!T26="Taijijian Yang B",908,IF(Atletas!T26="Taijijian Chen B",909,IF(Atletas!T26="Taijijian Sun B",910,IF(Atletas!T26="Taijijian Wu B",911,IF(Atletas!T26="Taijijian Wu-Hao B",912,IF(Atletas!T26="Taijijian 32 B",913,IF(Atletas!T26="Taijijian 42 B",914,IF(Atletas!T26="Taijijian Yang C",915,IF(Atletas!T26="Taijijian Chen C",916,IF(Atletas!T26="Taijijian Sun C",917,IF(Atletas!T26="Taijijian Wu C",918,IF(Atletas!T26="Taijijian Wu-Hao C",919,IF(Atletas!T26="Taijijian 32 C",920,IF(Atletas!T26="Taijijian 42 C",921,IF(Atletas!T26="Taijijian Yang D",922,IF(Atletas!T26="Taijijian Chen D",923,IF(Atletas!T26="Taijijian Sun D",924,IF(Atletas!T26="Taijijian Wu D",925,IF(Atletas!T26="Taijijian Wu-Hao D",926,IF(Atletas!T26="Taijijian 32 D",927,IF(Atletas!T26="Taijijian 42 D",928,IF(Atletas!T26="Taijijian Yang E",929,IF(Atletas!T26="Taijijian Chen E",930,IF(Atletas!T26="Taijijian Sun E",931,IF(Atletas!T26="Taijijian Wu E",932,IF(Atletas!T26="Taijijian Wu-Hao E",933,IF(Atletas!T26="Taijijian 32 E",934,IF(Atletas!T26="Taijijian 42 E",935,IF(Atletas!T26="Taijijian Yang F",936,IF(Atletas!T26="Taijijian Chen F",937,IF(Atletas!T26="Taijijian Sun F",938,IF(Atletas!T26="Taijijian Wu F",939,IF(Atletas!T26="Taijijian Wu-Hao F",940,IF(Atletas!T26="Taijijian 32 F",941,IF(Atletas!T26="Taijijian 42 F",942,"")))))))))))))))))))))))))))))))))))))))))))</f>
        <v/>
      </c>
      <c r="BW30" s="52" t="str">
        <f>IF(Atletas!U26="","",IF(Atletas!W26&lt;&gt;"",10000,0)+IF(Atletas!B26="Feminino",1000,IF(Atletas!B26="Masculino",2000,""))+IF(Atletas!T26="Taijijian 42 F",942,IF(Atletas!U26="Taijidao A",943,IF(Atletas!U26="Taijishan A",944,IF(Atletas!U26="Taijiqiang A",945,IF(Atletas!U26="Taijidao B",946,IF(Atletas!U26="Taijishan B",947,IF(Atletas!U26="Taijiqiang B",948,IF(Atletas!U26="Taijidao C",949,IF(Atletas!U26="Taijishan C",950,IF(Atletas!U26="Taijiqiang C",951,IF(Atletas!U26="Taijidao D",952,IF(Atletas!U26="Taijishan D",953,IF(Atletas!U26="Taijiqiang D",954,IF(Atletas!U26="Taijidao E",955,IF(Atletas!U26="Taijishan E",956,IF(Atletas!U26="Taijiqiang E",957,IF(Atletas!U26="Taijidao F",958,IF(Atletas!U26="Taijishan F",959,IF(Atletas!U26="Taijiqiang F",960))))))))))))))))))))</f>
        <v/>
      </c>
      <c r="BX30" s="64" t="str">
        <f>IF(BY30&lt;&gt;"","Wingchun E","")</f>
        <v/>
      </c>
      <c r="BY30" s="64" t="str">
        <f>IF(COUNTIF(BK:BW,1024)&gt;0,COUNTIF(BK:BW,1024),"")</f>
        <v/>
      </c>
      <c r="BZ30" s="64" t="str">
        <f>IF(CA30&lt;&gt;"","Wingchun E","")</f>
        <v/>
      </c>
      <c r="CA30" s="64" t="str">
        <f>IF(COUNTIF(BK:BW,2024)&gt;0,COUNTIF(BK:BW,2024),"")</f>
        <v/>
      </c>
      <c r="CB30" s="64" t="str">
        <f>IF(CC30&lt;&gt;"","Wingchun E","")</f>
        <v/>
      </c>
      <c r="CC30" s="64" t="str">
        <f>IF(COUNTIF(BK:BW,11024)&gt;0,COUNTIF(BK:BW,11024),"")</f>
        <v/>
      </c>
      <c r="CD30" s="64" t="str">
        <f>IF(CE30&lt;&gt;"","Wingchun E","")</f>
        <v/>
      </c>
      <c r="CE30" s="64" t="str">
        <f>IF(COUNTIF(BK:BW,12024)&gt;0,COUNTIF(BK:BW,12024),"")</f>
        <v/>
      </c>
      <c r="CF30" s="52" t="str">
        <f xml:space="preserve"> IF(Atletas!V26="","",IF(Atletas!V26="Duilian de Mãos AB - Equipe 1",1,IF(Atletas!V26="Duilian de Mãos AB - Equipe 2",2,IF(Atletas!V26="Duilian de Armas AB - Equipe 1",3,IF(Atletas!V26="Duilian de Armas AB - Equipe 2",4,IF(Atletas!V26="Duilian de Tuishou - Equipe 1",5,IF(Atletas!V26="Duilian de Tuishou - Equipe 2",6,IF(Atletas!V26="Grupo Externo AB - Equipe 1",7,IF(Atletas!V26="Grupo Externo AB - Equipe 2",8,IF(Atletas!V26="Grupo Interno AB - Equipe 1",9,IF(Atletas!V26="Grupo Interno AB - Equipe 2",10,IF(Atletas!V26="Duilian de Mãos CD - Equipe 1",11,IF(Atletas!V26="Duilian de Mãos CD - Equipe 2",12,IF(Atletas!V26="Duilian de Armas CD - Equipe 1",13,IF(Atletas!V26="Duilian de Armas CD - Equipe 2",14,IF(Atletas!V26="Duilian de Tuishou - Equipe 1",15,IF(Atletas!V26="Duilian de Tuishou - Equipe 2",16,IF(Atletas!V26="Grupo Externo CDEF - Equipe 1",17,IF(Atletas!V26="Grupo Externo CDEF - Equipe 2",18,IF(Atletas!V26="Grupo Interno CDEF - Equipe 1",19,IF(Atletas!V26="Grupo Interno CDEF - Equipe 2",20,IF(Atletas!V26="Duilian de Mãos EF - Equipe 1",21,IF(Atletas!V26="Duilian de Mãos EF - Equipe 2",22,IF(Atletas!V26="Duilian de Armas EF - Equipe 1",23,IF(Atletas!V26="Duilian de Armas EF - Equipe 2",24,IF(Atletas!V26="Duilian de Tuishou - Equipe 1",25,IF(Atletas!V26="Duilian de Tuishou - Equipe 2",26,"")))))))))))))))))))))))))))</f>
        <v/>
      </c>
      <c r="CR30" s="71"/>
    </row>
    <row r="31" spans="1:96">
      <c r="B31" s="4" t="str">
        <f t="array" ref="B31">IFERROR(INDEX(AK$7:AK$36,SMALL(IF(AK$7:AK$36&lt;&gt;"",ROW(AK$7:AK$36)-ROW(AK$7)+1),ROWS(AK$7:AK30))),"")</f>
        <v/>
      </c>
      <c r="C31" s="4" t="str">
        <f t="array" ref="C31">IFERROR(INDEX(AL$7:AL$36,SMALL(IF(AL$7:AL$36&lt;&gt;"",ROW(AL$7:AL$36)-ROW(AL$7)+1),ROWS(AL$7:AL30))),"")</f>
        <v/>
      </c>
      <c r="D31" s="4" t="str">
        <f t="array" ref="D31">IFERROR(INDEX(AM$7:AM$36,SMALL(IF(AM$7:AM$36&lt;&gt;"",ROW(AM$7:AM$36)-ROW(AM$7)+1),ROWS(AM$7:AM30))),"")</f>
        <v/>
      </c>
      <c r="E31" s="4" t="str">
        <f t="array" ref="E31">IFERROR(INDEX(AN$7:AN$36,SMALL(IF(AN$7:AN$36&lt;&gt;"",ROW(AN$7:AN$36)-ROW(AN$7)+1),ROWS(AN$7:AN30))),"")</f>
        <v/>
      </c>
      <c r="F31" s="4" t="str">
        <f t="array" ref="F31">IFERROR(INDEX(AP$7:AP$36,SMALL(IF(AP$7:AP$36&lt;&gt;"",ROW(AP$7:AP$36)-ROW(AP$7)+1),ROWS(AP$7:AP30))),"")</f>
        <v/>
      </c>
      <c r="G31" s="4" t="str">
        <f t="array" ref="G31">IFERROR(INDEX(AQ$7:AQ$36,SMALL(IF(AQ$7:AQ$36&lt;&gt;"",ROW(AQ$7:AQ$36)-ROW(AQ$7)+1),ROWS(AQ$7:AQ30))),"")</f>
        <v/>
      </c>
      <c r="H31" s="4" t="str">
        <f t="array" ref="H31">IFERROR(INDEX(AR$7:AR$36,SMALL(IF(AR$7:AR$36&lt;&gt;"",ROW(AR$7:AR$36)-ROW(AR$7)+1),ROWS(AR$7:AR30))),"")</f>
        <v/>
      </c>
      <c r="I31" s="4" t="str">
        <f t="array" ref="I31">IFERROR(INDEX(AS$7:AS$36,SMALL(IF(AS$7:AS$36&lt;&gt;"",ROW(AS$7:AS$36)-ROW(AS$7)+1),ROWS(AS$7:AS30))),"")</f>
        <v/>
      </c>
      <c r="J31" s="4" t="str">
        <f t="array" ref="J31">IFERROR(INDEX(AS$7:AS$36,SMALL(IF(AS$7:AS$36&lt;&gt;"",ROW(AS$7:AS$36)-ROW(AS$7)+1),ROWS(AS$7:AS30))),"")</f>
        <v/>
      </c>
      <c r="K31" s="4" t="str">
        <f t="array" ref="K31">IFERROR(INDEX(AV$7:AV$36,SMALL(IF(AV$7:AV$36&lt;&gt;"",ROW(AV$7:AV$36)-ROW(AV$7)+1),ROWS(AV$7:AV30))),"")</f>
        <v/>
      </c>
      <c r="L31" s="4" t="str">
        <f t="array" ref="L31">IFERROR(INDEX(AW$7:AW$36,SMALL(IF(AW$7:AW$36&lt;&gt;"",ROW(AW$7:AW$36)-ROW(AW$7)+1),ROWS(AW$7:AW30))),"")</f>
        <v/>
      </c>
      <c r="M31" s="4" t="str">
        <f t="array" ref="M31">IFERROR(INDEX(AX$7:AX$36,SMALL(IF(AX$7:AX$36&lt;&gt;"",ROW(AX$7:AX$36)-ROW(AX$7)+1),ROWS(AX$7:AX30))),"")</f>
        <v/>
      </c>
      <c r="N31" s="4" t="str">
        <f t="array" ref="N31">IFERROR(INDEX(BB$7:BB$66,SMALL(IF(BB$7:BB$66&lt;&gt;"",ROW(BB$7:BB$66)-ROW(BB$7)+1),ROWS(BB$7:BB30))),"")</f>
        <v/>
      </c>
      <c r="O31" s="4" t="str">
        <f t="array" ref="O31">IFERROR(INDEX(BC$7:BC$66,SMALL(IF(BC$7:BC$66&lt;&gt;"",ROW(BC$7:BC$66)-ROW(BC$7)+1),ROWS(BC$7:BC30))),"")</f>
        <v/>
      </c>
      <c r="P31" s="4" t="str">
        <f t="array" ref="P31">IFERROR(INDEX(BD$7:BD$66,SMALL(IF(BD$7:BD$66&lt;&gt;"",ROW(BD$7:BD$66)-ROW(BD$7)+1),ROWS(BD$7:BD30))),"")</f>
        <v/>
      </c>
      <c r="Q31" s="4" t="str">
        <f t="array" ref="Q31">IFERROR(INDEX(BE$7:BE$66,SMALL(IF(BE$7:BE$66&lt;&gt;"",ROW(BE$7:BE$66)-ROW(BE$7)+1),ROWS(BE$7:BE30))),"")</f>
        <v/>
      </c>
      <c r="R31" s="4"/>
      <c r="S31" s="4"/>
      <c r="T31" s="4"/>
      <c r="U31" s="4"/>
      <c r="V31" s="4" t="str">
        <f t="array" ref="V31">IFERROR(INDEX(BX$7:BX$336,SMALL(IF(BX$7:BX$336&lt;&gt;"",ROW(BX$7:BX$336)-ROW(BX$7)+1),ROWS(BX$7:BX30))),"")</f>
        <v/>
      </c>
      <c r="W31" s="4" t="str">
        <f t="array" ref="W31">IFERROR(INDEX(BY$7:BY$336,SMALL(IF(BY$7:BY$336&lt;&gt;"",ROW(BY$7:BY$336)-ROW(BY$7)+1),ROWS(BY$7:BY30))),"")</f>
        <v/>
      </c>
      <c r="X31" s="4" t="str">
        <f t="array" ref="X31">IFERROR(INDEX(BZ$7:BZ$336,SMALL(IF(BZ$7:BZ$336&lt;&gt;"",ROW(BZ$7:BZ$336)-ROW(BZ$7)+1),ROWS(BZ$7:BZ30))),"")</f>
        <v/>
      </c>
      <c r="Y31" s="4" t="str">
        <f t="array" ref="Y31">IFERROR(INDEX(CA$7:CA$336,SMALL(IF(CA$7:CA$336&lt;&gt;"",ROW(CA$7:CA$336)-ROW(CA$7)+1),ROWS(CA$7:CA30))),"")</f>
        <v/>
      </c>
      <c r="Z31" s="4" t="str">
        <f t="array" ref="Z31">IFERROR(INDEX(CB$7:CB$378,SMALL(IF(CB$7:CB$378&lt;&gt;"",ROW(CB$7:CB$378)-ROW(CB$7)+1),ROWS(CB$7:CB30))),"")</f>
        <v/>
      </c>
      <c r="AA31" s="4" t="str">
        <f t="array" ref="AA31">IFERROR(INDEX(CC$7:CC$378,SMALL(IF(CC$7:CC$378&lt;&gt;"",ROW(CC$7:CC$378)-ROW(CC$7)+1),ROWS(CC$7:CC30))),"")</f>
        <v/>
      </c>
      <c r="AB31" s="4" t="str">
        <f t="array" ref="AB31">IFERROR(INDEX(CD$7:CD$378,SMALL(IF(CD$7:CD$378&lt;&gt;"",ROW(CD$7:CD$378)-ROW(CD$7)+1),ROWS(CD$7:CD30))),"")</f>
        <v/>
      </c>
      <c r="AC31" s="4" t="str">
        <f t="array" ref="AC31">IFERROR(INDEX(CE$7:CE$378,SMALL(IF(CE$7:CE$378&lt;&gt;"",ROW(CE$7:CE$378)-ROW(CE$7)+1),ROWS(CE$7:CE30))),"")</f>
        <v/>
      </c>
      <c r="AD31" s="69" t="str">
        <f t="array" ref="AD31">IFERROR(INDEX(CG$7:CG$18,SMALL(IF(CG$7:CG$18&lt;&gt;"",ROW(CG$7:CG$18)-ROW(CG$7)+1),ROWS(CG$7:CG30))),"")</f>
        <v/>
      </c>
      <c r="AE31" s="69" t="str">
        <f t="array" ref="AE31">IFERROR(INDEX(CH$7:CH$18,SMALL(IF(CH$7:CH$18&lt;&gt;"",ROW(CH$7:CH$18)-ROW(CH$7)+1),ROWS(CH$7:CH30))),"")</f>
        <v/>
      </c>
      <c r="AF31" s="69" t="str">
        <f t="array" ref="AF31">IFERROR(INDEX(CI$7:CI$8,SMALL(IF(CI$7:CI$8&lt;&gt;"",ROW(CI$7:CI$8)-ROW(CI$7)+1),ROWS(CI$7:CI30))),"")</f>
        <v/>
      </c>
      <c r="AG31" s="69"/>
      <c r="AH31" s="69" t="str">
        <f t="array" ref="AH31">IFERROR(INDEX(CK$7:CK$14,SMALL(IF(CK$7:CK$14&lt;&gt;"",ROW(CK$7:CK$14)-ROW(CK$7)+1),ROWS(CK$7:CK30))),"")</f>
        <v/>
      </c>
      <c r="AI31" s="69"/>
      <c r="AJ31" s="46" t="str">
        <f>IF(Atletas!D27="","",IF(Atletas!B27="Feminino",100,IF(Atletas!B27="Masculino",200,""))+(IF(Atletas!D27="Infantil 39kg",1,IF(Atletas!D27="Infantil 42kg",2,IF(Atletas!D27="Infantil 45kg",3,IF(Atletas!D27="Infantil 48kg",4,IF(Atletas!D27="Infantil 52kg",5,IF(Atletas!D27="Infantil 56kg",6,IF(Atletas!D27="Infantil 60kg",7,IF(Atletas!D27="Juvenil 48kg",8,IF(Atletas!D27="Juvenil 52kg",9,IF(Atletas!D27="Juvenil 56kg",10,IF(Atletas!D27="Juvenil 60kg",11,IF(Atletas!D27="Juvenil 65kg",12,IF(Atletas!D27="Juvenil 70kg",13,IF(Atletas!D27="Juvenil 75kg",14,IF(Atletas!D27="Juvenil 80kg",15,IF(Atletas!D27="Adulto 48kg",16,IF(Atletas!D27="Adulto 52kg",17,IF(Atletas!D27="Adulto 56kg",18,IF(Atletas!D27="Adulto 60kg",19,IF(Atletas!D27="Adulto 65kg",20,IF(Atletas!D27="Adulto 70kg",21,IF(Atletas!D27="Adulto 75kg",22,IF(Atletas!D27="Adulto 80kg",23,IF(Atletas!D27="Adulto 85kg",24,IF(Atletas!D27="Adulto 90kg",25,IF(Atletas!D27="Adulto +90kg",26,""))))))))))))))))))))))))))))</f>
        <v/>
      </c>
      <c r="AK31" s="52"/>
      <c r="AM31" s="52" t="str">
        <f>IF(AN31&lt;&gt;"","Adulto 90kg","")</f>
        <v/>
      </c>
      <c r="AN31" s="10" t="str">
        <f>IF(COUNTIF(AJ:AJ,225)&gt;0,COUNTIF(AJ:AJ,225),"")</f>
        <v/>
      </c>
      <c r="AO31" s="10" t="str">
        <f>IF(Atletas!E27="","",IF(Atletas!B27="Feminino",100,IF(Atletas!B27="Masculino",200,""))+(IF(Atletas!E27="Juvenil 44kg",1,IF(Atletas!E27="Juvenil 48kg",2,IF(Atletas!E27="Juvenil 52kg",3,IF(Atletas!E27="Juvenil 56kg",4,IF(Atletas!E27="Juvenil 60kg",5,IF(Atletas!E27="Juvenil 65kg",6,IF(Atletas!E27="Juvenil 70kg",7,IF(Atletas!E27="Juvenil 75kg",8,IF(Atletas!E27="Juvenil 82kg",9,IF(Atletas!E27="Juvenil 90kg",10,IF(Atletas!E27="Juvenil 100kg",11,IF(Atletas!E27="Adulto 48kg",12,IF(Atletas!E27="Adulto 52kg",13,IF(Atletas!E27="Adulto 56kg",14,IF(Atletas!E27="Adulto 60kg",15,IF(Atletas!E27="Adulto 65kg",16,IF(Atletas!E27="Adulto 70kg",17,IF(Atletas!E27="Adulto 75kg",18,IF(Atletas!E27="Adulto 82kg",19,IF(Atletas!E27="Adulto 90kg",20,IF(Atletas!E27="Adulto 100kg",21,IF(Atletas!E27="Adulto +100kg",22,""))))))))))))))))))))))))</f>
        <v/>
      </c>
      <c r="AT31" s="10" t="str">
        <f>IF(Atletas!F27="","",IF(Atletas!B27="Feminino",100,IF(Atletas!B27="Masculino",200,""))+(IF(Atletas!F27="Adulto 48kg",1,IF(Atletas!F27="Adulto 56kg",2,IF(Atletas!F27="Adulto 65kg",3,IF(Atletas!F27="Adulto 75kg",4,IF(Atletas!F27="Adulto +75kg",5,IF(Atletas!F27="Adulto 52kg",6,IF(Atletas!F27="Adulto 60kg",7,IF(Atletas!F27="Adulto 70kg",8,IF(Atletas!F27="Adulto 80kg",9,IF(Atletas!F27="Adulto 90kg",10,IF(Atletas!F27="Adulto +90kg",11,"")))))))))))))</f>
        <v/>
      </c>
      <c r="AY31" s="46" t="str">
        <f>IF(Atletas!G27="","",IF(Atletas!B27="Feminino",100,IF(Atletas!B27="Masculino",200,""))+(IF(Atletas!G27="Changquan Mirim",1,IF(Atletas!G27="Nanquan Mirim",2,IF(Atletas!G27="Taijiquan Mirim",3,IF(Atletas!G27="Changquan Grupo C",4,IF(Atletas!G27="Nanquan Grupo C",5,IF(Atletas!G27="Taijiquan Grupo C",6,IF(Atletas!G27="Changquan Grupo B",7,IF(Atletas!G27="Nanquan Grupo B",8,IF(Atletas!G27="Taijiquan Grupo B",9,IF(Atletas!G27="Changquan Grupo A",10,IF(Atletas!G27="Nanquan Grupo A",11,IF(Atletas!G27="Taijiquan Grupo A",12,IF(Atletas!G27="Changquan Opcional",13,IF(Atletas!G27="Nanquan Opcional",14,IF(Atletas!G27="Taijiquan Opcional",15,IF(Atletas!G27="Changquan Adulto",16,IF(Atletas!G27="Nanquan Adulto",17,IF(Atletas!G27="Taijiquan Adulto",18,""))))))))))))))))))))</f>
        <v/>
      </c>
      <c r="AZ31" s="46" t="str">
        <f>IF(Atletas!H27="","",IF(Atletas!B27="Feminino",100,IF(Atletas!B27="Masculino",200,""))+(IF(Atletas!H27="Daoshu Mirim",19,IF(Atletas!H27="Jianshu Mirim",20,IF(Atletas!H27="Nandao Mirim",21,IF(Atletas!H27="Taijijian Mirim",22,IF(Atletas!H27="Daoshu Grupo C",23,IF(Atletas!H27="Jianshu Grupo C",24,IF(Atletas!H27="Nandao Grupo C",25,IF(Atletas!H27="Taijijian Grupo C",26,IF(Atletas!H27="Daoshu Grupo B",27,IF(Atletas!H27="Jianshu Grupo B",28,IF(Atletas!H27="Nandao Grupo B",29,IF(Atletas!H27="Taijijian Grupo B",30,IF(Atletas!H27="Daoshu Grupo A",31,IF(Atletas!H27="Jianshu Grupo A",32,IF(Atletas!H27="Nandao Grupo A",33,IF(Atletas!H27="Taijijian Grupo A",34,IF(Atletas!H27="Daoshu Opcional",35,IF(Atletas!H27="Jianshu Opcional",36,IF(Atletas!H27="Nandao Opcional",37,IF(Atletas!H27="Taijijian Opcional",38,IF(Atletas!H27="Daoshu Adulto",39,IF(Atletas!H27="Jianshu Adulto",40,IF(Atletas!H27="Nandao Adulto",41,IF(Atletas!H27="Taijijian Adulto",42,""))))))))))))))))))))))))))</f>
        <v/>
      </c>
      <c r="BA31" s="46" t="str">
        <f>IF(Atletas!I27="","",IF(Atletas!B27="Feminino",100,IF(Atletas!B27="Masculino",200,""))+(IF(Atletas!I27="Gunshu Mirim",43,IF(Atletas!I27="Qiangshu Mirim",44,IF(Atletas!I27="Nangun Mirim",45,IF(Atletas!I27="Gunshu Grupo C",46,IF(Atletas!I27="Qiangshu Grupo C",47,IF(Atletas!I27="Nangun Grupo C",48,IF(Atletas!I27="Gunshu Grupo B",49,IF(Atletas!I27="Qiangshu Grupo B",50,IF(Atletas!I27="Nangun Grupo B",51,IF(Atletas!I27="Gunshu Grupo A",52,IF(Atletas!I27="Qiangshu Grupo A",53,IF(Atletas!I27="Nangun Grupo A",54,IF(Atletas!I27="Gunshu Opcional",55,IF(Atletas!I27="Qiangshu Opcional",56,IF(Atletas!I27="Nangun Opcional",57,IF(Atletas!I27="Gunshu Adulto",58,IF(Atletas!I27="Qiangshu Adulto",59,IF(Atletas!I27="Nangun Adulto",60,""))))))))))))))))))))</f>
        <v/>
      </c>
      <c r="BB31" s="10" t="str">
        <f>IF(BC31&lt;&gt;"","Jianshu Grupo B","")</f>
        <v/>
      </c>
      <c r="BC31" s="52" t="str">
        <f>IF(COUNTIF(AY:BA,128)&gt;0,COUNTIF(AY:BA,128),"")</f>
        <v/>
      </c>
      <c r="BD31" s="10" t="str">
        <f>IF(BE31&lt;&gt;"","Jianshu Grupo B","")</f>
        <v/>
      </c>
      <c r="BE31" s="52" t="str">
        <f>IF(COUNTIF(AY:BA,228)&gt;0,COUNTIF(AY:BA,228),"")</f>
        <v/>
      </c>
      <c r="BF31" s="52" t="str">
        <f>IF(Atletas!J27="","",IF(Atletas!B27="Feminino",100,IF(Atletas!B27="Masculino",200,""))+(IF(Atletas!J27="Equipe 1 Grupo B",1,IF(Atletas!J27="Equipe 2 Grupo B",2,IF(Atletas!J27="Equipe 1 Grupo A",3,IF(Atletas!J27="Equipe 2 Grupo A",4,IF(Atletas!J27="Equipe 1 Adulto",5,IF(Atletas!J27="Equipe 2 Adulto",6,""))))))))</f>
        <v/>
      </c>
      <c r="BK31" s="52" t="str">
        <f>IF(Atletas!K27="","",IF(Atletas!W27&lt;&gt;"",10000,0)+(IF(Atletas!B27="Feminino",1000,IF(Atletas!B27="Masculino",2000,""))+IF(Atletas!K27="Choylayfut A",1,IF(Atletas!K27="Hunggar A",2,IF(Atletas!K27="Wuzuquan A",3,IF(Atletas!K27="Wingchun A",4,IF(Atletas!K27="Outra Mão de Sul A",5,IF(Atletas!K27="Choylayfut B",6,IF(Atletas!K27="Hunggar B",7,IF(Atletas!K27="Wuzuquan B",8,IF(Atletas!K27="Wingchun B",9,IF(Atletas!K27="Outra Mão de Sul B",10,IF(Atletas!K27="Choylayfut C",11,IF(Atletas!K27="Hunggar C",12,IF(Atletas!K27="Wuzuquan C",13,IF(Atletas!K27="Wingchun C",14,IF(Atletas!K27="Outra Mão de Sul C",15,IF(Atletas!K27="Choylayfut D",16,IF(Atletas!K27="Hunggar D",17,IF(Atletas!K27="Wuzuquan D",18,IF(Atletas!K27="Wingchun D",19,IF(Atletas!K27="Outra Mão de Sul D",20,IF(Atletas!K27="Choylayfut E",21,IF(Atletas!K27="Hunggar E",22,IF(Atletas!K27="Wuzuquan E",23,IF(Atletas!K27="Wingchun E",24,IF(Atletas!K27="Outra Mão de Sul E",25,IF(Atletas!K27="Choylayfut F",26,IF(Atletas!K27="Hunggar F",27,IF(Atletas!K27="Wuzuquan F",28,IF(Atletas!K27="Wingchun F",29,IF(Atletas!K27="Outra Mão de Sul F",30,""))))))))))))))))))))))))))))))))</f>
        <v/>
      </c>
      <c r="BL31" s="52" t="str">
        <f>IF(Atletas!L27="","",IF(Atletas!W27&lt;&gt;"",10000,0)+(IF(Atletas!B27="Feminino",1000,IF(Atletas!B27="Masculino",2000,""))+(IF(Atletas!L27="Chaquan A",101,IF(Atletas!L27="Emeiquan A",102,IF(Atletas!L27="Fanziquan A",103,IF(Atletas!L27="Huaquan A",104,IF(Atletas!L27="Hongquan A",105,IF(Atletas!L27="Paochui A",106,IF(Atletas!L27="Piguaquan A",107,IF(Atletas!L27="Shaolinquan A",108,IF(Atletas!L27="Tanglangquan A",109,IF(Atletas!L27="Yinzhaophai A",110,IF(Atletas!L27="Tongbeiquan A",111,IF(Atletas!L27="Wudangquan A",112,IF(Atletas!L27="Outros Estilos A",113,IF(Atletas!L27="Chaquan B",114,IF(Atletas!L27="Emeiquan B",115,IF(Atletas!L27="Fanziquan B",116,IF(Atletas!L27="Huaquan B",117,IF(Atletas!L27="Hongquan B",118,IF(Atletas!L27="Paochui B",119,IF(Atletas!L27="Piguaquan B",120,IF(Atletas!L27="Shaolinquan B",121,IF(Atletas!L27="Tanglangquan B",122,IF(Atletas!L27="Yinzhaophai B",123,IF(Atletas!L27="Tongbeiquan B",124,IF(Atletas!L27="Wudangquan B",125,IF(Atletas!L27="Outros Estilos B",126,IF(Atletas!L27="Chaquan C",127,IF(Atletas!L27="Emeiquan C",128,IF(Atletas!L27="Fanziquan C",129,IF(Atletas!L27="Huaquan C",130,IF(Atletas!L27="Hongquan C",131,IF(Atletas!L27="Paochui C",132,IF(Atletas!L27="Piguaquan C",133,IF(Atletas!L27="Shaolinquan C",134,IF(Atletas!L27="Tanglangquan C",135,IF(Atletas!L27="Yinzhaophai C",136,IF(Atletas!L27="Tongbeiquan C",137,IF(Atletas!L27="Wudangquan C",138,IF(Atletas!L27="Outros Estilos C",139,0))))))))))))))))))))))))))))))))))))))))))</f>
        <v/>
      </c>
      <c r="BM31" s="52" t="str">
        <f>IF(Atletas!L27="","",IF(Atletas!W27&lt;&gt;"",10000,0)+(IF(Atletas!B27="Feminino",1000,IF(Atletas!B27="Masculino",2000,""))+(IF(Atletas!L27="Chaquan D",140,IF(Atletas!L27="Emeiquan D",141,IF(Atletas!L27="Fanziquan D",142,IF(Atletas!L27="Huaquan D",143,IF(Atletas!L27="Hongquan D",144,IF(Atletas!L27="Paochui D",145,IF(Atletas!L27="Piguaquan D",146,IF(Atletas!L27="Shaolinquan D",147,IF(Atletas!L27="Tanglangquan D",148,IF(Atletas!L27="Yinzhaophai D",149,IF(Atletas!L27="Tongbeiquan D",150,IF(Atletas!L27="Wudangquan D",151,IF(Atletas!L27="Outros Estilos D",152,IF(Atletas!L27="Chaquan E",153,IF(Atletas!L27="Emeiquan E",154,IF(Atletas!L27="Fanziquan E",155,IF(Atletas!L27="Huaquan E",156,IF(Atletas!L27="Hongquan E",157,IF(Atletas!L27="Paochui E",158,IF(Atletas!L27="Piguaquan E",159,IF(Atletas!L27="Shaolinquan E",160,IF(Atletas!L27="Tanglangquan E",161,IF(Atletas!L27="Yinzhaophai E",162,IF(Atletas!L27="Tongbeiquan E",163,IF(Atletas!L27="Wudangquan E",164,IF(Atletas!L27="Outros Estilos E",165,IF(Atletas!L27="Chaquan F",166,IF(Atletas!L27="Emeiquan F",167,IF(Atletas!L27="Fanziquan F",168,IF(Atletas!L27="Huaquan F",169,IF(Atletas!L27="Hongquan F",170,IF(Atletas!L27="Paochui F",171,IF(Atletas!L27="Piguaquan F",172,IF(Atletas!L27="Shaolinquan F",173,IF(Atletas!L27="Tanglangquan F",174,IF(Atletas!L27="Yinzhaophai F",175,IF(Atletas!L27="Tongbeiquan F",176,IF(Atletas!L27="Wudangquan F",177,IF(Atletas!L27="Outros Estilos F",178,0))))))))))))))))))))))))))))))))))))))))))</f>
        <v/>
      </c>
      <c r="BN31" s="52" t="str">
        <f>IF(Atletas!M27="","",IF(Atletas!W27&lt;&gt;"",10000,0)+(IF(Atletas!B27="Feminino",1000,IF(Atletas!B27="Masculino",2000,""))+(IF(Atletas!M27="Ditangquan A",201,IF(Atletas!M27="Houquan A",202,IF(Atletas!M27="Zuiquan A",203,IF(Atletas!M27="Ditangquan B",204,IF(Atletas!M27="Houquan B",205,IF(Atletas!M27="Zuiquan B",206,IF(Atletas!M27="Ditangquan C",207,IF(Atletas!M27="Houquan C",208,IF(Atletas!M27="Zuiquan C",209,IF(Atletas!M27="Ditangquan D",210,IF(Atletas!M27="Houquan D",211,IF(Atletas!M27="Zuiquan D",212,IF(Atletas!M27="Ditangquan E",213,IF(Atletas!M27="Houquan E",214,IF(Atletas!M27="Zuiquan E",215,IF(Atletas!M27="Ditangquan F",216,IF(Atletas!M27="Houquan F",217,IF(Atletas!M27="Zuiquan F",218,"")))))))))))))))))))))</f>
        <v/>
      </c>
      <c r="BO31" s="52" t="str">
        <f>IF(Atletas!N27="","",IF(Atletas!W27&lt;&gt;"",10000,0)+IF(Atletas!B27="Feminino",1000,IF(Atletas!B27="Masculino",2000,""))+IF(Atletas!N27="Yang A",301,IF(Atletas!N27="Chen A",30,IF(Atletas!N27="Sun A",303,IF(Atletas!N27="Wu A",304,IF(Atletas!N27="Wu-Hao A",305,IF(Atletas!N27="Outro Taijiquan A",306,IF(Atletas!N27="Yang B",307,IF(Atletas!N27="Chen B",308,IF(Atletas!N27="Sun B",309,IF(Atletas!N27="Wu B",310,IF(Atletas!N27="Wu-Hao B",311,IF(Atletas!N27="Outro Taijiquan B",312,IF(Atletas!N27="Yang C",313,IF(Atletas!N27="Chen C",314,IF(Atletas!N27="Sun C",315,IF(Atletas!N27="Wu C",316,IF(Atletas!N27="Wu-Hao C",317,IF(Atletas!N27="Outro Taijiquan C",318,IF(Atletas!N27="Yang D",319,IF(Atletas!N27="Chen D",320,IF(Atletas!N27="Sun D",321,IF(Atletas!N27="Wu D",322,IF(Atletas!N27="Wu-Hao D",323,IF(Atletas!N27="Outro Taijiquan D",324,IF(Atletas!N27="Yang E",325,IF(Atletas!N27="Chen E",326,IF(Atletas!N27="Sun E",327,IF(Atletas!N27="Wu E",328,IF(Atletas!N27="Wu-Hao E",329,IF(Atletas!N27="Outro Taijiquan E",330,IF(Atletas!N27="Yang F",331,IF(Atletas!N27="Chen F",332,IF(Atletas!N27="Sun F",333,IF(Atletas!N27="Wu F",334,IF(Atletas!N27="Wu-Hao F",335,IF(Atletas!N27="Outro Taijiquan F",336,"")))))))))))))))))))))))))))))))))))))</f>
        <v/>
      </c>
      <c r="BP31" s="52" t="str">
        <f>IF(Atletas!O27="","",IF(Atletas!W27&lt;&gt;"",10000,0)+IF(Atletas!B27="Feminino",1000,IF(Atletas!B27="Masculino",2000,""))+IF(OR(Atletas!O27="Yang 26 A",Atletas!O27="Yang 40 A"),401,IF(OR(Atletas!O27="Chen 25 A",Atletas!O27="Chen 36 A",Atletas!O27="Chen 56 A"),402,IF(Atletas!O27="Sun 73 A",403,IF(Atletas!O27="Wu 45 A",404,IF(Atletas!O27="Wu-Hao 46 A",405,IF(OR(Atletas!O27="Taijiquan 16 A",Atletas!O27="Taijiquan 24 A",Atletas!O27="Taijiquan 32 A",Atletas!O27="Taijiquan 42 A"),406,IF(OR(Atletas!O27="Yang 26 B",Atletas!O27="Yang 40 B"),407,IF(OR(Atletas!O27="Chen 25 B",Atletas!O27="Chen 36 B",Atletas!O27="Chen 56 B"),408,IF(Atletas!O27="Sun 73 B",409,IF(Atletas!O27="Wu 45 B",410,IF(Atletas!O27="Wu-Hao 46 B",411,IF(OR(Atletas!O27="Taijiquan 16 B",Atletas!O27="Taijiquan 24 B",Atletas!O27="Taijiquan 32 B",Atletas!O27="Taijiquan 42 B"),412,IF(OR(Atletas!O27="Yang 26 C",Atletas!O27="Yang 40 C"),413,IF(OR(Atletas!O27="Chen 25 C",Atletas!O27="Chen 36 C",Atletas!O27="Chen 56 C"),414,IF(Atletas!O27="Sun 73 C",415,IF(Atletas!O27="Wu 45 C",416,IF(Atletas!O27="Wu-Hao 46 C",417,IF(OR(Atletas!O27="Taijiquan 16 C",Atletas!O27="Taijiquan 24 C",Atletas!O27="Taijiquan 32 C",Atletas!O27="Taijiquan 42 C"),418,0)))))))))))))))))))</f>
        <v/>
      </c>
      <c r="BQ31" s="52" t="str">
        <f>IF(Atletas!O27="","",IF(Atletas!W27&lt;&gt;"",10000,0)+IF(Atletas!B27="Feminino",1000,IF(Atletas!B27="Masculino",2000,""))+IF(OR(Atletas!O27="Yang 26 D",Atletas!O27="Yang 40 D"),419,IF(OR(Atletas!O27="Chen 25 D",Atletas!O27="Chen 36 D",Atletas!O27="Chen 56 D"),420,IF(Atletas!O27="Sun 73 D",421,IF(Atletas!O27="Wu 45 D",422,IF(Atletas!O27="Wu-Hao 46 D",423,IF(OR(Atletas!O27="Taijiquan 16 D",Atletas!O27="Taijiquan 24 D",Atletas!O27="Taijiquan 32 D",Atletas!O27="Taijiquan 42 D"),424,IF(OR(Atletas!O27="Yang 26 E",Atletas!O27="Yang 40 E"),425,IF(OR(Atletas!O27="Chen 25 E",Atletas!O27="Chen 36 E",Atletas!O27="Chen 56 E"),426,IF(Atletas!O27="Sun 73 E",427,IF(Atletas!O27="Wu 45 E",428,IF(Atletas!O27="Wu-Hao 46 E",429,IF(OR(Atletas!O27="Taijiquan 16 E",Atletas!O27="Taijiquan 24 E",Atletas!O27="Taijiquan 32 E",Atletas!O27="Taijiquan 42 E"),430,IF(OR(Atletas!O27="Yang 26 F",Atletas!O27="Yang 40 F"),431,IF(OR(Atletas!O27="Chen 25 F",Atletas!O27="Chen 36 F",Atletas!O27="Chen 56 F"),432,IF(Atletas!O27="Sun 73 F",433,IF(Atletas!O27="Wu 45 F",434,IF(Atletas!O27="Wu-Hao 46 F",435,IF(OR(Atletas!O27="Taijiquan 16 F",Atletas!O27="Taijiquan 24 F",Atletas!O27="Taijiquan 32 F",Atletas!O27="Taijiquan 42 F"),436,0)))))))))))))))))))</f>
        <v/>
      </c>
      <c r="BR31" s="52" t="str">
        <f>IF(Atletas!P27="","",IF(Atletas!W27&lt;&gt;"",10000,0)+IF(Atletas!B27="Feminino",1000,IF(Atletas!B27="Masculino",2000,""))+IF(Atletas!P27="Xingyiquan A",501,IF(Atletas!P27="Baguazhang A",502,IF(Atletas!P27="Outro Estilo Interno A",503,IF(Atletas!P27="Xingyiquan B",504,IF(Atletas!P27="Baguazhang B",505,IF(Atletas!P27="Outro Estilo Interno B",506,IF(Atletas!P27="Xingyiquan C",507,IF(Atletas!P27="Baguazhang C",508,IF(Atletas!P27="Outro Estilo Interno C",509,IF(Atletas!P27="Xingyiquan D",510,IF(Atletas!P27="Baguazhang D",511,IF(Atletas!P27="Outro Estilo Interno D",512,IF(Atletas!P27="Xingyiquan E",513,IF(Atletas!P27="Baguazhang E",514,IF(Atletas!P27="Outro Estilo Interno E",515,IF(Atletas!P27="Xingyiquan F",516,IF(Atletas!P27="Baguazhang F",517,IF(Atletas!P27="Outro Estilo Interno F",518, "")))))))))))))))))))</f>
        <v/>
      </c>
      <c r="BS31" s="52" t="str">
        <f>IF(Atletas!Q27="","",IF(Atletas!W27&lt;&gt;"",10000,0)+IF(Atletas!B27="Feminino",1000,IF(Atletas!B27="Masculino",2000,""))+IF(Atletas!Q27="Dao A",601,IF(Atletas!Q27="Jian A",602,IF(Atletas!Q27="Bishou A",603,IF(Atletas!Q27="Shan A",604,IF(Atletas!Q27="Outra Arma Curta A",605,IF(Atletas!Q27="Dao B",606,IF(Atletas!Q27="Jian B",607,IF(Atletas!Q27="Bishou B",608,IF(Atletas!Q27="Shan B",609,IF(Atletas!Q27="Outra Arma Curta B",610,IF(Atletas!Q27="Dao C",611,IF(Atletas!Q27="Jian C",612,IF(Atletas!Q27="Bishou C",613,IF(Atletas!Q27="Shan C",614,IF(Atletas!Q27="Outra Arma Curta C",615,IF(Atletas!Q27="Dao D",616,IF(Atletas!Q27="Jian D",617,IF(Atletas!Q27="Bishou D",618,IF(Atletas!Q27="Shan D",619,IF(Atletas!Q27="Outra Arma Curta D",620,IF(Atletas!Q27="Dao E",621,IF(Atletas!Q27="Jian E",622,IF(Atletas!Q27="Bishou E",623,IF(Atletas!Q27="Shan E",624,IF(Atletas!Q27="Outra Arma Curta E",625,IF(Atletas!Q27="Dao F",626,IF(Atletas!Q27="Jian F",627,IF(Atletas!Q27="Bishou F",628,IF(Atletas!Q27="Shan F",629,IF(Atletas!Q27="Outra Arma Curta F",630, "")))))))))))))))))))))))))))))))</f>
        <v/>
      </c>
      <c r="BT31" s="52" t="str">
        <f>IF(Atletas!R27="","",IF(Atletas!W27&lt;&gt;"",10000,0)+IF(Atletas!B27="Feminino",1000,IF(Atletas!B27="Masculino",2000,""))+IF(Atletas!R27="Gun A",701,IF(Atletas!R27="Qiang A",702,IF(Atletas!R27="Pudao / Guandao A",703,IF(Atletas!R27="Outra Arma Longa A",704,IF(Atletas!R27="Gun B",705,IF(Atletas!R27="Qiang B",706,IF(Atletas!R27="Pudao / Guandao B",707,IF(Atletas!R27="Outra Arma Longa B",708,IF(Atletas!R27="Gun C",709,IF(Atletas!R27="Qiang C",710,IF(Atletas!R27="Pudao / Guandao C",711,IF(Atletas!R27="Outra Arma Longa C",712,IF(Atletas!R27="Gun D",713,IF(Atletas!R27="Qiang D",714,IF(Atletas!R27="Pudao / Guandao D",715,IF(Atletas!R27="Outra Arma Longa D",716,IF(Atletas!R27="Gun E",717,IF(Atletas!R27="Qiang E",718,IF(Atletas!R27="Pudao / Guandao E",719,IF(Atletas!R27="Outra Arma Longa E",720,IF(Atletas!R27="Gun F",721,IF(Atletas!R27="Qiang F",722,IF(Atletas!R27="Pudao / Guandao F",723,IF(Atletas!R27="Outra Arma Longa F",724,"")))))))))))))))))))))))))</f>
        <v/>
      </c>
      <c r="BU31" s="52" t="str">
        <f>IF(Atletas!S27="","",IF(Atletas!W27&lt;&gt;"",10000,0)+IF(Atletas!B27="Feminino",1000,IF(Atletas!B27="Masculino",2000,""))+IF(Atletas!S27="Arma Dupla A",801,IF(Atletas!S27="Arma Maleável A",802,IF(Atletas!S27="Arma Dupla B",803,IF(Atletas!S27="Arma Maleável B",804,IF(Atletas!S27="Arma Dupla C",805,IF(Atletas!S27="Arma Maleável C",806,IF(Atletas!S27="Arma Dupla D",807,IF(Atletas!S27="Arma Maleável D",808,IF(Atletas!S27="Arma Dupla E",809,IF(Atletas!S27="Arma Maleável E",810,IF(Atletas!S27="Arma Dupla F",811,IF(Atletas!S27="Arma Maleável F",812, "")))))))))))))</f>
        <v/>
      </c>
      <c r="BV31" s="52" t="str">
        <f>IF(Atletas!T27="","",IF(Atletas!W27&lt;&gt;"",10000,0)+IF(Atletas!B27="Feminino",1000,IF(Atletas!B27="Masculino",2000,""))+IF(Atletas!T27="Taijijian Yang A",901,IF(Atletas!T27="Taijijian Chen A",902,IF(Atletas!T27="Taijijian Sun A",903,IF(Atletas!T27="Taijijian Wu A",904,IF(Atletas!T27="Taijijian Wu-Hao A",905,IF(Atletas!T27="Taijijian 32 A",906,IF(Atletas!T27="Taijijian 42 A",907,IF(Atletas!T27="Taijijian Yang B",908,IF(Atletas!T27="Taijijian Chen B",909,IF(Atletas!T27="Taijijian Sun B",910,IF(Atletas!T27="Taijijian Wu B",911,IF(Atletas!T27="Taijijian Wu-Hao B",912,IF(Atletas!T27="Taijijian 32 B",913,IF(Atletas!T27="Taijijian 42 B",914,IF(Atletas!T27="Taijijian Yang C",915,IF(Atletas!T27="Taijijian Chen C",916,IF(Atletas!T27="Taijijian Sun C",917,IF(Atletas!T27="Taijijian Wu C",918,IF(Atletas!T27="Taijijian Wu-Hao C",919,IF(Atletas!T27="Taijijian 32 C",920,IF(Atletas!T27="Taijijian 42 C",921,IF(Atletas!T27="Taijijian Yang D",922,IF(Atletas!T27="Taijijian Chen D",923,IF(Atletas!T27="Taijijian Sun D",924,IF(Atletas!T27="Taijijian Wu D",925,IF(Atletas!T27="Taijijian Wu-Hao D",926,IF(Atletas!T27="Taijijian 32 D",927,IF(Atletas!T27="Taijijian 42 D",928,IF(Atletas!T27="Taijijian Yang E",929,IF(Atletas!T27="Taijijian Chen E",930,IF(Atletas!T27="Taijijian Sun E",931,IF(Atletas!T27="Taijijian Wu E",932,IF(Atletas!T27="Taijijian Wu-Hao E",933,IF(Atletas!T27="Taijijian 32 E",934,IF(Atletas!T27="Taijijian 42 E",935,IF(Atletas!T27="Taijijian Yang F",936,IF(Atletas!T27="Taijijian Chen F",937,IF(Atletas!T27="Taijijian Sun F",938,IF(Atletas!T27="Taijijian Wu F",939,IF(Atletas!T27="Taijijian Wu-Hao F",940,IF(Atletas!T27="Taijijian 32 F",941,IF(Atletas!T27="Taijijian 42 F",942,"")))))))))))))))))))))))))))))))))))))))))))</f>
        <v/>
      </c>
      <c r="BW31" s="52" t="str">
        <f>IF(Atletas!U27="","",IF(Atletas!W27&lt;&gt;"",10000,0)+IF(Atletas!B27="Feminino",1000,IF(Atletas!B27="Masculino",2000,""))+IF(Atletas!T27="Taijijian 42 F",942,IF(Atletas!U27="Taijidao A",943,IF(Atletas!U27="Taijishan A",944,IF(Atletas!U27="Taijiqiang A",945,IF(Atletas!U27="Taijidao B",946,IF(Atletas!U27="Taijishan B",947,IF(Atletas!U27="Taijiqiang B",948,IF(Atletas!U27="Taijidao C",949,IF(Atletas!U27="Taijishan C",950,IF(Atletas!U27="Taijiqiang C",951,IF(Atletas!U27="Taijidao D",952,IF(Atletas!U27="Taijishan D",953,IF(Atletas!U27="Taijiqiang D",954,IF(Atletas!U27="Taijidao E",955,IF(Atletas!U27="Taijishan E",956,IF(Atletas!U27="Taijiqiang E",957,IF(Atletas!U27="Taijidao F",958,IF(Atletas!U27="Taijishan F",959,IF(Atletas!U27="Taijiqiang F",960))))))))))))))))))))</f>
        <v/>
      </c>
      <c r="BX31" s="64" t="str">
        <f>IF(BY31&lt;&gt;"","Outra Mão de Sul E","")</f>
        <v/>
      </c>
      <c r="BY31" s="64" t="str">
        <f>IF(COUNTIF(BK:BW,1025)&gt;0,COUNTIF(BK:BW,1025),"")</f>
        <v/>
      </c>
      <c r="BZ31" s="64" t="str">
        <f>IF(CA31&lt;&gt;"","Outra Mão de Sul E","")</f>
        <v/>
      </c>
      <c r="CA31" s="64" t="str">
        <f>IF(COUNTIF(BK:BW,2025)&gt;0,COUNTIF(BK:BW,2025),"")</f>
        <v/>
      </c>
      <c r="CB31" s="64" t="str">
        <f>IF(CC31&lt;&gt;"","Outra Mão de Sul E","")</f>
        <v/>
      </c>
      <c r="CC31" s="64" t="str">
        <f>IF(COUNTIF(BK:BW,11025)&gt;0,COUNTIF(BK:BW,11025),"")</f>
        <v/>
      </c>
      <c r="CD31" s="64" t="str">
        <f>IF(CE31&lt;&gt;"","Outra Mão de Sul E","")</f>
        <v/>
      </c>
      <c r="CE31" s="64" t="str">
        <f>IF(COUNTIF(BK:BW,12025)&gt;0,COUNTIF(BK:BW,12025),"")</f>
        <v/>
      </c>
      <c r="CF31" s="52" t="str">
        <f xml:space="preserve"> IF(Atletas!V27="","",IF(Atletas!V27="Duilian de Mãos AB - Equipe 1",1,IF(Atletas!V27="Duilian de Mãos AB - Equipe 2",2,IF(Atletas!V27="Duilian de Armas AB - Equipe 1",3,IF(Atletas!V27="Duilian de Armas AB - Equipe 2",4,IF(Atletas!V27="Duilian de Tuishou - Equipe 1",5,IF(Atletas!V27="Duilian de Tuishou - Equipe 2",6,IF(Atletas!V27="Grupo Externo AB - Equipe 1",7,IF(Atletas!V27="Grupo Externo AB - Equipe 2",8,IF(Atletas!V27="Grupo Interno AB - Equipe 1",9,IF(Atletas!V27="Grupo Interno AB - Equipe 2",10,IF(Atletas!V27="Duilian de Mãos CD - Equipe 1",11,IF(Atletas!V27="Duilian de Mãos CD - Equipe 2",12,IF(Atletas!V27="Duilian de Armas CD - Equipe 1",13,IF(Atletas!V27="Duilian de Armas CD - Equipe 2",14,IF(Atletas!V27="Duilian de Tuishou - Equipe 1",15,IF(Atletas!V27="Duilian de Tuishou - Equipe 2",16,IF(Atletas!V27="Grupo Externo CDEF - Equipe 1",17,IF(Atletas!V27="Grupo Externo CDEF - Equipe 2",18,IF(Atletas!V27="Grupo Interno CDEF - Equipe 1",19,IF(Atletas!V27="Grupo Interno CDEF - Equipe 2",20,IF(Atletas!V27="Duilian de Mãos EF - Equipe 1",21,IF(Atletas!V27="Duilian de Mãos EF - Equipe 2",22,IF(Atletas!V27="Duilian de Armas EF - Equipe 1",23,IF(Atletas!V27="Duilian de Armas EF - Equipe 2",24,IF(Atletas!V27="Duilian de Tuishou - Equipe 1",25,IF(Atletas!V27="Duilian de Tuishou - Equipe 2",26,"")))))))))))))))))))))))))))</f>
        <v/>
      </c>
      <c r="CR31" s="71"/>
    </row>
    <row r="32" spans="1:96">
      <c r="B32" s="4" t="str">
        <f t="array" ref="B32">IFERROR(INDEX(AK$7:AK$36,SMALL(IF(AK$7:AK$36&lt;&gt;"",ROW(AK$7:AK$36)-ROW(AK$7)+1),ROWS(AK$7:AK31))),"")</f>
        <v/>
      </c>
      <c r="C32" s="4" t="str">
        <f t="array" ref="C32">IFERROR(INDEX(AL$7:AL$36,SMALL(IF(AL$7:AL$36&lt;&gt;"",ROW(AL$7:AL$36)-ROW(AL$7)+1),ROWS(AL$7:AL31))),"")</f>
        <v/>
      </c>
      <c r="D32" s="4" t="str">
        <f t="array" ref="D32">IFERROR(INDEX(AM$7:AM$36,SMALL(IF(AM$7:AM$36&lt;&gt;"",ROW(AM$7:AM$36)-ROW(AM$7)+1),ROWS(AM$7:AM31))),"")</f>
        <v/>
      </c>
      <c r="E32" s="4" t="str">
        <f t="array" ref="E32">IFERROR(INDEX(AN$7:AN$36,SMALL(IF(AN$7:AN$36&lt;&gt;"",ROW(AN$7:AN$36)-ROW(AN$7)+1),ROWS(AN$7:AN31))),"")</f>
        <v/>
      </c>
      <c r="F32" s="4" t="str">
        <f t="array" ref="F32">IFERROR(INDEX(AP$7:AP$36,SMALL(IF(AP$7:AP$36&lt;&gt;"",ROW(AP$7:AP$36)-ROW(AP$7)+1),ROWS(AP$7:AP31))),"")</f>
        <v/>
      </c>
      <c r="G32" s="4" t="str">
        <f t="array" ref="G32">IFERROR(INDEX(AQ$7:AQ$36,SMALL(IF(AQ$7:AQ$36&lt;&gt;"",ROW(AQ$7:AQ$36)-ROW(AQ$7)+1),ROWS(AQ$7:AQ31))),"")</f>
        <v/>
      </c>
      <c r="H32" s="4" t="str">
        <f t="array" ref="H32">IFERROR(INDEX(AR$7:AR$36,SMALL(IF(AR$7:AR$36&lt;&gt;"",ROW(AR$7:AR$36)-ROW(AR$7)+1),ROWS(AR$7:AR31))),"")</f>
        <v/>
      </c>
      <c r="I32" s="4" t="str">
        <f t="array" ref="I32">IFERROR(INDEX(AS$7:AS$36,SMALL(IF(AS$7:AS$36&lt;&gt;"",ROW(AS$7:AS$36)-ROW(AS$7)+1),ROWS(AS$7:AS31))),"")</f>
        <v/>
      </c>
      <c r="J32" s="4" t="str">
        <f t="array" ref="J32">IFERROR(INDEX(AS$7:AS$36,SMALL(IF(AS$7:AS$36&lt;&gt;"",ROW(AS$7:AS$36)-ROW(AS$7)+1),ROWS(AS$7:AS31))),"")</f>
        <v/>
      </c>
      <c r="K32" s="4" t="str">
        <f t="array" ref="K32">IFERROR(INDEX(AV$7:AV$36,SMALL(IF(AV$7:AV$36&lt;&gt;"",ROW(AV$7:AV$36)-ROW(AV$7)+1),ROWS(AV$7:AV31))),"")</f>
        <v/>
      </c>
      <c r="L32" s="4" t="str">
        <f t="array" ref="L32">IFERROR(INDEX(AW$7:AW$36,SMALL(IF(AW$7:AW$36&lt;&gt;"",ROW(AW$7:AW$36)-ROW(AW$7)+1),ROWS(AW$7:AW31))),"")</f>
        <v/>
      </c>
      <c r="M32" s="4" t="str">
        <f t="array" ref="M32">IFERROR(INDEX(AX$7:AX$36,SMALL(IF(AX$7:AX$36&lt;&gt;"",ROW(AX$7:AX$36)-ROW(AX$7)+1),ROWS(AX$7:AX31))),"")</f>
        <v/>
      </c>
      <c r="N32" s="4" t="str">
        <f t="array" ref="N32">IFERROR(INDEX(BB$7:BB$66,SMALL(IF(BB$7:BB$66&lt;&gt;"",ROW(BB$7:BB$66)-ROW(BB$7)+1),ROWS(BB$7:BB31))),"")</f>
        <v/>
      </c>
      <c r="O32" s="4" t="str">
        <f t="array" ref="O32">IFERROR(INDEX(BC$7:BC$66,SMALL(IF(BC$7:BC$66&lt;&gt;"",ROW(BC$7:BC$66)-ROW(BC$7)+1),ROWS(BC$7:BC31))),"")</f>
        <v/>
      </c>
      <c r="P32" s="4" t="str">
        <f t="array" ref="P32">IFERROR(INDEX(BD$7:BD$66,SMALL(IF(BD$7:BD$66&lt;&gt;"",ROW(BD$7:BD$66)-ROW(BD$7)+1),ROWS(BD$7:BD31))),"")</f>
        <v/>
      </c>
      <c r="Q32" s="4" t="str">
        <f t="array" ref="Q32">IFERROR(INDEX(BE$7:BE$66,SMALL(IF(BE$7:BE$66&lt;&gt;"",ROW(BE$7:BE$66)-ROW(BE$7)+1),ROWS(BE$7:BE31))),"")</f>
        <v/>
      </c>
      <c r="R32" s="4"/>
      <c r="S32" s="4"/>
      <c r="T32" s="4"/>
      <c r="U32" s="4"/>
      <c r="V32" s="4" t="str">
        <f t="array" ref="V32">IFERROR(INDEX(BX$7:BX$336,SMALL(IF(BX$7:BX$336&lt;&gt;"",ROW(BX$7:BX$336)-ROW(BX$7)+1),ROWS(BX$7:BX31))),"")</f>
        <v/>
      </c>
      <c r="W32" s="4" t="str">
        <f t="array" ref="W32">IFERROR(INDEX(BY$7:BY$336,SMALL(IF(BY$7:BY$336&lt;&gt;"",ROW(BY$7:BY$336)-ROW(BY$7)+1),ROWS(BY$7:BY31))),"")</f>
        <v/>
      </c>
      <c r="X32" s="4" t="str">
        <f t="array" ref="X32">IFERROR(INDEX(BZ$7:BZ$336,SMALL(IF(BZ$7:BZ$336&lt;&gt;"",ROW(BZ$7:BZ$336)-ROW(BZ$7)+1),ROWS(BZ$7:BZ31))),"")</f>
        <v/>
      </c>
      <c r="Y32" s="4" t="str">
        <f t="array" ref="Y32">IFERROR(INDEX(CA$7:CA$336,SMALL(IF(CA$7:CA$336&lt;&gt;"",ROW(CA$7:CA$336)-ROW(CA$7)+1),ROWS(CA$7:CA31))),"")</f>
        <v/>
      </c>
      <c r="Z32" s="4" t="str">
        <f t="array" ref="Z32">IFERROR(INDEX(CB$7:CB$378,SMALL(IF(CB$7:CB$378&lt;&gt;"",ROW(CB$7:CB$378)-ROW(CB$7)+1),ROWS(CB$7:CB31))),"")</f>
        <v/>
      </c>
      <c r="AA32" s="4" t="str">
        <f t="array" ref="AA32">IFERROR(INDEX(CC$7:CC$378,SMALL(IF(CC$7:CC$378&lt;&gt;"",ROW(CC$7:CC$378)-ROW(CC$7)+1),ROWS(CC$7:CC31))),"")</f>
        <v/>
      </c>
      <c r="AB32" s="4" t="str">
        <f t="array" ref="AB32">IFERROR(INDEX(CD$7:CD$378,SMALL(IF(CD$7:CD$378&lt;&gt;"",ROW(CD$7:CD$378)-ROW(CD$7)+1),ROWS(CD$7:CD31))),"")</f>
        <v/>
      </c>
      <c r="AC32" s="4" t="str">
        <f t="array" ref="AC32">IFERROR(INDEX(CE$7:CE$378,SMALL(IF(CE$7:CE$378&lt;&gt;"",ROW(CE$7:CE$378)-ROW(CE$7)+1),ROWS(CE$7:CE31))),"")</f>
        <v/>
      </c>
      <c r="AD32" s="69" t="str">
        <f t="array" ref="AD32">IFERROR(INDEX(CG$7:CG$18,SMALL(IF(CG$7:CG$18&lt;&gt;"",ROW(CG$7:CG$18)-ROW(CG$7)+1),ROWS(CG$7:CG31))),"")</f>
        <v/>
      </c>
      <c r="AE32" s="69" t="str">
        <f t="array" ref="AE32">IFERROR(INDEX(CH$7:CH$18,SMALL(IF(CH$7:CH$18&lt;&gt;"",ROW(CH$7:CH$18)-ROW(CH$7)+1),ROWS(CH$7:CH31))),"")</f>
        <v/>
      </c>
      <c r="AF32" s="69" t="str">
        <f t="array" ref="AF32">IFERROR(INDEX(CI$7:CI$8,SMALL(IF(CI$7:CI$8&lt;&gt;"",ROW(CI$7:CI$8)-ROW(CI$7)+1),ROWS(CI$7:CI31))),"")</f>
        <v/>
      </c>
      <c r="AG32" s="69"/>
      <c r="AH32" s="69" t="str">
        <f t="array" ref="AH32">IFERROR(INDEX(CK$7:CK$14,SMALL(IF(CK$7:CK$14&lt;&gt;"",ROW(CK$7:CK$14)-ROW(CK$7)+1),ROWS(CK$7:CK31))),"")</f>
        <v/>
      </c>
      <c r="AI32" s="69"/>
      <c r="AJ32" s="46" t="str">
        <f>IF(Atletas!D28="","",IF(Atletas!B28="Feminino",100,IF(Atletas!B28="Masculino",200,""))+(IF(Atletas!D28="Infantil 39kg",1,IF(Atletas!D28="Infantil 42kg",2,IF(Atletas!D28="Infantil 45kg",3,IF(Atletas!D28="Infantil 48kg",4,IF(Atletas!D28="Infantil 52kg",5,IF(Atletas!D28="Infantil 56kg",6,IF(Atletas!D28="Infantil 60kg",7,IF(Atletas!D28="Juvenil 48kg",8,IF(Atletas!D28="Juvenil 52kg",9,IF(Atletas!D28="Juvenil 56kg",10,IF(Atletas!D28="Juvenil 60kg",11,IF(Atletas!D28="Juvenil 65kg",12,IF(Atletas!D28="Juvenil 70kg",13,IF(Atletas!D28="Juvenil 75kg",14,IF(Atletas!D28="Juvenil 80kg",15,IF(Atletas!D28="Adulto 48kg",16,IF(Atletas!D28="Adulto 52kg",17,IF(Atletas!D28="Adulto 56kg",18,IF(Atletas!D28="Adulto 60kg",19,IF(Atletas!D28="Adulto 65kg",20,IF(Atletas!D28="Adulto 70kg",21,IF(Atletas!D28="Adulto 75kg",22,IF(Atletas!D28="Adulto 80kg",23,IF(Atletas!D28="Adulto 85kg",24,IF(Atletas!D28="Adulto 90kg",25,IF(Atletas!D28="Adulto +90kg",26,""))))))))))))))))))))))))))))</f>
        <v/>
      </c>
      <c r="AK32" s="52"/>
      <c r="AM32" s="52" t="str">
        <f>IF(AN32&lt;&gt;"","Adulto +90kg","")</f>
        <v/>
      </c>
      <c r="AN32" s="10" t="str">
        <f>IF(COUNTIF(AJ:AJ,226)&gt;0,COUNTIF(AJ:AJ,226),"")</f>
        <v/>
      </c>
      <c r="AO32" s="10" t="str">
        <f>IF(Atletas!E28="","",IF(Atletas!B28="Feminino",100,IF(Atletas!B28="Masculino",200,""))+(IF(Atletas!E28="Juvenil 44kg",1,IF(Atletas!E28="Juvenil 48kg",2,IF(Atletas!E28="Juvenil 52kg",3,IF(Atletas!E28="Juvenil 56kg",4,IF(Atletas!E28="Juvenil 60kg",5,IF(Atletas!E28="Juvenil 65kg",6,IF(Atletas!E28="Juvenil 70kg",7,IF(Atletas!E28="Juvenil 75kg",8,IF(Atletas!E28="Juvenil 82kg",9,IF(Atletas!E28="Juvenil 90kg",10,IF(Atletas!E28="Juvenil 100kg",11,IF(Atletas!E28="Adulto 48kg",12,IF(Atletas!E28="Adulto 52kg",13,IF(Atletas!E28="Adulto 56kg",14,IF(Atletas!E28="Adulto 60kg",15,IF(Atletas!E28="Adulto 65kg",16,IF(Atletas!E28="Adulto 70kg",17,IF(Atletas!E28="Adulto 75kg",18,IF(Atletas!E28="Adulto 82kg",19,IF(Atletas!E28="Adulto 90kg",20,IF(Atletas!E28="Adulto 100kg",21,IF(Atletas!E28="Adulto +100kg",22,""))))))))))))))))))))))))</f>
        <v/>
      </c>
      <c r="AT32" s="10" t="str">
        <f>IF(Atletas!F28="","",IF(Atletas!B28="Feminino",100,IF(Atletas!B28="Masculino",200,""))+(IF(Atletas!F28="Adulto 48kg",1,IF(Atletas!F28="Adulto 56kg",2,IF(Atletas!F28="Adulto 65kg",3,IF(Atletas!F28="Adulto 75kg",4,IF(Atletas!F28="Adulto +75kg",5,IF(Atletas!F28="Adulto 52kg",6,IF(Atletas!F28="Adulto 60kg",7,IF(Atletas!F28="Adulto 70kg",8,IF(Atletas!F28="Adulto 80kg",9,IF(Atletas!F28="Adulto 90kg",10,IF(Atletas!F28="Adulto +90kg",11,"")))))))))))))</f>
        <v/>
      </c>
      <c r="AY32" s="46" t="str">
        <f>IF(Atletas!G28="","",IF(Atletas!B28="Feminino",100,IF(Atletas!B28="Masculino",200,""))+(IF(Atletas!G28="Changquan Mirim",1,IF(Atletas!G28="Nanquan Mirim",2,IF(Atletas!G28="Taijiquan Mirim",3,IF(Atletas!G28="Changquan Grupo C",4,IF(Atletas!G28="Nanquan Grupo C",5,IF(Atletas!G28="Taijiquan Grupo C",6,IF(Atletas!G28="Changquan Grupo B",7,IF(Atletas!G28="Nanquan Grupo B",8,IF(Atletas!G28="Taijiquan Grupo B",9,IF(Atletas!G28="Changquan Grupo A",10,IF(Atletas!G28="Nanquan Grupo A",11,IF(Atletas!G28="Taijiquan Grupo A",12,IF(Atletas!G28="Changquan Opcional",13,IF(Atletas!G28="Nanquan Opcional",14,IF(Atletas!G28="Taijiquan Opcional",15,IF(Atletas!G28="Changquan Adulto",16,IF(Atletas!G28="Nanquan Adulto",17,IF(Atletas!G28="Taijiquan Adulto",18,""))))))))))))))))))))</f>
        <v/>
      </c>
      <c r="AZ32" s="46" t="str">
        <f>IF(Atletas!H28="","",IF(Atletas!B28="Feminino",100,IF(Atletas!B28="Masculino",200,""))+(IF(Atletas!H28="Daoshu Mirim",19,IF(Atletas!H28="Jianshu Mirim",20,IF(Atletas!H28="Nandao Mirim",21,IF(Atletas!H28="Taijijian Mirim",22,IF(Atletas!H28="Daoshu Grupo C",23,IF(Atletas!H28="Jianshu Grupo C",24,IF(Atletas!H28="Nandao Grupo C",25,IF(Atletas!H28="Taijijian Grupo C",26,IF(Atletas!H28="Daoshu Grupo B",27,IF(Atletas!H28="Jianshu Grupo B",28,IF(Atletas!H28="Nandao Grupo B",29,IF(Atletas!H28="Taijijian Grupo B",30,IF(Atletas!H28="Daoshu Grupo A",31,IF(Atletas!H28="Jianshu Grupo A",32,IF(Atletas!H28="Nandao Grupo A",33,IF(Atletas!H28="Taijijian Grupo A",34,IF(Atletas!H28="Daoshu Opcional",35,IF(Atletas!H28="Jianshu Opcional",36,IF(Atletas!H28="Nandao Opcional",37,IF(Atletas!H28="Taijijian Opcional",38,IF(Atletas!H28="Daoshu Adulto",39,IF(Atletas!H28="Jianshu Adulto",40,IF(Atletas!H28="Nandao Adulto",41,IF(Atletas!H28="Taijijian Adulto",42,""))))))))))))))))))))))))))</f>
        <v/>
      </c>
      <c r="BA32" s="46" t="str">
        <f>IF(Atletas!I28="","",IF(Atletas!B28="Feminino",100,IF(Atletas!B28="Masculino",200,""))+(IF(Atletas!I28="Gunshu Mirim",43,IF(Atletas!I28="Qiangshu Mirim",44,IF(Atletas!I28="Nangun Mirim",45,IF(Atletas!I28="Gunshu Grupo C",46,IF(Atletas!I28="Qiangshu Grupo C",47,IF(Atletas!I28="Nangun Grupo C",48,IF(Atletas!I28="Gunshu Grupo B",49,IF(Atletas!I28="Qiangshu Grupo B",50,IF(Atletas!I28="Nangun Grupo B",51,IF(Atletas!I28="Gunshu Grupo A",52,IF(Atletas!I28="Qiangshu Grupo A",53,IF(Atletas!I28="Nangun Grupo A",54,IF(Atletas!I28="Gunshu Opcional",55,IF(Atletas!I28="Qiangshu Opcional",56,IF(Atletas!I28="Nangun Opcional",57,IF(Atletas!I28="Gunshu Adulto",58,IF(Atletas!I28="Qiangshu Adulto",59,IF(Atletas!I28="Nangun Adulto",60,""))))))))))))))))))))</f>
        <v/>
      </c>
      <c r="BB32" s="10" t="str">
        <f>IF(BC32&lt;&gt;"","Nandao Grupo B","")</f>
        <v/>
      </c>
      <c r="BC32" s="52" t="str">
        <f>IF(COUNTIF(AY:BA,129)&gt;0,COUNTIF(AY:BA,129),"")</f>
        <v/>
      </c>
      <c r="BD32" s="10" t="str">
        <f>IF(BE32&lt;&gt;"","Nandao Grupo B","")</f>
        <v/>
      </c>
      <c r="BE32" s="52" t="str">
        <f>IF(COUNTIF(AY:BA,229)&gt;0,COUNTIF(AY:BA,229),"")</f>
        <v/>
      </c>
      <c r="BF32" s="52" t="str">
        <f>IF(Atletas!J28="","",IF(Atletas!B28="Feminino",100,IF(Atletas!B28="Masculino",200,""))+(IF(Atletas!J28="Equipe 1 Grupo B",1,IF(Atletas!J28="Equipe 2 Grupo B",2,IF(Atletas!J28="Equipe 1 Grupo A",3,IF(Atletas!J28="Equipe 2 Grupo A",4,IF(Atletas!J28="Equipe 1 Adulto",5,IF(Atletas!J28="Equipe 2 Adulto",6,""))))))))</f>
        <v/>
      </c>
      <c r="BK32" s="52" t="str">
        <f>IF(Atletas!K28="","",IF(Atletas!W28&lt;&gt;"",10000,0)+(IF(Atletas!B28="Feminino",1000,IF(Atletas!B28="Masculino",2000,""))+IF(Atletas!K28="Choylayfut A",1,IF(Atletas!K28="Hunggar A",2,IF(Atletas!K28="Wuzuquan A",3,IF(Atletas!K28="Wingchun A",4,IF(Atletas!K28="Outra Mão de Sul A",5,IF(Atletas!K28="Choylayfut B",6,IF(Atletas!K28="Hunggar B",7,IF(Atletas!K28="Wuzuquan B",8,IF(Atletas!K28="Wingchun B",9,IF(Atletas!K28="Outra Mão de Sul B",10,IF(Atletas!K28="Choylayfut C",11,IF(Atletas!K28="Hunggar C",12,IF(Atletas!K28="Wuzuquan C",13,IF(Atletas!K28="Wingchun C",14,IF(Atletas!K28="Outra Mão de Sul C",15,IF(Atletas!K28="Choylayfut D",16,IF(Atletas!K28="Hunggar D",17,IF(Atletas!K28="Wuzuquan D",18,IF(Atletas!K28="Wingchun D",19,IF(Atletas!K28="Outra Mão de Sul D",20,IF(Atletas!K28="Choylayfut E",21,IF(Atletas!K28="Hunggar E",22,IF(Atletas!K28="Wuzuquan E",23,IF(Atletas!K28="Wingchun E",24,IF(Atletas!K28="Outra Mão de Sul E",25,IF(Atletas!K28="Choylayfut F",26,IF(Atletas!K28="Hunggar F",27,IF(Atletas!K28="Wuzuquan F",28,IF(Atletas!K28="Wingchun F",29,IF(Atletas!K28="Outra Mão de Sul F",30,""))))))))))))))))))))))))))))))))</f>
        <v/>
      </c>
      <c r="BL32" s="52" t="str">
        <f>IF(Atletas!L28="","",IF(Atletas!W28&lt;&gt;"",10000,0)+(IF(Atletas!B28="Feminino",1000,IF(Atletas!B28="Masculino",2000,""))+(IF(Atletas!L28="Chaquan A",101,IF(Atletas!L28="Emeiquan A",102,IF(Atletas!L28="Fanziquan A",103,IF(Atletas!L28="Huaquan A",104,IF(Atletas!L28="Hongquan A",105,IF(Atletas!L28="Paochui A",106,IF(Atletas!L28="Piguaquan A",107,IF(Atletas!L28="Shaolinquan A",108,IF(Atletas!L28="Tanglangquan A",109,IF(Atletas!L28="Yinzhaophai A",110,IF(Atletas!L28="Tongbeiquan A",111,IF(Atletas!L28="Wudangquan A",112,IF(Atletas!L28="Outros Estilos A",113,IF(Atletas!L28="Chaquan B",114,IF(Atletas!L28="Emeiquan B",115,IF(Atletas!L28="Fanziquan B",116,IF(Atletas!L28="Huaquan B",117,IF(Atletas!L28="Hongquan B",118,IF(Atletas!L28="Paochui B",119,IF(Atletas!L28="Piguaquan B",120,IF(Atletas!L28="Shaolinquan B",121,IF(Atletas!L28="Tanglangquan B",122,IF(Atletas!L28="Yinzhaophai B",123,IF(Atletas!L28="Tongbeiquan B",124,IF(Atletas!L28="Wudangquan B",125,IF(Atletas!L28="Outros Estilos B",126,IF(Atletas!L28="Chaquan C",127,IF(Atletas!L28="Emeiquan C",128,IF(Atletas!L28="Fanziquan C",129,IF(Atletas!L28="Huaquan C",130,IF(Atletas!L28="Hongquan C",131,IF(Atletas!L28="Paochui C",132,IF(Atletas!L28="Piguaquan C",133,IF(Atletas!L28="Shaolinquan C",134,IF(Atletas!L28="Tanglangquan C",135,IF(Atletas!L28="Yinzhaophai C",136,IF(Atletas!L28="Tongbeiquan C",137,IF(Atletas!L28="Wudangquan C",138,IF(Atletas!L28="Outros Estilos C",139,0))))))))))))))))))))))))))))))))))))))))))</f>
        <v/>
      </c>
      <c r="BM32" s="52" t="str">
        <f>IF(Atletas!L28="","",IF(Atletas!W28&lt;&gt;"",10000,0)+(IF(Atletas!B28="Feminino",1000,IF(Atletas!B28="Masculino",2000,""))+(IF(Atletas!L28="Chaquan D",140,IF(Atletas!L28="Emeiquan D",141,IF(Atletas!L28="Fanziquan D",142,IF(Atletas!L28="Huaquan D",143,IF(Atletas!L28="Hongquan D",144,IF(Atletas!L28="Paochui D",145,IF(Atletas!L28="Piguaquan D",146,IF(Atletas!L28="Shaolinquan D",147,IF(Atletas!L28="Tanglangquan D",148,IF(Atletas!L28="Yinzhaophai D",149,IF(Atletas!L28="Tongbeiquan D",150,IF(Atletas!L28="Wudangquan D",151,IF(Atletas!L28="Outros Estilos D",152,IF(Atletas!L28="Chaquan E",153,IF(Atletas!L28="Emeiquan E",154,IF(Atletas!L28="Fanziquan E",155,IF(Atletas!L28="Huaquan E",156,IF(Atletas!L28="Hongquan E",157,IF(Atletas!L28="Paochui E",158,IF(Atletas!L28="Piguaquan E",159,IF(Atletas!L28="Shaolinquan E",160,IF(Atletas!L28="Tanglangquan E",161,IF(Atletas!L28="Yinzhaophai E",162,IF(Atletas!L28="Tongbeiquan E",163,IF(Atletas!L28="Wudangquan E",164,IF(Atletas!L28="Outros Estilos E",165,IF(Atletas!L28="Chaquan F",166,IF(Atletas!L28="Emeiquan F",167,IF(Atletas!L28="Fanziquan F",168,IF(Atletas!L28="Huaquan F",169,IF(Atletas!L28="Hongquan F",170,IF(Atletas!L28="Paochui F",171,IF(Atletas!L28="Piguaquan F",172,IF(Atletas!L28="Shaolinquan F",173,IF(Atletas!L28="Tanglangquan F",174,IF(Atletas!L28="Yinzhaophai F",175,IF(Atletas!L28="Tongbeiquan F",176,IF(Atletas!L28="Wudangquan F",177,IF(Atletas!L28="Outros Estilos F",178,0))))))))))))))))))))))))))))))))))))))))))</f>
        <v/>
      </c>
      <c r="BN32" s="52" t="str">
        <f>IF(Atletas!M28="","",IF(Atletas!W28&lt;&gt;"",10000,0)+(IF(Atletas!B28="Feminino",1000,IF(Atletas!B28="Masculino",2000,""))+(IF(Atletas!M28="Ditangquan A",201,IF(Atletas!M28="Houquan A",202,IF(Atletas!M28="Zuiquan A",203,IF(Atletas!M28="Ditangquan B",204,IF(Atletas!M28="Houquan B",205,IF(Atletas!M28="Zuiquan B",206,IF(Atletas!M28="Ditangquan C",207,IF(Atletas!M28="Houquan C",208,IF(Atletas!M28="Zuiquan C",209,IF(Atletas!M28="Ditangquan D",210,IF(Atletas!M28="Houquan D",211,IF(Atletas!M28="Zuiquan D",212,IF(Atletas!M28="Ditangquan E",213,IF(Atletas!M28="Houquan E",214,IF(Atletas!M28="Zuiquan E",215,IF(Atletas!M28="Ditangquan F",216,IF(Atletas!M28="Houquan F",217,IF(Atletas!M28="Zuiquan F",218,"")))))))))))))))))))))</f>
        <v/>
      </c>
      <c r="BO32" s="52" t="str">
        <f>IF(Atletas!N28="","",IF(Atletas!W28&lt;&gt;"",10000,0)+IF(Atletas!B28="Feminino",1000,IF(Atletas!B28="Masculino",2000,""))+IF(Atletas!N28="Yang A",301,IF(Atletas!N28="Chen A",30,IF(Atletas!N28="Sun A",303,IF(Atletas!N28="Wu A",304,IF(Atletas!N28="Wu-Hao A",305,IF(Atletas!N28="Outro Taijiquan A",306,IF(Atletas!N28="Yang B",307,IF(Atletas!N28="Chen B",308,IF(Atletas!N28="Sun B",309,IF(Atletas!N28="Wu B",310,IF(Atletas!N28="Wu-Hao B",311,IF(Atletas!N28="Outro Taijiquan B",312,IF(Atletas!N28="Yang C",313,IF(Atletas!N28="Chen C",314,IF(Atletas!N28="Sun C",315,IF(Atletas!N28="Wu C",316,IF(Atletas!N28="Wu-Hao C",317,IF(Atletas!N28="Outro Taijiquan C",318,IF(Atletas!N28="Yang D",319,IF(Atletas!N28="Chen D",320,IF(Atletas!N28="Sun D",321,IF(Atletas!N28="Wu D",322,IF(Atletas!N28="Wu-Hao D",323,IF(Atletas!N28="Outro Taijiquan D",324,IF(Atletas!N28="Yang E",325,IF(Atletas!N28="Chen E",326,IF(Atletas!N28="Sun E",327,IF(Atletas!N28="Wu E",328,IF(Atletas!N28="Wu-Hao E",329,IF(Atletas!N28="Outro Taijiquan E",330,IF(Atletas!N28="Yang F",331,IF(Atletas!N28="Chen F",332,IF(Atletas!N28="Sun F",333,IF(Atletas!N28="Wu F",334,IF(Atletas!N28="Wu-Hao F",335,IF(Atletas!N28="Outro Taijiquan F",336,"")))))))))))))))))))))))))))))))))))))</f>
        <v/>
      </c>
      <c r="BP32" s="52" t="str">
        <f>IF(Atletas!O28="","",IF(Atletas!W28&lt;&gt;"",10000,0)+IF(Atletas!B28="Feminino",1000,IF(Atletas!B28="Masculino",2000,""))+IF(OR(Atletas!O28="Yang 26 A",Atletas!O28="Yang 40 A"),401,IF(OR(Atletas!O28="Chen 25 A",Atletas!O28="Chen 36 A",Atletas!O28="Chen 56 A"),402,IF(Atletas!O28="Sun 73 A",403,IF(Atletas!O28="Wu 45 A",404,IF(Atletas!O28="Wu-Hao 46 A",405,IF(OR(Atletas!O28="Taijiquan 16 A",Atletas!O28="Taijiquan 24 A",Atletas!O28="Taijiquan 32 A",Atletas!O28="Taijiquan 42 A"),406,IF(OR(Atletas!O28="Yang 26 B",Atletas!O28="Yang 40 B"),407,IF(OR(Atletas!O28="Chen 25 B",Atletas!O28="Chen 36 B",Atletas!O28="Chen 56 B"),408,IF(Atletas!O28="Sun 73 B",409,IF(Atletas!O28="Wu 45 B",410,IF(Atletas!O28="Wu-Hao 46 B",411,IF(OR(Atletas!O28="Taijiquan 16 B",Atletas!O28="Taijiquan 24 B",Atletas!O28="Taijiquan 32 B",Atletas!O28="Taijiquan 42 B"),412,IF(OR(Atletas!O28="Yang 26 C",Atletas!O28="Yang 40 C"),413,IF(OR(Atletas!O28="Chen 25 C",Atletas!O28="Chen 36 C",Atletas!O28="Chen 56 C"),414,IF(Atletas!O28="Sun 73 C",415,IF(Atletas!O28="Wu 45 C",416,IF(Atletas!O28="Wu-Hao 46 C",417,IF(OR(Atletas!O28="Taijiquan 16 C",Atletas!O28="Taijiquan 24 C",Atletas!O28="Taijiquan 32 C",Atletas!O28="Taijiquan 42 C"),418,0)))))))))))))))))))</f>
        <v/>
      </c>
      <c r="BQ32" s="52" t="str">
        <f>IF(Atletas!O28="","",IF(Atletas!W28&lt;&gt;"",10000,0)+IF(Atletas!B28="Feminino",1000,IF(Atletas!B28="Masculino",2000,""))+IF(OR(Atletas!O28="Yang 26 D",Atletas!O28="Yang 40 D"),419,IF(OR(Atletas!O28="Chen 25 D",Atletas!O28="Chen 36 D",Atletas!O28="Chen 56 D"),420,IF(Atletas!O28="Sun 73 D",421,IF(Atletas!O28="Wu 45 D",422,IF(Atletas!O28="Wu-Hao 46 D",423,IF(OR(Atletas!O28="Taijiquan 16 D",Atletas!O28="Taijiquan 24 D",Atletas!O28="Taijiquan 32 D",Atletas!O28="Taijiquan 42 D"),424,IF(OR(Atletas!O28="Yang 26 E",Atletas!O28="Yang 40 E"),425,IF(OR(Atletas!O28="Chen 25 E",Atletas!O28="Chen 36 E",Atletas!O28="Chen 56 E"),426,IF(Atletas!O28="Sun 73 E",427,IF(Atletas!O28="Wu 45 E",428,IF(Atletas!O28="Wu-Hao 46 E",429,IF(OR(Atletas!O28="Taijiquan 16 E",Atletas!O28="Taijiquan 24 E",Atletas!O28="Taijiquan 32 E",Atletas!O28="Taijiquan 42 E"),430,IF(OR(Atletas!O28="Yang 26 F",Atletas!O28="Yang 40 F"),431,IF(OR(Atletas!O28="Chen 25 F",Atletas!O28="Chen 36 F",Atletas!O28="Chen 56 F"),432,IF(Atletas!O28="Sun 73 F",433,IF(Atletas!O28="Wu 45 F",434,IF(Atletas!O28="Wu-Hao 46 F",435,IF(OR(Atletas!O28="Taijiquan 16 F",Atletas!O28="Taijiquan 24 F",Atletas!O28="Taijiquan 32 F",Atletas!O28="Taijiquan 42 F"),436,0)))))))))))))))))))</f>
        <v/>
      </c>
      <c r="BR32" s="52" t="str">
        <f>IF(Atletas!P28="","",IF(Atletas!W28&lt;&gt;"",10000,0)+IF(Atletas!B28="Feminino",1000,IF(Atletas!B28="Masculino",2000,""))+IF(Atletas!P28="Xingyiquan A",501,IF(Atletas!P28="Baguazhang A",502,IF(Atletas!P28="Outro Estilo Interno A",503,IF(Atletas!P28="Xingyiquan B",504,IF(Atletas!P28="Baguazhang B",505,IF(Atletas!P28="Outro Estilo Interno B",506,IF(Atletas!P28="Xingyiquan C",507,IF(Atletas!P28="Baguazhang C",508,IF(Atletas!P28="Outro Estilo Interno C",509,IF(Atletas!P28="Xingyiquan D",510,IF(Atletas!P28="Baguazhang D",511,IF(Atletas!P28="Outro Estilo Interno D",512,IF(Atletas!P28="Xingyiquan E",513,IF(Atletas!P28="Baguazhang E",514,IF(Atletas!P28="Outro Estilo Interno E",515,IF(Atletas!P28="Xingyiquan F",516,IF(Atletas!P28="Baguazhang F",517,IF(Atletas!P28="Outro Estilo Interno F",518, "")))))))))))))))))))</f>
        <v/>
      </c>
      <c r="BS32" s="52" t="str">
        <f>IF(Atletas!Q28="","",IF(Atletas!W28&lt;&gt;"",10000,0)+IF(Atletas!B28="Feminino",1000,IF(Atletas!B28="Masculino",2000,""))+IF(Atletas!Q28="Dao A",601,IF(Atletas!Q28="Jian A",602,IF(Atletas!Q28="Bishou A",603,IF(Atletas!Q28="Shan A",604,IF(Atletas!Q28="Outra Arma Curta A",605,IF(Atletas!Q28="Dao B",606,IF(Atletas!Q28="Jian B",607,IF(Atletas!Q28="Bishou B",608,IF(Atletas!Q28="Shan B",609,IF(Atletas!Q28="Outra Arma Curta B",610,IF(Atletas!Q28="Dao C",611,IF(Atletas!Q28="Jian C",612,IF(Atletas!Q28="Bishou C",613,IF(Atletas!Q28="Shan C",614,IF(Atletas!Q28="Outra Arma Curta C",615,IF(Atletas!Q28="Dao D",616,IF(Atletas!Q28="Jian D",617,IF(Atletas!Q28="Bishou D",618,IF(Atletas!Q28="Shan D",619,IF(Atletas!Q28="Outra Arma Curta D",620,IF(Atletas!Q28="Dao E",621,IF(Atletas!Q28="Jian E",622,IF(Atletas!Q28="Bishou E",623,IF(Atletas!Q28="Shan E",624,IF(Atletas!Q28="Outra Arma Curta E",625,IF(Atletas!Q28="Dao F",626,IF(Atletas!Q28="Jian F",627,IF(Atletas!Q28="Bishou F",628,IF(Atletas!Q28="Shan F",629,IF(Atletas!Q28="Outra Arma Curta F",630, "")))))))))))))))))))))))))))))))</f>
        <v/>
      </c>
      <c r="BT32" s="52" t="str">
        <f>IF(Atletas!R28="","",IF(Atletas!W28&lt;&gt;"",10000,0)+IF(Atletas!B28="Feminino",1000,IF(Atletas!B28="Masculino",2000,""))+IF(Atletas!R28="Gun A",701,IF(Atletas!R28="Qiang A",702,IF(Atletas!R28="Pudao / Guandao A",703,IF(Atletas!R28="Outra Arma Longa A",704,IF(Atletas!R28="Gun B",705,IF(Atletas!R28="Qiang B",706,IF(Atletas!R28="Pudao / Guandao B",707,IF(Atletas!R28="Outra Arma Longa B",708,IF(Atletas!R28="Gun C",709,IF(Atletas!R28="Qiang C",710,IF(Atletas!R28="Pudao / Guandao C",711,IF(Atletas!R28="Outra Arma Longa C",712,IF(Atletas!R28="Gun D",713,IF(Atletas!R28="Qiang D",714,IF(Atletas!R28="Pudao / Guandao D",715,IF(Atletas!R28="Outra Arma Longa D",716,IF(Atletas!R28="Gun E",717,IF(Atletas!R28="Qiang E",718,IF(Atletas!R28="Pudao / Guandao E",719,IF(Atletas!R28="Outra Arma Longa E",720,IF(Atletas!R28="Gun F",721,IF(Atletas!R28="Qiang F",722,IF(Atletas!R28="Pudao / Guandao F",723,IF(Atletas!R28="Outra Arma Longa F",724,"")))))))))))))))))))))))))</f>
        <v/>
      </c>
      <c r="BU32" s="52" t="str">
        <f>IF(Atletas!S28="","",IF(Atletas!W28&lt;&gt;"",10000,0)+IF(Atletas!B28="Feminino",1000,IF(Atletas!B28="Masculino",2000,""))+IF(Atletas!S28="Arma Dupla A",801,IF(Atletas!S28="Arma Maleável A",802,IF(Atletas!S28="Arma Dupla B",803,IF(Atletas!S28="Arma Maleável B",804,IF(Atletas!S28="Arma Dupla C",805,IF(Atletas!S28="Arma Maleável C",806,IF(Atletas!S28="Arma Dupla D",807,IF(Atletas!S28="Arma Maleável D",808,IF(Atletas!S28="Arma Dupla E",809,IF(Atletas!S28="Arma Maleável E",810,IF(Atletas!S28="Arma Dupla F",811,IF(Atletas!S28="Arma Maleável F",812, "")))))))))))))</f>
        <v/>
      </c>
      <c r="BV32" s="52" t="str">
        <f>IF(Atletas!T28="","",IF(Atletas!W28&lt;&gt;"",10000,0)+IF(Atletas!B28="Feminino",1000,IF(Atletas!B28="Masculino",2000,""))+IF(Atletas!T28="Taijijian Yang A",901,IF(Atletas!T28="Taijijian Chen A",902,IF(Atletas!T28="Taijijian Sun A",903,IF(Atletas!T28="Taijijian Wu A",904,IF(Atletas!T28="Taijijian Wu-Hao A",905,IF(Atletas!T28="Taijijian 32 A",906,IF(Atletas!T28="Taijijian 42 A",907,IF(Atletas!T28="Taijijian Yang B",908,IF(Atletas!T28="Taijijian Chen B",909,IF(Atletas!T28="Taijijian Sun B",910,IF(Atletas!T28="Taijijian Wu B",911,IF(Atletas!T28="Taijijian Wu-Hao B",912,IF(Atletas!T28="Taijijian 32 B",913,IF(Atletas!T28="Taijijian 42 B",914,IF(Atletas!T28="Taijijian Yang C",915,IF(Atletas!T28="Taijijian Chen C",916,IF(Atletas!T28="Taijijian Sun C",917,IF(Atletas!T28="Taijijian Wu C",918,IF(Atletas!T28="Taijijian Wu-Hao C",919,IF(Atletas!T28="Taijijian 32 C",920,IF(Atletas!T28="Taijijian 42 C",921,IF(Atletas!T28="Taijijian Yang D",922,IF(Atletas!T28="Taijijian Chen D",923,IF(Atletas!T28="Taijijian Sun D",924,IF(Atletas!T28="Taijijian Wu D",925,IF(Atletas!T28="Taijijian Wu-Hao D",926,IF(Atletas!T28="Taijijian 32 D",927,IF(Atletas!T28="Taijijian 42 D",928,IF(Atletas!T28="Taijijian Yang E",929,IF(Atletas!T28="Taijijian Chen E",930,IF(Atletas!T28="Taijijian Sun E",931,IF(Atletas!T28="Taijijian Wu E",932,IF(Atletas!T28="Taijijian Wu-Hao E",933,IF(Atletas!T28="Taijijian 32 E",934,IF(Atletas!T28="Taijijian 42 E",935,IF(Atletas!T28="Taijijian Yang F",936,IF(Atletas!T28="Taijijian Chen F",937,IF(Atletas!T28="Taijijian Sun F",938,IF(Atletas!T28="Taijijian Wu F",939,IF(Atletas!T28="Taijijian Wu-Hao F",940,IF(Atletas!T28="Taijijian 32 F",941,IF(Atletas!T28="Taijijian 42 F",942,"")))))))))))))))))))))))))))))))))))))))))))</f>
        <v/>
      </c>
      <c r="BW32" s="52" t="str">
        <f>IF(Atletas!U28="","",IF(Atletas!W28&lt;&gt;"",10000,0)+IF(Atletas!B28="Feminino",1000,IF(Atletas!B28="Masculino",2000,""))+IF(Atletas!T28="Taijijian 42 F",942,IF(Atletas!U28="Taijidao A",943,IF(Atletas!U28="Taijishan A",944,IF(Atletas!U28="Taijiqiang A",945,IF(Atletas!U28="Taijidao B",946,IF(Atletas!U28="Taijishan B",947,IF(Atletas!U28="Taijiqiang B",948,IF(Atletas!U28="Taijidao C",949,IF(Atletas!U28="Taijishan C",950,IF(Atletas!U28="Taijiqiang C",951,IF(Atletas!U28="Taijidao D",952,IF(Atletas!U28="Taijishan D",953,IF(Atletas!U28="Taijiqiang D",954,IF(Atletas!U28="Taijidao E",955,IF(Atletas!U28="Taijishan E",956,IF(Atletas!U28="Taijiqiang E",957,IF(Atletas!U28="Taijidao F",958,IF(Atletas!U28="Taijishan F",959,IF(Atletas!U28="Taijiqiang F",960))))))))))))))))))))</f>
        <v/>
      </c>
      <c r="BX32" s="64" t="str">
        <f>IF(BY32&lt;&gt;"","Choylayfut F","")</f>
        <v/>
      </c>
      <c r="BY32" s="64" t="str">
        <f>IF(COUNTIF(BK:BW,1026)&gt;0,COUNTIF(BK:BW,1026),"")</f>
        <v/>
      </c>
      <c r="BZ32" s="64" t="str">
        <f>IF(CA32&lt;&gt;"","Choylayfut F","")</f>
        <v/>
      </c>
      <c r="CA32" s="64" t="str">
        <f>IF(COUNTIF(BK:BW,2026)&gt;0,COUNTIF(BK:BW,2026),"")</f>
        <v/>
      </c>
      <c r="CB32" s="64" t="str">
        <f>IF(CC32&lt;&gt;"","Choylayfut F","")</f>
        <v/>
      </c>
      <c r="CC32" s="64" t="str">
        <f>IF(COUNTIF(BK:BW,11026)&gt;0,COUNTIF(BK:BW,11026),"")</f>
        <v/>
      </c>
      <c r="CD32" s="64" t="str">
        <f>IF(CE32&lt;&gt;"","Choylayfut F","")</f>
        <v/>
      </c>
      <c r="CE32" s="64" t="str">
        <f>IF(COUNTIF(BK:BW,12026)&gt;0,COUNTIF(BK:BW,12026),"")</f>
        <v/>
      </c>
      <c r="CF32" s="52" t="str">
        <f xml:space="preserve"> IF(Atletas!V28="","",IF(Atletas!V28="Duilian de Mãos AB - Equipe 1",1,IF(Atletas!V28="Duilian de Mãos AB - Equipe 2",2,IF(Atletas!V28="Duilian de Armas AB - Equipe 1",3,IF(Atletas!V28="Duilian de Armas AB - Equipe 2",4,IF(Atletas!V28="Duilian de Tuishou - Equipe 1",5,IF(Atletas!V28="Duilian de Tuishou - Equipe 2",6,IF(Atletas!V28="Grupo Externo AB - Equipe 1",7,IF(Atletas!V28="Grupo Externo AB - Equipe 2",8,IF(Atletas!V28="Grupo Interno AB - Equipe 1",9,IF(Atletas!V28="Grupo Interno AB - Equipe 2",10,IF(Atletas!V28="Duilian de Mãos CD - Equipe 1",11,IF(Atletas!V28="Duilian de Mãos CD - Equipe 2",12,IF(Atletas!V28="Duilian de Armas CD - Equipe 1",13,IF(Atletas!V28="Duilian de Armas CD - Equipe 2",14,IF(Atletas!V28="Duilian de Tuishou - Equipe 1",15,IF(Atletas!V28="Duilian de Tuishou - Equipe 2",16,IF(Atletas!V28="Grupo Externo CDEF - Equipe 1",17,IF(Atletas!V28="Grupo Externo CDEF - Equipe 2",18,IF(Atletas!V28="Grupo Interno CDEF - Equipe 1",19,IF(Atletas!V28="Grupo Interno CDEF - Equipe 2",20,IF(Atletas!V28="Duilian de Mãos EF - Equipe 1",21,IF(Atletas!V28="Duilian de Mãos EF - Equipe 2",22,IF(Atletas!V28="Duilian de Armas EF - Equipe 1",23,IF(Atletas!V28="Duilian de Armas EF - Equipe 2",24,IF(Atletas!V28="Duilian de Tuishou - Equipe 1",25,IF(Atletas!V28="Duilian de Tuishou - Equipe 2",26,"")))))))))))))))))))))))))))</f>
        <v/>
      </c>
      <c r="CR32" s="71"/>
    </row>
    <row r="33" spans="2:96">
      <c r="B33" s="4" t="str">
        <f t="array" ref="B33">IFERROR(INDEX(AK$7:AK$36,SMALL(IF(AK$7:AK$36&lt;&gt;"",ROW(AK$7:AK$36)-ROW(AK$7)+1),ROWS(AK$7:AK32))),"")</f>
        <v/>
      </c>
      <c r="C33" s="4" t="str">
        <f t="array" ref="C33">IFERROR(INDEX(AL$7:AL$36,SMALL(IF(AL$7:AL$36&lt;&gt;"",ROW(AL$7:AL$36)-ROW(AL$7)+1),ROWS(AL$7:AL32))),"")</f>
        <v/>
      </c>
      <c r="D33" s="4" t="str">
        <f t="array" ref="D33">IFERROR(INDEX(AM$7:AM$36,SMALL(IF(AM$7:AM$36&lt;&gt;"",ROW(AM$7:AM$36)-ROW(AM$7)+1),ROWS(AM$7:AM32))),"")</f>
        <v/>
      </c>
      <c r="E33" s="4" t="str">
        <f t="array" ref="E33">IFERROR(INDEX(AN$7:AN$36,SMALL(IF(AN$7:AN$36&lt;&gt;"",ROW(AN$7:AN$36)-ROW(AN$7)+1),ROWS(AN$7:AN32))),"")</f>
        <v/>
      </c>
      <c r="F33" s="4" t="str">
        <f t="array" ref="F33">IFERROR(INDEX(AP$7:AP$36,SMALL(IF(AP$7:AP$36&lt;&gt;"",ROW(AP$7:AP$36)-ROW(AP$7)+1),ROWS(AP$7:AP32))),"")</f>
        <v/>
      </c>
      <c r="G33" s="4" t="str">
        <f t="array" ref="G33">IFERROR(INDEX(AQ$7:AQ$36,SMALL(IF(AQ$7:AQ$36&lt;&gt;"",ROW(AQ$7:AQ$36)-ROW(AQ$7)+1),ROWS(AQ$7:AQ32))),"")</f>
        <v/>
      </c>
      <c r="H33" s="4" t="str">
        <f t="array" ref="H33">IFERROR(INDEX(AR$7:AR$36,SMALL(IF(AR$7:AR$36&lt;&gt;"",ROW(AR$7:AR$36)-ROW(AR$7)+1),ROWS(AR$7:AR32))),"")</f>
        <v/>
      </c>
      <c r="I33" s="4" t="str">
        <f t="array" ref="I33">IFERROR(INDEX(AS$7:AS$36,SMALL(IF(AS$7:AS$36&lt;&gt;"",ROW(AS$7:AS$36)-ROW(AS$7)+1),ROWS(AS$7:AS32))),"")</f>
        <v/>
      </c>
      <c r="J33" s="4" t="str">
        <f t="array" ref="J33">IFERROR(INDEX(AS$7:AS$36,SMALL(IF(AS$7:AS$36&lt;&gt;"",ROW(AS$7:AS$36)-ROW(AS$7)+1),ROWS(AS$7:AS32))),"")</f>
        <v/>
      </c>
      <c r="K33" s="4" t="str">
        <f t="array" ref="K33">IFERROR(INDEX(AV$7:AV$36,SMALL(IF(AV$7:AV$36&lt;&gt;"",ROW(AV$7:AV$36)-ROW(AV$7)+1),ROWS(AV$7:AV32))),"")</f>
        <v/>
      </c>
      <c r="L33" s="4" t="str">
        <f t="array" ref="L33">IFERROR(INDEX(AW$7:AW$36,SMALL(IF(AW$7:AW$36&lt;&gt;"",ROW(AW$7:AW$36)-ROW(AW$7)+1),ROWS(AW$7:AW32))),"")</f>
        <v/>
      </c>
      <c r="M33" s="4" t="str">
        <f t="array" ref="M33">IFERROR(INDEX(AX$7:AX$36,SMALL(IF(AX$7:AX$36&lt;&gt;"",ROW(AX$7:AX$36)-ROW(AX$7)+1),ROWS(AX$7:AX32))),"")</f>
        <v/>
      </c>
      <c r="N33" s="4" t="str">
        <f t="array" ref="N33">IFERROR(INDEX(BB$7:BB$66,SMALL(IF(BB$7:BB$66&lt;&gt;"",ROW(BB$7:BB$66)-ROW(BB$7)+1),ROWS(BB$7:BB32))),"")</f>
        <v/>
      </c>
      <c r="O33" s="4" t="str">
        <f t="array" ref="O33">IFERROR(INDEX(BC$7:BC$66,SMALL(IF(BC$7:BC$66&lt;&gt;"",ROW(BC$7:BC$66)-ROW(BC$7)+1),ROWS(BC$7:BC32))),"")</f>
        <v/>
      </c>
      <c r="P33" s="4" t="str">
        <f t="array" ref="P33">IFERROR(INDEX(BD$7:BD$66,SMALL(IF(BD$7:BD$66&lt;&gt;"",ROW(BD$7:BD$66)-ROW(BD$7)+1),ROWS(BD$7:BD32))),"")</f>
        <v/>
      </c>
      <c r="Q33" s="4" t="str">
        <f t="array" ref="Q33">IFERROR(INDEX(BE$7:BE$66,SMALL(IF(BE$7:BE$66&lt;&gt;"",ROW(BE$7:BE$66)-ROW(BE$7)+1),ROWS(BE$7:BE32))),"")</f>
        <v/>
      </c>
      <c r="R33" s="4"/>
      <c r="S33" s="4"/>
      <c r="T33" s="4"/>
      <c r="U33" s="4"/>
      <c r="V33" s="4" t="str">
        <f t="array" ref="V33">IFERROR(INDEX(BX$7:BX$336,SMALL(IF(BX$7:BX$336&lt;&gt;"",ROW(BX$7:BX$336)-ROW(BX$7)+1),ROWS(BX$7:BX32))),"")</f>
        <v/>
      </c>
      <c r="W33" s="4" t="str">
        <f t="array" ref="W33">IFERROR(INDEX(BY$7:BY$336,SMALL(IF(BY$7:BY$336&lt;&gt;"",ROW(BY$7:BY$336)-ROW(BY$7)+1),ROWS(BY$7:BY32))),"")</f>
        <v/>
      </c>
      <c r="X33" s="4" t="str">
        <f t="array" ref="X33">IFERROR(INDEX(BZ$7:BZ$336,SMALL(IF(BZ$7:BZ$336&lt;&gt;"",ROW(BZ$7:BZ$336)-ROW(BZ$7)+1),ROWS(BZ$7:BZ32))),"")</f>
        <v/>
      </c>
      <c r="Y33" s="4" t="str">
        <f t="array" ref="Y33">IFERROR(INDEX(CA$7:CA$336,SMALL(IF(CA$7:CA$336&lt;&gt;"",ROW(CA$7:CA$336)-ROW(CA$7)+1),ROWS(CA$7:CA32))),"")</f>
        <v/>
      </c>
      <c r="Z33" s="4" t="str">
        <f t="array" ref="Z33">IFERROR(INDEX(CB$7:CB$378,SMALL(IF(CB$7:CB$378&lt;&gt;"",ROW(CB$7:CB$378)-ROW(CB$7)+1),ROWS(CB$7:CB32))),"")</f>
        <v/>
      </c>
      <c r="AA33" s="4" t="str">
        <f t="array" ref="AA33">IFERROR(INDEX(CC$7:CC$378,SMALL(IF(CC$7:CC$378&lt;&gt;"",ROW(CC$7:CC$378)-ROW(CC$7)+1),ROWS(CC$7:CC32))),"")</f>
        <v/>
      </c>
      <c r="AB33" s="4" t="str">
        <f t="array" ref="AB33">IFERROR(INDEX(CD$7:CD$378,SMALL(IF(CD$7:CD$378&lt;&gt;"",ROW(CD$7:CD$378)-ROW(CD$7)+1),ROWS(CD$7:CD32))),"")</f>
        <v/>
      </c>
      <c r="AC33" s="4" t="str">
        <f t="array" ref="AC33">IFERROR(INDEX(CE$7:CE$378,SMALL(IF(CE$7:CE$378&lt;&gt;"",ROW(CE$7:CE$378)-ROW(CE$7)+1),ROWS(CE$7:CE32))),"")</f>
        <v/>
      </c>
      <c r="AD33" s="69" t="str">
        <f t="array" ref="AD33">IFERROR(INDEX(CG$7:CG$18,SMALL(IF(CG$7:CG$18&lt;&gt;"",ROW(CG$7:CG$18)-ROW(CG$7)+1),ROWS(CG$7:CG32))),"")</f>
        <v/>
      </c>
      <c r="AE33" s="69" t="str">
        <f t="array" ref="AE33">IFERROR(INDEX(CH$7:CH$18,SMALL(IF(CH$7:CH$18&lt;&gt;"",ROW(CH$7:CH$18)-ROW(CH$7)+1),ROWS(CH$7:CH32))),"")</f>
        <v/>
      </c>
      <c r="AF33" s="69" t="str">
        <f t="array" ref="AF33">IFERROR(INDEX(CI$7:CI$8,SMALL(IF(CI$7:CI$8&lt;&gt;"",ROW(CI$7:CI$8)-ROW(CI$7)+1),ROWS(CI$7:CI32))),"")</f>
        <v/>
      </c>
      <c r="AG33" s="69"/>
      <c r="AH33" s="69" t="str">
        <f t="array" ref="AH33">IFERROR(INDEX(CK$7:CK$14,SMALL(IF(CK$7:CK$14&lt;&gt;"",ROW(CK$7:CK$14)-ROW(CK$7)+1),ROWS(CK$7:CK32))),"")</f>
        <v/>
      </c>
      <c r="AI33" s="69"/>
      <c r="AJ33" s="46" t="str">
        <f>IF(Atletas!D29="","",IF(Atletas!B29="Feminino",100,IF(Atletas!B29="Masculino",200,""))+(IF(Atletas!D29="Infantil 39kg",1,IF(Atletas!D29="Infantil 42kg",2,IF(Atletas!D29="Infantil 45kg",3,IF(Atletas!D29="Infantil 48kg",4,IF(Atletas!D29="Infantil 52kg",5,IF(Atletas!D29="Infantil 56kg",6,IF(Atletas!D29="Infantil 60kg",7,IF(Atletas!D29="Juvenil 48kg",8,IF(Atletas!D29="Juvenil 52kg",9,IF(Atletas!D29="Juvenil 56kg",10,IF(Atletas!D29="Juvenil 60kg",11,IF(Atletas!D29="Juvenil 65kg",12,IF(Atletas!D29="Juvenil 70kg",13,IF(Atletas!D29="Juvenil 75kg",14,IF(Atletas!D29="Juvenil 80kg",15,IF(Atletas!D29="Adulto 48kg",16,IF(Atletas!D29="Adulto 52kg",17,IF(Atletas!D29="Adulto 56kg",18,IF(Atletas!D29="Adulto 60kg",19,IF(Atletas!D29="Adulto 65kg",20,IF(Atletas!D29="Adulto 70kg",21,IF(Atletas!D29="Adulto 75kg",22,IF(Atletas!D29="Adulto 80kg",23,IF(Atletas!D29="Adulto 85kg",24,IF(Atletas!D29="Adulto 90kg",25,IF(Atletas!D29="Adulto +90kg",26,""))))))))))))))))))))))))))))</f>
        <v/>
      </c>
      <c r="AK33" s="52"/>
      <c r="AO33" s="10" t="str">
        <f>IF(Atletas!E29="","",IF(Atletas!B29="Feminino",100,IF(Atletas!B29="Masculino",200,""))+(IF(Atletas!E29="Juvenil 44kg",1,IF(Atletas!E29="Juvenil 48kg",2,IF(Atletas!E29="Juvenil 52kg",3,IF(Atletas!E29="Juvenil 56kg",4,IF(Atletas!E29="Juvenil 60kg",5,IF(Atletas!E29="Juvenil 65kg",6,IF(Atletas!E29="Juvenil 70kg",7,IF(Atletas!E29="Juvenil 75kg",8,IF(Atletas!E29="Juvenil 82kg",9,IF(Atletas!E29="Juvenil 90kg",10,IF(Atletas!E29="Juvenil 100kg",11,IF(Atletas!E29="Adulto 48kg",12,IF(Atletas!E29="Adulto 52kg",13,IF(Atletas!E29="Adulto 56kg",14,IF(Atletas!E29="Adulto 60kg",15,IF(Atletas!E29="Adulto 65kg",16,IF(Atletas!E29="Adulto 70kg",17,IF(Atletas!E29="Adulto 75kg",18,IF(Atletas!E29="Adulto 82kg",19,IF(Atletas!E29="Adulto 90kg",20,IF(Atletas!E29="Adulto 100kg",21,IF(Atletas!E29="Adulto +100kg",22,""))))))))))))))))))))))))</f>
        <v/>
      </c>
      <c r="AT33" s="10" t="str">
        <f>IF(Atletas!F29="","",IF(Atletas!B29="Feminino",100,IF(Atletas!B29="Masculino",200,""))+(IF(Atletas!F29="Adulto 48kg",1,IF(Atletas!F29="Adulto 56kg",2,IF(Atletas!F29="Adulto 65kg",3,IF(Atletas!F29="Adulto 75kg",4,IF(Atletas!F29="Adulto +75kg",5,IF(Atletas!F29="Adulto 52kg",6,IF(Atletas!F29="Adulto 60kg",7,IF(Atletas!F29="Adulto 70kg",8,IF(Atletas!F29="Adulto 80kg",9,IF(Atletas!F29="Adulto 90kg",10,IF(Atletas!F29="Adulto +90kg",11,"")))))))))))))</f>
        <v/>
      </c>
      <c r="AY33" s="46" t="str">
        <f>IF(Atletas!G29="","",IF(Atletas!B29="Feminino",100,IF(Atletas!B29="Masculino",200,""))+(IF(Atletas!G29="Changquan Mirim",1,IF(Atletas!G29="Nanquan Mirim",2,IF(Atletas!G29="Taijiquan Mirim",3,IF(Atletas!G29="Changquan Grupo C",4,IF(Atletas!G29="Nanquan Grupo C",5,IF(Atletas!G29="Taijiquan Grupo C",6,IF(Atletas!G29="Changquan Grupo B",7,IF(Atletas!G29="Nanquan Grupo B",8,IF(Atletas!G29="Taijiquan Grupo B",9,IF(Atletas!G29="Changquan Grupo A",10,IF(Atletas!G29="Nanquan Grupo A",11,IF(Atletas!G29="Taijiquan Grupo A",12,IF(Atletas!G29="Changquan Opcional",13,IF(Atletas!G29="Nanquan Opcional",14,IF(Atletas!G29="Taijiquan Opcional",15,IF(Atletas!G29="Changquan Adulto",16,IF(Atletas!G29="Nanquan Adulto",17,IF(Atletas!G29="Taijiquan Adulto",18,""))))))))))))))))))))</f>
        <v/>
      </c>
      <c r="AZ33" s="46" t="str">
        <f>IF(Atletas!H29="","",IF(Atletas!B29="Feminino",100,IF(Atletas!B29="Masculino",200,""))+(IF(Atletas!H29="Daoshu Mirim",19,IF(Atletas!H29="Jianshu Mirim",20,IF(Atletas!H29="Nandao Mirim",21,IF(Atletas!H29="Taijijian Mirim",22,IF(Atletas!H29="Daoshu Grupo C",23,IF(Atletas!H29="Jianshu Grupo C",24,IF(Atletas!H29="Nandao Grupo C",25,IF(Atletas!H29="Taijijian Grupo C",26,IF(Atletas!H29="Daoshu Grupo B",27,IF(Atletas!H29="Jianshu Grupo B",28,IF(Atletas!H29="Nandao Grupo B",29,IF(Atletas!H29="Taijijian Grupo B",30,IF(Atletas!H29="Daoshu Grupo A",31,IF(Atletas!H29="Jianshu Grupo A",32,IF(Atletas!H29="Nandao Grupo A",33,IF(Atletas!H29="Taijijian Grupo A",34,IF(Atletas!H29="Daoshu Opcional",35,IF(Atletas!H29="Jianshu Opcional",36,IF(Atletas!H29="Nandao Opcional",37,IF(Atletas!H29="Taijijian Opcional",38,IF(Atletas!H29="Daoshu Adulto",39,IF(Atletas!H29="Jianshu Adulto",40,IF(Atletas!H29="Nandao Adulto",41,IF(Atletas!H29="Taijijian Adulto",42,""))))))))))))))))))))))))))</f>
        <v/>
      </c>
      <c r="BA33" s="46" t="str">
        <f>IF(Atletas!I29="","",IF(Atletas!B29="Feminino",100,IF(Atletas!B29="Masculino",200,""))+(IF(Atletas!I29="Gunshu Mirim",43,IF(Atletas!I29="Qiangshu Mirim",44,IF(Atletas!I29="Nangun Mirim",45,IF(Atletas!I29="Gunshu Grupo C",46,IF(Atletas!I29="Qiangshu Grupo C",47,IF(Atletas!I29="Nangun Grupo C",48,IF(Atletas!I29="Gunshu Grupo B",49,IF(Atletas!I29="Qiangshu Grupo B",50,IF(Atletas!I29="Nangun Grupo B",51,IF(Atletas!I29="Gunshu Grupo A",52,IF(Atletas!I29="Qiangshu Grupo A",53,IF(Atletas!I29="Nangun Grupo A",54,IF(Atletas!I29="Gunshu Opcional",55,IF(Atletas!I29="Qiangshu Opcional",56,IF(Atletas!I29="Nangun Opcional",57,IF(Atletas!I29="Gunshu Adulto",58,IF(Atletas!I29="Qiangshu Adulto",59,IF(Atletas!I29="Nangun Adulto",60,""))))))))))))))))))))</f>
        <v/>
      </c>
      <c r="BB33" s="10" t="str">
        <f>IF(BC33&lt;&gt;"","Taijijian Grupo B","")</f>
        <v/>
      </c>
      <c r="BC33" s="52" t="str">
        <f>IF(COUNTIF(AY:BA,130)&gt;0,COUNTIF(AY:BA,130),"")</f>
        <v/>
      </c>
      <c r="BD33" s="10" t="str">
        <f>IF(BE33&lt;&gt;"","Taijijian Grupo B","")</f>
        <v/>
      </c>
      <c r="BE33" s="52" t="str">
        <f>IF(COUNTIF(AY:BA,230)&gt;0,COUNTIF(AY:BA,230),"")</f>
        <v/>
      </c>
      <c r="BF33" s="52" t="str">
        <f>IF(Atletas!J29="","",IF(Atletas!B29="Feminino",100,IF(Atletas!B29="Masculino",200,""))+(IF(Atletas!J29="Equipe 1 Grupo B",1,IF(Atletas!J29="Equipe 2 Grupo B",2,IF(Atletas!J29="Equipe 1 Grupo A",3,IF(Atletas!J29="Equipe 2 Grupo A",4,IF(Atletas!J29="Equipe 1 Adulto",5,IF(Atletas!J29="Equipe 2 Adulto",6,""))))))))</f>
        <v/>
      </c>
      <c r="BK33" s="52" t="str">
        <f>IF(Atletas!K29="","",IF(Atletas!W29&lt;&gt;"",10000,0)+(IF(Atletas!B29="Feminino",1000,IF(Atletas!B29="Masculino",2000,""))+IF(Atletas!K29="Choylayfut A",1,IF(Atletas!K29="Hunggar A",2,IF(Atletas!K29="Wuzuquan A",3,IF(Atletas!K29="Wingchun A",4,IF(Atletas!K29="Outra Mão de Sul A",5,IF(Atletas!K29="Choylayfut B",6,IF(Atletas!K29="Hunggar B",7,IF(Atletas!K29="Wuzuquan B",8,IF(Atletas!K29="Wingchun B",9,IF(Atletas!K29="Outra Mão de Sul B",10,IF(Atletas!K29="Choylayfut C",11,IF(Atletas!K29="Hunggar C",12,IF(Atletas!K29="Wuzuquan C",13,IF(Atletas!K29="Wingchun C",14,IF(Atletas!K29="Outra Mão de Sul C",15,IF(Atletas!K29="Choylayfut D",16,IF(Atletas!K29="Hunggar D",17,IF(Atletas!K29="Wuzuquan D",18,IF(Atletas!K29="Wingchun D",19,IF(Atletas!K29="Outra Mão de Sul D",20,IF(Atletas!K29="Choylayfut E",21,IF(Atletas!K29="Hunggar E",22,IF(Atletas!K29="Wuzuquan E",23,IF(Atletas!K29="Wingchun E",24,IF(Atletas!K29="Outra Mão de Sul E",25,IF(Atletas!K29="Choylayfut F",26,IF(Atletas!K29="Hunggar F",27,IF(Atletas!K29="Wuzuquan F",28,IF(Atletas!K29="Wingchun F",29,IF(Atletas!K29="Outra Mão de Sul F",30,""))))))))))))))))))))))))))))))))</f>
        <v/>
      </c>
      <c r="BL33" s="52" t="str">
        <f>IF(Atletas!L29="","",IF(Atletas!W29&lt;&gt;"",10000,0)+(IF(Atletas!B29="Feminino",1000,IF(Atletas!B29="Masculino",2000,""))+(IF(Atletas!L29="Chaquan A",101,IF(Atletas!L29="Emeiquan A",102,IF(Atletas!L29="Fanziquan A",103,IF(Atletas!L29="Huaquan A",104,IF(Atletas!L29="Hongquan A",105,IF(Atletas!L29="Paochui A",106,IF(Atletas!L29="Piguaquan A",107,IF(Atletas!L29="Shaolinquan A",108,IF(Atletas!L29="Tanglangquan A",109,IF(Atletas!L29="Yinzhaophai A",110,IF(Atletas!L29="Tongbeiquan A",111,IF(Atletas!L29="Wudangquan A",112,IF(Atletas!L29="Outros Estilos A",113,IF(Atletas!L29="Chaquan B",114,IF(Atletas!L29="Emeiquan B",115,IF(Atletas!L29="Fanziquan B",116,IF(Atletas!L29="Huaquan B",117,IF(Atletas!L29="Hongquan B",118,IF(Atletas!L29="Paochui B",119,IF(Atletas!L29="Piguaquan B",120,IF(Atletas!L29="Shaolinquan B",121,IF(Atletas!L29="Tanglangquan B",122,IF(Atletas!L29="Yinzhaophai B",123,IF(Atletas!L29="Tongbeiquan B",124,IF(Atletas!L29="Wudangquan B",125,IF(Atletas!L29="Outros Estilos B",126,IF(Atletas!L29="Chaquan C",127,IF(Atletas!L29="Emeiquan C",128,IF(Atletas!L29="Fanziquan C",129,IF(Atletas!L29="Huaquan C",130,IF(Atletas!L29="Hongquan C",131,IF(Atletas!L29="Paochui C",132,IF(Atletas!L29="Piguaquan C",133,IF(Atletas!L29="Shaolinquan C",134,IF(Atletas!L29="Tanglangquan C",135,IF(Atletas!L29="Yinzhaophai C",136,IF(Atletas!L29="Tongbeiquan C",137,IF(Atletas!L29="Wudangquan C",138,IF(Atletas!L29="Outros Estilos C",139,0))))))))))))))))))))))))))))))))))))))))))</f>
        <v/>
      </c>
      <c r="BM33" s="52" t="str">
        <f>IF(Atletas!L29="","",IF(Atletas!W29&lt;&gt;"",10000,0)+(IF(Atletas!B29="Feminino",1000,IF(Atletas!B29="Masculino",2000,""))+(IF(Atletas!L29="Chaquan D",140,IF(Atletas!L29="Emeiquan D",141,IF(Atletas!L29="Fanziquan D",142,IF(Atletas!L29="Huaquan D",143,IF(Atletas!L29="Hongquan D",144,IF(Atletas!L29="Paochui D",145,IF(Atletas!L29="Piguaquan D",146,IF(Atletas!L29="Shaolinquan D",147,IF(Atletas!L29="Tanglangquan D",148,IF(Atletas!L29="Yinzhaophai D",149,IF(Atletas!L29="Tongbeiquan D",150,IF(Atletas!L29="Wudangquan D",151,IF(Atletas!L29="Outros Estilos D",152,IF(Atletas!L29="Chaquan E",153,IF(Atletas!L29="Emeiquan E",154,IF(Atletas!L29="Fanziquan E",155,IF(Atletas!L29="Huaquan E",156,IF(Atletas!L29="Hongquan E",157,IF(Atletas!L29="Paochui E",158,IF(Atletas!L29="Piguaquan E",159,IF(Atletas!L29="Shaolinquan E",160,IF(Atletas!L29="Tanglangquan E",161,IF(Atletas!L29="Yinzhaophai E",162,IF(Atletas!L29="Tongbeiquan E",163,IF(Atletas!L29="Wudangquan E",164,IF(Atletas!L29="Outros Estilos E",165,IF(Atletas!L29="Chaquan F",166,IF(Atletas!L29="Emeiquan F",167,IF(Atletas!L29="Fanziquan F",168,IF(Atletas!L29="Huaquan F",169,IF(Atletas!L29="Hongquan F",170,IF(Atletas!L29="Paochui F",171,IF(Atletas!L29="Piguaquan F",172,IF(Atletas!L29="Shaolinquan F",173,IF(Atletas!L29="Tanglangquan F",174,IF(Atletas!L29="Yinzhaophai F",175,IF(Atletas!L29="Tongbeiquan F",176,IF(Atletas!L29="Wudangquan F",177,IF(Atletas!L29="Outros Estilos F",178,0))))))))))))))))))))))))))))))))))))))))))</f>
        <v/>
      </c>
      <c r="BN33" s="52" t="str">
        <f>IF(Atletas!M29="","",IF(Atletas!W29&lt;&gt;"",10000,0)+(IF(Atletas!B29="Feminino",1000,IF(Atletas!B29="Masculino",2000,""))+(IF(Atletas!M29="Ditangquan A",201,IF(Atletas!M29="Houquan A",202,IF(Atletas!M29="Zuiquan A",203,IF(Atletas!M29="Ditangquan B",204,IF(Atletas!M29="Houquan B",205,IF(Atletas!M29="Zuiquan B",206,IF(Atletas!M29="Ditangquan C",207,IF(Atletas!M29="Houquan C",208,IF(Atletas!M29="Zuiquan C",209,IF(Atletas!M29="Ditangquan D",210,IF(Atletas!M29="Houquan D",211,IF(Atletas!M29="Zuiquan D",212,IF(Atletas!M29="Ditangquan E",213,IF(Atletas!M29="Houquan E",214,IF(Atletas!M29="Zuiquan E",215,IF(Atletas!M29="Ditangquan F",216,IF(Atletas!M29="Houquan F",217,IF(Atletas!M29="Zuiquan F",218,"")))))))))))))))))))))</f>
        <v/>
      </c>
      <c r="BO33" s="52" t="str">
        <f>IF(Atletas!N29="","",IF(Atletas!W29&lt;&gt;"",10000,0)+IF(Atletas!B29="Feminino",1000,IF(Atletas!B29="Masculino",2000,""))+IF(Atletas!N29="Yang A",301,IF(Atletas!N29="Chen A",30,IF(Atletas!N29="Sun A",303,IF(Atletas!N29="Wu A",304,IF(Atletas!N29="Wu-Hao A",305,IF(Atletas!N29="Outro Taijiquan A",306,IF(Atletas!N29="Yang B",307,IF(Atletas!N29="Chen B",308,IF(Atletas!N29="Sun B",309,IF(Atletas!N29="Wu B",310,IF(Atletas!N29="Wu-Hao B",311,IF(Atletas!N29="Outro Taijiquan B",312,IF(Atletas!N29="Yang C",313,IF(Atletas!N29="Chen C",314,IF(Atletas!N29="Sun C",315,IF(Atletas!N29="Wu C",316,IF(Atletas!N29="Wu-Hao C",317,IF(Atletas!N29="Outro Taijiquan C",318,IF(Atletas!N29="Yang D",319,IF(Atletas!N29="Chen D",320,IF(Atletas!N29="Sun D",321,IF(Atletas!N29="Wu D",322,IF(Atletas!N29="Wu-Hao D",323,IF(Atletas!N29="Outro Taijiquan D",324,IF(Atletas!N29="Yang E",325,IF(Atletas!N29="Chen E",326,IF(Atletas!N29="Sun E",327,IF(Atletas!N29="Wu E",328,IF(Atletas!N29="Wu-Hao E",329,IF(Atletas!N29="Outro Taijiquan E",330,IF(Atletas!N29="Yang F",331,IF(Atletas!N29="Chen F",332,IF(Atletas!N29="Sun F",333,IF(Atletas!N29="Wu F",334,IF(Atletas!N29="Wu-Hao F",335,IF(Atletas!N29="Outro Taijiquan F",336,"")))))))))))))))))))))))))))))))))))))</f>
        <v/>
      </c>
      <c r="BP33" s="52" t="str">
        <f>IF(Atletas!O29="","",IF(Atletas!W29&lt;&gt;"",10000,0)+IF(Atletas!B29="Feminino",1000,IF(Atletas!B29="Masculino",2000,""))+IF(OR(Atletas!O29="Yang 26 A",Atletas!O29="Yang 40 A"),401,IF(OR(Atletas!O29="Chen 25 A",Atletas!O29="Chen 36 A",Atletas!O29="Chen 56 A"),402,IF(Atletas!O29="Sun 73 A",403,IF(Atletas!O29="Wu 45 A",404,IF(Atletas!O29="Wu-Hao 46 A",405,IF(OR(Atletas!O29="Taijiquan 16 A",Atletas!O29="Taijiquan 24 A",Atletas!O29="Taijiquan 32 A",Atletas!O29="Taijiquan 42 A"),406,IF(OR(Atletas!O29="Yang 26 B",Atletas!O29="Yang 40 B"),407,IF(OR(Atletas!O29="Chen 25 B",Atletas!O29="Chen 36 B",Atletas!O29="Chen 56 B"),408,IF(Atletas!O29="Sun 73 B",409,IF(Atletas!O29="Wu 45 B",410,IF(Atletas!O29="Wu-Hao 46 B",411,IF(OR(Atletas!O29="Taijiquan 16 B",Atletas!O29="Taijiquan 24 B",Atletas!O29="Taijiquan 32 B",Atletas!O29="Taijiquan 42 B"),412,IF(OR(Atletas!O29="Yang 26 C",Atletas!O29="Yang 40 C"),413,IF(OR(Atletas!O29="Chen 25 C",Atletas!O29="Chen 36 C",Atletas!O29="Chen 56 C"),414,IF(Atletas!O29="Sun 73 C",415,IF(Atletas!O29="Wu 45 C",416,IF(Atletas!O29="Wu-Hao 46 C",417,IF(OR(Atletas!O29="Taijiquan 16 C",Atletas!O29="Taijiquan 24 C",Atletas!O29="Taijiquan 32 C",Atletas!O29="Taijiquan 42 C"),418,0)))))))))))))))))))</f>
        <v/>
      </c>
      <c r="BQ33" s="52" t="str">
        <f>IF(Atletas!O29="","",IF(Atletas!W29&lt;&gt;"",10000,0)+IF(Atletas!B29="Feminino",1000,IF(Atletas!B29="Masculino",2000,""))+IF(OR(Atletas!O29="Yang 26 D",Atletas!O29="Yang 40 D"),419,IF(OR(Atletas!O29="Chen 25 D",Atletas!O29="Chen 36 D",Atletas!O29="Chen 56 D"),420,IF(Atletas!O29="Sun 73 D",421,IF(Atletas!O29="Wu 45 D",422,IF(Atletas!O29="Wu-Hao 46 D",423,IF(OR(Atletas!O29="Taijiquan 16 D",Atletas!O29="Taijiquan 24 D",Atletas!O29="Taijiquan 32 D",Atletas!O29="Taijiquan 42 D"),424,IF(OR(Atletas!O29="Yang 26 E",Atletas!O29="Yang 40 E"),425,IF(OR(Atletas!O29="Chen 25 E",Atletas!O29="Chen 36 E",Atletas!O29="Chen 56 E"),426,IF(Atletas!O29="Sun 73 E",427,IF(Atletas!O29="Wu 45 E",428,IF(Atletas!O29="Wu-Hao 46 E",429,IF(OR(Atletas!O29="Taijiquan 16 E",Atletas!O29="Taijiquan 24 E",Atletas!O29="Taijiquan 32 E",Atletas!O29="Taijiquan 42 E"),430,IF(OR(Atletas!O29="Yang 26 F",Atletas!O29="Yang 40 F"),431,IF(OR(Atletas!O29="Chen 25 F",Atletas!O29="Chen 36 F",Atletas!O29="Chen 56 F"),432,IF(Atletas!O29="Sun 73 F",433,IF(Atletas!O29="Wu 45 F",434,IF(Atletas!O29="Wu-Hao 46 F",435,IF(OR(Atletas!O29="Taijiquan 16 F",Atletas!O29="Taijiquan 24 F",Atletas!O29="Taijiquan 32 F",Atletas!O29="Taijiquan 42 F"),436,0)))))))))))))))))))</f>
        <v/>
      </c>
      <c r="BR33" s="52" t="str">
        <f>IF(Atletas!P29="","",IF(Atletas!W29&lt;&gt;"",10000,0)+IF(Atletas!B29="Feminino",1000,IF(Atletas!B29="Masculino",2000,""))+IF(Atletas!P29="Xingyiquan A",501,IF(Atletas!P29="Baguazhang A",502,IF(Atletas!P29="Outro Estilo Interno A",503,IF(Atletas!P29="Xingyiquan B",504,IF(Atletas!P29="Baguazhang B",505,IF(Atletas!P29="Outro Estilo Interno B",506,IF(Atletas!P29="Xingyiquan C",507,IF(Atletas!P29="Baguazhang C",508,IF(Atletas!P29="Outro Estilo Interno C",509,IF(Atletas!P29="Xingyiquan D",510,IF(Atletas!P29="Baguazhang D",511,IF(Atletas!P29="Outro Estilo Interno D",512,IF(Atletas!P29="Xingyiquan E",513,IF(Atletas!P29="Baguazhang E",514,IF(Atletas!P29="Outro Estilo Interno E",515,IF(Atletas!P29="Xingyiquan F",516,IF(Atletas!P29="Baguazhang F",517,IF(Atletas!P29="Outro Estilo Interno F",518, "")))))))))))))))))))</f>
        <v/>
      </c>
      <c r="BS33" s="52" t="str">
        <f>IF(Atletas!Q29="","",IF(Atletas!W29&lt;&gt;"",10000,0)+IF(Atletas!B29="Feminino",1000,IF(Atletas!B29="Masculino",2000,""))+IF(Atletas!Q29="Dao A",601,IF(Atletas!Q29="Jian A",602,IF(Atletas!Q29="Bishou A",603,IF(Atletas!Q29="Shan A",604,IF(Atletas!Q29="Outra Arma Curta A",605,IF(Atletas!Q29="Dao B",606,IF(Atletas!Q29="Jian B",607,IF(Atletas!Q29="Bishou B",608,IF(Atletas!Q29="Shan B",609,IF(Atletas!Q29="Outra Arma Curta B",610,IF(Atletas!Q29="Dao C",611,IF(Atletas!Q29="Jian C",612,IF(Atletas!Q29="Bishou C",613,IF(Atletas!Q29="Shan C",614,IF(Atletas!Q29="Outra Arma Curta C",615,IF(Atletas!Q29="Dao D",616,IF(Atletas!Q29="Jian D",617,IF(Atletas!Q29="Bishou D",618,IF(Atletas!Q29="Shan D",619,IF(Atletas!Q29="Outra Arma Curta D",620,IF(Atletas!Q29="Dao E",621,IF(Atletas!Q29="Jian E",622,IF(Atletas!Q29="Bishou E",623,IF(Atletas!Q29="Shan E",624,IF(Atletas!Q29="Outra Arma Curta E",625,IF(Atletas!Q29="Dao F",626,IF(Atletas!Q29="Jian F",627,IF(Atletas!Q29="Bishou F",628,IF(Atletas!Q29="Shan F",629,IF(Atletas!Q29="Outra Arma Curta F",630, "")))))))))))))))))))))))))))))))</f>
        <v/>
      </c>
      <c r="BT33" s="52" t="str">
        <f>IF(Atletas!R29="","",IF(Atletas!W29&lt;&gt;"",10000,0)+IF(Atletas!B29="Feminino",1000,IF(Atletas!B29="Masculino",2000,""))+IF(Atletas!R29="Gun A",701,IF(Atletas!R29="Qiang A",702,IF(Atletas!R29="Pudao / Guandao A",703,IF(Atletas!R29="Outra Arma Longa A",704,IF(Atletas!R29="Gun B",705,IF(Atletas!R29="Qiang B",706,IF(Atletas!R29="Pudao / Guandao B",707,IF(Atletas!R29="Outra Arma Longa B",708,IF(Atletas!R29="Gun C",709,IF(Atletas!R29="Qiang C",710,IF(Atletas!R29="Pudao / Guandao C",711,IF(Atletas!R29="Outra Arma Longa C",712,IF(Atletas!R29="Gun D",713,IF(Atletas!R29="Qiang D",714,IF(Atletas!R29="Pudao / Guandao D",715,IF(Atletas!R29="Outra Arma Longa D",716,IF(Atletas!R29="Gun E",717,IF(Atletas!R29="Qiang E",718,IF(Atletas!R29="Pudao / Guandao E",719,IF(Atletas!R29="Outra Arma Longa E",720,IF(Atletas!R29="Gun F",721,IF(Atletas!R29="Qiang F",722,IF(Atletas!R29="Pudao / Guandao F",723,IF(Atletas!R29="Outra Arma Longa F",724,"")))))))))))))))))))))))))</f>
        <v/>
      </c>
      <c r="BU33" s="52" t="str">
        <f>IF(Atletas!S29="","",IF(Atletas!W29&lt;&gt;"",10000,0)+IF(Atletas!B29="Feminino",1000,IF(Atletas!B29="Masculino",2000,""))+IF(Atletas!S29="Arma Dupla A",801,IF(Atletas!S29="Arma Maleável A",802,IF(Atletas!S29="Arma Dupla B",803,IF(Atletas!S29="Arma Maleável B",804,IF(Atletas!S29="Arma Dupla C",805,IF(Atletas!S29="Arma Maleável C",806,IF(Atletas!S29="Arma Dupla D",807,IF(Atletas!S29="Arma Maleável D",808,IF(Atletas!S29="Arma Dupla E",809,IF(Atletas!S29="Arma Maleável E",810,IF(Atletas!S29="Arma Dupla F",811,IF(Atletas!S29="Arma Maleável F",812, "")))))))))))))</f>
        <v/>
      </c>
      <c r="BV33" s="52" t="str">
        <f>IF(Atletas!T29="","",IF(Atletas!W29&lt;&gt;"",10000,0)+IF(Atletas!B29="Feminino",1000,IF(Atletas!B29="Masculino",2000,""))+IF(Atletas!T29="Taijijian Yang A",901,IF(Atletas!T29="Taijijian Chen A",902,IF(Atletas!T29="Taijijian Sun A",903,IF(Atletas!T29="Taijijian Wu A",904,IF(Atletas!T29="Taijijian Wu-Hao A",905,IF(Atletas!T29="Taijijian 32 A",906,IF(Atletas!T29="Taijijian 42 A",907,IF(Atletas!T29="Taijijian Yang B",908,IF(Atletas!T29="Taijijian Chen B",909,IF(Atletas!T29="Taijijian Sun B",910,IF(Atletas!T29="Taijijian Wu B",911,IF(Atletas!T29="Taijijian Wu-Hao B",912,IF(Atletas!T29="Taijijian 32 B",913,IF(Atletas!T29="Taijijian 42 B",914,IF(Atletas!T29="Taijijian Yang C",915,IF(Atletas!T29="Taijijian Chen C",916,IF(Atletas!T29="Taijijian Sun C",917,IF(Atletas!T29="Taijijian Wu C",918,IF(Atletas!T29="Taijijian Wu-Hao C",919,IF(Atletas!T29="Taijijian 32 C",920,IF(Atletas!T29="Taijijian 42 C",921,IF(Atletas!T29="Taijijian Yang D",922,IF(Atletas!T29="Taijijian Chen D",923,IF(Atletas!T29="Taijijian Sun D",924,IF(Atletas!T29="Taijijian Wu D",925,IF(Atletas!T29="Taijijian Wu-Hao D",926,IF(Atletas!T29="Taijijian 32 D",927,IF(Atletas!T29="Taijijian 42 D",928,IF(Atletas!T29="Taijijian Yang E",929,IF(Atletas!T29="Taijijian Chen E",930,IF(Atletas!T29="Taijijian Sun E",931,IF(Atletas!T29="Taijijian Wu E",932,IF(Atletas!T29="Taijijian Wu-Hao E",933,IF(Atletas!T29="Taijijian 32 E",934,IF(Atletas!T29="Taijijian 42 E",935,IF(Atletas!T29="Taijijian Yang F",936,IF(Atletas!T29="Taijijian Chen F",937,IF(Atletas!T29="Taijijian Sun F",938,IF(Atletas!T29="Taijijian Wu F",939,IF(Atletas!T29="Taijijian Wu-Hao F",940,IF(Atletas!T29="Taijijian 32 F",941,IF(Atletas!T29="Taijijian 42 F",942,"")))))))))))))))))))))))))))))))))))))))))))</f>
        <v/>
      </c>
      <c r="BW33" s="52" t="str">
        <f>IF(Atletas!U29="","",IF(Atletas!W29&lt;&gt;"",10000,0)+IF(Atletas!B29="Feminino",1000,IF(Atletas!B29="Masculino",2000,""))+IF(Atletas!T29="Taijijian 42 F",942,IF(Atletas!U29="Taijidao A",943,IF(Atletas!U29="Taijishan A",944,IF(Atletas!U29="Taijiqiang A",945,IF(Atletas!U29="Taijidao B",946,IF(Atletas!U29="Taijishan B",947,IF(Atletas!U29="Taijiqiang B",948,IF(Atletas!U29="Taijidao C",949,IF(Atletas!U29="Taijishan C",950,IF(Atletas!U29="Taijiqiang C",951,IF(Atletas!U29="Taijidao D",952,IF(Atletas!U29="Taijishan D",953,IF(Atletas!U29="Taijiqiang D",954,IF(Atletas!U29="Taijidao E",955,IF(Atletas!U29="Taijishan E",956,IF(Atletas!U29="Taijiqiang E",957,IF(Atletas!U29="Taijidao F",958,IF(Atletas!U29="Taijishan F",959,IF(Atletas!U29="Taijiqiang F",960))))))))))))))))))))</f>
        <v/>
      </c>
      <c r="BX33" s="64" t="str">
        <f>IF(BY33&lt;&gt;"","Hunggar F","")</f>
        <v/>
      </c>
      <c r="BY33" s="64" t="str">
        <f>IF(COUNTIF(BK:BW,1027)&gt;0,COUNTIF(BK:BW,1027),"")</f>
        <v/>
      </c>
      <c r="BZ33" s="64" t="str">
        <f>IF(CA33&lt;&gt;"","Hunggar F","")</f>
        <v/>
      </c>
      <c r="CA33" s="64" t="str">
        <f>IF(COUNTIF(BK:BW,2027)&gt;0,COUNTIF(BK:BW,2027),"")</f>
        <v/>
      </c>
      <c r="CB33" s="64" t="str">
        <f>IF(CC33&lt;&gt;"","Hunggar F","")</f>
        <v/>
      </c>
      <c r="CC33" s="64" t="str">
        <f>IF(COUNTIF(BK:BW,11027)&gt;0,COUNTIF(BK:BW,11027),"")</f>
        <v/>
      </c>
      <c r="CD33" s="64" t="str">
        <f>IF(CE33&lt;&gt;"","Hunggar F","")</f>
        <v/>
      </c>
      <c r="CE33" s="64" t="str">
        <f>IF(COUNTIF(BK:BW,12027)&gt;0,COUNTIF(BK:BW,12027),"")</f>
        <v/>
      </c>
      <c r="CF33" s="52" t="str">
        <f xml:space="preserve"> IF(Atletas!V29="","",IF(Atletas!V29="Duilian de Mãos AB - Equipe 1",1,IF(Atletas!V29="Duilian de Mãos AB - Equipe 2",2,IF(Atletas!V29="Duilian de Armas AB - Equipe 1",3,IF(Atletas!V29="Duilian de Armas AB - Equipe 2",4,IF(Atletas!V29="Duilian de Tuishou - Equipe 1",5,IF(Atletas!V29="Duilian de Tuishou - Equipe 2",6,IF(Atletas!V29="Grupo Externo AB - Equipe 1",7,IF(Atletas!V29="Grupo Externo AB - Equipe 2",8,IF(Atletas!V29="Grupo Interno AB - Equipe 1",9,IF(Atletas!V29="Grupo Interno AB - Equipe 2",10,IF(Atletas!V29="Duilian de Mãos CD - Equipe 1",11,IF(Atletas!V29="Duilian de Mãos CD - Equipe 2",12,IF(Atletas!V29="Duilian de Armas CD - Equipe 1",13,IF(Atletas!V29="Duilian de Armas CD - Equipe 2",14,IF(Atletas!V29="Duilian de Tuishou - Equipe 1",15,IF(Atletas!V29="Duilian de Tuishou - Equipe 2",16,IF(Atletas!V29="Grupo Externo CDEF - Equipe 1",17,IF(Atletas!V29="Grupo Externo CDEF - Equipe 2",18,IF(Atletas!V29="Grupo Interno CDEF - Equipe 1",19,IF(Atletas!V29="Grupo Interno CDEF - Equipe 2",20,IF(Atletas!V29="Duilian de Mãos EF - Equipe 1",21,IF(Atletas!V29="Duilian de Mãos EF - Equipe 2",22,IF(Atletas!V29="Duilian de Armas EF - Equipe 1",23,IF(Atletas!V29="Duilian de Armas EF - Equipe 2",24,IF(Atletas!V29="Duilian de Tuishou - Equipe 1",25,IF(Atletas!V29="Duilian de Tuishou - Equipe 2",26,"")))))))))))))))))))))))))))</f>
        <v/>
      </c>
      <c r="CR33" s="71"/>
    </row>
    <row r="34" spans="2:96">
      <c r="B34" s="4" t="str">
        <f t="array" ref="B34">IFERROR(INDEX(AK$7:AK$36,SMALL(IF(AK$7:AK$36&lt;&gt;"",ROW(AK$7:AK$36)-ROW(AK$7)+1),ROWS(AK$7:AK33))),"")</f>
        <v/>
      </c>
      <c r="C34" s="4" t="str">
        <f t="array" ref="C34">IFERROR(INDEX(AL$7:AL$36,SMALL(IF(AL$7:AL$36&lt;&gt;"",ROW(AL$7:AL$36)-ROW(AL$7)+1),ROWS(AL$7:AL33))),"")</f>
        <v/>
      </c>
      <c r="D34" s="4" t="str">
        <f t="array" ref="D34">IFERROR(INDEX(AM$7:AM$36,SMALL(IF(AM$7:AM$36&lt;&gt;"",ROW(AM$7:AM$36)-ROW(AM$7)+1),ROWS(AM$7:AM33))),"")</f>
        <v/>
      </c>
      <c r="E34" s="4" t="str">
        <f t="array" ref="E34">IFERROR(INDEX(AN$7:AN$36,SMALL(IF(AN$7:AN$36&lt;&gt;"",ROW(AN$7:AN$36)-ROW(AN$7)+1),ROWS(AN$7:AN33))),"")</f>
        <v/>
      </c>
      <c r="F34" s="4" t="str">
        <f t="array" ref="F34">IFERROR(INDEX(AP$7:AP$36,SMALL(IF(AP$7:AP$36&lt;&gt;"",ROW(AP$7:AP$36)-ROW(AP$7)+1),ROWS(AP$7:AP33))),"")</f>
        <v/>
      </c>
      <c r="G34" s="4" t="str">
        <f t="array" ref="G34">IFERROR(INDEX(AQ$7:AQ$36,SMALL(IF(AQ$7:AQ$36&lt;&gt;"",ROW(AQ$7:AQ$36)-ROW(AQ$7)+1),ROWS(AQ$7:AQ33))),"")</f>
        <v/>
      </c>
      <c r="H34" s="4" t="str">
        <f t="array" ref="H34">IFERROR(INDEX(AR$7:AR$36,SMALL(IF(AR$7:AR$36&lt;&gt;"",ROW(AR$7:AR$36)-ROW(AR$7)+1),ROWS(AR$7:AR33))),"")</f>
        <v/>
      </c>
      <c r="I34" s="4" t="str">
        <f t="array" ref="I34">IFERROR(INDEX(AS$7:AS$36,SMALL(IF(AS$7:AS$36&lt;&gt;"",ROW(AS$7:AS$36)-ROW(AS$7)+1),ROWS(AS$7:AS33))),"")</f>
        <v/>
      </c>
      <c r="J34" s="4" t="str">
        <f t="array" ref="J34">IFERROR(INDEX(AS$7:AS$36,SMALL(IF(AS$7:AS$36&lt;&gt;"",ROW(AS$7:AS$36)-ROW(AS$7)+1),ROWS(AS$7:AS33))),"")</f>
        <v/>
      </c>
      <c r="K34" s="4" t="str">
        <f t="array" ref="K34">IFERROR(INDEX(AV$7:AV$36,SMALL(IF(AV$7:AV$36&lt;&gt;"",ROW(AV$7:AV$36)-ROW(AV$7)+1),ROWS(AV$7:AV33))),"")</f>
        <v/>
      </c>
      <c r="L34" s="4" t="str">
        <f t="array" ref="L34">IFERROR(INDEX(AW$7:AW$36,SMALL(IF(AW$7:AW$36&lt;&gt;"",ROW(AW$7:AW$36)-ROW(AW$7)+1),ROWS(AW$7:AW33))),"")</f>
        <v/>
      </c>
      <c r="M34" s="4" t="str">
        <f t="array" ref="M34">IFERROR(INDEX(AX$7:AX$36,SMALL(IF(AX$7:AX$36&lt;&gt;"",ROW(AX$7:AX$36)-ROW(AX$7)+1),ROWS(AX$7:AX33))),"")</f>
        <v/>
      </c>
      <c r="N34" s="4" t="str">
        <f t="array" ref="N34">IFERROR(INDEX(BB$7:BB$66,SMALL(IF(BB$7:BB$66&lt;&gt;"",ROW(BB$7:BB$66)-ROW(BB$7)+1),ROWS(BB$7:BB33))),"")</f>
        <v/>
      </c>
      <c r="O34" s="4" t="str">
        <f t="array" ref="O34">IFERROR(INDEX(BC$7:BC$66,SMALL(IF(BC$7:BC$66&lt;&gt;"",ROW(BC$7:BC$66)-ROW(BC$7)+1),ROWS(BC$7:BC33))),"")</f>
        <v/>
      </c>
      <c r="P34" s="4" t="str">
        <f t="array" ref="P34">IFERROR(INDEX(BD$7:BD$66,SMALL(IF(BD$7:BD$66&lt;&gt;"",ROW(BD$7:BD$66)-ROW(BD$7)+1),ROWS(BD$7:BD33))),"")</f>
        <v/>
      </c>
      <c r="Q34" s="4" t="str">
        <f t="array" ref="Q34">IFERROR(INDEX(BE$7:BE$66,SMALL(IF(BE$7:BE$66&lt;&gt;"",ROW(BE$7:BE$66)-ROW(BE$7)+1),ROWS(BE$7:BE33))),"")</f>
        <v/>
      </c>
      <c r="R34" s="4"/>
      <c r="S34" s="4"/>
      <c r="T34" s="4"/>
      <c r="U34" s="4"/>
      <c r="V34" s="4" t="str">
        <f t="array" ref="V34">IFERROR(INDEX(BX$7:BX$336,SMALL(IF(BX$7:BX$336&lt;&gt;"",ROW(BX$7:BX$336)-ROW(BX$7)+1),ROWS(BX$7:BX33))),"")</f>
        <v/>
      </c>
      <c r="W34" s="4" t="str">
        <f t="array" ref="W34">IFERROR(INDEX(BY$7:BY$336,SMALL(IF(BY$7:BY$336&lt;&gt;"",ROW(BY$7:BY$336)-ROW(BY$7)+1),ROWS(BY$7:BY33))),"")</f>
        <v/>
      </c>
      <c r="X34" s="4" t="str">
        <f t="array" ref="X34">IFERROR(INDEX(BZ$7:BZ$336,SMALL(IF(BZ$7:BZ$336&lt;&gt;"",ROW(BZ$7:BZ$336)-ROW(BZ$7)+1),ROWS(BZ$7:BZ33))),"")</f>
        <v/>
      </c>
      <c r="Y34" s="4" t="str">
        <f t="array" ref="Y34">IFERROR(INDEX(CA$7:CA$336,SMALL(IF(CA$7:CA$336&lt;&gt;"",ROW(CA$7:CA$336)-ROW(CA$7)+1),ROWS(CA$7:CA33))),"")</f>
        <v/>
      </c>
      <c r="Z34" s="4" t="str">
        <f t="array" ref="Z34">IFERROR(INDEX(CB$7:CB$378,SMALL(IF(CB$7:CB$378&lt;&gt;"",ROW(CB$7:CB$378)-ROW(CB$7)+1),ROWS(CB$7:CB33))),"")</f>
        <v/>
      </c>
      <c r="AA34" s="4" t="str">
        <f t="array" ref="AA34">IFERROR(INDEX(CC$7:CC$378,SMALL(IF(CC$7:CC$378&lt;&gt;"",ROW(CC$7:CC$378)-ROW(CC$7)+1),ROWS(CC$7:CC33))),"")</f>
        <v/>
      </c>
      <c r="AB34" s="4" t="str">
        <f t="array" ref="AB34">IFERROR(INDEX(CD$7:CD$378,SMALL(IF(CD$7:CD$378&lt;&gt;"",ROW(CD$7:CD$378)-ROW(CD$7)+1),ROWS(CD$7:CD33))),"")</f>
        <v/>
      </c>
      <c r="AC34" s="4" t="str">
        <f t="array" ref="AC34">IFERROR(INDEX(CE$7:CE$378,SMALL(IF(CE$7:CE$378&lt;&gt;"",ROW(CE$7:CE$378)-ROW(CE$7)+1),ROWS(CE$7:CE33))),"")</f>
        <v/>
      </c>
      <c r="AD34" s="69" t="str">
        <f t="array" ref="AD34">IFERROR(INDEX(CG$7:CG$18,SMALL(IF(CG$7:CG$18&lt;&gt;"",ROW(CG$7:CG$18)-ROW(CG$7)+1),ROWS(CG$7:CG33))),"")</f>
        <v/>
      </c>
      <c r="AE34" s="69" t="str">
        <f t="array" ref="AE34">IFERROR(INDEX(CH$7:CH$18,SMALL(IF(CH$7:CH$18&lt;&gt;"",ROW(CH$7:CH$18)-ROW(CH$7)+1),ROWS(CH$7:CH33))),"")</f>
        <v/>
      </c>
      <c r="AF34" s="69" t="str">
        <f t="array" ref="AF34">IFERROR(INDEX(CI$7:CI$8,SMALL(IF(CI$7:CI$8&lt;&gt;"",ROW(CI$7:CI$8)-ROW(CI$7)+1),ROWS(CI$7:CI33))),"")</f>
        <v/>
      </c>
      <c r="AG34" s="69"/>
      <c r="AH34" s="69" t="str">
        <f t="array" ref="AH34">IFERROR(INDEX(CK$7:CK$14,SMALL(IF(CK$7:CK$14&lt;&gt;"",ROW(CK$7:CK$14)-ROW(CK$7)+1),ROWS(CK$7:CK33))),"")</f>
        <v/>
      </c>
      <c r="AI34" s="69"/>
      <c r="AJ34" s="46" t="str">
        <f>IF(Atletas!D30="","",IF(Atletas!B30="Feminino",100,IF(Atletas!B30="Masculino",200,""))+(IF(Atletas!D30="Infantil 39kg",1,IF(Atletas!D30="Infantil 42kg",2,IF(Atletas!D30="Infantil 45kg",3,IF(Atletas!D30="Infantil 48kg",4,IF(Atletas!D30="Infantil 52kg",5,IF(Atletas!D30="Infantil 56kg",6,IF(Atletas!D30="Infantil 60kg",7,IF(Atletas!D30="Juvenil 48kg",8,IF(Atletas!D30="Juvenil 52kg",9,IF(Atletas!D30="Juvenil 56kg",10,IF(Atletas!D30="Juvenil 60kg",11,IF(Atletas!D30="Juvenil 65kg",12,IF(Atletas!D30="Juvenil 70kg",13,IF(Atletas!D30="Juvenil 75kg",14,IF(Atletas!D30="Juvenil 80kg",15,IF(Atletas!D30="Adulto 48kg",16,IF(Atletas!D30="Adulto 52kg",17,IF(Atletas!D30="Adulto 56kg",18,IF(Atletas!D30="Adulto 60kg",19,IF(Atletas!D30="Adulto 65kg",20,IF(Atletas!D30="Adulto 70kg",21,IF(Atletas!D30="Adulto 75kg",22,IF(Atletas!D30="Adulto 80kg",23,IF(Atletas!D30="Adulto 85kg",24,IF(Atletas!D30="Adulto 90kg",25,IF(Atletas!D30="Adulto +90kg",26,""))))))))))))))))))))))))))))</f>
        <v/>
      </c>
      <c r="AK34" s="52"/>
      <c r="AO34" s="10" t="str">
        <f>IF(Atletas!E30="","",IF(Atletas!B30="Feminino",100,IF(Atletas!B30="Masculino",200,""))+(IF(Atletas!E30="Juvenil 44kg",1,IF(Atletas!E30="Juvenil 48kg",2,IF(Atletas!E30="Juvenil 52kg",3,IF(Atletas!E30="Juvenil 56kg",4,IF(Atletas!E30="Juvenil 60kg",5,IF(Atletas!E30="Juvenil 65kg",6,IF(Atletas!E30="Juvenil 70kg",7,IF(Atletas!E30="Juvenil 75kg",8,IF(Atletas!E30="Juvenil 82kg",9,IF(Atletas!E30="Juvenil 90kg",10,IF(Atletas!E30="Juvenil 100kg",11,IF(Atletas!E30="Adulto 48kg",12,IF(Atletas!E30="Adulto 52kg",13,IF(Atletas!E30="Adulto 56kg",14,IF(Atletas!E30="Adulto 60kg",15,IF(Atletas!E30="Adulto 65kg",16,IF(Atletas!E30="Adulto 70kg",17,IF(Atletas!E30="Adulto 75kg",18,IF(Atletas!E30="Adulto 82kg",19,IF(Atletas!E30="Adulto 90kg",20,IF(Atletas!E30="Adulto 100kg",21,IF(Atletas!E30="Adulto +100kg",22,""))))))))))))))))))))))))</f>
        <v/>
      </c>
      <c r="AT34" s="10" t="str">
        <f>IF(Atletas!F30="","",IF(Atletas!B30="Feminino",100,IF(Atletas!B30="Masculino",200,""))+(IF(Atletas!F30="Adulto 48kg",1,IF(Atletas!F30="Adulto 56kg",2,IF(Atletas!F30="Adulto 65kg",3,IF(Atletas!F30="Adulto 75kg",4,IF(Atletas!F30="Adulto +75kg",5,IF(Atletas!F30="Adulto 52kg",6,IF(Atletas!F30="Adulto 60kg",7,IF(Atletas!F30="Adulto 70kg",8,IF(Atletas!F30="Adulto 80kg",9,IF(Atletas!F30="Adulto 90kg",10,IF(Atletas!F30="Adulto +90kg",11,"")))))))))))))</f>
        <v/>
      </c>
      <c r="AY34" s="46" t="str">
        <f>IF(Atletas!G30="","",IF(Atletas!B30="Feminino",100,IF(Atletas!B30="Masculino",200,""))+(IF(Atletas!G30="Changquan Mirim",1,IF(Atletas!G30="Nanquan Mirim",2,IF(Atletas!G30="Taijiquan Mirim",3,IF(Atletas!G30="Changquan Grupo C",4,IF(Atletas!G30="Nanquan Grupo C",5,IF(Atletas!G30="Taijiquan Grupo C",6,IF(Atletas!G30="Changquan Grupo B",7,IF(Atletas!G30="Nanquan Grupo B",8,IF(Atletas!G30="Taijiquan Grupo B",9,IF(Atletas!G30="Changquan Grupo A",10,IF(Atletas!G30="Nanquan Grupo A",11,IF(Atletas!G30="Taijiquan Grupo A",12,IF(Atletas!G30="Changquan Opcional",13,IF(Atletas!G30="Nanquan Opcional",14,IF(Atletas!G30="Taijiquan Opcional",15,IF(Atletas!G30="Changquan Adulto",16,IF(Atletas!G30="Nanquan Adulto",17,IF(Atletas!G30="Taijiquan Adulto",18,""))))))))))))))))))))</f>
        <v/>
      </c>
      <c r="AZ34" s="46" t="str">
        <f>IF(Atletas!H30="","",IF(Atletas!B30="Feminino",100,IF(Atletas!B30="Masculino",200,""))+(IF(Atletas!H30="Daoshu Mirim",19,IF(Atletas!H30="Jianshu Mirim",20,IF(Atletas!H30="Nandao Mirim",21,IF(Atletas!H30="Taijijian Mirim",22,IF(Atletas!H30="Daoshu Grupo C",23,IF(Atletas!H30="Jianshu Grupo C",24,IF(Atletas!H30="Nandao Grupo C",25,IF(Atletas!H30="Taijijian Grupo C",26,IF(Atletas!H30="Daoshu Grupo B",27,IF(Atletas!H30="Jianshu Grupo B",28,IF(Atletas!H30="Nandao Grupo B",29,IF(Atletas!H30="Taijijian Grupo B",30,IF(Atletas!H30="Daoshu Grupo A",31,IF(Atletas!H30="Jianshu Grupo A",32,IF(Atletas!H30="Nandao Grupo A",33,IF(Atletas!H30="Taijijian Grupo A",34,IF(Atletas!H30="Daoshu Opcional",35,IF(Atletas!H30="Jianshu Opcional",36,IF(Atletas!H30="Nandao Opcional",37,IF(Atletas!H30="Taijijian Opcional",38,IF(Atletas!H30="Daoshu Adulto",39,IF(Atletas!H30="Jianshu Adulto",40,IF(Atletas!H30="Nandao Adulto",41,IF(Atletas!H30="Taijijian Adulto",42,""))))))))))))))))))))))))))</f>
        <v/>
      </c>
      <c r="BA34" s="46" t="str">
        <f>IF(Atletas!I30="","",IF(Atletas!B30="Feminino",100,IF(Atletas!B30="Masculino",200,""))+(IF(Atletas!I30="Gunshu Mirim",43,IF(Atletas!I30="Qiangshu Mirim",44,IF(Atletas!I30="Nangun Mirim",45,IF(Atletas!I30="Gunshu Grupo C",46,IF(Atletas!I30="Qiangshu Grupo C",47,IF(Atletas!I30="Nangun Grupo C",48,IF(Atletas!I30="Gunshu Grupo B",49,IF(Atletas!I30="Qiangshu Grupo B",50,IF(Atletas!I30="Nangun Grupo B",51,IF(Atletas!I30="Gunshu Grupo A",52,IF(Atletas!I30="Qiangshu Grupo A",53,IF(Atletas!I30="Nangun Grupo A",54,IF(Atletas!I30="Gunshu Opcional",55,IF(Atletas!I30="Qiangshu Opcional",56,IF(Atletas!I30="Nangun Opcional",57,IF(Atletas!I30="Gunshu Adulto",58,IF(Atletas!I30="Qiangshu Adulto",59,IF(Atletas!I30="Nangun Adulto",60,""))))))))))))))))))))</f>
        <v/>
      </c>
      <c r="BB34" s="10" t="str">
        <f>IF(BC34&lt;&gt;"","Gunshu Grupo B","")</f>
        <v/>
      </c>
      <c r="BC34" s="52" t="str">
        <f>IF(COUNTIF(AY:BA,149)&gt;0,COUNTIF(AY:BA,149),"")</f>
        <v/>
      </c>
      <c r="BD34" s="10" t="str">
        <f>IF(BE34&lt;&gt;"","Gunshu Grupo B","")</f>
        <v/>
      </c>
      <c r="BE34" s="52" t="str">
        <f>IF(COUNTIF(AY:BA,249)&gt;0,COUNTIF(AY:BA,249),"")</f>
        <v/>
      </c>
      <c r="BF34" s="52" t="str">
        <f>IF(Atletas!J30="","",IF(Atletas!B30="Feminino",100,IF(Atletas!B30="Masculino",200,""))+(IF(Atletas!J30="Equipe 1 Grupo B",1,IF(Atletas!J30="Equipe 2 Grupo B",2,IF(Atletas!J30="Equipe 1 Grupo A",3,IF(Atletas!J30="Equipe 2 Grupo A",4,IF(Atletas!J30="Equipe 1 Adulto",5,IF(Atletas!J30="Equipe 2 Adulto",6,""))))))))</f>
        <v/>
      </c>
      <c r="BK34" s="52" t="str">
        <f>IF(Atletas!K30="","",IF(Atletas!W30&lt;&gt;"",10000,0)+(IF(Atletas!B30="Feminino",1000,IF(Atletas!B30="Masculino",2000,""))+IF(Atletas!K30="Choylayfut A",1,IF(Atletas!K30="Hunggar A",2,IF(Atletas!K30="Wuzuquan A",3,IF(Atletas!K30="Wingchun A",4,IF(Atletas!K30="Outra Mão de Sul A",5,IF(Atletas!K30="Choylayfut B",6,IF(Atletas!K30="Hunggar B",7,IF(Atletas!K30="Wuzuquan B",8,IF(Atletas!K30="Wingchun B",9,IF(Atletas!K30="Outra Mão de Sul B",10,IF(Atletas!K30="Choylayfut C",11,IF(Atletas!K30="Hunggar C",12,IF(Atletas!K30="Wuzuquan C",13,IF(Atletas!K30="Wingchun C",14,IF(Atletas!K30="Outra Mão de Sul C",15,IF(Atletas!K30="Choylayfut D",16,IF(Atletas!K30="Hunggar D",17,IF(Atletas!K30="Wuzuquan D",18,IF(Atletas!K30="Wingchun D",19,IF(Atletas!K30="Outra Mão de Sul D",20,IF(Atletas!K30="Choylayfut E",21,IF(Atletas!K30="Hunggar E",22,IF(Atletas!K30="Wuzuquan E",23,IF(Atletas!K30="Wingchun E",24,IF(Atletas!K30="Outra Mão de Sul E",25,IF(Atletas!K30="Choylayfut F",26,IF(Atletas!K30="Hunggar F",27,IF(Atletas!K30="Wuzuquan F",28,IF(Atletas!K30="Wingchun F",29,IF(Atletas!K30="Outra Mão de Sul F",30,""))))))))))))))))))))))))))))))))</f>
        <v/>
      </c>
      <c r="BL34" s="52" t="str">
        <f>IF(Atletas!L30="","",IF(Atletas!W30&lt;&gt;"",10000,0)+(IF(Atletas!B30="Feminino",1000,IF(Atletas!B30="Masculino",2000,""))+(IF(Atletas!L30="Chaquan A",101,IF(Atletas!L30="Emeiquan A",102,IF(Atletas!L30="Fanziquan A",103,IF(Atletas!L30="Huaquan A",104,IF(Atletas!L30="Hongquan A",105,IF(Atletas!L30="Paochui A",106,IF(Atletas!L30="Piguaquan A",107,IF(Atletas!L30="Shaolinquan A",108,IF(Atletas!L30="Tanglangquan A",109,IF(Atletas!L30="Yinzhaophai A",110,IF(Atletas!L30="Tongbeiquan A",111,IF(Atletas!L30="Wudangquan A",112,IF(Atletas!L30="Outros Estilos A",113,IF(Atletas!L30="Chaquan B",114,IF(Atletas!L30="Emeiquan B",115,IF(Atletas!L30="Fanziquan B",116,IF(Atletas!L30="Huaquan B",117,IF(Atletas!L30="Hongquan B",118,IF(Atletas!L30="Paochui B",119,IF(Atletas!L30="Piguaquan B",120,IF(Atletas!L30="Shaolinquan B",121,IF(Atletas!L30="Tanglangquan B",122,IF(Atletas!L30="Yinzhaophai B",123,IF(Atletas!L30="Tongbeiquan B",124,IF(Atletas!L30="Wudangquan B",125,IF(Atletas!L30="Outros Estilos B",126,IF(Atletas!L30="Chaquan C",127,IF(Atletas!L30="Emeiquan C",128,IF(Atletas!L30="Fanziquan C",129,IF(Atletas!L30="Huaquan C",130,IF(Atletas!L30="Hongquan C",131,IF(Atletas!L30="Paochui C",132,IF(Atletas!L30="Piguaquan C",133,IF(Atletas!L30="Shaolinquan C",134,IF(Atletas!L30="Tanglangquan C",135,IF(Atletas!L30="Yinzhaophai C",136,IF(Atletas!L30="Tongbeiquan C",137,IF(Atletas!L30="Wudangquan C",138,IF(Atletas!L30="Outros Estilos C",139,0))))))))))))))))))))))))))))))))))))))))))</f>
        <v/>
      </c>
      <c r="BM34" s="52" t="str">
        <f>IF(Atletas!L30="","",IF(Atletas!W30&lt;&gt;"",10000,0)+(IF(Atletas!B30="Feminino",1000,IF(Atletas!B30="Masculino",2000,""))+(IF(Atletas!L30="Chaquan D",140,IF(Atletas!L30="Emeiquan D",141,IF(Atletas!L30="Fanziquan D",142,IF(Atletas!L30="Huaquan D",143,IF(Atletas!L30="Hongquan D",144,IF(Atletas!L30="Paochui D",145,IF(Atletas!L30="Piguaquan D",146,IF(Atletas!L30="Shaolinquan D",147,IF(Atletas!L30="Tanglangquan D",148,IF(Atletas!L30="Yinzhaophai D",149,IF(Atletas!L30="Tongbeiquan D",150,IF(Atletas!L30="Wudangquan D",151,IF(Atletas!L30="Outros Estilos D",152,IF(Atletas!L30="Chaquan E",153,IF(Atletas!L30="Emeiquan E",154,IF(Atletas!L30="Fanziquan E",155,IF(Atletas!L30="Huaquan E",156,IF(Atletas!L30="Hongquan E",157,IF(Atletas!L30="Paochui E",158,IF(Atletas!L30="Piguaquan E",159,IF(Atletas!L30="Shaolinquan E",160,IF(Atletas!L30="Tanglangquan E",161,IF(Atletas!L30="Yinzhaophai E",162,IF(Atletas!L30="Tongbeiquan E",163,IF(Atletas!L30="Wudangquan E",164,IF(Atletas!L30="Outros Estilos E",165,IF(Atletas!L30="Chaquan F",166,IF(Atletas!L30="Emeiquan F",167,IF(Atletas!L30="Fanziquan F",168,IF(Atletas!L30="Huaquan F",169,IF(Atletas!L30="Hongquan F",170,IF(Atletas!L30="Paochui F",171,IF(Atletas!L30="Piguaquan F",172,IF(Atletas!L30="Shaolinquan F",173,IF(Atletas!L30="Tanglangquan F",174,IF(Atletas!L30="Yinzhaophai F",175,IF(Atletas!L30="Tongbeiquan F",176,IF(Atletas!L30="Wudangquan F",177,IF(Atletas!L30="Outros Estilos F",178,0))))))))))))))))))))))))))))))))))))))))))</f>
        <v/>
      </c>
      <c r="BN34" s="52" t="str">
        <f>IF(Atletas!M30="","",IF(Atletas!W30&lt;&gt;"",10000,0)+(IF(Atletas!B30="Feminino",1000,IF(Atletas!B30="Masculino",2000,""))+(IF(Atletas!M30="Ditangquan A",201,IF(Atletas!M30="Houquan A",202,IF(Atletas!M30="Zuiquan A",203,IF(Atletas!M30="Ditangquan B",204,IF(Atletas!M30="Houquan B",205,IF(Atletas!M30="Zuiquan B",206,IF(Atletas!M30="Ditangquan C",207,IF(Atletas!M30="Houquan C",208,IF(Atletas!M30="Zuiquan C",209,IF(Atletas!M30="Ditangquan D",210,IF(Atletas!M30="Houquan D",211,IF(Atletas!M30="Zuiquan D",212,IF(Atletas!M30="Ditangquan E",213,IF(Atletas!M30="Houquan E",214,IF(Atletas!M30="Zuiquan E",215,IF(Atletas!M30="Ditangquan F",216,IF(Atletas!M30="Houquan F",217,IF(Atletas!M30="Zuiquan F",218,"")))))))))))))))))))))</f>
        <v/>
      </c>
      <c r="BO34" s="52" t="str">
        <f>IF(Atletas!N30="","",IF(Atletas!W30&lt;&gt;"",10000,0)+IF(Atletas!B30="Feminino",1000,IF(Atletas!B30="Masculino",2000,""))+IF(Atletas!N30="Yang A",301,IF(Atletas!N30="Chen A",30,IF(Atletas!N30="Sun A",303,IF(Atletas!N30="Wu A",304,IF(Atletas!N30="Wu-Hao A",305,IF(Atletas!N30="Outro Taijiquan A",306,IF(Atletas!N30="Yang B",307,IF(Atletas!N30="Chen B",308,IF(Atletas!N30="Sun B",309,IF(Atletas!N30="Wu B",310,IF(Atletas!N30="Wu-Hao B",311,IF(Atletas!N30="Outro Taijiquan B",312,IF(Atletas!N30="Yang C",313,IF(Atletas!N30="Chen C",314,IF(Atletas!N30="Sun C",315,IF(Atletas!N30="Wu C",316,IF(Atletas!N30="Wu-Hao C",317,IF(Atletas!N30="Outro Taijiquan C",318,IF(Atletas!N30="Yang D",319,IF(Atletas!N30="Chen D",320,IF(Atletas!N30="Sun D",321,IF(Atletas!N30="Wu D",322,IF(Atletas!N30="Wu-Hao D",323,IF(Atletas!N30="Outro Taijiquan D",324,IF(Atletas!N30="Yang E",325,IF(Atletas!N30="Chen E",326,IF(Atletas!N30="Sun E",327,IF(Atletas!N30="Wu E",328,IF(Atletas!N30="Wu-Hao E",329,IF(Atletas!N30="Outro Taijiquan E",330,IF(Atletas!N30="Yang F",331,IF(Atletas!N30="Chen F",332,IF(Atletas!N30="Sun F",333,IF(Atletas!N30="Wu F",334,IF(Atletas!N30="Wu-Hao F",335,IF(Atletas!N30="Outro Taijiquan F",336,"")))))))))))))))))))))))))))))))))))))</f>
        <v/>
      </c>
      <c r="BP34" s="52" t="str">
        <f>IF(Atletas!O30="","",IF(Atletas!W30&lt;&gt;"",10000,0)+IF(Atletas!B30="Feminino",1000,IF(Atletas!B30="Masculino",2000,""))+IF(OR(Atletas!O30="Yang 26 A",Atletas!O30="Yang 40 A"),401,IF(OR(Atletas!O30="Chen 25 A",Atletas!O30="Chen 36 A",Atletas!O30="Chen 56 A"),402,IF(Atletas!O30="Sun 73 A",403,IF(Atletas!O30="Wu 45 A",404,IF(Atletas!O30="Wu-Hao 46 A",405,IF(OR(Atletas!O30="Taijiquan 16 A",Atletas!O30="Taijiquan 24 A",Atletas!O30="Taijiquan 32 A",Atletas!O30="Taijiquan 42 A"),406,IF(OR(Atletas!O30="Yang 26 B",Atletas!O30="Yang 40 B"),407,IF(OR(Atletas!O30="Chen 25 B",Atletas!O30="Chen 36 B",Atletas!O30="Chen 56 B"),408,IF(Atletas!O30="Sun 73 B",409,IF(Atletas!O30="Wu 45 B",410,IF(Atletas!O30="Wu-Hao 46 B",411,IF(OR(Atletas!O30="Taijiquan 16 B",Atletas!O30="Taijiquan 24 B",Atletas!O30="Taijiquan 32 B",Atletas!O30="Taijiquan 42 B"),412,IF(OR(Atletas!O30="Yang 26 C",Atletas!O30="Yang 40 C"),413,IF(OR(Atletas!O30="Chen 25 C",Atletas!O30="Chen 36 C",Atletas!O30="Chen 56 C"),414,IF(Atletas!O30="Sun 73 C",415,IF(Atletas!O30="Wu 45 C",416,IF(Atletas!O30="Wu-Hao 46 C",417,IF(OR(Atletas!O30="Taijiquan 16 C",Atletas!O30="Taijiquan 24 C",Atletas!O30="Taijiquan 32 C",Atletas!O30="Taijiquan 42 C"),418,0)))))))))))))))))))</f>
        <v/>
      </c>
      <c r="BQ34" s="52" t="str">
        <f>IF(Atletas!O30="","",IF(Atletas!W30&lt;&gt;"",10000,0)+IF(Atletas!B30="Feminino",1000,IF(Atletas!B30="Masculino",2000,""))+IF(OR(Atletas!O30="Yang 26 D",Atletas!O30="Yang 40 D"),419,IF(OR(Atletas!O30="Chen 25 D",Atletas!O30="Chen 36 D",Atletas!O30="Chen 56 D"),420,IF(Atletas!O30="Sun 73 D",421,IF(Atletas!O30="Wu 45 D",422,IF(Atletas!O30="Wu-Hao 46 D",423,IF(OR(Atletas!O30="Taijiquan 16 D",Atletas!O30="Taijiquan 24 D",Atletas!O30="Taijiquan 32 D",Atletas!O30="Taijiquan 42 D"),424,IF(OR(Atletas!O30="Yang 26 E",Atletas!O30="Yang 40 E"),425,IF(OR(Atletas!O30="Chen 25 E",Atletas!O30="Chen 36 E",Atletas!O30="Chen 56 E"),426,IF(Atletas!O30="Sun 73 E",427,IF(Atletas!O30="Wu 45 E",428,IF(Atletas!O30="Wu-Hao 46 E",429,IF(OR(Atletas!O30="Taijiquan 16 E",Atletas!O30="Taijiquan 24 E",Atletas!O30="Taijiquan 32 E",Atletas!O30="Taijiquan 42 E"),430,IF(OR(Atletas!O30="Yang 26 F",Atletas!O30="Yang 40 F"),431,IF(OR(Atletas!O30="Chen 25 F",Atletas!O30="Chen 36 F",Atletas!O30="Chen 56 F"),432,IF(Atletas!O30="Sun 73 F",433,IF(Atletas!O30="Wu 45 F",434,IF(Atletas!O30="Wu-Hao 46 F",435,IF(OR(Atletas!O30="Taijiquan 16 F",Atletas!O30="Taijiquan 24 F",Atletas!O30="Taijiquan 32 F",Atletas!O30="Taijiquan 42 F"),436,0)))))))))))))))))))</f>
        <v/>
      </c>
      <c r="BR34" s="52" t="str">
        <f>IF(Atletas!P30="","",IF(Atletas!W30&lt;&gt;"",10000,0)+IF(Atletas!B30="Feminino",1000,IF(Atletas!B30="Masculino",2000,""))+IF(Atletas!P30="Xingyiquan A",501,IF(Atletas!P30="Baguazhang A",502,IF(Atletas!P30="Outro Estilo Interno A",503,IF(Atletas!P30="Xingyiquan B",504,IF(Atletas!P30="Baguazhang B",505,IF(Atletas!P30="Outro Estilo Interno B",506,IF(Atletas!P30="Xingyiquan C",507,IF(Atletas!P30="Baguazhang C",508,IF(Atletas!P30="Outro Estilo Interno C",509,IF(Atletas!P30="Xingyiquan D",510,IF(Atletas!P30="Baguazhang D",511,IF(Atletas!P30="Outro Estilo Interno D",512,IF(Atletas!P30="Xingyiquan E",513,IF(Atletas!P30="Baguazhang E",514,IF(Atletas!P30="Outro Estilo Interno E",515,IF(Atletas!P30="Xingyiquan F",516,IF(Atletas!P30="Baguazhang F",517,IF(Atletas!P30="Outro Estilo Interno F",518, "")))))))))))))))))))</f>
        <v/>
      </c>
      <c r="BS34" s="52" t="str">
        <f>IF(Atletas!Q30="","",IF(Atletas!W30&lt;&gt;"",10000,0)+IF(Atletas!B30="Feminino",1000,IF(Atletas!B30="Masculino",2000,""))+IF(Atletas!Q30="Dao A",601,IF(Atletas!Q30="Jian A",602,IF(Atletas!Q30="Bishou A",603,IF(Atletas!Q30="Shan A",604,IF(Atletas!Q30="Outra Arma Curta A",605,IF(Atletas!Q30="Dao B",606,IF(Atletas!Q30="Jian B",607,IF(Atletas!Q30="Bishou B",608,IF(Atletas!Q30="Shan B",609,IF(Atletas!Q30="Outra Arma Curta B",610,IF(Atletas!Q30="Dao C",611,IF(Atletas!Q30="Jian C",612,IF(Atletas!Q30="Bishou C",613,IF(Atletas!Q30="Shan C",614,IF(Atletas!Q30="Outra Arma Curta C",615,IF(Atletas!Q30="Dao D",616,IF(Atletas!Q30="Jian D",617,IF(Atletas!Q30="Bishou D",618,IF(Atletas!Q30="Shan D",619,IF(Atletas!Q30="Outra Arma Curta D",620,IF(Atletas!Q30="Dao E",621,IF(Atletas!Q30="Jian E",622,IF(Atletas!Q30="Bishou E",623,IF(Atletas!Q30="Shan E",624,IF(Atletas!Q30="Outra Arma Curta E",625,IF(Atletas!Q30="Dao F",626,IF(Atletas!Q30="Jian F",627,IF(Atletas!Q30="Bishou F",628,IF(Atletas!Q30="Shan F",629,IF(Atletas!Q30="Outra Arma Curta F",630, "")))))))))))))))))))))))))))))))</f>
        <v/>
      </c>
      <c r="BT34" s="52" t="str">
        <f>IF(Atletas!R30="","",IF(Atletas!W30&lt;&gt;"",10000,0)+IF(Atletas!B30="Feminino",1000,IF(Atletas!B30="Masculino",2000,""))+IF(Atletas!R30="Gun A",701,IF(Atletas!R30="Qiang A",702,IF(Atletas!R30="Pudao / Guandao A",703,IF(Atletas!R30="Outra Arma Longa A",704,IF(Atletas!R30="Gun B",705,IF(Atletas!R30="Qiang B",706,IF(Atletas!R30="Pudao / Guandao B",707,IF(Atletas!R30="Outra Arma Longa B",708,IF(Atletas!R30="Gun C",709,IF(Atletas!R30="Qiang C",710,IF(Atletas!R30="Pudao / Guandao C",711,IF(Atletas!R30="Outra Arma Longa C",712,IF(Atletas!R30="Gun D",713,IF(Atletas!R30="Qiang D",714,IF(Atletas!R30="Pudao / Guandao D",715,IF(Atletas!R30="Outra Arma Longa D",716,IF(Atletas!R30="Gun E",717,IF(Atletas!R30="Qiang E",718,IF(Atletas!R30="Pudao / Guandao E",719,IF(Atletas!R30="Outra Arma Longa E",720,IF(Atletas!R30="Gun F",721,IF(Atletas!R30="Qiang F",722,IF(Atletas!R30="Pudao / Guandao F",723,IF(Atletas!R30="Outra Arma Longa F",724,"")))))))))))))))))))))))))</f>
        <v/>
      </c>
      <c r="BU34" s="52" t="str">
        <f>IF(Atletas!S30="","",IF(Atletas!W30&lt;&gt;"",10000,0)+IF(Atletas!B30="Feminino",1000,IF(Atletas!B30="Masculino",2000,""))+IF(Atletas!S30="Arma Dupla A",801,IF(Atletas!S30="Arma Maleável A",802,IF(Atletas!S30="Arma Dupla B",803,IF(Atletas!S30="Arma Maleável B",804,IF(Atletas!S30="Arma Dupla C",805,IF(Atletas!S30="Arma Maleável C",806,IF(Atletas!S30="Arma Dupla D",807,IF(Atletas!S30="Arma Maleável D",808,IF(Atletas!S30="Arma Dupla E",809,IF(Atletas!S30="Arma Maleável E",810,IF(Atletas!S30="Arma Dupla F",811,IF(Atletas!S30="Arma Maleável F",812, "")))))))))))))</f>
        <v/>
      </c>
      <c r="BV34" s="52" t="str">
        <f>IF(Atletas!T30="","",IF(Atletas!W30&lt;&gt;"",10000,0)+IF(Atletas!B30="Feminino",1000,IF(Atletas!B30="Masculino",2000,""))+IF(Atletas!T30="Taijijian Yang A",901,IF(Atletas!T30="Taijijian Chen A",902,IF(Atletas!T30="Taijijian Sun A",903,IF(Atletas!T30="Taijijian Wu A",904,IF(Atletas!T30="Taijijian Wu-Hao A",905,IF(Atletas!T30="Taijijian 32 A",906,IF(Atletas!T30="Taijijian 42 A",907,IF(Atletas!T30="Taijijian Yang B",908,IF(Atletas!T30="Taijijian Chen B",909,IF(Atletas!T30="Taijijian Sun B",910,IF(Atletas!T30="Taijijian Wu B",911,IF(Atletas!T30="Taijijian Wu-Hao B",912,IF(Atletas!T30="Taijijian 32 B",913,IF(Atletas!T30="Taijijian 42 B",914,IF(Atletas!T30="Taijijian Yang C",915,IF(Atletas!T30="Taijijian Chen C",916,IF(Atletas!T30="Taijijian Sun C",917,IF(Atletas!T30="Taijijian Wu C",918,IF(Atletas!T30="Taijijian Wu-Hao C",919,IF(Atletas!T30="Taijijian 32 C",920,IF(Atletas!T30="Taijijian 42 C",921,IF(Atletas!T30="Taijijian Yang D",922,IF(Atletas!T30="Taijijian Chen D",923,IF(Atletas!T30="Taijijian Sun D",924,IF(Atletas!T30="Taijijian Wu D",925,IF(Atletas!T30="Taijijian Wu-Hao D",926,IF(Atletas!T30="Taijijian 32 D",927,IF(Atletas!T30="Taijijian 42 D",928,IF(Atletas!T30="Taijijian Yang E",929,IF(Atletas!T30="Taijijian Chen E",930,IF(Atletas!T30="Taijijian Sun E",931,IF(Atletas!T30="Taijijian Wu E",932,IF(Atletas!T30="Taijijian Wu-Hao E",933,IF(Atletas!T30="Taijijian 32 E",934,IF(Atletas!T30="Taijijian 42 E",935,IF(Atletas!T30="Taijijian Yang F",936,IF(Atletas!T30="Taijijian Chen F",937,IF(Atletas!T30="Taijijian Sun F",938,IF(Atletas!T30="Taijijian Wu F",939,IF(Atletas!T30="Taijijian Wu-Hao F",940,IF(Atletas!T30="Taijijian 32 F",941,IF(Atletas!T30="Taijijian 42 F",942,"")))))))))))))))))))))))))))))))))))))))))))</f>
        <v/>
      </c>
      <c r="BW34" s="52" t="str">
        <f>IF(Atletas!U30="","",IF(Atletas!W30&lt;&gt;"",10000,0)+IF(Atletas!B30="Feminino",1000,IF(Atletas!B30="Masculino",2000,""))+IF(Atletas!T30="Taijijian 42 F",942,IF(Atletas!U30="Taijidao A",943,IF(Atletas!U30="Taijishan A",944,IF(Atletas!U30="Taijiqiang A",945,IF(Atletas!U30="Taijidao B",946,IF(Atletas!U30="Taijishan B",947,IF(Atletas!U30="Taijiqiang B",948,IF(Atletas!U30="Taijidao C",949,IF(Atletas!U30="Taijishan C",950,IF(Atletas!U30="Taijiqiang C",951,IF(Atletas!U30="Taijidao D",952,IF(Atletas!U30="Taijishan D",953,IF(Atletas!U30="Taijiqiang D",954,IF(Atletas!U30="Taijidao E",955,IF(Atletas!U30="Taijishan E",956,IF(Atletas!U30="Taijiqiang E",957,IF(Atletas!U30="Taijidao F",958,IF(Atletas!U30="Taijishan F",959,IF(Atletas!U30="Taijiqiang F",960))))))))))))))))))))</f>
        <v/>
      </c>
      <c r="BX34" s="64" t="str">
        <f>IF(BY34&lt;&gt;"","Wuzuquan F","")</f>
        <v/>
      </c>
      <c r="BY34" s="64" t="str">
        <f>IF(COUNTIF(BK:BW,1028)&gt;0,COUNTIF(BK:BW,1028),"")</f>
        <v/>
      </c>
      <c r="BZ34" s="64" t="str">
        <f>IF(CA34&lt;&gt;"","Wuzuquan F","")</f>
        <v/>
      </c>
      <c r="CA34" s="64" t="str">
        <f>IF(COUNTIF(BK:BW,2028)&gt;0,COUNTIF(BK:BW,2028),"")</f>
        <v/>
      </c>
      <c r="CB34" s="64" t="str">
        <f>IF(CC34&lt;&gt;"","Wuzuquan F","")</f>
        <v/>
      </c>
      <c r="CC34" s="64" t="str">
        <f>IF(COUNTIF(BK:BW,11028)&gt;0,COUNTIF(BK:BW,11028),"")</f>
        <v/>
      </c>
      <c r="CD34" s="64" t="str">
        <f>IF(CE34&lt;&gt;"","Wuzuquan F","")</f>
        <v/>
      </c>
      <c r="CE34" s="64" t="str">
        <f>IF(COUNTIF(BK:BW,12028)&gt;0,COUNTIF(BK:BW,12028),"")</f>
        <v/>
      </c>
      <c r="CF34" s="52" t="str">
        <f xml:space="preserve"> IF(Atletas!V30="","",IF(Atletas!V30="Duilian de Mãos AB - Equipe 1",1,IF(Atletas!V30="Duilian de Mãos AB - Equipe 2",2,IF(Atletas!V30="Duilian de Armas AB - Equipe 1",3,IF(Atletas!V30="Duilian de Armas AB - Equipe 2",4,IF(Atletas!V30="Duilian de Tuishou - Equipe 1",5,IF(Atletas!V30="Duilian de Tuishou - Equipe 2",6,IF(Atletas!V30="Grupo Externo AB - Equipe 1",7,IF(Atletas!V30="Grupo Externo AB - Equipe 2",8,IF(Atletas!V30="Grupo Interno AB - Equipe 1",9,IF(Atletas!V30="Grupo Interno AB - Equipe 2",10,IF(Atletas!V30="Duilian de Mãos CD - Equipe 1",11,IF(Atletas!V30="Duilian de Mãos CD - Equipe 2",12,IF(Atletas!V30="Duilian de Armas CD - Equipe 1",13,IF(Atletas!V30="Duilian de Armas CD - Equipe 2",14,IF(Atletas!V30="Duilian de Tuishou - Equipe 1",15,IF(Atletas!V30="Duilian de Tuishou - Equipe 2",16,IF(Atletas!V30="Grupo Externo CDEF - Equipe 1",17,IF(Atletas!V30="Grupo Externo CDEF - Equipe 2",18,IF(Atletas!V30="Grupo Interno CDEF - Equipe 1",19,IF(Atletas!V30="Grupo Interno CDEF - Equipe 2",20,IF(Atletas!V30="Duilian de Mãos EF - Equipe 1",21,IF(Atletas!V30="Duilian de Mãos EF - Equipe 2",22,IF(Atletas!V30="Duilian de Armas EF - Equipe 1",23,IF(Atletas!V30="Duilian de Armas EF - Equipe 2",24,IF(Atletas!V30="Duilian de Tuishou - Equipe 1",25,IF(Atletas!V30="Duilian de Tuishou - Equipe 2",26,"")))))))))))))))))))))))))))</f>
        <v/>
      </c>
      <c r="CR34" s="71"/>
    </row>
    <row r="35" spans="2:96">
      <c r="B35" s="4" t="str">
        <f t="array" ref="B35">IFERROR(INDEX(AK$7:AK$36,SMALL(IF(AK$7:AK$36&lt;&gt;"",ROW(AK$7:AK$36)-ROW(AK$7)+1),ROWS(AK$7:AK34))),"")</f>
        <v/>
      </c>
      <c r="C35" s="4" t="str">
        <f t="array" ref="C35">IFERROR(INDEX(AL$7:AL$36,SMALL(IF(AL$7:AL$36&lt;&gt;"",ROW(AL$7:AL$36)-ROW(AL$7)+1),ROWS(AL$7:AL34))),"")</f>
        <v/>
      </c>
      <c r="D35" s="4" t="str">
        <f t="array" ref="D35">IFERROR(INDEX(AM$7:AM$36,SMALL(IF(AM$7:AM$36&lt;&gt;"",ROW(AM$7:AM$36)-ROW(AM$7)+1),ROWS(AM$7:AM34))),"")</f>
        <v/>
      </c>
      <c r="E35" s="4" t="str">
        <f t="array" ref="E35">IFERROR(INDEX(AN$7:AN$36,SMALL(IF(AN$7:AN$36&lt;&gt;"",ROW(AN$7:AN$36)-ROW(AN$7)+1),ROWS(AN$7:AN34))),"")</f>
        <v/>
      </c>
      <c r="F35" s="4" t="str">
        <f t="array" ref="F35">IFERROR(INDEX(AP$7:AP$36,SMALL(IF(AP$7:AP$36&lt;&gt;"",ROW(AP$7:AP$36)-ROW(AP$7)+1),ROWS(AP$7:AP34))),"")</f>
        <v/>
      </c>
      <c r="G35" s="4" t="str">
        <f t="array" ref="G35">IFERROR(INDEX(AQ$7:AQ$36,SMALL(IF(AQ$7:AQ$36&lt;&gt;"",ROW(AQ$7:AQ$36)-ROW(AQ$7)+1),ROWS(AQ$7:AQ34))),"")</f>
        <v/>
      </c>
      <c r="H35" s="4" t="str">
        <f t="array" ref="H35">IFERROR(INDEX(AR$7:AR$36,SMALL(IF(AR$7:AR$36&lt;&gt;"",ROW(AR$7:AR$36)-ROW(AR$7)+1),ROWS(AR$7:AR34))),"")</f>
        <v/>
      </c>
      <c r="I35" s="4" t="str">
        <f t="array" ref="I35">IFERROR(INDEX(AS$7:AS$36,SMALL(IF(AS$7:AS$36&lt;&gt;"",ROW(AS$7:AS$36)-ROW(AS$7)+1),ROWS(AS$7:AS34))),"")</f>
        <v/>
      </c>
      <c r="J35" s="4" t="str">
        <f t="array" ref="J35">IFERROR(INDEX(AS$7:AS$36,SMALL(IF(AS$7:AS$36&lt;&gt;"",ROW(AS$7:AS$36)-ROW(AS$7)+1),ROWS(AS$7:AS34))),"")</f>
        <v/>
      </c>
      <c r="K35" s="4" t="str">
        <f t="array" ref="K35">IFERROR(INDEX(AV$7:AV$36,SMALL(IF(AV$7:AV$36&lt;&gt;"",ROW(AV$7:AV$36)-ROW(AV$7)+1),ROWS(AV$7:AV34))),"")</f>
        <v/>
      </c>
      <c r="L35" s="4" t="str">
        <f t="array" ref="L35">IFERROR(INDEX(AW$7:AW$36,SMALL(IF(AW$7:AW$36&lt;&gt;"",ROW(AW$7:AW$36)-ROW(AW$7)+1),ROWS(AW$7:AW34))),"")</f>
        <v/>
      </c>
      <c r="M35" s="4" t="str">
        <f t="array" ref="M35">IFERROR(INDEX(AX$7:AX$36,SMALL(IF(AX$7:AX$36&lt;&gt;"",ROW(AX$7:AX$36)-ROW(AX$7)+1),ROWS(AX$7:AX34))),"")</f>
        <v/>
      </c>
      <c r="N35" s="4" t="str">
        <f t="array" ref="N35">IFERROR(INDEX(BB$7:BB$66,SMALL(IF(BB$7:BB$66&lt;&gt;"",ROW(BB$7:BB$66)-ROW(BB$7)+1),ROWS(BB$7:BB34))),"")</f>
        <v/>
      </c>
      <c r="O35" s="4" t="str">
        <f t="array" ref="O35">IFERROR(INDEX(BC$7:BC$66,SMALL(IF(BC$7:BC$66&lt;&gt;"",ROW(BC$7:BC$66)-ROW(BC$7)+1),ROWS(BC$7:BC34))),"")</f>
        <v/>
      </c>
      <c r="P35" s="4" t="str">
        <f t="array" ref="P35">IFERROR(INDEX(BD$7:BD$66,SMALL(IF(BD$7:BD$66&lt;&gt;"",ROW(BD$7:BD$66)-ROW(BD$7)+1),ROWS(BD$7:BD34))),"")</f>
        <v/>
      </c>
      <c r="Q35" s="4" t="str">
        <f t="array" ref="Q35">IFERROR(INDEX(BE$7:BE$66,SMALL(IF(BE$7:BE$66&lt;&gt;"",ROW(BE$7:BE$66)-ROW(BE$7)+1),ROWS(BE$7:BE34))),"")</f>
        <v/>
      </c>
      <c r="R35" s="4"/>
      <c r="S35" s="4"/>
      <c r="T35" s="4"/>
      <c r="U35" s="4"/>
      <c r="V35" s="4" t="str">
        <f t="array" ref="V35">IFERROR(INDEX(BX$7:BX$336,SMALL(IF(BX$7:BX$336&lt;&gt;"",ROW(BX$7:BX$336)-ROW(BX$7)+1),ROWS(BX$7:BX34))),"")</f>
        <v/>
      </c>
      <c r="W35" s="4" t="str">
        <f t="array" ref="W35">IFERROR(INDEX(BY$7:BY$336,SMALL(IF(BY$7:BY$336&lt;&gt;"",ROW(BY$7:BY$336)-ROW(BY$7)+1),ROWS(BY$7:BY34))),"")</f>
        <v/>
      </c>
      <c r="X35" s="4" t="str">
        <f t="array" ref="X35">IFERROR(INDEX(BZ$7:BZ$336,SMALL(IF(BZ$7:BZ$336&lt;&gt;"",ROW(BZ$7:BZ$336)-ROW(BZ$7)+1),ROWS(BZ$7:BZ34))),"")</f>
        <v/>
      </c>
      <c r="Y35" s="4" t="str">
        <f t="array" ref="Y35">IFERROR(INDEX(CA$7:CA$336,SMALL(IF(CA$7:CA$336&lt;&gt;"",ROW(CA$7:CA$336)-ROW(CA$7)+1),ROWS(CA$7:CA34))),"")</f>
        <v/>
      </c>
      <c r="Z35" s="4" t="str">
        <f t="array" ref="Z35">IFERROR(INDEX(CB$7:CB$378,SMALL(IF(CB$7:CB$378&lt;&gt;"",ROW(CB$7:CB$378)-ROW(CB$7)+1),ROWS(CB$7:CB34))),"")</f>
        <v/>
      </c>
      <c r="AA35" s="4" t="str">
        <f t="array" ref="AA35">IFERROR(INDEX(CC$7:CC$378,SMALL(IF(CC$7:CC$378&lt;&gt;"",ROW(CC$7:CC$378)-ROW(CC$7)+1),ROWS(CC$7:CC34))),"")</f>
        <v/>
      </c>
      <c r="AB35" s="4" t="str">
        <f t="array" ref="AB35">IFERROR(INDEX(CD$7:CD$378,SMALL(IF(CD$7:CD$378&lt;&gt;"",ROW(CD$7:CD$378)-ROW(CD$7)+1),ROWS(CD$7:CD34))),"")</f>
        <v/>
      </c>
      <c r="AC35" s="4" t="str">
        <f t="array" ref="AC35">IFERROR(INDEX(CE$7:CE$378,SMALL(IF(CE$7:CE$378&lt;&gt;"",ROW(CE$7:CE$378)-ROW(CE$7)+1),ROWS(CE$7:CE34))),"")</f>
        <v/>
      </c>
      <c r="AD35" s="69" t="str">
        <f t="array" ref="AD35">IFERROR(INDEX(CG$7:CG$18,SMALL(IF(CG$7:CG$18&lt;&gt;"",ROW(CG$7:CG$18)-ROW(CG$7)+1),ROWS(CG$7:CG34))),"")</f>
        <v/>
      </c>
      <c r="AE35" s="69" t="str">
        <f t="array" ref="AE35">IFERROR(INDEX(CH$7:CH$18,SMALL(IF(CH$7:CH$18&lt;&gt;"",ROW(CH$7:CH$18)-ROW(CH$7)+1),ROWS(CH$7:CH34))),"")</f>
        <v/>
      </c>
      <c r="AF35" s="69" t="str">
        <f t="array" ref="AF35">IFERROR(INDEX(CI$7:CI$8,SMALL(IF(CI$7:CI$8&lt;&gt;"",ROW(CI$7:CI$8)-ROW(CI$7)+1),ROWS(CI$7:CI34))),"")</f>
        <v/>
      </c>
      <c r="AG35" s="69"/>
      <c r="AH35" s="69" t="str">
        <f t="array" ref="AH35">IFERROR(INDEX(CK$7:CK$14,SMALL(IF(CK$7:CK$14&lt;&gt;"",ROW(CK$7:CK$14)-ROW(CK$7)+1),ROWS(CK$7:CK34))),"")</f>
        <v/>
      </c>
      <c r="AI35" s="69"/>
      <c r="AJ35" s="46" t="str">
        <f>IF(Atletas!D31="","",IF(Atletas!B31="Feminino",100,IF(Atletas!B31="Masculino",200,""))+(IF(Atletas!D31="Infantil 39kg",1,IF(Atletas!D31="Infantil 42kg",2,IF(Atletas!D31="Infantil 45kg",3,IF(Atletas!D31="Infantil 48kg",4,IF(Atletas!D31="Infantil 52kg",5,IF(Atletas!D31="Infantil 56kg",6,IF(Atletas!D31="Infantil 60kg",7,IF(Atletas!D31="Juvenil 48kg",8,IF(Atletas!D31="Juvenil 52kg",9,IF(Atletas!D31="Juvenil 56kg",10,IF(Atletas!D31="Juvenil 60kg",11,IF(Atletas!D31="Juvenil 65kg",12,IF(Atletas!D31="Juvenil 70kg",13,IF(Atletas!D31="Juvenil 75kg",14,IF(Atletas!D31="Juvenil 80kg",15,IF(Atletas!D31="Adulto 48kg",16,IF(Atletas!D31="Adulto 52kg",17,IF(Atletas!D31="Adulto 56kg",18,IF(Atletas!D31="Adulto 60kg",19,IF(Atletas!D31="Adulto 65kg",20,IF(Atletas!D31="Adulto 70kg",21,IF(Atletas!D31="Adulto 75kg",22,IF(Atletas!D31="Adulto 80kg",23,IF(Atletas!D31="Adulto 85kg",24,IF(Atletas!D31="Adulto 90kg",25,IF(Atletas!D31="Adulto +90kg",26,""))))))))))))))))))))))))))))</f>
        <v/>
      </c>
      <c r="AO35" s="10" t="str">
        <f>IF(Atletas!E31="","",IF(Atletas!B31="Feminino",100,IF(Atletas!B31="Masculino",200,""))+(IF(Atletas!E31="Juvenil 44kg",1,IF(Atletas!E31="Juvenil 48kg",2,IF(Atletas!E31="Juvenil 52kg",3,IF(Atletas!E31="Juvenil 56kg",4,IF(Atletas!E31="Juvenil 60kg",5,IF(Atletas!E31="Juvenil 65kg",6,IF(Atletas!E31="Juvenil 70kg",7,IF(Atletas!E31="Juvenil 75kg",8,IF(Atletas!E31="Juvenil 82kg",9,IF(Atletas!E31="Juvenil 90kg",10,IF(Atletas!E31="Juvenil 100kg",11,IF(Atletas!E31="Adulto 48kg",12,IF(Atletas!E31="Adulto 52kg",13,IF(Atletas!E31="Adulto 56kg",14,IF(Atletas!E31="Adulto 60kg",15,IF(Atletas!E31="Adulto 65kg",16,IF(Atletas!E31="Adulto 70kg",17,IF(Atletas!E31="Adulto 75kg",18,IF(Atletas!E31="Adulto 82kg",19,IF(Atletas!E31="Adulto 90kg",20,IF(Atletas!E31="Adulto 100kg",21,IF(Atletas!E31="Adulto +100kg",22,""))))))))))))))))))))))))</f>
        <v/>
      </c>
      <c r="AT35" s="10" t="str">
        <f>IF(Atletas!F31="","",IF(Atletas!B31="Feminino",100,IF(Atletas!B31="Masculino",200,""))+(IF(Atletas!F31="Adulto 48kg",1,IF(Atletas!F31="Adulto 56kg",2,IF(Atletas!F31="Adulto 65kg",3,IF(Atletas!F31="Adulto 75kg",4,IF(Atletas!F31="Adulto +75kg",5,IF(Atletas!F31="Adulto 52kg",6,IF(Atletas!F31="Adulto 60kg",7,IF(Atletas!F31="Adulto 70kg",8,IF(Atletas!F31="Adulto 80kg",9,IF(Atletas!F31="Adulto 90kg",10,IF(Atletas!F31="Adulto +90kg",11,"")))))))))))))</f>
        <v/>
      </c>
      <c r="AY35" s="46" t="str">
        <f>IF(Atletas!G31="","",IF(Atletas!B31="Feminino",100,IF(Atletas!B31="Masculino",200,""))+(IF(Atletas!G31="Changquan Mirim",1,IF(Atletas!G31="Nanquan Mirim",2,IF(Atletas!G31="Taijiquan Mirim",3,IF(Atletas!G31="Changquan Grupo C",4,IF(Atletas!G31="Nanquan Grupo C",5,IF(Atletas!G31="Taijiquan Grupo C",6,IF(Atletas!G31="Changquan Grupo B",7,IF(Atletas!G31="Nanquan Grupo B",8,IF(Atletas!G31="Taijiquan Grupo B",9,IF(Atletas!G31="Changquan Grupo A",10,IF(Atletas!G31="Nanquan Grupo A",11,IF(Atletas!G31="Taijiquan Grupo A",12,IF(Atletas!G31="Changquan Opcional",13,IF(Atletas!G31="Nanquan Opcional",14,IF(Atletas!G31="Taijiquan Opcional",15,IF(Atletas!G31="Changquan Adulto",16,IF(Atletas!G31="Nanquan Adulto",17,IF(Atletas!G31="Taijiquan Adulto",18,""))))))))))))))))))))</f>
        <v/>
      </c>
      <c r="AZ35" s="46" t="str">
        <f>IF(Atletas!H31="","",IF(Atletas!B31="Feminino",100,IF(Atletas!B31="Masculino",200,""))+(IF(Atletas!H31="Daoshu Mirim",19,IF(Atletas!H31="Jianshu Mirim",20,IF(Atletas!H31="Nandao Mirim",21,IF(Atletas!H31="Taijijian Mirim",22,IF(Atletas!H31="Daoshu Grupo C",23,IF(Atletas!H31="Jianshu Grupo C",24,IF(Atletas!H31="Nandao Grupo C",25,IF(Atletas!H31="Taijijian Grupo C",26,IF(Atletas!H31="Daoshu Grupo B",27,IF(Atletas!H31="Jianshu Grupo B",28,IF(Atletas!H31="Nandao Grupo B",29,IF(Atletas!H31="Taijijian Grupo B",30,IF(Atletas!H31="Daoshu Grupo A",31,IF(Atletas!H31="Jianshu Grupo A",32,IF(Atletas!H31="Nandao Grupo A",33,IF(Atletas!H31="Taijijian Grupo A",34,IF(Atletas!H31="Daoshu Opcional",35,IF(Atletas!H31="Jianshu Opcional",36,IF(Atletas!H31="Nandao Opcional",37,IF(Atletas!H31="Taijijian Opcional",38,IF(Atletas!H31="Daoshu Adulto",39,IF(Atletas!H31="Jianshu Adulto",40,IF(Atletas!H31="Nandao Adulto",41,IF(Atletas!H31="Taijijian Adulto",42,""))))))))))))))))))))))))))</f>
        <v/>
      </c>
      <c r="BA35" s="46" t="str">
        <f>IF(Atletas!I31="","",IF(Atletas!B31="Feminino",100,IF(Atletas!B31="Masculino",200,""))+(IF(Atletas!I31="Gunshu Mirim",43,IF(Atletas!I31="Qiangshu Mirim",44,IF(Atletas!I31="Nangun Mirim",45,IF(Atletas!I31="Gunshu Grupo C",46,IF(Atletas!I31="Qiangshu Grupo C",47,IF(Atletas!I31="Nangun Grupo C",48,IF(Atletas!I31="Gunshu Grupo B",49,IF(Atletas!I31="Qiangshu Grupo B",50,IF(Atletas!I31="Nangun Grupo B",51,IF(Atletas!I31="Gunshu Grupo A",52,IF(Atletas!I31="Qiangshu Grupo A",53,IF(Atletas!I31="Nangun Grupo A",54,IF(Atletas!I31="Gunshu Opcional",55,IF(Atletas!I31="Qiangshu Opcional",56,IF(Atletas!I31="Nangun Opcional",57,IF(Atletas!I31="Gunshu Adulto",58,IF(Atletas!I31="Qiangshu Adulto",59,IF(Atletas!I31="Nangun Adulto",60,""))))))))))))))))))))</f>
        <v/>
      </c>
      <c r="BB35" s="10" t="str">
        <f>IF(BC35&lt;&gt;"","Qiangshu Grupo B","")</f>
        <v/>
      </c>
      <c r="BC35" s="52" t="str">
        <f>IF(COUNTIF(AY:BA,150)&gt;0,COUNTIF(AY:BA,150),"")</f>
        <v/>
      </c>
      <c r="BD35" s="10" t="str">
        <f>IF(BE35&lt;&gt;"","Qiangshu Grupo B","")</f>
        <v/>
      </c>
      <c r="BE35" s="52" t="str">
        <f>IF(COUNTIF(AY:BA,250)&gt;0,COUNTIF(AY:BA,250),"")</f>
        <v/>
      </c>
      <c r="BF35" s="52" t="str">
        <f>IF(Atletas!J31="","",IF(Atletas!B31="Feminino",100,IF(Atletas!B31="Masculino",200,""))+(IF(Atletas!J31="Equipe 1 Grupo B",1,IF(Atletas!J31="Equipe 2 Grupo B",2,IF(Atletas!J31="Equipe 1 Grupo A",3,IF(Atletas!J31="Equipe 2 Grupo A",4,IF(Atletas!J31="Equipe 1 Adulto",5,IF(Atletas!J31="Equipe 2 Adulto",6,""))))))))</f>
        <v/>
      </c>
      <c r="BK35" s="52" t="str">
        <f>IF(Atletas!K31="","",IF(Atletas!W31&lt;&gt;"",10000,0)+(IF(Atletas!B31="Feminino",1000,IF(Atletas!B31="Masculino",2000,""))+IF(Atletas!K31="Choylayfut A",1,IF(Atletas!K31="Hunggar A",2,IF(Atletas!K31="Wuzuquan A",3,IF(Atletas!K31="Wingchun A",4,IF(Atletas!K31="Outra Mão de Sul A",5,IF(Atletas!K31="Choylayfut B",6,IF(Atletas!K31="Hunggar B",7,IF(Atletas!K31="Wuzuquan B",8,IF(Atletas!K31="Wingchun B",9,IF(Atletas!K31="Outra Mão de Sul B",10,IF(Atletas!K31="Choylayfut C",11,IF(Atletas!K31="Hunggar C",12,IF(Atletas!K31="Wuzuquan C",13,IF(Atletas!K31="Wingchun C",14,IF(Atletas!K31="Outra Mão de Sul C",15,IF(Atletas!K31="Choylayfut D",16,IF(Atletas!K31="Hunggar D",17,IF(Atletas!K31="Wuzuquan D",18,IF(Atletas!K31="Wingchun D",19,IF(Atletas!K31="Outra Mão de Sul D",20,IF(Atletas!K31="Choylayfut E",21,IF(Atletas!K31="Hunggar E",22,IF(Atletas!K31="Wuzuquan E",23,IF(Atletas!K31="Wingchun E",24,IF(Atletas!K31="Outra Mão de Sul E",25,IF(Atletas!K31="Choylayfut F",26,IF(Atletas!K31="Hunggar F",27,IF(Atletas!K31="Wuzuquan F",28,IF(Atletas!K31="Wingchun F",29,IF(Atletas!K31="Outra Mão de Sul F",30,""))))))))))))))))))))))))))))))))</f>
        <v/>
      </c>
      <c r="BL35" s="52" t="str">
        <f>IF(Atletas!L31="","",IF(Atletas!W31&lt;&gt;"",10000,0)+(IF(Atletas!B31="Feminino",1000,IF(Atletas!B31="Masculino",2000,""))+(IF(Atletas!L31="Chaquan A",101,IF(Atletas!L31="Emeiquan A",102,IF(Atletas!L31="Fanziquan A",103,IF(Atletas!L31="Huaquan A",104,IF(Atletas!L31="Hongquan A",105,IF(Atletas!L31="Paochui A",106,IF(Atletas!L31="Piguaquan A",107,IF(Atletas!L31="Shaolinquan A",108,IF(Atletas!L31="Tanglangquan A",109,IF(Atletas!L31="Yinzhaophai A",110,IF(Atletas!L31="Tongbeiquan A",111,IF(Atletas!L31="Wudangquan A",112,IF(Atletas!L31="Outros Estilos A",113,IF(Atletas!L31="Chaquan B",114,IF(Atletas!L31="Emeiquan B",115,IF(Atletas!L31="Fanziquan B",116,IF(Atletas!L31="Huaquan B",117,IF(Atletas!L31="Hongquan B",118,IF(Atletas!L31="Paochui B",119,IF(Atletas!L31="Piguaquan B",120,IF(Atletas!L31="Shaolinquan B",121,IF(Atletas!L31="Tanglangquan B",122,IF(Atletas!L31="Yinzhaophai B",123,IF(Atletas!L31="Tongbeiquan B",124,IF(Atletas!L31="Wudangquan B",125,IF(Atletas!L31="Outros Estilos B",126,IF(Atletas!L31="Chaquan C",127,IF(Atletas!L31="Emeiquan C",128,IF(Atletas!L31="Fanziquan C",129,IF(Atletas!L31="Huaquan C",130,IF(Atletas!L31="Hongquan C",131,IF(Atletas!L31="Paochui C",132,IF(Atletas!L31="Piguaquan C",133,IF(Atletas!L31="Shaolinquan C",134,IF(Atletas!L31="Tanglangquan C",135,IF(Atletas!L31="Yinzhaophai C",136,IF(Atletas!L31="Tongbeiquan C",137,IF(Atletas!L31="Wudangquan C",138,IF(Atletas!L31="Outros Estilos C",139,0))))))))))))))))))))))))))))))))))))))))))</f>
        <v/>
      </c>
      <c r="BM35" s="52" t="str">
        <f>IF(Atletas!L31="","",IF(Atletas!W31&lt;&gt;"",10000,0)+(IF(Atletas!B31="Feminino",1000,IF(Atletas!B31="Masculino",2000,""))+(IF(Atletas!L31="Chaquan D",140,IF(Atletas!L31="Emeiquan D",141,IF(Atletas!L31="Fanziquan D",142,IF(Atletas!L31="Huaquan D",143,IF(Atletas!L31="Hongquan D",144,IF(Atletas!L31="Paochui D",145,IF(Atletas!L31="Piguaquan D",146,IF(Atletas!L31="Shaolinquan D",147,IF(Atletas!L31="Tanglangquan D",148,IF(Atletas!L31="Yinzhaophai D",149,IF(Atletas!L31="Tongbeiquan D",150,IF(Atletas!L31="Wudangquan D",151,IF(Atletas!L31="Outros Estilos D",152,IF(Atletas!L31="Chaquan E",153,IF(Atletas!L31="Emeiquan E",154,IF(Atletas!L31="Fanziquan E",155,IF(Atletas!L31="Huaquan E",156,IF(Atletas!L31="Hongquan E",157,IF(Atletas!L31="Paochui E",158,IF(Atletas!L31="Piguaquan E",159,IF(Atletas!L31="Shaolinquan E",160,IF(Atletas!L31="Tanglangquan E",161,IF(Atletas!L31="Yinzhaophai E",162,IF(Atletas!L31="Tongbeiquan E",163,IF(Atletas!L31="Wudangquan E",164,IF(Atletas!L31="Outros Estilos E",165,IF(Atletas!L31="Chaquan F",166,IF(Atletas!L31="Emeiquan F",167,IF(Atletas!L31="Fanziquan F",168,IF(Atletas!L31="Huaquan F",169,IF(Atletas!L31="Hongquan F",170,IF(Atletas!L31="Paochui F",171,IF(Atletas!L31="Piguaquan F",172,IF(Atletas!L31="Shaolinquan F",173,IF(Atletas!L31="Tanglangquan F",174,IF(Atletas!L31="Yinzhaophai F",175,IF(Atletas!L31="Tongbeiquan F",176,IF(Atletas!L31="Wudangquan F",177,IF(Atletas!L31="Outros Estilos F",178,0))))))))))))))))))))))))))))))))))))))))))</f>
        <v/>
      </c>
      <c r="BN35" s="52" t="str">
        <f>IF(Atletas!M31="","",IF(Atletas!W31&lt;&gt;"",10000,0)+(IF(Atletas!B31="Feminino",1000,IF(Atletas!B31="Masculino",2000,""))+(IF(Atletas!M31="Ditangquan A",201,IF(Atletas!M31="Houquan A",202,IF(Atletas!M31="Zuiquan A",203,IF(Atletas!M31="Ditangquan B",204,IF(Atletas!M31="Houquan B",205,IF(Atletas!M31="Zuiquan B",206,IF(Atletas!M31="Ditangquan C",207,IF(Atletas!M31="Houquan C",208,IF(Atletas!M31="Zuiquan C",209,IF(Atletas!M31="Ditangquan D",210,IF(Atletas!M31="Houquan D",211,IF(Atletas!M31="Zuiquan D",212,IF(Atletas!M31="Ditangquan E",213,IF(Atletas!M31="Houquan E",214,IF(Atletas!M31="Zuiquan E",215,IF(Atletas!M31="Ditangquan F",216,IF(Atletas!M31="Houquan F",217,IF(Atletas!M31="Zuiquan F",218,"")))))))))))))))))))))</f>
        <v/>
      </c>
      <c r="BO35" s="52" t="str">
        <f>IF(Atletas!N31="","",IF(Atletas!W31&lt;&gt;"",10000,0)+IF(Atletas!B31="Feminino",1000,IF(Atletas!B31="Masculino",2000,""))+IF(Atletas!N31="Yang A",301,IF(Atletas!N31="Chen A",30,IF(Atletas!N31="Sun A",303,IF(Atletas!N31="Wu A",304,IF(Atletas!N31="Wu-Hao A",305,IF(Atletas!N31="Outro Taijiquan A",306,IF(Atletas!N31="Yang B",307,IF(Atletas!N31="Chen B",308,IF(Atletas!N31="Sun B",309,IF(Atletas!N31="Wu B",310,IF(Atletas!N31="Wu-Hao B",311,IF(Atletas!N31="Outro Taijiquan B",312,IF(Atletas!N31="Yang C",313,IF(Atletas!N31="Chen C",314,IF(Atletas!N31="Sun C",315,IF(Atletas!N31="Wu C",316,IF(Atletas!N31="Wu-Hao C",317,IF(Atletas!N31="Outro Taijiquan C",318,IF(Atletas!N31="Yang D",319,IF(Atletas!N31="Chen D",320,IF(Atletas!N31="Sun D",321,IF(Atletas!N31="Wu D",322,IF(Atletas!N31="Wu-Hao D",323,IF(Atletas!N31="Outro Taijiquan D",324,IF(Atletas!N31="Yang E",325,IF(Atletas!N31="Chen E",326,IF(Atletas!N31="Sun E",327,IF(Atletas!N31="Wu E",328,IF(Atletas!N31="Wu-Hao E",329,IF(Atletas!N31="Outro Taijiquan E",330,IF(Atletas!N31="Yang F",331,IF(Atletas!N31="Chen F",332,IF(Atletas!N31="Sun F",333,IF(Atletas!N31="Wu F",334,IF(Atletas!N31="Wu-Hao F",335,IF(Atletas!N31="Outro Taijiquan F",336,"")))))))))))))))))))))))))))))))))))))</f>
        <v/>
      </c>
      <c r="BP35" s="52" t="str">
        <f>IF(Atletas!O31="","",IF(Atletas!W31&lt;&gt;"",10000,0)+IF(Atletas!B31="Feminino",1000,IF(Atletas!B31="Masculino",2000,""))+IF(OR(Atletas!O31="Yang 26 A",Atletas!O31="Yang 40 A"),401,IF(OR(Atletas!O31="Chen 25 A",Atletas!O31="Chen 36 A",Atletas!O31="Chen 56 A"),402,IF(Atletas!O31="Sun 73 A",403,IF(Atletas!O31="Wu 45 A",404,IF(Atletas!O31="Wu-Hao 46 A",405,IF(OR(Atletas!O31="Taijiquan 16 A",Atletas!O31="Taijiquan 24 A",Atletas!O31="Taijiquan 32 A",Atletas!O31="Taijiquan 42 A"),406,IF(OR(Atletas!O31="Yang 26 B",Atletas!O31="Yang 40 B"),407,IF(OR(Atletas!O31="Chen 25 B",Atletas!O31="Chen 36 B",Atletas!O31="Chen 56 B"),408,IF(Atletas!O31="Sun 73 B",409,IF(Atletas!O31="Wu 45 B",410,IF(Atletas!O31="Wu-Hao 46 B",411,IF(OR(Atletas!O31="Taijiquan 16 B",Atletas!O31="Taijiquan 24 B",Atletas!O31="Taijiquan 32 B",Atletas!O31="Taijiquan 42 B"),412,IF(OR(Atletas!O31="Yang 26 C",Atletas!O31="Yang 40 C"),413,IF(OR(Atletas!O31="Chen 25 C",Atletas!O31="Chen 36 C",Atletas!O31="Chen 56 C"),414,IF(Atletas!O31="Sun 73 C",415,IF(Atletas!O31="Wu 45 C",416,IF(Atletas!O31="Wu-Hao 46 C",417,IF(OR(Atletas!O31="Taijiquan 16 C",Atletas!O31="Taijiquan 24 C",Atletas!O31="Taijiquan 32 C",Atletas!O31="Taijiquan 42 C"),418,0)))))))))))))))))))</f>
        <v/>
      </c>
      <c r="BQ35" s="52" t="str">
        <f>IF(Atletas!O31="","",IF(Atletas!W31&lt;&gt;"",10000,0)+IF(Atletas!B31="Feminino",1000,IF(Atletas!B31="Masculino",2000,""))+IF(OR(Atletas!O31="Yang 26 D",Atletas!O31="Yang 40 D"),419,IF(OR(Atletas!O31="Chen 25 D",Atletas!O31="Chen 36 D",Atletas!O31="Chen 56 D"),420,IF(Atletas!O31="Sun 73 D",421,IF(Atletas!O31="Wu 45 D",422,IF(Atletas!O31="Wu-Hao 46 D",423,IF(OR(Atletas!O31="Taijiquan 16 D",Atletas!O31="Taijiquan 24 D",Atletas!O31="Taijiquan 32 D",Atletas!O31="Taijiquan 42 D"),424,IF(OR(Atletas!O31="Yang 26 E",Atletas!O31="Yang 40 E"),425,IF(OR(Atletas!O31="Chen 25 E",Atletas!O31="Chen 36 E",Atletas!O31="Chen 56 E"),426,IF(Atletas!O31="Sun 73 E",427,IF(Atletas!O31="Wu 45 E",428,IF(Atletas!O31="Wu-Hao 46 E",429,IF(OR(Atletas!O31="Taijiquan 16 E",Atletas!O31="Taijiquan 24 E",Atletas!O31="Taijiquan 32 E",Atletas!O31="Taijiquan 42 E"),430,IF(OR(Atletas!O31="Yang 26 F",Atletas!O31="Yang 40 F"),431,IF(OR(Atletas!O31="Chen 25 F",Atletas!O31="Chen 36 F",Atletas!O31="Chen 56 F"),432,IF(Atletas!O31="Sun 73 F",433,IF(Atletas!O31="Wu 45 F",434,IF(Atletas!O31="Wu-Hao 46 F",435,IF(OR(Atletas!O31="Taijiquan 16 F",Atletas!O31="Taijiquan 24 F",Atletas!O31="Taijiquan 32 F",Atletas!O31="Taijiquan 42 F"),436,0)))))))))))))))))))</f>
        <v/>
      </c>
      <c r="BR35" s="52" t="str">
        <f>IF(Atletas!P31="","",IF(Atletas!W31&lt;&gt;"",10000,0)+IF(Atletas!B31="Feminino",1000,IF(Atletas!B31="Masculino",2000,""))+IF(Atletas!P31="Xingyiquan A",501,IF(Atletas!P31="Baguazhang A",502,IF(Atletas!P31="Outro Estilo Interno A",503,IF(Atletas!P31="Xingyiquan B",504,IF(Atletas!P31="Baguazhang B",505,IF(Atletas!P31="Outro Estilo Interno B",506,IF(Atletas!P31="Xingyiquan C",507,IF(Atletas!P31="Baguazhang C",508,IF(Atletas!P31="Outro Estilo Interno C",509,IF(Atletas!P31="Xingyiquan D",510,IF(Atletas!P31="Baguazhang D",511,IF(Atletas!P31="Outro Estilo Interno D",512,IF(Atletas!P31="Xingyiquan E",513,IF(Atletas!P31="Baguazhang E",514,IF(Atletas!P31="Outro Estilo Interno E",515,IF(Atletas!P31="Xingyiquan F",516,IF(Atletas!P31="Baguazhang F",517,IF(Atletas!P31="Outro Estilo Interno F",518, "")))))))))))))))))))</f>
        <v/>
      </c>
      <c r="BS35" s="52" t="str">
        <f>IF(Atletas!Q31="","",IF(Atletas!W31&lt;&gt;"",10000,0)+IF(Atletas!B31="Feminino",1000,IF(Atletas!B31="Masculino",2000,""))+IF(Atletas!Q31="Dao A",601,IF(Atletas!Q31="Jian A",602,IF(Atletas!Q31="Bishou A",603,IF(Atletas!Q31="Shan A",604,IF(Atletas!Q31="Outra Arma Curta A",605,IF(Atletas!Q31="Dao B",606,IF(Atletas!Q31="Jian B",607,IF(Atletas!Q31="Bishou B",608,IF(Atletas!Q31="Shan B",609,IF(Atletas!Q31="Outra Arma Curta B",610,IF(Atletas!Q31="Dao C",611,IF(Atletas!Q31="Jian C",612,IF(Atletas!Q31="Bishou C",613,IF(Atletas!Q31="Shan C",614,IF(Atletas!Q31="Outra Arma Curta C",615,IF(Atletas!Q31="Dao D",616,IF(Atletas!Q31="Jian D",617,IF(Atletas!Q31="Bishou D",618,IF(Atletas!Q31="Shan D",619,IF(Atletas!Q31="Outra Arma Curta D",620,IF(Atletas!Q31="Dao E",621,IF(Atletas!Q31="Jian E",622,IF(Atletas!Q31="Bishou E",623,IF(Atletas!Q31="Shan E",624,IF(Atletas!Q31="Outra Arma Curta E",625,IF(Atletas!Q31="Dao F",626,IF(Atletas!Q31="Jian F",627,IF(Atletas!Q31="Bishou F",628,IF(Atletas!Q31="Shan F",629,IF(Atletas!Q31="Outra Arma Curta F",630, "")))))))))))))))))))))))))))))))</f>
        <v/>
      </c>
      <c r="BT35" s="52" t="str">
        <f>IF(Atletas!R31="","",IF(Atletas!W31&lt;&gt;"",10000,0)+IF(Atletas!B31="Feminino",1000,IF(Atletas!B31="Masculino",2000,""))+IF(Atletas!R31="Gun A",701,IF(Atletas!R31="Qiang A",702,IF(Atletas!R31="Pudao / Guandao A",703,IF(Atletas!R31="Outra Arma Longa A",704,IF(Atletas!R31="Gun B",705,IF(Atletas!R31="Qiang B",706,IF(Atletas!R31="Pudao / Guandao B",707,IF(Atletas!R31="Outra Arma Longa B",708,IF(Atletas!R31="Gun C",709,IF(Atletas!R31="Qiang C",710,IF(Atletas!R31="Pudao / Guandao C",711,IF(Atletas!R31="Outra Arma Longa C",712,IF(Atletas!R31="Gun D",713,IF(Atletas!R31="Qiang D",714,IF(Atletas!R31="Pudao / Guandao D",715,IF(Atletas!R31="Outra Arma Longa D",716,IF(Atletas!R31="Gun E",717,IF(Atletas!R31="Qiang E",718,IF(Atletas!R31="Pudao / Guandao E",719,IF(Atletas!R31="Outra Arma Longa E",720,IF(Atletas!R31="Gun F",721,IF(Atletas!R31="Qiang F",722,IF(Atletas!R31="Pudao / Guandao F",723,IF(Atletas!R31="Outra Arma Longa F",724,"")))))))))))))))))))))))))</f>
        <v/>
      </c>
      <c r="BU35" s="52" t="str">
        <f>IF(Atletas!S31="","",IF(Atletas!W31&lt;&gt;"",10000,0)+IF(Atletas!B31="Feminino",1000,IF(Atletas!B31="Masculino",2000,""))+IF(Atletas!S31="Arma Dupla A",801,IF(Atletas!S31="Arma Maleável A",802,IF(Atletas!S31="Arma Dupla B",803,IF(Atletas!S31="Arma Maleável B",804,IF(Atletas!S31="Arma Dupla C",805,IF(Atletas!S31="Arma Maleável C",806,IF(Atletas!S31="Arma Dupla D",807,IF(Atletas!S31="Arma Maleável D",808,IF(Atletas!S31="Arma Dupla E",809,IF(Atletas!S31="Arma Maleável E",810,IF(Atletas!S31="Arma Dupla F",811,IF(Atletas!S31="Arma Maleável F",812, "")))))))))))))</f>
        <v/>
      </c>
      <c r="BV35" s="52" t="str">
        <f>IF(Atletas!T31="","",IF(Atletas!W31&lt;&gt;"",10000,0)+IF(Atletas!B31="Feminino",1000,IF(Atletas!B31="Masculino",2000,""))+IF(Atletas!T31="Taijijian Yang A",901,IF(Atletas!T31="Taijijian Chen A",902,IF(Atletas!T31="Taijijian Sun A",903,IF(Atletas!T31="Taijijian Wu A",904,IF(Atletas!T31="Taijijian Wu-Hao A",905,IF(Atletas!T31="Taijijian 32 A",906,IF(Atletas!T31="Taijijian 42 A",907,IF(Atletas!T31="Taijijian Yang B",908,IF(Atletas!T31="Taijijian Chen B",909,IF(Atletas!T31="Taijijian Sun B",910,IF(Atletas!T31="Taijijian Wu B",911,IF(Atletas!T31="Taijijian Wu-Hao B",912,IF(Atletas!T31="Taijijian 32 B",913,IF(Atletas!T31="Taijijian 42 B",914,IF(Atletas!T31="Taijijian Yang C",915,IF(Atletas!T31="Taijijian Chen C",916,IF(Atletas!T31="Taijijian Sun C",917,IF(Atletas!T31="Taijijian Wu C",918,IF(Atletas!T31="Taijijian Wu-Hao C",919,IF(Atletas!T31="Taijijian 32 C",920,IF(Atletas!T31="Taijijian 42 C",921,IF(Atletas!T31="Taijijian Yang D",922,IF(Atletas!T31="Taijijian Chen D",923,IF(Atletas!T31="Taijijian Sun D",924,IF(Atletas!T31="Taijijian Wu D",925,IF(Atletas!T31="Taijijian Wu-Hao D",926,IF(Atletas!T31="Taijijian 32 D",927,IF(Atletas!T31="Taijijian 42 D",928,IF(Atletas!T31="Taijijian Yang E",929,IF(Atletas!T31="Taijijian Chen E",930,IF(Atletas!T31="Taijijian Sun E",931,IF(Atletas!T31="Taijijian Wu E",932,IF(Atletas!T31="Taijijian Wu-Hao E",933,IF(Atletas!T31="Taijijian 32 E",934,IF(Atletas!T31="Taijijian 42 E",935,IF(Atletas!T31="Taijijian Yang F",936,IF(Atletas!T31="Taijijian Chen F",937,IF(Atletas!T31="Taijijian Sun F",938,IF(Atletas!T31="Taijijian Wu F",939,IF(Atletas!T31="Taijijian Wu-Hao F",940,IF(Atletas!T31="Taijijian 32 F",941,IF(Atletas!T31="Taijijian 42 F",942,"")))))))))))))))))))))))))))))))))))))))))))</f>
        <v/>
      </c>
      <c r="BW35" s="52" t="str">
        <f>IF(Atletas!U31="","",IF(Atletas!W31&lt;&gt;"",10000,0)+IF(Atletas!B31="Feminino",1000,IF(Atletas!B31="Masculino",2000,""))+IF(Atletas!T31="Taijijian 42 F",942,IF(Atletas!U31="Taijidao A",943,IF(Atletas!U31="Taijishan A",944,IF(Atletas!U31="Taijiqiang A",945,IF(Atletas!U31="Taijidao B",946,IF(Atletas!U31="Taijishan B",947,IF(Atletas!U31="Taijiqiang B",948,IF(Atletas!U31="Taijidao C",949,IF(Atletas!U31="Taijishan C",950,IF(Atletas!U31="Taijiqiang C",951,IF(Atletas!U31="Taijidao D",952,IF(Atletas!U31="Taijishan D",953,IF(Atletas!U31="Taijiqiang D",954,IF(Atletas!U31="Taijidao E",955,IF(Atletas!U31="Taijishan E",956,IF(Atletas!U31="Taijiqiang E",957,IF(Atletas!U31="Taijidao F",958,IF(Atletas!U31="Taijishan F",959,IF(Atletas!U31="Taijiqiang F",960))))))))))))))))))))</f>
        <v/>
      </c>
      <c r="BX35" s="64" t="str">
        <f>IF(BY35&lt;&gt;"","Wingchun F","")</f>
        <v/>
      </c>
      <c r="BY35" s="64" t="str">
        <f>IF(COUNTIF(BK:BW,1029)&gt;0,COUNTIF(BK:BW,1029),"")</f>
        <v/>
      </c>
      <c r="BZ35" s="64" t="str">
        <f>IF(CA35&lt;&gt;"","Wingchun F","")</f>
        <v/>
      </c>
      <c r="CA35" s="64" t="str">
        <f>IF(COUNTIF(BK:BW,2029)&gt;0,COUNTIF(BK:BW,2029),"")</f>
        <v/>
      </c>
      <c r="CB35" s="64" t="str">
        <f>IF(CC35&lt;&gt;"","Wingchun F","")</f>
        <v/>
      </c>
      <c r="CC35" s="64" t="str">
        <f>IF(COUNTIF(BK:BW,11029)&gt;0,COUNTIF(BK:BW,11029),"")</f>
        <v/>
      </c>
      <c r="CD35" s="64" t="str">
        <f>IF(CE35&lt;&gt;"","Wingchun F","")</f>
        <v/>
      </c>
      <c r="CE35" s="64" t="str">
        <f>IF(COUNTIF(BK:BW,12029)&gt;0,COUNTIF(BK:BW,12029),"")</f>
        <v/>
      </c>
      <c r="CF35" s="52" t="str">
        <f xml:space="preserve"> IF(Atletas!V31="","",IF(Atletas!V31="Duilian de Mãos AB - Equipe 1",1,IF(Atletas!V31="Duilian de Mãos AB - Equipe 2",2,IF(Atletas!V31="Duilian de Armas AB - Equipe 1",3,IF(Atletas!V31="Duilian de Armas AB - Equipe 2",4,IF(Atletas!V31="Duilian de Tuishou - Equipe 1",5,IF(Atletas!V31="Duilian de Tuishou - Equipe 2",6,IF(Atletas!V31="Grupo Externo AB - Equipe 1",7,IF(Atletas!V31="Grupo Externo AB - Equipe 2",8,IF(Atletas!V31="Grupo Interno AB - Equipe 1",9,IF(Atletas!V31="Grupo Interno AB - Equipe 2",10,IF(Atletas!V31="Duilian de Mãos CD - Equipe 1",11,IF(Atletas!V31="Duilian de Mãos CD - Equipe 2",12,IF(Atletas!V31="Duilian de Armas CD - Equipe 1",13,IF(Atletas!V31="Duilian de Armas CD - Equipe 2",14,IF(Atletas!V31="Duilian de Tuishou - Equipe 1",15,IF(Atletas!V31="Duilian de Tuishou - Equipe 2",16,IF(Atletas!V31="Grupo Externo CDEF - Equipe 1",17,IF(Atletas!V31="Grupo Externo CDEF - Equipe 2",18,IF(Atletas!V31="Grupo Interno CDEF - Equipe 1",19,IF(Atletas!V31="Grupo Interno CDEF - Equipe 2",20,IF(Atletas!V31="Duilian de Mãos EF - Equipe 1",21,IF(Atletas!V31="Duilian de Mãos EF - Equipe 2",22,IF(Atletas!V31="Duilian de Armas EF - Equipe 1",23,IF(Atletas!V31="Duilian de Armas EF - Equipe 2",24,IF(Atletas!V31="Duilian de Tuishou - Equipe 1",25,IF(Atletas!V31="Duilian de Tuishou - Equipe 2",26,"")))))))))))))))))))))))))))</f>
        <v/>
      </c>
      <c r="CR35" s="71"/>
    </row>
    <row r="36" spans="2:96">
      <c r="B36" s="4" t="str">
        <f t="array" ref="B36">IFERROR(INDEX(AK$7:AK$36,SMALL(IF(AK$7:AK$36&lt;&gt;"",ROW(AK$7:AK$36)-ROW(AK$7)+1),ROWS(AK$7:AK35))),"")</f>
        <v/>
      </c>
      <c r="C36" s="4" t="str">
        <f t="array" ref="C36">IFERROR(INDEX(AL$7:AL$36,SMALL(IF(AL$7:AL$36&lt;&gt;"",ROW(AL$7:AL$36)-ROW(AL$7)+1),ROWS(AL$7:AL35))),"")</f>
        <v/>
      </c>
      <c r="D36" s="4" t="str">
        <f t="array" ref="D36">IFERROR(INDEX(AM$7:AM$36,SMALL(IF(AM$7:AM$36&lt;&gt;"",ROW(AM$7:AM$36)-ROW(AM$7)+1),ROWS(AM$7:AM35))),"")</f>
        <v/>
      </c>
      <c r="E36" s="4" t="str">
        <f t="array" ref="E36">IFERROR(INDEX(AN$7:AN$36,SMALL(IF(AN$7:AN$36&lt;&gt;"",ROW(AN$7:AN$36)-ROW(AN$7)+1),ROWS(AN$7:AN35))),"")</f>
        <v/>
      </c>
      <c r="F36" s="4" t="str">
        <f t="array" ref="F36">IFERROR(INDEX(AP$7:AP$36,SMALL(IF(AP$7:AP$36&lt;&gt;"",ROW(AP$7:AP$36)-ROW(AP$7)+1),ROWS(AP$7:AP35))),"")</f>
        <v/>
      </c>
      <c r="G36" s="4" t="str">
        <f t="array" ref="G36">IFERROR(INDEX(AQ$7:AQ$36,SMALL(IF(AQ$7:AQ$36&lt;&gt;"",ROW(AQ$7:AQ$36)-ROW(AQ$7)+1),ROWS(AQ$7:AQ35))),"")</f>
        <v/>
      </c>
      <c r="H36" s="4" t="str">
        <f t="array" ref="H36">IFERROR(INDEX(AR$7:AR$36,SMALL(IF(AR$7:AR$36&lt;&gt;"",ROW(AR$7:AR$36)-ROW(AR$7)+1),ROWS(AR$7:AR35))),"")</f>
        <v/>
      </c>
      <c r="I36" s="4" t="str">
        <f t="array" ref="I36">IFERROR(INDEX(AS$7:AS$36,SMALL(IF(AS$7:AS$36&lt;&gt;"",ROW(AS$7:AS$36)-ROW(AS$7)+1),ROWS(AS$7:AS35))),"")</f>
        <v/>
      </c>
      <c r="J36" s="4" t="str">
        <f t="array" ref="J36">IFERROR(INDEX(AS$7:AS$36,SMALL(IF(AS$7:AS$36&lt;&gt;"",ROW(AS$7:AS$36)-ROW(AS$7)+1),ROWS(AS$7:AS35))),"")</f>
        <v/>
      </c>
      <c r="K36" s="4" t="str">
        <f t="array" ref="K36">IFERROR(INDEX(AV$7:AV$36,SMALL(IF(AV$7:AV$36&lt;&gt;"",ROW(AV$7:AV$36)-ROW(AV$7)+1),ROWS(AV$7:AV35))),"")</f>
        <v/>
      </c>
      <c r="L36" s="4" t="str">
        <f t="array" ref="L36">IFERROR(INDEX(AW$7:AW$36,SMALL(IF(AW$7:AW$36&lt;&gt;"",ROW(AW$7:AW$36)-ROW(AW$7)+1),ROWS(AW$7:AW35))),"")</f>
        <v/>
      </c>
      <c r="M36" s="4" t="str">
        <f t="array" ref="M36">IFERROR(INDEX(AX$7:AX$36,SMALL(IF(AX$7:AX$36&lt;&gt;"",ROW(AX$7:AX$36)-ROW(AX$7)+1),ROWS(AX$7:AX35))),"")</f>
        <v/>
      </c>
      <c r="N36" s="4" t="str">
        <f t="array" ref="N36">IFERROR(INDEX(BB$7:BB$66,SMALL(IF(BB$7:BB$66&lt;&gt;"",ROW(BB$7:BB$66)-ROW(BB$7)+1),ROWS(BB$7:BB35))),"")</f>
        <v/>
      </c>
      <c r="O36" s="4" t="str">
        <f t="array" ref="O36">IFERROR(INDEX(BC$7:BC$66,SMALL(IF(BC$7:BC$66&lt;&gt;"",ROW(BC$7:BC$66)-ROW(BC$7)+1),ROWS(BC$7:BC35))),"")</f>
        <v/>
      </c>
      <c r="P36" s="4" t="str">
        <f t="array" ref="P36">IFERROR(INDEX(BD$7:BD$66,SMALL(IF(BD$7:BD$66&lt;&gt;"",ROW(BD$7:BD$66)-ROW(BD$7)+1),ROWS(BD$7:BD35))),"")</f>
        <v/>
      </c>
      <c r="Q36" s="4" t="str">
        <f t="array" ref="Q36">IFERROR(INDEX(BE$7:BE$66,SMALL(IF(BE$7:BE$66&lt;&gt;"",ROW(BE$7:BE$66)-ROW(BE$7)+1),ROWS(BE$7:BE35))),"")</f>
        <v/>
      </c>
      <c r="R36" s="4"/>
      <c r="S36" s="4"/>
      <c r="T36" s="4"/>
      <c r="U36" s="4"/>
      <c r="V36" s="4" t="str">
        <f t="array" ref="V36">IFERROR(INDEX(BX$7:BX$336,SMALL(IF(BX$7:BX$336&lt;&gt;"",ROW(BX$7:BX$336)-ROW(BX$7)+1),ROWS(BX$7:BX35))),"")</f>
        <v/>
      </c>
      <c r="W36" s="4" t="str">
        <f t="array" ref="W36">IFERROR(INDEX(BY$7:BY$336,SMALL(IF(BY$7:BY$336&lt;&gt;"",ROW(BY$7:BY$336)-ROW(BY$7)+1),ROWS(BY$7:BY35))),"")</f>
        <v/>
      </c>
      <c r="X36" s="4" t="str">
        <f t="array" ref="X36">IFERROR(INDEX(BZ$7:BZ$336,SMALL(IF(BZ$7:BZ$336&lt;&gt;"",ROW(BZ$7:BZ$336)-ROW(BZ$7)+1),ROWS(BZ$7:BZ35))),"")</f>
        <v/>
      </c>
      <c r="Y36" s="4" t="str">
        <f t="array" ref="Y36">IFERROR(INDEX(CA$7:CA$336,SMALL(IF(CA$7:CA$336&lt;&gt;"",ROW(CA$7:CA$336)-ROW(CA$7)+1),ROWS(CA$7:CA35))),"")</f>
        <v/>
      </c>
      <c r="Z36" s="4" t="str">
        <f t="array" ref="Z36">IFERROR(INDEX(CB$7:CB$378,SMALL(IF(CB$7:CB$378&lt;&gt;"",ROW(CB$7:CB$378)-ROW(CB$7)+1),ROWS(CB$7:CB35))),"")</f>
        <v/>
      </c>
      <c r="AA36" s="4" t="str">
        <f t="array" ref="AA36">IFERROR(INDEX(CC$7:CC$378,SMALL(IF(CC$7:CC$378&lt;&gt;"",ROW(CC$7:CC$378)-ROW(CC$7)+1),ROWS(CC$7:CC35))),"")</f>
        <v/>
      </c>
      <c r="AB36" s="4" t="str">
        <f t="array" ref="AB36">IFERROR(INDEX(CD$7:CD$378,SMALL(IF(CD$7:CD$378&lt;&gt;"",ROW(CD$7:CD$378)-ROW(CD$7)+1),ROWS(CD$7:CD35))),"")</f>
        <v/>
      </c>
      <c r="AC36" s="4" t="str">
        <f t="array" ref="AC36">IFERROR(INDEX(CE$7:CE$378,SMALL(IF(CE$7:CE$378&lt;&gt;"",ROW(CE$7:CE$378)-ROW(CE$7)+1),ROWS(CE$7:CE35))),"")</f>
        <v/>
      </c>
      <c r="AD36" s="69" t="str">
        <f t="array" ref="AD36">IFERROR(INDEX(CG$7:CG$18,SMALL(IF(CG$7:CG$18&lt;&gt;"",ROW(CG$7:CG$18)-ROW(CG$7)+1),ROWS(CG$7:CG35))),"")</f>
        <v/>
      </c>
      <c r="AE36" s="69" t="str">
        <f t="array" ref="AE36">IFERROR(INDEX(CH$7:CH$18,SMALL(IF(CH$7:CH$18&lt;&gt;"",ROW(CH$7:CH$18)-ROW(CH$7)+1),ROWS(CH$7:CH35))),"")</f>
        <v/>
      </c>
      <c r="AF36" s="69" t="str">
        <f t="array" ref="AF36">IFERROR(INDEX(CI$7:CI$8,SMALL(IF(CI$7:CI$8&lt;&gt;"",ROW(CI$7:CI$8)-ROW(CI$7)+1),ROWS(CI$7:CI35))),"")</f>
        <v/>
      </c>
      <c r="AG36" s="69"/>
      <c r="AH36" s="69" t="str">
        <f t="array" ref="AH36">IFERROR(INDEX(CK$7:CK$14,SMALL(IF(CK$7:CK$14&lt;&gt;"",ROW(CK$7:CK$14)-ROW(CK$7)+1),ROWS(CK$7:CK35))),"")</f>
        <v/>
      </c>
      <c r="AI36" s="69"/>
      <c r="AJ36" s="46" t="str">
        <f>IF(Atletas!D32="","",IF(Atletas!B32="Feminino",100,IF(Atletas!B32="Masculino",200,""))+(IF(Atletas!D32="Infantil 39kg",1,IF(Atletas!D32="Infantil 42kg",2,IF(Atletas!D32="Infantil 45kg",3,IF(Atletas!D32="Infantil 48kg",4,IF(Atletas!D32="Infantil 52kg",5,IF(Atletas!D32="Infantil 56kg",6,IF(Atletas!D32="Infantil 60kg",7,IF(Atletas!D32="Juvenil 48kg",8,IF(Atletas!D32="Juvenil 52kg",9,IF(Atletas!D32="Juvenil 56kg",10,IF(Atletas!D32="Juvenil 60kg",11,IF(Atletas!D32="Juvenil 65kg",12,IF(Atletas!D32="Juvenil 70kg",13,IF(Atletas!D32="Juvenil 75kg",14,IF(Atletas!D32="Juvenil 80kg",15,IF(Atletas!D32="Adulto 48kg",16,IF(Atletas!D32="Adulto 52kg",17,IF(Atletas!D32="Adulto 56kg",18,IF(Atletas!D32="Adulto 60kg",19,IF(Atletas!D32="Adulto 65kg",20,IF(Atletas!D32="Adulto 70kg",21,IF(Atletas!D32="Adulto 75kg",22,IF(Atletas!D32="Adulto 80kg",23,IF(Atletas!D32="Adulto 85kg",24,IF(Atletas!D32="Adulto 90kg",25,IF(Atletas!D32="Adulto +90kg",26,""))))))))))))))))))))))))))))</f>
        <v/>
      </c>
      <c r="AO36" s="10" t="str">
        <f>IF(Atletas!E32="","",IF(Atletas!B32="Feminino",100,IF(Atletas!B32="Masculino",200,""))+(IF(Atletas!E32="Juvenil 44kg",1,IF(Atletas!E32="Juvenil 48kg",2,IF(Atletas!E32="Juvenil 52kg",3,IF(Atletas!E32="Juvenil 56kg",4,IF(Atletas!E32="Juvenil 60kg",5,IF(Atletas!E32="Juvenil 65kg",6,IF(Atletas!E32="Juvenil 70kg",7,IF(Atletas!E32="Juvenil 75kg",8,IF(Atletas!E32="Juvenil 82kg",9,IF(Atletas!E32="Juvenil 90kg",10,IF(Atletas!E32="Juvenil 100kg",11,IF(Atletas!E32="Adulto 48kg",12,IF(Atletas!E32="Adulto 52kg",13,IF(Atletas!E32="Adulto 56kg",14,IF(Atletas!E32="Adulto 60kg",15,IF(Atletas!E32="Adulto 65kg",16,IF(Atletas!E32="Adulto 70kg",17,IF(Atletas!E32="Adulto 75kg",18,IF(Atletas!E32="Adulto 82kg",19,IF(Atletas!E32="Adulto 90kg",20,IF(Atletas!E32="Adulto 100kg",21,IF(Atletas!E32="Adulto +100kg",22,""))))))))))))))))))))))))</f>
        <v/>
      </c>
      <c r="AT36" s="10" t="str">
        <f>IF(Atletas!F32="","",IF(Atletas!B32="Feminino",100,IF(Atletas!B32="Masculino",200,""))+(IF(Atletas!F32="Adulto 48kg",1,IF(Atletas!F32="Adulto 56kg",2,IF(Atletas!F32="Adulto 65kg",3,IF(Atletas!F32="Adulto 75kg",4,IF(Atletas!F32="Adulto +75kg",5,IF(Atletas!F32="Adulto 52kg",6,IF(Atletas!F32="Adulto 60kg",7,IF(Atletas!F32="Adulto 70kg",8,IF(Atletas!F32="Adulto 80kg",9,IF(Atletas!F32="Adulto 90kg",10,IF(Atletas!F32="Adulto +90kg",11,"")))))))))))))</f>
        <v/>
      </c>
      <c r="AY36" s="46" t="str">
        <f>IF(Atletas!G32="","",IF(Atletas!B32="Feminino",100,IF(Atletas!B32="Masculino",200,""))+(IF(Atletas!G32="Changquan Mirim",1,IF(Atletas!G32="Nanquan Mirim",2,IF(Atletas!G32="Taijiquan Mirim",3,IF(Atletas!G32="Changquan Grupo C",4,IF(Atletas!G32="Nanquan Grupo C",5,IF(Atletas!G32="Taijiquan Grupo C",6,IF(Atletas!G32="Changquan Grupo B",7,IF(Atletas!G32="Nanquan Grupo B",8,IF(Atletas!G32="Taijiquan Grupo B",9,IF(Atletas!G32="Changquan Grupo A",10,IF(Atletas!G32="Nanquan Grupo A",11,IF(Atletas!G32="Taijiquan Grupo A",12,IF(Atletas!G32="Changquan Opcional",13,IF(Atletas!G32="Nanquan Opcional",14,IF(Atletas!G32="Taijiquan Opcional",15,IF(Atletas!G32="Changquan Adulto",16,IF(Atletas!G32="Nanquan Adulto",17,IF(Atletas!G32="Taijiquan Adulto",18,""))))))))))))))))))))</f>
        <v/>
      </c>
      <c r="AZ36" s="46" t="str">
        <f>IF(Atletas!H32="","",IF(Atletas!B32="Feminino",100,IF(Atletas!B32="Masculino",200,""))+(IF(Atletas!H32="Daoshu Mirim",19,IF(Atletas!H32="Jianshu Mirim",20,IF(Atletas!H32="Nandao Mirim",21,IF(Atletas!H32="Taijijian Mirim",22,IF(Atletas!H32="Daoshu Grupo C",23,IF(Atletas!H32="Jianshu Grupo C",24,IF(Atletas!H32="Nandao Grupo C",25,IF(Atletas!H32="Taijijian Grupo C",26,IF(Atletas!H32="Daoshu Grupo B",27,IF(Atletas!H32="Jianshu Grupo B",28,IF(Atletas!H32="Nandao Grupo B",29,IF(Atletas!H32="Taijijian Grupo B",30,IF(Atletas!H32="Daoshu Grupo A",31,IF(Atletas!H32="Jianshu Grupo A",32,IF(Atletas!H32="Nandao Grupo A",33,IF(Atletas!H32="Taijijian Grupo A",34,IF(Atletas!H32="Daoshu Opcional",35,IF(Atletas!H32="Jianshu Opcional",36,IF(Atletas!H32="Nandao Opcional",37,IF(Atletas!H32="Taijijian Opcional",38,IF(Atletas!H32="Daoshu Adulto",39,IF(Atletas!H32="Jianshu Adulto",40,IF(Atletas!H32="Nandao Adulto",41,IF(Atletas!H32="Taijijian Adulto",42,""))))))))))))))))))))))))))</f>
        <v/>
      </c>
      <c r="BA36" s="46" t="str">
        <f>IF(Atletas!I32="","",IF(Atletas!B32="Feminino",100,IF(Atletas!B32="Masculino",200,""))+(IF(Atletas!I32="Gunshu Mirim",43,IF(Atletas!I32="Qiangshu Mirim",44,IF(Atletas!I32="Nangun Mirim",45,IF(Atletas!I32="Gunshu Grupo C",46,IF(Atletas!I32="Qiangshu Grupo C",47,IF(Atletas!I32="Nangun Grupo C",48,IF(Atletas!I32="Gunshu Grupo B",49,IF(Atletas!I32="Qiangshu Grupo B",50,IF(Atletas!I32="Nangun Grupo B",51,IF(Atletas!I32="Gunshu Grupo A",52,IF(Atletas!I32="Qiangshu Grupo A",53,IF(Atletas!I32="Nangun Grupo A",54,IF(Atletas!I32="Gunshu Opcional",55,IF(Atletas!I32="Qiangshu Opcional",56,IF(Atletas!I32="Nangun Opcional",57,IF(Atletas!I32="Gunshu Adulto",58,IF(Atletas!I32="Qiangshu Adulto",59,IF(Atletas!I32="Nangun Adulto",60,""))))))))))))))))))))</f>
        <v/>
      </c>
      <c r="BB36" s="10" t="str">
        <f>IF(BC36&lt;&gt;"","Nangun Grupo B","")</f>
        <v/>
      </c>
      <c r="BC36" s="52" t="str">
        <f>IF(COUNTIF(AY:BA,151)&gt;0,COUNTIF(AY:BA,151),"")</f>
        <v/>
      </c>
      <c r="BD36" s="10" t="str">
        <f>IF(BE36&lt;&gt;"","Nangun Grupo B","")</f>
        <v/>
      </c>
      <c r="BE36" s="52" t="str">
        <f>IF(COUNTIF(AY:BA,251)&gt;0,COUNTIF(AY:BA,251),"")</f>
        <v/>
      </c>
      <c r="BF36" s="52" t="str">
        <f>IF(Atletas!J32="","",IF(Atletas!B32="Feminino",100,IF(Atletas!B32="Masculino",200,""))+(IF(Atletas!J32="Equipe 1 Grupo B",1,IF(Atletas!J32="Equipe 2 Grupo B",2,IF(Atletas!J32="Equipe 1 Grupo A",3,IF(Atletas!J32="Equipe 2 Grupo A",4,IF(Atletas!J32="Equipe 1 Adulto",5,IF(Atletas!J32="Equipe 2 Adulto",6,""))))))))</f>
        <v/>
      </c>
      <c r="BK36" s="52" t="str">
        <f>IF(Atletas!K32="","",IF(Atletas!W32&lt;&gt;"",10000,0)+(IF(Atletas!B32="Feminino",1000,IF(Atletas!B32="Masculino",2000,""))+IF(Atletas!K32="Choylayfut A",1,IF(Atletas!K32="Hunggar A",2,IF(Atletas!K32="Wuzuquan A",3,IF(Atletas!K32="Wingchun A",4,IF(Atletas!K32="Outra Mão de Sul A",5,IF(Atletas!K32="Choylayfut B",6,IF(Atletas!K32="Hunggar B",7,IF(Atletas!K32="Wuzuquan B",8,IF(Atletas!K32="Wingchun B",9,IF(Atletas!K32="Outra Mão de Sul B",10,IF(Atletas!K32="Choylayfut C",11,IF(Atletas!K32="Hunggar C",12,IF(Atletas!K32="Wuzuquan C",13,IF(Atletas!K32="Wingchun C",14,IF(Atletas!K32="Outra Mão de Sul C",15,IF(Atletas!K32="Choylayfut D",16,IF(Atletas!K32="Hunggar D",17,IF(Atletas!K32="Wuzuquan D",18,IF(Atletas!K32="Wingchun D",19,IF(Atletas!K32="Outra Mão de Sul D",20,IF(Atletas!K32="Choylayfut E",21,IF(Atletas!K32="Hunggar E",22,IF(Atletas!K32="Wuzuquan E",23,IF(Atletas!K32="Wingchun E",24,IF(Atletas!K32="Outra Mão de Sul E",25,IF(Atletas!K32="Choylayfut F",26,IF(Atletas!K32="Hunggar F",27,IF(Atletas!K32="Wuzuquan F",28,IF(Atletas!K32="Wingchun F",29,IF(Atletas!K32="Outra Mão de Sul F",30,""))))))))))))))))))))))))))))))))</f>
        <v/>
      </c>
      <c r="BL36" s="52" t="str">
        <f>IF(Atletas!L32="","",IF(Atletas!W32&lt;&gt;"",10000,0)+(IF(Atletas!B32="Feminino",1000,IF(Atletas!B32="Masculino",2000,""))+(IF(Atletas!L32="Chaquan A",101,IF(Atletas!L32="Emeiquan A",102,IF(Atletas!L32="Fanziquan A",103,IF(Atletas!L32="Huaquan A",104,IF(Atletas!L32="Hongquan A",105,IF(Atletas!L32="Paochui A",106,IF(Atletas!L32="Piguaquan A",107,IF(Atletas!L32="Shaolinquan A",108,IF(Atletas!L32="Tanglangquan A",109,IF(Atletas!L32="Yinzhaophai A",110,IF(Atletas!L32="Tongbeiquan A",111,IF(Atletas!L32="Wudangquan A",112,IF(Atletas!L32="Outros Estilos A",113,IF(Atletas!L32="Chaquan B",114,IF(Atletas!L32="Emeiquan B",115,IF(Atletas!L32="Fanziquan B",116,IF(Atletas!L32="Huaquan B",117,IF(Atletas!L32="Hongquan B",118,IF(Atletas!L32="Paochui B",119,IF(Atletas!L32="Piguaquan B",120,IF(Atletas!L32="Shaolinquan B",121,IF(Atletas!L32="Tanglangquan B",122,IF(Atletas!L32="Yinzhaophai B",123,IF(Atletas!L32="Tongbeiquan B",124,IF(Atletas!L32="Wudangquan B",125,IF(Atletas!L32="Outros Estilos B",126,IF(Atletas!L32="Chaquan C",127,IF(Atletas!L32="Emeiquan C",128,IF(Atletas!L32="Fanziquan C",129,IF(Atletas!L32="Huaquan C",130,IF(Atletas!L32="Hongquan C",131,IF(Atletas!L32="Paochui C",132,IF(Atletas!L32="Piguaquan C",133,IF(Atletas!L32="Shaolinquan C",134,IF(Atletas!L32="Tanglangquan C",135,IF(Atletas!L32="Yinzhaophai C",136,IF(Atletas!L32="Tongbeiquan C",137,IF(Atletas!L32="Wudangquan C",138,IF(Atletas!L32="Outros Estilos C",139,0))))))))))))))))))))))))))))))))))))))))))</f>
        <v/>
      </c>
      <c r="BM36" s="52" t="str">
        <f>IF(Atletas!L32="","",IF(Atletas!W32&lt;&gt;"",10000,0)+(IF(Atletas!B32="Feminino",1000,IF(Atletas!B32="Masculino",2000,""))+(IF(Atletas!L32="Chaquan D",140,IF(Atletas!L32="Emeiquan D",141,IF(Atletas!L32="Fanziquan D",142,IF(Atletas!L32="Huaquan D",143,IF(Atletas!L32="Hongquan D",144,IF(Atletas!L32="Paochui D",145,IF(Atletas!L32="Piguaquan D",146,IF(Atletas!L32="Shaolinquan D",147,IF(Atletas!L32="Tanglangquan D",148,IF(Atletas!L32="Yinzhaophai D",149,IF(Atletas!L32="Tongbeiquan D",150,IF(Atletas!L32="Wudangquan D",151,IF(Atletas!L32="Outros Estilos D",152,IF(Atletas!L32="Chaquan E",153,IF(Atletas!L32="Emeiquan E",154,IF(Atletas!L32="Fanziquan E",155,IF(Atletas!L32="Huaquan E",156,IF(Atletas!L32="Hongquan E",157,IF(Atletas!L32="Paochui E",158,IF(Atletas!L32="Piguaquan E",159,IF(Atletas!L32="Shaolinquan E",160,IF(Atletas!L32="Tanglangquan E",161,IF(Atletas!L32="Yinzhaophai E",162,IF(Atletas!L32="Tongbeiquan E",163,IF(Atletas!L32="Wudangquan E",164,IF(Atletas!L32="Outros Estilos E",165,IF(Atletas!L32="Chaquan F",166,IF(Atletas!L32="Emeiquan F",167,IF(Atletas!L32="Fanziquan F",168,IF(Atletas!L32="Huaquan F",169,IF(Atletas!L32="Hongquan F",170,IF(Atletas!L32="Paochui F",171,IF(Atletas!L32="Piguaquan F",172,IF(Atletas!L32="Shaolinquan F",173,IF(Atletas!L32="Tanglangquan F",174,IF(Atletas!L32="Yinzhaophai F",175,IF(Atletas!L32="Tongbeiquan F",176,IF(Atletas!L32="Wudangquan F",177,IF(Atletas!L32="Outros Estilos F",178,0))))))))))))))))))))))))))))))))))))))))))</f>
        <v/>
      </c>
      <c r="BN36" s="52" t="str">
        <f>IF(Atletas!M32="","",IF(Atletas!W32&lt;&gt;"",10000,0)+(IF(Atletas!B32="Feminino",1000,IF(Atletas!B32="Masculino",2000,""))+(IF(Atletas!M32="Ditangquan A",201,IF(Atletas!M32="Houquan A",202,IF(Atletas!M32="Zuiquan A",203,IF(Atletas!M32="Ditangquan B",204,IF(Atletas!M32="Houquan B",205,IF(Atletas!M32="Zuiquan B",206,IF(Atletas!M32="Ditangquan C",207,IF(Atletas!M32="Houquan C",208,IF(Atletas!M32="Zuiquan C",209,IF(Atletas!M32="Ditangquan D",210,IF(Atletas!M32="Houquan D",211,IF(Atletas!M32="Zuiquan D",212,IF(Atletas!M32="Ditangquan E",213,IF(Atletas!M32="Houquan E",214,IF(Atletas!M32="Zuiquan E",215,IF(Atletas!M32="Ditangquan F",216,IF(Atletas!M32="Houquan F",217,IF(Atletas!M32="Zuiquan F",218,"")))))))))))))))))))))</f>
        <v/>
      </c>
      <c r="BO36" s="52" t="str">
        <f>IF(Atletas!N32="","",IF(Atletas!W32&lt;&gt;"",10000,0)+IF(Atletas!B32="Feminino",1000,IF(Atletas!B32="Masculino",2000,""))+IF(Atletas!N32="Yang A",301,IF(Atletas!N32="Chen A",30,IF(Atletas!N32="Sun A",303,IF(Atletas!N32="Wu A",304,IF(Atletas!N32="Wu-Hao A",305,IF(Atletas!N32="Outro Taijiquan A",306,IF(Atletas!N32="Yang B",307,IF(Atletas!N32="Chen B",308,IF(Atletas!N32="Sun B",309,IF(Atletas!N32="Wu B",310,IF(Atletas!N32="Wu-Hao B",311,IF(Atletas!N32="Outro Taijiquan B",312,IF(Atletas!N32="Yang C",313,IF(Atletas!N32="Chen C",314,IF(Atletas!N32="Sun C",315,IF(Atletas!N32="Wu C",316,IF(Atletas!N32="Wu-Hao C",317,IF(Atletas!N32="Outro Taijiquan C",318,IF(Atletas!N32="Yang D",319,IF(Atletas!N32="Chen D",320,IF(Atletas!N32="Sun D",321,IF(Atletas!N32="Wu D",322,IF(Atletas!N32="Wu-Hao D",323,IF(Atletas!N32="Outro Taijiquan D",324,IF(Atletas!N32="Yang E",325,IF(Atletas!N32="Chen E",326,IF(Atletas!N32="Sun E",327,IF(Atletas!N32="Wu E",328,IF(Atletas!N32="Wu-Hao E",329,IF(Atletas!N32="Outro Taijiquan E",330,IF(Atletas!N32="Yang F",331,IF(Atletas!N32="Chen F",332,IF(Atletas!N32="Sun F",333,IF(Atletas!N32="Wu F",334,IF(Atletas!N32="Wu-Hao F",335,IF(Atletas!N32="Outro Taijiquan F",336,"")))))))))))))))))))))))))))))))))))))</f>
        <v/>
      </c>
      <c r="BP36" s="52" t="str">
        <f>IF(Atletas!O32="","",IF(Atletas!W32&lt;&gt;"",10000,0)+IF(Atletas!B32="Feminino",1000,IF(Atletas!B32="Masculino",2000,""))+IF(OR(Atletas!O32="Yang 26 A",Atletas!O32="Yang 40 A"),401,IF(OR(Atletas!O32="Chen 25 A",Atletas!O32="Chen 36 A",Atletas!O32="Chen 56 A"),402,IF(Atletas!O32="Sun 73 A",403,IF(Atletas!O32="Wu 45 A",404,IF(Atletas!O32="Wu-Hao 46 A",405,IF(OR(Atletas!O32="Taijiquan 16 A",Atletas!O32="Taijiquan 24 A",Atletas!O32="Taijiquan 32 A",Atletas!O32="Taijiquan 42 A"),406,IF(OR(Atletas!O32="Yang 26 B",Atletas!O32="Yang 40 B"),407,IF(OR(Atletas!O32="Chen 25 B",Atletas!O32="Chen 36 B",Atletas!O32="Chen 56 B"),408,IF(Atletas!O32="Sun 73 B",409,IF(Atletas!O32="Wu 45 B",410,IF(Atletas!O32="Wu-Hao 46 B",411,IF(OR(Atletas!O32="Taijiquan 16 B",Atletas!O32="Taijiquan 24 B",Atletas!O32="Taijiquan 32 B",Atletas!O32="Taijiquan 42 B"),412,IF(OR(Atletas!O32="Yang 26 C",Atletas!O32="Yang 40 C"),413,IF(OR(Atletas!O32="Chen 25 C",Atletas!O32="Chen 36 C",Atletas!O32="Chen 56 C"),414,IF(Atletas!O32="Sun 73 C",415,IF(Atletas!O32="Wu 45 C",416,IF(Atletas!O32="Wu-Hao 46 C",417,IF(OR(Atletas!O32="Taijiquan 16 C",Atletas!O32="Taijiquan 24 C",Atletas!O32="Taijiquan 32 C",Atletas!O32="Taijiquan 42 C"),418,0)))))))))))))))))))</f>
        <v/>
      </c>
      <c r="BQ36" s="52" t="str">
        <f>IF(Atletas!O32="","",IF(Atletas!W32&lt;&gt;"",10000,0)+IF(Atletas!B32="Feminino",1000,IF(Atletas!B32="Masculino",2000,""))+IF(OR(Atletas!O32="Yang 26 D",Atletas!O32="Yang 40 D"),419,IF(OR(Atletas!O32="Chen 25 D",Atletas!O32="Chen 36 D",Atletas!O32="Chen 56 D"),420,IF(Atletas!O32="Sun 73 D",421,IF(Atletas!O32="Wu 45 D",422,IF(Atletas!O32="Wu-Hao 46 D",423,IF(OR(Atletas!O32="Taijiquan 16 D",Atletas!O32="Taijiquan 24 D",Atletas!O32="Taijiquan 32 D",Atletas!O32="Taijiquan 42 D"),424,IF(OR(Atletas!O32="Yang 26 E",Atletas!O32="Yang 40 E"),425,IF(OR(Atletas!O32="Chen 25 E",Atletas!O32="Chen 36 E",Atletas!O32="Chen 56 E"),426,IF(Atletas!O32="Sun 73 E",427,IF(Atletas!O32="Wu 45 E",428,IF(Atletas!O32="Wu-Hao 46 E",429,IF(OR(Atletas!O32="Taijiquan 16 E",Atletas!O32="Taijiquan 24 E",Atletas!O32="Taijiquan 32 E",Atletas!O32="Taijiquan 42 E"),430,IF(OR(Atletas!O32="Yang 26 F",Atletas!O32="Yang 40 F"),431,IF(OR(Atletas!O32="Chen 25 F",Atletas!O32="Chen 36 F",Atletas!O32="Chen 56 F"),432,IF(Atletas!O32="Sun 73 F",433,IF(Atletas!O32="Wu 45 F",434,IF(Atletas!O32="Wu-Hao 46 F",435,IF(OR(Atletas!O32="Taijiquan 16 F",Atletas!O32="Taijiquan 24 F",Atletas!O32="Taijiquan 32 F",Atletas!O32="Taijiquan 42 F"),436,0)))))))))))))))))))</f>
        <v/>
      </c>
      <c r="BR36" s="52" t="str">
        <f>IF(Atletas!P32="","",IF(Atletas!W32&lt;&gt;"",10000,0)+IF(Atletas!B32="Feminino",1000,IF(Atletas!B32="Masculino",2000,""))+IF(Atletas!P32="Xingyiquan A",501,IF(Atletas!P32="Baguazhang A",502,IF(Atletas!P32="Outro Estilo Interno A",503,IF(Atletas!P32="Xingyiquan B",504,IF(Atletas!P32="Baguazhang B",505,IF(Atletas!P32="Outro Estilo Interno B",506,IF(Atletas!P32="Xingyiquan C",507,IF(Atletas!P32="Baguazhang C",508,IF(Atletas!P32="Outro Estilo Interno C",509,IF(Atletas!P32="Xingyiquan D",510,IF(Atletas!P32="Baguazhang D",511,IF(Atletas!P32="Outro Estilo Interno D",512,IF(Atletas!P32="Xingyiquan E",513,IF(Atletas!P32="Baguazhang E",514,IF(Atletas!P32="Outro Estilo Interno E",515,IF(Atletas!P32="Xingyiquan F",516,IF(Atletas!P32="Baguazhang F",517,IF(Atletas!P32="Outro Estilo Interno F",518, "")))))))))))))))))))</f>
        <v/>
      </c>
      <c r="BS36" s="52" t="str">
        <f>IF(Atletas!Q32="","",IF(Atletas!W32&lt;&gt;"",10000,0)+IF(Atletas!B32="Feminino",1000,IF(Atletas!B32="Masculino",2000,""))+IF(Atletas!Q32="Dao A",601,IF(Atletas!Q32="Jian A",602,IF(Atletas!Q32="Bishou A",603,IF(Atletas!Q32="Shan A",604,IF(Atletas!Q32="Outra Arma Curta A",605,IF(Atletas!Q32="Dao B",606,IF(Atletas!Q32="Jian B",607,IF(Atletas!Q32="Bishou B",608,IF(Atletas!Q32="Shan B",609,IF(Atletas!Q32="Outra Arma Curta B",610,IF(Atletas!Q32="Dao C",611,IF(Atletas!Q32="Jian C",612,IF(Atletas!Q32="Bishou C",613,IF(Atletas!Q32="Shan C",614,IF(Atletas!Q32="Outra Arma Curta C",615,IF(Atletas!Q32="Dao D",616,IF(Atletas!Q32="Jian D",617,IF(Atletas!Q32="Bishou D",618,IF(Atletas!Q32="Shan D",619,IF(Atletas!Q32="Outra Arma Curta D",620,IF(Atletas!Q32="Dao E",621,IF(Atletas!Q32="Jian E",622,IF(Atletas!Q32="Bishou E",623,IF(Atletas!Q32="Shan E",624,IF(Atletas!Q32="Outra Arma Curta E",625,IF(Atletas!Q32="Dao F",626,IF(Atletas!Q32="Jian F",627,IF(Atletas!Q32="Bishou F",628,IF(Atletas!Q32="Shan F",629,IF(Atletas!Q32="Outra Arma Curta F",630, "")))))))))))))))))))))))))))))))</f>
        <v/>
      </c>
      <c r="BT36" s="52" t="str">
        <f>IF(Atletas!R32="","",IF(Atletas!W32&lt;&gt;"",10000,0)+IF(Atletas!B32="Feminino",1000,IF(Atletas!B32="Masculino",2000,""))+IF(Atletas!R32="Gun A",701,IF(Atletas!R32="Qiang A",702,IF(Atletas!R32="Pudao / Guandao A",703,IF(Atletas!R32="Outra Arma Longa A",704,IF(Atletas!R32="Gun B",705,IF(Atletas!R32="Qiang B",706,IF(Atletas!R32="Pudao / Guandao B",707,IF(Atletas!R32="Outra Arma Longa B",708,IF(Atletas!R32="Gun C",709,IF(Atletas!R32="Qiang C",710,IF(Atletas!R32="Pudao / Guandao C",711,IF(Atletas!R32="Outra Arma Longa C",712,IF(Atletas!R32="Gun D",713,IF(Atletas!R32="Qiang D",714,IF(Atletas!R32="Pudao / Guandao D",715,IF(Atletas!R32="Outra Arma Longa D",716,IF(Atletas!R32="Gun E",717,IF(Atletas!R32="Qiang E",718,IF(Atletas!R32="Pudao / Guandao E",719,IF(Atletas!R32="Outra Arma Longa E",720,IF(Atletas!R32="Gun F",721,IF(Atletas!R32="Qiang F",722,IF(Atletas!R32="Pudao / Guandao F",723,IF(Atletas!R32="Outra Arma Longa F",724,"")))))))))))))))))))))))))</f>
        <v/>
      </c>
      <c r="BU36" s="52" t="str">
        <f>IF(Atletas!S32="","",IF(Atletas!W32&lt;&gt;"",10000,0)+IF(Atletas!B32="Feminino",1000,IF(Atletas!B32="Masculino",2000,""))+IF(Atletas!S32="Arma Dupla A",801,IF(Atletas!S32="Arma Maleável A",802,IF(Atletas!S32="Arma Dupla B",803,IF(Atletas!S32="Arma Maleável B",804,IF(Atletas!S32="Arma Dupla C",805,IF(Atletas!S32="Arma Maleável C",806,IF(Atletas!S32="Arma Dupla D",807,IF(Atletas!S32="Arma Maleável D",808,IF(Atletas!S32="Arma Dupla E",809,IF(Atletas!S32="Arma Maleável E",810,IF(Atletas!S32="Arma Dupla F",811,IF(Atletas!S32="Arma Maleável F",812, "")))))))))))))</f>
        <v/>
      </c>
      <c r="BV36" s="52" t="str">
        <f>IF(Atletas!T32="","",IF(Atletas!W32&lt;&gt;"",10000,0)+IF(Atletas!B32="Feminino",1000,IF(Atletas!B32="Masculino",2000,""))+IF(Atletas!T32="Taijijian Yang A",901,IF(Atletas!T32="Taijijian Chen A",902,IF(Atletas!T32="Taijijian Sun A",903,IF(Atletas!T32="Taijijian Wu A",904,IF(Atletas!T32="Taijijian Wu-Hao A",905,IF(Atletas!T32="Taijijian 32 A",906,IF(Atletas!T32="Taijijian 42 A",907,IF(Atletas!T32="Taijijian Yang B",908,IF(Atletas!T32="Taijijian Chen B",909,IF(Atletas!T32="Taijijian Sun B",910,IF(Atletas!T32="Taijijian Wu B",911,IF(Atletas!T32="Taijijian Wu-Hao B",912,IF(Atletas!T32="Taijijian 32 B",913,IF(Atletas!T32="Taijijian 42 B",914,IF(Atletas!T32="Taijijian Yang C",915,IF(Atletas!T32="Taijijian Chen C",916,IF(Atletas!T32="Taijijian Sun C",917,IF(Atletas!T32="Taijijian Wu C",918,IF(Atletas!T32="Taijijian Wu-Hao C",919,IF(Atletas!T32="Taijijian 32 C",920,IF(Atletas!T32="Taijijian 42 C",921,IF(Atletas!T32="Taijijian Yang D",922,IF(Atletas!T32="Taijijian Chen D",923,IF(Atletas!T32="Taijijian Sun D",924,IF(Atletas!T32="Taijijian Wu D",925,IF(Atletas!T32="Taijijian Wu-Hao D",926,IF(Atletas!T32="Taijijian 32 D",927,IF(Atletas!T32="Taijijian 42 D",928,IF(Atletas!T32="Taijijian Yang E",929,IF(Atletas!T32="Taijijian Chen E",930,IF(Atletas!T32="Taijijian Sun E",931,IF(Atletas!T32="Taijijian Wu E",932,IF(Atletas!T32="Taijijian Wu-Hao E",933,IF(Atletas!T32="Taijijian 32 E",934,IF(Atletas!T32="Taijijian 42 E",935,IF(Atletas!T32="Taijijian Yang F",936,IF(Atletas!T32="Taijijian Chen F",937,IF(Atletas!T32="Taijijian Sun F",938,IF(Atletas!T32="Taijijian Wu F",939,IF(Atletas!T32="Taijijian Wu-Hao F",940,IF(Atletas!T32="Taijijian 32 F",941,IF(Atletas!T32="Taijijian 42 F",942,"")))))))))))))))))))))))))))))))))))))))))))</f>
        <v/>
      </c>
      <c r="BW36" s="52" t="str">
        <f>IF(Atletas!U32="","",IF(Atletas!W32&lt;&gt;"",10000,0)+IF(Atletas!B32="Feminino",1000,IF(Atletas!B32="Masculino",2000,""))+IF(Atletas!T32="Taijijian 42 F",942,IF(Atletas!U32="Taijidao A",943,IF(Atletas!U32="Taijishan A",944,IF(Atletas!U32="Taijiqiang A",945,IF(Atletas!U32="Taijidao B",946,IF(Atletas!U32="Taijishan B",947,IF(Atletas!U32="Taijiqiang B",948,IF(Atletas!U32="Taijidao C",949,IF(Atletas!U32="Taijishan C",950,IF(Atletas!U32="Taijiqiang C",951,IF(Atletas!U32="Taijidao D",952,IF(Atletas!U32="Taijishan D",953,IF(Atletas!U32="Taijiqiang D",954,IF(Atletas!U32="Taijidao E",955,IF(Atletas!U32="Taijishan E",956,IF(Atletas!U32="Taijiqiang E",957,IF(Atletas!U32="Taijidao F",958,IF(Atletas!U32="Taijishan F",959,IF(Atletas!U32="Taijiqiang F",960))))))))))))))))))))</f>
        <v/>
      </c>
      <c r="BX36" s="64" t="str">
        <f>IF(BY36&lt;&gt;"","Outra Mão de Sul F","")</f>
        <v/>
      </c>
      <c r="BY36" s="64" t="str">
        <f>IF(COUNTIF(BK:BW,1030)&gt;0,COUNTIF(BK:BW,1030),"")</f>
        <v/>
      </c>
      <c r="BZ36" s="64" t="str">
        <f>IF(CA36&lt;&gt;"","Outra Mão de Sul F","")</f>
        <v/>
      </c>
      <c r="CA36" s="64" t="str">
        <f>IF(COUNTIF(BK:BW,2030)&gt;0,COUNTIF(BK:BW,2030),"")</f>
        <v/>
      </c>
      <c r="CB36" s="64" t="str">
        <f>IF(CC36&lt;&gt;"","Outra Mão de Sul F","")</f>
        <v/>
      </c>
      <c r="CC36" s="64" t="str">
        <f>IF(COUNTIF(BK:BW,11030)&gt;0,COUNTIF(BK:BW,11030),"")</f>
        <v/>
      </c>
      <c r="CD36" s="64" t="str">
        <f>IF(CE36&lt;&gt;"","Outra Mão de Sul F","")</f>
        <v/>
      </c>
      <c r="CE36" s="64" t="str">
        <f>IF(COUNTIF(BK:BW,12030)&gt;0,COUNTIF(BK:BW,12030),"")</f>
        <v/>
      </c>
      <c r="CF36" s="52" t="str">
        <f xml:space="preserve"> IF(Atletas!V32="","",IF(Atletas!V32="Duilian de Mãos AB - Equipe 1",1,IF(Atletas!V32="Duilian de Mãos AB - Equipe 2",2,IF(Atletas!V32="Duilian de Armas AB - Equipe 1",3,IF(Atletas!V32="Duilian de Armas AB - Equipe 2",4,IF(Atletas!V32="Duilian de Tuishou - Equipe 1",5,IF(Atletas!V32="Duilian de Tuishou - Equipe 2",6,IF(Atletas!V32="Grupo Externo AB - Equipe 1",7,IF(Atletas!V32="Grupo Externo AB - Equipe 2",8,IF(Atletas!V32="Grupo Interno AB - Equipe 1",9,IF(Atletas!V32="Grupo Interno AB - Equipe 2",10,IF(Atletas!V32="Duilian de Mãos CD - Equipe 1",11,IF(Atletas!V32="Duilian de Mãos CD - Equipe 2",12,IF(Atletas!V32="Duilian de Armas CD - Equipe 1",13,IF(Atletas!V32="Duilian de Armas CD - Equipe 2",14,IF(Atletas!V32="Duilian de Tuishou - Equipe 1",15,IF(Atletas!V32="Duilian de Tuishou - Equipe 2",16,IF(Atletas!V32="Grupo Externo CDEF - Equipe 1",17,IF(Atletas!V32="Grupo Externo CDEF - Equipe 2",18,IF(Atletas!V32="Grupo Interno CDEF - Equipe 1",19,IF(Atletas!V32="Grupo Interno CDEF - Equipe 2",20,IF(Atletas!V32="Duilian de Mãos EF - Equipe 1",21,IF(Atletas!V32="Duilian de Mãos EF - Equipe 2",22,IF(Atletas!V32="Duilian de Armas EF - Equipe 1",23,IF(Atletas!V32="Duilian de Armas EF - Equipe 2",24,IF(Atletas!V32="Duilian de Tuishou - Equipe 1",25,IF(Atletas!V32="Duilian de Tuishou - Equipe 2",26,"")))))))))))))))))))))))))))</f>
        <v/>
      </c>
      <c r="CR36" s="71"/>
    </row>
    <row r="37" spans="2:96">
      <c r="B37" s="4" t="str">
        <f t="array" ref="B37">IFERROR(INDEX(AK$7:AK$36,SMALL(IF(AK$7:AK$36&lt;&gt;"",ROW(AK$7:AK$36)-ROW(AK$7)+1),ROWS(AK$7:AK36))),"")</f>
        <v/>
      </c>
      <c r="C37" s="4" t="str">
        <f t="array" ref="C37">IFERROR(INDEX(AL$7:AL$36,SMALL(IF(AL$7:AL$36&lt;&gt;"",ROW(AL$7:AL$36)-ROW(AL$7)+1),ROWS(AL$7:AL36))),"")</f>
        <v/>
      </c>
      <c r="D37" s="4" t="str">
        <f t="array" ref="D37">IFERROR(INDEX(AM$7:AM$36,SMALL(IF(AM$7:AM$36&lt;&gt;"",ROW(AM$7:AM$36)-ROW(AM$7)+1),ROWS(AM$7:AM36))),"")</f>
        <v/>
      </c>
      <c r="E37" s="4" t="str">
        <f t="array" ref="E37">IFERROR(INDEX(AN$7:AN$36,SMALL(IF(AN$7:AN$36&lt;&gt;"",ROW(AN$7:AN$36)-ROW(AN$7)+1),ROWS(AN$7:AN36))),"")</f>
        <v/>
      </c>
      <c r="F37" s="4" t="str">
        <f t="array" ref="F37">IFERROR(INDEX(AP$7:AP$36,SMALL(IF(AP$7:AP$36&lt;&gt;"",ROW(AP$7:AP$36)-ROW(AP$7)+1),ROWS(AP$7:AP36))),"")</f>
        <v/>
      </c>
      <c r="G37" s="4" t="str">
        <f t="array" ref="G37">IFERROR(INDEX(AQ$7:AQ$36,SMALL(IF(AQ$7:AQ$36&lt;&gt;"",ROW(AQ$7:AQ$36)-ROW(AQ$7)+1),ROWS(AQ$7:AQ36))),"")</f>
        <v/>
      </c>
      <c r="H37" s="4" t="str">
        <f t="array" ref="H37">IFERROR(INDEX(AR$7:AR$36,SMALL(IF(AR$7:AR$36&lt;&gt;"",ROW(AR$7:AR$36)-ROW(AR$7)+1),ROWS(AR$7:AR36))),"")</f>
        <v/>
      </c>
      <c r="I37" s="4" t="str">
        <f t="array" ref="I37">IFERROR(INDEX(AS$7:AS$36,SMALL(IF(AS$7:AS$36&lt;&gt;"",ROW(AS$7:AS$36)-ROW(AS$7)+1),ROWS(AS$7:AS36))),"")</f>
        <v/>
      </c>
      <c r="J37" s="4" t="str">
        <f t="array" ref="J37">IFERROR(INDEX(AS$7:AS$36,SMALL(IF(AS$7:AS$36&lt;&gt;"",ROW(AS$7:AS$36)-ROW(AS$7)+1),ROWS(AS$7:AS36))),"")</f>
        <v/>
      </c>
      <c r="K37" s="4" t="str">
        <f t="array" ref="K37">IFERROR(INDEX(AV$7:AV$36,SMALL(IF(AV$7:AV$36&lt;&gt;"",ROW(AV$7:AV$36)-ROW(AV$7)+1),ROWS(AV$7:AV36))),"")</f>
        <v/>
      </c>
      <c r="L37" s="4" t="str">
        <f t="array" ref="L37">IFERROR(INDEX(AW$7:AW$36,SMALL(IF(AW$7:AW$36&lt;&gt;"",ROW(AW$7:AW$36)-ROW(AW$7)+1),ROWS(AW$7:AW36))),"")</f>
        <v/>
      </c>
      <c r="M37" s="4" t="str">
        <f t="array" ref="M37">IFERROR(INDEX(AX$7:AX$36,SMALL(IF(AX$7:AX$36&lt;&gt;"",ROW(AX$7:AX$36)-ROW(AX$7)+1),ROWS(AX$7:AX36))),"")</f>
        <v/>
      </c>
      <c r="N37" s="4" t="str">
        <f t="array" ref="N37">IFERROR(INDEX(BB$7:BB$66,SMALL(IF(BB$7:BB$66&lt;&gt;"",ROW(BB$7:BB$66)-ROW(BB$7)+1),ROWS(BB$7:BB36))),"")</f>
        <v/>
      </c>
      <c r="O37" s="4" t="str">
        <f t="array" ref="O37">IFERROR(INDEX(BC$7:BC$66,SMALL(IF(BC$7:BC$66&lt;&gt;"",ROW(BC$7:BC$66)-ROW(BC$7)+1),ROWS(BC$7:BC36))),"")</f>
        <v/>
      </c>
      <c r="P37" s="4" t="str">
        <f t="array" ref="P37">IFERROR(INDEX(BD$7:BD$66,SMALL(IF(BD$7:BD$66&lt;&gt;"",ROW(BD$7:BD$66)-ROW(BD$7)+1),ROWS(BD$7:BD36))),"")</f>
        <v/>
      </c>
      <c r="Q37" s="4" t="str">
        <f t="array" ref="Q37">IFERROR(INDEX(BE$7:BE$66,SMALL(IF(BE$7:BE$66&lt;&gt;"",ROW(BE$7:BE$66)-ROW(BE$7)+1),ROWS(BE$7:BE36))),"")</f>
        <v/>
      </c>
      <c r="R37" s="4"/>
      <c r="S37" s="4"/>
      <c r="T37" s="4"/>
      <c r="U37" s="4"/>
      <c r="V37" s="4" t="str">
        <f t="array" ref="V37">IFERROR(INDEX(BX$7:BX$336,SMALL(IF(BX$7:BX$336&lt;&gt;"",ROW(BX$7:BX$336)-ROW(BX$7)+1),ROWS(BX$7:BX36))),"")</f>
        <v/>
      </c>
      <c r="W37" s="4" t="str">
        <f t="array" ref="W37">IFERROR(INDEX(BY$7:BY$336,SMALL(IF(BY$7:BY$336&lt;&gt;"",ROW(BY$7:BY$336)-ROW(BY$7)+1),ROWS(BY$7:BY36))),"")</f>
        <v/>
      </c>
      <c r="X37" s="4" t="str">
        <f t="array" ref="X37">IFERROR(INDEX(BZ$7:BZ$336,SMALL(IF(BZ$7:BZ$336&lt;&gt;"",ROW(BZ$7:BZ$336)-ROW(BZ$7)+1),ROWS(BZ$7:BZ36))),"")</f>
        <v/>
      </c>
      <c r="Y37" s="4" t="str">
        <f t="array" ref="Y37">IFERROR(INDEX(CA$7:CA$336,SMALL(IF(CA$7:CA$336&lt;&gt;"",ROW(CA$7:CA$336)-ROW(CA$7)+1),ROWS(CA$7:CA36))),"")</f>
        <v/>
      </c>
      <c r="Z37" s="4" t="str">
        <f t="array" ref="Z37">IFERROR(INDEX(CB$7:CB$378,SMALL(IF(CB$7:CB$378&lt;&gt;"",ROW(CB$7:CB$378)-ROW(CB$7)+1),ROWS(CB$7:CB36))),"")</f>
        <v/>
      </c>
      <c r="AA37" s="4" t="str">
        <f t="array" ref="AA37">IFERROR(INDEX(CC$7:CC$378,SMALL(IF(CC$7:CC$378&lt;&gt;"",ROW(CC$7:CC$378)-ROW(CC$7)+1),ROWS(CC$7:CC36))),"")</f>
        <v/>
      </c>
      <c r="AB37" s="4" t="str">
        <f t="array" ref="AB37">IFERROR(INDEX(CD$7:CD$378,SMALL(IF(CD$7:CD$378&lt;&gt;"",ROW(CD$7:CD$378)-ROW(CD$7)+1),ROWS(CD$7:CD36))),"")</f>
        <v/>
      </c>
      <c r="AC37" s="4" t="str">
        <f t="array" ref="AC37">IFERROR(INDEX(CE$7:CE$378,SMALL(IF(CE$7:CE$378&lt;&gt;"",ROW(CE$7:CE$378)-ROW(CE$7)+1),ROWS(CE$7:CE36))),"")</f>
        <v/>
      </c>
      <c r="AD37" s="69" t="str">
        <f t="array" ref="AD37">IFERROR(INDEX(CG$7:CG$18,SMALL(IF(CG$7:CG$18&lt;&gt;"",ROW(CG$7:CG$18)-ROW(CG$7)+1),ROWS(CG$7:CG36))),"")</f>
        <v/>
      </c>
      <c r="AE37" s="69" t="str">
        <f t="array" ref="AE37">IFERROR(INDEX(CH$7:CH$18,SMALL(IF(CH$7:CH$18&lt;&gt;"",ROW(CH$7:CH$18)-ROW(CH$7)+1),ROWS(CH$7:CH36))),"")</f>
        <v/>
      </c>
      <c r="AF37" s="69" t="str">
        <f t="array" ref="AF37">IFERROR(INDEX(CI$7:CI$8,SMALL(IF(CI$7:CI$8&lt;&gt;"",ROW(CI$7:CI$8)-ROW(CI$7)+1),ROWS(CI$7:CI36))),"")</f>
        <v/>
      </c>
      <c r="AG37" s="69"/>
      <c r="AH37" s="69" t="str">
        <f t="array" ref="AH37">IFERROR(INDEX(CK$7:CK$14,SMALL(IF(CK$7:CK$14&lt;&gt;"",ROW(CK$7:CK$14)-ROW(CK$7)+1),ROWS(CK$7:CK36))),"")</f>
        <v/>
      </c>
      <c r="AI37" s="69"/>
      <c r="AJ37" s="46" t="str">
        <f>IF(Atletas!D33="","",IF(Atletas!B33="Feminino",100,IF(Atletas!B33="Masculino",200,""))+(IF(Atletas!D33="Infantil 39kg",1,IF(Atletas!D33="Infantil 42kg",2,IF(Atletas!D33="Infantil 45kg",3,IF(Atletas!D33="Infantil 48kg",4,IF(Atletas!D33="Infantil 52kg",5,IF(Atletas!D33="Infantil 56kg",6,IF(Atletas!D33="Infantil 60kg",7,IF(Atletas!D33="Juvenil 48kg",8,IF(Atletas!D33="Juvenil 52kg",9,IF(Atletas!D33="Juvenil 56kg",10,IF(Atletas!D33="Juvenil 60kg",11,IF(Atletas!D33="Juvenil 65kg",12,IF(Atletas!D33="Juvenil 70kg",13,IF(Atletas!D33="Juvenil 75kg",14,IF(Atletas!D33="Juvenil 80kg",15,IF(Atletas!D33="Adulto 48kg",16,IF(Atletas!D33="Adulto 52kg",17,IF(Atletas!D33="Adulto 56kg",18,IF(Atletas!D33="Adulto 60kg",19,IF(Atletas!D33="Adulto 65kg",20,IF(Atletas!D33="Adulto 70kg",21,IF(Atletas!D33="Adulto 75kg",22,IF(Atletas!D33="Adulto 80kg",23,IF(Atletas!D33="Adulto 85kg",24,IF(Atletas!D33="Adulto 90kg",25,IF(Atletas!D33="Adulto +90kg",26,""))))))))))))))))))))))))))))</f>
        <v/>
      </c>
      <c r="AO37" s="10" t="str">
        <f>IF(Atletas!E33="","",IF(Atletas!B33="Feminino",100,IF(Atletas!B33="Masculino",200,""))+(IF(Atletas!E33="Juvenil 44kg",1,IF(Atletas!E33="Juvenil 48kg",2,IF(Atletas!E33="Juvenil 52kg",3,IF(Atletas!E33="Juvenil 56kg",4,IF(Atletas!E33="Juvenil 60kg",5,IF(Atletas!E33="Juvenil 65kg",6,IF(Atletas!E33="Juvenil 70kg",7,IF(Atletas!E33="Juvenil 75kg",8,IF(Atletas!E33="Juvenil 82kg",9,IF(Atletas!E33="Juvenil 90kg",10,IF(Atletas!E33="Juvenil 100kg",11,IF(Atletas!E33="Adulto 48kg",12,IF(Atletas!E33="Adulto 52kg",13,IF(Atletas!E33="Adulto 56kg",14,IF(Atletas!E33="Adulto 60kg",15,IF(Atletas!E33="Adulto 65kg",16,IF(Atletas!E33="Adulto 70kg",17,IF(Atletas!E33="Adulto 75kg",18,IF(Atletas!E33="Adulto 82kg",19,IF(Atletas!E33="Adulto 90kg",20,IF(Atletas!E33="Adulto 100kg",21,IF(Atletas!E33="Adulto +100kg",22,""))))))))))))))))))))))))</f>
        <v/>
      </c>
      <c r="AT37" s="10" t="str">
        <f>IF(Atletas!F33="","",IF(Atletas!B33="Feminino",100,IF(Atletas!B33="Masculino",200,""))+(IF(Atletas!F33="Adulto 48kg",1,IF(Atletas!F33="Adulto 56kg",2,IF(Atletas!F33="Adulto 65kg",3,IF(Atletas!F33="Adulto 75kg",4,IF(Atletas!F33="Adulto +75kg",5,IF(Atletas!F33="Adulto 52kg",6,IF(Atletas!F33="Adulto 60kg",7,IF(Atletas!F33="Adulto 70kg",8,IF(Atletas!F33="Adulto 80kg",9,IF(Atletas!F33="Adulto 90kg",10,IF(Atletas!F33="Adulto +90kg",11,"")))))))))))))</f>
        <v/>
      </c>
      <c r="AY37" s="46" t="str">
        <f>IF(Atletas!G33="","",IF(Atletas!B33="Feminino",100,IF(Atletas!B33="Masculino",200,""))+(IF(Atletas!G33="Changquan Mirim",1,IF(Atletas!G33="Nanquan Mirim",2,IF(Atletas!G33="Taijiquan Mirim",3,IF(Atletas!G33="Changquan Grupo C",4,IF(Atletas!G33="Nanquan Grupo C",5,IF(Atletas!G33="Taijiquan Grupo C",6,IF(Atletas!G33="Changquan Grupo B",7,IF(Atletas!G33="Nanquan Grupo B",8,IF(Atletas!G33="Taijiquan Grupo B",9,IF(Atletas!G33="Changquan Grupo A",10,IF(Atletas!G33="Nanquan Grupo A",11,IF(Atletas!G33="Taijiquan Grupo A",12,IF(Atletas!G33="Changquan Opcional",13,IF(Atletas!G33="Nanquan Opcional",14,IF(Atletas!G33="Taijiquan Opcional",15,IF(Atletas!G33="Changquan Adulto",16,IF(Atletas!G33="Nanquan Adulto",17,IF(Atletas!G33="Taijiquan Adulto",18,""))))))))))))))))))))</f>
        <v/>
      </c>
      <c r="AZ37" s="46" t="str">
        <f>IF(Atletas!H33="","",IF(Atletas!B33="Feminino",100,IF(Atletas!B33="Masculino",200,""))+(IF(Atletas!H33="Daoshu Mirim",19,IF(Atletas!H33="Jianshu Mirim",20,IF(Atletas!H33="Nandao Mirim",21,IF(Atletas!H33="Taijijian Mirim",22,IF(Atletas!H33="Daoshu Grupo C",23,IF(Atletas!H33="Jianshu Grupo C",24,IF(Atletas!H33="Nandao Grupo C",25,IF(Atletas!H33="Taijijian Grupo C",26,IF(Atletas!H33="Daoshu Grupo B",27,IF(Atletas!H33="Jianshu Grupo B",28,IF(Atletas!H33="Nandao Grupo B",29,IF(Atletas!H33="Taijijian Grupo B",30,IF(Atletas!H33="Daoshu Grupo A",31,IF(Atletas!H33="Jianshu Grupo A",32,IF(Atletas!H33="Nandao Grupo A",33,IF(Atletas!H33="Taijijian Grupo A",34,IF(Atletas!H33="Daoshu Opcional",35,IF(Atletas!H33="Jianshu Opcional",36,IF(Atletas!H33="Nandao Opcional",37,IF(Atletas!H33="Taijijian Opcional",38,IF(Atletas!H33="Daoshu Adulto",39,IF(Atletas!H33="Jianshu Adulto",40,IF(Atletas!H33="Nandao Adulto",41,IF(Atletas!H33="Taijijian Adulto",42,""))))))))))))))))))))))))))</f>
        <v/>
      </c>
      <c r="BA37" s="46" t="str">
        <f>IF(Atletas!I33="","",IF(Atletas!B33="Feminino",100,IF(Atletas!B33="Masculino",200,""))+(IF(Atletas!I33="Gunshu Mirim",43,IF(Atletas!I33="Qiangshu Mirim",44,IF(Atletas!I33="Nangun Mirim",45,IF(Atletas!I33="Gunshu Grupo C",46,IF(Atletas!I33="Qiangshu Grupo C",47,IF(Atletas!I33="Nangun Grupo C",48,IF(Atletas!I33="Gunshu Grupo B",49,IF(Atletas!I33="Qiangshu Grupo B",50,IF(Atletas!I33="Nangun Grupo B",51,IF(Atletas!I33="Gunshu Grupo A",52,IF(Atletas!I33="Qiangshu Grupo A",53,IF(Atletas!I33="Nangun Grupo A",54,IF(Atletas!I33="Gunshu Opcional",55,IF(Atletas!I33="Qiangshu Opcional",56,IF(Atletas!I33="Nangun Opcional",57,IF(Atletas!I33="Gunshu Adulto",58,IF(Atletas!I33="Qiangshu Adulto",59,IF(Atletas!I33="Nangun Adulto",60,""))))))))))))))))))))</f>
        <v/>
      </c>
      <c r="BB37" s="10" t="str">
        <f>IF(BC37&lt;&gt;"","Chanquan Grupo A","")</f>
        <v/>
      </c>
      <c r="BC37" s="52" t="str">
        <f>IF(COUNTIF(AY:BA,110)&gt;0,COUNTIF(AY:BA,110),"")</f>
        <v/>
      </c>
      <c r="BD37" s="10" t="str">
        <f>IF(BE37&lt;&gt;"","Chanquan Grupo A","")</f>
        <v/>
      </c>
      <c r="BE37" s="52" t="str">
        <f>IF(COUNTIF(AY:BA,210)&gt;0,COUNTIF(AY:BA,210),"")</f>
        <v/>
      </c>
      <c r="BF37" s="52" t="str">
        <f>IF(Atletas!J33="","",IF(Atletas!B33="Feminino",100,IF(Atletas!B33="Masculino",200,""))+(IF(Atletas!J33="Equipe 1 Grupo B",1,IF(Atletas!J33="Equipe 2 Grupo B",2,IF(Atletas!J33="Equipe 1 Grupo A",3,IF(Atletas!J33="Equipe 2 Grupo A",4,IF(Atletas!J33="Equipe 1 Adulto",5,IF(Atletas!J33="Equipe 2 Adulto",6,""))))))))</f>
        <v/>
      </c>
      <c r="BK37" s="52" t="str">
        <f>IF(Atletas!K33="","",IF(Atletas!W33&lt;&gt;"",10000,0)+(IF(Atletas!B33="Feminino",1000,IF(Atletas!B33="Masculino",2000,""))+IF(Atletas!K33="Choylayfut A",1,IF(Atletas!K33="Hunggar A",2,IF(Atletas!K33="Wuzuquan A",3,IF(Atletas!K33="Wingchun A",4,IF(Atletas!K33="Outra Mão de Sul A",5,IF(Atletas!K33="Choylayfut B",6,IF(Atletas!K33="Hunggar B",7,IF(Atletas!K33="Wuzuquan B",8,IF(Atletas!K33="Wingchun B",9,IF(Atletas!K33="Outra Mão de Sul B",10,IF(Atletas!K33="Choylayfut C",11,IF(Atletas!K33="Hunggar C",12,IF(Atletas!K33="Wuzuquan C",13,IF(Atletas!K33="Wingchun C",14,IF(Atletas!K33="Outra Mão de Sul C",15,IF(Atletas!K33="Choylayfut D",16,IF(Atletas!K33="Hunggar D",17,IF(Atletas!K33="Wuzuquan D",18,IF(Atletas!K33="Wingchun D",19,IF(Atletas!K33="Outra Mão de Sul D",20,IF(Atletas!K33="Choylayfut E",21,IF(Atletas!K33="Hunggar E",22,IF(Atletas!K33="Wuzuquan E",23,IF(Atletas!K33="Wingchun E",24,IF(Atletas!K33="Outra Mão de Sul E",25,IF(Atletas!K33="Choylayfut F",26,IF(Atletas!K33="Hunggar F",27,IF(Atletas!K33="Wuzuquan F",28,IF(Atletas!K33="Wingchun F",29,IF(Atletas!K33="Outra Mão de Sul F",30,""))))))))))))))))))))))))))))))))</f>
        <v/>
      </c>
      <c r="BL37" s="52" t="str">
        <f>IF(Atletas!L33="","",IF(Atletas!W33&lt;&gt;"",10000,0)+(IF(Atletas!B33="Feminino",1000,IF(Atletas!B33="Masculino",2000,""))+(IF(Atletas!L33="Chaquan A",101,IF(Atletas!L33="Emeiquan A",102,IF(Atletas!L33="Fanziquan A",103,IF(Atletas!L33="Huaquan A",104,IF(Atletas!L33="Hongquan A",105,IF(Atletas!L33="Paochui A",106,IF(Atletas!L33="Piguaquan A",107,IF(Atletas!L33="Shaolinquan A",108,IF(Atletas!L33="Tanglangquan A",109,IF(Atletas!L33="Yinzhaophai A",110,IF(Atletas!L33="Tongbeiquan A",111,IF(Atletas!L33="Wudangquan A",112,IF(Atletas!L33="Outros Estilos A",113,IF(Atletas!L33="Chaquan B",114,IF(Atletas!L33="Emeiquan B",115,IF(Atletas!L33="Fanziquan B",116,IF(Atletas!L33="Huaquan B",117,IF(Atletas!L33="Hongquan B",118,IF(Atletas!L33="Paochui B",119,IF(Atletas!L33="Piguaquan B",120,IF(Atletas!L33="Shaolinquan B",121,IF(Atletas!L33="Tanglangquan B",122,IF(Atletas!L33="Yinzhaophai B",123,IF(Atletas!L33="Tongbeiquan B",124,IF(Atletas!L33="Wudangquan B",125,IF(Atletas!L33="Outros Estilos B",126,IF(Atletas!L33="Chaquan C",127,IF(Atletas!L33="Emeiquan C",128,IF(Atletas!L33="Fanziquan C",129,IF(Atletas!L33="Huaquan C",130,IF(Atletas!L33="Hongquan C",131,IF(Atletas!L33="Paochui C",132,IF(Atletas!L33="Piguaquan C",133,IF(Atletas!L33="Shaolinquan C",134,IF(Atletas!L33="Tanglangquan C",135,IF(Atletas!L33="Yinzhaophai C",136,IF(Atletas!L33="Tongbeiquan C",137,IF(Atletas!L33="Wudangquan C",138,IF(Atletas!L33="Outros Estilos C",139,0))))))))))))))))))))))))))))))))))))))))))</f>
        <v/>
      </c>
      <c r="BM37" s="52" t="str">
        <f>IF(Atletas!L33="","",IF(Atletas!W33&lt;&gt;"",10000,0)+(IF(Atletas!B33="Feminino",1000,IF(Atletas!B33="Masculino",2000,""))+(IF(Atletas!L33="Chaquan D",140,IF(Atletas!L33="Emeiquan D",141,IF(Atletas!L33="Fanziquan D",142,IF(Atletas!L33="Huaquan D",143,IF(Atletas!L33="Hongquan D",144,IF(Atletas!L33="Paochui D",145,IF(Atletas!L33="Piguaquan D",146,IF(Atletas!L33="Shaolinquan D",147,IF(Atletas!L33="Tanglangquan D",148,IF(Atletas!L33="Yinzhaophai D",149,IF(Atletas!L33="Tongbeiquan D",150,IF(Atletas!L33="Wudangquan D",151,IF(Atletas!L33="Outros Estilos D",152,IF(Atletas!L33="Chaquan E",153,IF(Atletas!L33="Emeiquan E",154,IF(Atletas!L33="Fanziquan E",155,IF(Atletas!L33="Huaquan E",156,IF(Atletas!L33="Hongquan E",157,IF(Atletas!L33="Paochui E",158,IF(Atletas!L33="Piguaquan E",159,IF(Atletas!L33="Shaolinquan E",160,IF(Atletas!L33="Tanglangquan E",161,IF(Atletas!L33="Yinzhaophai E",162,IF(Atletas!L33="Tongbeiquan E",163,IF(Atletas!L33="Wudangquan E",164,IF(Atletas!L33="Outros Estilos E",165,IF(Atletas!L33="Chaquan F",166,IF(Atletas!L33="Emeiquan F",167,IF(Atletas!L33="Fanziquan F",168,IF(Atletas!L33="Huaquan F",169,IF(Atletas!L33="Hongquan F",170,IF(Atletas!L33="Paochui F",171,IF(Atletas!L33="Piguaquan F",172,IF(Atletas!L33="Shaolinquan F",173,IF(Atletas!L33="Tanglangquan F",174,IF(Atletas!L33="Yinzhaophai F",175,IF(Atletas!L33="Tongbeiquan F",176,IF(Atletas!L33="Wudangquan F",177,IF(Atletas!L33="Outros Estilos F",178,0))))))))))))))))))))))))))))))))))))))))))</f>
        <v/>
      </c>
      <c r="BN37" s="52" t="str">
        <f>IF(Atletas!M33="","",IF(Atletas!W33&lt;&gt;"",10000,0)+(IF(Atletas!B33="Feminino",1000,IF(Atletas!B33="Masculino",2000,""))+(IF(Atletas!M33="Ditangquan A",201,IF(Atletas!M33="Houquan A",202,IF(Atletas!M33="Zuiquan A",203,IF(Atletas!M33="Ditangquan B",204,IF(Atletas!M33="Houquan B",205,IF(Atletas!M33="Zuiquan B",206,IF(Atletas!M33="Ditangquan C",207,IF(Atletas!M33="Houquan C",208,IF(Atletas!M33="Zuiquan C",209,IF(Atletas!M33="Ditangquan D",210,IF(Atletas!M33="Houquan D",211,IF(Atletas!M33="Zuiquan D",212,IF(Atletas!M33="Ditangquan E",213,IF(Atletas!M33="Houquan E",214,IF(Atletas!M33="Zuiquan E",215,IF(Atletas!M33="Ditangquan F",216,IF(Atletas!M33="Houquan F",217,IF(Atletas!M33="Zuiquan F",218,"")))))))))))))))))))))</f>
        <v/>
      </c>
      <c r="BO37" s="52" t="str">
        <f>IF(Atletas!N33="","",IF(Atletas!W33&lt;&gt;"",10000,0)+IF(Atletas!B33="Feminino",1000,IF(Atletas!B33="Masculino",2000,""))+IF(Atletas!N33="Yang A",301,IF(Atletas!N33="Chen A",30,IF(Atletas!N33="Sun A",303,IF(Atletas!N33="Wu A",304,IF(Atletas!N33="Wu-Hao A",305,IF(Atletas!N33="Outro Taijiquan A",306,IF(Atletas!N33="Yang B",307,IF(Atletas!N33="Chen B",308,IF(Atletas!N33="Sun B",309,IF(Atletas!N33="Wu B",310,IF(Atletas!N33="Wu-Hao B",311,IF(Atletas!N33="Outro Taijiquan B",312,IF(Atletas!N33="Yang C",313,IF(Atletas!N33="Chen C",314,IF(Atletas!N33="Sun C",315,IF(Atletas!N33="Wu C",316,IF(Atletas!N33="Wu-Hao C",317,IF(Atletas!N33="Outro Taijiquan C",318,IF(Atletas!N33="Yang D",319,IF(Atletas!N33="Chen D",320,IF(Atletas!N33="Sun D",321,IF(Atletas!N33="Wu D",322,IF(Atletas!N33="Wu-Hao D",323,IF(Atletas!N33="Outro Taijiquan D",324,IF(Atletas!N33="Yang E",325,IF(Atletas!N33="Chen E",326,IF(Atletas!N33="Sun E",327,IF(Atletas!N33="Wu E",328,IF(Atletas!N33="Wu-Hao E",329,IF(Atletas!N33="Outro Taijiquan E",330,IF(Atletas!N33="Yang F",331,IF(Atletas!N33="Chen F",332,IF(Atletas!N33="Sun F",333,IF(Atletas!N33="Wu F",334,IF(Atletas!N33="Wu-Hao F",335,IF(Atletas!N33="Outro Taijiquan F",336,"")))))))))))))))))))))))))))))))))))))</f>
        <v/>
      </c>
      <c r="BP37" s="52" t="str">
        <f>IF(Atletas!O33="","",IF(Atletas!W33&lt;&gt;"",10000,0)+IF(Atletas!B33="Feminino",1000,IF(Atletas!B33="Masculino",2000,""))+IF(OR(Atletas!O33="Yang 26 A",Atletas!O33="Yang 40 A"),401,IF(OR(Atletas!O33="Chen 25 A",Atletas!O33="Chen 36 A",Atletas!O33="Chen 56 A"),402,IF(Atletas!O33="Sun 73 A",403,IF(Atletas!O33="Wu 45 A",404,IF(Atletas!O33="Wu-Hao 46 A",405,IF(OR(Atletas!O33="Taijiquan 16 A",Atletas!O33="Taijiquan 24 A",Atletas!O33="Taijiquan 32 A",Atletas!O33="Taijiquan 42 A"),406,IF(OR(Atletas!O33="Yang 26 B",Atletas!O33="Yang 40 B"),407,IF(OR(Atletas!O33="Chen 25 B",Atletas!O33="Chen 36 B",Atletas!O33="Chen 56 B"),408,IF(Atletas!O33="Sun 73 B",409,IF(Atletas!O33="Wu 45 B",410,IF(Atletas!O33="Wu-Hao 46 B",411,IF(OR(Atletas!O33="Taijiquan 16 B",Atletas!O33="Taijiquan 24 B",Atletas!O33="Taijiquan 32 B",Atletas!O33="Taijiquan 42 B"),412,IF(OR(Atletas!O33="Yang 26 C",Atletas!O33="Yang 40 C"),413,IF(OR(Atletas!O33="Chen 25 C",Atletas!O33="Chen 36 C",Atletas!O33="Chen 56 C"),414,IF(Atletas!O33="Sun 73 C",415,IF(Atletas!O33="Wu 45 C",416,IF(Atletas!O33="Wu-Hao 46 C",417,IF(OR(Atletas!O33="Taijiquan 16 C",Atletas!O33="Taijiquan 24 C",Atletas!O33="Taijiquan 32 C",Atletas!O33="Taijiquan 42 C"),418,0)))))))))))))))))))</f>
        <v/>
      </c>
      <c r="BQ37" s="52" t="str">
        <f>IF(Atletas!O33="","",IF(Atletas!W33&lt;&gt;"",10000,0)+IF(Atletas!B33="Feminino",1000,IF(Atletas!B33="Masculino",2000,""))+IF(OR(Atletas!O33="Yang 26 D",Atletas!O33="Yang 40 D"),419,IF(OR(Atletas!O33="Chen 25 D",Atletas!O33="Chen 36 D",Atletas!O33="Chen 56 D"),420,IF(Atletas!O33="Sun 73 D",421,IF(Atletas!O33="Wu 45 D",422,IF(Atletas!O33="Wu-Hao 46 D",423,IF(OR(Atletas!O33="Taijiquan 16 D",Atletas!O33="Taijiquan 24 D",Atletas!O33="Taijiquan 32 D",Atletas!O33="Taijiquan 42 D"),424,IF(OR(Atletas!O33="Yang 26 E",Atletas!O33="Yang 40 E"),425,IF(OR(Atletas!O33="Chen 25 E",Atletas!O33="Chen 36 E",Atletas!O33="Chen 56 E"),426,IF(Atletas!O33="Sun 73 E",427,IF(Atletas!O33="Wu 45 E",428,IF(Atletas!O33="Wu-Hao 46 E",429,IF(OR(Atletas!O33="Taijiquan 16 E",Atletas!O33="Taijiquan 24 E",Atletas!O33="Taijiquan 32 E",Atletas!O33="Taijiquan 42 E"),430,IF(OR(Atletas!O33="Yang 26 F",Atletas!O33="Yang 40 F"),431,IF(OR(Atletas!O33="Chen 25 F",Atletas!O33="Chen 36 F",Atletas!O33="Chen 56 F"),432,IF(Atletas!O33="Sun 73 F",433,IF(Atletas!O33="Wu 45 F",434,IF(Atletas!O33="Wu-Hao 46 F",435,IF(OR(Atletas!O33="Taijiquan 16 F",Atletas!O33="Taijiquan 24 F",Atletas!O33="Taijiquan 32 F",Atletas!O33="Taijiquan 42 F"),436,0)))))))))))))))))))</f>
        <v/>
      </c>
      <c r="BR37" s="52" t="str">
        <f>IF(Atletas!P33="","",IF(Atletas!W33&lt;&gt;"",10000,0)+IF(Atletas!B33="Feminino",1000,IF(Atletas!B33="Masculino",2000,""))+IF(Atletas!P33="Xingyiquan A",501,IF(Atletas!P33="Baguazhang A",502,IF(Atletas!P33="Outro Estilo Interno A",503,IF(Atletas!P33="Xingyiquan B",504,IF(Atletas!P33="Baguazhang B",505,IF(Atletas!P33="Outro Estilo Interno B",506,IF(Atletas!P33="Xingyiquan C",507,IF(Atletas!P33="Baguazhang C",508,IF(Atletas!P33="Outro Estilo Interno C",509,IF(Atletas!P33="Xingyiquan D",510,IF(Atletas!P33="Baguazhang D",511,IF(Atletas!P33="Outro Estilo Interno D",512,IF(Atletas!P33="Xingyiquan E",513,IF(Atletas!P33="Baguazhang E",514,IF(Atletas!P33="Outro Estilo Interno E",515,IF(Atletas!P33="Xingyiquan F",516,IF(Atletas!P33="Baguazhang F",517,IF(Atletas!P33="Outro Estilo Interno F",518, "")))))))))))))))))))</f>
        <v/>
      </c>
      <c r="BS37" s="52" t="str">
        <f>IF(Atletas!Q33="","",IF(Atletas!W33&lt;&gt;"",10000,0)+IF(Atletas!B33="Feminino",1000,IF(Atletas!B33="Masculino",2000,""))+IF(Atletas!Q33="Dao A",601,IF(Atletas!Q33="Jian A",602,IF(Atletas!Q33="Bishou A",603,IF(Atletas!Q33="Shan A",604,IF(Atletas!Q33="Outra Arma Curta A",605,IF(Atletas!Q33="Dao B",606,IF(Atletas!Q33="Jian B",607,IF(Atletas!Q33="Bishou B",608,IF(Atletas!Q33="Shan B",609,IF(Atletas!Q33="Outra Arma Curta B",610,IF(Atletas!Q33="Dao C",611,IF(Atletas!Q33="Jian C",612,IF(Atletas!Q33="Bishou C",613,IF(Atletas!Q33="Shan C",614,IF(Atletas!Q33="Outra Arma Curta C",615,IF(Atletas!Q33="Dao D",616,IF(Atletas!Q33="Jian D",617,IF(Atletas!Q33="Bishou D",618,IF(Atletas!Q33="Shan D",619,IF(Atletas!Q33="Outra Arma Curta D",620,IF(Atletas!Q33="Dao E",621,IF(Atletas!Q33="Jian E",622,IF(Atletas!Q33="Bishou E",623,IF(Atletas!Q33="Shan E",624,IF(Atletas!Q33="Outra Arma Curta E",625,IF(Atletas!Q33="Dao F",626,IF(Atletas!Q33="Jian F",627,IF(Atletas!Q33="Bishou F",628,IF(Atletas!Q33="Shan F",629,IF(Atletas!Q33="Outra Arma Curta F",630, "")))))))))))))))))))))))))))))))</f>
        <v/>
      </c>
      <c r="BT37" s="52" t="str">
        <f>IF(Atletas!R33="","",IF(Atletas!W33&lt;&gt;"",10000,0)+IF(Atletas!B33="Feminino",1000,IF(Atletas!B33="Masculino",2000,""))+IF(Atletas!R33="Gun A",701,IF(Atletas!R33="Qiang A",702,IF(Atletas!R33="Pudao / Guandao A",703,IF(Atletas!R33="Outra Arma Longa A",704,IF(Atletas!R33="Gun B",705,IF(Atletas!R33="Qiang B",706,IF(Atletas!R33="Pudao / Guandao B",707,IF(Atletas!R33="Outra Arma Longa B",708,IF(Atletas!R33="Gun C",709,IF(Atletas!R33="Qiang C",710,IF(Atletas!R33="Pudao / Guandao C",711,IF(Atletas!R33="Outra Arma Longa C",712,IF(Atletas!R33="Gun D",713,IF(Atletas!R33="Qiang D",714,IF(Atletas!R33="Pudao / Guandao D",715,IF(Atletas!R33="Outra Arma Longa D",716,IF(Atletas!R33="Gun E",717,IF(Atletas!R33="Qiang E",718,IF(Atletas!R33="Pudao / Guandao E",719,IF(Atletas!R33="Outra Arma Longa E",720,IF(Atletas!R33="Gun F",721,IF(Atletas!R33="Qiang F",722,IF(Atletas!R33="Pudao / Guandao F",723,IF(Atletas!R33="Outra Arma Longa F",724,"")))))))))))))))))))))))))</f>
        <v/>
      </c>
      <c r="BU37" s="52" t="str">
        <f>IF(Atletas!S33="","",IF(Atletas!W33&lt;&gt;"",10000,0)+IF(Atletas!B33="Feminino",1000,IF(Atletas!B33="Masculino",2000,""))+IF(Atletas!S33="Arma Dupla A",801,IF(Atletas!S33="Arma Maleável A",802,IF(Atletas!S33="Arma Dupla B",803,IF(Atletas!S33="Arma Maleável B",804,IF(Atletas!S33="Arma Dupla C",805,IF(Atletas!S33="Arma Maleável C",806,IF(Atletas!S33="Arma Dupla D",807,IF(Atletas!S33="Arma Maleável D",808,IF(Atletas!S33="Arma Dupla E",809,IF(Atletas!S33="Arma Maleável E",810,IF(Atletas!S33="Arma Dupla F",811,IF(Atletas!S33="Arma Maleável F",812, "")))))))))))))</f>
        <v/>
      </c>
      <c r="BV37" s="52" t="str">
        <f>IF(Atletas!T33="","",IF(Atletas!W33&lt;&gt;"",10000,0)+IF(Atletas!B33="Feminino",1000,IF(Atletas!B33="Masculino",2000,""))+IF(Atletas!T33="Taijijian Yang A",901,IF(Atletas!T33="Taijijian Chen A",902,IF(Atletas!T33="Taijijian Sun A",903,IF(Atletas!T33="Taijijian Wu A",904,IF(Atletas!T33="Taijijian Wu-Hao A",905,IF(Atletas!T33="Taijijian 32 A",906,IF(Atletas!T33="Taijijian 42 A",907,IF(Atletas!T33="Taijijian Yang B",908,IF(Atletas!T33="Taijijian Chen B",909,IF(Atletas!T33="Taijijian Sun B",910,IF(Atletas!T33="Taijijian Wu B",911,IF(Atletas!T33="Taijijian Wu-Hao B",912,IF(Atletas!T33="Taijijian 32 B",913,IF(Atletas!T33="Taijijian 42 B",914,IF(Atletas!T33="Taijijian Yang C",915,IF(Atletas!T33="Taijijian Chen C",916,IF(Atletas!T33="Taijijian Sun C",917,IF(Atletas!T33="Taijijian Wu C",918,IF(Atletas!T33="Taijijian Wu-Hao C",919,IF(Atletas!T33="Taijijian 32 C",920,IF(Atletas!T33="Taijijian 42 C",921,IF(Atletas!T33="Taijijian Yang D",922,IF(Atletas!T33="Taijijian Chen D",923,IF(Atletas!T33="Taijijian Sun D",924,IF(Atletas!T33="Taijijian Wu D",925,IF(Atletas!T33="Taijijian Wu-Hao D",926,IF(Atletas!T33="Taijijian 32 D",927,IF(Atletas!T33="Taijijian 42 D",928,IF(Atletas!T33="Taijijian Yang E",929,IF(Atletas!T33="Taijijian Chen E",930,IF(Atletas!T33="Taijijian Sun E",931,IF(Atletas!T33="Taijijian Wu E",932,IF(Atletas!T33="Taijijian Wu-Hao E",933,IF(Atletas!T33="Taijijian 32 E",934,IF(Atletas!T33="Taijijian 42 E",935,IF(Atletas!T33="Taijijian Yang F",936,IF(Atletas!T33="Taijijian Chen F",937,IF(Atletas!T33="Taijijian Sun F",938,IF(Atletas!T33="Taijijian Wu F",939,IF(Atletas!T33="Taijijian Wu-Hao F",940,IF(Atletas!T33="Taijijian 32 F",941,IF(Atletas!T33="Taijijian 42 F",942,"")))))))))))))))))))))))))))))))))))))))))))</f>
        <v/>
      </c>
      <c r="BW37" s="52" t="str">
        <f>IF(Atletas!U33="","",IF(Atletas!W33&lt;&gt;"",10000,0)+IF(Atletas!B33="Feminino",1000,IF(Atletas!B33="Masculino",2000,""))+IF(Atletas!T33="Taijijian 42 F",942,IF(Atletas!U33="Taijidao A",943,IF(Atletas!U33="Taijishan A",944,IF(Atletas!U33="Taijiqiang A",945,IF(Atletas!U33="Taijidao B",946,IF(Atletas!U33="Taijishan B",947,IF(Atletas!U33="Taijiqiang B",948,IF(Atletas!U33="Taijidao C",949,IF(Atletas!U33="Taijishan C",950,IF(Atletas!U33="Taijiqiang C",951,IF(Atletas!U33="Taijidao D",952,IF(Atletas!U33="Taijishan D",953,IF(Atletas!U33="Taijiqiang D",954,IF(Atletas!U33="Taijidao E",955,IF(Atletas!U33="Taijishan E",956,IF(Atletas!U33="Taijiqiang E",957,IF(Atletas!U33="Taijidao F",958,IF(Atletas!U33="Taijishan F",959,IF(Atletas!U33="Taijiqiang F",960))))))))))))))))))))</f>
        <v/>
      </c>
      <c r="BX37" s="64" t="str">
        <f>IF(BY37&lt;&gt;"","Chaquan A","")</f>
        <v/>
      </c>
      <c r="BY37" s="64" t="str">
        <f>IF(COUNTIF(BK:BW,1101)&gt;0,COUNTIF(BK:BW,1101),"")</f>
        <v/>
      </c>
      <c r="BZ37" s="64" t="str">
        <f>IF(CA37&lt;&gt;"","Chaquan A","")</f>
        <v/>
      </c>
      <c r="CA37" s="64" t="str">
        <f>IF(COUNTIF(BK:BW,2101)&gt;0,COUNTIF(BK:BW,2101),"")</f>
        <v/>
      </c>
      <c r="CB37" s="64" t="str">
        <f>IF(CC37&lt;&gt;"","Chaquan A","")</f>
        <v/>
      </c>
      <c r="CC37" s="64" t="str">
        <f>IF(COUNTIF(BK:BW,11101)&gt;0,COUNTIF(BK:BW,11101),"")</f>
        <v/>
      </c>
      <c r="CD37" s="64" t="str">
        <f>IF(CE37&lt;&gt;"","Chaquan A","")</f>
        <v/>
      </c>
      <c r="CE37" s="64" t="str">
        <f>IF(COUNTIF(BK:BW,12101)&gt;0,COUNTIF(BK:BW,12101),"")</f>
        <v/>
      </c>
      <c r="CF37" s="52" t="str">
        <f xml:space="preserve"> IF(Atletas!V33="","",IF(Atletas!V33="Duilian de Mãos AB - Equipe 1",1,IF(Atletas!V33="Duilian de Mãos AB - Equipe 2",2,IF(Atletas!V33="Duilian de Armas AB - Equipe 1",3,IF(Atletas!V33="Duilian de Armas AB - Equipe 2",4,IF(Atletas!V33="Duilian de Tuishou - Equipe 1",5,IF(Atletas!V33="Duilian de Tuishou - Equipe 2",6,IF(Atletas!V33="Grupo Externo AB - Equipe 1",7,IF(Atletas!V33="Grupo Externo AB - Equipe 2",8,IF(Atletas!V33="Grupo Interno AB - Equipe 1",9,IF(Atletas!V33="Grupo Interno AB - Equipe 2",10,IF(Atletas!V33="Duilian de Mãos CD - Equipe 1",11,IF(Atletas!V33="Duilian de Mãos CD - Equipe 2",12,IF(Atletas!V33="Duilian de Armas CD - Equipe 1",13,IF(Atletas!V33="Duilian de Armas CD - Equipe 2",14,IF(Atletas!V33="Duilian de Tuishou - Equipe 1",15,IF(Atletas!V33="Duilian de Tuishou - Equipe 2",16,IF(Atletas!V33="Grupo Externo CDEF - Equipe 1",17,IF(Atletas!V33="Grupo Externo CDEF - Equipe 2",18,IF(Atletas!V33="Grupo Interno CDEF - Equipe 1",19,IF(Atletas!V33="Grupo Interno CDEF - Equipe 2",20,IF(Atletas!V33="Duilian de Mãos EF - Equipe 1",21,IF(Atletas!V33="Duilian de Mãos EF - Equipe 2",22,IF(Atletas!V33="Duilian de Armas EF - Equipe 1",23,IF(Atletas!V33="Duilian de Armas EF - Equipe 2",24,IF(Atletas!V33="Duilian de Tuishou - Equipe 1",25,IF(Atletas!V33="Duilian de Tuishou - Equipe 2",26,"")))))))))))))))))))))))))))</f>
        <v/>
      </c>
      <c r="CR37" s="71"/>
    </row>
    <row r="38" spans="2:96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 t="str">
        <f t="array" ref="N38">IFERROR(INDEX(BB$7:BB$66,SMALL(IF(BB$7:BB$66&lt;&gt;"",ROW(BB$7:BB$66)-ROW(BB$7)+1),ROWS(BB$7:BB37))),"")</f>
        <v/>
      </c>
      <c r="O38" s="4" t="str">
        <f t="array" ref="O38">IFERROR(INDEX(BC$7:BC$66,SMALL(IF(BC$7:BC$66&lt;&gt;"",ROW(BC$7:BC$66)-ROW(BC$7)+1),ROWS(BC$7:BC37))),"")</f>
        <v/>
      </c>
      <c r="P38" s="4" t="str">
        <f t="array" ref="P38">IFERROR(INDEX(BD$7:BD$66,SMALL(IF(BD$7:BD$66&lt;&gt;"",ROW(BD$7:BD$66)-ROW(BD$7)+1),ROWS(BD$7:BD37))),"")</f>
        <v/>
      </c>
      <c r="Q38" s="4" t="str">
        <f t="array" ref="Q38">IFERROR(INDEX(BE$7:BE$66,SMALL(IF(BE$7:BE$66&lt;&gt;"",ROW(BE$7:BE$66)-ROW(BE$7)+1),ROWS(BE$7:BE37))),"")</f>
        <v/>
      </c>
      <c r="R38" s="4"/>
      <c r="S38" s="4"/>
      <c r="T38" s="31"/>
      <c r="U38" s="4"/>
      <c r="V38" s="4" t="str">
        <f t="array" ref="V38">IFERROR(INDEX(BX$7:BX$336,SMALL(IF(BX$7:BX$336&lt;&gt;"",ROW(BX$7:BX$336)-ROW(BX$7)+1),ROWS(BX$7:BX37))),"")</f>
        <v/>
      </c>
      <c r="W38" s="4" t="str">
        <f t="array" ref="W38">IFERROR(INDEX(BY$7:BY$336,SMALL(IF(BY$7:BY$336&lt;&gt;"",ROW(BY$7:BY$336)-ROW(BY$7)+1),ROWS(BY$7:BY37))),"")</f>
        <v/>
      </c>
      <c r="X38" s="4" t="str">
        <f t="array" ref="X38">IFERROR(INDEX(BZ$7:BZ$336,SMALL(IF(BZ$7:BZ$336&lt;&gt;"",ROW(BZ$7:BZ$336)-ROW(BZ$7)+1),ROWS(BZ$7:BZ37))),"")</f>
        <v/>
      </c>
      <c r="Y38" s="4" t="str">
        <f t="array" ref="Y38">IFERROR(INDEX(CA$7:CA$336,SMALL(IF(CA$7:CA$336&lt;&gt;"",ROW(CA$7:CA$336)-ROW(CA$7)+1),ROWS(CA$7:CA37))),"")</f>
        <v/>
      </c>
      <c r="Z38" s="4" t="str">
        <f t="array" ref="Z38">IFERROR(INDEX(CB$7:CB$378,SMALL(IF(CB$7:CB$378&lt;&gt;"",ROW(CB$7:CB$378)-ROW(CB$7)+1),ROWS(CB$7:CB37))),"")</f>
        <v/>
      </c>
      <c r="AA38" s="4" t="str">
        <f t="array" ref="AA38">IFERROR(INDEX(CC$7:CC$378,SMALL(IF(CC$7:CC$378&lt;&gt;"",ROW(CC$7:CC$378)-ROW(CC$7)+1),ROWS(CC$7:CC37))),"")</f>
        <v/>
      </c>
      <c r="AB38" s="4" t="str">
        <f t="array" ref="AB38">IFERROR(INDEX(CD$7:CD$378,SMALL(IF(CD$7:CD$378&lt;&gt;"",ROW(CD$7:CD$378)-ROW(CD$7)+1),ROWS(CD$7:CD37))),"")</f>
        <v/>
      </c>
      <c r="AC38" s="4" t="str">
        <f t="array" ref="AC38">IFERROR(INDEX(CE$7:CE$378,SMALL(IF(CE$7:CE$378&lt;&gt;"",ROW(CE$7:CE$378)-ROW(CE$7)+1),ROWS(CE$7:CE37))),"")</f>
        <v/>
      </c>
      <c r="AD38" s="31"/>
      <c r="AE38" s="31"/>
      <c r="AF38" s="31"/>
      <c r="AG38" s="31"/>
      <c r="AH38" s="31"/>
      <c r="AI38" s="4"/>
      <c r="AJ38" s="46" t="str">
        <f>IF(Atletas!D34="","",IF(Atletas!B34="Feminino",100,IF(Atletas!B34="Masculino",200,""))+(IF(Atletas!D34="Infantil 39kg",1,IF(Atletas!D34="Infantil 42kg",2,IF(Atletas!D34="Infantil 45kg",3,IF(Atletas!D34="Infantil 48kg",4,IF(Atletas!D34="Infantil 52kg",5,IF(Atletas!D34="Infantil 56kg",6,IF(Atletas!D34="Infantil 60kg",7,IF(Atletas!D34="Juvenil 48kg",8,IF(Atletas!D34="Juvenil 52kg",9,IF(Atletas!D34="Juvenil 56kg",10,IF(Atletas!D34="Juvenil 60kg",11,IF(Atletas!D34="Juvenil 65kg",12,IF(Atletas!D34="Juvenil 70kg",13,IF(Atletas!D34="Juvenil 75kg",14,IF(Atletas!D34="Juvenil 80kg",15,IF(Atletas!D34="Adulto 48kg",16,IF(Atletas!D34="Adulto 52kg",17,IF(Atletas!D34="Adulto 56kg",18,IF(Atletas!D34="Adulto 60kg",19,IF(Atletas!D34="Adulto 65kg",20,IF(Atletas!D34="Adulto 70kg",21,IF(Atletas!D34="Adulto 75kg",22,IF(Atletas!D34="Adulto 80kg",23,IF(Atletas!D34="Adulto 85kg",24,IF(Atletas!D34="Adulto 90kg",25,IF(Atletas!D34="Adulto +90kg",26,""))))))))))))))))))))))))))))</f>
        <v/>
      </c>
      <c r="AO38" s="10" t="str">
        <f>IF(Atletas!E34="","",IF(Atletas!B34="Feminino",100,IF(Atletas!B34="Masculino",200,""))+(IF(Atletas!E34="Juvenil 44kg",1,IF(Atletas!E34="Juvenil 48kg",2,IF(Atletas!E34="Juvenil 52kg",3,IF(Atletas!E34="Juvenil 56kg",4,IF(Atletas!E34="Juvenil 60kg",5,IF(Atletas!E34="Juvenil 65kg",6,IF(Atletas!E34="Juvenil 70kg",7,IF(Atletas!E34="Juvenil 75kg",8,IF(Atletas!E34="Juvenil 82kg",9,IF(Atletas!E34="Juvenil 90kg",10,IF(Atletas!E34="Juvenil 100kg",11,IF(Atletas!E34="Adulto 48kg",12,IF(Atletas!E34="Adulto 52kg",13,IF(Atletas!E34="Adulto 56kg",14,IF(Atletas!E34="Adulto 60kg",15,IF(Atletas!E34="Adulto 65kg",16,IF(Atletas!E34="Adulto 70kg",17,IF(Atletas!E34="Adulto 75kg",18,IF(Atletas!E34="Adulto 82kg",19,IF(Atletas!E34="Adulto 90kg",20,IF(Atletas!E34="Adulto 100kg",21,IF(Atletas!E34="Adulto +100kg",22,""))))))))))))))))))))))))</f>
        <v/>
      </c>
      <c r="AT38" s="10" t="str">
        <f>IF(Atletas!F34="","",IF(Atletas!B34="Feminino",100,IF(Atletas!B34="Masculino",200,""))+(IF(Atletas!F34="Adulto 48kg",1,IF(Atletas!F34="Adulto 56kg",2,IF(Atletas!F34="Adulto 65kg",3,IF(Atletas!F34="Adulto 75kg",4,IF(Atletas!F34="Adulto +75kg",5,IF(Atletas!F34="Adulto 52kg",6,IF(Atletas!F34="Adulto 60kg",7,IF(Atletas!F34="Adulto 70kg",8,IF(Atletas!F34="Adulto 80kg",9,IF(Atletas!F34="Adulto 90kg",10,IF(Atletas!F34="Adulto +90kg",11,"")))))))))))))</f>
        <v/>
      </c>
      <c r="AY38" s="46" t="str">
        <f>IF(Atletas!G34="","",IF(Atletas!B34="Feminino",100,IF(Atletas!B34="Masculino",200,""))+(IF(Atletas!G34="Changquan Mirim",1,IF(Atletas!G34="Nanquan Mirim",2,IF(Atletas!G34="Taijiquan Mirim",3,IF(Atletas!G34="Changquan Grupo C",4,IF(Atletas!G34="Nanquan Grupo C",5,IF(Atletas!G34="Taijiquan Grupo C",6,IF(Atletas!G34="Changquan Grupo B",7,IF(Atletas!G34="Nanquan Grupo B",8,IF(Atletas!G34="Taijiquan Grupo B",9,IF(Atletas!G34="Changquan Grupo A",10,IF(Atletas!G34="Nanquan Grupo A",11,IF(Atletas!G34="Taijiquan Grupo A",12,IF(Atletas!G34="Changquan Opcional",13,IF(Atletas!G34="Nanquan Opcional",14,IF(Atletas!G34="Taijiquan Opcional",15,IF(Atletas!G34="Changquan Adulto",16,IF(Atletas!G34="Nanquan Adulto",17,IF(Atletas!G34="Taijiquan Adulto",18,""))))))))))))))))))))</f>
        <v/>
      </c>
      <c r="AZ38" s="46" t="str">
        <f>IF(Atletas!H34="","",IF(Atletas!B34="Feminino",100,IF(Atletas!B34="Masculino",200,""))+(IF(Atletas!H34="Daoshu Mirim",19,IF(Atletas!H34="Jianshu Mirim",20,IF(Atletas!H34="Nandao Mirim",21,IF(Atletas!H34="Taijijian Mirim",22,IF(Atletas!H34="Daoshu Grupo C",23,IF(Atletas!H34="Jianshu Grupo C",24,IF(Atletas!H34="Nandao Grupo C",25,IF(Atletas!H34="Taijijian Grupo C",26,IF(Atletas!H34="Daoshu Grupo B",27,IF(Atletas!H34="Jianshu Grupo B",28,IF(Atletas!H34="Nandao Grupo B",29,IF(Atletas!H34="Taijijian Grupo B",30,IF(Atletas!H34="Daoshu Grupo A",31,IF(Atletas!H34="Jianshu Grupo A",32,IF(Atletas!H34="Nandao Grupo A",33,IF(Atletas!H34="Taijijian Grupo A",34,IF(Atletas!H34="Daoshu Opcional",35,IF(Atletas!H34="Jianshu Opcional",36,IF(Atletas!H34="Nandao Opcional",37,IF(Atletas!H34="Taijijian Opcional",38,IF(Atletas!H34="Daoshu Adulto",39,IF(Atletas!H34="Jianshu Adulto",40,IF(Atletas!H34="Nandao Adulto",41,IF(Atletas!H34="Taijijian Adulto",42,""))))))))))))))))))))))))))</f>
        <v/>
      </c>
      <c r="BA38" s="46" t="str">
        <f>IF(Atletas!I34="","",IF(Atletas!B34="Feminino",100,IF(Atletas!B34="Masculino",200,""))+(IF(Atletas!I34="Gunshu Mirim",43,IF(Atletas!I34="Qiangshu Mirim",44,IF(Atletas!I34="Nangun Mirim",45,IF(Atletas!I34="Gunshu Grupo C",46,IF(Atletas!I34="Qiangshu Grupo C",47,IF(Atletas!I34="Nangun Grupo C",48,IF(Atletas!I34="Gunshu Grupo B",49,IF(Atletas!I34="Qiangshu Grupo B",50,IF(Atletas!I34="Nangun Grupo B",51,IF(Atletas!I34="Gunshu Grupo A",52,IF(Atletas!I34="Qiangshu Grupo A",53,IF(Atletas!I34="Nangun Grupo A",54,IF(Atletas!I34="Gunshu Opcional",55,IF(Atletas!I34="Qiangshu Opcional",56,IF(Atletas!I34="Nangun Opcional",57,IF(Atletas!I34="Gunshu Adulto",58,IF(Atletas!I34="Qiangshu Adulto",59,IF(Atletas!I34="Nangun Adulto",60,""))))))))))))))))))))</f>
        <v/>
      </c>
      <c r="BB38" s="10" t="str">
        <f>IF(BC38&lt;&gt;"","Nanquan Grupo A","")</f>
        <v/>
      </c>
      <c r="BC38" s="52" t="str">
        <f>IF(COUNTIF(AY:BA,111)&gt;0,COUNTIF(AY:BA,111),"")</f>
        <v/>
      </c>
      <c r="BD38" s="10" t="str">
        <f>IF(BE38&lt;&gt;"","Nanquan Grupo A","")</f>
        <v/>
      </c>
      <c r="BE38" s="52" t="str">
        <f>IF(COUNTIF(AY:BA,211)&gt;0,COUNTIF(AY:BA,211),"")</f>
        <v/>
      </c>
      <c r="BF38" s="52" t="str">
        <f>IF(Atletas!J34="","",IF(Atletas!B34="Feminino",100,IF(Atletas!B34="Masculino",200,""))+(IF(Atletas!J34="Equipe 1 Grupo B",1,IF(Atletas!J34="Equipe 2 Grupo B",2,IF(Atletas!J34="Equipe 1 Grupo A",3,IF(Atletas!J34="Equipe 2 Grupo A",4,IF(Atletas!J34="Equipe 1 Adulto",5,IF(Atletas!J34="Equipe 2 Adulto",6,""))))))))</f>
        <v/>
      </c>
      <c r="BK38" s="52" t="str">
        <f>IF(Atletas!K34="","",IF(Atletas!W34&lt;&gt;"",10000,0)+(IF(Atletas!B34="Feminino",1000,IF(Atletas!B34="Masculino",2000,""))+IF(Atletas!K34="Choylayfut A",1,IF(Atletas!K34="Hunggar A",2,IF(Atletas!K34="Wuzuquan A",3,IF(Atletas!K34="Wingchun A",4,IF(Atletas!K34="Outra Mão de Sul A",5,IF(Atletas!K34="Choylayfut B",6,IF(Atletas!K34="Hunggar B",7,IF(Atletas!K34="Wuzuquan B",8,IF(Atletas!K34="Wingchun B",9,IF(Atletas!K34="Outra Mão de Sul B",10,IF(Atletas!K34="Choylayfut C",11,IF(Atletas!K34="Hunggar C",12,IF(Atletas!K34="Wuzuquan C",13,IF(Atletas!K34="Wingchun C",14,IF(Atletas!K34="Outra Mão de Sul C",15,IF(Atletas!K34="Choylayfut D",16,IF(Atletas!K34="Hunggar D",17,IF(Atletas!K34="Wuzuquan D",18,IF(Atletas!K34="Wingchun D",19,IF(Atletas!K34="Outra Mão de Sul D",20,IF(Atletas!K34="Choylayfut E",21,IF(Atletas!K34="Hunggar E",22,IF(Atletas!K34="Wuzuquan E",23,IF(Atletas!K34="Wingchun E",24,IF(Atletas!K34="Outra Mão de Sul E",25,IF(Atletas!K34="Choylayfut F",26,IF(Atletas!K34="Hunggar F",27,IF(Atletas!K34="Wuzuquan F",28,IF(Atletas!K34="Wingchun F",29,IF(Atletas!K34="Outra Mão de Sul F",30,""))))))))))))))))))))))))))))))))</f>
        <v/>
      </c>
      <c r="BL38" s="52" t="str">
        <f>IF(Atletas!L34="","",IF(Atletas!W34&lt;&gt;"",10000,0)+(IF(Atletas!B34="Feminino",1000,IF(Atletas!B34="Masculino",2000,""))+(IF(Atletas!L34="Chaquan A",101,IF(Atletas!L34="Emeiquan A",102,IF(Atletas!L34="Fanziquan A",103,IF(Atletas!L34="Huaquan A",104,IF(Atletas!L34="Hongquan A",105,IF(Atletas!L34="Paochui A",106,IF(Atletas!L34="Piguaquan A",107,IF(Atletas!L34="Shaolinquan A",108,IF(Atletas!L34="Tanglangquan A",109,IF(Atletas!L34="Yinzhaophai A",110,IF(Atletas!L34="Tongbeiquan A",111,IF(Atletas!L34="Wudangquan A",112,IF(Atletas!L34="Outros Estilos A",113,IF(Atletas!L34="Chaquan B",114,IF(Atletas!L34="Emeiquan B",115,IF(Atletas!L34="Fanziquan B",116,IF(Atletas!L34="Huaquan B",117,IF(Atletas!L34="Hongquan B",118,IF(Atletas!L34="Paochui B",119,IF(Atletas!L34="Piguaquan B",120,IF(Atletas!L34="Shaolinquan B",121,IF(Atletas!L34="Tanglangquan B",122,IF(Atletas!L34="Yinzhaophai B",123,IF(Atletas!L34="Tongbeiquan B",124,IF(Atletas!L34="Wudangquan B",125,IF(Atletas!L34="Outros Estilos B",126,IF(Atletas!L34="Chaquan C",127,IF(Atletas!L34="Emeiquan C",128,IF(Atletas!L34="Fanziquan C",129,IF(Atletas!L34="Huaquan C",130,IF(Atletas!L34="Hongquan C",131,IF(Atletas!L34="Paochui C",132,IF(Atletas!L34="Piguaquan C",133,IF(Atletas!L34="Shaolinquan C",134,IF(Atletas!L34="Tanglangquan C",135,IF(Atletas!L34="Yinzhaophai C",136,IF(Atletas!L34="Tongbeiquan C",137,IF(Atletas!L34="Wudangquan C",138,IF(Atletas!L34="Outros Estilos C",139,0))))))))))))))))))))))))))))))))))))))))))</f>
        <v/>
      </c>
      <c r="BM38" s="52" t="str">
        <f>IF(Atletas!L34="","",IF(Atletas!W34&lt;&gt;"",10000,0)+(IF(Atletas!B34="Feminino",1000,IF(Atletas!B34="Masculino",2000,""))+(IF(Atletas!L34="Chaquan D",140,IF(Atletas!L34="Emeiquan D",141,IF(Atletas!L34="Fanziquan D",142,IF(Atletas!L34="Huaquan D",143,IF(Atletas!L34="Hongquan D",144,IF(Atletas!L34="Paochui D",145,IF(Atletas!L34="Piguaquan D",146,IF(Atletas!L34="Shaolinquan D",147,IF(Atletas!L34="Tanglangquan D",148,IF(Atletas!L34="Yinzhaophai D",149,IF(Atletas!L34="Tongbeiquan D",150,IF(Atletas!L34="Wudangquan D",151,IF(Atletas!L34="Outros Estilos D",152,IF(Atletas!L34="Chaquan E",153,IF(Atletas!L34="Emeiquan E",154,IF(Atletas!L34="Fanziquan E",155,IF(Atletas!L34="Huaquan E",156,IF(Atletas!L34="Hongquan E",157,IF(Atletas!L34="Paochui E",158,IF(Atletas!L34="Piguaquan E",159,IF(Atletas!L34="Shaolinquan E",160,IF(Atletas!L34="Tanglangquan E",161,IF(Atletas!L34="Yinzhaophai E",162,IF(Atletas!L34="Tongbeiquan E",163,IF(Atletas!L34="Wudangquan E",164,IF(Atletas!L34="Outros Estilos E",165,IF(Atletas!L34="Chaquan F",166,IF(Atletas!L34="Emeiquan F",167,IF(Atletas!L34="Fanziquan F",168,IF(Atletas!L34="Huaquan F",169,IF(Atletas!L34="Hongquan F",170,IF(Atletas!L34="Paochui F",171,IF(Atletas!L34="Piguaquan F",172,IF(Atletas!L34="Shaolinquan F",173,IF(Atletas!L34="Tanglangquan F",174,IF(Atletas!L34="Yinzhaophai F",175,IF(Atletas!L34="Tongbeiquan F",176,IF(Atletas!L34="Wudangquan F",177,IF(Atletas!L34="Outros Estilos F",178,0))))))))))))))))))))))))))))))))))))))))))</f>
        <v/>
      </c>
      <c r="BN38" s="52" t="str">
        <f>IF(Atletas!M34="","",IF(Atletas!W34&lt;&gt;"",10000,0)+(IF(Atletas!B34="Feminino",1000,IF(Atletas!B34="Masculino",2000,""))+(IF(Atletas!M34="Ditangquan A",201,IF(Atletas!M34="Houquan A",202,IF(Atletas!M34="Zuiquan A",203,IF(Atletas!M34="Ditangquan B",204,IF(Atletas!M34="Houquan B",205,IF(Atletas!M34="Zuiquan B",206,IF(Atletas!M34="Ditangquan C",207,IF(Atletas!M34="Houquan C",208,IF(Atletas!M34="Zuiquan C",209,IF(Atletas!M34="Ditangquan D",210,IF(Atletas!M34="Houquan D",211,IF(Atletas!M34="Zuiquan D",212,IF(Atletas!M34="Ditangquan E",213,IF(Atletas!M34="Houquan E",214,IF(Atletas!M34="Zuiquan E",215,IF(Atletas!M34="Ditangquan F",216,IF(Atletas!M34="Houquan F",217,IF(Atletas!M34="Zuiquan F",218,"")))))))))))))))))))))</f>
        <v/>
      </c>
      <c r="BO38" s="52" t="str">
        <f>IF(Atletas!N34="","",IF(Atletas!W34&lt;&gt;"",10000,0)+IF(Atletas!B34="Feminino",1000,IF(Atletas!B34="Masculino",2000,""))+IF(Atletas!N34="Yang A",301,IF(Atletas!N34="Chen A",30,IF(Atletas!N34="Sun A",303,IF(Atletas!N34="Wu A",304,IF(Atletas!N34="Wu-Hao A",305,IF(Atletas!N34="Outro Taijiquan A",306,IF(Atletas!N34="Yang B",307,IF(Atletas!N34="Chen B",308,IF(Atletas!N34="Sun B",309,IF(Atletas!N34="Wu B",310,IF(Atletas!N34="Wu-Hao B",311,IF(Atletas!N34="Outro Taijiquan B",312,IF(Atletas!N34="Yang C",313,IF(Atletas!N34="Chen C",314,IF(Atletas!N34="Sun C",315,IF(Atletas!N34="Wu C",316,IF(Atletas!N34="Wu-Hao C",317,IF(Atletas!N34="Outro Taijiquan C",318,IF(Atletas!N34="Yang D",319,IF(Atletas!N34="Chen D",320,IF(Atletas!N34="Sun D",321,IF(Atletas!N34="Wu D",322,IF(Atletas!N34="Wu-Hao D",323,IF(Atletas!N34="Outro Taijiquan D",324,IF(Atletas!N34="Yang E",325,IF(Atletas!N34="Chen E",326,IF(Atletas!N34="Sun E",327,IF(Atletas!N34="Wu E",328,IF(Atletas!N34="Wu-Hao E",329,IF(Atletas!N34="Outro Taijiquan E",330,IF(Atletas!N34="Yang F",331,IF(Atletas!N34="Chen F",332,IF(Atletas!N34="Sun F",333,IF(Atletas!N34="Wu F",334,IF(Atletas!N34="Wu-Hao F",335,IF(Atletas!N34="Outro Taijiquan F",336,"")))))))))))))))))))))))))))))))))))))</f>
        <v/>
      </c>
      <c r="BP38" s="52" t="str">
        <f>IF(Atletas!O34="","",IF(Atletas!W34&lt;&gt;"",10000,0)+IF(Atletas!B34="Feminino",1000,IF(Atletas!B34="Masculino",2000,""))+IF(OR(Atletas!O34="Yang 26 A",Atletas!O34="Yang 40 A"),401,IF(OR(Atletas!O34="Chen 25 A",Atletas!O34="Chen 36 A",Atletas!O34="Chen 56 A"),402,IF(Atletas!O34="Sun 73 A",403,IF(Atletas!O34="Wu 45 A",404,IF(Atletas!O34="Wu-Hao 46 A",405,IF(OR(Atletas!O34="Taijiquan 16 A",Atletas!O34="Taijiquan 24 A",Atletas!O34="Taijiquan 32 A",Atletas!O34="Taijiquan 42 A"),406,IF(OR(Atletas!O34="Yang 26 B",Atletas!O34="Yang 40 B"),407,IF(OR(Atletas!O34="Chen 25 B",Atletas!O34="Chen 36 B",Atletas!O34="Chen 56 B"),408,IF(Atletas!O34="Sun 73 B",409,IF(Atletas!O34="Wu 45 B",410,IF(Atletas!O34="Wu-Hao 46 B",411,IF(OR(Atletas!O34="Taijiquan 16 B",Atletas!O34="Taijiquan 24 B",Atletas!O34="Taijiquan 32 B",Atletas!O34="Taijiquan 42 B"),412,IF(OR(Atletas!O34="Yang 26 C",Atletas!O34="Yang 40 C"),413,IF(OR(Atletas!O34="Chen 25 C",Atletas!O34="Chen 36 C",Atletas!O34="Chen 56 C"),414,IF(Atletas!O34="Sun 73 C",415,IF(Atletas!O34="Wu 45 C",416,IF(Atletas!O34="Wu-Hao 46 C",417,IF(OR(Atletas!O34="Taijiquan 16 C",Atletas!O34="Taijiquan 24 C",Atletas!O34="Taijiquan 32 C",Atletas!O34="Taijiquan 42 C"),418,0)))))))))))))))))))</f>
        <v/>
      </c>
      <c r="BQ38" s="52" t="str">
        <f>IF(Atletas!O34="","",IF(Atletas!W34&lt;&gt;"",10000,0)+IF(Atletas!B34="Feminino",1000,IF(Atletas!B34="Masculino",2000,""))+IF(OR(Atletas!O34="Yang 26 D",Atletas!O34="Yang 40 D"),419,IF(OR(Atletas!O34="Chen 25 D",Atletas!O34="Chen 36 D",Atletas!O34="Chen 56 D"),420,IF(Atletas!O34="Sun 73 D",421,IF(Atletas!O34="Wu 45 D",422,IF(Atletas!O34="Wu-Hao 46 D",423,IF(OR(Atletas!O34="Taijiquan 16 D",Atletas!O34="Taijiquan 24 D",Atletas!O34="Taijiquan 32 D",Atletas!O34="Taijiquan 42 D"),424,IF(OR(Atletas!O34="Yang 26 E",Atletas!O34="Yang 40 E"),425,IF(OR(Atletas!O34="Chen 25 E",Atletas!O34="Chen 36 E",Atletas!O34="Chen 56 E"),426,IF(Atletas!O34="Sun 73 E",427,IF(Atletas!O34="Wu 45 E",428,IF(Atletas!O34="Wu-Hao 46 E",429,IF(OR(Atletas!O34="Taijiquan 16 E",Atletas!O34="Taijiquan 24 E",Atletas!O34="Taijiquan 32 E",Atletas!O34="Taijiquan 42 E"),430,IF(OR(Atletas!O34="Yang 26 F",Atletas!O34="Yang 40 F"),431,IF(OR(Atletas!O34="Chen 25 F",Atletas!O34="Chen 36 F",Atletas!O34="Chen 56 F"),432,IF(Atletas!O34="Sun 73 F",433,IF(Atletas!O34="Wu 45 F",434,IF(Atletas!O34="Wu-Hao 46 F",435,IF(OR(Atletas!O34="Taijiquan 16 F",Atletas!O34="Taijiquan 24 F",Atletas!O34="Taijiquan 32 F",Atletas!O34="Taijiquan 42 F"),436,0)))))))))))))))))))</f>
        <v/>
      </c>
      <c r="BR38" s="52" t="str">
        <f>IF(Atletas!P34="","",IF(Atletas!W34&lt;&gt;"",10000,0)+IF(Atletas!B34="Feminino",1000,IF(Atletas!B34="Masculino",2000,""))+IF(Atletas!P34="Xingyiquan A",501,IF(Atletas!P34="Baguazhang A",502,IF(Atletas!P34="Outro Estilo Interno A",503,IF(Atletas!P34="Xingyiquan B",504,IF(Atletas!P34="Baguazhang B",505,IF(Atletas!P34="Outro Estilo Interno B",506,IF(Atletas!P34="Xingyiquan C",507,IF(Atletas!P34="Baguazhang C",508,IF(Atletas!P34="Outro Estilo Interno C",509,IF(Atletas!P34="Xingyiquan D",510,IF(Atletas!P34="Baguazhang D",511,IF(Atletas!P34="Outro Estilo Interno D",512,IF(Atletas!P34="Xingyiquan E",513,IF(Atletas!P34="Baguazhang E",514,IF(Atletas!P34="Outro Estilo Interno E",515,IF(Atletas!P34="Xingyiquan F",516,IF(Atletas!P34="Baguazhang F",517,IF(Atletas!P34="Outro Estilo Interno F",518, "")))))))))))))))))))</f>
        <v/>
      </c>
      <c r="BS38" s="52" t="str">
        <f>IF(Atletas!Q34="","",IF(Atletas!W34&lt;&gt;"",10000,0)+IF(Atletas!B34="Feminino",1000,IF(Atletas!B34="Masculino",2000,""))+IF(Atletas!Q34="Dao A",601,IF(Atletas!Q34="Jian A",602,IF(Atletas!Q34="Bishou A",603,IF(Atletas!Q34="Shan A",604,IF(Atletas!Q34="Outra Arma Curta A",605,IF(Atletas!Q34="Dao B",606,IF(Atletas!Q34="Jian B",607,IF(Atletas!Q34="Bishou B",608,IF(Atletas!Q34="Shan B",609,IF(Atletas!Q34="Outra Arma Curta B",610,IF(Atletas!Q34="Dao C",611,IF(Atletas!Q34="Jian C",612,IF(Atletas!Q34="Bishou C",613,IF(Atletas!Q34="Shan C",614,IF(Atletas!Q34="Outra Arma Curta C",615,IF(Atletas!Q34="Dao D",616,IF(Atletas!Q34="Jian D",617,IF(Atletas!Q34="Bishou D",618,IF(Atletas!Q34="Shan D",619,IF(Atletas!Q34="Outra Arma Curta D",620,IF(Atletas!Q34="Dao E",621,IF(Atletas!Q34="Jian E",622,IF(Atletas!Q34="Bishou E",623,IF(Atletas!Q34="Shan E",624,IF(Atletas!Q34="Outra Arma Curta E",625,IF(Atletas!Q34="Dao F",626,IF(Atletas!Q34="Jian F",627,IF(Atletas!Q34="Bishou F",628,IF(Atletas!Q34="Shan F",629,IF(Atletas!Q34="Outra Arma Curta F",630, "")))))))))))))))))))))))))))))))</f>
        <v/>
      </c>
      <c r="BT38" s="52" t="str">
        <f>IF(Atletas!R34="","",IF(Atletas!W34&lt;&gt;"",10000,0)+IF(Atletas!B34="Feminino",1000,IF(Atletas!B34="Masculino",2000,""))+IF(Atletas!R34="Gun A",701,IF(Atletas!R34="Qiang A",702,IF(Atletas!R34="Pudao / Guandao A",703,IF(Atletas!R34="Outra Arma Longa A",704,IF(Atletas!R34="Gun B",705,IF(Atletas!R34="Qiang B",706,IF(Atletas!R34="Pudao / Guandao B",707,IF(Atletas!R34="Outra Arma Longa B",708,IF(Atletas!R34="Gun C",709,IF(Atletas!R34="Qiang C",710,IF(Atletas!R34="Pudao / Guandao C",711,IF(Atletas!R34="Outra Arma Longa C",712,IF(Atletas!R34="Gun D",713,IF(Atletas!R34="Qiang D",714,IF(Atletas!R34="Pudao / Guandao D",715,IF(Atletas!R34="Outra Arma Longa D",716,IF(Atletas!R34="Gun E",717,IF(Atletas!R34="Qiang E",718,IF(Atletas!R34="Pudao / Guandao E",719,IF(Atletas!R34="Outra Arma Longa E",720,IF(Atletas!R34="Gun F",721,IF(Atletas!R34="Qiang F",722,IF(Atletas!R34="Pudao / Guandao F",723,IF(Atletas!R34="Outra Arma Longa F",724,"")))))))))))))))))))))))))</f>
        <v/>
      </c>
      <c r="BU38" s="52" t="str">
        <f>IF(Atletas!S34="","",IF(Atletas!W34&lt;&gt;"",10000,0)+IF(Atletas!B34="Feminino",1000,IF(Atletas!B34="Masculino",2000,""))+IF(Atletas!S34="Arma Dupla A",801,IF(Atletas!S34="Arma Maleável A",802,IF(Atletas!S34="Arma Dupla B",803,IF(Atletas!S34="Arma Maleável B",804,IF(Atletas!S34="Arma Dupla C",805,IF(Atletas!S34="Arma Maleável C",806,IF(Atletas!S34="Arma Dupla D",807,IF(Atletas!S34="Arma Maleável D",808,IF(Atletas!S34="Arma Dupla E",809,IF(Atletas!S34="Arma Maleável E",810,IF(Atletas!S34="Arma Dupla F",811,IF(Atletas!S34="Arma Maleável F",812, "")))))))))))))</f>
        <v/>
      </c>
      <c r="BV38" s="52" t="str">
        <f>IF(Atletas!T34="","",IF(Atletas!W34&lt;&gt;"",10000,0)+IF(Atletas!B34="Feminino",1000,IF(Atletas!B34="Masculino",2000,""))+IF(Atletas!T34="Taijijian Yang A",901,IF(Atletas!T34="Taijijian Chen A",902,IF(Atletas!T34="Taijijian Sun A",903,IF(Atletas!T34="Taijijian Wu A",904,IF(Atletas!T34="Taijijian Wu-Hao A",905,IF(Atletas!T34="Taijijian 32 A",906,IF(Atletas!T34="Taijijian 42 A",907,IF(Atletas!T34="Taijijian Yang B",908,IF(Atletas!T34="Taijijian Chen B",909,IF(Atletas!T34="Taijijian Sun B",910,IF(Atletas!T34="Taijijian Wu B",911,IF(Atletas!T34="Taijijian Wu-Hao B",912,IF(Atletas!T34="Taijijian 32 B",913,IF(Atletas!T34="Taijijian 42 B",914,IF(Atletas!T34="Taijijian Yang C",915,IF(Atletas!T34="Taijijian Chen C",916,IF(Atletas!T34="Taijijian Sun C",917,IF(Atletas!T34="Taijijian Wu C",918,IF(Atletas!T34="Taijijian Wu-Hao C",919,IF(Atletas!T34="Taijijian 32 C",920,IF(Atletas!T34="Taijijian 42 C",921,IF(Atletas!T34="Taijijian Yang D",922,IF(Atletas!T34="Taijijian Chen D",923,IF(Atletas!T34="Taijijian Sun D",924,IF(Atletas!T34="Taijijian Wu D",925,IF(Atletas!T34="Taijijian Wu-Hao D",926,IF(Atletas!T34="Taijijian 32 D",927,IF(Atletas!T34="Taijijian 42 D",928,IF(Atletas!T34="Taijijian Yang E",929,IF(Atletas!T34="Taijijian Chen E",930,IF(Atletas!T34="Taijijian Sun E",931,IF(Atletas!T34="Taijijian Wu E",932,IF(Atletas!T34="Taijijian Wu-Hao E",933,IF(Atletas!T34="Taijijian 32 E",934,IF(Atletas!T34="Taijijian 42 E",935,IF(Atletas!T34="Taijijian Yang F",936,IF(Atletas!T34="Taijijian Chen F",937,IF(Atletas!T34="Taijijian Sun F",938,IF(Atletas!T34="Taijijian Wu F",939,IF(Atletas!T34="Taijijian Wu-Hao F",940,IF(Atletas!T34="Taijijian 32 F",941,IF(Atletas!T34="Taijijian 42 F",942,"")))))))))))))))))))))))))))))))))))))))))))</f>
        <v/>
      </c>
      <c r="BW38" s="52" t="str">
        <f>IF(Atletas!U34="","",IF(Atletas!W34&lt;&gt;"",10000,0)+IF(Atletas!B34="Feminino",1000,IF(Atletas!B34="Masculino",2000,""))+IF(Atletas!T34="Taijijian 42 F",942,IF(Atletas!U34="Taijidao A",943,IF(Atletas!U34="Taijishan A",944,IF(Atletas!U34="Taijiqiang A",945,IF(Atletas!U34="Taijidao B",946,IF(Atletas!U34="Taijishan B",947,IF(Atletas!U34="Taijiqiang B",948,IF(Atletas!U34="Taijidao C",949,IF(Atletas!U34="Taijishan C",950,IF(Atletas!U34="Taijiqiang C",951,IF(Atletas!U34="Taijidao D",952,IF(Atletas!U34="Taijishan D",953,IF(Atletas!U34="Taijiqiang D",954,IF(Atletas!U34="Taijidao E",955,IF(Atletas!U34="Taijishan E",956,IF(Atletas!U34="Taijiqiang E",957,IF(Atletas!U34="Taijidao F",958,IF(Atletas!U34="Taijishan F",959,IF(Atletas!U34="Taijiqiang F",960))))))))))))))))))))</f>
        <v/>
      </c>
      <c r="BX38" s="64" t="str">
        <f>IF(BY38&lt;&gt;"","Emeiquan A","")</f>
        <v/>
      </c>
      <c r="BY38" s="64" t="str">
        <f>IF(COUNTIF(BK:BW,1102)&gt;0,COUNTIF(BK:BW,1102),"")</f>
        <v/>
      </c>
      <c r="BZ38" s="64" t="str">
        <f>IF(CA38&lt;&gt;"","Emeiquan A","")</f>
        <v/>
      </c>
      <c r="CA38" s="64" t="str">
        <f>IF(COUNTIF(BK:BW,2102)&gt;0,COUNTIF(BK:BW,2102),"")</f>
        <v/>
      </c>
      <c r="CB38" s="64" t="str">
        <f>IF(CC38&lt;&gt;"","Emeiquan A","")</f>
        <v/>
      </c>
      <c r="CC38" s="64" t="str">
        <f>IF(COUNTIF(BK:BW,11102)&gt;0,COUNTIF(BK:BW,11102),"")</f>
        <v/>
      </c>
      <c r="CD38" s="64" t="str">
        <f>IF(CE38&lt;&gt;"","Emeiquan A","")</f>
        <v/>
      </c>
      <c r="CE38" s="64" t="str">
        <f>IF(COUNTIF(BK:BW,12102)&gt;0,COUNTIF(BK:BW,12102),"")</f>
        <v/>
      </c>
      <c r="CF38" s="52" t="str">
        <f xml:space="preserve"> IF(Atletas!V34="","",IF(Atletas!V34="Duilian de Mãos AB - Equipe 1",1,IF(Atletas!V34="Duilian de Mãos AB - Equipe 2",2,IF(Atletas!V34="Duilian de Armas AB - Equipe 1",3,IF(Atletas!V34="Duilian de Armas AB - Equipe 2",4,IF(Atletas!V34="Duilian de Tuishou - Equipe 1",5,IF(Atletas!V34="Duilian de Tuishou - Equipe 2",6,IF(Atletas!V34="Grupo Externo AB - Equipe 1",7,IF(Atletas!V34="Grupo Externo AB - Equipe 2",8,IF(Atletas!V34="Grupo Interno AB - Equipe 1",9,IF(Atletas!V34="Grupo Interno AB - Equipe 2",10,IF(Atletas!V34="Duilian de Mãos CD - Equipe 1",11,IF(Atletas!V34="Duilian de Mãos CD - Equipe 2",12,IF(Atletas!V34="Duilian de Armas CD - Equipe 1",13,IF(Atletas!V34="Duilian de Armas CD - Equipe 2",14,IF(Atletas!V34="Duilian de Tuishou - Equipe 1",15,IF(Atletas!V34="Duilian de Tuishou - Equipe 2",16,IF(Atletas!V34="Grupo Externo CDEF - Equipe 1",17,IF(Atletas!V34="Grupo Externo CDEF - Equipe 2",18,IF(Atletas!V34="Grupo Interno CDEF - Equipe 1",19,IF(Atletas!V34="Grupo Interno CDEF - Equipe 2",20,IF(Atletas!V34="Duilian de Mãos EF - Equipe 1",21,IF(Atletas!V34="Duilian de Mãos EF - Equipe 2",22,IF(Atletas!V34="Duilian de Armas EF - Equipe 1",23,IF(Atletas!V34="Duilian de Armas EF - Equipe 2",24,IF(Atletas!V34="Duilian de Tuishou - Equipe 1",25,IF(Atletas!V34="Duilian de Tuishou - Equipe 2",26,"")))))))))))))))))))))))))))</f>
        <v/>
      </c>
      <c r="CR38" s="71"/>
    </row>
    <row r="39" spans="2:96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 t="str">
        <f t="array" ref="N39">IFERROR(INDEX(BB$7:BB$66,SMALL(IF(BB$7:BB$66&lt;&gt;"",ROW(BB$7:BB$66)-ROW(BB$7)+1),ROWS(BB$7:BB38))),"")</f>
        <v/>
      </c>
      <c r="O39" s="4" t="str">
        <f t="array" ref="O39">IFERROR(INDEX(BC$7:BC$66,SMALL(IF(BC$7:BC$66&lt;&gt;"",ROW(BC$7:BC$66)-ROW(BC$7)+1),ROWS(BC$7:BC38))),"")</f>
        <v/>
      </c>
      <c r="P39" s="4" t="str">
        <f t="array" ref="P39">IFERROR(INDEX(BD$7:BD$66,SMALL(IF(BD$7:BD$66&lt;&gt;"",ROW(BD$7:BD$66)-ROW(BD$7)+1),ROWS(BD$7:BD38))),"")</f>
        <v/>
      </c>
      <c r="Q39" s="4" t="str">
        <f t="array" ref="Q39">IFERROR(INDEX(BE$7:BE$66,SMALL(IF(BE$7:BE$66&lt;&gt;"",ROW(BE$7:BE$66)-ROW(BE$7)+1),ROWS(BE$7:BE38))),"")</f>
        <v/>
      </c>
      <c r="R39" s="4"/>
      <c r="S39" s="4"/>
      <c r="T39" s="31"/>
      <c r="U39" s="4"/>
      <c r="V39" s="4" t="str">
        <f t="array" ref="V39">IFERROR(INDEX(BX$7:BX$336,SMALL(IF(BX$7:BX$336&lt;&gt;"",ROW(BX$7:BX$336)-ROW(BX$7)+1),ROWS(BX$7:BX38))),"")</f>
        <v/>
      </c>
      <c r="W39" s="4" t="str">
        <f t="array" ref="W39">IFERROR(INDEX(BY$7:BY$336,SMALL(IF(BY$7:BY$336&lt;&gt;"",ROW(BY$7:BY$336)-ROW(BY$7)+1),ROWS(BY$7:BY38))),"")</f>
        <v/>
      </c>
      <c r="X39" s="4" t="str">
        <f t="array" ref="X39">IFERROR(INDEX(BZ$7:BZ$336,SMALL(IF(BZ$7:BZ$336&lt;&gt;"",ROW(BZ$7:BZ$336)-ROW(BZ$7)+1),ROWS(BZ$7:BZ38))),"")</f>
        <v/>
      </c>
      <c r="Y39" s="4" t="str">
        <f t="array" ref="Y39">IFERROR(INDEX(CA$7:CA$336,SMALL(IF(CA$7:CA$336&lt;&gt;"",ROW(CA$7:CA$336)-ROW(CA$7)+1),ROWS(CA$7:CA38))),"")</f>
        <v/>
      </c>
      <c r="Z39" s="4" t="str">
        <f t="array" ref="Z39">IFERROR(INDEX(CB$7:CB$378,SMALL(IF(CB$7:CB$378&lt;&gt;"",ROW(CB$7:CB$378)-ROW(CB$7)+1),ROWS(CB$7:CB38))),"")</f>
        <v/>
      </c>
      <c r="AA39" s="4" t="str">
        <f t="array" ref="AA39">IFERROR(INDEX(CC$7:CC$378,SMALL(IF(CC$7:CC$378&lt;&gt;"",ROW(CC$7:CC$378)-ROW(CC$7)+1),ROWS(CC$7:CC38))),"")</f>
        <v/>
      </c>
      <c r="AB39" s="4" t="str">
        <f t="array" ref="AB39">IFERROR(INDEX(CD$7:CD$378,SMALL(IF(CD$7:CD$378&lt;&gt;"",ROW(CD$7:CD$378)-ROW(CD$7)+1),ROWS(CD$7:CD38))),"")</f>
        <v/>
      </c>
      <c r="AC39" s="4" t="str">
        <f t="array" ref="AC39">IFERROR(INDEX(CE$7:CE$378,SMALL(IF(CE$7:CE$378&lt;&gt;"",ROW(CE$7:CE$378)-ROW(CE$7)+1),ROWS(CE$7:CE38))),"")</f>
        <v/>
      </c>
      <c r="AD39" s="31"/>
      <c r="AE39" s="31"/>
      <c r="AF39" s="31"/>
      <c r="AG39" s="31"/>
      <c r="AH39" s="31"/>
      <c r="AI39" s="4"/>
      <c r="AJ39" s="46" t="str">
        <f>IF(Atletas!D35="","",IF(Atletas!B35="Feminino",100,IF(Atletas!B35="Masculino",200,""))+(IF(Atletas!D35="Infantil 39kg",1,IF(Atletas!D35="Infantil 42kg",2,IF(Atletas!D35="Infantil 45kg",3,IF(Atletas!D35="Infantil 48kg",4,IF(Atletas!D35="Infantil 52kg",5,IF(Atletas!D35="Infantil 56kg",6,IF(Atletas!D35="Infantil 60kg",7,IF(Atletas!D35="Juvenil 48kg",8,IF(Atletas!D35="Juvenil 52kg",9,IF(Atletas!D35="Juvenil 56kg",10,IF(Atletas!D35="Juvenil 60kg",11,IF(Atletas!D35="Juvenil 65kg",12,IF(Atletas!D35="Juvenil 70kg",13,IF(Atletas!D35="Juvenil 75kg",14,IF(Atletas!D35="Juvenil 80kg",15,IF(Atletas!D35="Adulto 48kg",16,IF(Atletas!D35="Adulto 52kg",17,IF(Atletas!D35="Adulto 56kg",18,IF(Atletas!D35="Adulto 60kg",19,IF(Atletas!D35="Adulto 65kg",20,IF(Atletas!D35="Adulto 70kg",21,IF(Atletas!D35="Adulto 75kg",22,IF(Atletas!D35="Adulto 80kg",23,IF(Atletas!D35="Adulto 85kg",24,IF(Atletas!D35="Adulto 90kg",25,IF(Atletas!D35="Adulto +90kg",26,""))))))))))))))))))))))))))))</f>
        <v/>
      </c>
      <c r="AO39" s="10" t="str">
        <f>IF(Atletas!E35="","",IF(Atletas!B35="Feminino",100,IF(Atletas!B35="Masculino",200,""))+(IF(Atletas!E35="Juvenil 44kg",1,IF(Atletas!E35="Juvenil 48kg",2,IF(Atletas!E35="Juvenil 52kg",3,IF(Atletas!E35="Juvenil 56kg",4,IF(Atletas!E35="Juvenil 60kg",5,IF(Atletas!E35="Juvenil 65kg",6,IF(Atletas!E35="Juvenil 70kg",7,IF(Atletas!E35="Juvenil 75kg",8,IF(Atletas!E35="Juvenil 82kg",9,IF(Atletas!E35="Juvenil 90kg",10,IF(Atletas!E35="Juvenil 100kg",11,IF(Atletas!E35="Adulto 48kg",12,IF(Atletas!E35="Adulto 52kg",13,IF(Atletas!E35="Adulto 56kg",14,IF(Atletas!E35="Adulto 60kg",15,IF(Atletas!E35="Adulto 65kg",16,IF(Atletas!E35="Adulto 70kg",17,IF(Atletas!E35="Adulto 75kg",18,IF(Atletas!E35="Adulto 82kg",19,IF(Atletas!E35="Adulto 90kg",20,IF(Atletas!E35="Adulto 100kg",21,IF(Atletas!E35="Adulto +100kg",22,""))))))))))))))))))))))))</f>
        <v/>
      </c>
      <c r="AT39" s="10" t="str">
        <f>IF(Atletas!F35="","",IF(Atletas!B35="Feminino",100,IF(Atletas!B35="Masculino",200,""))+(IF(Atletas!F35="Adulto 48kg",1,IF(Atletas!F35="Adulto 56kg",2,IF(Atletas!F35="Adulto 65kg",3,IF(Atletas!F35="Adulto 75kg",4,IF(Atletas!F35="Adulto +75kg",5,IF(Atletas!F35="Adulto 52kg",6,IF(Atletas!F35="Adulto 60kg",7,IF(Atletas!F35="Adulto 70kg",8,IF(Atletas!F35="Adulto 80kg",9,IF(Atletas!F35="Adulto 90kg",10,IF(Atletas!F35="Adulto +90kg",11,"")))))))))))))</f>
        <v/>
      </c>
      <c r="AY39" s="46" t="str">
        <f>IF(Atletas!G35="","",IF(Atletas!B35="Feminino",100,IF(Atletas!B35="Masculino",200,""))+(IF(Atletas!G35="Changquan Mirim",1,IF(Atletas!G35="Nanquan Mirim",2,IF(Atletas!G35="Taijiquan Mirim",3,IF(Atletas!G35="Changquan Grupo C",4,IF(Atletas!G35="Nanquan Grupo C",5,IF(Atletas!G35="Taijiquan Grupo C",6,IF(Atletas!G35="Changquan Grupo B",7,IF(Atletas!G35="Nanquan Grupo B",8,IF(Atletas!G35="Taijiquan Grupo B",9,IF(Atletas!G35="Changquan Grupo A",10,IF(Atletas!G35="Nanquan Grupo A",11,IF(Atletas!G35="Taijiquan Grupo A",12,IF(Atletas!G35="Changquan Opcional",13,IF(Atletas!G35="Nanquan Opcional",14,IF(Atletas!G35="Taijiquan Opcional",15,IF(Atletas!G35="Changquan Adulto",16,IF(Atletas!G35="Nanquan Adulto",17,IF(Atletas!G35="Taijiquan Adulto",18,""))))))))))))))))))))</f>
        <v/>
      </c>
      <c r="AZ39" s="46" t="str">
        <f>IF(Atletas!H35="","",IF(Atletas!B35="Feminino",100,IF(Atletas!B35="Masculino",200,""))+(IF(Atletas!H35="Daoshu Mirim",19,IF(Atletas!H35="Jianshu Mirim",20,IF(Atletas!H35="Nandao Mirim",21,IF(Atletas!H35="Taijijian Mirim",22,IF(Atletas!H35="Daoshu Grupo C",23,IF(Atletas!H35="Jianshu Grupo C",24,IF(Atletas!H35="Nandao Grupo C",25,IF(Atletas!H35="Taijijian Grupo C",26,IF(Atletas!H35="Daoshu Grupo B",27,IF(Atletas!H35="Jianshu Grupo B",28,IF(Atletas!H35="Nandao Grupo B",29,IF(Atletas!H35="Taijijian Grupo B",30,IF(Atletas!H35="Daoshu Grupo A",31,IF(Atletas!H35="Jianshu Grupo A",32,IF(Atletas!H35="Nandao Grupo A",33,IF(Atletas!H35="Taijijian Grupo A",34,IF(Atletas!H35="Daoshu Opcional",35,IF(Atletas!H35="Jianshu Opcional",36,IF(Atletas!H35="Nandao Opcional",37,IF(Atletas!H35="Taijijian Opcional",38,IF(Atletas!H35="Daoshu Adulto",39,IF(Atletas!H35="Jianshu Adulto",40,IF(Atletas!H35="Nandao Adulto",41,IF(Atletas!H35="Taijijian Adulto",42,""))))))))))))))))))))))))))</f>
        <v/>
      </c>
      <c r="BA39" s="46" t="str">
        <f>IF(Atletas!I35="","",IF(Atletas!B35="Feminino",100,IF(Atletas!B35="Masculino",200,""))+(IF(Atletas!I35="Gunshu Mirim",43,IF(Atletas!I35="Qiangshu Mirim",44,IF(Atletas!I35="Nangun Mirim",45,IF(Atletas!I35="Gunshu Grupo C",46,IF(Atletas!I35="Qiangshu Grupo C",47,IF(Atletas!I35="Nangun Grupo C",48,IF(Atletas!I35="Gunshu Grupo B",49,IF(Atletas!I35="Qiangshu Grupo B",50,IF(Atletas!I35="Nangun Grupo B",51,IF(Atletas!I35="Gunshu Grupo A",52,IF(Atletas!I35="Qiangshu Grupo A",53,IF(Atletas!I35="Nangun Grupo A",54,IF(Atletas!I35="Gunshu Opcional",55,IF(Atletas!I35="Qiangshu Opcional",56,IF(Atletas!I35="Nangun Opcional",57,IF(Atletas!I35="Gunshu Adulto",58,IF(Atletas!I35="Qiangshu Adulto",59,IF(Atletas!I35="Nangun Adulto",60,""))))))))))))))))))))</f>
        <v/>
      </c>
      <c r="BB39" s="10" t="str">
        <f>IF(BC39&lt;&gt;"","Taijiquan Grupo A","")</f>
        <v/>
      </c>
      <c r="BC39" s="52" t="str">
        <f>IF(COUNTIF(AY:BA,112)&gt;0,COUNTIF(AY:BA,112),"")</f>
        <v/>
      </c>
      <c r="BD39" s="10" t="str">
        <f>IF(BE39&lt;&gt;"","Taijiquan Grupo A","")</f>
        <v/>
      </c>
      <c r="BE39" s="52" t="str">
        <f>IF(COUNTIF(AY:BA,212)&gt;0,COUNTIF(AY:BA,212),"")</f>
        <v/>
      </c>
      <c r="BF39" s="52" t="str">
        <f>IF(Atletas!J35="","",IF(Atletas!B35="Feminino",100,IF(Atletas!B35="Masculino",200,""))+(IF(Atletas!J35="Equipe 1 Grupo B",1,IF(Atletas!J35="Equipe 2 Grupo B",2,IF(Atletas!J35="Equipe 1 Grupo A",3,IF(Atletas!J35="Equipe 2 Grupo A",4,IF(Atletas!J35="Equipe 1 Adulto",5,IF(Atletas!J35="Equipe 2 Adulto",6,""))))))))</f>
        <v/>
      </c>
      <c r="BK39" s="52" t="str">
        <f>IF(Atletas!K35="","",IF(Atletas!W35&lt;&gt;"",10000,0)+(IF(Atletas!B35="Feminino",1000,IF(Atletas!B35="Masculino",2000,""))+IF(Atletas!K35="Choylayfut A",1,IF(Atletas!K35="Hunggar A",2,IF(Atletas!K35="Wuzuquan A",3,IF(Atletas!K35="Wingchun A",4,IF(Atletas!K35="Outra Mão de Sul A",5,IF(Atletas!K35="Choylayfut B",6,IF(Atletas!K35="Hunggar B",7,IF(Atletas!K35="Wuzuquan B",8,IF(Atletas!K35="Wingchun B",9,IF(Atletas!K35="Outra Mão de Sul B",10,IF(Atletas!K35="Choylayfut C",11,IF(Atletas!K35="Hunggar C",12,IF(Atletas!K35="Wuzuquan C",13,IF(Atletas!K35="Wingchun C",14,IF(Atletas!K35="Outra Mão de Sul C",15,IF(Atletas!K35="Choylayfut D",16,IF(Atletas!K35="Hunggar D",17,IF(Atletas!K35="Wuzuquan D",18,IF(Atletas!K35="Wingchun D",19,IF(Atletas!K35="Outra Mão de Sul D",20,IF(Atletas!K35="Choylayfut E",21,IF(Atletas!K35="Hunggar E",22,IF(Atletas!K35="Wuzuquan E",23,IF(Atletas!K35="Wingchun E",24,IF(Atletas!K35="Outra Mão de Sul E",25,IF(Atletas!K35="Choylayfut F",26,IF(Atletas!K35="Hunggar F",27,IF(Atletas!K35="Wuzuquan F",28,IF(Atletas!K35="Wingchun F",29,IF(Atletas!K35="Outra Mão de Sul F",30,""))))))))))))))))))))))))))))))))</f>
        <v/>
      </c>
      <c r="BL39" s="52" t="str">
        <f>IF(Atletas!L35="","",IF(Atletas!W35&lt;&gt;"",10000,0)+(IF(Atletas!B35="Feminino",1000,IF(Atletas!B35="Masculino",2000,""))+(IF(Atletas!L35="Chaquan A",101,IF(Atletas!L35="Emeiquan A",102,IF(Atletas!L35="Fanziquan A",103,IF(Atletas!L35="Huaquan A",104,IF(Atletas!L35="Hongquan A",105,IF(Atletas!L35="Paochui A",106,IF(Atletas!L35="Piguaquan A",107,IF(Atletas!L35="Shaolinquan A",108,IF(Atletas!L35="Tanglangquan A",109,IF(Atletas!L35="Yinzhaophai A",110,IF(Atletas!L35="Tongbeiquan A",111,IF(Atletas!L35="Wudangquan A",112,IF(Atletas!L35="Outros Estilos A",113,IF(Atletas!L35="Chaquan B",114,IF(Atletas!L35="Emeiquan B",115,IF(Atletas!L35="Fanziquan B",116,IF(Atletas!L35="Huaquan B",117,IF(Atletas!L35="Hongquan B",118,IF(Atletas!L35="Paochui B",119,IF(Atletas!L35="Piguaquan B",120,IF(Atletas!L35="Shaolinquan B",121,IF(Atletas!L35="Tanglangquan B",122,IF(Atletas!L35="Yinzhaophai B",123,IF(Atletas!L35="Tongbeiquan B",124,IF(Atletas!L35="Wudangquan B",125,IF(Atletas!L35="Outros Estilos B",126,IF(Atletas!L35="Chaquan C",127,IF(Atletas!L35="Emeiquan C",128,IF(Atletas!L35="Fanziquan C",129,IF(Atletas!L35="Huaquan C",130,IF(Atletas!L35="Hongquan C",131,IF(Atletas!L35="Paochui C",132,IF(Atletas!L35="Piguaquan C",133,IF(Atletas!L35="Shaolinquan C",134,IF(Atletas!L35="Tanglangquan C",135,IF(Atletas!L35="Yinzhaophai C",136,IF(Atletas!L35="Tongbeiquan C",137,IF(Atletas!L35="Wudangquan C",138,IF(Atletas!L35="Outros Estilos C",139,0))))))))))))))))))))))))))))))))))))))))))</f>
        <v/>
      </c>
      <c r="BM39" s="52" t="str">
        <f>IF(Atletas!L35="","",IF(Atletas!W35&lt;&gt;"",10000,0)+(IF(Atletas!B35="Feminino",1000,IF(Atletas!B35="Masculino",2000,""))+(IF(Atletas!L35="Chaquan D",140,IF(Atletas!L35="Emeiquan D",141,IF(Atletas!L35="Fanziquan D",142,IF(Atletas!L35="Huaquan D",143,IF(Atletas!L35="Hongquan D",144,IF(Atletas!L35="Paochui D",145,IF(Atletas!L35="Piguaquan D",146,IF(Atletas!L35="Shaolinquan D",147,IF(Atletas!L35="Tanglangquan D",148,IF(Atletas!L35="Yinzhaophai D",149,IF(Atletas!L35="Tongbeiquan D",150,IF(Atletas!L35="Wudangquan D",151,IF(Atletas!L35="Outros Estilos D",152,IF(Atletas!L35="Chaquan E",153,IF(Atletas!L35="Emeiquan E",154,IF(Atletas!L35="Fanziquan E",155,IF(Atletas!L35="Huaquan E",156,IF(Atletas!L35="Hongquan E",157,IF(Atletas!L35="Paochui E",158,IF(Atletas!L35="Piguaquan E",159,IF(Atletas!L35="Shaolinquan E",160,IF(Atletas!L35="Tanglangquan E",161,IF(Atletas!L35="Yinzhaophai E",162,IF(Atletas!L35="Tongbeiquan E",163,IF(Atletas!L35="Wudangquan E",164,IF(Atletas!L35="Outros Estilos E",165,IF(Atletas!L35="Chaquan F",166,IF(Atletas!L35="Emeiquan F",167,IF(Atletas!L35="Fanziquan F",168,IF(Atletas!L35="Huaquan F",169,IF(Atletas!L35="Hongquan F",170,IF(Atletas!L35="Paochui F",171,IF(Atletas!L35="Piguaquan F",172,IF(Atletas!L35="Shaolinquan F",173,IF(Atletas!L35="Tanglangquan F",174,IF(Atletas!L35="Yinzhaophai F",175,IF(Atletas!L35="Tongbeiquan F",176,IF(Atletas!L35="Wudangquan F",177,IF(Atletas!L35="Outros Estilos F",178,0))))))))))))))))))))))))))))))))))))))))))</f>
        <v/>
      </c>
      <c r="BN39" s="52" t="str">
        <f>IF(Atletas!M35="","",IF(Atletas!W35&lt;&gt;"",10000,0)+(IF(Atletas!B35="Feminino",1000,IF(Atletas!B35="Masculino",2000,""))+(IF(Atletas!M35="Ditangquan A",201,IF(Atletas!M35="Houquan A",202,IF(Atletas!M35="Zuiquan A",203,IF(Atletas!M35="Ditangquan B",204,IF(Atletas!M35="Houquan B",205,IF(Atletas!M35="Zuiquan B",206,IF(Atletas!M35="Ditangquan C",207,IF(Atletas!M35="Houquan C",208,IF(Atletas!M35="Zuiquan C",209,IF(Atletas!M35="Ditangquan D",210,IF(Atletas!M35="Houquan D",211,IF(Atletas!M35="Zuiquan D",212,IF(Atletas!M35="Ditangquan E",213,IF(Atletas!M35="Houquan E",214,IF(Atletas!M35="Zuiquan E",215,IF(Atletas!M35="Ditangquan F",216,IF(Atletas!M35="Houquan F",217,IF(Atletas!M35="Zuiquan F",218,"")))))))))))))))))))))</f>
        <v/>
      </c>
      <c r="BO39" s="52" t="str">
        <f>IF(Atletas!N35="","",IF(Atletas!W35&lt;&gt;"",10000,0)+IF(Atletas!B35="Feminino",1000,IF(Atletas!B35="Masculino",2000,""))+IF(Atletas!N35="Yang A",301,IF(Atletas!N35="Chen A",30,IF(Atletas!N35="Sun A",303,IF(Atletas!N35="Wu A",304,IF(Atletas!N35="Wu-Hao A",305,IF(Atletas!N35="Outro Taijiquan A",306,IF(Atletas!N35="Yang B",307,IF(Atletas!N35="Chen B",308,IF(Atletas!N35="Sun B",309,IF(Atletas!N35="Wu B",310,IF(Atletas!N35="Wu-Hao B",311,IF(Atletas!N35="Outro Taijiquan B",312,IF(Atletas!N35="Yang C",313,IF(Atletas!N35="Chen C",314,IF(Atletas!N35="Sun C",315,IF(Atletas!N35="Wu C",316,IF(Atletas!N35="Wu-Hao C",317,IF(Atletas!N35="Outro Taijiquan C",318,IF(Atletas!N35="Yang D",319,IF(Atletas!N35="Chen D",320,IF(Atletas!N35="Sun D",321,IF(Atletas!N35="Wu D",322,IF(Atletas!N35="Wu-Hao D",323,IF(Atletas!N35="Outro Taijiquan D",324,IF(Atletas!N35="Yang E",325,IF(Atletas!N35="Chen E",326,IF(Atletas!N35="Sun E",327,IF(Atletas!N35="Wu E",328,IF(Atletas!N35="Wu-Hao E",329,IF(Atletas!N35="Outro Taijiquan E",330,IF(Atletas!N35="Yang F",331,IF(Atletas!N35="Chen F",332,IF(Atletas!N35="Sun F",333,IF(Atletas!N35="Wu F",334,IF(Atletas!N35="Wu-Hao F",335,IF(Atletas!N35="Outro Taijiquan F",336,"")))))))))))))))))))))))))))))))))))))</f>
        <v/>
      </c>
      <c r="BP39" s="52" t="str">
        <f>IF(Atletas!O35="","",IF(Atletas!W35&lt;&gt;"",10000,0)+IF(Atletas!B35="Feminino",1000,IF(Atletas!B35="Masculino",2000,""))+IF(OR(Atletas!O35="Yang 26 A",Atletas!O35="Yang 40 A"),401,IF(OR(Atletas!O35="Chen 25 A",Atletas!O35="Chen 36 A",Atletas!O35="Chen 56 A"),402,IF(Atletas!O35="Sun 73 A",403,IF(Atletas!O35="Wu 45 A",404,IF(Atletas!O35="Wu-Hao 46 A",405,IF(OR(Atletas!O35="Taijiquan 16 A",Atletas!O35="Taijiquan 24 A",Atletas!O35="Taijiquan 32 A",Atletas!O35="Taijiquan 42 A"),406,IF(OR(Atletas!O35="Yang 26 B",Atletas!O35="Yang 40 B"),407,IF(OR(Atletas!O35="Chen 25 B",Atletas!O35="Chen 36 B",Atletas!O35="Chen 56 B"),408,IF(Atletas!O35="Sun 73 B",409,IF(Atletas!O35="Wu 45 B",410,IF(Atletas!O35="Wu-Hao 46 B",411,IF(OR(Atletas!O35="Taijiquan 16 B",Atletas!O35="Taijiquan 24 B",Atletas!O35="Taijiquan 32 B",Atletas!O35="Taijiquan 42 B"),412,IF(OR(Atletas!O35="Yang 26 C",Atletas!O35="Yang 40 C"),413,IF(OR(Atletas!O35="Chen 25 C",Atletas!O35="Chen 36 C",Atletas!O35="Chen 56 C"),414,IF(Atletas!O35="Sun 73 C",415,IF(Atletas!O35="Wu 45 C",416,IF(Atletas!O35="Wu-Hao 46 C",417,IF(OR(Atletas!O35="Taijiquan 16 C",Atletas!O35="Taijiquan 24 C",Atletas!O35="Taijiquan 32 C",Atletas!O35="Taijiquan 42 C"),418,0)))))))))))))))))))</f>
        <v/>
      </c>
      <c r="BQ39" s="52" t="str">
        <f>IF(Atletas!O35="","",IF(Atletas!W35&lt;&gt;"",10000,0)+IF(Atletas!B35="Feminino",1000,IF(Atletas!B35="Masculino",2000,""))+IF(OR(Atletas!O35="Yang 26 D",Atletas!O35="Yang 40 D"),419,IF(OR(Atletas!O35="Chen 25 D",Atletas!O35="Chen 36 D",Atletas!O35="Chen 56 D"),420,IF(Atletas!O35="Sun 73 D",421,IF(Atletas!O35="Wu 45 D",422,IF(Atletas!O35="Wu-Hao 46 D",423,IF(OR(Atletas!O35="Taijiquan 16 D",Atletas!O35="Taijiquan 24 D",Atletas!O35="Taijiquan 32 D",Atletas!O35="Taijiquan 42 D"),424,IF(OR(Atletas!O35="Yang 26 E",Atletas!O35="Yang 40 E"),425,IF(OR(Atletas!O35="Chen 25 E",Atletas!O35="Chen 36 E",Atletas!O35="Chen 56 E"),426,IF(Atletas!O35="Sun 73 E",427,IF(Atletas!O35="Wu 45 E",428,IF(Atletas!O35="Wu-Hao 46 E",429,IF(OR(Atletas!O35="Taijiquan 16 E",Atletas!O35="Taijiquan 24 E",Atletas!O35="Taijiquan 32 E",Atletas!O35="Taijiquan 42 E"),430,IF(OR(Atletas!O35="Yang 26 F",Atletas!O35="Yang 40 F"),431,IF(OR(Atletas!O35="Chen 25 F",Atletas!O35="Chen 36 F",Atletas!O35="Chen 56 F"),432,IF(Atletas!O35="Sun 73 F",433,IF(Atletas!O35="Wu 45 F",434,IF(Atletas!O35="Wu-Hao 46 F",435,IF(OR(Atletas!O35="Taijiquan 16 F",Atletas!O35="Taijiquan 24 F",Atletas!O35="Taijiquan 32 F",Atletas!O35="Taijiquan 42 F"),436,0)))))))))))))))))))</f>
        <v/>
      </c>
      <c r="BR39" s="52" t="str">
        <f>IF(Atletas!P35="","",IF(Atletas!W35&lt;&gt;"",10000,0)+IF(Atletas!B35="Feminino",1000,IF(Atletas!B35="Masculino",2000,""))+IF(Atletas!P35="Xingyiquan A",501,IF(Atletas!P35="Baguazhang A",502,IF(Atletas!P35="Outro Estilo Interno A",503,IF(Atletas!P35="Xingyiquan B",504,IF(Atletas!P35="Baguazhang B",505,IF(Atletas!P35="Outro Estilo Interno B",506,IF(Atletas!P35="Xingyiquan C",507,IF(Atletas!P35="Baguazhang C",508,IF(Atletas!P35="Outro Estilo Interno C",509,IF(Atletas!P35="Xingyiquan D",510,IF(Atletas!P35="Baguazhang D",511,IF(Atletas!P35="Outro Estilo Interno D",512,IF(Atletas!P35="Xingyiquan E",513,IF(Atletas!P35="Baguazhang E",514,IF(Atletas!P35="Outro Estilo Interno E",515,IF(Atletas!P35="Xingyiquan F",516,IF(Atletas!P35="Baguazhang F",517,IF(Atletas!P35="Outro Estilo Interno F",518, "")))))))))))))))))))</f>
        <v/>
      </c>
      <c r="BS39" s="52" t="str">
        <f>IF(Atletas!Q35="","",IF(Atletas!W35&lt;&gt;"",10000,0)+IF(Atletas!B35="Feminino",1000,IF(Atletas!B35="Masculino",2000,""))+IF(Atletas!Q35="Dao A",601,IF(Atletas!Q35="Jian A",602,IF(Atletas!Q35="Bishou A",603,IF(Atletas!Q35="Shan A",604,IF(Atletas!Q35="Outra Arma Curta A",605,IF(Atletas!Q35="Dao B",606,IF(Atletas!Q35="Jian B",607,IF(Atletas!Q35="Bishou B",608,IF(Atletas!Q35="Shan B",609,IF(Atletas!Q35="Outra Arma Curta B",610,IF(Atletas!Q35="Dao C",611,IF(Atletas!Q35="Jian C",612,IF(Atletas!Q35="Bishou C",613,IF(Atletas!Q35="Shan C",614,IF(Atletas!Q35="Outra Arma Curta C",615,IF(Atletas!Q35="Dao D",616,IF(Atletas!Q35="Jian D",617,IF(Atletas!Q35="Bishou D",618,IF(Atletas!Q35="Shan D",619,IF(Atletas!Q35="Outra Arma Curta D",620,IF(Atletas!Q35="Dao E",621,IF(Atletas!Q35="Jian E",622,IF(Atletas!Q35="Bishou E",623,IF(Atletas!Q35="Shan E",624,IF(Atletas!Q35="Outra Arma Curta E",625,IF(Atletas!Q35="Dao F",626,IF(Atletas!Q35="Jian F",627,IF(Atletas!Q35="Bishou F",628,IF(Atletas!Q35="Shan F",629,IF(Atletas!Q35="Outra Arma Curta F",630, "")))))))))))))))))))))))))))))))</f>
        <v/>
      </c>
      <c r="BT39" s="52" t="str">
        <f>IF(Atletas!R35="","",IF(Atletas!W35&lt;&gt;"",10000,0)+IF(Atletas!B35="Feminino",1000,IF(Atletas!B35="Masculino",2000,""))+IF(Atletas!R35="Gun A",701,IF(Atletas!R35="Qiang A",702,IF(Atletas!R35="Pudao / Guandao A",703,IF(Atletas!R35="Outra Arma Longa A",704,IF(Atletas!R35="Gun B",705,IF(Atletas!R35="Qiang B",706,IF(Atletas!R35="Pudao / Guandao B",707,IF(Atletas!R35="Outra Arma Longa B",708,IF(Atletas!R35="Gun C",709,IF(Atletas!R35="Qiang C",710,IF(Atletas!R35="Pudao / Guandao C",711,IF(Atletas!R35="Outra Arma Longa C",712,IF(Atletas!R35="Gun D",713,IF(Atletas!R35="Qiang D",714,IF(Atletas!R35="Pudao / Guandao D",715,IF(Atletas!R35="Outra Arma Longa D",716,IF(Atletas!R35="Gun E",717,IF(Atletas!R35="Qiang E",718,IF(Atletas!R35="Pudao / Guandao E",719,IF(Atletas!R35="Outra Arma Longa E",720,IF(Atletas!R35="Gun F",721,IF(Atletas!R35="Qiang F",722,IF(Atletas!R35="Pudao / Guandao F",723,IF(Atletas!R35="Outra Arma Longa F",724,"")))))))))))))))))))))))))</f>
        <v/>
      </c>
      <c r="BU39" s="52" t="str">
        <f>IF(Atletas!S35="","",IF(Atletas!W35&lt;&gt;"",10000,0)+IF(Atletas!B35="Feminino",1000,IF(Atletas!B35="Masculino",2000,""))+IF(Atletas!S35="Arma Dupla A",801,IF(Atletas!S35="Arma Maleável A",802,IF(Atletas!S35="Arma Dupla B",803,IF(Atletas!S35="Arma Maleável B",804,IF(Atletas!S35="Arma Dupla C",805,IF(Atletas!S35="Arma Maleável C",806,IF(Atletas!S35="Arma Dupla D",807,IF(Atletas!S35="Arma Maleável D",808,IF(Atletas!S35="Arma Dupla E",809,IF(Atletas!S35="Arma Maleável E",810,IF(Atletas!S35="Arma Dupla F",811,IF(Atletas!S35="Arma Maleável F",812, "")))))))))))))</f>
        <v/>
      </c>
      <c r="BV39" s="52" t="str">
        <f>IF(Atletas!T35="","",IF(Atletas!W35&lt;&gt;"",10000,0)+IF(Atletas!B35="Feminino",1000,IF(Atletas!B35="Masculino",2000,""))+IF(Atletas!T35="Taijijian Yang A",901,IF(Atletas!T35="Taijijian Chen A",902,IF(Atletas!T35="Taijijian Sun A",903,IF(Atletas!T35="Taijijian Wu A",904,IF(Atletas!T35="Taijijian Wu-Hao A",905,IF(Atletas!T35="Taijijian 32 A",906,IF(Atletas!T35="Taijijian 42 A",907,IF(Atletas!T35="Taijijian Yang B",908,IF(Atletas!T35="Taijijian Chen B",909,IF(Atletas!T35="Taijijian Sun B",910,IF(Atletas!T35="Taijijian Wu B",911,IF(Atletas!T35="Taijijian Wu-Hao B",912,IF(Atletas!T35="Taijijian 32 B",913,IF(Atletas!T35="Taijijian 42 B",914,IF(Atletas!T35="Taijijian Yang C",915,IF(Atletas!T35="Taijijian Chen C",916,IF(Atletas!T35="Taijijian Sun C",917,IF(Atletas!T35="Taijijian Wu C",918,IF(Atletas!T35="Taijijian Wu-Hao C",919,IF(Atletas!T35="Taijijian 32 C",920,IF(Atletas!T35="Taijijian 42 C",921,IF(Atletas!T35="Taijijian Yang D",922,IF(Atletas!T35="Taijijian Chen D",923,IF(Atletas!T35="Taijijian Sun D",924,IF(Atletas!T35="Taijijian Wu D",925,IF(Atletas!T35="Taijijian Wu-Hao D",926,IF(Atletas!T35="Taijijian 32 D",927,IF(Atletas!T35="Taijijian 42 D",928,IF(Atletas!T35="Taijijian Yang E",929,IF(Atletas!T35="Taijijian Chen E",930,IF(Atletas!T35="Taijijian Sun E",931,IF(Atletas!T35="Taijijian Wu E",932,IF(Atletas!T35="Taijijian Wu-Hao E",933,IF(Atletas!T35="Taijijian 32 E",934,IF(Atletas!T35="Taijijian 42 E",935,IF(Atletas!T35="Taijijian Yang F",936,IF(Atletas!T35="Taijijian Chen F",937,IF(Atletas!T35="Taijijian Sun F",938,IF(Atletas!T35="Taijijian Wu F",939,IF(Atletas!T35="Taijijian Wu-Hao F",940,IF(Atletas!T35="Taijijian 32 F",941,IF(Atletas!T35="Taijijian 42 F",942,"")))))))))))))))))))))))))))))))))))))))))))</f>
        <v/>
      </c>
      <c r="BW39" s="52" t="str">
        <f>IF(Atletas!U35="","",IF(Atletas!W35&lt;&gt;"",10000,0)+IF(Atletas!B35="Feminino",1000,IF(Atletas!B35="Masculino",2000,""))+IF(Atletas!T35="Taijijian 42 F",942,IF(Atletas!U35="Taijidao A",943,IF(Atletas!U35="Taijishan A",944,IF(Atletas!U35="Taijiqiang A",945,IF(Atletas!U35="Taijidao B",946,IF(Atletas!U35="Taijishan B",947,IF(Atletas!U35="Taijiqiang B",948,IF(Atletas!U35="Taijidao C",949,IF(Atletas!U35="Taijishan C",950,IF(Atletas!U35="Taijiqiang C",951,IF(Atletas!U35="Taijidao D",952,IF(Atletas!U35="Taijishan D",953,IF(Atletas!U35="Taijiqiang D",954,IF(Atletas!U35="Taijidao E",955,IF(Atletas!U35="Taijishan E",956,IF(Atletas!U35="Taijiqiang E",957,IF(Atletas!U35="Taijidao F",958,IF(Atletas!U35="Taijishan F",959,IF(Atletas!U35="Taijiqiang F",960))))))))))))))))))))</f>
        <v/>
      </c>
      <c r="BX39" s="64" t="str">
        <f>IF(BY39&lt;&gt;"","Fanziquan A","")</f>
        <v/>
      </c>
      <c r="BY39" s="64" t="str">
        <f>IF(COUNTIF(BK:BW,1103)&gt;0,COUNTIF(BK:BW,1103),"")</f>
        <v/>
      </c>
      <c r="BZ39" s="64" t="str">
        <f>IF(CA39&lt;&gt;"","Fanziquan A","")</f>
        <v/>
      </c>
      <c r="CA39" s="64" t="str">
        <f>IF(COUNTIF(BK:BW,2103)&gt;0,COUNTIF(BK:BW,2103),"")</f>
        <v/>
      </c>
      <c r="CB39" s="64" t="str">
        <f>IF(CC39&lt;&gt;"","Fanziquan A","")</f>
        <v/>
      </c>
      <c r="CC39" s="64" t="str">
        <f>IF(COUNTIF(BK:BW,11103)&gt;0,COUNTIF(BK:BW,11103),"")</f>
        <v/>
      </c>
      <c r="CD39" s="64" t="str">
        <f>IF(CE39&lt;&gt;"","Fanziquan A","")</f>
        <v/>
      </c>
      <c r="CE39" s="64" t="str">
        <f>IF(COUNTIF(BK:BW,12103)&gt;0,COUNTIF(BK:BW,12103),"")</f>
        <v/>
      </c>
      <c r="CF39" s="52" t="str">
        <f xml:space="preserve"> IF(Atletas!V35="","",IF(Atletas!V35="Duilian de Mãos AB - Equipe 1",1,IF(Atletas!V35="Duilian de Mãos AB - Equipe 2",2,IF(Atletas!V35="Duilian de Armas AB - Equipe 1",3,IF(Atletas!V35="Duilian de Armas AB - Equipe 2",4,IF(Atletas!V35="Duilian de Tuishou - Equipe 1",5,IF(Atletas!V35="Duilian de Tuishou - Equipe 2",6,IF(Atletas!V35="Grupo Externo AB - Equipe 1",7,IF(Atletas!V35="Grupo Externo AB - Equipe 2",8,IF(Atletas!V35="Grupo Interno AB - Equipe 1",9,IF(Atletas!V35="Grupo Interno AB - Equipe 2",10,IF(Atletas!V35="Duilian de Mãos CD - Equipe 1",11,IF(Atletas!V35="Duilian de Mãos CD - Equipe 2",12,IF(Atletas!V35="Duilian de Armas CD - Equipe 1",13,IF(Atletas!V35="Duilian de Armas CD - Equipe 2",14,IF(Atletas!V35="Duilian de Tuishou - Equipe 1",15,IF(Atletas!V35="Duilian de Tuishou - Equipe 2",16,IF(Atletas!V35="Grupo Externo CDEF - Equipe 1",17,IF(Atletas!V35="Grupo Externo CDEF - Equipe 2",18,IF(Atletas!V35="Grupo Interno CDEF - Equipe 1",19,IF(Atletas!V35="Grupo Interno CDEF - Equipe 2",20,IF(Atletas!V35="Duilian de Mãos EF - Equipe 1",21,IF(Atletas!V35="Duilian de Mãos EF - Equipe 2",22,IF(Atletas!V35="Duilian de Armas EF - Equipe 1",23,IF(Atletas!V35="Duilian de Armas EF - Equipe 2",24,IF(Atletas!V35="Duilian de Tuishou - Equipe 1",25,IF(Atletas!V35="Duilian de Tuishou - Equipe 2",26,"")))))))))))))))))))))))))))</f>
        <v/>
      </c>
      <c r="CR39" s="71"/>
    </row>
    <row r="40" spans="2:96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 t="str">
        <f t="array" ref="N40">IFERROR(INDEX(BB$7:BB$66,SMALL(IF(BB$7:BB$66&lt;&gt;"",ROW(BB$7:BB$66)-ROW(BB$7)+1),ROWS(BB$7:BB39))),"")</f>
        <v/>
      </c>
      <c r="O40" s="4" t="str">
        <f t="array" ref="O40">IFERROR(INDEX(BC$7:BC$66,SMALL(IF(BC$7:BC$66&lt;&gt;"",ROW(BC$7:BC$66)-ROW(BC$7)+1),ROWS(BC$7:BC39))),"")</f>
        <v/>
      </c>
      <c r="P40" s="4" t="str">
        <f t="array" ref="P40">IFERROR(INDEX(BD$7:BD$66,SMALL(IF(BD$7:BD$66&lt;&gt;"",ROW(BD$7:BD$66)-ROW(BD$7)+1),ROWS(BD$7:BD39))),"")</f>
        <v/>
      </c>
      <c r="Q40" s="4" t="str">
        <f t="array" ref="Q40">IFERROR(INDEX(BE$7:BE$66,SMALL(IF(BE$7:BE$66&lt;&gt;"",ROW(BE$7:BE$66)-ROW(BE$7)+1),ROWS(BE$7:BE39))),"")</f>
        <v/>
      </c>
      <c r="R40" s="4"/>
      <c r="S40" s="4"/>
      <c r="T40" s="31"/>
      <c r="U40" s="4"/>
      <c r="V40" s="4" t="str">
        <f t="array" ref="V40">IFERROR(INDEX(BX$7:BX$336,SMALL(IF(BX$7:BX$336&lt;&gt;"",ROW(BX$7:BX$336)-ROW(BX$7)+1),ROWS(BX$7:BX39))),"")</f>
        <v/>
      </c>
      <c r="W40" s="4" t="str">
        <f t="array" ref="W40">IFERROR(INDEX(BY$7:BY$336,SMALL(IF(BY$7:BY$336&lt;&gt;"",ROW(BY$7:BY$336)-ROW(BY$7)+1),ROWS(BY$7:BY39))),"")</f>
        <v/>
      </c>
      <c r="X40" s="4" t="str">
        <f t="array" ref="X40">IFERROR(INDEX(BZ$7:BZ$336,SMALL(IF(BZ$7:BZ$336&lt;&gt;"",ROW(BZ$7:BZ$336)-ROW(BZ$7)+1),ROWS(BZ$7:BZ39))),"")</f>
        <v/>
      </c>
      <c r="Y40" s="4" t="str">
        <f t="array" ref="Y40">IFERROR(INDEX(CA$7:CA$336,SMALL(IF(CA$7:CA$336&lt;&gt;"",ROW(CA$7:CA$336)-ROW(CA$7)+1),ROWS(CA$7:CA39))),"")</f>
        <v/>
      </c>
      <c r="Z40" s="4" t="str">
        <f t="array" ref="Z40">IFERROR(INDEX(CB$7:CB$378,SMALL(IF(CB$7:CB$378&lt;&gt;"",ROW(CB$7:CB$378)-ROW(CB$7)+1),ROWS(CB$7:CB39))),"")</f>
        <v/>
      </c>
      <c r="AA40" s="4" t="str">
        <f t="array" ref="AA40">IFERROR(INDEX(CC$7:CC$378,SMALL(IF(CC$7:CC$378&lt;&gt;"",ROW(CC$7:CC$378)-ROW(CC$7)+1),ROWS(CC$7:CC39))),"")</f>
        <v/>
      </c>
      <c r="AB40" s="4" t="str">
        <f t="array" ref="AB40">IFERROR(INDEX(CD$7:CD$378,SMALL(IF(CD$7:CD$378&lt;&gt;"",ROW(CD$7:CD$378)-ROW(CD$7)+1),ROWS(CD$7:CD39))),"")</f>
        <v/>
      </c>
      <c r="AC40" s="4" t="str">
        <f t="array" ref="AC40">IFERROR(INDEX(CE$7:CE$378,SMALL(IF(CE$7:CE$378&lt;&gt;"",ROW(CE$7:CE$378)-ROW(CE$7)+1),ROWS(CE$7:CE39))),"")</f>
        <v/>
      </c>
      <c r="AD40" s="31"/>
      <c r="AE40" s="31"/>
      <c r="AF40" s="31"/>
      <c r="AG40" s="31"/>
      <c r="AH40" s="31"/>
      <c r="AI40" s="4"/>
      <c r="AJ40" s="46" t="str">
        <f>IF(Atletas!D36="","",IF(Atletas!B36="Feminino",100,IF(Atletas!B36="Masculino",200,""))+(IF(Atletas!D36="Infantil 39kg",1,IF(Atletas!D36="Infantil 42kg",2,IF(Atletas!D36="Infantil 45kg",3,IF(Atletas!D36="Infantil 48kg",4,IF(Atletas!D36="Infantil 52kg",5,IF(Atletas!D36="Infantil 56kg",6,IF(Atletas!D36="Infantil 60kg",7,IF(Atletas!D36="Juvenil 48kg",8,IF(Atletas!D36="Juvenil 52kg",9,IF(Atletas!D36="Juvenil 56kg",10,IF(Atletas!D36="Juvenil 60kg",11,IF(Atletas!D36="Juvenil 65kg",12,IF(Atletas!D36="Juvenil 70kg",13,IF(Atletas!D36="Juvenil 75kg",14,IF(Atletas!D36="Juvenil 80kg",15,IF(Atletas!D36="Adulto 48kg",16,IF(Atletas!D36="Adulto 52kg",17,IF(Atletas!D36="Adulto 56kg",18,IF(Atletas!D36="Adulto 60kg",19,IF(Atletas!D36="Adulto 65kg",20,IF(Atletas!D36="Adulto 70kg",21,IF(Atletas!D36="Adulto 75kg",22,IF(Atletas!D36="Adulto 80kg",23,IF(Atletas!D36="Adulto 85kg",24,IF(Atletas!D36="Adulto 90kg",25,IF(Atletas!D36="Adulto +90kg",26,""))))))))))))))))))))))))))))</f>
        <v/>
      </c>
      <c r="AO40" s="10" t="str">
        <f>IF(Atletas!E36="","",IF(Atletas!B36="Feminino",100,IF(Atletas!B36="Masculino",200,""))+(IF(Atletas!E36="Juvenil 44kg",1,IF(Atletas!E36="Juvenil 48kg",2,IF(Atletas!E36="Juvenil 52kg",3,IF(Atletas!E36="Juvenil 56kg",4,IF(Atletas!E36="Juvenil 60kg",5,IF(Atletas!E36="Juvenil 65kg",6,IF(Atletas!E36="Juvenil 70kg",7,IF(Atletas!E36="Juvenil 75kg",8,IF(Atletas!E36="Juvenil 82kg",9,IF(Atletas!E36="Juvenil 90kg",10,IF(Atletas!E36="Juvenil 100kg",11,IF(Atletas!E36="Adulto 48kg",12,IF(Atletas!E36="Adulto 52kg",13,IF(Atletas!E36="Adulto 56kg",14,IF(Atletas!E36="Adulto 60kg",15,IF(Atletas!E36="Adulto 65kg",16,IF(Atletas!E36="Adulto 70kg",17,IF(Atletas!E36="Adulto 75kg",18,IF(Atletas!E36="Adulto 82kg",19,IF(Atletas!E36="Adulto 90kg",20,IF(Atletas!E36="Adulto 100kg",21,IF(Atletas!E36="Adulto +100kg",22,""))))))))))))))))))))))))</f>
        <v/>
      </c>
      <c r="AT40" s="10" t="str">
        <f>IF(Atletas!F36="","",IF(Atletas!B36="Feminino",100,IF(Atletas!B36="Masculino",200,""))+(IF(Atletas!F36="Adulto 48kg",1,IF(Atletas!F36="Adulto 56kg",2,IF(Atletas!F36="Adulto 65kg",3,IF(Atletas!F36="Adulto 75kg",4,IF(Atletas!F36="Adulto +75kg",5,IF(Atletas!F36="Adulto 52kg",6,IF(Atletas!F36="Adulto 60kg",7,IF(Atletas!F36="Adulto 70kg",8,IF(Atletas!F36="Adulto 80kg",9,IF(Atletas!F36="Adulto 90kg",10,IF(Atletas!F36="Adulto +90kg",11,"")))))))))))))</f>
        <v/>
      </c>
      <c r="AY40" s="46" t="str">
        <f>IF(Atletas!G36="","",IF(Atletas!B36="Feminino",100,IF(Atletas!B36="Masculino",200,""))+(IF(Atletas!G36="Changquan Mirim",1,IF(Atletas!G36="Nanquan Mirim",2,IF(Atletas!G36="Taijiquan Mirim",3,IF(Atletas!G36="Changquan Grupo C",4,IF(Atletas!G36="Nanquan Grupo C",5,IF(Atletas!G36="Taijiquan Grupo C",6,IF(Atletas!G36="Changquan Grupo B",7,IF(Atletas!G36="Nanquan Grupo B",8,IF(Atletas!G36="Taijiquan Grupo B",9,IF(Atletas!G36="Changquan Grupo A",10,IF(Atletas!G36="Nanquan Grupo A",11,IF(Atletas!G36="Taijiquan Grupo A",12,IF(Atletas!G36="Changquan Opcional",13,IF(Atletas!G36="Nanquan Opcional",14,IF(Atletas!G36="Taijiquan Opcional",15,IF(Atletas!G36="Changquan Adulto",16,IF(Atletas!G36="Nanquan Adulto",17,IF(Atletas!G36="Taijiquan Adulto",18,""))))))))))))))))))))</f>
        <v/>
      </c>
      <c r="AZ40" s="46" t="str">
        <f>IF(Atletas!H36="","",IF(Atletas!B36="Feminino",100,IF(Atletas!B36="Masculino",200,""))+(IF(Atletas!H36="Daoshu Mirim",19,IF(Atletas!H36="Jianshu Mirim",20,IF(Atletas!H36="Nandao Mirim",21,IF(Atletas!H36="Taijijian Mirim",22,IF(Atletas!H36="Daoshu Grupo C",23,IF(Atletas!H36="Jianshu Grupo C",24,IF(Atletas!H36="Nandao Grupo C",25,IF(Atletas!H36="Taijijian Grupo C",26,IF(Atletas!H36="Daoshu Grupo B",27,IF(Atletas!H36="Jianshu Grupo B",28,IF(Atletas!H36="Nandao Grupo B",29,IF(Atletas!H36="Taijijian Grupo B",30,IF(Atletas!H36="Daoshu Grupo A",31,IF(Atletas!H36="Jianshu Grupo A",32,IF(Atletas!H36="Nandao Grupo A",33,IF(Atletas!H36="Taijijian Grupo A",34,IF(Atletas!H36="Daoshu Opcional",35,IF(Atletas!H36="Jianshu Opcional",36,IF(Atletas!H36="Nandao Opcional",37,IF(Atletas!H36="Taijijian Opcional",38,IF(Atletas!H36="Daoshu Adulto",39,IF(Atletas!H36="Jianshu Adulto",40,IF(Atletas!H36="Nandao Adulto",41,IF(Atletas!H36="Taijijian Adulto",42,""))))))))))))))))))))))))))</f>
        <v/>
      </c>
      <c r="BA40" s="46" t="str">
        <f>IF(Atletas!I36="","",IF(Atletas!B36="Feminino",100,IF(Atletas!B36="Masculino",200,""))+(IF(Atletas!I36="Gunshu Mirim",43,IF(Atletas!I36="Qiangshu Mirim",44,IF(Atletas!I36="Nangun Mirim",45,IF(Atletas!I36="Gunshu Grupo C",46,IF(Atletas!I36="Qiangshu Grupo C",47,IF(Atletas!I36="Nangun Grupo C",48,IF(Atletas!I36="Gunshu Grupo B",49,IF(Atletas!I36="Qiangshu Grupo B",50,IF(Atletas!I36="Nangun Grupo B",51,IF(Atletas!I36="Gunshu Grupo A",52,IF(Atletas!I36="Qiangshu Grupo A",53,IF(Atletas!I36="Nangun Grupo A",54,IF(Atletas!I36="Gunshu Opcional",55,IF(Atletas!I36="Qiangshu Opcional",56,IF(Atletas!I36="Nangun Opcional",57,IF(Atletas!I36="Gunshu Adulto",58,IF(Atletas!I36="Qiangshu Adulto",59,IF(Atletas!I36="Nangun Adulto",60,""))))))))))))))))))))</f>
        <v/>
      </c>
      <c r="BB40" s="10" t="str">
        <f>IF(BC40&lt;&gt;"","Daoshu Grupo A","")</f>
        <v/>
      </c>
      <c r="BC40" s="52" t="str">
        <f>IF(COUNTIF(AY:BA,131)&gt;0,COUNTIF(AY:BA,131),"")</f>
        <v/>
      </c>
      <c r="BD40" s="10" t="str">
        <f>IF(BE40&lt;&gt;"","Daoshu Grupo A","")</f>
        <v/>
      </c>
      <c r="BE40" s="52" t="str">
        <f>IF(COUNTIF(AY:BA,231)&gt;0,COUNTIF(AY:BA,231),"")</f>
        <v/>
      </c>
      <c r="BF40" s="52" t="str">
        <f>IF(Atletas!J36="","",IF(Atletas!B36="Feminino",100,IF(Atletas!B36="Masculino",200,""))+(IF(Atletas!J36="Equipe 1 Grupo B",1,IF(Atletas!J36="Equipe 2 Grupo B",2,IF(Atletas!J36="Equipe 1 Grupo A",3,IF(Atletas!J36="Equipe 2 Grupo A",4,IF(Atletas!J36="Equipe 1 Adulto",5,IF(Atletas!J36="Equipe 2 Adulto",6,""))))))))</f>
        <v/>
      </c>
      <c r="BK40" s="52" t="str">
        <f>IF(Atletas!K36="","",IF(Atletas!W36&lt;&gt;"",10000,0)+(IF(Atletas!B36="Feminino",1000,IF(Atletas!B36="Masculino",2000,""))+IF(Atletas!K36="Choylayfut A",1,IF(Atletas!K36="Hunggar A",2,IF(Atletas!K36="Wuzuquan A",3,IF(Atletas!K36="Wingchun A",4,IF(Atletas!K36="Outra Mão de Sul A",5,IF(Atletas!K36="Choylayfut B",6,IF(Atletas!K36="Hunggar B",7,IF(Atletas!K36="Wuzuquan B",8,IF(Atletas!K36="Wingchun B",9,IF(Atletas!K36="Outra Mão de Sul B",10,IF(Atletas!K36="Choylayfut C",11,IF(Atletas!K36="Hunggar C",12,IF(Atletas!K36="Wuzuquan C",13,IF(Atletas!K36="Wingchun C",14,IF(Atletas!K36="Outra Mão de Sul C",15,IF(Atletas!K36="Choylayfut D",16,IF(Atletas!K36="Hunggar D",17,IF(Atletas!K36="Wuzuquan D",18,IF(Atletas!K36="Wingchun D",19,IF(Atletas!K36="Outra Mão de Sul D",20,IF(Atletas!K36="Choylayfut E",21,IF(Atletas!K36="Hunggar E",22,IF(Atletas!K36="Wuzuquan E",23,IF(Atletas!K36="Wingchun E",24,IF(Atletas!K36="Outra Mão de Sul E",25,IF(Atletas!K36="Choylayfut F",26,IF(Atletas!K36="Hunggar F",27,IF(Atletas!K36="Wuzuquan F",28,IF(Atletas!K36="Wingchun F",29,IF(Atletas!K36="Outra Mão de Sul F",30,""))))))))))))))))))))))))))))))))</f>
        <v/>
      </c>
      <c r="BL40" s="52" t="str">
        <f>IF(Atletas!L36="","",IF(Atletas!W36&lt;&gt;"",10000,0)+(IF(Atletas!B36="Feminino",1000,IF(Atletas!B36="Masculino",2000,""))+(IF(Atletas!L36="Chaquan A",101,IF(Atletas!L36="Emeiquan A",102,IF(Atletas!L36="Fanziquan A",103,IF(Atletas!L36="Huaquan A",104,IF(Atletas!L36="Hongquan A",105,IF(Atletas!L36="Paochui A",106,IF(Atletas!L36="Piguaquan A",107,IF(Atletas!L36="Shaolinquan A",108,IF(Atletas!L36="Tanglangquan A",109,IF(Atletas!L36="Yinzhaophai A",110,IF(Atletas!L36="Tongbeiquan A",111,IF(Atletas!L36="Wudangquan A",112,IF(Atletas!L36="Outros Estilos A",113,IF(Atletas!L36="Chaquan B",114,IF(Atletas!L36="Emeiquan B",115,IF(Atletas!L36="Fanziquan B",116,IF(Atletas!L36="Huaquan B",117,IF(Atletas!L36="Hongquan B",118,IF(Atletas!L36="Paochui B",119,IF(Atletas!L36="Piguaquan B",120,IF(Atletas!L36="Shaolinquan B",121,IF(Atletas!L36="Tanglangquan B",122,IF(Atletas!L36="Yinzhaophai B",123,IF(Atletas!L36="Tongbeiquan B",124,IF(Atletas!L36="Wudangquan B",125,IF(Atletas!L36="Outros Estilos B",126,IF(Atletas!L36="Chaquan C",127,IF(Atletas!L36="Emeiquan C",128,IF(Atletas!L36="Fanziquan C",129,IF(Atletas!L36="Huaquan C",130,IF(Atletas!L36="Hongquan C",131,IF(Atletas!L36="Paochui C",132,IF(Atletas!L36="Piguaquan C",133,IF(Atletas!L36="Shaolinquan C",134,IF(Atletas!L36="Tanglangquan C",135,IF(Atletas!L36="Yinzhaophai C",136,IF(Atletas!L36="Tongbeiquan C",137,IF(Atletas!L36="Wudangquan C",138,IF(Atletas!L36="Outros Estilos C",139,0))))))))))))))))))))))))))))))))))))))))))</f>
        <v/>
      </c>
      <c r="BM40" s="52" t="str">
        <f>IF(Atletas!L36="","",IF(Atletas!W36&lt;&gt;"",10000,0)+(IF(Atletas!B36="Feminino",1000,IF(Atletas!B36="Masculino",2000,""))+(IF(Atletas!L36="Chaquan D",140,IF(Atletas!L36="Emeiquan D",141,IF(Atletas!L36="Fanziquan D",142,IF(Atletas!L36="Huaquan D",143,IF(Atletas!L36="Hongquan D",144,IF(Atletas!L36="Paochui D",145,IF(Atletas!L36="Piguaquan D",146,IF(Atletas!L36="Shaolinquan D",147,IF(Atletas!L36="Tanglangquan D",148,IF(Atletas!L36="Yinzhaophai D",149,IF(Atletas!L36="Tongbeiquan D",150,IF(Atletas!L36="Wudangquan D",151,IF(Atletas!L36="Outros Estilos D",152,IF(Atletas!L36="Chaquan E",153,IF(Atletas!L36="Emeiquan E",154,IF(Atletas!L36="Fanziquan E",155,IF(Atletas!L36="Huaquan E",156,IF(Atletas!L36="Hongquan E",157,IF(Atletas!L36="Paochui E",158,IF(Atletas!L36="Piguaquan E",159,IF(Atletas!L36="Shaolinquan E",160,IF(Atletas!L36="Tanglangquan E",161,IF(Atletas!L36="Yinzhaophai E",162,IF(Atletas!L36="Tongbeiquan E",163,IF(Atletas!L36="Wudangquan E",164,IF(Atletas!L36="Outros Estilos E",165,IF(Atletas!L36="Chaquan F",166,IF(Atletas!L36="Emeiquan F",167,IF(Atletas!L36="Fanziquan F",168,IF(Atletas!L36="Huaquan F",169,IF(Atletas!L36="Hongquan F",170,IF(Atletas!L36="Paochui F",171,IF(Atletas!L36="Piguaquan F",172,IF(Atletas!L36="Shaolinquan F",173,IF(Atletas!L36="Tanglangquan F",174,IF(Atletas!L36="Yinzhaophai F",175,IF(Atletas!L36="Tongbeiquan F",176,IF(Atletas!L36="Wudangquan F",177,IF(Atletas!L36="Outros Estilos F",178,0))))))))))))))))))))))))))))))))))))))))))</f>
        <v/>
      </c>
      <c r="BN40" s="52" t="str">
        <f>IF(Atletas!M36="","",IF(Atletas!W36&lt;&gt;"",10000,0)+(IF(Atletas!B36="Feminino",1000,IF(Atletas!B36="Masculino",2000,""))+(IF(Atletas!M36="Ditangquan A",201,IF(Atletas!M36="Houquan A",202,IF(Atletas!M36="Zuiquan A",203,IF(Atletas!M36="Ditangquan B",204,IF(Atletas!M36="Houquan B",205,IF(Atletas!M36="Zuiquan B",206,IF(Atletas!M36="Ditangquan C",207,IF(Atletas!M36="Houquan C",208,IF(Atletas!M36="Zuiquan C",209,IF(Atletas!M36="Ditangquan D",210,IF(Atletas!M36="Houquan D",211,IF(Atletas!M36="Zuiquan D",212,IF(Atletas!M36="Ditangquan E",213,IF(Atletas!M36="Houquan E",214,IF(Atletas!M36="Zuiquan E",215,IF(Atletas!M36="Ditangquan F",216,IF(Atletas!M36="Houquan F",217,IF(Atletas!M36="Zuiquan F",218,"")))))))))))))))))))))</f>
        <v/>
      </c>
      <c r="BO40" s="52" t="str">
        <f>IF(Atletas!N36="","",IF(Atletas!W36&lt;&gt;"",10000,0)+IF(Atletas!B36="Feminino",1000,IF(Atletas!B36="Masculino",2000,""))+IF(Atletas!N36="Yang A",301,IF(Atletas!N36="Chen A",30,IF(Atletas!N36="Sun A",303,IF(Atletas!N36="Wu A",304,IF(Atletas!N36="Wu-Hao A",305,IF(Atletas!N36="Outro Taijiquan A",306,IF(Atletas!N36="Yang B",307,IF(Atletas!N36="Chen B",308,IF(Atletas!N36="Sun B",309,IF(Atletas!N36="Wu B",310,IF(Atletas!N36="Wu-Hao B",311,IF(Atletas!N36="Outro Taijiquan B",312,IF(Atletas!N36="Yang C",313,IF(Atletas!N36="Chen C",314,IF(Atletas!N36="Sun C",315,IF(Atletas!N36="Wu C",316,IF(Atletas!N36="Wu-Hao C",317,IF(Atletas!N36="Outro Taijiquan C",318,IF(Atletas!N36="Yang D",319,IF(Atletas!N36="Chen D",320,IF(Atletas!N36="Sun D",321,IF(Atletas!N36="Wu D",322,IF(Atletas!N36="Wu-Hao D",323,IF(Atletas!N36="Outro Taijiquan D",324,IF(Atletas!N36="Yang E",325,IF(Atletas!N36="Chen E",326,IF(Atletas!N36="Sun E",327,IF(Atletas!N36="Wu E",328,IF(Atletas!N36="Wu-Hao E",329,IF(Atletas!N36="Outro Taijiquan E",330,IF(Atletas!N36="Yang F",331,IF(Atletas!N36="Chen F",332,IF(Atletas!N36="Sun F",333,IF(Atletas!N36="Wu F",334,IF(Atletas!N36="Wu-Hao F",335,IF(Atletas!N36="Outro Taijiquan F",336,"")))))))))))))))))))))))))))))))))))))</f>
        <v/>
      </c>
      <c r="BP40" s="52" t="str">
        <f>IF(Atletas!O36="","",IF(Atletas!W36&lt;&gt;"",10000,0)+IF(Atletas!B36="Feminino",1000,IF(Atletas!B36="Masculino",2000,""))+IF(OR(Atletas!O36="Yang 26 A",Atletas!O36="Yang 40 A"),401,IF(OR(Atletas!O36="Chen 25 A",Atletas!O36="Chen 36 A",Atletas!O36="Chen 56 A"),402,IF(Atletas!O36="Sun 73 A",403,IF(Atletas!O36="Wu 45 A",404,IF(Atletas!O36="Wu-Hao 46 A",405,IF(OR(Atletas!O36="Taijiquan 16 A",Atletas!O36="Taijiquan 24 A",Atletas!O36="Taijiquan 32 A",Atletas!O36="Taijiquan 42 A"),406,IF(OR(Atletas!O36="Yang 26 B",Atletas!O36="Yang 40 B"),407,IF(OR(Atletas!O36="Chen 25 B",Atletas!O36="Chen 36 B",Atletas!O36="Chen 56 B"),408,IF(Atletas!O36="Sun 73 B",409,IF(Atletas!O36="Wu 45 B",410,IF(Atletas!O36="Wu-Hao 46 B",411,IF(OR(Atletas!O36="Taijiquan 16 B",Atletas!O36="Taijiquan 24 B",Atletas!O36="Taijiquan 32 B",Atletas!O36="Taijiquan 42 B"),412,IF(OR(Atletas!O36="Yang 26 C",Atletas!O36="Yang 40 C"),413,IF(OR(Atletas!O36="Chen 25 C",Atletas!O36="Chen 36 C",Atletas!O36="Chen 56 C"),414,IF(Atletas!O36="Sun 73 C",415,IF(Atletas!O36="Wu 45 C",416,IF(Atletas!O36="Wu-Hao 46 C",417,IF(OR(Atletas!O36="Taijiquan 16 C",Atletas!O36="Taijiquan 24 C",Atletas!O36="Taijiquan 32 C",Atletas!O36="Taijiquan 42 C"),418,0)))))))))))))))))))</f>
        <v/>
      </c>
      <c r="BQ40" s="52" t="str">
        <f>IF(Atletas!O36="","",IF(Atletas!W36&lt;&gt;"",10000,0)+IF(Atletas!B36="Feminino",1000,IF(Atletas!B36="Masculino",2000,""))+IF(OR(Atletas!O36="Yang 26 D",Atletas!O36="Yang 40 D"),419,IF(OR(Atletas!O36="Chen 25 D",Atletas!O36="Chen 36 D",Atletas!O36="Chen 56 D"),420,IF(Atletas!O36="Sun 73 D",421,IF(Atletas!O36="Wu 45 D",422,IF(Atletas!O36="Wu-Hao 46 D",423,IF(OR(Atletas!O36="Taijiquan 16 D",Atletas!O36="Taijiquan 24 D",Atletas!O36="Taijiquan 32 D",Atletas!O36="Taijiquan 42 D"),424,IF(OR(Atletas!O36="Yang 26 E",Atletas!O36="Yang 40 E"),425,IF(OR(Atletas!O36="Chen 25 E",Atletas!O36="Chen 36 E",Atletas!O36="Chen 56 E"),426,IF(Atletas!O36="Sun 73 E",427,IF(Atletas!O36="Wu 45 E",428,IF(Atletas!O36="Wu-Hao 46 E",429,IF(OR(Atletas!O36="Taijiquan 16 E",Atletas!O36="Taijiquan 24 E",Atletas!O36="Taijiquan 32 E",Atletas!O36="Taijiquan 42 E"),430,IF(OR(Atletas!O36="Yang 26 F",Atletas!O36="Yang 40 F"),431,IF(OR(Atletas!O36="Chen 25 F",Atletas!O36="Chen 36 F",Atletas!O36="Chen 56 F"),432,IF(Atletas!O36="Sun 73 F",433,IF(Atletas!O36="Wu 45 F",434,IF(Atletas!O36="Wu-Hao 46 F",435,IF(OR(Atletas!O36="Taijiquan 16 F",Atletas!O36="Taijiquan 24 F",Atletas!O36="Taijiquan 32 F",Atletas!O36="Taijiquan 42 F"),436,0)))))))))))))))))))</f>
        <v/>
      </c>
      <c r="BR40" s="52" t="str">
        <f>IF(Atletas!P36="","",IF(Atletas!W36&lt;&gt;"",10000,0)+IF(Atletas!B36="Feminino",1000,IF(Atletas!B36="Masculino",2000,""))+IF(Atletas!P36="Xingyiquan A",501,IF(Atletas!P36="Baguazhang A",502,IF(Atletas!P36="Outro Estilo Interno A",503,IF(Atletas!P36="Xingyiquan B",504,IF(Atletas!P36="Baguazhang B",505,IF(Atletas!P36="Outro Estilo Interno B",506,IF(Atletas!P36="Xingyiquan C",507,IF(Atletas!P36="Baguazhang C",508,IF(Atletas!P36="Outro Estilo Interno C",509,IF(Atletas!P36="Xingyiquan D",510,IF(Atletas!P36="Baguazhang D",511,IF(Atletas!P36="Outro Estilo Interno D",512,IF(Atletas!P36="Xingyiquan E",513,IF(Atletas!P36="Baguazhang E",514,IF(Atletas!P36="Outro Estilo Interno E",515,IF(Atletas!P36="Xingyiquan F",516,IF(Atletas!P36="Baguazhang F",517,IF(Atletas!P36="Outro Estilo Interno F",518, "")))))))))))))))))))</f>
        <v/>
      </c>
      <c r="BS40" s="52" t="str">
        <f>IF(Atletas!Q36="","",IF(Atletas!W36&lt;&gt;"",10000,0)+IF(Atletas!B36="Feminino",1000,IF(Atletas!B36="Masculino",2000,""))+IF(Atletas!Q36="Dao A",601,IF(Atletas!Q36="Jian A",602,IF(Atletas!Q36="Bishou A",603,IF(Atletas!Q36="Shan A",604,IF(Atletas!Q36="Outra Arma Curta A",605,IF(Atletas!Q36="Dao B",606,IF(Atletas!Q36="Jian B",607,IF(Atletas!Q36="Bishou B",608,IF(Atletas!Q36="Shan B",609,IF(Atletas!Q36="Outra Arma Curta B",610,IF(Atletas!Q36="Dao C",611,IF(Atletas!Q36="Jian C",612,IF(Atletas!Q36="Bishou C",613,IF(Atletas!Q36="Shan C",614,IF(Atletas!Q36="Outra Arma Curta C",615,IF(Atletas!Q36="Dao D",616,IF(Atletas!Q36="Jian D",617,IF(Atletas!Q36="Bishou D",618,IF(Atletas!Q36="Shan D",619,IF(Atletas!Q36="Outra Arma Curta D",620,IF(Atletas!Q36="Dao E",621,IF(Atletas!Q36="Jian E",622,IF(Atletas!Q36="Bishou E",623,IF(Atletas!Q36="Shan E",624,IF(Atletas!Q36="Outra Arma Curta E",625,IF(Atletas!Q36="Dao F",626,IF(Atletas!Q36="Jian F",627,IF(Atletas!Q36="Bishou F",628,IF(Atletas!Q36="Shan F",629,IF(Atletas!Q36="Outra Arma Curta F",630, "")))))))))))))))))))))))))))))))</f>
        <v/>
      </c>
      <c r="BT40" s="52" t="str">
        <f>IF(Atletas!R36="","",IF(Atletas!W36&lt;&gt;"",10000,0)+IF(Atletas!B36="Feminino",1000,IF(Atletas!B36="Masculino",2000,""))+IF(Atletas!R36="Gun A",701,IF(Atletas!R36="Qiang A",702,IF(Atletas!R36="Pudao / Guandao A",703,IF(Atletas!R36="Outra Arma Longa A",704,IF(Atletas!R36="Gun B",705,IF(Atletas!R36="Qiang B",706,IF(Atletas!R36="Pudao / Guandao B",707,IF(Atletas!R36="Outra Arma Longa B",708,IF(Atletas!R36="Gun C",709,IF(Atletas!R36="Qiang C",710,IF(Atletas!R36="Pudao / Guandao C",711,IF(Atletas!R36="Outra Arma Longa C",712,IF(Atletas!R36="Gun D",713,IF(Atletas!R36="Qiang D",714,IF(Atletas!R36="Pudao / Guandao D",715,IF(Atletas!R36="Outra Arma Longa D",716,IF(Atletas!R36="Gun E",717,IF(Atletas!R36="Qiang E",718,IF(Atletas!R36="Pudao / Guandao E",719,IF(Atletas!R36="Outra Arma Longa E",720,IF(Atletas!R36="Gun F",721,IF(Atletas!R36="Qiang F",722,IF(Atletas!R36="Pudao / Guandao F",723,IF(Atletas!R36="Outra Arma Longa F",724,"")))))))))))))))))))))))))</f>
        <v/>
      </c>
      <c r="BU40" s="52" t="str">
        <f>IF(Atletas!S36="","",IF(Atletas!W36&lt;&gt;"",10000,0)+IF(Atletas!B36="Feminino",1000,IF(Atletas!B36="Masculino",2000,""))+IF(Atletas!S36="Arma Dupla A",801,IF(Atletas!S36="Arma Maleável A",802,IF(Atletas!S36="Arma Dupla B",803,IF(Atletas!S36="Arma Maleável B",804,IF(Atletas!S36="Arma Dupla C",805,IF(Atletas!S36="Arma Maleável C",806,IF(Atletas!S36="Arma Dupla D",807,IF(Atletas!S36="Arma Maleável D",808,IF(Atletas!S36="Arma Dupla E",809,IF(Atletas!S36="Arma Maleável E",810,IF(Atletas!S36="Arma Dupla F",811,IF(Atletas!S36="Arma Maleável F",812, "")))))))))))))</f>
        <v/>
      </c>
      <c r="BV40" s="52" t="str">
        <f>IF(Atletas!T36="","",IF(Atletas!W36&lt;&gt;"",10000,0)+IF(Atletas!B36="Feminino",1000,IF(Atletas!B36="Masculino",2000,""))+IF(Atletas!T36="Taijijian Yang A",901,IF(Atletas!T36="Taijijian Chen A",902,IF(Atletas!T36="Taijijian Sun A",903,IF(Atletas!T36="Taijijian Wu A",904,IF(Atletas!T36="Taijijian Wu-Hao A",905,IF(Atletas!T36="Taijijian 32 A",906,IF(Atletas!T36="Taijijian 42 A",907,IF(Atletas!T36="Taijijian Yang B",908,IF(Atletas!T36="Taijijian Chen B",909,IF(Atletas!T36="Taijijian Sun B",910,IF(Atletas!T36="Taijijian Wu B",911,IF(Atletas!T36="Taijijian Wu-Hao B",912,IF(Atletas!T36="Taijijian 32 B",913,IF(Atletas!T36="Taijijian 42 B",914,IF(Atletas!T36="Taijijian Yang C",915,IF(Atletas!T36="Taijijian Chen C",916,IF(Atletas!T36="Taijijian Sun C",917,IF(Atletas!T36="Taijijian Wu C",918,IF(Atletas!T36="Taijijian Wu-Hao C",919,IF(Atletas!T36="Taijijian 32 C",920,IF(Atletas!T36="Taijijian 42 C",921,IF(Atletas!T36="Taijijian Yang D",922,IF(Atletas!T36="Taijijian Chen D",923,IF(Atletas!T36="Taijijian Sun D",924,IF(Atletas!T36="Taijijian Wu D",925,IF(Atletas!T36="Taijijian Wu-Hao D",926,IF(Atletas!T36="Taijijian 32 D",927,IF(Atletas!T36="Taijijian 42 D",928,IF(Atletas!T36="Taijijian Yang E",929,IF(Atletas!T36="Taijijian Chen E",930,IF(Atletas!T36="Taijijian Sun E",931,IF(Atletas!T36="Taijijian Wu E",932,IF(Atletas!T36="Taijijian Wu-Hao E",933,IF(Atletas!T36="Taijijian 32 E",934,IF(Atletas!T36="Taijijian 42 E",935,IF(Atletas!T36="Taijijian Yang F",936,IF(Atletas!T36="Taijijian Chen F",937,IF(Atletas!T36="Taijijian Sun F",938,IF(Atletas!T36="Taijijian Wu F",939,IF(Atletas!T36="Taijijian Wu-Hao F",940,IF(Atletas!T36="Taijijian 32 F",941,IF(Atletas!T36="Taijijian 42 F",942,"")))))))))))))))))))))))))))))))))))))))))))</f>
        <v/>
      </c>
      <c r="BW40" s="52" t="str">
        <f>IF(Atletas!U36="","",IF(Atletas!W36&lt;&gt;"",10000,0)+IF(Atletas!B36="Feminino",1000,IF(Atletas!B36="Masculino",2000,""))+IF(Atletas!T36="Taijijian 42 F",942,IF(Atletas!U36="Taijidao A",943,IF(Atletas!U36="Taijishan A",944,IF(Atletas!U36="Taijiqiang A",945,IF(Atletas!U36="Taijidao B",946,IF(Atletas!U36="Taijishan B",947,IF(Atletas!U36="Taijiqiang B",948,IF(Atletas!U36="Taijidao C",949,IF(Atletas!U36="Taijishan C",950,IF(Atletas!U36="Taijiqiang C",951,IF(Atletas!U36="Taijidao D",952,IF(Atletas!U36="Taijishan D",953,IF(Atletas!U36="Taijiqiang D",954,IF(Atletas!U36="Taijidao E",955,IF(Atletas!U36="Taijishan E",956,IF(Atletas!U36="Taijiqiang E",957,IF(Atletas!U36="Taijidao F",958,IF(Atletas!U36="Taijishan F",959,IF(Atletas!U36="Taijiqiang F",960))))))))))))))))))))</f>
        <v/>
      </c>
      <c r="BX40" s="64" t="str">
        <f>IF(BY40&lt;&gt;"","Huaquan A","")</f>
        <v/>
      </c>
      <c r="BY40" s="64" t="str">
        <f>IF(COUNTIF(BK:BW,1104)&gt;0,COUNTIF(BK:BW,1104),"")</f>
        <v/>
      </c>
      <c r="BZ40" s="64" t="str">
        <f>IF(CA40&lt;&gt;"","Huaquan A","")</f>
        <v/>
      </c>
      <c r="CA40" s="64" t="str">
        <f>IF(COUNTIF(BK:BW,2104)&gt;0,COUNTIF(BK:BW,2104),"")</f>
        <v/>
      </c>
      <c r="CB40" s="64" t="str">
        <f>IF(CC40&lt;&gt;"","Huaquan A","")</f>
        <v/>
      </c>
      <c r="CC40" s="64" t="str">
        <f>IF(COUNTIF(BK:BW,11104)&gt;0,COUNTIF(BK:BW,11104),"")</f>
        <v/>
      </c>
      <c r="CD40" s="64" t="str">
        <f>IF(CE40&lt;&gt;"","Huaquan A","")</f>
        <v/>
      </c>
      <c r="CE40" s="64" t="str">
        <f>IF(COUNTIF(BK:BW,12104)&gt;0,COUNTIF(BK:BW,12104),"")</f>
        <v/>
      </c>
      <c r="CF40" s="52" t="str">
        <f xml:space="preserve"> IF(Atletas!V36="","",IF(Atletas!V36="Duilian de Mãos AB - Equipe 1",1,IF(Atletas!V36="Duilian de Mãos AB - Equipe 2",2,IF(Atletas!V36="Duilian de Armas AB - Equipe 1",3,IF(Atletas!V36="Duilian de Armas AB - Equipe 2",4,IF(Atletas!V36="Duilian de Tuishou - Equipe 1",5,IF(Atletas!V36="Duilian de Tuishou - Equipe 2",6,IF(Atletas!V36="Grupo Externo AB - Equipe 1",7,IF(Atletas!V36="Grupo Externo AB - Equipe 2",8,IF(Atletas!V36="Grupo Interno AB - Equipe 1",9,IF(Atletas!V36="Grupo Interno AB - Equipe 2",10,IF(Atletas!V36="Duilian de Mãos CD - Equipe 1",11,IF(Atletas!V36="Duilian de Mãos CD - Equipe 2",12,IF(Atletas!V36="Duilian de Armas CD - Equipe 1",13,IF(Atletas!V36="Duilian de Armas CD - Equipe 2",14,IF(Atletas!V36="Duilian de Tuishou - Equipe 1",15,IF(Atletas!V36="Duilian de Tuishou - Equipe 2",16,IF(Atletas!V36="Grupo Externo CDEF - Equipe 1",17,IF(Atletas!V36="Grupo Externo CDEF - Equipe 2",18,IF(Atletas!V36="Grupo Interno CDEF - Equipe 1",19,IF(Atletas!V36="Grupo Interno CDEF - Equipe 2",20,IF(Atletas!V36="Duilian de Mãos EF - Equipe 1",21,IF(Atletas!V36="Duilian de Mãos EF - Equipe 2",22,IF(Atletas!V36="Duilian de Armas EF - Equipe 1",23,IF(Atletas!V36="Duilian de Armas EF - Equipe 2",24,IF(Atletas!V36="Duilian de Tuishou - Equipe 1",25,IF(Atletas!V36="Duilian de Tuishou - Equipe 2",26,"")))))))))))))))))))))))))))</f>
        <v/>
      </c>
      <c r="CR40" s="71"/>
    </row>
    <row r="41" spans="2:96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 t="str">
        <f t="array" ref="N41">IFERROR(INDEX(BB$7:BB$66,SMALL(IF(BB$7:BB$66&lt;&gt;"",ROW(BB$7:BB$66)-ROW(BB$7)+1),ROWS(BB$7:BB40))),"")</f>
        <v/>
      </c>
      <c r="O41" s="4" t="str">
        <f t="array" ref="O41">IFERROR(INDEX(BC$7:BC$66,SMALL(IF(BC$7:BC$66&lt;&gt;"",ROW(BC$7:BC$66)-ROW(BC$7)+1),ROWS(BC$7:BC40))),"")</f>
        <v/>
      </c>
      <c r="P41" s="4" t="str">
        <f t="array" ref="P41">IFERROR(INDEX(BD$7:BD$66,SMALL(IF(BD$7:BD$66&lt;&gt;"",ROW(BD$7:BD$66)-ROW(BD$7)+1),ROWS(BD$7:BD40))),"")</f>
        <v/>
      </c>
      <c r="Q41" s="4" t="str">
        <f t="array" ref="Q41">IFERROR(INDEX(BE$7:BE$66,SMALL(IF(BE$7:BE$66&lt;&gt;"",ROW(BE$7:BE$66)-ROW(BE$7)+1),ROWS(BE$7:BE40))),"")</f>
        <v/>
      </c>
      <c r="R41" s="4"/>
      <c r="S41" s="4"/>
      <c r="T41" s="31"/>
      <c r="U41" s="4"/>
      <c r="V41" s="4" t="str">
        <f t="array" ref="V41">IFERROR(INDEX(BX$7:BX$336,SMALL(IF(BX$7:BX$336&lt;&gt;"",ROW(BX$7:BX$336)-ROW(BX$7)+1),ROWS(BX$7:BX40))),"")</f>
        <v/>
      </c>
      <c r="W41" s="4" t="str">
        <f t="array" ref="W41">IFERROR(INDEX(BY$7:BY$336,SMALL(IF(BY$7:BY$336&lt;&gt;"",ROW(BY$7:BY$336)-ROW(BY$7)+1),ROWS(BY$7:BY40))),"")</f>
        <v/>
      </c>
      <c r="X41" s="4" t="str">
        <f t="array" ref="X41">IFERROR(INDEX(BZ$7:BZ$336,SMALL(IF(BZ$7:BZ$336&lt;&gt;"",ROW(BZ$7:BZ$336)-ROW(BZ$7)+1),ROWS(BZ$7:BZ40))),"")</f>
        <v/>
      </c>
      <c r="Y41" s="4" t="str">
        <f t="array" ref="Y41">IFERROR(INDEX(CA$7:CA$336,SMALL(IF(CA$7:CA$336&lt;&gt;"",ROW(CA$7:CA$336)-ROW(CA$7)+1),ROWS(CA$7:CA40))),"")</f>
        <v/>
      </c>
      <c r="Z41" s="4" t="str">
        <f t="array" ref="Z41">IFERROR(INDEX(CB$7:CB$378,SMALL(IF(CB$7:CB$378&lt;&gt;"",ROW(CB$7:CB$378)-ROW(CB$7)+1),ROWS(CB$7:CB40))),"")</f>
        <v/>
      </c>
      <c r="AA41" s="4" t="str">
        <f t="array" ref="AA41">IFERROR(INDEX(CC$7:CC$378,SMALL(IF(CC$7:CC$378&lt;&gt;"",ROW(CC$7:CC$378)-ROW(CC$7)+1),ROWS(CC$7:CC40))),"")</f>
        <v/>
      </c>
      <c r="AB41" s="4" t="str">
        <f t="array" ref="AB41">IFERROR(INDEX(CD$7:CD$378,SMALL(IF(CD$7:CD$378&lt;&gt;"",ROW(CD$7:CD$378)-ROW(CD$7)+1),ROWS(CD$7:CD40))),"")</f>
        <v/>
      </c>
      <c r="AC41" s="4" t="str">
        <f t="array" ref="AC41">IFERROR(INDEX(CE$7:CE$378,SMALL(IF(CE$7:CE$378&lt;&gt;"",ROW(CE$7:CE$378)-ROW(CE$7)+1),ROWS(CE$7:CE40))),"")</f>
        <v/>
      </c>
      <c r="AD41" s="31"/>
      <c r="AE41" s="31"/>
      <c r="AF41" s="31"/>
      <c r="AG41" s="31"/>
      <c r="AH41" s="31"/>
      <c r="AI41" s="4"/>
      <c r="AJ41" s="46" t="str">
        <f>IF(Atletas!D37="","",IF(Atletas!B37="Feminino",100,IF(Atletas!B37="Masculino",200,""))+(IF(Atletas!D37="Infantil 39kg",1,IF(Atletas!D37="Infantil 42kg",2,IF(Atletas!D37="Infantil 45kg",3,IF(Atletas!D37="Infantil 48kg",4,IF(Atletas!D37="Infantil 52kg",5,IF(Atletas!D37="Infantil 56kg",6,IF(Atletas!D37="Infantil 60kg",7,IF(Atletas!D37="Juvenil 48kg",8,IF(Atletas!D37="Juvenil 52kg",9,IF(Atletas!D37="Juvenil 56kg",10,IF(Atletas!D37="Juvenil 60kg",11,IF(Atletas!D37="Juvenil 65kg",12,IF(Atletas!D37="Juvenil 70kg",13,IF(Atletas!D37="Juvenil 75kg",14,IF(Atletas!D37="Juvenil 80kg",15,IF(Atletas!D37="Adulto 48kg",16,IF(Atletas!D37="Adulto 52kg",17,IF(Atletas!D37="Adulto 56kg",18,IF(Atletas!D37="Adulto 60kg",19,IF(Atletas!D37="Adulto 65kg",20,IF(Atletas!D37="Adulto 70kg",21,IF(Atletas!D37="Adulto 75kg",22,IF(Atletas!D37="Adulto 80kg",23,IF(Atletas!D37="Adulto 85kg",24,IF(Atletas!D37="Adulto 90kg",25,IF(Atletas!D37="Adulto +90kg",26,""))))))))))))))))))))))))))))</f>
        <v/>
      </c>
      <c r="AO41" s="10" t="str">
        <f>IF(Atletas!E37="","",IF(Atletas!B37="Feminino",100,IF(Atletas!B37="Masculino",200,""))+(IF(Atletas!E37="Juvenil 44kg",1,IF(Atletas!E37="Juvenil 48kg",2,IF(Atletas!E37="Juvenil 52kg",3,IF(Atletas!E37="Juvenil 56kg",4,IF(Atletas!E37="Juvenil 60kg",5,IF(Atletas!E37="Juvenil 65kg",6,IF(Atletas!E37="Juvenil 70kg",7,IF(Atletas!E37="Juvenil 75kg",8,IF(Atletas!E37="Juvenil 82kg",9,IF(Atletas!E37="Juvenil 90kg",10,IF(Atletas!E37="Juvenil 100kg",11,IF(Atletas!E37="Adulto 48kg",12,IF(Atletas!E37="Adulto 52kg",13,IF(Atletas!E37="Adulto 56kg",14,IF(Atletas!E37="Adulto 60kg",15,IF(Atletas!E37="Adulto 65kg",16,IF(Atletas!E37="Adulto 70kg",17,IF(Atletas!E37="Adulto 75kg",18,IF(Atletas!E37="Adulto 82kg",19,IF(Atletas!E37="Adulto 90kg",20,IF(Atletas!E37="Adulto 100kg",21,IF(Atletas!E37="Adulto +100kg",22,""))))))))))))))))))))))))</f>
        <v/>
      </c>
      <c r="AT41" s="10" t="str">
        <f>IF(Atletas!F37="","",IF(Atletas!B37="Feminino",100,IF(Atletas!B37="Masculino",200,""))+(IF(Atletas!F37="Adulto 48kg",1,IF(Atletas!F37="Adulto 56kg",2,IF(Atletas!F37="Adulto 65kg",3,IF(Atletas!F37="Adulto 75kg",4,IF(Atletas!F37="Adulto +75kg",5,IF(Atletas!F37="Adulto 52kg",6,IF(Atletas!F37="Adulto 60kg",7,IF(Atletas!F37="Adulto 70kg",8,IF(Atletas!F37="Adulto 80kg",9,IF(Atletas!F37="Adulto 90kg",10,IF(Atletas!F37="Adulto +90kg",11,"")))))))))))))</f>
        <v/>
      </c>
      <c r="AY41" s="46" t="str">
        <f>IF(Atletas!G37="","",IF(Atletas!B37="Feminino",100,IF(Atletas!B37="Masculino",200,""))+(IF(Atletas!G37="Changquan Mirim",1,IF(Atletas!G37="Nanquan Mirim",2,IF(Atletas!G37="Taijiquan Mirim",3,IF(Atletas!G37="Changquan Grupo C",4,IF(Atletas!G37="Nanquan Grupo C",5,IF(Atletas!G37="Taijiquan Grupo C",6,IF(Atletas!G37="Changquan Grupo B",7,IF(Atletas!G37="Nanquan Grupo B",8,IF(Atletas!G37="Taijiquan Grupo B",9,IF(Atletas!G37="Changquan Grupo A",10,IF(Atletas!G37="Nanquan Grupo A",11,IF(Atletas!G37="Taijiquan Grupo A",12,IF(Atletas!G37="Changquan Opcional",13,IF(Atletas!G37="Nanquan Opcional",14,IF(Atletas!G37="Taijiquan Opcional",15,IF(Atletas!G37="Changquan Adulto",16,IF(Atletas!G37="Nanquan Adulto",17,IF(Atletas!G37="Taijiquan Adulto",18,""))))))))))))))))))))</f>
        <v/>
      </c>
      <c r="AZ41" s="46" t="str">
        <f>IF(Atletas!H37="","",IF(Atletas!B37="Feminino",100,IF(Atletas!B37="Masculino",200,""))+(IF(Atletas!H37="Daoshu Mirim",19,IF(Atletas!H37="Jianshu Mirim",20,IF(Atletas!H37="Nandao Mirim",21,IF(Atletas!H37="Taijijian Mirim",22,IF(Atletas!H37="Daoshu Grupo C",23,IF(Atletas!H37="Jianshu Grupo C",24,IF(Atletas!H37="Nandao Grupo C",25,IF(Atletas!H37="Taijijian Grupo C",26,IF(Atletas!H37="Daoshu Grupo B",27,IF(Atletas!H37="Jianshu Grupo B",28,IF(Atletas!H37="Nandao Grupo B",29,IF(Atletas!H37="Taijijian Grupo B",30,IF(Atletas!H37="Daoshu Grupo A",31,IF(Atletas!H37="Jianshu Grupo A",32,IF(Atletas!H37="Nandao Grupo A",33,IF(Atletas!H37="Taijijian Grupo A",34,IF(Atletas!H37="Daoshu Opcional",35,IF(Atletas!H37="Jianshu Opcional",36,IF(Atletas!H37="Nandao Opcional",37,IF(Atletas!H37="Taijijian Opcional",38,IF(Atletas!H37="Daoshu Adulto",39,IF(Atletas!H37="Jianshu Adulto",40,IF(Atletas!H37="Nandao Adulto",41,IF(Atletas!H37="Taijijian Adulto",42,""))))))))))))))))))))))))))</f>
        <v/>
      </c>
      <c r="BA41" s="46" t="str">
        <f>IF(Atletas!I37="","",IF(Atletas!B37="Feminino",100,IF(Atletas!B37="Masculino",200,""))+(IF(Atletas!I37="Gunshu Mirim",43,IF(Atletas!I37="Qiangshu Mirim",44,IF(Atletas!I37="Nangun Mirim",45,IF(Atletas!I37="Gunshu Grupo C",46,IF(Atletas!I37="Qiangshu Grupo C",47,IF(Atletas!I37="Nangun Grupo C",48,IF(Atletas!I37="Gunshu Grupo B",49,IF(Atletas!I37="Qiangshu Grupo B",50,IF(Atletas!I37="Nangun Grupo B",51,IF(Atletas!I37="Gunshu Grupo A",52,IF(Atletas!I37="Qiangshu Grupo A",53,IF(Atletas!I37="Nangun Grupo A",54,IF(Atletas!I37="Gunshu Opcional",55,IF(Atletas!I37="Qiangshu Opcional",56,IF(Atletas!I37="Nangun Opcional",57,IF(Atletas!I37="Gunshu Adulto",58,IF(Atletas!I37="Qiangshu Adulto",59,IF(Atletas!I37="Nangun Adulto",60,""))))))))))))))))))))</f>
        <v/>
      </c>
      <c r="BB41" s="10" t="str">
        <f>IF(BC41&lt;&gt;"","Jianshu Grupo A","")</f>
        <v/>
      </c>
      <c r="BC41" s="52" t="str">
        <f>IF(COUNTIF(AY:BA,132)&gt;0,COUNTIF(AY:BA,132),"")</f>
        <v/>
      </c>
      <c r="BD41" s="10" t="str">
        <f>IF(BE41&lt;&gt;"","Jianshu Grupo A","")</f>
        <v/>
      </c>
      <c r="BE41" s="52" t="str">
        <f>IF(COUNTIF(AY:BA,232)&gt;0,COUNTIF(AY:BA,232),"")</f>
        <v/>
      </c>
      <c r="BF41" s="52" t="str">
        <f>IF(Atletas!J37="","",IF(Atletas!B37="Feminino",100,IF(Atletas!B37="Masculino",200,""))+(IF(Atletas!J37="Equipe 1 Grupo B",1,IF(Atletas!J37="Equipe 2 Grupo B",2,IF(Atletas!J37="Equipe 1 Grupo A",3,IF(Atletas!J37="Equipe 2 Grupo A",4,IF(Atletas!J37="Equipe 1 Adulto",5,IF(Atletas!J37="Equipe 2 Adulto",6,""))))))))</f>
        <v/>
      </c>
      <c r="BK41" s="52" t="str">
        <f>IF(Atletas!K37="","",IF(Atletas!W37&lt;&gt;"",10000,0)+(IF(Atletas!B37="Feminino",1000,IF(Atletas!B37="Masculino",2000,""))+IF(Atletas!K37="Choylayfut A",1,IF(Atletas!K37="Hunggar A",2,IF(Atletas!K37="Wuzuquan A",3,IF(Atletas!K37="Wingchun A",4,IF(Atletas!K37="Outra Mão de Sul A",5,IF(Atletas!K37="Choylayfut B",6,IF(Atletas!K37="Hunggar B",7,IF(Atletas!K37="Wuzuquan B",8,IF(Atletas!K37="Wingchun B",9,IF(Atletas!K37="Outra Mão de Sul B",10,IF(Atletas!K37="Choylayfut C",11,IF(Atletas!K37="Hunggar C",12,IF(Atletas!K37="Wuzuquan C",13,IF(Atletas!K37="Wingchun C",14,IF(Atletas!K37="Outra Mão de Sul C",15,IF(Atletas!K37="Choylayfut D",16,IF(Atletas!K37="Hunggar D",17,IF(Atletas!K37="Wuzuquan D",18,IF(Atletas!K37="Wingchun D",19,IF(Atletas!K37="Outra Mão de Sul D",20,IF(Atletas!K37="Choylayfut E",21,IF(Atletas!K37="Hunggar E",22,IF(Atletas!K37="Wuzuquan E",23,IF(Atletas!K37="Wingchun E",24,IF(Atletas!K37="Outra Mão de Sul E",25,IF(Atletas!K37="Choylayfut F",26,IF(Atletas!K37="Hunggar F",27,IF(Atletas!K37="Wuzuquan F",28,IF(Atletas!K37="Wingchun F",29,IF(Atletas!K37="Outra Mão de Sul F",30,""))))))))))))))))))))))))))))))))</f>
        <v/>
      </c>
      <c r="BL41" s="52" t="str">
        <f>IF(Atletas!L37="","",IF(Atletas!W37&lt;&gt;"",10000,0)+(IF(Atletas!B37="Feminino",1000,IF(Atletas!B37="Masculino",2000,""))+(IF(Atletas!L37="Chaquan A",101,IF(Atletas!L37="Emeiquan A",102,IF(Atletas!L37="Fanziquan A",103,IF(Atletas!L37="Huaquan A",104,IF(Atletas!L37="Hongquan A",105,IF(Atletas!L37="Paochui A",106,IF(Atletas!L37="Piguaquan A",107,IF(Atletas!L37="Shaolinquan A",108,IF(Atletas!L37="Tanglangquan A",109,IF(Atletas!L37="Yinzhaophai A",110,IF(Atletas!L37="Tongbeiquan A",111,IF(Atletas!L37="Wudangquan A",112,IF(Atletas!L37="Outros Estilos A",113,IF(Atletas!L37="Chaquan B",114,IF(Atletas!L37="Emeiquan B",115,IF(Atletas!L37="Fanziquan B",116,IF(Atletas!L37="Huaquan B",117,IF(Atletas!L37="Hongquan B",118,IF(Atletas!L37="Paochui B",119,IF(Atletas!L37="Piguaquan B",120,IF(Atletas!L37="Shaolinquan B",121,IF(Atletas!L37="Tanglangquan B",122,IF(Atletas!L37="Yinzhaophai B",123,IF(Atletas!L37="Tongbeiquan B",124,IF(Atletas!L37="Wudangquan B",125,IF(Atletas!L37="Outros Estilos B",126,IF(Atletas!L37="Chaquan C",127,IF(Atletas!L37="Emeiquan C",128,IF(Atletas!L37="Fanziquan C",129,IF(Atletas!L37="Huaquan C",130,IF(Atletas!L37="Hongquan C",131,IF(Atletas!L37="Paochui C",132,IF(Atletas!L37="Piguaquan C",133,IF(Atletas!L37="Shaolinquan C",134,IF(Atletas!L37="Tanglangquan C",135,IF(Atletas!L37="Yinzhaophai C",136,IF(Atletas!L37="Tongbeiquan C",137,IF(Atletas!L37="Wudangquan C",138,IF(Atletas!L37="Outros Estilos C",139,0))))))))))))))))))))))))))))))))))))))))))</f>
        <v/>
      </c>
      <c r="BM41" s="52" t="str">
        <f>IF(Atletas!L37="","",IF(Atletas!W37&lt;&gt;"",10000,0)+(IF(Atletas!B37="Feminino",1000,IF(Atletas!B37="Masculino",2000,""))+(IF(Atletas!L37="Chaquan D",140,IF(Atletas!L37="Emeiquan D",141,IF(Atletas!L37="Fanziquan D",142,IF(Atletas!L37="Huaquan D",143,IF(Atletas!L37="Hongquan D",144,IF(Atletas!L37="Paochui D",145,IF(Atletas!L37="Piguaquan D",146,IF(Atletas!L37="Shaolinquan D",147,IF(Atletas!L37="Tanglangquan D",148,IF(Atletas!L37="Yinzhaophai D",149,IF(Atletas!L37="Tongbeiquan D",150,IF(Atletas!L37="Wudangquan D",151,IF(Atletas!L37="Outros Estilos D",152,IF(Atletas!L37="Chaquan E",153,IF(Atletas!L37="Emeiquan E",154,IF(Atletas!L37="Fanziquan E",155,IF(Atletas!L37="Huaquan E",156,IF(Atletas!L37="Hongquan E",157,IF(Atletas!L37="Paochui E",158,IF(Atletas!L37="Piguaquan E",159,IF(Atletas!L37="Shaolinquan E",160,IF(Atletas!L37="Tanglangquan E",161,IF(Atletas!L37="Yinzhaophai E",162,IF(Atletas!L37="Tongbeiquan E",163,IF(Atletas!L37="Wudangquan E",164,IF(Atletas!L37="Outros Estilos E",165,IF(Atletas!L37="Chaquan F",166,IF(Atletas!L37="Emeiquan F",167,IF(Atletas!L37="Fanziquan F",168,IF(Atletas!L37="Huaquan F",169,IF(Atletas!L37="Hongquan F",170,IF(Atletas!L37="Paochui F",171,IF(Atletas!L37="Piguaquan F",172,IF(Atletas!L37="Shaolinquan F",173,IF(Atletas!L37="Tanglangquan F",174,IF(Atletas!L37="Yinzhaophai F",175,IF(Atletas!L37="Tongbeiquan F",176,IF(Atletas!L37="Wudangquan F",177,IF(Atletas!L37="Outros Estilos F",178,0))))))))))))))))))))))))))))))))))))))))))</f>
        <v/>
      </c>
      <c r="BN41" s="52" t="str">
        <f>IF(Atletas!M37="","",IF(Atletas!W37&lt;&gt;"",10000,0)+(IF(Atletas!B37="Feminino",1000,IF(Atletas!B37="Masculino",2000,""))+(IF(Atletas!M37="Ditangquan A",201,IF(Atletas!M37="Houquan A",202,IF(Atletas!M37="Zuiquan A",203,IF(Atletas!M37="Ditangquan B",204,IF(Atletas!M37="Houquan B",205,IF(Atletas!M37="Zuiquan B",206,IF(Atletas!M37="Ditangquan C",207,IF(Atletas!M37="Houquan C",208,IF(Atletas!M37="Zuiquan C",209,IF(Atletas!M37="Ditangquan D",210,IF(Atletas!M37="Houquan D",211,IF(Atletas!M37="Zuiquan D",212,IF(Atletas!M37="Ditangquan E",213,IF(Atletas!M37="Houquan E",214,IF(Atletas!M37="Zuiquan E",215,IF(Atletas!M37="Ditangquan F",216,IF(Atletas!M37="Houquan F",217,IF(Atletas!M37="Zuiquan F",218,"")))))))))))))))))))))</f>
        <v/>
      </c>
      <c r="BO41" s="52" t="str">
        <f>IF(Atletas!N37="","",IF(Atletas!W37&lt;&gt;"",10000,0)+IF(Atletas!B37="Feminino",1000,IF(Atletas!B37="Masculino",2000,""))+IF(Atletas!N37="Yang A",301,IF(Atletas!N37="Chen A",30,IF(Atletas!N37="Sun A",303,IF(Atletas!N37="Wu A",304,IF(Atletas!N37="Wu-Hao A",305,IF(Atletas!N37="Outro Taijiquan A",306,IF(Atletas!N37="Yang B",307,IF(Atletas!N37="Chen B",308,IF(Atletas!N37="Sun B",309,IF(Atletas!N37="Wu B",310,IF(Atletas!N37="Wu-Hao B",311,IF(Atletas!N37="Outro Taijiquan B",312,IF(Atletas!N37="Yang C",313,IF(Atletas!N37="Chen C",314,IF(Atletas!N37="Sun C",315,IF(Atletas!N37="Wu C",316,IF(Atletas!N37="Wu-Hao C",317,IF(Atletas!N37="Outro Taijiquan C",318,IF(Atletas!N37="Yang D",319,IF(Atletas!N37="Chen D",320,IF(Atletas!N37="Sun D",321,IF(Atletas!N37="Wu D",322,IF(Atletas!N37="Wu-Hao D",323,IF(Atletas!N37="Outro Taijiquan D",324,IF(Atletas!N37="Yang E",325,IF(Atletas!N37="Chen E",326,IF(Atletas!N37="Sun E",327,IF(Atletas!N37="Wu E",328,IF(Atletas!N37="Wu-Hao E",329,IF(Atletas!N37="Outro Taijiquan E",330,IF(Atletas!N37="Yang F",331,IF(Atletas!N37="Chen F",332,IF(Atletas!N37="Sun F",333,IF(Atletas!N37="Wu F",334,IF(Atletas!N37="Wu-Hao F",335,IF(Atletas!N37="Outro Taijiquan F",336,"")))))))))))))))))))))))))))))))))))))</f>
        <v/>
      </c>
      <c r="BP41" s="52" t="str">
        <f>IF(Atletas!O37="","",IF(Atletas!W37&lt;&gt;"",10000,0)+IF(Atletas!B37="Feminino",1000,IF(Atletas!B37="Masculino",2000,""))+IF(OR(Atletas!O37="Yang 26 A",Atletas!O37="Yang 40 A"),401,IF(OR(Atletas!O37="Chen 25 A",Atletas!O37="Chen 36 A",Atletas!O37="Chen 56 A"),402,IF(Atletas!O37="Sun 73 A",403,IF(Atletas!O37="Wu 45 A",404,IF(Atletas!O37="Wu-Hao 46 A",405,IF(OR(Atletas!O37="Taijiquan 16 A",Atletas!O37="Taijiquan 24 A",Atletas!O37="Taijiquan 32 A",Atletas!O37="Taijiquan 42 A"),406,IF(OR(Atletas!O37="Yang 26 B",Atletas!O37="Yang 40 B"),407,IF(OR(Atletas!O37="Chen 25 B",Atletas!O37="Chen 36 B",Atletas!O37="Chen 56 B"),408,IF(Atletas!O37="Sun 73 B",409,IF(Atletas!O37="Wu 45 B",410,IF(Atletas!O37="Wu-Hao 46 B",411,IF(OR(Atletas!O37="Taijiquan 16 B",Atletas!O37="Taijiquan 24 B",Atletas!O37="Taijiquan 32 B",Atletas!O37="Taijiquan 42 B"),412,IF(OR(Atletas!O37="Yang 26 C",Atletas!O37="Yang 40 C"),413,IF(OR(Atletas!O37="Chen 25 C",Atletas!O37="Chen 36 C",Atletas!O37="Chen 56 C"),414,IF(Atletas!O37="Sun 73 C",415,IF(Atletas!O37="Wu 45 C",416,IF(Atletas!O37="Wu-Hao 46 C",417,IF(OR(Atletas!O37="Taijiquan 16 C",Atletas!O37="Taijiquan 24 C",Atletas!O37="Taijiquan 32 C",Atletas!O37="Taijiquan 42 C"),418,0)))))))))))))))))))</f>
        <v/>
      </c>
      <c r="BQ41" s="52" t="str">
        <f>IF(Atletas!O37="","",IF(Atletas!W37&lt;&gt;"",10000,0)+IF(Atletas!B37="Feminino",1000,IF(Atletas!B37="Masculino",2000,""))+IF(OR(Atletas!O37="Yang 26 D",Atletas!O37="Yang 40 D"),419,IF(OR(Atletas!O37="Chen 25 D",Atletas!O37="Chen 36 D",Atletas!O37="Chen 56 D"),420,IF(Atletas!O37="Sun 73 D",421,IF(Atletas!O37="Wu 45 D",422,IF(Atletas!O37="Wu-Hao 46 D",423,IF(OR(Atletas!O37="Taijiquan 16 D",Atletas!O37="Taijiquan 24 D",Atletas!O37="Taijiquan 32 D",Atletas!O37="Taijiquan 42 D"),424,IF(OR(Atletas!O37="Yang 26 E",Atletas!O37="Yang 40 E"),425,IF(OR(Atletas!O37="Chen 25 E",Atletas!O37="Chen 36 E",Atletas!O37="Chen 56 E"),426,IF(Atletas!O37="Sun 73 E",427,IF(Atletas!O37="Wu 45 E",428,IF(Atletas!O37="Wu-Hao 46 E",429,IF(OR(Atletas!O37="Taijiquan 16 E",Atletas!O37="Taijiquan 24 E",Atletas!O37="Taijiquan 32 E",Atletas!O37="Taijiquan 42 E"),430,IF(OR(Atletas!O37="Yang 26 F",Atletas!O37="Yang 40 F"),431,IF(OR(Atletas!O37="Chen 25 F",Atletas!O37="Chen 36 F",Atletas!O37="Chen 56 F"),432,IF(Atletas!O37="Sun 73 F",433,IF(Atletas!O37="Wu 45 F",434,IF(Atletas!O37="Wu-Hao 46 F",435,IF(OR(Atletas!O37="Taijiquan 16 F",Atletas!O37="Taijiquan 24 F",Atletas!O37="Taijiquan 32 F",Atletas!O37="Taijiquan 42 F"),436,0)))))))))))))))))))</f>
        <v/>
      </c>
      <c r="BR41" s="52" t="str">
        <f>IF(Atletas!P37="","",IF(Atletas!W37&lt;&gt;"",10000,0)+IF(Atletas!B37="Feminino",1000,IF(Atletas!B37="Masculino",2000,""))+IF(Atletas!P37="Xingyiquan A",501,IF(Atletas!P37="Baguazhang A",502,IF(Atletas!P37="Outro Estilo Interno A",503,IF(Atletas!P37="Xingyiquan B",504,IF(Atletas!P37="Baguazhang B",505,IF(Atletas!P37="Outro Estilo Interno B",506,IF(Atletas!P37="Xingyiquan C",507,IF(Atletas!P37="Baguazhang C",508,IF(Atletas!P37="Outro Estilo Interno C",509,IF(Atletas!P37="Xingyiquan D",510,IF(Atletas!P37="Baguazhang D",511,IF(Atletas!P37="Outro Estilo Interno D",512,IF(Atletas!P37="Xingyiquan E",513,IF(Atletas!P37="Baguazhang E",514,IF(Atletas!P37="Outro Estilo Interno E",515,IF(Atletas!P37="Xingyiquan F",516,IF(Atletas!P37="Baguazhang F",517,IF(Atletas!P37="Outro Estilo Interno F",518, "")))))))))))))))))))</f>
        <v/>
      </c>
      <c r="BS41" s="52" t="str">
        <f>IF(Atletas!Q37="","",IF(Atletas!W37&lt;&gt;"",10000,0)+IF(Atletas!B37="Feminino",1000,IF(Atletas!B37="Masculino",2000,""))+IF(Atletas!Q37="Dao A",601,IF(Atletas!Q37="Jian A",602,IF(Atletas!Q37="Bishou A",603,IF(Atletas!Q37="Shan A",604,IF(Atletas!Q37="Outra Arma Curta A",605,IF(Atletas!Q37="Dao B",606,IF(Atletas!Q37="Jian B",607,IF(Atletas!Q37="Bishou B",608,IF(Atletas!Q37="Shan B",609,IF(Atletas!Q37="Outra Arma Curta B",610,IF(Atletas!Q37="Dao C",611,IF(Atletas!Q37="Jian C",612,IF(Atletas!Q37="Bishou C",613,IF(Atletas!Q37="Shan C",614,IF(Atletas!Q37="Outra Arma Curta C",615,IF(Atletas!Q37="Dao D",616,IF(Atletas!Q37="Jian D",617,IF(Atletas!Q37="Bishou D",618,IF(Atletas!Q37="Shan D",619,IF(Atletas!Q37="Outra Arma Curta D",620,IF(Atletas!Q37="Dao E",621,IF(Atletas!Q37="Jian E",622,IF(Atletas!Q37="Bishou E",623,IF(Atletas!Q37="Shan E",624,IF(Atletas!Q37="Outra Arma Curta E",625,IF(Atletas!Q37="Dao F",626,IF(Atletas!Q37="Jian F",627,IF(Atletas!Q37="Bishou F",628,IF(Atletas!Q37="Shan F",629,IF(Atletas!Q37="Outra Arma Curta F",630, "")))))))))))))))))))))))))))))))</f>
        <v/>
      </c>
      <c r="BT41" s="52" t="str">
        <f>IF(Atletas!R37="","",IF(Atletas!W37&lt;&gt;"",10000,0)+IF(Atletas!B37="Feminino",1000,IF(Atletas!B37="Masculino",2000,""))+IF(Atletas!R37="Gun A",701,IF(Atletas!R37="Qiang A",702,IF(Atletas!R37="Pudao / Guandao A",703,IF(Atletas!R37="Outra Arma Longa A",704,IF(Atletas!R37="Gun B",705,IF(Atletas!R37="Qiang B",706,IF(Atletas!R37="Pudao / Guandao B",707,IF(Atletas!R37="Outra Arma Longa B",708,IF(Atletas!R37="Gun C",709,IF(Atletas!R37="Qiang C",710,IF(Atletas!R37="Pudao / Guandao C",711,IF(Atletas!R37="Outra Arma Longa C",712,IF(Atletas!R37="Gun D",713,IF(Atletas!R37="Qiang D",714,IF(Atletas!R37="Pudao / Guandao D",715,IF(Atletas!R37="Outra Arma Longa D",716,IF(Atletas!R37="Gun E",717,IF(Atletas!R37="Qiang E",718,IF(Atletas!R37="Pudao / Guandao E",719,IF(Atletas!R37="Outra Arma Longa E",720,IF(Atletas!R37="Gun F",721,IF(Atletas!R37="Qiang F",722,IF(Atletas!R37="Pudao / Guandao F",723,IF(Atletas!R37="Outra Arma Longa F",724,"")))))))))))))))))))))))))</f>
        <v/>
      </c>
      <c r="BU41" s="52" t="str">
        <f>IF(Atletas!S37="","",IF(Atletas!W37&lt;&gt;"",10000,0)+IF(Atletas!B37="Feminino",1000,IF(Atletas!B37="Masculino",2000,""))+IF(Atletas!S37="Arma Dupla A",801,IF(Atletas!S37="Arma Maleável A",802,IF(Atletas!S37="Arma Dupla B",803,IF(Atletas!S37="Arma Maleável B",804,IF(Atletas!S37="Arma Dupla C",805,IF(Atletas!S37="Arma Maleável C",806,IF(Atletas!S37="Arma Dupla D",807,IF(Atletas!S37="Arma Maleável D",808,IF(Atletas!S37="Arma Dupla E",809,IF(Atletas!S37="Arma Maleável E",810,IF(Atletas!S37="Arma Dupla F",811,IF(Atletas!S37="Arma Maleável F",812, "")))))))))))))</f>
        <v/>
      </c>
      <c r="BV41" s="52" t="str">
        <f>IF(Atletas!T37="","",IF(Atletas!W37&lt;&gt;"",10000,0)+IF(Atletas!B37="Feminino",1000,IF(Atletas!B37="Masculino",2000,""))+IF(Atletas!T37="Taijijian Yang A",901,IF(Atletas!T37="Taijijian Chen A",902,IF(Atletas!T37="Taijijian Sun A",903,IF(Atletas!T37="Taijijian Wu A",904,IF(Atletas!T37="Taijijian Wu-Hao A",905,IF(Atletas!T37="Taijijian 32 A",906,IF(Atletas!T37="Taijijian 42 A",907,IF(Atletas!T37="Taijijian Yang B",908,IF(Atletas!T37="Taijijian Chen B",909,IF(Atletas!T37="Taijijian Sun B",910,IF(Atletas!T37="Taijijian Wu B",911,IF(Atletas!T37="Taijijian Wu-Hao B",912,IF(Atletas!T37="Taijijian 32 B",913,IF(Atletas!T37="Taijijian 42 B",914,IF(Atletas!T37="Taijijian Yang C",915,IF(Atletas!T37="Taijijian Chen C",916,IF(Atletas!T37="Taijijian Sun C",917,IF(Atletas!T37="Taijijian Wu C",918,IF(Atletas!T37="Taijijian Wu-Hao C",919,IF(Atletas!T37="Taijijian 32 C",920,IF(Atletas!T37="Taijijian 42 C",921,IF(Atletas!T37="Taijijian Yang D",922,IF(Atletas!T37="Taijijian Chen D",923,IF(Atletas!T37="Taijijian Sun D",924,IF(Atletas!T37="Taijijian Wu D",925,IF(Atletas!T37="Taijijian Wu-Hao D",926,IF(Atletas!T37="Taijijian 32 D",927,IF(Atletas!T37="Taijijian 42 D",928,IF(Atletas!T37="Taijijian Yang E",929,IF(Atletas!T37="Taijijian Chen E",930,IF(Atletas!T37="Taijijian Sun E",931,IF(Atletas!T37="Taijijian Wu E",932,IF(Atletas!T37="Taijijian Wu-Hao E",933,IF(Atletas!T37="Taijijian 32 E",934,IF(Atletas!T37="Taijijian 42 E",935,IF(Atletas!T37="Taijijian Yang F",936,IF(Atletas!T37="Taijijian Chen F",937,IF(Atletas!T37="Taijijian Sun F",938,IF(Atletas!T37="Taijijian Wu F",939,IF(Atletas!T37="Taijijian Wu-Hao F",940,IF(Atletas!T37="Taijijian 32 F",941,IF(Atletas!T37="Taijijian 42 F",942,"")))))))))))))))))))))))))))))))))))))))))))</f>
        <v/>
      </c>
      <c r="BW41" s="52" t="str">
        <f>IF(Atletas!U37="","",IF(Atletas!W37&lt;&gt;"",10000,0)+IF(Atletas!B37="Feminino",1000,IF(Atletas!B37="Masculino",2000,""))+IF(Atletas!T37="Taijijian 42 F",942,IF(Atletas!U37="Taijidao A",943,IF(Atletas!U37="Taijishan A",944,IF(Atletas!U37="Taijiqiang A",945,IF(Atletas!U37="Taijidao B",946,IF(Atletas!U37="Taijishan B",947,IF(Atletas!U37="Taijiqiang B",948,IF(Atletas!U37="Taijidao C",949,IF(Atletas!U37="Taijishan C",950,IF(Atletas!U37="Taijiqiang C",951,IF(Atletas!U37="Taijidao D",952,IF(Atletas!U37="Taijishan D",953,IF(Atletas!U37="Taijiqiang D",954,IF(Atletas!U37="Taijidao E",955,IF(Atletas!U37="Taijishan E",956,IF(Atletas!U37="Taijiqiang E",957,IF(Atletas!U37="Taijidao F",958,IF(Atletas!U37="Taijishan F",959,IF(Atletas!U37="Taijiqiang F",960))))))))))))))))))))</f>
        <v/>
      </c>
      <c r="BX41" s="64" t="str">
        <f>IF(BY41&lt;&gt;"","Hongquan A","")</f>
        <v/>
      </c>
      <c r="BY41" s="64" t="str">
        <f>IF(COUNTIF(BK:BW,1105)&gt;0,COUNTIF(BK:BW,1105),"")</f>
        <v/>
      </c>
      <c r="BZ41" s="64" t="str">
        <f>IF(CA41&lt;&gt;"","Hongquan A","")</f>
        <v/>
      </c>
      <c r="CA41" s="64" t="str">
        <f>IF(COUNTIF(BK:BW,2105)&gt;0,COUNTIF(BK:BW,2105),"")</f>
        <v/>
      </c>
      <c r="CB41" s="64" t="str">
        <f>IF(CC41&lt;&gt;"","Hongquan A","")</f>
        <v/>
      </c>
      <c r="CC41" s="64" t="str">
        <f>IF(COUNTIF(BK:BW,11105)&gt;0,COUNTIF(BK:BW,11105),"")</f>
        <v/>
      </c>
      <c r="CD41" s="64" t="str">
        <f>IF(CE41&lt;&gt;"","Hongquan A","")</f>
        <v/>
      </c>
      <c r="CE41" s="64" t="str">
        <f>IF(COUNTIF(BK:BW,12105)&gt;0,COUNTIF(BK:BW,12105),"")</f>
        <v/>
      </c>
      <c r="CF41" s="52" t="str">
        <f xml:space="preserve"> IF(Atletas!V37="","",IF(Atletas!V37="Duilian de Mãos AB - Equipe 1",1,IF(Atletas!V37="Duilian de Mãos AB - Equipe 2",2,IF(Atletas!V37="Duilian de Armas AB - Equipe 1",3,IF(Atletas!V37="Duilian de Armas AB - Equipe 2",4,IF(Atletas!V37="Duilian de Tuishou - Equipe 1",5,IF(Atletas!V37="Duilian de Tuishou - Equipe 2",6,IF(Atletas!V37="Grupo Externo AB - Equipe 1",7,IF(Atletas!V37="Grupo Externo AB - Equipe 2",8,IF(Atletas!V37="Grupo Interno AB - Equipe 1",9,IF(Atletas!V37="Grupo Interno AB - Equipe 2",10,IF(Atletas!V37="Duilian de Mãos CD - Equipe 1",11,IF(Atletas!V37="Duilian de Mãos CD - Equipe 2",12,IF(Atletas!V37="Duilian de Armas CD - Equipe 1",13,IF(Atletas!V37="Duilian de Armas CD - Equipe 2",14,IF(Atletas!V37="Duilian de Tuishou - Equipe 1",15,IF(Atletas!V37="Duilian de Tuishou - Equipe 2",16,IF(Atletas!V37="Grupo Externo CDEF - Equipe 1",17,IF(Atletas!V37="Grupo Externo CDEF - Equipe 2",18,IF(Atletas!V37="Grupo Interno CDEF - Equipe 1",19,IF(Atletas!V37="Grupo Interno CDEF - Equipe 2",20,IF(Atletas!V37="Duilian de Mãos EF - Equipe 1",21,IF(Atletas!V37="Duilian de Mãos EF - Equipe 2",22,IF(Atletas!V37="Duilian de Armas EF - Equipe 1",23,IF(Atletas!V37="Duilian de Armas EF - Equipe 2",24,IF(Atletas!V37="Duilian de Tuishou - Equipe 1",25,IF(Atletas!V37="Duilian de Tuishou - Equipe 2",26,"")))))))))))))))))))))))))))</f>
        <v/>
      </c>
      <c r="CR41" s="71"/>
    </row>
    <row r="42" spans="2:96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 t="str">
        <f t="array" ref="N42">IFERROR(INDEX(BB$7:BB$66,SMALL(IF(BB$7:BB$66&lt;&gt;"",ROW(BB$7:BB$66)-ROW(BB$7)+1),ROWS(BB$7:BB41))),"")</f>
        <v/>
      </c>
      <c r="O42" s="4" t="str">
        <f t="array" ref="O42">IFERROR(INDEX(BC$7:BC$66,SMALL(IF(BC$7:BC$66&lt;&gt;"",ROW(BC$7:BC$66)-ROW(BC$7)+1),ROWS(BC$7:BC41))),"")</f>
        <v/>
      </c>
      <c r="P42" s="4" t="str">
        <f t="array" ref="P42">IFERROR(INDEX(BD$7:BD$66,SMALL(IF(BD$7:BD$66&lt;&gt;"",ROW(BD$7:BD$66)-ROW(BD$7)+1),ROWS(BD$7:BD41))),"")</f>
        <v/>
      </c>
      <c r="Q42" s="4" t="str">
        <f t="array" ref="Q42">IFERROR(INDEX(BE$7:BE$66,SMALL(IF(BE$7:BE$66&lt;&gt;"",ROW(BE$7:BE$66)-ROW(BE$7)+1),ROWS(BE$7:BE41))),"")</f>
        <v/>
      </c>
      <c r="R42" s="4"/>
      <c r="S42" s="4"/>
      <c r="T42" s="31"/>
      <c r="U42" s="4"/>
      <c r="V42" s="4" t="str">
        <f t="array" ref="V42">IFERROR(INDEX(BX$7:BX$336,SMALL(IF(BX$7:BX$336&lt;&gt;"",ROW(BX$7:BX$336)-ROW(BX$7)+1),ROWS(BX$7:BX41))),"")</f>
        <v/>
      </c>
      <c r="W42" s="4" t="str">
        <f t="array" ref="W42">IFERROR(INDEX(BY$7:BY$336,SMALL(IF(BY$7:BY$336&lt;&gt;"",ROW(BY$7:BY$336)-ROW(BY$7)+1),ROWS(BY$7:BY41))),"")</f>
        <v/>
      </c>
      <c r="X42" s="4" t="str">
        <f t="array" ref="X42">IFERROR(INDEX(BZ$7:BZ$336,SMALL(IF(BZ$7:BZ$336&lt;&gt;"",ROW(BZ$7:BZ$336)-ROW(BZ$7)+1),ROWS(BZ$7:BZ41))),"")</f>
        <v/>
      </c>
      <c r="Y42" s="4" t="str">
        <f t="array" ref="Y42">IFERROR(INDEX(CA$7:CA$336,SMALL(IF(CA$7:CA$336&lt;&gt;"",ROW(CA$7:CA$336)-ROW(CA$7)+1),ROWS(CA$7:CA41))),"")</f>
        <v/>
      </c>
      <c r="Z42" s="4" t="str">
        <f t="array" ref="Z42">IFERROR(INDEX(CB$7:CB$378,SMALL(IF(CB$7:CB$378&lt;&gt;"",ROW(CB$7:CB$378)-ROW(CB$7)+1),ROWS(CB$7:CB41))),"")</f>
        <v/>
      </c>
      <c r="AA42" s="4" t="str">
        <f t="array" ref="AA42">IFERROR(INDEX(CC$7:CC$378,SMALL(IF(CC$7:CC$378&lt;&gt;"",ROW(CC$7:CC$378)-ROW(CC$7)+1),ROWS(CC$7:CC41))),"")</f>
        <v/>
      </c>
      <c r="AB42" s="4" t="str">
        <f t="array" ref="AB42">IFERROR(INDEX(CD$7:CD$378,SMALL(IF(CD$7:CD$378&lt;&gt;"",ROW(CD$7:CD$378)-ROW(CD$7)+1),ROWS(CD$7:CD41))),"")</f>
        <v/>
      </c>
      <c r="AC42" s="4" t="str">
        <f t="array" ref="AC42">IFERROR(INDEX(CE$7:CE$378,SMALL(IF(CE$7:CE$378&lt;&gt;"",ROW(CE$7:CE$378)-ROW(CE$7)+1),ROWS(CE$7:CE41))),"")</f>
        <v/>
      </c>
      <c r="AD42" s="31"/>
      <c r="AE42" s="31"/>
      <c r="AF42" s="31"/>
      <c r="AG42" s="31"/>
      <c r="AH42" s="31"/>
      <c r="AI42" s="4"/>
      <c r="AJ42" s="46" t="str">
        <f>IF(Atletas!D38="","",IF(Atletas!B38="Feminino",100,IF(Atletas!B38="Masculino",200,""))+(IF(Atletas!D38="Infantil 39kg",1,IF(Atletas!D38="Infantil 42kg",2,IF(Atletas!D38="Infantil 45kg",3,IF(Atletas!D38="Infantil 48kg",4,IF(Atletas!D38="Infantil 52kg",5,IF(Atletas!D38="Infantil 56kg",6,IF(Atletas!D38="Infantil 60kg",7,IF(Atletas!D38="Juvenil 48kg",8,IF(Atletas!D38="Juvenil 52kg",9,IF(Atletas!D38="Juvenil 56kg",10,IF(Atletas!D38="Juvenil 60kg",11,IF(Atletas!D38="Juvenil 65kg",12,IF(Atletas!D38="Juvenil 70kg",13,IF(Atletas!D38="Juvenil 75kg",14,IF(Atletas!D38="Juvenil 80kg",15,IF(Atletas!D38="Adulto 48kg",16,IF(Atletas!D38="Adulto 52kg",17,IF(Atletas!D38="Adulto 56kg",18,IF(Atletas!D38="Adulto 60kg",19,IF(Atletas!D38="Adulto 65kg",20,IF(Atletas!D38="Adulto 70kg",21,IF(Atletas!D38="Adulto 75kg",22,IF(Atletas!D38="Adulto 80kg",23,IF(Atletas!D38="Adulto 85kg",24,IF(Atletas!D38="Adulto 90kg",25,IF(Atletas!D38="Adulto +90kg",26,""))))))))))))))))))))))))))))</f>
        <v/>
      </c>
      <c r="AO42" s="10" t="str">
        <f>IF(Atletas!E38="","",IF(Atletas!B38="Feminino",100,IF(Atletas!B38="Masculino",200,""))+(IF(Atletas!E38="Juvenil 44kg",1,IF(Atletas!E38="Juvenil 48kg",2,IF(Atletas!E38="Juvenil 52kg",3,IF(Atletas!E38="Juvenil 56kg",4,IF(Atletas!E38="Juvenil 60kg",5,IF(Atletas!E38="Juvenil 65kg",6,IF(Atletas!E38="Juvenil 70kg",7,IF(Atletas!E38="Juvenil 75kg",8,IF(Atletas!E38="Juvenil 82kg",9,IF(Atletas!E38="Juvenil 90kg",10,IF(Atletas!E38="Juvenil 100kg",11,IF(Atletas!E38="Adulto 48kg",12,IF(Atletas!E38="Adulto 52kg",13,IF(Atletas!E38="Adulto 56kg",14,IF(Atletas!E38="Adulto 60kg",15,IF(Atletas!E38="Adulto 65kg",16,IF(Atletas!E38="Adulto 70kg",17,IF(Atletas!E38="Adulto 75kg",18,IF(Atletas!E38="Adulto 82kg",19,IF(Atletas!E38="Adulto 90kg",20,IF(Atletas!E38="Adulto 100kg",21,IF(Atletas!E38="Adulto +100kg",22,""))))))))))))))))))))))))</f>
        <v/>
      </c>
      <c r="AT42" s="10" t="str">
        <f>IF(Atletas!F38="","",IF(Atletas!B38="Feminino",100,IF(Atletas!B38="Masculino",200,""))+(IF(Atletas!F38="Adulto 48kg",1,IF(Atletas!F38="Adulto 56kg",2,IF(Atletas!F38="Adulto 65kg",3,IF(Atletas!F38="Adulto 75kg",4,IF(Atletas!F38="Adulto +75kg",5,IF(Atletas!F38="Adulto 52kg",6,IF(Atletas!F38="Adulto 60kg",7,IF(Atletas!F38="Adulto 70kg",8,IF(Atletas!F38="Adulto 80kg",9,IF(Atletas!F38="Adulto 90kg",10,IF(Atletas!F38="Adulto +90kg",11,"")))))))))))))</f>
        <v/>
      </c>
      <c r="AY42" s="46" t="str">
        <f>IF(Atletas!G38="","",IF(Atletas!B38="Feminino",100,IF(Atletas!B38="Masculino",200,""))+(IF(Atletas!G38="Changquan Mirim",1,IF(Atletas!G38="Nanquan Mirim",2,IF(Atletas!G38="Taijiquan Mirim",3,IF(Atletas!G38="Changquan Grupo C",4,IF(Atletas!G38="Nanquan Grupo C",5,IF(Atletas!G38="Taijiquan Grupo C",6,IF(Atletas!G38="Changquan Grupo B",7,IF(Atletas!G38="Nanquan Grupo B",8,IF(Atletas!G38="Taijiquan Grupo B",9,IF(Atletas!G38="Changquan Grupo A",10,IF(Atletas!G38="Nanquan Grupo A",11,IF(Atletas!G38="Taijiquan Grupo A",12,IF(Atletas!G38="Changquan Opcional",13,IF(Atletas!G38="Nanquan Opcional",14,IF(Atletas!G38="Taijiquan Opcional",15,IF(Atletas!G38="Changquan Adulto",16,IF(Atletas!G38="Nanquan Adulto",17,IF(Atletas!G38="Taijiquan Adulto",18,""))))))))))))))))))))</f>
        <v/>
      </c>
      <c r="AZ42" s="46" t="str">
        <f>IF(Atletas!H38="","",IF(Atletas!B38="Feminino",100,IF(Atletas!B38="Masculino",200,""))+(IF(Atletas!H38="Daoshu Mirim",19,IF(Atletas!H38="Jianshu Mirim",20,IF(Atletas!H38="Nandao Mirim",21,IF(Atletas!H38="Taijijian Mirim",22,IF(Atletas!H38="Daoshu Grupo C",23,IF(Atletas!H38="Jianshu Grupo C",24,IF(Atletas!H38="Nandao Grupo C",25,IF(Atletas!H38="Taijijian Grupo C",26,IF(Atletas!H38="Daoshu Grupo B",27,IF(Atletas!H38="Jianshu Grupo B",28,IF(Atletas!H38="Nandao Grupo B",29,IF(Atletas!H38="Taijijian Grupo B",30,IF(Atletas!H38="Daoshu Grupo A",31,IF(Atletas!H38="Jianshu Grupo A",32,IF(Atletas!H38="Nandao Grupo A",33,IF(Atletas!H38="Taijijian Grupo A",34,IF(Atletas!H38="Daoshu Opcional",35,IF(Atletas!H38="Jianshu Opcional",36,IF(Atletas!H38="Nandao Opcional",37,IF(Atletas!H38="Taijijian Opcional",38,IF(Atletas!H38="Daoshu Adulto",39,IF(Atletas!H38="Jianshu Adulto",40,IF(Atletas!H38="Nandao Adulto",41,IF(Atletas!H38="Taijijian Adulto",42,""))))))))))))))))))))))))))</f>
        <v/>
      </c>
      <c r="BA42" s="46" t="str">
        <f>IF(Atletas!I38="","",IF(Atletas!B38="Feminino",100,IF(Atletas!B38="Masculino",200,""))+(IF(Atletas!I38="Gunshu Mirim",43,IF(Atletas!I38="Qiangshu Mirim",44,IF(Atletas!I38="Nangun Mirim",45,IF(Atletas!I38="Gunshu Grupo C",46,IF(Atletas!I38="Qiangshu Grupo C",47,IF(Atletas!I38="Nangun Grupo C",48,IF(Atletas!I38="Gunshu Grupo B",49,IF(Atletas!I38="Qiangshu Grupo B",50,IF(Atletas!I38="Nangun Grupo B",51,IF(Atletas!I38="Gunshu Grupo A",52,IF(Atletas!I38="Qiangshu Grupo A",53,IF(Atletas!I38="Nangun Grupo A",54,IF(Atletas!I38="Gunshu Opcional",55,IF(Atletas!I38="Qiangshu Opcional",56,IF(Atletas!I38="Nangun Opcional",57,IF(Atletas!I38="Gunshu Adulto",58,IF(Atletas!I38="Qiangshu Adulto",59,IF(Atletas!I38="Nangun Adulto",60,""))))))))))))))))))))</f>
        <v/>
      </c>
      <c r="BB42" s="10" t="str">
        <f>IF(BC42&lt;&gt;"","Nandao Grupo A","")</f>
        <v/>
      </c>
      <c r="BC42" s="52" t="str">
        <f>IF(COUNTIF(AY:BA,133)&gt;0,COUNTIF(AY:BA,133),"")</f>
        <v/>
      </c>
      <c r="BD42" s="10" t="str">
        <f>IF(BE42&lt;&gt;"","Nandao Grupo A","")</f>
        <v/>
      </c>
      <c r="BE42" s="52" t="str">
        <f>IF(COUNTIF(AY:BA,233)&gt;0,COUNTIF(AY:BA,233),"")</f>
        <v/>
      </c>
      <c r="BF42" s="52" t="str">
        <f>IF(Atletas!J38="","",IF(Atletas!B38="Feminino",100,IF(Atletas!B38="Masculino",200,""))+(IF(Atletas!J38="Equipe 1 Grupo B",1,IF(Atletas!J38="Equipe 2 Grupo B",2,IF(Atletas!J38="Equipe 1 Grupo A",3,IF(Atletas!J38="Equipe 2 Grupo A",4,IF(Atletas!J38="Equipe 1 Adulto",5,IF(Atletas!J38="Equipe 2 Adulto",6,""))))))))</f>
        <v/>
      </c>
      <c r="BK42" s="52" t="str">
        <f>IF(Atletas!K38="","",IF(Atletas!W38&lt;&gt;"",10000,0)+(IF(Atletas!B38="Feminino",1000,IF(Atletas!B38="Masculino",2000,""))+IF(Atletas!K38="Choylayfut A",1,IF(Atletas!K38="Hunggar A",2,IF(Atletas!K38="Wuzuquan A",3,IF(Atletas!K38="Wingchun A",4,IF(Atletas!K38="Outra Mão de Sul A",5,IF(Atletas!K38="Choylayfut B",6,IF(Atletas!K38="Hunggar B",7,IF(Atletas!K38="Wuzuquan B",8,IF(Atletas!K38="Wingchun B",9,IF(Atletas!K38="Outra Mão de Sul B",10,IF(Atletas!K38="Choylayfut C",11,IF(Atletas!K38="Hunggar C",12,IF(Atletas!K38="Wuzuquan C",13,IF(Atletas!K38="Wingchun C",14,IF(Atletas!K38="Outra Mão de Sul C",15,IF(Atletas!K38="Choylayfut D",16,IF(Atletas!K38="Hunggar D",17,IF(Atletas!K38="Wuzuquan D",18,IF(Atletas!K38="Wingchun D",19,IF(Atletas!K38="Outra Mão de Sul D",20,IF(Atletas!K38="Choylayfut E",21,IF(Atletas!K38="Hunggar E",22,IF(Atletas!K38="Wuzuquan E",23,IF(Atletas!K38="Wingchun E",24,IF(Atletas!K38="Outra Mão de Sul E",25,IF(Atletas!K38="Choylayfut F",26,IF(Atletas!K38="Hunggar F",27,IF(Atletas!K38="Wuzuquan F",28,IF(Atletas!K38="Wingchun F",29,IF(Atletas!K38="Outra Mão de Sul F",30,""))))))))))))))))))))))))))))))))</f>
        <v/>
      </c>
      <c r="BL42" s="52" t="str">
        <f>IF(Atletas!L38="","",IF(Atletas!W38&lt;&gt;"",10000,0)+(IF(Atletas!B38="Feminino",1000,IF(Atletas!B38="Masculino",2000,""))+(IF(Atletas!L38="Chaquan A",101,IF(Atletas!L38="Emeiquan A",102,IF(Atletas!L38="Fanziquan A",103,IF(Atletas!L38="Huaquan A",104,IF(Atletas!L38="Hongquan A",105,IF(Atletas!L38="Paochui A",106,IF(Atletas!L38="Piguaquan A",107,IF(Atletas!L38="Shaolinquan A",108,IF(Atletas!L38="Tanglangquan A",109,IF(Atletas!L38="Yinzhaophai A",110,IF(Atletas!L38="Tongbeiquan A",111,IF(Atletas!L38="Wudangquan A",112,IF(Atletas!L38="Outros Estilos A",113,IF(Atletas!L38="Chaquan B",114,IF(Atletas!L38="Emeiquan B",115,IF(Atletas!L38="Fanziquan B",116,IF(Atletas!L38="Huaquan B",117,IF(Atletas!L38="Hongquan B",118,IF(Atletas!L38="Paochui B",119,IF(Atletas!L38="Piguaquan B",120,IF(Atletas!L38="Shaolinquan B",121,IF(Atletas!L38="Tanglangquan B",122,IF(Atletas!L38="Yinzhaophai B",123,IF(Atletas!L38="Tongbeiquan B",124,IF(Atletas!L38="Wudangquan B",125,IF(Atletas!L38="Outros Estilos B",126,IF(Atletas!L38="Chaquan C",127,IF(Atletas!L38="Emeiquan C",128,IF(Atletas!L38="Fanziquan C",129,IF(Atletas!L38="Huaquan C",130,IF(Atletas!L38="Hongquan C",131,IF(Atletas!L38="Paochui C",132,IF(Atletas!L38="Piguaquan C",133,IF(Atletas!L38="Shaolinquan C",134,IF(Atletas!L38="Tanglangquan C",135,IF(Atletas!L38="Yinzhaophai C",136,IF(Atletas!L38="Tongbeiquan C",137,IF(Atletas!L38="Wudangquan C",138,IF(Atletas!L38="Outros Estilos C",139,0))))))))))))))))))))))))))))))))))))))))))</f>
        <v/>
      </c>
      <c r="BM42" s="52" t="str">
        <f>IF(Atletas!L38="","",IF(Atletas!W38&lt;&gt;"",10000,0)+(IF(Atletas!B38="Feminino",1000,IF(Atletas!B38="Masculino",2000,""))+(IF(Atletas!L38="Chaquan D",140,IF(Atletas!L38="Emeiquan D",141,IF(Atletas!L38="Fanziquan D",142,IF(Atletas!L38="Huaquan D",143,IF(Atletas!L38="Hongquan D",144,IF(Atletas!L38="Paochui D",145,IF(Atletas!L38="Piguaquan D",146,IF(Atletas!L38="Shaolinquan D",147,IF(Atletas!L38="Tanglangquan D",148,IF(Atletas!L38="Yinzhaophai D",149,IF(Atletas!L38="Tongbeiquan D",150,IF(Atletas!L38="Wudangquan D",151,IF(Atletas!L38="Outros Estilos D",152,IF(Atletas!L38="Chaquan E",153,IF(Atletas!L38="Emeiquan E",154,IF(Atletas!L38="Fanziquan E",155,IF(Atletas!L38="Huaquan E",156,IF(Atletas!L38="Hongquan E",157,IF(Atletas!L38="Paochui E",158,IF(Atletas!L38="Piguaquan E",159,IF(Atletas!L38="Shaolinquan E",160,IF(Atletas!L38="Tanglangquan E",161,IF(Atletas!L38="Yinzhaophai E",162,IF(Atletas!L38="Tongbeiquan E",163,IF(Atletas!L38="Wudangquan E",164,IF(Atletas!L38="Outros Estilos E",165,IF(Atletas!L38="Chaquan F",166,IF(Atletas!L38="Emeiquan F",167,IF(Atletas!L38="Fanziquan F",168,IF(Atletas!L38="Huaquan F",169,IF(Atletas!L38="Hongquan F",170,IF(Atletas!L38="Paochui F",171,IF(Atletas!L38="Piguaquan F",172,IF(Atletas!L38="Shaolinquan F",173,IF(Atletas!L38="Tanglangquan F",174,IF(Atletas!L38="Yinzhaophai F",175,IF(Atletas!L38="Tongbeiquan F",176,IF(Atletas!L38="Wudangquan F",177,IF(Atletas!L38="Outros Estilos F",178,0))))))))))))))))))))))))))))))))))))))))))</f>
        <v/>
      </c>
      <c r="BN42" s="52" t="str">
        <f>IF(Atletas!M38="","",IF(Atletas!W38&lt;&gt;"",10000,0)+(IF(Atletas!B38="Feminino",1000,IF(Atletas!B38="Masculino",2000,""))+(IF(Atletas!M38="Ditangquan A",201,IF(Atletas!M38="Houquan A",202,IF(Atletas!M38="Zuiquan A",203,IF(Atletas!M38="Ditangquan B",204,IF(Atletas!M38="Houquan B",205,IF(Atletas!M38="Zuiquan B",206,IF(Atletas!M38="Ditangquan C",207,IF(Atletas!M38="Houquan C",208,IF(Atletas!M38="Zuiquan C",209,IF(Atletas!M38="Ditangquan D",210,IF(Atletas!M38="Houquan D",211,IF(Atletas!M38="Zuiquan D",212,IF(Atletas!M38="Ditangquan E",213,IF(Atletas!M38="Houquan E",214,IF(Atletas!M38="Zuiquan E",215,IF(Atletas!M38="Ditangquan F",216,IF(Atletas!M38="Houquan F",217,IF(Atletas!M38="Zuiquan F",218,"")))))))))))))))))))))</f>
        <v/>
      </c>
      <c r="BO42" s="52" t="str">
        <f>IF(Atletas!N38="","",IF(Atletas!W38&lt;&gt;"",10000,0)+IF(Atletas!B38="Feminino",1000,IF(Atletas!B38="Masculino",2000,""))+IF(Atletas!N38="Yang A",301,IF(Atletas!N38="Chen A",30,IF(Atletas!N38="Sun A",303,IF(Atletas!N38="Wu A",304,IF(Atletas!N38="Wu-Hao A",305,IF(Atletas!N38="Outro Taijiquan A",306,IF(Atletas!N38="Yang B",307,IF(Atletas!N38="Chen B",308,IF(Atletas!N38="Sun B",309,IF(Atletas!N38="Wu B",310,IF(Atletas!N38="Wu-Hao B",311,IF(Atletas!N38="Outro Taijiquan B",312,IF(Atletas!N38="Yang C",313,IF(Atletas!N38="Chen C",314,IF(Atletas!N38="Sun C",315,IF(Atletas!N38="Wu C",316,IF(Atletas!N38="Wu-Hao C",317,IF(Atletas!N38="Outro Taijiquan C",318,IF(Atletas!N38="Yang D",319,IF(Atletas!N38="Chen D",320,IF(Atletas!N38="Sun D",321,IF(Atletas!N38="Wu D",322,IF(Atletas!N38="Wu-Hao D",323,IF(Atletas!N38="Outro Taijiquan D",324,IF(Atletas!N38="Yang E",325,IF(Atletas!N38="Chen E",326,IF(Atletas!N38="Sun E",327,IF(Atletas!N38="Wu E",328,IF(Atletas!N38="Wu-Hao E",329,IF(Atletas!N38="Outro Taijiquan E",330,IF(Atletas!N38="Yang F",331,IF(Atletas!N38="Chen F",332,IF(Atletas!N38="Sun F",333,IF(Atletas!N38="Wu F",334,IF(Atletas!N38="Wu-Hao F",335,IF(Atletas!N38="Outro Taijiquan F",336,"")))))))))))))))))))))))))))))))))))))</f>
        <v/>
      </c>
      <c r="BP42" s="52" t="str">
        <f>IF(Atletas!O38="","",IF(Atletas!W38&lt;&gt;"",10000,0)+IF(Atletas!B38="Feminino",1000,IF(Atletas!B38="Masculino",2000,""))+IF(OR(Atletas!O38="Yang 26 A",Atletas!O38="Yang 40 A"),401,IF(OR(Atletas!O38="Chen 25 A",Atletas!O38="Chen 36 A",Atletas!O38="Chen 56 A"),402,IF(Atletas!O38="Sun 73 A",403,IF(Atletas!O38="Wu 45 A",404,IF(Atletas!O38="Wu-Hao 46 A",405,IF(OR(Atletas!O38="Taijiquan 16 A",Atletas!O38="Taijiquan 24 A",Atletas!O38="Taijiquan 32 A",Atletas!O38="Taijiquan 42 A"),406,IF(OR(Atletas!O38="Yang 26 B",Atletas!O38="Yang 40 B"),407,IF(OR(Atletas!O38="Chen 25 B",Atletas!O38="Chen 36 B",Atletas!O38="Chen 56 B"),408,IF(Atletas!O38="Sun 73 B",409,IF(Atletas!O38="Wu 45 B",410,IF(Atletas!O38="Wu-Hao 46 B",411,IF(OR(Atletas!O38="Taijiquan 16 B",Atletas!O38="Taijiquan 24 B",Atletas!O38="Taijiquan 32 B",Atletas!O38="Taijiquan 42 B"),412,IF(OR(Atletas!O38="Yang 26 C",Atletas!O38="Yang 40 C"),413,IF(OR(Atletas!O38="Chen 25 C",Atletas!O38="Chen 36 C",Atletas!O38="Chen 56 C"),414,IF(Atletas!O38="Sun 73 C",415,IF(Atletas!O38="Wu 45 C",416,IF(Atletas!O38="Wu-Hao 46 C",417,IF(OR(Atletas!O38="Taijiquan 16 C",Atletas!O38="Taijiquan 24 C",Atletas!O38="Taijiquan 32 C",Atletas!O38="Taijiquan 42 C"),418,0)))))))))))))))))))</f>
        <v/>
      </c>
      <c r="BQ42" s="52" t="str">
        <f>IF(Atletas!O38="","",IF(Atletas!W38&lt;&gt;"",10000,0)+IF(Atletas!B38="Feminino",1000,IF(Atletas!B38="Masculino",2000,""))+IF(OR(Atletas!O38="Yang 26 D",Atletas!O38="Yang 40 D"),419,IF(OR(Atletas!O38="Chen 25 D",Atletas!O38="Chen 36 D",Atletas!O38="Chen 56 D"),420,IF(Atletas!O38="Sun 73 D",421,IF(Atletas!O38="Wu 45 D",422,IF(Atletas!O38="Wu-Hao 46 D",423,IF(OR(Atletas!O38="Taijiquan 16 D",Atletas!O38="Taijiquan 24 D",Atletas!O38="Taijiquan 32 D",Atletas!O38="Taijiquan 42 D"),424,IF(OR(Atletas!O38="Yang 26 E",Atletas!O38="Yang 40 E"),425,IF(OR(Atletas!O38="Chen 25 E",Atletas!O38="Chen 36 E",Atletas!O38="Chen 56 E"),426,IF(Atletas!O38="Sun 73 E",427,IF(Atletas!O38="Wu 45 E",428,IF(Atletas!O38="Wu-Hao 46 E",429,IF(OR(Atletas!O38="Taijiquan 16 E",Atletas!O38="Taijiquan 24 E",Atletas!O38="Taijiquan 32 E",Atletas!O38="Taijiquan 42 E"),430,IF(OR(Atletas!O38="Yang 26 F",Atletas!O38="Yang 40 F"),431,IF(OR(Atletas!O38="Chen 25 F",Atletas!O38="Chen 36 F",Atletas!O38="Chen 56 F"),432,IF(Atletas!O38="Sun 73 F",433,IF(Atletas!O38="Wu 45 F",434,IF(Atletas!O38="Wu-Hao 46 F",435,IF(OR(Atletas!O38="Taijiquan 16 F",Atletas!O38="Taijiquan 24 F",Atletas!O38="Taijiquan 32 F",Atletas!O38="Taijiquan 42 F"),436,0)))))))))))))))))))</f>
        <v/>
      </c>
      <c r="BR42" s="52" t="str">
        <f>IF(Atletas!P38="","",IF(Atletas!W38&lt;&gt;"",10000,0)+IF(Atletas!B38="Feminino",1000,IF(Atletas!B38="Masculino",2000,""))+IF(Atletas!P38="Xingyiquan A",501,IF(Atletas!P38="Baguazhang A",502,IF(Atletas!P38="Outro Estilo Interno A",503,IF(Atletas!P38="Xingyiquan B",504,IF(Atletas!P38="Baguazhang B",505,IF(Atletas!P38="Outro Estilo Interno B",506,IF(Atletas!P38="Xingyiquan C",507,IF(Atletas!P38="Baguazhang C",508,IF(Atletas!P38="Outro Estilo Interno C",509,IF(Atletas!P38="Xingyiquan D",510,IF(Atletas!P38="Baguazhang D",511,IF(Atletas!P38="Outro Estilo Interno D",512,IF(Atletas!P38="Xingyiquan E",513,IF(Atletas!P38="Baguazhang E",514,IF(Atletas!P38="Outro Estilo Interno E",515,IF(Atletas!P38="Xingyiquan F",516,IF(Atletas!P38="Baguazhang F",517,IF(Atletas!P38="Outro Estilo Interno F",518, "")))))))))))))))))))</f>
        <v/>
      </c>
      <c r="BS42" s="52" t="str">
        <f>IF(Atletas!Q38="","",IF(Atletas!W38&lt;&gt;"",10000,0)+IF(Atletas!B38="Feminino",1000,IF(Atletas!B38="Masculino",2000,""))+IF(Atletas!Q38="Dao A",601,IF(Atletas!Q38="Jian A",602,IF(Atletas!Q38="Bishou A",603,IF(Atletas!Q38="Shan A",604,IF(Atletas!Q38="Outra Arma Curta A",605,IF(Atletas!Q38="Dao B",606,IF(Atletas!Q38="Jian B",607,IF(Atletas!Q38="Bishou B",608,IF(Atletas!Q38="Shan B",609,IF(Atletas!Q38="Outra Arma Curta B",610,IF(Atletas!Q38="Dao C",611,IF(Atletas!Q38="Jian C",612,IF(Atletas!Q38="Bishou C",613,IF(Atletas!Q38="Shan C",614,IF(Atletas!Q38="Outra Arma Curta C",615,IF(Atletas!Q38="Dao D",616,IF(Atletas!Q38="Jian D",617,IF(Atletas!Q38="Bishou D",618,IF(Atletas!Q38="Shan D",619,IF(Atletas!Q38="Outra Arma Curta D",620,IF(Atletas!Q38="Dao E",621,IF(Atletas!Q38="Jian E",622,IF(Atletas!Q38="Bishou E",623,IF(Atletas!Q38="Shan E",624,IF(Atletas!Q38="Outra Arma Curta E",625,IF(Atletas!Q38="Dao F",626,IF(Atletas!Q38="Jian F",627,IF(Atletas!Q38="Bishou F",628,IF(Atletas!Q38="Shan F",629,IF(Atletas!Q38="Outra Arma Curta F",630, "")))))))))))))))))))))))))))))))</f>
        <v/>
      </c>
      <c r="BT42" s="52" t="str">
        <f>IF(Atletas!R38="","",IF(Atletas!W38&lt;&gt;"",10000,0)+IF(Atletas!B38="Feminino",1000,IF(Atletas!B38="Masculino",2000,""))+IF(Atletas!R38="Gun A",701,IF(Atletas!R38="Qiang A",702,IF(Atletas!R38="Pudao / Guandao A",703,IF(Atletas!R38="Outra Arma Longa A",704,IF(Atletas!R38="Gun B",705,IF(Atletas!R38="Qiang B",706,IF(Atletas!R38="Pudao / Guandao B",707,IF(Atletas!R38="Outra Arma Longa B",708,IF(Atletas!R38="Gun C",709,IF(Atletas!R38="Qiang C",710,IF(Atletas!R38="Pudao / Guandao C",711,IF(Atletas!R38="Outra Arma Longa C",712,IF(Atletas!R38="Gun D",713,IF(Atletas!R38="Qiang D",714,IF(Atletas!R38="Pudao / Guandao D",715,IF(Atletas!R38="Outra Arma Longa D",716,IF(Atletas!R38="Gun E",717,IF(Atletas!R38="Qiang E",718,IF(Atletas!R38="Pudao / Guandao E",719,IF(Atletas!R38="Outra Arma Longa E",720,IF(Atletas!R38="Gun F",721,IF(Atletas!R38="Qiang F",722,IF(Atletas!R38="Pudao / Guandao F",723,IF(Atletas!R38="Outra Arma Longa F",724,"")))))))))))))))))))))))))</f>
        <v/>
      </c>
      <c r="BU42" s="52" t="str">
        <f>IF(Atletas!S38="","",IF(Atletas!W38&lt;&gt;"",10000,0)+IF(Atletas!B38="Feminino",1000,IF(Atletas!B38="Masculino",2000,""))+IF(Atletas!S38="Arma Dupla A",801,IF(Atletas!S38="Arma Maleável A",802,IF(Atletas!S38="Arma Dupla B",803,IF(Atletas!S38="Arma Maleável B",804,IF(Atletas!S38="Arma Dupla C",805,IF(Atletas!S38="Arma Maleável C",806,IF(Atletas!S38="Arma Dupla D",807,IF(Atletas!S38="Arma Maleável D",808,IF(Atletas!S38="Arma Dupla E",809,IF(Atletas!S38="Arma Maleável E",810,IF(Atletas!S38="Arma Dupla F",811,IF(Atletas!S38="Arma Maleável F",812, "")))))))))))))</f>
        <v/>
      </c>
      <c r="BV42" s="52" t="str">
        <f>IF(Atletas!T38="","",IF(Atletas!W38&lt;&gt;"",10000,0)+IF(Atletas!B38="Feminino",1000,IF(Atletas!B38="Masculino",2000,""))+IF(Atletas!T38="Taijijian Yang A",901,IF(Atletas!T38="Taijijian Chen A",902,IF(Atletas!T38="Taijijian Sun A",903,IF(Atletas!T38="Taijijian Wu A",904,IF(Atletas!T38="Taijijian Wu-Hao A",905,IF(Atletas!T38="Taijijian 32 A",906,IF(Atletas!T38="Taijijian 42 A",907,IF(Atletas!T38="Taijijian Yang B",908,IF(Atletas!T38="Taijijian Chen B",909,IF(Atletas!T38="Taijijian Sun B",910,IF(Atletas!T38="Taijijian Wu B",911,IF(Atletas!T38="Taijijian Wu-Hao B",912,IF(Atletas!T38="Taijijian 32 B",913,IF(Atletas!T38="Taijijian 42 B",914,IF(Atletas!T38="Taijijian Yang C",915,IF(Atletas!T38="Taijijian Chen C",916,IF(Atletas!T38="Taijijian Sun C",917,IF(Atletas!T38="Taijijian Wu C",918,IF(Atletas!T38="Taijijian Wu-Hao C",919,IF(Atletas!T38="Taijijian 32 C",920,IF(Atletas!T38="Taijijian 42 C",921,IF(Atletas!T38="Taijijian Yang D",922,IF(Atletas!T38="Taijijian Chen D",923,IF(Atletas!T38="Taijijian Sun D",924,IF(Atletas!T38="Taijijian Wu D",925,IF(Atletas!T38="Taijijian Wu-Hao D",926,IF(Atletas!T38="Taijijian 32 D",927,IF(Atletas!T38="Taijijian 42 D",928,IF(Atletas!T38="Taijijian Yang E",929,IF(Atletas!T38="Taijijian Chen E",930,IF(Atletas!T38="Taijijian Sun E",931,IF(Atletas!T38="Taijijian Wu E",932,IF(Atletas!T38="Taijijian Wu-Hao E",933,IF(Atletas!T38="Taijijian 32 E",934,IF(Atletas!T38="Taijijian 42 E",935,IF(Atletas!T38="Taijijian Yang F",936,IF(Atletas!T38="Taijijian Chen F",937,IF(Atletas!T38="Taijijian Sun F",938,IF(Atletas!T38="Taijijian Wu F",939,IF(Atletas!T38="Taijijian Wu-Hao F",940,IF(Atletas!T38="Taijijian 32 F",941,IF(Atletas!T38="Taijijian 42 F",942,"")))))))))))))))))))))))))))))))))))))))))))</f>
        <v/>
      </c>
      <c r="BW42" s="52" t="str">
        <f>IF(Atletas!U38="","",IF(Atletas!W38&lt;&gt;"",10000,0)+IF(Atletas!B38="Feminino",1000,IF(Atletas!B38="Masculino",2000,""))+IF(Atletas!T38="Taijijian 42 F",942,IF(Atletas!U38="Taijidao A",943,IF(Atletas!U38="Taijishan A",944,IF(Atletas!U38="Taijiqiang A",945,IF(Atletas!U38="Taijidao B",946,IF(Atletas!U38="Taijishan B",947,IF(Atletas!U38="Taijiqiang B",948,IF(Atletas!U38="Taijidao C",949,IF(Atletas!U38="Taijishan C",950,IF(Atletas!U38="Taijiqiang C",951,IF(Atletas!U38="Taijidao D",952,IF(Atletas!U38="Taijishan D",953,IF(Atletas!U38="Taijiqiang D",954,IF(Atletas!U38="Taijidao E",955,IF(Atletas!U38="Taijishan E",956,IF(Atletas!U38="Taijiqiang E",957,IF(Atletas!U38="Taijidao F",958,IF(Atletas!U38="Taijishan F",959,IF(Atletas!U38="Taijiqiang F",960))))))))))))))))))))</f>
        <v/>
      </c>
      <c r="BX42" s="64" t="str">
        <f>IF(BY42&lt;&gt;"","Paochui A","")</f>
        <v/>
      </c>
      <c r="BY42" s="64" t="str">
        <f>IF(COUNTIF(BK:BW,1106)&gt;0,COUNTIF(BK:BW,1106),"")</f>
        <v/>
      </c>
      <c r="BZ42" s="64" t="str">
        <f>IF(CA42&lt;&gt;"","Paochui A","")</f>
        <v/>
      </c>
      <c r="CA42" s="64" t="str">
        <f>IF(COUNTIF(BK:BW,2106)&gt;0,COUNTIF(BK:BW,2106),"")</f>
        <v/>
      </c>
      <c r="CB42" s="64" t="str">
        <f>IF(CC42&lt;&gt;"","Paochui A","")</f>
        <v/>
      </c>
      <c r="CC42" s="64" t="str">
        <f>IF(COUNTIF(BK:BW,11106)&gt;0,COUNTIF(BK:BW,11106),"")</f>
        <v/>
      </c>
      <c r="CD42" s="64" t="str">
        <f>IF(CE42&lt;&gt;"","Paochui A","")</f>
        <v/>
      </c>
      <c r="CE42" s="64" t="str">
        <f>IF(COUNTIF(BK:BW,12106)&gt;0,COUNTIF(BK:BW,12106),"")</f>
        <v/>
      </c>
      <c r="CF42" s="52" t="str">
        <f xml:space="preserve"> IF(Atletas!V38="","",IF(Atletas!V38="Duilian de Mãos AB - Equipe 1",1,IF(Atletas!V38="Duilian de Mãos AB - Equipe 2",2,IF(Atletas!V38="Duilian de Armas AB - Equipe 1",3,IF(Atletas!V38="Duilian de Armas AB - Equipe 2",4,IF(Atletas!V38="Duilian de Tuishou - Equipe 1",5,IF(Atletas!V38="Duilian de Tuishou - Equipe 2",6,IF(Atletas!V38="Grupo Externo AB - Equipe 1",7,IF(Atletas!V38="Grupo Externo AB - Equipe 2",8,IF(Atletas!V38="Grupo Interno AB - Equipe 1",9,IF(Atletas!V38="Grupo Interno AB - Equipe 2",10,IF(Atletas!V38="Duilian de Mãos CD - Equipe 1",11,IF(Atletas!V38="Duilian de Mãos CD - Equipe 2",12,IF(Atletas!V38="Duilian de Armas CD - Equipe 1",13,IF(Atletas!V38="Duilian de Armas CD - Equipe 2",14,IF(Atletas!V38="Duilian de Tuishou - Equipe 1",15,IF(Atletas!V38="Duilian de Tuishou - Equipe 2",16,IF(Atletas!V38="Grupo Externo CDEF - Equipe 1",17,IF(Atletas!V38="Grupo Externo CDEF - Equipe 2",18,IF(Atletas!V38="Grupo Interno CDEF - Equipe 1",19,IF(Atletas!V38="Grupo Interno CDEF - Equipe 2",20,IF(Atletas!V38="Duilian de Mãos EF - Equipe 1",21,IF(Atletas!V38="Duilian de Mãos EF - Equipe 2",22,IF(Atletas!V38="Duilian de Armas EF - Equipe 1",23,IF(Atletas!V38="Duilian de Armas EF - Equipe 2",24,IF(Atletas!V38="Duilian de Tuishou - Equipe 1",25,IF(Atletas!V38="Duilian de Tuishou - Equipe 2",26,"")))))))))))))))))))))))))))</f>
        <v/>
      </c>
      <c r="CR42" s="71"/>
    </row>
    <row r="43" spans="2:96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 t="str">
        <f t="array" ref="N43">IFERROR(INDEX(BB$7:BB$66,SMALL(IF(BB$7:BB$66&lt;&gt;"",ROW(BB$7:BB$66)-ROW(BB$7)+1),ROWS(BB$7:BB42))),"")</f>
        <v/>
      </c>
      <c r="O43" s="4" t="str">
        <f t="array" ref="O43">IFERROR(INDEX(BC$7:BC$66,SMALL(IF(BC$7:BC$66&lt;&gt;"",ROW(BC$7:BC$66)-ROW(BC$7)+1),ROWS(BC$7:BC42))),"")</f>
        <v/>
      </c>
      <c r="P43" s="4" t="str">
        <f t="array" ref="P43">IFERROR(INDEX(BD$7:BD$66,SMALL(IF(BD$7:BD$66&lt;&gt;"",ROW(BD$7:BD$66)-ROW(BD$7)+1),ROWS(BD$7:BD42))),"")</f>
        <v/>
      </c>
      <c r="Q43" s="4" t="str">
        <f t="array" ref="Q43">IFERROR(INDEX(BE$7:BE$66,SMALL(IF(BE$7:BE$66&lt;&gt;"",ROW(BE$7:BE$66)-ROW(BE$7)+1),ROWS(BE$7:BE42))),"")</f>
        <v/>
      </c>
      <c r="R43" s="4"/>
      <c r="S43" s="4"/>
      <c r="T43" s="31"/>
      <c r="U43" s="4"/>
      <c r="V43" s="4" t="str">
        <f t="array" ref="V43">IFERROR(INDEX(BX$7:BX$336,SMALL(IF(BX$7:BX$336&lt;&gt;"",ROW(BX$7:BX$336)-ROW(BX$7)+1),ROWS(BX$7:BX42))),"")</f>
        <v/>
      </c>
      <c r="W43" s="4" t="str">
        <f t="array" ref="W43">IFERROR(INDEX(BY$7:BY$336,SMALL(IF(BY$7:BY$336&lt;&gt;"",ROW(BY$7:BY$336)-ROW(BY$7)+1),ROWS(BY$7:BY42))),"")</f>
        <v/>
      </c>
      <c r="X43" s="4" t="str">
        <f t="array" ref="X43">IFERROR(INDEX(BZ$7:BZ$336,SMALL(IF(BZ$7:BZ$336&lt;&gt;"",ROW(BZ$7:BZ$336)-ROW(BZ$7)+1),ROWS(BZ$7:BZ42))),"")</f>
        <v/>
      </c>
      <c r="Y43" s="4" t="str">
        <f t="array" ref="Y43">IFERROR(INDEX(CA$7:CA$336,SMALL(IF(CA$7:CA$336&lt;&gt;"",ROW(CA$7:CA$336)-ROW(CA$7)+1),ROWS(CA$7:CA42))),"")</f>
        <v/>
      </c>
      <c r="Z43" s="4" t="str">
        <f t="array" ref="Z43">IFERROR(INDEX(CB$7:CB$378,SMALL(IF(CB$7:CB$378&lt;&gt;"",ROW(CB$7:CB$378)-ROW(CB$7)+1),ROWS(CB$7:CB42))),"")</f>
        <v/>
      </c>
      <c r="AA43" s="4" t="str">
        <f t="array" ref="AA43">IFERROR(INDEX(CC$7:CC$378,SMALL(IF(CC$7:CC$378&lt;&gt;"",ROW(CC$7:CC$378)-ROW(CC$7)+1),ROWS(CC$7:CC42))),"")</f>
        <v/>
      </c>
      <c r="AB43" s="4" t="str">
        <f t="array" ref="AB43">IFERROR(INDEX(CD$7:CD$378,SMALL(IF(CD$7:CD$378&lt;&gt;"",ROW(CD$7:CD$378)-ROW(CD$7)+1),ROWS(CD$7:CD42))),"")</f>
        <v/>
      </c>
      <c r="AC43" s="4" t="str">
        <f t="array" ref="AC43">IFERROR(INDEX(CE$7:CE$378,SMALL(IF(CE$7:CE$378&lt;&gt;"",ROW(CE$7:CE$378)-ROW(CE$7)+1),ROWS(CE$7:CE42))),"")</f>
        <v/>
      </c>
      <c r="AD43" s="65"/>
      <c r="AE43" s="65"/>
      <c r="AF43" s="65"/>
      <c r="AG43" s="65"/>
      <c r="AH43" s="65"/>
      <c r="AI43" s="4"/>
      <c r="AJ43" s="46" t="str">
        <f>IF(Atletas!D39="","",IF(Atletas!B39="Feminino",100,IF(Atletas!B39="Masculino",200,""))+(IF(Atletas!D39="Infantil 39kg",1,IF(Atletas!D39="Infantil 42kg",2,IF(Atletas!D39="Infantil 45kg",3,IF(Atletas!D39="Infantil 48kg",4,IF(Atletas!D39="Infantil 52kg",5,IF(Atletas!D39="Infantil 56kg",6,IF(Atletas!D39="Infantil 60kg",7,IF(Atletas!D39="Juvenil 48kg",8,IF(Atletas!D39="Juvenil 52kg",9,IF(Atletas!D39="Juvenil 56kg",10,IF(Atletas!D39="Juvenil 60kg",11,IF(Atletas!D39="Juvenil 65kg",12,IF(Atletas!D39="Juvenil 70kg",13,IF(Atletas!D39="Juvenil 75kg",14,IF(Atletas!D39="Juvenil 80kg",15,IF(Atletas!D39="Adulto 48kg",16,IF(Atletas!D39="Adulto 52kg",17,IF(Atletas!D39="Adulto 56kg",18,IF(Atletas!D39="Adulto 60kg",19,IF(Atletas!D39="Adulto 65kg",20,IF(Atletas!D39="Adulto 70kg",21,IF(Atletas!D39="Adulto 75kg",22,IF(Atletas!D39="Adulto 80kg",23,IF(Atletas!D39="Adulto 85kg",24,IF(Atletas!D39="Adulto 90kg",25,IF(Atletas!D39="Adulto +90kg",26,""))))))))))))))))))))))))))))</f>
        <v/>
      </c>
      <c r="AO43" s="10" t="str">
        <f>IF(Atletas!E39="","",IF(Atletas!B39="Feminino",100,IF(Atletas!B39="Masculino",200,""))+(IF(Atletas!E39="Juvenil 44kg",1,IF(Atletas!E39="Juvenil 48kg",2,IF(Atletas!E39="Juvenil 52kg",3,IF(Atletas!E39="Juvenil 56kg",4,IF(Atletas!E39="Juvenil 60kg",5,IF(Atletas!E39="Juvenil 65kg",6,IF(Atletas!E39="Juvenil 70kg",7,IF(Atletas!E39="Juvenil 75kg",8,IF(Atletas!E39="Juvenil 82kg",9,IF(Atletas!E39="Juvenil 90kg",10,IF(Atletas!E39="Juvenil 100kg",11,IF(Atletas!E39="Adulto 48kg",12,IF(Atletas!E39="Adulto 52kg",13,IF(Atletas!E39="Adulto 56kg",14,IF(Atletas!E39="Adulto 60kg",15,IF(Atletas!E39="Adulto 65kg",16,IF(Atletas!E39="Adulto 70kg",17,IF(Atletas!E39="Adulto 75kg",18,IF(Atletas!E39="Adulto 82kg",19,IF(Atletas!E39="Adulto 90kg",20,IF(Atletas!E39="Adulto 100kg",21,IF(Atletas!E39="Adulto +100kg",22,""))))))))))))))))))))))))</f>
        <v/>
      </c>
      <c r="AT43" s="10" t="str">
        <f>IF(Atletas!F39="","",IF(Atletas!B39="Feminino",100,IF(Atletas!B39="Masculino",200,""))+(IF(Atletas!F39="Adulto 48kg",1,IF(Atletas!F39="Adulto 56kg",2,IF(Atletas!F39="Adulto 65kg",3,IF(Atletas!F39="Adulto 75kg",4,IF(Atletas!F39="Adulto +75kg",5,IF(Atletas!F39="Adulto 52kg",6,IF(Atletas!F39="Adulto 60kg",7,IF(Atletas!F39="Adulto 70kg",8,IF(Atletas!F39="Adulto 80kg",9,IF(Atletas!F39="Adulto 90kg",10,IF(Atletas!F39="Adulto +90kg",11,"")))))))))))))</f>
        <v/>
      </c>
      <c r="AY43" s="46" t="str">
        <f>IF(Atletas!G39="","",IF(Atletas!B39="Feminino",100,IF(Atletas!B39="Masculino",200,""))+(IF(Atletas!G39="Changquan Mirim",1,IF(Atletas!G39="Nanquan Mirim",2,IF(Atletas!G39="Taijiquan Mirim",3,IF(Atletas!G39="Changquan Grupo C",4,IF(Atletas!G39="Nanquan Grupo C",5,IF(Atletas!G39="Taijiquan Grupo C",6,IF(Atletas!G39="Changquan Grupo B",7,IF(Atletas!G39="Nanquan Grupo B",8,IF(Atletas!G39="Taijiquan Grupo B",9,IF(Atletas!G39="Changquan Grupo A",10,IF(Atletas!G39="Nanquan Grupo A",11,IF(Atletas!G39="Taijiquan Grupo A",12,IF(Atletas!G39="Changquan Opcional",13,IF(Atletas!G39="Nanquan Opcional",14,IF(Atletas!G39="Taijiquan Opcional",15,IF(Atletas!G39="Changquan Adulto",16,IF(Atletas!G39="Nanquan Adulto",17,IF(Atletas!G39="Taijiquan Adulto",18,""))))))))))))))))))))</f>
        <v/>
      </c>
      <c r="AZ43" s="46" t="str">
        <f>IF(Atletas!H39="","",IF(Atletas!B39="Feminino",100,IF(Atletas!B39="Masculino",200,""))+(IF(Atletas!H39="Daoshu Mirim",19,IF(Atletas!H39="Jianshu Mirim",20,IF(Atletas!H39="Nandao Mirim",21,IF(Atletas!H39="Taijijian Mirim",22,IF(Atletas!H39="Daoshu Grupo C",23,IF(Atletas!H39="Jianshu Grupo C",24,IF(Atletas!H39="Nandao Grupo C",25,IF(Atletas!H39="Taijijian Grupo C",26,IF(Atletas!H39="Daoshu Grupo B",27,IF(Atletas!H39="Jianshu Grupo B",28,IF(Atletas!H39="Nandao Grupo B",29,IF(Atletas!H39="Taijijian Grupo B",30,IF(Atletas!H39="Daoshu Grupo A",31,IF(Atletas!H39="Jianshu Grupo A",32,IF(Atletas!H39="Nandao Grupo A",33,IF(Atletas!H39="Taijijian Grupo A",34,IF(Atletas!H39="Daoshu Opcional",35,IF(Atletas!H39="Jianshu Opcional",36,IF(Atletas!H39="Nandao Opcional",37,IF(Atletas!H39="Taijijian Opcional",38,IF(Atletas!H39="Daoshu Adulto",39,IF(Atletas!H39="Jianshu Adulto",40,IF(Atletas!H39="Nandao Adulto",41,IF(Atletas!H39="Taijijian Adulto",42,""))))))))))))))))))))))))))</f>
        <v/>
      </c>
      <c r="BA43" s="46" t="str">
        <f>IF(Atletas!I39="","",IF(Atletas!B39="Feminino",100,IF(Atletas!B39="Masculino",200,""))+(IF(Atletas!I39="Gunshu Mirim",43,IF(Atletas!I39="Qiangshu Mirim",44,IF(Atletas!I39="Nangun Mirim",45,IF(Atletas!I39="Gunshu Grupo C",46,IF(Atletas!I39="Qiangshu Grupo C",47,IF(Atletas!I39="Nangun Grupo C",48,IF(Atletas!I39="Gunshu Grupo B",49,IF(Atletas!I39="Qiangshu Grupo B",50,IF(Atletas!I39="Nangun Grupo B",51,IF(Atletas!I39="Gunshu Grupo A",52,IF(Atletas!I39="Qiangshu Grupo A",53,IF(Atletas!I39="Nangun Grupo A",54,IF(Atletas!I39="Gunshu Opcional",55,IF(Atletas!I39="Qiangshu Opcional",56,IF(Atletas!I39="Nangun Opcional",57,IF(Atletas!I39="Gunshu Adulto",58,IF(Atletas!I39="Qiangshu Adulto",59,IF(Atletas!I39="Nangun Adulto",60,""))))))))))))))))))))</f>
        <v/>
      </c>
      <c r="BB43" s="10" t="str">
        <f>IF(BC43&lt;&gt;"","Taijijian Grupo A","")</f>
        <v/>
      </c>
      <c r="BC43" s="52" t="str">
        <f>IF(COUNTIF(AY:BA,134)&gt;0,COUNTIF(AY:BA,134),"")</f>
        <v/>
      </c>
      <c r="BD43" s="10" t="str">
        <f>IF(BE43&lt;&gt;"","Taijijian Grupo A","")</f>
        <v/>
      </c>
      <c r="BE43" s="52" t="str">
        <f>IF(COUNTIF(AY:BA,234)&gt;0,COUNTIF(AY:BA,234),"")</f>
        <v/>
      </c>
      <c r="BF43" s="52" t="str">
        <f>IF(Atletas!J39="","",IF(Atletas!B39="Feminino",100,IF(Atletas!B39="Masculino",200,""))+(IF(Atletas!J39="Equipe 1 Grupo B",1,IF(Atletas!J39="Equipe 2 Grupo B",2,IF(Atletas!J39="Equipe 1 Grupo A",3,IF(Atletas!J39="Equipe 2 Grupo A",4,IF(Atletas!J39="Equipe 1 Adulto",5,IF(Atletas!J39="Equipe 2 Adulto",6,""))))))))</f>
        <v/>
      </c>
      <c r="BK43" s="52" t="str">
        <f>IF(Atletas!K39="","",IF(Atletas!W39&lt;&gt;"",10000,0)+(IF(Atletas!B39="Feminino",1000,IF(Atletas!B39="Masculino",2000,""))+IF(Atletas!K39="Choylayfut A",1,IF(Atletas!K39="Hunggar A",2,IF(Atletas!K39="Wuzuquan A",3,IF(Atletas!K39="Wingchun A",4,IF(Atletas!K39="Outra Mão de Sul A",5,IF(Atletas!K39="Choylayfut B",6,IF(Atletas!K39="Hunggar B",7,IF(Atletas!K39="Wuzuquan B",8,IF(Atletas!K39="Wingchun B",9,IF(Atletas!K39="Outra Mão de Sul B",10,IF(Atletas!K39="Choylayfut C",11,IF(Atletas!K39="Hunggar C",12,IF(Atletas!K39="Wuzuquan C",13,IF(Atletas!K39="Wingchun C",14,IF(Atletas!K39="Outra Mão de Sul C",15,IF(Atletas!K39="Choylayfut D",16,IF(Atletas!K39="Hunggar D",17,IF(Atletas!K39="Wuzuquan D",18,IF(Atletas!K39="Wingchun D",19,IF(Atletas!K39="Outra Mão de Sul D",20,IF(Atletas!K39="Choylayfut E",21,IF(Atletas!K39="Hunggar E",22,IF(Atletas!K39="Wuzuquan E",23,IF(Atletas!K39="Wingchun E",24,IF(Atletas!K39="Outra Mão de Sul E",25,IF(Atletas!K39="Choylayfut F",26,IF(Atletas!K39="Hunggar F",27,IF(Atletas!K39="Wuzuquan F",28,IF(Atletas!K39="Wingchun F",29,IF(Atletas!K39="Outra Mão de Sul F",30,""))))))))))))))))))))))))))))))))</f>
        <v/>
      </c>
      <c r="BL43" s="52" t="str">
        <f>IF(Atletas!L39="","",IF(Atletas!W39&lt;&gt;"",10000,0)+(IF(Atletas!B39="Feminino",1000,IF(Atletas!B39="Masculino",2000,""))+(IF(Atletas!L39="Chaquan A",101,IF(Atletas!L39="Emeiquan A",102,IF(Atletas!L39="Fanziquan A",103,IF(Atletas!L39="Huaquan A",104,IF(Atletas!L39="Hongquan A",105,IF(Atletas!L39="Paochui A",106,IF(Atletas!L39="Piguaquan A",107,IF(Atletas!L39="Shaolinquan A",108,IF(Atletas!L39="Tanglangquan A",109,IF(Atletas!L39="Yinzhaophai A",110,IF(Atletas!L39="Tongbeiquan A",111,IF(Atletas!L39="Wudangquan A",112,IF(Atletas!L39="Outros Estilos A",113,IF(Atletas!L39="Chaquan B",114,IF(Atletas!L39="Emeiquan B",115,IF(Atletas!L39="Fanziquan B",116,IF(Atletas!L39="Huaquan B",117,IF(Atletas!L39="Hongquan B",118,IF(Atletas!L39="Paochui B",119,IF(Atletas!L39="Piguaquan B",120,IF(Atletas!L39="Shaolinquan B",121,IF(Atletas!L39="Tanglangquan B",122,IF(Atletas!L39="Yinzhaophai B",123,IF(Atletas!L39="Tongbeiquan B",124,IF(Atletas!L39="Wudangquan B",125,IF(Atletas!L39="Outros Estilos B",126,IF(Atletas!L39="Chaquan C",127,IF(Atletas!L39="Emeiquan C",128,IF(Atletas!L39="Fanziquan C",129,IF(Atletas!L39="Huaquan C",130,IF(Atletas!L39="Hongquan C",131,IF(Atletas!L39="Paochui C",132,IF(Atletas!L39="Piguaquan C",133,IF(Atletas!L39="Shaolinquan C",134,IF(Atletas!L39="Tanglangquan C",135,IF(Atletas!L39="Yinzhaophai C",136,IF(Atletas!L39="Tongbeiquan C",137,IF(Atletas!L39="Wudangquan C",138,IF(Atletas!L39="Outros Estilos C",139,0))))))))))))))))))))))))))))))))))))))))))</f>
        <v/>
      </c>
      <c r="BM43" s="52" t="str">
        <f>IF(Atletas!L39="","",IF(Atletas!W39&lt;&gt;"",10000,0)+(IF(Atletas!B39="Feminino",1000,IF(Atletas!B39="Masculino",2000,""))+(IF(Atletas!L39="Chaquan D",140,IF(Atletas!L39="Emeiquan D",141,IF(Atletas!L39="Fanziquan D",142,IF(Atletas!L39="Huaquan D",143,IF(Atletas!L39="Hongquan D",144,IF(Atletas!L39="Paochui D",145,IF(Atletas!L39="Piguaquan D",146,IF(Atletas!L39="Shaolinquan D",147,IF(Atletas!L39="Tanglangquan D",148,IF(Atletas!L39="Yinzhaophai D",149,IF(Atletas!L39="Tongbeiquan D",150,IF(Atletas!L39="Wudangquan D",151,IF(Atletas!L39="Outros Estilos D",152,IF(Atletas!L39="Chaquan E",153,IF(Atletas!L39="Emeiquan E",154,IF(Atletas!L39="Fanziquan E",155,IF(Atletas!L39="Huaquan E",156,IF(Atletas!L39="Hongquan E",157,IF(Atletas!L39="Paochui E",158,IF(Atletas!L39="Piguaquan E",159,IF(Atletas!L39="Shaolinquan E",160,IF(Atletas!L39="Tanglangquan E",161,IF(Atletas!L39="Yinzhaophai E",162,IF(Atletas!L39="Tongbeiquan E",163,IF(Atletas!L39="Wudangquan E",164,IF(Atletas!L39="Outros Estilos E",165,IF(Atletas!L39="Chaquan F",166,IF(Atletas!L39="Emeiquan F",167,IF(Atletas!L39="Fanziquan F",168,IF(Atletas!L39="Huaquan F",169,IF(Atletas!L39="Hongquan F",170,IF(Atletas!L39="Paochui F",171,IF(Atletas!L39="Piguaquan F",172,IF(Atletas!L39="Shaolinquan F",173,IF(Atletas!L39="Tanglangquan F",174,IF(Atletas!L39="Yinzhaophai F",175,IF(Atletas!L39="Tongbeiquan F",176,IF(Atletas!L39="Wudangquan F",177,IF(Atletas!L39="Outros Estilos F",178,0))))))))))))))))))))))))))))))))))))))))))</f>
        <v/>
      </c>
      <c r="BN43" s="52" t="str">
        <f>IF(Atletas!M39="","",IF(Atletas!W39&lt;&gt;"",10000,0)+(IF(Atletas!B39="Feminino",1000,IF(Atletas!B39="Masculino",2000,""))+(IF(Atletas!M39="Ditangquan A",201,IF(Atletas!M39="Houquan A",202,IF(Atletas!M39="Zuiquan A",203,IF(Atletas!M39="Ditangquan B",204,IF(Atletas!M39="Houquan B",205,IF(Atletas!M39="Zuiquan B",206,IF(Atletas!M39="Ditangquan C",207,IF(Atletas!M39="Houquan C",208,IF(Atletas!M39="Zuiquan C",209,IF(Atletas!M39="Ditangquan D",210,IF(Atletas!M39="Houquan D",211,IF(Atletas!M39="Zuiquan D",212,IF(Atletas!M39="Ditangquan E",213,IF(Atletas!M39="Houquan E",214,IF(Atletas!M39="Zuiquan E",215,IF(Atletas!M39="Ditangquan F",216,IF(Atletas!M39="Houquan F",217,IF(Atletas!M39="Zuiquan F",218,"")))))))))))))))))))))</f>
        <v/>
      </c>
      <c r="BO43" s="52" t="str">
        <f>IF(Atletas!N39="","",IF(Atletas!W39&lt;&gt;"",10000,0)+IF(Atletas!B39="Feminino",1000,IF(Atletas!B39="Masculino",2000,""))+IF(Atletas!N39="Yang A",301,IF(Atletas!N39="Chen A",30,IF(Atletas!N39="Sun A",303,IF(Atletas!N39="Wu A",304,IF(Atletas!N39="Wu-Hao A",305,IF(Atletas!N39="Outro Taijiquan A",306,IF(Atletas!N39="Yang B",307,IF(Atletas!N39="Chen B",308,IF(Atletas!N39="Sun B",309,IF(Atletas!N39="Wu B",310,IF(Atletas!N39="Wu-Hao B",311,IF(Atletas!N39="Outro Taijiquan B",312,IF(Atletas!N39="Yang C",313,IF(Atletas!N39="Chen C",314,IF(Atletas!N39="Sun C",315,IF(Atletas!N39="Wu C",316,IF(Atletas!N39="Wu-Hao C",317,IF(Atletas!N39="Outro Taijiquan C",318,IF(Atletas!N39="Yang D",319,IF(Atletas!N39="Chen D",320,IF(Atletas!N39="Sun D",321,IF(Atletas!N39="Wu D",322,IF(Atletas!N39="Wu-Hao D",323,IF(Atletas!N39="Outro Taijiquan D",324,IF(Atletas!N39="Yang E",325,IF(Atletas!N39="Chen E",326,IF(Atletas!N39="Sun E",327,IF(Atletas!N39="Wu E",328,IF(Atletas!N39="Wu-Hao E",329,IF(Atletas!N39="Outro Taijiquan E",330,IF(Atletas!N39="Yang F",331,IF(Atletas!N39="Chen F",332,IF(Atletas!N39="Sun F",333,IF(Atletas!N39="Wu F",334,IF(Atletas!N39="Wu-Hao F",335,IF(Atletas!N39="Outro Taijiquan F",336,"")))))))))))))))))))))))))))))))))))))</f>
        <v/>
      </c>
      <c r="BP43" s="52" t="str">
        <f>IF(Atletas!O39="","",IF(Atletas!W39&lt;&gt;"",10000,0)+IF(Atletas!B39="Feminino",1000,IF(Atletas!B39="Masculino",2000,""))+IF(OR(Atletas!O39="Yang 26 A",Atletas!O39="Yang 40 A"),401,IF(OR(Atletas!O39="Chen 25 A",Atletas!O39="Chen 36 A",Atletas!O39="Chen 56 A"),402,IF(Atletas!O39="Sun 73 A",403,IF(Atletas!O39="Wu 45 A",404,IF(Atletas!O39="Wu-Hao 46 A",405,IF(OR(Atletas!O39="Taijiquan 16 A",Atletas!O39="Taijiquan 24 A",Atletas!O39="Taijiquan 32 A",Atletas!O39="Taijiquan 42 A"),406,IF(OR(Atletas!O39="Yang 26 B",Atletas!O39="Yang 40 B"),407,IF(OR(Atletas!O39="Chen 25 B",Atletas!O39="Chen 36 B",Atletas!O39="Chen 56 B"),408,IF(Atletas!O39="Sun 73 B",409,IF(Atletas!O39="Wu 45 B",410,IF(Atletas!O39="Wu-Hao 46 B",411,IF(OR(Atletas!O39="Taijiquan 16 B",Atletas!O39="Taijiquan 24 B",Atletas!O39="Taijiquan 32 B",Atletas!O39="Taijiquan 42 B"),412,IF(OR(Atletas!O39="Yang 26 C",Atletas!O39="Yang 40 C"),413,IF(OR(Atletas!O39="Chen 25 C",Atletas!O39="Chen 36 C",Atletas!O39="Chen 56 C"),414,IF(Atletas!O39="Sun 73 C",415,IF(Atletas!O39="Wu 45 C",416,IF(Atletas!O39="Wu-Hao 46 C",417,IF(OR(Atletas!O39="Taijiquan 16 C",Atletas!O39="Taijiquan 24 C",Atletas!O39="Taijiquan 32 C",Atletas!O39="Taijiquan 42 C"),418,0)))))))))))))))))))</f>
        <v/>
      </c>
      <c r="BQ43" s="52" t="str">
        <f>IF(Atletas!O39="","",IF(Atletas!W39&lt;&gt;"",10000,0)+IF(Atletas!B39="Feminino",1000,IF(Atletas!B39="Masculino",2000,""))+IF(OR(Atletas!O39="Yang 26 D",Atletas!O39="Yang 40 D"),419,IF(OR(Atletas!O39="Chen 25 D",Atletas!O39="Chen 36 D",Atletas!O39="Chen 56 D"),420,IF(Atletas!O39="Sun 73 D",421,IF(Atletas!O39="Wu 45 D",422,IF(Atletas!O39="Wu-Hao 46 D",423,IF(OR(Atletas!O39="Taijiquan 16 D",Atletas!O39="Taijiquan 24 D",Atletas!O39="Taijiquan 32 D",Atletas!O39="Taijiquan 42 D"),424,IF(OR(Atletas!O39="Yang 26 E",Atletas!O39="Yang 40 E"),425,IF(OR(Atletas!O39="Chen 25 E",Atletas!O39="Chen 36 E",Atletas!O39="Chen 56 E"),426,IF(Atletas!O39="Sun 73 E",427,IF(Atletas!O39="Wu 45 E",428,IF(Atletas!O39="Wu-Hao 46 E",429,IF(OR(Atletas!O39="Taijiquan 16 E",Atletas!O39="Taijiquan 24 E",Atletas!O39="Taijiquan 32 E",Atletas!O39="Taijiquan 42 E"),430,IF(OR(Atletas!O39="Yang 26 F",Atletas!O39="Yang 40 F"),431,IF(OR(Atletas!O39="Chen 25 F",Atletas!O39="Chen 36 F",Atletas!O39="Chen 56 F"),432,IF(Atletas!O39="Sun 73 F",433,IF(Atletas!O39="Wu 45 F",434,IF(Atletas!O39="Wu-Hao 46 F",435,IF(OR(Atletas!O39="Taijiquan 16 F",Atletas!O39="Taijiquan 24 F",Atletas!O39="Taijiquan 32 F",Atletas!O39="Taijiquan 42 F"),436,0)))))))))))))))))))</f>
        <v/>
      </c>
      <c r="BR43" s="52" t="str">
        <f>IF(Atletas!P39="","",IF(Atletas!W39&lt;&gt;"",10000,0)+IF(Atletas!B39="Feminino",1000,IF(Atletas!B39="Masculino",2000,""))+IF(Atletas!P39="Xingyiquan A",501,IF(Atletas!P39="Baguazhang A",502,IF(Atletas!P39="Outro Estilo Interno A",503,IF(Atletas!P39="Xingyiquan B",504,IF(Atletas!P39="Baguazhang B",505,IF(Atletas!P39="Outro Estilo Interno B",506,IF(Atletas!P39="Xingyiquan C",507,IF(Atletas!P39="Baguazhang C",508,IF(Atletas!P39="Outro Estilo Interno C",509,IF(Atletas!P39="Xingyiquan D",510,IF(Atletas!P39="Baguazhang D",511,IF(Atletas!P39="Outro Estilo Interno D",512,IF(Atletas!P39="Xingyiquan E",513,IF(Atletas!P39="Baguazhang E",514,IF(Atletas!P39="Outro Estilo Interno E",515,IF(Atletas!P39="Xingyiquan F",516,IF(Atletas!P39="Baguazhang F",517,IF(Atletas!P39="Outro Estilo Interno F",518, "")))))))))))))))))))</f>
        <v/>
      </c>
      <c r="BS43" s="52" t="str">
        <f>IF(Atletas!Q39="","",IF(Atletas!W39&lt;&gt;"",10000,0)+IF(Atletas!B39="Feminino",1000,IF(Atletas!B39="Masculino",2000,""))+IF(Atletas!Q39="Dao A",601,IF(Atletas!Q39="Jian A",602,IF(Atletas!Q39="Bishou A",603,IF(Atletas!Q39="Shan A",604,IF(Atletas!Q39="Outra Arma Curta A",605,IF(Atletas!Q39="Dao B",606,IF(Atletas!Q39="Jian B",607,IF(Atletas!Q39="Bishou B",608,IF(Atletas!Q39="Shan B",609,IF(Atletas!Q39="Outra Arma Curta B",610,IF(Atletas!Q39="Dao C",611,IF(Atletas!Q39="Jian C",612,IF(Atletas!Q39="Bishou C",613,IF(Atletas!Q39="Shan C",614,IF(Atletas!Q39="Outra Arma Curta C",615,IF(Atletas!Q39="Dao D",616,IF(Atletas!Q39="Jian D",617,IF(Atletas!Q39="Bishou D",618,IF(Atletas!Q39="Shan D",619,IF(Atletas!Q39="Outra Arma Curta D",620,IF(Atletas!Q39="Dao E",621,IF(Atletas!Q39="Jian E",622,IF(Atletas!Q39="Bishou E",623,IF(Atletas!Q39="Shan E",624,IF(Atletas!Q39="Outra Arma Curta E",625,IF(Atletas!Q39="Dao F",626,IF(Atletas!Q39="Jian F",627,IF(Atletas!Q39="Bishou F",628,IF(Atletas!Q39="Shan F",629,IF(Atletas!Q39="Outra Arma Curta F",630, "")))))))))))))))))))))))))))))))</f>
        <v/>
      </c>
      <c r="BT43" s="52" t="str">
        <f>IF(Atletas!R39="","",IF(Atletas!W39&lt;&gt;"",10000,0)+IF(Atletas!B39="Feminino",1000,IF(Atletas!B39="Masculino",2000,""))+IF(Atletas!R39="Gun A",701,IF(Atletas!R39="Qiang A",702,IF(Atletas!R39="Pudao / Guandao A",703,IF(Atletas!R39="Outra Arma Longa A",704,IF(Atletas!R39="Gun B",705,IF(Atletas!R39="Qiang B",706,IF(Atletas!R39="Pudao / Guandao B",707,IF(Atletas!R39="Outra Arma Longa B",708,IF(Atletas!R39="Gun C",709,IF(Atletas!R39="Qiang C",710,IF(Atletas!R39="Pudao / Guandao C",711,IF(Atletas!R39="Outra Arma Longa C",712,IF(Atletas!R39="Gun D",713,IF(Atletas!R39="Qiang D",714,IF(Atletas!R39="Pudao / Guandao D",715,IF(Atletas!R39="Outra Arma Longa D",716,IF(Atletas!R39="Gun E",717,IF(Atletas!R39="Qiang E",718,IF(Atletas!R39="Pudao / Guandao E",719,IF(Atletas!R39="Outra Arma Longa E",720,IF(Atletas!R39="Gun F",721,IF(Atletas!R39="Qiang F",722,IF(Atletas!R39="Pudao / Guandao F",723,IF(Atletas!R39="Outra Arma Longa F",724,"")))))))))))))))))))))))))</f>
        <v/>
      </c>
      <c r="BU43" s="52" t="str">
        <f>IF(Atletas!S39="","",IF(Atletas!W39&lt;&gt;"",10000,0)+IF(Atletas!B39="Feminino",1000,IF(Atletas!B39="Masculino",2000,""))+IF(Atletas!S39="Arma Dupla A",801,IF(Atletas!S39="Arma Maleável A",802,IF(Atletas!S39="Arma Dupla B",803,IF(Atletas!S39="Arma Maleável B",804,IF(Atletas!S39="Arma Dupla C",805,IF(Atletas!S39="Arma Maleável C",806,IF(Atletas!S39="Arma Dupla D",807,IF(Atletas!S39="Arma Maleável D",808,IF(Atletas!S39="Arma Dupla E",809,IF(Atletas!S39="Arma Maleável E",810,IF(Atletas!S39="Arma Dupla F",811,IF(Atletas!S39="Arma Maleável F",812, "")))))))))))))</f>
        <v/>
      </c>
      <c r="BV43" s="52" t="str">
        <f>IF(Atletas!T39="","",IF(Atletas!W39&lt;&gt;"",10000,0)+IF(Atletas!B39="Feminino",1000,IF(Atletas!B39="Masculino",2000,""))+IF(Atletas!T39="Taijijian Yang A",901,IF(Atletas!T39="Taijijian Chen A",902,IF(Atletas!T39="Taijijian Sun A",903,IF(Atletas!T39="Taijijian Wu A",904,IF(Atletas!T39="Taijijian Wu-Hao A",905,IF(Atletas!T39="Taijijian 32 A",906,IF(Atletas!T39="Taijijian 42 A",907,IF(Atletas!T39="Taijijian Yang B",908,IF(Atletas!T39="Taijijian Chen B",909,IF(Atletas!T39="Taijijian Sun B",910,IF(Atletas!T39="Taijijian Wu B",911,IF(Atletas!T39="Taijijian Wu-Hao B",912,IF(Atletas!T39="Taijijian 32 B",913,IF(Atletas!T39="Taijijian 42 B",914,IF(Atletas!T39="Taijijian Yang C",915,IF(Atletas!T39="Taijijian Chen C",916,IF(Atletas!T39="Taijijian Sun C",917,IF(Atletas!T39="Taijijian Wu C",918,IF(Atletas!T39="Taijijian Wu-Hao C",919,IF(Atletas!T39="Taijijian 32 C",920,IF(Atletas!T39="Taijijian 42 C",921,IF(Atletas!T39="Taijijian Yang D",922,IF(Atletas!T39="Taijijian Chen D",923,IF(Atletas!T39="Taijijian Sun D",924,IF(Atletas!T39="Taijijian Wu D",925,IF(Atletas!T39="Taijijian Wu-Hao D",926,IF(Atletas!T39="Taijijian 32 D",927,IF(Atletas!T39="Taijijian 42 D",928,IF(Atletas!T39="Taijijian Yang E",929,IF(Atletas!T39="Taijijian Chen E",930,IF(Atletas!T39="Taijijian Sun E",931,IF(Atletas!T39="Taijijian Wu E",932,IF(Atletas!T39="Taijijian Wu-Hao E",933,IF(Atletas!T39="Taijijian 32 E",934,IF(Atletas!T39="Taijijian 42 E",935,IF(Atletas!T39="Taijijian Yang F",936,IF(Atletas!T39="Taijijian Chen F",937,IF(Atletas!T39="Taijijian Sun F",938,IF(Atletas!T39="Taijijian Wu F",939,IF(Atletas!T39="Taijijian Wu-Hao F",940,IF(Atletas!T39="Taijijian 32 F",941,IF(Atletas!T39="Taijijian 42 F",942,"")))))))))))))))))))))))))))))))))))))))))))</f>
        <v/>
      </c>
      <c r="BW43" s="52" t="str">
        <f>IF(Atletas!U39="","",IF(Atletas!W39&lt;&gt;"",10000,0)+IF(Atletas!B39="Feminino",1000,IF(Atletas!B39="Masculino",2000,""))+IF(Atletas!T39="Taijijian 42 F",942,IF(Atletas!U39="Taijidao A",943,IF(Atletas!U39="Taijishan A",944,IF(Atletas!U39="Taijiqiang A",945,IF(Atletas!U39="Taijidao B",946,IF(Atletas!U39="Taijishan B",947,IF(Atletas!U39="Taijiqiang B",948,IF(Atletas!U39="Taijidao C",949,IF(Atletas!U39="Taijishan C",950,IF(Atletas!U39="Taijiqiang C",951,IF(Atletas!U39="Taijidao D",952,IF(Atletas!U39="Taijishan D",953,IF(Atletas!U39="Taijiqiang D",954,IF(Atletas!U39="Taijidao E",955,IF(Atletas!U39="Taijishan E",956,IF(Atletas!U39="Taijiqiang E",957,IF(Atletas!U39="Taijidao F",958,IF(Atletas!U39="Taijishan F",959,IF(Atletas!U39="Taijiqiang F",960))))))))))))))))))))</f>
        <v/>
      </c>
      <c r="BX43" s="64" t="str">
        <f>IF(BY43&lt;&gt;"","Piguaquan A","")</f>
        <v/>
      </c>
      <c r="BY43" s="64" t="str">
        <f>IF(COUNTIF(BK:BW,1107)&gt;0,COUNTIF(BK:BW,1107),"")</f>
        <v/>
      </c>
      <c r="BZ43" s="64" t="str">
        <f>IF(CA43&lt;&gt;"","Piguaquan A","")</f>
        <v/>
      </c>
      <c r="CA43" s="64" t="str">
        <f>IF(COUNTIF(BK:BW,2107)&gt;0,COUNTIF(BK:BW,2107),"")</f>
        <v/>
      </c>
      <c r="CB43" s="64" t="str">
        <f>IF(CC43&lt;&gt;"","Piguaquan A","")</f>
        <v/>
      </c>
      <c r="CC43" s="64" t="str">
        <f>IF(COUNTIF(BK:BW,11107)&gt;0,COUNTIF(BK:BW,11107),"")</f>
        <v/>
      </c>
      <c r="CD43" s="64" t="str">
        <f>IF(CE43&lt;&gt;"","Piguaquan A","")</f>
        <v/>
      </c>
      <c r="CE43" s="64" t="str">
        <f>IF(COUNTIF(BK:BW,12107)&gt;0,COUNTIF(BK:BW,12107),"")</f>
        <v/>
      </c>
      <c r="CF43" s="52" t="str">
        <f xml:space="preserve"> IF(Atletas!V39="","",IF(Atletas!V39="Duilian de Mãos AB - Equipe 1",1,IF(Atletas!V39="Duilian de Mãos AB - Equipe 2",2,IF(Atletas!V39="Duilian de Armas AB - Equipe 1",3,IF(Atletas!V39="Duilian de Armas AB - Equipe 2",4,IF(Atletas!V39="Duilian de Tuishou - Equipe 1",5,IF(Atletas!V39="Duilian de Tuishou - Equipe 2",6,IF(Atletas!V39="Grupo Externo AB - Equipe 1",7,IF(Atletas!V39="Grupo Externo AB - Equipe 2",8,IF(Atletas!V39="Grupo Interno AB - Equipe 1",9,IF(Atletas!V39="Grupo Interno AB - Equipe 2",10,IF(Atletas!V39="Duilian de Mãos CD - Equipe 1",11,IF(Atletas!V39="Duilian de Mãos CD - Equipe 2",12,IF(Atletas!V39="Duilian de Armas CD - Equipe 1",13,IF(Atletas!V39="Duilian de Armas CD - Equipe 2",14,IF(Atletas!V39="Duilian de Tuishou - Equipe 1",15,IF(Atletas!V39="Duilian de Tuishou - Equipe 2",16,IF(Atletas!V39="Grupo Externo CDEF - Equipe 1",17,IF(Atletas!V39="Grupo Externo CDEF - Equipe 2",18,IF(Atletas!V39="Grupo Interno CDEF - Equipe 1",19,IF(Atletas!V39="Grupo Interno CDEF - Equipe 2",20,IF(Atletas!V39="Duilian de Mãos EF - Equipe 1",21,IF(Atletas!V39="Duilian de Mãos EF - Equipe 2",22,IF(Atletas!V39="Duilian de Armas EF - Equipe 1",23,IF(Atletas!V39="Duilian de Armas EF - Equipe 2",24,IF(Atletas!V39="Duilian de Tuishou - Equipe 1",25,IF(Atletas!V39="Duilian de Tuishou - Equipe 2",26,"")))))))))))))))))))))))))))</f>
        <v/>
      </c>
      <c r="CR43" s="71"/>
    </row>
    <row r="44" spans="2:96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 t="array" ref="N44">IFERROR(INDEX(BB$7:BB$66,SMALL(IF(BB$7:BB$66&lt;&gt;"",ROW(BB$7:BB$66)-ROW(BB$7)+1),ROWS(BB$7:BB43))),"")</f>
        <v/>
      </c>
      <c r="O44" s="4" t="str">
        <f t="array" ref="O44">IFERROR(INDEX(BC$7:BC$66,SMALL(IF(BC$7:BC$66&lt;&gt;"",ROW(BC$7:BC$66)-ROW(BC$7)+1),ROWS(BC$7:BC43))),"")</f>
        <v/>
      </c>
      <c r="P44" s="4" t="str">
        <f t="array" ref="P44">IFERROR(INDEX(BD$7:BD$66,SMALL(IF(BD$7:BD$66&lt;&gt;"",ROW(BD$7:BD$66)-ROW(BD$7)+1),ROWS(BD$7:BD43))),"")</f>
        <v/>
      </c>
      <c r="Q44" s="4" t="str">
        <f t="array" ref="Q44">IFERROR(INDEX(BE$7:BE$66,SMALL(IF(BE$7:BE$66&lt;&gt;"",ROW(BE$7:BE$66)-ROW(BE$7)+1),ROWS(BE$7:BE43))),"")</f>
        <v/>
      </c>
      <c r="R44" s="4"/>
      <c r="S44" s="4"/>
      <c r="T44" s="31"/>
      <c r="U44" s="4"/>
      <c r="V44" s="4" t="str">
        <f t="array" ref="V44">IFERROR(INDEX(BX$7:BX$336,SMALL(IF(BX$7:BX$336&lt;&gt;"",ROW(BX$7:BX$336)-ROW(BX$7)+1),ROWS(BX$7:BX43))),"")</f>
        <v/>
      </c>
      <c r="W44" s="4" t="str">
        <f t="array" ref="W44">IFERROR(INDEX(BY$7:BY$336,SMALL(IF(BY$7:BY$336&lt;&gt;"",ROW(BY$7:BY$336)-ROW(BY$7)+1),ROWS(BY$7:BY43))),"")</f>
        <v/>
      </c>
      <c r="X44" s="4" t="str">
        <f t="array" ref="X44">IFERROR(INDEX(BZ$7:BZ$336,SMALL(IF(BZ$7:BZ$336&lt;&gt;"",ROW(BZ$7:BZ$336)-ROW(BZ$7)+1),ROWS(BZ$7:BZ43))),"")</f>
        <v/>
      </c>
      <c r="Y44" s="4" t="str">
        <f t="array" ref="Y44">IFERROR(INDEX(CA$7:CA$336,SMALL(IF(CA$7:CA$336&lt;&gt;"",ROW(CA$7:CA$336)-ROW(CA$7)+1),ROWS(CA$7:CA43))),"")</f>
        <v/>
      </c>
      <c r="Z44" s="4" t="str">
        <f t="array" ref="Z44">IFERROR(INDEX(CB$7:CB$378,SMALL(IF(CB$7:CB$378&lt;&gt;"",ROW(CB$7:CB$378)-ROW(CB$7)+1),ROWS(CB$7:CB43))),"")</f>
        <v/>
      </c>
      <c r="AA44" s="4" t="str">
        <f t="array" ref="AA44">IFERROR(INDEX(CC$7:CC$378,SMALL(IF(CC$7:CC$378&lt;&gt;"",ROW(CC$7:CC$378)-ROW(CC$7)+1),ROWS(CC$7:CC43))),"")</f>
        <v/>
      </c>
      <c r="AB44" s="4" t="str">
        <f t="array" ref="AB44">IFERROR(INDEX(CD$7:CD$378,SMALL(IF(CD$7:CD$378&lt;&gt;"",ROW(CD$7:CD$378)-ROW(CD$7)+1),ROWS(CD$7:CD43))),"")</f>
        <v/>
      </c>
      <c r="AC44" s="4" t="str">
        <f t="array" ref="AC44">IFERROR(INDEX(CE$7:CE$378,SMALL(IF(CE$7:CE$378&lt;&gt;"",ROW(CE$7:CE$378)-ROW(CE$7)+1),ROWS(CE$7:CE43))),"")</f>
        <v/>
      </c>
      <c r="AD44" s="4"/>
      <c r="AE44" s="4"/>
      <c r="AF44" s="4"/>
      <c r="AG44" s="4"/>
      <c r="AH44" s="4"/>
      <c r="AI44" s="4"/>
      <c r="AJ44" s="46" t="str">
        <f>IF(Atletas!D40="","",IF(Atletas!B40="Feminino",100,IF(Atletas!B40="Masculino",200,""))+(IF(Atletas!D40="Infantil 39kg",1,IF(Atletas!D40="Infantil 42kg",2,IF(Atletas!D40="Infantil 45kg",3,IF(Atletas!D40="Infantil 48kg",4,IF(Atletas!D40="Infantil 52kg",5,IF(Atletas!D40="Infantil 56kg",6,IF(Atletas!D40="Infantil 60kg",7,IF(Atletas!D40="Juvenil 48kg",8,IF(Atletas!D40="Juvenil 52kg",9,IF(Atletas!D40="Juvenil 56kg",10,IF(Atletas!D40="Juvenil 60kg",11,IF(Atletas!D40="Juvenil 65kg",12,IF(Atletas!D40="Juvenil 70kg",13,IF(Atletas!D40="Juvenil 75kg",14,IF(Atletas!D40="Juvenil 80kg",15,IF(Atletas!D40="Adulto 48kg",16,IF(Atletas!D40="Adulto 52kg",17,IF(Atletas!D40="Adulto 56kg",18,IF(Atletas!D40="Adulto 60kg",19,IF(Atletas!D40="Adulto 65kg",20,IF(Atletas!D40="Adulto 70kg",21,IF(Atletas!D40="Adulto 75kg",22,IF(Atletas!D40="Adulto 80kg",23,IF(Atletas!D40="Adulto 85kg",24,IF(Atletas!D40="Adulto 90kg",25,IF(Atletas!D40="Adulto +90kg",26,""))))))))))))))))))))))))))))</f>
        <v/>
      </c>
      <c r="AO44" s="10" t="str">
        <f>IF(Atletas!E40="","",IF(Atletas!B40="Feminino",100,IF(Atletas!B40="Masculino",200,""))+(IF(Atletas!E40="Juvenil 44kg",1,IF(Atletas!E40="Juvenil 48kg",2,IF(Atletas!E40="Juvenil 52kg",3,IF(Atletas!E40="Juvenil 56kg",4,IF(Atletas!E40="Juvenil 60kg",5,IF(Atletas!E40="Juvenil 65kg",6,IF(Atletas!E40="Juvenil 70kg",7,IF(Atletas!E40="Juvenil 75kg",8,IF(Atletas!E40="Juvenil 82kg",9,IF(Atletas!E40="Juvenil 90kg",10,IF(Atletas!E40="Juvenil 100kg",11,IF(Atletas!E40="Adulto 48kg",12,IF(Atletas!E40="Adulto 52kg",13,IF(Atletas!E40="Adulto 56kg",14,IF(Atletas!E40="Adulto 60kg",15,IF(Atletas!E40="Adulto 65kg",16,IF(Atletas!E40="Adulto 70kg",17,IF(Atletas!E40="Adulto 75kg",18,IF(Atletas!E40="Adulto 82kg",19,IF(Atletas!E40="Adulto 90kg",20,IF(Atletas!E40="Adulto 100kg",21,IF(Atletas!E40="Adulto +100kg",22,""))))))))))))))))))))))))</f>
        <v/>
      </c>
      <c r="AT44" s="10" t="str">
        <f>IF(Atletas!F40="","",IF(Atletas!B40="Feminino",100,IF(Atletas!B40="Masculino",200,""))+(IF(Atletas!F40="Adulto 48kg",1,IF(Atletas!F40="Adulto 56kg",2,IF(Atletas!F40="Adulto 65kg",3,IF(Atletas!F40="Adulto 75kg",4,IF(Atletas!F40="Adulto +75kg",5,IF(Atletas!F40="Adulto 52kg",6,IF(Atletas!F40="Adulto 60kg",7,IF(Atletas!F40="Adulto 70kg",8,IF(Atletas!F40="Adulto 80kg",9,IF(Atletas!F40="Adulto 90kg",10,IF(Atletas!F40="Adulto +90kg",11,"")))))))))))))</f>
        <v/>
      </c>
      <c r="AY44" s="46" t="str">
        <f>IF(Atletas!G40="","",IF(Atletas!B40="Feminino",100,IF(Atletas!B40="Masculino",200,""))+(IF(Atletas!G40="Changquan Mirim",1,IF(Atletas!G40="Nanquan Mirim",2,IF(Atletas!G40="Taijiquan Mirim",3,IF(Atletas!G40="Changquan Grupo C",4,IF(Atletas!G40="Nanquan Grupo C",5,IF(Atletas!G40="Taijiquan Grupo C",6,IF(Atletas!G40="Changquan Grupo B",7,IF(Atletas!G40="Nanquan Grupo B",8,IF(Atletas!G40="Taijiquan Grupo B",9,IF(Atletas!G40="Changquan Grupo A",10,IF(Atletas!G40="Nanquan Grupo A",11,IF(Atletas!G40="Taijiquan Grupo A",12,IF(Atletas!G40="Changquan Opcional",13,IF(Atletas!G40="Nanquan Opcional",14,IF(Atletas!G40="Taijiquan Opcional",15,IF(Atletas!G40="Changquan Adulto",16,IF(Atletas!G40="Nanquan Adulto",17,IF(Atletas!G40="Taijiquan Adulto",18,""))))))))))))))))))))</f>
        <v/>
      </c>
      <c r="AZ44" s="46" t="str">
        <f>IF(Atletas!H40="","",IF(Atletas!B40="Feminino",100,IF(Atletas!B40="Masculino",200,""))+(IF(Atletas!H40="Daoshu Mirim",19,IF(Atletas!H40="Jianshu Mirim",20,IF(Atletas!H40="Nandao Mirim",21,IF(Atletas!H40="Taijijian Mirim",22,IF(Atletas!H40="Daoshu Grupo C",23,IF(Atletas!H40="Jianshu Grupo C",24,IF(Atletas!H40="Nandao Grupo C",25,IF(Atletas!H40="Taijijian Grupo C",26,IF(Atletas!H40="Daoshu Grupo B",27,IF(Atletas!H40="Jianshu Grupo B",28,IF(Atletas!H40="Nandao Grupo B",29,IF(Atletas!H40="Taijijian Grupo B",30,IF(Atletas!H40="Daoshu Grupo A",31,IF(Atletas!H40="Jianshu Grupo A",32,IF(Atletas!H40="Nandao Grupo A",33,IF(Atletas!H40="Taijijian Grupo A",34,IF(Atletas!H40="Daoshu Opcional",35,IF(Atletas!H40="Jianshu Opcional",36,IF(Atletas!H40="Nandao Opcional",37,IF(Atletas!H40="Taijijian Opcional",38,IF(Atletas!H40="Daoshu Adulto",39,IF(Atletas!H40="Jianshu Adulto",40,IF(Atletas!H40="Nandao Adulto",41,IF(Atletas!H40="Taijijian Adulto",42,""))))))))))))))))))))))))))</f>
        <v/>
      </c>
      <c r="BA44" s="46" t="str">
        <f>IF(Atletas!I40="","",IF(Atletas!B40="Feminino",100,IF(Atletas!B40="Masculino",200,""))+(IF(Atletas!I40="Gunshu Mirim",43,IF(Atletas!I40="Qiangshu Mirim",44,IF(Atletas!I40="Nangun Mirim",45,IF(Atletas!I40="Gunshu Grupo C",46,IF(Atletas!I40="Qiangshu Grupo C",47,IF(Atletas!I40="Nangun Grupo C",48,IF(Atletas!I40="Gunshu Grupo B",49,IF(Atletas!I40="Qiangshu Grupo B",50,IF(Atletas!I40="Nangun Grupo B",51,IF(Atletas!I40="Gunshu Grupo A",52,IF(Atletas!I40="Qiangshu Grupo A",53,IF(Atletas!I40="Nangun Grupo A",54,IF(Atletas!I40="Gunshu Opcional",55,IF(Atletas!I40="Qiangshu Opcional",56,IF(Atletas!I40="Nangun Opcional",57,IF(Atletas!I40="Gunshu Adulto",58,IF(Atletas!I40="Qiangshu Adulto",59,IF(Atletas!I40="Nangun Adulto",60,""))))))))))))))))))))</f>
        <v/>
      </c>
      <c r="BB44" s="10" t="str">
        <f>IF(BC44&lt;&gt;"","Gunshu Grupo A","")</f>
        <v/>
      </c>
      <c r="BC44" s="52" t="str">
        <f>IF(COUNTIF(AY:BA,152)&gt;0,COUNTIF(AY:BA,152),"")</f>
        <v/>
      </c>
      <c r="BD44" s="10" t="str">
        <f>IF(BE44&lt;&gt;"","Gunshu Grupo A","")</f>
        <v/>
      </c>
      <c r="BE44" s="52" t="str">
        <f>IF(COUNTIF(AY:BA,252)&gt;0,COUNTIF(AY:BA,252),"")</f>
        <v/>
      </c>
      <c r="BF44" s="52" t="str">
        <f>IF(Atletas!J40="","",IF(Atletas!B40="Feminino",100,IF(Atletas!B40="Masculino",200,""))+(IF(Atletas!J40="Equipe 1 Grupo B",1,IF(Atletas!J40="Equipe 2 Grupo B",2,IF(Atletas!J40="Equipe 1 Grupo A",3,IF(Atletas!J40="Equipe 2 Grupo A",4,IF(Atletas!J40="Equipe 1 Adulto",5,IF(Atletas!J40="Equipe 2 Adulto",6,""))))))))</f>
        <v/>
      </c>
      <c r="BK44" s="52" t="str">
        <f>IF(Atletas!K40="","",IF(Atletas!W40&lt;&gt;"",10000,0)+(IF(Atletas!B40="Feminino",1000,IF(Atletas!B40="Masculino",2000,""))+IF(Atletas!K40="Choylayfut A",1,IF(Atletas!K40="Hunggar A",2,IF(Atletas!K40="Wuzuquan A",3,IF(Atletas!K40="Wingchun A",4,IF(Atletas!K40="Outra Mão de Sul A",5,IF(Atletas!K40="Choylayfut B",6,IF(Atletas!K40="Hunggar B",7,IF(Atletas!K40="Wuzuquan B",8,IF(Atletas!K40="Wingchun B",9,IF(Atletas!K40="Outra Mão de Sul B",10,IF(Atletas!K40="Choylayfut C",11,IF(Atletas!K40="Hunggar C",12,IF(Atletas!K40="Wuzuquan C",13,IF(Atletas!K40="Wingchun C",14,IF(Atletas!K40="Outra Mão de Sul C",15,IF(Atletas!K40="Choylayfut D",16,IF(Atletas!K40="Hunggar D",17,IF(Atletas!K40="Wuzuquan D",18,IF(Atletas!K40="Wingchun D",19,IF(Atletas!K40="Outra Mão de Sul D",20,IF(Atletas!K40="Choylayfut E",21,IF(Atletas!K40="Hunggar E",22,IF(Atletas!K40="Wuzuquan E",23,IF(Atletas!K40="Wingchun E",24,IF(Atletas!K40="Outra Mão de Sul E",25,IF(Atletas!K40="Choylayfut F",26,IF(Atletas!K40="Hunggar F",27,IF(Atletas!K40="Wuzuquan F",28,IF(Atletas!K40="Wingchun F",29,IF(Atletas!K40="Outra Mão de Sul F",30,""))))))))))))))))))))))))))))))))</f>
        <v/>
      </c>
      <c r="BL44" s="52" t="str">
        <f>IF(Atletas!L40="","",IF(Atletas!W40&lt;&gt;"",10000,0)+(IF(Atletas!B40="Feminino",1000,IF(Atletas!B40="Masculino",2000,""))+(IF(Atletas!L40="Chaquan A",101,IF(Atletas!L40="Emeiquan A",102,IF(Atletas!L40="Fanziquan A",103,IF(Atletas!L40="Huaquan A",104,IF(Atletas!L40="Hongquan A",105,IF(Atletas!L40="Paochui A",106,IF(Atletas!L40="Piguaquan A",107,IF(Atletas!L40="Shaolinquan A",108,IF(Atletas!L40="Tanglangquan A",109,IF(Atletas!L40="Yinzhaophai A",110,IF(Atletas!L40="Tongbeiquan A",111,IF(Atletas!L40="Wudangquan A",112,IF(Atletas!L40="Outros Estilos A",113,IF(Atletas!L40="Chaquan B",114,IF(Atletas!L40="Emeiquan B",115,IF(Atletas!L40="Fanziquan B",116,IF(Atletas!L40="Huaquan B",117,IF(Atletas!L40="Hongquan B",118,IF(Atletas!L40="Paochui B",119,IF(Atletas!L40="Piguaquan B",120,IF(Atletas!L40="Shaolinquan B",121,IF(Atletas!L40="Tanglangquan B",122,IF(Atletas!L40="Yinzhaophai B",123,IF(Atletas!L40="Tongbeiquan B",124,IF(Atletas!L40="Wudangquan B",125,IF(Atletas!L40="Outros Estilos B",126,IF(Atletas!L40="Chaquan C",127,IF(Atletas!L40="Emeiquan C",128,IF(Atletas!L40="Fanziquan C",129,IF(Atletas!L40="Huaquan C",130,IF(Atletas!L40="Hongquan C",131,IF(Atletas!L40="Paochui C",132,IF(Atletas!L40="Piguaquan C",133,IF(Atletas!L40="Shaolinquan C",134,IF(Atletas!L40="Tanglangquan C",135,IF(Atletas!L40="Yinzhaophai C",136,IF(Atletas!L40="Tongbeiquan C",137,IF(Atletas!L40="Wudangquan C",138,IF(Atletas!L40="Outros Estilos C",139,0))))))))))))))))))))))))))))))))))))))))))</f>
        <v/>
      </c>
      <c r="BM44" s="52" t="str">
        <f>IF(Atletas!L40="","",IF(Atletas!W40&lt;&gt;"",10000,0)+(IF(Atletas!B40="Feminino",1000,IF(Atletas!B40="Masculino",2000,""))+(IF(Atletas!L40="Chaquan D",140,IF(Atletas!L40="Emeiquan D",141,IF(Atletas!L40="Fanziquan D",142,IF(Atletas!L40="Huaquan D",143,IF(Atletas!L40="Hongquan D",144,IF(Atletas!L40="Paochui D",145,IF(Atletas!L40="Piguaquan D",146,IF(Atletas!L40="Shaolinquan D",147,IF(Atletas!L40="Tanglangquan D",148,IF(Atletas!L40="Yinzhaophai D",149,IF(Atletas!L40="Tongbeiquan D",150,IF(Atletas!L40="Wudangquan D",151,IF(Atletas!L40="Outros Estilos D",152,IF(Atletas!L40="Chaquan E",153,IF(Atletas!L40="Emeiquan E",154,IF(Atletas!L40="Fanziquan E",155,IF(Atletas!L40="Huaquan E",156,IF(Atletas!L40="Hongquan E",157,IF(Atletas!L40="Paochui E",158,IF(Atletas!L40="Piguaquan E",159,IF(Atletas!L40="Shaolinquan E",160,IF(Atletas!L40="Tanglangquan E",161,IF(Atletas!L40="Yinzhaophai E",162,IF(Atletas!L40="Tongbeiquan E",163,IF(Atletas!L40="Wudangquan E",164,IF(Atletas!L40="Outros Estilos E",165,IF(Atletas!L40="Chaquan F",166,IF(Atletas!L40="Emeiquan F",167,IF(Atletas!L40="Fanziquan F",168,IF(Atletas!L40="Huaquan F",169,IF(Atletas!L40="Hongquan F",170,IF(Atletas!L40="Paochui F",171,IF(Atletas!L40="Piguaquan F",172,IF(Atletas!L40="Shaolinquan F",173,IF(Atletas!L40="Tanglangquan F",174,IF(Atletas!L40="Yinzhaophai F",175,IF(Atletas!L40="Tongbeiquan F",176,IF(Atletas!L40="Wudangquan F",177,IF(Atletas!L40="Outros Estilos F",178,0))))))))))))))))))))))))))))))))))))))))))</f>
        <v/>
      </c>
      <c r="BN44" s="52" t="str">
        <f>IF(Atletas!M40="","",IF(Atletas!W40&lt;&gt;"",10000,0)+(IF(Atletas!B40="Feminino",1000,IF(Atletas!B40="Masculino",2000,""))+(IF(Atletas!M40="Ditangquan A",201,IF(Atletas!M40="Houquan A",202,IF(Atletas!M40="Zuiquan A",203,IF(Atletas!M40="Ditangquan B",204,IF(Atletas!M40="Houquan B",205,IF(Atletas!M40="Zuiquan B",206,IF(Atletas!M40="Ditangquan C",207,IF(Atletas!M40="Houquan C",208,IF(Atletas!M40="Zuiquan C",209,IF(Atletas!M40="Ditangquan D",210,IF(Atletas!M40="Houquan D",211,IF(Atletas!M40="Zuiquan D",212,IF(Atletas!M40="Ditangquan E",213,IF(Atletas!M40="Houquan E",214,IF(Atletas!M40="Zuiquan E",215,IF(Atletas!M40="Ditangquan F",216,IF(Atletas!M40="Houquan F",217,IF(Atletas!M40="Zuiquan F",218,"")))))))))))))))))))))</f>
        <v/>
      </c>
      <c r="BO44" s="52" t="str">
        <f>IF(Atletas!N40="","",IF(Atletas!W40&lt;&gt;"",10000,0)+IF(Atletas!B40="Feminino",1000,IF(Atletas!B40="Masculino",2000,""))+IF(Atletas!N40="Yang A",301,IF(Atletas!N40="Chen A",30,IF(Atletas!N40="Sun A",303,IF(Atletas!N40="Wu A",304,IF(Atletas!N40="Wu-Hao A",305,IF(Atletas!N40="Outro Taijiquan A",306,IF(Atletas!N40="Yang B",307,IF(Atletas!N40="Chen B",308,IF(Atletas!N40="Sun B",309,IF(Atletas!N40="Wu B",310,IF(Atletas!N40="Wu-Hao B",311,IF(Atletas!N40="Outro Taijiquan B",312,IF(Atletas!N40="Yang C",313,IF(Atletas!N40="Chen C",314,IF(Atletas!N40="Sun C",315,IF(Atletas!N40="Wu C",316,IF(Atletas!N40="Wu-Hao C",317,IF(Atletas!N40="Outro Taijiquan C",318,IF(Atletas!N40="Yang D",319,IF(Atletas!N40="Chen D",320,IF(Atletas!N40="Sun D",321,IF(Atletas!N40="Wu D",322,IF(Atletas!N40="Wu-Hao D",323,IF(Atletas!N40="Outro Taijiquan D",324,IF(Atletas!N40="Yang E",325,IF(Atletas!N40="Chen E",326,IF(Atletas!N40="Sun E",327,IF(Atletas!N40="Wu E",328,IF(Atletas!N40="Wu-Hao E",329,IF(Atletas!N40="Outro Taijiquan E",330,IF(Atletas!N40="Yang F",331,IF(Atletas!N40="Chen F",332,IF(Atletas!N40="Sun F",333,IF(Atletas!N40="Wu F",334,IF(Atletas!N40="Wu-Hao F",335,IF(Atletas!N40="Outro Taijiquan F",336,"")))))))))))))))))))))))))))))))))))))</f>
        <v/>
      </c>
      <c r="BP44" s="52" t="str">
        <f>IF(Atletas!O40="","",IF(Atletas!W40&lt;&gt;"",10000,0)+IF(Atletas!B40="Feminino",1000,IF(Atletas!B40="Masculino",2000,""))+IF(OR(Atletas!O40="Yang 26 A",Atletas!O40="Yang 40 A"),401,IF(OR(Atletas!O40="Chen 25 A",Atletas!O40="Chen 36 A",Atletas!O40="Chen 56 A"),402,IF(Atletas!O40="Sun 73 A",403,IF(Atletas!O40="Wu 45 A",404,IF(Atletas!O40="Wu-Hao 46 A",405,IF(OR(Atletas!O40="Taijiquan 16 A",Atletas!O40="Taijiquan 24 A",Atletas!O40="Taijiquan 32 A",Atletas!O40="Taijiquan 42 A"),406,IF(OR(Atletas!O40="Yang 26 B",Atletas!O40="Yang 40 B"),407,IF(OR(Atletas!O40="Chen 25 B",Atletas!O40="Chen 36 B",Atletas!O40="Chen 56 B"),408,IF(Atletas!O40="Sun 73 B",409,IF(Atletas!O40="Wu 45 B",410,IF(Atletas!O40="Wu-Hao 46 B",411,IF(OR(Atletas!O40="Taijiquan 16 B",Atletas!O40="Taijiquan 24 B",Atletas!O40="Taijiquan 32 B",Atletas!O40="Taijiquan 42 B"),412,IF(OR(Atletas!O40="Yang 26 C",Atletas!O40="Yang 40 C"),413,IF(OR(Atletas!O40="Chen 25 C",Atletas!O40="Chen 36 C",Atletas!O40="Chen 56 C"),414,IF(Atletas!O40="Sun 73 C",415,IF(Atletas!O40="Wu 45 C",416,IF(Atletas!O40="Wu-Hao 46 C",417,IF(OR(Atletas!O40="Taijiquan 16 C",Atletas!O40="Taijiquan 24 C",Atletas!O40="Taijiquan 32 C",Atletas!O40="Taijiquan 42 C"),418,0)))))))))))))))))))</f>
        <v/>
      </c>
      <c r="BQ44" s="52" t="str">
        <f>IF(Atletas!O40="","",IF(Atletas!W40&lt;&gt;"",10000,0)+IF(Atletas!B40="Feminino",1000,IF(Atletas!B40="Masculino",2000,""))+IF(OR(Atletas!O40="Yang 26 D",Atletas!O40="Yang 40 D"),419,IF(OR(Atletas!O40="Chen 25 D",Atletas!O40="Chen 36 D",Atletas!O40="Chen 56 D"),420,IF(Atletas!O40="Sun 73 D",421,IF(Atletas!O40="Wu 45 D",422,IF(Atletas!O40="Wu-Hao 46 D",423,IF(OR(Atletas!O40="Taijiquan 16 D",Atletas!O40="Taijiquan 24 D",Atletas!O40="Taijiquan 32 D",Atletas!O40="Taijiquan 42 D"),424,IF(OR(Atletas!O40="Yang 26 E",Atletas!O40="Yang 40 E"),425,IF(OR(Atletas!O40="Chen 25 E",Atletas!O40="Chen 36 E",Atletas!O40="Chen 56 E"),426,IF(Atletas!O40="Sun 73 E",427,IF(Atletas!O40="Wu 45 E",428,IF(Atletas!O40="Wu-Hao 46 E",429,IF(OR(Atletas!O40="Taijiquan 16 E",Atletas!O40="Taijiquan 24 E",Atletas!O40="Taijiquan 32 E",Atletas!O40="Taijiquan 42 E"),430,IF(OR(Atletas!O40="Yang 26 F",Atletas!O40="Yang 40 F"),431,IF(OR(Atletas!O40="Chen 25 F",Atletas!O40="Chen 36 F",Atletas!O40="Chen 56 F"),432,IF(Atletas!O40="Sun 73 F",433,IF(Atletas!O40="Wu 45 F",434,IF(Atletas!O40="Wu-Hao 46 F",435,IF(OR(Atletas!O40="Taijiquan 16 F",Atletas!O40="Taijiquan 24 F",Atletas!O40="Taijiquan 32 F",Atletas!O40="Taijiquan 42 F"),436,0)))))))))))))))))))</f>
        <v/>
      </c>
      <c r="BR44" s="52" t="str">
        <f>IF(Atletas!P40="","",IF(Atletas!W40&lt;&gt;"",10000,0)+IF(Atletas!B40="Feminino",1000,IF(Atletas!B40="Masculino",2000,""))+IF(Atletas!P40="Xingyiquan A",501,IF(Atletas!P40="Baguazhang A",502,IF(Atletas!P40="Outro Estilo Interno A",503,IF(Atletas!P40="Xingyiquan B",504,IF(Atletas!P40="Baguazhang B",505,IF(Atletas!P40="Outro Estilo Interno B",506,IF(Atletas!P40="Xingyiquan C",507,IF(Atletas!P40="Baguazhang C",508,IF(Atletas!P40="Outro Estilo Interno C",509,IF(Atletas!P40="Xingyiquan D",510,IF(Atletas!P40="Baguazhang D",511,IF(Atletas!P40="Outro Estilo Interno D",512,IF(Atletas!P40="Xingyiquan E",513,IF(Atletas!P40="Baguazhang E",514,IF(Atletas!P40="Outro Estilo Interno E",515,IF(Atletas!P40="Xingyiquan F",516,IF(Atletas!P40="Baguazhang F",517,IF(Atletas!P40="Outro Estilo Interno F",518, "")))))))))))))))))))</f>
        <v/>
      </c>
      <c r="BS44" s="52" t="str">
        <f>IF(Atletas!Q40="","",IF(Atletas!W40&lt;&gt;"",10000,0)+IF(Atletas!B40="Feminino",1000,IF(Atletas!B40="Masculino",2000,""))+IF(Atletas!Q40="Dao A",601,IF(Atletas!Q40="Jian A",602,IF(Atletas!Q40="Bishou A",603,IF(Atletas!Q40="Shan A",604,IF(Atletas!Q40="Outra Arma Curta A",605,IF(Atletas!Q40="Dao B",606,IF(Atletas!Q40="Jian B",607,IF(Atletas!Q40="Bishou B",608,IF(Atletas!Q40="Shan B",609,IF(Atletas!Q40="Outra Arma Curta B",610,IF(Atletas!Q40="Dao C",611,IF(Atletas!Q40="Jian C",612,IF(Atletas!Q40="Bishou C",613,IF(Atletas!Q40="Shan C",614,IF(Atletas!Q40="Outra Arma Curta C",615,IF(Atletas!Q40="Dao D",616,IF(Atletas!Q40="Jian D",617,IF(Atletas!Q40="Bishou D",618,IF(Atletas!Q40="Shan D",619,IF(Atletas!Q40="Outra Arma Curta D",620,IF(Atletas!Q40="Dao E",621,IF(Atletas!Q40="Jian E",622,IF(Atletas!Q40="Bishou E",623,IF(Atletas!Q40="Shan E",624,IF(Atletas!Q40="Outra Arma Curta E",625,IF(Atletas!Q40="Dao F",626,IF(Atletas!Q40="Jian F",627,IF(Atletas!Q40="Bishou F",628,IF(Atletas!Q40="Shan F",629,IF(Atletas!Q40="Outra Arma Curta F",630, "")))))))))))))))))))))))))))))))</f>
        <v/>
      </c>
      <c r="BT44" s="52" t="str">
        <f>IF(Atletas!R40="","",IF(Atletas!W40&lt;&gt;"",10000,0)+IF(Atletas!B40="Feminino",1000,IF(Atletas!B40="Masculino",2000,""))+IF(Atletas!R40="Gun A",701,IF(Atletas!R40="Qiang A",702,IF(Atletas!R40="Pudao / Guandao A",703,IF(Atletas!R40="Outra Arma Longa A",704,IF(Atletas!R40="Gun B",705,IF(Atletas!R40="Qiang B",706,IF(Atletas!R40="Pudao / Guandao B",707,IF(Atletas!R40="Outra Arma Longa B",708,IF(Atletas!R40="Gun C",709,IF(Atletas!R40="Qiang C",710,IF(Atletas!R40="Pudao / Guandao C",711,IF(Atletas!R40="Outra Arma Longa C",712,IF(Atletas!R40="Gun D",713,IF(Atletas!R40="Qiang D",714,IF(Atletas!R40="Pudao / Guandao D",715,IF(Atletas!R40="Outra Arma Longa D",716,IF(Atletas!R40="Gun E",717,IF(Atletas!R40="Qiang E",718,IF(Atletas!R40="Pudao / Guandao E",719,IF(Atletas!R40="Outra Arma Longa E",720,IF(Atletas!R40="Gun F",721,IF(Atletas!R40="Qiang F",722,IF(Atletas!R40="Pudao / Guandao F",723,IF(Atletas!R40="Outra Arma Longa F",724,"")))))))))))))))))))))))))</f>
        <v/>
      </c>
      <c r="BU44" s="52" t="str">
        <f>IF(Atletas!S40="","",IF(Atletas!W40&lt;&gt;"",10000,0)+IF(Atletas!B40="Feminino",1000,IF(Atletas!B40="Masculino",2000,""))+IF(Atletas!S40="Arma Dupla A",801,IF(Atletas!S40="Arma Maleável A",802,IF(Atletas!S40="Arma Dupla B",803,IF(Atletas!S40="Arma Maleável B",804,IF(Atletas!S40="Arma Dupla C",805,IF(Atletas!S40="Arma Maleável C",806,IF(Atletas!S40="Arma Dupla D",807,IF(Atletas!S40="Arma Maleável D",808,IF(Atletas!S40="Arma Dupla E",809,IF(Atletas!S40="Arma Maleável E",810,IF(Atletas!S40="Arma Dupla F",811,IF(Atletas!S40="Arma Maleável F",812, "")))))))))))))</f>
        <v/>
      </c>
      <c r="BV44" s="52" t="str">
        <f>IF(Atletas!T40="","",IF(Atletas!W40&lt;&gt;"",10000,0)+IF(Atletas!B40="Feminino",1000,IF(Atletas!B40="Masculino",2000,""))+IF(Atletas!T40="Taijijian Yang A",901,IF(Atletas!T40="Taijijian Chen A",902,IF(Atletas!T40="Taijijian Sun A",903,IF(Atletas!T40="Taijijian Wu A",904,IF(Atletas!T40="Taijijian Wu-Hao A",905,IF(Atletas!T40="Taijijian 32 A",906,IF(Atletas!T40="Taijijian 42 A",907,IF(Atletas!T40="Taijijian Yang B",908,IF(Atletas!T40="Taijijian Chen B",909,IF(Atletas!T40="Taijijian Sun B",910,IF(Atletas!T40="Taijijian Wu B",911,IF(Atletas!T40="Taijijian Wu-Hao B",912,IF(Atletas!T40="Taijijian 32 B",913,IF(Atletas!T40="Taijijian 42 B",914,IF(Atletas!T40="Taijijian Yang C",915,IF(Atletas!T40="Taijijian Chen C",916,IF(Atletas!T40="Taijijian Sun C",917,IF(Atletas!T40="Taijijian Wu C",918,IF(Atletas!T40="Taijijian Wu-Hao C",919,IF(Atletas!T40="Taijijian 32 C",920,IF(Atletas!T40="Taijijian 42 C",921,IF(Atletas!T40="Taijijian Yang D",922,IF(Atletas!T40="Taijijian Chen D",923,IF(Atletas!T40="Taijijian Sun D",924,IF(Atletas!T40="Taijijian Wu D",925,IF(Atletas!T40="Taijijian Wu-Hao D",926,IF(Atletas!T40="Taijijian 32 D",927,IF(Atletas!T40="Taijijian 42 D",928,IF(Atletas!T40="Taijijian Yang E",929,IF(Atletas!T40="Taijijian Chen E",930,IF(Atletas!T40="Taijijian Sun E",931,IF(Atletas!T40="Taijijian Wu E",932,IF(Atletas!T40="Taijijian Wu-Hao E",933,IF(Atletas!T40="Taijijian 32 E",934,IF(Atletas!T40="Taijijian 42 E",935,IF(Atletas!T40="Taijijian Yang F",936,IF(Atletas!T40="Taijijian Chen F",937,IF(Atletas!T40="Taijijian Sun F",938,IF(Atletas!T40="Taijijian Wu F",939,IF(Atletas!T40="Taijijian Wu-Hao F",940,IF(Atletas!T40="Taijijian 32 F",941,IF(Atletas!T40="Taijijian 42 F",942,"")))))))))))))))))))))))))))))))))))))))))))</f>
        <v/>
      </c>
      <c r="BW44" s="52" t="str">
        <f>IF(Atletas!U40="","",IF(Atletas!W40&lt;&gt;"",10000,0)+IF(Atletas!B40="Feminino",1000,IF(Atletas!B40="Masculino",2000,""))+IF(Atletas!T40="Taijijian 42 F",942,IF(Atletas!U40="Taijidao A",943,IF(Atletas!U40="Taijishan A",944,IF(Atletas!U40="Taijiqiang A",945,IF(Atletas!U40="Taijidao B",946,IF(Atletas!U40="Taijishan B",947,IF(Atletas!U40="Taijiqiang B",948,IF(Atletas!U40="Taijidao C",949,IF(Atletas!U40="Taijishan C",950,IF(Atletas!U40="Taijiqiang C",951,IF(Atletas!U40="Taijidao D",952,IF(Atletas!U40="Taijishan D",953,IF(Atletas!U40="Taijiqiang D",954,IF(Atletas!U40="Taijidao E",955,IF(Atletas!U40="Taijishan E",956,IF(Atletas!U40="Taijiqiang E",957,IF(Atletas!U40="Taijidao F",958,IF(Atletas!U40="Taijishan F",959,IF(Atletas!U40="Taijiqiang F",960))))))))))))))))))))</f>
        <v/>
      </c>
      <c r="BX44" s="64" t="str">
        <f>IF(BY44&lt;&gt;"","Shaolinquan A","")</f>
        <v/>
      </c>
      <c r="BY44" s="64" t="str">
        <f>IF(COUNTIF(BK:BW,1108)&gt;0,COUNTIF(BK:BW,1108),"")</f>
        <v/>
      </c>
      <c r="BZ44" s="64" t="str">
        <f>IF(CA44&lt;&gt;"","Shaolinquan A","")</f>
        <v/>
      </c>
      <c r="CA44" s="64" t="str">
        <f>IF(COUNTIF(BK:BW,2108)&gt;0,COUNTIF(BK:BW,2108),"")</f>
        <v/>
      </c>
      <c r="CB44" s="64" t="str">
        <f>IF(CC44&lt;&gt;"","Shaolinquan A","")</f>
        <v/>
      </c>
      <c r="CC44" s="64" t="str">
        <f>IF(COUNTIF(BK:BW,11108)&gt;0,COUNTIF(BK:BW,11108),"")</f>
        <v/>
      </c>
      <c r="CD44" s="64" t="str">
        <f>IF(CE44&lt;&gt;"","Shaolinquan A","")</f>
        <v/>
      </c>
      <c r="CE44" s="64" t="str">
        <f>IF(COUNTIF(BK:BW,12108)&gt;0,COUNTIF(BK:BW,12108),"")</f>
        <v/>
      </c>
      <c r="CF44" s="52" t="str">
        <f xml:space="preserve"> IF(Atletas!V40="","",IF(Atletas!V40="Duilian de Mãos AB - Equipe 1",1,IF(Atletas!V40="Duilian de Mãos AB - Equipe 2",2,IF(Atletas!V40="Duilian de Armas AB - Equipe 1",3,IF(Atletas!V40="Duilian de Armas AB - Equipe 2",4,IF(Atletas!V40="Duilian de Tuishou - Equipe 1",5,IF(Atletas!V40="Duilian de Tuishou - Equipe 2",6,IF(Atletas!V40="Grupo Externo AB - Equipe 1",7,IF(Atletas!V40="Grupo Externo AB - Equipe 2",8,IF(Atletas!V40="Grupo Interno AB - Equipe 1",9,IF(Atletas!V40="Grupo Interno AB - Equipe 2",10,IF(Atletas!V40="Duilian de Mãos CD - Equipe 1",11,IF(Atletas!V40="Duilian de Mãos CD - Equipe 2",12,IF(Atletas!V40="Duilian de Armas CD - Equipe 1",13,IF(Atletas!V40="Duilian de Armas CD - Equipe 2",14,IF(Atletas!V40="Duilian de Tuishou - Equipe 1",15,IF(Atletas!V40="Duilian de Tuishou - Equipe 2",16,IF(Atletas!V40="Grupo Externo CDEF - Equipe 1",17,IF(Atletas!V40="Grupo Externo CDEF - Equipe 2",18,IF(Atletas!V40="Grupo Interno CDEF - Equipe 1",19,IF(Atletas!V40="Grupo Interno CDEF - Equipe 2",20,IF(Atletas!V40="Duilian de Mãos EF - Equipe 1",21,IF(Atletas!V40="Duilian de Mãos EF - Equipe 2",22,IF(Atletas!V40="Duilian de Armas EF - Equipe 1",23,IF(Atletas!V40="Duilian de Armas EF - Equipe 2",24,IF(Atletas!V40="Duilian de Tuishou - Equipe 1",25,IF(Atletas!V40="Duilian de Tuishou - Equipe 2",26,"")))))))))))))))))))))))))))</f>
        <v/>
      </c>
      <c r="CR44" s="71"/>
    </row>
    <row r="45" spans="2:96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 t="str">
        <f t="array" ref="N45">IFERROR(INDEX(BB$7:BB$66,SMALL(IF(BB$7:BB$66&lt;&gt;"",ROW(BB$7:BB$66)-ROW(BB$7)+1),ROWS(BB$7:BB44))),"")</f>
        <v/>
      </c>
      <c r="O45" s="4" t="str">
        <f t="array" ref="O45">IFERROR(INDEX(BC$7:BC$66,SMALL(IF(BC$7:BC$66&lt;&gt;"",ROW(BC$7:BC$66)-ROW(BC$7)+1),ROWS(BC$7:BC44))),"")</f>
        <v/>
      </c>
      <c r="P45" s="4" t="str">
        <f t="array" ref="P45">IFERROR(INDEX(BD$7:BD$66,SMALL(IF(BD$7:BD$66&lt;&gt;"",ROW(BD$7:BD$66)-ROW(BD$7)+1),ROWS(BD$7:BD44))),"")</f>
        <v/>
      </c>
      <c r="Q45" s="4" t="str">
        <f t="array" ref="Q45">IFERROR(INDEX(BE$7:BE$66,SMALL(IF(BE$7:BE$66&lt;&gt;"",ROW(BE$7:BE$66)-ROW(BE$7)+1),ROWS(BE$7:BE44))),"")</f>
        <v/>
      </c>
      <c r="R45" s="4"/>
      <c r="S45" s="4"/>
      <c r="T45" s="31"/>
      <c r="U45" s="4"/>
      <c r="V45" s="4" t="str">
        <f t="array" ref="V45">IFERROR(INDEX(BX$7:BX$336,SMALL(IF(BX$7:BX$336&lt;&gt;"",ROW(BX$7:BX$336)-ROW(BX$7)+1),ROWS(BX$7:BX44))),"")</f>
        <v/>
      </c>
      <c r="W45" s="4" t="str">
        <f t="array" ref="W45">IFERROR(INDEX(BY$7:BY$336,SMALL(IF(BY$7:BY$336&lt;&gt;"",ROW(BY$7:BY$336)-ROW(BY$7)+1),ROWS(BY$7:BY44))),"")</f>
        <v/>
      </c>
      <c r="X45" s="4" t="str">
        <f t="array" ref="X45">IFERROR(INDEX(BZ$7:BZ$336,SMALL(IF(BZ$7:BZ$336&lt;&gt;"",ROW(BZ$7:BZ$336)-ROW(BZ$7)+1),ROWS(BZ$7:BZ44))),"")</f>
        <v/>
      </c>
      <c r="Y45" s="4" t="str">
        <f t="array" ref="Y45">IFERROR(INDEX(CA$7:CA$336,SMALL(IF(CA$7:CA$336&lt;&gt;"",ROW(CA$7:CA$336)-ROW(CA$7)+1),ROWS(CA$7:CA44))),"")</f>
        <v/>
      </c>
      <c r="Z45" s="4" t="str">
        <f t="array" ref="Z45">IFERROR(INDEX(CB$7:CB$378,SMALL(IF(CB$7:CB$378&lt;&gt;"",ROW(CB$7:CB$378)-ROW(CB$7)+1),ROWS(CB$7:CB44))),"")</f>
        <v/>
      </c>
      <c r="AA45" s="4" t="str">
        <f t="array" ref="AA45">IFERROR(INDEX(CC$7:CC$378,SMALL(IF(CC$7:CC$378&lt;&gt;"",ROW(CC$7:CC$378)-ROW(CC$7)+1),ROWS(CC$7:CC44))),"")</f>
        <v/>
      </c>
      <c r="AB45" s="4" t="str">
        <f t="array" ref="AB45">IFERROR(INDEX(CD$7:CD$378,SMALL(IF(CD$7:CD$378&lt;&gt;"",ROW(CD$7:CD$378)-ROW(CD$7)+1),ROWS(CD$7:CD44))),"")</f>
        <v/>
      </c>
      <c r="AC45" s="4" t="str">
        <f t="array" ref="AC45">IFERROR(INDEX(CE$7:CE$378,SMALL(IF(CE$7:CE$378&lt;&gt;"",ROW(CE$7:CE$378)-ROW(CE$7)+1),ROWS(CE$7:CE44))),"")</f>
        <v/>
      </c>
      <c r="AD45" s="4"/>
      <c r="AE45" s="4"/>
      <c r="AF45" s="4"/>
      <c r="AG45" s="4"/>
      <c r="AH45" s="4"/>
      <c r="AI45" s="4"/>
      <c r="AJ45" s="46" t="str">
        <f>IF(Atletas!D41="","",IF(Atletas!B41="Feminino",100,IF(Atletas!B41="Masculino",200,""))+(IF(Atletas!D41="Infantil 39kg",1,IF(Atletas!D41="Infantil 42kg",2,IF(Atletas!D41="Infantil 45kg",3,IF(Atletas!D41="Infantil 48kg",4,IF(Atletas!D41="Infantil 52kg",5,IF(Atletas!D41="Infantil 56kg",6,IF(Atletas!D41="Infantil 60kg",7,IF(Atletas!D41="Juvenil 48kg",8,IF(Atletas!D41="Juvenil 52kg",9,IF(Atletas!D41="Juvenil 56kg",10,IF(Atletas!D41="Juvenil 60kg",11,IF(Atletas!D41="Juvenil 65kg",12,IF(Atletas!D41="Juvenil 70kg",13,IF(Atletas!D41="Juvenil 75kg",14,IF(Atletas!D41="Juvenil 80kg",15,IF(Atletas!D41="Adulto 48kg",16,IF(Atletas!D41="Adulto 52kg",17,IF(Atletas!D41="Adulto 56kg",18,IF(Atletas!D41="Adulto 60kg",19,IF(Atletas!D41="Adulto 65kg",20,IF(Atletas!D41="Adulto 70kg",21,IF(Atletas!D41="Adulto 75kg",22,IF(Atletas!D41="Adulto 80kg",23,IF(Atletas!D41="Adulto 85kg",24,IF(Atletas!D41="Adulto 90kg",25,IF(Atletas!D41="Adulto +90kg",26,""))))))))))))))))))))))))))))</f>
        <v/>
      </c>
      <c r="AO45" s="10" t="str">
        <f>IF(Atletas!E41="","",IF(Atletas!B41="Feminino",100,IF(Atletas!B41="Masculino",200,""))+(IF(Atletas!E41="Juvenil 44kg",1,IF(Atletas!E41="Juvenil 48kg",2,IF(Atletas!E41="Juvenil 52kg",3,IF(Atletas!E41="Juvenil 56kg",4,IF(Atletas!E41="Juvenil 60kg",5,IF(Atletas!E41="Juvenil 65kg",6,IF(Atletas!E41="Juvenil 70kg",7,IF(Atletas!E41="Juvenil 75kg",8,IF(Atletas!E41="Juvenil 82kg",9,IF(Atletas!E41="Juvenil 90kg",10,IF(Atletas!E41="Juvenil 100kg",11,IF(Atletas!E41="Adulto 48kg",12,IF(Atletas!E41="Adulto 52kg",13,IF(Atletas!E41="Adulto 56kg",14,IF(Atletas!E41="Adulto 60kg",15,IF(Atletas!E41="Adulto 65kg",16,IF(Atletas!E41="Adulto 70kg",17,IF(Atletas!E41="Adulto 75kg",18,IF(Atletas!E41="Adulto 82kg",19,IF(Atletas!E41="Adulto 90kg",20,IF(Atletas!E41="Adulto 100kg",21,IF(Atletas!E41="Adulto +100kg",22,""))))))))))))))))))))))))</f>
        <v/>
      </c>
      <c r="AT45" s="10" t="str">
        <f>IF(Atletas!F41="","",IF(Atletas!B41="Feminino",100,IF(Atletas!B41="Masculino",200,""))+(IF(Atletas!F41="Adulto 48kg",1,IF(Atletas!F41="Adulto 56kg",2,IF(Atletas!F41="Adulto 65kg",3,IF(Atletas!F41="Adulto 75kg",4,IF(Atletas!F41="Adulto +75kg",5,IF(Atletas!F41="Adulto 52kg",6,IF(Atletas!F41="Adulto 60kg",7,IF(Atletas!F41="Adulto 70kg",8,IF(Atletas!F41="Adulto 80kg",9,IF(Atletas!F41="Adulto 90kg",10,IF(Atletas!F41="Adulto +90kg",11,"")))))))))))))</f>
        <v/>
      </c>
      <c r="AY45" s="46" t="str">
        <f>IF(Atletas!G41="","",IF(Atletas!B41="Feminino",100,IF(Atletas!B41="Masculino",200,""))+(IF(Atletas!G41="Changquan Mirim",1,IF(Atletas!G41="Nanquan Mirim",2,IF(Atletas!G41="Taijiquan Mirim",3,IF(Atletas!G41="Changquan Grupo C",4,IF(Atletas!G41="Nanquan Grupo C",5,IF(Atletas!G41="Taijiquan Grupo C",6,IF(Atletas!G41="Changquan Grupo B",7,IF(Atletas!G41="Nanquan Grupo B",8,IF(Atletas!G41="Taijiquan Grupo B",9,IF(Atletas!G41="Changquan Grupo A",10,IF(Atletas!G41="Nanquan Grupo A",11,IF(Atletas!G41="Taijiquan Grupo A",12,IF(Atletas!G41="Changquan Opcional",13,IF(Atletas!G41="Nanquan Opcional",14,IF(Atletas!G41="Taijiquan Opcional",15,IF(Atletas!G41="Changquan Adulto",16,IF(Atletas!G41="Nanquan Adulto",17,IF(Atletas!G41="Taijiquan Adulto",18,""))))))))))))))))))))</f>
        <v/>
      </c>
      <c r="AZ45" s="46" t="str">
        <f>IF(Atletas!H41="","",IF(Atletas!B41="Feminino",100,IF(Atletas!B41="Masculino",200,""))+(IF(Atletas!H41="Daoshu Mirim",19,IF(Atletas!H41="Jianshu Mirim",20,IF(Atletas!H41="Nandao Mirim",21,IF(Atletas!H41="Taijijian Mirim",22,IF(Atletas!H41="Daoshu Grupo C",23,IF(Atletas!H41="Jianshu Grupo C",24,IF(Atletas!H41="Nandao Grupo C",25,IF(Atletas!H41="Taijijian Grupo C",26,IF(Atletas!H41="Daoshu Grupo B",27,IF(Atletas!H41="Jianshu Grupo B",28,IF(Atletas!H41="Nandao Grupo B",29,IF(Atletas!H41="Taijijian Grupo B",30,IF(Atletas!H41="Daoshu Grupo A",31,IF(Atletas!H41="Jianshu Grupo A",32,IF(Atletas!H41="Nandao Grupo A",33,IF(Atletas!H41="Taijijian Grupo A",34,IF(Atletas!H41="Daoshu Opcional",35,IF(Atletas!H41="Jianshu Opcional",36,IF(Atletas!H41="Nandao Opcional",37,IF(Atletas!H41="Taijijian Opcional",38,IF(Atletas!H41="Daoshu Adulto",39,IF(Atletas!H41="Jianshu Adulto",40,IF(Atletas!H41="Nandao Adulto",41,IF(Atletas!H41="Taijijian Adulto",42,""))))))))))))))))))))))))))</f>
        <v/>
      </c>
      <c r="BA45" s="46" t="str">
        <f>IF(Atletas!I41="","",IF(Atletas!B41="Feminino",100,IF(Atletas!B41="Masculino",200,""))+(IF(Atletas!I41="Gunshu Mirim",43,IF(Atletas!I41="Qiangshu Mirim",44,IF(Atletas!I41="Nangun Mirim",45,IF(Atletas!I41="Gunshu Grupo C",46,IF(Atletas!I41="Qiangshu Grupo C",47,IF(Atletas!I41="Nangun Grupo C",48,IF(Atletas!I41="Gunshu Grupo B",49,IF(Atletas!I41="Qiangshu Grupo B",50,IF(Atletas!I41="Nangun Grupo B",51,IF(Atletas!I41="Gunshu Grupo A",52,IF(Atletas!I41="Qiangshu Grupo A",53,IF(Atletas!I41="Nangun Grupo A",54,IF(Atletas!I41="Gunshu Opcional",55,IF(Atletas!I41="Qiangshu Opcional",56,IF(Atletas!I41="Nangun Opcional",57,IF(Atletas!I41="Gunshu Adulto",58,IF(Atletas!I41="Qiangshu Adulto",59,IF(Atletas!I41="Nangun Adulto",60,""))))))))))))))))))))</f>
        <v/>
      </c>
      <c r="BB45" s="10" t="str">
        <f>IF(BC45&lt;&gt;"","Qiangshu Grupo A","")</f>
        <v/>
      </c>
      <c r="BC45" s="52" t="str">
        <f>IF(COUNTIF(AY:BA,153)&gt;0,COUNTIF(AY:BA,153),"")</f>
        <v/>
      </c>
      <c r="BD45" s="10" t="str">
        <f>IF(BE45&lt;&gt;"","Qiangshu Grupo A","")</f>
        <v/>
      </c>
      <c r="BE45" s="52" t="str">
        <f>IF(COUNTIF(AY:BA,253)&gt;0,COUNTIF(AY:BA,253),"")</f>
        <v/>
      </c>
      <c r="BF45" s="52" t="str">
        <f>IF(Atletas!J41="","",IF(Atletas!B41="Feminino",100,IF(Atletas!B41="Masculino",200,""))+(IF(Atletas!J41="Equipe 1 Grupo B",1,IF(Atletas!J41="Equipe 2 Grupo B",2,IF(Atletas!J41="Equipe 1 Grupo A",3,IF(Atletas!J41="Equipe 2 Grupo A",4,IF(Atletas!J41="Equipe 1 Adulto",5,IF(Atletas!J41="Equipe 2 Adulto",6,""))))))))</f>
        <v/>
      </c>
      <c r="BK45" s="52" t="str">
        <f>IF(Atletas!K41="","",IF(Atletas!W41&lt;&gt;"",10000,0)+(IF(Atletas!B41="Feminino",1000,IF(Atletas!B41="Masculino",2000,""))+IF(Atletas!K41="Choylayfut A",1,IF(Atletas!K41="Hunggar A",2,IF(Atletas!K41="Wuzuquan A",3,IF(Atletas!K41="Wingchun A",4,IF(Atletas!K41="Outra Mão de Sul A",5,IF(Atletas!K41="Choylayfut B",6,IF(Atletas!K41="Hunggar B",7,IF(Atletas!K41="Wuzuquan B",8,IF(Atletas!K41="Wingchun B",9,IF(Atletas!K41="Outra Mão de Sul B",10,IF(Atletas!K41="Choylayfut C",11,IF(Atletas!K41="Hunggar C",12,IF(Atletas!K41="Wuzuquan C",13,IF(Atletas!K41="Wingchun C",14,IF(Atletas!K41="Outra Mão de Sul C",15,IF(Atletas!K41="Choylayfut D",16,IF(Atletas!K41="Hunggar D",17,IF(Atletas!K41="Wuzuquan D",18,IF(Atletas!K41="Wingchun D",19,IF(Atletas!K41="Outra Mão de Sul D",20,IF(Atletas!K41="Choylayfut E",21,IF(Atletas!K41="Hunggar E",22,IF(Atletas!K41="Wuzuquan E",23,IF(Atletas!K41="Wingchun E",24,IF(Atletas!K41="Outra Mão de Sul E",25,IF(Atletas!K41="Choylayfut F",26,IF(Atletas!K41="Hunggar F",27,IF(Atletas!K41="Wuzuquan F",28,IF(Atletas!K41="Wingchun F",29,IF(Atletas!K41="Outra Mão de Sul F",30,""))))))))))))))))))))))))))))))))</f>
        <v/>
      </c>
      <c r="BL45" s="52" t="str">
        <f>IF(Atletas!L41="","",IF(Atletas!W41&lt;&gt;"",10000,0)+(IF(Atletas!B41="Feminino",1000,IF(Atletas!B41="Masculino",2000,""))+(IF(Atletas!L41="Chaquan A",101,IF(Atletas!L41="Emeiquan A",102,IF(Atletas!L41="Fanziquan A",103,IF(Atletas!L41="Huaquan A",104,IF(Atletas!L41="Hongquan A",105,IF(Atletas!L41="Paochui A",106,IF(Atletas!L41="Piguaquan A",107,IF(Atletas!L41="Shaolinquan A",108,IF(Atletas!L41="Tanglangquan A",109,IF(Atletas!L41="Yinzhaophai A",110,IF(Atletas!L41="Tongbeiquan A",111,IF(Atletas!L41="Wudangquan A",112,IF(Atletas!L41="Outros Estilos A",113,IF(Atletas!L41="Chaquan B",114,IF(Atletas!L41="Emeiquan B",115,IF(Atletas!L41="Fanziquan B",116,IF(Atletas!L41="Huaquan B",117,IF(Atletas!L41="Hongquan B",118,IF(Atletas!L41="Paochui B",119,IF(Atletas!L41="Piguaquan B",120,IF(Atletas!L41="Shaolinquan B",121,IF(Atletas!L41="Tanglangquan B",122,IF(Atletas!L41="Yinzhaophai B",123,IF(Atletas!L41="Tongbeiquan B",124,IF(Atletas!L41="Wudangquan B",125,IF(Atletas!L41="Outros Estilos B",126,IF(Atletas!L41="Chaquan C",127,IF(Atletas!L41="Emeiquan C",128,IF(Atletas!L41="Fanziquan C",129,IF(Atletas!L41="Huaquan C",130,IF(Atletas!L41="Hongquan C",131,IF(Atletas!L41="Paochui C",132,IF(Atletas!L41="Piguaquan C",133,IF(Atletas!L41="Shaolinquan C",134,IF(Atletas!L41="Tanglangquan C",135,IF(Atletas!L41="Yinzhaophai C",136,IF(Atletas!L41="Tongbeiquan C",137,IF(Atletas!L41="Wudangquan C",138,IF(Atletas!L41="Outros Estilos C",139,0))))))))))))))))))))))))))))))))))))))))))</f>
        <v/>
      </c>
      <c r="BM45" s="52" t="str">
        <f>IF(Atletas!L41="","",IF(Atletas!W41&lt;&gt;"",10000,0)+(IF(Atletas!B41="Feminino",1000,IF(Atletas!B41="Masculino",2000,""))+(IF(Atletas!L41="Chaquan D",140,IF(Atletas!L41="Emeiquan D",141,IF(Atletas!L41="Fanziquan D",142,IF(Atletas!L41="Huaquan D",143,IF(Atletas!L41="Hongquan D",144,IF(Atletas!L41="Paochui D",145,IF(Atletas!L41="Piguaquan D",146,IF(Atletas!L41="Shaolinquan D",147,IF(Atletas!L41="Tanglangquan D",148,IF(Atletas!L41="Yinzhaophai D",149,IF(Atletas!L41="Tongbeiquan D",150,IF(Atletas!L41="Wudangquan D",151,IF(Atletas!L41="Outros Estilos D",152,IF(Atletas!L41="Chaquan E",153,IF(Atletas!L41="Emeiquan E",154,IF(Atletas!L41="Fanziquan E",155,IF(Atletas!L41="Huaquan E",156,IF(Atletas!L41="Hongquan E",157,IF(Atletas!L41="Paochui E",158,IF(Atletas!L41="Piguaquan E",159,IF(Atletas!L41="Shaolinquan E",160,IF(Atletas!L41="Tanglangquan E",161,IF(Atletas!L41="Yinzhaophai E",162,IF(Atletas!L41="Tongbeiquan E",163,IF(Atletas!L41="Wudangquan E",164,IF(Atletas!L41="Outros Estilos E",165,IF(Atletas!L41="Chaquan F",166,IF(Atletas!L41="Emeiquan F",167,IF(Atletas!L41="Fanziquan F",168,IF(Atletas!L41="Huaquan F",169,IF(Atletas!L41="Hongquan F",170,IF(Atletas!L41="Paochui F",171,IF(Atletas!L41="Piguaquan F",172,IF(Atletas!L41="Shaolinquan F",173,IF(Atletas!L41="Tanglangquan F",174,IF(Atletas!L41="Yinzhaophai F",175,IF(Atletas!L41="Tongbeiquan F",176,IF(Atletas!L41="Wudangquan F",177,IF(Atletas!L41="Outros Estilos F",178,0))))))))))))))))))))))))))))))))))))))))))</f>
        <v/>
      </c>
      <c r="BN45" s="52" t="str">
        <f>IF(Atletas!M41="","",IF(Atletas!W41&lt;&gt;"",10000,0)+(IF(Atletas!B41="Feminino",1000,IF(Atletas!B41="Masculino",2000,""))+(IF(Atletas!M41="Ditangquan A",201,IF(Atletas!M41="Houquan A",202,IF(Atletas!M41="Zuiquan A",203,IF(Atletas!M41="Ditangquan B",204,IF(Atletas!M41="Houquan B",205,IF(Atletas!M41="Zuiquan B",206,IF(Atletas!M41="Ditangquan C",207,IF(Atletas!M41="Houquan C",208,IF(Atletas!M41="Zuiquan C",209,IF(Atletas!M41="Ditangquan D",210,IF(Atletas!M41="Houquan D",211,IF(Atletas!M41="Zuiquan D",212,IF(Atletas!M41="Ditangquan E",213,IF(Atletas!M41="Houquan E",214,IF(Atletas!M41="Zuiquan E",215,IF(Atletas!M41="Ditangquan F",216,IF(Atletas!M41="Houquan F",217,IF(Atletas!M41="Zuiquan F",218,"")))))))))))))))))))))</f>
        <v/>
      </c>
      <c r="BO45" s="52" t="str">
        <f>IF(Atletas!N41="","",IF(Atletas!W41&lt;&gt;"",10000,0)+IF(Atletas!B41="Feminino",1000,IF(Atletas!B41="Masculino",2000,""))+IF(Atletas!N41="Yang A",301,IF(Atletas!N41="Chen A",30,IF(Atletas!N41="Sun A",303,IF(Atletas!N41="Wu A",304,IF(Atletas!N41="Wu-Hao A",305,IF(Atletas!N41="Outro Taijiquan A",306,IF(Atletas!N41="Yang B",307,IF(Atletas!N41="Chen B",308,IF(Atletas!N41="Sun B",309,IF(Atletas!N41="Wu B",310,IF(Atletas!N41="Wu-Hao B",311,IF(Atletas!N41="Outro Taijiquan B",312,IF(Atletas!N41="Yang C",313,IF(Atletas!N41="Chen C",314,IF(Atletas!N41="Sun C",315,IF(Atletas!N41="Wu C",316,IF(Atletas!N41="Wu-Hao C",317,IF(Atletas!N41="Outro Taijiquan C",318,IF(Atletas!N41="Yang D",319,IF(Atletas!N41="Chen D",320,IF(Atletas!N41="Sun D",321,IF(Atletas!N41="Wu D",322,IF(Atletas!N41="Wu-Hao D",323,IF(Atletas!N41="Outro Taijiquan D",324,IF(Atletas!N41="Yang E",325,IF(Atletas!N41="Chen E",326,IF(Atletas!N41="Sun E",327,IF(Atletas!N41="Wu E",328,IF(Atletas!N41="Wu-Hao E",329,IF(Atletas!N41="Outro Taijiquan E",330,IF(Atletas!N41="Yang F",331,IF(Atletas!N41="Chen F",332,IF(Atletas!N41="Sun F",333,IF(Atletas!N41="Wu F",334,IF(Atletas!N41="Wu-Hao F",335,IF(Atletas!N41="Outro Taijiquan F",336,"")))))))))))))))))))))))))))))))))))))</f>
        <v/>
      </c>
      <c r="BP45" s="52" t="str">
        <f>IF(Atletas!O41="","",IF(Atletas!W41&lt;&gt;"",10000,0)+IF(Atletas!B41="Feminino",1000,IF(Atletas!B41="Masculino",2000,""))+IF(OR(Atletas!O41="Yang 26 A",Atletas!O41="Yang 40 A"),401,IF(OR(Atletas!O41="Chen 25 A",Atletas!O41="Chen 36 A",Atletas!O41="Chen 56 A"),402,IF(Atletas!O41="Sun 73 A",403,IF(Atletas!O41="Wu 45 A",404,IF(Atletas!O41="Wu-Hao 46 A",405,IF(OR(Atletas!O41="Taijiquan 16 A",Atletas!O41="Taijiquan 24 A",Atletas!O41="Taijiquan 32 A",Atletas!O41="Taijiquan 42 A"),406,IF(OR(Atletas!O41="Yang 26 B",Atletas!O41="Yang 40 B"),407,IF(OR(Atletas!O41="Chen 25 B",Atletas!O41="Chen 36 B",Atletas!O41="Chen 56 B"),408,IF(Atletas!O41="Sun 73 B",409,IF(Atletas!O41="Wu 45 B",410,IF(Atletas!O41="Wu-Hao 46 B",411,IF(OR(Atletas!O41="Taijiquan 16 B",Atletas!O41="Taijiquan 24 B",Atletas!O41="Taijiquan 32 B",Atletas!O41="Taijiquan 42 B"),412,IF(OR(Atletas!O41="Yang 26 C",Atletas!O41="Yang 40 C"),413,IF(OR(Atletas!O41="Chen 25 C",Atletas!O41="Chen 36 C",Atletas!O41="Chen 56 C"),414,IF(Atletas!O41="Sun 73 C",415,IF(Atletas!O41="Wu 45 C",416,IF(Atletas!O41="Wu-Hao 46 C",417,IF(OR(Atletas!O41="Taijiquan 16 C",Atletas!O41="Taijiquan 24 C",Atletas!O41="Taijiquan 32 C",Atletas!O41="Taijiquan 42 C"),418,0)))))))))))))))))))</f>
        <v/>
      </c>
      <c r="BQ45" s="52" t="str">
        <f>IF(Atletas!O41="","",IF(Atletas!W41&lt;&gt;"",10000,0)+IF(Atletas!B41="Feminino",1000,IF(Atletas!B41="Masculino",2000,""))+IF(OR(Atletas!O41="Yang 26 D",Atletas!O41="Yang 40 D"),419,IF(OR(Atletas!O41="Chen 25 D",Atletas!O41="Chen 36 D",Atletas!O41="Chen 56 D"),420,IF(Atletas!O41="Sun 73 D",421,IF(Atletas!O41="Wu 45 D",422,IF(Atletas!O41="Wu-Hao 46 D",423,IF(OR(Atletas!O41="Taijiquan 16 D",Atletas!O41="Taijiquan 24 D",Atletas!O41="Taijiquan 32 D",Atletas!O41="Taijiquan 42 D"),424,IF(OR(Atletas!O41="Yang 26 E",Atletas!O41="Yang 40 E"),425,IF(OR(Atletas!O41="Chen 25 E",Atletas!O41="Chen 36 E",Atletas!O41="Chen 56 E"),426,IF(Atletas!O41="Sun 73 E",427,IF(Atletas!O41="Wu 45 E",428,IF(Atletas!O41="Wu-Hao 46 E",429,IF(OR(Atletas!O41="Taijiquan 16 E",Atletas!O41="Taijiquan 24 E",Atletas!O41="Taijiquan 32 E",Atletas!O41="Taijiquan 42 E"),430,IF(OR(Atletas!O41="Yang 26 F",Atletas!O41="Yang 40 F"),431,IF(OR(Atletas!O41="Chen 25 F",Atletas!O41="Chen 36 F",Atletas!O41="Chen 56 F"),432,IF(Atletas!O41="Sun 73 F",433,IF(Atletas!O41="Wu 45 F",434,IF(Atletas!O41="Wu-Hao 46 F",435,IF(OR(Atletas!O41="Taijiquan 16 F",Atletas!O41="Taijiquan 24 F",Atletas!O41="Taijiquan 32 F",Atletas!O41="Taijiquan 42 F"),436,0)))))))))))))))))))</f>
        <v/>
      </c>
      <c r="BR45" s="52" t="str">
        <f>IF(Atletas!P41="","",IF(Atletas!W41&lt;&gt;"",10000,0)+IF(Atletas!B41="Feminino",1000,IF(Atletas!B41="Masculino",2000,""))+IF(Atletas!P41="Xingyiquan A",501,IF(Atletas!P41="Baguazhang A",502,IF(Atletas!P41="Outro Estilo Interno A",503,IF(Atletas!P41="Xingyiquan B",504,IF(Atletas!P41="Baguazhang B",505,IF(Atletas!P41="Outro Estilo Interno B",506,IF(Atletas!P41="Xingyiquan C",507,IF(Atletas!P41="Baguazhang C",508,IF(Atletas!P41="Outro Estilo Interno C",509,IF(Atletas!P41="Xingyiquan D",510,IF(Atletas!P41="Baguazhang D",511,IF(Atletas!P41="Outro Estilo Interno D",512,IF(Atletas!P41="Xingyiquan E",513,IF(Atletas!P41="Baguazhang E",514,IF(Atletas!P41="Outro Estilo Interno E",515,IF(Atletas!P41="Xingyiquan F",516,IF(Atletas!P41="Baguazhang F",517,IF(Atletas!P41="Outro Estilo Interno F",518, "")))))))))))))))))))</f>
        <v/>
      </c>
      <c r="BS45" s="52" t="str">
        <f>IF(Atletas!Q41="","",IF(Atletas!W41&lt;&gt;"",10000,0)+IF(Atletas!B41="Feminino",1000,IF(Atletas!B41="Masculino",2000,""))+IF(Atletas!Q41="Dao A",601,IF(Atletas!Q41="Jian A",602,IF(Atletas!Q41="Bishou A",603,IF(Atletas!Q41="Shan A",604,IF(Atletas!Q41="Outra Arma Curta A",605,IF(Atletas!Q41="Dao B",606,IF(Atletas!Q41="Jian B",607,IF(Atletas!Q41="Bishou B",608,IF(Atletas!Q41="Shan B",609,IF(Atletas!Q41="Outra Arma Curta B",610,IF(Atletas!Q41="Dao C",611,IF(Atletas!Q41="Jian C",612,IF(Atletas!Q41="Bishou C",613,IF(Atletas!Q41="Shan C",614,IF(Atletas!Q41="Outra Arma Curta C",615,IF(Atletas!Q41="Dao D",616,IF(Atletas!Q41="Jian D",617,IF(Atletas!Q41="Bishou D",618,IF(Atletas!Q41="Shan D",619,IF(Atletas!Q41="Outra Arma Curta D",620,IF(Atletas!Q41="Dao E",621,IF(Atletas!Q41="Jian E",622,IF(Atletas!Q41="Bishou E",623,IF(Atletas!Q41="Shan E",624,IF(Atletas!Q41="Outra Arma Curta E",625,IF(Atletas!Q41="Dao F",626,IF(Atletas!Q41="Jian F",627,IF(Atletas!Q41="Bishou F",628,IF(Atletas!Q41="Shan F",629,IF(Atletas!Q41="Outra Arma Curta F",630, "")))))))))))))))))))))))))))))))</f>
        <v/>
      </c>
      <c r="BT45" s="52" t="str">
        <f>IF(Atletas!R41="","",IF(Atletas!W41&lt;&gt;"",10000,0)+IF(Atletas!B41="Feminino",1000,IF(Atletas!B41="Masculino",2000,""))+IF(Atletas!R41="Gun A",701,IF(Atletas!R41="Qiang A",702,IF(Atletas!R41="Pudao / Guandao A",703,IF(Atletas!R41="Outra Arma Longa A",704,IF(Atletas!R41="Gun B",705,IF(Atletas!R41="Qiang B",706,IF(Atletas!R41="Pudao / Guandao B",707,IF(Atletas!R41="Outra Arma Longa B",708,IF(Atletas!R41="Gun C",709,IF(Atletas!R41="Qiang C",710,IF(Atletas!R41="Pudao / Guandao C",711,IF(Atletas!R41="Outra Arma Longa C",712,IF(Atletas!R41="Gun D",713,IF(Atletas!R41="Qiang D",714,IF(Atletas!R41="Pudao / Guandao D",715,IF(Atletas!R41="Outra Arma Longa D",716,IF(Atletas!R41="Gun E",717,IF(Atletas!R41="Qiang E",718,IF(Atletas!R41="Pudao / Guandao E",719,IF(Atletas!R41="Outra Arma Longa E",720,IF(Atletas!R41="Gun F",721,IF(Atletas!R41="Qiang F",722,IF(Atletas!R41="Pudao / Guandao F",723,IF(Atletas!R41="Outra Arma Longa F",724,"")))))))))))))))))))))))))</f>
        <v/>
      </c>
      <c r="BU45" s="52" t="str">
        <f>IF(Atletas!S41="","",IF(Atletas!W41&lt;&gt;"",10000,0)+IF(Atletas!B41="Feminino",1000,IF(Atletas!B41="Masculino",2000,""))+IF(Atletas!S41="Arma Dupla A",801,IF(Atletas!S41="Arma Maleável A",802,IF(Atletas!S41="Arma Dupla B",803,IF(Atletas!S41="Arma Maleável B",804,IF(Atletas!S41="Arma Dupla C",805,IF(Atletas!S41="Arma Maleável C",806,IF(Atletas!S41="Arma Dupla D",807,IF(Atletas!S41="Arma Maleável D",808,IF(Atletas!S41="Arma Dupla E",809,IF(Atletas!S41="Arma Maleável E",810,IF(Atletas!S41="Arma Dupla F",811,IF(Atletas!S41="Arma Maleável F",812, "")))))))))))))</f>
        <v/>
      </c>
      <c r="BV45" s="52" t="str">
        <f>IF(Atletas!T41="","",IF(Atletas!W41&lt;&gt;"",10000,0)+IF(Atletas!B41="Feminino",1000,IF(Atletas!B41="Masculino",2000,""))+IF(Atletas!T41="Taijijian Yang A",901,IF(Atletas!T41="Taijijian Chen A",902,IF(Atletas!T41="Taijijian Sun A",903,IF(Atletas!T41="Taijijian Wu A",904,IF(Atletas!T41="Taijijian Wu-Hao A",905,IF(Atletas!T41="Taijijian 32 A",906,IF(Atletas!T41="Taijijian 42 A",907,IF(Atletas!T41="Taijijian Yang B",908,IF(Atletas!T41="Taijijian Chen B",909,IF(Atletas!T41="Taijijian Sun B",910,IF(Atletas!T41="Taijijian Wu B",911,IF(Atletas!T41="Taijijian Wu-Hao B",912,IF(Atletas!T41="Taijijian 32 B",913,IF(Atletas!T41="Taijijian 42 B",914,IF(Atletas!T41="Taijijian Yang C",915,IF(Atletas!T41="Taijijian Chen C",916,IF(Atletas!T41="Taijijian Sun C",917,IF(Atletas!T41="Taijijian Wu C",918,IF(Atletas!T41="Taijijian Wu-Hao C",919,IF(Atletas!T41="Taijijian 32 C",920,IF(Atletas!T41="Taijijian 42 C",921,IF(Atletas!T41="Taijijian Yang D",922,IF(Atletas!T41="Taijijian Chen D",923,IF(Atletas!T41="Taijijian Sun D",924,IF(Atletas!T41="Taijijian Wu D",925,IF(Atletas!T41="Taijijian Wu-Hao D",926,IF(Atletas!T41="Taijijian 32 D",927,IF(Atletas!T41="Taijijian 42 D",928,IF(Atletas!T41="Taijijian Yang E",929,IF(Atletas!T41="Taijijian Chen E",930,IF(Atletas!T41="Taijijian Sun E",931,IF(Atletas!T41="Taijijian Wu E",932,IF(Atletas!T41="Taijijian Wu-Hao E",933,IF(Atletas!T41="Taijijian 32 E",934,IF(Atletas!T41="Taijijian 42 E",935,IF(Atletas!T41="Taijijian Yang F",936,IF(Atletas!T41="Taijijian Chen F",937,IF(Atletas!T41="Taijijian Sun F",938,IF(Atletas!T41="Taijijian Wu F",939,IF(Atletas!T41="Taijijian Wu-Hao F",940,IF(Atletas!T41="Taijijian 32 F",941,IF(Atletas!T41="Taijijian 42 F",942,"")))))))))))))))))))))))))))))))))))))))))))</f>
        <v/>
      </c>
      <c r="BW45" s="52" t="str">
        <f>IF(Atletas!U41="","",IF(Atletas!W41&lt;&gt;"",10000,0)+IF(Atletas!B41="Feminino",1000,IF(Atletas!B41="Masculino",2000,""))+IF(Atletas!T41="Taijijian 42 F",942,IF(Atletas!U41="Taijidao A",943,IF(Atletas!U41="Taijishan A",944,IF(Atletas!U41="Taijiqiang A",945,IF(Atletas!U41="Taijidao B",946,IF(Atletas!U41="Taijishan B",947,IF(Atletas!U41="Taijiqiang B",948,IF(Atletas!U41="Taijidao C",949,IF(Atletas!U41="Taijishan C",950,IF(Atletas!U41="Taijiqiang C",951,IF(Atletas!U41="Taijidao D",952,IF(Atletas!U41="Taijishan D",953,IF(Atletas!U41="Taijiqiang D",954,IF(Atletas!U41="Taijidao E",955,IF(Atletas!U41="Taijishan E",956,IF(Atletas!U41="Taijiqiang E",957,IF(Atletas!U41="Taijidao F",958,IF(Atletas!U41="Taijishan F",959,IF(Atletas!U41="Taijiqiang F",960))))))))))))))))))))</f>
        <v/>
      </c>
      <c r="BX45" s="64" t="str">
        <f>IF(BY45&lt;&gt;"","Tanglangquan A","")</f>
        <v/>
      </c>
      <c r="BY45" s="64" t="str">
        <f>IF(COUNTIF(BK:BW,1109)&gt;0,COUNTIF(BK:BW,1109),"")</f>
        <v/>
      </c>
      <c r="BZ45" s="64" t="str">
        <f>IF(CA45&lt;&gt;"","Tanglangquan A","")</f>
        <v/>
      </c>
      <c r="CA45" s="64" t="str">
        <f>IF(COUNTIF(BK:BW,2109)&gt;0,COUNTIF(BK:BW,2109),"")</f>
        <v/>
      </c>
      <c r="CB45" s="64" t="str">
        <f>IF(CC45&lt;&gt;"","Tanglangquan A","")</f>
        <v/>
      </c>
      <c r="CC45" s="64" t="str">
        <f>IF(COUNTIF(BK:BW,11109)&gt;0,COUNTIF(BK:BW,11109),"")</f>
        <v/>
      </c>
      <c r="CD45" s="64" t="str">
        <f>IF(CE45&lt;&gt;"","Tanglangquan A","")</f>
        <v/>
      </c>
      <c r="CE45" s="64" t="str">
        <f>IF(COUNTIF(BK:BW,12109)&gt;0,COUNTIF(BK:BW,12109),"")</f>
        <v/>
      </c>
      <c r="CF45" s="52" t="str">
        <f xml:space="preserve"> IF(Atletas!V41="","",IF(Atletas!V41="Duilian de Mãos AB - Equipe 1",1,IF(Atletas!V41="Duilian de Mãos AB - Equipe 2",2,IF(Atletas!V41="Duilian de Armas AB - Equipe 1",3,IF(Atletas!V41="Duilian de Armas AB - Equipe 2",4,IF(Atletas!V41="Duilian de Tuishou - Equipe 1",5,IF(Atletas!V41="Duilian de Tuishou - Equipe 2",6,IF(Atletas!V41="Grupo Externo AB - Equipe 1",7,IF(Atletas!V41="Grupo Externo AB - Equipe 2",8,IF(Atletas!V41="Grupo Interno AB - Equipe 1",9,IF(Atletas!V41="Grupo Interno AB - Equipe 2",10,IF(Atletas!V41="Duilian de Mãos CD - Equipe 1",11,IF(Atletas!V41="Duilian de Mãos CD - Equipe 2",12,IF(Atletas!V41="Duilian de Armas CD - Equipe 1",13,IF(Atletas!V41="Duilian de Armas CD - Equipe 2",14,IF(Atletas!V41="Duilian de Tuishou - Equipe 1",15,IF(Atletas!V41="Duilian de Tuishou - Equipe 2",16,IF(Atletas!V41="Grupo Externo CDEF - Equipe 1",17,IF(Atletas!V41="Grupo Externo CDEF - Equipe 2",18,IF(Atletas!V41="Grupo Interno CDEF - Equipe 1",19,IF(Atletas!V41="Grupo Interno CDEF - Equipe 2",20,IF(Atletas!V41="Duilian de Mãos EF - Equipe 1",21,IF(Atletas!V41="Duilian de Mãos EF - Equipe 2",22,IF(Atletas!V41="Duilian de Armas EF - Equipe 1",23,IF(Atletas!V41="Duilian de Armas EF - Equipe 2",24,IF(Atletas!V41="Duilian de Tuishou - Equipe 1",25,IF(Atletas!V41="Duilian de Tuishou - Equipe 2",26,"")))))))))))))))))))))))))))</f>
        <v/>
      </c>
      <c r="CR45" s="71"/>
    </row>
    <row r="46" spans="2:96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 t="str">
        <f t="array" ref="N46">IFERROR(INDEX(BB$7:BB$66,SMALL(IF(BB$7:BB$66&lt;&gt;"",ROW(BB$7:BB$66)-ROW(BB$7)+1),ROWS(BB$7:BB45))),"")</f>
        <v/>
      </c>
      <c r="O46" s="4" t="str">
        <f t="array" ref="O46">IFERROR(INDEX(BC$7:BC$66,SMALL(IF(BC$7:BC$66&lt;&gt;"",ROW(BC$7:BC$66)-ROW(BC$7)+1),ROWS(BC$7:BC45))),"")</f>
        <v/>
      </c>
      <c r="P46" s="4" t="str">
        <f t="array" ref="P46">IFERROR(INDEX(BD$7:BD$66,SMALL(IF(BD$7:BD$66&lt;&gt;"",ROW(BD$7:BD$66)-ROW(BD$7)+1),ROWS(BD$7:BD45))),"")</f>
        <v/>
      </c>
      <c r="Q46" s="4" t="str">
        <f t="array" ref="Q46">IFERROR(INDEX(BE$7:BE$66,SMALL(IF(BE$7:BE$66&lt;&gt;"",ROW(BE$7:BE$66)-ROW(BE$7)+1),ROWS(BE$7:BE45))),"")</f>
        <v/>
      </c>
      <c r="R46" s="4"/>
      <c r="S46" s="4"/>
      <c r="T46" s="31"/>
      <c r="U46" s="4"/>
      <c r="V46" s="4" t="str">
        <f t="array" ref="V46">IFERROR(INDEX(BX$7:BX$336,SMALL(IF(BX$7:BX$336&lt;&gt;"",ROW(BX$7:BX$336)-ROW(BX$7)+1),ROWS(BX$7:BX45))),"")</f>
        <v/>
      </c>
      <c r="W46" s="4" t="str">
        <f t="array" ref="W46">IFERROR(INDEX(BY$7:BY$336,SMALL(IF(BY$7:BY$336&lt;&gt;"",ROW(BY$7:BY$336)-ROW(BY$7)+1),ROWS(BY$7:BY45))),"")</f>
        <v/>
      </c>
      <c r="X46" s="4" t="str">
        <f t="array" ref="X46">IFERROR(INDEX(BZ$7:BZ$336,SMALL(IF(BZ$7:BZ$336&lt;&gt;"",ROW(BZ$7:BZ$336)-ROW(BZ$7)+1),ROWS(BZ$7:BZ45))),"")</f>
        <v/>
      </c>
      <c r="Y46" s="4" t="str">
        <f t="array" ref="Y46">IFERROR(INDEX(CA$7:CA$336,SMALL(IF(CA$7:CA$336&lt;&gt;"",ROW(CA$7:CA$336)-ROW(CA$7)+1),ROWS(CA$7:CA45))),"")</f>
        <v/>
      </c>
      <c r="Z46" s="4" t="str">
        <f t="array" ref="Z46">IFERROR(INDEX(CB$7:CB$378,SMALL(IF(CB$7:CB$378&lt;&gt;"",ROW(CB$7:CB$378)-ROW(CB$7)+1),ROWS(CB$7:CB45))),"")</f>
        <v/>
      </c>
      <c r="AA46" s="4" t="str">
        <f t="array" ref="AA46">IFERROR(INDEX(CC$7:CC$378,SMALL(IF(CC$7:CC$378&lt;&gt;"",ROW(CC$7:CC$378)-ROW(CC$7)+1),ROWS(CC$7:CC45))),"")</f>
        <v/>
      </c>
      <c r="AB46" s="4" t="str">
        <f t="array" ref="AB46">IFERROR(INDEX(CD$7:CD$378,SMALL(IF(CD$7:CD$378&lt;&gt;"",ROW(CD$7:CD$378)-ROW(CD$7)+1),ROWS(CD$7:CD45))),"")</f>
        <v/>
      </c>
      <c r="AC46" s="4" t="str">
        <f t="array" ref="AC46">IFERROR(INDEX(CE$7:CE$378,SMALL(IF(CE$7:CE$378&lt;&gt;"",ROW(CE$7:CE$378)-ROW(CE$7)+1),ROWS(CE$7:CE45))),"")</f>
        <v/>
      </c>
      <c r="AD46" s="4"/>
      <c r="AE46" s="4"/>
      <c r="AF46" s="4"/>
      <c r="AG46" s="4"/>
      <c r="AH46" s="4"/>
      <c r="AI46" s="4"/>
      <c r="AJ46" s="46" t="str">
        <f>IF(Atletas!D42="","",IF(Atletas!B42="Feminino",100,IF(Atletas!B42="Masculino",200,""))+(IF(Atletas!D42="Infantil 39kg",1,IF(Atletas!D42="Infantil 42kg",2,IF(Atletas!D42="Infantil 45kg",3,IF(Atletas!D42="Infantil 48kg",4,IF(Atletas!D42="Infantil 52kg",5,IF(Atletas!D42="Infantil 56kg",6,IF(Atletas!D42="Infantil 60kg",7,IF(Atletas!D42="Juvenil 48kg",8,IF(Atletas!D42="Juvenil 52kg",9,IF(Atletas!D42="Juvenil 56kg",10,IF(Atletas!D42="Juvenil 60kg",11,IF(Atletas!D42="Juvenil 65kg",12,IF(Atletas!D42="Juvenil 70kg",13,IF(Atletas!D42="Juvenil 75kg",14,IF(Atletas!D42="Juvenil 80kg",15,IF(Atletas!D42="Adulto 48kg",16,IF(Atletas!D42="Adulto 52kg",17,IF(Atletas!D42="Adulto 56kg",18,IF(Atletas!D42="Adulto 60kg",19,IF(Atletas!D42="Adulto 65kg",20,IF(Atletas!D42="Adulto 70kg",21,IF(Atletas!D42="Adulto 75kg",22,IF(Atletas!D42="Adulto 80kg",23,IF(Atletas!D42="Adulto 85kg",24,IF(Atletas!D42="Adulto 90kg",25,IF(Atletas!D42="Adulto +90kg",26,""))))))))))))))))))))))))))))</f>
        <v/>
      </c>
      <c r="AO46" s="10" t="str">
        <f>IF(Atletas!E42="","",IF(Atletas!B42="Feminino",100,IF(Atletas!B42="Masculino",200,""))+(IF(Atletas!E42="Juvenil 44kg",1,IF(Atletas!E42="Juvenil 48kg",2,IF(Atletas!E42="Juvenil 52kg",3,IF(Atletas!E42="Juvenil 56kg",4,IF(Atletas!E42="Juvenil 60kg",5,IF(Atletas!E42="Juvenil 65kg",6,IF(Atletas!E42="Juvenil 70kg",7,IF(Atletas!E42="Juvenil 75kg",8,IF(Atletas!E42="Juvenil 82kg",9,IF(Atletas!E42="Juvenil 90kg",10,IF(Atletas!E42="Juvenil 100kg",11,IF(Atletas!E42="Adulto 48kg",12,IF(Atletas!E42="Adulto 52kg",13,IF(Atletas!E42="Adulto 56kg",14,IF(Atletas!E42="Adulto 60kg",15,IF(Atletas!E42="Adulto 65kg",16,IF(Atletas!E42="Adulto 70kg",17,IF(Atletas!E42="Adulto 75kg",18,IF(Atletas!E42="Adulto 82kg",19,IF(Atletas!E42="Adulto 90kg",20,IF(Atletas!E42="Adulto 100kg",21,IF(Atletas!E42="Adulto +100kg",22,""))))))))))))))))))))))))</f>
        <v/>
      </c>
      <c r="AT46" s="10" t="str">
        <f>IF(Atletas!F42="","",IF(Atletas!B42="Feminino",100,IF(Atletas!B42="Masculino",200,""))+(IF(Atletas!F42="Adulto 48kg",1,IF(Atletas!F42="Adulto 56kg",2,IF(Atletas!F42="Adulto 65kg",3,IF(Atletas!F42="Adulto 75kg",4,IF(Atletas!F42="Adulto +75kg",5,IF(Atletas!F42="Adulto 52kg",6,IF(Atletas!F42="Adulto 60kg",7,IF(Atletas!F42="Adulto 70kg",8,IF(Atletas!F42="Adulto 80kg",9,IF(Atletas!F42="Adulto 90kg",10,IF(Atletas!F42="Adulto +90kg",11,"")))))))))))))</f>
        <v/>
      </c>
      <c r="AY46" s="46" t="str">
        <f>IF(Atletas!G42="","",IF(Atletas!B42="Feminino",100,IF(Atletas!B42="Masculino",200,""))+(IF(Atletas!G42="Changquan Mirim",1,IF(Atletas!G42="Nanquan Mirim",2,IF(Atletas!G42="Taijiquan Mirim",3,IF(Atletas!G42="Changquan Grupo C",4,IF(Atletas!G42="Nanquan Grupo C",5,IF(Atletas!G42="Taijiquan Grupo C",6,IF(Atletas!G42="Changquan Grupo B",7,IF(Atletas!G42="Nanquan Grupo B",8,IF(Atletas!G42="Taijiquan Grupo B",9,IF(Atletas!G42="Changquan Grupo A",10,IF(Atletas!G42="Nanquan Grupo A",11,IF(Atletas!G42="Taijiquan Grupo A",12,IF(Atletas!G42="Changquan Opcional",13,IF(Atletas!G42="Nanquan Opcional",14,IF(Atletas!G42="Taijiquan Opcional",15,IF(Atletas!G42="Changquan Adulto",16,IF(Atletas!G42="Nanquan Adulto",17,IF(Atletas!G42="Taijiquan Adulto",18,""))))))))))))))))))))</f>
        <v/>
      </c>
      <c r="AZ46" s="46" t="str">
        <f>IF(Atletas!H42="","",IF(Atletas!B42="Feminino",100,IF(Atletas!B42="Masculino",200,""))+(IF(Atletas!H42="Daoshu Mirim",19,IF(Atletas!H42="Jianshu Mirim",20,IF(Atletas!H42="Nandao Mirim",21,IF(Atletas!H42="Taijijian Mirim",22,IF(Atletas!H42="Daoshu Grupo C",23,IF(Atletas!H42="Jianshu Grupo C",24,IF(Atletas!H42="Nandao Grupo C",25,IF(Atletas!H42="Taijijian Grupo C",26,IF(Atletas!H42="Daoshu Grupo B",27,IF(Atletas!H42="Jianshu Grupo B",28,IF(Atletas!H42="Nandao Grupo B",29,IF(Atletas!H42="Taijijian Grupo B",30,IF(Atletas!H42="Daoshu Grupo A",31,IF(Atletas!H42="Jianshu Grupo A",32,IF(Atletas!H42="Nandao Grupo A",33,IF(Atletas!H42="Taijijian Grupo A",34,IF(Atletas!H42="Daoshu Opcional",35,IF(Atletas!H42="Jianshu Opcional",36,IF(Atletas!H42="Nandao Opcional",37,IF(Atletas!H42="Taijijian Opcional",38,IF(Atletas!H42="Daoshu Adulto",39,IF(Atletas!H42="Jianshu Adulto",40,IF(Atletas!H42="Nandao Adulto",41,IF(Atletas!H42="Taijijian Adulto",42,""))))))))))))))))))))))))))</f>
        <v/>
      </c>
      <c r="BA46" s="46" t="str">
        <f>IF(Atletas!I42="","",IF(Atletas!B42="Feminino",100,IF(Atletas!B42="Masculino",200,""))+(IF(Atletas!I42="Gunshu Mirim",43,IF(Atletas!I42="Qiangshu Mirim",44,IF(Atletas!I42="Nangun Mirim",45,IF(Atletas!I42="Gunshu Grupo C",46,IF(Atletas!I42="Qiangshu Grupo C",47,IF(Atletas!I42="Nangun Grupo C",48,IF(Atletas!I42="Gunshu Grupo B",49,IF(Atletas!I42="Qiangshu Grupo B",50,IF(Atletas!I42="Nangun Grupo B",51,IF(Atletas!I42="Gunshu Grupo A",52,IF(Atletas!I42="Qiangshu Grupo A",53,IF(Atletas!I42="Nangun Grupo A",54,IF(Atletas!I42="Gunshu Opcional",55,IF(Atletas!I42="Qiangshu Opcional",56,IF(Atletas!I42="Nangun Opcional",57,IF(Atletas!I42="Gunshu Adulto",58,IF(Atletas!I42="Qiangshu Adulto",59,IF(Atletas!I42="Nangun Adulto",60,""))))))))))))))))))))</f>
        <v/>
      </c>
      <c r="BB46" s="10" t="str">
        <f>IF(BC46&lt;&gt;"","Nangun Grupo A","")</f>
        <v/>
      </c>
      <c r="BC46" s="52" t="str">
        <f>IF(COUNTIF(AY:BA,154)&gt;0,COUNTIF(AY:BA,154),"")</f>
        <v/>
      </c>
      <c r="BD46" s="10" t="str">
        <f>IF(BE46&lt;&gt;"","Nangun Grupo A","")</f>
        <v/>
      </c>
      <c r="BE46" s="52" t="str">
        <f>IF(COUNTIF(AY:BA,254)&gt;0,COUNTIF(AY:BA,254),"")</f>
        <v/>
      </c>
      <c r="BF46" s="52" t="str">
        <f>IF(Atletas!J42="","",IF(Atletas!B42="Feminino",100,IF(Atletas!B42="Masculino",200,""))+(IF(Atletas!J42="Equipe 1 Grupo B",1,IF(Atletas!J42="Equipe 2 Grupo B",2,IF(Atletas!J42="Equipe 1 Grupo A",3,IF(Atletas!J42="Equipe 2 Grupo A",4,IF(Atletas!J42="Equipe 1 Adulto",5,IF(Atletas!J42="Equipe 2 Adulto",6,""))))))))</f>
        <v/>
      </c>
      <c r="BK46" s="52" t="str">
        <f>IF(Atletas!K42="","",IF(Atletas!W42&lt;&gt;"",10000,0)+(IF(Atletas!B42="Feminino",1000,IF(Atletas!B42="Masculino",2000,""))+IF(Atletas!K42="Choylayfut A",1,IF(Atletas!K42="Hunggar A",2,IF(Atletas!K42="Wuzuquan A",3,IF(Atletas!K42="Wingchun A",4,IF(Atletas!K42="Outra Mão de Sul A",5,IF(Atletas!K42="Choylayfut B",6,IF(Atletas!K42="Hunggar B",7,IF(Atletas!K42="Wuzuquan B",8,IF(Atletas!K42="Wingchun B",9,IF(Atletas!K42="Outra Mão de Sul B",10,IF(Atletas!K42="Choylayfut C",11,IF(Atletas!K42="Hunggar C",12,IF(Atletas!K42="Wuzuquan C",13,IF(Atletas!K42="Wingchun C",14,IF(Atletas!K42="Outra Mão de Sul C",15,IF(Atletas!K42="Choylayfut D",16,IF(Atletas!K42="Hunggar D",17,IF(Atletas!K42="Wuzuquan D",18,IF(Atletas!K42="Wingchun D",19,IF(Atletas!K42="Outra Mão de Sul D",20,IF(Atletas!K42="Choylayfut E",21,IF(Atletas!K42="Hunggar E",22,IF(Atletas!K42="Wuzuquan E",23,IF(Atletas!K42="Wingchun E",24,IF(Atletas!K42="Outra Mão de Sul E",25,IF(Atletas!K42="Choylayfut F",26,IF(Atletas!K42="Hunggar F",27,IF(Atletas!K42="Wuzuquan F",28,IF(Atletas!K42="Wingchun F",29,IF(Atletas!K42="Outra Mão de Sul F",30,""))))))))))))))))))))))))))))))))</f>
        <v/>
      </c>
      <c r="BL46" s="52" t="str">
        <f>IF(Atletas!L42="","",IF(Atletas!W42&lt;&gt;"",10000,0)+(IF(Atletas!B42="Feminino",1000,IF(Atletas!B42="Masculino",2000,""))+(IF(Atletas!L42="Chaquan A",101,IF(Atletas!L42="Emeiquan A",102,IF(Atletas!L42="Fanziquan A",103,IF(Atletas!L42="Huaquan A",104,IF(Atletas!L42="Hongquan A",105,IF(Atletas!L42="Paochui A",106,IF(Atletas!L42="Piguaquan A",107,IF(Atletas!L42="Shaolinquan A",108,IF(Atletas!L42="Tanglangquan A",109,IF(Atletas!L42="Yinzhaophai A",110,IF(Atletas!L42="Tongbeiquan A",111,IF(Atletas!L42="Wudangquan A",112,IF(Atletas!L42="Outros Estilos A",113,IF(Atletas!L42="Chaquan B",114,IF(Atletas!L42="Emeiquan B",115,IF(Atletas!L42="Fanziquan B",116,IF(Atletas!L42="Huaquan B",117,IF(Atletas!L42="Hongquan B",118,IF(Atletas!L42="Paochui B",119,IF(Atletas!L42="Piguaquan B",120,IF(Atletas!L42="Shaolinquan B",121,IF(Atletas!L42="Tanglangquan B",122,IF(Atletas!L42="Yinzhaophai B",123,IF(Atletas!L42="Tongbeiquan B",124,IF(Atletas!L42="Wudangquan B",125,IF(Atletas!L42="Outros Estilos B",126,IF(Atletas!L42="Chaquan C",127,IF(Atletas!L42="Emeiquan C",128,IF(Atletas!L42="Fanziquan C",129,IF(Atletas!L42="Huaquan C",130,IF(Atletas!L42="Hongquan C",131,IF(Atletas!L42="Paochui C",132,IF(Atletas!L42="Piguaquan C",133,IF(Atletas!L42="Shaolinquan C",134,IF(Atletas!L42="Tanglangquan C",135,IF(Atletas!L42="Yinzhaophai C",136,IF(Atletas!L42="Tongbeiquan C",137,IF(Atletas!L42="Wudangquan C",138,IF(Atletas!L42="Outros Estilos C",139,0))))))))))))))))))))))))))))))))))))))))))</f>
        <v/>
      </c>
      <c r="BM46" s="52" t="str">
        <f>IF(Atletas!L42="","",IF(Atletas!W42&lt;&gt;"",10000,0)+(IF(Atletas!B42="Feminino",1000,IF(Atletas!B42="Masculino",2000,""))+(IF(Atletas!L42="Chaquan D",140,IF(Atletas!L42="Emeiquan D",141,IF(Atletas!L42="Fanziquan D",142,IF(Atletas!L42="Huaquan D",143,IF(Atletas!L42="Hongquan D",144,IF(Atletas!L42="Paochui D",145,IF(Atletas!L42="Piguaquan D",146,IF(Atletas!L42="Shaolinquan D",147,IF(Atletas!L42="Tanglangquan D",148,IF(Atletas!L42="Yinzhaophai D",149,IF(Atletas!L42="Tongbeiquan D",150,IF(Atletas!L42="Wudangquan D",151,IF(Atletas!L42="Outros Estilos D",152,IF(Atletas!L42="Chaquan E",153,IF(Atletas!L42="Emeiquan E",154,IF(Atletas!L42="Fanziquan E",155,IF(Atletas!L42="Huaquan E",156,IF(Atletas!L42="Hongquan E",157,IF(Atletas!L42="Paochui E",158,IF(Atletas!L42="Piguaquan E",159,IF(Atletas!L42="Shaolinquan E",160,IF(Atletas!L42="Tanglangquan E",161,IF(Atletas!L42="Yinzhaophai E",162,IF(Atletas!L42="Tongbeiquan E",163,IF(Atletas!L42="Wudangquan E",164,IF(Atletas!L42="Outros Estilos E",165,IF(Atletas!L42="Chaquan F",166,IF(Atletas!L42="Emeiquan F",167,IF(Atletas!L42="Fanziquan F",168,IF(Atletas!L42="Huaquan F",169,IF(Atletas!L42="Hongquan F",170,IF(Atletas!L42="Paochui F",171,IF(Atletas!L42="Piguaquan F",172,IF(Atletas!L42="Shaolinquan F",173,IF(Atletas!L42="Tanglangquan F",174,IF(Atletas!L42="Yinzhaophai F",175,IF(Atletas!L42="Tongbeiquan F",176,IF(Atletas!L42="Wudangquan F",177,IF(Atletas!L42="Outros Estilos F",178,0))))))))))))))))))))))))))))))))))))))))))</f>
        <v/>
      </c>
      <c r="BN46" s="52" t="str">
        <f>IF(Atletas!M42="","",IF(Atletas!W42&lt;&gt;"",10000,0)+(IF(Atletas!B42="Feminino",1000,IF(Atletas!B42="Masculino",2000,""))+(IF(Atletas!M42="Ditangquan A",201,IF(Atletas!M42="Houquan A",202,IF(Atletas!M42="Zuiquan A",203,IF(Atletas!M42="Ditangquan B",204,IF(Atletas!M42="Houquan B",205,IF(Atletas!M42="Zuiquan B",206,IF(Atletas!M42="Ditangquan C",207,IF(Atletas!M42="Houquan C",208,IF(Atletas!M42="Zuiquan C",209,IF(Atletas!M42="Ditangquan D",210,IF(Atletas!M42="Houquan D",211,IF(Atletas!M42="Zuiquan D",212,IF(Atletas!M42="Ditangquan E",213,IF(Atletas!M42="Houquan E",214,IF(Atletas!M42="Zuiquan E",215,IF(Atletas!M42="Ditangquan F",216,IF(Atletas!M42="Houquan F",217,IF(Atletas!M42="Zuiquan F",218,"")))))))))))))))))))))</f>
        <v/>
      </c>
      <c r="BO46" s="52" t="str">
        <f>IF(Atletas!N42="","",IF(Atletas!W42&lt;&gt;"",10000,0)+IF(Atletas!B42="Feminino",1000,IF(Atletas!B42="Masculino",2000,""))+IF(Atletas!N42="Yang A",301,IF(Atletas!N42="Chen A",30,IF(Atletas!N42="Sun A",303,IF(Atletas!N42="Wu A",304,IF(Atletas!N42="Wu-Hao A",305,IF(Atletas!N42="Outro Taijiquan A",306,IF(Atletas!N42="Yang B",307,IF(Atletas!N42="Chen B",308,IF(Atletas!N42="Sun B",309,IF(Atletas!N42="Wu B",310,IF(Atletas!N42="Wu-Hao B",311,IF(Atletas!N42="Outro Taijiquan B",312,IF(Atletas!N42="Yang C",313,IF(Atletas!N42="Chen C",314,IF(Atletas!N42="Sun C",315,IF(Atletas!N42="Wu C",316,IF(Atletas!N42="Wu-Hao C",317,IF(Atletas!N42="Outro Taijiquan C",318,IF(Atletas!N42="Yang D",319,IF(Atletas!N42="Chen D",320,IF(Atletas!N42="Sun D",321,IF(Atletas!N42="Wu D",322,IF(Atletas!N42="Wu-Hao D",323,IF(Atletas!N42="Outro Taijiquan D",324,IF(Atletas!N42="Yang E",325,IF(Atletas!N42="Chen E",326,IF(Atletas!N42="Sun E",327,IF(Atletas!N42="Wu E",328,IF(Atletas!N42="Wu-Hao E",329,IF(Atletas!N42="Outro Taijiquan E",330,IF(Atletas!N42="Yang F",331,IF(Atletas!N42="Chen F",332,IF(Atletas!N42="Sun F",333,IF(Atletas!N42="Wu F",334,IF(Atletas!N42="Wu-Hao F",335,IF(Atletas!N42="Outro Taijiquan F",336,"")))))))))))))))))))))))))))))))))))))</f>
        <v/>
      </c>
      <c r="BP46" s="52" t="str">
        <f>IF(Atletas!O42="","",IF(Atletas!W42&lt;&gt;"",10000,0)+IF(Atletas!B42="Feminino",1000,IF(Atletas!B42="Masculino",2000,""))+IF(OR(Atletas!O42="Yang 26 A",Atletas!O42="Yang 40 A"),401,IF(OR(Atletas!O42="Chen 25 A",Atletas!O42="Chen 36 A",Atletas!O42="Chen 56 A"),402,IF(Atletas!O42="Sun 73 A",403,IF(Atletas!O42="Wu 45 A",404,IF(Atletas!O42="Wu-Hao 46 A",405,IF(OR(Atletas!O42="Taijiquan 16 A",Atletas!O42="Taijiquan 24 A",Atletas!O42="Taijiquan 32 A",Atletas!O42="Taijiquan 42 A"),406,IF(OR(Atletas!O42="Yang 26 B",Atletas!O42="Yang 40 B"),407,IF(OR(Atletas!O42="Chen 25 B",Atletas!O42="Chen 36 B",Atletas!O42="Chen 56 B"),408,IF(Atletas!O42="Sun 73 B",409,IF(Atletas!O42="Wu 45 B",410,IF(Atletas!O42="Wu-Hao 46 B",411,IF(OR(Atletas!O42="Taijiquan 16 B",Atletas!O42="Taijiquan 24 B",Atletas!O42="Taijiquan 32 B",Atletas!O42="Taijiquan 42 B"),412,IF(OR(Atletas!O42="Yang 26 C",Atletas!O42="Yang 40 C"),413,IF(OR(Atletas!O42="Chen 25 C",Atletas!O42="Chen 36 C",Atletas!O42="Chen 56 C"),414,IF(Atletas!O42="Sun 73 C",415,IF(Atletas!O42="Wu 45 C",416,IF(Atletas!O42="Wu-Hao 46 C",417,IF(OR(Atletas!O42="Taijiquan 16 C",Atletas!O42="Taijiquan 24 C",Atletas!O42="Taijiquan 32 C",Atletas!O42="Taijiquan 42 C"),418,0)))))))))))))))))))</f>
        <v/>
      </c>
      <c r="BQ46" s="52" t="str">
        <f>IF(Atletas!O42="","",IF(Atletas!W42&lt;&gt;"",10000,0)+IF(Atletas!B42="Feminino",1000,IF(Atletas!B42="Masculino",2000,""))+IF(OR(Atletas!O42="Yang 26 D",Atletas!O42="Yang 40 D"),419,IF(OR(Atletas!O42="Chen 25 D",Atletas!O42="Chen 36 D",Atletas!O42="Chen 56 D"),420,IF(Atletas!O42="Sun 73 D",421,IF(Atletas!O42="Wu 45 D",422,IF(Atletas!O42="Wu-Hao 46 D",423,IF(OR(Atletas!O42="Taijiquan 16 D",Atletas!O42="Taijiquan 24 D",Atletas!O42="Taijiquan 32 D",Atletas!O42="Taijiquan 42 D"),424,IF(OR(Atletas!O42="Yang 26 E",Atletas!O42="Yang 40 E"),425,IF(OR(Atletas!O42="Chen 25 E",Atletas!O42="Chen 36 E",Atletas!O42="Chen 56 E"),426,IF(Atletas!O42="Sun 73 E",427,IF(Atletas!O42="Wu 45 E",428,IF(Atletas!O42="Wu-Hao 46 E",429,IF(OR(Atletas!O42="Taijiquan 16 E",Atletas!O42="Taijiquan 24 E",Atletas!O42="Taijiquan 32 E",Atletas!O42="Taijiquan 42 E"),430,IF(OR(Atletas!O42="Yang 26 F",Atletas!O42="Yang 40 F"),431,IF(OR(Atletas!O42="Chen 25 F",Atletas!O42="Chen 36 F",Atletas!O42="Chen 56 F"),432,IF(Atletas!O42="Sun 73 F",433,IF(Atletas!O42="Wu 45 F",434,IF(Atletas!O42="Wu-Hao 46 F",435,IF(OR(Atletas!O42="Taijiquan 16 F",Atletas!O42="Taijiquan 24 F",Atletas!O42="Taijiquan 32 F",Atletas!O42="Taijiquan 42 F"),436,0)))))))))))))))))))</f>
        <v/>
      </c>
      <c r="BR46" s="52" t="str">
        <f>IF(Atletas!P42="","",IF(Atletas!W42&lt;&gt;"",10000,0)+IF(Atletas!B42="Feminino",1000,IF(Atletas!B42="Masculino",2000,""))+IF(Atletas!P42="Xingyiquan A",501,IF(Atletas!P42="Baguazhang A",502,IF(Atletas!P42="Outro Estilo Interno A",503,IF(Atletas!P42="Xingyiquan B",504,IF(Atletas!P42="Baguazhang B",505,IF(Atletas!P42="Outro Estilo Interno B",506,IF(Atletas!P42="Xingyiquan C",507,IF(Atletas!P42="Baguazhang C",508,IF(Atletas!P42="Outro Estilo Interno C",509,IF(Atletas!P42="Xingyiquan D",510,IF(Atletas!P42="Baguazhang D",511,IF(Atletas!P42="Outro Estilo Interno D",512,IF(Atletas!P42="Xingyiquan E",513,IF(Atletas!P42="Baguazhang E",514,IF(Atletas!P42="Outro Estilo Interno E",515,IF(Atletas!P42="Xingyiquan F",516,IF(Atletas!P42="Baguazhang F",517,IF(Atletas!P42="Outro Estilo Interno F",518, "")))))))))))))))))))</f>
        <v/>
      </c>
      <c r="BS46" s="52" t="str">
        <f>IF(Atletas!Q42="","",IF(Atletas!W42&lt;&gt;"",10000,0)+IF(Atletas!B42="Feminino",1000,IF(Atletas!B42="Masculino",2000,""))+IF(Atletas!Q42="Dao A",601,IF(Atletas!Q42="Jian A",602,IF(Atletas!Q42="Bishou A",603,IF(Atletas!Q42="Shan A",604,IF(Atletas!Q42="Outra Arma Curta A",605,IF(Atletas!Q42="Dao B",606,IF(Atletas!Q42="Jian B",607,IF(Atletas!Q42="Bishou B",608,IF(Atletas!Q42="Shan B",609,IF(Atletas!Q42="Outra Arma Curta B",610,IF(Atletas!Q42="Dao C",611,IF(Atletas!Q42="Jian C",612,IF(Atletas!Q42="Bishou C",613,IF(Atletas!Q42="Shan C",614,IF(Atletas!Q42="Outra Arma Curta C",615,IF(Atletas!Q42="Dao D",616,IF(Atletas!Q42="Jian D",617,IF(Atletas!Q42="Bishou D",618,IF(Atletas!Q42="Shan D",619,IF(Atletas!Q42="Outra Arma Curta D",620,IF(Atletas!Q42="Dao E",621,IF(Atletas!Q42="Jian E",622,IF(Atletas!Q42="Bishou E",623,IF(Atletas!Q42="Shan E",624,IF(Atletas!Q42="Outra Arma Curta E",625,IF(Atletas!Q42="Dao F",626,IF(Atletas!Q42="Jian F",627,IF(Atletas!Q42="Bishou F",628,IF(Atletas!Q42="Shan F",629,IF(Atletas!Q42="Outra Arma Curta F",630, "")))))))))))))))))))))))))))))))</f>
        <v/>
      </c>
      <c r="BT46" s="52" t="str">
        <f>IF(Atletas!R42="","",IF(Atletas!W42&lt;&gt;"",10000,0)+IF(Atletas!B42="Feminino",1000,IF(Atletas!B42="Masculino",2000,""))+IF(Atletas!R42="Gun A",701,IF(Atletas!R42="Qiang A",702,IF(Atletas!R42="Pudao / Guandao A",703,IF(Atletas!R42="Outra Arma Longa A",704,IF(Atletas!R42="Gun B",705,IF(Atletas!R42="Qiang B",706,IF(Atletas!R42="Pudao / Guandao B",707,IF(Atletas!R42="Outra Arma Longa B",708,IF(Atletas!R42="Gun C",709,IF(Atletas!R42="Qiang C",710,IF(Atletas!R42="Pudao / Guandao C",711,IF(Atletas!R42="Outra Arma Longa C",712,IF(Atletas!R42="Gun D",713,IF(Atletas!R42="Qiang D",714,IF(Atletas!R42="Pudao / Guandao D",715,IF(Atletas!R42="Outra Arma Longa D",716,IF(Atletas!R42="Gun E",717,IF(Atletas!R42="Qiang E",718,IF(Atletas!R42="Pudao / Guandao E",719,IF(Atletas!R42="Outra Arma Longa E",720,IF(Atletas!R42="Gun F",721,IF(Atletas!R42="Qiang F",722,IF(Atletas!R42="Pudao / Guandao F",723,IF(Atletas!R42="Outra Arma Longa F",724,"")))))))))))))))))))))))))</f>
        <v/>
      </c>
      <c r="BU46" s="52" t="str">
        <f>IF(Atletas!S42="","",IF(Atletas!W42&lt;&gt;"",10000,0)+IF(Atletas!B42="Feminino",1000,IF(Atletas!B42="Masculino",2000,""))+IF(Atletas!S42="Arma Dupla A",801,IF(Atletas!S42="Arma Maleável A",802,IF(Atletas!S42="Arma Dupla B",803,IF(Atletas!S42="Arma Maleável B",804,IF(Atletas!S42="Arma Dupla C",805,IF(Atletas!S42="Arma Maleável C",806,IF(Atletas!S42="Arma Dupla D",807,IF(Atletas!S42="Arma Maleável D",808,IF(Atletas!S42="Arma Dupla E",809,IF(Atletas!S42="Arma Maleável E",810,IF(Atletas!S42="Arma Dupla F",811,IF(Atletas!S42="Arma Maleável F",812, "")))))))))))))</f>
        <v/>
      </c>
      <c r="BV46" s="52" t="str">
        <f>IF(Atletas!T42="","",IF(Atletas!W42&lt;&gt;"",10000,0)+IF(Atletas!B42="Feminino",1000,IF(Atletas!B42="Masculino",2000,""))+IF(Atletas!T42="Taijijian Yang A",901,IF(Atletas!T42="Taijijian Chen A",902,IF(Atletas!T42="Taijijian Sun A",903,IF(Atletas!T42="Taijijian Wu A",904,IF(Atletas!T42="Taijijian Wu-Hao A",905,IF(Atletas!T42="Taijijian 32 A",906,IF(Atletas!T42="Taijijian 42 A",907,IF(Atletas!T42="Taijijian Yang B",908,IF(Atletas!T42="Taijijian Chen B",909,IF(Atletas!T42="Taijijian Sun B",910,IF(Atletas!T42="Taijijian Wu B",911,IF(Atletas!T42="Taijijian Wu-Hao B",912,IF(Atletas!T42="Taijijian 32 B",913,IF(Atletas!T42="Taijijian 42 B",914,IF(Atletas!T42="Taijijian Yang C",915,IF(Atletas!T42="Taijijian Chen C",916,IF(Atletas!T42="Taijijian Sun C",917,IF(Atletas!T42="Taijijian Wu C",918,IF(Atletas!T42="Taijijian Wu-Hao C",919,IF(Atletas!T42="Taijijian 32 C",920,IF(Atletas!T42="Taijijian 42 C",921,IF(Atletas!T42="Taijijian Yang D",922,IF(Atletas!T42="Taijijian Chen D",923,IF(Atletas!T42="Taijijian Sun D",924,IF(Atletas!T42="Taijijian Wu D",925,IF(Atletas!T42="Taijijian Wu-Hao D",926,IF(Atletas!T42="Taijijian 32 D",927,IF(Atletas!T42="Taijijian 42 D",928,IF(Atletas!T42="Taijijian Yang E",929,IF(Atletas!T42="Taijijian Chen E",930,IF(Atletas!T42="Taijijian Sun E",931,IF(Atletas!T42="Taijijian Wu E",932,IF(Atletas!T42="Taijijian Wu-Hao E",933,IF(Atletas!T42="Taijijian 32 E",934,IF(Atletas!T42="Taijijian 42 E",935,IF(Atletas!T42="Taijijian Yang F",936,IF(Atletas!T42="Taijijian Chen F",937,IF(Atletas!T42="Taijijian Sun F",938,IF(Atletas!T42="Taijijian Wu F",939,IF(Atletas!T42="Taijijian Wu-Hao F",940,IF(Atletas!T42="Taijijian 32 F",941,IF(Atletas!T42="Taijijian 42 F",942,"")))))))))))))))))))))))))))))))))))))))))))</f>
        <v/>
      </c>
      <c r="BW46" s="52" t="str">
        <f>IF(Atletas!U42="","",IF(Atletas!W42&lt;&gt;"",10000,0)+IF(Atletas!B42="Feminino",1000,IF(Atletas!B42="Masculino",2000,""))+IF(Atletas!T42="Taijijian 42 F",942,IF(Atletas!U42="Taijidao A",943,IF(Atletas!U42="Taijishan A",944,IF(Atletas!U42="Taijiqiang A",945,IF(Atletas!U42="Taijidao B",946,IF(Atletas!U42="Taijishan B",947,IF(Atletas!U42="Taijiqiang B",948,IF(Atletas!U42="Taijidao C",949,IF(Atletas!U42="Taijishan C",950,IF(Atletas!U42="Taijiqiang C",951,IF(Atletas!U42="Taijidao D",952,IF(Atletas!U42="Taijishan D",953,IF(Atletas!U42="Taijiqiang D",954,IF(Atletas!U42="Taijidao E",955,IF(Atletas!U42="Taijishan E",956,IF(Atletas!U42="Taijiqiang E",957,IF(Atletas!U42="Taijidao F",958,IF(Atletas!U42="Taijishan F",959,IF(Atletas!U42="Taijiqiang F",960))))))))))))))))))))</f>
        <v/>
      </c>
      <c r="BX46" s="64" t="str">
        <f>IF(BY46&lt;&gt;"","Yinzhaophai A","")</f>
        <v/>
      </c>
      <c r="BY46" s="64" t="str">
        <f>IF(COUNTIF(BK:BW,1110)&gt;0,COUNTIF(BK:BW,1110),"")</f>
        <v/>
      </c>
      <c r="BZ46" s="64" t="str">
        <f>IF(CA46&lt;&gt;"","Yinzhaophai A","")</f>
        <v/>
      </c>
      <c r="CA46" s="64" t="str">
        <f>IF(COUNTIF(BK:BW,2110)&gt;0,COUNTIF(BK:BW,2110),"")</f>
        <v/>
      </c>
      <c r="CB46" s="64" t="str">
        <f>IF(CC46&lt;&gt;"","Yinzhaophai A","")</f>
        <v/>
      </c>
      <c r="CC46" s="64" t="str">
        <f>IF(COUNTIF(BK:BW,11110)&gt;0,COUNTIF(BK:BW,11110),"")</f>
        <v/>
      </c>
      <c r="CD46" s="64" t="str">
        <f>IF(CE46&lt;&gt;"","Yinzhaophai A","")</f>
        <v/>
      </c>
      <c r="CE46" s="64" t="str">
        <f>IF(COUNTIF(BK:BW,12110)&gt;0,COUNTIF(BK:BW,12110),"")</f>
        <v/>
      </c>
      <c r="CF46" s="52" t="str">
        <f xml:space="preserve"> IF(Atletas!V42="","",IF(Atletas!V42="Duilian de Mãos AB - Equipe 1",1,IF(Atletas!V42="Duilian de Mãos AB - Equipe 2",2,IF(Atletas!V42="Duilian de Armas AB - Equipe 1",3,IF(Atletas!V42="Duilian de Armas AB - Equipe 2",4,IF(Atletas!V42="Duilian de Tuishou - Equipe 1",5,IF(Atletas!V42="Duilian de Tuishou - Equipe 2",6,IF(Atletas!V42="Grupo Externo AB - Equipe 1",7,IF(Atletas!V42="Grupo Externo AB - Equipe 2",8,IF(Atletas!V42="Grupo Interno AB - Equipe 1",9,IF(Atletas!V42="Grupo Interno AB - Equipe 2",10,IF(Atletas!V42="Duilian de Mãos CD - Equipe 1",11,IF(Atletas!V42="Duilian de Mãos CD - Equipe 2",12,IF(Atletas!V42="Duilian de Armas CD - Equipe 1",13,IF(Atletas!V42="Duilian de Armas CD - Equipe 2",14,IF(Atletas!V42="Duilian de Tuishou - Equipe 1",15,IF(Atletas!V42="Duilian de Tuishou - Equipe 2",16,IF(Atletas!V42="Grupo Externo CDEF - Equipe 1",17,IF(Atletas!V42="Grupo Externo CDEF - Equipe 2",18,IF(Atletas!V42="Grupo Interno CDEF - Equipe 1",19,IF(Atletas!V42="Grupo Interno CDEF - Equipe 2",20,IF(Atletas!V42="Duilian de Mãos EF - Equipe 1",21,IF(Atletas!V42="Duilian de Mãos EF - Equipe 2",22,IF(Atletas!V42="Duilian de Armas EF - Equipe 1",23,IF(Atletas!V42="Duilian de Armas EF - Equipe 2",24,IF(Atletas!V42="Duilian de Tuishou - Equipe 1",25,IF(Atletas!V42="Duilian de Tuishou - Equipe 2",26,"")))))))))))))))))))))))))))</f>
        <v/>
      </c>
      <c r="CR46" s="71"/>
    </row>
    <row r="47" spans="2:96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 t="array" ref="N47">IFERROR(INDEX(BB$7:BB$66,SMALL(IF(BB$7:BB$66&lt;&gt;"",ROW(BB$7:BB$66)-ROW(BB$7)+1),ROWS(BB$7:BB46))),"")</f>
        <v/>
      </c>
      <c r="O47" s="4" t="str">
        <f t="array" ref="O47">IFERROR(INDEX(BC$7:BC$66,SMALL(IF(BC$7:BC$66&lt;&gt;"",ROW(BC$7:BC$66)-ROW(BC$7)+1),ROWS(BC$7:BC46))),"")</f>
        <v/>
      </c>
      <c r="P47" s="4" t="str">
        <f t="array" ref="P47">IFERROR(INDEX(BD$7:BD$66,SMALL(IF(BD$7:BD$66&lt;&gt;"",ROW(BD$7:BD$66)-ROW(BD$7)+1),ROWS(BD$7:BD46))),"")</f>
        <v/>
      </c>
      <c r="Q47" s="4" t="str">
        <f t="array" ref="Q47">IFERROR(INDEX(BE$7:BE$66,SMALL(IF(BE$7:BE$66&lt;&gt;"",ROW(BE$7:BE$66)-ROW(BE$7)+1),ROWS(BE$7:BE46))),"")</f>
        <v/>
      </c>
      <c r="R47" s="4"/>
      <c r="S47" s="4"/>
      <c r="T47" s="31"/>
      <c r="U47" s="4"/>
      <c r="V47" s="4" t="str">
        <f t="array" ref="V47">IFERROR(INDEX(BX$7:BX$336,SMALL(IF(BX$7:BX$336&lt;&gt;"",ROW(BX$7:BX$336)-ROW(BX$7)+1),ROWS(BX$7:BX46))),"")</f>
        <v/>
      </c>
      <c r="W47" s="4" t="str">
        <f t="array" ref="W47">IFERROR(INDEX(BY$7:BY$336,SMALL(IF(BY$7:BY$336&lt;&gt;"",ROW(BY$7:BY$336)-ROW(BY$7)+1),ROWS(BY$7:BY46))),"")</f>
        <v/>
      </c>
      <c r="X47" s="4" t="str">
        <f t="array" ref="X47">IFERROR(INDEX(BZ$7:BZ$336,SMALL(IF(BZ$7:BZ$336&lt;&gt;"",ROW(BZ$7:BZ$336)-ROW(BZ$7)+1),ROWS(BZ$7:BZ46))),"")</f>
        <v/>
      </c>
      <c r="Y47" s="4" t="str">
        <f t="array" ref="Y47">IFERROR(INDEX(CA$7:CA$336,SMALL(IF(CA$7:CA$336&lt;&gt;"",ROW(CA$7:CA$336)-ROW(CA$7)+1),ROWS(CA$7:CA46))),"")</f>
        <v/>
      </c>
      <c r="Z47" s="4" t="str">
        <f t="array" ref="Z47">IFERROR(INDEX(CB$7:CB$378,SMALL(IF(CB$7:CB$378&lt;&gt;"",ROW(CB$7:CB$378)-ROW(CB$7)+1),ROWS(CB$7:CB46))),"")</f>
        <v/>
      </c>
      <c r="AA47" s="4" t="str">
        <f t="array" ref="AA47">IFERROR(INDEX(CC$7:CC$378,SMALL(IF(CC$7:CC$378&lt;&gt;"",ROW(CC$7:CC$378)-ROW(CC$7)+1),ROWS(CC$7:CC46))),"")</f>
        <v/>
      </c>
      <c r="AB47" s="4" t="str">
        <f t="array" ref="AB47">IFERROR(INDEX(CD$7:CD$378,SMALL(IF(CD$7:CD$378&lt;&gt;"",ROW(CD$7:CD$378)-ROW(CD$7)+1),ROWS(CD$7:CD46))),"")</f>
        <v/>
      </c>
      <c r="AC47" s="4" t="str">
        <f t="array" ref="AC47">IFERROR(INDEX(CE$7:CE$378,SMALL(IF(CE$7:CE$378&lt;&gt;"",ROW(CE$7:CE$378)-ROW(CE$7)+1),ROWS(CE$7:CE46))),"")</f>
        <v/>
      </c>
      <c r="AD47" s="4"/>
      <c r="AE47" s="4"/>
      <c r="AF47" s="4"/>
      <c r="AG47" s="4"/>
      <c r="AH47" s="4"/>
      <c r="AI47" s="4"/>
      <c r="AJ47" s="46" t="str">
        <f>IF(Atletas!D43="","",IF(Atletas!B43="Feminino",100,IF(Atletas!B43="Masculino",200,""))+(IF(Atletas!D43="Infantil 39kg",1,IF(Atletas!D43="Infantil 42kg",2,IF(Atletas!D43="Infantil 45kg",3,IF(Atletas!D43="Infantil 48kg",4,IF(Atletas!D43="Infantil 52kg",5,IF(Atletas!D43="Infantil 56kg",6,IF(Atletas!D43="Infantil 60kg",7,IF(Atletas!D43="Juvenil 48kg",8,IF(Atletas!D43="Juvenil 52kg",9,IF(Atletas!D43="Juvenil 56kg",10,IF(Atletas!D43="Juvenil 60kg",11,IF(Atletas!D43="Juvenil 65kg",12,IF(Atletas!D43="Juvenil 70kg",13,IF(Atletas!D43="Juvenil 75kg",14,IF(Atletas!D43="Juvenil 80kg",15,IF(Atletas!D43="Adulto 48kg",16,IF(Atletas!D43="Adulto 52kg",17,IF(Atletas!D43="Adulto 56kg",18,IF(Atletas!D43="Adulto 60kg",19,IF(Atletas!D43="Adulto 65kg",20,IF(Atletas!D43="Adulto 70kg",21,IF(Atletas!D43="Adulto 75kg",22,IF(Atletas!D43="Adulto 80kg",23,IF(Atletas!D43="Adulto 85kg",24,IF(Atletas!D43="Adulto 90kg",25,IF(Atletas!D43="Adulto +90kg",26,""))))))))))))))))))))))))))))</f>
        <v/>
      </c>
      <c r="AO47" s="10" t="str">
        <f>IF(Atletas!E43="","",IF(Atletas!B43="Feminino",100,IF(Atletas!B43="Masculino",200,""))+(IF(Atletas!E43="Juvenil 44kg",1,IF(Atletas!E43="Juvenil 48kg",2,IF(Atletas!E43="Juvenil 52kg",3,IF(Atletas!E43="Juvenil 56kg",4,IF(Atletas!E43="Juvenil 60kg",5,IF(Atletas!E43="Juvenil 65kg",6,IF(Atletas!E43="Juvenil 70kg",7,IF(Atletas!E43="Juvenil 75kg",8,IF(Atletas!E43="Juvenil 82kg",9,IF(Atletas!E43="Juvenil 90kg",10,IF(Atletas!E43="Juvenil 100kg",11,IF(Atletas!E43="Adulto 48kg",12,IF(Atletas!E43="Adulto 52kg",13,IF(Atletas!E43="Adulto 56kg",14,IF(Atletas!E43="Adulto 60kg",15,IF(Atletas!E43="Adulto 65kg",16,IF(Atletas!E43="Adulto 70kg",17,IF(Atletas!E43="Adulto 75kg",18,IF(Atletas!E43="Adulto 82kg",19,IF(Atletas!E43="Adulto 90kg",20,IF(Atletas!E43="Adulto 100kg",21,IF(Atletas!E43="Adulto +100kg",22,""))))))))))))))))))))))))</f>
        <v/>
      </c>
      <c r="AT47" s="10" t="str">
        <f>IF(Atletas!F43="","",IF(Atletas!B43="Feminino",100,IF(Atletas!B43="Masculino",200,""))+(IF(Atletas!F43="Adulto 48kg",1,IF(Atletas!F43="Adulto 56kg",2,IF(Atletas!F43="Adulto 65kg",3,IF(Atletas!F43="Adulto 75kg",4,IF(Atletas!F43="Adulto +75kg",5,IF(Atletas!F43="Adulto 52kg",6,IF(Atletas!F43="Adulto 60kg",7,IF(Atletas!F43="Adulto 70kg",8,IF(Atletas!F43="Adulto 80kg",9,IF(Atletas!F43="Adulto 90kg",10,IF(Atletas!F43="Adulto +90kg",11,"")))))))))))))</f>
        <v/>
      </c>
      <c r="AY47" s="46" t="str">
        <f>IF(Atletas!G43="","",IF(Atletas!B43="Feminino",100,IF(Atletas!B43="Masculino",200,""))+(IF(Atletas!G43="Changquan Mirim",1,IF(Atletas!G43="Nanquan Mirim",2,IF(Atletas!G43="Taijiquan Mirim",3,IF(Atletas!G43="Changquan Grupo C",4,IF(Atletas!G43="Nanquan Grupo C",5,IF(Atletas!G43="Taijiquan Grupo C",6,IF(Atletas!G43="Changquan Grupo B",7,IF(Atletas!G43="Nanquan Grupo B",8,IF(Atletas!G43="Taijiquan Grupo B",9,IF(Atletas!G43="Changquan Grupo A",10,IF(Atletas!G43="Nanquan Grupo A",11,IF(Atletas!G43="Taijiquan Grupo A",12,IF(Atletas!G43="Changquan Opcional",13,IF(Atletas!G43="Nanquan Opcional",14,IF(Atletas!G43="Taijiquan Opcional",15,IF(Atletas!G43="Changquan Adulto",16,IF(Atletas!G43="Nanquan Adulto",17,IF(Atletas!G43="Taijiquan Adulto",18,""))))))))))))))))))))</f>
        <v/>
      </c>
      <c r="AZ47" s="46" t="str">
        <f>IF(Atletas!H43="","",IF(Atletas!B43="Feminino",100,IF(Atletas!B43="Masculino",200,""))+(IF(Atletas!H43="Daoshu Mirim",19,IF(Atletas!H43="Jianshu Mirim",20,IF(Atletas!H43="Nandao Mirim",21,IF(Atletas!H43="Taijijian Mirim",22,IF(Atletas!H43="Daoshu Grupo C",23,IF(Atletas!H43="Jianshu Grupo C",24,IF(Atletas!H43="Nandao Grupo C",25,IF(Atletas!H43="Taijijian Grupo C",26,IF(Atletas!H43="Daoshu Grupo B",27,IF(Atletas!H43="Jianshu Grupo B",28,IF(Atletas!H43="Nandao Grupo B",29,IF(Atletas!H43="Taijijian Grupo B",30,IF(Atletas!H43="Daoshu Grupo A",31,IF(Atletas!H43="Jianshu Grupo A",32,IF(Atletas!H43="Nandao Grupo A",33,IF(Atletas!H43="Taijijian Grupo A",34,IF(Atletas!H43="Daoshu Opcional",35,IF(Atletas!H43="Jianshu Opcional",36,IF(Atletas!H43="Nandao Opcional",37,IF(Atletas!H43="Taijijian Opcional",38,IF(Atletas!H43="Daoshu Adulto",39,IF(Atletas!H43="Jianshu Adulto",40,IF(Atletas!H43="Nandao Adulto",41,IF(Atletas!H43="Taijijian Adulto",42,""))))))))))))))))))))))))))</f>
        <v/>
      </c>
      <c r="BA47" s="46" t="str">
        <f>IF(Atletas!I43="","",IF(Atletas!B43="Feminino",100,IF(Atletas!B43="Masculino",200,""))+(IF(Atletas!I43="Gunshu Mirim",43,IF(Atletas!I43="Qiangshu Mirim",44,IF(Atletas!I43="Nangun Mirim",45,IF(Atletas!I43="Gunshu Grupo C",46,IF(Atletas!I43="Qiangshu Grupo C",47,IF(Atletas!I43="Nangun Grupo C",48,IF(Atletas!I43="Gunshu Grupo B",49,IF(Atletas!I43="Qiangshu Grupo B",50,IF(Atletas!I43="Nangun Grupo B",51,IF(Atletas!I43="Gunshu Grupo A",52,IF(Atletas!I43="Qiangshu Grupo A",53,IF(Atletas!I43="Nangun Grupo A",54,IF(Atletas!I43="Gunshu Opcional",55,IF(Atletas!I43="Qiangshu Opcional",56,IF(Atletas!I43="Nangun Opcional",57,IF(Atletas!I43="Gunshu Adulto",58,IF(Atletas!I43="Qiangshu Adulto",59,IF(Atletas!I43="Nangun Adulto",60,""))))))))))))))))))))</f>
        <v/>
      </c>
      <c r="BB47" s="10" t="str">
        <f>IF(BC47&lt;&gt;"","Chanquan Opcional","")</f>
        <v/>
      </c>
      <c r="BC47" s="52" t="str">
        <f>IF(COUNTIF(AY:BA,113)&gt;0,COUNTIF(AY:BA,113),"")</f>
        <v/>
      </c>
      <c r="BD47" s="10" t="str">
        <f>IF(BE47&lt;&gt;"","Chanquan Opcional","")</f>
        <v/>
      </c>
      <c r="BE47" s="52" t="str">
        <f>IF(COUNTIF(AY:BA,213)&gt;0,COUNTIF(AY:BA,213),"")</f>
        <v/>
      </c>
      <c r="BF47" s="52" t="str">
        <f>IF(Atletas!J43="","",IF(Atletas!B43="Feminino",100,IF(Atletas!B43="Masculino",200,""))+(IF(Atletas!J43="Equipe 1 Grupo B",1,IF(Atletas!J43="Equipe 2 Grupo B",2,IF(Atletas!J43="Equipe 1 Grupo A",3,IF(Atletas!J43="Equipe 2 Grupo A",4,IF(Atletas!J43="Equipe 1 Adulto",5,IF(Atletas!J43="Equipe 2 Adulto",6,""))))))))</f>
        <v/>
      </c>
      <c r="BK47" s="52" t="str">
        <f>IF(Atletas!K43="","",IF(Atletas!W43&lt;&gt;"",10000,0)+(IF(Atletas!B43="Feminino",1000,IF(Atletas!B43="Masculino",2000,""))+IF(Atletas!K43="Choylayfut A",1,IF(Atletas!K43="Hunggar A",2,IF(Atletas!K43="Wuzuquan A",3,IF(Atletas!K43="Wingchun A",4,IF(Atletas!K43="Outra Mão de Sul A",5,IF(Atletas!K43="Choylayfut B",6,IF(Atletas!K43="Hunggar B",7,IF(Atletas!K43="Wuzuquan B",8,IF(Atletas!K43="Wingchun B",9,IF(Atletas!K43="Outra Mão de Sul B",10,IF(Atletas!K43="Choylayfut C",11,IF(Atletas!K43="Hunggar C",12,IF(Atletas!K43="Wuzuquan C",13,IF(Atletas!K43="Wingchun C",14,IF(Atletas!K43="Outra Mão de Sul C",15,IF(Atletas!K43="Choylayfut D",16,IF(Atletas!K43="Hunggar D",17,IF(Atletas!K43="Wuzuquan D",18,IF(Atletas!K43="Wingchun D",19,IF(Atletas!K43="Outra Mão de Sul D",20,IF(Atletas!K43="Choylayfut E",21,IF(Atletas!K43="Hunggar E",22,IF(Atletas!K43="Wuzuquan E",23,IF(Atletas!K43="Wingchun E",24,IF(Atletas!K43="Outra Mão de Sul E",25,IF(Atletas!K43="Choylayfut F",26,IF(Atletas!K43="Hunggar F",27,IF(Atletas!K43="Wuzuquan F",28,IF(Atletas!K43="Wingchun F",29,IF(Atletas!K43="Outra Mão de Sul F",30,""))))))))))))))))))))))))))))))))</f>
        <v/>
      </c>
      <c r="BL47" s="52" t="str">
        <f>IF(Atletas!L43="","",IF(Atletas!W43&lt;&gt;"",10000,0)+(IF(Atletas!B43="Feminino",1000,IF(Atletas!B43="Masculino",2000,""))+(IF(Atletas!L43="Chaquan A",101,IF(Atletas!L43="Emeiquan A",102,IF(Atletas!L43="Fanziquan A",103,IF(Atletas!L43="Huaquan A",104,IF(Atletas!L43="Hongquan A",105,IF(Atletas!L43="Paochui A",106,IF(Atletas!L43="Piguaquan A",107,IF(Atletas!L43="Shaolinquan A",108,IF(Atletas!L43="Tanglangquan A",109,IF(Atletas!L43="Yinzhaophai A",110,IF(Atletas!L43="Tongbeiquan A",111,IF(Atletas!L43="Wudangquan A",112,IF(Atletas!L43="Outros Estilos A",113,IF(Atletas!L43="Chaquan B",114,IF(Atletas!L43="Emeiquan B",115,IF(Atletas!L43="Fanziquan B",116,IF(Atletas!L43="Huaquan B",117,IF(Atletas!L43="Hongquan B",118,IF(Atletas!L43="Paochui B",119,IF(Atletas!L43="Piguaquan B",120,IF(Atletas!L43="Shaolinquan B",121,IF(Atletas!L43="Tanglangquan B",122,IF(Atletas!L43="Yinzhaophai B",123,IF(Atletas!L43="Tongbeiquan B",124,IF(Atletas!L43="Wudangquan B",125,IF(Atletas!L43="Outros Estilos B",126,IF(Atletas!L43="Chaquan C",127,IF(Atletas!L43="Emeiquan C",128,IF(Atletas!L43="Fanziquan C",129,IF(Atletas!L43="Huaquan C",130,IF(Atletas!L43="Hongquan C",131,IF(Atletas!L43="Paochui C",132,IF(Atletas!L43="Piguaquan C",133,IF(Atletas!L43="Shaolinquan C",134,IF(Atletas!L43="Tanglangquan C",135,IF(Atletas!L43="Yinzhaophai C",136,IF(Atletas!L43="Tongbeiquan C",137,IF(Atletas!L43="Wudangquan C",138,IF(Atletas!L43="Outros Estilos C",139,0))))))))))))))))))))))))))))))))))))))))))</f>
        <v/>
      </c>
      <c r="BM47" s="52" t="str">
        <f>IF(Atletas!L43="","",IF(Atletas!W43&lt;&gt;"",10000,0)+(IF(Atletas!B43="Feminino",1000,IF(Atletas!B43="Masculino",2000,""))+(IF(Atletas!L43="Chaquan D",140,IF(Atletas!L43="Emeiquan D",141,IF(Atletas!L43="Fanziquan D",142,IF(Atletas!L43="Huaquan D",143,IF(Atletas!L43="Hongquan D",144,IF(Atletas!L43="Paochui D",145,IF(Atletas!L43="Piguaquan D",146,IF(Atletas!L43="Shaolinquan D",147,IF(Atletas!L43="Tanglangquan D",148,IF(Atletas!L43="Yinzhaophai D",149,IF(Atletas!L43="Tongbeiquan D",150,IF(Atletas!L43="Wudangquan D",151,IF(Atletas!L43="Outros Estilos D",152,IF(Atletas!L43="Chaquan E",153,IF(Atletas!L43="Emeiquan E",154,IF(Atletas!L43="Fanziquan E",155,IF(Atletas!L43="Huaquan E",156,IF(Atletas!L43="Hongquan E",157,IF(Atletas!L43="Paochui E",158,IF(Atletas!L43="Piguaquan E",159,IF(Atletas!L43="Shaolinquan E",160,IF(Atletas!L43="Tanglangquan E",161,IF(Atletas!L43="Yinzhaophai E",162,IF(Atletas!L43="Tongbeiquan E",163,IF(Atletas!L43="Wudangquan E",164,IF(Atletas!L43="Outros Estilos E",165,IF(Atletas!L43="Chaquan F",166,IF(Atletas!L43="Emeiquan F",167,IF(Atletas!L43="Fanziquan F",168,IF(Atletas!L43="Huaquan F",169,IF(Atletas!L43="Hongquan F",170,IF(Atletas!L43="Paochui F",171,IF(Atletas!L43="Piguaquan F",172,IF(Atletas!L43="Shaolinquan F",173,IF(Atletas!L43="Tanglangquan F",174,IF(Atletas!L43="Yinzhaophai F",175,IF(Atletas!L43="Tongbeiquan F",176,IF(Atletas!L43="Wudangquan F",177,IF(Atletas!L43="Outros Estilos F",178,0))))))))))))))))))))))))))))))))))))))))))</f>
        <v/>
      </c>
      <c r="BN47" s="52" t="str">
        <f>IF(Atletas!M43="","",IF(Atletas!W43&lt;&gt;"",10000,0)+(IF(Atletas!B43="Feminino",1000,IF(Atletas!B43="Masculino",2000,""))+(IF(Atletas!M43="Ditangquan A",201,IF(Atletas!M43="Houquan A",202,IF(Atletas!M43="Zuiquan A",203,IF(Atletas!M43="Ditangquan B",204,IF(Atletas!M43="Houquan B",205,IF(Atletas!M43="Zuiquan B",206,IF(Atletas!M43="Ditangquan C",207,IF(Atletas!M43="Houquan C",208,IF(Atletas!M43="Zuiquan C",209,IF(Atletas!M43="Ditangquan D",210,IF(Atletas!M43="Houquan D",211,IF(Atletas!M43="Zuiquan D",212,IF(Atletas!M43="Ditangquan E",213,IF(Atletas!M43="Houquan E",214,IF(Atletas!M43="Zuiquan E",215,IF(Atletas!M43="Ditangquan F",216,IF(Atletas!M43="Houquan F",217,IF(Atletas!M43="Zuiquan F",218,"")))))))))))))))))))))</f>
        <v/>
      </c>
      <c r="BO47" s="52" t="str">
        <f>IF(Atletas!N43="","",IF(Atletas!W43&lt;&gt;"",10000,0)+IF(Atletas!B43="Feminino",1000,IF(Atletas!B43="Masculino",2000,""))+IF(Atletas!N43="Yang A",301,IF(Atletas!N43="Chen A",30,IF(Atletas!N43="Sun A",303,IF(Atletas!N43="Wu A",304,IF(Atletas!N43="Wu-Hao A",305,IF(Atletas!N43="Outro Taijiquan A",306,IF(Atletas!N43="Yang B",307,IF(Atletas!N43="Chen B",308,IF(Atletas!N43="Sun B",309,IF(Atletas!N43="Wu B",310,IF(Atletas!N43="Wu-Hao B",311,IF(Atletas!N43="Outro Taijiquan B",312,IF(Atletas!N43="Yang C",313,IF(Atletas!N43="Chen C",314,IF(Atletas!N43="Sun C",315,IF(Atletas!N43="Wu C",316,IF(Atletas!N43="Wu-Hao C",317,IF(Atletas!N43="Outro Taijiquan C",318,IF(Atletas!N43="Yang D",319,IF(Atletas!N43="Chen D",320,IF(Atletas!N43="Sun D",321,IF(Atletas!N43="Wu D",322,IF(Atletas!N43="Wu-Hao D",323,IF(Atletas!N43="Outro Taijiquan D",324,IF(Atletas!N43="Yang E",325,IF(Atletas!N43="Chen E",326,IF(Atletas!N43="Sun E",327,IF(Atletas!N43="Wu E",328,IF(Atletas!N43="Wu-Hao E",329,IF(Atletas!N43="Outro Taijiquan E",330,IF(Atletas!N43="Yang F",331,IF(Atletas!N43="Chen F",332,IF(Atletas!N43="Sun F",333,IF(Atletas!N43="Wu F",334,IF(Atletas!N43="Wu-Hao F",335,IF(Atletas!N43="Outro Taijiquan F",336,"")))))))))))))))))))))))))))))))))))))</f>
        <v/>
      </c>
      <c r="BP47" s="52" t="str">
        <f>IF(Atletas!O43="","",IF(Atletas!W43&lt;&gt;"",10000,0)+IF(Atletas!B43="Feminino",1000,IF(Atletas!B43="Masculino",2000,""))+IF(OR(Atletas!O43="Yang 26 A",Atletas!O43="Yang 40 A"),401,IF(OR(Atletas!O43="Chen 25 A",Atletas!O43="Chen 36 A",Atletas!O43="Chen 56 A"),402,IF(Atletas!O43="Sun 73 A",403,IF(Atletas!O43="Wu 45 A",404,IF(Atletas!O43="Wu-Hao 46 A",405,IF(OR(Atletas!O43="Taijiquan 16 A",Atletas!O43="Taijiquan 24 A",Atletas!O43="Taijiquan 32 A",Atletas!O43="Taijiquan 42 A"),406,IF(OR(Atletas!O43="Yang 26 B",Atletas!O43="Yang 40 B"),407,IF(OR(Atletas!O43="Chen 25 B",Atletas!O43="Chen 36 B",Atletas!O43="Chen 56 B"),408,IF(Atletas!O43="Sun 73 B",409,IF(Atletas!O43="Wu 45 B",410,IF(Atletas!O43="Wu-Hao 46 B",411,IF(OR(Atletas!O43="Taijiquan 16 B",Atletas!O43="Taijiquan 24 B",Atletas!O43="Taijiquan 32 B",Atletas!O43="Taijiquan 42 B"),412,IF(OR(Atletas!O43="Yang 26 C",Atletas!O43="Yang 40 C"),413,IF(OR(Atletas!O43="Chen 25 C",Atletas!O43="Chen 36 C",Atletas!O43="Chen 56 C"),414,IF(Atletas!O43="Sun 73 C",415,IF(Atletas!O43="Wu 45 C",416,IF(Atletas!O43="Wu-Hao 46 C",417,IF(OR(Atletas!O43="Taijiquan 16 C",Atletas!O43="Taijiquan 24 C",Atletas!O43="Taijiquan 32 C",Atletas!O43="Taijiquan 42 C"),418,0)))))))))))))))))))</f>
        <v/>
      </c>
      <c r="BQ47" s="52" t="str">
        <f>IF(Atletas!O43="","",IF(Atletas!W43&lt;&gt;"",10000,0)+IF(Atletas!B43="Feminino",1000,IF(Atletas!B43="Masculino",2000,""))+IF(OR(Atletas!O43="Yang 26 D",Atletas!O43="Yang 40 D"),419,IF(OR(Atletas!O43="Chen 25 D",Atletas!O43="Chen 36 D",Atletas!O43="Chen 56 D"),420,IF(Atletas!O43="Sun 73 D",421,IF(Atletas!O43="Wu 45 D",422,IF(Atletas!O43="Wu-Hao 46 D",423,IF(OR(Atletas!O43="Taijiquan 16 D",Atletas!O43="Taijiquan 24 D",Atletas!O43="Taijiquan 32 D",Atletas!O43="Taijiquan 42 D"),424,IF(OR(Atletas!O43="Yang 26 E",Atletas!O43="Yang 40 E"),425,IF(OR(Atletas!O43="Chen 25 E",Atletas!O43="Chen 36 E",Atletas!O43="Chen 56 E"),426,IF(Atletas!O43="Sun 73 E",427,IF(Atletas!O43="Wu 45 E",428,IF(Atletas!O43="Wu-Hao 46 E",429,IF(OR(Atletas!O43="Taijiquan 16 E",Atletas!O43="Taijiquan 24 E",Atletas!O43="Taijiquan 32 E",Atletas!O43="Taijiquan 42 E"),430,IF(OR(Atletas!O43="Yang 26 F",Atletas!O43="Yang 40 F"),431,IF(OR(Atletas!O43="Chen 25 F",Atletas!O43="Chen 36 F",Atletas!O43="Chen 56 F"),432,IF(Atletas!O43="Sun 73 F",433,IF(Atletas!O43="Wu 45 F",434,IF(Atletas!O43="Wu-Hao 46 F",435,IF(OR(Atletas!O43="Taijiquan 16 F",Atletas!O43="Taijiquan 24 F",Atletas!O43="Taijiquan 32 F",Atletas!O43="Taijiquan 42 F"),436,0)))))))))))))))))))</f>
        <v/>
      </c>
      <c r="BR47" s="52" t="str">
        <f>IF(Atletas!P43="","",IF(Atletas!W43&lt;&gt;"",10000,0)+IF(Atletas!B43="Feminino",1000,IF(Atletas!B43="Masculino",2000,""))+IF(Atletas!P43="Xingyiquan A",501,IF(Atletas!P43="Baguazhang A",502,IF(Atletas!P43="Outro Estilo Interno A",503,IF(Atletas!P43="Xingyiquan B",504,IF(Atletas!P43="Baguazhang B",505,IF(Atletas!P43="Outro Estilo Interno B",506,IF(Atletas!P43="Xingyiquan C",507,IF(Atletas!P43="Baguazhang C",508,IF(Atletas!P43="Outro Estilo Interno C",509,IF(Atletas!P43="Xingyiquan D",510,IF(Atletas!P43="Baguazhang D",511,IF(Atletas!P43="Outro Estilo Interno D",512,IF(Atletas!P43="Xingyiquan E",513,IF(Atletas!P43="Baguazhang E",514,IF(Atletas!P43="Outro Estilo Interno E",515,IF(Atletas!P43="Xingyiquan F",516,IF(Atletas!P43="Baguazhang F",517,IF(Atletas!P43="Outro Estilo Interno F",518, "")))))))))))))))))))</f>
        <v/>
      </c>
      <c r="BS47" s="52" t="str">
        <f>IF(Atletas!Q43="","",IF(Atletas!W43&lt;&gt;"",10000,0)+IF(Atletas!B43="Feminino",1000,IF(Atletas!B43="Masculino",2000,""))+IF(Atletas!Q43="Dao A",601,IF(Atletas!Q43="Jian A",602,IF(Atletas!Q43="Bishou A",603,IF(Atletas!Q43="Shan A",604,IF(Atletas!Q43="Outra Arma Curta A",605,IF(Atletas!Q43="Dao B",606,IF(Atletas!Q43="Jian B",607,IF(Atletas!Q43="Bishou B",608,IF(Atletas!Q43="Shan B",609,IF(Atletas!Q43="Outra Arma Curta B",610,IF(Atletas!Q43="Dao C",611,IF(Atletas!Q43="Jian C",612,IF(Atletas!Q43="Bishou C",613,IF(Atletas!Q43="Shan C",614,IF(Atletas!Q43="Outra Arma Curta C",615,IF(Atletas!Q43="Dao D",616,IF(Atletas!Q43="Jian D",617,IF(Atletas!Q43="Bishou D",618,IF(Atletas!Q43="Shan D",619,IF(Atletas!Q43="Outra Arma Curta D",620,IF(Atletas!Q43="Dao E",621,IF(Atletas!Q43="Jian E",622,IF(Atletas!Q43="Bishou E",623,IF(Atletas!Q43="Shan E",624,IF(Atletas!Q43="Outra Arma Curta E",625,IF(Atletas!Q43="Dao F",626,IF(Atletas!Q43="Jian F",627,IF(Atletas!Q43="Bishou F",628,IF(Atletas!Q43="Shan F",629,IF(Atletas!Q43="Outra Arma Curta F",630, "")))))))))))))))))))))))))))))))</f>
        <v/>
      </c>
      <c r="BT47" s="52" t="str">
        <f>IF(Atletas!R43="","",IF(Atletas!W43&lt;&gt;"",10000,0)+IF(Atletas!B43="Feminino",1000,IF(Atletas!B43="Masculino",2000,""))+IF(Atletas!R43="Gun A",701,IF(Atletas!R43="Qiang A",702,IF(Atletas!R43="Pudao / Guandao A",703,IF(Atletas!R43="Outra Arma Longa A",704,IF(Atletas!R43="Gun B",705,IF(Atletas!R43="Qiang B",706,IF(Atletas!R43="Pudao / Guandao B",707,IF(Atletas!R43="Outra Arma Longa B",708,IF(Atletas!R43="Gun C",709,IF(Atletas!R43="Qiang C",710,IF(Atletas!R43="Pudao / Guandao C",711,IF(Atletas!R43="Outra Arma Longa C",712,IF(Atletas!R43="Gun D",713,IF(Atletas!R43="Qiang D",714,IF(Atletas!R43="Pudao / Guandao D",715,IF(Atletas!R43="Outra Arma Longa D",716,IF(Atletas!R43="Gun E",717,IF(Atletas!R43="Qiang E",718,IF(Atletas!R43="Pudao / Guandao E",719,IF(Atletas!R43="Outra Arma Longa E",720,IF(Atletas!R43="Gun F",721,IF(Atletas!R43="Qiang F",722,IF(Atletas!R43="Pudao / Guandao F",723,IF(Atletas!R43="Outra Arma Longa F",724,"")))))))))))))))))))))))))</f>
        <v/>
      </c>
      <c r="BU47" s="52" t="str">
        <f>IF(Atletas!S43="","",IF(Atletas!W43&lt;&gt;"",10000,0)+IF(Atletas!B43="Feminino",1000,IF(Atletas!B43="Masculino",2000,""))+IF(Atletas!S43="Arma Dupla A",801,IF(Atletas!S43="Arma Maleável A",802,IF(Atletas!S43="Arma Dupla B",803,IF(Atletas!S43="Arma Maleável B",804,IF(Atletas!S43="Arma Dupla C",805,IF(Atletas!S43="Arma Maleável C",806,IF(Atletas!S43="Arma Dupla D",807,IF(Atletas!S43="Arma Maleável D",808,IF(Atletas!S43="Arma Dupla E",809,IF(Atletas!S43="Arma Maleável E",810,IF(Atletas!S43="Arma Dupla F",811,IF(Atletas!S43="Arma Maleável F",812, "")))))))))))))</f>
        <v/>
      </c>
      <c r="BV47" s="52" t="str">
        <f>IF(Atletas!T43="","",IF(Atletas!W43&lt;&gt;"",10000,0)+IF(Atletas!B43="Feminino",1000,IF(Atletas!B43="Masculino",2000,""))+IF(Atletas!T43="Taijijian Yang A",901,IF(Atletas!T43="Taijijian Chen A",902,IF(Atletas!T43="Taijijian Sun A",903,IF(Atletas!T43="Taijijian Wu A",904,IF(Atletas!T43="Taijijian Wu-Hao A",905,IF(Atletas!T43="Taijijian 32 A",906,IF(Atletas!T43="Taijijian 42 A",907,IF(Atletas!T43="Taijijian Yang B",908,IF(Atletas!T43="Taijijian Chen B",909,IF(Atletas!T43="Taijijian Sun B",910,IF(Atletas!T43="Taijijian Wu B",911,IF(Atletas!T43="Taijijian Wu-Hao B",912,IF(Atletas!T43="Taijijian 32 B",913,IF(Atletas!T43="Taijijian 42 B",914,IF(Atletas!T43="Taijijian Yang C",915,IF(Atletas!T43="Taijijian Chen C",916,IF(Atletas!T43="Taijijian Sun C",917,IF(Atletas!T43="Taijijian Wu C",918,IF(Atletas!T43="Taijijian Wu-Hao C",919,IF(Atletas!T43="Taijijian 32 C",920,IF(Atletas!T43="Taijijian 42 C",921,IF(Atletas!T43="Taijijian Yang D",922,IF(Atletas!T43="Taijijian Chen D",923,IF(Atletas!T43="Taijijian Sun D",924,IF(Atletas!T43="Taijijian Wu D",925,IF(Atletas!T43="Taijijian Wu-Hao D",926,IF(Atletas!T43="Taijijian 32 D",927,IF(Atletas!T43="Taijijian 42 D",928,IF(Atletas!T43="Taijijian Yang E",929,IF(Atletas!T43="Taijijian Chen E",930,IF(Atletas!T43="Taijijian Sun E",931,IF(Atletas!T43="Taijijian Wu E",932,IF(Atletas!T43="Taijijian Wu-Hao E",933,IF(Atletas!T43="Taijijian 32 E",934,IF(Atletas!T43="Taijijian 42 E",935,IF(Atletas!T43="Taijijian Yang F",936,IF(Atletas!T43="Taijijian Chen F",937,IF(Atletas!T43="Taijijian Sun F",938,IF(Atletas!T43="Taijijian Wu F",939,IF(Atletas!T43="Taijijian Wu-Hao F",940,IF(Atletas!T43="Taijijian 32 F",941,IF(Atletas!T43="Taijijian 42 F",942,"")))))))))))))))))))))))))))))))))))))))))))</f>
        <v/>
      </c>
      <c r="BW47" s="52" t="str">
        <f>IF(Atletas!U43="","",IF(Atletas!W43&lt;&gt;"",10000,0)+IF(Atletas!B43="Feminino",1000,IF(Atletas!B43="Masculino",2000,""))+IF(Atletas!T43="Taijijian 42 F",942,IF(Atletas!U43="Taijidao A",943,IF(Atletas!U43="Taijishan A",944,IF(Atletas!U43="Taijiqiang A",945,IF(Atletas!U43="Taijidao B",946,IF(Atletas!U43="Taijishan B",947,IF(Atletas!U43="Taijiqiang B",948,IF(Atletas!U43="Taijidao C",949,IF(Atletas!U43="Taijishan C",950,IF(Atletas!U43="Taijiqiang C",951,IF(Atletas!U43="Taijidao D",952,IF(Atletas!U43="Taijishan D",953,IF(Atletas!U43="Taijiqiang D",954,IF(Atletas!U43="Taijidao E",955,IF(Atletas!U43="Taijishan E",956,IF(Atletas!U43="Taijiqiang E",957,IF(Atletas!U43="Taijidao F",958,IF(Atletas!U43="Taijishan F",959,IF(Atletas!U43="Taijiqiang F",960))))))))))))))))))))</f>
        <v/>
      </c>
      <c r="BX47" s="64" t="str">
        <f>IF(BY47&lt;&gt;"","Tongbeiquan A","")</f>
        <v/>
      </c>
      <c r="BY47" s="64" t="str">
        <f>IF(COUNTIF(BK:BW,1111)&gt;0,COUNTIF(BK:BW,1111),"")</f>
        <v/>
      </c>
      <c r="BZ47" s="64" t="str">
        <f>IF(CA47&lt;&gt;"","Tongbeiquan A","")</f>
        <v/>
      </c>
      <c r="CA47" s="64" t="str">
        <f>IF(COUNTIF(BK:BW,2111)&gt;0,COUNTIF(BK:BW,2111),"")</f>
        <v/>
      </c>
      <c r="CB47" s="64" t="str">
        <f>IF(CC47&lt;&gt;"","Tongbeiquan A","")</f>
        <v/>
      </c>
      <c r="CC47" s="64" t="str">
        <f>IF(COUNTIF(BK:BW,11111)&gt;0,COUNTIF(BK:BW,11111),"")</f>
        <v/>
      </c>
      <c r="CD47" s="64" t="str">
        <f>IF(CE47&lt;&gt;"","Tongbeiquan A","")</f>
        <v/>
      </c>
      <c r="CE47" s="64" t="str">
        <f>IF(COUNTIF(BK:BW,12111)&gt;0,COUNTIF(BK:BW,12111),"")</f>
        <v/>
      </c>
      <c r="CF47" s="52" t="str">
        <f xml:space="preserve"> IF(Atletas!V43="","",IF(Atletas!V43="Duilian de Mãos AB - Equipe 1",1,IF(Atletas!V43="Duilian de Mãos AB - Equipe 2",2,IF(Atletas!V43="Duilian de Armas AB - Equipe 1",3,IF(Atletas!V43="Duilian de Armas AB - Equipe 2",4,IF(Atletas!V43="Duilian de Tuishou - Equipe 1",5,IF(Atletas!V43="Duilian de Tuishou - Equipe 2",6,IF(Atletas!V43="Grupo Externo AB - Equipe 1",7,IF(Atletas!V43="Grupo Externo AB - Equipe 2",8,IF(Atletas!V43="Grupo Interno AB - Equipe 1",9,IF(Atletas!V43="Grupo Interno AB - Equipe 2",10,IF(Atletas!V43="Duilian de Mãos CD - Equipe 1",11,IF(Atletas!V43="Duilian de Mãos CD - Equipe 2",12,IF(Atletas!V43="Duilian de Armas CD - Equipe 1",13,IF(Atletas!V43="Duilian de Armas CD - Equipe 2",14,IF(Atletas!V43="Duilian de Tuishou - Equipe 1",15,IF(Atletas!V43="Duilian de Tuishou - Equipe 2",16,IF(Atletas!V43="Grupo Externo CDEF - Equipe 1",17,IF(Atletas!V43="Grupo Externo CDEF - Equipe 2",18,IF(Atletas!V43="Grupo Interno CDEF - Equipe 1",19,IF(Atletas!V43="Grupo Interno CDEF - Equipe 2",20,IF(Atletas!V43="Duilian de Mãos EF - Equipe 1",21,IF(Atletas!V43="Duilian de Mãos EF - Equipe 2",22,IF(Atletas!V43="Duilian de Armas EF - Equipe 1",23,IF(Atletas!V43="Duilian de Armas EF - Equipe 2",24,IF(Atletas!V43="Duilian de Tuishou - Equipe 1",25,IF(Atletas!V43="Duilian de Tuishou - Equipe 2",26,"")))))))))))))))))))))))))))</f>
        <v/>
      </c>
      <c r="CR47" s="71"/>
    </row>
    <row r="48" spans="2:96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 t="str">
        <f t="array" ref="N48">IFERROR(INDEX(BB$7:BB$66,SMALL(IF(BB$7:BB$66&lt;&gt;"",ROW(BB$7:BB$66)-ROW(BB$7)+1),ROWS(BB$7:BB47))),"")</f>
        <v/>
      </c>
      <c r="O48" s="4" t="str">
        <f t="array" ref="O48">IFERROR(INDEX(BC$7:BC$66,SMALL(IF(BC$7:BC$66&lt;&gt;"",ROW(BC$7:BC$66)-ROW(BC$7)+1),ROWS(BC$7:BC47))),"")</f>
        <v/>
      </c>
      <c r="P48" s="4" t="str">
        <f t="array" ref="P48">IFERROR(INDEX(BD$7:BD$66,SMALL(IF(BD$7:BD$66&lt;&gt;"",ROW(BD$7:BD$66)-ROW(BD$7)+1),ROWS(BD$7:BD47))),"")</f>
        <v/>
      </c>
      <c r="Q48" s="4" t="str">
        <f t="array" ref="Q48">IFERROR(INDEX(BE$7:BE$66,SMALL(IF(BE$7:BE$66&lt;&gt;"",ROW(BE$7:BE$66)-ROW(BE$7)+1),ROWS(BE$7:BE47))),"")</f>
        <v/>
      </c>
      <c r="R48" s="4"/>
      <c r="S48" s="4"/>
      <c r="T48" s="31"/>
      <c r="U48" s="4"/>
      <c r="V48" s="4" t="str">
        <f t="array" ref="V48">IFERROR(INDEX(BX$7:BX$336,SMALL(IF(BX$7:BX$336&lt;&gt;"",ROW(BX$7:BX$336)-ROW(BX$7)+1),ROWS(BX$7:BX47))),"")</f>
        <v/>
      </c>
      <c r="W48" s="4" t="str">
        <f t="array" ref="W48">IFERROR(INDEX(BY$7:BY$336,SMALL(IF(BY$7:BY$336&lt;&gt;"",ROW(BY$7:BY$336)-ROW(BY$7)+1),ROWS(BY$7:BY47))),"")</f>
        <v/>
      </c>
      <c r="X48" s="4" t="str">
        <f t="array" ref="X48">IFERROR(INDEX(BZ$7:BZ$336,SMALL(IF(BZ$7:BZ$336&lt;&gt;"",ROW(BZ$7:BZ$336)-ROW(BZ$7)+1),ROWS(BZ$7:BZ47))),"")</f>
        <v/>
      </c>
      <c r="Y48" s="4" t="str">
        <f t="array" ref="Y48">IFERROR(INDEX(CA$7:CA$336,SMALL(IF(CA$7:CA$336&lt;&gt;"",ROW(CA$7:CA$336)-ROW(CA$7)+1),ROWS(CA$7:CA47))),"")</f>
        <v/>
      </c>
      <c r="Z48" s="4" t="str">
        <f t="array" ref="Z48">IFERROR(INDEX(CB$7:CB$378,SMALL(IF(CB$7:CB$378&lt;&gt;"",ROW(CB$7:CB$378)-ROW(CB$7)+1),ROWS(CB$7:CB47))),"")</f>
        <v/>
      </c>
      <c r="AA48" s="4" t="str">
        <f t="array" ref="AA48">IFERROR(INDEX(CC$7:CC$378,SMALL(IF(CC$7:CC$378&lt;&gt;"",ROW(CC$7:CC$378)-ROW(CC$7)+1),ROWS(CC$7:CC47))),"")</f>
        <v/>
      </c>
      <c r="AB48" s="4" t="str">
        <f t="array" ref="AB48">IFERROR(INDEX(CD$7:CD$378,SMALL(IF(CD$7:CD$378&lt;&gt;"",ROW(CD$7:CD$378)-ROW(CD$7)+1),ROWS(CD$7:CD47))),"")</f>
        <v/>
      </c>
      <c r="AC48" s="4" t="str">
        <f t="array" ref="AC48">IFERROR(INDEX(CE$7:CE$378,SMALL(IF(CE$7:CE$378&lt;&gt;"",ROW(CE$7:CE$378)-ROW(CE$7)+1),ROWS(CE$7:CE47))),"")</f>
        <v/>
      </c>
      <c r="AD48" s="4"/>
      <c r="AE48" s="4"/>
      <c r="AF48" s="4"/>
      <c r="AG48" s="4"/>
      <c r="AH48" s="4"/>
      <c r="AI48" s="4"/>
      <c r="AJ48" s="46" t="str">
        <f>IF(Atletas!D44="","",IF(Atletas!B44="Feminino",100,IF(Atletas!B44="Masculino",200,""))+(IF(Atletas!D44="Infantil 39kg",1,IF(Atletas!D44="Infantil 42kg",2,IF(Atletas!D44="Infantil 45kg",3,IF(Atletas!D44="Infantil 48kg",4,IF(Atletas!D44="Infantil 52kg",5,IF(Atletas!D44="Infantil 56kg",6,IF(Atletas!D44="Infantil 60kg",7,IF(Atletas!D44="Juvenil 48kg",8,IF(Atletas!D44="Juvenil 52kg",9,IF(Atletas!D44="Juvenil 56kg",10,IF(Atletas!D44="Juvenil 60kg",11,IF(Atletas!D44="Juvenil 65kg",12,IF(Atletas!D44="Juvenil 70kg",13,IF(Atletas!D44="Juvenil 75kg",14,IF(Atletas!D44="Juvenil 80kg",15,IF(Atletas!D44="Adulto 48kg",16,IF(Atletas!D44="Adulto 52kg",17,IF(Atletas!D44="Adulto 56kg",18,IF(Atletas!D44="Adulto 60kg",19,IF(Atletas!D44="Adulto 65kg",20,IF(Atletas!D44="Adulto 70kg",21,IF(Atletas!D44="Adulto 75kg",22,IF(Atletas!D44="Adulto 80kg",23,IF(Atletas!D44="Adulto 85kg",24,IF(Atletas!D44="Adulto 90kg",25,IF(Atletas!D44="Adulto +90kg",26,""))))))))))))))))))))))))))))</f>
        <v/>
      </c>
      <c r="AO48" s="10" t="str">
        <f>IF(Atletas!E44="","",IF(Atletas!B44="Feminino",100,IF(Atletas!B44="Masculino",200,""))+(IF(Atletas!E44="Juvenil 44kg",1,IF(Atletas!E44="Juvenil 48kg",2,IF(Atletas!E44="Juvenil 52kg",3,IF(Atletas!E44="Juvenil 56kg",4,IF(Atletas!E44="Juvenil 60kg",5,IF(Atletas!E44="Juvenil 65kg",6,IF(Atletas!E44="Juvenil 70kg",7,IF(Atletas!E44="Juvenil 75kg",8,IF(Atletas!E44="Juvenil 82kg",9,IF(Atletas!E44="Juvenil 90kg",10,IF(Atletas!E44="Juvenil 100kg",11,IF(Atletas!E44="Adulto 48kg",12,IF(Atletas!E44="Adulto 52kg",13,IF(Atletas!E44="Adulto 56kg",14,IF(Atletas!E44="Adulto 60kg",15,IF(Atletas!E44="Adulto 65kg",16,IF(Atletas!E44="Adulto 70kg",17,IF(Atletas!E44="Adulto 75kg",18,IF(Atletas!E44="Adulto 82kg",19,IF(Atletas!E44="Adulto 90kg",20,IF(Atletas!E44="Adulto 100kg",21,IF(Atletas!E44="Adulto +100kg",22,""))))))))))))))))))))))))</f>
        <v/>
      </c>
      <c r="AT48" s="10" t="str">
        <f>IF(Atletas!F44="","",IF(Atletas!B44="Feminino",100,IF(Atletas!B44="Masculino",200,""))+(IF(Atletas!F44="Adulto 48kg",1,IF(Atletas!F44="Adulto 56kg",2,IF(Atletas!F44="Adulto 65kg",3,IF(Atletas!F44="Adulto 75kg",4,IF(Atletas!F44="Adulto +75kg",5,IF(Atletas!F44="Adulto 52kg",6,IF(Atletas!F44="Adulto 60kg",7,IF(Atletas!F44="Adulto 70kg",8,IF(Atletas!F44="Adulto 80kg",9,IF(Atletas!F44="Adulto 90kg",10,IF(Atletas!F44="Adulto +90kg",11,"")))))))))))))</f>
        <v/>
      </c>
      <c r="AY48" s="46" t="str">
        <f>IF(Atletas!G44="","",IF(Atletas!B44="Feminino",100,IF(Atletas!B44="Masculino",200,""))+(IF(Atletas!G44="Changquan Mirim",1,IF(Atletas!G44="Nanquan Mirim",2,IF(Atletas!G44="Taijiquan Mirim",3,IF(Atletas!G44="Changquan Grupo C",4,IF(Atletas!G44="Nanquan Grupo C",5,IF(Atletas!G44="Taijiquan Grupo C",6,IF(Atletas!G44="Changquan Grupo B",7,IF(Atletas!G44="Nanquan Grupo B",8,IF(Atletas!G44="Taijiquan Grupo B",9,IF(Atletas!G44="Changquan Grupo A",10,IF(Atletas!G44="Nanquan Grupo A",11,IF(Atletas!G44="Taijiquan Grupo A",12,IF(Atletas!G44="Changquan Opcional",13,IF(Atletas!G44="Nanquan Opcional",14,IF(Atletas!G44="Taijiquan Opcional",15,IF(Atletas!G44="Changquan Adulto",16,IF(Atletas!G44="Nanquan Adulto",17,IF(Atletas!G44="Taijiquan Adulto",18,""))))))))))))))))))))</f>
        <v/>
      </c>
      <c r="AZ48" s="46" t="str">
        <f>IF(Atletas!H44="","",IF(Atletas!B44="Feminino",100,IF(Atletas!B44="Masculino",200,""))+(IF(Atletas!H44="Daoshu Mirim",19,IF(Atletas!H44="Jianshu Mirim",20,IF(Atletas!H44="Nandao Mirim",21,IF(Atletas!H44="Taijijian Mirim",22,IF(Atletas!H44="Daoshu Grupo C",23,IF(Atletas!H44="Jianshu Grupo C",24,IF(Atletas!H44="Nandao Grupo C",25,IF(Atletas!H44="Taijijian Grupo C",26,IF(Atletas!H44="Daoshu Grupo B",27,IF(Atletas!H44="Jianshu Grupo B",28,IF(Atletas!H44="Nandao Grupo B",29,IF(Atletas!H44="Taijijian Grupo B",30,IF(Atletas!H44="Daoshu Grupo A",31,IF(Atletas!H44="Jianshu Grupo A",32,IF(Atletas!H44="Nandao Grupo A",33,IF(Atletas!H44="Taijijian Grupo A",34,IF(Atletas!H44="Daoshu Opcional",35,IF(Atletas!H44="Jianshu Opcional",36,IF(Atletas!H44="Nandao Opcional",37,IF(Atletas!H44="Taijijian Opcional",38,IF(Atletas!H44="Daoshu Adulto",39,IF(Atletas!H44="Jianshu Adulto",40,IF(Atletas!H44="Nandao Adulto",41,IF(Atletas!H44="Taijijian Adulto",42,""))))))))))))))))))))))))))</f>
        <v/>
      </c>
      <c r="BA48" s="46" t="str">
        <f>IF(Atletas!I44="","",IF(Atletas!B44="Feminino",100,IF(Atletas!B44="Masculino",200,""))+(IF(Atletas!I44="Gunshu Mirim",43,IF(Atletas!I44="Qiangshu Mirim",44,IF(Atletas!I44="Nangun Mirim",45,IF(Atletas!I44="Gunshu Grupo C",46,IF(Atletas!I44="Qiangshu Grupo C",47,IF(Atletas!I44="Nangun Grupo C",48,IF(Atletas!I44="Gunshu Grupo B",49,IF(Atletas!I44="Qiangshu Grupo B",50,IF(Atletas!I44="Nangun Grupo B",51,IF(Atletas!I44="Gunshu Grupo A",52,IF(Atletas!I44="Qiangshu Grupo A",53,IF(Atletas!I44="Nangun Grupo A",54,IF(Atletas!I44="Gunshu Opcional",55,IF(Atletas!I44="Qiangshu Opcional",56,IF(Atletas!I44="Nangun Opcional",57,IF(Atletas!I44="Gunshu Adulto",58,IF(Atletas!I44="Qiangshu Adulto",59,IF(Atletas!I44="Nangun Adulto",60,""))))))))))))))))))))</f>
        <v/>
      </c>
      <c r="BB48" s="10" t="str">
        <f>IF(BC48&lt;&gt;"","Nanquan Opcional","")</f>
        <v/>
      </c>
      <c r="BC48" s="52" t="str">
        <f>IF(COUNTIF(AY:BA,114)&gt;0,COUNTIF(AY:BA,114),"")</f>
        <v/>
      </c>
      <c r="BD48" s="10" t="str">
        <f>IF(BE48&lt;&gt;"","Nanquan Opcional","")</f>
        <v/>
      </c>
      <c r="BE48" s="52" t="str">
        <f>IF(COUNTIF(AY:BA,214)&gt;0,COUNTIF(AY:BA,214),"")</f>
        <v/>
      </c>
      <c r="BF48" s="52" t="str">
        <f>IF(Atletas!J44="","",IF(Atletas!B44="Feminino",100,IF(Atletas!B44="Masculino",200,""))+(IF(Atletas!J44="Equipe 1 Grupo B",1,IF(Atletas!J44="Equipe 2 Grupo B",2,IF(Atletas!J44="Equipe 1 Grupo A",3,IF(Atletas!J44="Equipe 2 Grupo A",4,IF(Atletas!J44="Equipe 1 Adulto",5,IF(Atletas!J44="Equipe 2 Adulto",6,""))))))))</f>
        <v/>
      </c>
      <c r="BK48" s="52" t="str">
        <f>IF(Atletas!K44="","",IF(Atletas!W44&lt;&gt;"",10000,0)+(IF(Atletas!B44="Feminino",1000,IF(Atletas!B44="Masculino",2000,""))+IF(Atletas!K44="Choylayfut A",1,IF(Atletas!K44="Hunggar A",2,IF(Atletas!K44="Wuzuquan A",3,IF(Atletas!K44="Wingchun A",4,IF(Atletas!K44="Outra Mão de Sul A",5,IF(Atletas!K44="Choylayfut B",6,IF(Atletas!K44="Hunggar B",7,IF(Atletas!K44="Wuzuquan B",8,IF(Atletas!K44="Wingchun B",9,IF(Atletas!K44="Outra Mão de Sul B",10,IF(Atletas!K44="Choylayfut C",11,IF(Atletas!K44="Hunggar C",12,IF(Atletas!K44="Wuzuquan C",13,IF(Atletas!K44="Wingchun C",14,IF(Atletas!K44="Outra Mão de Sul C",15,IF(Atletas!K44="Choylayfut D",16,IF(Atletas!K44="Hunggar D",17,IF(Atletas!K44="Wuzuquan D",18,IF(Atletas!K44="Wingchun D",19,IF(Atletas!K44="Outra Mão de Sul D",20,IF(Atletas!K44="Choylayfut E",21,IF(Atletas!K44="Hunggar E",22,IF(Atletas!K44="Wuzuquan E",23,IF(Atletas!K44="Wingchun E",24,IF(Atletas!K44="Outra Mão de Sul E",25,IF(Atletas!K44="Choylayfut F",26,IF(Atletas!K44="Hunggar F",27,IF(Atletas!K44="Wuzuquan F",28,IF(Atletas!K44="Wingchun F",29,IF(Atletas!K44="Outra Mão de Sul F",30,""))))))))))))))))))))))))))))))))</f>
        <v/>
      </c>
      <c r="BL48" s="52" t="str">
        <f>IF(Atletas!L44="","",IF(Atletas!W44&lt;&gt;"",10000,0)+(IF(Atletas!B44="Feminino",1000,IF(Atletas!B44="Masculino",2000,""))+(IF(Atletas!L44="Chaquan A",101,IF(Atletas!L44="Emeiquan A",102,IF(Atletas!L44="Fanziquan A",103,IF(Atletas!L44="Huaquan A",104,IF(Atletas!L44="Hongquan A",105,IF(Atletas!L44="Paochui A",106,IF(Atletas!L44="Piguaquan A",107,IF(Atletas!L44="Shaolinquan A",108,IF(Atletas!L44="Tanglangquan A",109,IF(Atletas!L44="Yinzhaophai A",110,IF(Atletas!L44="Tongbeiquan A",111,IF(Atletas!L44="Wudangquan A",112,IF(Atletas!L44="Outros Estilos A",113,IF(Atletas!L44="Chaquan B",114,IF(Atletas!L44="Emeiquan B",115,IF(Atletas!L44="Fanziquan B",116,IF(Atletas!L44="Huaquan B",117,IF(Atletas!L44="Hongquan B",118,IF(Atletas!L44="Paochui B",119,IF(Atletas!L44="Piguaquan B",120,IF(Atletas!L44="Shaolinquan B",121,IF(Atletas!L44="Tanglangquan B",122,IF(Atletas!L44="Yinzhaophai B",123,IF(Atletas!L44="Tongbeiquan B",124,IF(Atletas!L44="Wudangquan B",125,IF(Atletas!L44="Outros Estilos B",126,IF(Atletas!L44="Chaquan C",127,IF(Atletas!L44="Emeiquan C",128,IF(Atletas!L44="Fanziquan C",129,IF(Atletas!L44="Huaquan C",130,IF(Atletas!L44="Hongquan C",131,IF(Atletas!L44="Paochui C",132,IF(Atletas!L44="Piguaquan C",133,IF(Atletas!L44="Shaolinquan C",134,IF(Atletas!L44="Tanglangquan C",135,IF(Atletas!L44="Yinzhaophai C",136,IF(Atletas!L44="Tongbeiquan C",137,IF(Atletas!L44="Wudangquan C",138,IF(Atletas!L44="Outros Estilos C",139,0))))))))))))))))))))))))))))))))))))))))))</f>
        <v/>
      </c>
      <c r="BM48" s="52" t="str">
        <f>IF(Atletas!L44="","",IF(Atletas!W44&lt;&gt;"",10000,0)+(IF(Atletas!B44="Feminino",1000,IF(Atletas!B44="Masculino",2000,""))+(IF(Atletas!L44="Chaquan D",140,IF(Atletas!L44="Emeiquan D",141,IF(Atletas!L44="Fanziquan D",142,IF(Atletas!L44="Huaquan D",143,IF(Atletas!L44="Hongquan D",144,IF(Atletas!L44="Paochui D",145,IF(Atletas!L44="Piguaquan D",146,IF(Atletas!L44="Shaolinquan D",147,IF(Atletas!L44="Tanglangquan D",148,IF(Atletas!L44="Yinzhaophai D",149,IF(Atletas!L44="Tongbeiquan D",150,IF(Atletas!L44="Wudangquan D",151,IF(Atletas!L44="Outros Estilos D",152,IF(Atletas!L44="Chaquan E",153,IF(Atletas!L44="Emeiquan E",154,IF(Atletas!L44="Fanziquan E",155,IF(Atletas!L44="Huaquan E",156,IF(Atletas!L44="Hongquan E",157,IF(Atletas!L44="Paochui E",158,IF(Atletas!L44="Piguaquan E",159,IF(Atletas!L44="Shaolinquan E",160,IF(Atletas!L44="Tanglangquan E",161,IF(Atletas!L44="Yinzhaophai E",162,IF(Atletas!L44="Tongbeiquan E",163,IF(Atletas!L44="Wudangquan E",164,IF(Atletas!L44="Outros Estilos E",165,IF(Atletas!L44="Chaquan F",166,IF(Atletas!L44="Emeiquan F",167,IF(Atletas!L44="Fanziquan F",168,IF(Atletas!L44="Huaquan F",169,IF(Atletas!L44="Hongquan F",170,IF(Atletas!L44="Paochui F",171,IF(Atletas!L44="Piguaquan F",172,IF(Atletas!L44="Shaolinquan F",173,IF(Atletas!L44="Tanglangquan F",174,IF(Atletas!L44="Yinzhaophai F",175,IF(Atletas!L44="Tongbeiquan F",176,IF(Atletas!L44="Wudangquan F",177,IF(Atletas!L44="Outros Estilos F",178,0))))))))))))))))))))))))))))))))))))))))))</f>
        <v/>
      </c>
      <c r="BN48" s="52" t="str">
        <f>IF(Atletas!M44="","",IF(Atletas!W44&lt;&gt;"",10000,0)+(IF(Atletas!B44="Feminino",1000,IF(Atletas!B44="Masculino",2000,""))+(IF(Atletas!M44="Ditangquan A",201,IF(Atletas!M44="Houquan A",202,IF(Atletas!M44="Zuiquan A",203,IF(Atletas!M44="Ditangquan B",204,IF(Atletas!M44="Houquan B",205,IF(Atletas!M44="Zuiquan B",206,IF(Atletas!M44="Ditangquan C",207,IF(Atletas!M44="Houquan C",208,IF(Atletas!M44="Zuiquan C",209,IF(Atletas!M44="Ditangquan D",210,IF(Atletas!M44="Houquan D",211,IF(Atletas!M44="Zuiquan D",212,IF(Atletas!M44="Ditangquan E",213,IF(Atletas!M44="Houquan E",214,IF(Atletas!M44="Zuiquan E",215,IF(Atletas!M44="Ditangquan F",216,IF(Atletas!M44="Houquan F",217,IF(Atletas!M44="Zuiquan F",218,"")))))))))))))))))))))</f>
        <v/>
      </c>
      <c r="BO48" s="52" t="str">
        <f>IF(Atletas!N44="","",IF(Atletas!W44&lt;&gt;"",10000,0)+IF(Atletas!B44="Feminino",1000,IF(Atletas!B44="Masculino",2000,""))+IF(Atletas!N44="Yang A",301,IF(Atletas!N44="Chen A",30,IF(Atletas!N44="Sun A",303,IF(Atletas!N44="Wu A",304,IF(Atletas!N44="Wu-Hao A",305,IF(Atletas!N44="Outro Taijiquan A",306,IF(Atletas!N44="Yang B",307,IF(Atletas!N44="Chen B",308,IF(Atletas!N44="Sun B",309,IF(Atletas!N44="Wu B",310,IF(Atletas!N44="Wu-Hao B",311,IF(Atletas!N44="Outro Taijiquan B",312,IF(Atletas!N44="Yang C",313,IF(Atletas!N44="Chen C",314,IF(Atletas!N44="Sun C",315,IF(Atletas!N44="Wu C",316,IF(Atletas!N44="Wu-Hao C",317,IF(Atletas!N44="Outro Taijiquan C",318,IF(Atletas!N44="Yang D",319,IF(Atletas!N44="Chen D",320,IF(Atletas!N44="Sun D",321,IF(Atletas!N44="Wu D",322,IF(Atletas!N44="Wu-Hao D",323,IF(Atletas!N44="Outro Taijiquan D",324,IF(Atletas!N44="Yang E",325,IF(Atletas!N44="Chen E",326,IF(Atletas!N44="Sun E",327,IF(Atletas!N44="Wu E",328,IF(Atletas!N44="Wu-Hao E",329,IF(Atletas!N44="Outro Taijiquan E",330,IF(Atletas!N44="Yang F",331,IF(Atletas!N44="Chen F",332,IF(Atletas!N44="Sun F",333,IF(Atletas!N44="Wu F",334,IF(Atletas!N44="Wu-Hao F",335,IF(Atletas!N44="Outro Taijiquan F",336,"")))))))))))))))))))))))))))))))))))))</f>
        <v/>
      </c>
      <c r="BP48" s="52" t="str">
        <f>IF(Atletas!O44="","",IF(Atletas!W44&lt;&gt;"",10000,0)+IF(Atletas!B44="Feminino",1000,IF(Atletas!B44="Masculino",2000,""))+IF(OR(Atletas!O44="Yang 26 A",Atletas!O44="Yang 40 A"),401,IF(OR(Atletas!O44="Chen 25 A",Atletas!O44="Chen 36 A",Atletas!O44="Chen 56 A"),402,IF(Atletas!O44="Sun 73 A",403,IF(Atletas!O44="Wu 45 A",404,IF(Atletas!O44="Wu-Hao 46 A",405,IF(OR(Atletas!O44="Taijiquan 16 A",Atletas!O44="Taijiquan 24 A",Atletas!O44="Taijiquan 32 A",Atletas!O44="Taijiquan 42 A"),406,IF(OR(Atletas!O44="Yang 26 B",Atletas!O44="Yang 40 B"),407,IF(OR(Atletas!O44="Chen 25 B",Atletas!O44="Chen 36 B",Atletas!O44="Chen 56 B"),408,IF(Atletas!O44="Sun 73 B",409,IF(Atletas!O44="Wu 45 B",410,IF(Atletas!O44="Wu-Hao 46 B",411,IF(OR(Atletas!O44="Taijiquan 16 B",Atletas!O44="Taijiquan 24 B",Atletas!O44="Taijiquan 32 B",Atletas!O44="Taijiquan 42 B"),412,IF(OR(Atletas!O44="Yang 26 C",Atletas!O44="Yang 40 C"),413,IF(OR(Atletas!O44="Chen 25 C",Atletas!O44="Chen 36 C",Atletas!O44="Chen 56 C"),414,IF(Atletas!O44="Sun 73 C",415,IF(Atletas!O44="Wu 45 C",416,IF(Atletas!O44="Wu-Hao 46 C",417,IF(OR(Atletas!O44="Taijiquan 16 C",Atletas!O44="Taijiquan 24 C",Atletas!O44="Taijiquan 32 C",Atletas!O44="Taijiquan 42 C"),418,0)))))))))))))))))))</f>
        <v/>
      </c>
      <c r="BQ48" s="52" t="str">
        <f>IF(Atletas!O44="","",IF(Atletas!W44&lt;&gt;"",10000,0)+IF(Atletas!B44="Feminino",1000,IF(Atletas!B44="Masculino",2000,""))+IF(OR(Atletas!O44="Yang 26 D",Atletas!O44="Yang 40 D"),419,IF(OR(Atletas!O44="Chen 25 D",Atletas!O44="Chen 36 D",Atletas!O44="Chen 56 D"),420,IF(Atletas!O44="Sun 73 D",421,IF(Atletas!O44="Wu 45 D",422,IF(Atletas!O44="Wu-Hao 46 D",423,IF(OR(Atletas!O44="Taijiquan 16 D",Atletas!O44="Taijiquan 24 D",Atletas!O44="Taijiquan 32 D",Atletas!O44="Taijiquan 42 D"),424,IF(OR(Atletas!O44="Yang 26 E",Atletas!O44="Yang 40 E"),425,IF(OR(Atletas!O44="Chen 25 E",Atletas!O44="Chen 36 E",Atletas!O44="Chen 56 E"),426,IF(Atletas!O44="Sun 73 E",427,IF(Atletas!O44="Wu 45 E",428,IF(Atletas!O44="Wu-Hao 46 E",429,IF(OR(Atletas!O44="Taijiquan 16 E",Atletas!O44="Taijiquan 24 E",Atletas!O44="Taijiquan 32 E",Atletas!O44="Taijiquan 42 E"),430,IF(OR(Atletas!O44="Yang 26 F",Atletas!O44="Yang 40 F"),431,IF(OR(Atletas!O44="Chen 25 F",Atletas!O44="Chen 36 F",Atletas!O44="Chen 56 F"),432,IF(Atletas!O44="Sun 73 F",433,IF(Atletas!O44="Wu 45 F",434,IF(Atletas!O44="Wu-Hao 46 F",435,IF(OR(Atletas!O44="Taijiquan 16 F",Atletas!O44="Taijiquan 24 F",Atletas!O44="Taijiquan 32 F",Atletas!O44="Taijiquan 42 F"),436,0)))))))))))))))))))</f>
        <v/>
      </c>
      <c r="BR48" s="52" t="str">
        <f>IF(Atletas!P44="","",IF(Atletas!W44&lt;&gt;"",10000,0)+IF(Atletas!B44="Feminino",1000,IF(Atletas!B44="Masculino",2000,""))+IF(Atletas!P44="Xingyiquan A",501,IF(Atletas!P44="Baguazhang A",502,IF(Atletas!P44="Outro Estilo Interno A",503,IF(Atletas!P44="Xingyiquan B",504,IF(Atletas!P44="Baguazhang B",505,IF(Atletas!P44="Outro Estilo Interno B",506,IF(Atletas!P44="Xingyiquan C",507,IF(Atletas!P44="Baguazhang C",508,IF(Atletas!P44="Outro Estilo Interno C",509,IF(Atletas!P44="Xingyiquan D",510,IF(Atletas!P44="Baguazhang D",511,IF(Atletas!P44="Outro Estilo Interno D",512,IF(Atletas!P44="Xingyiquan E",513,IF(Atletas!P44="Baguazhang E",514,IF(Atletas!P44="Outro Estilo Interno E",515,IF(Atletas!P44="Xingyiquan F",516,IF(Atletas!P44="Baguazhang F",517,IF(Atletas!P44="Outro Estilo Interno F",518, "")))))))))))))))))))</f>
        <v/>
      </c>
      <c r="BS48" s="52" t="str">
        <f>IF(Atletas!Q44="","",IF(Atletas!W44&lt;&gt;"",10000,0)+IF(Atletas!B44="Feminino",1000,IF(Atletas!B44="Masculino",2000,""))+IF(Atletas!Q44="Dao A",601,IF(Atletas!Q44="Jian A",602,IF(Atletas!Q44="Bishou A",603,IF(Atletas!Q44="Shan A",604,IF(Atletas!Q44="Outra Arma Curta A",605,IF(Atletas!Q44="Dao B",606,IF(Atletas!Q44="Jian B",607,IF(Atletas!Q44="Bishou B",608,IF(Atletas!Q44="Shan B",609,IF(Atletas!Q44="Outra Arma Curta B",610,IF(Atletas!Q44="Dao C",611,IF(Atletas!Q44="Jian C",612,IF(Atletas!Q44="Bishou C",613,IF(Atletas!Q44="Shan C",614,IF(Atletas!Q44="Outra Arma Curta C",615,IF(Atletas!Q44="Dao D",616,IF(Atletas!Q44="Jian D",617,IF(Atletas!Q44="Bishou D",618,IF(Atletas!Q44="Shan D",619,IF(Atletas!Q44="Outra Arma Curta D",620,IF(Atletas!Q44="Dao E",621,IF(Atletas!Q44="Jian E",622,IF(Atletas!Q44="Bishou E",623,IF(Atletas!Q44="Shan E",624,IF(Atletas!Q44="Outra Arma Curta E",625,IF(Atletas!Q44="Dao F",626,IF(Atletas!Q44="Jian F",627,IF(Atletas!Q44="Bishou F",628,IF(Atletas!Q44="Shan F",629,IF(Atletas!Q44="Outra Arma Curta F",630, "")))))))))))))))))))))))))))))))</f>
        <v/>
      </c>
      <c r="BT48" s="52" t="str">
        <f>IF(Atletas!R44="","",IF(Atletas!W44&lt;&gt;"",10000,0)+IF(Atletas!B44="Feminino",1000,IF(Atletas!B44="Masculino",2000,""))+IF(Atletas!R44="Gun A",701,IF(Atletas!R44="Qiang A",702,IF(Atletas!R44="Pudao / Guandao A",703,IF(Atletas!R44="Outra Arma Longa A",704,IF(Atletas!R44="Gun B",705,IF(Atletas!R44="Qiang B",706,IF(Atletas!R44="Pudao / Guandao B",707,IF(Atletas!R44="Outra Arma Longa B",708,IF(Atletas!R44="Gun C",709,IF(Atletas!R44="Qiang C",710,IF(Atletas!R44="Pudao / Guandao C",711,IF(Atletas!R44="Outra Arma Longa C",712,IF(Atletas!R44="Gun D",713,IF(Atletas!R44="Qiang D",714,IF(Atletas!R44="Pudao / Guandao D",715,IF(Atletas!R44="Outra Arma Longa D",716,IF(Atletas!R44="Gun E",717,IF(Atletas!R44="Qiang E",718,IF(Atletas!R44="Pudao / Guandao E",719,IF(Atletas!R44="Outra Arma Longa E",720,IF(Atletas!R44="Gun F",721,IF(Atletas!R44="Qiang F",722,IF(Atletas!R44="Pudao / Guandao F",723,IF(Atletas!R44="Outra Arma Longa F",724,"")))))))))))))))))))))))))</f>
        <v/>
      </c>
      <c r="BU48" s="52" t="str">
        <f>IF(Atletas!S44="","",IF(Atletas!W44&lt;&gt;"",10000,0)+IF(Atletas!B44="Feminino",1000,IF(Atletas!B44="Masculino",2000,""))+IF(Atletas!S44="Arma Dupla A",801,IF(Atletas!S44="Arma Maleável A",802,IF(Atletas!S44="Arma Dupla B",803,IF(Atletas!S44="Arma Maleável B",804,IF(Atletas!S44="Arma Dupla C",805,IF(Atletas!S44="Arma Maleável C",806,IF(Atletas!S44="Arma Dupla D",807,IF(Atletas!S44="Arma Maleável D",808,IF(Atletas!S44="Arma Dupla E",809,IF(Atletas!S44="Arma Maleável E",810,IF(Atletas!S44="Arma Dupla F",811,IF(Atletas!S44="Arma Maleável F",812, "")))))))))))))</f>
        <v/>
      </c>
      <c r="BV48" s="52" t="str">
        <f>IF(Atletas!T44="","",IF(Atletas!W44&lt;&gt;"",10000,0)+IF(Atletas!B44="Feminino",1000,IF(Atletas!B44="Masculino",2000,""))+IF(Atletas!T44="Taijijian Yang A",901,IF(Atletas!T44="Taijijian Chen A",902,IF(Atletas!T44="Taijijian Sun A",903,IF(Atletas!T44="Taijijian Wu A",904,IF(Atletas!T44="Taijijian Wu-Hao A",905,IF(Atletas!T44="Taijijian 32 A",906,IF(Atletas!T44="Taijijian 42 A",907,IF(Atletas!T44="Taijijian Yang B",908,IF(Atletas!T44="Taijijian Chen B",909,IF(Atletas!T44="Taijijian Sun B",910,IF(Atletas!T44="Taijijian Wu B",911,IF(Atletas!T44="Taijijian Wu-Hao B",912,IF(Atletas!T44="Taijijian 32 B",913,IF(Atletas!T44="Taijijian 42 B",914,IF(Atletas!T44="Taijijian Yang C",915,IF(Atletas!T44="Taijijian Chen C",916,IF(Atletas!T44="Taijijian Sun C",917,IF(Atletas!T44="Taijijian Wu C",918,IF(Atletas!T44="Taijijian Wu-Hao C",919,IF(Atletas!T44="Taijijian 32 C",920,IF(Atletas!T44="Taijijian 42 C",921,IF(Atletas!T44="Taijijian Yang D",922,IF(Atletas!T44="Taijijian Chen D",923,IF(Atletas!T44="Taijijian Sun D",924,IF(Atletas!T44="Taijijian Wu D",925,IF(Atletas!T44="Taijijian Wu-Hao D",926,IF(Atletas!T44="Taijijian 32 D",927,IF(Atletas!T44="Taijijian 42 D",928,IF(Atletas!T44="Taijijian Yang E",929,IF(Atletas!T44="Taijijian Chen E",930,IF(Atletas!T44="Taijijian Sun E",931,IF(Atletas!T44="Taijijian Wu E",932,IF(Atletas!T44="Taijijian Wu-Hao E",933,IF(Atletas!T44="Taijijian 32 E",934,IF(Atletas!T44="Taijijian 42 E",935,IF(Atletas!T44="Taijijian Yang F",936,IF(Atletas!T44="Taijijian Chen F",937,IF(Atletas!T44="Taijijian Sun F",938,IF(Atletas!T44="Taijijian Wu F",939,IF(Atletas!T44="Taijijian Wu-Hao F",940,IF(Atletas!T44="Taijijian 32 F",941,IF(Atletas!T44="Taijijian 42 F",942,"")))))))))))))))))))))))))))))))))))))))))))</f>
        <v/>
      </c>
      <c r="BW48" s="52" t="str">
        <f>IF(Atletas!U44="","",IF(Atletas!W44&lt;&gt;"",10000,0)+IF(Atletas!B44="Feminino",1000,IF(Atletas!B44="Masculino",2000,""))+IF(Atletas!T44="Taijijian 42 F",942,IF(Atletas!U44="Taijidao A",943,IF(Atletas!U44="Taijishan A",944,IF(Atletas!U44="Taijiqiang A",945,IF(Atletas!U44="Taijidao B",946,IF(Atletas!U44="Taijishan B",947,IF(Atletas!U44="Taijiqiang B",948,IF(Atletas!U44="Taijidao C",949,IF(Atletas!U44="Taijishan C",950,IF(Atletas!U44="Taijiqiang C",951,IF(Atletas!U44="Taijidao D",952,IF(Atletas!U44="Taijishan D",953,IF(Atletas!U44="Taijiqiang D",954,IF(Atletas!U44="Taijidao E",955,IF(Atletas!U44="Taijishan E",956,IF(Atletas!U44="Taijiqiang E",957,IF(Atletas!U44="Taijidao F",958,IF(Atletas!U44="Taijishan F",959,IF(Atletas!U44="Taijiqiang F",960))))))))))))))))))))</f>
        <v/>
      </c>
      <c r="BX48" s="64" t="str">
        <f>IF(BY48&lt;&gt;"","Wudangquan A","")</f>
        <v/>
      </c>
      <c r="BY48" s="64" t="str">
        <f>IF(COUNTIF(BK:BW,1112)&gt;0,COUNTIF(BK:BW,1112),"")</f>
        <v/>
      </c>
      <c r="BZ48" s="64" t="str">
        <f>IF(CA48&lt;&gt;"","Wudangquan A","")</f>
        <v/>
      </c>
      <c r="CA48" s="64" t="str">
        <f>IF(COUNTIF(BK:BW,2112)&gt;0,COUNTIF(BK:BW,2112),"")</f>
        <v/>
      </c>
      <c r="CB48" s="64" t="str">
        <f>IF(CC48&lt;&gt;"","Wudangquan A","")</f>
        <v/>
      </c>
      <c r="CC48" s="64" t="str">
        <f>IF(COUNTIF(BK:BW,11112)&gt;0,COUNTIF(BK:BW,11112),"")</f>
        <v/>
      </c>
      <c r="CD48" s="64" t="str">
        <f>IF(CE48&lt;&gt;"","Wudangquan A","")</f>
        <v/>
      </c>
      <c r="CE48" s="64" t="str">
        <f>IF(COUNTIF(BK:BW,12112)&gt;0,COUNTIF(BK:BW,12112),"")</f>
        <v/>
      </c>
      <c r="CF48" s="52" t="str">
        <f xml:space="preserve"> IF(Atletas!V44="","",IF(Atletas!V44="Duilian de Mãos AB - Equipe 1",1,IF(Atletas!V44="Duilian de Mãos AB - Equipe 2",2,IF(Atletas!V44="Duilian de Armas AB - Equipe 1",3,IF(Atletas!V44="Duilian de Armas AB - Equipe 2",4,IF(Atletas!V44="Duilian de Tuishou - Equipe 1",5,IF(Atletas!V44="Duilian de Tuishou - Equipe 2",6,IF(Atletas!V44="Grupo Externo AB - Equipe 1",7,IF(Atletas!V44="Grupo Externo AB - Equipe 2",8,IF(Atletas!V44="Grupo Interno AB - Equipe 1",9,IF(Atletas!V44="Grupo Interno AB - Equipe 2",10,IF(Atletas!V44="Duilian de Mãos CD - Equipe 1",11,IF(Atletas!V44="Duilian de Mãos CD - Equipe 2",12,IF(Atletas!V44="Duilian de Armas CD - Equipe 1",13,IF(Atletas!V44="Duilian de Armas CD - Equipe 2",14,IF(Atletas!V44="Duilian de Tuishou - Equipe 1",15,IF(Atletas!V44="Duilian de Tuishou - Equipe 2",16,IF(Atletas!V44="Grupo Externo CDEF - Equipe 1",17,IF(Atletas!V44="Grupo Externo CDEF - Equipe 2",18,IF(Atletas!V44="Grupo Interno CDEF - Equipe 1",19,IF(Atletas!V44="Grupo Interno CDEF - Equipe 2",20,IF(Atletas!V44="Duilian de Mãos EF - Equipe 1",21,IF(Atletas!V44="Duilian de Mãos EF - Equipe 2",22,IF(Atletas!V44="Duilian de Armas EF - Equipe 1",23,IF(Atletas!V44="Duilian de Armas EF - Equipe 2",24,IF(Atletas!V44="Duilian de Tuishou - Equipe 1",25,IF(Atletas!V44="Duilian de Tuishou - Equipe 2",26,"")))))))))))))))))))))))))))</f>
        <v/>
      </c>
      <c r="CR48" s="71"/>
    </row>
    <row r="49" spans="2:96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 t="str">
        <f t="array" ref="N49">IFERROR(INDEX(BB$7:BB$66,SMALL(IF(BB$7:BB$66&lt;&gt;"",ROW(BB$7:BB$66)-ROW(BB$7)+1),ROWS(BB$7:BB48))),"")</f>
        <v/>
      </c>
      <c r="O49" s="4" t="str">
        <f t="array" ref="O49">IFERROR(INDEX(BC$7:BC$66,SMALL(IF(BC$7:BC$66&lt;&gt;"",ROW(BC$7:BC$66)-ROW(BC$7)+1),ROWS(BC$7:BC48))),"")</f>
        <v/>
      </c>
      <c r="P49" s="4" t="str">
        <f t="array" ref="P49">IFERROR(INDEX(BD$7:BD$66,SMALL(IF(BD$7:BD$66&lt;&gt;"",ROW(BD$7:BD$66)-ROW(BD$7)+1),ROWS(BD$7:BD48))),"")</f>
        <v/>
      </c>
      <c r="Q49" s="4" t="str">
        <f t="array" ref="Q49">IFERROR(INDEX(BE$7:BE$66,SMALL(IF(BE$7:BE$66&lt;&gt;"",ROW(BE$7:BE$66)-ROW(BE$7)+1),ROWS(BE$7:BE48))),"")</f>
        <v/>
      </c>
      <c r="R49" s="4"/>
      <c r="S49" s="4"/>
      <c r="T49" s="31"/>
      <c r="U49" s="4"/>
      <c r="V49" s="4" t="str">
        <f t="array" ref="V49">IFERROR(INDEX(BX$7:BX$336,SMALL(IF(BX$7:BX$336&lt;&gt;"",ROW(BX$7:BX$336)-ROW(BX$7)+1),ROWS(BX$7:BX48))),"")</f>
        <v/>
      </c>
      <c r="W49" s="4" t="str">
        <f t="array" ref="W49">IFERROR(INDEX(BY$7:BY$336,SMALL(IF(BY$7:BY$336&lt;&gt;"",ROW(BY$7:BY$336)-ROW(BY$7)+1),ROWS(BY$7:BY48))),"")</f>
        <v/>
      </c>
      <c r="X49" s="4" t="str">
        <f t="array" ref="X49">IFERROR(INDEX(BZ$7:BZ$336,SMALL(IF(BZ$7:BZ$336&lt;&gt;"",ROW(BZ$7:BZ$336)-ROW(BZ$7)+1),ROWS(BZ$7:BZ48))),"")</f>
        <v/>
      </c>
      <c r="Y49" s="4" t="str">
        <f t="array" ref="Y49">IFERROR(INDEX(CA$7:CA$336,SMALL(IF(CA$7:CA$336&lt;&gt;"",ROW(CA$7:CA$336)-ROW(CA$7)+1),ROWS(CA$7:CA48))),"")</f>
        <v/>
      </c>
      <c r="Z49" s="4" t="str">
        <f t="array" ref="Z49">IFERROR(INDEX(CB$7:CB$378,SMALL(IF(CB$7:CB$378&lt;&gt;"",ROW(CB$7:CB$378)-ROW(CB$7)+1),ROWS(CB$7:CB48))),"")</f>
        <v/>
      </c>
      <c r="AA49" s="4" t="str">
        <f t="array" ref="AA49">IFERROR(INDEX(CC$7:CC$378,SMALL(IF(CC$7:CC$378&lt;&gt;"",ROW(CC$7:CC$378)-ROW(CC$7)+1),ROWS(CC$7:CC48))),"")</f>
        <v/>
      </c>
      <c r="AB49" s="4" t="str">
        <f t="array" ref="AB49">IFERROR(INDEX(CD$7:CD$378,SMALL(IF(CD$7:CD$378&lt;&gt;"",ROW(CD$7:CD$378)-ROW(CD$7)+1),ROWS(CD$7:CD48))),"")</f>
        <v/>
      </c>
      <c r="AC49" s="4" t="str">
        <f t="array" ref="AC49">IFERROR(INDEX(CE$7:CE$378,SMALL(IF(CE$7:CE$378&lt;&gt;"",ROW(CE$7:CE$378)-ROW(CE$7)+1),ROWS(CE$7:CE48))),"")</f>
        <v/>
      </c>
      <c r="AD49" s="4"/>
      <c r="AE49" s="4"/>
      <c r="AF49" s="4"/>
      <c r="AG49" s="4"/>
      <c r="AH49" s="4"/>
      <c r="AI49" s="4"/>
      <c r="AJ49" s="46" t="str">
        <f>IF(Atletas!D45="","",IF(Atletas!B45="Feminino",100,IF(Atletas!B45="Masculino",200,""))+(IF(Atletas!D45="Infantil 39kg",1,IF(Atletas!D45="Infantil 42kg",2,IF(Atletas!D45="Infantil 45kg",3,IF(Atletas!D45="Infantil 48kg",4,IF(Atletas!D45="Infantil 52kg",5,IF(Atletas!D45="Infantil 56kg",6,IF(Atletas!D45="Infantil 60kg",7,IF(Atletas!D45="Juvenil 48kg",8,IF(Atletas!D45="Juvenil 52kg",9,IF(Atletas!D45="Juvenil 56kg",10,IF(Atletas!D45="Juvenil 60kg",11,IF(Atletas!D45="Juvenil 65kg",12,IF(Atletas!D45="Juvenil 70kg",13,IF(Atletas!D45="Juvenil 75kg",14,IF(Atletas!D45="Juvenil 80kg",15,IF(Atletas!D45="Adulto 48kg",16,IF(Atletas!D45="Adulto 52kg",17,IF(Atletas!D45="Adulto 56kg",18,IF(Atletas!D45="Adulto 60kg",19,IF(Atletas!D45="Adulto 65kg",20,IF(Atletas!D45="Adulto 70kg",21,IF(Atletas!D45="Adulto 75kg",22,IF(Atletas!D45="Adulto 80kg",23,IF(Atletas!D45="Adulto 85kg",24,IF(Atletas!D45="Adulto 90kg",25,IF(Atletas!D45="Adulto +90kg",26,""))))))))))))))))))))))))))))</f>
        <v/>
      </c>
      <c r="AO49" s="10" t="str">
        <f>IF(Atletas!E45="","",IF(Atletas!B45="Feminino",100,IF(Atletas!B45="Masculino",200,""))+(IF(Atletas!E45="Juvenil 44kg",1,IF(Atletas!E45="Juvenil 48kg",2,IF(Atletas!E45="Juvenil 52kg",3,IF(Atletas!E45="Juvenil 56kg",4,IF(Atletas!E45="Juvenil 60kg",5,IF(Atletas!E45="Juvenil 65kg",6,IF(Atletas!E45="Juvenil 70kg",7,IF(Atletas!E45="Juvenil 75kg",8,IF(Atletas!E45="Juvenil 82kg",9,IF(Atletas!E45="Juvenil 90kg",10,IF(Atletas!E45="Juvenil 100kg",11,IF(Atletas!E45="Adulto 48kg",12,IF(Atletas!E45="Adulto 52kg",13,IF(Atletas!E45="Adulto 56kg",14,IF(Atletas!E45="Adulto 60kg",15,IF(Atletas!E45="Adulto 65kg",16,IF(Atletas!E45="Adulto 70kg",17,IF(Atletas!E45="Adulto 75kg",18,IF(Atletas!E45="Adulto 82kg",19,IF(Atletas!E45="Adulto 90kg",20,IF(Atletas!E45="Adulto 100kg",21,IF(Atletas!E45="Adulto +100kg",22,""))))))))))))))))))))))))</f>
        <v/>
      </c>
      <c r="AT49" s="10" t="str">
        <f>IF(Atletas!F45="","",IF(Atletas!B45="Feminino",100,IF(Atletas!B45="Masculino",200,""))+(IF(Atletas!F45="Adulto 48kg",1,IF(Atletas!F45="Adulto 56kg",2,IF(Atletas!F45="Adulto 65kg",3,IF(Atletas!F45="Adulto 75kg",4,IF(Atletas!F45="Adulto +75kg",5,IF(Atletas!F45="Adulto 52kg",6,IF(Atletas!F45="Adulto 60kg",7,IF(Atletas!F45="Adulto 70kg",8,IF(Atletas!F45="Adulto 80kg",9,IF(Atletas!F45="Adulto 90kg",10,IF(Atletas!F45="Adulto +90kg",11,"")))))))))))))</f>
        <v/>
      </c>
      <c r="AY49" s="46" t="str">
        <f>IF(Atletas!G45="","",IF(Atletas!B45="Feminino",100,IF(Atletas!B45="Masculino",200,""))+(IF(Atletas!G45="Changquan Mirim",1,IF(Atletas!G45="Nanquan Mirim",2,IF(Atletas!G45="Taijiquan Mirim",3,IF(Atletas!G45="Changquan Grupo C",4,IF(Atletas!G45="Nanquan Grupo C",5,IF(Atletas!G45="Taijiquan Grupo C",6,IF(Atletas!G45="Changquan Grupo B",7,IF(Atletas!G45="Nanquan Grupo B",8,IF(Atletas!G45="Taijiquan Grupo B",9,IF(Atletas!G45="Changquan Grupo A",10,IF(Atletas!G45="Nanquan Grupo A",11,IF(Atletas!G45="Taijiquan Grupo A",12,IF(Atletas!G45="Changquan Opcional",13,IF(Atletas!G45="Nanquan Opcional",14,IF(Atletas!G45="Taijiquan Opcional",15,IF(Atletas!G45="Changquan Adulto",16,IF(Atletas!G45="Nanquan Adulto",17,IF(Atletas!G45="Taijiquan Adulto",18,""))))))))))))))))))))</f>
        <v/>
      </c>
      <c r="AZ49" s="46" t="str">
        <f>IF(Atletas!H45="","",IF(Atletas!B45="Feminino",100,IF(Atletas!B45="Masculino",200,""))+(IF(Atletas!H45="Daoshu Mirim",19,IF(Atletas!H45="Jianshu Mirim",20,IF(Atletas!H45="Nandao Mirim",21,IF(Atletas!H45="Taijijian Mirim",22,IF(Atletas!H45="Daoshu Grupo C",23,IF(Atletas!H45="Jianshu Grupo C",24,IF(Atletas!H45="Nandao Grupo C",25,IF(Atletas!H45="Taijijian Grupo C",26,IF(Atletas!H45="Daoshu Grupo B",27,IF(Atletas!H45="Jianshu Grupo B",28,IF(Atletas!H45="Nandao Grupo B",29,IF(Atletas!H45="Taijijian Grupo B",30,IF(Atletas!H45="Daoshu Grupo A",31,IF(Atletas!H45="Jianshu Grupo A",32,IF(Atletas!H45="Nandao Grupo A",33,IF(Atletas!H45="Taijijian Grupo A",34,IF(Atletas!H45="Daoshu Opcional",35,IF(Atletas!H45="Jianshu Opcional",36,IF(Atletas!H45="Nandao Opcional",37,IF(Atletas!H45="Taijijian Opcional",38,IF(Atletas!H45="Daoshu Adulto",39,IF(Atletas!H45="Jianshu Adulto",40,IF(Atletas!H45="Nandao Adulto",41,IF(Atletas!H45="Taijijian Adulto",42,""))))))))))))))))))))))))))</f>
        <v/>
      </c>
      <c r="BA49" s="46" t="str">
        <f>IF(Atletas!I45="","",IF(Atletas!B45="Feminino",100,IF(Atletas!B45="Masculino",200,""))+(IF(Atletas!I45="Gunshu Mirim",43,IF(Atletas!I45="Qiangshu Mirim",44,IF(Atletas!I45="Nangun Mirim",45,IF(Atletas!I45="Gunshu Grupo C",46,IF(Atletas!I45="Qiangshu Grupo C",47,IF(Atletas!I45="Nangun Grupo C",48,IF(Atletas!I45="Gunshu Grupo B",49,IF(Atletas!I45="Qiangshu Grupo B",50,IF(Atletas!I45="Nangun Grupo B",51,IF(Atletas!I45="Gunshu Grupo A",52,IF(Atletas!I45="Qiangshu Grupo A",53,IF(Atletas!I45="Nangun Grupo A",54,IF(Atletas!I45="Gunshu Opcional",55,IF(Atletas!I45="Qiangshu Opcional",56,IF(Atletas!I45="Nangun Opcional",57,IF(Atletas!I45="Gunshu Adulto",58,IF(Atletas!I45="Qiangshu Adulto",59,IF(Atletas!I45="Nangun Adulto",60,""))))))))))))))))))))</f>
        <v/>
      </c>
      <c r="BB49" s="10" t="str">
        <f>IF(BC49&lt;&gt;"","Taijiquan Opcional","")</f>
        <v/>
      </c>
      <c r="BC49" s="52" t="str">
        <f>IF(COUNTIF(AY:BA,115)&gt;0,COUNTIF(AY:BA,115),"")</f>
        <v/>
      </c>
      <c r="BD49" s="10" t="str">
        <f>IF(BE49&lt;&gt;"","Taijiquan Opcional","")</f>
        <v/>
      </c>
      <c r="BE49" s="52" t="str">
        <f>IF(COUNTIF(AY:BA,215)&gt;0,COUNTIF(AY:BA,215),"")</f>
        <v/>
      </c>
      <c r="BF49" s="52" t="str">
        <f>IF(Atletas!J45="","",IF(Atletas!B45="Feminino",100,IF(Atletas!B45="Masculino",200,""))+(IF(Atletas!J45="Equipe 1 Grupo B",1,IF(Atletas!J45="Equipe 2 Grupo B",2,IF(Atletas!J45="Equipe 1 Grupo A",3,IF(Atletas!J45="Equipe 2 Grupo A",4,IF(Atletas!J45="Equipe 1 Adulto",5,IF(Atletas!J45="Equipe 2 Adulto",6,""))))))))</f>
        <v/>
      </c>
      <c r="BK49" s="52" t="str">
        <f>IF(Atletas!K45="","",IF(Atletas!W45&lt;&gt;"",10000,0)+(IF(Atletas!B45="Feminino",1000,IF(Atletas!B45="Masculino",2000,""))+IF(Atletas!K45="Choylayfut A",1,IF(Atletas!K45="Hunggar A",2,IF(Atletas!K45="Wuzuquan A",3,IF(Atletas!K45="Wingchun A",4,IF(Atletas!K45="Outra Mão de Sul A",5,IF(Atletas!K45="Choylayfut B",6,IF(Atletas!K45="Hunggar B",7,IF(Atletas!K45="Wuzuquan B",8,IF(Atletas!K45="Wingchun B",9,IF(Atletas!K45="Outra Mão de Sul B",10,IF(Atletas!K45="Choylayfut C",11,IF(Atletas!K45="Hunggar C",12,IF(Atletas!K45="Wuzuquan C",13,IF(Atletas!K45="Wingchun C",14,IF(Atletas!K45="Outra Mão de Sul C",15,IF(Atletas!K45="Choylayfut D",16,IF(Atletas!K45="Hunggar D",17,IF(Atletas!K45="Wuzuquan D",18,IF(Atletas!K45="Wingchun D",19,IF(Atletas!K45="Outra Mão de Sul D",20,IF(Atletas!K45="Choylayfut E",21,IF(Atletas!K45="Hunggar E",22,IF(Atletas!K45="Wuzuquan E",23,IF(Atletas!K45="Wingchun E",24,IF(Atletas!K45="Outra Mão de Sul E",25,IF(Atletas!K45="Choylayfut F",26,IF(Atletas!K45="Hunggar F",27,IF(Atletas!K45="Wuzuquan F",28,IF(Atletas!K45="Wingchun F",29,IF(Atletas!K45="Outra Mão de Sul F",30,""))))))))))))))))))))))))))))))))</f>
        <v/>
      </c>
      <c r="BL49" s="52" t="str">
        <f>IF(Atletas!L45="","",IF(Atletas!W45&lt;&gt;"",10000,0)+(IF(Atletas!B45="Feminino",1000,IF(Atletas!B45="Masculino",2000,""))+(IF(Atletas!L45="Chaquan A",101,IF(Atletas!L45="Emeiquan A",102,IF(Atletas!L45="Fanziquan A",103,IF(Atletas!L45="Huaquan A",104,IF(Atletas!L45="Hongquan A",105,IF(Atletas!L45="Paochui A",106,IF(Atletas!L45="Piguaquan A",107,IF(Atletas!L45="Shaolinquan A",108,IF(Atletas!L45="Tanglangquan A",109,IF(Atletas!L45="Yinzhaophai A",110,IF(Atletas!L45="Tongbeiquan A",111,IF(Atletas!L45="Wudangquan A",112,IF(Atletas!L45="Outros Estilos A",113,IF(Atletas!L45="Chaquan B",114,IF(Atletas!L45="Emeiquan B",115,IF(Atletas!L45="Fanziquan B",116,IF(Atletas!L45="Huaquan B",117,IF(Atletas!L45="Hongquan B",118,IF(Atletas!L45="Paochui B",119,IF(Atletas!L45="Piguaquan B",120,IF(Atletas!L45="Shaolinquan B",121,IF(Atletas!L45="Tanglangquan B",122,IF(Atletas!L45="Yinzhaophai B",123,IF(Atletas!L45="Tongbeiquan B",124,IF(Atletas!L45="Wudangquan B",125,IF(Atletas!L45="Outros Estilos B",126,IF(Atletas!L45="Chaquan C",127,IF(Atletas!L45="Emeiquan C",128,IF(Atletas!L45="Fanziquan C",129,IF(Atletas!L45="Huaquan C",130,IF(Atletas!L45="Hongquan C",131,IF(Atletas!L45="Paochui C",132,IF(Atletas!L45="Piguaquan C",133,IF(Atletas!L45="Shaolinquan C",134,IF(Atletas!L45="Tanglangquan C",135,IF(Atletas!L45="Yinzhaophai C",136,IF(Atletas!L45="Tongbeiquan C",137,IF(Atletas!L45="Wudangquan C",138,IF(Atletas!L45="Outros Estilos C",139,0))))))))))))))))))))))))))))))))))))))))))</f>
        <v/>
      </c>
      <c r="BM49" s="52" t="str">
        <f>IF(Atletas!L45="","",IF(Atletas!W45&lt;&gt;"",10000,0)+(IF(Atletas!B45="Feminino",1000,IF(Atletas!B45="Masculino",2000,""))+(IF(Atletas!L45="Chaquan D",140,IF(Atletas!L45="Emeiquan D",141,IF(Atletas!L45="Fanziquan D",142,IF(Atletas!L45="Huaquan D",143,IF(Atletas!L45="Hongquan D",144,IF(Atletas!L45="Paochui D",145,IF(Atletas!L45="Piguaquan D",146,IF(Atletas!L45="Shaolinquan D",147,IF(Atletas!L45="Tanglangquan D",148,IF(Atletas!L45="Yinzhaophai D",149,IF(Atletas!L45="Tongbeiquan D",150,IF(Atletas!L45="Wudangquan D",151,IF(Atletas!L45="Outros Estilos D",152,IF(Atletas!L45="Chaquan E",153,IF(Atletas!L45="Emeiquan E",154,IF(Atletas!L45="Fanziquan E",155,IF(Atletas!L45="Huaquan E",156,IF(Atletas!L45="Hongquan E",157,IF(Atletas!L45="Paochui E",158,IF(Atletas!L45="Piguaquan E",159,IF(Atletas!L45="Shaolinquan E",160,IF(Atletas!L45="Tanglangquan E",161,IF(Atletas!L45="Yinzhaophai E",162,IF(Atletas!L45="Tongbeiquan E",163,IF(Atletas!L45="Wudangquan E",164,IF(Atletas!L45="Outros Estilos E",165,IF(Atletas!L45="Chaquan F",166,IF(Atletas!L45="Emeiquan F",167,IF(Atletas!L45="Fanziquan F",168,IF(Atletas!L45="Huaquan F",169,IF(Atletas!L45="Hongquan F",170,IF(Atletas!L45="Paochui F",171,IF(Atletas!L45="Piguaquan F",172,IF(Atletas!L45="Shaolinquan F",173,IF(Atletas!L45="Tanglangquan F",174,IF(Atletas!L45="Yinzhaophai F",175,IF(Atletas!L45="Tongbeiquan F",176,IF(Atletas!L45="Wudangquan F",177,IF(Atletas!L45="Outros Estilos F",178,0))))))))))))))))))))))))))))))))))))))))))</f>
        <v/>
      </c>
      <c r="BN49" s="52" t="str">
        <f>IF(Atletas!M45="","",IF(Atletas!W45&lt;&gt;"",10000,0)+(IF(Atletas!B45="Feminino",1000,IF(Atletas!B45="Masculino",2000,""))+(IF(Atletas!M45="Ditangquan A",201,IF(Atletas!M45="Houquan A",202,IF(Atletas!M45="Zuiquan A",203,IF(Atletas!M45="Ditangquan B",204,IF(Atletas!M45="Houquan B",205,IF(Atletas!M45="Zuiquan B",206,IF(Atletas!M45="Ditangquan C",207,IF(Atletas!M45="Houquan C",208,IF(Atletas!M45="Zuiquan C",209,IF(Atletas!M45="Ditangquan D",210,IF(Atletas!M45="Houquan D",211,IF(Atletas!M45="Zuiquan D",212,IF(Atletas!M45="Ditangquan E",213,IF(Atletas!M45="Houquan E",214,IF(Atletas!M45="Zuiquan E",215,IF(Atletas!M45="Ditangquan F",216,IF(Atletas!M45="Houquan F",217,IF(Atletas!M45="Zuiquan F",218,"")))))))))))))))))))))</f>
        <v/>
      </c>
      <c r="BO49" s="52" t="str">
        <f>IF(Atletas!N45="","",IF(Atletas!W45&lt;&gt;"",10000,0)+IF(Atletas!B45="Feminino",1000,IF(Atletas!B45="Masculino",2000,""))+IF(Atletas!N45="Yang A",301,IF(Atletas!N45="Chen A",30,IF(Atletas!N45="Sun A",303,IF(Atletas!N45="Wu A",304,IF(Atletas!N45="Wu-Hao A",305,IF(Atletas!N45="Outro Taijiquan A",306,IF(Atletas!N45="Yang B",307,IF(Atletas!N45="Chen B",308,IF(Atletas!N45="Sun B",309,IF(Atletas!N45="Wu B",310,IF(Atletas!N45="Wu-Hao B",311,IF(Atletas!N45="Outro Taijiquan B",312,IF(Atletas!N45="Yang C",313,IF(Atletas!N45="Chen C",314,IF(Atletas!N45="Sun C",315,IF(Atletas!N45="Wu C",316,IF(Atletas!N45="Wu-Hao C",317,IF(Atletas!N45="Outro Taijiquan C",318,IF(Atletas!N45="Yang D",319,IF(Atletas!N45="Chen D",320,IF(Atletas!N45="Sun D",321,IF(Atletas!N45="Wu D",322,IF(Atletas!N45="Wu-Hao D",323,IF(Atletas!N45="Outro Taijiquan D",324,IF(Atletas!N45="Yang E",325,IF(Atletas!N45="Chen E",326,IF(Atletas!N45="Sun E",327,IF(Atletas!N45="Wu E",328,IF(Atletas!N45="Wu-Hao E",329,IF(Atletas!N45="Outro Taijiquan E",330,IF(Atletas!N45="Yang F",331,IF(Atletas!N45="Chen F",332,IF(Atletas!N45="Sun F",333,IF(Atletas!N45="Wu F",334,IF(Atletas!N45="Wu-Hao F",335,IF(Atletas!N45="Outro Taijiquan F",336,"")))))))))))))))))))))))))))))))))))))</f>
        <v/>
      </c>
      <c r="BP49" s="52" t="str">
        <f>IF(Atletas!O45="","",IF(Atletas!W45&lt;&gt;"",10000,0)+IF(Atletas!B45="Feminino",1000,IF(Atletas!B45="Masculino",2000,""))+IF(OR(Atletas!O45="Yang 26 A",Atletas!O45="Yang 40 A"),401,IF(OR(Atletas!O45="Chen 25 A",Atletas!O45="Chen 36 A",Atletas!O45="Chen 56 A"),402,IF(Atletas!O45="Sun 73 A",403,IF(Atletas!O45="Wu 45 A",404,IF(Atletas!O45="Wu-Hao 46 A",405,IF(OR(Atletas!O45="Taijiquan 16 A",Atletas!O45="Taijiquan 24 A",Atletas!O45="Taijiquan 32 A",Atletas!O45="Taijiquan 42 A"),406,IF(OR(Atletas!O45="Yang 26 B",Atletas!O45="Yang 40 B"),407,IF(OR(Atletas!O45="Chen 25 B",Atletas!O45="Chen 36 B",Atletas!O45="Chen 56 B"),408,IF(Atletas!O45="Sun 73 B",409,IF(Atletas!O45="Wu 45 B",410,IF(Atletas!O45="Wu-Hao 46 B",411,IF(OR(Atletas!O45="Taijiquan 16 B",Atletas!O45="Taijiquan 24 B",Atletas!O45="Taijiquan 32 B",Atletas!O45="Taijiquan 42 B"),412,IF(OR(Atletas!O45="Yang 26 C",Atletas!O45="Yang 40 C"),413,IF(OR(Atletas!O45="Chen 25 C",Atletas!O45="Chen 36 C",Atletas!O45="Chen 56 C"),414,IF(Atletas!O45="Sun 73 C",415,IF(Atletas!O45="Wu 45 C",416,IF(Atletas!O45="Wu-Hao 46 C",417,IF(OR(Atletas!O45="Taijiquan 16 C",Atletas!O45="Taijiquan 24 C",Atletas!O45="Taijiquan 32 C",Atletas!O45="Taijiquan 42 C"),418,0)))))))))))))))))))</f>
        <v/>
      </c>
      <c r="BQ49" s="52" t="str">
        <f>IF(Atletas!O45="","",IF(Atletas!W45&lt;&gt;"",10000,0)+IF(Atletas!B45="Feminino",1000,IF(Atletas!B45="Masculino",2000,""))+IF(OR(Atletas!O45="Yang 26 D",Atletas!O45="Yang 40 D"),419,IF(OR(Atletas!O45="Chen 25 D",Atletas!O45="Chen 36 D",Atletas!O45="Chen 56 D"),420,IF(Atletas!O45="Sun 73 D",421,IF(Atletas!O45="Wu 45 D",422,IF(Atletas!O45="Wu-Hao 46 D",423,IF(OR(Atletas!O45="Taijiquan 16 D",Atletas!O45="Taijiquan 24 D",Atletas!O45="Taijiquan 32 D",Atletas!O45="Taijiquan 42 D"),424,IF(OR(Atletas!O45="Yang 26 E",Atletas!O45="Yang 40 E"),425,IF(OR(Atletas!O45="Chen 25 E",Atletas!O45="Chen 36 E",Atletas!O45="Chen 56 E"),426,IF(Atletas!O45="Sun 73 E",427,IF(Atletas!O45="Wu 45 E",428,IF(Atletas!O45="Wu-Hao 46 E",429,IF(OR(Atletas!O45="Taijiquan 16 E",Atletas!O45="Taijiquan 24 E",Atletas!O45="Taijiquan 32 E",Atletas!O45="Taijiquan 42 E"),430,IF(OR(Atletas!O45="Yang 26 F",Atletas!O45="Yang 40 F"),431,IF(OR(Atletas!O45="Chen 25 F",Atletas!O45="Chen 36 F",Atletas!O45="Chen 56 F"),432,IF(Atletas!O45="Sun 73 F",433,IF(Atletas!O45="Wu 45 F",434,IF(Atletas!O45="Wu-Hao 46 F",435,IF(OR(Atletas!O45="Taijiquan 16 F",Atletas!O45="Taijiquan 24 F",Atletas!O45="Taijiquan 32 F",Atletas!O45="Taijiquan 42 F"),436,0)))))))))))))))))))</f>
        <v/>
      </c>
      <c r="BR49" s="52" t="str">
        <f>IF(Atletas!P45="","",IF(Atletas!W45&lt;&gt;"",10000,0)+IF(Atletas!B45="Feminino",1000,IF(Atletas!B45="Masculino",2000,""))+IF(Atletas!P45="Xingyiquan A",501,IF(Atletas!P45="Baguazhang A",502,IF(Atletas!P45="Outro Estilo Interno A",503,IF(Atletas!P45="Xingyiquan B",504,IF(Atletas!P45="Baguazhang B",505,IF(Atletas!P45="Outro Estilo Interno B",506,IF(Atletas!P45="Xingyiquan C",507,IF(Atletas!P45="Baguazhang C",508,IF(Atletas!P45="Outro Estilo Interno C",509,IF(Atletas!P45="Xingyiquan D",510,IF(Atletas!P45="Baguazhang D",511,IF(Atletas!P45="Outro Estilo Interno D",512,IF(Atletas!P45="Xingyiquan E",513,IF(Atletas!P45="Baguazhang E",514,IF(Atletas!P45="Outro Estilo Interno E",515,IF(Atletas!P45="Xingyiquan F",516,IF(Atletas!P45="Baguazhang F",517,IF(Atletas!P45="Outro Estilo Interno F",518, "")))))))))))))))))))</f>
        <v/>
      </c>
      <c r="BS49" s="52" t="str">
        <f>IF(Atletas!Q45="","",IF(Atletas!W45&lt;&gt;"",10000,0)+IF(Atletas!B45="Feminino",1000,IF(Atletas!B45="Masculino",2000,""))+IF(Atletas!Q45="Dao A",601,IF(Atletas!Q45="Jian A",602,IF(Atletas!Q45="Bishou A",603,IF(Atletas!Q45="Shan A",604,IF(Atletas!Q45="Outra Arma Curta A",605,IF(Atletas!Q45="Dao B",606,IF(Atletas!Q45="Jian B",607,IF(Atletas!Q45="Bishou B",608,IF(Atletas!Q45="Shan B",609,IF(Atletas!Q45="Outra Arma Curta B",610,IF(Atletas!Q45="Dao C",611,IF(Atletas!Q45="Jian C",612,IF(Atletas!Q45="Bishou C",613,IF(Atletas!Q45="Shan C",614,IF(Atletas!Q45="Outra Arma Curta C",615,IF(Atletas!Q45="Dao D",616,IF(Atletas!Q45="Jian D",617,IF(Atletas!Q45="Bishou D",618,IF(Atletas!Q45="Shan D",619,IF(Atletas!Q45="Outra Arma Curta D",620,IF(Atletas!Q45="Dao E",621,IF(Atletas!Q45="Jian E",622,IF(Atletas!Q45="Bishou E",623,IF(Atletas!Q45="Shan E",624,IF(Atletas!Q45="Outra Arma Curta E",625,IF(Atletas!Q45="Dao F",626,IF(Atletas!Q45="Jian F",627,IF(Atletas!Q45="Bishou F",628,IF(Atletas!Q45="Shan F",629,IF(Atletas!Q45="Outra Arma Curta F",630, "")))))))))))))))))))))))))))))))</f>
        <v/>
      </c>
      <c r="BT49" s="52" t="str">
        <f>IF(Atletas!R45="","",IF(Atletas!W45&lt;&gt;"",10000,0)+IF(Atletas!B45="Feminino",1000,IF(Atletas!B45="Masculino",2000,""))+IF(Atletas!R45="Gun A",701,IF(Atletas!R45="Qiang A",702,IF(Atletas!R45="Pudao / Guandao A",703,IF(Atletas!R45="Outra Arma Longa A",704,IF(Atletas!R45="Gun B",705,IF(Atletas!R45="Qiang B",706,IF(Atletas!R45="Pudao / Guandao B",707,IF(Atletas!R45="Outra Arma Longa B",708,IF(Atletas!R45="Gun C",709,IF(Atletas!R45="Qiang C",710,IF(Atletas!R45="Pudao / Guandao C",711,IF(Atletas!R45="Outra Arma Longa C",712,IF(Atletas!R45="Gun D",713,IF(Atletas!R45="Qiang D",714,IF(Atletas!R45="Pudao / Guandao D",715,IF(Atletas!R45="Outra Arma Longa D",716,IF(Atletas!R45="Gun E",717,IF(Atletas!R45="Qiang E",718,IF(Atletas!R45="Pudao / Guandao E",719,IF(Atletas!R45="Outra Arma Longa E",720,IF(Atletas!R45="Gun F",721,IF(Atletas!R45="Qiang F",722,IF(Atletas!R45="Pudao / Guandao F",723,IF(Atletas!R45="Outra Arma Longa F",724,"")))))))))))))))))))))))))</f>
        <v/>
      </c>
      <c r="BU49" s="52" t="str">
        <f>IF(Atletas!S45="","",IF(Atletas!W45&lt;&gt;"",10000,0)+IF(Atletas!B45="Feminino",1000,IF(Atletas!B45="Masculino",2000,""))+IF(Atletas!S45="Arma Dupla A",801,IF(Atletas!S45="Arma Maleável A",802,IF(Atletas!S45="Arma Dupla B",803,IF(Atletas!S45="Arma Maleável B",804,IF(Atletas!S45="Arma Dupla C",805,IF(Atletas!S45="Arma Maleável C",806,IF(Atletas!S45="Arma Dupla D",807,IF(Atletas!S45="Arma Maleável D",808,IF(Atletas!S45="Arma Dupla E",809,IF(Atletas!S45="Arma Maleável E",810,IF(Atletas!S45="Arma Dupla F",811,IF(Atletas!S45="Arma Maleável F",812, "")))))))))))))</f>
        <v/>
      </c>
      <c r="BV49" s="52" t="str">
        <f>IF(Atletas!T45="","",IF(Atletas!W45&lt;&gt;"",10000,0)+IF(Atletas!B45="Feminino",1000,IF(Atletas!B45="Masculino",2000,""))+IF(Atletas!T45="Taijijian Yang A",901,IF(Atletas!T45="Taijijian Chen A",902,IF(Atletas!T45="Taijijian Sun A",903,IF(Atletas!T45="Taijijian Wu A",904,IF(Atletas!T45="Taijijian Wu-Hao A",905,IF(Atletas!T45="Taijijian 32 A",906,IF(Atletas!T45="Taijijian 42 A",907,IF(Atletas!T45="Taijijian Yang B",908,IF(Atletas!T45="Taijijian Chen B",909,IF(Atletas!T45="Taijijian Sun B",910,IF(Atletas!T45="Taijijian Wu B",911,IF(Atletas!T45="Taijijian Wu-Hao B",912,IF(Atletas!T45="Taijijian 32 B",913,IF(Atletas!T45="Taijijian 42 B",914,IF(Atletas!T45="Taijijian Yang C",915,IF(Atletas!T45="Taijijian Chen C",916,IF(Atletas!T45="Taijijian Sun C",917,IF(Atletas!T45="Taijijian Wu C",918,IF(Atletas!T45="Taijijian Wu-Hao C",919,IF(Atletas!T45="Taijijian 32 C",920,IF(Atletas!T45="Taijijian 42 C",921,IF(Atletas!T45="Taijijian Yang D",922,IF(Atletas!T45="Taijijian Chen D",923,IF(Atletas!T45="Taijijian Sun D",924,IF(Atletas!T45="Taijijian Wu D",925,IF(Atletas!T45="Taijijian Wu-Hao D",926,IF(Atletas!T45="Taijijian 32 D",927,IF(Atletas!T45="Taijijian 42 D",928,IF(Atletas!T45="Taijijian Yang E",929,IF(Atletas!T45="Taijijian Chen E",930,IF(Atletas!T45="Taijijian Sun E",931,IF(Atletas!T45="Taijijian Wu E",932,IF(Atletas!T45="Taijijian Wu-Hao E",933,IF(Atletas!T45="Taijijian 32 E",934,IF(Atletas!T45="Taijijian 42 E",935,IF(Atletas!T45="Taijijian Yang F",936,IF(Atletas!T45="Taijijian Chen F",937,IF(Atletas!T45="Taijijian Sun F",938,IF(Atletas!T45="Taijijian Wu F",939,IF(Atletas!T45="Taijijian Wu-Hao F",940,IF(Atletas!T45="Taijijian 32 F",941,IF(Atletas!T45="Taijijian 42 F",942,"")))))))))))))))))))))))))))))))))))))))))))</f>
        <v/>
      </c>
      <c r="BW49" s="52" t="str">
        <f>IF(Atletas!U45="","",IF(Atletas!W45&lt;&gt;"",10000,0)+IF(Atletas!B45="Feminino",1000,IF(Atletas!B45="Masculino",2000,""))+IF(Atletas!T45="Taijijian 42 F",942,IF(Atletas!U45="Taijidao A",943,IF(Atletas!U45="Taijishan A",944,IF(Atletas!U45="Taijiqiang A",945,IF(Atletas!U45="Taijidao B",946,IF(Atletas!U45="Taijishan B",947,IF(Atletas!U45="Taijiqiang B",948,IF(Atletas!U45="Taijidao C",949,IF(Atletas!U45="Taijishan C",950,IF(Atletas!U45="Taijiqiang C",951,IF(Atletas!U45="Taijidao D",952,IF(Atletas!U45="Taijishan D",953,IF(Atletas!U45="Taijiqiang D",954,IF(Atletas!U45="Taijidao E",955,IF(Atletas!U45="Taijishan E",956,IF(Atletas!U45="Taijiqiang E",957,IF(Atletas!U45="Taijidao F",958,IF(Atletas!U45="Taijishan F",959,IF(Atletas!U45="Taijiqiang F",960))))))))))))))))))))</f>
        <v/>
      </c>
      <c r="BX49" s="64" t="str">
        <f>IF(BY49&lt;&gt;"","Outros Estilos A","")</f>
        <v/>
      </c>
      <c r="BY49" s="64" t="str">
        <f>IF(COUNTIF(BK:BW,1113)&gt;0,COUNTIF(BK:BW,1113),"")</f>
        <v/>
      </c>
      <c r="BZ49" s="64" t="str">
        <f>IF(CA49&lt;&gt;"","Outros Estilos A","")</f>
        <v/>
      </c>
      <c r="CA49" s="64" t="str">
        <f>IF(COUNTIF(BK:BW,2113)&gt;0,COUNTIF(BK:BW,2113),"")</f>
        <v/>
      </c>
      <c r="CB49" s="64" t="str">
        <f>IF(CC49&lt;&gt;"","Outros Estilos A","")</f>
        <v/>
      </c>
      <c r="CC49" s="64" t="str">
        <f>IF(COUNTIF(BK:BW,11113)&gt;0,COUNTIF(BK:BW,11113),"")</f>
        <v/>
      </c>
      <c r="CD49" s="64" t="str">
        <f>IF(CE49&lt;&gt;"","Outros Estilos A","")</f>
        <v/>
      </c>
      <c r="CE49" s="64" t="str">
        <f>IF(COUNTIF(BK:BW,12113)&gt;0,COUNTIF(BK:BW,12113),"")</f>
        <v/>
      </c>
      <c r="CF49" s="52" t="str">
        <f xml:space="preserve"> IF(Atletas!V45="","",IF(Atletas!V45="Duilian de Mãos AB - Equipe 1",1,IF(Atletas!V45="Duilian de Mãos AB - Equipe 2",2,IF(Atletas!V45="Duilian de Armas AB - Equipe 1",3,IF(Atletas!V45="Duilian de Armas AB - Equipe 2",4,IF(Atletas!V45="Duilian de Tuishou - Equipe 1",5,IF(Atletas!V45="Duilian de Tuishou - Equipe 2",6,IF(Atletas!V45="Grupo Externo AB - Equipe 1",7,IF(Atletas!V45="Grupo Externo AB - Equipe 2",8,IF(Atletas!V45="Grupo Interno AB - Equipe 1",9,IF(Atletas!V45="Grupo Interno AB - Equipe 2",10,IF(Atletas!V45="Duilian de Mãos CD - Equipe 1",11,IF(Atletas!V45="Duilian de Mãos CD - Equipe 2",12,IF(Atletas!V45="Duilian de Armas CD - Equipe 1",13,IF(Atletas!V45="Duilian de Armas CD - Equipe 2",14,IF(Atletas!V45="Duilian de Tuishou - Equipe 1",15,IF(Atletas!V45="Duilian de Tuishou - Equipe 2",16,IF(Atletas!V45="Grupo Externo CDEF - Equipe 1",17,IF(Atletas!V45="Grupo Externo CDEF - Equipe 2",18,IF(Atletas!V45="Grupo Interno CDEF - Equipe 1",19,IF(Atletas!V45="Grupo Interno CDEF - Equipe 2",20,IF(Atletas!V45="Duilian de Mãos EF - Equipe 1",21,IF(Atletas!V45="Duilian de Mãos EF - Equipe 2",22,IF(Atletas!V45="Duilian de Armas EF - Equipe 1",23,IF(Atletas!V45="Duilian de Armas EF - Equipe 2",24,IF(Atletas!V45="Duilian de Tuishou - Equipe 1",25,IF(Atletas!V45="Duilian de Tuishou - Equipe 2",26,"")))))))))))))))))))))))))))</f>
        <v/>
      </c>
      <c r="CR49" s="71"/>
    </row>
    <row r="50" spans="2:96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 t="str">
        <f t="array" ref="N50">IFERROR(INDEX(BB$7:BB$66,SMALL(IF(BB$7:BB$66&lt;&gt;"",ROW(BB$7:BB$66)-ROW(BB$7)+1),ROWS(BB$7:BB49))),"")</f>
        <v/>
      </c>
      <c r="O50" s="4" t="str">
        <f t="array" ref="O50">IFERROR(INDEX(BC$7:BC$66,SMALL(IF(BC$7:BC$66&lt;&gt;"",ROW(BC$7:BC$66)-ROW(BC$7)+1),ROWS(BC$7:BC49))),"")</f>
        <v/>
      </c>
      <c r="P50" s="4" t="str">
        <f t="array" ref="P50">IFERROR(INDEX(BD$7:BD$66,SMALL(IF(BD$7:BD$66&lt;&gt;"",ROW(BD$7:BD$66)-ROW(BD$7)+1),ROWS(BD$7:BD49))),"")</f>
        <v/>
      </c>
      <c r="Q50" s="4" t="str">
        <f t="array" ref="Q50">IFERROR(INDEX(BE$7:BE$66,SMALL(IF(BE$7:BE$66&lt;&gt;"",ROW(BE$7:BE$66)-ROW(BE$7)+1),ROWS(BE$7:BE49))),"")</f>
        <v/>
      </c>
      <c r="R50" s="4"/>
      <c r="S50" s="4"/>
      <c r="T50" s="31"/>
      <c r="U50" s="4"/>
      <c r="V50" s="4" t="str">
        <f t="array" ref="V50">IFERROR(INDEX(BX$7:BX$336,SMALL(IF(BX$7:BX$336&lt;&gt;"",ROW(BX$7:BX$336)-ROW(BX$7)+1),ROWS(BX$7:BX49))),"")</f>
        <v/>
      </c>
      <c r="W50" s="4" t="str">
        <f t="array" ref="W50">IFERROR(INDEX(BY$7:BY$336,SMALL(IF(BY$7:BY$336&lt;&gt;"",ROW(BY$7:BY$336)-ROW(BY$7)+1),ROWS(BY$7:BY49))),"")</f>
        <v/>
      </c>
      <c r="X50" s="4" t="str">
        <f t="array" ref="X50">IFERROR(INDEX(BZ$7:BZ$336,SMALL(IF(BZ$7:BZ$336&lt;&gt;"",ROW(BZ$7:BZ$336)-ROW(BZ$7)+1),ROWS(BZ$7:BZ49))),"")</f>
        <v/>
      </c>
      <c r="Y50" s="4" t="str">
        <f t="array" ref="Y50">IFERROR(INDEX(CA$7:CA$336,SMALL(IF(CA$7:CA$336&lt;&gt;"",ROW(CA$7:CA$336)-ROW(CA$7)+1),ROWS(CA$7:CA49))),"")</f>
        <v/>
      </c>
      <c r="Z50" s="4" t="str">
        <f t="array" ref="Z50">IFERROR(INDEX(CB$7:CB$378,SMALL(IF(CB$7:CB$378&lt;&gt;"",ROW(CB$7:CB$378)-ROW(CB$7)+1),ROWS(CB$7:CB49))),"")</f>
        <v/>
      </c>
      <c r="AA50" s="4" t="str">
        <f t="array" ref="AA50">IFERROR(INDEX(CC$7:CC$378,SMALL(IF(CC$7:CC$378&lt;&gt;"",ROW(CC$7:CC$378)-ROW(CC$7)+1),ROWS(CC$7:CC49))),"")</f>
        <v/>
      </c>
      <c r="AB50" s="4" t="str">
        <f t="array" ref="AB50">IFERROR(INDEX(CD$7:CD$378,SMALL(IF(CD$7:CD$378&lt;&gt;"",ROW(CD$7:CD$378)-ROW(CD$7)+1),ROWS(CD$7:CD49))),"")</f>
        <v/>
      </c>
      <c r="AC50" s="4" t="str">
        <f t="array" ref="AC50">IFERROR(INDEX(CE$7:CE$378,SMALL(IF(CE$7:CE$378&lt;&gt;"",ROW(CE$7:CE$378)-ROW(CE$7)+1),ROWS(CE$7:CE49))),"")</f>
        <v/>
      </c>
      <c r="AD50" s="4"/>
      <c r="AE50" s="4"/>
      <c r="AF50" s="4"/>
      <c r="AG50" s="4"/>
      <c r="AH50" s="4"/>
      <c r="AI50" s="4"/>
      <c r="AJ50" s="46" t="str">
        <f>IF(Atletas!D46="","",IF(Atletas!B46="Feminino",100,IF(Atletas!B46="Masculino",200,""))+(IF(Atletas!D46="Infantil 39kg",1,IF(Atletas!D46="Infantil 42kg",2,IF(Atletas!D46="Infantil 45kg",3,IF(Atletas!D46="Infantil 48kg",4,IF(Atletas!D46="Infantil 52kg",5,IF(Atletas!D46="Infantil 56kg",6,IF(Atletas!D46="Infantil 60kg",7,IF(Atletas!D46="Juvenil 48kg",8,IF(Atletas!D46="Juvenil 52kg",9,IF(Atletas!D46="Juvenil 56kg",10,IF(Atletas!D46="Juvenil 60kg",11,IF(Atletas!D46="Juvenil 65kg",12,IF(Atletas!D46="Juvenil 70kg",13,IF(Atletas!D46="Juvenil 75kg",14,IF(Atletas!D46="Juvenil 80kg",15,IF(Atletas!D46="Adulto 48kg",16,IF(Atletas!D46="Adulto 52kg",17,IF(Atletas!D46="Adulto 56kg",18,IF(Atletas!D46="Adulto 60kg",19,IF(Atletas!D46="Adulto 65kg",20,IF(Atletas!D46="Adulto 70kg",21,IF(Atletas!D46="Adulto 75kg",22,IF(Atletas!D46="Adulto 80kg",23,IF(Atletas!D46="Adulto 85kg",24,IF(Atletas!D46="Adulto 90kg",25,IF(Atletas!D46="Adulto +90kg",26,""))))))))))))))))))))))))))))</f>
        <v/>
      </c>
      <c r="AO50" s="10" t="str">
        <f>IF(Atletas!E46="","",IF(Atletas!B46="Feminino",100,IF(Atletas!B46="Masculino",200,""))+(IF(Atletas!E46="Juvenil 44kg",1,IF(Atletas!E46="Juvenil 48kg",2,IF(Atletas!E46="Juvenil 52kg",3,IF(Atletas!E46="Juvenil 56kg",4,IF(Atletas!E46="Juvenil 60kg",5,IF(Atletas!E46="Juvenil 65kg",6,IF(Atletas!E46="Juvenil 70kg",7,IF(Atletas!E46="Juvenil 75kg",8,IF(Atletas!E46="Juvenil 82kg",9,IF(Atletas!E46="Juvenil 90kg",10,IF(Atletas!E46="Juvenil 100kg",11,IF(Atletas!E46="Adulto 48kg",12,IF(Atletas!E46="Adulto 52kg",13,IF(Atletas!E46="Adulto 56kg",14,IF(Atletas!E46="Adulto 60kg",15,IF(Atletas!E46="Adulto 65kg",16,IF(Atletas!E46="Adulto 70kg",17,IF(Atletas!E46="Adulto 75kg",18,IF(Atletas!E46="Adulto 82kg",19,IF(Atletas!E46="Adulto 90kg",20,IF(Atletas!E46="Adulto 100kg",21,IF(Atletas!E46="Adulto +100kg",22,""))))))))))))))))))))))))</f>
        <v/>
      </c>
      <c r="AT50" s="10" t="str">
        <f>IF(Atletas!F46="","",IF(Atletas!B46="Feminino",100,IF(Atletas!B46="Masculino",200,""))+(IF(Atletas!F46="Adulto 48kg",1,IF(Atletas!F46="Adulto 56kg",2,IF(Atletas!F46="Adulto 65kg",3,IF(Atletas!F46="Adulto 75kg",4,IF(Atletas!F46="Adulto +75kg",5,IF(Atletas!F46="Adulto 52kg",6,IF(Atletas!F46="Adulto 60kg",7,IF(Atletas!F46="Adulto 70kg",8,IF(Atletas!F46="Adulto 80kg",9,IF(Atletas!F46="Adulto 90kg",10,IF(Atletas!F46="Adulto +90kg",11,"")))))))))))))</f>
        <v/>
      </c>
      <c r="AY50" s="46" t="str">
        <f>IF(Atletas!G46="","",IF(Atletas!B46="Feminino",100,IF(Atletas!B46="Masculino",200,""))+(IF(Atletas!G46="Changquan Mirim",1,IF(Atletas!G46="Nanquan Mirim",2,IF(Atletas!G46="Taijiquan Mirim",3,IF(Atletas!G46="Changquan Grupo C",4,IF(Atletas!G46="Nanquan Grupo C",5,IF(Atletas!G46="Taijiquan Grupo C",6,IF(Atletas!G46="Changquan Grupo B",7,IF(Atletas!G46="Nanquan Grupo B",8,IF(Atletas!G46="Taijiquan Grupo B",9,IF(Atletas!G46="Changquan Grupo A",10,IF(Atletas!G46="Nanquan Grupo A",11,IF(Atletas!G46="Taijiquan Grupo A",12,IF(Atletas!G46="Changquan Opcional",13,IF(Atletas!G46="Nanquan Opcional",14,IF(Atletas!G46="Taijiquan Opcional",15,IF(Atletas!G46="Changquan Adulto",16,IF(Atletas!G46="Nanquan Adulto",17,IF(Atletas!G46="Taijiquan Adulto",18,""))))))))))))))))))))</f>
        <v/>
      </c>
      <c r="AZ50" s="46" t="str">
        <f>IF(Atletas!H46="","",IF(Atletas!B46="Feminino",100,IF(Atletas!B46="Masculino",200,""))+(IF(Atletas!H46="Daoshu Mirim",19,IF(Atletas!H46="Jianshu Mirim",20,IF(Atletas!H46="Nandao Mirim",21,IF(Atletas!H46="Taijijian Mirim",22,IF(Atletas!H46="Daoshu Grupo C",23,IF(Atletas!H46="Jianshu Grupo C",24,IF(Atletas!H46="Nandao Grupo C",25,IF(Atletas!H46="Taijijian Grupo C",26,IF(Atletas!H46="Daoshu Grupo B",27,IF(Atletas!H46="Jianshu Grupo B",28,IF(Atletas!H46="Nandao Grupo B",29,IF(Atletas!H46="Taijijian Grupo B",30,IF(Atletas!H46="Daoshu Grupo A",31,IF(Atletas!H46="Jianshu Grupo A",32,IF(Atletas!H46="Nandao Grupo A",33,IF(Atletas!H46="Taijijian Grupo A",34,IF(Atletas!H46="Daoshu Opcional",35,IF(Atletas!H46="Jianshu Opcional",36,IF(Atletas!H46="Nandao Opcional",37,IF(Atletas!H46="Taijijian Opcional",38,IF(Atletas!H46="Daoshu Adulto",39,IF(Atletas!H46="Jianshu Adulto",40,IF(Atletas!H46="Nandao Adulto",41,IF(Atletas!H46="Taijijian Adulto",42,""))))))))))))))))))))))))))</f>
        <v/>
      </c>
      <c r="BA50" s="46" t="str">
        <f>IF(Atletas!I46="","",IF(Atletas!B46="Feminino",100,IF(Atletas!B46="Masculino",200,""))+(IF(Atletas!I46="Gunshu Mirim",43,IF(Atletas!I46="Qiangshu Mirim",44,IF(Atletas!I46="Nangun Mirim",45,IF(Atletas!I46="Gunshu Grupo C",46,IF(Atletas!I46="Qiangshu Grupo C",47,IF(Atletas!I46="Nangun Grupo C",48,IF(Atletas!I46="Gunshu Grupo B",49,IF(Atletas!I46="Qiangshu Grupo B",50,IF(Atletas!I46="Nangun Grupo B",51,IF(Atletas!I46="Gunshu Grupo A",52,IF(Atletas!I46="Qiangshu Grupo A",53,IF(Atletas!I46="Nangun Grupo A",54,IF(Atletas!I46="Gunshu Opcional",55,IF(Atletas!I46="Qiangshu Opcional",56,IF(Atletas!I46="Nangun Opcional",57,IF(Atletas!I46="Gunshu Adulto",58,IF(Atletas!I46="Qiangshu Adulto",59,IF(Atletas!I46="Nangun Adulto",60,""))))))))))))))))))))</f>
        <v/>
      </c>
      <c r="BB50" s="10" t="str">
        <f>IF(BC50&lt;&gt;"","Daoshu Opcional","")</f>
        <v/>
      </c>
      <c r="BC50" s="52" t="str">
        <f>IF(COUNTIF(AY:BA,135)&gt;0,COUNTIF(AY:BA,135),"")</f>
        <v/>
      </c>
      <c r="BD50" s="10" t="str">
        <f>IF(BE50&lt;&gt;"","Daoshu Opcional","")</f>
        <v/>
      </c>
      <c r="BE50" s="52" t="str">
        <f>IF(COUNTIF(AY:BA,235)&gt;0,COUNTIF(AY:BA,235),"")</f>
        <v/>
      </c>
      <c r="BF50" s="52" t="str">
        <f>IF(Atletas!J46="","",IF(Atletas!B46="Feminino",100,IF(Atletas!B46="Masculino",200,""))+(IF(Atletas!J46="Equipe 1 Grupo B",1,IF(Atletas!J46="Equipe 2 Grupo B",2,IF(Atletas!J46="Equipe 1 Grupo A",3,IF(Atletas!J46="Equipe 2 Grupo A",4,IF(Atletas!J46="Equipe 1 Adulto",5,IF(Atletas!J46="Equipe 2 Adulto",6,""))))))))</f>
        <v/>
      </c>
      <c r="BK50" s="52" t="str">
        <f>IF(Atletas!K46="","",IF(Atletas!W46&lt;&gt;"",10000,0)+(IF(Atletas!B46="Feminino",1000,IF(Atletas!B46="Masculino",2000,""))+IF(Atletas!K46="Choylayfut A",1,IF(Atletas!K46="Hunggar A",2,IF(Atletas!K46="Wuzuquan A",3,IF(Atletas!K46="Wingchun A",4,IF(Atletas!K46="Outra Mão de Sul A",5,IF(Atletas!K46="Choylayfut B",6,IF(Atletas!K46="Hunggar B",7,IF(Atletas!K46="Wuzuquan B",8,IF(Atletas!K46="Wingchun B",9,IF(Atletas!K46="Outra Mão de Sul B",10,IF(Atletas!K46="Choylayfut C",11,IF(Atletas!K46="Hunggar C",12,IF(Atletas!K46="Wuzuquan C",13,IF(Atletas!K46="Wingchun C",14,IF(Atletas!K46="Outra Mão de Sul C",15,IF(Atletas!K46="Choylayfut D",16,IF(Atletas!K46="Hunggar D",17,IF(Atletas!K46="Wuzuquan D",18,IF(Atletas!K46="Wingchun D",19,IF(Atletas!K46="Outra Mão de Sul D",20,IF(Atletas!K46="Choylayfut E",21,IF(Atletas!K46="Hunggar E",22,IF(Atletas!K46="Wuzuquan E",23,IF(Atletas!K46="Wingchun E",24,IF(Atletas!K46="Outra Mão de Sul E",25,IF(Atletas!K46="Choylayfut F",26,IF(Atletas!K46="Hunggar F",27,IF(Atletas!K46="Wuzuquan F",28,IF(Atletas!K46="Wingchun F",29,IF(Atletas!K46="Outra Mão de Sul F",30,""))))))))))))))))))))))))))))))))</f>
        <v/>
      </c>
      <c r="BL50" s="52" t="str">
        <f>IF(Atletas!L46="","",IF(Atletas!W46&lt;&gt;"",10000,0)+(IF(Atletas!B46="Feminino",1000,IF(Atletas!B46="Masculino",2000,""))+(IF(Atletas!L46="Chaquan A",101,IF(Atletas!L46="Emeiquan A",102,IF(Atletas!L46="Fanziquan A",103,IF(Atletas!L46="Huaquan A",104,IF(Atletas!L46="Hongquan A",105,IF(Atletas!L46="Paochui A",106,IF(Atletas!L46="Piguaquan A",107,IF(Atletas!L46="Shaolinquan A",108,IF(Atletas!L46="Tanglangquan A",109,IF(Atletas!L46="Yinzhaophai A",110,IF(Atletas!L46="Tongbeiquan A",111,IF(Atletas!L46="Wudangquan A",112,IF(Atletas!L46="Outros Estilos A",113,IF(Atletas!L46="Chaquan B",114,IF(Atletas!L46="Emeiquan B",115,IF(Atletas!L46="Fanziquan B",116,IF(Atletas!L46="Huaquan B",117,IF(Atletas!L46="Hongquan B",118,IF(Atletas!L46="Paochui B",119,IF(Atletas!L46="Piguaquan B",120,IF(Atletas!L46="Shaolinquan B",121,IF(Atletas!L46="Tanglangquan B",122,IF(Atletas!L46="Yinzhaophai B",123,IF(Atletas!L46="Tongbeiquan B",124,IF(Atletas!L46="Wudangquan B",125,IF(Atletas!L46="Outros Estilos B",126,IF(Atletas!L46="Chaquan C",127,IF(Atletas!L46="Emeiquan C",128,IF(Atletas!L46="Fanziquan C",129,IF(Atletas!L46="Huaquan C",130,IF(Atletas!L46="Hongquan C",131,IF(Atletas!L46="Paochui C",132,IF(Atletas!L46="Piguaquan C",133,IF(Atletas!L46="Shaolinquan C",134,IF(Atletas!L46="Tanglangquan C",135,IF(Atletas!L46="Yinzhaophai C",136,IF(Atletas!L46="Tongbeiquan C",137,IF(Atletas!L46="Wudangquan C",138,IF(Atletas!L46="Outros Estilos C",139,0))))))))))))))))))))))))))))))))))))))))))</f>
        <v/>
      </c>
      <c r="BM50" s="52" t="str">
        <f>IF(Atletas!L46="","",IF(Atletas!W46&lt;&gt;"",10000,0)+(IF(Atletas!B46="Feminino",1000,IF(Atletas!B46="Masculino",2000,""))+(IF(Atletas!L46="Chaquan D",140,IF(Atletas!L46="Emeiquan D",141,IF(Atletas!L46="Fanziquan D",142,IF(Atletas!L46="Huaquan D",143,IF(Atletas!L46="Hongquan D",144,IF(Atletas!L46="Paochui D",145,IF(Atletas!L46="Piguaquan D",146,IF(Atletas!L46="Shaolinquan D",147,IF(Atletas!L46="Tanglangquan D",148,IF(Atletas!L46="Yinzhaophai D",149,IF(Atletas!L46="Tongbeiquan D",150,IF(Atletas!L46="Wudangquan D",151,IF(Atletas!L46="Outros Estilos D",152,IF(Atletas!L46="Chaquan E",153,IF(Atletas!L46="Emeiquan E",154,IF(Atletas!L46="Fanziquan E",155,IF(Atletas!L46="Huaquan E",156,IF(Atletas!L46="Hongquan E",157,IF(Atletas!L46="Paochui E",158,IF(Atletas!L46="Piguaquan E",159,IF(Atletas!L46="Shaolinquan E",160,IF(Atletas!L46="Tanglangquan E",161,IF(Atletas!L46="Yinzhaophai E",162,IF(Atletas!L46="Tongbeiquan E",163,IF(Atletas!L46="Wudangquan E",164,IF(Atletas!L46="Outros Estilos E",165,IF(Atletas!L46="Chaquan F",166,IF(Atletas!L46="Emeiquan F",167,IF(Atletas!L46="Fanziquan F",168,IF(Atletas!L46="Huaquan F",169,IF(Atletas!L46="Hongquan F",170,IF(Atletas!L46="Paochui F",171,IF(Atletas!L46="Piguaquan F",172,IF(Atletas!L46="Shaolinquan F",173,IF(Atletas!L46="Tanglangquan F",174,IF(Atletas!L46="Yinzhaophai F",175,IF(Atletas!L46="Tongbeiquan F",176,IF(Atletas!L46="Wudangquan F",177,IF(Atletas!L46="Outros Estilos F",178,0))))))))))))))))))))))))))))))))))))))))))</f>
        <v/>
      </c>
      <c r="BN50" s="52" t="str">
        <f>IF(Atletas!M46="","",IF(Atletas!W46&lt;&gt;"",10000,0)+(IF(Atletas!B46="Feminino",1000,IF(Atletas!B46="Masculino",2000,""))+(IF(Atletas!M46="Ditangquan A",201,IF(Atletas!M46="Houquan A",202,IF(Atletas!M46="Zuiquan A",203,IF(Atletas!M46="Ditangquan B",204,IF(Atletas!M46="Houquan B",205,IF(Atletas!M46="Zuiquan B",206,IF(Atletas!M46="Ditangquan C",207,IF(Atletas!M46="Houquan C",208,IF(Atletas!M46="Zuiquan C",209,IF(Atletas!M46="Ditangquan D",210,IF(Atletas!M46="Houquan D",211,IF(Atletas!M46="Zuiquan D",212,IF(Atletas!M46="Ditangquan E",213,IF(Atletas!M46="Houquan E",214,IF(Atletas!M46="Zuiquan E",215,IF(Atletas!M46="Ditangquan F",216,IF(Atletas!M46="Houquan F",217,IF(Atletas!M46="Zuiquan F",218,"")))))))))))))))))))))</f>
        <v/>
      </c>
      <c r="BO50" s="52" t="str">
        <f>IF(Atletas!N46="","",IF(Atletas!W46&lt;&gt;"",10000,0)+IF(Atletas!B46="Feminino",1000,IF(Atletas!B46="Masculino",2000,""))+IF(Atletas!N46="Yang A",301,IF(Atletas!N46="Chen A",30,IF(Atletas!N46="Sun A",303,IF(Atletas!N46="Wu A",304,IF(Atletas!N46="Wu-Hao A",305,IF(Atletas!N46="Outro Taijiquan A",306,IF(Atletas!N46="Yang B",307,IF(Atletas!N46="Chen B",308,IF(Atletas!N46="Sun B",309,IF(Atletas!N46="Wu B",310,IF(Atletas!N46="Wu-Hao B",311,IF(Atletas!N46="Outro Taijiquan B",312,IF(Atletas!N46="Yang C",313,IF(Atletas!N46="Chen C",314,IF(Atletas!N46="Sun C",315,IF(Atletas!N46="Wu C",316,IF(Atletas!N46="Wu-Hao C",317,IF(Atletas!N46="Outro Taijiquan C",318,IF(Atletas!N46="Yang D",319,IF(Atletas!N46="Chen D",320,IF(Atletas!N46="Sun D",321,IF(Atletas!N46="Wu D",322,IF(Atletas!N46="Wu-Hao D",323,IF(Atletas!N46="Outro Taijiquan D",324,IF(Atletas!N46="Yang E",325,IF(Atletas!N46="Chen E",326,IF(Atletas!N46="Sun E",327,IF(Atletas!N46="Wu E",328,IF(Atletas!N46="Wu-Hao E",329,IF(Atletas!N46="Outro Taijiquan E",330,IF(Atletas!N46="Yang F",331,IF(Atletas!N46="Chen F",332,IF(Atletas!N46="Sun F",333,IF(Atletas!N46="Wu F",334,IF(Atletas!N46="Wu-Hao F",335,IF(Atletas!N46="Outro Taijiquan F",336,"")))))))))))))))))))))))))))))))))))))</f>
        <v/>
      </c>
      <c r="BP50" s="52" t="str">
        <f>IF(Atletas!O46="","",IF(Atletas!W46&lt;&gt;"",10000,0)+IF(Atletas!B46="Feminino",1000,IF(Atletas!B46="Masculino",2000,""))+IF(OR(Atletas!O46="Yang 26 A",Atletas!O46="Yang 40 A"),401,IF(OR(Atletas!O46="Chen 25 A",Atletas!O46="Chen 36 A",Atletas!O46="Chen 56 A"),402,IF(Atletas!O46="Sun 73 A",403,IF(Atletas!O46="Wu 45 A",404,IF(Atletas!O46="Wu-Hao 46 A",405,IF(OR(Atletas!O46="Taijiquan 16 A",Atletas!O46="Taijiquan 24 A",Atletas!O46="Taijiquan 32 A",Atletas!O46="Taijiquan 42 A"),406,IF(OR(Atletas!O46="Yang 26 B",Atletas!O46="Yang 40 B"),407,IF(OR(Atletas!O46="Chen 25 B",Atletas!O46="Chen 36 B",Atletas!O46="Chen 56 B"),408,IF(Atletas!O46="Sun 73 B",409,IF(Atletas!O46="Wu 45 B",410,IF(Atletas!O46="Wu-Hao 46 B",411,IF(OR(Atletas!O46="Taijiquan 16 B",Atletas!O46="Taijiquan 24 B",Atletas!O46="Taijiquan 32 B",Atletas!O46="Taijiquan 42 B"),412,IF(OR(Atletas!O46="Yang 26 C",Atletas!O46="Yang 40 C"),413,IF(OR(Atletas!O46="Chen 25 C",Atletas!O46="Chen 36 C",Atletas!O46="Chen 56 C"),414,IF(Atletas!O46="Sun 73 C",415,IF(Atletas!O46="Wu 45 C",416,IF(Atletas!O46="Wu-Hao 46 C",417,IF(OR(Atletas!O46="Taijiquan 16 C",Atletas!O46="Taijiquan 24 C",Atletas!O46="Taijiquan 32 C",Atletas!O46="Taijiquan 42 C"),418,0)))))))))))))))))))</f>
        <v/>
      </c>
      <c r="BQ50" s="52" t="str">
        <f>IF(Atletas!O46="","",IF(Atletas!W46&lt;&gt;"",10000,0)+IF(Atletas!B46="Feminino",1000,IF(Atletas!B46="Masculino",2000,""))+IF(OR(Atletas!O46="Yang 26 D",Atletas!O46="Yang 40 D"),419,IF(OR(Atletas!O46="Chen 25 D",Atletas!O46="Chen 36 D",Atletas!O46="Chen 56 D"),420,IF(Atletas!O46="Sun 73 D",421,IF(Atletas!O46="Wu 45 D",422,IF(Atletas!O46="Wu-Hao 46 D",423,IF(OR(Atletas!O46="Taijiquan 16 D",Atletas!O46="Taijiquan 24 D",Atletas!O46="Taijiquan 32 D",Atletas!O46="Taijiquan 42 D"),424,IF(OR(Atletas!O46="Yang 26 E",Atletas!O46="Yang 40 E"),425,IF(OR(Atletas!O46="Chen 25 E",Atletas!O46="Chen 36 E",Atletas!O46="Chen 56 E"),426,IF(Atletas!O46="Sun 73 E",427,IF(Atletas!O46="Wu 45 E",428,IF(Atletas!O46="Wu-Hao 46 E",429,IF(OR(Atletas!O46="Taijiquan 16 E",Atletas!O46="Taijiquan 24 E",Atletas!O46="Taijiquan 32 E",Atletas!O46="Taijiquan 42 E"),430,IF(OR(Atletas!O46="Yang 26 F",Atletas!O46="Yang 40 F"),431,IF(OR(Atletas!O46="Chen 25 F",Atletas!O46="Chen 36 F",Atletas!O46="Chen 56 F"),432,IF(Atletas!O46="Sun 73 F",433,IF(Atletas!O46="Wu 45 F",434,IF(Atletas!O46="Wu-Hao 46 F",435,IF(OR(Atletas!O46="Taijiquan 16 F",Atletas!O46="Taijiquan 24 F",Atletas!O46="Taijiquan 32 F",Atletas!O46="Taijiquan 42 F"),436,0)))))))))))))))))))</f>
        <v/>
      </c>
      <c r="BR50" s="52" t="str">
        <f>IF(Atletas!P46="","",IF(Atletas!W46&lt;&gt;"",10000,0)+IF(Atletas!B46="Feminino",1000,IF(Atletas!B46="Masculino",2000,""))+IF(Atletas!P46="Xingyiquan A",501,IF(Atletas!P46="Baguazhang A",502,IF(Atletas!P46="Outro Estilo Interno A",503,IF(Atletas!P46="Xingyiquan B",504,IF(Atletas!P46="Baguazhang B",505,IF(Atletas!P46="Outro Estilo Interno B",506,IF(Atletas!P46="Xingyiquan C",507,IF(Atletas!P46="Baguazhang C",508,IF(Atletas!P46="Outro Estilo Interno C",509,IF(Atletas!P46="Xingyiquan D",510,IF(Atletas!P46="Baguazhang D",511,IF(Atletas!P46="Outro Estilo Interno D",512,IF(Atletas!P46="Xingyiquan E",513,IF(Atletas!P46="Baguazhang E",514,IF(Atletas!P46="Outro Estilo Interno E",515,IF(Atletas!P46="Xingyiquan F",516,IF(Atletas!P46="Baguazhang F",517,IF(Atletas!P46="Outro Estilo Interno F",518, "")))))))))))))))))))</f>
        <v/>
      </c>
      <c r="BS50" s="52" t="str">
        <f>IF(Atletas!Q46="","",IF(Atletas!W46&lt;&gt;"",10000,0)+IF(Atletas!B46="Feminino",1000,IF(Atletas!B46="Masculino",2000,""))+IF(Atletas!Q46="Dao A",601,IF(Atletas!Q46="Jian A",602,IF(Atletas!Q46="Bishou A",603,IF(Atletas!Q46="Shan A",604,IF(Atletas!Q46="Outra Arma Curta A",605,IF(Atletas!Q46="Dao B",606,IF(Atletas!Q46="Jian B",607,IF(Atletas!Q46="Bishou B",608,IF(Atletas!Q46="Shan B",609,IF(Atletas!Q46="Outra Arma Curta B",610,IF(Atletas!Q46="Dao C",611,IF(Atletas!Q46="Jian C",612,IF(Atletas!Q46="Bishou C",613,IF(Atletas!Q46="Shan C",614,IF(Atletas!Q46="Outra Arma Curta C",615,IF(Atletas!Q46="Dao D",616,IF(Atletas!Q46="Jian D",617,IF(Atletas!Q46="Bishou D",618,IF(Atletas!Q46="Shan D",619,IF(Atletas!Q46="Outra Arma Curta D",620,IF(Atletas!Q46="Dao E",621,IF(Atletas!Q46="Jian E",622,IF(Atletas!Q46="Bishou E",623,IF(Atletas!Q46="Shan E",624,IF(Atletas!Q46="Outra Arma Curta E",625,IF(Atletas!Q46="Dao F",626,IF(Atletas!Q46="Jian F",627,IF(Atletas!Q46="Bishou F",628,IF(Atletas!Q46="Shan F",629,IF(Atletas!Q46="Outra Arma Curta F",630, "")))))))))))))))))))))))))))))))</f>
        <v/>
      </c>
      <c r="BT50" s="52" t="str">
        <f>IF(Atletas!R46="","",IF(Atletas!W46&lt;&gt;"",10000,0)+IF(Atletas!B46="Feminino",1000,IF(Atletas!B46="Masculino",2000,""))+IF(Atletas!R46="Gun A",701,IF(Atletas!R46="Qiang A",702,IF(Atletas!R46="Pudao / Guandao A",703,IF(Atletas!R46="Outra Arma Longa A",704,IF(Atletas!R46="Gun B",705,IF(Atletas!R46="Qiang B",706,IF(Atletas!R46="Pudao / Guandao B",707,IF(Atletas!R46="Outra Arma Longa B",708,IF(Atletas!R46="Gun C",709,IF(Atletas!R46="Qiang C",710,IF(Atletas!R46="Pudao / Guandao C",711,IF(Atletas!R46="Outra Arma Longa C",712,IF(Atletas!R46="Gun D",713,IF(Atletas!R46="Qiang D",714,IF(Atletas!R46="Pudao / Guandao D",715,IF(Atletas!R46="Outra Arma Longa D",716,IF(Atletas!R46="Gun E",717,IF(Atletas!R46="Qiang E",718,IF(Atletas!R46="Pudao / Guandao E",719,IF(Atletas!R46="Outra Arma Longa E",720,IF(Atletas!R46="Gun F",721,IF(Atletas!R46="Qiang F",722,IF(Atletas!R46="Pudao / Guandao F",723,IF(Atletas!R46="Outra Arma Longa F",724,"")))))))))))))))))))))))))</f>
        <v/>
      </c>
      <c r="BU50" s="52" t="str">
        <f>IF(Atletas!S46="","",IF(Atletas!W46&lt;&gt;"",10000,0)+IF(Atletas!B46="Feminino",1000,IF(Atletas!B46="Masculino",2000,""))+IF(Atletas!S46="Arma Dupla A",801,IF(Atletas!S46="Arma Maleável A",802,IF(Atletas!S46="Arma Dupla B",803,IF(Atletas!S46="Arma Maleável B",804,IF(Atletas!S46="Arma Dupla C",805,IF(Atletas!S46="Arma Maleável C",806,IF(Atletas!S46="Arma Dupla D",807,IF(Atletas!S46="Arma Maleável D",808,IF(Atletas!S46="Arma Dupla E",809,IF(Atletas!S46="Arma Maleável E",810,IF(Atletas!S46="Arma Dupla F",811,IF(Atletas!S46="Arma Maleável F",812, "")))))))))))))</f>
        <v/>
      </c>
      <c r="BV50" s="52" t="str">
        <f>IF(Atletas!T46="","",IF(Atletas!W46&lt;&gt;"",10000,0)+IF(Atletas!B46="Feminino",1000,IF(Atletas!B46="Masculino",2000,""))+IF(Atletas!T46="Taijijian Yang A",901,IF(Atletas!T46="Taijijian Chen A",902,IF(Atletas!T46="Taijijian Sun A",903,IF(Atletas!T46="Taijijian Wu A",904,IF(Atletas!T46="Taijijian Wu-Hao A",905,IF(Atletas!T46="Taijijian 32 A",906,IF(Atletas!T46="Taijijian 42 A",907,IF(Atletas!T46="Taijijian Yang B",908,IF(Atletas!T46="Taijijian Chen B",909,IF(Atletas!T46="Taijijian Sun B",910,IF(Atletas!T46="Taijijian Wu B",911,IF(Atletas!T46="Taijijian Wu-Hao B",912,IF(Atletas!T46="Taijijian 32 B",913,IF(Atletas!T46="Taijijian 42 B",914,IF(Atletas!T46="Taijijian Yang C",915,IF(Atletas!T46="Taijijian Chen C",916,IF(Atletas!T46="Taijijian Sun C",917,IF(Atletas!T46="Taijijian Wu C",918,IF(Atletas!T46="Taijijian Wu-Hao C",919,IF(Atletas!T46="Taijijian 32 C",920,IF(Atletas!T46="Taijijian 42 C",921,IF(Atletas!T46="Taijijian Yang D",922,IF(Atletas!T46="Taijijian Chen D",923,IF(Atletas!T46="Taijijian Sun D",924,IF(Atletas!T46="Taijijian Wu D",925,IF(Atletas!T46="Taijijian Wu-Hao D",926,IF(Atletas!T46="Taijijian 32 D",927,IF(Atletas!T46="Taijijian 42 D",928,IF(Atletas!T46="Taijijian Yang E",929,IF(Atletas!T46="Taijijian Chen E",930,IF(Atletas!T46="Taijijian Sun E",931,IF(Atletas!T46="Taijijian Wu E",932,IF(Atletas!T46="Taijijian Wu-Hao E",933,IF(Atletas!T46="Taijijian 32 E",934,IF(Atletas!T46="Taijijian 42 E",935,IF(Atletas!T46="Taijijian Yang F",936,IF(Atletas!T46="Taijijian Chen F",937,IF(Atletas!T46="Taijijian Sun F",938,IF(Atletas!T46="Taijijian Wu F",939,IF(Atletas!T46="Taijijian Wu-Hao F",940,IF(Atletas!T46="Taijijian 32 F",941,IF(Atletas!T46="Taijijian 42 F",942,"")))))))))))))))))))))))))))))))))))))))))))</f>
        <v/>
      </c>
      <c r="BW50" s="52" t="str">
        <f>IF(Atletas!U46="","",IF(Atletas!W46&lt;&gt;"",10000,0)+IF(Atletas!B46="Feminino",1000,IF(Atletas!B46="Masculino",2000,""))+IF(Atletas!T46="Taijijian 42 F",942,IF(Atletas!U46="Taijidao A",943,IF(Atletas!U46="Taijishan A",944,IF(Atletas!U46="Taijiqiang A",945,IF(Atletas!U46="Taijidao B",946,IF(Atletas!U46="Taijishan B",947,IF(Atletas!U46="Taijiqiang B",948,IF(Atletas!U46="Taijidao C",949,IF(Atletas!U46="Taijishan C",950,IF(Atletas!U46="Taijiqiang C",951,IF(Atletas!U46="Taijidao D",952,IF(Atletas!U46="Taijishan D",953,IF(Atletas!U46="Taijiqiang D",954,IF(Atletas!U46="Taijidao E",955,IF(Atletas!U46="Taijishan E",956,IF(Atletas!U46="Taijiqiang E",957,IF(Atletas!U46="Taijidao F",958,IF(Atletas!U46="Taijishan F",959,IF(Atletas!U46="Taijiqiang F",960))))))))))))))))))))</f>
        <v/>
      </c>
      <c r="BX50" s="64" t="str">
        <f>IF(BY50&lt;&gt;"","Chaquan B","")</f>
        <v/>
      </c>
      <c r="BY50" s="64" t="str">
        <f>IF(COUNTIF(BK:BW,1114)&gt;0,COUNTIF(BK:BW,1114),"")</f>
        <v/>
      </c>
      <c r="BZ50" s="64" t="str">
        <f>IF(CA50&lt;&gt;"","Chaquan B","")</f>
        <v/>
      </c>
      <c r="CA50" s="64" t="str">
        <f>IF(COUNTIF(BK:BW,2114)&gt;0,COUNTIF(BK:BW,2114),"")</f>
        <v/>
      </c>
      <c r="CB50" s="64" t="str">
        <f>IF(CC50&lt;&gt;"","Chaquan B","")</f>
        <v/>
      </c>
      <c r="CC50" s="64" t="str">
        <f>IF(COUNTIF(BK:BW,11114)&gt;0,COUNTIF(BK:BW,11114),"")</f>
        <v/>
      </c>
      <c r="CD50" s="64" t="str">
        <f>IF(CE50&lt;&gt;"","Chaquan B","")</f>
        <v/>
      </c>
      <c r="CE50" s="64" t="str">
        <f>IF(COUNTIF(BK:BW,12114)&gt;0,COUNTIF(BK:BW,12114),"")</f>
        <v/>
      </c>
      <c r="CF50" s="52" t="str">
        <f xml:space="preserve"> IF(Atletas!V46="","",IF(Atletas!V46="Duilian de Mãos AB - Equipe 1",1,IF(Atletas!V46="Duilian de Mãos AB - Equipe 2",2,IF(Atletas!V46="Duilian de Armas AB - Equipe 1",3,IF(Atletas!V46="Duilian de Armas AB - Equipe 2",4,IF(Atletas!V46="Duilian de Tuishou - Equipe 1",5,IF(Atletas!V46="Duilian de Tuishou - Equipe 2",6,IF(Atletas!V46="Grupo Externo AB - Equipe 1",7,IF(Atletas!V46="Grupo Externo AB - Equipe 2",8,IF(Atletas!V46="Grupo Interno AB - Equipe 1",9,IF(Atletas!V46="Grupo Interno AB - Equipe 2",10,IF(Atletas!V46="Duilian de Mãos CD - Equipe 1",11,IF(Atletas!V46="Duilian de Mãos CD - Equipe 2",12,IF(Atletas!V46="Duilian de Armas CD - Equipe 1",13,IF(Atletas!V46="Duilian de Armas CD - Equipe 2",14,IF(Atletas!V46="Duilian de Tuishou - Equipe 1",15,IF(Atletas!V46="Duilian de Tuishou - Equipe 2",16,IF(Atletas!V46="Grupo Externo CDEF - Equipe 1",17,IF(Atletas!V46="Grupo Externo CDEF - Equipe 2",18,IF(Atletas!V46="Grupo Interno CDEF - Equipe 1",19,IF(Atletas!V46="Grupo Interno CDEF - Equipe 2",20,IF(Atletas!V46="Duilian de Mãos EF - Equipe 1",21,IF(Atletas!V46="Duilian de Mãos EF - Equipe 2",22,IF(Atletas!V46="Duilian de Armas EF - Equipe 1",23,IF(Atletas!V46="Duilian de Armas EF - Equipe 2",24,IF(Atletas!V46="Duilian de Tuishou - Equipe 1",25,IF(Atletas!V46="Duilian de Tuishou - Equipe 2",26,"")))))))))))))))))))))))))))</f>
        <v/>
      </c>
      <c r="CR50" s="71"/>
    </row>
    <row r="51" spans="2:96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 t="str">
        <f t="array" ref="N51">IFERROR(INDEX(BB$7:BB$66,SMALL(IF(BB$7:BB$66&lt;&gt;"",ROW(BB$7:BB$66)-ROW(BB$7)+1),ROWS(BB$7:BB50))),"")</f>
        <v/>
      </c>
      <c r="O51" s="4" t="str">
        <f t="array" ref="O51">IFERROR(INDEX(BC$7:BC$66,SMALL(IF(BC$7:BC$66&lt;&gt;"",ROW(BC$7:BC$66)-ROW(BC$7)+1),ROWS(BC$7:BC50))),"")</f>
        <v/>
      </c>
      <c r="P51" s="4" t="str">
        <f t="array" ref="P51">IFERROR(INDEX(BD$7:BD$66,SMALL(IF(BD$7:BD$66&lt;&gt;"",ROW(BD$7:BD$66)-ROW(BD$7)+1),ROWS(BD$7:BD50))),"")</f>
        <v/>
      </c>
      <c r="Q51" s="4" t="str">
        <f t="array" ref="Q51">IFERROR(INDEX(BE$7:BE$66,SMALL(IF(BE$7:BE$66&lt;&gt;"",ROW(BE$7:BE$66)-ROW(BE$7)+1),ROWS(BE$7:BE50))),"")</f>
        <v/>
      </c>
      <c r="R51" s="4"/>
      <c r="S51" s="4"/>
      <c r="T51" s="31"/>
      <c r="U51" s="4"/>
      <c r="V51" s="4" t="str">
        <f t="array" ref="V51">IFERROR(INDEX(BX$7:BX$336,SMALL(IF(BX$7:BX$336&lt;&gt;"",ROW(BX$7:BX$336)-ROW(BX$7)+1),ROWS(BX$7:BX50))),"")</f>
        <v/>
      </c>
      <c r="W51" s="4" t="str">
        <f t="array" ref="W51">IFERROR(INDEX(BY$7:BY$336,SMALL(IF(BY$7:BY$336&lt;&gt;"",ROW(BY$7:BY$336)-ROW(BY$7)+1),ROWS(BY$7:BY50))),"")</f>
        <v/>
      </c>
      <c r="X51" s="4" t="str">
        <f t="array" ref="X51">IFERROR(INDEX(BZ$7:BZ$336,SMALL(IF(BZ$7:BZ$336&lt;&gt;"",ROW(BZ$7:BZ$336)-ROW(BZ$7)+1),ROWS(BZ$7:BZ50))),"")</f>
        <v/>
      </c>
      <c r="Y51" s="4" t="str">
        <f t="array" ref="Y51">IFERROR(INDEX(CA$7:CA$336,SMALL(IF(CA$7:CA$336&lt;&gt;"",ROW(CA$7:CA$336)-ROW(CA$7)+1),ROWS(CA$7:CA50))),"")</f>
        <v/>
      </c>
      <c r="Z51" s="4" t="str">
        <f t="array" ref="Z51">IFERROR(INDEX(CB$7:CB$378,SMALL(IF(CB$7:CB$378&lt;&gt;"",ROW(CB$7:CB$378)-ROW(CB$7)+1),ROWS(CB$7:CB50))),"")</f>
        <v/>
      </c>
      <c r="AA51" s="4" t="str">
        <f t="array" ref="AA51">IFERROR(INDEX(CC$7:CC$378,SMALL(IF(CC$7:CC$378&lt;&gt;"",ROW(CC$7:CC$378)-ROW(CC$7)+1),ROWS(CC$7:CC50))),"")</f>
        <v/>
      </c>
      <c r="AB51" s="4" t="str">
        <f t="array" ref="AB51">IFERROR(INDEX(CD$7:CD$378,SMALL(IF(CD$7:CD$378&lt;&gt;"",ROW(CD$7:CD$378)-ROW(CD$7)+1),ROWS(CD$7:CD50))),"")</f>
        <v/>
      </c>
      <c r="AC51" s="4" t="str">
        <f t="array" ref="AC51">IFERROR(INDEX(CE$7:CE$378,SMALL(IF(CE$7:CE$378&lt;&gt;"",ROW(CE$7:CE$378)-ROW(CE$7)+1),ROWS(CE$7:CE50))),"")</f>
        <v/>
      </c>
      <c r="AD51" s="4"/>
      <c r="AE51" s="4"/>
      <c r="AF51" s="4"/>
      <c r="AG51" s="4"/>
      <c r="AH51" s="4"/>
      <c r="AI51" s="4"/>
      <c r="AJ51" s="46" t="str">
        <f>IF(Atletas!D47="","",IF(Atletas!B47="Feminino",100,IF(Atletas!B47="Masculino",200,""))+(IF(Atletas!D47="Infantil 39kg",1,IF(Atletas!D47="Infantil 42kg",2,IF(Atletas!D47="Infantil 45kg",3,IF(Atletas!D47="Infantil 48kg",4,IF(Atletas!D47="Infantil 52kg",5,IF(Atletas!D47="Infantil 56kg",6,IF(Atletas!D47="Infantil 60kg",7,IF(Atletas!D47="Juvenil 48kg",8,IF(Atletas!D47="Juvenil 52kg",9,IF(Atletas!D47="Juvenil 56kg",10,IF(Atletas!D47="Juvenil 60kg",11,IF(Atletas!D47="Juvenil 65kg",12,IF(Atletas!D47="Juvenil 70kg",13,IF(Atletas!D47="Juvenil 75kg",14,IF(Atletas!D47="Juvenil 80kg",15,IF(Atletas!D47="Adulto 48kg",16,IF(Atletas!D47="Adulto 52kg",17,IF(Atletas!D47="Adulto 56kg",18,IF(Atletas!D47="Adulto 60kg",19,IF(Atletas!D47="Adulto 65kg",20,IF(Atletas!D47="Adulto 70kg",21,IF(Atletas!D47="Adulto 75kg",22,IF(Atletas!D47="Adulto 80kg",23,IF(Atletas!D47="Adulto 85kg",24,IF(Atletas!D47="Adulto 90kg",25,IF(Atletas!D47="Adulto +90kg",26,""))))))))))))))))))))))))))))</f>
        <v/>
      </c>
      <c r="AO51" s="10" t="str">
        <f>IF(Atletas!E47="","",IF(Atletas!B47="Feminino",100,IF(Atletas!B47="Masculino",200,""))+(IF(Atletas!E47="Juvenil 44kg",1,IF(Atletas!E47="Juvenil 48kg",2,IF(Atletas!E47="Juvenil 52kg",3,IF(Atletas!E47="Juvenil 56kg",4,IF(Atletas!E47="Juvenil 60kg",5,IF(Atletas!E47="Juvenil 65kg",6,IF(Atletas!E47="Juvenil 70kg",7,IF(Atletas!E47="Juvenil 75kg",8,IF(Atletas!E47="Juvenil 82kg",9,IF(Atletas!E47="Juvenil 90kg",10,IF(Atletas!E47="Juvenil 100kg",11,IF(Atletas!E47="Adulto 48kg",12,IF(Atletas!E47="Adulto 52kg",13,IF(Atletas!E47="Adulto 56kg",14,IF(Atletas!E47="Adulto 60kg",15,IF(Atletas!E47="Adulto 65kg",16,IF(Atletas!E47="Adulto 70kg",17,IF(Atletas!E47="Adulto 75kg",18,IF(Atletas!E47="Adulto 82kg",19,IF(Atletas!E47="Adulto 90kg",20,IF(Atletas!E47="Adulto 100kg",21,IF(Atletas!E47="Adulto +100kg",22,""))))))))))))))))))))))))</f>
        <v/>
      </c>
      <c r="AT51" s="10" t="str">
        <f>IF(Atletas!F47="","",IF(Atletas!B47="Feminino",100,IF(Atletas!B47="Masculino",200,""))+(IF(Atletas!F47="Adulto 48kg",1,IF(Atletas!F47="Adulto 56kg",2,IF(Atletas!F47="Adulto 65kg",3,IF(Atletas!F47="Adulto 75kg",4,IF(Atletas!F47="Adulto +75kg",5,IF(Atletas!F47="Adulto 52kg",6,IF(Atletas!F47="Adulto 60kg",7,IF(Atletas!F47="Adulto 70kg",8,IF(Atletas!F47="Adulto 80kg",9,IF(Atletas!F47="Adulto 90kg",10,IF(Atletas!F47="Adulto +90kg",11,"")))))))))))))</f>
        <v/>
      </c>
      <c r="AY51" s="46" t="str">
        <f>IF(Atletas!G47="","",IF(Atletas!B47="Feminino",100,IF(Atletas!B47="Masculino",200,""))+(IF(Atletas!G47="Changquan Mirim",1,IF(Atletas!G47="Nanquan Mirim",2,IF(Atletas!G47="Taijiquan Mirim",3,IF(Atletas!G47="Changquan Grupo C",4,IF(Atletas!G47="Nanquan Grupo C",5,IF(Atletas!G47="Taijiquan Grupo C",6,IF(Atletas!G47="Changquan Grupo B",7,IF(Atletas!G47="Nanquan Grupo B",8,IF(Atletas!G47="Taijiquan Grupo B",9,IF(Atletas!G47="Changquan Grupo A",10,IF(Atletas!G47="Nanquan Grupo A",11,IF(Atletas!G47="Taijiquan Grupo A",12,IF(Atletas!G47="Changquan Opcional",13,IF(Atletas!G47="Nanquan Opcional",14,IF(Atletas!G47="Taijiquan Opcional",15,IF(Atletas!G47="Changquan Adulto",16,IF(Atletas!G47="Nanquan Adulto",17,IF(Atletas!G47="Taijiquan Adulto",18,""))))))))))))))))))))</f>
        <v/>
      </c>
      <c r="AZ51" s="46" t="str">
        <f>IF(Atletas!H47="","",IF(Atletas!B47="Feminino",100,IF(Atletas!B47="Masculino",200,""))+(IF(Atletas!H47="Daoshu Mirim",19,IF(Atletas!H47="Jianshu Mirim",20,IF(Atletas!H47="Nandao Mirim",21,IF(Atletas!H47="Taijijian Mirim",22,IF(Atletas!H47="Daoshu Grupo C",23,IF(Atletas!H47="Jianshu Grupo C",24,IF(Atletas!H47="Nandao Grupo C",25,IF(Atletas!H47="Taijijian Grupo C",26,IF(Atletas!H47="Daoshu Grupo B",27,IF(Atletas!H47="Jianshu Grupo B",28,IF(Atletas!H47="Nandao Grupo B",29,IF(Atletas!H47="Taijijian Grupo B",30,IF(Atletas!H47="Daoshu Grupo A",31,IF(Atletas!H47="Jianshu Grupo A",32,IF(Atletas!H47="Nandao Grupo A",33,IF(Atletas!H47="Taijijian Grupo A",34,IF(Atletas!H47="Daoshu Opcional",35,IF(Atletas!H47="Jianshu Opcional",36,IF(Atletas!H47="Nandao Opcional",37,IF(Atletas!H47="Taijijian Opcional",38,IF(Atletas!H47="Daoshu Adulto",39,IF(Atletas!H47="Jianshu Adulto",40,IF(Atletas!H47="Nandao Adulto",41,IF(Atletas!H47="Taijijian Adulto",42,""))))))))))))))))))))))))))</f>
        <v/>
      </c>
      <c r="BA51" s="46" t="str">
        <f>IF(Atletas!I47="","",IF(Atletas!B47="Feminino",100,IF(Atletas!B47="Masculino",200,""))+(IF(Atletas!I47="Gunshu Mirim",43,IF(Atletas!I47="Qiangshu Mirim",44,IF(Atletas!I47="Nangun Mirim",45,IF(Atletas!I47="Gunshu Grupo C",46,IF(Atletas!I47="Qiangshu Grupo C",47,IF(Atletas!I47="Nangun Grupo C",48,IF(Atletas!I47="Gunshu Grupo B",49,IF(Atletas!I47="Qiangshu Grupo B",50,IF(Atletas!I47="Nangun Grupo B",51,IF(Atletas!I47="Gunshu Grupo A",52,IF(Atletas!I47="Qiangshu Grupo A",53,IF(Atletas!I47="Nangun Grupo A",54,IF(Atletas!I47="Gunshu Opcional",55,IF(Atletas!I47="Qiangshu Opcional",56,IF(Atletas!I47="Nangun Opcional",57,IF(Atletas!I47="Gunshu Adulto",58,IF(Atletas!I47="Qiangshu Adulto",59,IF(Atletas!I47="Nangun Adulto",60,""))))))))))))))))))))</f>
        <v/>
      </c>
      <c r="BB51" s="10" t="str">
        <f>IF(BC51&lt;&gt;"","Jianshu Opcional","")</f>
        <v/>
      </c>
      <c r="BC51" s="52" t="str">
        <f>IF(COUNTIF(AY:BA,136)&gt;0,COUNTIF(AY:BA,136),"")</f>
        <v/>
      </c>
      <c r="BD51" s="10" t="str">
        <f>IF(BE51&lt;&gt;"","Jianshu Opcional","")</f>
        <v/>
      </c>
      <c r="BE51" s="52" t="str">
        <f>IF(COUNTIF(AY:BA,236)&gt;0,COUNTIF(AY:BA,236),"")</f>
        <v/>
      </c>
      <c r="BF51" s="52" t="str">
        <f>IF(Atletas!J47="","",IF(Atletas!B47="Feminino",100,IF(Atletas!B47="Masculino",200,""))+(IF(Atletas!J47="Equipe 1 Grupo B",1,IF(Atletas!J47="Equipe 2 Grupo B",2,IF(Atletas!J47="Equipe 1 Grupo A",3,IF(Atletas!J47="Equipe 2 Grupo A",4,IF(Atletas!J47="Equipe 1 Adulto",5,IF(Atletas!J47="Equipe 2 Adulto",6,""))))))))</f>
        <v/>
      </c>
      <c r="BK51" s="52" t="str">
        <f>IF(Atletas!K47="","",IF(Atletas!W47&lt;&gt;"",10000,0)+(IF(Atletas!B47="Feminino",1000,IF(Atletas!B47="Masculino",2000,""))+IF(Atletas!K47="Choylayfut A",1,IF(Atletas!K47="Hunggar A",2,IF(Atletas!K47="Wuzuquan A",3,IF(Atletas!K47="Wingchun A",4,IF(Atletas!K47="Outra Mão de Sul A",5,IF(Atletas!K47="Choylayfut B",6,IF(Atletas!K47="Hunggar B",7,IF(Atletas!K47="Wuzuquan B",8,IF(Atletas!K47="Wingchun B",9,IF(Atletas!K47="Outra Mão de Sul B",10,IF(Atletas!K47="Choylayfut C",11,IF(Atletas!K47="Hunggar C",12,IF(Atletas!K47="Wuzuquan C",13,IF(Atletas!K47="Wingchun C",14,IF(Atletas!K47="Outra Mão de Sul C",15,IF(Atletas!K47="Choylayfut D",16,IF(Atletas!K47="Hunggar D",17,IF(Atletas!K47="Wuzuquan D",18,IF(Atletas!K47="Wingchun D",19,IF(Atletas!K47="Outra Mão de Sul D",20,IF(Atletas!K47="Choylayfut E",21,IF(Atletas!K47="Hunggar E",22,IF(Atletas!K47="Wuzuquan E",23,IF(Atletas!K47="Wingchun E",24,IF(Atletas!K47="Outra Mão de Sul E",25,IF(Atletas!K47="Choylayfut F",26,IF(Atletas!K47="Hunggar F",27,IF(Atletas!K47="Wuzuquan F",28,IF(Atletas!K47="Wingchun F",29,IF(Atletas!K47="Outra Mão de Sul F",30,""))))))))))))))))))))))))))))))))</f>
        <v/>
      </c>
      <c r="BL51" s="52" t="str">
        <f>IF(Atletas!L47="","",IF(Atletas!W47&lt;&gt;"",10000,0)+(IF(Atletas!B47="Feminino",1000,IF(Atletas!B47="Masculino",2000,""))+(IF(Atletas!L47="Chaquan A",101,IF(Atletas!L47="Emeiquan A",102,IF(Atletas!L47="Fanziquan A",103,IF(Atletas!L47="Huaquan A",104,IF(Atletas!L47="Hongquan A",105,IF(Atletas!L47="Paochui A",106,IF(Atletas!L47="Piguaquan A",107,IF(Atletas!L47="Shaolinquan A",108,IF(Atletas!L47="Tanglangquan A",109,IF(Atletas!L47="Yinzhaophai A",110,IF(Atletas!L47="Tongbeiquan A",111,IF(Atletas!L47="Wudangquan A",112,IF(Atletas!L47="Outros Estilos A",113,IF(Atletas!L47="Chaquan B",114,IF(Atletas!L47="Emeiquan B",115,IF(Atletas!L47="Fanziquan B",116,IF(Atletas!L47="Huaquan B",117,IF(Atletas!L47="Hongquan B",118,IF(Atletas!L47="Paochui B",119,IF(Atletas!L47="Piguaquan B",120,IF(Atletas!L47="Shaolinquan B",121,IF(Atletas!L47="Tanglangquan B",122,IF(Atletas!L47="Yinzhaophai B",123,IF(Atletas!L47="Tongbeiquan B",124,IF(Atletas!L47="Wudangquan B",125,IF(Atletas!L47="Outros Estilos B",126,IF(Atletas!L47="Chaquan C",127,IF(Atletas!L47="Emeiquan C",128,IF(Atletas!L47="Fanziquan C",129,IF(Atletas!L47="Huaquan C",130,IF(Atletas!L47="Hongquan C",131,IF(Atletas!L47="Paochui C",132,IF(Atletas!L47="Piguaquan C",133,IF(Atletas!L47="Shaolinquan C",134,IF(Atletas!L47="Tanglangquan C",135,IF(Atletas!L47="Yinzhaophai C",136,IF(Atletas!L47="Tongbeiquan C",137,IF(Atletas!L47="Wudangquan C",138,IF(Atletas!L47="Outros Estilos C",139,0))))))))))))))))))))))))))))))))))))))))))</f>
        <v/>
      </c>
      <c r="BM51" s="52" t="str">
        <f>IF(Atletas!L47="","",IF(Atletas!W47&lt;&gt;"",10000,0)+(IF(Atletas!B47="Feminino",1000,IF(Atletas!B47="Masculino",2000,""))+(IF(Atletas!L47="Chaquan D",140,IF(Atletas!L47="Emeiquan D",141,IF(Atletas!L47="Fanziquan D",142,IF(Atletas!L47="Huaquan D",143,IF(Atletas!L47="Hongquan D",144,IF(Atletas!L47="Paochui D",145,IF(Atletas!L47="Piguaquan D",146,IF(Atletas!L47="Shaolinquan D",147,IF(Atletas!L47="Tanglangquan D",148,IF(Atletas!L47="Yinzhaophai D",149,IF(Atletas!L47="Tongbeiquan D",150,IF(Atletas!L47="Wudangquan D",151,IF(Atletas!L47="Outros Estilos D",152,IF(Atletas!L47="Chaquan E",153,IF(Atletas!L47="Emeiquan E",154,IF(Atletas!L47="Fanziquan E",155,IF(Atletas!L47="Huaquan E",156,IF(Atletas!L47="Hongquan E",157,IF(Atletas!L47="Paochui E",158,IF(Atletas!L47="Piguaquan E",159,IF(Atletas!L47="Shaolinquan E",160,IF(Atletas!L47="Tanglangquan E",161,IF(Atletas!L47="Yinzhaophai E",162,IF(Atletas!L47="Tongbeiquan E",163,IF(Atletas!L47="Wudangquan E",164,IF(Atletas!L47="Outros Estilos E",165,IF(Atletas!L47="Chaquan F",166,IF(Atletas!L47="Emeiquan F",167,IF(Atletas!L47="Fanziquan F",168,IF(Atletas!L47="Huaquan F",169,IF(Atletas!L47="Hongquan F",170,IF(Atletas!L47="Paochui F",171,IF(Atletas!L47="Piguaquan F",172,IF(Atletas!L47="Shaolinquan F",173,IF(Atletas!L47="Tanglangquan F",174,IF(Atletas!L47="Yinzhaophai F",175,IF(Atletas!L47="Tongbeiquan F",176,IF(Atletas!L47="Wudangquan F",177,IF(Atletas!L47="Outros Estilos F",178,0))))))))))))))))))))))))))))))))))))))))))</f>
        <v/>
      </c>
      <c r="BN51" s="52" t="str">
        <f>IF(Atletas!M47="","",IF(Atletas!W47&lt;&gt;"",10000,0)+(IF(Atletas!B47="Feminino",1000,IF(Atletas!B47="Masculino",2000,""))+(IF(Atletas!M47="Ditangquan A",201,IF(Atletas!M47="Houquan A",202,IF(Atletas!M47="Zuiquan A",203,IF(Atletas!M47="Ditangquan B",204,IF(Atletas!M47="Houquan B",205,IF(Atletas!M47="Zuiquan B",206,IF(Atletas!M47="Ditangquan C",207,IF(Atletas!M47="Houquan C",208,IF(Atletas!M47="Zuiquan C",209,IF(Atletas!M47="Ditangquan D",210,IF(Atletas!M47="Houquan D",211,IF(Atletas!M47="Zuiquan D",212,IF(Atletas!M47="Ditangquan E",213,IF(Atletas!M47="Houquan E",214,IF(Atletas!M47="Zuiquan E",215,IF(Atletas!M47="Ditangquan F",216,IF(Atletas!M47="Houquan F",217,IF(Atletas!M47="Zuiquan F",218,"")))))))))))))))))))))</f>
        <v/>
      </c>
      <c r="BO51" s="52" t="str">
        <f>IF(Atletas!N47="","",IF(Atletas!W47&lt;&gt;"",10000,0)+IF(Atletas!B47="Feminino",1000,IF(Atletas!B47="Masculino",2000,""))+IF(Atletas!N47="Yang A",301,IF(Atletas!N47="Chen A",30,IF(Atletas!N47="Sun A",303,IF(Atletas!N47="Wu A",304,IF(Atletas!N47="Wu-Hao A",305,IF(Atletas!N47="Outro Taijiquan A",306,IF(Atletas!N47="Yang B",307,IF(Atletas!N47="Chen B",308,IF(Atletas!N47="Sun B",309,IF(Atletas!N47="Wu B",310,IF(Atletas!N47="Wu-Hao B",311,IF(Atletas!N47="Outro Taijiquan B",312,IF(Atletas!N47="Yang C",313,IF(Atletas!N47="Chen C",314,IF(Atletas!N47="Sun C",315,IF(Atletas!N47="Wu C",316,IF(Atletas!N47="Wu-Hao C",317,IF(Atletas!N47="Outro Taijiquan C",318,IF(Atletas!N47="Yang D",319,IF(Atletas!N47="Chen D",320,IF(Atletas!N47="Sun D",321,IF(Atletas!N47="Wu D",322,IF(Atletas!N47="Wu-Hao D",323,IF(Atletas!N47="Outro Taijiquan D",324,IF(Atletas!N47="Yang E",325,IF(Atletas!N47="Chen E",326,IF(Atletas!N47="Sun E",327,IF(Atletas!N47="Wu E",328,IF(Atletas!N47="Wu-Hao E",329,IF(Atletas!N47="Outro Taijiquan E",330,IF(Atletas!N47="Yang F",331,IF(Atletas!N47="Chen F",332,IF(Atletas!N47="Sun F",333,IF(Atletas!N47="Wu F",334,IF(Atletas!N47="Wu-Hao F",335,IF(Atletas!N47="Outro Taijiquan F",336,"")))))))))))))))))))))))))))))))))))))</f>
        <v/>
      </c>
      <c r="BP51" s="52" t="str">
        <f>IF(Atletas!O47="","",IF(Atletas!W47&lt;&gt;"",10000,0)+IF(Atletas!B47="Feminino",1000,IF(Atletas!B47="Masculino",2000,""))+IF(OR(Atletas!O47="Yang 26 A",Atletas!O47="Yang 40 A"),401,IF(OR(Atletas!O47="Chen 25 A",Atletas!O47="Chen 36 A",Atletas!O47="Chen 56 A"),402,IF(Atletas!O47="Sun 73 A",403,IF(Atletas!O47="Wu 45 A",404,IF(Atletas!O47="Wu-Hao 46 A",405,IF(OR(Atletas!O47="Taijiquan 16 A",Atletas!O47="Taijiquan 24 A",Atletas!O47="Taijiquan 32 A",Atletas!O47="Taijiquan 42 A"),406,IF(OR(Atletas!O47="Yang 26 B",Atletas!O47="Yang 40 B"),407,IF(OR(Atletas!O47="Chen 25 B",Atletas!O47="Chen 36 B",Atletas!O47="Chen 56 B"),408,IF(Atletas!O47="Sun 73 B",409,IF(Atletas!O47="Wu 45 B",410,IF(Atletas!O47="Wu-Hao 46 B",411,IF(OR(Atletas!O47="Taijiquan 16 B",Atletas!O47="Taijiquan 24 B",Atletas!O47="Taijiquan 32 B",Atletas!O47="Taijiquan 42 B"),412,IF(OR(Atletas!O47="Yang 26 C",Atletas!O47="Yang 40 C"),413,IF(OR(Atletas!O47="Chen 25 C",Atletas!O47="Chen 36 C",Atletas!O47="Chen 56 C"),414,IF(Atletas!O47="Sun 73 C",415,IF(Atletas!O47="Wu 45 C",416,IF(Atletas!O47="Wu-Hao 46 C",417,IF(OR(Atletas!O47="Taijiquan 16 C",Atletas!O47="Taijiquan 24 C",Atletas!O47="Taijiquan 32 C",Atletas!O47="Taijiquan 42 C"),418,0)))))))))))))))))))</f>
        <v/>
      </c>
      <c r="BQ51" s="52" t="str">
        <f>IF(Atletas!O47="","",IF(Atletas!W47&lt;&gt;"",10000,0)+IF(Atletas!B47="Feminino",1000,IF(Atletas!B47="Masculino",2000,""))+IF(OR(Atletas!O47="Yang 26 D",Atletas!O47="Yang 40 D"),419,IF(OR(Atletas!O47="Chen 25 D",Atletas!O47="Chen 36 D",Atletas!O47="Chen 56 D"),420,IF(Atletas!O47="Sun 73 D",421,IF(Atletas!O47="Wu 45 D",422,IF(Atletas!O47="Wu-Hao 46 D",423,IF(OR(Atletas!O47="Taijiquan 16 D",Atletas!O47="Taijiquan 24 D",Atletas!O47="Taijiquan 32 D",Atletas!O47="Taijiquan 42 D"),424,IF(OR(Atletas!O47="Yang 26 E",Atletas!O47="Yang 40 E"),425,IF(OR(Atletas!O47="Chen 25 E",Atletas!O47="Chen 36 E",Atletas!O47="Chen 56 E"),426,IF(Atletas!O47="Sun 73 E",427,IF(Atletas!O47="Wu 45 E",428,IF(Atletas!O47="Wu-Hao 46 E",429,IF(OR(Atletas!O47="Taijiquan 16 E",Atletas!O47="Taijiquan 24 E",Atletas!O47="Taijiquan 32 E",Atletas!O47="Taijiquan 42 E"),430,IF(OR(Atletas!O47="Yang 26 F",Atletas!O47="Yang 40 F"),431,IF(OR(Atletas!O47="Chen 25 F",Atletas!O47="Chen 36 F",Atletas!O47="Chen 56 F"),432,IF(Atletas!O47="Sun 73 F",433,IF(Atletas!O47="Wu 45 F",434,IF(Atletas!O47="Wu-Hao 46 F",435,IF(OR(Atletas!O47="Taijiquan 16 F",Atletas!O47="Taijiquan 24 F",Atletas!O47="Taijiquan 32 F",Atletas!O47="Taijiquan 42 F"),436,0)))))))))))))))))))</f>
        <v/>
      </c>
      <c r="BR51" s="52" t="str">
        <f>IF(Atletas!P47="","",IF(Atletas!W47&lt;&gt;"",10000,0)+IF(Atletas!B47="Feminino",1000,IF(Atletas!B47="Masculino",2000,""))+IF(Atletas!P47="Xingyiquan A",501,IF(Atletas!P47="Baguazhang A",502,IF(Atletas!P47="Outro Estilo Interno A",503,IF(Atletas!P47="Xingyiquan B",504,IF(Atletas!P47="Baguazhang B",505,IF(Atletas!P47="Outro Estilo Interno B",506,IF(Atletas!P47="Xingyiquan C",507,IF(Atletas!P47="Baguazhang C",508,IF(Atletas!P47="Outro Estilo Interno C",509,IF(Atletas!P47="Xingyiquan D",510,IF(Atletas!P47="Baguazhang D",511,IF(Atletas!P47="Outro Estilo Interno D",512,IF(Atletas!P47="Xingyiquan E",513,IF(Atletas!P47="Baguazhang E",514,IF(Atletas!P47="Outro Estilo Interno E",515,IF(Atletas!P47="Xingyiquan F",516,IF(Atletas!P47="Baguazhang F",517,IF(Atletas!P47="Outro Estilo Interno F",518, "")))))))))))))))))))</f>
        <v/>
      </c>
      <c r="BS51" s="52" t="str">
        <f>IF(Atletas!Q47="","",IF(Atletas!W47&lt;&gt;"",10000,0)+IF(Atletas!B47="Feminino",1000,IF(Atletas!B47="Masculino",2000,""))+IF(Atletas!Q47="Dao A",601,IF(Atletas!Q47="Jian A",602,IF(Atletas!Q47="Bishou A",603,IF(Atletas!Q47="Shan A",604,IF(Atletas!Q47="Outra Arma Curta A",605,IF(Atletas!Q47="Dao B",606,IF(Atletas!Q47="Jian B",607,IF(Atletas!Q47="Bishou B",608,IF(Atletas!Q47="Shan B",609,IF(Atletas!Q47="Outra Arma Curta B",610,IF(Atletas!Q47="Dao C",611,IF(Atletas!Q47="Jian C",612,IF(Atletas!Q47="Bishou C",613,IF(Atletas!Q47="Shan C",614,IF(Atletas!Q47="Outra Arma Curta C",615,IF(Atletas!Q47="Dao D",616,IF(Atletas!Q47="Jian D",617,IF(Atletas!Q47="Bishou D",618,IF(Atletas!Q47="Shan D",619,IF(Atletas!Q47="Outra Arma Curta D",620,IF(Atletas!Q47="Dao E",621,IF(Atletas!Q47="Jian E",622,IF(Atletas!Q47="Bishou E",623,IF(Atletas!Q47="Shan E",624,IF(Atletas!Q47="Outra Arma Curta E",625,IF(Atletas!Q47="Dao F",626,IF(Atletas!Q47="Jian F",627,IF(Atletas!Q47="Bishou F",628,IF(Atletas!Q47="Shan F",629,IF(Atletas!Q47="Outra Arma Curta F",630, "")))))))))))))))))))))))))))))))</f>
        <v/>
      </c>
      <c r="BT51" s="52" t="str">
        <f>IF(Atletas!R47="","",IF(Atletas!W47&lt;&gt;"",10000,0)+IF(Atletas!B47="Feminino",1000,IF(Atletas!B47="Masculino",2000,""))+IF(Atletas!R47="Gun A",701,IF(Atletas!R47="Qiang A",702,IF(Atletas!R47="Pudao / Guandao A",703,IF(Atletas!R47="Outra Arma Longa A",704,IF(Atletas!R47="Gun B",705,IF(Atletas!R47="Qiang B",706,IF(Atletas!R47="Pudao / Guandao B",707,IF(Atletas!R47="Outra Arma Longa B",708,IF(Atletas!R47="Gun C",709,IF(Atletas!R47="Qiang C",710,IF(Atletas!R47="Pudao / Guandao C",711,IF(Atletas!R47="Outra Arma Longa C",712,IF(Atletas!R47="Gun D",713,IF(Atletas!R47="Qiang D",714,IF(Atletas!R47="Pudao / Guandao D",715,IF(Atletas!R47="Outra Arma Longa D",716,IF(Atletas!R47="Gun E",717,IF(Atletas!R47="Qiang E",718,IF(Atletas!R47="Pudao / Guandao E",719,IF(Atletas!R47="Outra Arma Longa E",720,IF(Atletas!R47="Gun F",721,IF(Atletas!R47="Qiang F",722,IF(Atletas!R47="Pudao / Guandao F",723,IF(Atletas!R47="Outra Arma Longa F",724,"")))))))))))))))))))))))))</f>
        <v/>
      </c>
      <c r="BU51" s="52" t="str">
        <f>IF(Atletas!S47="","",IF(Atletas!W47&lt;&gt;"",10000,0)+IF(Atletas!B47="Feminino",1000,IF(Atletas!B47="Masculino",2000,""))+IF(Atletas!S47="Arma Dupla A",801,IF(Atletas!S47="Arma Maleável A",802,IF(Atletas!S47="Arma Dupla B",803,IF(Atletas!S47="Arma Maleável B",804,IF(Atletas!S47="Arma Dupla C",805,IF(Atletas!S47="Arma Maleável C",806,IF(Atletas!S47="Arma Dupla D",807,IF(Atletas!S47="Arma Maleável D",808,IF(Atletas!S47="Arma Dupla E",809,IF(Atletas!S47="Arma Maleável E",810,IF(Atletas!S47="Arma Dupla F",811,IF(Atletas!S47="Arma Maleável F",812, "")))))))))))))</f>
        <v/>
      </c>
      <c r="BV51" s="52" t="str">
        <f>IF(Atletas!T47="","",IF(Atletas!W47&lt;&gt;"",10000,0)+IF(Atletas!B47="Feminino",1000,IF(Atletas!B47="Masculino",2000,""))+IF(Atletas!T47="Taijijian Yang A",901,IF(Atletas!T47="Taijijian Chen A",902,IF(Atletas!T47="Taijijian Sun A",903,IF(Atletas!T47="Taijijian Wu A",904,IF(Atletas!T47="Taijijian Wu-Hao A",905,IF(Atletas!T47="Taijijian 32 A",906,IF(Atletas!T47="Taijijian 42 A",907,IF(Atletas!T47="Taijijian Yang B",908,IF(Atletas!T47="Taijijian Chen B",909,IF(Atletas!T47="Taijijian Sun B",910,IF(Atletas!T47="Taijijian Wu B",911,IF(Atletas!T47="Taijijian Wu-Hao B",912,IF(Atletas!T47="Taijijian 32 B",913,IF(Atletas!T47="Taijijian 42 B",914,IF(Atletas!T47="Taijijian Yang C",915,IF(Atletas!T47="Taijijian Chen C",916,IF(Atletas!T47="Taijijian Sun C",917,IF(Atletas!T47="Taijijian Wu C",918,IF(Atletas!T47="Taijijian Wu-Hao C",919,IF(Atletas!T47="Taijijian 32 C",920,IF(Atletas!T47="Taijijian 42 C",921,IF(Atletas!T47="Taijijian Yang D",922,IF(Atletas!T47="Taijijian Chen D",923,IF(Atletas!T47="Taijijian Sun D",924,IF(Atletas!T47="Taijijian Wu D",925,IF(Atletas!T47="Taijijian Wu-Hao D",926,IF(Atletas!T47="Taijijian 32 D",927,IF(Atletas!T47="Taijijian 42 D",928,IF(Atletas!T47="Taijijian Yang E",929,IF(Atletas!T47="Taijijian Chen E",930,IF(Atletas!T47="Taijijian Sun E",931,IF(Atletas!T47="Taijijian Wu E",932,IF(Atletas!T47="Taijijian Wu-Hao E",933,IF(Atletas!T47="Taijijian 32 E",934,IF(Atletas!T47="Taijijian 42 E",935,IF(Atletas!T47="Taijijian Yang F",936,IF(Atletas!T47="Taijijian Chen F",937,IF(Atletas!T47="Taijijian Sun F",938,IF(Atletas!T47="Taijijian Wu F",939,IF(Atletas!T47="Taijijian Wu-Hao F",940,IF(Atletas!T47="Taijijian 32 F",941,IF(Atletas!T47="Taijijian 42 F",942,"")))))))))))))))))))))))))))))))))))))))))))</f>
        <v/>
      </c>
      <c r="BW51" s="52" t="str">
        <f>IF(Atletas!U47="","",IF(Atletas!W47&lt;&gt;"",10000,0)+IF(Atletas!B47="Feminino",1000,IF(Atletas!B47="Masculino",2000,""))+IF(Atletas!T47="Taijijian 42 F",942,IF(Atletas!U47="Taijidao A",943,IF(Atletas!U47="Taijishan A",944,IF(Atletas!U47="Taijiqiang A",945,IF(Atletas!U47="Taijidao B",946,IF(Atletas!U47="Taijishan B",947,IF(Atletas!U47="Taijiqiang B",948,IF(Atletas!U47="Taijidao C",949,IF(Atletas!U47="Taijishan C",950,IF(Atletas!U47="Taijiqiang C",951,IF(Atletas!U47="Taijidao D",952,IF(Atletas!U47="Taijishan D",953,IF(Atletas!U47="Taijiqiang D",954,IF(Atletas!U47="Taijidao E",955,IF(Atletas!U47="Taijishan E",956,IF(Atletas!U47="Taijiqiang E",957,IF(Atletas!U47="Taijidao F",958,IF(Atletas!U47="Taijishan F",959,IF(Atletas!U47="Taijiqiang F",960))))))))))))))))))))</f>
        <v/>
      </c>
      <c r="BX51" s="64" t="str">
        <f>IF(BY51&lt;&gt;"","Emeiquan B","")</f>
        <v/>
      </c>
      <c r="BY51" s="64" t="str">
        <f>IF(COUNTIF(BK:BW,1115)&gt;0,COUNTIF(BK:BW,1115),"")</f>
        <v/>
      </c>
      <c r="BZ51" s="64" t="str">
        <f>IF(CA51&lt;&gt;"","Emeiquan B","")</f>
        <v/>
      </c>
      <c r="CA51" s="64" t="str">
        <f>IF(COUNTIF(BK:BW,2115)&gt;0,COUNTIF(BK:BW,2115),"")</f>
        <v/>
      </c>
      <c r="CB51" s="64" t="str">
        <f>IF(CC51&lt;&gt;"","Emeiquan B","")</f>
        <v/>
      </c>
      <c r="CC51" s="64" t="str">
        <f>IF(COUNTIF(BK:BW,11115)&gt;0,COUNTIF(BK:BW,11115),"")</f>
        <v/>
      </c>
      <c r="CD51" s="64" t="str">
        <f>IF(CE51&lt;&gt;"","Emeiquan B","")</f>
        <v/>
      </c>
      <c r="CE51" s="64" t="str">
        <f>IF(COUNTIF(BK:BW,12115)&gt;0,COUNTIF(BK:BW,12115),"")</f>
        <v/>
      </c>
      <c r="CF51" s="52" t="str">
        <f xml:space="preserve"> IF(Atletas!V47="","",IF(Atletas!V47="Duilian de Mãos AB - Equipe 1",1,IF(Atletas!V47="Duilian de Mãos AB - Equipe 2",2,IF(Atletas!V47="Duilian de Armas AB - Equipe 1",3,IF(Atletas!V47="Duilian de Armas AB - Equipe 2",4,IF(Atletas!V47="Duilian de Tuishou - Equipe 1",5,IF(Atletas!V47="Duilian de Tuishou - Equipe 2",6,IF(Atletas!V47="Grupo Externo AB - Equipe 1",7,IF(Atletas!V47="Grupo Externo AB - Equipe 2",8,IF(Atletas!V47="Grupo Interno AB - Equipe 1",9,IF(Atletas!V47="Grupo Interno AB - Equipe 2",10,IF(Atletas!V47="Duilian de Mãos CD - Equipe 1",11,IF(Atletas!V47="Duilian de Mãos CD - Equipe 2",12,IF(Atletas!V47="Duilian de Armas CD - Equipe 1",13,IF(Atletas!V47="Duilian de Armas CD - Equipe 2",14,IF(Atletas!V47="Duilian de Tuishou - Equipe 1",15,IF(Atletas!V47="Duilian de Tuishou - Equipe 2",16,IF(Atletas!V47="Grupo Externo CDEF - Equipe 1",17,IF(Atletas!V47="Grupo Externo CDEF - Equipe 2",18,IF(Atletas!V47="Grupo Interno CDEF - Equipe 1",19,IF(Atletas!V47="Grupo Interno CDEF - Equipe 2",20,IF(Atletas!V47="Duilian de Mãos EF - Equipe 1",21,IF(Atletas!V47="Duilian de Mãos EF - Equipe 2",22,IF(Atletas!V47="Duilian de Armas EF - Equipe 1",23,IF(Atletas!V47="Duilian de Armas EF - Equipe 2",24,IF(Atletas!V47="Duilian de Tuishou - Equipe 1",25,IF(Atletas!V47="Duilian de Tuishou - Equipe 2",26,"")))))))))))))))))))))))))))</f>
        <v/>
      </c>
      <c r="CR51" s="71"/>
    </row>
    <row r="52" spans="2:96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 t="str">
        <f t="array" ref="N52">IFERROR(INDEX(BB$7:BB$66,SMALL(IF(BB$7:BB$66&lt;&gt;"",ROW(BB$7:BB$66)-ROW(BB$7)+1),ROWS(BB$7:BB51))),"")</f>
        <v/>
      </c>
      <c r="O52" s="4" t="str">
        <f t="array" ref="O52">IFERROR(INDEX(BC$7:BC$66,SMALL(IF(BC$7:BC$66&lt;&gt;"",ROW(BC$7:BC$66)-ROW(BC$7)+1),ROWS(BC$7:BC51))),"")</f>
        <v/>
      </c>
      <c r="P52" s="4" t="str">
        <f t="array" ref="P52">IFERROR(INDEX(BD$7:BD$66,SMALL(IF(BD$7:BD$66&lt;&gt;"",ROW(BD$7:BD$66)-ROW(BD$7)+1),ROWS(BD$7:BD51))),"")</f>
        <v/>
      </c>
      <c r="Q52" s="4" t="str">
        <f t="array" ref="Q52">IFERROR(INDEX(BE$7:BE$66,SMALL(IF(BE$7:BE$66&lt;&gt;"",ROW(BE$7:BE$66)-ROW(BE$7)+1),ROWS(BE$7:BE51))),"")</f>
        <v/>
      </c>
      <c r="R52" s="4"/>
      <c r="S52" s="4"/>
      <c r="T52" s="31"/>
      <c r="U52" s="4"/>
      <c r="V52" s="4" t="str">
        <f t="array" ref="V52">IFERROR(INDEX(BX$7:BX$336,SMALL(IF(BX$7:BX$336&lt;&gt;"",ROW(BX$7:BX$336)-ROW(BX$7)+1),ROWS(BX$7:BX51))),"")</f>
        <v/>
      </c>
      <c r="W52" s="4" t="str">
        <f t="array" ref="W52">IFERROR(INDEX(BY$7:BY$336,SMALL(IF(BY$7:BY$336&lt;&gt;"",ROW(BY$7:BY$336)-ROW(BY$7)+1),ROWS(BY$7:BY51))),"")</f>
        <v/>
      </c>
      <c r="X52" s="4" t="str">
        <f t="array" ref="X52">IFERROR(INDEX(BZ$7:BZ$336,SMALL(IF(BZ$7:BZ$336&lt;&gt;"",ROW(BZ$7:BZ$336)-ROW(BZ$7)+1),ROWS(BZ$7:BZ51))),"")</f>
        <v/>
      </c>
      <c r="Y52" s="4" t="str">
        <f t="array" ref="Y52">IFERROR(INDEX(CA$7:CA$336,SMALL(IF(CA$7:CA$336&lt;&gt;"",ROW(CA$7:CA$336)-ROW(CA$7)+1),ROWS(CA$7:CA51))),"")</f>
        <v/>
      </c>
      <c r="Z52" s="4" t="str">
        <f t="array" ref="Z52">IFERROR(INDEX(CB$7:CB$378,SMALL(IF(CB$7:CB$378&lt;&gt;"",ROW(CB$7:CB$378)-ROW(CB$7)+1),ROWS(CB$7:CB51))),"")</f>
        <v/>
      </c>
      <c r="AA52" s="4" t="str">
        <f t="array" ref="AA52">IFERROR(INDEX(CC$7:CC$378,SMALL(IF(CC$7:CC$378&lt;&gt;"",ROW(CC$7:CC$378)-ROW(CC$7)+1),ROWS(CC$7:CC51))),"")</f>
        <v/>
      </c>
      <c r="AB52" s="4" t="str">
        <f t="array" ref="AB52">IFERROR(INDEX(CD$7:CD$378,SMALL(IF(CD$7:CD$378&lt;&gt;"",ROW(CD$7:CD$378)-ROW(CD$7)+1),ROWS(CD$7:CD51))),"")</f>
        <v/>
      </c>
      <c r="AC52" s="4" t="str">
        <f t="array" ref="AC52">IFERROR(INDEX(CE$7:CE$378,SMALL(IF(CE$7:CE$378&lt;&gt;"",ROW(CE$7:CE$378)-ROW(CE$7)+1),ROWS(CE$7:CE51))),"")</f>
        <v/>
      </c>
      <c r="AD52" s="4"/>
      <c r="AE52" s="4"/>
      <c r="AF52" s="4"/>
      <c r="AG52" s="4"/>
      <c r="AH52" s="4"/>
      <c r="AI52" s="4"/>
      <c r="AJ52" s="46" t="str">
        <f>IF(Atletas!D48="","",IF(Atletas!B48="Feminino",100,IF(Atletas!B48="Masculino",200,""))+(IF(Atletas!D48="Infantil 39kg",1,IF(Atletas!D48="Infantil 42kg",2,IF(Atletas!D48="Infantil 45kg",3,IF(Atletas!D48="Infantil 48kg",4,IF(Atletas!D48="Infantil 52kg",5,IF(Atletas!D48="Infantil 56kg",6,IF(Atletas!D48="Infantil 60kg",7,IF(Atletas!D48="Juvenil 48kg",8,IF(Atletas!D48="Juvenil 52kg",9,IF(Atletas!D48="Juvenil 56kg",10,IF(Atletas!D48="Juvenil 60kg",11,IF(Atletas!D48="Juvenil 65kg",12,IF(Atletas!D48="Juvenil 70kg",13,IF(Atletas!D48="Juvenil 75kg",14,IF(Atletas!D48="Juvenil 80kg",15,IF(Atletas!D48="Adulto 48kg",16,IF(Atletas!D48="Adulto 52kg",17,IF(Atletas!D48="Adulto 56kg",18,IF(Atletas!D48="Adulto 60kg",19,IF(Atletas!D48="Adulto 65kg",20,IF(Atletas!D48="Adulto 70kg",21,IF(Atletas!D48="Adulto 75kg",22,IF(Atletas!D48="Adulto 80kg",23,IF(Atletas!D48="Adulto 85kg",24,IF(Atletas!D48="Adulto 90kg",25,IF(Atletas!D48="Adulto +90kg",26,""))))))))))))))))))))))))))))</f>
        <v/>
      </c>
      <c r="AO52" s="10" t="str">
        <f>IF(Atletas!E48="","",IF(Atletas!B48="Feminino",100,IF(Atletas!B48="Masculino",200,""))+(IF(Atletas!E48="Juvenil 44kg",1,IF(Atletas!E48="Juvenil 48kg",2,IF(Atletas!E48="Juvenil 52kg",3,IF(Atletas!E48="Juvenil 56kg",4,IF(Atletas!E48="Juvenil 60kg",5,IF(Atletas!E48="Juvenil 65kg",6,IF(Atletas!E48="Juvenil 70kg",7,IF(Atletas!E48="Juvenil 75kg",8,IF(Atletas!E48="Juvenil 82kg",9,IF(Atletas!E48="Juvenil 90kg",10,IF(Atletas!E48="Juvenil 100kg",11,IF(Atletas!E48="Adulto 48kg",12,IF(Atletas!E48="Adulto 52kg",13,IF(Atletas!E48="Adulto 56kg",14,IF(Atletas!E48="Adulto 60kg",15,IF(Atletas!E48="Adulto 65kg",16,IF(Atletas!E48="Adulto 70kg",17,IF(Atletas!E48="Adulto 75kg",18,IF(Atletas!E48="Adulto 82kg",19,IF(Atletas!E48="Adulto 90kg",20,IF(Atletas!E48="Adulto 100kg",21,IF(Atletas!E48="Adulto +100kg",22,""))))))))))))))))))))))))</f>
        <v/>
      </c>
      <c r="AT52" s="10" t="str">
        <f>IF(Atletas!F48="","",IF(Atletas!B48="Feminino",100,IF(Atletas!B48="Masculino",200,""))+(IF(Atletas!F48="Adulto 48kg",1,IF(Atletas!F48="Adulto 56kg",2,IF(Atletas!F48="Adulto 65kg",3,IF(Atletas!F48="Adulto 75kg",4,IF(Atletas!F48="Adulto +75kg",5,IF(Atletas!F48="Adulto 52kg",6,IF(Atletas!F48="Adulto 60kg",7,IF(Atletas!F48="Adulto 70kg",8,IF(Atletas!F48="Adulto 80kg",9,IF(Atletas!F48="Adulto 90kg",10,IF(Atletas!F48="Adulto +90kg",11,"")))))))))))))</f>
        <v/>
      </c>
      <c r="AY52" s="46" t="str">
        <f>IF(Atletas!G48="","",IF(Atletas!B48="Feminino",100,IF(Atletas!B48="Masculino",200,""))+(IF(Atletas!G48="Changquan Mirim",1,IF(Atletas!G48="Nanquan Mirim",2,IF(Atletas!G48="Taijiquan Mirim",3,IF(Atletas!G48="Changquan Grupo C",4,IF(Atletas!G48="Nanquan Grupo C",5,IF(Atletas!G48="Taijiquan Grupo C",6,IF(Atletas!G48="Changquan Grupo B",7,IF(Atletas!G48="Nanquan Grupo B",8,IF(Atletas!G48="Taijiquan Grupo B",9,IF(Atletas!G48="Changquan Grupo A",10,IF(Atletas!G48="Nanquan Grupo A",11,IF(Atletas!G48="Taijiquan Grupo A",12,IF(Atletas!G48="Changquan Opcional",13,IF(Atletas!G48="Nanquan Opcional",14,IF(Atletas!G48="Taijiquan Opcional",15,IF(Atletas!G48="Changquan Adulto",16,IF(Atletas!G48="Nanquan Adulto",17,IF(Atletas!G48="Taijiquan Adulto",18,""))))))))))))))))))))</f>
        <v/>
      </c>
      <c r="AZ52" s="46" t="str">
        <f>IF(Atletas!H48="","",IF(Atletas!B48="Feminino",100,IF(Atletas!B48="Masculino",200,""))+(IF(Atletas!H48="Daoshu Mirim",19,IF(Atletas!H48="Jianshu Mirim",20,IF(Atletas!H48="Nandao Mirim",21,IF(Atletas!H48="Taijijian Mirim",22,IF(Atletas!H48="Daoshu Grupo C",23,IF(Atletas!H48="Jianshu Grupo C",24,IF(Atletas!H48="Nandao Grupo C",25,IF(Atletas!H48="Taijijian Grupo C",26,IF(Atletas!H48="Daoshu Grupo B",27,IF(Atletas!H48="Jianshu Grupo B",28,IF(Atletas!H48="Nandao Grupo B",29,IF(Atletas!H48="Taijijian Grupo B",30,IF(Atletas!H48="Daoshu Grupo A",31,IF(Atletas!H48="Jianshu Grupo A",32,IF(Atletas!H48="Nandao Grupo A",33,IF(Atletas!H48="Taijijian Grupo A",34,IF(Atletas!H48="Daoshu Opcional",35,IF(Atletas!H48="Jianshu Opcional",36,IF(Atletas!H48="Nandao Opcional",37,IF(Atletas!H48="Taijijian Opcional",38,IF(Atletas!H48="Daoshu Adulto",39,IF(Atletas!H48="Jianshu Adulto",40,IF(Atletas!H48="Nandao Adulto",41,IF(Atletas!H48="Taijijian Adulto",42,""))))))))))))))))))))))))))</f>
        <v/>
      </c>
      <c r="BA52" s="46" t="str">
        <f>IF(Atletas!I48="","",IF(Atletas!B48="Feminino",100,IF(Atletas!B48="Masculino",200,""))+(IF(Atletas!I48="Gunshu Mirim",43,IF(Atletas!I48="Qiangshu Mirim",44,IF(Atletas!I48="Nangun Mirim",45,IF(Atletas!I48="Gunshu Grupo C",46,IF(Atletas!I48="Qiangshu Grupo C",47,IF(Atletas!I48="Nangun Grupo C",48,IF(Atletas!I48="Gunshu Grupo B",49,IF(Atletas!I48="Qiangshu Grupo B",50,IF(Atletas!I48="Nangun Grupo B",51,IF(Atletas!I48="Gunshu Grupo A",52,IF(Atletas!I48="Qiangshu Grupo A",53,IF(Atletas!I48="Nangun Grupo A",54,IF(Atletas!I48="Gunshu Opcional",55,IF(Atletas!I48="Qiangshu Opcional",56,IF(Atletas!I48="Nangun Opcional",57,IF(Atletas!I48="Gunshu Adulto",58,IF(Atletas!I48="Qiangshu Adulto",59,IF(Atletas!I48="Nangun Adulto",60,""))))))))))))))))))))</f>
        <v/>
      </c>
      <c r="BB52" s="10" t="str">
        <f>IF(BC52&lt;&gt;"","Nandao Opcional","")</f>
        <v/>
      </c>
      <c r="BC52" s="52" t="str">
        <f>IF(COUNTIF(AY:BA,137)&gt;0,COUNTIF(AY:BA,137),"")</f>
        <v/>
      </c>
      <c r="BD52" s="10" t="str">
        <f>IF(BE52&lt;&gt;"","Nandao Opcional","")</f>
        <v/>
      </c>
      <c r="BE52" s="52" t="str">
        <f>IF(COUNTIF(AY:BA,237)&gt;0,COUNTIF(AY:BA,237),"")</f>
        <v/>
      </c>
      <c r="BF52" s="52" t="str">
        <f>IF(Atletas!J48="","",IF(Atletas!B48="Feminino",100,IF(Atletas!B48="Masculino",200,""))+(IF(Atletas!J48="Equipe 1 Grupo B",1,IF(Atletas!J48="Equipe 2 Grupo B",2,IF(Atletas!J48="Equipe 1 Grupo A",3,IF(Atletas!J48="Equipe 2 Grupo A",4,IF(Atletas!J48="Equipe 1 Adulto",5,IF(Atletas!J48="Equipe 2 Adulto",6,""))))))))</f>
        <v/>
      </c>
      <c r="BK52" s="52" t="str">
        <f>IF(Atletas!K48="","",IF(Atletas!W48&lt;&gt;"",10000,0)+(IF(Atletas!B48="Feminino",1000,IF(Atletas!B48="Masculino",2000,""))+IF(Atletas!K48="Choylayfut A",1,IF(Atletas!K48="Hunggar A",2,IF(Atletas!K48="Wuzuquan A",3,IF(Atletas!K48="Wingchun A",4,IF(Atletas!K48="Outra Mão de Sul A",5,IF(Atletas!K48="Choylayfut B",6,IF(Atletas!K48="Hunggar B",7,IF(Atletas!K48="Wuzuquan B",8,IF(Atletas!K48="Wingchun B",9,IF(Atletas!K48="Outra Mão de Sul B",10,IF(Atletas!K48="Choylayfut C",11,IF(Atletas!K48="Hunggar C",12,IF(Atletas!K48="Wuzuquan C",13,IF(Atletas!K48="Wingchun C",14,IF(Atletas!K48="Outra Mão de Sul C",15,IF(Atletas!K48="Choylayfut D",16,IF(Atletas!K48="Hunggar D",17,IF(Atletas!K48="Wuzuquan D",18,IF(Atletas!K48="Wingchun D",19,IF(Atletas!K48="Outra Mão de Sul D",20,IF(Atletas!K48="Choylayfut E",21,IF(Atletas!K48="Hunggar E",22,IF(Atletas!K48="Wuzuquan E",23,IF(Atletas!K48="Wingchun E",24,IF(Atletas!K48="Outra Mão de Sul E",25,IF(Atletas!K48="Choylayfut F",26,IF(Atletas!K48="Hunggar F",27,IF(Atletas!K48="Wuzuquan F",28,IF(Atletas!K48="Wingchun F",29,IF(Atletas!K48="Outra Mão de Sul F",30,""))))))))))))))))))))))))))))))))</f>
        <v/>
      </c>
      <c r="BL52" s="52" t="str">
        <f>IF(Atletas!L48="","",IF(Atletas!W48&lt;&gt;"",10000,0)+(IF(Atletas!B48="Feminino",1000,IF(Atletas!B48="Masculino",2000,""))+(IF(Atletas!L48="Chaquan A",101,IF(Atletas!L48="Emeiquan A",102,IF(Atletas!L48="Fanziquan A",103,IF(Atletas!L48="Huaquan A",104,IF(Atletas!L48="Hongquan A",105,IF(Atletas!L48="Paochui A",106,IF(Atletas!L48="Piguaquan A",107,IF(Atletas!L48="Shaolinquan A",108,IF(Atletas!L48="Tanglangquan A",109,IF(Atletas!L48="Yinzhaophai A",110,IF(Atletas!L48="Tongbeiquan A",111,IF(Atletas!L48="Wudangquan A",112,IF(Atletas!L48="Outros Estilos A",113,IF(Atletas!L48="Chaquan B",114,IF(Atletas!L48="Emeiquan B",115,IF(Atletas!L48="Fanziquan B",116,IF(Atletas!L48="Huaquan B",117,IF(Atletas!L48="Hongquan B",118,IF(Atletas!L48="Paochui B",119,IF(Atletas!L48="Piguaquan B",120,IF(Atletas!L48="Shaolinquan B",121,IF(Atletas!L48="Tanglangquan B",122,IF(Atletas!L48="Yinzhaophai B",123,IF(Atletas!L48="Tongbeiquan B",124,IF(Atletas!L48="Wudangquan B",125,IF(Atletas!L48="Outros Estilos B",126,IF(Atletas!L48="Chaquan C",127,IF(Atletas!L48="Emeiquan C",128,IF(Atletas!L48="Fanziquan C",129,IF(Atletas!L48="Huaquan C",130,IF(Atletas!L48="Hongquan C",131,IF(Atletas!L48="Paochui C",132,IF(Atletas!L48="Piguaquan C",133,IF(Atletas!L48="Shaolinquan C",134,IF(Atletas!L48="Tanglangquan C",135,IF(Atletas!L48="Yinzhaophai C",136,IF(Atletas!L48="Tongbeiquan C",137,IF(Atletas!L48="Wudangquan C",138,IF(Atletas!L48="Outros Estilos C",139,0))))))))))))))))))))))))))))))))))))))))))</f>
        <v/>
      </c>
      <c r="BM52" s="52" t="str">
        <f>IF(Atletas!L48="","",IF(Atletas!W48&lt;&gt;"",10000,0)+(IF(Atletas!B48="Feminino",1000,IF(Atletas!B48="Masculino",2000,""))+(IF(Atletas!L48="Chaquan D",140,IF(Atletas!L48="Emeiquan D",141,IF(Atletas!L48="Fanziquan D",142,IF(Atletas!L48="Huaquan D",143,IF(Atletas!L48="Hongquan D",144,IF(Atletas!L48="Paochui D",145,IF(Atletas!L48="Piguaquan D",146,IF(Atletas!L48="Shaolinquan D",147,IF(Atletas!L48="Tanglangquan D",148,IF(Atletas!L48="Yinzhaophai D",149,IF(Atletas!L48="Tongbeiquan D",150,IF(Atletas!L48="Wudangquan D",151,IF(Atletas!L48="Outros Estilos D",152,IF(Atletas!L48="Chaquan E",153,IF(Atletas!L48="Emeiquan E",154,IF(Atletas!L48="Fanziquan E",155,IF(Atletas!L48="Huaquan E",156,IF(Atletas!L48="Hongquan E",157,IF(Atletas!L48="Paochui E",158,IF(Atletas!L48="Piguaquan E",159,IF(Atletas!L48="Shaolinquan E",160,IF(Atletas!L48="Tanglangquan E",161,IF(Atletas!L48="Yinzhaophai E",162,IF(Atletas!L48="Tongbeiquan E",163,IF(Atletas!L48="Wudangquan E",164,IF(Atletas!L48="Outros Estilos E",165,IF(Atletas!L48="Chaquan F",166,IF(Atletas!L48="Emeiquan F",167,IF(Atletas!L48="Fanziquan F",168,IF(Atletas!L48="Huaquan F",169,IF(Atletas!L48="Hongquan F",170,IF(Atletas!L48="Paochui F",171,IF(Atletas!L48="Piguaquan F",172,IF(Atletas!L48="Shaolinquan F",173,IF(Atletas!L48="Tanglangquan F",174,IF(Atletas!L48="Yinzhaophai F",175,IF(Atletas!L48="Tongbeiquan F",176,IF(Atletas!L48="Wudangquan F",177,IF(Atletas!L48="Outros Estilos F",178,0))))))))))))))))))))))))))))))))))))))))))</f>
        <v/>
      </c>
      <c r="BN52" s="52" t="str">
        <f>IF(Atletas!M48="","",IF(Atletas!W48&lt;&gt;"",10000,0)+(IF(Atletas!B48="Feminino",1000,IF(Atletas!B48="Masculino",2000,""))+(IF(Atletas!M48="Ditangquan A",201,IF(Atletas!M48="Houquan A",202,IF(Atletas!M48="Zuiquan A",203,IF(Atletas!M48="Ditangquan B",204,IF(Atletas!M48="Houquan B",205,IF(Atletas!M48="Zuiquan B",206,IF(Atletas!M48="Ditangquan C",207,IF(Atletas!M48="Houquan C",208,IF(Atletas!M48="Zuiquan C",209,IF(Atletas!M48="Ditangquan D",210,IF(Atletas!M48="Houquan D",211,IF(Atletas!M48="Zuiquan D",212,IF(Atletas!M48="Ditangquan E",213,IF(Atletas!M48="Houquan E",214,IF(Atletas!M48="Zuiquan E",215,IF(Atletas!M48="Ditangquan F",216,IF(Atletas!M48="Houquan F",217,IF(Atletas!M48="Zuiquan F",218,"")))))))))))))))))))))</f>
        <v/>
      </c>
      <c r="BO52" s="52" t="str">
        <f>IF(Atletas!N48="","",IF(Atletas!W48&lt;&gt;"",10000,0)+IF(Atletas!B48="Feminino",1000,IF(Atletas!B48="Masculino",2000,""))+IF(Atletas!N48="Yang A",301,IF(Atletas!N48="Chen A",30,IF(Atletas!N48="Sun A",303,IF(Atletas!N48="Wu A",304,IF(Atletas!N48="Wu-Hao A",305,IF(Atletas!N48="Outro Taijiquan A",306,IF(Atletas!N48="Yang B",307,IF(Atletas!N48="Chen B",308,IF(Atletas!N48="Sun B",309,IF(Atletas!N48="Wu B",310,IF(Atletas!N48="Wu-Hao B",311,IF(Atletas!N48="Outro Taijiquan B",312,IF(Atletas!N48="Yang C",313,IF(Atletas!N48="Chen C",314,IF(Atletas!N48="Sun C",315,IF(Atletas!N48="Wu C",316,IF(Atletas!N48="Wu-Hao C",317,IF(Atletas!N48="Outro Taijiquan C",318,IF(Atletas!N48="Yang D",319,IF(Atletas!N48="Chen D",320,IF(Atletas!N48="Sun D",321,IF(Atletas!N48="Wu D",322,IF(Atletas!N48="Wu-Hao D",323,IF(Atletas!N48="Outro Taijiquan D",324,IF(Atletas!N48="Yang E",325,IF(Atletas!N48="Chen E",326,IF(Atletas!N48="Sun E",327,IF(Atletas!N48="Wu E",328,IF(Atletas!N48="Wu-Hao E",329,IF(Atletas!N48="Outro Taijiquan E",330,IF(Atletas!N48="Yang F",331,IF(Atletas!N48="Chen F",332,IF(Atletas!N48="Sun F",333,IF(Atletas!N48="Wu F",334,IF(Atletas!N48="Wu-Hao F",335,IF(Atletas!N48="Outro Taijiquan F",336,"")))))))))))))))))))))))))))))))))))))</f>
        <v/>
      </c>
      <c r="BP52" s="52" t="str">
        <f>IF(Atletas!O48="","",IF(Atletas!W48&lt;&gt;"",10000,0)+IF(Atletas!B48="Feminino",1000,IF(Atletas!B48="Masculino",2000,""))+IF(OR(Atletas!O48="Yang 26 A",Atletas!O48="Yang 40 A"),401,IF(OR(Atletas!O48="Chen 25 A",Atletas!O48="Chen 36 A",Atletas!O48="Chen 56 A"),402,IF(Atletas!O48="Sun 73 A",403,IF(Atletas!O48="Wu 45 A",404,IF(Atletas!O48="Wu-Hao 46 A",405,IF(OR(Atletas!O48="Taijiquan 16 A",Atletas!O48="Taijiquan 24 A",Atletas!O48="Taijiquan 32 A",Atletas!O48="Taijiquan 42 A"),406,IF(OR(Atletas!O48="Yang 26 B",Atletas!O48="Yang 40 B"),407,IF(OR(Atletas!O48="Chen 25 B",Atletas!O48="Chen 36 B",Atletas!O48="Chen 56 B"),408,IF(Atletas!O48="Sun 73 B",409,IF(Atletas!O48="Wu 45 B",410,IF(Atletas!O48="Wu-Hao 46 B",411,IF(OR(Atletas!O48="Taijiquan 16 B",Atletas!O48="Taijiquan 24 B",Atletas!O48="Taijiquan 32 B",Atletas!O48="Taijiquan 42 B"),412,IF(OR(Atletas!O48="Yang 26 C",Atletas!O48="Yang 40 C"),413,IF(OR(Atletas!O48="Chen 25 C",Atletas!O48="Chen 36 C",Atletas!O48="Chen 56 C"),414,IF(Atletas!O48="Sun 73 C",415,IF(Atletas!O48="Wu 45 C",416,IF(Atletas!O48="Wu-Hao 46 C",417,IF(OR(Atletas!O48="Taijiquan 16 C",Atletas!O48="Taijiquan 24 C",Atletas!O48="Taijiquan 32 C",Atletas!O48="Taijiquan 42 C"),418,0)))))))))))))))))))</f>
        <v/>
      </c>
      <c r="BQ52" s="52" t="str">
        <f>IF(Atletas!O48="","",IF(Atletas!W48&lt;&gt;"",10000,0)+IF(Atletas!B48="Feminino",1000,IF(Atletas!B48="Masculino",2000,""))+IF(OR(Atletas!O48="Yang 26 D",Atletas!O48="Yang 40 D"),419,IF(OR(Atletas!O48="Chen 25 D",Atletas!O48="Chen 36 D",Atletas!O48="Chen 56 D"),420,IF(Atletas!O48="Sun 73 D",421,IF(Atletas!O48="Wu 45 D",422,IF(Atletas!O48="Wu-Hao 46 D",423,IF(OR(Atletas!O48="Taijiquan 16 D",Atletas!O48="Taijiquan 24 D",Atletas!O48="Taijiquan 32 D",Atletas!O48="Taijiquan 42 D"),424,IF(OR(Atletas!O48="Yang 26 E",Atletas!O48="Yang 40 E"),425,IF(OR(Atletas!O48="Chen 25 E",Atletas!O48="Chen 36 E",Atletas!O48="Chen 56 E"),426,IF(Atletas!O48="Sun 73 E",427,IF(Atletas!O48="Wu 45 E",428,IF(Atletas!O48="Wu-Hao 46 E",429,IF(OR(Atletas!O48="Taijiquan 16 E",Atletas!O48="Taijiquan 24 E",Atletas!O48="Taijiquan 32 E",Atletas!O48="Taijiquan 42 E"),430,IF(OR(Atletas!O48="Yang 26 F",Atletas!O48="Yang 40 F"),431,IF(OR(Atletas!O48="Chen 25 F",Atletas!O48="Chen 36 F",Atletas!O48="Chen 56 F"),432,IF(Atletas!O48="Sun 73 F",433,IF(Atletas!O48="Wu 45 F",434,IF(Atletas!O48="Wu-Hao 46 F",435,IF(OR(Atletas!O48="Taijiquan 16 F",Atletas!O48="Taijiquan 24 F",Atletas!O48="Taijiquan 32 F",Atletas!O48="Taijiquan 42 F"),436,0)))))))))))))))))))</f>
        <v/>
      </c>
      <c r="BR52" s="52" t="str">
        <f>IF(Atletas!P48="","",IF(Atletas!W48&lt;&gt;"",10000,0)+IF(Atletas!B48="Feminino",1000,IF(Atletas!B48="Masculino",2000,""))+IF(Atletas!P48="Xingyiquan A",501,IF(Atletas!P48="Baguazhang A",502,IF(Atletas!P48="Outro Estilo Interno A",503,IF(Atletas!P48="Xingyiquan B",504,IF(Atletas!P48="Baguazhang B",505,IF(Atletas!P48="Outro Estilo Interno B",506,IF(Atletas!P48="Xingyiquan C",507,IF(Atletas!P48="Baguazhang C",508,IF(Atletas!P48="Outro Estilo Interno C",509,IF(Atletas!P48="Xingyiquan D",510,IF(Atletas!P48="Baguazhang D",511,IF(Atletas!P48="Outro Estilo Interno D",512,IF(Atletas!P48="Xingyiquan E",513,IF(Atletas!P48="Baguazhang E",514,IF(Atletas!P48="Outro Estilo Interno E",515,IF(Atletas!P48="Xingyiquan F",516,IF(Atletas!P48="Baguazhang F",517,IF(Atletas!P48="Outro Estilo Interno F",518, "")))))))))))))))))))</f>
        <v/>
      </c>
      <c r="BS52" s="52" t="str">
        <f>IF(Atletas!Q48="","",IF(Atletas!W48&lt;&gt;"",10000,0)+IF(Atletas!B48="Feminino",1000,IF(Atletas!B48="Masculino",2000,""))+IF(Atletas!Q48="Dao A",601,IF(Atletas!Q48="Jian A",602,IF(Atletas!Q48="Bishou A",603,IF(Atletas!Q48="Shan A",604,IF(Atletas!Q48="Outra Arma Curta A",605,IF(Atletas!Q48="Dao B",606,IF(Atletas!Q48="Jian B",607,IF(Atletas!Q48="Bishou B",608,IF(Atletas!Q48="Shan B",609,IF(Atletas!Q48="Outra Arma Curta B",610,IF(Atletas!Q48="Dao C",611,IF(Atletas!Q48="Jian C",612,IF(Atletas!Q48="Bishou C",613,IF(Atletas!Q48="Shan C",614,IF(Atletas!Q48="Outra Arma Curta C",615,IF(Atletas!Q48="Dao D",616,IF(Atletas!Q48="Jian D",617,IF(Atletas!Q48="Bishou D",618,IF(Atletas!Q48="Shan D",619,IF(Atletas!Q48="Outra Arma Curta D",620,IF(Atletas!Q48="Dao E",621,IF(Atletas!Q48="Jian E",622,IF(Atletas!Q48="Bishou E",623,IF(Atletas!Q48="Shan E",624,IF(Atletas!Q48="Outra Arma Curta E",625,IF(Atletas!Q48="Dao F",626,IF(Atletas!Q48="Jian F",627,IF(Atletas!Q48="Bishou F",628,IF(Atletas!Q48="Shan F",629,IF(Atletas!Q48="Outra Arma Curta F",630, "")))))))))))))))))))))))))))))))</f>
        <v/>
      </c>
      <c r="BT52" s="52" t="str">
        <f>IF(Atletas!R48="","",IF(Atletas!W48&lt;&gt;"",10000,0)+IF(Atletas!B48="Feminino",1000,IF(Atletas!B48="Masculino",2000,""))+IF(Atletas!R48="Gun A",701,IF(Atletas!R48="Qiang A",702,IF(Atletas!R48="Pudao / Guandao A",703,IF(Atletas!R48="Outra Arma Longa A",704,IF(Atletas!R48="Gun B",705,IF(Atletas!R48="Qiang B",706,IF(Atletas!R48="Pudao / Guandao B",707,IF(Atletas!R48="Outra Arma Longa B",708,IF(Atletas!R48="Gun C",709,IF(Atletas!R48="Qiang C",710,IF(Atletas!R48="Pudao / Guandao C",711,IF(Atletas!R48="Outra Arma Longa C",712,IF(Atletas!R48="Gun D",713,IF(Atletas!R48="Qiang D",714,IF(Atletas!R48="Pudao / Guandao D",715,IF(Atletas!R48="Outra Arma Longa D",716,IF(Atletas!R48="Gun E",717,IF(Atletas!R48="Qiang E",718,IF(Atletas!R48="Pudao / Guandao E",719,IF(Atletas!R48="Outra Arma Longa E",720,IF(Atletas!R48="Gun F",721,IF(Atletas!R48="Qiang F",722,IF(Atletas!R48="Pudao / Guandao F",723,IF(Atletas!R48="Outra Arma Longa F",724,"")))))))))))))))))))))))))</f>
        <v/>
      </c>
      <c r="BU52" s="52" t="str">
        <f>IF(Atletas!S48="","",IF(Atletas!W48&lt;&gt;"",10000,0)+IF(Atletas!B48="Feminino",1000,IF(Atletas!B48="Masculino",2000,""))+IF(Atletas!S48="Arma Dupla A",801,IF(Atletas!S48="Arma Maleável A",802,IF(Atletas!S48="Arma Dupla B",803,IF(Atletas!S48="Arma Maleável B",804,IF(Atletas!S48="Arma Dupla C",805,IF(Atletas!S48="Arma Maleável C",806,IF(Atletas!S48="Arma Dupla D",807,IF(Atletas!S48="Arma Maleável D",808,IF(Atletas!S48="Arma Dupla E",809,IF(Atletas!S48="Arma Maleável E",810,IF(Atletas!S48="Arma Dupla F",811,IF(Atletas!S48="Arma Maleável F",812, "")))))))))))))</f>
        <v/>
      </c>
      <c r="BV52" s="52" t="str">
        <f>IF(Atletas!T48="","",IF(Atletas!W48&lt;&gt;"",10000,0)+IF(Atletas!B48="Feminino",1000,IF(Atletas!B48="Masculino",2000,""))+IF(Atletas!T48="Taijijian Yang A",901,IF(Atletas!T48="Taijijian Chen A",902,IF(Atletas!T48="Taijijian Sun A",903,IF(Atletas!T48="Taijijian Wu A",904,IF(Atletas!T48="Taijijian Wu-Hao A",905,IF(Atletas!T48="Taijijian 32 A",906,IF(Atletas!T48="Taijijian 42 A",907,IF(Atletas!T48="Taijijian Yang B",908,IF(Atletas!T48="Taijijian Chen B",909,IF(Atletas!T48="Taijijian Sun B",910,IF(Atletas!T48="Taijijian Wu B",911,IF(Atletas!T48="Taijijian Wu-Hao B",912,IF(Atletas!T48="Taijijian 32 B",913,IF(Atletas!T48="Taijijian 42 B",914,IF(Atletas!T48="Taijijian Yang C",915,IF(Atletas!T48="Taijijian Chen C",916,IF(Atletas!T48="Taijijian Sun C",917,IF(Atletas!T48="Taijijian Wu C",918,IF(Atletas!T48="Taijijian Wu-Hao C",919,IF(Atletas!T48="Taijijian 32 C",920,IF(Atletas!T48="Taijijian 42 C",921,IF(Atletas!T48="Taijijian Yang D",922,IF(Atletas!T48="Taijijian Chen D",923,IF(Atletas!T48="Taijijian Sun D",924,IF(Atletas!T48="Taijijian Wu D",925,IF(Atletas!T48="Taijijian Wu-Hao D",926,IF(Atletas!T48="Taijijian 32 D",927,IF(Atletas!T48="Taijijian 42 D",928,IF(Atletas!T48="Taijijian Yang E",929,IF(Atletas!T48="Taijijian Chen E",930,IF(Atletas!T48="Taijijian Sun E",931,IF(Atletas!T48="Taijijian Wu E",932,IF(Atletas!T48="Taijijian Wu-Hao E",933,IF(Atletas!T48="Taijijian 32 E",934,IF(Atletas!T48="Taijijian 42 E",935,IF(Atletas!T48="Taijijian Yang F",936,IF(Atletas!T48="Taijijian Chen F",937,IF(Atletas!T48="Taijijian Sun F",938,IF(Atletas!T48="Taijijian Wu F",939,IF(Atletas!T48="Taijijian Wu-Hao F",940,IF(Atletas!T48="Taijijian 32 F",941,IF(Atletas!T48="Taijijian 42 F",942,"")))))))))))))))))))))))))))))))))))))))))))</f>
        <v/>
      </c>
      <c r="BW52" s="52" t="str">
        <f>IF(Atletas!U48="","",IF(Atletas!W48&lt;&gt;"",10000,0)+IF(Atletas!B48="Feminino",1000,IF(Atletas!B48="Masculino",2000,""))+IF(Atletas!T48="Taijijian 42 F",942,IF(Atletas!U48="Taijidao A",943,IF(Atletas!U48="Taijishan A",944,IF(Atletas!U48="Taijiqiang A",945,IF(Atletas!U48="Taijidao B",946,IF(Atletas!U48="Taijishan B",947,IF(Atletas!U48="Taijiqiang B",948,IF(Atletas!U48="Taijidao C",949,IF(Atletas!U48="Taijishan C",950,IF(Atletas!U48="Taijiqiang C",951,IF(Atletas!U48="Taijidao D",952,IF(Atletas!U48="Taijishan D",953,IF(Atletas!U48="Taijiqiang D",954,IF(Atletas!U48="Taijidao E",955,IF(Atletas!U48="Taijishan E",956,IF(Atletas!U48="Taijiqiang E",957,IF(Atletas!U48="Taijidao F",958,IF(Atletas!U48="Taijishan F",959,IF(Atletas!U48="Taijiqiang F",960))))))))))))))))))))</f>
        <v/>
      </c>
      <c r="BX52" s="64" t="str">
        <f>IF(BY52&lt;&gt;"","Fanziquan B","")</f>
        <v/>
      </c>
      <c r="BY52" s="64" t="str">
        <f>IF(COUNTIF(BK:BW,1116)&gt;0,COUNTIF(BK:BW,1116),"")</f>
        <v/>
      </c>
      <c r="BZ52" s="64" t="str">
        <f>IF(CA52&lt;&gt;"","Fanziquan B","")</f>
        <v/>
      </c>
      <c r="CA52" s="64" t="str">
        <f>IF(COUNTIF(BK:BW,2116)&gt;0,COUNTIF(BK:BW,2116),"")</f>
        <v/>
      </c>
      <c r="CB52" s="64" t="str">
        <f>IF(CC52&lt;&gt;"","Fanziquan B","")</f>
        <v/>
      </c>
      <c r="CC52" s="64" t="str">
        <f>IF(COUNTIF(BK:BW,11116)&gt;0,COUNTIF(BK:BW,11116),"")</f>
        <v/>
      </c>
      <c r="CD52" s="64" t="str">
        <f>IF(CE52&lt;&gt;"","Fanziquan B","")</f>
        <v/>
      </c>
      <c r="CE52" s="64" t="str">
        <f>IF(COUNTIF(BK:BW,12116)&gt;0,COUNTIF(BK:BW,12116),"")</f>
        <v/>
      </c>
      <c r="CF52" s="52" t="str">
        <f xml:space="preserve"> IF(Atletas!V48="","",IF(Atletas!V48="Duilian de Mãos AB - Equipe 1",1,IF(Atletas!V48="Duilian de Mãos AB - Equipe 2",2,IF(Atletas!V48="Duilian de Armas AB - Equipe 1",3,IF(Atletas!V48="Duilian de Armas AB - Equipe 2",4,IF(Atletas!V48="Duilian de Tuishou - Equipe 1",5,IF(Atletas!V48="Duilian de Tuishou - Equipe 2",6,IF(Atletas!V48="Grupo Externo AB - Equipe 1",7,IF(Atletas!V48="Grupo Externo AB - Equipe 2",8,IF(Atletas!V48="Grupo Interno AB - Equipe 1",9,IF(Atletas!V48="Grupo Interno AB - Equipe 2",10,IF(Atletas!V48="Duilian de Mãos CD - Equipe 1",11,IF(Atletas!V48="Duilian de Mãos CD - Equipe 2",12,IF(Atletas!V48="Duilian de Armas CD - Equipe 1",13,IF(Atletas!V48="Duilian de Armas CD - Equipe 2",14,IF(Atletas!V48="Duilian de Tuishou - Equipe 1",15,IF(Atletas!V48="Duilian de Tuishou - Equipe 2",16,IF(Atletas!V48="Grupo Externo CDEF - Equipe 1",17,IF(Atletas!V48="Grupo Externo CDEF - Equipe 2",18,IF(Atletas!V48="Grupo Interno CDEF - Equipe 1",19,IF(Atletas!V48="Grupo Interno CDEF - Equipe 2",20,IF(Atletas!V48="Duilian de Mãos EF - Equipe 1",21,IF(Atletas!V48="Duilian de Mãos EF - Equipe 2",22,IF(Atletas!V48="Duilian de Armas EF - Equipe 1",23,IF(Atletas!V48="Duilian de Armas EF - Equipe 2",24,IF(Atletas!V48="Duilian de Tuishou - Equipe 1",25,IF(Atletas!V48="Duilian de Tuishou - Equipe 2",26,"")))))))))))))))))))))))))))</f>
        <v/>
      </c>
      <c r="CR52" s="71"/>
    </row>
    <row r="53" spans="2:96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 t="str">
        <f t="array" ref="N53">IFERROR(INDEX(BB$7:BB$66,SMALL(IF(BB$7:BB$66&lt;&gt;"",ROW(BB$7:BB$66)-ROW(BB$7)+1),ROWS(BB$7:BB52))),"")</f>
        <v/>
      </c>
      <c r="O53" s="4" t="str">
        <f t="array" ref="O53">IFERROR(INDEX(BC$7:BC$66,SMALL(IF(BC$7:BC$66&lt;&gt;"",ROW(BC$7:BC$66)-ROW(BC$7)+1),ROWS(BC$7:BC52))),"")</f>
        <v/>
      </c>
      <c r="P53" s="4" t="str">
        <f t="array" ref="P53">IFERROR(INDEX(BD$7:BD$66,SMALL(IF(BD$7:BD$66&lt;&gt;"",ROW(BD$7:BD$66)-ROW(BD$7)+1),ROWS(BD$7:BD52))),"")</f>
        <v/>
      </c>
      <c r="Q53" s="4" t="str">
        <f t="array" ref="Q53">IFERROR(INDEX(BE$7:BE$66,SMALL(IF(BE$7:BE$66&lt;&gt;"",ROW(BE$7:BE$66)-ROW(BE$7)+1),ROWS(BE$7:BE52))),"")</f>
        <v/>
      </c>
      <c r="R53" s="4"/>
      <c r="S53" s="4"/>
      <c r="T53" s="31"/>
      <c r="U53" s="4"/>
      <c r="V53" s="4" t="str">
        <f t="array" ref="V53">IFERROR(INDEX(BX$7:BX$336,SMALL(IF(BX$7:BX$336&lt;&gt;"",ROW(BX$7:BX$336)-ROW(BX$7)+1),ROWS(BX$7:BX52))),"")</f>
        <v/>
      </c>
      <c r="W53" s="4" t="str">
        <f t="array" ref="W53">IFERROR(INDEX(BY$7:BY$336,SMALL(IF(BY$7:BY$336&lt;&gt;"",ROW(BY$7:BY$336)-ROW(BY$7)+1),ROWS(BY$7:BY52))),"")</f>
        <v/>
      </c>
      <c r="X53" s="4" t="str">
        <f t="array" ref="X53">IFERROR(INDEX(BZ$7:BZ$336,SMALL(IF(BZ$7:BZ$336&lt;&gt;"",ROW(BZ$7:BZ$336)-ROW(BZ$7)+1),ROWS(BZ$7:BZ52))),"")</f>
        <v/>
      </c>
      <c r="Y53" s="4" t="str">
        <f t="array" ref="Y53">IFERROR(INDEX(CA$7:CA$336,SMALL(IF(CA$7:CA$336&lt;&gt;"",ROW(CA$7:CA$336)-ROW(CA$7)+1),ROWS(CA$7:CA52))),"")</f>
        <v/>
      </c>
      <c r="Z53" s="4" t="str">
        <f t="array" ref="Z53">IFERROR(INDEX(CB$7:CB$378,SMALL(IF(CB$7:CB$378&lt;&gt;"",ROW(CB$7:CB$378)-ROW(CB$7)+1),ROWS(CB$7:CB52))),"")</f>
        <v/>
      </c>
      <c r="AA53" s="4" t="str">
        <f t="array" ref="AA53">IFERROR(INDEX(CC$7:CC$378,SMALL(IF(CC$7:CC$378&lt;&gt;"",ROW(CC$7:CC$378)-ROW(CC$7)+1),ROWS(CC$7:CC52))),"")</f>
        <v/>
      </c>
      <c r="AB53" s="4" t="str">
        <f t="array" ref="AB53">IFERROR(INDEX(CD$7:CD$378,SMALL(IF(CD$7:CD$378&lt;&gt;"",ROW(CD$7:CD$378)-ROW(CD$7)+1),ROWS(CD$7:CD52))),"")</f>
        <v/>
      </c>
      <c r="AC53" s="4" t="str">
        <f t="array" ref="AC53">IFERROR(INDEX(CE$7:CE$378,SMALL(IF(CE$7:CE$378&lt;&gt;"",ROW(CE$7:CE$378)-ROW(CE$7)+1),ROWS(CE$7:CE52))),"")</f>
        <v/>
      </c>
      <c r="AD53" s="4"/>
      <c r="AE53" s="4"/>
      <c r="AF53" s="4"/>
      <c r="AG53" s="4"/>
      <c r="AH53" s="4"/>
      <c r="AI53" s="4"/>
      <c r="AJ53" s="46" t="str">
        <f>IF(Atletas!D49="","",IF(Atletas!B49="Feminino",100,IF(Atletas!B49="Masculino",200,""))+(IF(Atletas!D49="Infantil 39kg",1,IF(Atletas!D49="Infantil 42kg",2,IF(Atletas!D49="Infantil 45kg",3,IF(Atletas!D49="Infantil 48kg",4,IF(Atletas!D49="Infantil 52kg",5,IF(Atletas!D49="Infantil 56kg",6,IF(Atletas!D49="Infantil 60kg",7,IF(Atletas!D49="Juvenil 48kg",8,IF(Atletas!D49="Juvenil 52kg",9,IF(Atletas!D49="Juvenil 56kg",10,IF(Atletas!D49="Juvenil 60kg",11,IF(Atletas!D49="Juvenil 65kg",12,IF(Atletas!D49="Juvenil 70kg",13,IF(Atletas!D49="Juvenil 75kg",14,IF(Atletas!D49="Juvenil 80kg",15,IF(Atletas!D49="Adulto 48kg",16,IF(Atletas!D49="Adulto 52kg",17,IF(Atletas!D49="Adulto 56kg",18,IF(Atletas!D49="Adulto 60kg",19,IF(Atletas!D49="Adulto 65kg",20,IF(Atletas!D49="Adulto 70kg",21,IF(Atletas!D49="Adulto 75kg",22,IF(Atletas!D49="Adulto 80kg",23,IF(Atletas!D49="Adulto 85kg",24,IF(Atletas!D49="Adulto 90kg",25,IF(Atletas!D49="Adulto +90kg",26,""))))))))))))))))))))))))))))</f>
        <v/>
      </c>
      <c r="AO53" s="10" t="str">
        <f>IF(Atletas!E49="","",IF(Atletas!B49="Feminino",100,IF(Atletas!B49="Masculino",200,""))+(IF(Atletas!E49="Juvenil 44kg",1,IF(Atletas!E49="Juvenil 48kg",2,IF(Atletas!E49="Juvenil 52kg",3,IF(Atletas!E49="Juvenil 56kg",4,IF(Atletas!E49="Juvenil 60kg",5,IF(Atletas!E49="Juvenil 65kg",6,IF(Atletas!E49="Juvenil 70kg",7,IF(Atletas!E49="Juvenil 75kg",8,IF(Atletas!E49="Juvenil 82kg",9,IF(Atletas!E49="Juvenil 90kg",10,IF(Atletas!E49="Juvenil 100kg",11,IF(Atletas!E49="Adulto 48kg",12,IF(Atletas!E49="Adulto 52kg",13,IF(Atletas!E49="Adulto 56kg",14,IF(Atletas!E49="Adulto 60kg",15,IF(Atletas!E49="Adulto 65kg",16,IF(Atletas!E49="Adulto 70kg",17,IF(Atletas!E49="Adulto 75kg",18,IF(Atletas!E49="Adulto 82kg",19,IF(Atletas!E49="Adulto 90kg",20,IF(Atletas!E49="Adulto 100kg",21,IF(Atletas!E49="Adulto +100kg",22,""))))))))))))))))))))))))</f>
        <v/>
      </c>
      <c r="AT53" s="10" t="str">
        <f>IF(Atletas!F49="","",IF(Atletas!B49="Feminino",100,IF(Atletas!B49="Masculino",200,""))+(IF(Atletas!F49="Adulto 48kg",1,IF(Atletas!F49="Adulto 56kg",2,IF(Atletas!F49="Adulto 65kg",3,IF(Atletas!F49="Adulto 75kg",4,IF(Atletas!F49="Adulto +75kg",5,IF(Atletas!F49="Adulto 52kg",6,IF(Atletas!F49="Adulto 60kg",7,IF(Atletas!F49="Adulto 70kg",8,IF(Atletas!F49="Adulto 80kg",9,IF(Atletas!F49="Adulto 90kg",10,IF(Atletas!F49="Adulto +90kg",11,"")))))))))))))</f>
        <v/>
      </c>
      <c r="AY53" s="46" t="str">
        <f>IF(Atletas!G49="","",IF(Atletas!B49="Feminino",100,IF(Atletas!B49="Masculino",200,""))+(IF(Atletas!G49="Changquan Mirim",1,IF(Atletas!G49="Nanquan Mirim",2,IF(Atletas!G49="Taijiquan Mirim",3,IF(Atletas!G49="Changquan Grupo C",4,IF(Atletas!G49="Nanquan Grupo C",5,IF(Atletas!G49="Taijiquan Grupo C",6,IF(Atletas!G49="Changquan Grupo B",7,IF(Atletas!G49="Nanquan Grupo B",8,IF(Atletas!G49="Taijiquan Grupo B",9,IF(Atletas!G49="Changquan Grupo A",10,IF(Atletas!G49="Nanquan Grupo A",11,IF(Atletas!G49="Taijiquan Grupo A",12,IF(Atletas!G49="Changquan Opcional",13,IF(Atletas!G49="Nanquan Opcional",14,IF(Atletas!G49="Taijiquan Opcional",15,IF(Atletas!G49="Changquan Adulto",16,IF(Atletas!G49="Nanquan Adulto",17,IF(Atletas!G49="Taijiquan Adulto",18,""))))))))))))))))))))</f>
        <v/>
      </c>
      <c r="AZ53" s="46" t="str">
        <f>IF(Atletas!H49="","",IF(Atletas!B49="Feminino",100,IF(Atletas!B49="Masculino",200,""))+(IF(Atletas!H49="Daoshu Mirim",19,IF(Atletas!H49="Jianshu Mirim",20,IF(Atletas!H49="Nandao Mirim",21,IF(Atletas!H49="Taijijian Mirim",22,IF(Atletas!H49="Daoshu Grupo C",23,IF(Atletas!H49="Jianshu Grupo C",24,IF(Atletas!H49="Nandao Grupo C",25,IF(Atletas!H49="Taijijian Grupo C",26,IF(Atletas!H49="Daoshu Grupo B",27,IF(Atletas!H49="Jianshu Grupo B",28,IF(Atletas!H49="Nandao Grupo B",29,IF(Atletas!H49="Taijijian Grupo B",30,IF(Atletas!H49="Daoshu Grupo A",31,IF(Atletas!H49="Jianshu Grupo A",32,IF(Atletas!H49="Nandao Grupo A",33,IF(Atletas!H49="Taijijian Grupo A",34,IF(Atletas!H49="Daoshu Opcional",35,IF(Atletas!H49="Jianshu Opcional",36,IF(Atletas!H49="Nandao Opcional",37,IF(Atletas!H49="Taijijian Opcional",38,IF(Atletas!H49="Daoshu Adulto",39,IF(Atletas!H49="Jianshu Adulto",40,IF(Atletas!H49="Nandao Adulto",41,IF(Atletas!H49="Taijijian Adulto",42,""))))))))))))))))))))))))))</f>
        <v/>
      </c>
      <c r="BA53" s="46" t="str">
        <f>IF(Atletas!I49="","",IF(Atletas!B49="Feminino",100,IF(Atletas!B49="Masculino",200,""))+(IF(Atletas!I49="Gunshu Mirim",43,IF(Atletas!I49="Qiangshu Mirim",44,IF(Atletas!I49="Nangun Mirim",45,IF(Atletas!I49="Gunshu Grupo C",46,IF(Atletas!I49="Qiangshu Grupo C",47,IF(Atletas!I49="Nangun Grupo C",48,IF(Atletas!I49="Gunshu Grupo B",49,IF(Atletas!I49="Qiangshu Grupo B",50,IF(Atletas!I49="Nangun Grupo B",51,IF(Atletas!I49="Gunshu Grupo A",52,IF(Atletas!I49="Qiangshu Grupo A",53,IF(Atletas!I49="Nangun Grupo A",54,IF(Atletas!I49="Gunshu Opcional",55,IF(Atletas!I49="Qiangshu Opcional",56,IF(Atletas!I49="Nangun Opcional",57,IF(Atletas!I49="Gunshu Adulto",58,IF(Atletas!I49="Qiangshu Adulto",59,IF(Atletas!I49="Nangun Adulto",60,""))))))))))))))))))))</f>
        <v/>
      </c>
      <c r="BB53" s="10" t="str">
        <f>IF(BC53&lt;&gt;"","Taijijian Opcional","")</f>
        <v/>
      </c>
      <c r="BC53" s="52" t="str">
        <f>IF(COUNTIF(AY:BA,138)&gt;0,COUNTIF(AY:BA,138),"")</f>
        <v/>
      </c>
      <c r="BD53" s="10" t="str">
        <f>IF(BE53&lt;&gt;"","Taijijian Opcional","")</f>
        <v/>
      </c>
      <c r="BE53" s="52" t="str">
        <f>IF(COUNTIF(AY:BA,238)&gt;0,COUNTIF(AY:BA,238),"")</f>
        <v/>
      </c>
      <c r="BF53" s="52" t="str">
        <f>IF(Atletas!J49="","",IF(Atletas!B49="Feminino",100,IF(Atletas!B49="Masculino",200,""))+(IF(Atletas!J49="Equipe 1 Grupo B",1,IF(Atletas!J49="Equipe 2 Grupo B",2,IF(Atletas!J49="Equipe 1 Grupo A",3,IF(Atletas!J49="Equipe 2 Grupo A",4,IF(Atletas!J49="Equipe 1 Adulto",5,IF(Atletas!J49="Equipe 2 Adulto",6,""))))))))</f>
        <v/>
      </c>
      <c r="BK53" s="52" t="str">
        <f>IF(Atletas!K49="","",IF(Atletas!W49&lt;&gt;"",10000,0)+(IF(Atletas!B49="Feminino",1000,IF(Atletas!B49="Masculino",2000,""))+IF(Atletas!K49="Choylayfut A",1,IF(Atletas!K49="Hunggar A",2,IF(Atletas!K49="Wuzuquan A",3,IF(Atletas!K49="Wingchun A",4,IF(Atletas!K49="Outra Mão de Sul A",5,IF(Atletas!K49="Choylayfut B",6,IF(Atletas!K49="Hunggar B",7,IF(Atletas!K49="Wuzuquan B",8,IF(Atletas!K49="Wingchun B",9,IF(Atletas!K49="Outra Mão de Sul B",10,IF(Atletas!K49="Choylayfut C",11,IF(Atletas!K49="Hunggar C",12,IF(Atletas!K49="Wuzuquan C",13,IF(Atletas!K49="Wingchun C",14,IF(Atletas!K49="Outra Mão de Sul C",15,IF(Atletas!K49="Choylayfut D",16,IF(Atletas!K49="Hunggar D",17,IF(Atletas!K49="Wuzuquan D",18,IF(Atletas!K49="Wingchun D",19,IF(Atletas!K49="Outra Mão de Sul D",20,IF(Atletas!K49="Choylayfut E",21,IF(Atletas!K49="Hunggar E",22,IF(Atletas!K49="Wuzuquan E",23,IF(Atletas!K49="Wingchun E",24,IF(Atletas!K49="Outra Mão de Sul E",25,IF(Atletas!K49="Choylayfut F",26,IF(Atletas!K49="Hunggar F",27,IF(Atletas!K49="Wuzuquan F",28,IF(Atletas!K49="Wingchun F",29,IF(Atletas!K49="Outra Mão de Sul F",30,""))))))))))))))))))))))))))))))))</f>
        <v/>
      </c>
      <c r="BL53" s="52" t="str">
        <f>IF(Atletas!L49="","",IF(Atletas!W49&lt;&gt;"",10000,0)+(IF(Atletas!B49="Feminino",1000,IF(Atletas!B49="Masculino",2000,""))+(IF(Atletas!L49="Chaquan A",101,IF(Atletas!L49="Emeiquan A",102,IF(Atletas!L49="Fanziquan A",103,IF(Atletas!L49="Huaquan A",104,IF(Atletas!L49="Hongquan A",105,IF(Atletas!L49="Paochui A",106,IF(Atletas!L49="Piguaquan A",107,IF(Atletas!L49="Shaolinquan A",108,IF(Atletas!L49="Tanglangquan A",109,IF(Atletas!L49="Yinzhaophai A",110,IF(Atletas!L49="Tongbeiquan A",111,IF(Atletas!L49="Wudangquan A",112,IF(Atletas!L49="Outros Estilos A",113,IF(Atletas!L49="Chaquan B",114,IF(Atletas!L49="Emeiquan B",115,IF(Atletas!L49="Fanziquan B",116,IF(Atletas!L49="Huaquan B",117,IF(Atletas!L49="Hongquan B",118,IF(Atletas!L49="Paochui B",119,IF(Atletas!L49="Piguaquan B",120,IF(Atletas!L49="Shaolinquan B",121,IF(Atletas!L49="Tanglangquan B",122,IF(Atletas!L49="Yinzhaophai B",123,IF(Atletas!L49="Tongbeiquan B",124,IF(Atletas!L49="Wudangquan B",125,IF(Atletas!L49="Outros Estilos B",126,IF(Atletas!L49="Chaquan C",127,IF(Atletas!L49="Emeiquan C",128,IF(Atletas!L49="Fanziquan C",129,IF(Atletas!L49="Huaquan C",130,IF(Atletas!L49="Hongquan C",131,IF(Atletas!L49="Paochui C",132,IF(Atletas!L49="Piguaquan C",133,IF(Atletas!L49="Shaolinquan C",134,IF(Atletas!L49="Tanglangquan C",135,IF(Atletas!L49="Yinzhaophai C",136,IF(Atletas!L49="Tongbeiquan C",137,IF(Atletas!L49="Wudangquan C",138,IF(Atletas!L49="Outros Estilos C",139,0))))))))))))))))))))))))))))))))))))))))))</f>
        <v/>
      </c>
      <c r="BM53" s="52" t="str">
        <f>IF(Atletas!L49="","",IF(Atletas!W49&lt;&gt;"",10000,0)+(IF(Atletas!B49="Feminino",1000,IF(Atletas!B49="Masculino",2000,""))+(IF(Atletas!L49="Chaquan D",140,IF(Atletas!L49="Emeiquan D",141,IF(Atletas!L49="Fanziquan D",142,IF(Atletas!L49="Huaquan D",143,IF(Atletas!L49="Hongquan D",144,IF(Atletas!L49="Paochui D",145,IF(Atletas!L49="Piguaquan D",146,IF(Atletas!L49="Shaolinquan D",147,IF(Atletas!L49="Tanglangquan D",148,IF(Atletas!L49="Yinzhaophai D",149,IF(Atletas!L49="Tongbeiquan D",150,IF(Atletas!L49="Wudangquan D",151,IF(Atletas!L49="Outros Estilos D",152,IF(Atletas!L49="Chaquan E",153,IF(Atletas!L49="Emeiquan E",154,IF(Atletas!L49="Fanziquan E",155,IF(Atletas!L49="Huaquan E",156,IF(Atletas!L49="Hongquan E",157,IF(Atletas!L49="Paochui E",158,IF(Atletas!L49="Piguaquan E",159,IF(Atletas!L49="Shaolinquan E",160,IF(Atletas!L49="Tanglangquan E",161,IF(Atletas!L49="Yinzhaophai E",162,IF(Atletas!L49="Tongbeiquan E",163,IF(Atletas!L49="Wudangquan E",164,IF(Atletas!L49="Outros Estilos E",165,IF(Atletas!L49="Chaquan F",166,IF(Atletas!L49="Emeiquan F",167,IF(Atletas!L49="Fanziquan F",168,IF(Atletas!L49="Huaquan F",169,IF(Atletas!L49="Hongquan F",170,IF(Atletas!L49="Paochui F",171,IF(Atletas!L49="Piguaquan F",172,IF(Atletas!L49="Shaolinquan F",173,IF(Atletas!L49="Tanglangquan F",174,IF(Atletas!L49="Yinzhaophai F",175,IF(Atletas!L49="Tongbeiquan F",176,IF(Atletas!L49="Wudangquan F",177,IF(Atletas!L49="Outros Estilos F",178,0))))))))))))))))))))))))))))))))))))))))))</f>
        <v/>
      </c>
      <c r="BN53" s="52" t="str">
        <f>IF(Atletas!M49="","",IF(Atletas!W49&lt;&gt;"",10000,0)+(IF(Atletas!B49="Feminino",1000,IF(Atletas!B49="Masculino",2000,""))+(IF(Atletas!M49="Ditangquan A",201,IF(Atletas!M49="Houquan A",202,IF(Atletas!M49="Zuiquan A",203,IF(Atletas!M49="Ditangquan B",204,IF(Atletas!M49="Houquan B",205,IF(Atletas!M49="Zuiquan B",206,IF(Atletas!M49="Ditangquan C",207,IF(Atletas!M49="Houquan C",208,IF(Atletas!M49="Zuiquan C",209,IF(Atletas!M49="Ditangquan D",210,IF(Atletas!M49="Houquan D",211,IF(Atletas!M49="Zuiquan D",212,IF(Atletas!M49="Ditangquan E",213,IF(Atletas!M49="Houquan E",214,IF(Atletas!M49="Zuiquan E",215,IF(Atletas!M49="Ditangquan F",216,IF(Atletas!M49="Houquan F",217,IF(Atletas!M49="Zuiquan F",218,"")))))))))))))))))))))</f>
        <v/>
      </c>
      <c r="BO53" s="52" t="str">
        <f>IF(Atletas!N49="","",IF(Atletas!W49&lt;&gt;"",10000,0)+IF(Atletas!B49="Feminino",1000,IF(Atletas!B49="Masculino",2000,""))+IF(Atletas!N49="Yang A",301,IF(Atletas!N49="Chen A",30,IF(Atletas!N49="Sun A",303,IF(Atletas!N49="Wu A",304,IF(Atletas!N49="Wu-Hao A",305,IF(Atletas!N49="Outro Taijiquan A",306,IF(Atletas!N49="Yang B",307,IF(Atletas!N49="Chen B",308,IF(Atletas!N49="Sun B",309,IF(Atletas!N49="Wu B",310,IF(Atletas!N49="Wu-Hao B",311,IF(Atletas!N49="Outro Taijiquan B",312,IF(Atletas!N49="Yang C",313,IF(Atletas!N49="Chen C",314,IF(Atletas!N49="Sun C",315,IF(Atletas!N49="Wu C",316,IF(Atletas!N49="Wu-Hao C",317,IF(Atletas!N49="Outro Taijiquan C",318,IF(Atletas!N49="Yang D",319,IF(Atletas!N49="Chen D",320,IF(Atletas!N49="Sun D",321,IF(Atletas!N49="Wu D",322,IF(Atletas!N49="Wu-Hao D",323,IF(Atletas!N49="Outro Taijiquan D",324,IF(Atletas!N49="Yang E",325,IF(Atletas!N49="Chen E",326,IF(Atletas!N49="Sun E",327,IF(Atletas!N49="Wu E",328,IF(Atletas!N49="Wu-Hao E",329,IF(Atletas!N49="Outro Taijiquan E",330,IF(Atletas!N49="Yang F",331,IF(Atletas!N49="Chen F",332,IF(Atletas!N49="Sun F",333,IF(Atletas!N49="Wu F",334,IF(Atletas!N49="Wu-Hao F",335,IF(Atletas!N49="Outro Taijiquan F",336,"")))))))))))))))))))))))))))))))))))))</f>
        <v/>
      </c>
      <c r="BP53" s="52" t="str">
        <f>IF(Atletas!O49="","",IF(Atletas!W49&lt;&gt;"",10000,0)+IF(Atletas!B49="Feminino",1000,IF(Atletas!B49="Masculino",2000,""))+IF(OR(Atletas!O49="Yang 26 A",Atletas!O49="Yang 40 A"),401,IF(OR(Atletas!O49="Chen 25 A",Atletas!O49="Chen 36 A",Atletas!O49="Chen 56 A"),402,IF(Atletas!O49="Sun 73 A",403,IF(Atletas!O49="Wu 45 A",404,IF(Atletas!O49="Wu-Hao 46 A",405,IF(OR(Atletas!O49="Taijiquan 16 A",Atletas!O49="Taijiquan 24 A",Atletas!O49="Taijiquan 32 A",Atletas!O49="Taijiquan 42 A"),406,IF(OR(Atletas!O49="Yang 26 B",Atletas!O49="Yang 40 B"),407,IF(OR(Atletas!O49="Chen 25 B",Atletas!O49="Chen 36 B",Atletas!O49="Chen 56 B"),408,IF(Atletas!O49="Sun 73 B",409,IF(Atletas!O49="Wu 45 B",410,IF(Atletas!O49="Wu-Hao 46 B",411,IF(OR(Atletas!O49="Taijiquan 16 B",Atletas!O49="Taijiquan 24 B",Atletas!O49="Taijiquan 32 B",Atletas!O49="Taijiquan 42 B"),412,IF(OR(Atletas!O49="Yang 26 C",Atletas!O49="Yang 40 C"),413,IF(OR(Atletas!O49="Chen 25 C",Atletas!O49="Chen 36 C",Atletas!O49="Chen 56 C"),414,IF(Atletas!O49="Sun 73 C",415,IF(Atletas!O49="Wu 45 C",416,IF(Atletas!O49="Wu-Hao 46 C",417,IF(OR(Atletas!O49="Taijiquan 16 C",Atletas!O49="Taijiquan 24 C",Atletas!O49="Taijiquan 32 C",Atletas!O49="Taijiquan 42 C"),418,0)))))))))))))))))))</f>
        <v/>
      </c>
      <c r="BQ53" s="52" t="str">
        <f>IF(Atletas!O49="","",IF(Atletas!W49&lt;&gt;"",10000,0)+IF(Atletas!B49="Feminino",1000,IF(Atletas!B49="Masculino",2000,""))+IF(OR(Atletas!O49="Yang 26 D",Atletas!O49="Yang 40 D"),419,IF(OR(Atletas!O49="Chen 25 D",Atletas!O49="Chen 36 D",Atletas!O49="Chen 56 D"),420,IF(Atletas!O49="Sun 73 D",421,IF(Atletas!O49="Wu 45 D",422,IF(Atletas!O49="Wu-Hao 46 D",423,IF(OR(Atletas!O49="Taijiquan 16 D",Atletas!O49="Taijiquan 24 D",Atletas!O49="Taijiquan 32 D",Atletas!O49="Taijiquan 42 D"),424,IF(OR(Atletas!O49="Yang 26 E",Atletas!O49="Yang 40 E"),425,IF(OR(Atletas!O49="Chen 25 E",Atletas!O49="Chen 36 E",Atletas!O49="Chen 56 E"),426,IF(Atletas!O49="Sun 73 E",427,IF(Atletas!O49="Wu 45 E",428,IF(Atletas!O49="Wu-Hao 46 E",429,IF(OR(Atletas!O49="Taijiquan 16 E",Atletas!O49="Taijiquan 24 E",Atletas!O49="Taijiquan 32 E",Atletas!O49="Taijiquan 42 E"),430,IF(OR(Atletas!O49="Yang 26 F",Atletas!O49="Yang 40 F"),431,IF(OR(Atletas!O49="Chen 25 F",Atletas!O49="Chen 36 F",Atletas!O49="Chen 56 F"),432,IF(Atletas!O49="Sun 73 F",433,IF(Atletas!O49="Wu 45 F",434,IF(Atletas!O49="Wu-Hao 46 F",435,IF(OR(Atletas!O49="Taijiquan 16 F",Atletas!O49="Taijiquan 24 F",Atletas!O49="Taijiquan 32 F",Atletas!O49="Taijiquan 42 F"),436,0)))))))))))))))))))</f>
        <v/>
      </c>
      <c r="BR53" s="52" t="str">
        <f>IF(Atletas!P49="","",IF(Atletas!W49&lt;&gt;"",10000,0)+IF(Atletas!B49="Feminino",1000,IF(Atletas!B49="Masculino",2000,""))+IF(Atletas!P49="Xingyiquan A",501,IF(Atletas!P49="Baguazhang A",502,IF(Atletas!P49="Outro Estilo Interno A",503,IF(Atletas!P49="Xingyiquan B",504,IF(Atletas!P49="Baguazhang B",505,IF(Atletas!P49="Outro Estilo Interno B",506,IF(Atletas!P49="Xingyiquan C",507,IF(Atletas!P49="Baguazhang C",508,IF(Atletas!P49="Outro Estilo Interno C",509,IF(Atletas!P49="Xingyiquan D",510,IF(Atletas!P49="Baguazhang D",511,IF(Atletas!P49="Outro Estilo Interno D",512,IF(Atletas!P49="Xingyiquan E",513,IF(Atletas!P49="Baguazhang E",514,IF(Atletas!P49="Outro Estilo Interno E",515,IF(Atletas!P49="Xingyiquan F",516,IF(Atletas!P49="Baguazhang F",517,IF(Atletas!P49="Outro Estilo Interno F",518, "")))))))))))))))))))</f>
        <v/>
      </c>
      <c r="BS53" s="52" t="str">
        <f>IF(Atletas!Q49="","",IF(Atletas!W49&lt;&gt;"",10000,0)+IF(Atletas!B49="Feminino",1000,IF(Atletas!B49="Masculino",2000,""))+IF(Atletas!Q49="Dao A",601,IF(Atletas!Q49="Jian A",602,IF(Atletas!Q49="Bishou A",603,IF(Atletas!Q49="Shan A",604,IF(Atletas!Q49="Outra Arma Curta A",605,IF(Atletas!Q49="Dao B",606,IF(Atletas!Q49="Jian B",607,IF(Atletas!Q49="Bishou B",608,IF(Atletas!Q49="Shan B",609,IF(Atletas!Q49="Outra Arma Curta B",610,IF(Atletas!Q49="Dao C",611,IF(Atletas!Q49="Jian C",612,IF(Atletas!Q49="Bishou C",613,IF(Atletas!Q49="Shan C",614,IF(Atletas!Q49="Outra Arma Curta C",615,IF(Atletas!Q49="Dao D",616,IF(Atletas!Q49="Jian D",617,IF(Atletas!Q49="Bishou D",618,IF(Atletas!Q49="Shan D",619,IF(Atletas!Q49="Outra Arma Curta D",620,IF(Atletas!Q49="Dao E",621,IF(Atletas!Q49="Jian E",622,IF(Atletas!Q49="Bishou E",623,IF(Atletas!Q49="Shan E",624,IF(Atletas!Q49="Outra Arma Curta E",625,IF(Atletas!Q49="Dao F",626,IF(Atletas!Q49="Jian F",627,IF(Atletas!Q49="Bishou F",628,IF(Atletas!Q49="Shan F",629,IF(Atletas!Q49="Outra Arma Curta F",630, "")))))))))))))))))))))))))))))))</f>
        <v/>
      </c>
      <c r="BT53" s="52" t="str">
        <f>IF(Atletas!R49="","",IF(Atletas!W49&lt;&gt;"",10000,0)+IF(Atletas!B49="Feminino",1000,IF(Atletas!B49="Masculino",2000,""))+IF(Atletas!R49="Gun A",701,IF(Atletas!R49="Qiang A",702,IF(Atletas!R49="Pudao / Guandao A",703,IF(Atletas!R49="Outra Arma Longa A",704,IF(Atletas!R49="Gun B",705,IF(Atletas!R49="Qiang B",706,IF(Atletas!R49="Pudao / Guandao B",707,IF(Atletas!R49="Outra Arma Longa B",708,IF(Atletas!R49="Gun C",709,IF(Atletas!R49="Qiang C",710,IF(Atletas!R49="Pudao / Guandao C",711,IF(Atletas!R49="Outra Arma Longa C",712,IF(Atletas!R49="Gun D",713,IF(Atletas!R49="Qiang D",714,IF(Atletas!R49="Pudao / Guandao D",715,IF(Atletas!R49="Outra Arma Longa D",716,IF(Atletas!R49="Gun E",717,IF(Atletas!R49="Qiang E",718,IF(Atletas!R49="Pudao / Guandao E",719,IF(Atletas!R49="Outra Arma Longa E",720,IF(Atletas!R49="Gun F",721,IF(Atletas!R49="Qiang F",722,IF(Atletas!R49="Pudao / Guandao F",723,IF(Atletas!R49="Outra Arma Longa F",724,"")))))))))))))))))))))))))</f>
        <v/>
      </c>
      <c r="BU53" s="52" t="str">
        <f>IF(Atletas!S49="","",IF(Atletas!W49&lt;&gt;"",10000,0)+IF(Atletas!B49="Feminino",1000,IF(Atletas!B49="Masculino",2000,""))+IF(Atletas!S49="Arma Dupla A",801,IF(Atletas!S49="Arma Maleável A",802,IF(Atletas!S49="Arma Dupla B",803,IF(Atletas!S49="Arma Maleável B",804,IF(Atletas!S49="Arma Dupla C",805,IF(Atletas!S49="Arma Maleável C",806,IF(Atletas!S49="Arma Dupla D",807,IF(Atletas!S49="Arma Maleável D",808,IF(Atletas!S49="Arma Dupla E",809,IF(Atletas!S49="Arma Maleável E",810,IF(Atletas!S49="Arma Dupla F",811,IF(Atletas!S49="Arma Maleável F",812, "")))))))))))))</f>
        <v/>
      </c>
      <c r="BV53" s="52" t="str">
        <f>IF(Atletas!T49="","",IF(Atletas!W49&lt;&gt;"",10000,0)+IF(Atletas!B49="Feminino",1000,IF(Atletas!B49="Masculino",2000,""))+IF(Atletas!T49="Taijijian Yang A",901,IF(Atletas!T49="Taijijian Chen A",902,IF(Atletas!T49="Taijijian Sun A",903,IF(Atletas!T49="Taijijian Wu A",904,IF(Atletas!T49="Taijijian Wu-Hao A",905,IF(Atletas!T49="Taijijian 32 A",906,IF(Atletas!T49="Taijijian 42 A",907,IF(Atletas!T49="Taijijian Yang B",908,IF(Atletas!T49="Taijijian Chen B",909,IF(Atletas!T49="Taijijian Sun B",910,IF(Atletas!T49="Taijijian Wu B",911,IF(Atletas!T49="Taijijian Wu-Hao B",912,IF(Atletas!T49="Taijijian 32 B",913,IF(Atletas!T49="Taijijian 42 B",914,IF(Atletas!T49="Taijijian Yang C",915,IF(Atletas!T49="Taijijian Chen C",916,IF(Atletas!T49="Taijijian Sun C",917,IF(Atletas!T49="Taijijian Wu C",918,IF(Atletas!T49="Taijijian Wu-Hao C",919,IF(Atletas!T49="Taijijian 32 C",920,IF(Atletas!T49="Taijijian 42 C",921,IF(Atletas!T49="Taijijian Yang D",922,IF(Atletas!T49="Taijijian Chen D",923,IF(Atletas!T49="Taijijian Sun D",924,IF(Atletas!T49="Taijijian Wu D",925,IF(Atletas!T49="Taijijian Wu-Hao D",926,IF(Atletas!T49="Taijijian 32 D",927,IF(Atletas!T49="Taijijian 42 D",928,IF(Atletas!T49="Taijijian Yang E",929,IF(Atletas!T49="Taijijian Chen E",930,IF(Atletas!T49="Taijijian Sun E",931,IF(Atletas!T49="Taijijian Wu E",932,IF(Atletas!T49="Taijijian Wu-Hao E",933,IF(Atletas!T49="Taijijian 32 E",934,IF(Atletas!T49="Taijijian 42 E",935,IF(Atletas!T49="Taijijian Yang F",936,IF(Atletas!T49="Taijijian Chen F",937,IF(Atletas!T49="Taijijian Sun F",938,IF(Atletas!T49="Taijijian Wu F",939,IF(Atletas!T49="Taijijian Wu-Hao F",940,IF(Atletas!T49="Taijijian 32 F",941,IF(Atletas!T49="Taijijian 42 F",942,"")))))))))))))))))))))))))))))))))))))))))))</f>
        <v/>
      </c>
      <c r="BW53" s="52" t="str">
        <f>IF(Atletas!U49="","",IF(Atletas!W49&lt;&gt;"",10000,0)+IF(Atletas!B49="Feminino",1000,IF(Atletas!B49="Masculino",2000,""))+IF(Atletas!T49="Taijijian 42 F",942,IF(Atletas!U49="Taijidao A",943,IF(Atletas!U49="Taijishan A",944,IF(Atletas!U49="Taijiqiang A",945,IF(Atletas!U49="Taijidao B",946,IF(Atletas!U49="Taijishan B",947,IF(Atletas!U49="Taijiqiang B",948,IF(Atletas!U49="Taijidao C",949,IF(Atletas!U49="Taijishan C",950,IF(Atletas!U49="Taijiqiang C",951,IF(Atletas!U49="Taijidao D",952,IF(Atletas!U49="Taijishan D",953,IF(Atletas!U49="Taijiqiang D",954,IF(Atletas!U49="Taijidao E",955,IF(Atletas!U49="Taijishan E",956,IF(Atletas!U49="Taijiqiang E",957,IF(Atletas!U49="Taijidao F",958,IF(Atletas!U49="Taijishan F",959,IF(Atletas!U49="Taijiqiang F",960))))))))))))))))))))</f>
        <v/>
      </c>
      <c r="BX53" s="64" t="str">
        <f>IF(BY53&lt;&gt;"","Huaquan B","")</f>
        <v/>
      </c>
      <c r="BY53" s="64" t="str">
        <f>IF(COUNTIF(BK:BW,1117)&gt;0,COUNTIF(BK:BW,1117),"")</f>
        <v/>
      </c>
      <c r="BZ53" s="64" t="str">
        <f>IF(CA53&lt;&gt;"","Huaquan B","")</f>
        <v/>
      </c>
      <c r="CA53" s="64" t="str">
        <f>IF(COUNTIF(BK:BW,2117)&gt;0,COUNTIF(BK:BW,2117),"")</f>
        <v/>
      </c>
      <c r="CB53" s="64" t="str">
        <f>IF(CC53&lt;&gt;"","Huaquan B","")</f>
        <v/>
      </c>
      <c r="CC53" s="64" t="str">
        <f>IF(COUNTIF(BK:BW,11117)&gt;0,COUNTIF(BK:BW,11117),"")</f>
        <v/>
      </c>
      <c r="CD53" s="64" t="str">
        <f>IF(CE53&lt;&gt;"","Huaquan B","")</f>
        <v/>
      </c>
      <c r="CE53" s="64" t="str">
        <f>IF(COUNTIF(BK:BW,12117)&gt;0,COUNTIF(BK:BW,12117),"")</f>
        <v/>
      </c>
      <c r="CF53" s="52" t="str">
        <f xml:space="preserve"> IF(Atletas!V49="","",IF(Atletas!V49="Duilian de Mãos AB - Equipe 1",1,IF(Atletas!V49="Duilian de Mãos AB - Equipe 2",2,IF(Atletas!V49="Duilian de Armas AB - Equipe 1",3,IF(Atletas!V49="Duilian de Armas AB - Equipe 2",4,IF(Atletas!V49="Duilian de Tuishou - Equipe 1",5,IF(Atletas!V49="Duilian de Tuishou - Equipe 2",6,IF(Atletas!V49="Grupo Externo AB - Equipe 1",7,IF(Atletas!V49="Grupo Externo AB - Equipe 2",8,IF(Atletas!V49="Grupo Interno AB - Equipe 1",9,IF(Atletas!V49="Grupo Interno AB - Equipe 2",10,IF(Atletas!V49="Duilian de Mãos CD - Equipe 1",11,IF(Atletas!V49="Duilian de Mãos CD - Equipe 2",12,IF(Atletas!V49="Duilian de Armas CD - Equipe 1",13,IF(Atletas!V49="Duilian de Armas CD - Equipe 2",14,IF(Atletas!V49="Duilian de Tuishou - Equipe 1",15,IF(Atletas!V49="Duilian de Tuishou - Equipe 2",16,IF(Atletas!V49="Grupo Externo CDEF - Equipe 1",17,IF(Atletas!V49="Grupo Externo CDEF - Equipe 2",18,IF(Atletas!V49="Grupo Interno CDEF - Equipe 1",19,IF(Atletas!V49="Grupo Interno CDEF - Equipe 2",20,IF(Atletas!V49="Duilian de Mãos EF - Equipe 1",21,IF(Atletas!V49="Duilian de Mãos EF - Equipe 2",22,IF(Atletas!V49="Duilian de Armas EF - Equipe 1",23,IF(Atletas!V49="Duilian de Armas EF - Equipe 2",24,IF(Atletas!V49="Duilian de Tuishou - Equipe 1",25,IF(Atletas!V49="Duilian de Tuishou - Equipe 2",26,"")))))))))))))))))))))))))))</f>
        <v/>
      </c>
      <c r="CR53" s="71"/>
    </row>
    <row r="54" spans="2:96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 t="str">
        <f t="array" ref="N54">IFERROR(INDEX(BB$7:BB$66,SMALL(IF(BB$7:BB$66&lt;&gt;"",ROW(BB$7:BB$66)-ROW(BB$7)+1),ROWS(BB$7:BB53))),"")</f>
        <v/>
      </c>
      <c r="O54" s="4" t="str">
        <f t="array" ref="O54">IFERROR(INDEX(BC$7:BC$66,SMALL(IF(BC$7:BC$66&lt;&gt;"",ROW(BC$7:BC$66)-ROW(BC$7)+1),ROWS(BC$7:BC53))),"")</f>
        <v/>
      </c>
      <c r="P54" s="4" t="str">
        <f t="array" ref="P54">IFERROR(INDEX(BD$7:BD$66,SMALL(IF(BD$7:BD$66&lt;&gt;"",ROW(BD$7:BD$66)-ROW(BD$7)+1),ROWS(BD$7:BD53))),"")</f>
        <v/>
      </c>
      <c r="Q54" s="4" t="str">
        <f t="array" ref="Q54">IFERROR(INDEX(BE$7:BE$66,SMALL(IF(BE$7:BE$66&lt;&gt;"",ROW(BE$7:BE$66)-ROW(BE$7)+1),ROWS(BE$7:BE53))),"")</f>
        <v/>
      </c>
      <c r="R54" s="4"/>
      <c r="S54" s="4"/>
      <c r="T54" s="31"/>
      <c r="U54" s="4"/>
      <c r="V54" s="4" t="str">
        <f t="array" ref="V54">IFERROR(INDEX(BX$7:BX$336,SMALL(IF(BX$7:BX$336&lt;&gt;"",ROW(BX$7:BX$336)-ROW(BX$7)+1),ROWS(BX$7:BX53))),"")</f>
        <v/>
      </c>
      <c r="W54" s="4" t="str">
        <f t="array" ref="W54">IFERROR(INDEX(BY$7:BY$336,SMALL(IF(BY$7:BY$336&lt;&gt;"",ROW(BY$7:BY$336)-ROW(BY$7)+1),ROWS(BY$7:BY53))),"")</f>
        <v/>
      </c>
      <c r="X54" s="4" t="str">
        <f t="array" ref="X54">IFERROR(INDEX(BZ$7:BZ$336,SMALL(IF(BZ$7:BZ$336&lt;&gt;"",ROW(BZ$7:BZ$336)-ROW(BZ$7)+1),ROWS(BZ$7:BZ53))),"")</f>
        <v/>
      </c>
      <c r="Y54" s="4" t="str">
        <f t="array" ref="Y54">IFERROR(INDEX(CA$7:CA$336,SMALL(IF(CA$7:CA$336&lt;&gt;"",ROW(CA$7:CA$336)-ROW(CA$7)+1),ROWS(CA$7:CA53))),"")</f>
        <v/>
      </c>
      <c r="Z54" s="4" t="str">
        <f t="array" ref="Z54">IFERROR(INDEX(CB$7:CB$378,SMALL(IF(CB$7:CB$378&lt;&gt;"",ROW(CB$7:CB$378)-ROW(CB$7)+1),ROWS(CB$7:CB53))),"")</f>
        <v/>
      </c>
      <c r="AA54" s="4" t="str">
        <f t="array" ref="AA54">IFERROR(INDEX(CC$7:CC$378,SMALL(IF(CC$7:CC$378&lt;&gt;"",ROW(CC$7:CC$378)-ROW(CC$7)+1),ROWS(CC$7:CC53))),"")</f>
        <v/>
      </c>
      <c r="AB54" s="4" t="str">
        <f t="array" ref="AB54">IFERROR(INDEX(CD$7:CD$378,SMALL(IF(CD$7:CD$378&lt;&gt;"",ROW(CD$7:CD$378)-ROW(CD$7)+1),ROWS(CD$7:CD53))),"")</f>
        <v/>
      </c>
      <c r="AC54" s="4" t="str">
        <f t="array" ref="AC54">IFERROR(INDEX(CE$7:CE$378,SMALL(IF(CE$7:CE$378&lt;&gt;"",ROW(CE$7:CE$378)-ROW(CE$7)+1),ROWS(CE$7:CE53))),"")</f>
        <v/>
      </c>
      <c r="AD54" s="4"/>
      <c r="AE54" s="4"/>
      <c r="AF54" s="4"/>
      <c r="AG54" s="4"/>
      <c r="AH54" s="4"/>
      <c r="AI54" s="4"/>
      <c r="AJ54" s="46" t="str">
        <f>IF(Atletas!D50="","",IF(Atletas!B50="Feminino",100,IF(Atletas!B50="Masculino",200,""))+(IF(Atletas!D50="Infantil 39kg",1,IF(Atletas!D50="Infantil 42kg",2,IF(Atletas!D50="Infantil 45kg",3,IF(Atletas!D50="Infantil 48kg",4,IF(Atletas!D50="Infantil 52kg",5,IF(Atletas!D50="Infantil 56kg",6,IF(Atletas!D50="Infantil 60kg",7,IF(Atletas!D50="Juvenil 48kg",8,IF(Atletas!D50="Juvenil 52kg",9,IF(Atletas!D50="Juvenil 56kg",10,IF(Atletas!D50="Juvenil 60kg",11,IF(Atletas!D50="Juvenil 65kg",12,IF(Atletas!D50="Juvenil 70kg",13,IF(Atletas!D50="Juvenil 75kg",14,IF(Atletas!D50="Juvenil 80kg",15,IF(Atletas!D50="Adulto 48kg",16,IF(Atletas!D50="Adulto 52kg",17,IF(Atletas!D50="Adulto 56kg",18,IF(Atletas!D50="Adulto 60kg",19,IF(Atletas!D50="Adulto 65kg",20,IF(Atletas!D50="Adulto 70kg",21,IF(Atletas!D50="Adulto 75kg",22,IF(Atletas!D50="Adulto 80kg",23,IF(Atletas!D50="Adulto 85kg",24,IF(Atletas!D50="Adulto 90kg",25,IF(Atletas!D50="Adulto +90kg",26,""))))))))))))))))))))))))))))</f>
        <v/>
      </c>
      <c r="AO54" s="10" t="str">
        <f>IF(Atletas!E50="","",IF(Atletas!B50="Feminino",100,IF(Atletas!B50="Masculino",200,""))+(IF(Atletas!E50="Juvenil 44kg",1,IF(Atletas!E50="Juvenil 48kg",2,IF(Atletas!E50="Juvenil 52kg",3,IF(Atletas!E50="Juvenil 56kg",4,IF(Atletas!E50="Juvenil 60kg",5,IF(Atletas!E50="Juvenil 65kg",6,IF(Atletas!E50="Juvenil 70kg",7,IF(Atletas!E50="Juvenil 75kg",8,IF(Atletas!E50="Juvenil 82kg",9,IF(Atletas!E50="Juvenil 90kg",10,IF(Atletas!E50="Juvenil 100kg",11,IF(Atletas!E50="Adulto 48kg",12,IF(Atletas!E50="Adulto 52kg",13,IF(Atletas!E50="Adulto 56kg",14,IF(Atletas!E50="Adulto 60kg",15,IF(Atletas!E50="Adulto 65kg",16,IF(Atletas!E50="Adulto 70kg",17,IF(Atletas!E50="Adulto 75kg",18,IF(Atletas!E50="Adulto 82kg",19,IF(Atletas!E50="Adulto 90kg",20,IF(Atletas!E50="Adulto 100kg",21,IF(Atletas!E50="Adulto +100kg",22,""))))))))))))))))))))))))</f>
        <v/>
      </c>
      <c r="AT54" s="10" t="str">
        <f>IF(Atletas!F50="","",IF(Atletas!B50="Feminino",100,IF(Atletas!B50="Masculino",200,""))+(IF(Atletas!F50="Adulto 48kg",1,IF(Atletas!F50="Adulto 56kg",2,IF(Atletas!F50="Adulto 65kg",3,IF(Atletas!F50="Adulto 75kg",4,IF(Atletas!F50="Adulto +75kg",5,IF(Atletas!F50="Adulto 52kg",6,IF(Atletas!F50="Adulto 60kg",7,IF(Atletas!F50="Adulto 70kg",8,IF(Atletas!F50="Adulto 80kg",9,IF(Atletas!F50="Adulto 90kg",10,IF(Atletas!F50="Adulto +90kg",11,"")))))))))))))</f>
        <v/>
      </c>
      <c r="AY54" s="46" t="str">
        <f>IF(Atletas!G50="","",IF(Atletas!B50="Feminino",100,IF(Atletas!B50="Masculino",200,""))+(IF(Atletas!G50="Changquan Mirim",1,IF(Atletas!G50="Nanquan Mirim",2,IF(Atletas!G50="Taijiquan Mirim",3,IF(Atletas!G50="Changquan Grupo C",4,IF(Atletas!G50="Nanquan Grupo C",5,IF(Atletas!G50="Taijiquan Grupo C",6,IF(Atletas!G50="Changquan Grupo B",7,IF(Atletas!G50="Nanquan Grupo B",8,IF(Atletas!G50="Taijiquan Grupo B",9,IF(Atletas!G50="Changquan Grupo A",10,IF(Atletas!G50="Nanquan Grupo A",11,IF(Atletas!G50="Taijiquan Grupo A",12,IF(Atletas!G50="Changquan Opcional",13,IF(Atletas!G50="Nanquan Opcional",14,IF(Atletas!G50="Taijiquan Opcional",15,IF(Atletas!G50="Changquan Adulto",16,IF(Atletas!G50="Nanquan Adulto",17,IF(Atletas!G50="Taijiquan Adulto",18,""))))))))))))))))))))</f>
        <v/>
      </c>
      <c r="AZ54" s="46" t="str">
        <f>IF(Atletas!H50="","",IF(Atletas!B50="Feminino",100,IF(Atletas!B50="Masculino",200,""))+(IF(Atletas!H50="Daoshu Mirim",19,IF(Atletas!H50="Jianshu Mirim",20,IF(Atletas!H50="Nandao Mirim",21,IF(Atletas!H50="Taijijian Mirim",22,IF(Atletas!H50="Daoshu Grupo C",23,IF(Atletas!H50="Jianshu Grupo C",24,IF(Atletas!H50="Nandao Grupo C",25,IF(Atletas!H50="Taijijian Grupo C",26,IF(Atletas!H50="Daoshu Grupo B",27,IF(Atletas!H50="Jianshu Grupo B",28,IF(Atletas!H50="Nandao Grupo B",29,IF(Atletas!H50="Taijijian Grupo B",30,IF(Atletas!H50="Daoshu Grupo A",31,IF(Atletas!H50="Jianshu Grupo A",32,IF(Atletas!H50="Nandao Grupo A",33,IF(Atletas!H50="Taijijian Grupo A",34,IF(Atletas!H50="Daoshu Opcional",35,IF(Atletas!H50="Jianshu Opcional",36,IF(Atletas!H50="Nandao Opcional",37,IF(Atletas!H50="Taijijian Opcional",38,IF(Atletas!H50="Daoshu Adulto",39,IF(Atletas!H50="Jianshu Adulto",40,IF(Atletas!H50="Nandao Adulto",41,IF(Atletas!H50="Taijijian Adulto",42,""))))))))))))))))))))))))))</f>
        <v/>
      </c>
      <c r="BA54" s="46" t="str">
        <f>IF(Atletas!I50="","",IF(Atletas!B50="Feminino",100,IF(Atletas!B50="Masculino",200,""))+(IF(Atletas!I50="Gunshu Mirim",43,IF(Atletas!I50="Qiangshu Mirim",44,IF(Atletas!I50="Nangun Mirim",45,IF(Atletas!I50="Gunshu Grupo C",46,IF(Atletas!I50="Qiangshu Grupo C",47,IF(Atletas!I50="Nangun Grupo C",48,IF(Atletas!I50="Gunshu Grupo B",49,IF(Atletas!I50="Qiangshu Grupo B",50,IF(Atletas!I50="Nangun Grupo B",51,IF(Atletas!I50="Gunshu Grupo A",52,IF(Atletas!I50="Qiangshu Grupo A",53,IF(Atletas!I50="Nangun Grupo A",54,IF(Atletas!I50="Gunshu Opcional",55,IF(Atletas!I50="Qiangshu Opcional",56,IF(Atletas!I50="Nangun Opcional",57,IF(Atletas!I50="Gunshu Adulto",58,IF(Atletas!I50="Qiangshu Adulto",59,IF(Atletas!I50="Nangun Adulto",60,""))))))))))))))))))))</f>
        <v/>
      </c>
      <c r="BB54" s="10" t="str">
        <f>IF(BC54&lt;&gt;"","Gunshu Opcional","")</f>
        <v/>
      </c>
      <c r="BC54" s="52" t="str">
        <f>IF(COUNTIF(AY:BA,155)&gt;0,COUNTIF(AY:BA,155),"")</f>
        <v/>
      </c>
      <c r="BD54" s="10" t="str">
        <f>IF(BE54&lt;&gt;"","Gunshu Opcional","")</f>
        <v/>
      </c>
      <c r="BE54" s="52" t="str">
        <f>IF(COUNTIF(AY:BA,255)&gt;0,COUNTIF(AY:BA,255),"")</f>
        <v/>
      </c>
      <c r="BF54" s="52" t="str">
        <f>IF(Atletas!J50="","",IF(Atletas!B50="Feminino",100,IF(Atletas!B50="Masculino",200,""))+(IF(Atletas!J50="Equipe 1 Grupo B",1,IF(Atletas!J50="Equipe 2 Grupo B",2,IF(Atletas!J50="Equipe 1 Grupo A",3,IF(Atletas!J50="Equipe 2 Grupo A",4,IF(Atletas!J50="Equipe 1 Adulto",5,IF(Atletas!J50="Equipe 2 Adulto",6,""))))))))</f>
        <v/>
      </c>
      <c r="BK54" s="52" t="str">
        <f>IF(Atletas!K50="","",IF(Atletas!W50&lt;&gt;"",10000,0)+(IF(Atletas!B50="Feminino",1000,IF(Atletas!B50="Masculino",2000,""))+IF(Atletas!K50="Choylayfut A",1,IF(Atletas!K50="Hunggar A",2,IF(Atletas!K50="Wuzuquan A",3,IF(Atletas!K50="Wingchun A",4,IF(Atletas!K50="Outra Mão de Sul A",5,IF(Atletas!K50="Choylayfut B",6,IF(Atletas!K50="Hunggar B",7,IF(Atletas!K50="Wuzuquan B",8,IF(Atletas!K50="Wingchun B",9,IF(Atletas!K50="Outra Mão de Sul B",10,IF(Atletas!K50="Choylayfut C",11,IF(Atletas!K50="Hunggar C",12,IF(Atletas!K50="Wuzuquan C",13,IF(Atletas!K50="Wingchun C",14,IF(Atletas!K50="Outra Mão de Sul C",15,IF(Atletas!K50="Choylayfut D",16,IF(Atletas!K50="Hunggar D",17,IF(Atletas!K50="Wuzuquan D",18,IF(Atletas!K50="Wingchun D",19,IF(Atletas!K50="Outra Mão de Sul D",20,IF(Atletas!K50="Choylayfut E",21,IF(Atletas!K50="Hunggar E",22,IF(Atletas!K50="Wuzuquan E",23,IF(Atletas!K50="Wingchun E",24,IF(Atletas!K50="Outra Mão de Sul E",25,IF(Atletas!K50="Choylayfut F",26,IF(Atletas!K50="Hunggar F",27,IF(Atletas!K50="Wuzuquan F",28,IF(Atletas!K50="Wingchun F",29,IF(Atletas!K50="Outra Mão de Sul F",30,""))))))))))))))))))))))))))))))))</f>
        <v/>
      </c>
      <c r="BL54" s="52" t="str">
        <f>IF(Atletas!L50="","",IF(Atletas!W50&lt;&gt;"",10000,0)+(IF(Atletas!B50="Feminino",1000,IF(Atletas!B50="Masculino",2000,""))+(IF(Atletas!L50="Chaquan A",101,IF(Atletas!L50="Emeiquan A",102,IF(Atletas!L50="Fanziquan A",103,IF(Atletas!L50="Huaquan A",104,IF(Atletas!L50="Hongquan A",105,IF(Atletas!L50="Paochui A",106,IF(Atletas!L50="Piguaquan A",107,IF(Atletas!L50="Shaolinquan A",108,IF(Atletas!L50="Tanglangquan A",109,IF(Atletas!L50="Yinzhaophai A",110,IF(Atletas!L50="Tongbeiquan A",111,IF(Atletas!L50="Wudangquan A",112,IF(Atletas!L50="Outros Estilos A",113,IF(Atletas!L50="Chaquan B",114,IF(Atletas!L50="Emeiquan B",115,IF(Atletas!L50="Fanziquan B",116,IF(Atletas!L50="Huaquan B",117,IF(Atletas!L50="Hongquan B",118,IF(Atletas!L50="Paochui B",119,IF(Atletas!L50="Piguaquan B",120,IF(Atletas!L50="Shaolinquan B",121,IF(Atletas!L50="Tanglangquan B",122,IF(Atletas!L50="Yinzhaophai B",123,IF(Atletas!L50="Tongbeiquan B",124,IF(Atletas!L50="Wudangquan B",125,IF(Atletas!L50="Outros Estilos B",126,IF(Atletas!L50="Chaquan C",127,IF(Atletas!L50="Emeiquan C",128,IF(Atletas!L50="Fanziquan C",129,IF(Atletas!L50="Huaquan C",130,IF(Atletas!L50="Hongquan C",131,IF(Atletas!L50="Paochui C",132,IF(Atletas!L50="Piguaquan C",133,IF(Atletas!L50="Shaolinquan C",134,IF(Atletas!L50="Tanglangquan C",135,IF(Atletas!L50="Yinzhaophai C",136,IF(Atletas!L50="Tongbeiquan C",137,IF(Atletas!L50="Wudangquan C",138,IF(Atletas!L50="Outros Estilos C",139,0))))))))))))))))))))))))))))))))))))))))))</f>
        <v/>
      </c>
      <c r="BM54" s="52" t="str">
        <f>IF(Atletas!L50="","",IF(Atletas!W50&lt;&gt;"",10000,0)+(IF(Atletas!B50="Feminino",1000,IF(Atletas!B50="Masculino",2000,""))+(IF(Atletas!L50="Chaquan D",140,IF(Atletas!L50="Emeiquan D",141,IF(Atletas!L50="Fanziquan D",142,IF(Atletas!L50="Huaquan D",143,IF(Atletas!L50="Hongquan D",144,IF(Atletas!L50="Paochui D",145,IF(Atletas!L50="Piguaquan D",146,IF(Atletas!L50="Shaolinquan D",147,IF(Atletas!L50="Tanglangquan D",148,IF(Atletas!L50="Yinzhaophai D",149,IF(Atletas!L50="Tongbeiquan D",150,IF(Atletas!L50="Wudangquan D",151,IF(Atletas!L50="Outros Estilos D",152,IF(Atletas!L50="Chaquan E",153,IF(Atletas!L50="Emeiquan E",154,IF(Atletas!L50="Fanziquan E",155,IF(Atletas!L50="Huaquan E",156,IF(Atletas!L50="Hongquan E",157,IF(Atletas!L50="Paochui E",158,IF(Atletas!L50="Piguaquan E",159,IF(Atletas!L50="Shaolinquan E",160,IF(Atletas!L50="Tanglangquan E",161,IF(Atletas!L50="Yinzhaophai E",162,IF(Atletas!L50="Tongbeiquan E",163,IF(Atletas!L50="Wudangquan E",164,IF(Atletas!L50="Outros Estilos E",165,IF(Atletas!L50="Chaquan F",166,IF(Atletas!L50="Emeiquan F",167,IF(Atletas!L50="Fanziquan F",168,IF(Atletas!L50="Huaquan F",169,IF(Atletas!L50="Hongquan F",170,IF(Atletas!L50="Paochui F",171,IF(Atletas!L50="Piguaquan F",172,IF(Atletas!L50="Shaolinquan F",173,IF(Atletas!L50="Tanglangquan F",174,IF(Atletas!L50="Yinzhaophai F",175,IF(Atletas!L50="Tongbeiquan F",176,IF(Atletas!L50="Wudangquan F",177,IF(Atletas!L50="Outros Estilos F",178,0))))))))))))))))))))))))))))))))))))))))))</f>
        <v/>
      </c>
      <c r="BN54" s="52" t="str">
        <f>IF(Atletas!M50="","",IF(Atletas!W50&lt;&gt;"",10000,0)+(IF(Atletas!B50="Feminino",1000,IF(Atletas!B50="Masculino",2000,""))+(IF(Atletas!M50="Ditangquan A",201,IF(Atletas!M50="Houquan A",202,IF(Atletas!M50="Zuiquan A",203,IF(Atletas!M50="Ditangquan B",204,IF(Atletas!M50="Houquan B",205,IF(Atletas!M50="Zuiquan B",206,IF(Atletas!M50="Ditangquan C",207,IF(Atletas!M50="Houquan C",208,IF(Atletas!M50="Zuiquan C",209,IF(Atletas!M50="Ditangquan D",210,IF(Atletas!M50="Houquan D",211,IF(Atletas!M50="Zuiquan D",212,IF(Atletas!M50="Ditangquan E",213,IF(Atletas!M50="Houquan E",214,IF(Atletas!M50="Zuiquan E",215,IF(Atletas!M50="Ditangquan F",216,IF(Atletas!M50="Houquan F",217,IF(Atletas!M50="Zuiquan F",218,"")))))))))))))))))))))</f>
        <v/>
      </c>
      <c r="BO54" s="52" t="str">
        <f>IF(Atletas!N50="","",IF(Atletas!W50&lt;&gt;"",10000,0)+IF(Atletas!B50="Feminino",1000,IF(Atletas!B50="Masculino",2000,""))+IF(Atletas!N50="Yang A",301,IF(Atletas!N50="Chen A",30,IF(Atletas!N50="Sun A",303,IF(Atletas!N50="Wu A",304,IF(Atletas!N50="Wu-Hao A",305,IF(Atletas!N50="Outro Taijiquan A",306,IF(Atletas!N50="Yang B",307,IF(Atletas!N50="Chen B",308,IF(Atletas!N50="Sun B",309,IF(Atletas!N50="Wu B",310,IF(Atletas!N50="Wu-Hao B",311,IF(Atletas!N50="Outro Taijiquan B",312,IF(Atletas!N50="Yang C",313,IF(Atletas!N50="Chen C",314,IF(Atletas!N50="Sun C",315,IF(Atletas!N50="Wu C",316,IF(Atletas!N50="Wu-Hao C",317,IF(Atletas!N50="Outro Taijiquan C",318,IF(Atletas!N50="Yang D",319,IF(Atletas!N50="Chen D",320,IF(Atletas!N50="Sun D",321,IF(Atletas!N50="Wu D",322,IF(Atletas!N50="Wu-Hao D",323,IF(Atletas!N50="Outro Taijiquan D",324,IF(Atletas!N50="Yang E",325,IF(Atletas!N50="Chen E",326,IF(Atletas!N50="Sun E",327,IF(Atletas!N50="Wu E",328,IF(Atletas!N50="Wu-Hao E",329,IF(Atletas!N50="Outro Taijiquan E",330,IF(Atletas!N50="Yang F",331,IF(Atletas!N50="Chen F",332,IF(Atletas!N50="Sun F",333,IF(Atletas!N50="Wu F",334,IF(Atletas!N50="Wu-Hao F",335,IF(Atletas!N50="Outro Taijiquan F",336,"")))))))))))))))))))))))))))))))))))))</f>
        <v/>
      </c>
      <c r="BP54" s="52" t="str">
        <f>IF(Atletas!O50="","",IF(Atletas!W50&lt;&gt;"",10000,0)+IF(Atletas!B50="Feminino",1000,IF(Atletas!B50="Masculino",2000,""))+IF(OR(Atletas!O50="Yang 26 A",Atletas!O50="Yang 40 A"),401,IF(OR(Atletas!O50="Chen 25 A",Atletas!O50="Chen 36 A",Atletas!O50="Chen 56 A"),402,IF(Atletas!O50="Sun 73 A",403,IF(Atletas!O50="Wu 45 A",404,IF(Atletas!O50="Wu-Hao 46 A",405,IF(OR(Atletas!O50="Taijiquan 16 A",Atletas!O50="Taijiquan 24 A",Atletas!O50="Taijiquan 32 A",Atletas!O50="Taijiquan 42 A"),406,IF(OR(Atletas!O50="Yang 26 B",Atletas!O50="Yang 40 B"),407,IF(OR(Atletas!O50="Chen 25 B",Atletas!O50="Chen 36 B",Atletas!O50="Chen 56 B"),408,IF(Atletas!O50="Sun 73 B",409,IF(Atletas!O50="Wu 45 B",410,IF(Atletas!O50="Wu-Hao 46 B",411,IF(OR(Atletas!O50="Taijiquan 16 B",Atletas!O50="Taijiquan 24 B",Atletas!O50="Taijiquan 32 B",Atletas!O50="Taijiquan 42 B"),412,IF(OR(Atletas!O50="Yang 26 C",Atletas!O50="Yang 40 C"),413,IF(OR(Atletas!O50="Chen 25 C",Atletas!O50="Chen 36 C",Atletas!O50="Chen 56 C"),414,IF(Atletas!O50="Sun 73 C",415,IF(Atletas!O50="Wu 45 C",416,IF(Atletas!O50="Wu-Hao 46 C",417,IF(OR(Atletas!O50="Taijiquan 16 C",Atletas!O50="Taijiquan 24 C",Atletas!O50="Taijiquan 32 C",Atletas!O50="Taijiquan 42 C"),418,0)))))))))))))))))))</f>
        <v/>
      </c>
      <c r="BQ54" s="52" t="str">
        <f>IF(Atletas!O50="","",IF(Atletas!W50&lt;&gt;"",10000,0)+IF(Atletas!B50="Feminino",1000,IF(Atletas!B50="Masculino",2000,""))+IF(OR(Atletas!O50="Yang 26 D",Atletas!O50="Yang 40 D"),419,IF(OR(Atletas!O50="Chen 25 D",Atletas!O50="Chen 36 D",Atletas!O50="Chen 56 D"),420,IF(Atletas!O50="Sun 73 D",421,IF(Atletas!O50="Wu 45 D",422,IF(Atletas!O50="Wu-Hao 46 D",423,IF(OR(Atletas!O50="Taijiquan 16 D",Atletas!O50="Taijiquan 24 D",Atletas!O50="Taijiquan 32 D",Atletas!O50="Taijiquan 42 D"),424,IF(OR(Atletas!O50="Yang 26 E",Atletas!O50="Yang 40 E"),425,IF(OR(Atletas!O50="Chen 25 E",Atletas!O50="Chen 36 E",Atletas!O50="Chen 56 E"),426,IF(Atletas!O50="Sun 73 E",427,IF(Atletas!O50="Wu 45 E",428,IF(Atletas!O50="Wu-Hao 46 E",429,IF(OR(Atletas!O50="Taijiquan 16 E",Atletas!O50="Taijiquan 24 E",Atletas!O50="Taijiquan 32 E",Atletas!O50="Taijiquan 42 E"),430,IF(OR(Atletas!O50="Yang 26 F",Atletas!O50="Yang 40 F"),431,IF(OR(Atletas!O50="Chen 25 F",Atletas!O50="Chen 36 F",Atletas!O50="Chen 56 F"),432,IF(Atletas!O50="Sun 73 F",433,IF(Atletas!O50="Wu 45 F",434,IF(Atletas!O50="Wu-Hao 46 F",435,IF(OR(Atletas!O50="Taijiquan 16 F",Atletas!O50="Taijiquan 24 F",Atletas!O50="Taijiquan 32 F",Atletas!O50="Taijiquan 42 F"),436,0)))))))))))))))))))</f>
        <v/>
      </c>
      <c r="BR54" s="52" t="str">
        <f>IF(Atletas!P50="","",IF(Atletas!W50&lt;&gt;"",10000,0)+IF(Atletas!B50="Feminino",1000,IF(Atletas!B50="Masculino",2000,""))+IF(Atletas!P50="Xingyiquan A",501,IF(Atletas!P50="Baguazhang A",502,IF(Atletas!P50="Outro Estilo Interno A",503,IF(Atletas!P50="Xingyiquan B",504,IF(Atletas!P50="Baguazhang B",505,IF(Atletas!P50="Outro Estilo Interno B",506,IF(Atletas!P50="Xingyiquan C",507,IF(Atletas!P50="Baguazhang C",508,IF(Atletas!P50="Outro Estilo Interno C",509,IF(Atletas!P50="Xingyiquan D",510,IF(Atletas!P50="Baguazhang D",511,IF(Atletas!P50="Outro Estilo Interno D",512,IF(Atletas!P50="Xingyiquan E",513,IF(Atletas!P50="Baguazhang E",514,IF(Atletas!P50="Outro Estilo Interno E",515,IF(Atletas!P50="Xingyiquan F",516,IF(Atletas!P50="Baguazhang F",517,IF(Atletas!P50="Outro Estilo Interno F",518, "")))))))))))))))))))</f>
        <v/>
      </c>
      <c r="BS54" s="52" t="str">
        <f>IF(Atletas!Q50="","",IF(Atletas!W50&lt;&gt;"",10000,0)+IF(Atletas!B50="Feminino",1000,IF(Atletas!B50="Masculino",2000,""))+IF(Atletas!Q50="Dao A",601,IF(Atletas!Q50="Jian A",602,IF(Atletas!Q50="Bishou A",603,IF(Atletas!Q50="Shan A",604,IF(Atletas!Q50="Outra Arma Curta A",605,IF(Atletas!Q50="Dao B",606,IF(Atletas!Q50="Jian B",607,IF(Atletas!Q50="Bishou B",608,IF(Atletas!Q50="Shan B",609,IF(Atletas!Q50="Outra Arma Curta B",610,IF(Atletas!Q50="Dao C",611,IF(Atletas!Q50="Jian C",612,IF(Atletas!Q50="Bishou C",613,IF(Atletas!Q50="Shan C",614,IF(Atletas!Q50="Outra Arma Curta C",615,IF(Atletas!Q50="Dao D",616,IF(Atletas!Q50="Jian D",617,IF(Atletas!Q50="Bishou D",618,IF(Atletas!Q50="Shan D",619,IF(Atletas!Q50="Outra Arma Curta D",620,IF(Atletas!Q50="Dao E",621,IF(Atletas!Q50="Jian E",622,IF(Atletas!Q50="Bishou E",623,IF(Atletas!Q50="Shan E",624,IF(Atletas!Q50="Outra Arma Curta E",625,IF(Atletas!Q50="Dao F",626,IF(Atletas!Q50="Jian F",627,IF(Atletas!Q50="Bishou F",628,IF(Atletas!Q50="Shan F",629,IF(Atletas!Q50="Outra Arma Curta F",630, "")))))))))))))))))))))))))))))))</f>
        <v/>
      </c>
      <c r="BT54" s="52" t="str">
        <f>IF(Atletas!R50="","",IF(Atletas!W50&lt;&gt;"",10000,0)+IF(Atletas!B50="Feminino",1000,IF(Atletas!B50="Masculino",2000,""))+IF(Atletas!R50="Gun A",701,IF(Atletas!R50="Qiang A",702,IF(Atletas!R50="Pudao / Guandao A",703,IF(Atletas!R50="Outra Arma Longa A",704,IF(Atletas!R50="Gun B",705,IF(Atletas!R50="Qiang B",706,IF(Atletas!R50="Pudao / Guandao B",707,IF(Atletas!R50="Outra Arma Longa B",708,IF(Atletas!R50="Gun C",709,IF(Atletas!R50="Qiang C",710,IF(Atletas!R50="Pudao / Guandao C",711,IF(Atletas!R50="Outra Arma Longa C",712,IF(Atletas!R50="Gun D",713,IF(Atletas!R50="Qiang D",714,IF(Atletas!R50="Pudao / Guandao D",715,IF(Atletas!R50="Outra Arma Longa D",716,IF(Atletas!R50="Gun E",717,IF(Atletas!R50="Qiang E",718,IF(Atletas!R50="Pudao / Guandao E",719,IF(Atletas!R50="Outra Arma Longa E",720,IF(Atletas!R50="Gun F",721,IF(Atletas!R50="Qiang F",722,IF(Atletas!R50="Pudao / Guandao F",723,IF(Atletas!R50="Outra Arma Longa F",724,"")))))))))))))))))))))))))</f>
        <v/>
      </c>
      <c r="BU54" s="52" t="str">
        <f>IF(Atletas!S50="","",IF(Atletas!W50&lt;&gt;"",10000,0)+IF(Atletas!B50="Feminino",1000,IF(Atletas!B50="Masculino",2000,""))+IF(Atletas!S50="Arma Dupla A",801,IF(Atletas!S50="Arma Maleável A",802,IF(Atletas!S50="Arma Dupla B",803,IF(Atletas!S50="Arma Maleável B",804,IF(Atletas!S50="Arma Dupla C",805,IF(Atletas!S50="Arma Maleável C",806,IF(Atletas!S50="Arma Dupla D",807,IF(Atletas!S50="Arma Maleável D",808,IF(Atletas!S50="Arma Dupla E",809,IF(Atletas!S50="Arma Maleável E",810,IF(Atletas!S50="Arma Dupla F",811,IF(Atletas!S50="Arma Maleável F",812, "")))))))))))))</f>
        <v/>
      </c>
      <c r="BV54" s="52" t="str">
        <f>IF(Atletas!T50="","",IF(Atletas!W50&lt;&gt;"",10000,0)+IF(Atletas!B50="Feminino",1000,IF(Atletas!B50="Masculino",2000,""))+IF(Atletas!T50="Taijijian Yang A",901,IF(Atletas!T50="Taijijian Chen A",902,IF(Atletas!T50="Taijijian Sun A",903,IF(Atletas!T50="Taijijian Wu A",904,IF(Atletas!T50="Taijijian Wu-Hao A",905,IF(Atletas!T50="Taijijian 32 A",906,IF(Atletas!T50="Taijijian 42 A",907,IF(Atletas!T50="Taijijian Yang B",908,IF(Atletas!T50="Taijijian Chen B",909,IF(Atletas!T50="Taijijian Sun B",910,IF(Atletas!T50="Taijijian Wu B",911,IF(Atletas!T50="Taijijian Wu-Hao B",912,IF(Atletas!T50="Taijijian 32 B",913,IF(Atletas!T50="Taijijian 42 B",914,IF(Atletas!T50="Taijijian Yang C",915,IF(Atletas!T50="Taijijian Chen C",916,IF(Atletas!T50="Taijijian Sun C",917,IF(Atletas!T50="Taijijian Wu C",918,IF(Atletas!T50="Taijijian Wu-Hao C",919,IF(Atletas!T50="Taijijian 32 C",920,IF(Atletas!T50="Taijijian 42 C",921,IF(Atletas!T50="Taijijian Yang D",922,IF(Atletas!T50="Taijijian Chen D",923,IF(Atletas!T50="Taijijian Sun D",924,IF(Atletas!T50="Taijijian Wu D",925,IF(Atletas!T50="Taijijian Wu-Hao D",926,IF(Atletas!T50="Taijijian 32 D",927,IF(Atletas!T50="Taijijian 42 D",928,IF(Atletas!T50="Taijijian Yang E",929,IF(Atletas!T50="Taijijian Chen E",930,IF(Atletas!T50="Taijijian Sun E",931,IF(Atletas!T50="Taijijian Wu E",932,IF(Atletas!T50="Taijijian Wu-Hao E",933,IF(Atletas!T50="Taijijian 32 E",934,IF(Atletas!T50="Taijijian 42 E",935,IF(Atletas!T50="Taijijian Yang F",936,IF(Atletas!T50="Taijijian Chen F",937,IF(Atletas!T50="Taijijian Sun F",938,IF(Atletas!T50="Taijijian Wu F",939,IF(Atletas!T50="Taijijian Wu-Hao F",940,IF(Atletas!T50="Taijijian 32 F",941,IF(Atletas!T50="Taijijian 42 F",942,"")))))))))))))))))))))))))))))))))))))))))))</f>
        <v/>
      </c>
      <c r="BW54" s="52" t="str">
        <f>IF(Atletas!U50="","",IF(Atletas!W50&lt;&gt;"",10000,0)+IF(Atletas!B50="Feminino",1000,IF(Atletas!B50="Masculino",2000,""))+IF(Atletas!T50="Taijijian 42 F",942,IF(Atletas!U50="Taijidao A",943,IF(Atletas!U50="Taijishan A",944,IF(Atletas!U50="Taijiqiang A",945,IF(Atletas!U50="Taijidao B",946,IF(Atletas!U50="Taijishan B",947,IF(Atletas!U50="Taijiqiang B",948,IF(Atletas!U50="Taijidao C",949,IF(Atletas!U50="Taijishan C",950,IF(Atletas!U50="Taijiqiang C",951,IF(Atletas!U50="Taijidao D",952,IF(Atletas!U50="Taijishan D",953,IF(Atletas!U50="Taijiqiang D",954,IF(Atletas!U50="Taijidao E",955,IF(Atletas!U50="Taijishan E",956,IF(Atletas!U50="Taijiqiang E",957,IF(Atletas!U50="Taijidao F",958,IF(Atletas!U50="Taijishan F",959,IF(Atletas!U50="Taijiqiang F",960))))))))))))))))))))</f>
        <v/>
      </c>
      <c r="BX54" s="64" t="str">
        <f>IF(BY54&lt;&gt;"","Hongquan B","")</f>
        <v/>
      </c>
      <c r="BY54" s="64" t="str">
        <f>IF(COUNTIF(BK:BW,1118)&gt;0,COUNTIF(BK:BW,1118),"")</f>
        <v/>
      </c>
      <c r="BZ54" s="64" t="str">
        <f>IF(CA54&lt;&gt;"","Hongquan B","")</f>
        <v/>
      </c>
      <c r="CA54" s="64" t="str">
        <f>IF(COUNTIF(BK:BW,2118)&gt;0,COUNTIF(BK:BW,2118),"")</f>
        <v/>
      </c>
      <c r="CB54" s="64" t="str">
        <f>IF(CC54&lt;&gt;"","Hongquan B","")</f>
        <v/>
      </c>
      <c r="CC54" s="64" t="str">
        <f>IF(COUNTIF(BK:BW,11118)&gt;0,COUNTIF(BK:BW,11118),"")</f>
        <v/>
      </c>
      <c r="CD54" s="64" t="str">
        <f>IF(CE54&lt;&gt;"","Hongquan B","")</f>
        <v/>
      </c>
      <c r="CE54" s="64" t="str">
        <f>IF(COUNTIF(BK:BW,12118)&gt;0,COUNTIF(BK:BW,12118),"")</f>
        <v/>
      </c>
      <c r="CF54" s="52" t="str">
        <f xml:space="preserve"> IF(Atletas!V50="","",IF(Atletas!V50="Duilian de Mãos AB - Equipe 1",1,IF(Atletas!V50="Duilian de Mãos AB - Equipe 2",2,IF(Atletas!V50="Duilian de Armas AB - Equipe 1",3,IF(Atletas!V50="Duilian de Armas AB - Equipe 2",4,IF(Atletas!V50="Duilian de Tuishou - Equipe 1",5,IF(Atletas!V50="Duilian de Tuishou - Equipe 2",6,IF(Atletas!V50="Grupo Externo AB - Equipe 1",7,IF(Atletas!V50="Grupo Externo AB - Equipe 2",8,IF(Atletas!V50="Grupo Interno AB - Equipe 1",9,IF(Atletas!V50="Grupo Interno AB - Equipe 2",10,IF(Atletas!V50="Duilian de Mãos CD - Equipe 1",11,IF(Atletas!V50="Duilian de Mãos CD - Equipe 2",12,IF(Atletas!V50="Duilian de Armas CD - Equipe 1",13,IF(Atletas!V50="Duilian de Armas CD - Equipe 2",14,IF(Atletas!V50="Duilian de Tuishou - Equipe 1",15,IF(Atletas!V50="Duilian de Tuishou - Equipe 2",16,IF(Atletas!V50="Grupo Externo CDEF - Equipe 1",17,IF(Atletas!V50="Grupo Externo CDEF - Equipe 2",18,IF(Atletas!V50="Grupo Interno CDEF - Equipe 1",19,IF(Atletas!V50="Grupo Interno CDEF - Equipe 2",20,IF(Atletas!V50="Duilian de Mãos EF - Equipe 1",21,IF(Atletas!V50="Duilian de Mãos EF - Equipe 2",22,IF(Atletas!V50="Duilian de Armas EF - Equipe 1",23,IF(Atletas!V50="Duilian de Armas EF - Equipe 2",24,IF(Atletas!V50="Duilian de Tuishou - Equipe 1",25,IF(Atletas!V50="Duilian de Tuishou - Equipe 2",26,"")))))))))))))))))))))))))))</f>
        <v/>
      </c>
      <c r="CR54" s="71"/>
    </row>
    <row r="55" spans="2:96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 t="str">
        <f t="array" ref="N55">IFERROR(INDEX(BB$7:BB$66,SMALL(IF(BB$7:BB$66&lt;&gt;"",ROW(BB$7:BB$66)-ROW(BB$7)+1),ROWS(BB$7:BB54))),"")</f>
        <v/>
      </c>
      <c r="O55" s="4" t="str">
        <f t="array" ref="O55">IFERROR(INDEX(BC$7:BC$66,SMALL(IF(BC$7:BC$66&lt;&gt;"",ROW(BC$7:BC$66)-ROW(BC$7)+1),ROWS(BC$7:BC54))),"")</f>
        <v/>
      </c>
      <c r="P55" s="4" t="str">
        <f t="array" ref="P55">IFERROR(INDEX(BD$7:BD$66,SMALL(IF(BD$7:BD$66&lt;&gt;"",ROW(BD$7:BD$66)-ROW(BD$7)+1),ROWS(BD$7:BD54))),"")</f>
        <v/>
      </c>
      <c r="Q55" s="4" t="str">
        <f t="array" ref="Q55">IFERROR(INDEX(BE$7:BE$66,SMALL(IF(BE$7:BE$66&lt;&gt;"",ROW(BE$7:BE$66)-ROW(BE$7)+1),ROWS(BE$7:BE54))),"")</f>
        <v/>
      </c>
      <c r="R55" s="4"/>
      <c r="S55" s="4"/>
      <c r="T55" s="66"/>
      <c r="U55" s="4"/>
      <c r="V55" s="4" t="str">
        <f t="array" ref="V55">IFERROR(INDEX(BX$7:BX$336,SMALL(IF(BX$7:BX$336&lt;&gt;"",ROW(BX$7:BX$336)-ROW(BX$7)+1),ROWS(BX$7:BX54))),"")</f>
        <v/>
      </c>
      <c r="W55" s="4" t="str">
        <f t="array" ref="W55">IFERROR(INDEX(BY$7:BY$336,SMALL(IF(BY$7:BY$336&lt;&gt;"",ROW(BY$7:BY$336)-ROW(BY$7)+1),ROWS(BY$7:BY54))),"")</f>
        <v/>
      </c>
      <c r="X55" s="4" t="str">
        <f t="array" ref="X55">IFERROR(INDEX(BZ$7:BZ$336,SMALL(IF(BZ$7:BZ$336&lt;&gt;"",ROW(BZ$7:BZ$336)-ROW(BZ$7)+1),ROWS(BZ$7:BZ54))),"")</f>
        <v/>
      </c>
      <c r="Y55" s="4" t="str">
        <f t="array" ref="Y55">IFERROR(INDEX(CA$7:CA$336,SMALL(IF(CA$7:CA$336&lt;&gt;"",ROW(CA$7:CA$336)-ROW(CA$7)+1),ROWS(CA$7:CA54))),"")</f>
        <v/>
      </c>
      <c r="Z55" s="4" t="str">
        <f t="array" ref="Z55">IFERROR(INDEX(CB$7:CB$378,SMALL(IF(CB$7:CB$378&lt;&gt;"",ROW(CB$7:CB$378)-ROW(CB$7)+1),ROWS(CB$7:CB54))),"")</f>
        <v/>
      </c>
      <c r="AA55" s="4" t="str">
        <f t="array" ref="AA55">IFERROR(INDEX(CC$7:CC$378,SMALL(IF(CC$7:CC$378&lt;&gt;"",ROW(CC$7:CC$378)-ROW(CC$7)+1),ROWS(CC$7:CC54))),"")</f>
        <v/>
      </c>
      <c r="AB55" s="4" t="str">
        <f t="array" ref="AB55">IFERROR(INDEX(CD$7:CD$378,SMALL(IF(CD$7:CD$378&lt;&gt;"",ROW(CD$7:CD$378)-ROW(CD$7)+1),ROWS(CD$7:CD54))),"")</f>
        <v/>
      </c>
      <c r="AC55" s="4" t="str">
        <f t="array" ref="AC55">IFERROR(INDEX(CE$7:CE$378,SMALL(IF(CE$7:CE$378&lt;&gt;"",ROW(CE$7:CE$378)-ROW(CE$7)+1),ROWS(CE$7:CE54))),"")</f>
        <v/>
      </c>
      <c r="AD55" s="4"/>
      <c r="AE55" s="4"/>
      <c r="AF55" s="4"/>
      <c r="AG55" s="4"/>
      <c r="AH55" s="4"/>
      <c r="AI55" s="4"/>
      <c r="AJ55" s="46" t="str">
        <f>IF(Atletas!D51="","",IF(Atletas!B51="Feminino",100,IF(Atletas!B51="Masculino",200,""))+(IF(Atletas!D51="Infantil 39kg",1,IF(Atletas!D51="Infantil 42kg",2,IF(Atletas!D51="Infantil 45kg",3,IF(Atletas!D51="Infantil 48kg",4,IF(Atletas!D51="Infantil 52kg",5,IF(Atletas!D51="Infantil 56kg",6,IF(Atletas!D51="Infantil 60kg",7,IF(Atletas!D51="Juvenil 48kg",8,IF(Atletas!D51="Juvenil 52kg",9,IF(Atletas!D51="Juvenil 56kg",10,IF(Atletas!D51="Juvenil 60kg",11,IF(Atletas!D51="Juvenil 65kg",12,IF(Atletas!D51="Juvenil 70kg",13,IF(Atletas!D51="Juvenil 75kg",14,IF(Atletas!D51="Juvenil 80kg",15,IF(Atletas!D51="Adulto 48kg",16,IF(Atletas!D51="Adulto 52kg",17,IF(Atletas!D51="Adulto 56kg",18,IF(Atletas!D51="Adulto 60kg",19,IF(Atletas!D51="Adulto 65kg",20,IF(Atletas!D51="Adulto 70kg",21,IF(Atletas!D51="Adulto 75kg",22,IF(Atletas!D51="Adulto 80kg",23,IF(Atletas!D51="Adulto 85kg",24,IF(Atletas!D51="Adulto 90kg",25,IF(Atletas!D51="Adulto +90kg",26,""))))))))))))))))))))))))))))</f>
        <v/>
      </c>
      <c r="AO55" s="10" t="str">
        <f>IF(Atletas!E51="","",IF(Atletas!B51="Feminino",100,IF(Atletas!B51="Masculino",200,""))+(IF(Atletas!E51="Juvenil 44kg",1,IF(Atletas!E51="Juvenil 48kg",2,IF(Atletas!E51="Juvenil 52kg",3,IF(Atletas!E51="Juvenil 56kg",4,IF(Atletas!E51="Juvenil 60kg",5,IF(Atletas!E51="Juvenil 65kg",6,IF(Atletas!E51="Juvenil 70kg",7,IF(Atletas!E51="Juvenil 75kg",8,IF(Atletas!E51="Juvenil 82kg",9,IF(Atletas!E51="Juvenil 90kg",10,IF(Atletas!E51="Juvenil 100kg",11,IF(Atletas!E51="Adulto 48kg",12,IF(Atletas!E51="Adulto 52kg",13,IF(Atletas!E51="Adulto 56kg",14,IF(Atletas!E51="Adulto 60kg",15,IF(Atletas!E51="Adulto 65kg",16,IF(Atletas!E51="Adulto 70kg",17,IF(Atletas!E51="Adulto 75kg",18,IF(Atletas!E51="Adulto 82kg",19,IF(Atletas!E51="Adulto 90kg",20,IF(Atletas!E51="Adulto 100kg",21,IF(Atletas!E51="Adulto +100kg",22,""))))))))))))))))))))))))</f>
        <v/>
      </c>
      <c r="AT55" s="10" t="str">
        <f>IF(Atletas!F51="","",IF(Atletas!B51="Feminino",100,IF(Atletas!B51="Masculino",200,""))+(IF(Atletas!F51="Adulto 48kg",1,IF(Atletas!F51="Adulto 56kg",2,IF(Atletas!F51="Adulto 65kg",3,IF(Atletas!F51="Adulto 75kg",4,IF(Atletas!F51="Adulto +75kg",5,IF(Atletas!F51="Adulto 52kg",6,IF(Atletas!F51="Adulto 60kg",7,IF(Atletas!F51="Adulto 70kg",8,IF(Atletas!F51="Adulto 80kg",9,IF(Atletas!F51="Adulto 90kg",10,IF(Atletas!F51="Adulto +90kg",11,"")))))))))))))</f>
        <v/>
      </c>
      <c r="AY55" s="46" t="str">
        <f>IF(Atletas!G51="","",IF(Atletas!B51="Feminino",100,IF(Atletas!B51="Masculino",200,""))+(IF(Atletas!G51="Changquan Mirim",1,IF(Atletas!G51="Nanquan Mirim",2,IF(Atletas!G51="Taijiquan Mirim",3,IF(Atletas!G51="Changquan Grupo C",4,IF(Atletas!G51="Nanquan Grupo C",5,IF(Atletas!G51="Taijiquan Grupo C",6,IF(Atletas!G51="Changquan Grupo B",7,IF(Atletas!G51="Nanquan Grupo B",8,IF(Atletas!G51="Taijiquan Grupo B",9,IF(Atletas!G51="Changquan Grupo A",10,IF(Atletas!G51="Nanquan Grupo A",11,IF(Atletas!G51="Taijiquan Grupo A",12,IF(Atletas!G51="Changquan Opcional",13,IF(Atletas!G51="Nanquan Opcional",14,IF(Atletas!G51="Taijiquan Opcional",15,IF(Atletas!G51="Changquan Adulto",16,IF(Atletas!G51="Nanquan Adulto",17,IF(Atletas!G51="Taijiquan Adulto",18,""))))))))))))))))))))</f>
        <v/>
      </c>
      <c r="AZ55" s="46" t="str">
        <f>IF(Atletas!H51="","",IF(Atletas!B51="Feminino",100,IF(Atletas!B51="Masculino",200,""))+(IF(Atletas!H51="Daoshu Mirim",19,IF(Atletas!H51="Jianshu Mirim",20,IF(Atletas!H51="Nandao Mirim",21,IF(Atletas!H51="Taijijian Mirim",22,IF(Atletas!H51="Daoshu Grupo C",23,IF(Atletas!H51="Jianshu Grupo C",24,IF(Atletas!H51="Nandao Grupo C",25,IF(Atletas!H51="Taijijian Grupo C",26,IF(Atletas!H51="Daoshu Grupo B",27,IF(Atletas!H51="Jianshu Grupo B",28,IF(Atletas!H51="Nandao Grupo B",29,IF(Atletas!H51="Taijijian Grupo B",30,IF(Atletas!H51="Daoshu Grupo A",31,IF(Atletas!H51="Jianshu Grupo A",32,IF(Atletas!H51="Nandao Grupo A",33,IF(Atletas!H51="Taijijian Grupo A",34,IF(Atletas!H51="Daoshu Opcional",35,IF(Atletas!H51="Jianshu Opcional",36,IF(Atletas!H51="Nandao Opcional",37,IF(Atletas!H51="Taijijian Opcional",38,IF(Atletas!H51="Daoshu Adulto",39,IF(Atletas!H51="Jianshu Adulto",40,IF(Atletas!H51="Nandao Adulto",41,IF(Atletas!H51="Taijijian Adulto",42,""))))))))))))))))))))))))))</f>
        <v/>
      </c>
      <c r="BA55" s="46" t="str">
        <f>IF(Atletas!I51="","",IF(Atletas!B51="Feminino",100,IF(Atletas!B51="Masculino",200,""))+(IF(Atletas!I51="Gunshu Mirim",43,IF(Atletas!I51="Qiangshu Mirim",44,IF(Atletas!I51="Nangun Mirim",45,IF(Atletas!I51="Gunshu Grupo C",46,IF(Atletas!I51="Qiangshu Grupo C",47,IF(Atletas!I51="Nangun Grupo C",48,IF(Atletas!I51="Gunshu Grupo B",49,IF(Atletas!I51="Qiangshu Grupo B",50,IF(Atletas!I51="Nangun Grupo B",51,IF(Atletas!I51="Gunshu Grupo A",52,IF(Atletas!I51="Qiangshu Grupo A",53,IF(Atletas!I51="Nangun Grupo A",54,IF(Atletas!I51="Gunshu Opcional",55,IF(Atletas!I51="Qiangshu Opcional",56,IF(Atletas!I51="Nangun Opcional",57,IF(Atletas!I51="Gunshu Adulto",58,IF(Atletas!I51="Qiangshu Adulto",59,IF(Atletas!I51="Nangun Adulto",60,""))))))))))))))))))))</f>
        <v/>
      </c>
      <c r="BB55" s="10" t="str">
        <f>IF(BC55&lt;&gt;"","Qiangshu Opcional","")</f>
        <v/>
      </c>
      <c r="BC55" s="52" t="str">
        <f>IF(COUNTIF(AY:BA,156)&gt;0,COUNTIF(AY:BA,156),"")</f>
        <v/>
      </c>
      <c r="BD55" s="10" t="str">
        <f>IF(BE55&lt;&gt;"","Qiangshu Opcional","")</f>
        <v/>
      </c>
      <c r="BE55" s="52" t="str">
        <f>IF(COUNTIF(AY:BA,256)&gt;0,COUNTIF(AY:BA,256),"")</f>
        <v/>
      </c>
      <c r="BF55" s="52" t="str">
        <f>IF(Atletas!J51="","",IF(Atletas!B51="Feminino",100,IF(Atletas!B51="Masculino",200,""))+(IF(Atletas!J51="Equipe 1 Grupo B",1,IF(Atletas!J51="Equipe 2 Grupo B",2,IF(Atletas!J51="Equipe 1 Grupo A",3,IF(Atletas!J51="Equipe 2 Grupo A",4,IF(Atletas!J51="Equipe 1 Adulto",5,IF(Atletas!J51="Equipe 2 Adulto",6,""))))))))</f>
        <v/>
      </c>
      <c r="BK55" s="52" t="str">
        <f>IF(Atletas!K51="","",IF(Atletas!W51&lt;&gt;"",10000,0)+(IF(Atletas!B51="Feminino",1000,IF(Atletas!B51="Masculino",2000,""))+IF(Atletas!K51="Choylayfut A",1,IF(Atletas!K51="Hunggar A",2,IF(Atletas!K51="Wuzuquan A",3,IF(Atletas!K51="Wingchun A",4,IF(Atletas!K51="Outra Mão de Sul A",5,IF(Atletas!K51="Choylayfut B",6,IF(Atletas!K51="Hunggar B",7,IF(Atletas!K51="Wuzuquan B",8,IF(Atletas!K51="Wingchun B",9,IF(Atletas!K51="Outra Mão de Sul B",10,IF(Atletas!K51="Choylayfut C",11,IF(Atletas!K51="Hunggar C",12,IF(Atletas!K51="Wuzuquan C",13,IF(Atletas!K51="Wingchun C",14,IF(Atletas!K51="Outra Mão de Sul C",15,IF(Atletas!K51="Choylayfut D",16,IF(Atletas!K51="Hunggar D",17,IF(Atletas!K51="Wuzuquan D",18,IF(Atletas!K51="Wingchun D",19,IF(Atletas!K51="Outra Mão de Sul D",20,IF(Atletas!K51="Choylayfut E",21,IF(Atletas!K51="Hunggar E",22,IF(Atletas!K51="Wuzuquan E",23,IF(Atletas!K51="Wingchun E",24,IF(Atletas!K51="Outra Mão de Sul E",25,IF(Atletas!K51="Choylayfut F",26,IF(Atletas!K51="Hunggar F",27,IF(Atletas!K51="Wuzuquan F",28,IF(Atletas!K51="Wingchun F",29,IF(Atletas!K51="Outra Mão de Sul F",30,""))))))))))))))))))))))))))))))))</f>
        <v/>
      </c>
      <c r="BL55" s="52" t="str">
        <f>IF(Atletas!L51="","",IF(Atletas!W51&lt;&gt;"",10000,0)+(IF(Atletas!B51="Feminino",1000,IF(Atletas!B51="Masculino",2000,""))+(IF(Atletas!L51="Chaquan A",101,IF(Atletas!L51="Emeiquan A",102,IF(Atletas!L51="Fanziquan A",103,IF(Atletas!L51="Huaquan A",104,IF(Atletas!L51="Hongquan A",105,IF(Atletas!L51="Paochui A",106,IF(Atletas!L51="Piguaquan A",107,IF(Atletas!L51="Shaolinquan A",108,IF(Atletas!L51="Tanglangquan A",109,IF(Atletas!L51="Yinzhaophai A",110,IF(Atletas!L51="Tongbeiquan A",111,IF(Atletas!L51="Wudangquan A",112,IF(Atletas!L51="Outros Estilos A",113,IF(Atletas!L51="Chaquan B",114,IF(Atletas!L51="Emeiquan B",115,IF(Atletas!L51="Fanziquan B",116,IF(Atletas!L51="Huaquan B",117,IF(Atletas!L51="Hongquan B",118,IF(Atletas!L51="Paochui B",119,IF(Atletas!L51="Piguaquan B",120,IF(Atletas!L51="Shaolinquan B",121,IF(Atletas!L51="Tanglangquan B",122,IF(Atletas!L51="Yinzhaophai B",123,IF(Atletas!L51="Tongbeiquan B",124,IF(Atletas!L51="Wudangquan B",125,IF(Atletas!L51="Outros Estilos B",126,IF(Atletas!L51="Chaquan C",127,IF(Atletas!L51="Emeiquan C",128,IF(Atletas!L51="Fanziquan C",129,IF(Atletas!L51="Huaquan C",130,IF(Atletas!L51="Hongquan C",131,IF(Atletas!L51="Paochui C",132,IF(Atletas!L51="Piguaquan C",133,IF(Atletas!L51="Shaolinquan C",134,IF(Atletas!L51="Tanglangquan C",135,IF(Atletas!L51="Yinzhaophai C",136,IF(Atletas!L51="Tongbeiquan C",137,IF(Atletas!L51="Wudangquan C",138,IF(Atletas!L51="Outros Estilos C",139,0))))))))))))))))))))))))))))))))))))))))))</f>
        <v/>
      </c>
      <c r="BM55" s="52" t="str">
        <f>IF(Atletas!L51="","",IF(Atletas!W51&lt;&gt;"",10000,0)+(IF(Atletas!B51="Feminino",1000,IF(Atletas!B51="Masculino",2000,""))+(IF(Atletas!L51="Chaquan D",140,IF(Atletas!L51="Emeiquan D",141,IF(Atletas!L51="Fanziquan D",142,IF(Atletas!L51="Huaquan D",143,IF(Atletas!L51="Hongquan D",144,IF(Atletas!L51="Paochui D",145,IF(Atletas!L51="Piguaquan D",146,IF(Atletas!L51="Shaolinquan D",147,IF(Atletas!L51="Tanglangquan D",148,IF(Atletas!L51="Yinzhaophai D",149,IF(Atletas!L51="Tongbeiquan D",150,IF(Atletas!L51="Wudangquan D",151,IF(Atletas!L51="Outros Estilos D",152,IF(Atletas!L51="Chaquan E",153,IF(Atletas!L51="Emeiquan E",154,IF(Atletas!L51="Fanziquan E",155,IF(Atletas!L51="Huaquan E",156,IF(Atletas!L51="Hongquan E",157,IF(Atletas!L51="Paochui E",158,IF(Atletas!L51="Piguaquan E",159,IF(Atletas!L51="Shaolinquan E",160,IF(Atletas!L51="Tanglangquan E",161,IF(Atletas!L51="Yinzhaophai E",162,IF(Atletas!L51="Tongbeiquan E",163,IF(Atletas!L51="Wudangquan E",164,IF(Atletas!L51="Outros Estilos E",165,IF(Atletas!L51="Chaquan F",166,IF(Atletas!L51="Emeiquan F",167,IF(Atletas!L51="Fanziquan F",168,IF(Atletas!L51="Huaquan F",169,IF(Atletas!L51="Hongquan F",170,IF(Atletas!L51="Paochui F",171,IF(Atletas!L51="Piguaquan F",172,IF(Atletas!L51="Shaolinquan F",173,IF(Atletas!L51="Tanglangquan F",174,IF(Atletas!L51="Yinzhaophai F",175,IF(Atletas!L51="Tongbeiquan F",176,IF(Atletas!L51="Wudangquan F",177,IF(Atletas!L51="Outros Estilos F",178,0))))))))))))))))))))))))))))))))))))))))))</f>
        <v/>
      </c>
      <c r="BN55" s="52" t="str">
        <f>IF(Atletas!M51="","",IF(Atletas!W51&lt;&gt;"",10000,0)+(IF(Atletas!B51="Feminino",1000,IF(Atletas!B51="Masculino",2000,""))+(IF(Atletas!M51="Ditangquan A",201,IF(Atletas!M51="Houquan A",202,IF(Atletas!M51="Zuiquan A",203,IF(Atletas!M51="Ditangquan B",204,IF(Atletas!M51="Houquan B",205,IF(Atletas!M51="Zuiquan B",206,IF(Atletas!M51="Ditangquan C",207,IF(Atletas!M51="Houquan C",208,IF(Atletas!M51="Zuiquan C",209,IF(Atletas!M51="Ditangquan D",210,IF(Atletas!M51="Houquan D",211,IF(Atletas!M51="Zuiquan D",212,IF(Atletas!M51="Ditangquan E",213,IF(Atletas!M51="Houquan E",214,IF(Atletas!M51="Zuiquan E",215,IF(Atletas!M51="Ditangquan F",216,IF(Atletas!M51="Houquan F",217,IF(Atletas!M51="Zuiquan F",218,"")))))))))))))))))))))</f>
        <v/>
      </c>
      <c r="BO55" s="52" t="str">
        <f>IF(Atletas!N51="","",IF(Atletas!W51&lt;&gt;"",10000,0)+IF(Atletas!B51="Feminino",1000,IF(Atletas!B51="Masculino",2000,""))+IF(Atletas!N51="Yang A",301,IF(Atletas!N51="Chen A",30,IF(Atletas!N51="Sun A",303,IF(Atletas!N51="Wu A",304,IF(Atletas!N51="Wu-Hao A",305,IF(Atletas!N51="Outro Taijiquan A",306,IF(Atletas!N51="Yang B",307,IF(Atletas!N51="Chen B",308,IF(Atletas!N51="Sun B",309,IF(Atletas!N51="Wu B",310,IF(Atletas!N51="Wu-Hao B",311,IF(Atletas!N51="Outro Taijiquan B",312,IF(Atletas!N51="Yang C",313,IF(Atletas!N51="Chen C",314,IF(Atletas!N51="Sun C",315,IF(Atletas!N51="Wu C",316,IF(Atletas!N51="Wu-Hao C",317,IF(Atletas!N51="Outro Taijiquan C",318,IF(Atletas!N51="Yang D",319,IF(Atletas!N51="Chen D",320,IF(Atletas!N51="Sun D",321,IF(Atletas!N51="Wu D",322,IF(Atletas!N51="Wu-Hao D",323,IF(Atletas!N51="Outro Taijiquan D",324,IF(Atletas!N51="Yang E",325,IF(Atletas!N51="Chen E",326,IF(Atletas!N51="Sun E",327,IF(Atletas!N51="Wu E",328,IF(Atletas!N51="Wu-Hao E",329,IF(Atletas!N51="Outro Taijiquan E",330,IF(Atletas!N51="Yang F",331,IF(Atletas!N51="Chen F",332,IF(Atletas!N51="Sun F",333,IF(Atletas!N51="Wu F",334,IF(Atletas!N51="Wu-Hao F",335,IF(Atletas!N51="Outro Taijiquan F",336,"")))))))))))))))))))))))))))))))))))))</f>
        <v/>
      </c>
      <c r="BP55" s="52" t="str">
        <f>IF(Atletas!O51="","",IF(Atletas!W51&lt;&gt;"",10000,0)+IF(Atletas!B51="Feminino",1000,IF(Atletas!B51="Masculino",2000,""))+IF(OR(Atletas!O51="Yang 26 A",Atletas!O51="Yang 40 A"),401,IF(OR(Atletas!O51="Chen 25 A",Atletas!O51="Chen 36 A",Atletas!O51="Chen 56 A"),402,IF(Atletas!O51="Sun 73 A",403,IF(Atletas!O51="Wu 45 A",404,IF(Atletas!O51="Wu-Hao 46 A",405,IF(OR(Atletas!O51="Taijiquan 16 A",Atletas!O51="Taijiquan 24 A",Atletas!O51="Taijiquan 32 A",Atletas!O51="Taijiquan 42 A"),406,IF(OR(Atletas!O51="Yang 26 B",Atletas!O51="Yang 40 B"),407,IF(OR(Atletas!O51="Chen 25 B",Atletas!O51="Chen 36 B",Atletas!O51="Chen 56 B"),408,IF(Atletas!O51="Sun 73 B",409,IF(Atletas!O51="Wu 45 B",410,IF(Atletas!O51="Wu-Hao 46 B",411,IF(OR(Atletas!O51="Taijiquan 16 B",Atletas!O51="Taijiquan 24 B",Atletas!O51="Taijiquan 32 B",Atletas!O51="Taijiquan 42 B"),412,IF(OR(Atletas!O51="Yang 26 C",Atletas!O51="Yang 40 C"),413,IF(OR(Atletas!O51="Chen 25 C",Atletas!O51="Chen 36 C",Atletas!O51="Chen 56 C"),414,IF(Atletas!O51="Sun 73 C",415,IF(Atletas!O51="Wu 45 C",416,IF(Atletas!O51="Wu-Hao 46 C",417,IF(OR(Atletas!O51="Taijiquan 16 C",Atletas!O51="Taijiquan 24 C",Atletas!O51="Taijiquan 32 C",Atletas!O51="Taijiquan 42 C"),418,0)))))))))))))))))))</f>
        <v/>
      </c>
      <c r="BQ55" s="52" t="str">
        <f>IF(Atletas!O51="","",IF(Atletas!W51&lt;&gt;"",10000,0)+IF(Atletas!B51="Feminino",1000,IF(Atletas!B51="Masculino",2000,""))+IF(OR(Atletas!O51="Yang 26 D",Atletas!O51="Yang 40 D"),419,IF(OR(Atletas!O51="Chen 25 D",Atletas!O51="Chen 36 D",Atletas!O51="Chen 56 D"),420,IF(Atletas!O51="Sun 73 D",421,IF(Atletas!O51="Wu 45 D",422,IF(Atletas!O51="Wu-Hao 46 D",423,IF(OR(Atletas!O51="Taijiquan 16 D",Atletas!O51="Taijiquan 24 D",Atletas!O51="Taijiquan 32 D",Atletas!O51="Taijiquan 42 D"),424,IF(OR(Atletas!O51="Yang 26 E",Atletas!O51="Yang 40 E"),425,IF(OR(Atletas!O51="Chen 25 E",Atletas!O51="Chen 36 E",Atletas!O51="Chen 56 E"),426,IF(Atletas!O51="Sun 73 E",427,IF(Atletas!O51="Wu 45 E",428,IF(Atletas!O51="Wu-Hao 46 E",429,IF(OR(Atletas!O51="Taijiquan 16 E",Atletas!O51="Taijiquan 24 E",Atletas!O51="Taijiquan 32 E",Atletas!O51="Taijiquan 42 E"),430,IF(OR(Atletas!O51="Yang 26 F",Atletas!O51="Yang 40 F"),431,IF(OR(Atletas!O51="Chen 25 F",Atletas!O51="Chen 36 F",Atletas!O51="Chen 56 F"),432,IF(Atletas!O51="Sun 73 F",433,IF(Atletas!O51="Wu 45 F",434,IF(Atletas!O51="Wu-Hao 46 F",435,IF(OR(Atletas!O51="Taijiquan 16 F",Atletas!O51="Taijiquan 24 F",Atletas!O51="Taijiquan 32 F",Atletas!O51="Taijiquan 42 F"),436,0)))))))))))))))))))</f>
        <v/>
      </c>
      <c r="BR55" s="52" t="str">
        <f>IF(Atletas!P51="","",IF(Atletas!W51&lt;&gt;"",10000,0)+IF(Atletas!B51="Feminino",1000,IF(Atletas!B51="Masculino",2000,""))+IF(Atletas!P51="Xingyiquan A",501,IF(Atletas!P51="Baguazhang A",502,IF(Atletas!P51="Outro Estilo Interno A",503,IF(Atletas!P51="Xingyiquan B",504,IF(Atletas!P51="Baguazhang B",505,IF(Atletas!P51="Outro Estilo Interno B",506,IF(Atletas!P51="Xingyiquan C",507,IF(Atletas!P51="Baguazhang C",508,IF(Atletas!P51="Outro Estilo Interno C",509,IF(Atletas!P51="Xingyiquan D",510,IF(Atletas!P51="Baguazhang D",511,IF(Atletas!P51="Outro Estilo Interno D",512,IF(Atletas!P51="Xingyiquan E",513,IF(Atletas!P51="Baguazhang E",514,IF(Atletas!P51="Outro Estilo Interno E",515,IF(Atletas!P51="Xingyiquan F",516,IF(Atletas!P51="Baguazhang F",517,IF(Atletas!P51="Outro Estilo Interno F",518, "")))))))))))))))))))</f>
        <v/>
      </c>
      <c r="BS55" s="52" t="str">
        <f>IF(Atletas!Q51="","",IF(Atletas!W51&lt;&gt;"",10000,0)+IF(Atletas!B51="Feminino",1000,IF(Atletas!B51="Masculino",2000,""))+IF(Atletas!Q51="Dao A",601,IF(Atletas!Q51="Jian A",602,IF(Atletas!Q51="Bishou A",603,IF(Atletas!Q51="Shan A",604,IF(Atletas!Q51="Outra Arma Curta A",605,IF(Atletas!Q51="Dao B",606,IF(Atletas!Q51="Jian B",607,IF(Atletas!Q51="Bishou B",608,IF(Atletas!Q51="Shan B",609,IF(Atletas!Q51="Outra Arma Curta B",610,IF(Atletas!Q51="Dao C",611,IF(Atletas!Q51="Jian C",612,IF(Atletas!Q51="Bishou C",613,IF(Atletas!Q51="Shan C",614,IF(Atletas!Q51="Outra Arma Curta C",615,IF(Atletas!Q51="Dao D",616,IF(Atletas!Q51="Jian D",617,IF(Atletas!Q51="Bishou D",618,IF(Atletas!Q51="Shan D",619,IF(Atletas!Q51="Outra Arma Curta D",620,IF(Atletas!Q51="Dao E",621,IF(Atletas!Q51="Jian E",622,IF(Atletas!Q51="Bishou E",623,IF(Atletas!Q51="Shan E",624,IF(Atletas!Q51="Outra Arma Curta E",625,IF(Atletas!Q51="Dao F",626,IF(Atletas!Q51="Jian F",627,IF(Atletas!Q51="Bishou F",628,IF(Atletas!Q51="Shan F",629,IF(Atletas!Q51="Outra Arma Curta F",630, "")))))))))))))))))))))))))))))))</f>
        <v/>
      </c>
      <c r="BT55" s="52" t="str">
        <f>IF(Atletas!R51="","",IF(Atletas!W51&lt;&gt;"",10000,0)+IF(Atletas!B51="Feminino",1000,IF(Atletas!B51="Masculino",2000,""))+IF(Atletas!R51="Gun A",701,IF(Atletas!R51="Qiang A",702,IF(Atletas!R51="Pudao / Guandao A",703,IF(Atletas!R51="Outra Arma Longa A",704,IF(Atletas!R51="Gun B",705,IF(Atletas!R51="Qiang B",706,IF(Atletas!R51="Pudao / Guandao B",707,IF(Atletas!R51="Outra Arma Longa B",708,IF(Atletas!R51="Gun C",709,IF(Atletas!R51="Qiang C",710,IF(Atletas!R51="Pudao / Guandao C",711,IF(Atletas!R51="Outra Arma Longa C",712,IF(Atletas!R51="Gun D",713,IF(Atletas!R51="Qiang D",714,IF(Atletas!R51="Pudao / Guandao D",715,IF(Atletas!R51="Outra Arma Longa D",716,IF(Atletas!R51="Gun E",717,IF(Atletas!R51="Qiang E",718,IF(Atletas!R51="Pudao / Guandao E",719,IF(Atletas!R51="Outra Arma Longa E",720,IF(Atletas!R51="Gun F",721,IF(Atletas!R51="Qiang F",722,IF(Atletas!R51="Pudao / Guandao F",723,IF(Atletas!R51="Outra Arma Longa F",724,"")))))))))))))))))))))))))</f>
        <v/>
      </c>
      <c r="BU55" s="52" t="str">
        <f>IF(Atletas!S51="","",IF(Atletas!W51&lt;&gt;"",10000,0)+IF(Atletas!B51="Feminino",1000,IF(Atletas!B51="Masculino",2000,""))+IF(Atletas!S51="Arma Dupla A",801,IF(Atletas!S51="Arma Maleável A",802,IF(Atletas!S51="Arma Dupla B",803,IF(Atletas!S51="Arma Maleável B",804,IF(Atletas!S51="Arma Dupla C",805,IF(Atletas!S51="Arma Maleável C",806,IF(Atletas!S51="Arma Dupla D",807,IF(Atletas!S51="Arma Maleável D",808,IF(Atletas!S51="Arma Dupla E",809,IF(Atletas!S51="Arma Maleável E",810,IF(Atletas!S51="Arma Dupla F",811,IF(Atletas!S51="Arma Maleável F",812, "")))))))))))))</f>
        <v/>
      </c>
      <c r="BV55" s="52" t="str">
        <f>IF(Atletas!T51="","",IF(Atletas!W51&lt;&gt;"",10000,0)+IF(Atletas!B51="Feminino",1000,IF(Atletas!B51="Masculino",2000,""))+IF(Atletas!T51="Taijijian Yang A",901,IF(Atletas!T51="Taijijian Chen A",902,IF(Atletas!T51="Taijijian Sun A",903,IF(Atletas!T51="Taijijian Wu A",904,IF(Atletas!T51="Taijijian Wu-Hao A",905,IF(Atletas!T51="Taijijian 32 A",906,IF(Atletas!T51="Taijijian 42 A",907,IF(Atletas!T51="Taijijian Yang B",908,IF(Atletas!T51="Taijijian Chen B",909,IF(Atletas!T51="Taijijian Sun B",910,IF(Atletas!T51="Taijijian Wu B",911,IF(Atletas!T51="Taijijian Wu-Hao B",912,IF(Atletas!T51="Taijijian 32 B",913,IF(Atletas!T51="Taijijian 42 B",914,IF(Atletas!T51="Taijijian Yang C",915,IF(Atletas!T51="Taijijian Chen C",916,IF(Atletas!T51="Taijijian Sun C",917,IF(Atletas!T51="Taijijian Wu C",918,IF(Atletas!T51="Taijijian Wu-Hao C",919,IF(Atletas!T51="Taijijian 32 C",920,IF(Atletas!T51="Taijijian 42 C",921,IF(Atletas!T51="Taijijian Yang D",922,IF(Atletas!T51="Taijijian Chen D",923,IF(Atletas!T51="Taijijian Sun D",924,IF(Atletas!T51="Taijijian Wu D",925,IF(Atletas!T51="Taijijian Wu-Hao D",926,IF(Atletas!T51="Taijijian 32 D",927,IF(Atletas!T51="Taijijian 42 D",928,IF(Atletas!T51="Taijijian Yang E",929,IF(Atletas!T51="Taijijian Chen E",930,IF(Atletas!T51="Taijijian Sun E",931,IF(Atletas!T51="Taijijian Wu E",932,IF(Atletas!T51="Taijijian Wu-Hao E",933,IF(Atletas!T51="Taijijian 32 E",934,IF(Atletas!T51="Taijijian 42 E",935,IF(Atletas!T51="Taijijian Yang F",936,IF(Atletas!T51="Taijijian Chen F",937,IF(Atletas!T51="Taijijian Sun F",938,IF(Atletas!T51="Taijijian Wu F",939,IF(Atletas!T51="Taijijian Wu-Hao F",940,IF(Atletas!T51="Taijijian 32 F",941,IF(Atletas!T51="Taijijian 42 F",942,"")))))))))))))))))))))))))))))))))))))))))))</f>
        <v/>
      </c>
      <c r="BW55" s="52" t="str">
        <f>IF(Atletas!U51="","",IF(Atletas!W51&lt;&gt;"",10000,0)+IF(Atletas!B51="Feminino",1000,IF(Atletas!B51="Masculino",2000,""))+IF(Atletas!T51="Taijijian 42 F",942,IF(Atletas!U51="Taijidao A",943,IF(Atletas!U51="Taijishan A",944,IF(Atletas!U51="Taijiqiang A",945,IF(Atletas!U51="Taijidao B",946,IF(Atletas!U51="Taijishan B",947,IF(Atletas!U51="Taijiqiang B",948,IF(Atletas!U51="Taijidao C",949,IF(Atletas!U51="Taijishan C",950,IF(Atletas!U51="Taijiqiang C",951,IF(Atletas!U51="Taijidao D",952,IF(Atletas!U51="Taijishan D",953,IF(Atletas!U51="Taijiqiang D",954,IF(Atletas!U51="Taijidao E",955,IF(Atletas!U51="Taijishan E",956,IF(Atletas!U51="Taijiqiang E",957,IF(Atletas!U51="Taijidao F",958,IF(Atletas!U51="Taijishan F",959,IF(Atletas!U51="Taijiqiang F",960))))))))))))))))))))</f>
        <v/>
      </c>
      <c r="BX55" s="64" t="str">
        <f>IF(BY55&lt;&gt;"","Paochui B","")</f>
        <v/>
      </c>
      <c r="BY55" s="64" t="str">
        <f>IF(COUNTIF(BK:BW,1119)&gt;0,COUNTIF(BK:BW,1119),"")</f>
        <v/>
      </c>
      <c r="BZ55" s="64" t="str">
        <f>IF(CA55&lt;&gt;"","Paochui B","")</f>
        <v/>
      </c>
      <c r="CA55" s="64" t="str">
        <f>IF(COUNTIF(BK:BW,2119)&gt;0,COUNTIF(BK:BW,2119),"")</f>
        <v/>
      </c>
      <c r="CB55" s="64" t="str">
        <f>IF(CC55&lt;&gt;"","Paochui B","")</f>
        <v/>
      </c>
      <c r="CC55" s="64" t="str">
        <f>IF(COUNTIF(BK:BW,11119)&gt;0,COUNTIF(BK:BW,11119),"")</f>
        <v/>
      </c>
      <c r="CD55" s="64" t="str">
        <f>IF(CE55&lt;&gt;"","Paochui B","")</f>
        <v/>
      </c>
      <c r="CE55" s="64" t="str">
        <f>IF(COUNTIF(BK:BW,12119)&gt;0,COUNTIF(BK:BW,12119),"")</f>
        <v/>
      </c>
      <c r="CF55" s="52" t="str">
        <f xml:space="preserve"> IF(Atletas!V51="","",IF(Atletas!V51="Duilian de Mãos AB - Equipe 1",1,IF(Atletas!V51="Duilian de Mãos AB - Equipe 2",2,IF(Atletas!V51="Duilian de Armas AB - Equipe 1",3,IF(Atletas!V51="Duilian de Armas AB - Equipe 2",4,IF(Atletas!V51="Duilian de Tuishou - Equipe 1",5,IF(Atletas!V51="Duilian de Tuishou - Equipe 2",6,IF(Atletas!V51="Grupo Externo AB - Equipe 1",7,IF(Atletas!V51="Grupo Externo AB - Equipe 2",8,IF(Atletas!V51="Grupo Interno AB - Equipe 1",9,IF(Atletas!V51="Grupo Interno AB - Equipe 2",10,IF(Atletas!V51="Duilian de Mãos CD - Equipe 1",11,IF(Atletas!V51="Duilian de Mãos CD - Equipe 2",12,IF(Atletas!V51="Duilian de Armas CD - Equipe 1",13,IF(Atletas!V51="Duilian de Armas CD - Equipe 2",14,IF(Atletas!V51="Duilian de Tuishou - Equipe 1",15,IF(Atletas!V51="Duilian de Tuishou - Equipe 2",16,IF(Atletas!V51="Grupo Externo CDEF - Equipe 1",17,IF(Atletas!V51="Grupo Externo CDEF - Equipe 2",18,IF(Atletas!V51="Grupo Interno CDEF - Equipe 1",19,IF(Atletas!V51="Grupo Interno CDEF - Equipe 2",20,IF(Atletas!V51="Duilian de Mãos EF - Equipe 1",21,IF(Atletas!V51="Duilian de Mãos EF - Equipe 2",22,IF(Atletas!V51="Duilian de Armas EF - Equipe 1",23,IF(Atletas!V51="Duilian de Armas EF - Equipe 2",24,IF(Atletas!V51="Duilian de Tuishou - Equipe 1",25,IF(Atletas!V51="Duilian de Tuishou - Equipe 2",26,"")))))))))))))))))))))))))))</f>
        <v/>
      </c>
      <c r="CR55" s="71"/>
    </row>
    <row r="56" spans="2:96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 t="str">
        <f t="array" ref="N56">IFERROR(INDEX(BB$7:BB$66,SMALL(IF(BB$7:BB$66&lt;&gt;"",ROW(BB$7:BB$66)-ROW(BB$7)+1),ROWS(BB$7:BB55))),"")</f>
        <v/>
      </c>
      <c r="O56" s="4" t="str">
        <f t="array" ref="O56">IFERROR(INDEX(BC$7:BC$66,SMALL(IF(BC$7:BC$66&lt;&gt;"",ROW(BC$7:BC$66)-ROW(BC$7)+1),ROWS(BC$7:BC55))),"")</f>
        <v/>
      </c>
      <c r="P56" s="4" t="str">
        <f t="array" ref="P56">IFERROR(INDEX(BD$7:BD$66,SMALL(IF(BD$7:BD$66&lt;&gt;"",ROW(BD$7:BD$66)-ROW(BD$7)+1),ROWS(BD$7:BD55))),"")</f>
        <v/>
      </c>
      <c r="Q56" s="4" t="str">
        <f t="array" ref="Q56">IFERROR(INDEX(BE$7:BE$66,SMALL(IF(BE$7:BE$66&lt;&gt;"",ROW(BE$7:BE$66)-ROW(BE$7)+1),ROWS(BE$7:BE55))),"")</f>
        <v/>
      </c>
      <c r="R56" s="4"/>
      <c r="S56" s="4"/>
      <c r="T56" s="31"/>
      <c r="U56" s="4"/>
      <c r="V56" s="4" t="str">
        <f t="array" ref="V56">IFERROR(INDEX(BX$7:BX$336,SMALL(IF(BX$7:BX$336&lt;&gt;"",ROW(BX$7:BX$336)-ROW(BX$7)+1),ROWS(BX$7:BX55))),"")</f>
        <v/>
      </c>
      <c r="W56" s="4" t="str">
        <f t="array" ref="W56">IFERROR(INDEX(BY$7:BY$336,SMALL(IF(BY$7:BY$336&lt;&gt;"",ROW(BY$7:BY$336)-ROW(BY$7)+1),ROWS(BY$7:BY55))),"")</f>
        <v/>
      </c>
      <c r="X56" s="4" t="str">
        <f t="array" ref="X56">IFERROR(INDEX(BZ$7:BZ$336,SMALL(IF(BZ$7:BZ$336&lt;&gt;"",ROW(BZ$7:BZ$336)-ROW(BZ$7)+1),ROWS(BZ$7:BZ55))),"")</f>
        <v/>
      </c>
      <c r="Y56" s="4" t="str">
        <f t="array" ref="Y56">IFERROR(INDEX(CA$7:CA$336,SMALL(IF(CA$7:CA$336&lt;&gt;"",ROW(CA$7:CA$336)-ROW(CA$7)+1),ROWS(CA$7:CA55))),"")</f>
        <v/>
      </c>
      <c r="Z56" s="4" t="str">
        <f t="array" ref="Z56">IFERROR(INDEX(CB$7:CB$378,SMALL(IF(CB$7:CB$378&lt;&gt;"",ROW(CB$7:CB$378)-ROW(CB$7)+1),ROWS(CB$7:CB55))),"")</f>
        <v/>
      </c>
      <c r="AA56" s="4" t="str">
        <f t="array" ref="AA56">IFERROR(INDEX(CC$7:CC$378,SMALL(IF(CC$7:CC$378&lt;&gt;"",ROW(CC$7:CC$378)-ROW(CC$7)+1),ROWS(CC$7:CC55))),"")</f>
        <v/>
      </c>
      <c r="AB56" s="4" t="str">
        <f t="array" ref="AB56">IFERROR(INDEX(CD$7:CD$378,SMALL(IF(CD$7:CD$378&lt;&gt;"",ROW(CD$7:CD$378)-ROW(CD$7)+1),ROWS(CD$7:CD55))),"")</f>
        <v/>
      </c>
      <c r="AC56" s="4" t="str">
        <f t="array" ref="AC56">IFERROR(INDEX(CE$7:CE$378,SMALL(IF(CE$7:CE$378&lt;&gt;"",ROW(CE$7:CE$378)-ROW(CE$7)+1),ROWS(CE$7:CE55))),"")</f>
        <v/>
      </c>
      <c r="AD56" s="4"/>
      <c r="AE56" s="4"/>
      <c r="AF56" s="4"/>
      <c r="AG56" s="4"/>
      <c r="AH56" s="4"/>
      <c r="AI56" s="4"/>
      <c r="AJ56" s="46" t="str">
        <f>IF(Atletas!D52="","",IF(Atletas!B52="Feminino",100,IF(Atletas!B52="Masculino",200,""))+(IF(Atletas!D52="Infantil 39kg",1,IF(Atletas!D52="Infantil 42kg",2,IF(Atletas!D52="Infantil 45kg",3,IF(Atletas!D52="Infantil 48kg",4,IF(Atletas!D52="Infantil 52kg",5,IF(Atletas!D52="Infantil 56kg",6,IF(Atletas!D52="Infantil 60kg",7,IF(Atletas!D52="Juvenil 48kg",8,IF(Atletas!D52="Juvenil 52kg",9,IF(Atletas!D52="Juvenil 56kg",10,IF(Atletas!D52="Juvenil 60kg",11,IF(Atletas!D52="Juvenil 65kg",12,IF(Atletas!D52="Juvenil 70kg",13,IF(Atletas!D52="Juvenil 75kg",14,IF(Atletas!D52="Juvenil 80kg",15,IF(Atletas!D52="Adulto 48kg",16,IF(Atletas!D52="Adulto 52kg",17,IF(Atletas!D52="Adulto 56kg",18,IF(Atletas!D52="Adulto 60kg",19,IF(Atletas!D52="Adulto 65kg",20,IF(Atletas!D52="Adulto 70kg",21,IF(Atletas!D52="Adulto 75kg",22,IF(Atletas!D52="Adulto 80kg",23,IF(Atletas!D52="Adulto 85kg",24,IF(Atletas!D52="Adulto 90kg",25,IF(Atletas!D52="Adulto +90kg",26,""))))))))))))))))))))))))))))</f>
        <v/>
      </c>
      <c r="AO56" s="10" t="str">
        <f>IF(Atletas!E52="","",IF(Atletas!B52="Feminino",100,IF(Atletas!B52="Masculino",200,""))+(IF(Atletas!E52="Juvenil 44kg",1,IF(Atletas!E52="Juvenil 48kg",2,IF(Atletas!E52="Juvenil 52kg",3,IF(Atletas!E52="Juvenil 56kg",4,IF(Atletas!E52="Juvenil 60kg",5,IF(Atletas!E52="Juvenil 65kg",6,IF(Atletas!E52="Juvenil 70kg",7,IF(Atletas!E52="Juvenil 75kg",8,IF(Atletas!E52="Juvenil 82kg",9,IF(Atletas!E52="Juvenil 90kg",10,IF(Atletas!E52="Juvenil 100kg",11,IF(Atletas!E52="Adulto 48kg",12,IF(Atletas!E52="Adulto 52kg",13,IF(Atletas!E52="Adulto 56kg",14,IF(Atletas!E52="Adulto 60kg",15,IF(Atletas!E52="Adulto 65kg",16,IF(Atletas!E52="Adulto 70kg",17,IF(Atletas!E52="Adulto 75kg",18,IF(Atletas!E52="Adulto 82kg",19,IF(Atletas!E52="Adulto 90kg",20,IF(Atletas!E52="Adulto 100kg",21,IF(Atletas!E52="Adulto +100kg",22,""))))))))))))))))))))))))</f>
        <v/>
      </c>
      <c r="AT56" s="10" t="str">
        <f>IF(Atletas!F52="","",IF(Atletas!B52="Feminino",100,IF(Atletas!B52="Masculino",200,""))+(IF(Atletas!F52="Adulto 48kg",1,IF(Atletas!F52="Adulto 56kg",2,IF(Atletas!F52="Adulto 65kg",3,IF(Atletas!F52="Adulto 75kg",4,IF(Atletas!F52="Adulto +75kg",5,IF(Atletas!F52="Adulto 52kg",6,IF(Atletas!F52="Adulto 60kg",7,IF(Atletas!F52="Adulto 70kg",8,IF(Atletas!F52="Adulto 80kg",9,IF(Atletas!F52="Adulto 90kg",10,IF(Atletas!F52="Adulto +90kg",11,"")))))))))))))</f>
        <v/>
      </c>
      <c r="AY56" s="46" t="str">
        <f>IF(Atletas!G52="","",IF(Atletas!B52="Feminino",100,IF(Atletas!B52="Masculino",200,""))+(IF(Atletas!G52="Changquan Mirim",1,IF(Atletas!G52="Nanquan Mirim",2,IF(Atletas!G52="Taijiquan Mirim",3,IF(Atletas!G52="Changquan Grupo C",4,IF(Atletas!G52="Nanquan Grupo C",5,IF(Atletas!G52="Taijiquan Grupo C",6,IF(Atletas!G52="Changquan Grupo B",7,IF(Atletas!G52="Nanquan Grupo B",8,IF(Atletas!G52="Taijiquan Grupo B",9,IF(Atletas!G52="Changquan Grupo A",10,IF(Atletas!G52="Nanquan Grupo A",11,IF(Atletas!G52="Taijiquan Grupo A",12,IF(Atletas!G52="Changquan Opcional",13,IF(Atletas!G52="Nanquan Opcional",14,IF(Atletas!G52="Taijiquan Opcional",15,IF(Atletas!G52="Changquan Adulto",16,IF(Atletas!G52="Nanquan Adulto",17,IF(Atletas!G52="Taijiquan Adulto",18,""))))))))))))))))))))</f>
        <v/>
      </c>
      <c r="AZ56" s="46" t="str">
        <f>IF(Atletas!H52="","",IF(Atletas!B52="Feminino",100,IF(Atletas!B52="Masculino",200,""))+(IF(Atletas!H52="Daoshu Mirim",19,IF(Atletas!H52="Jianshu Mirim",20,IF(Atletas!H52="Nandao Mirim",21,IF(Atletas!H52="Taijijian Mirim",22,IF(Atletas!H52="Daoshu Grupo C",23,IF(Atletas!H52="Jianshu Grupo C",24,IF(Atletas!H52="Nandao Grupo C",25,IF(Atletas!H52="Taijijian Grupo C",26,IF(Atletas!H52="Daoshu Grupo B",27,IF(Atletas!H52="Jianshu Grupo B",28,IF(Atletas!H52="Nandao Grupo B",29,IF(Atletas!H52="Taijijian Grupo B",30,IF(Atletas!H52="Daoshu Grupo A",31,IF(Atletas!H52="Jianshu Grupo A",32,IF(Atletas!H52="Nandao Grupo A",33,IF(Atletas!H52="Taijijian Grupo A",34,IF(Atletas!H52="Daoshu Opcional",35,IF(Atletas!H52="Jianshu Opcional",36,IF(Atletas!H52="Nandao Opcional",37,IF(Atletas!H52="Taijijian Opcional",38,IF(Atletas!H52="Daoshu Adulto",39,IF(Atletas!H52="Jianshu Adulto",40,IF(Atletas!H52="Nandao Adulto",41,IF(Atletas!H52="Taijijian Adulto",42,""))))))))))))))))))))))))))</f>
        <v/>
      </c>
      <c r="BA56" s="46" t="str">
        <f>IF(Atletas!I52="","",IF(Atletas!B52="Feminino",100,IF(Atletas!B52="Masculino",200,""))+(IF(Atletas!I52="Gunshu Mirim",43,IF(Atletas!I52="Qiangshu Mirim",44,IF(Atletas!I52="Nangun Mirim",45,IF(Atletas!I52="Gunshu Grupo C",46,IF(Atletas!I52="Qiangshu Grupo C",47,IF(Atletas!I52="Nangun Grupo C",48,IF(Atletas!I52="Gunshu Grupo B",49,IF(Atletas!I52="Qiangshu Grupo B",50,IF(Atletas!I52="Nangun Grupo B",51,IF(Atletas!I52="Gunshu Grupo A",52,IF(Atletas!I52="Qiangshu Grupo A",53,IF(Atletas!I52="Nangun Grupo A",54,IF(Atletas!I52="Gunshu Opcional",55,IF(Atletas!I52="Qiangshu Opcional",56,IF(Atletas!I52="Nangun Opcional",57,IF(Atletas!I52="Gunshu Adulto",58,IF(Atletas!I52="Qiangshu Adulto",59,IF(Atletas!I52="Nangun Adulto",60,""))))))))))))))))))))</f>
        <v/>
      </c>
      <c r="BB56" s="10" t="str">
        <f>IF(BC56&lt;&gt;"","Nangun Opcional","")</f>
        <v/>
      </c>
      <c r="BC56" s="52" t="str">
        <f>IF(COUNTIF(AY:BA,157)&gt;0,COUNTIF(AY:BA,157),"")</f>
        <v/>
      </c>
      <c r="BD56" s="10" t="str">
        <f>IF(BE56&lt;&gt;"","Nangun Opcional","")</f>
        <v/>
      </c>
      <c r="BE56" s="52" t="str">
        <f>IF(COUNTIF(AY:BA,257)&gt;0,COUNTIF(AY:BA,257),"")</f>
        <v/>
      </c>
      <c r="BF56" s="52" t="str">
        <f>IF(Atletas!J52="","",IF(Atletas!B52="Feminino",100,IF(Atletas!B52="Masculino",200,""))+(IF(Atletas!J52="Equipe 1 Grupo B",1,IF(Atletas!J52="Equipe 2 Grupo B",2,IF(Atletas!J52="Equipe 1 Grupo A",3,IF(Atletas!J52="Equipe 2 Grupo A",4,IF(Atletas!J52="Equipe 1 Adulto",5,IF(Atletas!J52="Equipe 2 Adulto",6,""))))))))</f>
        <v/>
      </c>
      <c r="BK56" s="52" t="str">
        <f>IF(Atletas!K52="","",IF(Atletas!W52&lt;&gt;"",10000,0)+(IF(Atletas!B52="Feminino",1000,IF(Atletas!B52="Masculino",2000,""))+IF(Atletas!K52="Choylayfut A",1,IF(Atletas!K52="Hunggar A",2,IF(Atletas!K52="Wuzuquan A",3,IF(Atletas!K52="Wingchun A",4,IF(Atletas!K52="Outra Mão de Sul A",5,IF(Atletas!K52="Choylayfut B",6,IF(Atletas!K52="Hunggar B",7,IF(Atletas!K52="Wuzuquan B",8,IF(Atletas!K52="Wingchun B",9,IF(Atletas!K52="Outra Mão de Sul B",10,IF(Atletas!K52="Choylayfut C",11,IF(Atletas!K52="Hunggar C",12,IF(Atletas!K52="Wuzuquan C",13,IF(Atletas!K52="Wingchun C",14,IF(Atletas!K52="Outra Mão de Sul C",15,IF(Atletas!K52="Choylayfut D",16,IF(Atletas!K52="Hunggar D",17,IF(Atletas!K52="Wuzuquan D",18,IF(Atletas!K52="Wingchun D",19,IF(Atletas!K52="Outra Mão de Sul D",20,IF(Atletas!K52="Choylayfut E",21,IF(Atletas!K52="Hunggar E",22,IF(Atletas!K52="Wuzuquan E",23,IF(Atletas!K52="Wingchun E",24,IF(Atletas!K52="Outra Mão de Sul E",25,IF(Atletas!K52="Choylayfut F",26,IF(Atletas!K52="Hunggar F",27,IF(Atletas!K52="Wuzuquan F",28,IF(Atletas!K52="Wingchun F",29,IF(Atletas!K52="Outra Mão de Sul F",30,""))))))))))))))))))))))))))))))))</f>
        <v/>
      </c>
      <c r="BL56" s="52" t="str">
        <f>IF(Atletas!L52="","",IF(Atletas!W52&lt;&gt;"",10000,0)+(IF(Atletas!B52="Feminino",1000,IF(Atletas!B52="Masculino",2000,""))+(IF(Atletas!L52="Chaquan A",101,IF(Atletas!L52="Emeiquan A",102,IF(Atletas!L52="Fanziquan A",103,IF(Atletas!L52="Huaquan A",104,IF(Atletas!L52="Hongquan A",105,IF(Atletas!L52="Paochui A",106,IF(Atletas!L52="Piguaquan A",107,IF(Atletas!L52="Shaolinquan A",108,IF(Atletas!L52="Tanglangquan A",109,IF(Atletas!L52="Yinzhaophai A",110,IF(Atletas!L52="Tongbeiquan A",111,IF(Atletas!L52="Wudangquan A",112,IF(Atletas!L52="Outros Estilos A",113,IF(Atletas!L52="Chaquan B",114,IF(Atletas!L52="Emeiquan B",115,IF(Atletas!L52="Fanziquan B",116,IF(Atletas!L52="Huaquan B",117,IF(Atletas!L52="Hongquan B",118,IF(Atletas!L52="Paochui B",119,IF(Atletas!L52="Piguaquan B",120,IF(Atletas!L52="Shaolinquan B",121,IF(Atletas!L52="Tanglangquan B",122,IF(Atletas!L52="Yinzhaophai B",123,IF(Atletas!L52="Tongbeiquan B",124,IF(Atletas!L52="Wudangquan B",125,IF(Atletas!L52="Outros Estilos B",126,IF(Atletas!L52="Chaquan C",127,IF(Atletas!L52="Emeiquan C",128,IF(Atletas!L52="Fanziquan C",129,IF(Atletas!L52="Huaquan C",130,IF(Atletas!L52="Hongquan C",131,IF(Atletas!L52="Paochui C",132,IF(Atletas!L52="Piguaquan C",133,IF(Atletas!L52="Shaolinquan C",134,IF(Atletas!L52="Tanglangquan C",135,IF(Atletas!L52="Yinzhaophai C",136,IF(Atletas!L52="Tongbeiquan C",137,IF(Atletas!L52="Wudangquan C",138,IF(Atletas!L52="Outros Estilos C",139,0))))))))))))))))))))))))))))))))))))))))))</f>
        <v/>
      </c>
      <c r="BM56" s="52" t="str">
        <f>IF(Atletas!L52="","",IF(Atletas!W52&lt;&gt;"",10000,0)+(IF(Atletas!B52="Feminino",1000,IF(Atletas!B52="Masculino",2000,""))+(IF(Atletas!L52="Chaquan D",140,IF(Atletas!L52="Emeiquan D",141,IF(Atletas!L52="Fanziquan D",142,IF(Atletas!L52="Huaquan D",143,IF(Atletas!L52="Hongquan D",144,IF(Atletas!L52="Paochui D",145,IF(Atletas!L52="Piguaquan D",146,IF(Atletas!L52="Shaolinquan D",147,IF(Atletas!L52="Tanglangquan D",148,IF(Atletas!L52="Yinzhaophai D",149,IF(Atletas!L52="Tongbeiquan D",150,IF(Atletas!L52="Wudangquan D",151,IF(Atletas!L52="Outros Estilos D",152,IF(Atletas!L52="Chaquan E",153,IF(Atletas!L52="Emeiquan E",154,IF(Atletas!L52="Fanziquan E",155,IF(Atletas!L52="Huaquan E",156,IF(Atletas!L52="Hongquan E",157,IF(Atletas!L52="Paochui E",158,IF(Atletas!L52="Piguaquan E",159,IF(Atletas!L52="Shaolinquan E",160,IF(Atletas!L52="Tanglangquan E",161,IF(Atletas!L52="Yinzhaophai E",162,IF(Atletas!L52="Tongbeiquan E",163,IF(Atletas!L52="Wudangquan E",164,IF(Atletas!L52="Outros Estilos E",165,IF(Atletas!L52="Chaquan F",166,IF(Atletas!L52="Emeiquan F",167,IF(Atletas!L52="Fanziquan F",168,IF(Atletas!L52="Huaquan F",169,IF(Atletas!L52="Hongquan F",170,IF(Atletas!L52="Paochui F",171,IF(Atletas!L52="Piguaquan F",172,IF(Atletas!L52="Shaolinquan F",173,IF(Atletas!L52="Tanglangquan F",174,IF(Atletas!L52="Yinzhaophai F",175,IF(Atletas!L52="Tongbeiquan F",176,IF(Atletas!L52="Wudangquan F",177,IF(Atletas!L52="Outros Estilos F",178,0))))))))))))))))))))))))))))))))))))))))))</f>
        <v/>
      </c>
      <c r="BN56" s="52" t="str">
        <f>IF(Atletas!M52="","",IF(Atletas!W52&lt;&gt;"",10000,0)+(IF(Atletas!B52="Feminino",1000,IF(Atletas!B52="Masculino",2000,""))+(IF(Atletas!M52="Ditangquan A",201,IF(Atletas!M52="Houquan A",202,IF(Atletas!M52="Zuiquan A",203,IF(Atletas!M52="Ditangquan B",204,IF(Atletas!M52="Houquan B",205,IF(Atletas!M52="Zuiquan B",206,IF(Atletas!M52="Ditangquan C",207,IF(Atletas!M52="Houquan C",208,IF(Atletas!M52="Zuiquan C",209,IF(Atletas!M52="Ditangquan D",210,IF(Atletas!M52="Houquan D",211,IF(Atletas!M52="Zuiquan D",212,IF(Atletas!M52="Ditangquan E",213,IF(Atletas!M52="Houquan E",214,IF(Atletas!M52="Zuiquan E",215,IF(Atletas!M52="Ditangquan F",216,IF(Atletas!M52="Houquan F",217,IF(Atletas!M52="Zuiquan F",218,"")))))))))))))))))))))</f>
        <v/>
      </c>
      <c r="BO56" s="52" t="str">
        <f>IF(Atletas!N52="","",IF(Atletas!W52&lt;&gt;"",10000,0)+IF(Atletas!B52="Feminino",1000,IF(Atletas!B52="Masculino",2000,""))+IF(Atletas!N52="Yang A",301,IF(Atletas!N52="Chen A",30,IF(Atletas!N52="Sun A",303,IF(Atletas!N52="Wu A",304,IF(Atletas!N52="Wu-Hao A",305,IF(Atletas!N52="Outro Taijiquan A",306,IF(Atletas!N52="Yang B",307,IF(Atletas!N52="Chen B",308,IF(Atletas!N52="Sun B",309,IF(Atletas!N52="Wu B",310,IF(Atletas!N52="Wu-Hao B",311,IF(Atletas!N52="Outro Taijiquan B",312,IF(Atletas!N52="Yang C",313,IF(Atletas!N52="Chen C",314,IF(Atletas!N52="Sun C",315,IF(Atletas!N52="Wu C",316,IF(Atletas!N52="Wu-Hao C",317,IF(Atletas!N52="Outro Taijiquan C",318,IF(Atletas!N52="Yang D",319,IF(Atletas!N52="Chen D",320,IF(Atletas!N52="Sun D",321,IF(Atletas!N52="Wu D",322,IF(Atletas!N52="Wu-Hao D",323,IF(Atletas!N52="Outro Taijiquan D",324,IF(Atletas!N52="Yang E",325,IF(Atletas!N52="Chen E",326,IF(Atletas!N52="Sun E",327,IF(Atletas!N52="Wu E",328,IF(Atletas!N52="Wu-Hao E",329,IF(Atletas!N52="Outro Taijiquan E",330,IF(Atletas!N52="Yang F",331,IF(Atletas!N52="Chen F",332,IF(Atletas!N52="Sun F",333,IF(Atletas!N52="Wu F",334,IF(Atletas!N52="Wu-Hao F",335,IF(Atletas!N52="Outro Taijiquan F",336,"")))))))))))))))))))))))))))))))))))))</f>
        <v/>
      </c>
      <c r="BP56" s="52" t="str">
        <f>IF(Atletas!O52="","",IF(Atletas!W52&lt;&gt;"",10000,0)+IF(Atletas!B52="Feminino",1000,IF(Atletas!B52="Masculino",2000,""))+IF(OR(Atletas!O52="Yang 26 A",Atletas!O52="Yang 40 A"),401,IF(OR(Atletas!O52="Chen 25 A",Atletas!O52="Chen 36 A",Atletas!O52="Chen 56 A"),402,IF(Atletas!O52="Sun 73 A",403,IF(Atletas!O52="Wu 45 A",404,IF(Atletas!O52="Wu-Hao 46 A",405,IF(OR(Atletas!O52="Taijiquan 16 A",Atletas!O52="Taijiquan 24 A",Atletas!O52="Taijiquan 32 A",Atletas!O52="Taijiquan 42 A"),406,IF(OR(Atletas!O52="Yang 26 B",Atletas!O52="Yang 40 B"),407,IF(OR(Atletas!O52="Chen 25 B",Atletas!O52="Chen 36 B",Atletas!O52="Chen 56 B"),408,IF(Atletas!O52="Sun 73 B",409,IF(Atletas!O52="Wu 45 B",410,IF(Atletas!O52="Wu-Hao 46 B",411,IF(OR(Atletas!O52="Taijiquan 16 B",Atletas!O52="Taijiquan 24 B",Atletas!O52="Taijiquan 32 B",Atletas!O52="Taijiquan 42 B"),412,IF(OR(Atletas!O52="Yang 26 C",Atletas!O52="Yang 40 C"),413,IF(OR(Atletas!O52="Chen 25 C",Atletas!O52="Chen 36 C",Atletas!O52="Chen 56 C"),414,IF(Atletas!O52="Sun 73 C",415,IF(Atletas!O52="Wu 45 C",416,IF(Atletas!O52="Wu-Hao 46 C",417,IF(OR(Atletas!O52="Taijiquan 16 C",Atletas!O52="Taijiquan 24 C",Atletas!O52="Taijiquan 32 C",Atletas!O52="Taijiquan 42 C"),418,0)))))))))))))))))))</f>
        <v/>
      </c>
      <c r="BQ56" s="52" t="str">
        <f>IF(Atletas!O52="","",IF(Atletas!W52&lt;&gt;"",10000,0)+IF(Atletas!B52="Feminino",1000,IF(Atletas!B52="Masculino",2000,""))+IF(OR(Atletas!O52="Yang 26 D",Atletas!O52="Yang 40 D"),419,IF(OR(Atletas!O52="Chen 25 D",Atletas!O52="Chen 36 D",Atletas!O52="Chen 56 D"),420,IF(Atletas!O52="Sun 73 D",421,IF(Atletas!O52="Wu 45 D",422,IF(Atletas!O52="Wu-Hao 46 D",423,IF(OR(Atletas!O52="Taijiquan 16 D",Atletas!O52="Taijiquan 24 D",Atletas!O52="Taijiquan 32 D",Atletas!O52="Taijiquan 42 D"),424,IF(OR(Atletas!O52="Yang 26 E",Atletas!O52="Yang 40 E"),425,IF(OR(Atletas!O52="Chen 25 E",Atletas!O52="Chen 36 E",Atletas!O52="Chen 56 E"),426,IF(Atletas!O52="Sun 73 E",427,IF(Atletas!O52="Wu 45 E",428,IF(Atletas!O52="Wu-Hao 46 E",429,IF(OR(Atletas!O52="Taijiquan 16 E",Atletas!O52="Taijiquan 24 E",Atletas!O52="Taijiquan 32 E",Atletas!O52="Taijiquan 42 E"),430,IF(OR(Atletas!O52="Yang 26 F",Atletas!O52="Yang 40 F"),431,IF(OR(Atletas!O52="Chen 25 F",Atletas!O52="Chen 36 F",Atletas!O52="Chen 56 F"),432,IF(Atletas!O52="Sun 73 F",433,IF(Atletas!O52="Wu 45 F",434,IF(Atletas!O52="Wu-Hao 46 F",435,IF(OR(Atletas!O52="Taijiquan 16 F",Atletas!O52="Taijiquan 24 F",Atletas!O52="Taijiquan 32 F",Atletas!O52="Taijiquan 42 F"),436,0)))))))))))))))))))</f>
        <v/>
      </c>
      <c r="BR56" s="52" t="str">
        <f>IF(Atletas!P52="","",IF(Atletas!W52&lt;&gt;"",10000,0)+IF(Atletas!B52="Feminino",1000,IF(Atletas!B52="Masculino",2000,""))+IF(Atletas!P52="Xingyiquan A",501,IF(Atletas!P52="Baguazhang A",502,IF(Atletas!P52="Outro Estilo Interno A",503,IF(Atletas!P52="Xingyiquan B",504,IF(Atletas!P52="Baguazhang B",505,IF(Atletas!P52="Outro Estilo Interno B",506,IF(Atletas!P52="Xingyiquan C",507,IF(Atletas!P52="Baguazhang C",508,IF(Atletas!P52="Outro Estilo Interno C",509,IF(Atletas!P52="Xingyiquan D",510,IF(Atletas!P52="Baguazhang D",511,IF(Atletas!P52="Outro Estilo Interno D",512,IF(Atletas!P52="Xingyiquan E",513,IF(Atletas!P52="Baguazhang E",514,IF(Atletas!P52="Outro Estilo Interno E",515,IF(Atletas!P52="Xingyiquan F",516,IF(Atletas!P52="Baguazhang F",517,IF(Atletas!P52="Outro Estilo Interno F",518, "")))))))))))))))))))</f>
        <v/>
      </c>
      <c r="BS56" s="52" t="str">
        <f>IF(Atletas!Q52="","",IF(Atletas!W52&lt;&gt;"",10000,0)+IF(Atletas!B52="Feminino",1000,IF(Atletas!B52="Masculino",2000,""))+IF(Atletas!Q52="Dao A",601,IF(Atletas!Q52="Jian A",602,IF(Atletas!Q52="Bishou A",603,IF(Atletas!Q52="Shan A",604,IF(Atletas!Q52="Outra Arma Curta A",605,IF(Atletas!Q52="Dao B",606,IF(Atletas!Q52="Jian B",607,IF(Atletas!Q52="Bishou B",608,IF(Atletas!Q52="Shan B",609,IF(Atletas!Q52="Outra Arma Curta B",610,IF(Atletas!Q52="Dao C",611,IF(Atletas!Q52="Jian C",612,IF(Atletas!Q52="Bishou C",613,IF(Atletas!Q52="Shan C",614,IF(Atletas!Q52="Outra Arma Curta C",615,IF(Atletas!Q52="Dao D",616,IF(Atletas!Q52="Jian D",617,IF(Atletas!Q52="Bishou D",618,IF(Atletas!Q52="Shan D",619,IF(Atletas!Q52="Outra Arma Curta D",620,IF(Atletas!Q52="Dao E",621,IF(Atletas!Q52="Jian E",622,IF(Atletas!Q52="Bishou E",623,IF(Atletas!Q52="Shan E",624,IF(Atletas!Q52="Outra Arma Curta E",625,IF(Atletas!Q52="Dao F",626,IF(Atletas!Q52="Jian F",627,IF(Atletas!Q52="Bishou F",628,IF(Atletas!Q52="Shan F",629,IF(Atletas!Q52="Outra Arma Curta F",630, "")))))))))))))))))))))))))))))))</f>
        <v/>
      </c>
      <c r="BT56" s="52" t="str">
        <f>IF(Atletas!R52="","",IF(Atletas!W52&lt;&gt;"",10000,0)+IF(Atletas!B52="Feminino",1000,IF(Atletas!B52="Masculino",2000,""))+IF(Atletas!R52="Gun A",701,IF(Atletas!R52="Qiang A",702,IF(Atletas!R52="Pudao / Guandao A",703,IF(Atletas!R52="Outra Arma Longa A",704,IF(Atletas!R52="Gun B",705,IF(Atletas!R52="Qiang B",706,IF(Atletas!R52="Pudao / Guandao B",707,IF(Atletas!R52="Outra Arma Longa B",708,IF(Atletas!R52="Gun C",709,IF(Atletas!R52="Qiang C",710,IF(Atletas!R52="Pudao / Guandao C",711,IF(Atletas!R52="Outra Arma Longa C",712,IF(Atletas!R52="Gun D",713,IF(Atletas!R52="Qiang D",714,IF(Atletas!R52="Pudao / Guandao D",715,IF(Atletas!R52="Outra Arma Longa D",716,IF(Atletas!R52="Gun E",717,IF(Atletas!R52="Qiang E",718,IF(Atletas!R52="Pudao / Guandao E",719,IF(Atletas!R52="Outra Arma Longa E",720,IF(Atletas!R52="Gun F",721,IF(Atletas!R52="Qiang F",722,IF(Atletas!R52="Pudao / Guandao F",723,IF(Atletas!R52="Outra Arma Longa F",724,"")))))))))))))))))))))))))</f>
        <v/>
      </c>
      <c r="BU56" s="52" t="str">
        <f>IF(Atletas!S52="","",IF(Atletas!W52&lt;&gt;"",10000,0)+IF(Atletas!B52="Feminino",1000,IF(Atletas!B52="Masculino",2000,""))+IF(Atletas!S52="Arma Dupla A",801,IF(Atletas!S52="Arma Maleável A",802,IF(Atletas!S52="Arma Dupla B",803,IF(Atletas!S52="Arma Maleável B",804,IF(Atletas!S52="Arma Dupla C",805,IF(Atletas!S52="Arma Maleável C",806,IF(Atletas!S52="Arma Dupla D",807,IF(Atletas!S52="Arma Maleável D",808,IF(Atletas!S52="Arma Dupla E",809,IF(Atletas!S52="Arma Maleável E",810,IF(Atletas!S52="Arma Dupla F",811,IF(Atletas!S52="Arma Maleável F",812, "")))))))))))))</f>
        <v/>
      </c>
      <c r="BV56" s="52" t="str">
        <f>IF(Atletas!T52="","",IF(Atletas!W52&lt;&gt;"",10000,0)+IF(Atletas!B52="Feminino",1000,IF(Atletas!B52="Masculino",2000,""))+IF(Atletas!T52="Taijijian Yang A",901,IF(Atletas!T52="Taijijian Chen A",902,IF(Atletas!T52="Taijijian Sun A",903,IF(Atletas!T52="Taijijian Wu A",904,IF(Atletas!T52="Taijijian Wu-Hao A",905,IF(Atletas!T52="Taijijian 32 A",906,IF(Atletas!T52="Taijijian 42 A",907,IF(Atletas!T52="Taijijian Yang B",908,IF(Atletas!T52="Taijijian Chen B",909,IF(Atletas!T52="Taijijian Sun B",910,IF(Atletas!T52="Taijijian Wu B",911,IF(Atletas!T52="Taijijian Wu-Hao B",912,IF(Atletas!T52="Taijijian 32 B",913,IF(Atletas!T52="Taijijian 42 B",914,IF(Atletas!T52="Taijijian Yang C",915,IF(Atletas!T52="Taijijian Chen C",916,IF(Atletas!T52="Taijijian Sun C",917,IF(Atletas!T52="Taijijian Wu C",918,IF(Atletas!T52="Taijijian Wu-Hao C",919,IF(Atletas!T52="Taijijian 32 C",920,IF(Atletas!T52="Taijijian 42 C",921,IF(Atletas!T52="Taijijian Yang D",922,IF(Atletas!T52="Taijijian Chen D",923,IF(Atletas!T52="Taijijian Sun D",924,IF(Atletas!T52="Taijijian Wu D",925,IF(Atletas!T52="Taijijian Wu-Hao D",926,IF(Atletas!T52="Taijijian 32 D",927,IF(Atletas!T52="Taijijian 42 D",928,IF(Atletas!T52="Taijijian Yang E",929,IF(Atletas!T52="Taijijian Chen E",930,IF(Atletas!T52="Taijijian Sun E",931,IF(Atletas!T52="Taijijian Wu E",932,IF(Atletas!T52="Taijijian Wu-Hao E",933,IF(Atletas!T52="Taijijian 32 E",934,IF(Atletas!T52="Taijijian 42 E",935,IF(Atletas!T52="Taijijian Yang F",936,IF(Atletas!T52="Taijijian Chen F",937,IF(Atletas!T52="Taijijian Sun F",938,IF(Atletas!T52="Taijijian Wu F",939,IF(Atletas!T52="Taijijian Wu-Hao F",940,IF(Atletas!T52="Taijijian 32 F",941,IF(Atletas!T52="Taijijian 42 F",942,"")))))))))))))))))))))))))))))))))))))))))))</f>
        <v/>
      </c>
      <c r="BW56" s="52" t="str">
        <f>IF(Atletas!U52="","",IF(Atletas!W52&lt;&gt;"",10000,0)+IF(Atletas!B52="Feminino",1000,IF(Atletas!B52="Masculino",2000,""))+IF(Atletas!T52="Taijijian 42 F",942,IF(Atletas!U52="Taijidao A",943,IF(Atletas!U52="Taijishan A",944,IF(Atletas!U52="Taijiqiang A",945,IF(Atletas!U52="Taijidao B",946,IF(Atletas!U52="Taijishan B",947,IF(Atletas!U52="Taijiqiang B",948,IF(Atletas!U52="Taijidao C",949,IF(Atletas!U52="Taijishan C",950,IF(Atletas!U52="Taijiqiang C",951,IF(Atletas!U52="Taijidao D",952,IF(Atletas!U52="Taijishan D",953,IF(Atletas!U52="Taijiqiang D",954,IF(Atletas!U52="Taijidao E",955,IF(Atletas!U52="Taijishan E",956,IF(Atletas!U52="Taijiqiang E",957,IF(Atletas!U52="Taijidao F",958,IF(Atletas!U52="Taijishan F",959,IF(Atletas!U52="Taijiqiang F",960))))))))))))))))))))</f>
        <v/>
      </c>
      <c r="BX56" s="64" t="str">
        <f>IF(BY56&lt;&gt;"","Piguaquan B","")</f>
        <v/>
      </c>
      <c r="BY56" s="64" t="str">
        <f>IF(COUNTIF(BK:BW,1120)&gt;0,COUNTIF(BK:BW,1120),"")</f>
        <v/>
      </c>
      <c r="BZ56" s="64" t="str">
        <f>IF(CA56&lt;&gt;"","Piguaquan B","")</f>
        <v/>
      </c>
      <c r="CA56" s="64" t="str">
        <f>IF(COUNTIF(BK:BW,2120)&gt;0,COUNTIF(BK:BW,2120),"")</f>
        <v/>
      </c>
      <c r="CB56" s="64" t="str">
        <f>IF(CC56&lt;&gt;"","Piguaquan B","")</f>
        <v/>
      </c>
      <c r="CC56" s="64" t="str">
        <f>IF(COUNTIF(BK:BW,11120)&gt;0,COUNTIF(BK:BW,11120),"")</f>
        <v/>
      </c>
      <c r="CD56" s="64" t="str">
        <f>IF(CE56&lt;&gt;"","Piguaquan B","")</f>
        <v/>
      </c>
      <c r="CE56" s="64" t="str">
        <f>IF(COUNTIF(BK:BW,12120)&gt;0,COUNTIF(BK:BW,12120),"")</f>
        <v/>
      </c>
      <c r="CF56" s="52" t="str">
        <f xml:space="preserve"> IF(Atletas!V52="","",IF(Atletas!V52="Duilian de Mãos AB - Equipe 1",1,IF(Atletas!V52="Duilian de Mãos AB - Equipe 2",2,IF(Atletas!V52="Duilian de Armas AB - Equipe 1",3,IF(Atletas!V52="Duilian de Armas AB - Equipe 2",4,IF(Atletas!V52="Duilian de Tuishou - Equipe 1",5,IF(Atletas!V52="Duilian de Tuishou - Equipe 2",6,IF(Atletas!V52="Grupo Externo AB - Equipe 1",7,IF(Atletas!V52="Grupo Externo AB - Equipe 2",8,IF(Atletas!V52="Grupo Interno AB - Equipe 1",9,IF(Atletas!V52="Grupo Interno AB - Equipe 2",10,IF(Atletas!V52="Duilian de Mãos CD - Equipe 1",11,IF(Atletas!V52="Duilian de Mãos CD - Equipe 2",12,IF(Atletas!V52="Duilian de Armas CD - Equipe 1",13,IF(Atletas!V52="Duilian de Armas CD - Equipe 2",14,IF(Atletas!V52="Duilian de Tuishou - Equipe 1",15,IF(Atletas!V52="Duilian de Tuishou - Equipe 2",16,IF(Atletas!V52="Grupo Externo CDEF - Equipe 1",17,IF(Atletas!V52="Grupo Externo CDEF - Equipe 2",18,IF(Atletas!V52="Grupo Interno CDEF - Equipe 1",19,IF(Atletas!V52="Grupo Interno CDEF - Equipe 2",20,IF(Atletas!V52="Duilian de Mãos EF - Equipe 1",21,IF(Atletas!V52="Duilian de Mãos EF - Equipe 2",22,IF(Atletas!V52="Duilian de Armas EF - Equipe 1",23,IF(Atletas!V52="Duilian de Armas EF - Equipe 2",24,IF(Atletas!V52="Duilian de Tuishou - Equipe 1",25,IF(Atletas!V52="Duilian de Tuishou - Equipe 2",26,"")))))))))))))))))))))))))))</f>
        <v/>
      </c>
      <c r="CR56" s="71"/>
    </row>
    <row r="57" spans="2:96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 t="str">
        <f t="array" ref="N57">IFERROR(INDEX(BB$7:BB$66,SMALL(IF(BB$7:BB$66&lt;&gt;"",ROW(BB$7:BB$66)-ROW(BB$7)+1),ROWS(BB$7:BB56))),"")</f>
        <v/>
      </c>
      <c r="O57" s="4" t="str">
        <f t="array" ref="O57">IFERROR(INDEX(BC$7:BC$66,SMALL(IF(BC$7:BC$66&lt;&gt;"",ROW(BC$7:BC$66)-ROW(BC$7)+1),ROWS(BC$7:BC56))),"")</f>
        <v/>
      </c>
      <c r="P57" s="4" t="str">
        <f t="array" ref="P57">IFERROR(INDEX(BD$7:BD$66,SMALL(IF(BD$7:BD$66&lt;&gt;"",ROW(BD$7:BD$66)-ROW(BD$7)+1),ROWS(BD$7:BD56))),"")</f>
        <v/>
      </c>
      <c r="Q57" s="4" t="str">
        <f t="array" ref="Q57">IFERROR(INDEX(BE$7:BE$66,SMALL(IF(BE$7:BE$66&lt;&gt;"",ROW(BE$7:BE$66)-ROW(BE$7)+1),ROWS(BE$7:BE56))),"")</f>
        <v/>
      </c>
      <c r="R57" s="4"/>
      <c r="S57" s="4"/>
      <c r="T57" s="31"/>
      <c r="U57" s="4"/>
      <c r="V57" s="4" t="str">
        <f t="array" ref="V57">IFERROR(INDEX(BX$7:BX$336,SMALL(IF(BX$7:BX$336&lt;&gt;"",ROW(BX$7:BX$336)-ROW(BX$7)+1),ROWS(BX$7:BX56))),"")</f>
        <v/>
      </c>
      <c r="W57" s="4" t="str">
        <f t="array" ref="W57">IFERROR(INDEX(BY$7:BY$336,SMALL(IF(BY$7:BY$336&lt;&gt;"",ROW(BY$7:BY$336)-ROW(BY$7)+1),ROWS(BY$7:BY56))),"")</f>
        <v/>
      </c>
      <c r="X57" s="4" t="str">
        <f t="array" ref="X57">IFERROR(INDEX(BZ$7:BZ$336,SMALL(IF(BZ$7:BZ$336&lt;&gt;"",ROW(BZ$7:BZ$336)-ROW(BZ$7)+1),ROWS(BZ$7:BZ56))),"")</f>
        <v/>
      </c>
      <c r="Y57" s="4" t="str">
        <f t="array" ref="Y57">IFERROR(INDEX(CA$7:CA$336,SMALL(IF(CA$7:CA$336&lt;&gt;"",ROW(CA$7:CA$336)-ROW(CA$7)+1),ROWS(CA$7:CA56))),"")</f>
        <v/>
      </c>
      <c r="Z57" s="4" t="str">
        <f t="array" ref="Z57">IFERROR(INDEX(CB$7:CB$378,SMALL(IF(CB$7:CB$378&lt;&gt;"",ROW(CB$7:CB$378)-ROW(CB$7)+1),ROWS(CB$7:CB56))),"")</f>
        <v/>
      </c>
      <c r="AA57" s="4" t="str">
        <f t="array" ref="AA57">IFERROR(INDEX(CC$7:CC$378,SMALL(IF(CC$7:CC$378&lt;&gt;"",ROW(CC$7:CC$378)-ROW(CC$7)+1),ROWS(CC$7:CC56))),"")</f>
        <v/>
      </c>
      <c r="AB57" s="4" t="str">
        <f t="array" ref="AB57">IFERROR(INDEX(CD$7:CD$378,SMALL(IF(CD$7:CD$378&lt;&gt;"",ROW(CD$7:CD$378)-ROW(CD$7)+1),ROWS(CD$7:CD56))),"")</f>
        <v/>
      </c>
      <c r="AC57" s="4" t="str">
        <f t="array" ref="AC57">IFERROR(INDEX(CE$7:CE$378,SMALL(IF(CE$7:CE$378&lt;&gt;"",ROW(CE$7:CE$378)-ROW(CE$7)+1),ROWS(CE$7:CE56))),"")</f>
        <v/>
      </c>
      <c r="AD57" s="4"/>
      <c r="AE57" s="4"/>
      <c r="AF57" s="4"/>
      <c r="AG57" s="4"/>
      <c r="AH57" s="4"/>
      <c r="AI57" s="4"/>
      <c r="AJ57" s="46" t="str">
        <f>IF(Atletas!D53="","",IF(Atletas!B53="Feminino",100,IF(Atletas!B53="Masculino",200,""))+(IF(Atletas!D53="Infantil 39kg",1,IF(Atletas!D53="Infantil 42kg",2,IF(Atletas!D53="Infantil 45kg",3,IF(Atletas!D53="Infantil 48kg",4,IF(Atletas!D53="Infantil 52kg",5,IF(Atletas!D53="Infantil 56kg",6,IF(Atletas!D53="Infantil 60kg",7,IF(Atletas!D53="Juvenil 48kg",8,IF(Atletas!D53="Juvenil 52kg",9,IF(Atletas!D53="Juvenil 56kg",10,IF(Atletas!D53="Juvenil 60kg",11,IF(Atletas!D53="Juvenil 65kg",12,IF(Atletas!D53="Juvenil 70kg",13,IF(Atletas!D53="Juvenil 75kg",14,IF(Atletas!D53="Juvenil 80kg",15,IF(Atletas!D53="Adulto 48kg",16,IF(Atletas!D53="Adulto 52kg",17,IF(Atletas!D53="Adulto 56kg",18,IF(Atletas!D53="Adulto 60kg",19,IF(Atletas!D53="Adulto 65kg",20,IF(Atletas!D53="Adulto 70kg",21,IF(Atletas!D53="Adulto 75kg",22,IF(Atletas!D53="Adulto 80kg",23,IF(Atletas!D53="Adulto 85kg",24,IF(Atletas!D53="Adulto 90kg",25,IF(Atletas!D53="Adulto +90kg",26,""))))))))))))))))))))))))))))</f>
        <v/>
      </c>
      <c r="AO57" s="10" t="str">
        <f>IF(Atletas!E53="","",IF(Atletas!B53="Feminino",100,IF(Atletas!B53="Masculino",200,""))+(IF(Atletas!E53="Juvenil 44kg",1,IF(Atletas!E53="Juvenil 48kg",2,IF(Atletas!E53="Juvenil 52kg",3,IF(Atletas!E53="Juvenil 56kg",4,IF(Atletas!E53="Juvenil 60kg",5,IF(Atletas!E53="Juvenil 65kg",6,IF(Atletas!E53="Juvenil 70kg",7,IF(Atletas!E53="Juvenil 75kg",8,IF(Atletas!E53="Juvenil 82kg",9,IF(Atletas!E53="Juvenil 90kg",10,IF(Atletas!E53="Juvenil 100kg",11,IF(Atletas!E53="Adulto 48kg",12,IF(Atletas!E53="Adulto 52kg",13,IF(Atletas!E53="Adulto 56kg",14,IF(Atletas!E53="Adulto 60kg",15,IF(Atletas!E53="Adulto 65kg",16,IF(Atletas!E53="Adulto 70kg",17,IF(Atletas!E53="Adulto 75kg",18,IF(Atletas!E53="Adulto 82kg",19,IF(Atletas!E53="Adulto 90kg",20,IF(Atletas!E53="Adulto 100kg",21,IF(Atletas!E53="Adulto +100kg",22,""))))))))))))))))))))))))</f>
        <v/>
      </c>
      <c r="AT57" s="10" t="str">
        <f>IF(Atletas!F53="","",IF(Atletas!B53="Feminino",100,IF(Atletas!B53="Masculino",200,""))+(IF(Atletas!F53="Adulto 48kg",1,IF(Atletas!F53="Adulto 56kg",2,IF(Atletas!F53="Adulto 65kg",3,IF(Atletas!F53="Adulto 75kg",4,IF(Atletas!F53="Adulto +75kg",5,IF(Atletas!F53="Adulto 52kg",6,IF(Atletas!F53="Adulto 60kg",7,IF(Atletas!F53="Adulto 70kg",8,IF(Atletas!F53="Adulto 80kg",9,IF(Atletas!F53="Adulto 90kg",10,IF(Atletas!F53="Adulto +90kg",11,"")))))))))))))</f>
        <v/>
      </c>
      <c r="AY57" s="46" t="str">
        <f>IF(Atletas!G53="","",IF(Atletas!B53="Feminino",100,IF(Atletas!B53="Masculino",200,""))+(IF(Atletas!G53="Changquan Mirim",1,IF(Atletas!G53="Nanquan Mirim",2,IF(Atletas!G53="Taijiquan Mirim",3,IF(Atletas!G53="Changquan Grupo C",4,IF(Atletas!G53="Nanquan Grupo C",5,IF(Atletas!G53="Taijiquan Grupo C",6,IF(Atletas!G53="Changquan Grupo B",7,IF(Atletas!G53="Nanquan Grupo B",8,IF(Atletas!G53="Taijiquan Grupo B",9,IF(Atletas!G53="Changquan Grupo A",10,IF(Atletas!G53="Nanquan Grupo A",11,IF(Atletas!G53="Taijiquan Grupo A",12,IF(Atletas!G53="Changquan Opcional",13,IF(Atletas!G53="Nanquan Opcional",14,IF(Atletas!G53="Taijiquan Opcional",15,IF(Atletas!G53="Changquan Adulto",16,IF(Atletas!G53="Nanquan Adulto",17,IF(Atletas!G53="Taijiquan Adulto",18,""))))))))))))))))))))</f>
        <v/>
      </c>
      <c r="AZ57" s="46" t="str">
        <f>IF(Atletas!H53="","",IF(Atletas!B53="Feminino",100,IF(Atletas!B53="Masculino",200,""))+(IF(Atletas!H53="Daoshu Mirim",19,IF(Atletas!H53="Jianshu Mirim",20,IF(Atletas!H53="Nandao Mirim",21,IF(Atletas!H53="Taijijian Mirim",22,IF(Atletas!H53="Daoshu Grupo C",23,IF(Atletas!H53="Jianshu Grupo C",24,IF(Atletas!H53="Nandao Grupo C",25,IF(Atletas!H53="Taijijian Grupo C",26,IF(Atletas!H53="Daoshu Grupo B",27,IF(Atletas!H53="Jianshu Grupo B",28,IF(Atletas!H53="Nandao Grupo B",29,IF(Atletas!H53="Taijijian Grupo B",30,IF(Atletas!H53="Daoshu Grupo A",31,IF(Atletas!H53="Jianshu Grupo A",32,IF(Atletas!H53="Nandao Grupo A",33,IF(Atletas!H53="Taijijian Grupo A",34,IF(Atletas!H53="Daoshu Opcional",35,IF(Atletas!H53="Jianshu Opcional",36,IF(Atletas!H53="Nandao Opcional",37,IF(Atletas!H53="Taijijian Opcional",38,IF(Atletas!H53="Daoshu Adulto",39,IF(Atletas!H53="Jianshu Adulto",40,IF(Atletas!H53="Nandao Adulto",41,IF(Atletas!H53="Taijijian Adulto",42,""))))))))))))))))))))))))))</f>
        <v/>
      </c>
      <c r="BA57" s="46" t="str">
        <f>IF(Atletas!I53="","",IF(Atletas!B53="Feminino",100,IF(Atletas!B53="Masculino",200,""))+(IF(Atletas!I53="Gunshu Mirim",43,IF(Atletas!I53="Qiangshu Mirim",44,IF(Atletas!I53="Nangun Mirim",45,IF(Atletas!I53="Gunshu Grupo C",46,IF(Atletas!I53="Qiangshu Grupo C",47,IF(Atletas!I53="Nangun Grupo C",48,IF(Atletas!I53="Gunshu Grupo B",49,IF(Atletas!I53="Qiangshu Grupo B",50,IF(Atletas!I53="Nangun Grupo B",51,IF(Atletas!I53="Gunshu Grupo A",52,IF(Atletas!I53="Qiangshu Grupo A",53,IF(Atletas!I53="Nangun Grupo A",54,IF(Atletas!I53="Gunshu Opcional",55,IF(Atletas!I53="Qiangshu Opcional",56,IF(Atletas!I53="Nangun Opcional",57,IF(Atletas!I53="Gunshu Adulto",58,IF(Atletas!I53="Qiangshu Adulto",59,IF(Atletas!I53="Nangun Adulto",60,""))))))))))))))))))))</f>
        <v/>
      </c>
      <c r="BB57" s="10" t="str">
        <f>IF(BC57&lt;&gt;"","Chanquan Adulto","")</f>
        <v/>
      </c>
      <c r="BC57" s="52" t="str">
        <f>IF(COUNTIF(AY:BA,116)&gt;0,COUNTIF(AY:BA,116),"")</f>
        <v/>
      </c>
      <c r="BD57" s="10" t="str">
        <f>IF(BE57&lt;&gt;"","Chanquan Adulto","")</f>
        <v/>
      </c>
      <c r="BE57" s="52" t="str">
        <f>IF(COUNTIF(AY:BA,216)&gt;0,COUNTIF(AY:BA,216),"")</f>
        <v/>
      </c>
      <c r="BF57" s="52" t="str">
        <f>IF(Atletas!J53="","",IF(Atletas!B53="Feminino",100,IF(Atletas!B53="Masculino",200,""))+(IF(Atletas!J53="Equipe 1 Grupo B",1,IF(Atletas!J53="Equipe 2 Grupo B",2,IF(Atletas!J53="Equipe 1 Grupo A",3,IF(Atletas!J53="Equipe 2 Grupo A",4,IF(Atletas!J53="Equipe 1 Adulto",5,IF(Atletas!J53="Equipe 2 Adulto",6,""))))))))</f>
        <v/>
      </c>
      <c r="BK57" s="52" t="str">
        <f>IF(Atletas!K53="","",IF(Atletas!W53&lt;&gt;"",10000,0)+(IF(Atletas!B53="Feminino",1000,IF(Atletas!B53="Masculino",2000,""))+IF(Atletas!K53="Choylayfut A",1,IF(Atletas!K53="Hunggar A",2,IF(Atletas!K53="Wuzuquan A",3,IF(Atletas!K53="Wingchun A",4,IF(Atletas!K53="Outra Mão de Sul A",5,IF(Atletas!K53="Choylayfut B",6,IF(Atletas!K53="Hunggar B",7,IF(Atletas!K53="Wuzuquan B",8,IF(Atletas!K53="Wingchun B",9,IF(Atletas!K53="Outra Mão de Sul B",10,IF(Atletas!K53="Choylayfut C",11,IF(Atletas!K53="Hunggar C",12,IF(Atletas!K53="Wuzuquan C",13,IF(Atletas!K53="Wingchun C",14,IF(Atletas!K53="Outra Mão de Sul C",15,IF(Atletas!K53="Choylayfut D",16,IF(Atletas!K53="Hunggar D",17,IF(Atletas!K53="Wuzuquan D",18,IF(Atletas!K53="Wingchun D",19,IF(Atletas!K53="Outra Mão de Sul D",20,IF(Atletas!K53="Choylayfut E",21,IF(Atletas!K53="Hunggar E",22,IF(Atletas!K53="Wuzuquan E",23,IF(Atletas!K53="Wingchun E",24,IF(Atletas!K53="Outra Mão de Sul E",25,IF(Atletas!K53="Choylayfut F",26,IF(Atletas!K53="Hunggar F",27,IF(Atletas!K53="Wuzuquan F",28,IF(Atletas!K53="Wingchun F",29,IF(Atletas!K53="Outra Mão de Sul F",30,""))))))))))))))))))))))))))))))))</f>
        <v/>
      </c>
      <c r="BL57" s="52" t="str">
        <f>IF(Atletas!L53="","",IF(Atletas!W53&lt;&gt;"",10000,0)+(IF(Atletas!B53="Feminino",1000,IF(Atletas!B53="Masculino",2000,""))+(IF(Atletas!L53="Chaquan A",101,IF(Atletas!L53="Emeiquan A",102,IF(Atletas!L53="Fanziquan A",103,IF(Atletas!L53="Huaquan A",104,IF(Atletas!L53="Hongquan A",105,IF(Atletas!L53="Paochui A",106,IF(Atletas!L53="Piguaquan A",107,IF(Atletas!L53="Shaolinquan A",108,IF(Atletas!L53="Tanglangquan A",109,IF(Atletas!L53="Yinzhaophai A",110,IF(Atletas!L53="Tongbeiquan A",111,IF(Atletas!L53="Wudangquan A",112,IF(Atletas!L53="Outros Estilos A",113,IF(Atletas!L53="Chaquan B",114,IF(Atletas!L53="Emeiquan B",115,IF(Atletas!L53="Fanziquan B",116,IF(Atletas!L53="Huaquan B",117,IF(Atletas!L53="Hongquan B",118,IF(Atletas!L53="Paochui B",119,IF(Atletas!L53="Piguaquan B",120,IF(Atletas!L53="Shaolinquan B",121,IF(Atletas!L53="Tanglangquan B",122,IF(Atletas!L53="Yinzhaophai B",123,IF(Atletas!L53="Tongbeiquan B",124,IF(Atletas!L53="Wudangquan B",125,IF(Atletas!L53="Outros Estilos B",126,IF(Atletas!L53="Chaquan C",127,IF(Atletas!L53="Emeiquan C",128,IF(Atletas!L53="Fanziquan C",129,IF(Atletas!L53="Huaquan C",130,IF(Atletas!L53="Hongquan C",131,IF(Atletas!L53="Paochui C",132,IF(Atletas!L53="Piguaquan C",133,IF(Atletas!L53="Shaolinquan C",134,IF(Atletas!L53="Tanglangquan C",135,IF(Atletas!L53="Yinzhaophai C",136,IF(Atletas!L53="Tongbeiquan C",137,IF(Atletas!L53="Wudangquan C",138,IF(Atletas!L53="Outros Estilos C",139,0))))))))))))))))))))))))))))))))))))))))))</f>
        <v/>
      </c>
      <c r="BM57" s="52" t="str">
        <f>IF(Atletas!L53="","",IF(Atletas!W53&lt;&gt;"",10000,0)+(IF(Atletas!B53="Feminino",1000,IF(Atletas!B53="Masculino",2000,""))+(IF(Atletas!L53="Chaquan D",140,IF(Atletas!L53="Emeiquan D",141,IF(Atletas!L53="Fanziquan D",142,IF(Atletas!L53="Huaquan D",143,IF(Atletas!L53="Hongquan D",144,IF(Atletas!L53="Paochui D",145,IF(Atletas!L53="Piguaquan D",146,IF(Atletas!L53="Shaolinquan D",147,IF(Atletas!L53="Tanglangquan D",148,IF(Atletas!L53="Yinzhaophai D",149,IF(Atletas!L53="Tongbeiquan D",150,IF(Atletas!L53="Wudangquan D",151,IF(Atletas!L53="Outros Estilos D",152,IF(Atletas!L53="Chaquan E",153,IF(Atletas!L53="Emeiquan E",154,IF(Atletas!L53="Fanziquan E",155,IF(Atletas!L53="Huaquan E",156,IF(Atletas!L53="Hongquan E",157,IF(Atletas!L53="Paochui E",158,IF(Atletas!L53="Piguaquan E",159,IF(Atletas!L53="Shaolinquan E",160,IF(Atletas!L53="Tanglangquan E",161,IF(Atletas!L53="Yinzhaophai E",162,IF(Atletas!L53="Tongbeiquan E",163,IF(Atletas!L53="Wudangquan E",164,IF(Atletas!L53="Outros Estilos E",165,IF(Atletas!L53="Chaquan F",166,IF(Atletas!L53="Emeiquan F",167,IF(Atletas!L53="Fanziquan F",168,IF(Atletas!L53="Huaquan F",169,IF(Atletas!L53="Hongquan F",170,IF(Atletas!L53="Paochui F",171,IF(Atletas!L53="Piguaquan F",172,IF(Atletas!L53="Shaolinquan F",173,IF(Atletas!L53="Tanglangquan F",174,IF(Atletas!L53="Yinzhaophai F",175,IF(Atletas!L53="Tongbeiquan F",176,IF(Atletas!L53="Wudangquan F",177,IF(Atletas!L53="Outros Estilos F",178,0))))))))))))))))))))))))))))))))))))))))))</f>
        <v/>
      </c>
      <c r="BN57" s="52" t="str">
        <f>IF(Atletas!M53="","",IF(Atletas!W53&lt;&gt;"",10000,0)+(IF(Atletas!B53="Feminino",1000,IF(Atletas!B53="Masculino",2000,""))+(IF(Atletas!M53="Ditangquan A",201,IF(Atletas!M53="Houquan A",202,IF(Atletas!M53="Zuiquan A",203,IF(Atletas!M53="Ditangquan B",204,IF(Atletas!M53="Houquan B",205,IF(Atletas!M53="Zuiquan B",206,IF(Atletas!M53="Ditangquan C",207,IF(Atletas!M53="Houquan C",208,IF(Atletas!M53="Zuiquan C",209,IF(Atletas!M53="Ditangquan D",210,IF(Atletas!M53="Houquan D",211,IF(Atletas!M53="Zuiquan D",212,IF(Atletas!M53="Ditangquan E",213,IF(Atletas!M53="Houquan E",214,IF(Atletas!M53="Zuiquan E",215,IF(Atletas!M53="Ditangquan F",216,IF(Atletas!M53="Houquan F",217,IF(Atletas!M53="Zuiquan F",218,"")))))))))))))))))))))</f>
        <v/>
      </c>
      <c r="BO57" s="52" t="str">
        <f>IF(Atletas!N53="","",IF(Atletas!W53&lt;&gt;"",10000,0)+IF(Atletas!B53="Feminino",1000,IF(Atletas!B53="Masculino",2000,""))+IF(Atletas!N53="Yang A",301,IF(Atletas!N53="Chen A",30,IF(Atletas!N53="Sun A",303,IF(Atletas!N53="Wu A",304,IF(Atletas!N53="Wu-Hao A",305,IF(Atletas!N53="Outro Taijiquan A",306,IF(Atletas!N53="Yang B",307,IF(Atletas!N53="Chen B",308,IF(Atletas!N53="Sun B",309,IF(Atletas!N53="Wu B",310,IF(Atletas!N53="Wu-Hao B",311,IF(Atletas!N53="Outro Taijiquan B",312,IF(Atletas!N53="Yang C",313,IF(Atletas!N53="Chen C",314,IF(Atletas!N53="Sun C",315,IF(Atletas!N53="Wu C",316,IF(Atletas!N53="Wu-Hao C",317,IF(Atletas!N53="Outro Taijiquan C",318,IF(Atletas!N53="Yang D",319,IF(Atletas!N53="Chen D",320,IF(Atletas!N53="Sun D",321,IF(Atletas!N53="Wu D",322,IF(Atletas!N53="Wu-Hao D",323,IF(Atletas!N53="Outro Taijiquan D",324,IF(Atletas!N53="Yang E",325,IF(Atletas!N53="Chen E",326,IF(Atletas!N53="Sun E",327,IF(Atletas!N53="Wu E",328,IF(Atletas!N53="Wu-Hao E",329,IF(Atletas!N53="Outro Taijiquan E",330,IF(Atletas!N53="Yang F",331,IF(Atletas!N53="Chen F",332,IF(Atletas!N53="Sun F",333,IF(Atletas!N53="Wu F",334,IF(Atletas!N53="Wu-Hao F",335,IF(Atletas!N53="Outro Taijiquan F",336,"")))))))))))))))))))))))))))))))))))))</f>
        <v/>
      </c>
      <c r="BP57" s="52" t="str">
        <f>IF(Atletas!O53="","",IF(Atletas!W53&lt;&gt;"",10000,0)+IF(Atletas!B53="Feminino",1000,IF(Atletas!B53="Masculino",2000,""))+IF(OR(Atletas!O53="Yang 26 A",Atletas!O53="Yang 40 A"),401,IF(OR(Atletas!O53="Chen 25 A",Atletas!O53="Chen 36 A",Atletas!O53="Chen 56 A"),402,IF(Atletas!O53="Sun 73 A",403,IF(Atletas!O53="Wu 45 A",404,IF(Atletas!O53="Wu-Hao 46 A",405,IF(OR(Atletas!O53="Taijiquan 16 A",Atletas!O53="Taijiquan 24 A",Atletas!O53="Taijiquan 32 A",Atletas!O53="Taijiquan 42 A"),406,IF(OR(Atletas!O53="Yang 26 B",Atletas!O53="Yang 40 B"),407,IF(OR(Atletas!O53="Chen 25 B",Atletas!O53="Chen 36 B",Atletas!O53="Chen 56 B"),408,IF(Atletas!O53="Sun 73 B",409,IF(Atletas!O53="Wu 45 B",410,IF(Atletas!O53="Wu-Hao 46 B",411,IF(OR(Atletas!O53="Taijiquan 16 B",Atletas!O53="Taijiquan 24 B",Atletas!O53="Taijiquan 32 B",Atletas!O53="Taijiquan 42 B"),412,IF(OR(Atletas!O53="Yang 26 C",Atletas!O53="Yang 40 C"),413,IF(OR(Atletas!O53="Chen 25 C",Atletas!O53="Chen 36 C",Atletas!O53="Chen 56 C"),414,IF(Atletas!O53="Sun 73 C",415,IF(Atletas!O53="Wu 45 C",416,IF(Atletas!O53="Wu-Hao 46 C",417,IF(OR(Atletas!O53="Taijiquan 16 C",Atletas!O53="Taijiquan 24 C",Atletas!O53="Taijiquan 32 C",Atletas!O53="Taijiquan 42 C"),418,0)))))))))))))))))))</f>
        <v/>
      </c>
      <c r="BQ57" s="52" t="str">
        <f>IF(Atletas!O53="","",IF(Atletas!W53&lt;&gt;"",10000,0)+IF(Atletas!B53="Feminino",1000,IF(Atletas!B53="Masculino",2000,""))+IF(OR(Atletas!O53="Yang 26 D",Atletas!O53="Yang 40 D"),419,IF(OR(Atletas!O53="Chen 25 D",Atletas!O53="Chen 36 D",Atletas!O53="Chen 56 D"),420,IF(Atletas!O53="Sun 73 D",421,IF(Atletas!O53="Wu 45 D",422,IF(Atletas!O53="Wu-Hao 46 D",423,IF(OR(Atletas!O53="Taijiquan 16 D",Atletas!O53="Taijiquan 24 D",Atletas!O53="Taijiquan 32 D",Atletas!O53="Taijiquan 42 D"),424,IF(OR(Atletas!O53="Yang 26 E",Atletas!O53="Yang 40 E"),425,IF(OR(Atletas!O53="Chen 25 E",Atletas!O53="Chen 36 E",Atletas!O53="Chen 56 E"),426,IF(Atletas!O53="Sun 73 E",427,IF(Atletas!O53="Wu 45 E",428,IF(Atletas!O53="Wu-Hao 46 E",429,IF(OR(Atletas!O53="Taijiquan 16 E",Atletas!O53="Taijiquan 24 E",Atletas!O53="Taijiquan 32 E",Atletas!O53="Taijiquan 42 E"),430,IF(OR(Atletas!O53="Yang 26 F",Atletas!O53="Yang 40 F"),431,IF(OR(Atletas!O53="Chen 25 F",Atletas!O53="Chen 36 F",Atletas!O53="Chen 56 F"),432,IF(Atletas!O53="Sun 73 F",433,IF(Atletas!O53="Wu 45 F",434,IF(Atletas!O53="Wu-Hao 46 F",435,IF(OR(Atletas!O53="Taijiquan 16 F",Atletas!O53="Taijiquan 24 F",Atletas!O53="Taijiquan 32 F",Atletas!O53="Taijiquan 42 F"),436,0)))))))))))))))))))</f>
        <v/>
      </c>
      <c r="BR57" s="52" t="str">
        <f>IF(Atletas!P53="","",IF(Atletas!W53&lt;&gt;"",10000,0)+IF(Atletas!B53="Feminino",1000,IF(Atletas!B53="Masculino",2000,""))+IF(Atletas!P53="Xingyiquan A",501,IF(Atletas!P53="Baguazhang A",502,IF(Atletas!P53="Outro Estilo Interno A",503,IF(Atletas!P53="Xingyiquan B",504,IF(Atletas!P53="Baguazhang B",505,IF(Atletas!P53="Outro Estilo Interno B",506,IF(Atletas!P53="Xingyiquan C",507,IF(Atletas!P53="Baguazhang C",508,IF(Atletas!P53="Outro Estilo Interno C",509,IF(Atletas!P53="Xingyiquan D",510,IF(Atletas!P53="Baguazhang D",511,IF(Atletas!P53="Outro Estilo Interno D",512,IF(Atletas!P53="Xingyiquan E",513,IF(Atletas!P53="Baguazhang E",514,IF(Atletas!P53="Outro Estilo Interno E",515,IF(Atletas!P53="Xingyiquan F",516,IF(Atletas!P53="Baguazhang F",517,IF(Atletas!P53="Outro Estilo Interno F",518, "")))))))))))))))))))</f>
        <v/>
      </c>
      <c r="BS57" s="52" t="str">
        <f>IF(Atletas!Q53="","",IF(Atletas!W53&lt;&gt;"",10000,0)+IF(Atletas!B53="Feminino",1000,IF(Atletas!B53="Masculino",2000,""))+IF(Atletas!Q53="Dao A",601,IF(Atletas!Q53="Jian A",602,IF(Atletas!Q53="Bishou A",603,IF(Atletas!Q53="Shan A",604,IF(Atletas!Q53="Outra Arma Curta A",605,IF(Atletas!Q53="Dao B",606,IF(Atletas!Q53="Jian B",607,IF(Atletas!Q53="Bishou B",608,IF(Atletas!Q53="Shan B",609,IF(Atletas!Q53="Outra Arma Curta B",610,IF(Atletas!Q53="Dao C",611,IF(Atletas!Q53="Jian C",612,IF(Atletas!Q53="Bishou C",613,IF(Atletas!Q53="Shan C",614,IF(Atletas!Q53="Outra Arma Curta C",615,IF(Atletas!Q53="Dao D",616,IF(Atletas!Q53="Jian D",617,IF(Atletas!Q53="Bishou D",618,IF(Atletas!Q53="Shan D",619,IF(Atletas!Q53="Outra Arma Curta D",620,IF(Atletas!Q53="Dao E",621,IF(Atletas!Q53="Jian E",622,IF(Atletas!Q53="Bishou E",623,IF(Atletas!Q53="Shan E",624,IF(Atletas!Q53="Outra Arma Curta E",625,IF(Atletas!Q53="Dao F",626,IF(Atletas!Q53="Jian F",627,IF(Atletas!Q53="Bishou F",628,IF(Atletas!Q53="Shan F",629,IF(Atletas!Q53="Outra Arma Curta F",630, "")))))))))))))))))))))))))))))))</f>
        <v/>
      </c>
      <c r="BT57" s="52" t="str">
        <f>IF(Atletas!R53="","",IF(Atletas!W53&lt;&gt;"",10000,0)+IF(Atletas!B53="Feminino",1000,IF(Atletas!B53="Masculino",2000,""))+IF(Atletas!R53="Gun A",701,IF(Atletas!R53="Qiang A",702,IF(Atletas!R53="Pudao / Guandao A",703,IF(Atletas!R53="Outra Arma Longa A",704,IF(Atletas!R53="Gun B",705,IF(Atletas!R53="Qiang B",706,IF(Atletas!R53="Pudao / Guandao B",707,IF(Atletas!R53="Outra Arma Longa B",708,IF(Atletas!R53="Gun C",709,IF(Atletas!R53="Qiang C",710,IF(Atletas!R53="Pudao / Guandao C",711,IF(Atletas!R53="Outra Arma Longa C",712,IF(Atletas!R53="Gun D",713,IF(Atletas!R53="Qiang D",714,IF(Atletas!R53="Pudao / Guandao D",715,IF(Atletas!R53="Outra Arma Longa D",716,IF(Atletas!R53="Gun E",717,IF(Atletas!R53="Qiang E",718,IF(Atletas!R53="Pudao / Guandao E",719,IF(Atletas!R53="Outra Arma Longa E",720,IF(Atletas!R53="Gun F",721,IF(Atletas!R53="Qiang F",722,IF(Atletas!R53="Pudao / Guandao F",723,IF(Atletas!R53="Outra Arma Longa F",724,"")))))))))))))))))))))))))</f>
        <v/>
      </c>
      <c r="BU57" s="52" t="str">
        <f>IF(Atletas!S53="","",IF(Atletas!W53&lt;&gt;"",10000,0)+IF(Atletas!B53="Feminino",1000,IF(Atletas!B53="Masculino",2000,""))+IF(Atletas!S53="Arma Dupla A",801,IF(Atletas!S53="Arma Maleável A",802,IF(Atletas!S53="Arma Dupla B",803,IF(Atletas!S53="Arma Maleável B",804,IF(Atletas!S53="Arma Dupla C",805,IF(Atletas!S53="Arma Maleável C",806,IF(Atletas!S53="Arma Dupla D",807,IF(Atletas!S53="Arma Maleável D",808,IF(Atletas!S53="Arma Dupla E",809,IF(Atletas!S53="Arma Maleável E",810,IF(Atletas!S53="Arma Dupla F",811,IF(Atletas!S53="Arma Maleável F",812, "")))))))))))))</f>
        <v/>
      </c>
      <c r="BV57" s="52" t="str">
        <f>IF(Atletas!T53="","",IF(Atletas!W53&lt;&gt;"",10000,0)+IF(Atletas!B53="Feminino",1000,IF(Atletas!B53="Masculino",2000,""))+IF(Atletas!T53="Taijijian Yang A",901,IF(Atletas!T53="Taijijian Chen A",902,IF(Atletas!T53="Taijijian Sun A",903,IF(Atletas!T53="Taijijian Wu A",904,IF(Atletas!T53="Taijijian Wu-Hao A",905,IF(Atletas!T53="Taijijian 32 A",906,IF(Atletas!T53="Taijijian 42 A",907,IF(Atletas!T53="Taijijian Yang B",908,IF(Atletas!T53="Taijijian Chen B",909,IF(Atletas!T53="Taijijian Sun B",910,IF(Atletas!T53="Taijijian Wu B",911,IF(Atletas!T53="Taijijian Wu-Hao B",912,IF(Atletas!T53="Taijijian 32 B",913,IF(Atletas!T53="Taijijian 42 B",914,IF(Atletas!T53="Taijijian Yang C",915,IF(Atletas!T53="Taijijian Chen C",916,IF(Atletas!T53="Taijijian Sun C",917,IF(Atletas!T53="Taijijian Wu C",918,IF(Atletas!T53="Taijijian Wu-Hao C",919,IF(Atletas!T53="Taijijian 32 C",920,IF(Atletas!T53="Taijijian 42 C",921,IF(Atletas!T53="Taijijian Yang D",922,IF(Atletas!T53="Taijijian Chen D",923,IF(Atletas!T53="Taijijian Sun D",924,IF(Atletas!T53="Taijijian Wu D",925,IF(Atletas!T53="Taijijian Wu-Hao D",926,IF(Atletas!T53="Taijijian 32 D",927,IF(Atletas!T53="Taijijian 42 D",928,IF(Atletas!T53="Taijijian Yang E",929,IF(Atletas!T53="Taijijian Chen E",930,IF(Atletas!T53="Taijijian Sun E",931,IF(Atletas!T53="Taijijian Wu E",932,IF(Atletas!T53="Taijijian Wu-Hao E",933,IF(Atletas!T53="Taijijian 32 E",934,IF(Atletas!T53="Taijijian 42 E",935,IF(Atletas!T53="Taijijian Yang F",936,IF(Atletas!T53="Taijijian Chen F",937,IF(Atletas!T53="Taijijian Sun F",938,IF(Atletas!T53="Taijijian Wu F",939,IF(Atletas!T53="Taijijian Wu-Hao F",940,IF(Atletas!T53="Taijijian 32 F",941,IF(Atletas!T53="Taijijian 42 F",942,"")))))))))))))))))))))))))))))))))))))))))))</f>
        <v/>
      </c>
      <c r="BW57" s="52" t="str">
        <f>IF(Atletas!U53="","",IF(Atletas!W53&lt;&gt;"",10000,0)+IF(Atletas!B53="Feminino",1000,IF(Atletas!B53="Masculino",2000,""))+IF(Atletas!T53="Taijijian 42 F",942,IF(Atletas!U53="Taijidao A",943,IF(Atletas!U53="Taijishan A",944,IF(Atletas!U53="Taijiqiang A",945,IF(Atletas!U53="Taijidao B",946,IF(Atletas!U53="Taijishan B",947,IF(Atletas!U53="Taijiqiang B",948,IF(Atletas!U53="Taijidao C",949,IF(Atletas!U53="Taijishan C",950,IF(Atletas!U53="Taijiqiang C",951,IF(Atletas!U53="Taijidao D",952,IF(Atletas!U53="Taijishan D",953,IF(Atletas!U53="Taijiqiang D",954,IF(Atletas!U53="Taijidao E",955,IF(Atletas!U53="Taijishan E",956,IF(Atletas!U53="Taijiqiang E",957,IF(Atletas!U53="Taijidao F",958,IF(Atletas!U53="Taijishan F",959,IF(Atletas!U53="Taijiqiang F",960))))))))))))))))))))</f>
        <v/>
      </c>
      <c r="BX57" s="64" t="str">
        <f>IF(BY57&lt;&gt;"","Shaolinquan B","")</f>
        <v/>
      </c>
      <c r="BY57" s="64" t="str">
        <f>IF(COUNTIF(BK:BW,1121)&gt;0,COUNTIF(BK:BW,1121),"")</f>
        <v/>
      </c>
      <c r="BZ57" s="64" t="str">
        <f>IF(CA57&lt;&gt;"","Shaolinquan B","")</f>
        <v/>
      </c>
      <c r="CA57" s="64" t="str">
        <f>IF(COUNTIF(BK:BW,2121)&gt;0,COUNTIF(BK:BW,2121),"")</f>
        <v/>
      </c>
      <c r="CB57" s="64" t="str">
        <f>IF(CC57&lt;&gt;"","Shaolinquan B","")</f>
        <v/>
      </c>
      <c r="CC57" s="64" t="str">
        <f>IF(COUNTIF(BK:BW,11121)&gt;0,COUNTIF(BK:BW,11121),"")</f>
        <v/>
      </c>
      <c r="CD57" s="64" t="str">
        <f>IF(CE57&lt;&gt;"","Shaolinquan B","")</f>
        <v/>
      </c>
      <c r="CE57" s="64" t="str">
        <f>IF(COUNTIF(BK:BW,12121)&gt;0,COUNTIF(BK:BW,12121),"")</f>
        <v/>
      </c>
      <c r="CF57" s="52" t="str">
        <f xml:space="preserve"> IF(Atletas!V53="","",IF(Atletas!V53="Duilian de Mãos AB - Equipe 1",1,IF(Atletas!V53="Duilian de Mãos AB - Equipe 2",2,IF(Atletas!V53="Duilian de Armas AB - Equipe 1",3,IF(Atletas!V53="Duilian de Armas AB - Equipe 2",4,IF(Atletas!V53="Duilian de Tuishou - Equipe 1",5,IF(Atletas!V53="Duilian de Tuishou - Equipe 2",6,IF(Atletas!V53="Grupo Externo AB - Equipe 1",7,IF(Atletas!V53="Grupo Externo AB - Equipe 2",8,IF(Atletas!V53="Grupo Interno AB - Equipe 1",9,IF(Atletas!V53="Grupo Interno AB - Equipe 2",10,IF(Atletas!V53="Duilian de Mãos CD - Equipe 1",11,IF(Atletas!V53="Duilian de Mãos CD - Equipe 2",12,IF(Atletas!V53="Duilian de Armas CD - Equipe 1",13,IF(Atletas!V53="Duilian de Armas CD - Equipe 2",14,IF(Atletas!V53="Duilian de Tuishou - Equipe 1",15,IF(Atletas!V53="Duilian de Tuishou - Equipe 2",16,IF(Atletas!V53="Grupo Externo CDEF - Equipe 1",17,IF(Atletas!V53="Grupo Externo CDEF - Equipe 2",18,IF(Atletas!V53="Grupo Interno CDEF - Equipe 1",19,IF(Atletas!V53="Grupo Interno CDEF - Equipe 2",20,IF(Atletas!V53="Duilian de Mãos EF - Equipe 1",21,IF(Atletas!V53="Duilian de Mãos EF - Equipe 2",22,IF(Atletas!V53="Duilian de Armas EF - Equipe 1",23,IF(Atletas!V53="Duilian de Armas EF - Equipe 2",24,IF(Atletas!V53="Duilian de Tuishou - Equipe 1",25,IF(Atletas!V53="Duilian de Tuishou - Equipe 2",26,"")))))))))))))))))))))))))))</f>
        <v/>
      </c>
      <c r="CR57" s="71"/>
    </row>
    <row r="58" spans="2:96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 t="str">
        <f t="array" ref="N58">IFERROR(INDEX(BB$7:BB$66,SMALL(IF(BB$7:BB$66&lt;&gt;"",ROW(BB$7:BB$66)-ROW(BB$7)+1),ROWS(BB$7:BB57))),"")</f>
        <v/>
      </c>
      <c r="O58" s="4" t="str">
        <f t="array" ref="O58">IFERROR(INDEX(BC$7:BC$66,SMALL(IF(BC$7:BC$66&lt;&gt;"",ROW(BC$7:BC$66)-ROW(BC$7)+1),ROWS(BC$7:BC57))),"")</f>
        <v/>
      </c>
      <c r="P58" s="4" t="str">
        <f t="array" ref="P58">IFERROR(INDEX(BD$7:BD$66,SMALL(IF(BD$7:BD$66&lt;&gt;"",ROW(BD$7:BD$66)-ROW(BD$7)+1),ROWS(BD$7:BD57))),"")</f>
        <v/>
      </c>
      <c r="Q58" s="4" t="str">
        <f t="array" ref="Q58">IFERROR(INDEX(BE$7:BE$66,SMALL(IF(BE$7:BE$66&lt;&gt;"",ROW(BE$7:BE$66)-ROW(BE$7)+1),ROWS(BE$7:BE57))),"")</f>
        <v/>
      </c>
      <c r="R58" s="4"/>
      <c r="S58" s="4"/>
      <c r="T58" s="31"/>
      <c r="U58" s="4"/>
      <c r="V58" s="4" t="str">
        <f t="array" ref="V58">IFERROR(INDEX(BX$7:BX$336,SMALL(IF(BX$7:BX$336&lt;&gt;"",ROW(BX$7:BX$336)-ROW(BX$7)+1),ROWS(BX$7:BX57))),"")</f>
        <v/>
      </c>
      <c r="W58" s="4" t="str">
        <f t="array" ref="W58">IFERROR(INDEX(BY$7:BY$336,SMALL(IF(BY$7:BY$336&lt;&gt;"",ROW(BY$7:BY$336)-ROW(BY$7)+1),ROWS(BY$7:BY57))),"")</f>
        <v/>
      </c>
      <c r="X58" s="4" t="str">
        <f t="array" ref="X58">IFERROR(INDEX(BZ$7:BZ$336,SMALL(IF(BZ$7:BZ$336&lt;&gt;"",ROW(BZ$7:BZ$336)-ROW(BZ$7)+1),ROWS(BZ$7:BZ57))),"")</f>
        <v/>
      </c>
      <c r="Y58" s="4" t="str">
        <f t="array" ref="Y58">IFERROR(INDEX(CA$7:CA$336,SMALL(IF(CA$7:CA$336&lt;&gt;"",ROW(CA$7:CA$336)-ROW(CA$7)+1),ROWS(CA$7:CA57))),"")</f>
        <v/>
      </c>
      <c r="Z58" s="4" t="str">
        <f t="array" ref="Z58">IFERROR(INDEX(CB$7:CB$378,SMALL(IF(CB$7:CB$378&lt;&gt;"",ROW(CB$7:CB$378)-ROW(CB$7)+1),ROWS(CB$7:CB57))),"")</f>
        <v/>
      </c>
      <c r="AA58" s="4" t="str">
        <f t="array" ref="AA58">IFERROR(INDEX(CC$7:CC$378,SMALL(IF(CC$7:CC$378&lt;&gt;"",ROW(CC$7:CC$378)-ROW(CC$7)+1),ROWS(CC$7:CC57))),"")</f>
        <v/>
      </c>
      <c r="AB58" s="4" t="str">
        <f t="array" ref="AB58">IFERROR(INDEX(CD$7:CD$378,SMALL(IF(CD$7:CD$378&lt;&gt;"",ROW(CD$7:CD$378)-ROW(CD$7)+1),ROWS(CD$7:CD57))),"")</f>
        <v/>
      </c>
      <c r="AC58" s="4" t="str">
        <f t="array" ref="AC58">IFERROR(INDEX(CE$7:CE$378,SMALL(IF(CE$7:CE$378&lt;&gt;"",ROW(CE$7:CE$378)-ROW(CE$7)+1),ROWS(CE$7:CE57))),"")</f>
        <v/>
      </c>
      <c r="AD58" s="4"/>
      <c r="AE58" s="4"/>
      <c r="AF58" s="4"/>
      <c r="AG58" s="4"/>
      <c r="AH58" s="4"/>
      <c r="AI58" s="4"/>
      <c r="AJ58" s="46" t="str">
        <f>IF(Atletas!D54="","",IF(Atletas!B54="Feminino",100,IF(Atletas!B54="Masculino",200,""))+(IF(Atletas!D54="Infantil 39kg",1,IF(Atletas!D54="Infantil 42kg",2,IF(Atletas!D54="Infantil 45kg",3,IF(Atletas!D54="Infantil 48kg",4,IF(Atletas!D54="Infantil 52kg",5,IF(Atletas!D54="Infantil 56kg",6,IF(Atletas!D54="Infantil 60kg",7,IF(Atletas!D54="Juvenil 48kg",8,IF(Atletas!D54="Juvenil 52kg",9,IF(Atletas!D54="Juvenil 56kg",10,IF(Atletas!D54="Juvenil 60kg",11,IF(Atletas!D54="Juvenil 65kg",12,IF(Atletas!D54="Juvenil 70kg",13,IF(Atletas!D54="Juvenil 75kg",14,IF(Atletas!D54="Juvenil 80kg",15,IF(Atletas!D54="Adulto 48kg",16,IF(Atletas!D54="Adulto 52kg",17,IF(Atletas!D54="Adulto 56kg",18,IF(Atletas!D54="Adulto 60kg",19,IF(Atletas!D54="Adulto 65kg",20,IF(Atletas!D54="Adulto 70kg",21,IF(Atletas!D54="Adulto 75kg",22,IF(Atletas!D54="Adulto 80kg",23,IF(Atletas!D54="Adulto 85kg",24,IF(Atletas!D54="Adulto 90kg",25,IF(Atletas!D54="Adulto +90kg",26,""))))))))))))))))))))))))))))</f>
        <v/>
      </c>
      <c r="AO58" s="10" t="str">
        <f>IF(Atletas!E54="","",IF(Atletas!B54="Feminino",100,IF(Atletas!B54="Masculino",200,""))+(IF(Atletas!E54="Juvenil 44kg",1,IF(Atletas!E54="Juvenil 48kg",2,IF(Atletas!E54="Juvenil 52kg",3,IF(Atletas!E54="Juvenil 56kg",4,IF(Atletas!E54="Juvenil 60kg",5,IF(Atletas!E54="Juvenil 65kg",6,IF(Atletas!E54="Juvenil 70kg",7,IF(Atletas!E54="Juvenil 75kg",8,IF(Atletas!E54="Juvenil 82kg",9,IF(Atletas!E54="Juvenil 90kg",10,IF(Atletas!E54="Juvenil 100kg",11,IF(Atletas!E54="Adulto 48kg",12,IF(Atletas!E54="Adulto 52kg",13,IF(Atletas!E54="Adulto 56kg",14,IF(Atletas!E54="Adulto 60kg",15,IF(Atletas!E54="Adulto 65kg",16,IF(Atletas!E54="Adulto 70kg",17,IF(Atletas!E54="Adulto 75kg",18,IF(Atletas!E54="Adulto 82kg",19,IF(Atletas!E54="Adulto 90kg",20,IF(Atletas!E54="Adulto 100kg",21,IF(Atletas!E54="Adulto +100kg",22,""))))))))))))))))))))))))</f>
        <v/>
      </c>
      <c r="AT58" s="10" t="str">
        <f>IF(Atletas!F54="","",IF(Atletas!B54="Feminino",100,IF(Atletas!B54="Masculino",200,""))+(IF(Atletas!F54="Adulto 48kg",1,IF(Atletas!F54="Adulto 56kg",2,IF(Atletas!F54="Adulto 65kg",3,IF(Atletas!F54="Adulto 75kg",4,IF(Atletas!F54="Adulto +75kg",5,IF(Atletas!F54="Adulto 52kg",6,IF(Atletas!F54="Adulto 60kg",7,IF(Atletas!F54="Adulto 70kg",8,IF(Atletas!F54="Adulto 80kg",9,IF(Atletas!F54="Adulto 90kg",10,IF(Atletas!F54="Adulto +90kg",11,"")))))))))))))</f>
        <v/>
      </c>
      <c r="AY58" s="46" t="str">
        <f>IF(Atletas!G54="","",IF(Atletas!B54="Feminino",100,IF(Atletas!B54="Masculino",200,""))+(IF(Atletas!G54="Changquan Mirim",1,IF(Atletas!G54="Nanquan Mirim",2,IF(Atletas!G54="Taijiquan Mirim",3,IF(Atletas!G54="Changquan Grupo C",4,IF(Atletas!G54="Nanquan Grupo C",5,IF(Atletas!G54="Taijiquan Grupo C",6,IF(Atletas!G54="Changquan Grupo B",7,IF(Atletas!G54="Nanquan Grupo B",8,IF(Atletas!G54="Taijiquan Grupo B",9,IF(Atletas!G54="Changquan Grupo A",10,IF(Atletas!G54="Nanquan Grupo A",11,IF(Atletas!G54="Taijiquan Grupo A",12,IF(Atletas!G54="Changquan Opcional",13,IF(Atletas!G54="Nanquan Opcional",14,IF(Atletas!G54="Taijiquan Opcional",15,IF(Atletas!G54="Changquan Adulto",16,IF(Atletas!G54="Nanquan Adulto",17,IF(Atletas!G54="Taijiquan Adulto",18,""))))))))))))))))))))</f>
        <v/>
      </c>
      <c r="AZ58" s="46" t="str">
        <f>IF(Atletas!H54="","",IF(Atletas!B54="Feminino",100,IF(Atletas!B54="Masculino",200,""))+(IF(Atletas!H54="Daoshu Mirim",19,IF(Atletas!H54="Jianshu Mirim",20,IF(Atletas!H54="Nandao Mirim",21,IF(Atletas!H54="Taijijian Mirim",22,IF(Atletas!H54="Daoshu Grupo C",23,IF(Atletas!H54="Jianshu Grupo C",24,IF(Atletas!H54="Nandao Grupo C",25,IF(Atletas!H54="Taijijian Grupo C",26,IF(Atletas!H54="Daoshu Grupo B",27,IF(Atletas!H54="Jianshu Grupo B",28,IF(Atletas!H54="Nandao Grupo B",29,IF(Atletas!H54="Taijijian Grupo B",30,IF(Atletas!H54="Daoshu Grupo A",31,IF(Atletas!H54="Jianshu Grupo A",32,IF(Atletas!H54="Nandao Grupo A",33,IF(Atletas!H54="Taijijian Grupo A",34,IF(Atletas!H54="Daoshu Opcional",35,IF(Atletas!H54="Jianshu Opcional",36,IF(Atletas!H54="Nandao Opcional",37,IF(Atletas!H54="Taijijian Opcional",38,IF(Atletas!H54="Daoshu Adulto",39,IF(Atletas!H54="Jianshu Adulto",40,IF(Atletas!H54="Nandao Adulto",41,IF(Atletas!H54="Taijijian Adulto",42,""))))))))))))))))))))))))))</f>
        <v/>
      </c>
      <c r="BA58" s="46" t="str">
        <f>IF(Atletas!I54="","",IF(Atletas!B54="Feminino",100,IF(Atletas!B54="Masculino",200,""))+(IF(Atletas!I54="Gunshu Mirim",43,IF(Atletas!I54="Qiangshu Mirim",44,IF(Atletas!I54="Nangun Mirim",45,IF(Atletas!I54="Gunshu Grupo C",46,IF(Atletas!I54="Qiangshu Grupo C",47,IF(Atletas!I54="Nangun Grupo C",48,IF(Atletas!I54="Gunshu Grupo B",49,IF(Atletas!I54="Qiangshu Grupo B",50,IF(Atletas!I54="Nangun Grupo B",51,IF(Atletas!I54="Gunshu Grupo A",52,IF(Atletas!I54="Qiangshu Grupo A",53,IF(Atletas!I54="Nangun Grupo A",54,IF(Atletas!I54="Gunshu Opcional",55,IF(Atletas!I54="Qiangshu Opcional",56,IF(Atletas!I54="Nangun Opcional",57,IF(Atletas!I54="Gunshu Adulto",58,IF(Atletas!I54="Qiangshu Adulto",59,IF(Atletas!I54="Nangun Adulto",60,""))))))))))))))))))))</f>
        <v/>
      </c>
      <c r="BB58" s="10" t="str">
        <f>IF(BC58&lt;&gt;"","Nanquan Adulto","")</f>
        <v/>
      </c>
      <c r="BC58" s="52" t="str">
        <f>IF(COUNTIF(AY:BA,117)&gt;0,COUNTIF(AY:BA,117),"")</f>
        <v/>
      </c>
      <c r="BD58" s="10" t="str">
        <f>IF(BE58&lt;&gt;"","Nanquan Adulto","")</f>
        <v/>
      </c>
      <c r="BE58" s="52" t="str">
        <f>IF(COUNTIF(AY:BA,217)&gt;0,COUNTIF(AY:BA,217),"")</f>
        <v/>
      </c>
      <c r="BF58" s="52" t="str">
        <f>IF(Atletas!J54="","",IF(Atletas!B54="Feminino",100,IF(Atletas!B54="Masculino",200,""))+(IF(Atletas!J54="Equipe 1 Grupo B",1,IF(Atletas!J54="Equipe 2 Grupo B",2,IF(Atletas!J54="Equipe 1 Grupo A",3,IF(Atletas!J54="Equipe 2 Grupo A",4,IF(Atletas!J54="Equipe 1 Adulto",5,IF(Atletas!J54="Equipe 2 Adulto",6,""))))))))</f>
        <v/>
      </c>
      <c r="BK58" s="52" t="str">
        <f>IF(Atletas!K54="","",IF(Atletas!W54&lt;&gt;"",10000,0)+(IF(Atletas!B54="Feminino",1000,IF(Atletas!B54="Masculino",2000,""))+IF(Atletas!K54="Choylayfut A",1,IF(Atletas!K54="Hunggar A",2,IF(Atletas!K54="Wuzuquan A",3,IF(Atletas!K54="Wingchun A",4,IF(Atletas!K54="Outra Mão de Sul A",5,IF(Atletas!K54="Choylayfut B",6,IF(Atletas!K54="Hunggar B",7,IF(Atletas!K54="Wuzuquan B",8,IF(Atletas!K54="Wingchun B",9,IF(Atletas!K54="Outra Mão de Sul B",10,IF(Atletas!K54="Choylayfut C",11,IF(Atletas!K54="Hunggar C",12,IF(Atletas!K54="Wuzuquan C",13,IF(Atletas!K54="Wingchun C",14,IF(Atletas!K54="Outra Mão de Sul C",15,IF(Atletas!K54="Choylayfut D",16,IF(Atletas!K54="Hunggar D",17,IF(Atletas!K54="Wuzuquan D",18,IF(Atletas!K54="Wingchun D",19,IF(Atletas!K54="Outra Mão de Sul D",20,IF(Atletas!K54="Choylayfut E",21,IF(Atletas!K54="Hunggar E",22,IF(Atletas!K54="Wuzuquan E",23,IF(Atletas!K54="Wingchun E",24,IF(Atletas!K54="Outra Mão de Sul E",25,IF(Atletas!K54="Choylayfut F",26,IF(Atletas!K54="Hunggar F",27,IF(Atletas!K54="Wuzuquan F",28,IF(Atletas!K54="Wingchun F",29,IF(Atletas!K54="Outra Mão de Sul F",30,""))))))))))))))))))))))))))))))))</f>
        <v/>
      </c>
      <c r="BL58" s="52" t="str">
        <f>IF(Atletas!L54="","",IF(Atletas!W54&lt;&gt;"",10000,0)+(IF(Atletas!B54="Feminino",1000,IF(Atletas!B54="Masculino",2000,""))+(IF(Atletas!L54="Chaquan A",101,IF(Atletas!L54="Emeiquan A",102,IF(Atletas!L54="Fanziquan A",103,IF(Atletas!L54="Huaquan A",104,IF(Atletas!L54="Hongquan A",105,IF(Atletas!L54="Paochui A",106,IF(Atletas!L54="Piguaquan A",107,IF(Atletas!L54="Shaolinquan A",108,IF(Atletas!L54="Tanglangquan A",109,IF(Atletas!L54="Yinzhaophai A",110,IF(Atletas!L54="Tongbeiquan A",111,IF(Atletas!L54="Wudangquan A",112,IF(Atletas!L54="Outros Estilos A",113,IF(Atletas!L54="Chaquan B",114,IF(Atletas!L54="Emeiquan B",115,IF(Atletas!L54="Fanziquan B",116,IF(Atletas!L54="Huaquan B",117,IF(Atletas!L54="Hongquan B",118,IF(Atletas!L54="Paochui B",119,IF(Atletas!L54="Piguaquan B",120,IF(Atletas!L54="Shaolinquan B",121,IF(Atletas!L54="Tanglangquan B",122,IF(Atletas!L54="Yinzhaophai B",123,IF(Atletas!L54="Tongbeiquan B",124,IF(Atletas!L54="Wudangquan B",125,IF(Atletas!L54="Outros Estilos B",126,IF(Atletas!L54="Chaquan C",127,IF(Atletas!L54="Emeiquan C",128,IF(Atletas!L54="Fanziquan C",129,IF(Atletas!L54="Huaquan C",130,IF(Atletas!L54="Hongquan C",131,IF(Atletas!L54="Paochui C",132,IF(Atletas!L54="Piguaquan C",133,IF(Atletas!L54="Shaolinquan C",134,IF(Atletas!L54="Tanglangquan C",135,IF(Atletas!L54="Yinzhaophai C",136,IF(Atletas!L54="Tongbeiquan C",137,IF(Atletas!L54="Wudangquan C",138,IF(Atletas!L54="Outros Estilos C",139,0))))))))))))))))))))))))))))))))))))))))))</f>
        <v/>
      </c>
      <c r="BM58" s="52" t="str">
        <f>IF(Atletas!L54="","",IF(Atletas!W54&lt;&gt;"",10000,0)+(IF(Atletas!B54="Feminino",1000,IF(Atletas!B54="Masculino",2000,""))+(IF(Atletas!L54="Chaquan D",140,IF(Atletas!L54="Emeiquan D",141,IF(Atletas!L54="Fanziquan D",142,IF(Atletas!L54="Huaquan D",143,IF(Atletas!L54="Hongquan D",144,IF(Atletas!L54="Paochui D",145,IF(Atletas!L54="Piguaquan D",146,IF(Atletas!L54="Shaolinquan D",147,IF(Atletas!L54="Tanglangquan D",148,IF(Atletas!L54="Yinzhaophai D",149,IF(Atletas!L54="Tongbeiquan D",150,IF(Atletas!L54="Wudangquan D",151,IF(Atletas!L54="Outros Estilos D",152,IF(Atletas!L54="Chaquan E",153,IF(Atletas!L54="Emeiquan E",154,IF(Atletas!L54="Fanziquan E",155,IF(Atletas!L54="Huaquan E",156,IF(Atletas!L54="Hongquan E",157,IF(Atletas!L54="Paochui E",158,IF(Atletas!L54="Piguaquan E",159,IF(Atletas!L54="Shaolinquan E",160,IF(Atletas!L54="Tanglangquan E",161,IF(Atletas!L54="Yinzhaophai E",162,IF(Atletas!L54="Tongbeiquan E",163,IF(Atletas!L54="Wudangquan E",164,IF(Atletas!L54="Outros Estilos E",165,IF(Atletas!L54="Chaquan F",166,IF(Atletas!L54="Emeiquan F",167,IF(Atletas!L54="Fanziquan F",168,IF(Atletas!L54="Huaquan F",169,IF(Atletas!L54="Hongquan F",170,IF(Atletas!L54="Paochui F",171,IF(Atletas!L54="Piguaquan F",172,IF(Atletas!L54="Shaolinquan F",173,IF(Atletas!L54="Tanglangquan F",174,IF(Atletas!L54="Yinzhaophai F",175,IF(Atletas!L54="Tongbeiquan F",176,IF(Atletas!L54="Wudangquan F",177,IF(Atletas!L54="Outros Estilos F",178,0))))))))))))))))))))))))))))))))))))))))))</f>
        <v/>
      </c>
      <c r="BN58" s="52" t="str">
        <f>IF(Atletas!M54="","",IF(Atletas!W54&lt;&gt;"",10000,0)+(IF(Atletas!B54="Feminino",1000,IF(Atletas!B54="Masculino",2000,""))+(IF(Atletas!M54="Ditangquan A",201,IF(Atletas!M54="Houquan A",202,IF(Atletas!M54="Zuiquan A",203,IF(Atletas!M54="Ditangquan B",204,IF(Atletas!M54="Houquan B",205,IF(Atletas!M54="Zuiquan B",206,IF(Atletas!M54="Ditangquan C",207,IF(Atletas!M54="Houquan C",208,IF(Atletas!M54="Zuiquan C",209,IF(Atletas!M54="Ditangquan D",210,IF(Atletas!M54="Houquan D",211,IF(Atletas!M54="Zuiquan D",212,IF(Atletas!M54="Ditangquan E",213,IF(Atletas!M54="Houquan E",214,IF(Atletas!M54="Zuiquan E",215,IF(Atletas!M54="Ditangquan F",216,IF(Atletas!M54="Houquan F",217,IF(Atletas!M54="Zuiquan F",218,"")))))))))))))))))))))</f>
        <v/>
      </c>
      <c r="BO58" s="52" t="str">
        <f>IF(Atletas!N54="","",IF(Atletas!W54&lt;&gt;"",10000,0)+IF(Atletas!B54="Feminino",1000,IF(Atletas!B54="Masculino",2000,""))+IF(Atletas!N54="Yang A",301,IF(Atletas!N54="Chen A",30,IF(Atletas!N54="Sun A",303,IF(Atletas!N54="Wu A",304,IF(Atletas!N54="Wu-Hao A",305,IF(Atletas!N54="Outro Taijiquan A",306,IF(Atletas!N54="Yang B",307,IF(Atletas!N54="Chen B",308,IF(Atletas!N54="Sun B",309,IF(Atletas!N54="Wu B",310,IF(Atletas!N54="Wu-Hao B",311,IF(Atletas!N54="Outro Taijiquan B",312,IF(Atletas!N54="Yang C",313,IF(Atletas!N54="Chen C",314,IF(Atletas!N54="Sun C",315,IF(Atletas!N54="Wu C",316,IF(Atletas!N54="Wu-Hao C",317,IF(Atletas!N54="Outro Taijiquan C",318,IF(Atletas!N54="Yang D",319,IF(Atletas!N54="Chen D",320,IF(Atletas!N54="Sun D",321,IF(Atletas!N54="Wu D",322,IF(Atletas!N54="Wu-Hao D",323,IF(Atletas!N54="Outro Taijiquan D",324,IF(Atletas!N54="Yang E",325,IF(Atletas!N54="Chen E",326,IF(Atletas!N54="Sun E",327,IF(Atletas!N54="Wu E",328,IF(Atletas!N54="Wu-Hao E",329,IF(Atletas!N54="Outro Taijiquan E",330,IF(Atletas!N54="Yang F",331,IF(Atletas!N54="Chen F",332,IF(Atletas!N54="Sun F",333,IF(Atletas!N54="Wu F",334,IF(Atletas!N54="Wu-Hao F",335,IF(Atletas!N54="Outro Taijiquan F",336,"")))))))))))))))))))))))))))))))))))))</f>
        <v/>
      </c>
      <c r="BP58" s="52" t="str">
        <f>IF(Atletas!O54="","",IF(Atletas!W54&lt;&gt;"",10000,0)+IF(Atletas!B54="Feminino",1000,IF(Atletas!B54="Masculino",2000,""))+IF(OR(Atletas!O54="Yang 26 A",Atletas!O54="Yang 40 A"),401,IF(OR(Atletas!O54="Chen 25 A",Atletas!O54="Chen 36 A",Atletas!O54="Chen 56 A"),402,IF(Atletas!O54="Sun 73 A",403,IF(Atletas!O54="Wu 45 A",404,IF(Atletas!O54="Wu-Hao 46 A",405,IF(OR(Atletas!O54="Taijiquan 16 A",Atletas!O54="Taijiquan 24 A",Atletas!O54="Taijiquan 32 A",Atletas!O54="Taijiquan 42 A"),406,IF(OR(Atletas!O54="Yang 26 B",Atletas!O54="Yang 40 B"),407,IF(OR(Atletas!O54="Chen 25 B",Atletas!O54="Chen 36 B",Atletas!O54="Chen 56 B"),408,IF(Atletas!O54="Sun 73 B",409,IF(Atletas!O54="Wu 45 B",410,IF(Atletas!O54="Wu-Hao 46 B",411,IF(OR(Atletas!O54="Taijiquan 16 B",Atletas!O54="Taijiquan 24 B",Atletas!O54="Taijiquan 32 B",Atletas!O54="Taijiquan 42 B"),412,IF(OR(Atletas!O54="Yang 26 C",Atletas!O54="Yang 40 C"),413,IF(OR(Atletas!O54="Chen 25 C",Atletas!O54="Chen 36 C",Atletas!O54="Chen 56 C"),414,IF(Atletas!O54="Sun 73 C",415,IF(Atletas!O54="Wu 45 C",416,IF(Atletas!O54="Wu-Hao 46 C",417,IF(OR(Atletas!O54="Taijiquan 16 C",Atletas!O54="Taijiquan 24 C",Atletas!O54="Taijiquan 32 C",Atletas!O54="Taijiquan 42 C"),418,0)))))))))))))))))))</f>
        <v/>
      </c>
      <c r="BQ58" s="52" t="str">
        <f>IF(Atletas!O54="","",IF(Atletas!W54&lt;&gt;"",10000,0)+IF(Atletas!B54="Feminino",1000,IF(Atletas!B54="Masculino",2000,""))+IF(OR(Atletas!O54="Yang 26 D",Atletas!O54="Yang 40 D"),419,IF(OR(Atletas!O54="Chen 25 D",Atletas!O54="Chen 36 D",Atletas!O54="Chen 56 D"),420,IF(Atletas!O54="Sun 73 D",421,IF(Atletas!O54="Wu 45 D",422,IF(Atletas!O54="Wu-Hao 46 D",423,IF(OR(Atletas!O54="Taijiquan 16 D",Atletas!O54="Taijiquan 24 D",Atletas!O54="Taijiquan 32 D",Atletas!O54="Taijiquan 42 D"),424,IF(OR(Atletas!O54="Yang 26 E",Atletas!O54="Yang 40 E"),425,IF(OR(Atletas!O54="Chen 25 E",Atletas!O54="Chen 36 E",Atletas!O54="Chen 56 E"),426,IF(Atletas!O54="Sun 73 E",427,IF(Atletas!O54="Wu 45 E",428,IF(Atletas!O54="Wu-Hao 46 E",429,IF(OR(Atletas!O54="Taijiquan 16 E",Atletas!O54="Taijiquan 24 E",Atletas!O54="Taijiquan 32 E",Atletas!O54="Taijiquan 42 E"),430,IF(OR(Atletas!O54="Yang 26 F",Atletas!O54="Yang 40 F"),431,IF(OR(Atletas!O54="Chen 25 F",Atletas!O54="Chen 36 F",Atletas!O54="Chen 56 F"),432,IF(Atletas!O54="Sun 73 F",433,IF(Atletas!O54="Wu 45 F",434,IF(Atletas!O54="Wu-Hao 46 F",435,IF(OR(Atletas!O54="Taijiquan 16 F",Atletas!O54="Taijiquan 24 F",Atletas!O54="Taijiquan 32 F",Atletas!O54="Taijiquan 42 F"),436,0)))))))))))))))))))</f>
        <v/>
      </c>
      <c r="BR58" s="52" t="str">
        <f>IF(Atletas!P54="","",IF(Atletas!W54&lt;&gt;"",10000,0)+IF(Atletas!B54="Feminino",1000,IF(Atletas!B54="Masculino",2000,""))+IF(Atletas!P54="Xingyiquan A",501,IF(Atletas!P54="Baguazhang A",502,IF(Atletas!P54="Outro Estilo Interno A",503,IF(Atletas!P54="Xingyiquan B",504,IF(Atletas!P54="Baguazhang B",505,IF(Atletas!P54="Outro Estilo Interno B",506,IF(Atletas!P54="Xingyiquan C",507,IF(Atletas!P54="Baguazhang C",508,IF(Atletas!P54="Outro Estilo Interno C",509,IF(Atletas!P54="Xingyiquan D",510,IF(Atletas!P54="Baguazhang D",511,IF(Atletas!P54="Outro Estilo Interno D",512,IF(Atletas!P54="Xingyiquan E",513,IF(Atletas!P54="Baguazhang E",514,IF(Atletas!P54="Outro Estilo Interno E",515,IF(Atletas!P54="Xingyiquan F",516,IF(Atletas!P54="Baguazhang F",517,IF(Atletas!P54="Outro Estilo Interno F",518, "")))))))))))))))))))</f>
        <v/>
      </c>
      <c r="BS58" s="52" t="str">
        <f>IF(Atletas!Q54="","",IF(Atletas!W54&lt;&gt;"",10000,0)+IF(Atletas!B54="Feminino",1000,IF(Atletas!B54="Masculino",2000,""))+IF(Atletas!Q54="Dao A",601,IF(Atletas!Q54="Jian A",602,IF(Atletas!Q54="Bishou A",603,IF(Atletas!Q54="Shan A",604,IF(Atletas!Q54="Outra Arma Curta A",605,IF(Atletas!Q54="Dao B",606,IF(Atletas!Q54="Jian B",607,IF(Atletas!Q54="Bishou B",608,IF(Atletas!Q54="Shan B",609,IF(Atletas!Q54="Outra Arma Curta B",610,IF(Atletas!Q54="Dao C",611,IF(Atletas!Q54="Jian C",612,IF(Atletas!Q54="Bishou C",613,IF(Atletas!Q54="Shan C",614,IF(Atletas!Q54="Outra Arma Curta C",615,IF(Atletas!Q54="Dao D",616,IF(Atletas!Q54="Jian D",617,IF(Atletas!Q54="Bishou D",618,IF(Atletas!Q54="Shan D",619,IF(Atletas!Q54="Outra Arma Curta D",620,IF(Atletas!Q54="Dao E",621,IF(Atletas!Q54="Jian E",622,IF(Atletas!Q54="Bishou E",623,IF(Atletas!Q54="Shan E",624,IF(Atletas!Q54="Outra Arma Curta E",625,IF(Atletas!Q54="Dao F",626,IF(Atletas!Q54="Jian F",627,IF(Atletas!Q54="Bishou F",628,IF(Atletas!Q54="Shan F",629,IF(Atletas!Q54="Outra Arma Curta F",630, "")))))))))))))))))))))))))))))))</f>
        <v/>
      </c>
      <c r="BT58" s="52" t="str">
        <f>IF(Atletas!R54="","",IF(Atletas!W54&lt;&gt;"",10000,0)+IF(Atletas!B54="Feminino",1000,IF(Atletas!B54="Masculino",2000,""))+IF(Atletas!R54="Gun A",701,IF(Atletas!R54="Qiang A",702,IF(Atletas!R54="Pudao / Guandao A",703,IF(Atletas!R54="Outra Arma Longa A",704,IF(Atletas!R54="Gun B",705,IF(Atletas!R54="Qiang B",706,IF(Atletas!R54="Pudao / Guandao B",707,IF(Atletas!R54="Outra Arma Longa B",708,IF(Atletas!R54="Gun C",709,IF(Atletas!R54="Qiang C",710,IF(Atletas!R54="Pudao / Guandao C",711,IF(Atletas!R54="Outra Arma Longa C",712,IF(Atletas!R54="Gun D",713,IF(Atletas!R54="Qiang D",714,IF(Atletas!R54="Pudao / Guandao D",715,IF(Atletas!R54="Outra Arma Longa D",716,IF(Atletas!R54="Gun E",717,IF(Atletas!R54="Qiang E",718,IF(Atletas!R54="Pudao / Guandao E",719,IF(Atletas!R54="Outra Arma Longa E",720,IF(Atletas!R54="Gun F",721,IF(Atletas!R54="Qiang F",722,IF(Atletas!R54="Pudao / Guandao F",723,IF(Atletas!R54="Outra Arma Longa F",724,"")))))))))))))))))))))))))</f>
        <v/>
      </c>
      <c r="BU58" s="52" t="str">
        <f>IF(Atletas!S54="","",IF(Atletas!W54&lt;&gt;"",10000,0)+IF(Atletas!B54="Feminino",1000,IF(Atletas!B54="Masculino",2000,""))+IF(Atletas!S54="Arma Dupla A",801,IF(Atletas!S54="Arma Maleável A",802,IF(Atletas!S54="Arma Dupla B",803,IF(Atletas!S54="Arma Maleável B",804,IF(Atletas!S54="Arma Dupla C",805,IF(Atletas!S54="Arma Maleável C",806,IF(Atletas!S54="Arma Dupla D",807,IF(Atletas!S54="Arma Maleável D",808,IF(Atletas!S54="Arma Dupla E",809,IF(Atletas!S54="Arma Maleável E",810,IF(Atletas!S54="Arma Dupla F",811,IF(Atletas!S54="Arma Maleável F",812, "")))))))))))))</f>
        <v/>
      </c>
      <c r="BV58" s="52" t="str">
        <f>IF(Atletas!T54="","",IF(Atletas!W54&lt;&gt;"",10000,0)+IF(Atletas!B54="Feminino",1000,IF(Atletas!B54="Masculino",2000,""))+IF(Atletas!T54="Taijijian Yang A",901,IF(Atletas!T54="Taijijian Chen A",902,IF(Atletas!T54="Taijijian Sun A",903,IF(Atletas!T54="Taijijian Wu A",904,IF(Atletas!T54="Taijijian Wu-Hao A",905,IF(Atletas!T54="Taijijian 32 A",906,IF(Atletas!T54="Taijijian 42 A",907,IF(Atletas!T54="Taijijian Yang B",908,IF(Atletas!T54="Taijijian Chen B",909,IF(Atletas!T54="Taijijian Sun B",910,IF(Atletas!T54="Taijijian Wu B",911,IF(Atletas!T54="Taijijian Wu-Hao B",912,IF(Atletas!T54="Taijijian 32 B",913,IF(Atletas!T54="Taijijian 42 B",914,IF(Atletas!T54="Taijijian Yang C",915,IF(Atletas!T54="Taijijian Chen C",916,IF(Atletas!T54="Taijijian Sun C",917,IF(Atletas!T54="Taijijian Wu C",918,IF(Atletas!T54="Taijijian Wu-Hao C",919,IF(Atletas!T54="Taijijian 32 C",920,IF(Atletas!T54="Taijijian 42 C",921,IF(Atletas!T54="Taijijian Yang D",922,IF(Atletas!T54="Taijijian Chen D",923,IF(Atletas!T54="Taijijian Sun D",924,IF(Atletas!T54="Taijijian Wu D",925,IF(Atletas!T54="Taijijian Wu-Hao D",926,IF(Atletas!T54="Taijijian 32 D",927,IF(Atletas!T54="Taijijian 42 D",928,IF(Atletas!T54="Taijijian Yang E",929,IF(Atletas!T54="Taijijian Chen E",930,IF(Atletas!T54="Taijijian Sun E",931,IF(Atletas!T54="Taijijian Wu E",932,IF(Atletas!T54="Taijijian Wu-Hao E",933,IF(Atletas!T54="Taijijian 32 E",934,IF(Atletas!T54="Taijijian 42 E",935,IF(Atletas!T54="Taijijian Yang F",936,IF(Atletas!T54="Taijijian Chen F",937,IF(Atletas!T54="Taijijian Sun F",938,IF(Atletas!T54="Taijijian Wu F",939,IF(Atletas!T54="Taijijian Wu-Hao F",940,IF(Atletas!T54="Taijijian 32 F",941,IF(Atletas!T54="Taijijian 42 F",942,"")))))))))))))))))))))))))))))))))))))))))))</f>
        <v/>
      </c>
      <c r="BW58" s="52" t="str">
        <f>IF(Atletas!U54="","",IF(Atletas!W54&lt;&gt;"",10000,0)+IF(Atletas!B54="Feminino",1000,IF(Atletas!B54="Masculino",2000,""))+IF(Atletas!T54="Taijijian 42 F",942,IF(Atletas!U54="Taijidao A",943,IF(Atletas!U54="Taijishan A",944,IF(Atletas!U54="Taijiqiang A",945,IF(Atletas!U54="Taijidao B",946,IF(Atletas!U54="Taijishan B",947,IF(Atletas!U54="Taijiqiang B",948,IF(Atletas!U54="Taijidao C",949,IF(Atletas!U54="Taijishan C",950,IF(Atletas!U54="Taijiqiang C",951,IF(Atletas!U54="Taijidao D",952,IF(Atletas!U54="Taijishan D",953,IF(Atletas!U54="Taijiqiang D",954,IF(Atletas!U54="Taijidao E",955,IF(Atletas!U54="Taijishan E",956,IF(Atletas!U54="Taijiqiang E",957,IF(Atletas!U54="Taijidao F",958,IF(Atletas!U54="Taijishan F",959,IF(Atletas!U54="Taijiqiang F",960))))))))))))))))))))</f>
        <v/>
      </c>
      <c r="BX58" s="64" t="str">
        <f>IF(BY58&lt;&gt;"","Tanglangquan B","")</f>
        <v/>
      </c>
      <c r="BY58" s="64" t="str">
        <f>IF(COUNTIF(BK:BW,1122)&gt;0,COUNTIF(BK:BW,1122),"")</f>
        <v/>
      </c>
      <c r="BZ58" s="64" t="str">
        <f>IF(CA58&lt;&gt;"","Tanglangquan B","")</f>
        <v/>
      </c>
      <c r="CA58" s="64" t="str">
        <f>IF(COUNTIF(BK:BW,2122)&gt;0,COUNTIF(BK:BW,2122),"")</f>
        <v/>
      </c>
      <c r="CB58" s="64" t="str">
        <f>IF(CC58&lt;&gt;"","Tanglangquan B","")</f>
        <v/>
      </c>
      <c r="CC58" s="64" t="str">
        <f>IF(COUNTIF(BK:BW,11122)&gt;0,COUNTIF(BK:BW,11122),"")</f>
        <v/>
      </c>
      <c r="CD58" s="64" t="str">
        <f>IF(CE58&lt;&gt;"","Tanglangquan B","")</f>
        <v/>
      </c>
      <c r="CE58" s="64" t="str">
        <f>IF(COUNTIF(BK:BW,12122)&gt;0,COUNTIF(BK:BW,12122),"")</f>
        <v/>
      </c>
      <c r="CF58" s="52" t="str">
        <f xml:space="preserve"> IF(Atletas!V54="","",IF(Atletas!V54="Duilian de Mãos AB - Equipe 1",1,IF(Atletas!V54="Duilian de Mãos AB - Equipe 2",2,IF(Atletas!V54="Duilian de Armas AB - Equipe 1",3,IF(Atletas!V54="Duilian de Armas AB - Equipe 2",4,IF(Atletas!V54="Duilian de Tuishou - Equipe 1",5,IF(Atletas!V54="Duilian de Tuishou - Equipe 2",6,IF(Atletas!V54="Grupo Externo AB - Equipe 1",7,IF(Atletas!V54="Grupo Externo AB - Equipe 2",8,IF(Atletas!V54="Grupo Interno AB - Equipe 1",9,IF(Atletas!V54="Grupo Interno AB - Equipe 2",10,IF(Atletas!V54="Duilian de Mãos CD - Equipe 1",11,IF(Atletas!V54="Duilian de Mãos CD - Equipe 2",12,IF(Atletas!V54="Duilian de Armas CD - Equipe 1",13,IF(Atletas!V54="Duilian de Armas CD - Equipe 2",14,IF(Atletas!V54="Duilian de Tuishou - Equipe 1",15,IF(Atletas!V54="Duilian de Tuishou - Equipe 2",16,IF(Atletas!V54="Grupo Externo CDEF - Equipe 1",17,IF(Atletas!V54="Grupo Externo CDEF - Equipe 2",18,IF(Atletas!V54="Grupo Interno CDEF - Equipe 1",19,IF(Atletas!V54="Grupo Interno CDEF - Equipe 2",20,IF(Atletas!V54="Duilian de Mãos EF - Equipe 1",21,IF(Atletas!V54="Duilian de Mãos EF - Equipe 2",22,IF(Atletas!V54="Duilian de Armas EF - Equipe 1",23,IF(Atletas!V54="Duilian de Armas EF - Equipe 2",24,IF(Atletas!V54="Duilian de Tuishou - Equipe 1",25,IF(Atletas!V54="Duilian de Tuishou - Equipe 2",26,"")))))))))))))))))))))))))))</f>
        <v/>
      </c>
      <c r="CR58" s="71"/>
    </row>
    <row r="59" spans="2:96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 t="str">
        <f t="array" ref="N59">IFERROR(INDEX(BB$7:BB$66,SMALL(IF(BB$7:BB$66&lt;&gt;"",ROW(BB$7:BB$66)-ROW(BB$7)+1),ROWS(BB$7:BB58))),"")</f>
        <v/>
      </c>
      <c r="O59" s="4" t="str">
        <f t="array" ref="O59">IFERROR(INDEX(BC$7:BC$66,SMALL(IF(BC$7:BC$66&lt;&gt;"",ROW(BC$7:BC$66)-ROW(BC$7)+1),ROWS(BC$7:BC58))),"")</f>
        <v/>
      </c>
      <c r="P59" s="4" t="str">
        <f t="array" ref="P59">IFERROR(INDEX(BD$7:BD$66,SMALL(IF(BD$7:BD$66&lt;&gt;"",ROW(BD$7:BD$66)-ROW(BD$7)+1),ROWS(BD$7:BD58))),"")</f>
        <v/>
      </c>
      <c r="Q59" s="4" t="str">
        <f t="array" ref="Q59">IFERROR(INDEX(BE$7:BE$66,SMALL(IF(BE$7:BE$66&lt;&gt;"",ROW(BE$7:BE$66)-ROW(BE$7)+1),ROWS(BE$7:BE58))),"")</f>
        <v/>
      </c>
      <c r="R59" s="4"/>
      <c r="S59" s="4"/>
      <c r="T59" s="31"/>
      <c r="U59" s="4"/>
      <c r="V59" s="4" t="str">
        <f t="array" ref="V59">IFERROR(INDEX(BX$7:BX$336,SMALL(IF(BX$7:BX$336&lt;&gt;"",ROW(BX$7:BX$336)-ROW(BX$7)+1),ROWS(BX$7:BX58))),"")</f>
        <v/>
      </c>
      <c r="W59" s="4" t="str">
        <f t="array" ref="W59">IFERROR(INDEX(BY$7:BY$336,SMALL(IF(BY$7:BY$336&lt;&gt;"",ROW(BY$7:BY$336)-ROW(BY$7)+1),ROWS(BY$7:BY58))),"")</f>
        <v/>
      </c>
      <c r="X59" s="4" t="str">
        <f t="array" ref="X59">IFERROR(INDEX(BZ$7:BZ$336,SMALL(IF(BZ$7:BZ$336&lt;&gt;"",ROW(BZ$7:BZ$336)-ROW(BZ$7)+1),ROWS(BZ$7:BZ58))),"")</f>
        <v/>
      </c>
      <c r="Y59" s="4" t="str">
        <f t="array" ref="Y59">IFERROR(INDEX(CA$7:CA$336,SMALL(IF(CA$7:CA$336&lt;&gt;"",ROW(CA$7:CA$336)-ROW(CA$7)+1),ROWS(CA$7:CA58))),"")</f>
        <v/>
      </c>
      <c r="Z59" s="4" t="str">
        <f t="array" ref="Z59">IFERROR(INDEX(CB$7:CB$378,SMALL(IF(CB$7:CB$378&lt;&gt;"",ROW(CB$7:CB$378)-ROW(CB$7)+1),ROWS(CB$7:CB58))),"")</f>
        <v/>
      </c>
      <c r="AA59" s="4" t="str">
        <f t="array" ref="AA59">IFERROR(INDEX(CC$7:CC$378,SMALL(IF(CC$7:CC$378&lt;&gt;"",ROW(CC$7:CC$378)-ROW(CC$7)+1),ROWS(CC$7:CC58))),"")</f>
        <v/>
      </c>
      <c r="AB59" s="4" t="str">
        <f t="array" ref="AB59">IFERROR(INDEX(CD$7:CD$378,SMALL(IF(CD$7:CD$378&lt;&gt;"",ROW(CD$7:CD$378)-ROW(CD$7)+1),ROWS(CD$7:CD58))),"")</f>
        <v/>
      </c>
      <c r="AC59" s="4" t="str">
        <f t="array" ref="AC59">IFERROR(INDEX(CE$7:CE$378,SMALL(IF(CE$7:CE$378&lt;&gt;"",ROW(CE$7:CE$378)-ROW(CE$7)+1),ROWS(CE$7:CE58))),"")</f>
        <v/>
      </c>
      <c r="AD59" s="4"/>
      <c r="AE59" s="4"/>
      <c r="AF59" s="4"/>
      <c r="AG59" s="4"/>
      <c r="AH59" s="4"/>
      <c r="AI59" s="4"/>
      <c r="AJ59" s="46" t="str">
        <f>IF(Atletas!D55="","",IF(Atletas!B55="Feminino",100,IF(Atletas!B55="Masculino",200,""))+(IF(Atletas!D55="Infantil 39kg",1,IF(Atletas!D55="Infantil 42kg",2,IF(Atletas!D55="Infantil 45kg",3,IF(Atletas!D55="Infantil 48kg",4,IF(Atletas!D55="Infantil 52kg",5,IF(Atletas!D55="Infantil 56kg",6,IF(Atletas!D55="Infantil 60kg",7,IF(Atletas!D55="Juvenil 48kg",8,IF(Atletas!D55="Juvenil 52kg",9,IF(Atletas!D55="Juvenil 56kg",10,IF(Atletas!D55="Juvenil 60kg",11,IF(Atletas!D55="Juvenil 65kg",12,IF(Atletas!D55="Juvenil 70kg",13,IF(Atletas!D55="Juvenil 75kg",14,IF(Atletas!D55="Juvenil 80kg",15,IF(Atletas!D55="Adulto 48kg",16,IF(Atletas!D55="Adulto 52kg",17,IF(Atletas!D55="Adulto 56kg",18,IF(Atletas!D55="Adulto 60kg",19,IF(Atletas!D55="Adulto 65kg",20,IF(Atletas!D55="Adulto 70kg",21,IF(Atletas!D55="Adulto 75kg",22,IF(Atletas!D55="Adulto 80kg",23,IF(Atletas!D55="Adulto 85kg",24,IF(Atletas!D55="Adulto 90kg",25,IF(Atletas!D55="Adulto +90kg",26,""))))))))))))))))))))))))))))</f>
        <v/>
      </c>
      <c r="AO59" s="10" t="str">
        <f>IF(Atletas!E55="","",IF(Atletas!B55="Feminino",100,IF(Atletas!B55="Masculino",200,""))+(IF(Atletas!E55="Juvenil 44kg",1,IF(Atletas!E55="Juvenil 48kg",2,IF(Atletas!E55="Juvenil 52kg",3,IF(Atletas!E55="Juvenil 56kg",4,IF(Atletas!E55="Juvenil 60kg",5,IF(Atletas!E55="Juvenil 65kg",6,IF(Atletas!E55="Juvenil 70kg",7,IF(Atletas!E55="Juvenil 75kg",8,IF(Atletas!E55="Juvenil 82kg",9,IF(Atletas!E55="Juvenil 90kg",10,IF(Atletas!E55="Juvenil 100kg",11,IF(Atletas!E55="Adulto 48kg",12,IF(Atletas!E55="Adulto 52kg",13,IF(Atletas!E55="Adulto 56kg",14,IF(Atletas!E55="Adulto 60kg",15,IF(Atletas!E55="Adulto 65kg",16,IF(Atletas!E55="Adulto 70kg",17,IF(Atletas!E55="Adulto 75kg",18,IF(Atletas!E55="Adulto 82kg",19,IF(Atletas!E55="Adulto 90kg",20,IF(Atletas!E55="Adulto 100kg",21,IF(Atletas!E55="Adulto +100kg",22,""))))))))))))))))))))))))</f>
        <v/>
      </c>
      <c r="AT59" s="10" t="str">
        <f>IF(Atletas!F55="","",IF(Atletas!B55="Feminino",100,IF(Atletas!B55="Masculino",200,""))+(IF(Atletas!F55="Adulto 48kg",1,IF(Atletas!F55="Adulto 56kg",2,IF(Atletas!F55="Adulto 65kg",3,IF(Atletas!F55="Adulto 75kg",4,IF(Atletas!F55="Adulto +75kg",5,IF(Atletas!F55="Adulto 52kg",6,IF(Atletas!F55="Adulto 60kg",7,IF(Atletas!F55="Adulto 70kg",8,IF(Atletas!F55="Adulto 80kg",9,IF(Atletas!F55="Adulto 90kg",10,IF(Atletas!F55="Adulto +90kg",11,"")))))))))))))</f>
        <v/>
      </c>
      <c r="AY59" s="46" t="str">
        <f>IF(Atletas!G55="","",IF(Atletas!B55="Feminino",100,IF(Atletas!B55="Masculino",200,""))+(IF(Atletas!G55="Changquan Mirim",1,IF(Atletas!G55="Nanquan Mirim",2,IF(Atletas!G55="Taijiquan Mirim",3,IF(Atletas!G55="Changquan Grupo C",4,IF(Atletas!G55="Nanquan Grupo C",5,IF(Atletas!G55="Taijiquan Grupo C",6,IF(Atletas!G55="Changquan Grupo B",7,IF(Atletas!G55="Nanquan Grupo B",8,IF(Atletas!G55="Taijiquan Grupo B",9,IF(Atletas!G55="Changquan Grupo A",10,IF(Atletas!G55="Nanquan Grupo A",11,IF(Atletas!G55="Taijiquan Grupo A",12,IF(Atletas!G55="Changquan Opcional",13,IF(Atletas!G55="Nanquan Opcional",14,IF(Atletas!G55="Taijiquan Opcional",15,IF(Atletas!G55="Changquan Adulto",16,IF(Atletas!G55="Nanquan Adulto",17,IF(Atletas!G55="Taijiquan Adulto",18,""))))))))))))))))))))</f>
        <v/>
      </c>
      <c r="AZ59" s="46" t="str">
        <f>IF(Atletas!H55="","",IF(Atletas!B55="Feminino",100,IF(Atletas!B55="Masculino",200,""))+(IF(Atletas!H55="Daoshu Mirim",19,IF(Atletas!H55="Jianshu Mirim",20,IF(Atletas!H55="Nandao Mirim",21,IF(Atletas!H55="Taijijian Mirim",22,IF(Atletas!H55="Daoshu Grupo C",23,IF(Atletas!H55="Jianshu Grupo C",24,IF(Atletas!H55="Nandao Grupo C",25,IF(Atletas!H55="Taijijian Grupo C",26,IF(Atletas!H55="Daoshu Grupo B",27,IF(Atletas!H55="Jianshu Grupo B",28,IF(Atletas!H55="Nandao Grupo B",29,IF(Atletas!H55="Taijijian Grupo B",30,IF(Atletas!H55="Daoshu Grupo A",31,IF(Atletas!H55="Jianshu Grupo A",32,IF(Atletas!H55="Nandao Grupo A",33,IF(Atletas!H55="Taijijian Grupo A",34,IF(Atletas!H55="Daoshu Opcional",35,IF(Atletas!H55="Jianshu Opcional",36,IF(Atletas!H55="Nandao Opcional",37,IF(Atletas!H55="Taijijian Opcional",38,IF(Atletas!H55="Daoshu Adulto",39,IF(Atletas!H55="Jianshu Adulto",40,IF(Atletas!H55="Nandao Adulto",41,IF(Atletas!H55="Taijijian Adulto",42,""))))))))))))))))))))))))))</f>
        <v/>
      </c>
      <c r="BA59" s="46" t="str">
        <f>IF(Atletas!I55="","",IF(Atletas!B55="Feminino",100,IF(Atletas!B55="Masculino",200,""))+(IF(Atletas!I55="Gunshu Mirim",43,IF(Atletas!I55="Qiangshu Mirim",44,IF(Atletas!I55="Nangun Mirim",45,IF(Atletas!I55="Gunshu Grupo C",46,IF(Atletas!I55="Qiangshu Grupo C",47,IF(Atletas!I55="Nangun Grupo C",48,IF(Atletas!I55="Gunshu Grupo B",49,IF(Atletas!I55="Qiangshu Grupo B",50,IF(Atletas!I55="Nangun Grupo B",51,IF(Atletas!I55="Gunshu Grupo A",52,IF(Atletas!I55="Qiangshu Grupo A",53,IF(Atletas!I55="Nangun Grupo A",54,IF(Atletas!I55="Gunshu Opcional",55,IF(Atletas!I55="Qiangshu Opcional",56,IF(Atletas!I55="Nangun Opcional",57,IF(Atletas!I55="Gunshu Adulto",58,IF(Atletas!I55="Qiangshu Adulto",59,IF(Atletas!I55="Nangun Adulto",60,""))))))))))))))))))))</f>
        <v/>
      </c>
      <c r="BB59" s="10" t="str">
        <f>IF(BC59&lt;&gt;"","Taijiquan Adulto","")</f>
        <v/>
      </c>
      <c r="BC59" s="52" t="str">
        <f>IF(COUNTIF(AY:BA,118)&gt;0,COUNTIF(AY:BA,118),"")</f>
        <v/>
      </c>
      <c r="BD59" s="10" t="str">
        <f>IF(BE59&lt;&gt;"","Taijiquan Adulto","")</f>
        <v/>
      </c>
      <c r="BE59" s="52" t="str">
        <f>IF(COUNTIF(AY:BA,218)&gt;0,COUNTIF(AY:BA,218),"")</f>
        <v/>
      </c>
      <c r="BF59" s="52" t="str">
        <f>IF(Atletas!J55="","",IF(Atletas!B55="Feminino",100,IF(Atletas!B55="Masculino",200,""))+(IF(Atletas!J55="Equipe 1 Grupo B",1,IF(Atletas!J55="Equipe 2 Grupo B",2,IF(Atletas!J55="Equipe 1 Grupo A",3,IF(Atletas!J55="Equipe 2 Grupo A",4,IF(Atletas!J55="Equipe 1 Adulto",5,IF(Atletas!J55="Equipe 2 Adulto",6,""))))))))</f>
        <v/>
      </c>
      <c r="BK59" s="52" t="str">
        <f>IF(Atletas!K55="","",IF(Atletas!W55&lt;&gt;"",10000,0)+(IF(Atletas!B55="Feminino",1000,IF(Atletas!B55="Masculino",2000,""))+IF(Atletas!K55="Choylayfut A",1,IF(Atletas!K55="Hunggar A",2,IF(Atletas!K55="Wuzuquan A",3,IF(Atletas!K55="Wingchun A",4,IF(Atletas!K55="Outra Mão de Sul A",5,IF(Atletas!K55="Choylayfut B",6,IF(Atletas!K55="Hunggar B",7,IF(Atletas!K55="Wuzuquan B",8,IF(Atletas!K55="Wingchun B",9,IF(Atletas!K55="Outra Mão de Sul B",10,IF(Atletas!K55="Choylayfut C",11,IF(Atletas!K55="Hunggar C",12,IF(Atletas!K55="Wuzuquan C",13,IF(Atletas!K55="Wingchun C",14,IF(Atletas!K55="Outra Mão de Sul C",15,IF(Atletas!K55="Choylayfut D",16,IF(Atletas!K55="Hunggar D",17,IF(Atletas!K55="Wuzuquan D",18,IF(Atletas!K55="Wingchun D",19,IF(Atletas!K55="Outra Mão de Sul D",20,IF(Atletas!K55="Choylayfut E",21,IF(Atletas!K55="Hunggar E",22,IF(Atletas!K55="Wuzuquan E",23,IF(Atletas!K55="Wingchun E",24,IF(Atletas!K55="Outra Mão de Sul E",25,IF(Atletas!K55="Choylayfut F",26,IF(Atletas!K55="Hunggar F",27,IF(Atletas!K55="Wuzuquan F",28,IF(Atletas!K55="Wingchun F",29,IF(Atletas!K55="Outra Mão de Sul F",30,""))))))))))))))))))))))))))))))))</f>
        <v/>
      </c>
      <c r="BL59" s="52" t="str">
        <f>IF(Atletas!L55="","",IF(Atletas!W55&lt;&gt;"",10000,0)+(IF(Atletas!B55="Feminino",1000,IF(Atletas!B55="Masculino",2000,""))+(IF(Atletas!L55="Chaquan A",101,IF(Atletas!L55="Emeiquan A",102,IF(Atletas!L55="Fanziquan A",103,IF(Atletas!L55="Huaquan A",104,IF(Atletas!L55="Hongquan A",105,IF(Atletas!L55="Paochui A",106,IF(Atletas!L55="Piguaquan A",107,IF(Atletas!L55="Shaolinquan A",108,IF(Atletas!L55="Tanglangquan A",109,IF(Atletas!L55="Yinzhaophai A",110,IF(Atletas!L55="Tongbeiquan A",111,IF(Atletas!L55="Wudangquan A",112,IF(Atletas!L55="Outros Estilos A",113,IF(Atletas!L55="Chaquan B",114,IF(Atletas!L55="Emeiquan B",115,IF(Atletas!L55="Fanziquan B",116,IF(Atletas!L55="Huaquan B",117,IF(Atletas!L55="Hongquan B",118,IF(Atletas!L55="Paochui B",119,IF(Atletas!L55="Piguaquan B",120,IF(Atletas!L55="Shaolinquan B",121,IF(Atletas!L55="Tanglangquan B",122,IF(Atletas!L55="Yinzhaophai B",123,IF(Atletas!L55="Tongbeiquan B",124,IF(Atletas!L55="Wudangquan B",125,IF(Atletas!L55="Outros Estilos B",126,IF(Atletas!L55="Chaquan C",127,IF(Atletas!L55="Emeiquan C",128,IF(Atletas!L55="Fanziquan C",129,IF(Atletas!L55="Huaquan C",130,IF(Atletas!L55="Hongquan C",131,IF(Atletas!L55="Paochui C",132,IF(Atletas!L55="Piguaquan C",133,IF(Atletas!L55="Shaolinquan C",134,IF(Atletas!L55="Tanglangquan C",135,IF(Atletas!L55="Yinzhaophai C",136,IF(Atletas!L55="Tongbeiquan C",137,IF(Atletas!L55="Wudangquan C",138,IF(Atletas!L55="Outros Estilos C",139,0))))))))))))))))))))))))))))))))))))))))))</f>
        <v/>
      </c>
      <c r="BM59" s="52" t="str">
        <f>IF(Atletas!L55="","",IF(Atletas!W55&lt;&gt;"",10000,0)+(IF(Atletas!B55="Feminino",1000,IF(Atletas!B55="Masculino",2000,""))+(IF(Atletas!L55="Chaquan D",140,IF(Atletas!L55="Emeiquan D",141,IF(Atletas!L55="Fanziquan D",142,IF(Atletas!L55="Huaquan D",143,IF(Atletas!L55="Hongquan D",144,IF(Atletas!L55="Paochui D",145,IF(Atletas!L55="Piguaquan D",146,IF(Atletas!L55="Shaolinquan D",147,IF(Atletas!L55="Tanglangquan D",148,IF(Atletas!L55="Yinzhaophai D",149,IF(Atletas!L55="Tongbeiquan D",150,IF(Atletas!L55="Wudangquan D",151,IF(Atletas!L55="Outros Estilos D",152,IF(Atletas!L55="Chaquan E",153,IF(Atletas!L55="Emeiquan E",154,IF(Atletas!L55="Fanziquan E",155,IF(Atletas!L55="Huaquan E",156,IF(Atletas!L55="Hongquan E",157,IF(Atletas!L55="Paochui E",158,IF(Atletas!L55="Piguaquan E",159,IF(Atletas!L55="Shaolinquan E",160,IF(Atletas!L55="Tanglangquan E",161,IF(Atletas!L55="Yinzhaophai E",162,IF(Atletas!L55="Tongbeiquan E",163,IF(Atletas!L55="Wudangquan E",164,IF(Atletas!L55="Outros Estilos E",165,IF(Atletas!L55="Chaquan F",166,IF(Atletas!L55="Emeiquan F",167,IF(Atletas!L55="Fanziquan F",168,IF(Atletas!L55="Huaquan F",169,IF(Atletas!L55="Hongquan F",170,IF(Atletas!L55="Paochui F",171,IF(Atletas!L55="Piguaquan F",172,IF(Atletas!L55="Shaolinquan F",173,IF(Atletas!L55="Tanglangquan F",174,IF(Atletas!L55="Yinzhaophai F",175,IF(Atletas!L55="Tongbeiquan F",176,IF(Atletas!L55="Wudangquan F",177,IF(Atletas!L55="Outros Estilos F",178,0))))))))))))))))))))))))))))))))))))))))))</f>
        <v/>
      </c>
      <c r="BN59" s="52" t="str">
        <f>IF(Atletas!M55="","",IF(Atletas!W55&lt;&gt;"",10000,0)+(IF(Atletas!B55="Feminino",1000,IF(Atletas!B55="Masculino",2000,""))+(IF(Atletas!M55="Ditangquan A",201,IF(Atletas!M55="Houquan A",202,IF(Atletas!M55="Zuiquan A",203,IF(Atletas!M55="Ditangquan B",204,IF(Atletas!M55="Houquan B",205,IF(Atletas!M55="Zuiquan B",206,IF(Atletas!M55="Ditangquan C",207,IF(Atletas!M55="Houquan C",208,IF(Atletas!M55="Zuiquan C",209,IF(Atletas!M55="Ditangquan D",210,IF(Atletas!M55="Houquan D",211,IF(Atletas!M55="Zuiquan D",212,IF(Atletas!M55="Ditangquan E",213,IF(Atletas!M55="Houquan E",214,IF(Atletas!M55="Zuiquan E",215,IF(Atletas!M55="Ditangquan F",216,IF(Atletas!M55="Houquan F",217,IF(Atletas!M55="Zuiquan F",218,"")))))))))))))))))))))</f>
        <v/>
      </c>
      <c r="BO59" s="52" t="str">
        <f>IF(Atletas!N55="","",IF(Atletas!W55&lt;&gt;"",10000,0)+IF(Atletas!B55="Feminino",1000,IF(Atletas!B55="Masculino",2000,""))+IF(Atletas!N55="Yang A",301,IF(Atletas!N55="Chen A",30,IF(Atletas!N55="Sun A",303,IF(Atletas!N55="Wu A",304,IF(Atletas!N55="Wu-Hao A",305,IF(Atletas!N55="Outro Taijiquan A",306,IF(Atletas!N55="Yang B",307,IF(Atletas!N55="Chen B",308,IF(Atletas!N55="Sun B",309,IF(Atletas!N55="Wu B",310,IF(Atletas!N55="Wu-Hao B",311,IF(Atletas!N55="Outro Taijiquan B",312,IF(Atletas!N55="Yang C",313,IF(Atletas!N55="Chen C",314,IF(Atletas!N55="Sun C",315,IF(Atletas!N55="Wu C",316,IF(Atletas!N55="Wu-Hao C",317,IF(Atletas!N55="Outro Taijiquan C",318,IF(Atletas!N55="Yang D",319,IF(Atletas!N55="Chen D",320,IF(Atletas!N55="Sun D",321,IF(Atletas!N55="Wu D",322,IF(Atletas!N55="Wu-Hao D",323,IF(Atletas!N55="Outro Taijiquan D",324,IF(Atletas!N55="Yang E",325,IF(Atletas!N55="Chen E",326,IF(Atletas!N55="Sun E",327,IF(Atletas!N55="Wu E",328,IF(Atletas!N55="Wu-Hao E",329,IF(Atletas!N55="Outro Taijiquan E",330,IF(Atletas!N55="Yang F",331,IF(Atletas!N55="Chen F",332,IF(Atletas!N55="Sun F",333,IF(Atletas!N55="Wu F",334,IF(Atletas!N55="Wu-Hao F",335,IF(Atletas!N55="Outro Taijiquan F",336,"")))))))))))))))))))))))))))))))))))))</f>
        <v/>
      </c>
      <c r="BP59" s="52" t="str">
        <f>IF(Atletas!O55="","",IF(Atletas!W55&lt;&gt;"",10000,0)+IF(Atletas!B55="Feminino",1000,IF(Atletas!B55="Masculino",2000,""))+IF(OR(Atletas!O55="Yang 26 A",Atletas!O55="Yang 40 A"),401,IF(OR(Atletas!O55="Chen 25 A",Atletas!O55="Chen 36 A",Atletas!O55="Chen 56 A"),402,IF(Atletas!O55="Sun 73 A",403,IF(Atletas!O55="Wu 45 A",404,IF(Atletas!O55="Wu-Hao 46 A",405,IF(OR(Atletas!O55="Taijiquan 16 A",Atletas!O55="Taijiquan 24 A",Atletas!O55="Taijiquan 32 A",Atletas!O55="Taijiquan 42 A"),406,IF(OR(Atletas!O55="Yang 26 B",Atletas!O55="Yang 40 B"),407,IF(OR(Atletas!O55="Chen 25 B",Atletas!O55="Chen 36 B",Atletas!O55="Chen 56 B"),408,IF(Atletas!O55="Sun 73 B",409,IF(Atletas!O55="Wu 45 B",410,IF(Atletas!O55="Wu-Hao 46 B",411,IF(OR(Atletas!O55="Taijiquan 16 B",Atletas!O55="Taijiquan 24 B",Atletas!O55="Taijiquan 32 B",Atletas!O55="Taijiquan 42 B"),412,IF(OR(Atletas!O55="Yang 26 C",Atletas!O55="Yang 40 C"),413,IF(OR(Atletas!O55="Chen 25 C",Atletas!O55="Chen 36 C",Atletas!O55="Chen 56 C"),414,IF(Atletas!O55="Sun 73 C",415,IF(Atletas!O55="Wu 45 C",416,IF(Atletas!O55="Wu-Hao 46 C",417,IF(OR(Atletas!O55="Taijiquan 16 C",Atletas!O55="Taijiquan 24 C",Atletas!O55="Taijiquan 32 C",Atletas!O55="Taijiquan 42 C"),418,0)))))))))))))))))))</f>
        <v/>
      </c>
      <c r="BQ59" s="52" t="str">
        <f>IF(Atletas!O55="","",IF(Atletas!W55&lt;&gt;"",10000,0)+IF(Atletas!B55="Feminino",1000,IF(Atletas!B55="Masculino",2000,""))+IF(OR(Atletas!O55="Yang 26 D",Atletas!O55="Yang 40 D"),419,IF(OR(Atletas!O55="Chen 25 D",Atletas!O55="Chen 36 D",Atletas!O55="Chen 56 D"),420,IF(Atletas!O55="Sun 73 D",421,IF(Atletas!O55="Wu 45 D",422,IF(Atletas!O55="Wu-Hao 46 D",423,IF(OR(Atletas!O55="Taijiquan 16 D",Atletas!O55="Taijiquan 24 D",Atletas!O55="Taijiquan 32 D",Atletas!O55="Taijiquan 42 D"),424,IF(OR(Atletas!O55="Yang 26 E",Atletas!O55="Yang 40 E"),425,IF(OR(Atletas!O55="Chen 25 E",Atletas!O55="Chen 36 E",Atletas!O55="Chen 56 E"),426,IF(Atletas!O55="Sun 73 E",427,IF(Atletas!O55="Wu 45 E",428,IF(Atletas!O55="Wu-Hao 46 E",429,IF(OR(Atletas!O55="Taijiquan 16 E",Atletas!O55="Taijiquan 24 E",Atletas!O55="Taijiquan 32 E",Atletas!O55="Taijiquan 42 E"),430,IF(OR(Atletas!O55="Yang 26 F",Atletas!O55="Yang 40 F"),431,IF(OR(Atletas!O55="Chen 25 F",Atletas!O55="Chen 36 F",Atletas!O55="Chen 56 F"),432,IF(Atletas!O55="Sun 73 F",433,IF(Atletas!O55="Wu 45 F",434,IF(Atletas!O55="Wu-Hao 46 F",435,IF(OR(Atletas!O55="Taijiquan 16 F",Atletas!O55="Taijiquan 24 F",Atletas!O55="Taijiquan 32 F",Atletas!O55="Taijiquan 42 F"),436,0)))))))))))))))))))</f>
        <v/>
      </c>
      <c r="BR59" s="52" t="str">
        <f>IF(Atletas!P55="","",IF(Atletas!W55&lt;&gt;"",10000,0)+IF(Atletas!B55="Feminino",1000,IF(Atletas!B55="Masculino",2000,""))+IF(Atletas!P55="Xingyiquan A",501,IF(Atletas!P55="Baguazhang A",502,IF(Atletas!P55="Outro Estilo Interno A",503,IF(Atletas!P55="Xingyiquan B",504,IF(Atletas!P55="Baguazhang B",505,IF(Atletas!P55="Outro Estilo Interno B",506,IF(Atletas!P55="Xingyiquan C",507,IF(Atletas!P55="Baguazhang C",508,IF(Atletas!P55="Outro Estilo Interno C",509,IF(Atletas!P55="Xingyiquan D",510,IF(Atletas!P55="Baguazhang D",511,IF(Atletas!P55="Outro Estilo Interno D",512,IF(Atletas!P55="Xingyiquan E",513,IF(Atletas!P55="Baguazhang E",514,IF(Atletas!P55="Outro Estilo Interno E",515,IF(Atletas!P55="Xingyiquan F",516,IF(Atletas!P55="Baguazhang F",517,IF(Atletas!P55="Outro Estilo Interno F",518, "")))))))))))))))))))</f>
        <v/>
      </c>
      <c r="BS59" s="52" t="str">
        <f>IF(Atletas!Q55="","",IF(Atletas!W55&lt;&gt;"",10000,0)+IF(Atletas!B55="Feminino",1000,IF(Atletas!B55="Masculino",2000,""))+IF(Atletas!Q55="Dao A",601,IF(Atletas!Q55="Jian A",602,IF(Atletas!Q55="Bishou A",603,IF(Atletas!Q55="Shan A",604,IF(Atletas!Q55="Outra Arma Curta A",605,IF(Atletas!Q55="Dao B",606,IF(Atletas!Q55="Jian B",607,IF(Atletas!Q55="Bishou B",608,IF(Atletas!Q55="Shan B",609,IF(Atletas!Q55="Outra Arma Curta B",610,IF(Atletas!Q55="Dao C",611,IF(Atletas!Q55="Jian C",612,IF(Atletas!Q55="Bishou C",613,IF(Atletas!Q55="Shan C",614,IF(Atletas!Q55="Outra Arma Curta C",615,IF(Atletas!Q55="Dao D",616,IF(Atletas!Q55="Jian D",617,IF(Atletas!Q55="Bishou D",618,IF(Atletas!Q55="Shan D",619,IF(Atletas!Q55="Outra Arma Curta D",620,IF(Atletas!Q55="Dao E",621,IF(Atletas!Q55="Jian E",622,IF(Atletas!Q55="Bishou E",623,IF(Atletas!Q55="Shan E",624,IF(Atletas!Q55="Outra Arma Curta E",625,IF(Atletas!Q55="Dao F",626,IF(Atletas!Q55="Jian F",627,IF(Atletas!Q55="Bishou F",628,IF(Atletas!Q55="Shan F",629,IF(Atletas!Q55="Outra Arma Curta F",630, "")))))))))))))))))))))))))))))))</f>
        <v/>
      </c>
      <c r="BT59" s="52" t="str">
        <f>IF(Atletas!R55="","",IF(Atletas!W55&lt;&gt;"",10000,0)+IF(Atletas!B55="Feminino",1000,IF(Atletas!B55="Masculino",2000,""))+IF(Atletas!R55="Gun A",701,IF(Atletas!R55="Qiang A",702,IF(Atletas!R55="Pudao / Guandao A",703,IF(Atletas!R55="Outra Arma Longa A",704,IF(Atletas!R55="Gun B",705,IF(Atletas!R55="Qiang B",706,IF(Atletas!R55="Pudao / Guandao B",707,IF(Atletas!R55="Outra Arma Longa B",708,IF(Atletas!R55="Gun C",709,IF(Atletas!R55="Qiang C",710,IF(Atletas!R55="Pudao / Guandao C",711,IF(Atletas!R55="Outra Arma Longa C",712,IF(Atletas!R55="Gun D",713,IF(Atletas!R55="Qiang D",714,IF(Atletas!R55="Pudao / Guandao D",715,IF(Atletas!R55="Outra Arma Longa D",716,IF(Atletas!R55="Gun E",717,IF(Atletas!R55="Qiang E",718,IF(Atletas!R55="Pudao / Guandao E",719,IF(Atletas!R55="Outra Arma Longa E",720,IF(Atletas!R55="Gun F",721,IF(Atletas!R55="Qiang F",722,IF(Atletas!R55="Pudao / Guandao F",723,IF(Atletas!R55="Outra Arma Longa F",724,"")))))))))))))))))))))))))</f>
        <v/>
      </c>
      <c r="BU59" s="52" t="str">
        <f>IF(Atletas!S55="","",IF(Atletas!W55&lt;&gt;"",10000,0)+IF(Atletas!B55="Feminino",1000,IF(Atletas!B55="Masculino",2000,""))+IF(Atletas!S55="Arma Dupla A",801,IF(Atletas!S55="Arma Maleável A",802,IF(Atletas!S55="Arma Dupla B",803,IF(Atletas!S55="Arma Maleável B",804,IF(Atletas!S55="Arma Dupla C",805,IF(Atletas!S55="Arma Maleável C",806,IF(Atletas!S55="Arma Dupla D",807,IF(Atletas!S55="Arma Maleável D",808,IF(Atletas!S55="Arma Dupla E",809,IF(Atletas!S55="Arma Maleável E",810,IF(Atletas!S55="Arma Dupla F",811,IF(Atletas!S55="Arma Maleável F",812, "")))))))))))))</f>
        <v/>
      </c>
      <c r="BV59" s="52" t="str">
        <f>IF(Atletas!T55="","",IF(Atletas!W55&lt;&gt;"",10000,0)+IF(Atletas!B55="Feminino",1000,IF(Atletas!B55="Masculino",2000,""))+IF(Atletas!T55="Taijijian Yang A",901,IF(Atletas!T55="Taijijian Chen A",902,IF(Atletas!T55="Taijijian Sun A",903,IF(Atletas!T55="Taijijian Wu A",904,IF(Atletas!T55="Taijijian Wu-Hao A",905,IF(Atletas!T55="Taijijian 32 A",906,IF(Atletas!T55="Taijijian 42 A",907,IF(Atletas!T55="Taijijian Yang B",908,IF(Atletas!T55="Taijijian Chen B",909,IF(Atletas!T55="Taijijian Sun B",910,IF(Atletas!T55="Taijijian Wu B",911,IF(Atletas!T55="Taijijian Wu-Hao B",912,IF(Atletas!T55="Taijijian 32 B",913,IF(Atletas!T55="Taijijian 42 B",914,IF(Atletas!T55="Taijijian Yang C",915,IF(Atletas!T55="Taijijian Chen C",916,IF(Atletas!T55="Taijijian Sun C",917,IF(Atletas!T55="Taijijian Wu C",918,IF(Atletas!T55="Taijijian Wu-Hao C",919,IF(Atletas!T55="Taijijian 32 C",920,IF(Atletas!T55="Taijijian 42 C",921,IF(Atletas!T55="Taijijian Yang D",922,IF(Atletas!T55="Taijijian Chen D",923,IF(Atletas!T55="Taijijian Sun D",924,IF(Atletas!T55="Taijijian Wu D",925,IF(Atletas!T55="Taijijian Wu-Hao D",926,IF(Atletas!T55="Taijijian 32 D",927,IF(Atletas!T55="Taijijian 42 D",928,IF(Atletas!T55="Taijijian Yang E",929,IF(Atletas!T55="Taijijian Chen E",930,IF(Atletas!T55="Taijijian Sun E",931,IF(Atletas!T55="Taijijian Wu E",932,IF(Atletas!T55="Taijijian Wu-Hao E",933,IF(Atletas!T55="Taijijian 32 E",934,IF(Atletas!T55="Taijijian 42 E",935,IF(Atletas!T55="Taijijian Yang F",936,IF(Atletas!T55="Taijijian Chen F",937,IF(Atletas!T55="Taijijian Sun F",938,IF(Atletas!T55="Taijijian Wu F",939,IF(Atletas!T55="Taijijian Wu-Hao F",940,IF(Atletas!T55="Taijijian 32 F",941,IF(Atletas!T55="Taijijian 42 F",942,"")))))))))))))))))))))))))))))))))))))))))))</f>
        <v/>
      </c>
      <c r="BW59" s="52" t="str">
        <f>IF(Atletas!U55="","",IF(Atletas!W55&lt;&gt;"",10000,0)+IF(Atletas!B55="Feminino",1000,IF(Atletas!B55="Masculino",2000,""))+IF(Atletas!T55="Taijijian 42 F",942,IF(Atletas!U55="Taijidao A",943,IF(Atletas!U55="Taijishan A",944,IF(Atletas!U55="Taijiqiang A",945,IF(Atletas!U55="Taijidao B",946,IF(Atletas!U55="Taijishan B",947,IF(Atletas!U55="Taijiqiang B",948,IF(Atletas!U55="Taijidao C",949,IF(Atletas!U55="Taijishan C",950,IF(Atletas!U55="Taijiqiang C",951,IF(Atletas!U55="Taijidao D",952,IF(Atletas!U55="Taijishan D",953,IF(Atletas!U55="Taijiqiang D",954,IF(Atletas!U55="Taijidao E",955,IF(Atletas!U55="Taijishan E",956,IF(Atletas!U55="Taijiqiang E",957,IF(Atletas!U55="Taijidao F",958,IF(Atletas!U55="Taijishan F",959,IF(Atletas!U55="Taijiqiang F",960))))))))))))))))))))</f>
        <v/>
      </c>
      <c r="BX59" s="64" t="str">
        <f>IF(BY59&lt;&gt;"","Yinzhaophai B","")</f>
        <v/>
      </c>
      <c r="BY59" s="64" t="str">
        <f>IF(COUNTIF(BK:BW,1123)&gt;0,COUNTIF(BK:BW,1123),"")</f>
        <v/>
      </c>
      <c r="BZ59" s="64" t="str">
        <f>IF(CA59&lt;&gt;"","Yinzhaophai B","")</f>
        <v/>
      </c>
      <c r="CA59" s="64" t="str">
        <f>IF(COUNTIF(BK:BW,2123)&gt;0,COUNTIF(BK:BW,2123),"")</f>
        <v/>
      </c>
      <c r="CB59" s="64" t="str">
        <f>IF(CC59&lt;&gt;"","Yinzhaophai B","")</f>
        <v/>
      </c>
      <c r="CC59" s="64" t="str">
        <f>IF(COUNTIF(BK:BW,11123)&gt;0,COUNTIF(BK:BW,11123),"")</f>
        <v/>
      </c>
      <c r="CD59" s="64" t="str">
        <f>IF(CE59&lt;&gt;"","Yinzhaophai B","")</f>
        <v/>
      </c>
      <c r="CE59" s="64" t="str">
        <f>IF(COUNTIF(BK:BW,12123)&gt;0,COUNTIF(BK:BW,12123),"")</f>
        <v/>
      </c>
      <c r="CF59" s="52" t="str">
        <f xml:space="preserve"> IF(Atletas!V55="","",IF(Atletas!V55="Duilian de Mãos AB - Equipe 1",1,IF(Atletas!V55="Duilian de Mãos AB - Equipe 2",2,IF(Atletas!V55="Duilian de Armas AB - Equipe 1",3,IF(Atletas!V55="Duilian de Armas AB - Equipe 2",4,IF(Atletas!V55="Duilian de Tuishou - Equipe 1",5,IF(Atletas!V55="Duilian de Tuishou - Equipe 2",6,IF(Atletas!V55="Grupo Externo AB - Equipe 1",7,IF(Atletas!V55="Grupo Externo AB - Equipe 2",8,IF(Atletas!V55="Grupo Interno AB - Equipe 1",9,IF(Atletas!V55="Grupo Interno AB - Equipe 2",10,IF(Atletas!V55="Duilian de Mãos CD - Equipe 1",11,IF(Atletas!V55="Duilian de Mãos CD - Equipe 2",12,IF(Atletas!V55="Duilian de Armas CD - Equipe 1",13,IF(Atletas!V55="Duilian de Armas CD - Equipe 2",14,IF(Atletas!V55="Duilian de Tuishou - Equipe 1",15,IF(Atletas!V55="Duilian de Tuishou - Equipe 2",16,IF(Atletas!V55="Grupo Externo CDEF - Equipe 1",17,IF(Atletas!V55="Grupo Externo CDEF - Equipe 2",18,IF(Atletas!V55="Grupo Interno CDEF - Equipe 1",19,IF(Atletas!V55="Grupo Interno CDEF - Equipe 2",20,IF(Atletas!V55="Duilian de Mãos EF - Equipe 1",21,IF(Atletas!V55="Duilian de Mãos EF - Equipe 2",22,IF(Atletas!V55="Duilian de Armas EF - Equipe 1",23,IF(Atletas!V55="Duilian de Armas EF - Equipe 2",24,IF(Atletas!V55="Duilian de Tuishou - Equipe 1",25,IF(Atletas!V55="Duilian de Tuishou - Equipe 2",26,"")))))))))))))))))))))))))))</f>
        <v/>
      </c>
      <c r="CR59" s="71"/>
    </row>
    <row r="60" spans="2:96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 t="str">
        <f t="array" ref="N60">IFERROR(INDEX(BB$7:BB$66,SMALL(IF(BB$7:BB$66&lt;&gt;"",ROW(BB$7:BB$66)-ROW(BB$7)+1),ROWS(BB$7:BB59))),"")</f>
        <v/>
      </c>
      <c r="O60" s="4" t="str">
        <f t="array" ref="O60">IFERROR(INDEX(BC$7:BC$66,SMALL(IF(BC$7:BC$66&lt;&gt;"",ROW(BC$7:BC$66)-ROW(BC$7)+1),ROWS(BC$7:BC59))),"")</f>
        <v/>
      </c>
      <c r="P60" s="4" t="str">
        <f t="array" ref="P60">IFERROR(INDEX(BD$7:BD$66,SMALL(IF(BD$7:BD$66&lt;&gt;"",ROW(BD$7:BD$66)-ROW(BD$7)+1),ROWS(BD$7:BD59))),"")</f>
        <v/>
      </c>
      <c r="Q60" s="4" t="str">
        <f t="array" ref="Q60">IFERROR(INDEX(BE$7:BE$66,SMALL(IF(BE$7:BE$66&lt;&gt;"",ROW(BE$7:BE$66)-ROW(BE$7)+1),ROWS(BE$7:BE59))),"")</f>
        <v/>
      </c>
      <c r="R60" s="4"/>
      <c r="S60" s="4"/>
      <c r="T60" s="31"/>
      <c r="U60" s="4"/>
      <c r="V60" s="4" t="str">
        <f t="array" ref="V60">IFERROR(INDEX(BX$7:BX$336,SMALL(IF(BX$7:BX$336&lt;&gt;"",ROW(BX$7:BX$336)-ROW(BX$7)+1),ROWS(BX$7:BX59))),"")</f>
        <v/>
      </c>
      <c r="W60" s="4" t="str">
        <f t="array" ref="W60">IFERROR(INDEX(BY$7:BY$336,SMALL(IF(BY$7:BY$336&lt;&gt;"",ROW(BY$7:BY$336)-ROW(BY$7)+1),ROWS(BY$7:BY59))),"")</f>
        <v/>
      </c>
      <c r="X60" s="4" t="str">
        <f t="array" ref="X60">IFERROR(INDEX(BZ$7:BZ$336,SMALL(IF(BZ$7:BZ$336&lt;&gt;"",ROW(BZ$7:BZ$336)-ROW(BZ$7)+1),ROWS(BZ$7:BZ59))),"")</f>
        <v/>
      </c>
      <c r="Y60" s="4" t="str">
        <f t="array" ref="Y60">IFERROR(INDEX(CA$7:CA$336,SMALL(IF(CA$7:CA$336&lt;&gt;"",ROW(CA$7:CA$336)-ROW(CA$7)+1),ROWS(CA$7:CA59))),"")</f>
        <v/>
      </c>
      <c r="Z60" s="4" t="str">
        <f t="array" ref="Z60">IFERROR(INDEX(CB$7:CB$378,SMALL(IF(CB$7:CB$378&lt;&gt;"",ROW(CB$7:CB$378)-ROW(CB$7)+1),ROWS(CB$7:CB59))),"")</f>
        <v/>
      </c>
      <c r="AA60" s="4" t="str">
        <f t="array" ref="AA60">IFERROR(INDEX(CC$7:CC$378,SMALL(IF(CC$7:CC$378&lt;&gt;"",ROW(CC$7:CC$378)-ROW(CC$7)+1),ROWS(CC$7:CC59))),"")</f>
        <v/>
      </c>
      <c r="AB60" s="4" t="str">
        <f t="array" ref="AB60">IFERROR(INDEX(CD$7:CD$378,SMALL(IF(CD$7:CD$378&lt;&gt;"",ROW(CD$7:CD$378)-ROW(CD$7)+1),ROWS(CD$7:CD59))),"")</f>
        <v/>
      </c>
      <c r="AC60" s="4" t="str">
        <f t="array" ref="AC60">IFERROR(INDEX(CE$7:CE$378,SMALL(IF(CE$7:CE$378&lt;&gt;"",ROW(CE$7:CE$378)-ROW(CE$7)+1),ROWS(CE$7:CE59))),"")</f>
        <v/>
      </c>
      <c r="AD60" s="4"/>
      <c r="AE60" s="4"/>
      <c r="AF60" s="4"/>
      <c r="AG60" s="4"/>
      <c r="AH60" s="4"/>
      <c r="AI60" s="4"/>
      <c r="AJ60" s="46" t="str">
        <f>IF(Atletas!D56="","",IF(Atletas!B56="Feminino",100,IF(Atletas!B56="Masculino",200,""))+(IF(Atletas!D56="Infantil 39kg",1,IF(Atletas!D56="Infantil 42kg",2,IF(Atletas!D56="Infantil 45kg",3,IF(Atletas!D56="Infantil 48kg",4,IF(Atletas!D56="Infantil 52kg",5,IF(Atletas!D56="Infantil 56kg",6,IF(Atletas!D56="Infantil 60kg",7,IF(Atletas!D56="Juvenil 48kg",8,IF(Atletas!D56="Juvenil 52kg",9,IF(Atletas!D56="Juvenil 56kg",10,IF(Atletas!D56="Juvenil 60kg",11,IF(Atletas!D56="Juvenil 65kg",12,IF(Atletas!D56="Juvenil 70kg",13,IF(Atletas!D56="Juvenil 75kg",14,IF(Atletas!D56="Juvenil 80kg",15,IF(Atletas!D56="Adulto 48kg",16,IF(Atletas!D56="Adulto 52kg",17,IF(Atletas!D56="Adulto 56kg",18,IF(Atletas!D56="Adulto 60kg",19,IF(Atletas!D56="Adulto 65kg",20,IF(Atletas!D56="Adulto 70kg",21,IF(Atletas!D56="Adulto 75kg",22,IF(Atletas!D56="Adulto 80kg",23,IF(Atletas!D56="Adulto 85kg",24,IF(Atletas!D56="Adulto 90kg",25,IF(Atletas!D56="Adulto +90kg",26,""))))))))))))))))))))))))))))</f>
        <v/>
      </c>
      <c r="AO60" s="10" t="str">
        <f>IF(Atletas!E56="","",IF(Atletas!B56="Feminino",100,IF(Atletas!B56="Masculino",200,""))+(IF(Atletas!E56="Juvenil 44kg",1,IF(Atletas!E56="Juvenil 48kg",2,IF(Atletas!E56="Juvenil 52kg",3,IF(Atletas!E56="Juvenil 56kg",4,IF(Atletas!E56="Juvenil 60kg",5,IF(Atletas!E56="Juvenil 65kg",6,IF(Atletas!E56="Juvenil 70kg",7,IF(Atletas!E56="Juvenil 75kg",8,IF(Atletas!E56="Juvenil 82kg",9,IF(Atletas!E56="Juvenil 90kg",10,IF(Atletas!E56="Juvenil 100kg",11,IF(Atletas!E56="Adulto 48kg",12,IF(Atletas!E56="Adulto 52kg",13,IF(Atletas!E56="Adulto 56kg",14,IF(Atletas!E56="Adulto 60kg",15,IF(Atletas!E56="Adulto 65kg",16,IF(Atletas!E56="Adulto 70kg",17,IF(Atletas!E56="Adulto 75kg",18,IF(Atletas!E56="Adulto 82kg",19,IF(Atletas!E56="Adulto 90kg",20,IF(Atletas!E56="Adulto 100kg",21,IF(Atletas!E56="Adulto +100kg",22,""))))))))))))))))))))))))</f>
        <v/>
      </c>
      <c r="AT60" s="10" t="str">
        <f>IF(Atletas!F56="","",IF(Atletas!B56="Feminino",100,IF(Atletas!B56="Masculino",200,""))+(IF(Atletas!F56="Adulto 48kg",1,IF(Atletas!F56="Adulto 56kg",2,IF(Atletas!F56="Adulto 65kg",3,IF(Atletas!F56="Adulto 75kg",4,IF(Atletas!F56="Adulto +75kg",5,IF(Atletas!F56="Adulto 52kg",6,IF(Atletas!F56="Adulto 60kg",7,IF(Atletas!F56="Adulto 70kg",8,IF(Atletas!F56="Adulto 80kg",9,IF(Atletas!F56="Adulto 90kg",10,IF(Atletas!F56="Adulto +90kg",11,"")))))))))))))</f>
        <v/>
      </c>
      <c r="AY60" s="46" t="str">
        <f>IF(Atletas!G56="","",IF(Atletas!B56="Feminino",100,IF(Atletas!B56="Masculino",200,""))+(IF(Atletas!G56="Changquan Mirim",1,IF(Atletas!G56="Nanquan Mirim",2,IF(Atletas!G56="Taijiquan Mirim",3,IF(Atletas!G56="Changquan Grupo C",4,IF(Atletas!G56="Nanquan Grupo C",5,IF(Atletas!G56="Taijiquan Grupo C",6,IF(Atletas!G56="Changquan Grupo B",7,IF(Atletas!G56="Nanquan Grupo B",8,IF(Atletas!G56="Taijiquan Grupo B",9,IF(Atletas!G56="Changquan Grupo A",10,IF(Atletas!G56="Nanquan Grupo A",11,IF(Atletas!G56="Taijiquan Grupo A",12,IF(Atletas!G56="Changquan Opcional",13,IF(Atletas!G56="Nanquan Opcional",14,IF(Atletas!G56="Taijiquan Opcional",15,IF(Atletas!G56="Changquan Adulto",16,IF(Atletas!G56="Nanquan Adulto",17,IF(Atletas!G56="Taijiquan Adulto",18,""))))))))))))))))))))</f>
        <v/>
      </c>
      <c r="AZ60" s="46" t="str">
        <f>IF(Atletas!H56="","",IF(Atletas!B56="Feminino",100,IF(Atletas!B56="Masculino",200,""))+(IF(Atletas!H56="Daoshu Mirim",19,IF(Atletas!H56="Jianshu Mirim",20,IF(Atletas!H56="Nandao Mirim",21,IF(Atletas!H56="Taijijian Mirim",22,IF(Atletas!H56="Daoshu Grupo C",23,IF(Atletas!H56="Jianshu Grupo C",24,IF(Atletas!H56="Nandao Grupo C",25,IF(Atletas!H56="Taijijian Grupo C",26,IF(Atletas!H56="Daoshu Grupo B",27,IF(Atletas!H56="Jianshu Grupo B",28,IF(Atletas!H56="Nandao Grupo B",29,IF(Atletas!H56="Taijijian Grupo B",30,IF(Atletas!H56="Daoshu Grupo A",31,IF(Atletas!H56="Jianshu Grupo A",32,IF(Atletas!H56="Nandao Grupo A",33,IF(Atletas!H56="Taijijian Grupo A",34,IF(Atletas!H56="Daoshu Opcional",35,IF(Atletas!H56="Jianshu Opcional",36,IF(Atletas!H56="Nandao Opcional",37,IF(Atletas!H56="Taijijian Opcional",38,IF(Atletas!H56="Daoshu Adulto",39,IF(Atletas!H56="Jianshu Adulto",40,IF(Atletas!H56="Nandao Adulto",41,IF(Atletas!H56="Taijijian Adulto",42,""))))))))))))))))))))))))))</f>
        <v/>
      </c>
      <c r="BA60" s="46" t="str">
        <f>IF(Atletas!I56="","",IF(Atletas!B56="Feminino",100,IF(Atletas!B56="Masculino",200,""))+(IF(Atletas!I56="Gunshu Mirim",43,IF(Atletas!I56="Qiangshu Mirim",44,IF(Atletas!I56="Nangun Mirim",45,IF(Atletas!I56="Gunshu Grupo C",46,IF(Atletas!I56="Qiangshu Grupo C",47,IF(Atletas!I56="Nangun Grupo C",48,IF(Atletas!I56="Gunshu Grupo B",49,IF(Atletas!I56="Qiangshu Grupo B",50,IF(Atletas!I56="Nangun Grupo B",51,IF(Atletas!I56="Gunshu Grupo A",52,IF(Atletas!I56="Qiangshu Grupo A",53,IF(Atletas!I56="Nangun Grupo A",54,IF(Atletas!I56="Gunshu Opcional",55,IF(Atletas!I56="Qiangshu Opcional",56,IF(Atletas!I56="Nangun Opcional",57,IF(Atletas!I56="Gunshu Adulto",58,IF(Atletas!I56="Qiangshu Adulto",59,IF(Atletas!I56="Nangun Adulto",60,""))))))))))))))))))))</f>
        <v/>
      </c>
      <c r="BB60" s="10" t="str">
        <f>IF(BC60&lt;&gt;"","Daoshu Adulto","")</f>
        <v/>
      </c>
      <c r="BC60" s="52" t="str">
        <f>IF(COUNTIF(AY:BA,139)&gt;0,COUNTIF(AY:BA,139),"")</f>
        <v/>
      </c>
      <c r="BD60" s="10" t="str">
        <f>IF(BE60&lt;&gt;"","Daoshu Adulto","")</f>
        <v/>
      </c>
      <c r="BE60" s="52" t="str">
        <f>IF(COUNTIF(AY:BA,239)&gt;0,COUNTIF(AY:BA,239),"")</f>
        <v/>
      </c>
      <c r="BF60" s="52" t="str">
        <f>IF(Atletas!J56="","",IF(Atletas!B56="Feminino",100,IF(Atletas!B56="Masculino",200,""))+(IF(Atletas!J56="Equipe 1 Grupo B",1,IF(Atletas!J56="Equipe 2 Grupo B",2,IF(Atletas!J56="Equipe 1 Grupo A",3,IF(Atletas!J56="Equipe 2 Grupo A",4,IF(Atletas!J56="Equipe 1 Adulto",5,IF(Atletas!J56="Equipe 2 Adulto",6,""))))))))</f>
        <v/>
      </c>
      <c r="BK60" s="52" t="str">
        <f>IF(Atletas!K56="","",IF(Atletas!W56&lt;&gt;"",10000,0)+(IF(Atletas!B56="Feminino",1000,IF(Atletas!B56="Masculino",2000,""))+IF(Atletas!K56="Choylayfut A",1,IF(Atletas!K56="Hunggar A",2,IF(Atletas!K56="Wuzuquan A",3,IF(Atletas!K56="Wingchun A",4,IF(Atletas!K56="Outra Mão de Sul A",5,IF(Atletas!K56="Choylayfut B",6,IF(Atletas!K56="Hunggar B",7,IF(Atletas!K56="Wuzuquan B",8,IF(Atletas!K56="Wingchun B",9,IF(Atletas!K56="Outra Mão de Sul B",10,IF(Atletas!K56="Choylayfut C",11,IF(Atletas!K56="Hunggar C",12,IF(Atletas!K56="Wuzuquan C",13,IF(Atletas!K56="Wingchun C",14,IF(Atletas!K56="Outra Mão de Sul C",15,IF(Atletas!K56="Choylayfut D",16,IF(Atletas!K56="Hunggar D",17,IF(Atletas!K56="Wuzuquan D",18,IF(Atletas!K56="Wingchun D",19,IF(Atletas!K56="Outra Mão de Sul D",20,IF(Atletas!K56="Choylayfut E",21,IF(Atletas!K56="Hunggar E",22,IF(Atletas!K56="Wuzuquan E",23,IF(Atletas!K56="Wingchun E",24,IF(Atletas!K56="Outra Mão de Sul E",25,IF(Atletas!K56="Choylayfut F",26,IF(Atletas!K56="Hunggar F",27,IF(Atletas!K56="Wuzuquan F",28,IF(Atletas!K56="Wingchun F",29,IF(Atletas!K56="Outra Mão de Sul F",30,""))))))))))))))))))))))))))))))))</f>
        <v/>
      </c>
      <c r="BL60" s="52" t="str">
        <f>IF(Atletas!L56="","",IF(Atletas!W56&lt;&gt;"",10000,0)+(IF(Atletas!B56="Feminino",1000,IF(Atletas!B56="Masculino",2000,""))+(IF(Atletas!L56="Chaquan A",101,IF(Atletas!L56="Emeiquan A",102,IF(Atletas!L56="Fanziquan A",103,IF(Atletas!L56="Huaquan A",104,IF(Atletas!L56="Hongquan A",105,IF(Atletas!L56="Paochui A",106,IF(Atletas!L56="Piguaquan A",107,IF(Atletas!L56="Shaolinquan A",108,IF(Atletas!L56="Tanglangquan A",109,IF(Atletas!L56="Yinzhaophai A",110,IF(Atletas!L56="Tongbeiquan A",111,IF(Atletas!L56="Wudangquan A",112,IF(Atletas!L56="Outros Estilos A",113,IF(Atletas!L56="Chaquan B",114,IF(Atletas!L56="Emeiquan B",115,IF(Atletas!L56="Fanziquan B",116,IF(Atletas!L56="Huaquan B",117,IF(Atletas!L56="Hongquan B",118,IF(Atletas!L56="Paochui B",119,IF(Atletas!L56="Piguaquan B",120,IF(Atletas!L56="Shaolinquan B",121,IF(Atletas!L56="Tanglangquan B",122,IF(Atletas!L56="Yinzhaophai B",123,IF(Atletas!L56="Tongbeiquan B",124,IF(Atletas!L56="Wudangquan B",125,IF(Atletas!L56="Outros Estilos B",126,IF(Atletas!L56="Chaquan C",127,IF(Atletas!L56="Emeiquan C",128,IF(Atletas!L56="Fanziquan C",129,IF(Atletas!L56="Huaquan C",130,IF(Atletas!L56="Hongquan C",131,IF(Atletas!L56="Paochui C",132,IF(Atletas!L56="Piguaquan C",133,IF(Atletas!L56="Shaolinquan C",134,IF(Atletas!L56="Tanglangquan C",135,IF(Atletas!L56="Yinzhaophai C",136,IF(Atletas!L56="Tongbeiquan C",137,IF(Atletas!L56="Wudangquan C",138,IF(Atletas!L56="Outros Estilos C",139,0))))))))))))))))))))))))))))))))))))))))))</f>
        <v/>
      </c>
      <c r="BM60" s="52" t="str">
        <f>IF(Atletas!L56="","",IF(Atletas!W56&lt;&gt;"",10000,0)+(IF(Atletas!B56="Feminino",1000,IF(Atletas!B56="Masculino",2000,""))+(IF(Atletas!L56="Chaquan D",140,IF(Atletas!L56="Emeiquan D",141,IF(Atletas!L56="Fanziquan D",142,IF(Atletas!L56="Huaquan D",143,IF(Atletas!L56="Hongquan D",144,IF(Atletas!L56="Paochui D",145,IF(Atletas!L56="Piguaquan D",146,IF(Atletas!L56="Shaolinquan D",147,IF(Atletas!L56="Tanglangquan D",148,IF(Atletas!L56="Yinzhaophai D",149,IF(Atletas!L56="Tongbeiquan D",150,IF(Atletas!L56="Wudangquan D",151,IF(Atletas!L56="Outros Estilos D",152,IF(Atletas!L56="Chaquan E",153,IF(Atletas!L56="Emeiquan E",154,IF(Atletas!L56="Fanziquan E",155,IF(Atletas!L56="Huaquan E",156,IF(Atletas!L56="Hongquan E",157,IF(Atletas!L56="Paochui E",158,IF(Atletas!L56="Piguaquan E",159,IF(Atletas!L56="Shaolinquan E",160,IF(Atletas!L56="Tanglangquan E",161,IF(Atletas!L56="Yinzhaophai E",162,IF(Atletas!L56="Tongbeiquan E",163,IF(Atletas!L56="Wudangquan E",164,IF(Atletas!L56="Outros Estilos E",165,IF(Atletas!L56="Chaquan F",166,IF(Atletas!L56="Emeiquan F",167,IF(Atletas!L56="Fanziquan F",168,IF(Atletas!L56="Huaquan F",169,IF(Atletas!L56="Hongquan F",170,IF(Atletas!L56="Paochui F",171,IF(Atletas!L56="Piguaquan F",172,IF(Atletas!L56="Shaolinquan F",173,IF(Atletas!L56="Tanglangquan F",174,IF(Atletas!L56="Yinzhaophai F",175,IF(Atletas!L56="Tongbeiquan F",176,IF(Atletas!L56="Wudangquan F",177,IF(Atletas!L56="Outros Estilos F",178,0))))))))))))))))))))))))))))))))))))))))))</f>
        <v/>
      </c>
      <c r="BN60" s="52" t="str">
        <f>IF(Atletas!M56="","",IF(Atletas!W56&lt;&gt;"",10000,0)+(IF(Atletas!B56="Feminino",1000,IF(Atletas!B56="Masculino",2000,""))+(IF(Atletas!M56="Ditangquan A",201,IF(Atletas!M56="Houquan A",202,IF(Atletas!M56="Zuiquan A",203,IF(Atletas!M56="Ditangquan B",204,IF(Atletas!M56="Houquan B",205,IF(Atletas!M56="Zuiquan B",206,IF(Atletas!M56="Ditangquan C",207,IF(Atletas!M56="Houquan C",208,IF(Atletas!M56="Zuiquan C",209,IF(Atletas!M56="Ditangquan D",210,IF(Atletas!M56="Houquan D",211,IF(Atletas!M56="Zuiquan D",212,IF(Atletas!M56="Ditangquan E",213,IF(Atletas!M56="Houquan E",214,IF(Atletas!M56="Zuiquan E",215,IF(Atletas!M56="Ditangquan F",216,IF(Atletas!M56="Houquan F",217,IF(Atletas!M56="Zuiquan F",218,"")))))))))))))))))))))</f>
        <v/>
      </c>
      <c r="BO60" s="52" t="str">
        <f>IF(Atletas!N56="","",IF(Atletas!W56&lt;&gt;"",10000,0)+IF(Atletas!B56="Feminino",1000,IF(Atletas!B56="Masculino",2000,""))+IF(Atletas!N56="Yang A",301,IF(Atletas!N56="Chen A",30,IF(Atletas!N56="Sun A",303,IF(Atletas!N56="Wu A",304,IF(Atletas!N56="Wu-Hao A",305,IF(Atletas!N56="Outro Taijiquan A",306,IF(Atletas!N56="Yang B",307,IF(Atletas!N56="Chen B",308,IF(Atletas!N56="Sun B",309,IF(Atletas!N56="Wu B",310,IF(Atletas!N56="Wu-Hao B",311,IF(Atletas!N56="Outro Taijiquan B",312,IF(Atletas!N56="Yang C",313,IF(Atletas!N56="Chen C",314,IF(Atletas!N56="Sun C",315,IF(Atletas!N56="Wu C",316,IF(Atletas!N56="Wu-Hao C",317,IF(Atletas!N56="Outro Taijiquan C",318,IF(Atletas!N56="Yang D",319,IF(Atletas!N56="Chen D",320,IF(Atletas!N56="Sun D",321,IF(Atletas!N56="Wu D",322,IF(Atletas!N56="Wu-Hao D",323,IF(Atletas!N56="Outro Taijiquan D",324,IF(Atletas!N56="Yang E",325,IF(Atletas!N56="Chen E",326,IF(Atletas!N56="Sun E",327,IF(Atletas!N56="Wu E",328,IF(Atletas!N56="Wu-Hao E",329,IF(Atletas!N56="Outro Taijiquan E",330,IF(Atletas!N56="Yang F",331,IF(Atletas!N56="Chen F",332,IF(Atletas!N56="Sun F",333,IF(Atletas!N56="Wu F",334,IF(Atletas!N56="Wu-Hao F",335,IF(Atletas!N56="Outro Taijiquan F",336,"")))))))))))))))))))))))))))))))))))))</f>
        <v/>
      </c>
      <c r="BP60" s="52" t="str">
        <f>IF(Atletas!O56="","",IF(Atletas!W56&lt;&gt;"",10000,0)+IF(Atletas!B56="Feminino",1000,IF(Atletas!B56="Masculino",2000,""))+IF(OR(Atletas!O56="Yang 26 A",Atletas!O56="Yang 40 A"),401,IF(OR(Atletas!O56="Chen 25 A",Atletas!O56="Chen 36 A",Atletas!O56="Chen 56 A"),402,IF(Atletas!O56="Sun 73 A",403,IF(Atletas!O56="Wu 45 A",404,IF(Atletas!O56="Wu-Hao 46 A",405,IF(OR(Atletas!O56="Taijiquan 16 A",Atletas!O56="Taijiquan 24 A",Atletas!O56="Taijiquan 32 A",Atletas!O56="Taijiquan 42 A"),406,IF(OR(Atletas!O56="Yang 26 B",Atletas!O56="Yang 40 B"),407,IF(OR(Atletas!O56="Chen 25 B",Atletas!O56="Chen 36 B",Atletas!O56="Chen 56 B"),408,IF(Atletas!O56="Sun 73 B",409,IF(Atletas!O56="Wu 45 B",410,IF(Atletas!O56="Wu-Hao 46 B",411,IF(OR(Atletas!O56="Taijiquan 16 B",Atletas!O56="Taijiquan 24 B",Atletas!O56="Taijiquan 32 B",Atletas!O56="Taijiquan 42 B"),412,IF(OR(Atletas!O56="Yang 26 C",Atletas!O56="Yang 40 C"),413,IF(OR(Atletas!O56="Chen 25 C",Atletas!O56="Chen 36 C",Atletas!O56="Chen 56 C"),414,IF(Atletas!O56="Sun 73 C",415,IF(Atletas!O56="Wu 45 C",416,IF(Atletas!O56="Wu-Hao 46 C",417,IF(OR(Atletas!O56="Taijiquan 16 C",Atletas!O56="Taijiquan 24 C",Atletas!O56="Taijiquan 32 C",Atletas!O56="Taijiquan 42 C"),418,0)))))))))))))))))))</f>
        <v/>
      </c>
      <c r="BQ60" s="52" t="str">
        <f>IF(Atletas!O56="","",IF(Atletas!W56&lt;&gt;"",10000,0)+IF(Atletas!B56="Feminino",1000,IF(Atletas!B56="Masculino",2000,""))+IF(OR(Atletas!O56="Yang 26 D",Atletas!O56="Yang 40 D"),419,IF(OR(Atletas!O56="Chen 25 D",Atletas!O56="Chen 36 D",Atletas!O56="Chen 56 D"),420,IF(Atletas!O56="Sun 73 D",421,IF(Atletas!O56="Wu 45 D",422,IF(Atletas!O56="Wu-Hao 46 D",423,IF(OR(Atletas!O56="Taijiquan 16 D",Atletas!O56="Taijiquan 24 D",Atletas!O56="Taijiquan 32 D",Atletas!O56="Taijiquan 42 D"),424,IF(OR(Atletas!O56="Yang 26 E",Atletas!O56="Yang 40 E"),425,IF(OR(Atletas!O56="Chen 25 E",Atletas!O56="Chen 36 E",Atletas!O56="Chen 56 E"),426,IF(Atletas!O56="Sun 73 E",427,IF(Atletas!O56="Wu 45 E",428,IF(Atletas!O56="Wu-Hao 46 E",429,IF(OR(Atletas!O56="Taijiquan 16 E",Atletas!O56="Taijiquan 24 E",Atletas!O56="Taijiquan 32 E",Atletas!O56="Taijiquan 42 E"),430,IF(OR(Atletas!O56="Yang 26 F",Atletas!O56="Yang 40 F"),431,IF(OR(Atletas!O56="Chen 25 F",Atletas!O56="Chen 36 F",Atletas!O56="Chen 56 F"),432,IF(Atletas!O56="Sun 73 F",433,IF(Atletas!O56="Wu 45 F",434,IF(Atletas!O56="Wu-Hao 46 F",435,IF(OR(Atletas!O56="Taijiquan 16 F",Atletas!O56="Taijiquan 24 F",Atletas!O56="Taijiquan 32 F",Atletas!O56="Taijiquan 42 F"),436,0)))))))))))))))))))</f>
        <v/>
      </c>
      <c r="BR60" s="52" t="str">
        <f>IF(Atletas!P56="","",IF(Atletas!W56&lt;&gt;"",10000,0)+IF(Atletas!B56="Feminino",1000,IF(Atletas!B56="Masculino",2000,""))+IF(Atletas!P56="Xingyiquan A",501,IF(Atletas!P56="Baguazhang A",502,IF(Atletas!P56="Outro Estilo Interno A",503,IF(Atletas!P56="Xingyiquan B",504,IF(Atletas!P56="Baguazhang B",505,IF(Atletas!P56="Outro Estilo Interno B",506,IF(Atletas!P56="Xingyiquan C",507,IF(Atletas!P56="Baguazhang C",508,IF(Atletas!P56="Outro Estilo Interno C",509,IF(Atletas!P56="Xingyiquan D",510,IF(Atletas!P56="Baguazhang D",511,IF(Atletas!P56="Outro Estilo Interno D",512,IF(Atletas!P56="Xingyiquan E",513,IF(Atletas!P56="Baguazhang E",514,IF(Atletas!P56="Outro Estilo Interno E",515,IF(Atletas!P56="Xingyiquan F",516,IF(Atletas!P56="Baguazhang F",517,IF(Atletas!P56="Outro Estilo Interno F",518, "")))))))))))))))))))</f>
        <v/>
      </c>
      <c r="BS60" s="52" t="str">
        <f>IF(Atletas!Q56="","",IF(Atletas!W56&lt;&gt;"",10000,0)+IF(Atletas!B56="Feminino",1000,IF(Atletas!B56="Masculino",2000,""))+IF(Atletas!Q56="Dao A",601,IF(Atletas!Q56="Jian A",602,IF(Atletas!Q56="Bishou A",603,IF(Atletas!Q56="Shan A",604,IF(Atletas!Q56="Outra Arma Curta A",605,IF(Atletas!Q56="Dao B",606,IF(Atletas!Q56="Jian B",607,IF(Atletas!Q56="Bishou B",608,IF(Atletas!Q56="Shan B",609,IF(Atletas!Q56="Outra Arma Curta B",610,IF(Atletas!Q56="Dao C",611,IF(Atletas!Q56="Jian C",612,IF(Atletas!Q56="Bishou C",613,IF(Atletas!Q56="Shan C",614,IF(Atletas!Q56="Outra Arma Curta C",615,IF(Atletas!Q56="Dao D",616,IF(Atletas!Q56="Jian D",617,IF(Atletas!Q56="Bishou D",618,IF(Atletas!Q56="Shan D",619,IF(Atletas!Q56="Outra Arma Curta D",620,IF(Atletas!Q56="Dao E",621,IF(Atletas!Q56="Jian E",622,IF(Atletas!Q56="Bishou E",623,IF(Atletas!Q56="Shan E",624,IF(Atletas!Q56="Outra Arma Curta E",625,IF(Atletas!Q56="Dao F",626,IF(Atletas!Q56="Jian F",627,IF(Atletas!Q56="Bishou F",628,IF(Atletas!Q56="Shan F",629,IF(Atletas!Q56="Outra Arma Curta F",630, "")))))))))))))))))))))))))))))))</f>
        <v/>
      </c>
      <c r="BT60" s="52" t="str">
        <f>IF(Atletas!R56="","",IF(Atletas!W56&lt;&gt;"",10000,0)+IF(Atletas!B56="Feminino",1000,IF(Atletas!B56="Masculino",2000,""))+IF(Atletas!R56="Gun A",701,IF(Atletas!R56="Qiang A",702,IF(Atletas!R56="Pudao / Guandao A",703,IF(Atletas!R56="Outra Arma Longa A",704,IF(Atletas!R56="Gun B",705,IF(Atletas!R56="Qiang B",706,IF(Atletas!R56="Pudao / Guandao B",707,IF(Atletas!R56="Outra Arma Longa B",708,IF(Atletas!R56="Gun C",709,IF(Atletas!R56="Qiang C",710,IF(Atletas!R56="Pudao / Guandao C",711,IF(Atletas!R56="Outra Arma Longa C",712,IF(Atletas!R56="Gun D",713,IF(Atletas!R56="Qiang D",714,IF(Atletas!R56="Pudao / Guandao D",715,IF(Atletas!R56="Outra Arma Longa D",716,IF(Atletas!R56="Gun E",717,IF(Atletas!R56="Qiang E",718,IF(Atletas!R56="Pudao / Guandao E",719,IF(Atletas!R56="Outra Arma Longa E",720,IF(Atletas!R56="Gun F",721,IF(Atletas!R56="Qiang F",722,IF(Atletas!R56="Pudao / Guandao F",723,IF(Atletas!R56="Outra Arma Longa F",724,"")))))))))))))))))))))))))</f>
        <v/>
      </c>
      <c r="BU60" s="52" t="str">
        <f>IF(Atletas!S56="","",IF(Atletas!W56&lt;&gt;"",10000,0)+IF(Atletas!B56="Feminino",1000,IF(Atletas!B56="Masculino",2000,""))+IF(Atletas!S56="Arma Dupla A",801,IF(Atletas!S56="Arma Maleável A",802,IF(Atletas!S56="Arma Dupla B",803,IF(Atletas!S56="Arma Maleável B",804,IF(Atletas!S56="Arma Dupla C",805,IF(Atletas!S56="Arma Maleável C",806,IF(Atletas!S56="Arma Dupla D",807,IF(Atletas!S56="Arma Maleável D",808,IF(Atletas!S56="Arma Dupla E",809,IF(Atletas!S56="Arma Maleável E",810,IF(Atletas!S56="Arma Dupla F",811,IF(Atletas!S56="Arma Maleável F",812, "")))))))))))))</f>
        <v/>
      </c>
      <c r="BV60" s="52" t="str">
        <f>IF(Atletas!T56="","",IF(Atletas!W56&lt;&gt;"",10000,0)+IF(Atletas!B56="Feminino",1000,IF(Atletas!B56="Masculino",2000,""))+IF(Atletas!T56="Taijijian Yang A",901,IF(Atletas!T56="Taijijian Chen A",902,IF(Atletas!T56="Taijijian Sun A",903,IF(Atletas!T56="Taijijian Wu A",904,IF(Atletas!T56="Taijijian Wu-Hao A",905,IF(Atletas!T56="Taijijian 32 A",906,IF(Atletas!T56="Taijijian 42 A",907,IF(Atletas!T56="Taijijian Yang B",908,IF(Atletas!T56="Taijijian Chen B",909,IF(Atletas!T56="Taijijian Sun B",910,IF(Atletas!T56="Taijijian Wu B",911,IF(Atletas!T56="Taijijian Wu-Hao B",912,IF(Atletas!T56="Taijijian 32 B",913,IF(Atletas!T56="Taijijian 42 B",914,IF(Atletas!T56="Taijijian Yang C",915,IF(Atletas!T56="Taijijian Chen C",916,IF(Atletas!T56="Taijijian Sun C",917,IF(Atletas!T56="Taijijian Wu C",918,IF(Atletas!T56="Taijijian Wu-Hao C",919,IF(Atletas!T56="Taijijian 32 C",920,IF(Atletas!T56="Taijijian 42 C",921,IF(Atletas!T56="Taijijian Yang D",922,IF(Atletas!T56="Taijijian Chen D",923,IF(Atletas!T56="Taijijian Sun D",924,IF(Atletas!T56="Taijijian Wu D",925,IF(Atletas!T56="Taijijian Wu-Hao D",926,IF(Atletas!T56="Taijijian 32 D",927,IF(Atletas!T56="Taijijian 42 D",928,IF(Atletas!T56="Taijijian Yang E",929,IF(Atletas!T56="Taijijian Chen E",930,IF(Atletas!T56="Taijijian Sun E",931,IF(Atletas!T56="Taijijian Wu E",932,IF(Atletas!T56="Taijijian Wu-Hao E",933,IF(Atletas!T56="Taijijian 32 E",934,IF(Atletas!T56="Taijijian 42 E",935,IF(Atletas!T56="Taijijian Yang F",936,IF(Atletas!T56="Taijijian Chen F",937,IF(Atletas!T56="Taijijian Sun F",938,IF(Atletas!T56="Taijijian Wu F",939,IF(Atletas!T56="Taijijian Wu-Hao F",940,IF(Atletas!T56="Taijijian 32 F",941,IF(Atletas!T56="Taijijian 42 F",942,"")))))))))))))))))))))))))))))))))))))))))))</f>
        <v/>
      </c>
      <c r="BW60" s="52" t="str">
        <f>IF(Atletas!U56="","",IF(Atletas!W56&lt;&gt;"",10000,0)+IF(Atletas!B56="Feminino",1000,IF(Atletas!B56="Masculino",2000,""))+IF(Atletas!T56="Taijijian 42 F",942,IF(Atletas!U56="Taijidao A",943,IF(Atletas!U56="Taijishan A",944,IF(Atletas!U56="Taijiqiang A",945,IF(Atletas!U56="Taijidao B",946,IF(Atletas!U56="Taijishan B",947,IF(Atletas!U56="Taijiqiang B",948,IF(Atletas!U56="Taijidao C",949,IF(Atletas!U56="Taijishan C",950,IF(Atletas!U56="Taijiqiang C",951,IF(Atletas!U56="Taijidao D",952,IF(Atletas!U56="Taijishan D",953,IF(Atletas!U56="Taijiqiang D",954,IF(Atletas!U56="Taijidao E",955,IF(Atletas!U56="Taijishan E",956,IF(Atletas!U56="Taijiqiang E",957,IF(Atletas!U56="Taijidao F",958,IF(Atletas!U56="Taijishan F",959,IF(Atletas!U56="Taijiqiang F",960))))))))))))))))))))</f>
        <v/>
      </c>
      <c r="BX60" s="64" t="str">
        <f>IF(BY60&lt;&gt;"","Tongbeiquan B","")</f>
        <v/>
      </c>
      <c r="BY60" s="64" t="str">
        <f>IF(COUNTIF(BK:BW,1124)&gt;0,COUNTIF(BK:BW,1124),"")</f>
        <v/>
      </c>
      <c r="BZ60" s="64" t="str">
        <f>IF(CA60&lt;&gt;"","Tongbeiquan B","")</f>
        <v/>
      </c>
      <c r="CA60" s="64" t="str">
        <f>IF(COUNTIF(BK:BW,2124)&gt;0,COUNTIF(BK:BW,2124),"")</f>
        <v/>
      </c>
      <c r="CB60" s="64" t="str">
        <f>IF(CC60&lt;&gt;"","Tongbeiquan B","")</f>
        <v/>
      </c>
      <c r="CC60" s="64" t="str">
        <f>IF(COUNTIF(BK:BW,11124)&gt;0,COUNTIF(BK:BW,11124),"")</f>
        <v/>
      </c>
      <c r="CD60" s="64" t="str">
        <f>IF(CE60&lt;&gt;"","Tongbeiquan B","")</f>
        <v/>
      </c>
      <c r="CE60" s="64" t="str">
        <f>IF(COUNTIF(BK:BW,12124)&gt;0,COUNTIF(BK:BW,12124),"")</f>
        <v/>
      </c>
      <c r="CF60" s="52" t="str">
        <f xml:space="preserve"> IF(Atletas!V56="","",IF(Atletas!V56="Duilian de Mãos AB - Equipe 1",1,IF(Atletas!V56="Duilian de Mãos AB - Equipe 2",2,IF(Atletas!V56="Duilian de Armas AB - Equipe 1",3,IF(Atletas!V56="Duilian de Armas AB - Equipe 2",4,IF(Atletas!V56="Duilian de Tuishou - Equipe 1",5,IF(Atletas!V56="Duilian de Tuishou - Equipe 2",6,IF(Atletas!V56="Grupo Externo AB - Equipe 1",7,IF(Atletas!V56="Grupo Externo AB - Equipe 2",8,IF(Atletas!V56="Grupo Interno AB - Equipe 1",9,IF(Atletas!V56="Grupo Interno AB - Equipe 2",10,IF(Atletas!V56="Duilian de Mãos CD - Equipe 1",11,IF(Atletas!V56="Duilian de Mãos CD - Equipe 2",12,IF(Atletas!V56="Duilian de Armas CD - Equipe 1",13,IF(Atletas!V56="Duilian de Armas CD - Equipe 2",14,IF(Atletas!V56="Duilian de Tuishou - Equipe 1",15,IF(Atletas!V56="Duilian de Tuishou - Equipe 2",16,IF(Atletas!V56="Grupo Externo CDEF - Equipe 1",17,IF(Atletas!V56="Grupo Externo CDEF - Equipe 2",18,IF(Atletas!V56="Grupo Interno CDEF - Equipe 1",19,IF(Atletas!V56="Grupo Interno CDEF - Equipe 2",20,IF(Atletas!V56="Duilian de Mãos EF - Equipe 1",21,IF(Atletas!V56="Duilian de Mãos EF - Equipe 2",22,IF(Atletas!V56="Duilian de Armas EF - Equipe 1",23,IF(Atletas!V56="Duilian de Armas EF - Equipe 2",24,IF(Atletas!V56="Duilian de Tuishou - Equipe 1",25,IF(Atletas!V56="Duilian de Tuishou - Equipe 2",26,"")))))))))))))))))))))))))))</f>
        <v/>
      </c>
      <c r="CR60" s="71"/>
    </row>
    <row r="61" spans="2:96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 t="str">
        <f t="array" ref="N61">IFERROR(INDEX(BB$7:BB$66,SMALL(IF(BB$7:BB$66&lt;&gt;"",ROW(BB$7:BB$66)-ROW(BB$7)+1),ROWS(BB$7:BB60))),"")</f>
        <v/>
      </c>
      <c r="O61" s="4" t="str">
        <f t="array" ref="O61">IFERROR(INDEX(BC$7:BC$66,SMALL(IF(BC$7:BC$66&lt;&gt;"",ROW(BC$7:BC$66)-ROW(BC$7)+1),ROWS(BC$7:BC60))),"")</f>
        <v/>
      </c>
      <c r="P61" s="4" t="str">
        <f t="array" ref="P61">IFERROR(INDEX(BD$7:BD$66,SMALL(IF(BD$7:BD$66&lt;&gt;"",ROW(BD$7:BD$66)-ROW(BD$7)+1),ROWS(BD$7:BD60))),"")</f>
        <v/>
      </c>
      <c r="Q61" s="4" t="str">
        <f t="array" ref="Q61">IFERROR(INDEX(BE$7:BE$66,SMALL(IF(BE$7:BE$66&lt;&gt;"",ROW(BE$7:BE$66)-ROW(BE$7)+1),ROWS(BE$7:BE60))),"")</f>
        <v/>
      </c>
      <c r="R61" s="4"/>
      <c r="S61" s="4"/>
      <c r="T61" s="31"/>
      <c r="U61" s="4"/>
      <c r="V61" s="4" t="str">
        <f t="array" ref="V61">IFERROR(INDEX(BX$7:BX$336,SMALL(IF(BX$7:BX$336&lt;&gt;"",ROW(BX$7:BX$336)-ROW(BX$7)+1),ROWS(BX$7:BX60))),"")</f>
        <v/>
      </c>
      <c r="W61" s="4" t="str">
        <f t="array" ref="W61">IFERROR(INDEX(BY$7:BY$336,SMALL(IF(BY$7:BY$336&lt;&gt;"",ROW(BY$7:BY$336)-ROW(BY$7)+1),ROWS(BY$7:BY60))),"")</f>
        <v/>
      </c>
      <c r="X61" s="4" t="str">
        <f t="array" ref="X61">IFERROR(INDEX(BZ$7:BZ$336,SMALL(IF(BZ$7:BZ$336&lt;&gt;"",ROW(BZ$7:BZ$336)-ROW(BZ$7)+1),ROWS(BZ$7:BZ60))),"")</f>
        <v/>
      </c>
      <c r="Y61" s="4" t="str">
        <f t="array" ref="Y61">IFERROR(INDEX(CA$7:CA$336,SMALL(IF(CA$7:CA$336&lt;&gt;"",ROW(CA$7:CA$336)-ROW(CA$7)+1),ROWS(CA$7:CA60))),"")</f>
        <v/>
      </c>
      <c r="Z61" s="4" t="str">
        <f t="array" ref="Z61">IFERROR(INDEX(CB$7:CB$378,SMALL(IF(CB$7:CB$378&lt;&gt;"",ROW(CB$7:CB$378)-ROW(CB$7)+1),ROWS(CB$7:CB60))),"")</f>
        <v/>
      </c>
      <c r="AA61" s="4" t="str">
        <f t="array" ref="AA61">IFERROR(INDEX(CC$7:CC$378,SMALL(IF(CC$7:CC$378&lt;&gt;"",ROW(CC$7:CC$378)-ROW(CC$7)+1),ROWS(CC$7:CC60))),"")</f>
        <v/>
      </c>
      <c r="AB61" s="4" t="str">
        <f t="array" ref="AB61">IFERROR(INDEX(CD$7:CD$378,SMALL(IF(CD$7:CD$378&lt;&gt;"",ROW(CD$7:CD$378)-ROW(CD$7)+1),ROWS(CD$7:CD60))),"")</f>
        <v/>
      </c>
      <c r="AC61" s="4" t="str">
        <f t="array" ref="AC61">IFERROR(INDEX(CE$7:CE$378,SMALL(IF(CE$7:CE$378&lt;&gt;"",ROW(CE$7:CE$378)-ROW(CE$7)+1),ROWS(CE$7:CE60))),"")</f>
        <v/>
      </c>
      <c r="AD61" s="4"/>
      <c r="AE61" s="4"/>
      <c r="AF61" s="4"/>
      <c r="AG61" s="4"/>
      <c r="AH61" s="4"/>
      <c r="AI61" s="4"/>
      <c r="AJ61" s="46" t="str">
        <f>IF(Atletas!D57="","",IF(Atletas!B57="Feminino",100,IF(Atletas!B57="Masculino",200,""))+(IF(Atletas!D57="Infantil 39kg",1,IF(Atletas!D57="Infantil 42kg",2,IF(Atletas!D57="Infantil 45kg",3,IF(Atletas!D57="Infantil 48kg",4,IF(Atletas!D57="Infantil 52kg",5,IF(Atletas!D57="Infantil 56kg",6,IF(Atletas!D57="Infantil 60kg",7,IF(Atletas!D57="Juvenil 48kg",8,IF(Atletas!D57="Juvenil 52kg",9,IF(Atletas!D57="Juvenil 56kg",10,IF(Atletas!D57="Juvenil 60kg",11,IF(Atletas!D57="Juvenil 65kg",12,IF(Atletas!D57="Juvenil 70kg",13,IF(Atletas!D57="Juvenil 75kg",14,IF(Atletas!D57="Juvenil 80kg",15,IF(Atletas!D57="Adulto 48kg",16,IF(Atletas!D57="Adulto 52kg",17,IF(Atletas!D57="Adulto 56kg",18,IF(Atletas!D57="Adulto 60kg",19,IF(Atletas!D57="Adulto 65kg",20,IF(Atletas!D57="Adulto 70kg",21,IF(Atletas!D57="Adulto 75kg",22,IF(Atletas!D57="Adulto 80kg",23,IF(Atletas!D57="Adulto 85kg",24,IF(Atletas!D57="Adulto 90kg",25,IF(Atletas!D57="Adulto +90kg",26,""))))))))))))))))))))))))))))</f>
        <v/>
      </c>
      <c r="AO61" s="10" t="str">
        <f>IF(Atletas!E57="","",IF(Atletas!B57="Feminino",100,IF(Atletas!B57="Masculino",200,""))+(IF(Atletas!E57="Juvenil 44kg",1,IF(Atletas!E57="Juvenil 48kg",2,IF(Atletas!E57="Juvenil 52kg",3,IF(Atletas!E57="Juvenil 56kg",4,IF(Atletas!E57="Juvenil 60kg",5,IF(Atletas!E57="Juvenil 65kg",6,IF(Atletas!E57="Juvenil 70kg",7,IF(Atletas!E57="Juvenil 75kg",8,IF(Atletas!E57="Juvenil 82kg",9,IF(Atletas!E57="Juvenil 90kg",10,IF(Atletas!E57="Juvenil 100kg",11,IF(Atletas!E57="Adulto 48kg",12,IF(Atletas!E57="Adulto 52kg",13,IF(Atletas!E57="Adulto 56kg",14,IF(Atletas!E57="Adulto 60kg",15,IF(Atletas!E57="Adulto 65kg",16,IF(Atletas!E57="Adulto 70kg",17,IF(Atletas!E57="Adulto 75kg",18,IF(Atletas!E57="Adulto 82kg",19,IF(Atletas!E57="Adulto 90kg",20,IF(Atletas!E57="Adulto 100kg",21,IF(Atletas!E57="Adulto +100kg",22,""))))))))))))))))))))))))</f>
        <v/>
      </c>
      <c r="AT61" s="10" t="str">
        <f>IF(Atletas!F57="","",IF(Atletas!B57="Feminino",100,IF(Atletas!B57="Masculino",200,""))+(IF(Atletas!F57="Adulto 48kg",1,IF(Atletas!F57="Adulto 56kg",2,IF(Atletas!F57="Adulto 65kg",3,IF(Atletas!F57="Adulto 75kg",4,IF(Atletas!F57="Adulto +75kg",5,IF(Atletas!F57="Adulto 52kg",6,IF(Atletas!F57="Adulto 60kg",7,IF(Atletas!F57="Adulto 70kg",8,IF(Atletas!F57="Adulto 80kg",9,IF(Atletas!F57="Adulto 90kg",10,IF(Atletas!F57="Adulto +90kg",11,"")))))))))))))</f>
        <v/>
      </c>
      <c r="AY61" s="46" t="str">
        <f>IF(Atletas!G57="","",IF(Atletas!B57="Feminino",100,IF(Atletas!B57="Masculino",200,""))+(IF(Atletas!G57="Changquan Mirim",1,IF(Atletas!G57="Nanquan Mirim",2,IF(Atletas!G57="Taijiquan Mirim",3,IF(Atletas!G57="Changquan Grupo C",4,IF(Atletas!G57="Nanquan Grupo C",5,IF(Atletas!G57="Taijiquan Grupo C",6,IF(Atletas!G57="Changquan Grupo B",7,IF(Atletas!G57="Nanquan Grupo B",8,IF(Atletas!G57="Taijiquan Grupo B",9,IF(Atletas!G57="Changquan Grupo A",10,IF(Atletas!G57="Nanquan Grupo A",11,IF(Atletas!G57="Taijiquan Grupo A",12,IF(Atletas!G57="Changquan Opcional",13,IF(Atletas!G57="Nanquan Opcional",14,IF(Atletas!G57="Taijiquan Opcional",15,IF(Atletas!G57="Changquan Adulto",16,IF(Atletas!G57="Nanquan Adulto",17,IF(Atletas!G57="Taijiquan Adulto",18,""))))))))))))))))))))</f>
        <v/>
      </c>
      <c r="AZ61" s="46" t="str">
        <f>IF(Atletas!H57="","",IF(Atletas!B57="Feminino",100,IF(Atletas!B57="Masculino",200,""))+(IF(Atletas!H57="Daoshu Mirim",19,IF(Atletas!H57="Jianshu Mirim",20,IF(Atletas!H57="Nandao Mirim",21,IF(Atletas!H57="Taijijian Mirim",22,IF(Atletas!H57="Daoshu Grupo C",23,IF(Atletas!H57="Jianshu Grupo C",24,IF(Atletas!H57="Nandao Grupo C",25,IF(Atletas!H57="Taijijian Grupo C",26,IF(Atletas!H57="Daoshu Grupo B",27,IF(Atletas!H57="Jianshu Grupo B",28,IF(Atletas!H57="Nandao Grupo B",29,IF(Atletas!H57="Taijijian Grupo B",30,IF(Atletas!H57="Daoshu Grupo A",31,IF(Atletas!H57="Jianshu Grupo A",32,IF(Atletas!H57="Nandao Grupo A",33,IF(Atletas!H57="Taijijian Grupo A",34,IF(Atletas!H57="Daoshu Opcional",35,IF(Atletas!H57="Jianshu Opcional",36,IF(Atletas!H57="Nandao Opcional",37,IF(Atletas!H57="Taijijian Opcional",38,IF(Atletas!H57="Daoshu Adulto",39,IF(Atletas!H57="Jianshu Adulto",40,IF(Atletas!H57="Nandao Adulto",41,IF(Atletas!H57="Taijijian Adulto",42,""))))))))))))))))))))))))))</f>
        <v/>
      </c>
      <c r="BA61" s="46" t="str">
        <f>IF(Atletas!I57="","",IF(Atletas!B57="Feminino",100,IF(Atletas!B57="Masculino",200,""))+(IF(Atletas!I57="Gunshu Mirim",43,IF(Atletas!I57="Qiangshu Mirim",44,IF(Atletas!I57="Nangun Mirim",45,IF(Atletas!I57="Gunshu Grupo C",46,IF(Atletas!I57="Qiangshu Grupo C",47,IF(Atletas!I57="Nangun Grupo C",48,IF(Atletas!I57="Gunshu Grupo B",49,IF(Atletas!I57="Qiangshu Grupo B",50,IF(Atletas!I57="Nangun Grupo B",51,IF(Atletas!I57="Gunshu Grupo A",52,IF(Atletas!I57="Qiangshu Grupo A",53,IF(Atletas!I57="Nangun Grupo A",54,IF(Atletas!I57="Gunshu Opcional",55,IF(Atletas!I57="Qiangshu Opcional",56,IF(Atletas!I57="Nangun Opcional",57,IF(Atletas!I57="Gunshu Adulto",58,IF(Atletas!I57="Qiangshu Adulto",59,IF(Atletas!I57="Nangun Adulto",60,""))))))))))))))))))))</f>
        <v/>
      </c>
      <c r="BB61" s="10" t="str">
        <f>IF(BC61&lt;&gt;"","Jianshu Adulto","")</f>
        <v/>
      </c>
      <c r="BC61" s="52" t="str">
        <f>IF(COUNTIF(AY:BA,140)&gt;0,COUNTIF(AY:BA,140),"")</f>
        <v/>
      </c>
      <c r="BD61" s="10" t="str">
        <f>IF(BE61&lt;&gt;"","Jianshu Adulto","")</f>
        <v/>
      </c>
      <c r="BE61" s="52" t="str">
        <f>IF(COUNTIF(AY:BA,240)&gt;0,COUNTIF(AY:BA,240),"")</f>
        <v/>
      </c>
      <c r="BF61" s="52" t="str">
        <f>IF(Atletas!J57="","",IF(Atletas!B57="Feminino",100,IF(Atletas!B57="Masculino",200,""))+(IF(Atletas!J57="Equipe 1 Grupo B",1,IF(Atletas!J57="Equipe 2 Grupo B",2,IF(Atletas!J57="Equipe 1 Grupo A",3,IF(Atletas!J57="Equipe 2 Grupo A",4,IF(Atletas!J57="Equipe 1 Adulto",5,IF(Atletas!J57="Equipe 2 Adulto",6,""))))))))</f>
        <v/>
      </c>
      <c r="BK61" s="52" t="str">
        <f>IF(Atletas!K57="","",IF(Atletas!W57&lt;&gt;"",10000,0)+(IF(Atletas!B57="Feminino",1000,IF(Atletas!B57="Masculino",2000,""))+IF(Atletas!K57="Choylayfut A",1,IF(Atletas!K57="Hunggar A",2,IF(Atletas!K57="Wuzuquan A",3,IF(Atletas!K57="Wingchun A",4,IF(Atletas!K57="Outra Mão de Sul A",5,IF(Atletas!K57="Choylayfut B",6,IF(Atletas!K57="Hunggar B",7,IF(Atletas!K57="Wuzuquan B",8,IF(Atletas!K57="Wingchun B",9,IF(Atletas!K57="Outra Mão de Sul B",10,IF(Atletas!K57="Choylayfut C",11,IF(Atletas!K57="Hunggar C",12,IF(Atletas!K57="Wuzuquan C",13,IF(Atletas!K57="Wingchun C",14,IF(Atletas!K57="Outra Mão de Sul C",15,IF(Atletas!K57="Choylayfut D",16,IF(Atletas!K57="Hunggar D",17,IF(Atletas!K57="Wuzuquan D",18,IF(Atletas!K57="Wingchun D",19,IF(Atletas!K57="Outra Mão de Sul D",20,IF(Atletas!K57="Choylayfut E",21,IF(Atletas!K57="Hunggar E",22,IF(Atletas!K57="Wuzuquan E",23,IF(Atletas!K57="Wingchun E",24,IF(Atletas!K57="Outra Mão de Sul E",25,IF(Atletas!K57="Choylayfut F",26,IF(Atletas!K57="Hunggar F",27,IF(Atletas!K57="Wuzuquan F",28,IF(Atletas!K57="Wingchun F",29,IF(Atletas!K57="Outra Mão de Sul F",30,""))))))))))))))))))))))))))))))))</f>
        <v/>
      </c>
      <c r="BL61" s="52" t="str">
        <f>IF(Atletas!L57="","",IF(Atletas!W57&lt;&gt;"",10000,0)+(IF(Atletas!B57="Feminino",1000,IF(Atletas!B57="Masculino",2000,""))+(IF(Atletas!L57="Chaquan A",101,IF(Atletas!L57="Emeiquan A",102,IF(Atletas!L57="Fanziquan A",103,IF(Atletas!L57="Huaquan A",104,IF(Atletas!L57="Hongquan A",105,IF(Atletas!L57="Paochui A",106,IF(Atletas!L57="Piguaquan A",107,IF(Atletas!L57="Shaolinquan A",108,IF(Atletas!L57="Tanglangquan A",109,IF(Atletas!L57="Yinzhaophai A",110,IF(Atletas!L57="Tongbeiquan A",111,IF(Atletas!L57="Wudangquan A",112,IF(Atletas!L57="Outros Estilos A",113,IF(Atletas!L57="Chaquan B",114,IF(Atletas!L57="Emeiquan B",115,IF(Atletas!L57="Fanziquan B",116,IF(Atletas!L57="Huaquan B",117,IF(Atletas!L57="Hongquan B",118,IF(Atletas!L57="Paochui B",119,IF(Atletas!L57="Piguaquan B",120,IF(Atletas!L57="Shaolinquan B",121,IF(Atletas!L57="Tanglangquan B",122,IF(Atletas!L57="Yinzhaophai B",123,IF(Atletas!L57="Tongbeiquan B",124,IF(Atletas!L57="Wudangquan B",125,IF(Atletas!L57="Outros Estilos B",126,IF(Atletas!L57="Chaquan C",127,IF(Atletas!L57="Emeiquan C",128,IF(Atletas!L57="Fanziquan C",129,IF(Atletas!L57="Huaquan C",130,IF(Atletas!L57="Hongquan C",131,IF(Atletas!L57="Paochui C",132,IF(Atletas!L57="Piguaquan C",133,IF(Atletas!L57="Shaolinquan C",134,IF(Atletas!L57="Tanglangquan C",135,IF(Atletas!L57="Yinzhaophai C",136,IF(Atletas!L57="Tongbeiquan C",137,IF(Atletas!L57="Wudangquan C",138,IF(Atletas!L57="Outros Estilos C",139,0))))))))))))))))))))))))))))))))))))))))))</f>
        <v/>
      </c>
      <c r="BM61" s="52" t="str">
        <f>IF(Atletas!L57="","",IF(Atletas!W57&lt;&gt;"",10000,0)+(IF(Atletas!B57="Feminino",1000,IF(Atletas!B57="Masculino",2000,""))+(IF(Atletas!L57="Chaquan D",140,IF(Atletas!L57="Emeiquan D",141,IF(Atletas!L57="Fanziquan D",142,IF(Atletas!L57="Huaquan D",143,IF(Atletas!L57="Hongquan D",144,IF(Atletas!L57="Paochui D",145,IF(Atletas!L57="Piguaquan D",146,IF(Atletas!L57="Shaolinquan D",147,IF(Atletas!L57="Tanglangquan D",148,IF(Atletas!L57="Yinzhaophai D",149,IF(Atletas!L57="Tongbeiquan D",150,IF(Atletas!L57="Wudangquan D",151,IF(Atletas!L57="Outros Estilos D",152,IF(Atletas!L57="Chaquan E",153,IF(Atletas!L57="Emeiquan E",154,IF(Atletas!L57="Fanziquan E",155,IF(Atletas!L57="Huaquan E",156,IF(Atletas!L57="Hongquan E",157,IF(Atletas!L57="Paochui E",158,IF(Atletas!L57="Piguaquan E",159,IF(Atletas!L57="Shaolinquan E",160,IF(Atletas!L57="Tanglangquan E",161,IF(Atletas!L57="Yinzhaophai E",162,IF(Atletas!L57="Tongbeiquan E",163,IF(Atletas!L57="Wudangquan E",164,IF(Atletas!L57="Outros Estilos E",165,IF(Atletas!L57="Chaquan F",166,IF(Atletas!L57="Emeiquan F",167,IF(Atletas!L57="Fanziquan F",168,IF(Atletas!L57="Huaquan F",169,IF(Atletas!L57="Hongquan F",170,IF(Atletas!L57="Paochui F",171,IF(Atletas!L57="Piguaquan F",172,IF(Atletas!L57="Shaolinquan F",173,IF(Atletas!L57="Tanglangquan F",174,IF(Atletas!L57="Yinzhaophai F",175,IF(Atletas!L57="Tongbeiquan F",176,IF(Atletas!L57="Wudangquan F",177,IF(Atletas!L57="Outros Estilos F",178,0))))))))))))))))))))))))))))))))))))))))))</f>
        <v/>
      </c>
      <c r="BN61" s="52" t="str">
        <f>IF(Atletas!M57="","",IF(Atletas!W57&lt;&gt;"",10000,0)+(IF(Atletas!B57="Feminino",1000,IF(Atletas!B57="Masculino",2000,""))+(IF(Atletas!M57="Ditangquan A",201,IF(Atletas!M57="Houquan A",202,IF(Atletas!M57="Zuiquan A",203,IF(Atletas!M57="Ditangquan B",204,IF(Atletas!M57="Houquan B",205,IF(Atletas!M57="Zuiquan B",206,IF(Atletas!M57="Ditangquan C",207,IF(Atletas!M57="Houquan C",208,IF(Atletas!M57="Zuiquan C",209,IF(Atletas!M57="Ditangquan D",210,IF(Atletas!M57="Houquan D",211,IF(Atletas!M57="Zuiquan D",212,IF(Atletas!M57="Ditangquan E",213,IF(Atletas!M57="Houquan E",214,IF(Atletas!M57="Zuiquan E",215,IF(Atletas!M57="Ditangquan F",216,IF(Atletas!M57="Houquan F",217,IF(Atletas!M57="Zuiquan F",218,"")))))))))))))))))))))</f>
        <v/>
      </c>
      <c r="BO61" s="52" t="str">
        <f>IF(Atletas!N57="","",IF(Atletas!W57&lt;&gt;"",10000,0)+IF(Atletas!B57="Feminino",1000,IF(Atletas!B57="Masculino",2000,""))+IF(Atletas!N57="Yang A",301,IF(Atletas!N57="Chen A",30,IF(Atletas!N57="Sun A",303,IF(Atletas!N57="Wu A",304,IF(Atletas!N57="Wu-Hao A",305,IF(Atletas!N57="Outro Taijiquan A",306,IF(Atletas!N57="Yang B",307,IF(Atletas!N57="Chen B",308,IF(Atletas!N57="Sun B",309,IF(Atletas!N57="Wu B",310,IF(Atletas!N57="Wu-Hao B",311,IF(Atletas!N57="Outro Taijiquan B",312,IF(Atletas!N57="Yang C",313,IF(Atletas!N57="Chen C",314,IF(Atletas!N57="Sun C",315,IF(Atletas!N57="Wu C",316,IF(Atletas!N57="Wu-Hao C",317,IF(Atletas!N57="Outro Taijiquan C",318,IF(Atletas!N57="Yang D",319,IF(Atletas!N57="Chen D",320,IF(Atletas!N57="Sun D",321,IF(Atletas!N57="Wu D",322,IF(Atletas!N57="Wu-Hao D",323,IF(Atletas!N57="Outro Taijiquan D",324,IF(Atletas!N57="Yang E",325,IF(Atletas!N57="Chen E",326,IF(Atletas!N57="Sun E",327,IF(Atletas!N57="Wu E",328,IF(Atletas!N57="Wu-Hao E",329,IF(Atletas!N57="Outro Taijiquan E",330,IF(Atletas!N57="Yang F",331,IF(Atletas!N57="Chen F",332,IF(Atletas!N57="Sun F",333,IF(Atletas!N57="Wu F",334,IF(Atletas!N57="Wu-Hao F",335,IF(Atletas!N57="Outro Taijiquan F",336,"")))))))))))))))))))))))))))))))))))))</f>
        <v/>
      </c>
      <c r="BP61" s="52" t="str">
        <f>IF(Atletas!O57="","",IF(Atletas!W57&lt;&gt;"",10000,0)+IF(Atletas!B57="Feminino",1000,IF(Atletas!B57="Masculino",2000,""))+IF(OR(Atletas!O57="Yang 26 A",Atletas!O57="Yang 40 A"),401,IF(OR(Atletas!O57="Chen 25 A",Atletas!O57="Chen 36 A",Atletas!O57="Chen 56 A"),402,IF(Atletas!O57="Sun 73 A",403,IF(Atletas!O57="Wu 45 A",404,IF(Atletas!O57="Wu-Hao 46 A",405,IF(OR(Atletas!O57="Taijiquan 16 A",Atletas!O57="Taijiquan 24 A",Atletas!O57="Taijiquan 32 A",Atletas!O57="Taijiquan 42 A"),406,IF(OR(Atletas!O57="Yang 26 B",Atletas!O57="Yang 40 B"),407,IF(OR(Atletas!O57="Chen 25 B",Atletas!O57="Chen 36 B",Atletas!O57="Chen 56 B"),408,IF(Atletas!O57="Sun 73 B",409,IF(Atletas!O57="Wu 45 B",410,IF(Atletas!O57="Wu-Hao 46 B",411,IF(OR(Atletas!O57="Taijiquan 16 B",Atletas!O57="Taijiquan 24 B",Atletas!O57="Taijiquan 32 B",Atletas!O57="Taijiquan 42 B"),412,IF(OR(Atletas!O57="Yang 26 C",Atletas!O57="Yang 40 C"),413,IF(OR(Atletas!O57="Chen 25 C",Atletas!O57="Chen 36 C",Atletas!O57="Chen 56 C"),414,IF(Atletas!O57="Sun 73 C",415,IF(Atletas!O57="Wu 45 C",416,IF(Atletas!O57="Wu-Hao 46 C",417,IF(OR(Atletas!O57="Taijiquan 16 C",Atletas!O57="Taijiquan 24 C",Atletas!O57="Taijiquan 32 C",Atletas!O57="Taijiquan 42 C"),418,0)))))))))))))))))))</f>
        <v/>
      </c>
      <c r="BQ61" s="52" t="str">
        <f>IF(Atletas!O57="","",IF(Atletas!W57&lt;&gt;"",10000,0)+IF(Atletas!B57="Feminino",1000,IF(Atletas!B57="Masculino",2000,""))+IF(OR(Atletas!O57="Yang 26 D",Atletas!O57="Yang 40 D"),419,IF(OR(Atletas!O57="Chen 25 D",Atletas!O57="Chen 36 D",Atletas!O57="Chen 56 D"),420,IF(Atletas!O57="Sun 73 D",421,IF(Atletas!O57="Wu 45 D",422,IF(Atletas!O57="Wu-Hao 46 D",423,IF(OR(Atletas!O57="Taijiquan 16 D",Atletas!O57="Taijiquan 24 D",Atletas!O57="Taijiquan 32 D",Atletas!O57="Taijiquan 42 D"),424,IF(OR(Atletas!O57="Yang 26 E",Atletas!O57="Yang 40 E"),425,IF(OR(Atletas!O57="Chen 25 E",Atletas!O57="Chen 36 E",Atletas!O57="Chen 56 E"),426,IF(Atletas!O57="Sun 73 E",427,IF(Atletas!O57="Wu 45 E",428,IF(Atletas!O57="Wu-Hao 46 E",429,IF(OR(Atletas!O57="Taijiquan 16 E",Atletas!O57="Taijiquan 24 E",Atletas!O57="Taijiquan 32 E",Atletas!O57="Taijiquan 42 E"),430,IF(OR(Atletas!O57="Yang 26 F",Atletas!O57="Yang 40 F"),431,IF(OR(Atletas!O57="Chen 25 F",Atletas!O57="Chen 36 F",Atletas!O57="Chen 56 F"),432,IF(Atletas!O57="Sun 73 F",433,IF(Atletas!O57="Wu 45 F",434,IF(Atletas!O57="Wu-Hao 46 F",435,IF(OR(Atletas!O57="Taijiquan 16 F",Atletas!O57="Taijiquan 24 F",Atletas!O57="Taijiquan 32 F",Atletas!O57="Taijiquan 42 F"),436,0)))))))))))))))))))</f>
        <v/>
      </c>
      <c r="BR61" s="52" t="str">
        <f>IF(Atletas!P57="","",IF(Atletas!W57&lt;&gt;"",10000,0)+IF(Atletas!B57="Feminino",1000,IF(Atletas!B57="Masculino",2000,""))+IF(Atletas!P57="Xingyiquan A",501,IF(Atletas!P57="Baguazhang A",502,IF(Atletas!P57="Outro Estilo Interno A",503,IF(Atletas!P57="Xingyiquan B",504,IF(Atletas!P57="Baguazhang B",505,IF(Atletas!P57="Outro Estilo Interno B",506,IF(Atletas!P57="Xingyiquan C",507,IF(Atletas!P57="Baguazhang C",508,IF(Atletas!P57="Outro Estilo Interno C",509,IF(Atletas!P57="Xingyiquan D",510,IF(Atletas!P57="Baguazhang D",511,IF(Atletas!P57="Outro Estilo Interno D",512,IF(Atletas!P57="Xingyiquan E",513,IF(Atletas!P57="Baguazhang E",514,IF(Atletas!P57="Outro Estilo Interno E",515,IF(Atletas!P57="Xingyiquan F",516,IF(Atletas!P57="Baguazhang F",517,IF(Atletas!P57="Outro Estilo Interno F",518, "")))))))))))))))))))</f>
        <v/>
      </c>
      <c r="BS61" s="52" t="str">
        <f>IF(Atletas!Q57="","",IF(Atletas!W57&lt;&gt;"",10000,0)+IF(Atletas!B57="Feminino",1000,IF(Atletas!B57="Masculino",2000,""))+IF(Atletas!Q57="Dao A",601,IF(Atletas!Q57="Jian A",602,IF(Atletas!Q57="Bishou A",603,IF(Atletas!Q57="Shan A",604,IF(Atletas!Q57="Outra Arma Curta A",605,IF(Atletas!Q57="Dao B",606,IF(Atletas!Q57="Jian B",607,IF(Atletas!Q57="Bishou B",608,IF(Atletas!Q57="Shan B",609,IF(Atletas!Q57="Outra Arma Curta B",610,IF(Atletas!Q57="Dao C",611,IF(Atletas!Q57="Jian C",612,IF(Atletas!Q57="Bishou C",613,IF(Atletas!Q57="Shan C",614,IF(Atletas!Q57="Outra Arma Curta C",615,IF(Atletas!Q57="Dao D",616,IF(Atletas!Q57="Jian D",617,IF(Atletas!Q57="Bishou D",618,IF(Atletas!Q57="Shan D",619,IF(Atletas!Q57="Outra Arma Curta D",620,IF(Atletas!Q57="Dao E",621,IF(Atletas!Q57="Jian E",622,IF(Atletas!Q57="Bishou E",623,IF(Atletas!Q57="Shan E",624,IF(Atletas!Q57="Outra Arma Curta E",625,IF(Atletas!Q57="Dao F",626,IF(Atletas!Q57="Jian F",627,IF(Atletas!Q57="Bishou F",628,IF(Atletas!Q57="Shan F",629,IF(Atletas!Q57="Outra Arma Curta F",630, "")))))))))))))))))))))))))))))))</f>
        <v/>
      </c>
      <c r="BT61" s="52" t="str">
        <f>IF(Atletas!R57="","",IF(Atletas!W57&lt;&gt;"",10000,0)+IF(Atletas!B57="Feminino",1000,IF(Atletas!B57="Masculino",2000,""))+IF(Atletas!R57="Gun A",701,IF(Atletas!R57="Qiang A",702,IF(Atletas!R57="Pudao / Guandao A",703,IF(Atletas!R57="Outra Arma Longa A",704,IF(Atletas!R57="Gun B",705,IF(Atletas!R57="Qiang B",706,IF(Atletas!R57="Pudao / Guandao B",707,IF(Atletas!R57="Outra Arma Longa B",708,IF(Atletas!R57="Gun C",709,IF(Atletas!R57="Qiang C",710,IF(Atletas!R57="Pudao / Guandao C",711,IF(Atletas!R57="Outra Arma Longa C",712,IF(Atletas!R57="Gun D",713,IF(Atletas!R57="Qiang D",714,IF(Atletas!R57="Pudao / Guandao D",715,IF(Atletas!R57="Outra Arma Longa D",716,IF(Atletas!R57="Gun E",717,IF(Atletas!R57="Qiang E",718,IF(Atletas!R57="Pudao / Guandao E",719,IF(Atletas!R57="Outra Arma Longa E",720,IF(Atletas!R57="Gun F",721,IF(Atletas!R57="Qiang F",722,IF(Atletas!R57="Pudao / Guandao F",723,IF(Atletas!R57="Outra Arma Longa F",724,"")))))))))))))))))))))))))</f>
        <v/>
      </c>
      <c r="BU61" s="52" t="str">
        <f>IF(Atletas!S57="","",IF(Atletas!W57&lt;&gt;"",10000,0)+IF(Atletas!B57="Feminino",1000,IF(Atletas!B57="Masculino",2000,""))+IF(Atletas!S57="Arma Dupla A",801,IF(Atletas!S57="Arma Maleável A",802,IF(Atletas!S57="Arma Dupla B",803,IF(Atletas!S57="Arma Maleável B",804,IF(Atletas!S57="Arma Dupla C",805,IF(Atletas!S57="Arma Maleável C",806,IF(Atletas!S57="Arma Dupla D",807,IF(Atletas!S57="Arma Maleável D",808,IF(Atletas!S57="Arma Dupla E",809,IF(Atletas!S57="Arma Maleável E",810,IF(Atletas!S57="Arma Dupla F",811,IF(Atletas!S57="Arma Maleável F",812, "")))))))))))))</f>
        <v/>
      </c>
      <c r="BV61" s="52" t="str">
        <f>IF(Atletas!T57="","",IF(Atletas!W57&lt;&gt;"",10000,0)+IF(Atletas!B57="Feminino",1000,IF(Atletas!B57="Masculino",2000,""))+IF(Atletas!T57="Taijijian Yang A",901,IF(Atletas!T57="Taijijian Chen A",902,IF(Atletas!T57="Taijijian Sun A",903,IF(Atletas!T57="Taijijian Wu A",904,IF(Atletas!T57="Taijijian Wu-Hao A",905,IF(Atletas!T57="Taijijian 32 A",906,IF(Atletas!T57="Taijijian 42 A",907,IF(Atletas!T57="Taijijian Yang B",908,IF(Atletas!T57="Taijijian Chen B",909,IF(Atletas!T57="Taijijian Sun B",910,IF(Atletas!T57="Taijijian Wu B",911,IF(Atletas!T57="Taijijian Wu-Hao B",912,IF(Atletas!T57="Taijijian 32 B",913,IF(Atletas!T57="Taijijian 42 B",914,IF(Atletas!T57="Taijijian Yang C",915,IF(Atletas!T57="Taijijian Chen C",916,IF(Atletas!T57="Taijijian Sun C",917,IF(Atletas!T57="Taijijian Wu C",918,IF(Atletas!T57="Taijijian Wu-Hao C",919,IF(Atletas!T57="Taijijian 32 C",920,IF(Atletas!T57="Taijijian 42 C",921,IF(Atletas!T57="Taijijian Yang D",922,IF(Atletas!T57="Taijijian Chen D",923,IF(Atletas!T57="Taijijian Sun D",924,IF(Atletas!T57="Taijijian Wu D",925,IF(Atletas!T57="Taijijian Wu-Hao D",926,IF(Atletas!T57="Taijijian 32 D",927,IF(Atletas!T57="Taijijian 42 D",928,IF(Atletas!T57="Taijijian Yang E",929,IF(Atletas!T57="Taijijian Chen E",930,IF(Atletas!T57="Taijijian Sun E",931,IF(Atletas!T57="Taijijian Wu E",932,IF(Atletas!T57="Taijijian Wu-Hao E",933,IF(Atletas!T57="Taijijian 32 E",934,IF(Atletas!T57="Taijijian 42 E",935,IF(Atletas!T57="Taijijian Yang F",936,IF(Atletas!T57="Taijijian Chen F",937,IF(Atletas!T57="Taijijian Sun F",938,IF(Atletas!T57="Taijijian Wu F",939,IF(Atletas!T57="Taijijian Wu-Hao F",940,IF(Atletas!T57="Taijijian 32 F",941,IF(Atletas!T57="Taijijian 42 F",942,"")))))))))))))))))))))))))))))))))))))))))))</f>
        <v/>
      </c>
      <c r="BW61" s="52" t="str">
        <f>IF(Atletas!U57="","",IF(Atletas!W57&lt;&gt;"",10000,0)+IF(Atletas!B57="Feminino",1000,IF(Atletas!B57="Masculino",2000,""))+IF(Atletas!T57="Taijijian 42 F",942,IF(Atletas!U57="Taijidao A",943,IF(Atletas!U57="Taijishan A",944,IF(Atletas!U57="Taijiqiang A",945,IF(Atletas!U57="Taijidao B",946,IF(Atletas!U57="Taijishan B",947,IF(Atletas!U57="Taijiqiang B",948,IF(Atletas!U57="Taijidao C",949,IF(Atletas!U57="Taijishan C",950,IF(Atletas!U57="Taijiqiang C",951,IF(Atletas!U57="Taijidao D",952,IF(Atletas!U57="Taijishan D",953,IF(Atletas!U57="Taijiqiang D",954,IF(Atletas!U57="Taijidao E",955,IF(Atletas!U57="Taijishan E",956,IF(Atletas!U57="Taijiqiang E",957,IF(Atletas!U57="Taijidao F",958,IF(Atletas!U57="Taijishan F",959,IF(Atletas!U57="Taijiqiang F",960))))))))))))))))))))</f>
        <v/>
      </c>
      <c r="BX61" s="64" t="str">
        <f>IF(BY61&lt;&gt;"","Wudangquan B","")</f>
        <v/>
      </c>
      <c r="BY61" s="64" t="str">
        <f>IF(COUNTIF(BK:BW,1125)&gt;0,COUNTIF(BK:BW,1125),"")</f>
        <v/>
      </c>
      <c r="BZ61" s="64" t="str">
        <f>IF(CA61&lt;&gt;"","Wudangquan B","")</f>
        <v/>
      </c>
      <c r="CA61" s="64" t="str">
        <f>IF(COUNTIF(BK:BW,2125)&gt;0,COUNTIF(BK:BW,2125),"")</f>
        <v/>
      </c>
      <c r="CB61" s="64" t="str">
        <f>IF(CC61&lt;&gt;"","Wudangquan B","")</f>
        <v/>
      </c>
      <c r="CC61" s="64" t="str">
        <f>IF(COUNTIF(BK:BW,11125)&gt;0,COUNTIF(BK:BW,11125),"")</f>
        <v/>
      </c>
      <c r="CD61" s="64" t="str">
        <f>IF(CE61&lt;&gt;"","Wudangquan B","")</f>
        <v/>
      </c>
      <c r="CE61" s="64" t="str">
        <f>IF(COUNTIF(BK:BW,12125)&gt;0,COUNTIF(BK:BW,12125),"")</f>
        <v/>
      </c>
      <c r="CF61" s="52" t="str">
        <f xml:space="preserve"> IF(Atletas!V57="","",IF(Atletas!V57="Duilian de Mãos AB - Equipe 1",1,IF(Atletas!V57="Duilian de Mãos AB - Equipe 2",2,IF(Atletas!V57="Duilian de Armas AB - Equipe 1",3,IF(Atletas!V57="Duilian de Armas AB - Equipe 2",4,IF(Atletas!V57="Duilian de Tuishou - Equipe 1",5,IF(Atletas!V57="Duilian de Tuishou - Equipe 2",6,IF(Atletas!V57="Grupo Externo AB - Equipe 1",7,IF(Atletas!V57="Grupo Externo AB - Equipe 2",8,IF(Atletas!V57="Grupo Interno AB - Equipe 1",9,IF(Atletas!V57="Grupo Interno AB - Equipe 2",10,IF(Atletas!V57="Duilian de Mãos CD - Equipe 1",11,IF(Atletas!V57="Duilian de Mãos CD - Equipe 2",12,IF(Atletas!V57="Duilian de Armas CD - Equipe 1",13,IF(Atletas!V57="Duilian de Armas CD - Equipe 2",14,IF(Atletas!V57="Duilian de Tuishou - Equipe 1",15,IF(Atletas!V57="Duilian de Tuishou - Equipe 2",16,IF(Atletas!V57="Grupo Externo CDEF - Equipe 1",17,IF(Atletas!V57="Grupo Externo CDEF - Equipe 2",18,IF(Atletas!V57="Grupo Interno CDEF - Equipe 1",19,IF(Atletas!V57="Grupo Interno CDEF - Equipe 2",20,IF(Atletas!V57="Duilian de Mãos EF - Equipe 1",21,IF(Atletas!V57="Duilian de Mãos EF - Equipe 2",22,IF(Atletas!V57="Duilian de Armas EF - Equipe 1",23,IF(Atletas!V57="Duilian de Armas EF - Equipe 2",24,IF(Atletas!V57="Duilian de Tuishou - Equipe 1",25,IF(Atletas!V57="Duilian de Tuishou - Equipe 2",26,"")))))))))))))))))))))))))))</f>
        <v/>
      </c>
      <c r="CR61" s="71"/>
    </row>
    <row r="62" spans="2:96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 t="str">
        <f t="array" ref="N62">IFERROR(INDEX(BB$7:BB$66,SMALL(IF(BB$7:BB$66&lt;&gt;"",ROW(BB$7:BB$66)-ROW(BB$7)+1),ROWS(BB$7:BB61))),"")</f>
        <v/>
      </c>
      <c r="O62" s="4" t="str">
        <f t="array" ref="O62">IFERROR(INDEX(BC$7:BC$66,SMALL(IF(BC$7:BC$66&lt;&gt;"",ROW(BC$7:BC$66)-ROW(BC$7)+1),ROWS(BC$7:BC61))),"")</f>
        <v/>
      </c>
      <c r="P62" s="4" t="str">
        <f t="array" ref="P62">IFERROR(INDEX(BD$7:BD$66,SMALL(IF(BD$7:BD$66&lt;&gt;"",ROW(BD$7:BD$66)-ROW(BD$7)+1),ROWS(BD$7:BD61))),"")</f>
        <v/>
      </c>
      <c r="Q62" s="4" t="str">
        <f t="array" ref="Q62">IFERROR(INDEX(BE$7:BE$66,SMALL(IF(BE$7:BE$66&lt;&gt;"",ROW(BE$7:BE$66)-ROW(BE$7)+1),ROWS(BE$7:BE61))),"")</f>
        <v/>
      </c>
      <c r="R62" s="4"/>
      <c r="S62" s="4"/>
      <c r="T62" s="31"/>
      <c r="U62" s="4"/>
      <c r="V62" s="4" t="str">
        <f t="array" ref="V62">IFERROR(INDEX(BX$7:BX$336,SMALL(IF(BX$7:BX$336&lt;&gt;"",ROW(BX$7:BX$336)-ROW(BX$7)+1),ROWS(BX$7:BX61))),"")</f>
        <v/>
      </c>
      <c r="W62" s="4" t="str">
        <f t="array" ref="W62">IFERROR(INDEX(BY$7:BY$336,SMALL(IF(BY$7:BY$336&lt;&gt;"",ROW(BY$7:BY$336)-ROW(BY$7)+1),ROWS(BY$7:BY61))),"")</f>
        <v/>
      </c>
      <c r="X62" s="4" t="str">
        <f t="array" ref="X62">IFERROR(INDEX(BZ$7:BZ$336,SMALL(IF(BZ$7:BZ$336&lt;&gt;"",ROW(BZ$7:BZ$336)-ROW(BZ$7)+1),ROWS(BZ$7:BZ61))),"")</f>
        <v/>
      </c>
      <c r="Y62" s="4" t="str">
        <f t="array" ref="Y62">IFERROR(INDEX(CA$7:CA$336,SMALL(IF(CA$7:CA$336&lt;&gt;"",ROW(CA$7:CA$336)-ROW(CA$7)+1),ROWS(CA$7:CA61))),"")</f>
        <v/>
      </c>
      <c r="Z62" s="4" t="str">
        <f t="array" ref="Z62">IFERROR(INDEX(CB$7:CB$378,SMALL(IF(CB$7:CB$378&lt;&gt;"",ROW(CB$7:CB$378)-ROW(CB$7)+1),ROWS(CB$7:CB61))),"")</f>
        <v/>
      </c>
      <c r="AA62" s="4" t="str">
        <f t="array" ref="AA62">IFERROR(INDEX(CC$7:CC$378,SMALL(IF(CC$7:CC$378&lt;&gt;"",ROW(CC$7:CC$378)-ROW(CC$7)+1),ROWS(CC$7:CC61))),"")</f>
        <v/>
      </c>
      <c r="AB62" s="4" t="str">
        <f t="array" ref="AB62">IFERROR(INDEX(CD$7:CD$378,SMALL(IF(CD$7:CD$378&lt;&gt;"",ROW(CD$7:CD$378)-ROW(CD$7)+1),ROWS(CD$7:CD61))),"")</f>
        <v/>
      </c>
      <c r="AC62" s="4" t="str">
        <f t="array" ref="AC62">IFERROR(INDEX(CE$7:CE$378,SMALL(IF(CE$7:CE$378&lt;&gt;"",ROW(CE$7:CE$378)-ROW(CE$7)+1),ROWS(CE$7:CE61))),"")</f>
        <v/>
      </c>
      <c r="AD62" s="4"/>
      <c r="AE62" s="4"/>
      <c r="AF62" s="4"/>
      <c r="AG62" s="4"/>
      <c r="AH62" s="4"/>
      <c r="AI62" s="4"/>
      <c r="AJ62" s="46" t="str">
        <f>IF(Atletas!D58="","",IF(Atletas!B58="Feminino",100,IF(Atletas!B58="Masculino",200,""))+(IF(Atletas!D58="Infantil 39kg",1,IF(Atletas!D58="Infantil 42kg",2,IF(Atletas!D58="Infantil 45kg",3,IF(Atletas!D58="Infantil 48kg",4,IF(Atletas!D58="Infantil 52kg",5,IF(Atletas!D58="Infantil 56kg",6,IF(Atletas!D58="Infantil 60kg",7,IF(Atletas!D58="Juvenil 48kg",8,IF(Atletas!D58="Juvenil 52kg",9,IF(Atletas!D58="Juvenil 56kg",10,IF(Atletas!D58="Juvenil 60kg",11,IF(Atletas!D58="Juvenil 65kg",12,IF(Atletas!D58="Juvenil 70kg",13,IF(Atletas!D58="Juvenil 75kg",14,IF(Atletas!D58="Juvenil 80kg",15,IF(Atletas!D58="Adulto 48kg",16,IF(Atletas!D58="Adulto 52kg",17,IF(Atletas!D58="Adulto 56kg",18,IF(Atletas!D58="Adulto 60kg",19,IF(Atletas!D58="Adulto 65kg",20,IF(Atletas!D58="Adulto 70kg",21,IF(Atletas!D58="Adulto 75kg",22,IF(Atletas!D58="Adulto 80kg",23,IF(Atletas!D58="Adulto 85kg",24,IF(Atletas!D58="Adulto 90kg",25,IF(Atletas!D58="Adulto +90kg",26,""))))))))))))))))))))))))))))</f>
        <v/>
      </c>
      <c r="AO62" s="10" t="str">
        <f>IF(Atletas!E58="","",IF(Atletas!B58="Feminino",100,IF(Atletas!B58="Masculino",200,""))+(IF(Atletas!E58="Juvenil 44kg",1,IF(Atletas!E58="Juvenil 48kg",2,IF(Atletas!E58="Juvenil 52kg",3,IF(Atletas!E58="Juvenil 56kg",4,IF(Atletas!E58="Juvenil 60kg",5,IF(Atletas!E58="Juvenil 65kg",6,IF(Atletas!E58="Juvenil 70kg",7,IF(Atletas!E58="Juvenil 75kg",8,IF(Atletas!E58="Juvenil 82kg",9,IF(Atletas!E58="Juvenil 90kg",10,IF(Atletas!E58="Juvenil 100kg",11,IF(Atletas!E58="Adulto 48kg",12,IF(Atletas!E58="Adulto 52kg",13,IF(Atletas!E58="Adulto 56kg",14,IF(Atletas!E58="Adulto 60kg",15,IF(Atletas!E58="Adulto 65kg",16,IF(Atletas!E58="Adulto 70kg",17,IF(Atletas!E58="Adulto 75kg",18,IF(Atletas!E58="Adulto 82kg",19,IF(Atletas!E58="Adulto 90kg",20,IF(Atletas!E58="Adulto 100kg",21,IF(Atletas!E58="Adulto +100kg",22,""))))))))))))))))))))))))</f>
        <v/>
      </c>
      <c r="AT62" s="10" t="str">
        <f>IF(Atletas!F58="","",IF(Atletas!B58="Feminino",100,IF(Atletas!B58="Masculino",200,""))+(IF(Atletas!F58="Adulto 48kg",1,IF(Atletas!F58="Adulto 56kg",2,IF(Atletas!F58="Adulto 65kg",3,IF(Atletas!F58="Adulto 75kg",4,IF(Atletas!F58="Adulto +75kg",5,IF(Atletas!F58="Adulto 52kg",6,IF(Atletas!F58="Adulto 60kg",7,IF(Atletas!F58="Adulto 70kg",8,IF(Atletas!F58="Adulto 80kg",9,IF(Atletas!F58="Adulto 90kg",10,IF(Atletas!F58="Adulto +90kg",11,"")))))))))))))</f>
        <v/>
      </c>
      <c r="AY62" s="46" t="str">
        <f>IF(Atletas!G58="","",IF(Atletas!B58="Feminino",100,IF(Atletas!B58="Masculino",200,""))+(IF(Atletas!G58="Changquan Mirim",1,IF(Atletas!G58="Nanquan Mirim",2,IF(Atletas!G58="Taijiquan Mirim",3,IF(Atletas!G58="Changquan Grupo C",4,IF(Atletas!G58="Nanquan Grupo C",5,IF(Atletas!G58="Taijiquan Grupo C",6,IF(Atletas!G58="Changquan Grupo B",7,IF(Atletas!G58="Nanquan Grupo B",8,IF(Atletas!G58="Taijiquan Grupo B",9,IF(Atletas!G58="Changquan Grupo A",10,IF(Atletas!G58="Nanquan Grupo A",11,IF(Atletas!G58="Taijiquan Grupo A",12,IF(Atletas!G58="Changquan Opcional",13,IF(Atletas!G58="Nanquan Opcional",14,IF(Atletas!G58="Taijiquan Opcional",15,IF(Atletas!G58="Changquan Adulto",16,IF(Atletas!G58="Nanquan Adulto",17,IF(Atletas!G58="Taijiquan Adulto",18,""))))))))))))))))))))</f>
        <v/>
      </c>
      <c r="AZ62" s="46" t="str">
        <f>IF(Atletas!H58="","",IF(Atletas!B58="Feminino",100,IF(Atletas!B58="Masculino",200,""))+(IF(Atletas!H58="Daoshu Mirim",19,IF(Atletas!H58="Jianshu Mirim",20,IF(Atletas!H58="Nandao Mirim",21,IF(Atletas!H58="Taijijian Mirim",22,IF(Atletas!H58="Daoshu Grupo C",23,IF(Atletas!H58="Jianshu Grupo C",24,IF(Atletas!H58="Nandao Grupo C",25,IF(Atletas!H58="Taijijian Grupo C",26,IF(Atletas!H58="Daoshu Grupo B",27,IF(Atletas!H58="Jianshu Grupo B",28,IF(Atletas!H58="Nandao Grupo B",29,IF(Atletas!H58="Taijijian Grupo B",30,IF(Atletas!H58="Daoshu Grupo A",31,IF(Atletas!H58="Jianshu Grupo A",32,IF(Atletas!H58="Nandao Grupo A",33,IF(Atletas!H58="Taijijian Grupo A",34,IF(Atletas!H58="Daoshu Opcional",35,IF(Atletas!H58="Jianshu Opcional",36,IF(Atletas!H58="Nandao Opcional",37,IF(Atletas!H58="Taijijian Opcional",38,IF(Atletas!H58="Daoshu Adulto",39,IF(Atletas!H58="Jianshu Adulto",40,IF(Atletas!H58="Nandao Adulto",41,IF(Atletas!H58="Taijijian Adulto",42,""))))))))))))))))))))))))))</f>
        <v/>
      </c>
      <c r="BA62" s="46" t="str">
        <f>IF(Atletas!I58="","",IF(Atletas!B58="Feminino",100,IF(Atletas!B58="Masculino",200,""))+(IF(Atletas!I58="Gunshu Mirim",43,IF(Atletas!I58="Qiangshu Mirim",44,IF(Atletas!I58="Nangun Mirim",45,IF(Atletas!I58="Gunshu Grupo C",46,IF(Atletas!I58="Qiangshu Grupo C",47,IF(Atletas!I58="Nangun Grupo C",48,IF(Atletas!I58="Gunshu Grupo B",49,IF(Atletas!I58="Qiangshu Grupo B",50,IF(Atletas!I58="Nangun Grupo B",51,IF(Atletas!I58="Gunshu Grupo A",52,IF(Atletas!I58="Qiangshu Grupo A",53,IF(Atletas!I58="Nangun Grupo A",54,IF(Atletas!I58="Gunshu Opcional",55,IF(Atletas!I58="Qiangshu Opcional",56,IF(Atletas!I58="Nangun Opcional",57,IF(Atletas!I58="Gunshu Adulto",58,IF(Atletas!I58="Qiangshu Adulto",59,IF(Atletas!I58="Nangun Adulto",60,""))))))))))))))))))))</f>
        <v/>
      </c>
      <c r="BB62" s="10" t="str">
        <f>IF(BC62&lt;&gt;"","Nandao Adulto","")</f>
        <v/>
      </c>
      <c r="BC62" s="52" t="str">
        <f>IF(COUNTIF(AY:BA,141)&gt;0,COUNTIF(AY:BA,141),"")</f>
        <v/>
      </c>
      <c r="BD62" s="10" t="str">
        <f>IF(BE62&lt;&gt;"","Nandao Adulto","")</f>
        <v/>
      </c>
      <c r="BE62" s="52" t="str">
        <f>IF(COUNTIF(AY:BA,241)&gt;0,COUNTIF(AY:BA,241),"")</f>
        <v/>
      </c>
      <c r="BF62" s="52" t="str">
        <f>IF(Atletas!J58="","",IF(Atletas!B58="Feminino",100,IF(Atletas!B58="Masculino",200,""))+(IF(Atletas!J58="Equipe 1 Grupo B",1,IF(Atletas!J58="Equipe 2 Grupo B",2,IF(Atletas!J58="Equipe 1 Grupo A",3,IF(Atletas!J58="Equipe 2 Grupo A",4,IF(Atletas!J58="Equipe 1 Adulto",5,IF(Atletas!J58="Equipe 2 Adulto",6,""))))))))</f>
        <v/>
      </c>
      <c r="BK62" s="52" t="str">
        <f>IF(Atletas!K58="","",IF(Atletas!W58&lt;&gt;"",10000,0)+(IF(Atletas!B58="Feminino",1000,IF(Atletas!B58="Masculino",2000,""))+IF(Atletas!K58="Choylayfut A",1,IF(Atletas!K58="Hunggar A",2,IF(Atletas!K58="Wuzuquan A",3,IF(Atletas!K58="Wingchun A",4,IF(Atletas!K58="Outra Mão de Sul A",5,IF(Atletas!K58="Choylayfut B",6,IF(Atletas!K58="Hunggar B",7,IF(Atletas!K58="Wuzuquan B",8,IF(Atletas!K58="Wingchun B",9,IF(Atletas!K58="Outra Mão de Sul B",10,IF(Atletas!K58="Choylayfut C",11,IF(Atletas!K58="Hunggar C",12,IF(Atletas!K58="Wuzuquan C",13,IF(Atletas!K58="Wingchun C",14,IF(Atletas!K58="Outra Mão de Sul C",15,IF(Atletas!K58="Choylayfut D",16,IF(Atletas!K58="Hunggar D",17,IF(Atletas!K58="Wuzuquan D",18,IF(Atletas!K58="Wingchun D",19,IF(Atletas!K58="Outra Mão de Sul D",20,IF(Atletas!K58="Choylayfut E",21,IF(Atletas!K58="Hunggar E",22,IF(Atletas!K58="Wuzuquan E",23,IF(Atletas!K58="Wingchun E",24,IF(Atletas!K58="Outra Mão de Sul E",25,IF(Atletas!K58="Choylayfut F",26,IF(Atletas!K58="Hunggar F",27,IF(Atletas!K58="Wuzuquan F",28,IF(Atletas!K58="Wingchun F",29,IF(Atletas!K58="Outra Mão de Sul F",30,""))))))))))))))))))))))))))))))))</f>
        <v/>
      </c>
      <c r="BL62" s="52" t="str">
        <f>IF(Atletas!L58="","",IF(Atletas!W58&lt;&gt;"",10000,0)+(IF(Atletas!B58="Feminino",1000,IF(Atletas!B58="Masculino",2000,""))+(IF(Atletas!L58="Chaquan A",101,IF(Atletas!L58="Emeiquan A",102,IF(Atletas!L58="Fanziquan A",103,IF(Atletas!L58="Huaquan A",104,IF(Atletas!L58="Hongquan A",105,IF(Atletas!L58="Paochui A",106,IF(Atletas!L58="Piguaquan A",107,IF(Atletas!L58="Shaolinquan A",108,IF(Atletas!L58="Tanglangquan A",109,IF(Atletas!L58="Yinzhaophai A",110,IF(Atletas!L58="Tongbeiquan A",111,IF(Atletas!L58="Wudangquan A",112,IF(Atletas!L58="Outros Estilos A",113,IF(Atletas!L58="Chaquan B",114,IF(Atletas!L58="Emeiquan B",115,IF(Atletas!L58="Fanziquan B",116,IF(Atletas!L58="Huaquan B",117,IF(Atletas!L58="Hongquan B",118,IF(Atletas!L58="Paochui B",119,IF(Atletas!L58="Piguaquan B",120,IF(Atletas!L58="Shaolinquan B",121,IF(Atletas!L58="Tanglangquan B",122,IF(Atletas!L58="Yinzhaophai B",123,IF(Atletas!L58="Tongbeiquan B",124,IF(Atletas!L58="Wudangquan B",125,IF(Atletas!L58="Outros Estilos B",126,IF(Atletas!L58="Chaquan C",127,IF(Atletas!L58="Emeiquan C",128,IF(Atletas!L58="Fanziquan C",129,IF(Atletas!L58="Huaquan C",130,IF(Atletas!L58="Hongquan C",131,IF(Atletas!L58="Paochui C",132,IF(Atletas!L58="Piguaquan C",133,IF(Atletas!L58="Shaolinquan C",134,IF(Atletas!L58="Tanglangquan C",135,IF(Atletas!L58="Yinzhaophai C",136,IF(Atletas!L58="Tongbeiquan C",137,IF(Atletas!L58="Wudangquan C",138,IF(Atletas!L58="Outros Estilos C",139,0))))))))))))))))))))))))))))))))))))))))))</f>
        <v/>
      </c>
      <c r="BM62" s="52" t="str">
        <f>IF(Atletas!L58="","",IF(Atletas!W58&lt;&gt;"",10000,0)+(IF(Atletas!B58="Feminino",1000,IF(Atletas!B58="Masculino",2000,""))+(IF(Atletas!L58="Chaquan D",140,IF(Atletas!L58="Emeiquan D",141,IF(Atletas!L58="Fanziquan D",142,IF(Atletas!L58="Huaquan D",143,IF(Atletas!L58="Hongquan D",144,IF(Atletas!L58="Paochui D",145,IF(Atletas!L58="Piguaquan D",146,IF(Atletas!L58="Shaolinquan D",147,IF(Atletas!L58="Tanglangquan D",148,IF(Atletas!L58="Yinzhaophai D",149,IF(Atletas!L58="Tongbeiquan D",150,IF(Atletas!L58="Wudangquan D",151,IF(Atletas!L58="Outros Estilos D",152,IF(Atletas!L58="Chaquan E",153,IF(Atletas!L58="Emeiquan E",154,IF(Atletas!L58="Fanziquan E",155,IF(Atletas!L58="Huaquan E",156,IF(Atletas!L58="Hongquan E",157,IF(Atletas!L58="Paochui E",158,IF(Atletas!L58="Piguaquan E",159,IF(Atletas!L58="Shaolinquan E",160,IF(Atletas!L58="Tanglangquan E",161,IF(Atletas!L58="Yinzhaophai E",162,IF(Atletas!L58="Tongbeiquan E",163,IF(Atletas!L58="Wudangquan E",164,IF(Atletas!L58="Outros Estilos E",165,IF(Atletas!L58="Chaquan F",166,IF(Atletas!L58="Emeiquan F",167,IF(Atletas!L58="Fanziquan F",168,IF(Atletas!L58="Huaquan F",169,IF(Atletas!L58="Hongquan F",170,IF(Atletas!L58="Paochui F",171,IF(Atletas!L58="Piguaquan F",172,IF(Atletas!L58="Shaolinquan F",173,IF(Atletas!L58="Tanglangquan F",174,IF(Atletas!L58="Yinzhaophai F",175,IF(Atletas!L58="Tongbeiquan F",176,IF(Atletas!L58="Wudangquan F",177,IF(Atletas!L58="Outros Estilos F",178,0))))))))))))))))))))))))))))))))))))))))))</f>
        <v/>
      </c>
      <c r="BN62" s="52" t="str">
        <f>IF(Atletas!M58="","",IF(Atletas!W58&lt;&gt;"",10000,0)+(IF(Atletas!B58="Feminino",1000,IF(Atletas!B58="Masculino",2000,""))+(IF(Atletas!M58="Ditangquan A",201,IF(Atletas!M58="Houquan A",202,IF(Atletas!M58="Zuiquan A",203,IF(Atletas!M58="Ditangquan B",204,IF(Atletas!M58="Houquan B",205,IF(Atletas!M58="Zuiquan B",206,IF(Atletas!M58="Ditangquan C",207,IF(Atletas!M58="Houquan C",208,IF(Atletas!M58="Zuiquan C",209,IF(Atletas!M58="Ditangquan D",210,IF(Atletas!M58="Houquan D",211,IF(Atletas!M58="Zuiquan D",212,IF(Atletas!M58="Ditangquan E",213,IF(Atletas!M58="Houquan E",214,IF(Atletas!M58="Zuiquan E",215,IF(Atletas!M58="Ditangquan F",216,IF(Atletas!M58="Houquan F",217,IF(Atletas!M58="Zuiquan F",218,"")))))))))))))))))))))</f>
        <v/>
      </c>
      <c r="BO62" s="52" t="str">
        <f>IF(Atletas!N58="","",IF(Atletas!W58&lt;&gt;"",10000,0)+IF(Atletas!B58="Feminino",1000,IF(Atletas!B58="Masculino",2000,""))+IF(Atletas!N58="Yang A",301,IF(Atletas!N58="Chen A",30,IF(Atletas!N58="Sun A",303,IF(Atletas!N58="Wu A",304,IF(Atletas!N58="Wu-Hao A",305,IF(Atletas!N58="Outro Taijiquan A",306,IF(Atletas!N58="Yang B",307,IF(Atletas!N58="Chen B",308,IF(Atletas!N58="Sun B",309,IF(Atletas!N58="Wu B",310,IF(Atletas!N58="Wu-Hao B",311,IF(Atletas!N58="Outro Taijiquan B",312,IF(Atletas!N58="Yang C",313,IF(Atletas!N58="Chen C",314,IF(Atletas!N58="Sun C",315,IF(Atletas!N58="Wu C",316,IF(Atletas!N58="Wu-Hao C",317,IF(Atletas!N58="Outro Taijiquan C",318,IF(Atletas!N58="Yang D",319,IF(Atletas!N58="Chen D",320,IF(Atletas!N58="Sun D",321,IF(Atletas!N58="Wu D",322,IF(Atletas!N58="Wu-Hao D",323,IF(Atletas!N58="Outro Taijiquan D",324,IF(Atletas!N58="Yang E",325,IF(Atletas!N58="Chen E",326,IF(Atletas!N58="Sun E",327,IF(Atletas!N58="Wu E",328,IF(Atletas!N58="Wu-Hao E",329,IF(Atletas!N58="Outro Taijiquan E",330,IF(Atletas!N58="Yang F",331,IF(Atletas!N58="Chen F",332,IF(Atletas!N58="Sun F",333,IF(Atletas!N58="Wu F",334,IF(Atletas!N58="Wu-Hao F",335,IF(Atletas!N58="Outro Taijiquan F",336,"")))))))))))))))))))))))))))))))))))))</f>
        <v/>
      </c>
      <c r="BP62" s="52" t="str">
        <f>IF(Atletas!O58="","",IF(Atletas!W58&lt;&gt;"",10000,0)+IF(Atletas!B58="Feminino",1000,IF(Atletas!B58="Masculino",2000,""))+IF(OR(Atletas!O58="Yang 26 A",Atletas!O58="Yang 40 A"),401,IF(OR(Atletas!O58="Chen 25 A",Atletas!O58="Chen 36 A",Atletas!O58="Chen 56 A"),402,IF(Atletas!O58="Sun 73 A",403,IF(Atletas!O58="Wu 45 A",404,IF(Atletas!O58="Wu-Hao 46 A",405,IF(OR(Atletas!O58="Taijiquan 16 A",Atletas!O58="Taijiquan 24 A",Atletas!O58="Taijiquan 32 A",Atletas!O58="Taijiquan 42 A"),406,IF(OR(Atletas!O58="Yang 26 B",Atletas!O58="Yang 40 B"),407,IF(OR(Atletas!O58="Chen 25 B",Atletas!O58="Chen 36 B",Atletas!O58="Chen 56 B"),408,IF(Atletas!O58="Sun 73 B",409,IF(Atletas!O58="Wu 45 B",410,IF(Atletas!O58="Wu-Hao 46 B",411,IF(OR(Atletas!O58="Taijiquan 16 B",Atletas!O58="Taijiquan 24 B",Atletas!O58="Taijiquan 32 B",Atletas!O58="Taijiquan 42 B"),412,IF(OR(Atletas!O58="Yang 26 C",Atletas!O58="Yang 40 C"),413,IF(OR(Atletas!O58="Chen 25 C",Atletas!O58="Chen 36 C",Atletas!O58="Chen 56 C"),414,IF(Atletas!O58="Sun 73 C",415,IF(Atletas!O58="Wu 45 C",416,IF(Atletas!O58="Wu-Hao 46 C",417,IF(OR(Atletas!O58="Taijiquan 16 C",Atletas!O58="Taijiquan 24 C",Atletas!O58="Taijiquan 32 C",Atletas!O58="Taijiquan 42 C"),418,0)))))))))))))))))))</f>
        <v/>
      </c>
      <c r="BQ62" s="52" t="str">
        <f>IF(Atletas!O58="","",IF(Atletas!W58&lt;&gt;"",10000,0)+IF(Atletas!B58="Feminino",1000,IF(Atletas!B58="Masculino",2000,""))+IF(OR(Atletas!O58="Yang 26 D",Atletas!O58="Yang 40 D"),419,IF(OR(Atletas!O58="Chen 25 D",Atletas!O58="Chen 36 D",Atletas!O58="Chen 56 D"),420,IF(Atletas!O58="Sun 73 D",421,IF(Atletas!O58="Wu 45 D",422,IF(Atletas!O58="Wu-Hao 46 D",423,IF(OR(Atletas!O58="Taijiquan 16 D",Atletas!O58="Taijiquan 24 D",Atletas!O58="Taijiquan 32 D",Atletas!O58="Taijiquan 42 D"),424,IF(OR(Atletas!O58="Yang 26 E",Atletas!O58="Yang 40 E"),425,IF(OR(Atletas!O58="Chen 25 E",Atletas!O58="Chen 36 E",Atletas!O58="Chen 56 E"),426,IF(Atletas!O58="Sun 73 E",427,IF(Atletas!O58="Wu 45 E",428,IF(Atletas!O58="Wu-Hao 46 E",429,IF(OR(Atletas!O58="Taijiquan 16 E",Atletas!O58="Taijiquan 24 E",Atletas!O58="Taijiquan 32 E",Atletas!O58="Taijiquan 42 E"),430,IF(OR(Atletas!O58="Yang 26 F",Atletas!O58="Yang 40 F"),431,IF(OR(Atletas!O58="Chen 25 F",Atletas!O58="Chen 36 F",Atletas!O58="Chen 56 F"),432,IF(Atletas!O58="Sun 73 F",433,IF(Atletas!O58="Wu 45 F",434,IF(Atletas!O58="Wu-Hao 46 F",435,IF(OR(Atletas!O58="Taijiquan 16 F",Atletas!O58="Taijiquan 24 F",Atletas!O58="Taijiquan 32 F",Atletas!O58="Taijiquan 42 F"),436,0)))))))))))))))))))</f>
        <v/>
      </c>
      <c r="BR62" s="52" t="str">
        <f>IF(Atletas!P58="","",IF(Atletas!W58&lt;&gt;"",10000,0)+IF(Atletas!B58="Feminino",1000,IF(Atletas!B58="Masculino",2000,""))+IF(Atletas!P58="Xingyiquan A",501,IF(Atletas!P58="Baguazhang A",502,IF(Atletas!P58="Outro Estilo Interno A",503,IF(Atletas!P58="Xingyiquan B",504,IF(Atletas!P58="Baguazhang B",505,IF(Atletas!P58="Outro Estilo Interno B",506,IF(Atletas!P58="Xingyiquan C",507,IF(Atletas!P58="Baguazhang C",508,IF(Atletas!P58="Outro Estilo Interno C",509,IF(Atletas!P58="Xingyiquan D",510,IF(Atletas!P58="Baguazhang D",511,IF(Atletas!P58="Outro Estilo Interno D",512,IF(Atletas!P58="Xingyiquan E",513,IF(Atletas!P58="Baguazhang E",514,IF(Atletas!P58="Outro Estilo Interno E",515,IF(Atletas!P58="Xingyiquan F",516,IF(Atletas!P58="Baguazhang F",517,IF(Atletas!P58="Outro Estilo Interno F",518, "")))))))))))))))))))</f>
        <v/>
      </c>
      <c r="BS62" s="52" t="str">
        <f>IF(Atletas!Q58="","",IF(Atletas!W58&lt;&gt;"",10000,0)+IF(Atletas!B58="Feminino",1000,IF(Atletas!B58="Masculino",2000,""))+IF(Atletas!Q58="Dao A",601,IF(Atletas!Q58="Jian A",602,IF(Atletas!Q58="Bishou A",603,IF(Atletas!Q58="Shan A",604,IF(Atletas!Q58="Outra Arma Curta A",605,IF(Atletas!Q58="Dao B",606,IF(Atletas!Q58="Jian B",607,IF(Atletas!Q58="Bishou B",608,IF(Atletas!Q58="Shan B",609,IF(Atletas!Q58="Outra Arma Curta B",610,IF(Atletas!Q58="Dao C",611,IF(Atletas!Q58="Jian C",612,IF(Atletas!Q58="Bishou C",613,IF(Atletas!Q58="Shan C",614,IF(Atletas!Q58="Outra Arma Curta C",615,IF(Atletas!Q58="Dao D",616,IF(Atletas!Q58="Jian D",617,IF(Atletas!Q58="Bishou D",618,IF(Atletas!Q58="Shan D",619,IF(Atletas!Q58="Outra Arma Curta D",620,IF(Atletas!Q58="Dao E",621,IF(Atletas!Q58="Jian E",622,IF(Atletas!Q58="Bishou E",623,IF(Atletas!Q58="Shan E",624,IF(Atletas!Q58="Outra Arma Curta E",625,IF(Atletas!Q58="Dao F",626,IF(Atletas!Q58="Jian F",627,IF(Atletas!Q58="Bishou F",628,IF(Atletas!Q58="Shan F",629,IF(Atletas!Q58="Outra Arma Curta F",630, "")))))))))))))))))))))))))))))))</f>
        <v/>
      </c>
      <c r="BT62" s="52" t="str">
        <f>IF(Atletas!R58="","",IF(Atletas!W58&lt;&gt;"",10000,0)+IF(Atletas!B58="Feminino",1000,IF(Atletas!B58="Masculino",2000,""))+IF(Atletas!R58="Gun A",701,IF(Atletas!R58="Qiang A",702,IF(Atletas!R58="Pudao / Guandao A",703,IF(Atletas!R58="Outra Arma Longa A",704,IF(Atletas!R58="Gun B",705,IF(Atletas!R58="Qiang B",706,IF(Atletas!R58="Pudao / Guandao B",707,IF(Atletas!R58="Outra Arma Longa B",708,IF(Atletas!R58="Gun C",709,IF(Atletas!R58="Qiang C",710,IF(Atletas!R58="Pudao / Guandao C",711,IF(Atletas!R58="Outra Arma Longa C",712,IF(Atletas!R58="Gun D",713,IF(Atletas!R58="Qiang D",714,IF(Atletas!R58="Pudao / Guandao D",715,IF(Atletas!R58="Outra Arma Longa D",716,IF(Atletas!R58="Gun E",717,IF(Atletas!R58="Qiang E",718,IF(Atletas!R58="Pudao / Guandao E",719,IF(Atletas!R58="Outra Arma Longa E",720,IF(Atletas!R58="Gun F",721,IF(Atletas!R58="Qiang F",722,IF(Atletas!R58="Pudao / Guandao F",723,IF(Atletas!R58="Outra Arma Longa F",724,"")))))))))))))))))))))))))</f>
        <v/>
      </c>
      <c r="BU62" s="52" t="str">
        <f>IF(Atletas!S58="","",IF(Atletas!W58&lt;&gt;"",10000,0)+IF(Atletas!B58="Feminino",1000,IF(Atletas!B58="Masculino",2000,""))+IF(Atletas!S58="Arma Dupla A",801,IF(Atletas!S58="Arma Maleável A",802,IF(Atletas!S58="Arma Dupla B",803,IF(Atletas!S58="Arma Maleável B",804,IF(Atletas!S58="Arma Dupla C",805,IF(Atletas!S58="Arma Maleável C",806,IF(Atletas!S58="Arma Dupla D",807,IF(Atletas!S58="Arma Maleável D",808,IF(Atletas!S58="Arma Dupla E",809,IF(Atletas!S58="Arma Maleável E",810,IF(Atletas!S58="Arma Dupla F",811,IF(Atletas!S58="Arma Maleável F",812, "")))))))))))))</f>
        <v/>
      </c>
      <c r="BV62" s="52" t="str">
        <f>IF(Atletas!T58="","",IF(Atletas!W58&lt;&gt;"",10000,0)+IF(Atletas!B58="Feminino",1000,IF(Atletas!B58="Masculino",2000,""))+IF(Atletas!T58="Taijijian Yang A",901,IF(Atletas!T58="Taijijian Chen A",902,IF(Atletas!T58="Taijijian Sun A",903,IF(Atletas!T58="Taijijian Wu A",904,IF(Atletas!T58="Taijijian Wu-Hao A",905,IF(Atletas!T58="Taijijian 32 A",906,IF(Atletas!T58="Taijijian 42 A",907,IF(Atletas!T58="Taijijian Yang B",908,IF(Atletas!T58="Taijijian Chen B",909,IF(Atletas!T58="Taijijian Sun B",910,IF(Atletas!T58="Taijijian Wu B",911,IF(Atletas!T58="Taijijian Wu-Hao B",912,IF(Atletas!T58="Taijijian 32 B",913,IF(Atletas!T58="Taijijian 42 B",914,IF(Atletas!T58="Taijijian Yang C",915,IF(Atletas!T58="Taijijian Chen C",916,IF(Atletas!T58="Taijijian Sun C",917,IF(Atletas!T58="Taijijian Wu C",918,IF(Atletas!T58="Taijijian Wu-Hao C",919,IF(Atletas!T58="Taijijian 32 C",920,IF(Atletas!T58="Taijijian 42 C",921,IF(Atletas!T58="Taijijian Yang D",922,IF(Atletas!T58="Taijijian Chen D",923,IF(Atletas!T58="Taijijian Sun D",924,IF(Atletas!T58="Taijijian Wu D",925,IF(Atletas!T58="Taijijian Wu-Hao D",926,IF(Atletas!T58="Taijijian 32 D",927,IF(Atletas!T58="Taijijian 42 D",928,IF(Atletas!T58="Taijijian Yang E",929,IF(Atletas!T58="Taijijian Chen E",930,IF(Atletas!T58="Taijijian Sun E",931,IF(Atletas!T58="Taijijian Wu E",932,IF(Atletas!T58="Taijijian Wu-Hao E",933,IF(Atletas!T58="Taijijian 32 E",934,IF(Atletas!T58="Taijijian 42 E",935,IF(Atletas!T58="Taijijian Yang F",936,IF(Atletas!T58="Taijijian Chen F",937,IF(Atletas!T58="Taijijian Sun F",938,IF(Atletas!T58="Taijijian Wu F",939,IF(Atletas!T58="Taijijian Wu-Hao F",940,IF(Atletas!T58="Taijijian 32 F",941,IF(Atletas!T58="Taijijian 42 F",942,"")))))))))))))))))))))))))))))))))))))))))))</f>
        <v/>
      </c>
      <c r="BW62" s="52" t="str">
        <f>IF(Atletas!U58="","",IF(Atletas!W58&lt;&gt;"",10000,0)+IF(Atletas!B58="Feminino",1000,IF(Atletas!B58="Masculino",2000,""))+IF(Atletas!T58="Taijijian 42 F",942,IF(Atletas!U58="Taijidao A",943,IF(Atletas!U58="Taijishan A",944,IF(Atletas!U58="Taijiqiang A",945,IF(Atletas!U58="Taijidao B",946,IF(Atletas!U58="Taijishan B",947,IF(Atletas!U58="Taijiqiang B",948,IF(Atletas!U58="Taijidao C",949,IF(Atletas!U58="Taijishan C",950,IF(Atletas!U58="Taijiqiang C",951,IF(Atletas!U58="Taijidao D",952,IF(Atletas!U58="Taijishan D",953,IF(Atletas!U58="Taijiqiang D",954,IF(Atletas!U58="Taijidao E",955,IF(Atletas!U58="Taijishan E",956,IF(Atletas!U58="Taijiqiang E",957,IF(Atletas!U58="Taijidao F",958,IF(Atletas!U58="Taijishan F",959,IF(Atletas!U58="Taijiqiang F",960))))))))))))))))))))</f>
        <v/>
      </c>
      <c r="BX62" s="64" t="str">
        <f>IF(BY62&lt;&gt;"","Outros Estilos B","")</f>
        <v/>
      </c>
      <c r="BY62" s="64" t="str">
        <f>IF(COUNTIF(BK:BW,1126)&gt;0,COUNTIF(BK:BW,1126),"")</f>
        <v/>
      </c>
      <c r="BZ62" s="64" t="str">
        <f>IF(CA62&lt;&gt;"","Outros Estilos B","")</f>
        <v/>
      </c>
      <c r="CA62" s="64" t="str">
        <f>IF(COUNTIF(BK:BW,2126)&gt;0,COUNTIF(BK:BW,2126),"")</f>
        <v/>
      </c>
      <c r="CB62" s="64" t="str">
        <f>IF(CC62&lt;&gt;"","Outros Estilos B","")</f>
        <v/>
      </c>
      <c r="CC62" s="64" t="str">
        <f>IF(COUNTIF(BK:BW,11126)&gt;0,COUNTIF(BK:BW,11126),"")</f>
        <v/>
      </c>
      <c r="CD62" s="64" t="str">
        <f>IF(CE62&lt;&gt;"","Outros Estilos B","")</f>
        <v/>
      </c>
      <c r="CE62" s="64" t="str">
        <f>IF(COUNTIF(BK:BW,12126)&gt;0,COUNTIF(BK:BW,12126),"")</f>
        <v/>
      </c>
      <c r="CF62" s="52" t="str">
        <f xml:space="preserve"> IF(Atletas!V58="","",IF(Atletas!V58="Duilian de Mãos AB - Equipe 1",1,IF(Atletas!V58="Duilian de Mãos AB - Equipe 2",2,IF(Atletas!V58="Duilian de Armas AB - Equipe 1",3,IF(Atletas!V58="Duilian de Armas AB - Equipe 2",4,IF(Atletas!V58="Duilian de Tuishou - Equipe 1",5,IF(Atletas!V58="Duilian de Tuishou - Equipe 2",6,IF(Atletas!V58="Grupo Externo AB - Equipe 1",7,IF(Atletas!V58="Grupo Externo AB - Equipe 2",8,IF(Atletas!V58="Grupo Interno AB - Equipe 1",9,IF(Atletas!V58="Grupo Interno AB - Equipe 2",10,IF(Atletas!V58="Duilian de Mãos CD - Equipe 1",11,IF(Atletas!V58="Duilian de Mãos CD - Equipe 2",12,IF(Atletas!V58="Duilian de Armas CD - Equipe 1",13,IF(Atletas!V58="Duilian de Armas CD - Equipe 2",14,IF(Atletas!V58="Duilian de Tuishou - Equipe 1",15,IF(Atletas!V58="Duilian de Tuishou - Equipe 2",16,IF(Atletas!V58="Grupo Externo CDEF - Equipe 1",17,IF(Atletas!V58="Grupo Externo CDEF - Equipe 2",18,IF(Atletas!V58="Grupo Interno CDEF - Equipe 1",19,IF(Atletas!V58="Grupo Interno CDEF - Equipe 2",20,IF(Atletas!V58="Duilian de Mãos EF - Equipe 1",21,IF(Atletas!V58="Duilian de Mãos EF - Equipe 2",22,IF(Atletas!V58="Duilian de Armas EF - Equipe 1",23,IF(Atletas!V58="Duilian de Armas EF - Equipe 2",24,IF(Atletas!V58="Duilian de Tuishou - Equipe 1",25,IF(Atletas!V58="Duilian de Tuishou - Equipe 2",26,"")))))))))))))))))))))))))))</f>
        <v/>
      </c>
      <c r="CR62" s="71"/>
    </row>
    <row r="63" spans="2:96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 t="str">
        <f t="array" ref="N63">IFERROR(INDEX(BB$7:BB$66,SMALL(IF(BB$7:BB$66&lt;&gt;"",ROW(BB$7:BB$66)-ROW(BB$7)+1),ROWS(BB$7:BB62))),"")</f>
        <v/>
      </c>
      <c r="O63" s="4" t="str">
        <f t="array" ref="O63">IFERROR(INDEX(BC$7:BC$66,SMALL(IF(BC$7:BC$66&lt;&gt;"",ROW(BC$7:BC$66)-ROW(BC$7)+1),ROWS(BC$7:BC62))),"")</f>
        <v/>
      </c>
      <c r="P63" s="4" t="str">
        <f t="array" ref="P63">IFERROR(INDEX(BD$7:BD$66,SMALL(IF(BD$7:BD$66&lt;&gt;"",ROW(BD$7:BD$66)-ROW(BD$7)+1),ROWS(BD$7:BD62))),"")</f>
        <v/>
      </c>
      <c r="Q63" s="4" t="str">
        <f t="array" ref="Q63">IFERROR(INDEX(BE$7:BE$66,SMALL(IF(BE$7:BE$66&lt;&gt;"",ROW(BE$7:BE$66)-ROW(BE$7)+1),ROWS(BE$7:BE62))),"")</f>
        <v/>
      </c>
      <c r="R63" s="4"/>
      <c r="S63" s="4"/>
      <c r="T63" s="31"/>
      <c r="U63" s="4"/>
      <c r="V63" s="4" t="str">
        <f t="array" ref="V63">IFERROR(INDEX(BX$7:BX$336,SMALL(IF(BX$7:BX$336&lt;&gt;"",ROW(BX$7:BX$336)-ROW(BX$7)+1),ROWS(BX$7:BX62))),"")</f>
        <v/>
      </c>
      <c r="W63" s="4" t="str">
        <f t="array" ref="W63">IFERROR(INDEX(BY$7:BY$336,SMALL(IF(BY$7:BY$336&lt;&gt;"",ROW(BY$7:BY$336)-ROW(BY$7)+1),ROWS(BY$7:BY62))),"")</f>
        <v/>
      </c>
      <c r="X63" s="4" t="str">
        <f t="array" ref="X63">IFERROR(INDEX(BZ$7:BZ$336,SMALL(IF(BZ$7:BZ$336&lt;&gt;"",ROW(BZ$7:BZ$336)-ROW(BZ$7)+1),ROWS(BZ$7:BZ62))),"")</f>
        <v/>
      </c>
      <c r="Y63" s="4" t="str">
        <f t="array" ref="Y63">IFERROR(INDEX(CA$7:CA$336,SMALL(IF(CA$7:CA$336&lt;&gt;"",ROW(CA$7:CA$336)-ROW(CA$7)+1),ROWS(CA$7:CA62))),"")</f>
        <v/>
      </c>
      <c r="Z63" s="4" t="str">
        <f t="array" ref="Z63">IFERROR(INDEX(CB$7:CB$378,SMALL(IF(CB$7:CB$378&lt;&gt;"",ROW(CB$7:CB$378)-ROW(CB$7)+1),ROWS(CB$7:CB62))),"")</f>
        <v/>
      </c>
      <c r="AA63" s="4" t="str">
        <f t="array" ref="AA63">IFERROR(INDEX(CC$7:CC$378,SMALL(IF(CC$7:CC$378&lt;&gt;"",ROW(CC$7:CC$378)-ROW(CC$7)+1),ROWS(CC$7:CC62))),"")</f>
        <v/>
      </c>
      <c r="AB63" s="4" t="str">
        <f t="array" ref="AB63">IFERROR(INDEX(CD$7:CD$378,SMALL(IF(CD$7:CD$378&lt;&gt;"",ROW(CD$7:CD$378)-ROW(CD$7)+1),ROWS(CD$7:CD62))),"")</f>
        <v/>
      </c>
      <c r="AC63" s="4" t="str">
        <f t="array" ref="AC63">IFERROR(INDEX(CE$7:CE$378,SMALL(IF(CE$7:CE$378&lt;&gt;"",ROW(CE$7:CE$378)-ROW(CE$7)+1),ROWS(CE$7:CE62))),"")</f>
        <v/>
      </c>
      <c r="AD63" s="4"/>
      <c r="AE63" s="4"/>
      <c r="AF63" s="4"/>
      <c r="AG63" s="4"/>
      <c r="AH63" s="4"/>
      <c r="AI63" s="4"/>
      <c r="AJ63" s="46" t="str">
        <f>IF(Atletas!D59="","",IF(Atletas!B59="Feminino",100,IF(Atletas!B59="Masculino",200,""))+(IF(Atletas!D59="Infantil 39kg",1,IF(Atletas!D59="Infantil 42kg",2,IF(Atletas!D59="Infantil 45kg",3,IF(Atletas!D59="Infantil 48kg",4,IF(Atletas!D59="Infantil 52kg",5,IF(Atletas!D59="Infantil 56kg",6,IF(Atletas!D59="Infantil 60kg",7,IF(Atletas!D59="Juvenil 48kg",8,IF(Atletas!D59="Juvenil 52kg",9,IF(Atletas!D59="Juvenil 56kg",10,IF(Atletas!D59="Juvenil 60kg",11,IF(Atletas!D59="Juvenil 65kg",12,IF(Atletas!D59="Juvenil 70kg",13,IF(Atletas!D59="Juvenil 75kg",14,IF(Atletas!D59="Juvenil 80kg",15,IF(Atletas!D59="Adulto 48kg",16,IF(Atletas!D59="Adulto 52kg",17,IF(Atletas!D59="Adulto 56kg",18,IF(Atletas!D59="Adulto 60kg",19,IF(Atletas!D59="Adulto 65kg",20,IF(Atletas!D59="Adulto 70kg",21,IF(Atletas!D59="Adulto 75kg",22,IF(Atletas!D59="Adulto 80kg",23,IF(Atletas!D59="Adulto 85kg",24,IF(Atletas!D59="Adulto 90kg",25,IF(Atletas!D59="Adulto +90kg",26,""))))))))))))))))))))))))))))</f>
        <v/>
      </c>
      <c r="AO63" s="10" t="str">
        <f>IF(Atletas!E59="","",IF(Atletas!B59="Feminino",100,IF(Atletas!B59="Masculino",200,""))+(IF(Atletas!E59="Juvenil 44kg",1,IF(Atletas!E59="Juvenil 48kg",2,IF(Atletas!E59="Juvenil 52kg",3,IF(Atletas!E59="Juvenil 56kg",4,IF(Atletas!E59="Juvenil 60kg",5,IF(Atletas!E59="Juvenil 65kg",6,IF(Atletas!E59="Juvenil 70kg",7,IF(Atletas!E59="Juvenil 75kg",8,IF(Atletas!E59="Juvenil 82kg",9,IF(Atletas!E59="Juvenil 90kg",10,IF(Atletas!E59="Juvenil 100kg",11,IF(Atletas!E59="Adulto 48kg",12,IF(Atletas!E59="Adulto 52kg",13,IF(Atletas!E59="Adulto 56kg",14,IF(Atletas!E59="Adulto 60kg",15,IF(Atletas!E59="Adulto 65kg",16,IF(Atletas!E59="Adulto 70kg",17,IF(Atletas!E59="Adulto 75kg",18,IF(Atletas!E59="Adulto 82kg",19,IF(Atletas!E59="Adulto 90kg",20,IF(Atletas!E59="Adulto 100kg",21,IF(Atletas!E59="Adulto +100kg",22,""))))))))))))))))))))))))</f>
        <v/>
      </c>
      <c r="AT63" s="10" t="str">
        <f>IF(Atletas!F59="","",IF(Atletas!B59="Feminino",100,IF(Atletas!B59="Masculino",200,""))+(IF(Atletas!F59="Adulto 48kg",1,IF(Atletas!F59="Adulto 56kg",2,IF(Atletas!F59="Adulto 65kg",3,IF(Atletas!F59="Adulto 75kg",4,IF(Atletas!F59="Adulto +75kg",5,IF(Atletas!F59="Adulto 52kg",6,IF(Atletas!F59="Adulto 60kg",7,IF(Atletas!F59="Adulto 70kg",8,IF(Atletas!F59="Adulto 80kg",9,IF(Atletas!F59="Adulto 90kg",10,IF(Atletas!F59="Adulto +90kg",11,"")))))))))))))</f>
        <v/>
      </c>
      <c r="AY63" s="46" t="str">
        <f>IF(Atletas!G59="","",IF(Atletas!B59="Feminino",100,IF(Atletas!B59="Masculino",200,""))+(IF(Atletas!G59="Changquan Mirim",1,IF(Atletas!G59="Nanquan Mirim",2,IF(Atletas!G59="Taijiquan Mirim",3,IF(Atletas!G59="Changquan Grupo C",4,IF(Atletas!G59="Nanquan Grupo C",5,IF(Atletas!G59="Taijiquan Grupo C",6,IF(Atletas!G59="Changquan Grupo B",7,IF(Atletas!G59="Nanquan Grupo B",8,IF(Atletas!G59="Taijiquan Grupo B",9,IF(Atletas!G59="Changquan Grupo A",10,IF(Atletas!G59="Nanquan Grupo A",11,IF(Atletas!G59="Taijiquan Grupo A",12,IF(Atletas!G59="Changquan Opcional",13,IF(Atletas!G59="Nanquan Opcional",14,IF(Atletas!G59="Taijiquan Opcional",15,IF(Atletas!G59="Changquan Adulto",16,IF(Atletas!G59="Nanquan Adulto",17,IF(Atletas!G59="Taijiquan Adulto",18,""))))))))))))))))))))</f>
        <v/>
      </c>
      <c r="AZ63" s="46" t="str">
        <f>IF(Atletas!H59="","",IF(Atletas!B59="Feminino",100,IF(Atletas!B59="Masculino",200,""))+(IF(Atletas!H59="Daoshu Mirim",19,IF(Atletas!H59="Jianshu Mirim",20,IF(Atletas!H59="Nandao Mirim",21,IF(Atletas!H59="Taijijian Mirim",22,IF(Atletas!H59="Daoshu Grupo C",23,IF(Atletas!H59="Jianshu Grupo C",24,IF(Atletas!H59="Nandao Grupo C",25,IF(Atletas!H59="Taijijian Grupo C",26,IF(Atletas!H59="Daoshu Grupo B",27,IF(Atletas!H59="Jianshu Grupo B",28,IF(Atletas!H59="Nandao Grupo B",29,IF(Atletas!H59="Taijijian Grupo B",30,IF(Atletas!H59="Daoshu Grupo A",31,IF(Atletas!H59="Jianshu Grupo A",32,IF(Atletas!H59="Nandao Grupo A",33,IF(Atletas!H59="Taijijian Grupo A",34,IF(Atletas!H59="Daoshu Opcional",35,IF(Atletas!H59="Jianshu Opcional",36,IF(Atletas!H59="Nandao Opcional",37,IF(Atletas!H59="Taijijian Opcional",38,IF(Atletas!H59="Daoshu Adulto",39,IF(Atletas!H59="Jianshu Adulto",40,IF(Atletas!H59="Nandao Adulto",41,IF(Atletas!H59="Taijijian Adulto",42,""))))))))))))))))))))))))))</f>
        <v/>
      </c>
      <c r="BA63" s="46" t="str">
        <f>IF(Atletas!I59="","",IF(Atletas!B59="Feminino",100,IF(Atletas!B59="Masculino",200,""))+(IF(Atletas!I59="Gunshu Mirim",43,IF(Atletas!I59="Qiangshu Mirim",44,IF(Atletas!I59="Nangun Mirim",45,IF(Atletas!I59="Gunshu Grupo C",46,IF(Atletas!I59="Qiangshu Grupo C",47,IF(Atletas!I59="Nangun Grupo C",48,IF(Atletas!I59="Gunshu Grupo B",49,IF(Atletas!I59="Qiangshu Grupo B",50,IF(Atletas!I59="Nangun Grupo B",51,IF(Atletas!I59="Gunshu Grupo A",52,IF(Atletas!I59="Qiangshu Grupo A",53,IF(Atletas!I59="Nangun Grupo A",54,IF(Atletas!I59="Gunshu Opcional",55,IF(Atletas!I59="Qiangshu Opcional",56,IF(Atletas!I59="Nangun Opcional",57,IF(Atletas!I59="Gunshu Adulto",58,IF(Atletas!I59="Qiangshu Adulto",59,IF(Atletas!I59="Nangun Adulto",60,""))))))))))))))))))))</f>
        <v/>
      </c>
      <c r="BB63" s="10" t="str">
        <f>IF(BC63&lt;&gt;"","Taijijian Adulto","")</f>
        <v/>
      </c>
      <c r="BC63" s="52" t="str">
        <f>IF(COUNTIF(AY:BA,142)&gt;0,COUNTIF(AY:BA,142),"")</f>
        <v/>
      </c>
      <c r="BD63" s="10" t="str">
        <f>IF(BE63&lt;&gt;"","Taijijian Adulto","")</f>
        <v/>
      </c>
      <c r="BE63" s="52" t="str">
        <f>IF(COUNTIF(AY:BA,242)&gt;0,COUNTIF(AY:BA,242),"")</f>
        <v/>
      </c>
      <c r="BF63" s="52" t="str">
        <f>IF(Atletas!J59="","",IF(Atletas!B59="Feminino",100,IF(Atletas!B59="Masculino",200,""))+(IF(Atletas!J59="Equipe 1 Grupo B",1,IF(Atletas!J59="Equipe 2 Grupo B",2,IF(Atletas!J59="Equipe 1 Grupo A",3,IF(Atletas!J59="Equipe 2 Grupo A",4,IF(Atletas!J59="Equipe 1 Adulto",5,IF(Atletas!J59="Equipe 2 Adulto",6,""))))))))</f>
        <v/>
      </c>
      <c r="BK63" s="52" t="str">
        <f>IF(Atletas!K59="","",IF(Atletas!W59&lt;&gt;"",10000,0)+(IF(Atletas!B59="Feminino",1000,IF(Atletas!B59="Masculino",2000,""))+IF(Atletas!K59="Choylayfut A",1,IF(Atletas!K59="Hunggar A",2,IF(Atletas!K59="Wuzuquan A",3,IF(Atletas!K59="Wingchun A",4,IF(Atletas!K59="Outra Mão de Sul A",5,IF(Atletas!K59="Choylayfut B",6,IF(Atletas!K59="Hunggar B",7,IF(Atletas!K59="Wuzuquan B",8,IF(Atletas!K59="Wingchun B",9,IF(Atletas!K59="Outra Mão de Sul B",10,IF(Atletas!K59="Choylayfut C",11,IF(Atletas!K59="Hunggar C",12,IF(Atletas!K59="Wuzuquan C",13,IF(Atletas!K59="Wingchun C",14,IF(Atletas!K59="Outra Mão de Sul C",15,IF(Atletas!K59="Choylayfut D",16,IF(Atletas!K59="Hunggar D",17,IF(Atletas!K59="Wuzuquan D",18,IF(Atletas!K59="Wingchun D",19,IF(Atletas!K59="Outra Mão de Sul D",20,IF(Atletas!K59="Choylayfut E",21,IF(Atletas!K59="Hunggar E",22,IF(Atletas!K59="Wuzuquan E",23,IF(Atletas!K59="Wingchun E",24,IF(Atletas!K59="Outra Mão de Sul E",25,IF(Atletas!K59="Choylayfut F",26,IF(Atletas!K59="Hunggar F",27,IF(Atletas!K59="Wuzuquan F",28,IF(Atletas!K59="Wingchun F",29,IF(Atletas!K59="Outra Mão de Sul F",30,""))))))))))))))))))))))))))))))))</f>
        <v/>
      </c>
      <c r="BL63" s="52" t="str">
        <f>IF(Atletas!L59="","",IF(Atletas!W59&lt;&gt;"",10000,0)+(IF(Atletas!B59="Feminino",1000,IF(Atletas!B59="Masculino",2000,""))+(IF(Atletas!L59="Chaquan A",101,IF(Atletas!L59="Emeiquan A",102,IF(Atletas!L59="Fanziquan A",103,IF(Atletas!L59="Huaquan A",104,IF(Atletas!L59="Hongquan A",105,IF(Atletas!L59="Paochui A",106,IF(Atletas!L59="Piguaquan A",107,IF(Atletas!L59="Shaolinquan A",108,IF(Atletas!L59="Tanglangquan A",109,IF(Atletas!L59="Yinzhaophai A",110,IF(Atletas!L59="Tongbeiquan A",111,IF(Atletas!L59="Wudangquan A",112,IF(Atletas!L59="Outros Estilos A",113,IF(Atletas!L59="Chaquan B",114,IF(Atletas!L59="Emeiquan B",115,IF(Atletas!L59="Fanziquan B",116,IF(Atletas!L59="Huaquan B",117,IF(Atletas!L59="Hongquan B",118,IF(Atletas!L59="Paochui B",119,IF(Atletas!L59="Piguaquan B",120,IF(Atletas!L59="Shaolinquan B",121,IF(Atletas!L59="Tanglangquan B",122,IF(Atletas!L59="Yinzhaophai B",123,IF(Atletas!L59="Tongbeiquan B",124,IF(Atletas!L59="Wudangquan B",125,IF(Atletas!L59="Outros Estilos B",126,IF(Atletas!L59="Chaquan C",127,IF(Atletas!L59="Emeiquan C",128,IF(Atletas!L59="Fanziquan C",129,IF(Atletas!L59="Huaquan C",130,IF(Atletas!L59="Hongquan C",131,IF(Atletas!L59="Paochui C",132,IF(Atletas!L59="Piguaquan C",133,IF(Atletas!L59="Shaolinquan C",134,IF(Atletas!L59="Tanglangquan C",135,IF(Atletas!L59="Yinzhaophai C",136,IF(Atletas!L59="Tongbeiquan C",137,IF(Atletas!L59="Wudangquan C",138,IF(Atletas!L59="Outros Estilos C",139,0))))))))))))))))))))))))))))))))))))))))))</f>
        <v/>
      </c>
      <c r="BM63" s="52" t="str">
        <f>IF(Atletas!L59="","",IF(Atletas!W59&lt;&gt;"",10000,0)+(IF(Atletas!B59="Feminino",1000,IF(Atletas!B59="Masculino",2000,""))+(IF(Atletas!L59="Chaquan D",140,IF(Atletas!L59="Emeiquan D",141,IF(Atletas!L59="Fanziquan D",142,IF(Atletas!L59="Huaquan D",143,IF(Atletas!L59="Hongquan D",144,IF(Atletas!L59="Paochui D",145,IF(Atletas!L59="Piguaquan D",146,IF(Atletas!L59="Shaolinquan D",147,IF(Atletas!L59="Tanglangquan D",148,IF(Atletas!L59="Yinzhaophai D",149,IF(Atletas!L59="Tongbeiquan D",150,IF(Atletas!L59="Wudangquan D",151,IF(Atletas!L59="Outros Estilos D",152,IF(Atletas!L59="Chaquan E",153,IF(Atletas!L59="Emeiquan E",154,IF(Atletas!L59="Fanziquan E",155,IF(Atletas!L59="Huaquan E",156,IF(Atletas!L59="Hongquan E",157,IF(Atletas!L59="Paochui E",158,IF(Atletas!L59="Piguaquan E",159,IF(Atletas!L59="Shaolinquan E",160,IF(Atletas!L59="Tanglangquan E",161,IF(Atletas!L59="Yinzhaophai E",162,IF(Atletas!L59="Tongbeiquan E",163,IF(Atletas!L59="Wudangquan E",164,IF(Atletas!L59="Outros Estilos E",165,IF(Atletas!L59="Chaquan F",166,IF(Atletas!L59="Emeiquan F",167,IF(Atletas!L59="Fanziquan F",168,IF(Atletas!L59="Huaquan F",169,IF(Atletas!L59="Hongquan F",170,IF(Atletas!L59="Paochui F",171,IF(Atletas!L59="Piguaquan F",172,IF(Atletas!L59="Shaolinquan F",173,IF(Atletas!L59="Tanglangquan F",174,IF(Atletas!L59="Yinzhaophai F",175,IF(Atletas!L59="Tongbeiquan F",176,IF(Atletas!L59="Wudangquan F",177,IF(Atletas!L59="Outros Estilos F",178,0))))))))))))))))))))))))))))))))))))))))))</f>
        <v/>
      </c>
      <c r="BN63" s="52" t="str">
        <f>IF(Atletas!M59="","",IF(Atletas!W59&lt;&gt;"",10000,0)+(IF(Atletas!B59="Feminino",1000,IF(Atletas!B59="Masculino",2000,""))+(IF(Atletas!M59="Ditangquan A",201,IF(Atletas!M59="Houquan A",202,IF(Atletas!M59="Zuiquan A",203,IF(Atletas!M59="Ditangquan B",204,IF(Atletas!M59="Houquan B",205,IF(Atletas!M59="Zuiquan B",206,IF(Atletas!M59="Ditangquan C",207,IF(Atletas!M59="Houquan C",208,IF(Atletas!M59="Zuiquan C",209,IF(Atletas!M59="Ditangquan D",210,IF(Atletas!M59="Houquan D",211,IF(Atletas!M59="Zuiquan D",212,IF(Atletas!M59="Ditangquan E",213,IF(Atletas!M59="Houquan E",214,IF(Atletas!M59="Zuiquan E",215,IF(Atletas!M59="Ditangquan F",216,IF(Atletas!M59="Houquan F",217,IF(Atletas!M59="Zuiquan F",218,"")))))))))))))))))))))</f>
        <v/>
      </c>
      <c r="BO63" s="52" t="str">
        <f>IF(Atletas!N59="","",IF(Atletas!W59&lt;&gt;"",10000,0)+IF(Atletas!B59="Feminino",1000,IF(Atletas!B59="Masculino",2000,""))+IF(Atletas!N59="Yang A",301,IF(Atletas!N59="Chen A",30,IF(Atletas!N59="Sun A",303,IF(Atletas!N59="Wu A",304,IF(Atletas!N59="Wu-Hao A",305,IF(Atletas!N59="Outro Taijiquan A",306,IF(Atletas!N59="Yang B",307,IF(Atletas!N59="Chen B",308,IF(Atletas!N59="Sun B",309,IF(Atletas!N59="Wu B",310,IF(Atletas!N59="Wu-Hao B",311,IF(Atletas!N59="Outro Taijiquan B",312,IF(Atletas!N59="Yang C",313,IF(Atletas!N59="Chen C",314,IF(Atletas!N59="Sun C",315,IF(Atletas!N59="Wu C",316,IF(Atletas!N59="Wu-Hao C",317,IF(Atletas!N59="Outro Taijiquan C",318,IF(Atletas!N59="Yang D",319,IF(Atletas!N59="Chen D",320,IF(Atletas!N59="Sun D",321,IF(Atletas!N59="Wu D",322,IF(Atletas!N59="Wu-Hao D",323,IF(Atletas!N59="Outro Taijiquan D",324,IF(Atletas!N59="Yang E",325,IF(Atletas!N59="Chen E",326,IF(Atletas!N59="Sun E",327,IF(Atletas!N59="Wu E",328,IF(Atletas!N59="Wu-Hao E",329,IF(Atletas!N59="Outro Taijiquan E",330,IF(Atletas!N59="Yang F",331,IF(Atletas!N59="Chen F",332,IF(Atletas!N59="Sun F",333,IF(Atletas!N59="Wu F",334,IF(Atletas!N59="Wu-Hao F",335,IF(Atletas!N59="Outro Taijiquan F",336,"")))))))))))))))))))))))))))))))))))))</f>
        <v/>
      </c>
      <c r="BP63" s="52" t="str">
        <f>IF(Atletas!O59="","",IF(Atletas!W59&lt;&gt;"",10000,0)+IF(Atletas!B59="Feminino",1000,IF(Atletas!B59="Masculino",2000,""))+IF(OR(Atletas!O59="Yang 26 A",Atletas!O59="Yang 40 A"),401,IF(OR(Atletas!O59="Chen 25 A",Atletas!O59="Chen 36 A",Atletas!O59="Chen 56 A"),402,IF(Atletas!O59="Sun 73 A",403,IF(Atletas!O59="Wu 45 A",404,IF(Atletas!O59="Wu-Hao 46 A",405,IF(OR(Atletas!O59="Taijiquan 16 A",Atletas!O59="Taijiquan 24 A",Atletas!O59="Taijiquan 32 A",Atletas!O59="Taijiquan 42 A"),406,IF(OR(Atletas!O59="Yang 26 B",Atletas!O59="Yang 40 B"),407,IF(OR(Atletas!O59="Chen 25 B",Atletas!O59="Chen 36 B",Atletas!O59="Chen 56 B"),408,IF(Atletas!O59="Sun 73 B",409,IF(Atletas!O59="Wu 45 B",410,IF(Atletas!O59="Wu-Hao 46 B",411,IF(OR(Atletas!O59="Taijiquan 16 B",Atletas!O59="Taijiquan 24 B",Atletas!O59="Taijiquan 32 B",Atletas!O59="Taijiquan 42 B"),412,IF(OR(Atletas!O59="Yang 26 C",Atletas!O59="Yang 40 C"),413,IF(OR(Atletas!O59="Chen 25 C",Atletas!O59="Chen 36 C",Atletas!O59="Chen 56 C"),414,IF(Atletas!O59="Sun 73 C",415,IF(Atletas!O59="Wu 45 C",416,IF(Atletas!O59="Wu-Hao 46 C",417,IF(OR(Atletas!O59="Taijiquan 16 C",Atletas!O59="Taijiquan 24 C",Atletas!O59="Taijiquan 32 C",Atletas!O59="Taijiquan 42 C"),418,0)))))))))))))))))))</f>
        <v/>
      </c>
      <c r="BQ63" s="52" t="str">
        <f>IF(Atletas!O59="","",IF(Atletas!W59&lt;&gt;"",10000,0)+IF(Atletas!B59="Feminino",1000,IF(Atletas!B59="Masculino",2000,""))+IF(OR(Atletas!O59="Yang 26 D",Atletas!O59="Yang 40 D"),419,IF(OR(Atletas!O59="Chen 25 D",Atletas!O59="Chen 36 D",Atletas!O59="Chen 56 D"),420,IF(Atletas!O59="Sun 73 D",421,IF(Atletas!O59="Wu 45 D",422,IF(Atletas!O59="Wu-Hao 46 D",423,IF(OR(Atletas!O59="Taijiquan 16 D",Atletas!O59="Taijiquan 24 D",Atletas!O59="Taijiquan 32 D",Atletas!O59="Taijiquan 42 D"),424,IF(OR(Atletas!O59="Yang 26 E",Atletas!O59="Yang 40 E"),425,IF(OR(Atletas!O59="Chen 25 E",Atletas!O59="Chen 36 E",Atletas!O59="Chen 56 E"),426,IF(Atletas!O59="Sun 73 E",427,IF(Atletas!O59="Wu 45 E",428,IF(Atletas!O59="Wu-Hao 46 E",429,IF(OR(Atletas!O59="Taijiquan 16 E",Atletas!O59="Taijiquan 24 E",Atletas!O59="Taijiquan 32 E",Atletas!O59="Taijiquan 42 E"),430,IF(OR(Atletas!O59="Yang 26 F",Atletas!O59="Yang 40 F"),431,IF(OR(Atletas!O59="Chen 25 F",Atletas!O59="Chen 36 F",Atletas!O59="Chen 56 F"),432,IF(Atletas!O59="Sun 73 F",433,IF(Atletas!O59="Wu 45 F",434,IF(Atletas!O59="Wu-Hao 46 F",435,IF(OR(Atletas!O59="Taijiquan 16 F",Atletas!O59="Taijiquan 24 F",Atletas!O59="Taijiquan 32 F",Atletas!O59="Taijiquan 42 F"),436,0)))))))))))))))))))</f>
        <v/>
      </c>
      <c r="BR63" s="52" t="str">
        <f>IF(Atletas!P59="","",IF(Atletas!W59&lt;&gt;"",10000,0)+IF(Atletas!B59="Feminino",1000,IF(Atletas!B59="Masculino",2000,""))+IF(Atletas!P59="Xingyiquan A",501,IF(Atletas!P59="Baguazhang A",502,IF(Atletas!P59="Outro Estilo Interno A",503,IF(Atletas!P59="Xingyiquan B",504,IF(Atletas!P59="Baguazhang B",505,IF(Atletas!P59="Outro Estilo Interno B",506,IF(Atletas!P59="Xingyiquan C",507,IF(Atletas!P59="Baguazhang C",508,IF(Atletas!P59="Outro Estilo Interno C",509,IF(Atletas!P59="Xingyiquan D",510,IF(Atletas!P59="Baguazhang D",511,IF(Atletas!P59="Outro Estilo Interno D",512,IF(Atletas!P59="Xingyiquan E",513,IF(Atletas!P59="Baguazhang E",514,IF(Atletas!P59="Outro Estilo Interno E",515,IF(Atletas!P59="Xingyiquan F",516,IF(Atletas!P59="Baguazhang F",517,IF(Atletas!P59="Outro Estilo Interno F",518, "")))))))))))))))))))</f>
        <v/>
      </c>
      <c r="BS63" s="52" t="str">
        <f>IF(Atletas!Q59="","",IF(Atletas!W59&lt;&gt;"",10000,0)+IF(Atletas!B59="Feminino",1000,IF(Atletas!B59="Masculino",2000,""))+IF(Atletas!Q59="Dao A",601,IF(Atletas!Q59="Jian A",602,IF(Atletas!Q59="Bishou A",603,IF(Atletas!Q59="Shan A",604,IF(Atletas!Q59="Outra Arma Curta A",605,IF(Atletas!Q59="Dao B",606,IF(Atletas!Q59="Jian B",607,IF(Atletas!Q59="Bishou B",608,IF(Atletas!Q59="Shan B",609,IF(Atletas!Q59="Outra Arma Curta B",610,IF(Atletas!Q59="Dao C",611,IF(Atletas!Q59="Jian C",612,IF(Atletas!Q59="Bishou C",613,IF(Atletas!Q59="Shan C",614,IF(Atletas!Q59="Outra Arma Curta C",615,IF(Atletas!Q59="Dao D",616,IF(Atletas!Q59="Jian D",617,IF(Atletas!Q59="Bishou D",618,IF(Atletas!Q59="Shan D",619,IF(Atletas!Q59="Outra Arma Curta D",620,IF(Atletas!Q59="Dao E",621,IF(Atletas!Q59="Jian E",622,IF(Atletas!Q59="Bishou E",623,IF(Atletas!Q59="Shan E",624,IF(Atletas!Q59="Outra Arma Curta E",625,IF(Atletas!Q59="Dao F",626,IF(Atletas!Q59="Jian F",627,IF(Atletas!Q59="Bishou F",628,IF(Atletas!Q59="Shan F",629,IF(Atletas!Q59="Outra Arma Curta F",630, "")))))))))))))))))))))))))))))))</f>
        <v/>
      </c>
      <c r="BT63" s="52" t="str">
        <f>IF(Atletas!R59="","",IF(Atletas!W59&lt;&gt;"",10000,0)+IF(Atletas!B59="Feminino",1000,IF(Atletas!B59="Masculino",2000,""))+IF(Atletas!R59="Gun A",701,IF(Atletas!R59="Qiang A",702,IF(Atletas!R59="Pudao / Guandao A",703,IF(Atletas!R59="Outra Arma Longa A",704,IF(Atletas!R59="Gun B",705,IF(Atletas!R59="Qiang B",706,IF(Atletas!R59="Pudao / Guandao B",707,IF(Atletas!R59="Outra Arma Longa B",708,IF(Atletas!R59="Gun C",709,IF(Atletas!R59="Qiang C",710,IF(Atletas!R59="Pudao / Guandao C",711,IF(Atletas!R59="Outra Arma Longa C",712,IF(Atletas!R59="Gun D",713,IF(Atletas!R59="Qiang D",714,IF(Atletas!R59="Pudao / Guandao D",715,IF(Atletas!R59="Outra Arma Longa D",716,IF(Atletas!R59="Gun E",717,IF(Atletas!R59="Qiang E",718,IF(Atletas!R59="Pudao / Guandao E",719,IF(Atletas!R59="Outra Arma Longa E",720,IF(Atletas!R59="Gun F",721,IF(Atletas!R59="Qiang F",722,IF(Atletas!R59="Pudao / Guandao F",723,IF(Atletas!R59="Outra Arma Longa F",724,"")))))))))))))))))))))))))</f>
        <v/>
      </c>
      <c r="BU63" s="52" t="str">
        <f>IF(Atletas!S59="","",IF(Atletas!W59&lt;&gt;"",10000,0)+IF(Atletas!B59="Feminino",1000,IF(Atletas!B59="Masculino",2000,""))+IF(Atletas!S59="Arma Dupla A",801,IF(Atletas!S59="Arma Maleável A",802,IF(Atletas!S59="Arma Dupla B",803,IF(Atletas!S59="Arma Maleável B",804,IF(Atletas!S59="Arma Dupla C",805,IF(Atletas!S59="Arma Maleável C",806,IF(Atletas!S59="Arma Dupla D",807,IF(Atletas!S59="Arma Maleável D",808,IF(Atletas!S59="Arma Dupla E",809,IF(Atletas!S59="Arma Maleável E",810,IF(Atletas!S59="Arma Dupla F",811,IF(Atletas!S59="Arma Maleável F",812, "")))))))))))))</f>
        <v/>
      </c>
      <c r="BV63" s="52" t="str">
        <f>IF(Atletas!T59="","",IF(Atletas!W59&lt;&gt;"",10000,0)+IF(Atletas!B59="Feminino",1000,IF(Atletas!B59="Masculino",2000,""))+IF(Atletas!T59="Taijijian Yang A",901,IF(Atletas!T59="Taijijian Chen A",902,IF(Atletas!T59="Taijijian Sun A",903,IF(Atletas!T59="Taijijian Wu A",904,IF(Atletas!T59="Taijijian Wu-Hao A",905,IF(Atletas!T59="Taijijian 32 A",906,IF(Atletas!T59="Taijijian 42 A",907,IF(Atletas!T59="Taijijian Yang B",908,IF(Atletas!T59="Taijijian Chen B",909,IF(Atletas!T59="Taijijian Sun B",910,IF(Atletas!T59="Taijijian Wu B",911,IF(Atletas!T59="Taijijian Wu-Hao B",912,IF(Atletas!T59="Taijijian 32 B",913,IF(Atletas!T59="Taijijian 42 B",914,IF(Atletas!T59="Taijijian Yang C",915,IF(Atletas!T59="Taijijian Chen C",916,IF(Atletas!T59="Taijijian Sun C",917,IF(Atletas!T59="Taijijian Wu C",918,IF(Atletas!T59="Taijijian Wu-Hao C",919,IF(Atletas!T59="Taijijian 32 C",920,IF(Atletas!T59="Taijijian 42 C",921,IF(Atletas!T59="Taijijian Yang D",922,IF(Atletas!T59="Taijijian Chen D",923,IF(Atletas!T59="Taijijian Sun D",924,IF(Atletas!T59="Taijijian Wu D",925,IF(Atletas!T59="Taijijian Wu-Hao D",926,IF(Atletas!T59="Taijijian 32 D",927,IF(Atletas!T59="Taijijian 42 D",928,IF(Atletas!T59="Taijijian Yang E",929,IF(Atletas!T59="Taijijian Chen E",930,IF(Atletas!T59="Taijijian Sun E",931,IF(Atletas!T59="Taijijian Wu E",932,IF(Atletas!T59="Taijijian Wu-Hao E",933,IF(Atletas!T59="Taijijian 32 E",934,IF(Atletas!T59="Taijijian 42 E",935,IF(Atletas!T59="Taijijian Yang F",936,IF(Atletas!T59="Taijijian Chen F",937,IF(Atletas!T59="Taijijian Sun F",938,IF(Atletas!T59="Taijijian Wu F",939,IF(Atletas!T59="Taijijian Wu-Hao F",940,IF(Atletas!T59="Taijijian 32 F",941,IF(Atletas!T59="Taijijian 42 F",942,"")))))))))))))))))))))))))))))))))))))))))))</f>
        <v/>
      </c>
      <c r="BW63" s="52" t="str">
        <f>IF(Atletas!U59="","",IF(Atletas!W59&lt;&gt;"",10000,0)+IF(Atletas!B59="Feminino",1000,IF(Atletas!B59="Masculino",2000,""))+IF(Atletas!T59="Taijijian 42 F",942,IF(Atletas!U59="Taijidao A",943,IF(Atletas!U59="Taijishan A",944,IF(Atletas!U59="Taijiqiang A",945,IF(Atletas!U59="Taijidao B",946,IF(Atletas!U59="Taijishan B",947,IF(Atletas!U59="Taijiqiang B",948,IF(Atletas!U59="Taijidao C",949,IF(Atletas!U59="Taijishan C",950,IF(Atletas!U59="Taijiqiang C",951,IF(Atletas!U59="Taijidao D",952,IF(Atletas!U59="Taijishan D",953,IF(Atletas!U59="Taijiqiang D",954,IF(Atletas!U59="Taijidao E",955,IF(Atletas!U59="Taijishan E",956,IF(Atletas!U59="Taijiqiang E",957,IF(Atletas!U59="Taijidao F",958,IF(Atletas!U59="Taijishan F",959,IF(Atletas!U59="Taijiqiang F",960))))))))))))))))))))</f>
        <v/>
      </c>
      <c r="BX63" s="64" t="str">
        <f>IF(BY63&lt;&gt;"","Chaquan C","")</f>
        <v/>
      </c>
      <c r="BY63" s="64" t="str">
        <f>IF(COUNTIF(BK:BW,1127)&gt;0,COUNTIF(BK:BW,1127),"")</f>
        <v/>
      </c>
      <c r="BZ63" s="64" t="str">
        <f>IF(CA63&lt;&gt;"","Chaquan C","")</f>
        <v/>
      </c>
      <c r="CA63" s="64" t="str">
        <f>IF(COUNTIF(BK:BW,2127)&gt;0,COUNTIF(BK:BW,2127),"")</f>
        <v/>
      </c>
      <c r="CB63" s="64" t="str">
        <f>IF(CC63&lt;&gt;"","Chaquan C","")</f>
        <v/>
      </c>
      <c r="CC63" s="64" t="str">
        <f>IF(COUNTIF(BK:BW,11127)&gt;0,COUNTIF(BK:BW,11127),"")</f>
        <v/>
      </c>
      <c r="CD63" s="64" t="str">
        <f>IF(CE63&lt;&gt;"","Chaquan C","")</f>
        <v/>
      </c>
      <c r="CE63" s="64" t="str">
        <f>IF(COUNTIF(BK:BW,12127)&gt;0,COUNTIF(BK:BW,12127),"")</f>
        <v/>
      </c>
      <c r="CF63" s="52" t="str">
        <f xml:space="preserve"> IF(Atletas!V59="","",IF(Atletas!V59="Duilian de Mãos AB - Equipe 1",1,IF(Atletas!V59="Duilian de Mãos AB - Equipe 2",2,IF(Atletas!V59="Duilian de Armas AB - Equipe 1",3,IF(Atletas!V59="Duilian de Armas AB - Equipe 2",4,IF(Atletas!V59="Duilian de Tuishou - Equipe 1",5,IF(Atletas!V59="Duilian de Tuishou - Equipe 2",6,IF(Atletas!V59="Grupo Externo AB - Equipe 1",7,IF(Atletas!V59="Grupo Externo AB - Equipe 2",8,IF(Atletas!V59="Grupo Interno AB - Equipe 1",9,IF(Atletas!V59="Grupo Interno AB - Equipe 2",10,IF(Atletas!V59="Duilian de Mãos CD - Equipe 1",11,IF(Atletas!V59="Duilian de Mãos CD - Equipe 2",12,IF(Atletas!V59="Duilian de Armas CD - Equipe 1",13,IF(Atletas!V59="Duilian de Armas CD - Equipe 2",14,IF(Atletas!V59="Duilian de Tuishou - Equipe 1",15,IF(Atletas!V59="Duilian de Tuishou - Equipe 2",16,IF(Atletas!V59="Grupo Externo CDEF - Equipe 1",17,IF(Atletas!V59="Grupo Externo CDEF - Equipe 2",18,IF(Atletas!V59="Grupo Interno CDEF - Equipe 1",19,IF(Atletas!V59="Grupo Interno CDEF - Equipe 2",20,IF(Atletas!V59="Duilian de Mãos EF - Equipe 1",21,IF(Atletas!V59="Duilian de Mãos EF - Equipe 2",22,IF(Atletas!V59="Duilian de Armas EF - Equipe 1",23,IF(Atletas!V59="Duilian de Armas EF - Equipe 2",24,IF(Atletas!V59="Duilian de Tuishou - Equipe 1",25,IF(Atletas!V59="Duilian de Tuishou - Equipe 2",26,"")))))))))))))))))))))))))))</f>
        <v/>
      </c>
      <c r="CR63" s="71"/>
    </row>
    <row r="64" spans="2:96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 t="str">
        <f t="array" ref="N64">IFERROR(INDEX(BB$7:BB$66,SMALL(IF(BB$7:BB$66&lt;&gt;"",ROW(BB$7:BB$66)-ROW(BB$7)+1),ROWS(BB$7:BB63))),"")</f>
        <v/>
      </c>
      <c r="O64" s="4" t="str">
        <f t="array" ref="O64">IFERROR(INDEX(BC$7:BC$66,SMALL(IF(BC$7:BC$66&lt;&gt;"",ROW(BC$7:BC$66)-ROW(BC$7)+1),ROWS(BC$7:BC63))),"")</f>
        <v/>
      </c>
      <c r="P64" s="4" t="str">
        <f t="array" ref="P64">IFERROR(INDEX(BD$7:BD$66,SMALL(IF(BD$7:BD$66&lt;&gt;"",ROW(BD$7:BD$66)-ROW(BD$7)+1),ROWS(BD$7:BD63))),"")</f>
        <v/>
      </c>
      <c r="Q64" s="4" t="str">
        <f t="array" ref="Q64">IFERROR(INDEX(BE$7:BE$66,SMALL(IF(BE$7:BE$66&lt;&gt;"",ROW(BE$7:BE$66)-ROW(BE$7)+1),ROWS(BE$7:BE63))),"")</f>
        <v/>
      </c>
      <c r="R64" s="4"/>
      <c r="S64" s="4"/>
      <c r="T64" s="31"/>
      <c r="U64" s="4"/>
      <c r="V64" s="4" t="str">
        <f t="array" ref="V64">IFERROR(INDEX(BX$7:BX$336,SMALL(IF(BX$7:BX$336&lt;&gt;"",ROW(BX$7:BX$336)-ROW(BX$7)+1),ROWS(BX$7:BX63))),"")</f>
        <v/>
      </c>
      <c r="W64" s="4" t="str">
        <f t="array" ref="W64">IFERROR(INDEX(BY$7:BY$336,SMALL(IF(BY$7:BY$336&lt;&gt;"",ROW(BY$7:BY$336)-ROW(BY$7)+1),ROWS(BY$7:BY63))),"")</f>
        <v/>
      </c>
      <c r="X64" s="4" t="str">
        <f t="array" ref="X64">IFERROR(INDEX(BZ$7:BZ$336,SMALL(IF(BZ$7:BZ$336&lt;&gt;"",ROW(BZ$7:BZ$336)-ROW(BZ$7)+1),ROWS(BZ$7:BZ63))),"")</f>
        <v/>
      </c>
      <c r="Y64" s="4" t="str">
        <f t="array" ref="Y64">IFERROR(INDEX(CA$7:CA$336,SMALL(IF(CA$7:CA$336&lt;&gt;"",ROW(CA$7:CA$336)-ROW(CA$7)+1),ROWS(CA$7:CA63))),"")</f>
        <v/>
      </c>
      <c r="Z64" s="4" t="str">
        <f t="array" ref="Z64">IFERROR(INDEX(CB$7:CB$378,SMALL(IF(CB$7:CB$378&lt;&gt;"",ROW(CB$7:CB$378)-ROW(CB$7)+1),ROWS(CB$7:CB63))),"")</f>
        <v/>
      </c>
      <c r="AA64" s="4" t="str">
        <f t="array" ref="AA64">IFERROR(INDEX(CC$7:CC$378,SMALL(IF(CC$7:CC$378&lt;&gt;"",ROW(CC$7:CC$378)-ROW(CC$7)+1),ROWS(CC$7:CC63))),"")</f>
        <v/>
      </c>
      <c r="AB64" s="4" t="str">
        <f t="array" ref="AB64">IFERROR(INDEX(CD$7:CD$378,SMALL(IF(CD$7:CD$378&lt;&gt;"",ROW(CD$7:CD$378)-ROW(CD$7)+1),ROWS(CD$7:CD63))),"")</f>
        <v/>
      </c>
      <c r="AC64" s="4" t="str">
        <f t="array" ref="AC64">IFERROR(INDEX(CE$7:CE$378,SMALL(IF(CE$7:CE$378&lt;&gt;"",ROW(CE$7:CE$378)-ROW(CE$7)+1),ROWS(CE$7:CE63))),"")</f>
        <v/>
      </c>
      <c r="AD64" s="4"/>
      <c r="AE64" s="4"/>
      <c r="AF64" s="4"/>
      <c r="AG64" s="4"/>
      <c r="AH64" s="4"/>
      <c r="AI64" s="4"/>
      <c r="AJ64" s="46" t="str">
        <f>IF(Atletas!D60="","",IF(Atletas!B60="Feminino",100,IF(Atletas!B60="Masculino",200,""))+(IF(Atletas!D60="Infantil 39kg",1,IF(Atletas!D60="Infantil 42kg",2,IF(Atletas!D60="Infantil 45kg",3,IF(Atletas!D60="Infantil 48kg",4,IF(Atletas!D60="Infantil 52kg",5,IF(Atletas!D60="Infantil 56kg",6,IF(Atletas!D60="Infantil 60kg",7,IF(Atletas!D60="Juvenil 48kg",8,IF(Atletas!D60="Juvenil 52kg",9,IF(Atletas!D60="Juvenil 56kg",10,IF(Atletas!D60="Juvenil 60kg",11,IF(Atletas!D60="Juvenil 65kg",12,IF(Atletas!D60="Juvenil 70kg",13,IF(Atletas!D60="Juvenil 75kg",14,IF(Atletas!D60="Juvenil 80kg",15,IF(Atletas!D60="Adulto 48kg",16,IF(Atletas!D60="Adulto 52kg",17,IF(Atletas!D60="Adulto 56kg",18,IF(Atletas!D60="Adulto 60kg",19,IF(Atletas!D60="Adulto 65kg",20,IF(Atletas!D60="Adulto 70kg",21,IF(Atletas!D60="Adulto 75kg",22,IF(Atletas!D60="Adulto 80kg",23,IF(Atletas!D60="Adulto 85kg",24,IF(Atletas!D60="Adulto 90kg",25,IF(Atletas!D60="Adulto +90kg",26,""))))))))))))))))))))))))))))</f>
        <v/>
      </c>
      <c r="AO64" s="10" t="str">
        <f>IF(Atletas!E60="","",IF(Atletas!B60="Feminino",100,IF(Atletas!B60="Masculino",200,""))+(IF(Atletas!E60="Juvenil 44kg",1,IF(Atletas!E60="Juvenil 48kg",2,IF(Atletas!E60="Juvenil 52kg",3,IF(Atletas!E60="Juvenil 56kg",4,IF(Atletas!E60="Juvenil 60kg",5,IF(Atletas!E60="Juvenil 65kg",6,IF(Atletas!E60="Juvenil 70kg",7,IF(Atletas!E60="Juvenil 75kg",8,IF(Atletas!E60="Juvenil 82kg",9,IF(Atletas!E60="Juvenil 90kg",10,IF(Atletas!E60="Juvenil 100kg",11,IF(Atletas!E60="Adulto 48kg",12,IF(Atletas!E60="Adulto 52kg",13,IF(Atletas!E60="Adulto 56kg",14,IF(Atletas!E60="Adulto 60kg",15,IF(Atletas!E60="Adulto 65kg",16,IF(Atletas!E60="Adulto 70kg",17,IF(Atletas!E60="Adulto 75kg",18,IF(Atletas!E60="Adulto 82kg",19,IF(Atletas!E60="Adulto 90kg",20,IF(Atletas!E60="Adulto 100kg",21,IF(Atletas!E60="Adulto +100kg",22,""))))))))))))))))))))))))</f>
        <v/>
      </c>
      <c r="AT64" s="10" t="str">
        <f>IF(Atletas!F60="","",IF(Atletas!B60="Feminino",100,IF(Atletas!B60="Masculino",200,""))+(IF(Atletas!F60="Adulto 48kg",1,IF(Atletas!F60="Adulto 56kg",2,IF(Atletas!F60="Adulto 65kg",3,IF(Atletas!F60="Adulto 75kg",4,IF(Atletas!F60="Adulto +75kg",5,IF(Atletas!F60="Adulto 52kg",6,IF(Atletas!F60="Adulto 60kg",7,IF(Atletas!F60="Adulto 70kg",8,IF(Atletas!F60="Adulto 80kg",9,IF(Atletas!F60="Adulto 90kg",10,IF(Atletas!F60="Adulto +90kg",11,"")))))))))))))</f>
        <v/>
      </c>
      <c r="AY64" s="46" t="str">
        <f>IF(Atletas!G60="","",IF(Atletas!B60="Feminino",100,IF(Atletas!B60="Masculino",200,""))+(IF(Atletas!G60="Changquan Mirim",1,IF(Atletas!G60="Nanquan Mirim",2,IF(Atletas!G60="Taijiquan Mirim",3,IF(Atletas!G60="Changquan Grupo C",4,IF(Atletas!G60="Nanquan Grupo C",5,IF(Atletas!G60="Taijiquan Grupo C",6,IF(Atletas!G60="Changquan Grupo B",7,IF(Atletas!G60="Nanquan Grupo B",8,IF(Atletas!G60="Taijiquan Grupo B",9,IF(Atletas!G60="Changquan Grupo A",10,IF(Atletas!G60="Nanquan Grupo A",11,IF(Atletas!G60="Taijiquan Grupo A",12,IF(Atletas!G60="Changquan Opcional",13,IF(Atletas!G60="Nanquan Opcional",14,IF(Atletas!G60="Taijiquan Opcional",15,IF(Atletas!G60="Changquan Adulto",16,IF(Atletas!G60="Nanquan Adulto",17,IF(Atletas!G60="Taijiquan Adulto",18,""))))))))))))))))))))</f>
        <v/>
      </c>
      <c r="AZ64" s="46" t="str">
        <f>IF(Atletas!H60="","",IF(Atletas!B60="Feminino",100,IF(Atletas!B60="Masculino",200,""))+(IF(Atletas!H60="Daoshu Mirim",19,IF(Atletas!H60="Jianshu Mirim",20,IF(Atletas!H60="Nandao Mirim",21,IF(Atletas!H60="Taijijian Mirim",22,IF(Atletas!H60="Daoshu Grupo C",23,IF(Atletas!H60="Jianshu Grupo C",24,IF(Atletas!H60="Nandao Grupo C",25,IF(Atletas!H60="Taijijian Grupo C",26,IF(Atletas!H60="Daoshu Grupo B",27,IF(Atletas!H60="Jianshu Grupo B",28,IF(Atletas!H60="Nandao Grupo B",29,IF(Atletas!H60="Taijijian Grupo B",30,IF(Atletas!H60="Daoshu Grupo A",31,IF(Atletas!H60="Jianshu Grupo A",32,IF(Atletas!H60="Nandao Grupo A",33,IF(Atletas!H60="Taijijian Grupo A",34,IF(Atletas!H60="Daoshu Opcional",35,IF(Atletas!H60="Jianshu Opcional",36,IF(Atletas!H60="Nandao Opcional",37,IF(Atletas!H60="Taijijian Opcional",38,IF(Atletas!H60="Daoshu Adulto",39,IF(Atletas!H60="Jianshu Adulto",40,IF(Atletas!H60="Nandao Adulto",41,IF(Atletas!H60="Taijijian Adulto",42,""))))))))))))))))))))))))))</f>
        <v/>
      </c>
      <c r="BA64" s="46" t="str">
        <f>IF(Atletas!I60="","",IF(Atletas!B60="Feminino",100,IF(Atletas!B60="Masculino",200,""))+(IF(Atletas!I60="Gunshu Mirim",43,IF(Atletas!I60="Qiangshu Mirim",44,IF(Atletas!I60="Nangun Mirim",45,IF(Atletas!I60="Gunshu Grupo C",46,IF(Atletas!I60="Qiangshu Grupo C",47,IF(Atletas!I60="Nangun Grupo C",48,IF(Atletas!I60="Gunshu Grupo B",49,IF(Atletas!I60="Qiangshu Grupo B",50,IF(Atletas!I60="Nangun Grupo B",51,IF(Atletas!I60="Gunshu Grupo A",52,IF(Atletas!I60="Qiangshu Grupo A",53,IF(Atletas!I60="Nangun Grupo A",54,IF(Atletas!I60="Gunshu Opcional",55,IF(Atletas!I60="Qiangshu Opcional",56,IF(Atletas!I60="Nangun Opcional",57,IF(Atletas!I60="Gunshu Adulto",58,IF(Atletas!I60="Qiangshu Adulto",59,IF(Atletas!I60="Nangun Adulto",60,""))))))))))))))))))))</f>
        <v/>
      </c>
      <c r="BB64" s="10" t="str">
        <f>IF(BC64&lt;&gt;"","Gunshu Adulto","")</f>
        <v/>
      </c>
      <c r="BC64" s="52" t="str">
        <f>IF(COUNTIF(AY:BA,158)&gt;0,COUNTIF(AY:BA,158),"")</f>
        <v/>
      </c>
      <c r="BD64" s="10" t="str">
        <f>IF(BE64&lt;&gt;"","Gunshu Adulto","")</f>
        <v/>
      </c>
      <c r="BE64" s="52" t="str">
        <f>IF(COUNTIF(AY:BA,258)&gt;0,COUNTIF(AY:BA,258),"")</f>
        <v/>
      </c>
      <c r="BF64" s="52" t="str">
        <f>IF(Atletas!J60="","",IF(Atletas!B60="Feminino",100,IF(Atletas!B60="Masculino",200,""))+(IF(Atletas!J60="Equipe 1 Grupo B",1,IF(Atletas!J60="Equipe 2 Grupo B",2,IF(Atletas!J60="Equipe 1 Grupo A",3,IF(Atletas!J60="Equipe 2 Grupo A",4,IF(Atletas!J60="Equipe 1 Adulto",5,IF(Atletas!J60="Equipe 2 Adulto",6,""))))))))</f>
        <v/>
      </c>
      <c r="BK64" s="52" t="str">
        <f>IF(Atletas!K60="","",IF(Atletas!W60&lt;&gt;"",10000,0)+(IF(Atletas!B60="Feminino",1000,IF(Atletas!B60="Masculino",2000,""))+IF(Atletas!K60="Choylayfut A",1,IF(Atletas!K60="Hunggar A",2,IF(Atletas!K60="Wuzuquan A",3,IF(Atletas!K60="Wingchun A",4,IF(Atletas!K60="Outra Mão de Sul A",5,IF(Atletas!K60="Choylayfut B",6,IF(Atletas!K60="Hunggar B",7,IF(Atletas!K60="Wuzuquan B",8,IF(Atletas!K60="Wingchun B",9,IF(Atletas!K60="Outra Mão de Sul B",10,IF(Atletas!K60="Choylayfut C",11,IF(Atletas!K60="Hunggar C",12,IF(Atletas!K60="Wuzuquan C",13,IF(Atletas!K60="Wingchun C",14,IF(Atletas!K60="Outra Mão de Sul C",15,IF(Atletas!K60="Choylayfut D",16,IF(Atletas!K60="Hunggar D",17,IF(Atletas!K60="Wuzuquan D",18,IF(Atletas!K60="Wingchun D",19,IF(Atletas!K60="Outra Mão de Sul D",20,IF(Atletas!K60="Choylayfut E",21,IF(Atletas!K60="Hunggar E",22,IF(Atletas!K60="Wuzuquan E",23,IF(Atletas!K60="Wingchun E",24,IF(Atletas!K60="Outra Mão de Sul E",25,IF(Atletas!K60="Choylayfut F",26,IF(Atletas!K60="Hunggar F",27,IF(Atletas!K60="Wuzuquan F",28,IF(Atletas!K60="Wingchun F",29,IF(Atletas!K60="Outra Mão de Sul F",30,""))))))))))))))))))))))))))))))))</f>
        <v/>
      </c>
      <c r="BL64" s="52" t="str">
        <f>IF(Atletas!L60="","",IF(Atletas!W60&lt;&gt;"",10000,0)+(IF(Atletas!B60="Feminino",1000,IF(Atletas!B60="Masculino",2000,""))+(IF(Atletas!L60="Chaquan A",101,IF(Atletas!L60="Emeiquan A",102,IF(Atletas!L60="Fanziquan A",103,IF(Atletas!L60="Huaquan A",104,IF(Atletas!L60="Hongquan A",105,IF(Atletas!L60="Paochui A",106,IF(Atletas!L60="Piguaquan A",107,IF(Atletas!L60="Shaolinquan A",108,IF(Atletas!L60="Tanglangquan A",109,IF(Atletas!L60="Yinzhaophai A",110,IF(Atletas!L60="Tongbeiquan A",111,IF(Atletas!L60="Wudangquan A",112,IF(Atletas!L60="Outros Estilos A",113,IF(Atletas!L60="Chaquan B",114,IF(Atletas!L60="Emeiquan B",115,IF(Atletas!L60="Fanziquan B",116,IF(Atletas!L60="Huaquan B",117,IF(Atletas!L60="Hongquan B",118,IF(Atletas!L60="Paochui B",119,IF(Atletas!L60="Piguaquan B",120,IF(Atletas!L60="Shaolinquan B",121,IF(Atletas!L60="Tanglangquan B",122,IF(Atletas!L60="Yinzhaophai B",123,IF(Atletas!L60="Tongbeiquan B",124,IF(Atletas!L60="Wudangquan B",125,IF(Atletas!L60="Outros Estilos B",126,IF(Atletas!L60="Chaquan C",127,IF(Atletas!L60="Emeiquan C",128,IF(Atletas!L60="Fanziquan C",129,IF(Atletas!L60="Huaquan C",130,IF(Atletas!L60="Hongquan C",131,IF(Atletas!L60="Paochui C",132,IF(Atletas!L60="Piguaquan C",133,IF(Atletas!L60="Shaolinquan C",134,IF(Atletas!L60="Tanglangquan C",135,IF(Atletas!L60="Yinzhaophai C",136,IF(Atletas!L60="Tongbeiquan C",137,IF(Atletas!L60="Wudangquan C",138,IF(Atletas!L60="Outros Estilos C",139,0))))))))))))))))))))))))))))))))))))))))))</f>
        <v/>
      </c>
      <c r="BM64" s="52" t="str">
        <f>IF(Atletas!L60="","",IF(Atletas!W60&lt;&gt;"",10000,0)+(IF(Atletas!B60="Feminino",1000,IF(Atletas!B60="Masculino",2000,""))+(IF(Atletas!L60="Chaquan D",140,IF(Atletas!L60="Emeiquan D",141,IF(Atletas!L60="Fanziquan D",142,IF(Atletas!L60="Huaquan D",143,IF(Atletas!L60="Hongquan D",144,IF(Atletas!L60="Paochui D",145,IF(Atletas!L60="Piguaquan D",146,IF(Atletas!L60="Shaolinquan D",147,IF(Atletas!L60="Tanglangquan D",148,IF(Atletas!L60="Yinzhaophai D",149,IF(Atletas!L60="Tongbeiquan D",150,IF(Atletas!L60="Wudangquan D",151,IF(Atletas!L60="Outros Estilos D",152,IF(Atletas!L60="Chaquan E",153,IF(Atletas!L60="Emeiquan E",154,IF(Atletas!L60="Fanziquan E",155,IF(Atletas!L60="Huaquan E",156,IF(Atletas!L60="Hongquan E",157,IF(Atletas!L60="Paochui E",158,IF(Atletas!L60="Piguaquan E",159,IF(Atletas!L60="Shaolinquan E",160,IF(Atletas!L60="Tanglangquan E",161,IF(Atletas!L60="Yinzhaophai E",162,IF(Atletas!L60="Tongbeiquan E",163,IF(Atletas!L60="Wudangquan E",164,IF(Atletas!L60="Outros Estilos E",165,IF(Atletas!L60="Chaquan F",166,IF(Atletas!L60="Emeiquan F",167,IF(Atletas!L60="Fanziquan F",168,IF(Atletas!L60="Huaquan F",169,IF(Atletas!L60="Hongquan F",170,IF(Atletas!L60="Paochui F",171,IF(Atletas!L60="Piguaquan F",172,IF(Atletas!L60="Shaolinquan F",173,IF(Atletas!L60="Tanglangquan F",174,IF(Atletas!L60="Yinzhaophai F",175,IF(Atletas!L60="Tongbeiquan F",176,IF(Atletas!L60="Wudangquan F",177,IF(Atletas!L60="Outros Estilos F",178,0))))))))))))))))))))))))))))))))))))))))))</f>
        <v/>
      </c>
      <c r="BN64" s="52" t="str">
        <f>IF(Atletas!M60="","",IF(Atletas!W60&lt;&gt;"",10000,0)+(IF(Atletas!B60="Feminino",1000,IF(Atletas!B60="Masculino",2000,""))+(IF(Atletas!M60="Ditangquan A",201,IF(Atletas!M60="Houquan A",202,IF(Atletas!M60="Zuiquan A",203,IF(Atletas!M60="Ditangquan B",204,IF(Atletas!M60="Houquan B",205,IF(Atletas!M60="Zuiquan B",206,IF(Atletas!M60="Ditangquan C",207,IF(Atletas!M60="Houquan C",208,IF(Atletas!M60="Zuiquan C",209,IF(Atletas!M60="Ditangquan D",210,IF(Atletas!M60="Houquan D",211,IF(Atletas!M60="Zuiquan D",212,IF(Atletas!M60="Ditangquan E",213,IF(Atletas!M60="Houquan E",214,IF(Atletas!M60="Zuiquan E",215,IF(Atletas!M60="Ditangquan F",216,IF(Atletas!M60="Houquan F",217,IF(Atletas!M60="Zuiquan F",218,"")))))))))))))))))))))</f>
        <v/>
      </c>
      <c r="BO64" s="52" t="str">
        <f>IF(Atletas!N60="","",IF(Atletas!W60&lt;&gt;"",10000,0)+IF(Atletas!B60="Feminino",1000,IF(Atletas!B60="Masculino",2000,""))+IF(Atletas!N60="Yang A",301,IF(Atletas!N60="Chen A",30,IF(Atletas!N60="Sun A",303,IF(Atletas!N60="Wu A",304,IF(Atletas!N60="Wu-Hao A",305,IF(Atletas!N60="Outro Taijiquan A",306,IF(Atletas!N60="Yang B",307,IF(Atletas!N60="Chen B",308,IF(Atletas!N60="Sun B",309,IF(Atletas!N60="Wu B",310,IF(Atletas!N60="Wu-Hao B",311,IF(Atletas!N60="Outro Taijiquan B",312,IF(Atletas!N60="Yang C",313,IF(Atletas!N60="Chen C",314,IF(Atletas!N60="Sun C",315,IF(Atletas!N60="Wu C",316,IF(Atletas!N60="Wu-Hao C",317,IF(Atletas!N60="Outro Taijiquan C",318,IF(Atletas!N60="Yang D",319,IF(Atletas!N60="Chen D",320,IF(Atletas!N60="Sun D",321,IF(Atletas!N60="Wu D",322,IF(Atletas!N60="Wu-Hao D",323,IF(Atletas!N60="Outro Taijiquan D",324,IF(Atletas!N60="Yang E",325,IF(Atletas!N60="Chen E",326,IF(Atletas!N60="Sun E",327,IF(Atletas!N60="Wu E",328,IF(Atletas!N60="Wu-Hao E",329,IF(Atletas!N60="Outro Taijiquan E",330,IF(Atletas!N60="Yang F",331,IF(Atletas!N60="Chen F",332,IF(Atletas!N60="Sun F",333,IF(Atletas!N60="Wu F",334,IF(Atletas!N60="Wu-Hao F",335,IF(Atletas!N60="Outro Taijiquan F",336,"")))))))))))))))))))))))))))))))))))))</f>
        <v/>
      </c>
      <c r="BP64" s="52" t="str">
        <f>IF(Atletas!O60="","",IF(Atletas!W60&lt;&gt;"",10000,0)+IF(Atletas!B60="Feminino",1000,IF(Atletas!B60="Masculino",2000,""))+IF(OR(Atletas!O60="Yang 26 A",Atletas!O60="Yang 40 A"),401,IF(OR(Atletas!O60="Chen 25 A",Atletas!O60="Chen 36 A",Atletas!O60="Chen 56 A"),402,IF(Atletas!O60="Sun 73 A",403,IF(Atletas!O60="Wu 45 A",404,IF(Atletas!O60="Wu-Hao 46 A",405,IF(OR(Atletas!O60="Taijiquan 16 A",Atletas!O60="Taijiquan 24 A",Atletas!O60="Taijiquan 32 A",Atletas!O60="Taijiquan 42 A"),406,IF(OR(Atletas!O60="Yang 26 B",Atletas!O60="Yang 40 B"),407,IF(OR(Atletas!O60="Chen 25 B",Atletas!O60="Chen 36 B",Atletas!O60="Chen 56 B"),408,IF(Atletas!O60="Sun 73 B",409,IF(Atletas!O60="Wu 45 B",410,IF(Atletas!O60="Wu-Hao 46 B",411,IF(OR(Atletas!O60="Taijiquan 16 B",Atletas!O60="Taijiquan 24 B",Atletas!O60="Taijiquan 32 B",Atletas!O60="Taijiquan 42 B"),412,IF(OR(Atletas!O60="Yang 26 C",Atletas!O60="Yang 40 C"),413,IF(OR(Atletas!O60="Chen 25 C",Atletas!O60="Chen 36 C",Atletas!O60="Chen 56 C"),414,IF(Atletas!O60="Sun 73 C",415,IF(Atletas!O60="Wu 45 C",416,IF(Atletas!O60="Wu-Hao 46 C",417,IF(OR(Atletas!O60="Taijiquan 16 C",Atletas!O60="Taijiquan 24 C",Atletas!O60="Taijiquan 32 C",Atletas!O60="Taijiquan 42 C"),418,0)))))))))))))))))))</f>
        <v/>
      </c>
      <c r="BQ64" s="52" t="str">
        <f>IF(Atletas!O60="","",IF(Atletas!W60&lt;&gt;"",10000,0)+IF(Atletas!B60="Feminino",1000,IF(Atletas!B60="Masculino",2000,""))+IF(OR(Atletas!O60="Yang 26 D",Atletas!O60="Yang 40 D"),419,IF(OR(Atletas!O60="Chen 25 D",Atletas!O60="Chen 36 D",Atletas!O60="Chen 56 D"),420,IF(Atletas!O60="Sun 73 D",421,IF(Atletas!O60="Wu 45 D",422,IF(Atletas!O60="Wu-Hao 46 D",423,IF(OR(Atletas!O60="Taijiquan 16 D",Atletas!O60="Taijiquan 24 D",Atletas!O60="Taijiquan 32 D",Atletas!O60="Taijiquan 42 D"),424,IF(OR(Atletas!O60="Yang 26 E",Atletas!O60="Yang 40 E"),425,IF(OR(Atletas!O60="Chen 25 E",Atletas!O60="Chen 36 E",Atletas!O60="Chen 56 E"),426,IF(Atletas!O60="Sun 73 E",427,IF(Atletas!O60="Wu 45 E",428,IF(Atletas!O60="Wu-Hao 46 E",429,IF(OR(Atletas!O60="Taijiquan 16 E",Atletas!O60="Taijiquan 24 E",Atletas!O60="Taijiquan 32 E",Atletas!O60="Taijiquan 42 E"),430,IF(OR(Atletas!O60="Yang 26 F",Atletas!O60="Yang 40 F"),431,IF(OR(Atletas!O60="Chen 25 F",Atletas!O60="Chen 36 F",Atletas!O60="Chen 56 F"),432,IF(Atletas!O60="Sun 73 F",433,IF(Atletas!O60="Wu 45 F",434,IF(Atletas!O60="Wu-Hao 46 F",435,IF(OR(Atletas!O60="Taijiquan 16 F",Atletas!O60="Taijiquan 24 F",Atletas!O60="Taijiquan 32 F",Atletas!O60="Taijiquan 42 F"),436,0)))))))))))))))))))</f>
        <v/>
      </c>
      <c r="BR64" s="52" t="str">
        <f>IF(Atletas!P60="","",IF(Atletas!W60&lt;&gt;"",10000,0)+IF(Atletas!B60="Feminino",1000,IF(Atletas!B60="Masculino",2000,""))+IF(Atletas!P60="Xingyiquan A",501,IF(Atletas!P60="Baguazhang A",502,IF(Atletas!P60="Outro Estilo Interno A",503,IF(Atletas!P60="Xingyiquan B",504,IF(Atletas!P60="Baguazhang B",505,IF(Atletas!P60="Outro Estilo Interno B",506,IF(Atletas!P60="Xingyiquan C",507,IF(Atletas!P60="Baguazhang C",508,IF(Atletas!P60="Outro Estilo Interno C",509,IF(Atletas!P60="Xingyiquan D",510,IF(Atletas!P60="Baguazhang D",511,IF(Atletas!P60="Outro Estilo Interno D",512,IF(Atletas!P60="Xingyiquan E",513,IF(Atletas!P60="Baguazhang E",514,IF(Atletas!P60="Outro Estilo Interno E",515,IF(Atletas!P60="Xingyiquan F",516,IF(Atletas!P60="Baguazhang F",517,IF(Atletas!P60="Outro Estilo Interno F",518, "")))))))))))))))))))</f>
        <v/>
      </c>
      <c r="BS64" s="52" t="str">
        <f>IF(Atletas!Q60="","",IF(Atletas!W60&lt;&gt;"",10000,0)+IF(Atletas!B60="Feminino",1000,IF(Atletas!B60="Masculino",2000,""))+IF(Atletas!Q60="Dao A",601,IF(Atletas!Q60="Jian A",602,IF(Atletas!Q60="Bishou A",603,IF(Atletas!Q60="Shan A",604,IF(Atletas!Q60="Outra Arma Curta A",605,IF(Atletas!Q60="Dao B",606,IF(Atletas!Q60="Jian B",607,IF(Atletas!Q60="Bishou B",608,IF(Atletas!Q60="Shan B",609,IF(Atletas!Q60="Outra Arma Curta B",610,IF(Atletas!Q60="Dao C",611,IF(Atletas!Q60="Jian C",612,IF(Atletas!Q60="Bishou C",613,IF(Atletas!Q60="Shan C",614,IF(Atletas!Q60="Outra Arma Curta C",615,IF(Atletas!Q60="Dao D",616,IF(Atletas!Q60="Jian D",617,IF(Atletas!Q60="Bishou D",618,IF(Atletas!Q60="Shan D",619,IF(Atletas!Q60="Outra Arma Curta D",620,IF(Atletas!Q60="Dao E",621,IF(Atletas!Q60="Jian E",622,IF(Atletas!Q60="Bishou E",623,IF(Atletas!Q60="Shan E",624,IF(Atletas!Q60="Outra Arma Curta E",625,IF(Atletas!Q60="Dao F",626,IF(Atletas!Q60="Jian F",627,IF(Atletas!Q60="Bishou F",628,IF(Atletas!Q60="Shan F",629,IF(Atletas!Q60="Outra Arma Curta F",630, "")))))))))))))))))))))))))))))))</f>
        <v/>
      </c>
      <c r="BT64" s="52" t="str">
        <f>IF(Atletas!R60="","",IF(Atletas!W60&lt;&gt;"",10000,0)+IF(Atletas!B60="Feminino",1000,IF(Atletas!B60="Masculino",2000,""))+IF(Atletas!R60="Gun A",701,IF(Atletas!R60="Qiang A",702,IF(Atletas!R60="Pudao / Guandao A",703,IF(Atletas!R60="Outra Arma Longa A",704,IF(Atletas!R60="Gun B",705,IF(Atletas!R60="Qiang B",706,IF(Atletas!R60="Pudao / Guandao B",707,IF(Atletas!R60="Outra Arma Longa B",708,IF(Atletas!R60="Gun C",709,IF(Atletas!R60="Qiang C",710,IF(Atletas!R60="Pudao / Guandao C",711,IF(Atletas!R60="Outra Arma Longa C",712,IF(Atletas!R60="Gun D",713,IF(Atletas!R60="Qiang D",714,IF(Atletas!R60="Pudao / Guandao D",715,IF(Atletas!R60="Outra Arma Longa D",716,IF(Atletas!R60="Gun E",717,IF(Atletas!R60="Qiang E",718,IF(Atletas!R60="Pudao / Guandao E",719,IF(Atletas!R60="Outra Arma Longa E",720,IF(Atletas!R60="Gun F",721,IF(Atletas!R60="Qiang F",722,IF(Atletas!R60="Pudao / Guandao F",723,IF(Atletas!R60="Outra Arma Longa F",724,"")))))))))))))))))))))))))</f>
        <v/>
      </c>
      <c r="BU64" s="52" t="str">
        <f>IF(Atletas!S60="","",IF(Atletas!W60&lt;&gt;"",10000,0)+IF(Atletas!B60="Feminino",1000,IF(Atletas!B60="Masculino",2000,""))+IF(Atletas!S60="Arma Dupla A",801,IF(Atletas!S60="Arma Maleável A",802,IF(Atletas!S60="Arma Dupla B",803,IF(Atletas!S60="Arma Maleável B",804,IF(Atletas!S60="Arma Dupla C",805,IF(Atletas!S60="Arma Maleável C",806,IF(Atletas!S60="Arma Dupla D",807,IF(Atletas!S60="Arma Maleável D",808,IF(Atletas!S60="Arma Dupla E",809,IF(Atletas!S60="Arma Maleável E",810,IF(Atletas!S60="Arma Dupla F",811,IF(Atletas!S60="Arma Maleável F",812, "")))))))))))))</f>
        <v/>
      </c>
      <c r="BV64" s="52" t="str">
        <f>IF(Atletas!T60="","",IF(Atletas!W60&lt;&gt;"",10000,0)+IF(Atletas!B60="Feminino",1000,IF(Atletas!B60="Masculino",2000,""))+IF(Atletas!T60="Taijijian Yang A",901,IF(Atletas!T60="Taijijian Chen A",902,IF(Atletas!T60="Taijijian Sun A",903,IF(Atletas!T60="Taijijian Wu A",904,IF(Atletas!T60="Taijijian Wu-Hao A",905,IF(Atletas!T60="Taijijian 32 A",906,IF(Atletas!T60="Taijijian 42 A",907,IF(Atletas!T60="Taijijian Yang B",908,IF(Atletas!T60="Taijijian Chen B",909,IF(Atletas!T60="Taijijian Sun B",910,IF(Atletas!T60="Taijijian Wu B",911,IF(Atletas!T60="Taijijian Wu-Hao B",912,IF(Atletas!T60="Taijijian 32 B",913,IF(Atletas!T60="Taijijian 42 B",914,IF(Atletas!T60="Taijijian Yang C",915,IF(Atletas!T60="Taijijian Chen C",916,IF(Atletas!T60="Taijijian Sun C",917,IF(Atletas!T60="Taijijian Wu C",918,IF(Atletas!T60="Taijijian Wu-Hao C",919,IF(Atletas!T60="Taijijian 32 C",920,IF(Atletas!T60="Taijijian 42 C",921,IF(Atletas!T60="Taijijian Yang D",922,IF(Atletas!T60="Taijijian Chen D",923,IF(Atletas!T60="Taijijian Sun D",924,IF(Atletas!T60="Taijijian Wu D",925,IF(Atletas!T60="Taijijian Wu-Hao D",926,IF(Atletas!T60="Taijijian 32 D",927,IF(Atletas!T60="Taijijian 42 D",928,IF(Atletas!T60="Taijijian Yang E",929,IF(Atletas!T60="Taijijian Chen E",930,IF(Atletas!T60="Taijijian Sun E",931,IF(Atletas!T60="Taijijian Wu E",932,IF(Atletas!T60="Taijijian Wu-Hao E",933,IF(Atletas!T60="Taijijian 32 E",934,IF(Atletas!T60="Taijijian 42 E",935,IF(Atletas!T60="Taijijian Yang F",936,IF(Atletas!T60="Taijijian Chen F",937,IF(Atletas!T60="Taijijian Sun F",938,IF(Atletas!T60="Taijijian Wu F",939,IF(Atletas!T60="Taijijian Wu-Hao F",940,IF(Atletas!T60="Taijijian 32 F",941,IF(Atletas!T60="Taijijian 42 F",942,"")))))))))))))))))))))))))))))))))))))))))))</f>
        <v/>
      </c>
      <c r="BW64" s="52" t="str">
        <f>IF(Atletas!U60="","",IF(Atletas!W60&lt;&gt;"",10000,0)+IF(Atletas!B60="Feminino",1000,IF(Atletas!B60="Masculino",2000,""))+IF(Atletas!T60="Taijijian 42 F",942,IF(Atletas!U60="Taijidao A",943,IF(Atletas!U60="Taijishan A",944,IF(Atletas!U60="Taijiqiang A",945,IF(Atletas!U60="Taijidao B",946,IF(Atletas!U60="Taijishan B",947,IF(Atletas!U60="Taijiqiang B",948,IF(Atletas!U60="Taijidao C",949,IF(Atletas!U60="Taijishan C",950,IF(Atletas!U60="Taijiqiang C",951,IF(Atletas!U60="Taijidao D",952,IF(Atletas!U60="Taijishan D",953,IF(Atletas!U60="Taijiqiang D",954,IF(Atletas!U60="Taijidao E",955,IF(Atletas!U60="Taijishan E",956,IF(Atletas!U60="Taijiqiang E",957,IF(Atletas!U60="Taijidao F",958,IF(Atletas!U60="Taijishan F",959,IF(Atletas!U60="Taijiqiang F",960))))))))))))))))))))</f>
        <v/>
      </c>
      <c r="BX64" s="64" t="str">
        <f>IF(BY64&lt;&gt;"","Emeiquan C","")</f>
        <v/>
      </c>
      <c r="BY64" s="64" t="str">
        <f>IF(COUNTIF(BK:BW,1128)&gt;0,COUNTIF(BK:BW,1128),"")</f>
        <v/>
      </c>
      <c r="BZ64" s="64" t="str">
        <f>IF(CA64&lt;&gt;"","Emeiquan C","")</f>
        <v/>
      </c>
      <c r="CA64" s="64" t="str">
        <f>IF(COUNTIF(BK:BW,2128)&gt;0,COUNTIF(BK:BW,2128),"")</f>
        <v/>
      </c>
      <c r="CB64" s="64" t="str">
        <f>IF(CC64&lt;&gt;"","Emeiquan C","")</f>
        <v/>
      </c>
      <c r="CC64" s="64" t="str">
        <f>IF(COUNTIF(BK:BW,11128)&gt;0,COUNTIF(BK:BW,11128),"")</f>
        <v/>
      </c>
      <c r="CD64" s="64" t="str">
        <f>IF(CE64&lt;&gt;"","Emeiquan C","")</f>
        <v/>
      </c>
      <c r="CE64" s="64" t="str">
        <f>IF(COUNTIF(BK:BW,12128)&gt;0,COUNTIF(BK:BW,12128),"")</f>
        <v/>
      </c>
      <c r="CF64" s="52" t="str">
        <f xml:space="preserve"> IF(Atletas!V60="","",IF(Atletas!V60="Duilian de Mãos AB - Equipe 1",1,IF(Atletas!V60="Duilian de Mãos AB - Equipe 2",2,IF(Atletas!V60="Duilian de Armas AB - Equipe 1",3,IF(Atletas!V60="Duilian de Armas AB - Equipe 2",4,IF(Atletas!V60="Duilian de Tuishou - Equipe 1",5,IF(Atletas!V60="Duilian de Tuishou - Equipe 2",6,IF(Atletas!V60="Grupo Externo AB - Equipe 1",7,IF(Atletas!V60="Grupo Externo AB - Equipe 2",8,IF(Atletas!V60="Grupo Interno AB - Equipe 1",9,IF(Atletas!V60="Grupo Interno AB - Equipe 2",10,IF(Atletas!V60="Duilian de Mãos CD - Equipe 1",11,IF(Atletas!V60="Duilian de Mãos CD - Equipe 2",12,IF(Atletas!V60="Duilian de Armas CD - Equipe 1",13,IF(Atletas!V60="Duilian de Armas CD - Equipe 2",14,IF(Atletas!V60="Duilian de Tuishou - Equipe 1",15,IF(Atletas!V60="Duilian de Tuishou - Equipe 2",16,IF(Atletas!V60="Grupo Externo CDEF - Equipe 1",17,IF(Atletas!V60="Grupo Externo CDEF - Equipe 2",18,IF(Atletas!V60="Grupo Interno CDEF - Equipe 1",19,IF(Atletas!V60="Grupo Interno CDEF - Equipe 2",20,IF(Atletas!V60="Duilian de Mãos EF - Equipe 1",21,IF(Atletas!V60="Duilian de Mãos EF - Equipe 2",22,IF(Atletas!V60="Duilian de Armas EF - Equipe 1",23,IF(Atletas!V60="Duilian de Armas EF - Equipe 2",24,IF(Atletas!V60="Duilian de Tuishou - Equipe 1",25,IF(Atletas!V60="Duilian de Tuishou - Equipe 2",26,"")))))))))))))))))))))))))))</f>
        <v/>
      </c>
      <c r="CR64" s="71"/>
    </row>
    <row r="65" spans="2:96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 t="str">
        <f t="array" ref="N65">IFERROR(INDEX(BB$7:BB$66,SMALL(IF(BB$7:BB$66&lt;&gt;"",ROW(BB$7:BB$66)-ROW(BB$7)+1),ROWS(BB$7:BB64))),"")</f>
        <v/>
      </c>
      <c r="O65" s="4" t="str">
        <f t="array" ref="O65">IFERROR(INDEX(BC$7:BC$66,SMALL(IF(BC$7:BC$66&lt;&gt;"",ROW(BC$7:BC$66)-ROW(BC$7)+1),ROWS(BC$7:BC64))),"")</f>
        <v/>
      </c>
      <c r="P65" s="4" t="str">
        <f t="array" ref="P65">IFERROR(INDEX(BD$7:BD$66,SMALL(IF(BD$7:BD$66&lt;&gt;"",ROW(BD$7:BD$66)-ROW(BD$7)+1),ROWS(BD$7:BD64))),"")</f>
        <v/>
      </c>
      <c r="Q65" s="4" t="str">
        <f t="array" ref="Q65">IFERROR(INDEX(BE$7:BE$66,SMALL(IF(BE$7:BE$66&lt;&gt;"",ROW(BE$7:BE$66)-ROW(BE$7)+1),ROWS(BE$7:BE64))),"")</f>
        <v/>
      </c>
      <c r="R65" s="4"/>
      <c r="S65" s="4"/>
      <c r="T65" s="31"/>
      <c r="U65" s="4"/>
      <c r="V65" s="4" t="str">
        <f t="array" ref="V65">IFERROR(INDEX(BX$7:BX$336,SMALL(IF(BX$7:BX$336&lt;&gt;"",ROW(BX$7:BX$336)-ROW(BX$7)+1),ROWS(BX$7:BX64))),"")</f>
        <v/>
      </c>
      <c r="W65" s="4" t="str">
        <f t="array" ref="W65">IFERROR(INDEX(BY$7:BY$336,SMALL(IF(BY$7:BY$336&lt;&gt;"",ROW(BY$7:BY$336)-ROW(BY$7)+1),ROWS(BY$7:BY64))),"")</f>
        <v/>
      </c>
      <c r="X65" s="4" t="str">
        <f t="array" ref="X65">IFERROR(INDEX(BZ$7:BZ$336,SMALL(IF(BZ$7:BZ$336&lt;&gt;"",ROW(BZ$7:BZ$336)-ROW(BZ$7)+1),ROWS(BZ$7:BZ64))),"")</f>
        <v/>
      </c>
      <c r="Y65" s="4" t="str">
        <f t="array" ref="Y65">IFERROR(INDEX(CA$7:CA$336,SMALL(IF(CA$7:CA$336&lt;&gt;"",ROW(CA$7:CA$336)-ROW(CA$7)+1),ROWS(CA$7:CA64))),"")</f>
        <v/>
      </c>
      <c r="Z65" s="4" t="str">
        <f t="array" ref="Z65">IFERROR(INDEX(CB$7:CB$378,SMALL(IF(CB$7:CB$378&lt;&gt;"",ROW(CB$7:CB$378)-ROW(CB$7)+1),ROWS(CB$7:CB64))),"")</f>
        <v/>
      </c>
      <c r="AA65" s="4" t="str">
        <f t="array" ref="AA65">IFERROR(INDEX(CC$7:CC$378,SMALL(IF(CC$7:CC$378&lt;&gt;"",ROW(CC$7:CC$378)-ROW(CC$7)+1),ROWS(CC$7:CC64))),"")</f>
        <v/>
      </c>
      <c r="AB65" s="4" t="str">
        <f t="array" ref="AB65">IFERROR(INDEX(CD$7:CD$378,SMALL(IF(CD$7:CD$378&lt;&gt;"",ROW(CD$7:CD$378)-ROW(CD$7)+1),ROWS(CD$7:CD64))),"")</f>
        <v/>
      </c>
      <c r="AC65" s="4" t="str">
        <f t="array" ref="AC65">IFERROR(INDEX(CE$7:CE$378,SMALL(IF(CE$7:CE$378&lt;&gt;"",ROW(CE$7:CE$378)-ROW(CE$7)+1),ROWS(CE$7:CE64))),"")</f>
        <v/>
      </c>
      <c r="AD65" s="4"/>
      <c r="AE65" s="4"/>
      <c r="AF65" s="4"/>
      <c r="AG65" s="4"/>
      <c r="AH65" s="4"/>
      <c r="AI65" s="4"/>
      <c r="AJ65" s="46" t="str">
        <f>IF(Atletas!D61="","",IF(Atletas!B61="Feminino",100,IF(Atletas!B61="Masculino",200,""))+(IF(Atletas!D61="Infantil 39kg",1,IF(Atletas!D61="Infantil 42kg",2,IF(Atletas!D61="Infantil 45kg",3,IF(Atletas!D61="Infantil 48kg",4,IF(Atletas!D61="Infantil 52kg",5,IF(Atletas!D61="Infantil 56kg",6,IF(Atletas!D61="Infantil 60kg",7,IF(Atletas!D61="Juvenil 48kg",8,IF(Atletas!D61="Juvenil 52kg",9,IF(Atletas!D61="Juvenil 56kg",10,IF(Atletas!D61="Juvenil 60kg",11,IF(Atletas!D61="Juvenil 65kg",12,IF(Atletas!D61="Juvenil 70kg",13,IF(Atletas!D61="Juvenil 75kg",14,IF(Atletas!D61="Juvenil 80kg",15,IF(Atletas!D61="Adulto 48kg",16,IF(Atletas!D61="Adulto 52kg",17,IF(Atletas!D61="Adulto 56kg",18,IF(Atletas!D61="Adulto 60kg",19,IF(Atletas!D61="Adulto 65kg",20,IF(Atletas!D61="Adulto 70kg",21,IF(Atletas!D61="Adulto 75kg",22,IF(Atletas!D61="Adulto 80kg",23,IF(Atletas!D61="Adulto 85kg",24,IF(Atletas!D61="Adulto 90kg",25,IF(Atletas!D61="Adulto +90kg",26,""))))))))))))))))))))))))))))</f>
        <v/>
      </c>
      <c r="AO65" s="10" t="str">
        <f>IF(Atletas!E61="","",IF(Atletas!B61="Feminino",100,IF(Atletas!B61="Masculino",200,""))+(IF(Atletas!E61="Juvenil 44kg",1,IF(Atletas!E61="Juvenil 48kg",2,IF(Atletas!E61="Juvenil 52kg",3,IF(Atletas!E61="Juvenil 56kg",4,IF(Atletas!E61="Juvenil 60kg",5,IF(Atletas!E61="Juvenil 65kg",6,IF(Atletas!E61="Juvenil 70kg",7,IF(Atletas!E61="Juvenil 75kg",8,IF(Atletas!E61="Juvenil 82kg",9,IF(Atletas!E61="Juvenil 90kg",10,IF(Atletas!E61="Juvenil 100kg",11,IF(Atletas!E61="Adulto 48kg",12,IF(Atletas!E61="Adulto 52kg",13,IF(Atletas!E61="Adulto 56kg",14,IF(Atletas!E61="Adulto 60kg",15,IF(Atletas!E61="Adulto 65kg",16,IF(Atletas!E61="Adulto 70kg",17,IF(Atletas!E61="Adulto 75kg",18,IF(Atletas!E61="Adulto 82kg",19,IF(Atletas!E61="Adulto 90kg",20,IF(Atletas!E61="Adulto 100kg",21,IF(Atletas!E61="Adulto +100kg",22,""))))))))))))))))))))))))</f>
        <v/>
      </c>
      <c r="AT65" s="10" t="str">
        <f>IF(Atletas!F61="","",IF(Atletas!B61="Feminino",100,IF(Atletas!B61="Masculino",200,""))+(IF(Atletas!F61="Adulto 48kg",1,IF(Atletas!F61="Adulto 56kg",2,IF(Atletas!F61="Adulto 65kg",3,IF(Atletas!F61="Adulto 75kg",4,IF(Atletas!F61="Adulto +75kg",5,IF(Atletas!F61="Adulto 52kg",6,IF(Atletas!F61="Adulto 60kg",7,IF(Atletas!F61="Adulto 70kg",8,IF(Atletas!F61="Adulto 80kg",9,IF(Atletas!F61="Adulto 90kg",10,IF(Atletas!F61="Adulto +90kg",11,"")))))))))))))</f>
        <v/>
      </c>
      <c r="AY65" s="46" t="str">
        <f>IF(Atletas!G61="","",IF(Atletas!B61="Feminino",100,IF(Atletas!B61="Masculino",200,""))+(IF(Atletas!G61="Changquan Mirim",1,IF(Atletas!G61="Nanquan Mirim",2,IF(Atletas!G61="Taijiquan Mirim",3,IF(Atletas!G61="Changquan Grupo C",4,IF(Atletas!G61="Nanquan Grupo C",5,IF(Atletas!G61="Taijiquan Grupo C",6,IF(Atletas!G61="Changquan Grupo B",7,IF(Atletas!G61="Nanquan Grupo B",8,IF(Atletas!G61="Taijiquan Grupo B",9,IF(Atletas!G61="Changquan Grupo A",10,IF(Atletas!G61="Nanquan Grupo A",11,IF(Atletas!G61="Taijiquan Grupo A",12,IF(Atletas!G61="Changquan Opcional",13,IF(Atletas!G61="Nanquan Opcional",14,IF(Atletas!G61="Taijiquan Opcional",15,IF(Atletas!G61="Changquan Adulto",16,IF(Atletas!G61="Nanquan Adulto",17,IF(Atletas!G61="Taijiquan Adulto",18,""))))))))))))))))))))</f>
        <v/>
      </c>
      <c r="AZ65" s="46" t="str">
        <f>IF(Atletas!H61="","",IF(Atletas!B61="Feminino",100,IF(Atletas!B61="Masculino",200,""))+(IF(Atletas!H61="Daoshu Mirim",19,IF(Atletas!H61="Jianshu Mirim",20,IF(Atletas!H61="Nandao Mirim",21,IF(Atletas!H61="Taijijian Mirim",22,IF(Atletas!H61="Daoshu Grupo C",23,IF(Atletas!H61="Jianshu Grupo C",24,IF(Atletas!H61="Nandao Grupo C",25,IF(Atletas!H61="Taijijian Grupo C",26,IF(Atletas!H61="Daoshu Grupo B",27,IF(Atletas!H61="Jianshu Grupo B",28,IF(Atletas!H61="Nandao Grupo B",29,IF(Atletas!H61="Taijijian Grupo B",30,IF(Atletas!H61="Daoshu Grupo A",31,IF(Atletas!H61="Jianshu Grupo A",32,IF(Atletas!H61="Nandao Grupo A",33,IF(Atletas!H61="Taijijian Grupo A",34,IF(Atletas!H61="Daoshu Opcional",35,IF(Atletas!H61="Jianshu Opcional",36,IF(Atletas!H61="Nandao Opcional",37,IF(Atletas!H61="Taijijian Opcional",38,IF(Atletas!H61="Daoshu Adulto",39,IF(Atletas!H61="Jianshu Adulto",40,IF(Atletas!H61="Nandao Adulto",41,IF(Atletas!H61="Taijijian Adulto",42,""))))))))))))))))))))))))))</f>
        <v/>
      </c>
      <c r="BA65" s="46" t="str">
        <f>IF(Atletas!I61="","",IF(Atletas!B61="Feminino",100,IF(Atletas!B61="Masculino",200,""))+(IF(Atletas!I61="Gunshu Mirim",43,IF(Atletas!I61="Qiangshu Mirim",44,IF(Atletas!I61="Nangun Mirim",45,IF(Atletas!I61="Gunshu Grupo C",46,IF(Atletas!I61="Qiangshu Grupo C",47,IF(Atletas!I61="Nangun Grupo C",48,IF(Atletas!I61="Gunshu Grupo B",49,IF(Atletas!I61="Qiangshu Grupo B",50,IF(Atletas!I61="Nangun Grupo B",51,IF(Atletas!I61="Gunshu Grupo A",52,IF(Atletas!I61="Qiangshu Grupo A",53,IF(Atletas!I61="Nangun Grupo A",54,IF(Atletas!I61="Gunshu Opcional",55,IF(Atletas!I61="Qiangshu Opcional",56,IF(Atletas!I61="Nangun Opcional",57,IF(Atletas!I61="Gunshu Adulto",58,IF(Atletas!I61="Qiangshu Adulto",59,IF(Atletas!I61="Nangun Adulto",60,""))))))))))))))))))))</f>
        <v/>
      </c>
      <c r="BB65" s="52" t="str">
        <f>IF(BC65&lt;&gt;"","Qiangshu Adulto","")</f>
        <v/>
      </c>
      <c r="BC65" s="52" t="str">
        <f>IF(COUNTIF(AY:BA,159)&gt;0,COUNTIF(AY:BA,159),"")</f>
        <v/>
      </c>
      <c r="BD65" s="52" t="str">
        <f>IF(BE65&lt;&gt;"","Qiangshu Adulto","")</f>
        <v/>
      </c>
      <c r="BE65" s="52" t="str">
        <f>IF(COUNTIF(AY:BA,259)&gt;0,COUNTIF(AY:BA,259),"")</f>
        <v/>
      </c>
      <c r="BF65" s="52" t="str">
        <f>IF(Atletas!J61="","",IF(Atletas!B61="Feminino",100,IF(Atletas!B61="Masculino",200,""))+(IF(Atletas!J61="Equipe 1 Grupo B",1,IF(Atletas!J61="Equipe 2 Grupo B",2,IF(Atletas!J61="Equipe 1 Grupo A",3,IF(Atletas!J61="Equipe 2 Grupo A",4,IF(Atletas!J61="Equipe 1 Adulto",5,IF(Atletas!J61="Equipe 2 Adulto",6,""))))))))</f>
        <v/>
      </c>
      <c r="BK65" s="52" t="str">
        <f>IF(Atletas!K61="","",IF(Atletas!W61&lt;&gt;"",10000,0)+(IF(Atletas!B61="Feminino",1000,IF(Atletas!B61="Masculino",2000,""))+IF(Atletas!K61="Choylayfut A",1,IF(Atletas!K61="Hunggar A",2,IF(Atletas!K61="Wuzuquan A",3,IF(Atletas!K61="Wingchun A",4,IF(Atletas!K61="Outra Mão de Sul A",5,IF(Atletas!K61="Choylayfut B",6,IF(Atletas!K61="Hunggar B",7,IF(Atletas!K61="Wuzuquan B",8,IF(Atletas!K61="Wingchun B",9,IF(Atletas!K61="Outra Mão de Sul B",10,IF(Atletas!K61="Choylayfut C",11,IF(Atletas!K61="Hunggar C",12,IF(Atletas!K61="Wuzuquan C",13,IF(Atletas!K61="Wingchun C",14,IF(Atletas!K61="Outra Mão de Sul C",15,IF(Atletas!K61="Choylayfut D",16,IF(Atletas!K61="Hunggar D",17,IF(Atletas!K61="Wuzuquan D",18,IF(Atletas!K61="Wingchun D",19,IF(Atletas!K61="Outra Mão de Sul D",20,IF(Atletas!K61="Choylayfut E",21,IF(Atletas!K61="Hunggar E",22,IF(Atletas!K61="Wuzuquan E",23,IF(Atletas!K61="Wingchun E",24,IF(Atletas!K61="Outra Mão de Sul E",25,IF(Atletas!K61="Choylayfut F",26,IF(Atletas!K61="Hunggar F",27,IF(Atletas!K61="Wuzuquan F",28,IF(Atletas!K61="Wingchun F",29,IF(Atletas!K61="Outra Mão de Sul F",30,""))))))))))))))))))))))))))))))))</f>
        <v/>
      </c>
      <c r="BL65" s="52" t="str">
        <f>IF(Atletas!L61="","",IF(Atletas!W61&lt;&gt;"",10000,0)+(IF(Atletas!B61="Feminino",1000,IF(Atletas!B61="Masculino",2000,""))+(IF(Atletas!L61="Chaquan A",101,IF(Atletas!L61="Emeiquan A",102,IF(Atletas!L61="Fanziquan A",103,IF(Atletas!L61="Huaquan A",104,IF(Atletas!L61="Hongquan A",105,IF(Atletas!L61="Paochui A",106,IF(Atletas!L61="Piguaquan A",107,IF(Atletas!L61="Shaolinquan A",108,IF(Atletas!L61="Tanglangquan A",109,IF(Atletas!L61="Yinzhaophai A",110,IF(Atletas!L61="Tongbeiquan A",111,IF(Atletas!L61="Wudangquan A",112,IF(Atletas!L61="Outros Estilos A",113,IF(Atletas!L61="Chaquan B",114,IF(Atletas!L61="Emeiquan B",115,IF(Atletas!L61="Fanziquan B",116,IF(Atletas!L61="Huaquan B",117,IF(Atletas!L61="Hongquan B",118,IF(Atletas!L61="Paochui B",119,IF(Atletas!L61="Piguaquan B",120,IF(Atletas!L61="Shaolinquan B",121,IF(Atletas!L61="Tanglangquan B",122,IF(Atletas!L61="Yinzhaophai B",123,IF(Atletas!L61="Tongbeiquan B",124,IF(Atletas!L61="Wudangquan B",125,IF(Atletas!L61="Outros Estilos B",126,IF(Atletas!L61="Chaquan C",127,IF(Atletas!L61="Emeiquan C",128,IF(Atletas!L61="Fanziquan C",129,IF(Atletas!L61="Huaquan C",130,IF(Atletas!L61="Hongquan C",131,IF(Atletas!L61="Paochui C",132,IF(Atletas!L61="Piguaquan C",133,IF(Atletas!L61="Shaolinquan C",134,IF(Atletas!L61="Tanglangquan C",135,IF(Atletas!L61="Yinzhaophai C",136,IF(Atletas!L61="Tongbeiquan C",137,IF(Atletas!L61="Wudangquan C",138,IF(Atletas!L61="Outros Estilos C",139,0))))))))))))))))))))))))))))))))))))))))))</f>
        <v/>
      </c>
      <c r="BM65" s="52" t="str">
        <f>IF(Atletas!L61="","",IF(Atletas!W61&lt;&gt;"",10000,0)+(IF(Atletas!B61="Feminino",1000,IF(Atletas!B61="Masculino",2000,""))+(IF(Atletas!L61="Chaquan D",140,IF(Atletas!L61="Emeiquan D",141,IF(Atletas!L61="Fanziquan D",142,IF(Atletas!L61="Huaquan D",143,IF(Atletas!L61="Hongquan D",144,IF(Atletas!L61="Paochui D",145,IF(Atletas!L61="Piguaquan D",146,IF(Atletas!L61="Shaolinquan D",147,IF(Atletas!L61="Tanglangquan D",148,IF(Atletas!L61="Yinzhaophai D",149,IF(Atletas!L61="Tongbeiquan D",150,IF(Atletas!L61="Wudangquan D",151,IF(Atletas!L61="Outros Estilos D",152,IF(Atletas!L61="Chaquan E",153,IF(Atletas!L61="Emeiquan E",154,IF(Atletas!L61="Fanziquan E",155,IF(Atletas!L61="Huaquan E",156,IF(Atletas!L61="Hongquan E",157,IF(Atletas!L61="Paochui E",158,IF(Atletas!L61="Piguaquan E",159,IF(Atletas!L61="Shaolinquan E",160,IF(Atletas!L61="Tanglangquan E",161,IF(Atletas!L61="Yinzhaophai E",162,IF(Atletas!L61="Tongbeiquan E",163,IF(Atletas!L61="Wudangquan E",164,IF(Atletas!L61="Outros Estilos E",165,IF(Atletas!L61="Chaquan F",166,IF(Atletas!L61="Emeiquan F",167,IF(Atletas!L61="Fanziquan F",168,IF(Atletas!L61="Huaquan F",169,IF(Atletas!L61="Hongquan F",170,IF(Atletas!L61="Paochui F",171,IF(Atletas!L61="Piguaquan F",172,IF(Atletas!L61="Shaolinquan F",173,IF(Atletas!L61="Tanglangquan F",174,IF(Atletas!L61="Yinzhaophai F",175,IF(Atletas!L61="Tongbeiquan F",176,IF(Atletas!L61="Wudangquan F",177,IF(Atletas!L61="Outros Estilos F",178,0))))))))))))))))))))))))))))))))))))))))))</f>
        <v/>
      </c>
      <c r="BN65" s="52" t="str">
        <f>IF(Atletas!M61="","",IF(Atletas!W61&lt;&gt;"",10000,0)+(IF(Atletas!B61="Feminino",1000,IF(Atletas!B61="Masculino",2000,""))+(IF(Atletas!M61="Ditangquan A",201,IF(Atletas!M61="Houquan A",202,IF(Atletas!M61="Zuiquan A",203,IF(Atletas!M61="Ditangquan B",204,IF(Atletas!M61="Houquan B",205,IF(Atletas!M61="Zuiquan B",206,IF(Atletas!M61="Ditangquan C",207,IF(Atletas!M61="Houquan C",208,IF(Atletas!M61="Zuiquan C",209,IF(Atletas!M61="Ditangquan D",210,IF(Atletas!M61="Houquan D",211,IF(Atletas!M61="Zuiquan D",212,IF(Atletas!M61="Ditangquan E",213,IF(Atletas!M61="Houquan E",214,IF(Atletas!M61="Zuiquan E",215,IF(Atletas!M61="Ditangquan F",216,IF(Atletas!M61="Houquan F",217,IF(Atletas!M61="Zuiquan F",218,"")))))))))))))))))))))</f>
        <v/>
      </c>
      <c r="BO65" s="52" t="str">
        <f>IF(Atletas!N61="","",IF(Atletas!W61&lt;&gt;"",10000,0)+IF(Atletas!B61="Feminino",1000,IF(Atletas!B61="Masculino",2000,""))+IF(Atletas!N61="Yang A",301,IF(Atletas!N61="Chen A",30,IF(Atletas!N61="Sun A",303,IF(Atletas!N61="Wu A",304,IF(Atletas!N61="Wu-Hao A",305,IF(Atletas!N61="Outro Taijiquan A",306,IF(Atletas!N61="Yang B",307,IF(Atletas!N61="Chen B",308,IF(Atletas!N61="Sun B",309,IF(Atletas!N61="Wu B",310,IF(Atletas!N61="Wu-Hao B",311,IF(Atletas!N61="Outro Taijiquan B",312,IF(Atletas!N61="Yang C",313,IF(Atletas!N61="Chen C",314,IF(Atletas!N61="Sun C",315,IF(Atletas!N61="Wu C",316,IF(Atletas!N61="Wu-Hao C",317,IF(Atletas!N61="Outro Taijiquan C",318,IF(Atletas!N61="Yang D",319,IF(Atletas!N61="Chen D",320,IF(Atletas!N61="Sun D",321,IF(Atletas!N61="Wu D",322,IF(Atletas!N61="Wu-Hao D",323,IF(Atletas!N61="Outro Taijiquan D",324,IF(Atletas!N61="Yang E",325,IF(Atletas!N61="Chen E",326,IF(Atletas!N61="Sun E",327,IF(Atletas!N61="Wu E",328,IF(Atletas!N61="Wu-Hao E",329,IF(Atletas!N61="Outro Taijiquan E",330,IF(Atletas!N61="Yang F",331,IF(Atletas!N61="Chen F",332,IF(Atletas!N61="Sun F",333,IF(Atletas!N61="Wu F",334,IF(Atletas!N61="Wu-Hao F",335,IF(Atletas!N61="Outro Taijiquan F",336,"")))))))))))))))))))))))))))))))))))))</f>
        <v/>
      </c>
      <c r="BP65" s="52" t="str">
        <f>IF(Atletas!O61="","",IF(Atletas!W61&lt;&gt;"",10000,0)+IF(Atletas!B61="Feminino",1000,IF(Atletas!B61="Masculino",2000,""))+IF(OR(Atletas!O61="Yang 26 A",Atletas!O61="Yang 40 A"),401,IF(OR(Atletas!O61="Chen 25 A",Atletas!O61="Chen 36 A",Atletas!O61="Chen 56 A"),402,IF(Atletas!O61="Sun 73 A",403,IF(Atletas!O61="Wu 45 A",404,IF(Atletas!O61="Wu-Hao 46 A",405,IF(OR(Atletas!O61="Taijiquan 16 A",Atletas!O61="Taijiquan 24 A",Atletas!O61="Taijiquan 32 A",Atletas!O61="Taijiquan 42 A"),406,IF(OR(Atletas!O61="Yang 26 B",Atletas!O61="Yang 40 B"),407,IF(OR(Atletas!O61="Chen 25 B",Atletas!O61="Chen 36 B",Atletas!O61="Chen 56 B"),408,IF(Atletas!O61="Sun 73 B",409,IF(Atletas!O61="Wu 45 B",410,IF(Atletas!O61="Wu-Hao 46 B",411,IF(OR(Atletas!O61="Taijiquan 16 B",Atletas!O61="Taijiquan 24 B",Atletas!O61="Taijiquan 32 B",Atletas!O61="Taijiquan 42 B"),412,IF(OR(Atletas!O61="Yang 26 C",Atletas!O61="Yang 40 C"),413,IF(OR(Atletas!O61="Chen 25 C",Atletas!O61="Chen 36 C",Atletas!O61="Chen 56 C"),414,IF(Atletas!O61="Sun 73 C",415,IF(Atletas!O61="Wu 45 C",416,IF(Atletas!O61="Wu-Hao 46 C",417,IF(OR(Atletas!O61="Taijiquan 16 C",Atletas!O61="Taijiquan 24 C",Atletas!O61="Taijiquan 32 C",Atletas!O61="Taijiquan 42 C"),418,0)))))))))))))))))))</f>
        <v/>
      </c>
      <c r="BQ65" s="52" t="str">
        <f>IF(Atletas!O61="","",IF(Atletas!W61&lt;&gt;"",10000,0)+IF(Atletas!B61="Feminino",1000,IF(Atletas!B61="Masculino",2000,""))+IF(OR(Atletas!O61="Yang 26 D",Atletas!O61="Yang 40 D"),419,IF(OR(Atletas!O61="Chen 25 D",Atletas!O61="Chen 36 D",Atletas!O61="Chen 56 D"),420,IF(Atletas!O61="Sun 73 D",421,IF(Atletas!O61="Wu 45 D",422,IF(Atletas!O61="Wu-Hao 46 D",423,IF(OR(Atletas!O61="Taijiquan 16 D",Atletas!O61="Taijiquan 24 D",Atletas!O61="Taijiquan 32 D",Atletas!O61="Taijiquan 42 D"),424,IF(OR(Atletas!O61="Yang 26 E",Atletas!O61="Yang 40 E"),425,IF(OR(Atletas!O61="Chen 25 E",Atletas!O61="Chen 36 E",Atletas!O61="Chen 56 E"),426,IF(Atletas!O61="Sun 73 E",427,IF(Atletas!O61="Wu 45 E",428,IF(Atletas!O61="Wu-Hao 46 E",429,IF(OR(Atletas!O61="Taijiquan 16 E",Atletas!O61="Taijiquan 24 E",Atletas!O61="Taijiquan 32 E",Atletas!O61="Taijiquan 42 E"),430,IF(OR(Atletas!O61="Yang 26 F",Atletas!O61="Yang 40 F"),431,IF(OR(Atletas!O61="Chen 25 F",Atletas!O61="Chen 36 F",Atletas!O61="Chen 56 F"),432,IF(Atletas!O61="Sun 73 F",433,IF(Atletas!O61="Wu 45 F",434,IF(Atletas!O61="Wu-Hao 46 F",435,IF(OR(Atletas!O61="Taijiquan 16 F",Atletas!O61="Taijiquan 24 F",Atletas!O61="Taijiquan 32 F",Atletas!O61="Taijiquan 42 F"),436,0)))))))))))))))))))</f>
        <v/>
      </c>
      <c r="BR65" s="52" t="str">
        <f>IF(Atletas!P61="","",IF(Atletas!W61&lt;&gt;"",10000,0)+IF(Atletas!B61="Feminino",1000,IF(Atletas!B61="Masculino",2000,""))+IF(Atletas!P61="Xingyiquan A",501,IF(Atletas!P61="Baguazhang A",502,IF(Atletas!P61="Outro Estilo Interno A",503,IF(Atletas!P61="Xingyiquan B",504,IF(Atletas!P61="Baguazhang B",505,IF(Atletas!P61="Outro Estilo Interno B",506,IF(Atletas!P61="Xingyiquan C",507,IF(Atletas!P61="Baguazhang C",508,IF(Atletas!P61="Outro Estilo Interno C",509,IF(Atletas!P61="Xingyiquan D",510,IF(Atletas!P61="Baguazhang D",511,IF(Atletas!P61="Outro Estilo Interno D",512,IF(Atletas!P61="Xingyiquan E",513,IF(Atletas!P61="Baguazhang E",514,IF(Atletas!P61="Outro Estilo Interno E",515,IF(Atletas!P61="Xingyiquan F",516,IF(Atletas!P61="Baguazhang F",517,IF(Atletas!P61="Outro Estilo Interno F",518, "")))))))))))))))))))</f>
        <v/>
      </c>
      <c r="BS65" s="52" t="str">
        <f>IF(Atletas!Q61="","",IF(Atletas!W61&lt;&gt;"",10000,0)+IF(Atletas!B61="Feminino",1000,IF(Atletas!B61="Masculino",2000,""))+IF(Atletas!Q61="Dao A",601,IF(Atletas!Q61="Jian A",602,IF(Atletas!Q61="Bishou A",603,IF(Atletas!Q61="Shan A",604,IF(Atletas!Q61="Outra Arma Curta A",605,IF(Atletas!Q61="Dao B",606,IF(Atletas!Q61="Jian B",607,IF(Atletas!Q61="Bishou B",608,IF(Atletas!Q61="Shan B",609,IF(Atletas!Q61="Outra Arma Curta B",610,IF(Atletas!Q61="Dao C",611,IF(Atletas!Q61="Jian C",612,IF(Atletas!Q61="Bishou C",613,IF(Atletas!Q61="Shan C",614,IF(Atletas!Q61="Outra Arma Curta C",615,IF(Atletas!Q61="Dao D",616,IF(Atletas!Q61="Jian D",617,IF(Atletas!Q61="Bishou D",618,IF(Atletas!Q61="Shan D",619,IF(Atletas!Q61="Outra Arma Curta D",620,IF(Atletas!Q61="Dao E",621,IF(Atletas!Q61="Jian E",622,IF(Atletas!Q61="Bishou E",623,IF(Atletas!Q61="Shan E",624,IF(Atletas!Q61="Outra Arma Curta E",625,IF(Atletas!Q61="Dao F",626,IF(Atletas!Q61="Jian F",627,IF(Atletas!Q61="Bishou F",628,IF(Atletas!Q61="Shan F",629,IF(Atletas!Q61="Outra Arma Curta F",630, "")))))))))))))))))))))))))))))))</f>
        <v/>
      </c>
      <c r="BT65" s="52" t="str">
        <f>IF(Atletas!R61="","",IF(Atletas!W61&lt;&gt;"",10000,0)+IF(Atletas!B61="Feminino",1000,IF(Atletas!B61="Masculino",2000,""))+IF(Atletas!R61="Gun A",701,IF(Atletas!R61="Qiang A",702,IF(Atletas!R61="Pudao / Guandao A",703,IF(Atletas!R61="Outra Arma Longa A",704,IF(Atletas!R61="Gun B",705,IF(Atletas!R61="Qiang B",706,IF(Atletas!R61="Pudao / Guandao B",707,IF(Atletas!R61="Outra Arma Longa B",708,IF(Atletas!R61="Gun C",709,IF(Atletas!R61="Qiang C",710,IF(Atletas!R61="Pudao / Guandao C",711,IF(Atletas!R61="Outra Arma Longa C",712,IF(Atletas!R61="Gun D",713,IF(Atletas!R61="Qiang D",714,IF(Atletas!R61="Pudao / Guandao D",715,IF(Atletas!R61="Outra Arma Longa D",716,IF(Atletas!R61="Gun E",717,IF(Atletas!R61="Qiang E",718,IF(Atletas!R61="Pudao / Guandao E",719,IF(Atletas!R61="Outra Arma Longa E",720,IF(Atletas!R61="Gun F",721,IF(Atletas!R61="Qiang F",722,IF(Atletas!R61="Pudao / Guandao F",723,IF(Atletas!R61="Outra Arma Longa F",724,"")))))))))))))))))))))))))</f>
        <v/>
      </c>
      <c r="BU65" s="52" t="str">
        <f>IF(Atletas!S61="","",IF(Atletas!W61&lt;&gt;"",10000,0)+IF(Atletas!B61="Feminino",1000,IF(Atletas!B61="Masculino",2000,""))+IF(Atletas!S61="Arma Dupla A",801,IF(Atletas!S61="Arma Maleável A",802,IF(Atletas!S61="Arma Dupla B",803,IF(Atletas!S61="Arma Maleável B",804,IF(Atletas!S61="Arma Dupla C",805,IF(Atletas!S61="Arma Maleável C",806,IF(Atletas!S61="Arma Dupla D",807,IF(Atletas!S61="Arma Maleável D",808,IF(Atletas!S61="Arma Dupla E",809,IF(Atletas!S61="Arma Maleável E",810,IF(Atletas!S61="Arma Dupla F",811,IF(Atletas!S61="Arma Maleável F",812, "")))))))))))))</f>
        <v/>
      </c>
      <c r="BV65" s="52" t="str">
        <f>IF(Atletas!T61="","",IF(Atletas!W61&lt;&gt;"",10000,0)+IF(Atletas!B61="Feminino",1000,IF(Atletas!B61="Masculino",2000,""))+IF(Atletas!T61="Taijijian Yang A",901,IF(Atletas!T61="Taijijian Chen A",902,IF(Atletas!T61="Taijijian Sun A",903,IF(Atletas!T61="Taijijian Wu A",904,IF(Atletas!T61="Taijijian Wu-Hao A",905,IF(Atletas!T61="Taijijian 32 A",906,IF(Atletas!T61="Taijijian 42 A",907,IF(Atletas!T61="Taijijian Yang B",908,IF(Atletas!T61="Taijijian Chen B",909,IF(Atletas!T61="Taijijian Sun B",910,IF(Atletas!T61="Taijijian Wu B",911,IF(Atletas!T61="Taijijian Wu-Hao B",912,IF(Atletas!T61="Taijijian 32 B",913,IF(Atletas!T61="Taijijian 42 B",914,IF(Atletas!T61="Taijijian Yang C",915,IF(Atletas!T61="Taijijian Chen C",916,IF(Atletas!T61="Taijijian Sun C",917,IF(Atletas!T61="Taijijian Wu C",918,IF(Atletas!T61="Taijijian Wu-Hao C",919,IF(Atletas!T61="Taijijian 32 C",920,IF(Atletas!T61="Taijijian 42 C",921,IF(Atletas!T61="Taijijian Yang D",922,IF(Atletas!T61="Taijijian Chen D",923,IF(Atletas!T61="Taijijian Sun D",924,IF(Atletas!T61="Taijijian Wu D",925,IF(Atletas!T61="Taijijian Wu-Hao D",926,IF(Atletas!T61="Taijijian 32 D",927,IF(Atletas!T61="Taijijian 42 D",928,IF(Atletas!T61="Taijijian Yang E",929,IF(Atletas!T61="Taijijian Chen E",930,IF(Atletas!T61="Taijijian Sun E",931,IF(Atletas!T61="Taijijian Wu E",932,IF(Atletas!T61="Taijijian Wu-Hao E",933,IF(Atletas!T61="Taijijian 32 E",934,IF(Atletas!T61="Taijijian 42 E",935,IF(Atletas!T61="Taijijian Yang F",936,IF(Atletas!T61="Taijijian Chen F",937,IF(Atletas!T61="Taijijian Sun F",938,IF(Atletas!T61="Taijijian Wu F",939,IF(Atletas!T61="Taijijian Wu-Hao F",940,IF(Atletas!T61="Taijijian 32 F",941,IF(Atletas!T61="Taijijian 42 F",942,"")))))))))))))))))))))))))))))))))))))))))))</f>
        <v/>
      </c>
      <c r="BW65" s="52" t="str">
        <f>IF(Atletas!U61="","",IF(Atletas!W61&lt;&gt;"",10000,0)+IF(Atletas!B61="Feminino",1000,IF(Atletas!B61="Masculino",2000,""))+IF(Atletas!T61="Taijijian 42 F",942,IF(Atletas!U61="Taijidao A",943,IF(Atletas!U61="Taijishan A",944,IF(Atletas!U61="Taijiqiang A",945,IF(Atletas!U61="Taijidao B",946,IF(Atletas!U61="Taijishan B",947,IF(Atletas!U61="Taijiqiang B",948,IF(Atletas!U61="Taijidao C",949,IF(Atletas!U61="Taijishan C",950,IF(Atletas!U61="Taijiqiang C",951,IF(Atletas!U61="Taijidao D",952,IF(Atletas!U61="Taijishan D",953,IF(Atletas!U61="Taijiqiang D",954,IF(Atletas!U61="Taijidao E",955,IF(Atletas!U61="Taijishan E",956,IF(Atletas!U61="Taijiqiang E",957,IF(Atletas!U61="Taijidao F",958,IF(Atletas!U61="Taijishan F",959,IF(Atletas!U61="Taijiqiang F",960))))))))))))))))))))</f>
        <v/>
      </c>
      <c r="BX65" s="64" t="str">
        <f>IF(BY65&lt;&gt;"","Fanziquan C","")</f>
        <v/>
      </c>
      <c r="BY65" s="64" t="str">
        <f>IF(COUNTIF(BK:BW,1129)&gt;0,COUNTIF(BK:BW,1129),"")</f>
        <v/>
      </c>
      <c r="BZ65" s="64" t="str">
        <f>IF(CA65&lt;&gt;"","Fanziquan C","")</f>
        <v/>
      </c>
      <c r="CA65" s="64" t="str">
        <f>IF(COUNTIF(BK:BW,2129)&gt;0,COUNTIF(BK:BW,2129),"")</f>
        <v/>
      </c>
      <c r="CB65" s="64" t="str">
        <f>IF(CC65&lt;&gt;"","Fanziquan C","")</f>
        <v/>
      </c>
      <c r="CC65" s="64" t="str">
        <f>IF(COUNTIF(BK:BW,11129)&gt;0,COUNTIF(BK:BW,11129),"")</f>
        <v/>
      </c>
      <c r="CD65" s="64" t="str">
        <f>IF(CE65&lt;&gt;"","Fanziquan C","")</f>
        <v/>
      </c>
      <c r="CE65" s="64" t="str">
        <f>IF(COUNTIF(BK:BW,12129)&gt;0,COUNTIF(BK:BW,12129),"")</f>
        <v/>
      </c>
      <c r="CF65" s="52" t="str">
        <f xml:space="preserve"> IF(Atletas!V61="","",IF(Atletas!V61="Duilian de Mãos AB - Equipe 1",1,IF(Atletas!V61="Duilian de Mãos AB - Equipe 2",2,IF(Atletas!V61="Duilian de Armas AB - Equipe 1",3,IF(Atletas!V61="Duilian de Armas AB - Equipe 2",4,IF(Atletas!V61="Duilian de Tuishou - Equipe 1",5,IF(Atletas!V61="Duilian de Tuishou - Equipe 2",6,IF(Atletas!V61="Grupo Externo AB - Equipe 1",7,IF(Atletas!V61="Grupo Externo AB - Equipe 2",8,IF(Atletas!V61="Grupo Interno AB - Equipe 1",9,IF(Atletas!V61="Grupo Interno AB - Equipe 2",10,IF(Atletas!V61="Duilian de Mãos CD - Equipe 1",11,IF(Atletas!V61="Duilian de Mãos CD - Equipe 2",12,IF(Atletas!V61="Duilian de Armas CD - Equipe 1",13,IF(Atletas!V61="Duilian de Armas CD - Equipe 2",14,IF(Atletas!V61="Duilian de Tuishou - Equipe 1",15,IF(Atletas!V61="Duilian de Tuishou - Equipe 2",16,IF(Atletas!V61="Grupo Externo CDEF - Equipe 1",17,IF(Atletas!V61="Grupo Externo CDEF - Equipe 2",18,IF(Atletas!V61="Grupo Interno CDEF - Equipe 1",19,IF(Atletas!V61="Grupo Interno CDEF - Equipe 2",20,IF(Atletas!V61="Duilian de Mãos EF - Equipe 1",21,IF(Atletas!V61="Duilian de Mãos EF - Equipe 2",22,IF(Atletas!V61="Duilian de Armas EF - Equipe 1",23,IF(Atletas!V61="Duilian de Armas EF - Equipe 2",24,IF(Atletas!V61="Duilian de Tuishou - Equipe 1",25,IF(Atletas!V61="Duilian de Tuishou - Equipe 2",26,"")))))))))))))))))))))))))))</f>
        <v/>
      </c>
      <c r="CR65" s="71"/>
    </row>
    <row r="66" spans="2:96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 t="str">
        <f t="array" ref="N66">IFERROR(INDEX(BB$7:BB$66,SMALL(IF(BB$7:BB$66&lt;&gt;"",ROW(BB$7:BB$66)-ROW(BB$7)+1),ROWS(BB$7:BB65))),"")</f>
        <v/>
      </c>
      <c r="O66" s="4" t="str">
        <f t="array" ref="O66">IFERROR(INDEX(BC$7:BC$66,SMALL(IF(BC$7:BC$66&lt;&gt;"",ROW(BC$7:BC$66)-ROW(BC$7)+1),ROWS(BC$7:BC65))),"")</f>
        <v/>
      </c>
      <c r="P66" s="4" t="str">
        <f t="array" ref="P66">IFERROR(INDEX(BD$7:BD$66,SMALL(IF(BD$7:BD$66&lt;&gt;"",ROW(BD$7:BD$66)-ROW(BD$7)+1),ROWS(BD$7:BD65))),"")</f>
        <v/>
      </c>
      <c r="Q66" s="4" t="str">
        <f t="array" ref="Q66">IFERROR(INDEX(BE$7:BE$66,SMALL(IF(BE$7:BE$66&lt;&gt;"",ROW(BE$7:BE$66)-ROW(BE$7)+1),ROWS(BE$7:BE65))),"")</f>
        <v/>
      </c>
      <c r="R66" s="4"/>
      <c r="S66" s="4"/>
      <c r="T66" s="31"/>
      <c r="U66" s="4"/>
      <c r="V66" s="4" t="str">
        <f t="array" ref="V66">IFERROR(INDEX(BX$7:BX$336,SMALL(IF(BX$7:BX$336&lt;&gt;"",ROW(BX$7:BX$336)-ROW(BX$7)+1),ROWS(BX$7:BX65))),"")</f>
        <v/>
      </c>
      <c r="W66" s="4" t="str">
        <f t="array" ref="W66">IFERROR(INDEX(BY$7:BY$336,SMALL(IF(BY$7:BY$336&lt;&gt;"",ROW(BY$7:BY$336)-ROW(BY$7)+1),ROWS(BY$7:BY65))),"")</f>
        <v/>
      </c>
      <c r="X66" s="4" t="str">
        <f t="array" ref="X66">IFERROR(INDEX(BZ$7:BZ$336,SMALL(IF(BZ$7:BZ$336&lt;&gt;"",ROW(BZ$7:BZ$336)-ROW(BZ$7)+1),ROWS(BZ$7:BZ65))),"")</f>
        <v/>
      </c>
      <c r="Y66" s="4" t="str">
        <f t="array" ref="Y66">IFERROR(INDEX(CA$7:CA$336,SMALL(IF(CA$7:CA$336&lt;&gt;"",ROW(CA$7:CA$336)-ROW(CA$7)+1),ROWS(CA$7:CA65))),"")</f>
        <v/>
      </c>
      <c r="Z66" s="4" t="str">
        <f t="array" ref="Z66">IFERROR(INDEX(CB$7:CB$378,SMALL(IF(CB$7:CB$378&lt;&gt;"",ROW(CB$7:CB$378)-ROW(CB$7)+1),ROWS(CB$7:CB65))),"")</f>
        <v/>
      </c>
      <c r="AA66" s="4" t="str">
        <f t="array" ref="AA66">IFERROR(INDEX(CC$7:CC$378,SMALL(IF(CC$7:CC$378&lt;&gt;"",ROW(CC$7:CC$378)-ROW(CC$7)+1),ROWS(CC$7:CC65))),"")</f>
        <v/>
      </c>
      <c r="AB66" s="4" t="str">
        <f t="array" ref="AB66">IFERROR(INDEX(CD$7:CD$378,SMALL(IF(CD$7:CD$378&lt;&gt;"",ROW(CD$7:CD$378)-ROW(CD$7)+1),ROWS(CD$7:CD65))),"")</f>
        <v/>
      </c>
      <c r="AC66" s="4" t="str">
        <f t="array" ref="AC66">IFERROR(INDEX(CE$7:CE$378,SMALL(IF(CE$7:CE$378&lt;&gt;"",ROW(CE$7:CE$378)-ROW(CE$7)+1),ROWS(CE$7:CE65))),"")</f>
        <v/>
      </c>
      <c r="AD66" s="4"/>
      <c r="AE66" s="4"/>
      <c r="AF66" s="4"/>
      <c r="AG66" s="4"/>
      <c r="AH66" s="4"/>
      <c r="AI66" s="4"/>
      <c r="AJ66" s="46" t="str">
        <f>IF(Atletas!D62="","",IF(Atletas!B62="Feminino",100,IF(Atletas!B62="Masculino",200,""))+(IF(Atletas!D62="Infantil 39kg",1,IF(Atletas!D62="Infantil 42kg",2,IF(Atletas!D62="Infantil 45kg",3,IF(Atletas!D62="Infantil 48kg",4,IF(Atletas!D62="Infantil 52kg",5,IF(Atletas!D62="Infantil 56kg",6,IF(Atletas!D62="Infantil 60kg",7,IF(Atletas!D62="Juvenil 48kg",8,IF(Atletas!D62="Juvenil 52kg",9,IF(Atletas!D62="Juvenil 56kg",10,IF(Atletas!D62="Juvenil 60kg",11,IF(Atletas!D62="Juvenil 65kg",12,IF(Atletas!D62="Juvenil 70kg",13,IF(Atletas!D62="Juvenil 75kg",14,IF(Atletas!D62="Juvenil 80kg",15,IF(Atletas!D62="Adulto 48kg",16,IF(Atletas!D62="Adulto 52kg",17,IF(Atletas!D62="Adulto 56kg",18,IF(Atletas!D62="Adulto 60kg",19,IF(Atletas!D62="Adulto 65kg",20,IF(Atletas!D62="Adulto 70kg",21,IF(Atletas!D62="Adulto 75kg",22,IF(Atletas!D62="Adulto 80kg",23,IF(Atletas!D62="Adulto 85kg",24,IF(Atletas!D62="Adulto 90kg",25,IF(Atletas!D62="Adulto +90kg",26,""))))))))))))))))))))))))))))</f>
        <v/>
      </c>
      <c r="AO66" s="10" t="str">
        <f>IF(Atletas!E62="","",IF(Atletas!B62="Feminino",100,IF(Atletas!B62="Masculino",200,""))+(IF(Atletas!E62="Juvenil 44kg",1,IF(Atletas!E62="Juvenil 48kg",2,IF(Atletas!E62="Juvenil 52kg",3,IF(Atletas!E62="Juvenil 56kg",4,IF(Atletas!E62="Juvenil 60kg",5,IF(Atletas!E62="Juvenil 65kg",6,IF(Atletas!E62="Juvenil 70kg",7,IF(Atletas!E62="Juvenil 75kg",8,IF(Atletas!E62="Juvenil 82kg",9,IF(Atletas!E62="Juvenil 90kg",10,IF(Atletas!E62="Juvenil 100kg",11,IF(Atletas!E62="Adulto 48kg",12,IF(Atletas!E62="Adulto 52kg",13,IF(Atletas!E62="Adulto 56kg",14,IF(Atletas!E62="Adulto 60kg",15,IF(Atletas!E62="Adulto 65kg",16,IF(Atletas!E62="Adulto 70kg",17,IF(Atletas!E62="Adulto 75kg",18,IF(Atletas!E62="Adulto 82kg",19,IF(Atletas!E62="Adulto 90kg",20,IF(Atletas!E62="Adulto 100kg",21,IF(Atletas!E62="Adulto +100kg",22,""))))))))))))))))))))))))</f>
        <v/>
      </c>
      <c r="AT66" s="10" t="str">
        <f>IF(Atletas!F62="","",IF(Atletas!B62="Feminino",100,IF(Atletas!B62="Masculino",200,""))+(IF(Atletas!F62="Adulto 48kg",1,IF(Atletas!F62="Adulto 56kg",2,IF(Atletas!F62="Adulto 65kg",3,IF(Atletas!F62="Adulto 75kg",4,IF(Atletas!F62="Adulto +75kg",5,IF(Atletas!F62="Adulto 52kg",6,IF(Atletas!F62="Adulto 60kg",7,IF(Atletas!F62="Adulto 70kg",8,IF(Atletas!F62="Adulto 80kg",9,IF(Atletas!F62="Adulto 90kg",10,IF(Atletas!F62="Adulto +90kg",11,"")))))))))))))</f>
        <v/>
      </c>
      <c r="AY66" s="46" t="str">
        <f>IF(Atletas!G62="","",IF(Atletas!B62="Feminino",100,IF(Atletas!B62="Masculino",200,""))+(IF(Atletas!G62="Changquan Mirim",1,IF(Atletas!G62="Nanquan Mirim",2,IF(Atletas!G62="Taijiquan Mirim",3,IF(Atletas!G62="Changquan Grupo C",4,IF(Atletas!G62="Nanquan Grupo C",5,IF(Atletas!G62="Taijiquan Grupo C",6,IF(Atletas!G62="Changquan Grupo B",7,IF(Atletas!G62="Nanquan Grupo B",8,IF(Atletas!G62="Taijiquan Grupo B",9,IF(Atletas!G62="Changquan Grupo A",10,IF(Atletas!G62="Nanquan Grupo A",11,IF(Atletas!G62="Taijiquan Grupo A",12,IF(Atletas!G62="Changquan Opcional",13,IF(Atletas!G62="Nanquan Opcional",14,IF(Atletas!G62="Taijiquan Opcional",15,IF(Atletas!G62="Changquan Adulto",16,IF(Atletas!G62="Nanquan Adulto",17,IF(Atletas!G62="Taijiquan Adulto",18,""))))))))))))))))))))</f>
        <v/>
      </c>
      <c r="AZ66" s="46" t="str">
        <f>IF(Atletas!H62="","",IF(Atletas!B62="Feminino",100,IF(Atletas!B62="Masculino",200,""))+(IF(Atletas!H62="Daoshu Mirim",19,IF(Atletas!H62="Jianshu Mirim",20,IF(Atletas!H62="Nandao Mirim",21,IF(Atletas!H62="Taijijian Mirim",22,IF(Atletas!H62="Daoshu Grupo C",23,IF(Atletas!H62="Jianshu Grupo C",24,IF(Atletas!H62="Nandao Grupo C",25,IF(Atletas!H62="Taijijian Grupo C",26,IF(Atletas!H62="Daoshu Grupo B",27,IF(Atletas!H62="Jianshu Grupo B",28,IF(Atletas!H62="Nandao Grupo B",29,IF(Atletas!H62="Taijijian Grupo B",30,IF(Atletas!H62="Daoshu Grupo A",31,IF(Atletas!H62="Jianshu Grupo A",32,IF(Atletas!H62="Nandao Grupo A",33,IF(Atletas!H62="Taijijian Grupo A",34,IF(Atletas!H62="Daoshu Opcional",35,IF(Atletas!H62="Jianshu Opcional",36,IF(Atletas!H62="Nandao Opcional",37,IF(Atletas!H62="Taijijian Opcional",38,IF(Atletas!H62="Daoshu Adulto",39,IF(Atletas!H62="Jianshu Adulto",40,IF(Atletas!H62="Nandao Adulto",41,IF(Atletas!H62="Taijijian Adulto",42,""))))))))))))))))))))))))))</f>
        <v/>
      </c>
      <c r="BA66" s="46" t="str">
        <f>IF(Atletas!I62="","",IF(Atletas!B62="Feminino",100,IF(Atletas!B62="Masculino",200,""))+(IF(Atletas!I62="Gunshu Mirim",43,IF(Atletas!I62="Qiangshu Mirim",44,IF(Atletas!I62="Nangun Mirim",45,IF(Atletas!I62="Gunshu Grupo C",46,IF(Atletas!I62="Qiangshu Grupo C",47,IF(Atletas!I62="Nangun Grupo C",48,IF(Atletas!I62="Gunshu Grupo B",49,IF(Atletas!I62="Qiangshu Grupo B",50,IF(Atletas!I62="Nangun Grupo B",51,IF(Atletas!I62="Gunshu Grupo A",52,IF(Atletas!I62="Qiangshu Grupo A",53,IF(Atletas!I62="Nangun Grupo A",54,IF(Atletas!I62="Gunshu Opcional",55,IF(Atletas!I62="Qiangshu Opcional",56,IF(Atletas!I62="Nangun Opcional",57,IF(Atletas!I62="Gunshu Adulto",58,IF(Atletas!I62="Qiangshu Adulto",59,IF(Atletas!I62="Nangun Adulto",60,""))))))))))))))))))))</f>
        <v/>
      </c>
      <c r="BB66" s="52" t="str">
        <f>IF(BC66&lt;&gt;"","Nangun Adulto","")</f>
        <v/>
      </c>
      <c r="BC66" s="52" t="str">
        <f>IF(COUNTIF(AY:BA,160)&gt;0,COUNTIF(AY:BA,160),"")</f>
        <v/>
      </c>
      <c r="BD66" s="52" t="str">
        <f>IF(BE66&lt;&gt;"","Nangun Adulto","")</f>
        <v/>
      </c>
      <c r="BE66" s="52" t="str">
        <f>IF(COUNTIF(AY:BA,260)&gt;0,COUNTIF(AY:BA,260),"")</f>
        <v/>
      </c>
      <c r="BF66" s="52" t="str">
        <f>IF(Atletas!J62="","",IF(Atletas!B62="Feminino",100,IF(Atletas!B62="Masculino",200,""))+(IF(Atletas!J62="Equipe 1 Grupo B",1,IF(Atletas!J62="Equipe 2 Grupo B",2,IF(Atletas!J62="Equipe 1 Grupo A",3,IF(Atletas!J62="Equipe 2 Grupo A",4,IF(Atletas!J62="Equipe 1 Adulto",5,IF(Atletas!J62="Equipe 2 Adulto",6,""))))))))</f>
        <v/>
      </c>
      <c r="BK66" s="52" t="str">
        <f>IF(Atletas!K62="","",IF(Atletas!W62&lt;&gt;"",10000,0)+(IF(Atletas!B62="Feminino",1000,IF(Atletas!B62="Masculino",2000,""))+IF(Atletas!K62="Choylayfut A",1,IF(Atletas!K62="Hunggar A",2,IF(Atletas!K62="Wuzuquan A",3,IF(Atletas!K62="Wingchun A",4,IF(Atletas!K62="Outra Mão de Sul A",5,IF(Atletas!K62="Choylayfut B",6,IF(Atletas!K62="Hunggar B",7,IF(Atletas!K62="Wuzuquan B",8,IF(Atletas!K62="Wingchun B",9,IF(Atletas!K62="Outra Mão de Sul B",10,IF(Atletas!K62="Choylayfut C",11,IF(Atletas!K62="Hunggar C",12,IF(Atletas!K62="Wuzuquan C",13,IF(Atletas!K62="Wingchun C",14,IF(Atletas!K62="Outra Mão de Sul C",15,IF(Atletas!K62="Choylayfut D",16,IF(Atletas!K62="Hunggar D",17,IF(Atletas!K62="Wuzuquan D",18,IF(Atletas!K62="Wingchun D",19,IF(Atletas!K62="Outra Mão de Sul D",20,IF(Atletas!K62="Choylayfut E",21,IF(Atletas!K62="Hunggar E",22,IF(Atletas!K62="Wuzuquan E",23,IF(Atletas!K62="Wingchun E",24,IF(Atletas!K62="Outra Mão de Sul E",25,IF(Atletas!K62="Choylayfut F",26,IF(Atletas!K62="Hunggar F",27,IF(Atletas!K62="Wuzuquan F",28,IF(Atletas!K62="Wingchun F",29,IF(Atletas!K62="Outra Mão de Sul F",30,""))))))))))))))))))))))))))))))))</f>
        <v/>
      </c>
      <c r="BL66" s="52" t="str">
        <f>IF(Atletas!L62="","",IF(Atletas!W62&lt;&gt;"",10000,0)+(IF(Atletas!B62="Feminino",1000,IF(Atletas!B62="Masculino",2000,""))+(IF(Atletas!L62="Chaquan A",101,IF(Atletas!L62="Emeiquan A",102,IF(Atletas!L62="Fanziquan A",103,IF(Atletas!L62="Huaquan A",104,IF(Atletas!L62="Hongquan A",105,IF(Atletas!L62="Paochui A",106,IF(Atletas!L62="Piguaquan A",107,IF(Atletas!L62="Shaolinquan A",108,IF(Atletas!L62="Tanglangquan A",109,IF(Atletas!L62="Yinzhaophai A",110,IF(Atletas!L62="Tongbeiquan A",111,IF(Atletas!L62="Wudangquan A",112,IF(Atletas!L62="Outros Estilos A",113,IF(Atletas!L62="Chaquan B",114,IF(Atletas!L62="Emeiquan B",115,IF(Atletas!L62="Fanziquan B",116,IF(Atletas!L62="Huaquan B",117,IF(Atletas!L62="Hongquan B",118,IF(Atletas!L62="Paochui B",119,IF(Atletas!L62="Piguaquan B",120,IF(Atletas!L62="Shaolinquan B",121,IF(Atletas!L62="Tanglangquan B",122,IF(Atletas!L62="Yinzhaophai B",123,IF(Atletas!L62="Tongbeiquan B",124,IF(Atletas!L62="Wudangquan B",125,IF(Atletas!L62="Outros Estilos B",126,IF(Atletas!L62="Chaquan C",127,IF(Atletas!L62="Emeiquan C",128,IF(Atletas!L62="Fanziquan C",129,IF(Atletas!L62="Huaquan C",130,IF(Atletas!L62="Hongquan C",131,IF(Atletas!L62="Paochui C",132,IF(Atletas!L62="Piguaquan C",133,IF(Atletas!L62="Shaolinquan C",134,IF(Atletas!L62="Tanglangquan C",135,IF(Atletas!L62="Yinzhaophai C",136,IF(Atletas!L62="Tongbeiquan C",137,IF(Atletas!L62="Wudangquan C",138,IF(Atletas!L62="Outros Estilos C",139,0))))))))))))))))))))))))))))))))))))))))))</f>
        <v/>
      </c>
      <c r="BM66" s="52" t="str">
        <f>IF(Atletas!L62="","",IF(Atletas!W62&lt;&gt;"",10000,0)+(IF(Atletas!B62="Feminino",1000,IF(Atletas!B62="Masculino",2000,""))+(IF(Atletas!L62="Chaquan D",140,IF(Atletas!L62="Emeiquan D",141,IF(Atletas!L62="Fanziquan D",142,IF(Atletas!L62="Huaquan D",143,IF(Atletas!L62="Hongquan D",144,IF(Atletas!L62="Paochui D",145,IF(Atletas!L62="Piguaquan D",146,IF(Atletas!L62="Shaolinquan D",147,IF(Atletas!L62="Tanglangquan D",148,IF(Atletas!L62="Yinzhaophai D",149,IF(Atletas!L62="Tongbeiquan D",150,IF(Atletas!L62="Wudangquan D",151,IF(Atletas!L62="Outros Estilos D",152,IF(Atletas!L62="Chaquan E",153,IF(Atletas!L62="Emeiquan E",154,IF(Atletas!L62="Fanziquan E",155,IF(Atletas!L62="Huaquan E",156,IF(Atletas!L62="Hongquan E",157,IF(Atletas!L62="Paochui E",158,IF(Atletas!L62="Piguaquan E",159,IF(Atletas!L62="Shaolinquan E",160,IF(Atletas!L62="Tanglangquan E",161,IF(Atletas!L62="Yinzhaophai E",162,IF(Atletas!L62="Tongbeiquan E",163,IF(Atletas!L62="Wudangquan E",164,IF(Atletas!L62="Outros Estilos E",165,IF(Atletas!L62="Chaquan F",166,IF(Atletas!L62="Emeiquan F",167,IF(Atletas!L62="Fanziquan F",168,IF(Atletas!L62="Huaquan F",169,IF(Atletas!L62="Hongquan F",170,IF(Atletas!L62="Paochui F",171,IF(Atletas!L62="Piguaquan F",172,IF(Atletas!L62="Shaolinquan F",173,IF(Atletas!L62="Tanglangquan F",174,IF(Atletas!L62="Yinzhaophai F",175,IF(Atletas!L62="Tongbeiquan F",176,IF(Atletas!L62="Wudangquan F",177,IF(Atletas!L62="Outros Estilos F",178,0))))))))))))))))))))))))))))))))))))))))))</f>
        <v/>
      </c>
      <c r="BN66" s="52" t="str">
        <f>IF(Atletas!M62="","",IF(Atletas!W62&lt;&gt;"",10000,0)+(IF(Atletas!B62="Feminino",1000,IF(Atletas!B62="Masculino",2000,""))+(IF(Atletas!M62="Ditangquan A",201,IF(Atletas!M62="Houquan A",202,IF(Atletas!M62="Zuiquan A",203,IF(Atletas!M62="Ditangquan B",204,IF(Atletas!M62="Houquan B",205,IF(Atletas!M62="Zuiquan B",206,IF(Atletas!M62="Ditangquan C",207,IF(Atletas!M62="Houquan C",208,IF(Atletas!M62="Zuiquan C",209,IF(Atletas!M62="Ditangquan D",210,IF(Atletas!M62="Houquan D",211,IF(Atletas!M62="Zuiquan D",212,IF(Atletas!M62="Ditangquan E",213,IF(Atletas!M62="Houquan E",214,IF(Atletas!M62="Zuiquan E",215,IF(Atletas!M62="Ditangquan F",216,IF(Atletas!M62="Houquan F",217,IF(Atletas!M62="Zuiquan F",218,"")))))))))))))))))))))</f>
        <v/>
      </c>
      <c r="BO66" s="52" t="str">
        <f>IF(Atletas!N62="","",IF(Atletas!W62&lt;&gt;"",10000,0)+IF(Atletas!B62="Feminino",1000,IF(Atletas!B62="Masculino",2000,""))+IF(Atletas!N62="Yang A",301,IF(Atletas!N62="Chen A",30,IF(Atletas!N62="Sun A",303,IF(Atletas!N62="Wu A",304,IF(Atletas!N62="Wu-Hao A",305,IF(Atletas!N62="Outro Taijiquan A",306,IF(Atletas!N62="Yang B",307,IF(Atletas!N62="Chen B",308,IF(Atletas!N62="Sun B",309,IF(Atletas!N62="Wu B",310,IF(Atletas!N62="Wu-Hao B",311,IF(Atletas!N62="Outro Taijiquan B",312,IF(Atletas!N62="Yang C",313,IF(Atletas!N62="Chen C",314,IF(Atletas!N62="Sun C",315,IF(Atletas!N62="Wu C",316,IF(Atletas!N62="Wu-Hao C",317,IF(Atletas!N62="Outro Taijiquan C",318,IF(Atletas!N62="Yang D",319,IF(Atletas!N62="Chen D",320,IF(Atletas!N62="Sun D",321,IF(Atletas!N62="Wu D",322,IF(Atletas!N62="Wu-Hao D",323,IF(Atletas!N62="Outro Taijiquan D",324,IF(Atletas!N62="Yang E",325,IF(Atletas!N62="Chen E",326,IF(Atletas!N62="Sun E",327,IF(Atletas!N62="Wu E",328,IF(Atletas!N62="Wu-Hao E",329,IF(Atletas!N62="Outro Taijiquan E",330,IF(Atletas!N62="Yang F",331,IF(Atletas!N62="Chen F",332,IF(Atletas!N62="Sun F",333,IF(Atletas!N62="Wu F",334,IF(Atletas!N62="Wu-Hao F",335,IF(Atletas!N62="Outro Taijiquan F",336,"")))))))))))))))))))))))))))))))))))))</f>
        <v/>
      </c>
      <c r="BP66" s="52" t="str">
        <f>IF(Atletas!O62="","",IF(Atletas!W62&lt;&gt;"",10000,0)+IF(Atletas!B62="Feminino",1000,IF(Atletas!B62="Masculino",2000,""))+IF(OR(Atletas!O62="Yang 26 A",Atletas!O62="Yang 40 A"),401,IF(OR(Atletas!O62="Chen 25 A",Atletas!O62="Chen 36 A",Atletas!O62="Chen 56 A"),402,IF(Atletas!O62="Sun 73 A",403,IF(Atletas!O62="Wu 45 A",404,IF(Atletas!O62="Wu-Hao 46 A",405,IF(OR(Atletas!O62="Taijiquan 16 A",Atletas!O62="Taijiquan 24 A",Atletas!O62="Taijiquan 32 A",Atletas!O62="Taijiquan 42 A"),406,IF(OR(Atletas!O62="Yang 26 B",Atletas!O62="Yang 40 B"),407,IF(OR(Atletas!O62="Chen 25 B",Atletas!O62="Chen 36 B",Atletas!O62="Chen 56 B"),408,IF(Atletas!O62="Sun 73 B",409,IF(Atletas!O62="Wu 45 B",410,IF(Atletas!O62="Wu-Hao 46 B",411,IF(OR(Atletas!O62="Taijiquan 16 B",Atletas!O62="Taijiquan 24 B",Atletas!O62="Taijiquan 32 B",Atletas!O62="Taijiquan 42 B"),412,IF(OR(Atletas!O62="Yang 26 C",Atletas!O62="Yang 40 C"),413,IF(OR(Atletas!O62="Chen 25 C",Atletas!O62="Chen 36 C",Atletas!O62="Chen 56 C"),414,IF(Atletas!O62="Sun 73 C",415,IF(Atletas!O62="Wu 45 C",416,IF(Atletas!O62="Wu-Hao 46 C",417,IF(OR(Atletas!O62="Taijiquan 16 C",Atletas!O62="Taijiquan 24 C",Atletas!O62="Taijiquan 32 C",Atletas!O62="Taijiquan 42 C"),418,0)))))))))))))))))))</f>
        <v/>
      </c>
      <c r="BQ66" s="52" t="str">
        <f>IF(Atletas!O62="","",IF(Atletas!W62&lt;&gt;"",10000,0)+IF(Atletas!B62="Feminino",1000,IF(Atletas!B62="Masculino",2000,""))+IF(OR(Atletas!O62="Yang 26 D",Atletas!O62="Yang 40 D"),419,IF(OR(Atletas!O62="Chen 25 D",Atletas!O62="Chen 36 D",Atletas!O62="Chen 56 D"),420,IF(Atletas!O62="Sun 73 D",421,IF(Atletas!O62="Wu 45 D",422,IF(Atletas!O62="Wu-Hao 46 D",423,IF(OR(Atletas!O62="Taijiquan 16 D",Atletas!O62="Taijiquan 24 D",Atletas!O62="Taijiquan 32 D",Atletas!O62="Taijiquan 42 D"),424,IF(OR(Atletas!O62="Yang 26 E",Atletas!O62="Yang 40 E"),425,IF(OR(Atletas!O62="Chen 25 E",Atletas!O62="Chen 36 E",Atletas!O62="Chen 56 E"),426,IF(Atletas!O62="Sun 73 E",427,IF(Atletas!O62="Wu 45 E",428,IF(Atletas!O62="Wu-Hao 46 E",429,IF(OR(Atletas!O62="Taijiquan 16 E",Atletas!O62="Taijiquan 24 E",Atletas!O62="Taijiquan 32 E",Atletas!O62="Taijiquan 42 E"),430,IF(OR(Atletas!O62="Yang 26 F",Atletas!O62="Yang 40 F"),431,IF(OR(Atletas!O62="Chen 25 F",Atletas!O62="Chen 36 F",Atletas!O62="Chen 56 F"),432,IF(Atletas!O62="Sun 73 F",433,IF(Atletas!O62="Wu 45 F",434,IF(Atletas!O62="Wu-Hao 46 F",435,IF(OR(Atletas!O62="Taijiquan 16 F",Atletas!O62="Taijiquan 24 F",Atletas!O62="Taijiquan 32 F",Atletas!O62="Taijiquan 42 F"),436,0)))))))))))))))))))</f>
        <v/>
      </c>
      <c r="BR66" s="52" t="str">
        <f>IF(Atletas!P62="","",IF(Atletas!W62&lt;&gt;"",10000,0)+IF(Atletas!B62="Feminino",1000,IF(Atletas!B62="Masculino",2000,""))+IF(Atletas!P62="Xingyiquan A",501,IF(Atletas!P62="Baguazhang A",502,IF(Atletas!P62="Outro Estilo Interno A",503,IF(Atletas!P62="Xingyiquan B",504,IF(Atletas!P62="Baguazhang B",505,IF(Atletas!P62="Outro Estilo Interno B",506,IF(Atletas!P62="Xingyiquan C",507,IF(Atletas!P62="Baguazhang C",508,IF(Atletas!P62="Outro Estilo Interno C",509,IF(Atletas!P62="Xingyiquan D",510,IF(Atletas!P62="Baguazhang D",511,IF(Atletas!P62="Outro Estilo Interno D",512,IF(Atletas!P62="Xingyiquan E",513,IF(Atletas!P62="Baguazhang E",514,IF(Atletas!P62="Outro Estilo Interno E",515,IF(Atletas!P62="Xingyiquan F",516,IF(Atletas!P62="Baguazhang F",517,IF(Atletas!P62="Outro Estilo Interno F",518, "")))))))))))))))))))</f>
        <v/>
      </c>
      <c r="BS66" s="52" t="str">
        <f>IF(Atletas!Q62="","",IF(Atletas!W62&lt;&gt;"",10000,0)+IF(Atletas!B62="Feminino",1000,IF(Atletas!B62="Masculino",2000,""))+IF(Atletas!Q62="Dao A",601,IF(Atletas!Q62="Jian A",602,IF(Atletas!Q62="Bishou A",603,IF(Atletas!Q62="Shan A",604,IF(Atletas!Q62="Outra Arma Curta A",605,IF(Atletas!Q62="Dao B",606,IF(Atletas!Q62="Jian B",607,IF(Atletas!Q62="Bishou B",608,IF(Atletas!Q62="Shan B",609,IF(Atletas!Q62="Outra Arma Curta B",610,IF(Atletas!Q62="Dao C",611,IF(Atletas!Q62="Jian C",612,IF(Atletas!Q62="Bishou C",613,IF(Atletas!Q62="Shan C",614,IF(Atletas!Q62="Outra Arma Curta C",615,IF(Atletas!Q62="Dao D",616,IF(Atletas!Q62="Jian D",617,IF(Atletas!Q62="Bishou D",618,IF(Atletas!Q62="Shan D",619,IF(Atletas!Q62="Outra Arma Curta D",620,IF(Atletas!Q62="Dao E",621,IF(Atletas!Q62="Jian E",622,IF(Atletas!Q62="Bishou E",623,IF(Atletas!Q62="Shan E",624,IF(Atletas!Q62="Outra Arma Curta E",625,IF(Atletas!Q62="Dao F",626,IF(Atletas!Q62="Jian F",627,IF(Atletas!Q62="Bishou F",628,IF(Atletas!Q62="Shan F",629,IF(Atletas!Q62="Outra Arma Curta F",630, "")))))))))))))))))))))))))))))))</f>
        <v/>
      </c>
      <c r="BT66" s="52" t="str">
        <f>IF(Atletas!R62="","",IF(Atletas!W62&lt;&gt;"",10000,0)+IF(Atletas!B62="Feminino",1000,IF(Atletas!B62="Masculino",2000,""))+IF(Atletas!R62="Gun A",701,IF(Atletas!R62="Qiang A",702,IF(Atletas!R62="Pudao / Guandao A",703,IF(Atletas!R62="Outra Arma Longa A",704,IF(Atletas!R62="Gun B",705,IF(Atletas!R62="Qiang B",706,IF(Atletas!R62="Pudao / Guandao B",707,IF(Atletas!R62="Outra Arma Longa B",708,IF(Atletas!R62="Gun C",709,IF(Atletas!R62="Qiang C",710,IF(Atletas!R62="Pudao / Guandao C",711,IF(Atletas!R62="Outra Arma Longa C",712,IF(Atletas!R62="Gun D",713,IF(Atletas!R62="Qiang D",714,IF(Atletas!R62="Pudao / Guandao D",715,IF(Atletas!R62="Outra Arma Longa D",716,IF(Atletas!R62="Gun E",717,IF(Atletas!R62="Qiang E",718,IF(Atletas!R62="Pudao / Guandao E",719,IF(Atletas!R62="Outra Arma Longa E",720,IF(Atletas!R62="Gun F",721,IF(Atletas!R62="Qiang F",722,IF(Atletas!R62="Pudao / Guandao F",723,IF(Atletas!R62="Outra Arma Longa F",724,"")))))))))))))))))))))))))</f>
        <v/>
      </c>
      <c r="BU66" s="52" t="str">
        <f>IF(Atletas!S62="","",IF(Atletas!W62&lt;&gt;"",10000,0)+IF(Atletas!B62="Feminino",1000,IF(Atletas!B62="Masculino",2000,""))+IF(Atletas!S62="Arma Dupla A",801,IF(Atletas!S62="Arma Maleável A",802,IF(Atletas!S62="Arma Dupla B",803,IF(Atletas!S62="Arma Maleável B",804,IF(Atletas!S62="Arma Dupla C",805,IF(Atletas!S62="Arma Maleável C",806,IF(Atletas!S62="Arma Dupla D",807,IF(Atletas!S62="Arma Maleável D",808,IF(Atletas!S62="Arma Dupla E",809,IF(Atletas!S62="Arma Maleável E",810,IF(Atletas!S62="Arma Dupla F",811,IF(Atletas!S62="Arma Maleável F",812, "")))))))))))))</f>
        <v/>
      </c>
      <c r="BV66" s="52" t="str">
        <f>IF(Atletas!T62="","",IF(Atletas!W62&lt;&gt;"",10000,0)+IF(Atletas!B62="Feminino",1000,IF(Atletas!B62="Masculino",2000,""))+IF(Atletas!T62="Taijijian Yang A",901,IF(Atletas!T62="Taijijian Chen A",902,IF(Atletas!T62="Taijijian Sun A",903,IF(Atletas!T62="Taijijian Wu A",904,IF(Atletas!T62="Taijijian Wu-Hao A",905,IF(Atletas!T62="Taijijian 32 A",906,IF(Atletas!T62="Taijijian 42 A",907,IF(Atletas!T62="Taijijian Yang B",908,IF(Atletas!T62="Taijijian Chen B",909,IF(Atletas!T62="Taijijian Sun B",910,IF(Atletas!T62="Taijijian Wu B",911,IF(Atletas!T62="Taijijian Wu-Hao B",912,IF(Atletas!T62="Taijijian 32 B",913,IF(Atletas!T62="Taijijian 42 B",914,IF(Atletas!T62="Taijijian Yang C",915,IF(Atletas!T62="Taijijian Chen C",916,IF(Atletas!T62="Taijijian Sun C",917,IF(Atletas!T62="Taijijian Wu C",918,IF(Atletas!T62="Taijijian Wu-Hao C",919,IF(Atletas!T62="Taijijian 32 C",920,IF(Atletas!T62="Taijijian 42 C",921,IF(Atletas!T62="Taijijian Yang D",922,IF(Atletas!T62="Taijijian Chen D",923,IF(Atletas!T62="Taijijian Sun D",924,IF(Atletas!T62="Taijijian Wu D",925,IF(Atletas!T62="Taijijian Wu-Hao D",926,IF(Atletas!T62="Taijijian 32 D",927,IF(Atletas!T62="Taijijian 42 D",928,IF(Atletas!T62="Taijijian Yang E",929,IF(Atletas!T62="Taijijian Chen E",930,IF(Atletas!T62="Taijijian Sun E",931,IF(Atletas!T62="Taijijian Wu E",932,IF(Atletas!T62="Taijijian Wu-Hao E",933,IF(Atletas!T62="Taijijian 32 E",934,IF(Atletas!T62="Taijijian 42 E",935,IF(Atletas!T62="Taijijian Yang F",936,IF(Atletas!T62="Taijijian Chen F",937,IF(Atletas!T62="Taijijian Sun F",938,IF(Atletas!T62="Taijijian Wu F",939,IF(Atletas!T62="Taijijian Wu-Hao F",940,IF(Atletas!T62="Taijijian 32 F",941,IF(Atletas!T62="Taijijian 42 F",942,"")))))))))))))))))))))))))))))))))))))))))))</f>
        <v/>
      </c>
      <c r="BW66" s="52" t="str">
        <f>IF(Atletas!U62="","",IF(Atletas!W62&lt;&gt;"",10000,0)+IF(Atletas!B62="Feminino",1000,IF(Atletas!B62="Masculino",2000,""))+IF(Atletas!T62="Taijijian 42 F",942,IF(Atletas!U62="Taijidao A",943,IF(Atletas!U62="Taijishan A",944,IF(Atletas!U62="Taijiqiang A",945,IF(Atletas!U62="Taijidao B",946,IF(Atletas!U62="Taijishan B",947,IF(Atletas!U62="Taijiqiang B",948,IF(Atletas!U62="Taijidao C",949,IF(Atletas!U62="Taijishan C",950,IF(Atletas!U62="Taijiqiang C",951,IF(Atletas!U62="Taijidao D",952,IF(Atletas!U62="Taijishan D",953,IF(Atletas!U62="Taijiqiang D",954,IF(Atletas!U62="Taijidao E",955,IF(Atletas!U62="Taijishan E",956,IF(Atletas!U62="Taijiqiang E",957,IF(Atletas!U62="Taijidao F",958,IF(Atletas!U62="Taijishan F",959,IF(Atletas!U62="Taijiqiang F",960))))))))))))))))))))</f>
        <v/>
      </c>
      <c r="BX66" s="64" t="str">
        <f>IF(BY66&lt;&gt;"","Huaquan C","")</f>
        <v/>
      </c>
      <c r="BY66" s="64" t="str">
        <f>IF(COUNTIF(BK:BW,1130)&gt;0,COUNTIF(BK:BW,1130),"")</f>
        <v/>
      </c>
      <c r="BZ66" s="64" t="str">
        <f>IF(CA66&lt;&gt;"","Huaquan C","")</f>
        <v/>
      </c>
      <c r="CA66" s="64" t="str">
        <f>IF(COUNTIF(BK:BW,2130)&gt;0,COUNTIF(BK:BW,2130),"")</f>
        <v/>
      </c>
      <c r="CB66" s="64" t="str">
        <f>IF(CC66&lt;&gt;"","Huaquan C","")</f>
        <v/>
      </c>
      <c r="CC66" s="64" t="str">
        <f>IF(COUNTIF(BK:BW,11130)&gt;0,COUNTIF(BK:BW,11130),"")</f>
        <v/>
      </c>
      <c r="CD66" s="64" t="str">
        <f>IF(CE66&lt;&gt;"","Huaquan C","")</f>
        <v/>
      </c>
      <c r="CE66" s="64" t="str">
        <f>IF(COUNTIF(BK:BW,12130)&gt;0,COUNTIF(BK:BW,12130),"")</f>
        <v/>
      </c>
      <c r="CF66" s="52" t="str">
        <f xml:space="preserve"> IF(Atletas!V62="","",IF(Atletas!V62="Duilian de Mãos AB - Equipe 1",1,IF(Atletas!V62="Duilian de Mãos AB - Equipe 2",2,IF(Atletas!V62="Duilian de Armas AB - Equipe 1",3,IF(Atletas!V62="Duilian de Armas AB - Equipe 2",4,IF(Atletas!V62="Duilian de Tuishou - Equipe 1",5,IF(Atletas!V62="Duilian de Tuishou - Equipe 2",6,IF(Atletas!V62="Grupo Externo AB - Equipe 1",7,IF(Atletas!V62="Grupo Externo AB - Equipe 2",8,IF(Atletas!V62="Grupo Interno AB - Equipe 1",9,IF(Atletas!V62="Grupo Interno AB - Equipe 2",10,IF(Atletas!V62="Duilian de Mãos CD - Equipe 1",11,IF(Atletas!V62="Duilian de Mãos CD - Equipe 2",12,IF(Atletas!V62="Duilian de Armas CD - Equipe 1",13,IF(Atletas!V62="Duilian de Armas CD - Equipe 2",14,IF(Atletas!V62="Duilian de Tuishou - Equipe 1",15,IF(Atletas!V62="Duilian de Tuishou - Equipe 2",16,IF(Atletas!V62="Grupo Externo CDEF - Equipe 1",17,IF(Atletas!V62="Grupo Externo CDEF - Equipe 2",18,IF(Atletas!V62="Grupo Interno CDEF - Equipe 1",19,IF(Atletas!V62="Grupo Interno CDEF - Equipe 2",20,IF(Atletas!V62="Duilian de Mãos EF - Equipe 1",21,IF(Atletas!V62="Duilian de Mãos EF - Equipe 2",22,IF(Atletas!V62="Duilian de Armas EF - Equipe 1",23,IF(Atletas!V62="Duilian de Armas EF - Equipe 2",24,IF(Atletas!V62="Duilian de Tuishou - Equipe 1",25,IF(Atletas!V62="Duilian de Tuishou - Equipe 2",26,"")))))))))))))))))))))))))))</f>
        <v/>
      </c>
      <c r="CR66" s="71"/>
    </row>
    <row r="67" spans="2:96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 t="str">
        <f t="array" ref="N67">IFERROR(INDEX(BB$7:BB$66,SMALL(IF(BB$7:BB$66&lt;&gt;"",ROW(BB$7:BB$66)-ROW(BB$7)+1),ROWS(BB$7:BB66))),"")</f>
        <v/>
      </c>
      <c r="O67" s="4" t="str">
        <f t="array" ref="O67">IFERROR(INDEX(BC$7:BC$66,SMALL(IF(BC$7:BC$66&lt;&gt;"",ROW(BC$7:BC$66)-ROW(BC$7)+1),ROWS(BC$7:BC66))),"")</f>
        <v/>
      </c>
      <c r="P67" s="4" t="str">
        <f t="array" ref="P67">IFERROR(INDEX(BD$7:BD$66,SMALL(IF(BD$7:BD$66&lt;&gt;"",ROW(BD$7:BD$66)-ROW(BD$7)+1),ROWS(BD$7:BD66))),"")</f>
        <v/>
      </c>
      <c r="Q67" s="4" t="str">
        <f t="array" ref="Q67">IFERROR(INDEX(BE$7:BE$66,SMALL(IF(BE$7:BE$66&lt;&gt;"",ROW(BE$7:BE$66)-ROW(BE$7)+1),ROWS(BE$7:BE66))),"")</f>
        <v/>
      </c>
      <c r="R67" s="4"/>
      <c r="S67" s="4"/>
      <c r="T67" s="31"/>
      <c r="U67" s="4"/>
      <c r="V67" s="4" t="str">
        <f t="array" ref="V67">IFERROR(INDEX(BX$7:BX$336,SMALL(IF(BX$7:BX$336&lt;&gt;"",ROW(BX$7:BX$336)-ROW(BX$7)+1),ROWS(BX$7:BX66))),"")</f>
        <v/>
      </c>
      <c r="W67" s="4" t="str">
        <f t="array" ref="W67">IFERROR(INDEX(BY$7:BY$336,SMALL(IF(BY$7:BY$336&lt;&gt;"",ROW(BY$7:BY$336)-ROW(BY$7)+1),ROWS(BY$7:BY66))),"")</f>
        <v/>
      </c>
      <c r="X67" s="4" t="str">
        <f t="array" ref="X67">IFERROR(INDEX(BZ$7:BZ$336,SMALL(IF(BZ$7:BZ$336&lt;&gt;"",ROW(BZ$7:BZ$336)-ROW(BZ$7)+1),ROWS(BZ$7:BZ66))),"")</f>
        <v/>
      </c>
      <c r="Y67" s="4" t="str">
        <f t="array" ref="Y67">IFERROR(INDEX(CA$7:CA$336,SMALL(IF(CA$7:CA$336&lt;&gt;"",ROW(CA$7:CA$336)-ROW(CA$7)+1),ROWS(CA$7:CA66))),"")</f>
        <v/>
      </c>
      <c r="Z67" s="4" t="str">
        <f t="array" ref="Z67">IFERROR(INDEX(CB$7:CB$378,SMALL(IF(CB$7:CB$378&lt;&gt;"",ROW(CB$7:CB$378)-ROW(CB$7)+1),ROWS(CB$7:CB66))),"")</f>
        <v/>
      </c>
      <c r="AA67" s="4" t="str">
        <f t="array" ref="AA67">IFERROR(INDEX(CC$7:CC$378,SMALL(IF(CC$7:CC$378&lt;&gt;"",ROW(CC$7:CC$378)-ROW(CC$7)+1),ROWS(CC$7:CC66))),"")</f>
        <v/>
      </c>
      <c r="AB67" s="4" t="str">
        <f t="array" ref="AB67">IFERROR(INDEX(CD$7:CD$378,SMALL(IF(CD$7:CD$378&lt;&gt;"",ROW(CD$7:CD$378)-ROW(CD$7)+1),ROWS(CD$7:CD66))),"")</f>
        <v/>
      </c>
      <c r="AC67" s="4" t="str">
        <f t="array" ref="AC67">IFERROR(INDEX(CE$7:CE$378,SMALL(IF(CE$7:CE$378&lt;&gt;"",ROW(CE$7:CE$378)-ROW(CE$7)+1),ROWS(CE$7:CE66))),"")</f>
        <v/>
      </c>
      <c r="AD67" s="4"/>
      <c r="AE67" s="4"/>
      <c r="AF67" s="4"/>
      <c r="AG67" s="4"/>
      <c r="AH67" s="4"/>
      <c r="AI67" s="4"/>
      <c r="AJ67" s="46" t="str">
        <f>IF(Atletas!D63="","",IF(Atletas!B63="Feminino",100,IF(Atletas!B63="Masculino",200,""))+(IF(Atletas!D63="Infantil 39kg",1,IF(Atletas!D63="Infantil 42kg",2,IF(Atletas!D63="Infantil 45kg",3,IF(Atletas!D63="Infantil 48kg",4,IF(Atletas!D63="Infantil 52kg",5,IF(Atletas!D63="Infantil 56kg",6,IF(Atletas!D63="Infantil 60kg",7,IF(Atletas!D63="Juvenil 48kg",8,IF(Atletas!D63="Juvenil 52kg",9,IF(Atletas!D63="Juvenil 56kg",10,IF(Atletas!D63="Juvenil 60kg",11,IF(Atletas!D63="Juvenil 65kg",12,IF(Atletas!D63="Juvenil 70kg",13,IF(Atletas!D63="Juvenil 75kg",14,IF(Atletas!D63="Juvenil 80kg",15,IF(Atletas!D63="Adulto 48kg",16,IF(Atletas!D63="Adulto 52kg",17,IF(Atletas!D63="Adulto 56kg",18,IF(Atletas!D63="Adulto 60kg",19,IF(Atletas!D63="Adulto 65kg",20,IF(Atletas!D63="Adulto 70kg",21,IF(Atletas!D63="Adulto 75kg",22,IF(Atletas!D63="Adulto 80kg",23,IF(Atletas!D63="Adulto 85kg",24,IF(Atletas!D63="Adulto 90kg",25,IF(Atletas!D63="Adulto +90kg",26,""))))))))))))))))))))))))))))</f>
        <v/>
      </c>
      <c r="AO67" s="10" t="str">
        <f>IF(Atletas!E63="","",IF(Atletas!B63="Feminino",100,IF(Atletas!B63="Masculino",200,""))+(IF(Atletas!E63="Juvenil 44kg",1,IF(Atletas!E63="Juvenil 48kg",2,IF(Atletas!E63="Juvenil 52kg",3,IF(Atletas!E63="Juvenil 56kg",4,IF(Atletas!E63="Juvenil 60kg",5,IF(Atletas!E63="Juvenil 65kg",6,IF(Atletas!E63="Juvenil 70kg",7,IF(Atletas!E63="Juvenil 75kg",8,IF(Atletas!E63="Juvenil 82kg",9,IF(Atletas!E63="Juvenil 90kg",10,IF(Atletas!E63="Juvenil 100kg",11,IF(Atletas!E63="Adulto 48kg",12,IF(Atletas!E63="Adulto 52kg",13,IF(Atletas!E63="Adulto 56kg",14,IF(Atletas!E63="Adulto 60kg",15,IF(Atletas!E63="Adulto 65kg",16,IF(Atletas!E63="Adulto 70kg",17,IF(Atletas!E63="Adulto 75kg",18,IF(Atletas!E63="Adulto 82kg",19,IF(Atletas!E63="Adulto 90kg",20,IF(Atletas!E63="Adulto 100kg",21,IF(Atletas!E63="Adulto +100kg",22,""))))))))))))))))))))))))</f>
        <v/>
      </c>
      <c r="AT67" s="10" t="str">
        <f>IF(Atletas!F63="","",IF(Atletas!B63="Feminino",100,IF(Atletas!B63="Masculino",200,""))+(IF(Atletas!F63="Adulto 48kg",1,IF(Atletas!F63="Adulto 56kg",2,IF(Atletas!F63="Adulto 65kg",3,IF(Atletas!F63="Adulto 75kg",4,IF(Atletas!F63="Adulto +75kg",5,IF(Atletas!F63="Adulto 52kg",6,IF(Atletas!F63="Adulto 60kg",7,IF(Atletas!F63="Adulto 70kg",8,IF(Atletas!F63="Adulto 80kg",9,IF(Atletas!F63="Adulto 90kg",10,IF(Atletas!F63="Adulto +90kg",11,"")))))))))))))</f>
        <v/>
      </c>
      <c r="AY67" s="46" t="str">
        <f>IF(Atletas!G63="","",IF(Atletas!B63="Feminino",100,IF(Atletas!B63="Masculino",200,""))+(IF(Atletas!G63="Changquan Mirim",1,IF(Atletas!G63="Nanquan Mirim",2,IF(Atletas!G63="Taijiquan Mirim",3,IF(Atletas!G63="Changquan Grupo C",4,IF(Atletas!G63="Nanquan Grupo C",5,IF(Atletas!G63="Taijiquan Grupo C",6,IF(Atletas!G63="Changquan Grupo B",7,IF(Atletas!G63="Nanquan Grupo B",8,IF(Atletas!G63="Taijiquan Grupo B",9,IF(Atletas!G63="Changquan Grupo A",10,IF(Atletas!G63="Nanquan Grupo A",11,IF(Atletas!G63="Taijiquan Grupo A",12,IF(Atletas!G63="Changquan Opcional",13,IF(Atletas!G63="Nanquan Opcional",14,IF(Atletas!G63="Taijiquan Opcional",15,IF(Atletas!G63="Changquan Adulto",16,IF(Atletas!G63="Nanquan Adulto",17,IF(Atletas!G63="Taijiquan Adulto",18,""))))))))))))))))))))</f>
        <v/>
      </c>
      <c r="AZ67" s="46" t="str">
        <f>IF(Atletas!H63="","",IF(Atletas!B63="Feminino",100,IF(Atletas!B63="Masculino",200,""))+(IF(Atletas!H63="Daoshu Mirim",19,IF(Atletas!H63="Jianshu Mirim",20,IF(Atletas!H63="Nandao Mirim",21,IF(Atletas!H63="Taijijian Mirim",22,IF(Atletas!H63="Daoshu Grupo C",23,IF(Atletas!H63="Jianshu Grupo C",24,IF(Atletas!H63="Nandao Grupo C",25,IF(Atletas!H63="Taijijian Grupo C",26,IF(Atletas!H63="Daoshu Grupo B",27,IF(Atletas!H63="Jianshu Grupo B",28,IF(Atletas!H63="Nandao Grupo B",29,IF(Atletas!H63="Taijijian Grupo B",30,IF(Atletas!H63="Daoshu Grupo A",31,IF(Atletas!H63="Jianshu Grupo A",32,IF(Atletas!H63="Nandao Grupo A",33,IF(Atletas!H63="Taijijian Grupo A",34,IF(Atletas!H63="Daoshu Opcional",35,IF(Atletas!H63="Jianshu Opcional",36,IF(Atletas!H63="Nandao Opcional",37,IF(Atletas!H63="Taijijian Opcional",38,IF(Atletas!H63="Daoshu Adulto",39,IF(Atletas!H63="Jianshu Adulto",40,IF(Atletas!H63="Nandao Adulto",41,IF(Atletas!H63="Taijijian Adulto",42,""))))))))))))))))))))))))))</f>
        <v/>
      </c>
      <c r="BA67" s="46" t="str">
        <f>IF(Atletas!I63="","",IF(Atletas!B63="Feminino",100,IF(Atletas!B63="Masculino",200,""))+(IF(Atletas!I63="Gunshu Mirim",43,IF(Atletas!I63="Qiangshu Mirim",44,IF(Atletas!I63="Nangun Mirim",45,IF(Atletas!I63="Gunshu Grupo C",46,IF(Atletas!I63="Qiangshu Grupo C",47,IF(Atletas!I63="Nangun Grupo C",48,IF(Atletas!I63="Gunshu Grupo B",49,IF(Atletas!I63="Qiangshu Grupo B",50,IF(Atletas!I63="Nangun Grupo B",51,IF(Atletas!I63="Gunshu Grupo A",52,IF(Atletas!I63="Qiangshu Grupo A",53,IF(Atletas!I63="Nangun Grupo A",54,IF(Atletas!I63="Gunshu Opcional",55,IF(Atletas!I63="Qiangshu Opcional",56,IF(Atletas!I63="Nangun Opcional",57,IF(Atletas!I63="Gunshu Adulto",58,IF(Atletas!I63="Qiangshu Adulto",59,IF(Atletas!I63="Nangun Adulto",60,""))))))))))))))))))))</f>
        <v/>
      </c>
      <c r="BC67" s="52"/>
      <c r="BF67" s="52" t="str">
        <f>IF(Atletas!J63="","",IF(Atletas!B63="Feminino",100,IF(Atletas!B63="Masculino",200,""))+(IF(Atletas!J63="Equipe 1 Grupo B",1,IF(Atletas!J63="Equipe 2 Grupo B",2,IF(Atletas!J63="Equipe 1 Grupo A",3,IF(Atletas!J63="Equipe 2 Grupo A",4,IF(Atletas!J63="Equipe 1 Adulto",5,IF(Atletas!J63="Equipe 2 Adulto",6,""))))))))</f>
        <v/>
      </c>
      <c r="BK67" s="52" t="str">
        <f>IF(Atletas!K63="","",IF(Atletas!W63&lt;&gt;"",10000,0)+(IF(Atletas!B63="Feminino",1000,IF(Atletas!B63="Masculino",2000,""))+IF(Atletas!K63="Choylayfut A",1,IF(Atletas!K63="Hunggar A",2,IF(Atletas!K63="Wuzuquan A",3,IF(Atletas!K63="Wingchun A",4,IF(Atletas!K63="Outra Mão de Sul A",5,IF(Atletas!K63="Choylayfut B",6,IF(Atletas!K63="Hunggar B",7,IF(Atletas!K63="Wuzuquan B",8,IF(Atletas!K63="Wingchun B",9,IF(Atletas!K63="Outra Mão de Sul B",10,IF(Atletas!K63="Choylayfut C",11,IF(Atletas!K63="Hunggar C",12,IF(Atletas!K63="Wuzuquan C",13,IF(Atletas!K63="Wingchun C",14,IF(Atletas!K63="Outra Mão de Sul C",15,IF(Atletas!K63="Choylayfut D",16,IF(Atletas!K63="Hunggar D",17,IF(Atletas!K63="Wuzuquan D",18,IF(Atletas!K63="Wingchun D",19,IF(Atletas!K63="Outra Mão de Sul D",20,IF(Atletas!K63="Choylayfut E",21,IF(Atletas!K63="Hunggar E",22,IF(Atletas!K63="Wuzuquan E",23,IF(Atletas!K63="Wingchun E",24,IF(Atletas!K63="Outra Mão de Sul E",25,IF(Atletas!K63="Choylayfut F",26,IF(Atletas!K63="Hunggar F",27,IF(Atletas!K63="Wuzuquan F",28,IF(Atletas!K63="Wingchun F",29,IF(Atletas!K63="Outra Mão de Sul F",30,""))))))))))))))))))))))))))))))))</f>
        <v/>
      </c>
      <c r="BL67" s="52" t="str">
        <f>IF(Atletas!L63="","",IF(Atletas!W63&lt;&gt;"",10000,0)+(IF(Atletas!B63="Feminino",1000,IF(Atletas!B63="Masculino",2000,""))+(IF(Atletas!L63="Chaquan A",101,IF(Atletas!L63="Emeiquan A",102,IF(Atletas!L63="Fanziquan A",103,IF(Atletas!L63="Huaquan A",104,IF(Atletas!L63="Hongquan A",105,IF(Atletas!L63="Paochui A",106,IF(Atletas!L63="Piguaquan A",107,IF(Atletas!L63="Shaolinquan A",108,IF(Atletas!L63="Tanglangquan A",109,IF(Atletas!L63="Yinzhaophai A",110,IF(Atletas!L63="Tongbeiquan A",111,IF(Atletas!L63="Wudangquan A",112,IF(Atletas!L63="Outros Estilos A",113,IF(Atletas!L63="Chaquan B",114,IF(Atletas!L63="Emeiquan B",115,IF(Atletas!L63="Fanziquan B",116,IF(Atletas!L63="Huaquan B",117,IF(Atletas!L63="Hongquan B",118,IF(Atletas!L63="Paochui B",119,IF(Atletas!L63="Piguaquan B",120,IF(Atletas!L63="Shaolinquan B",121,IF(Atletas!L63="Tanglangquan B",122,IF(Atletas!L63="Yinzhaophai B",123,IF(Atletas!L63="Tongbeiquan B",124,IF(Atletas!L63="Wudangquan B",125,IF(Atletas!L63="Outros Estilos B",126,IF(Atletas!L63="Chaquan C",127,IF(Atletas!L63="Emeiquan C",128,IF(Atletas!L63="Fanziquan C",129,IF(Atletas!L63="Huaquan C",130,IF(Atletas!L63="Hongquan C",131,IF(Atletas!L63="Paochui C",132,IF(Atletas!L63="Piguaquan C",133,IF(Atletas!L63="Shaolinquan C",134,IF(Atletas!L63="Tanglangquan C",135,IF(Atletas!L63="Yinzhaophai C",136,IF(Atletas!L63="Tongbeiquan C",137,IF(Atletas!L63="Wudangquan C",138,IF(Atletas!L63="Outros Estilos C",139,0))))))))))))))))))))))))))))))))))))))))))</f>
        <v/>
      </c>
      <c r="BM67" s="52" t="str">
        <f>IF(Atletas!L63="","",IF(Atletas!W63&lt;&gt;"",10000,0)+(IF(Atletas!B63="Feminino",1000,IF(Atletas!B63="Masculino",2000,""))+(IF(Atletas!L63="Chaquan D",140,IF(Atletas!L63="Emeiquan D",141,IF(Atletas!L63="Fanziquan D",142,IF(Atletas!L63="Huaquan D",143,IF(Atletas!L63="Hongquan D",144,IF(Atletas!L63="Paochui D",145,IF(Atletas!L63="Piguaquan D",146,IF(Atletas!L63="Shaolinquan D",147,IF(Atletas!L63="Tanglangquan D",148,IF(Atletas!L63="Yinzhaophai D",149,IF(Atletas!L63="Tongbeiquan D",150,IF(Atletas!L63="Wudangquan D",151,IF(Atletas!L63="Outros Estilos D",152,IF(Atletas!L63="Chaquan E",153,IF(Atletas!L63="Emeiquan E",154,IF(Atletas!L63="Fanziquan E",155,IF(Atletas!L63="Huaquan E",156,IF(Atletas!L63="Hongquan E",157,IF(Atletas!L63="Paochui E",158,IF(Atletas!L63="Piguaquan E",159,IF(Atletas!L63="Shaolinquan E",160,IF(Atletas!L63="Tanglangquan E",161,IF(Atletas!L63="Yinzhaophai E",162,IF(Atletas!L63="Tongbeiquan E",163,IF(Atletas!L63="Wudangquan E",164,IF(Atletas!L63="Outros Estilos E",165,IF(Atletas!L63="Chaquan F",166,IF(Atletas!L63="Emeiquan F",167,IF(Atletas!L63="Fanziquan F",168,IF(Atletas!L63="Huaquan F",169,IF(Atletas!L63="Hongquan F",170,IF(Atletas!L63="Paochui F",171,IF(Atletas!L63="Piguaquan F",172,IF(Atletas!L63="Shaolinquan F",173,IF(Atletas!L63="Tanglangquan F",174,IF(Atletas!L63="Yinzhaophai F",175,IF(Atletas!L63="Tongbeiquan F",176,IF(Atletas!L63="Wudangquan F",177,IF(Atletas!L63="Outros Estilos F",178,0))))))))))))))))))))))))))))))))))))))))))</f>
        <v/>
      </c>
      <c r="BN67" s="52" t="str">
        <f>IF(Atletas!M63="","",IF(Atletas!W63&lt;&gt;"",10000,0)+(IF(Atletas!B63="Feminino",1000,IF(Atletas!B63="Masculino",2000,""))+(IF(Atletas!M63="Ditangquan A",201,IF(Atletas!M63="Houquan A",202,IF(Atletas!M63="Zuiquan A",203,IF(Atletas!M63="Ditangquan B",204,IF(Atletas!M63="Houquan B",205,IF(Atletas!M63="Zuiquan B",206,IF(Atletas!M63="Ditangquan C",207,IF(Atletas!M63="Houquan C",208,IF(Atletas!M63="Zuiquan C",209,IF(Atletas!M63="Ditangquan D",210,IF(Atletas!M63="Houquan D",211,IF(Atletas!M63="Zuiquan D",212,IF(Atletas!M63="Ditangquan E",213,IF(Atletas!M63="Houquan E",214,IF(Atletas!M63="Zuiquan E",215,IF(Atletas!M63="Ditangquan F",216,IF(Atletas!M63="Houquan F",217,IF(Atletas!M63="Zuiquan F",218,"")))))))))))))))))))))</f>
        <v/>
      </c>
      <c r="BO67" s="52" t="str">
        <f>IF(Atletas!N63="","",IF(Atletas!W63&lt;&gt;"",10000,0)+IF(Atletas!B63="Feminino",1000,IF(Atletas!B63="Masculino",2000,""))+IF(Atletas!N63="Yang A",301,IF(Atletas!N63="Chen A",30,IF(Atletas!N63="Sun A",303,IF(Atletas!N63="Wu A",304,IF(Atletas!N63="Wu-Hao A",305,IF(Atletas!N63="Outro Taijiquan A",306,IF(Atletas!N63="Yang B",307,IF(Atletas!N63="Chen B",308,IF(Atletas!N63="Sun B",309,IF(Atletas!N63="Wu B",310,IF(Atletas!N63="Wu-Hao B",311,IF(Atletas!N63="Outro Taijiquan B",312,IF(Atletas!N63="Yang C",313,IF(Atletas!N63="Chen C",314,IF(Atletas!N63="Sun C",315,IF(Atletas!N63="Wu C",316,IF(Atletas!N63="Wu-Hao C",317,IF(Atletas!N63="Outro Taijiquan C",318,IF(Atletas!N63="Yang D",319,IF(Atletas!N63="Chen D",320,IF(Atletas!N63="Sun D",321,IF(Atletas!N63="Wu D",322,IF(Atletas!N63="Wu-Hao D",323,IF(Atletas!N63="Outro Taijiquan D",324,IF(Atletas!N63="Yang E",325,IF(Atletas!N63="Chen E",326,IF(Atletas!N63="Sun E",327,IF(Atletas!N63="Wu E",328,IF(Atletas!N63="Wu-Hao E",329,IF(Atletas!N63="Outro Taijiquan E",330,IF(Atletas!N63="Yang F",331,IF(Atletas!N63="Chen F",332,IF(Atletas!N63="Sun F",333,IF(Atletas!N63="Wu F",334,IF(Atletas!N63="Wu-Hao F",335,IF(Atletas!N63="Outro Taijiquan F",336,"")))))))))))))))))))))))))))))))))))))</f>
        <v/>
      </c>
      <c r="BP67" s="52" t="str">
        <f>IF(Atletas!O63="","",IF(Atletas!W63&lt;&gt;"",10000,0)+IF(Atletas!B63="Feminino",1000,IF(Atletas!B63="Masculino",2000,""))+IF(OR(Atletas!O63="Yang 26 A",Atletas!O63="Yang 40 A"),401,IF(OR(Atletas!O63="Chen 25 A",Atletas!O63="Chen 36 A",Atletas!O63="Chen 56 A"),402,IF(Atletas!O63="Sun 73 A",403,IF(Atletas!O63="Wu 45 A",404,IF(Atletas!O63="Wu-Hao 46 A",405,IF(OR(Atletas!O63="Taijiquan 16 A",Atletas!O63="Taijiquan 24 A",Atletas!O63="Taijiquan 32 A",Atletas!O63="Taijiquan 42 A"),406,IF(OR(Atletas!O63="Yang 26 B",Atletas!O63="Yang 40 B"),407,IF(OR(Atletas!O63="Chen 25 B",Atletas!O63="Chen 36 B",Atletas!O63="Chen 56 B"),408,IF(Atletas!O63="Sun 73 B",409,IF(Atletas!O63="Wu 45 B",410,IF(Atletas!O63="Wu-Hao 46 B",411,IF(OR(Atletas!O63="Taijiquan 16 B",Atletas!O63="Taijiquan 24 B",Atletas!O63="Taijiquan 32 B",Atletas!O63="Taijiquan 42 B"),412,IF(OR(Atletas!O63="Yang 26 C",Atletas!O63="Yang 40 C"),413,IF(OR(Atletas!O63="Chen 25 C",Atletas!O63="Chen 36 C",Atletas!O63="Chen 56 C"),414,IF(Atletas!O63="Sun 73 C",415,IF(Atletas!O63="Wu 45 C",416,IF(Atletas!O63="Wu-Hao 46 C",417,IF(OR(Atletas!O63="Taijiquan 16 C",Atletas!O63="Taijiquan 24 C",Atletas!O63="Taijiquan 32 C",Atletas!O63="Taijiquan 42 C"),418,0)))))))))))))))))))</f>
        <v/>
      </c>
      <c r="BQ67" s="52" t="str">
        <f>IF(Atletas!O63="","",IF(Atletas!W63&lt;&gt;"",10000,0)+IF(Atletas!B63="Feminino",1000,IF(Atletas!B63="Masculino",2000,""))+IF(OR(Atletas!O63="Yang 26 D",Atletas!O63="Yang 40 D"),419,IF(OR(Atletas!O63="Chen 25 D",Atletas!O63="Chen 36 D",Atletas!O63="Chen 56 D"),420,IF(Atletas!O63="Sun 73 D",421,IF(Atletas!O63="Wu 45 D",422,IF(Atletas!O63="Wu-Hao 46 D",423,IF(OR(Atletas!O63="Taijiquan 16 D",Atletas!O63="Taijiquan 24 D",Atletas!O63="Taijiquan 32 D",Atletas!O63="Taijiquan 42 D"),424,IF(OR(Atletas!O63="Yang 26 E",Atletas!O63="Yang 40 E"),425,IF(OR(Atletas!O63="Chen 25 E",Atletas!O63="Chen 36 E",Atletas!O63="Chen 56 E"),426,IF(Atletas!O63="Sun 73 E",427,IF(Atletas!O63="Wu 45 E",428,IF(Atletas!O63="Wu-Hao 46 E",429,IF(OR(Atletas!O63="Taijiquan 16 E",Atletas!O63="Taijiquan 24 E",Atletas!O63="Taijiquan 32 E",Atletas!O63="Taijiquan 42 E"),430,IF(OR(Atletas!O63="Yang 26 F",Atletas!O63="Yang 40 F"),431,IF(OR(Atletas!O63="Chen 25 F",Atletas!O63="Chen 36 F",Atletas!O63="Chen 56 F"),432,IF(Atletas!O63="Sun 73 F",433,IF(Atletas!O63="Wu 45 F",434,IF(Atletas!O63="Wu-Hao 46 F",435,IF(OR(Atletas!O63="Taijiquan 16 F",Atletas!O63="Taijiquan 24 F",Atletas!O63="Taijiquan 32 F",Atletas!O63="Taijiquan 42 F"),436,0)))))))))))))))))))</f>
        <v/>
      </c>
      <c r="BR67" s="52" t="str">
        <f>IF(Atletas!P63="","",IF(Atletas!W63&lt;&gt;"",10000,0)+IF(Atletas!B63="Feminino",1000,IF(Atletas!B63="Masculino",2000,""))+IF(Atletas!P63="Xingyiquan A",501,IF(Atletas!P63="Baguazhang A",502,IF(Atletas!P63="Outro Estilo Interno A",503,IF(Atletas!P63="Xingyiquan B",504,IF(Atletas!P63="Baguazhang B",505,IF(Atletas!P63="Outro Estilo Interno B",506,IF(Atletas!P63="Xingyiquan C",507,IF(Atletas!P63="Baguazhang C",508,IF(Atletas!P63="Outro Estilo Interno C",509,IF(Atletas!P63="Xingyiquan D",510,IF(Atletas!P63="Baguazhang D",511,IF(Atletas!P63="Outro Estilo Interno D",512,IF(Atletas!P63="Xingyiquan E",513,IF(Atletas!P63="Baguazhang E",514,IF(Atletas!P63="Outro Estilo Interno E",515,IF(Atletas!P63="Xingyiquan F",516,IF(Atletas!P63="Baguazhang F",517,IF(Atletas!P63="Outro Estilo Interno F",518, "")))))))))))))))))))</f>
        <v/>
      </c>
      <c r="BS67" s="52" t="str">
        <f>IF(Atletas!Q63="","",IF(Atletas!W63&lt;&gt;"",10000,0)+IF(Atletas!B63="Feminino",1000,IF(Atletas!B63="Masculino",2000,""))+IF(Atletas!Q63="Dao A",601,IF(Atletas!Q63="Jian A",602,IF(Atletas!Q63="Bishou A",603,IF(Atletas!Q63="Shan A",604,IF(Atletas!Q63="Outra Arma Curta A",605,IF(Atletas!Q63="Dao B",606,IF(Atletas!Q63="Jian B",607,IF(Atletas!Q63="Bishou B",608,IF(Atletas!Q63="Shan B",609,IF(Atletas!Q63="Outra Arma Curta B",610,IF(Atletas!Q63="Dao C",611,IF(Atletas!Q63="Jian C",612,IF(Atletas!Q63="Bishou C",613,IF(Atletas!Q63="Shan C",614,IF(Atletas!Q63="Outra Arma Curta C",615,IF(Atletas!Q63="Dao D",616,IF(Atletas!Q63="Jian D",617,IF(Atletas!Q63="Bishou D",618,IF(Atletas!Q63="Shan D",619,IF(Atletas!Q63="Outra Arma Curta D",620,IF(Atletas!Q63="Dao E",621,IF(Atletas!Q63="Jian E",622,IF(Atletas!Q63="Bishou E",623,IF(Atletas!Q63="Shan E",624,IF(Atletas!Q63="Outra Arma Curta E",625,IF(Atletas!Q63="Dao F",626,IF(Atletas!Q63="Jian F",627,IF(Atletas!Q63="Bishou F",628,IF(Atletas!Q63="Shan F",629,IF(Atletas!Q63="Outra Arma Curta F",630, "")))))))))))))))))))))))))))))))</f>
        <v/>
      </c>
      <c r="BT67" s="52" t="str">
        <f>IF(Atletas!R63="","",IF(Atletas!W63&lt;&gt;"",10000,0)+IF(Atletas!B63="Feminino",1000,IF(Atletas!B63="Masculino",2000,""))+IF(Atletas!R63="Gun A",701,IF(Atletas!R63="Qiang A",702,IF(Atletas!R63="Pudao / Guandao A",703,IF(Atletas!R63="Outra Arma Longa A",704,IF(Atletas!R63="Gun B",705,IF(Atletas!R63="Qiang B",706,IF(Atletas!R63="Pudao / Guandao B",707,IF(Atletas!R63="Outra Arma Longa B",708,IF(Atletas!R63="Gun C",709,IF(Atletas!R63="Qiang C",710,IF(Atletas!R63="Pudao / Guandao C",711,IF(Atletas!R63="Outra Arma Longa C",712,IF(Atletas!R63="Gun D",713,IF(Atletas!R63="Qiang D",714,IF(Atletas!R63="Pudao / Guandao D",715,IF(Atletas!R63="Outra Arma Longa D",716,IF(Atletas!R63="Gun E",717,IF(Atletas!R63="Qiang E",718,IF(Atletas!R63="Pudao / Guandao E",719,IF(Atletas!R63="Outra Arma Longa E",720,IF(Atletas!R63="Gun F",721,IF(Atletas!R63="Qiang F",722,IF(Atletas!R63="Pudao / Guandao F",723,IF(Atletas!R63="Outra Arma Longa F",724,"")))))))))))))))))))))))))</f>
        <v/>
      </c>
      <c r="BU67" s="52" t="str">
        <f>IF(Atletas!S63="","",IF(Atletas!W63&lt;&gt;"",10000,0)+IF(Atletas!B63="Feminino",1000,IF(Atletas!B63="Masculino",2000,""))+IF(Atletas!S63="Arma Dupla A",801,IF(Atletas!S63="Arma Maleável A",802,IF(Atletas!S63="Arma Dupla B",803,IF(Atletas!S63="Arma Maleável B",804,IF(Atletas!S63="Arma Dupla C",805,IF(Atletas!S63="Arma Maleável C",806,IF(Atletas!S63="Arma Dupla D",807,IF(Atletas!S63="Arma Maleável D",808,IF(Atletas!S63="Arma Dupla E",809,IF(Atletas!S63="Arma Maleável E",810,IF(Atletas!S63="Arma Dupla F",811,IF(Atletas!S63="Arma Maleável F",812, "")))))))))))))</f>
        <v/>
      </c>
      <c r="BV67" s="52" t="str">
        <f>IF(Atletas!T63="","",IF(Atletas!W63&lt;&gt;"",10000,0)+IF(Atletas!B63="Feminino",1000,IF(Atletas!B63="Masculino",2000,""))+IF(Atletas!T63="Taijijian Yang A",901,IF(Atletas!T63="Taijijian Chen A",902,IF(Atletas!T63="Taijijian Sun A",903,IF(Atletas!T63="Taijijian Wu A",904,IF(Atletas!T63="Taijijian Wu-Hao A",905,IF(Atletas!T63="Taijijian 32 A",906,IF(Atletas!T63="Taijijian 42 A",907,IF(Atletas!T63="Taijijian Yang B",908,IF(Atletas!T63="Taijijian Chen B",909,IF(Atletas!T63="Taijijian Sun B",910,IF(Atletas!T63="Taijijian Wu B",911,IF(Atletas!T63="Taijijian Wu-Hao B",912,IF(Atletas!T63="Taijijian 32 B",913,IF(Atletas!T63="Taijijian 42 B",914,IF(Atletas!T63="Taijijian Yang C",915,IF(Atletas!T63="Taijijian Chen C",916,IF(Atletas!T63="Taijijian Sun C",917,IF(Atletas!T63="Taijijian Wu C",918,IF(Atletas!T63="Taijijian Wu-Hao C",919,IF(Atletas!T63="Taijijian 32 C",920,IF(Atletas!T63="Taijijian 42 C",921,IF(Atletas!T63="Taijijian Yang D",922,IF(Atletas!T63="Taijijian Chen D",923,IF(Atletas!T63="Taijijian Sun D",924,IF(Atletas!T63="Taijijian Wu D",925,IF(Atletas!T63="Taijijian Wu-Hao D",926,IF(Atletas!T63="Taijijian 32 D",927,IF(Atletas!T63="Taijijian 42 D",928,IF(Atletas!T63="Taijijian Yang E",929,IF(Atletas!T63="Taijijian Chen E",930,IF(Atletas!T63="Taijijian Sun E",931,IF(Atletas!T63="Taijijian Wu E",932,IF(Atletas!T63="Taijijian Wu-Hao E",933,IF(Atletas!T63="Taijijian 32 E",934,IF(Atletas!T63="Taijijian 42 E",935,IF(Atletas!T63="Taijijian Yang F",936,IF(Atletas!T63="Taijijian Chen F",937,IF(Atletas!T63="Taijijian Sun F",938,IF(Atletas!T63="Taijijian Wu F",939,IF(Atletas!T63="Taijijian Wu-Hao F",940,IF(Atletas!T63="Taijijian 32 F",941,IF(Atletas!T63="Taijijian 42 F",942,"")))))))))))))))))))))))))))))))))))))))))))</f>
        <v/>
      </c>
      <c r="BW67" s="52" t="str">
        <f>IF(Atletas!U63="","",IF(Atletas!W63&lt;&gt;"",10000,0)+IF(Atletas!B63="Feminino",1000,IF(Atletas!B63="Masculino",2000,""))+IF(Atletas!T63="Taijijian 42 F",942,IF(Atletas!U63="Taijidao A",943,IF(Atletas!U63="Taijishan A",944,IF(Atletas!U63="Taijiqiang A",945,IF(Atletas!U63="Taijidao B",946,IF(Atletas!U63="Taijishan B",947,IF(Atletas!U63="Taijiqiang B",948,IF(Atletas!U63="Taijidao C",949,IF(Atletas!U63="Taijishan C",950,IF(Atletas!U63="Taijiqiang C",951,IF(Atletas!U63="Taijidao D",952,IF(Atletas!U63="Taijishan D",953,IF(Atletas!U63="Taijiqiang D",954,IF(Atletas!U63="Taijidao E",955,IF(Atletas!U63="Taijishan E",956,IF(Atletas!U63="Taijiqiang E",957,IF(Atletas!U63="Taijidao F",958,IF(Atletas!U63="Taijishan F",959,IF(Atletas!U63="Taijiqiang F",960))))))))))))))))))))</f>
        <v/>
      </c>
      <c r="BX67" s="64" t="str">
        <f>IF(BY67&lt;&gt;"","Hongquan C","")</f>
        <v/>
      </c>
      <c r="BY67" s="64" t="str">
        <f>IF(COUNTIF(BK:BW,1131)&gt;0,COUNTIF(BK:BW,1131),"")</f>
        <v/>
      </c>
      <c r="BZ67" s="64" t="str">
        <f>IF(CA67&lt;&gt;"","Hongquan C","")</f>
        <v/>
      </c>
      <c r="CA67" s="64" t="str">
        <f>IF(COUNTIF(BK:BW,2131)&gt;0,COUNTIF(BK:BW,2131),"")</f>
        <v/>
      </c>
      <c r="CB67" s="64" t="str">
        <f>IF(CC67&lt;&gt;"","Hongquan C","")</f>
        <v/>
      </c>
      <c r="CC67" s="64" t="str">
        <f>IF(COUNTIF(BK:BW,11131)&gt;0,COUNTIF(BK:BW,11131),"")</f>
        <v/>
      </c>
      <c r="CD67" s="64" t="str">
        <f>IF(CE67&lt;&gt;"","Hongquan C","")</f>
        <v/>
      </c>
      <c r="CE67" s="64" t="str">
        <f>IF(COUNTIF(BK:BW,12131)&gt;0,COUNTIF(BK:BW,12131),"")</f>
        <v/>
      </c>
      <c r="CF67" s="52" t="str">
        <f xml:space="preserve"> IF(Atletas!V63="","",IF(Atletas!V63="Duilian de Mãos AB - Equipe 1",1,IF(Atletas!V63="Duilian de Mãos AB - Equipe 2",2,IF(Atletas!V63="Duilian de Armas AB - Equipe 1",3,IF(Atletas!V63="Duilian de Armas AB - Equipe 2",4,IF(Atletas!V63="Duilian de Tuishou - Equipe 1",5,IF(Atletas!V63="Duilian de Tuishou - Equipe 2",6,IF(Atletas!V63="Grupo Externo AB - Equipe 1",7,IF(Atletas!V63="Grupo Externo AB - Equipe 2",8,IF(Atletas!V63="Grupo Interno AB - Equipe 1",9,IF(Atletas!V63="Grupo Interno AB - Equipe 2",10,IF(Atletas!V63="Duilian de Mãos CD - Equipe 1",11,IF(Atletas!V63="Duilian de Mãos CD - Equipe 2",12,IF(Atletas!V63="Duilian de Armas CD - Equipe 1",13,IF(Atletas!V63="Duilian de Armas CD - Equipe 2",14,IF(Atletas!V63="Duilian de Tuishou - Equipe 1",15,IF(Atletas!V63="Duilian de Tuishou - Equipe 2",16,IF(Atletas!V63="Grupo Externo CDEF - Equipe 1",17,IF(Atletas!V63="Grupo Externo CDEF - Equipe 2",18,IF(Atletas!V63="Grupo Interno CDEF - Equipe 1",19,IF(Atletas!V63="Grupo Interno CDEF - Equipe 2",20,IF(Atletas!V63="Duilian de Mãos EF - Equipe 1",21,IF(Atletas!V63="Duilian de Mãos EF - Equipe 2",22,IF(Atletas!V63="Duilian de Armas EF - Equipe 1",23,IF(Atletas!V63="Duilian de Armas EF - Equipe 2",24,IF(Atletas!V63="Duilian de Tuishou - Equipe 1",25,IF(Atletas!V63="Duilian de Tuishou - Equipe 2",26,"")))))))))))))))))))))))))))</f>
        <v/>
      </c>
      <c r="CR67" s="71"/>
    </row>
    <row r="68" spans="2:96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31"/>
      <c r="U68" s="4"/>
      <c r="V68" s="4" t="str">
        <f t="array" ref="V68">IFERROR(INDEX(BX$7:BX$336,SMALL(IF(BX$7:BX$336&lt;&gt;"",ROW(BX$7:BX$336)-ROW(BX$7)+1),ROWS(BX$7:BX67))),"")</f>
        <v/>
      </c>
      <c r="W68" s="4" t="str">
        <f t="array" ref="W68">IFERROR(INDEX(BY$7:BY$336,SMALL(IF(BY$7:BY$336&lt;&gt;"",ROW(BY$7:BY$336)-ROW(BY$7)+1),ROWS(BY$7:BY67))),"")</f>
        <v/>
      </c>
      <c r="X68" s="4" t="str">
        <f t="array" ref="X68">IFERROR(INDEX(BZ$7:BZ$336,SMALL(IF(BZ$7:BZ$336&lt;&gt;"",ROW(BZ$7:BZ$336)-ROW(BZ$7)+1),ROWS(BZ$7:BZ67))),"")</f>
        <v/>
      </c>
      <c r="Y68" s="4" t="str">
        <f t="array" ref="Y68">IFERROR(INDEX(CA$7:CA$336,SMALL(IF(CA$7:CA$336&lt;&gt;"",ROW(CA$7:CA$336)-ROW(CA$7)+1),ROWS(CA$7:CA67))),"")</f>
        <v/>
      </c>
      <c r="Z68" s="4" t="str">
        <f t="array" ref="Z68">IFERROR(INDEX(CB$7:CB$378,SMALL(IF(CB$7:CB$378&lt;&gt;"",ROW(CB$7:CB$378)-ROW(CB$7)+1),ROWS(CB$7:CB67))),"")</f>
        <v/>
      </c>
      <c r="AA68" s="4" t="str">
        <f t="array" ref="AA68">IFERROR(INDEX(CC$7:CC$378,SMALL(IF(CC$7:CC$378&lt;&gt;"",ROW(CC$7:CC$378)-ROW(CC$7)+1),ROWS(CC$7:CC67))),"")</f>
        <v/>
      </c>
      <c r="AB68" s="4" t="str">
        <f t="array" ref="AB68">IFERROR(INDEX(CD$7:CD$378,SMALL(IF(CD$7:CD$378&lt;&gt;"",ROW(CD$7:CD$378)-ROW(CD$7)+1),ROWS(CD$7:CD67))),"")</f>
        <v/>
      </c>
      <c r="AC68" s="4" t="str">
        <f t="array" ref="AC68">IFERROR(INDEX(CE$7:CE$378,SMALL(IF(CE$7:CE$378&lt;&gt;"",ROW(CE$7:CE$378)-ROW(CE$7)+1),ROWS(CE$7:CE67))),"")</f>
        <v/>
      </c>
      <c r="AD68" s="4"/>
      <c r="AE68" s="4"/>
      <c r="AF68" s="4"/>
      <c r="AG68" s="4"/>
      <c r="AH68" s="4"/>
      <c r="AI68" s="4"/>
      <c r="AJ68" s="46" t="str">
        <f>IF(Atletas!D64="","",IF(Atletas!B64="Feminino",100,IF(Atletas!B64="Masculino",200,""))+(IF(Atletas!D64="Infantil 39kg",1,IF(Atletas!D64="Infantil 42kg",2,IF(Atletas!D64="Infantil 45kg",3,IF(Atletas!D64="Infantil 48kg",4,IF(Atletas!D64="Infantil 52kg",5,IF(Atletas!D64="Infantil 56kg",6,IF(Atletas!D64="Infantil 60kg",7,IF(Atletas!D64="Juvenil 48kg",8,IF(Atletas!D64="Juvenil 52kg",9,IF(Atletas!D64="Juvenil 56kg",10,IF(Atletas!D64="Juvenil 60kg",11,IF(Atletas!D64="Juvenil 65kg",12,IF(Atletas!D64="Juvenil 70kg",13,IF(Atletas!D64="Juvenil 75kg",14,IF(Atletas!D64="Juvenil 80kg",15,IF(Atletas!D64="Adulto 48kg",16,IF(Atletas!D64="Adulto 52kg",17,IF(Atletas!D64="Adulto 56kg",18,IF(Atletas!D64="Adulto 60kg",19,IF(Atletas!D64="Adulto 65kg",20,IF(Atletas!D64="Adulto 70kg",21,IF(Atletas!D64="Adulto 75kg",22,IF(Atletas!D64="Adulto 80kg",23,IF(Atletas!D64="Adulto 85kg",24,IF(Atletas!D64="Adulto 90kg",25,IF(Atletas!D64="Adulto +90kg",26,""))))))))))))))))))))))))))))</f>
        <v/>
      </c>
      <c r="AO68" s="10" t="str">
        <f>IF(Atletas!E64="","",IF(Atletas!B64="Feminino",100,IF(Atletas!B64="Masculino",200,""))+(IF(Atletas!E64="Juvenil 44kg",1,IF(Atletas!E64="Juvenil 48kg",2,IF(Atletas!E64="Juvenil 52kg",3,IF(Atletas!E64="Juvenil 56kg",4,IF(Atletas!E64="Juvenil 60kg",5,IF(Atletas!E64="Juvenil 65kg",6,IF(Atletas!E64="Juvenil 70kg",7,IF(Atletas!E64="Juvenil 75kg",8,IF(Atletas!E64="Juvenil 82kg",9,IF(Atletas!E64="Juvenil 90kg",10,IF(Atletas!E64="Juvenil 100kg",11,IF(Atletas!E64="Adulto 48kg",12,IF(Atletas!E64="Adulto 52kg",13,IF(Atletas!E64="Adulto 56kg",14,IF(Atletas!E64="Adulto 60kg",15,IF(Atletas!E64="Adulto 65kg",16,IF(Atletas!E64="Adulto 70kg",17,IF(Atletas!E64="Adulto 75kg",18,IF(Atletas!E64="Adulto 82kg",19,IF(Atletas!E64="Adulto 90kg",20,IF(Atletas!E64="Adulto 100kg",21,IF(Atletas!E64="Adulto +100kg",22,""))))))))))))))))))))))))</f>
        <v/>
      </c>
      <c r="AT68" s="10" t="str">
        <f>IF(Atletas!F64="","",IF(Atletas!B64="Feminino",100,IF(Atletas!B64="Masculino",200,""))+(IF(Atletas!F64="Adulto 48kg",1,IF(Atletas!F64="Adulto 56kg",2,IF(Atletas!F64="Adulto 65kg",3,IF(Atletas!F64="Adulto 75kg",4,IF(Atletas!F64="Adulto +75kg",5,IF(Atletas!F64="Adulto 52kg",6,IF(Atletas!F64="Adulto 60kg",7,IF(Atletas!F64="Adulto 70kg",8,IF(Atletas!F64="Adulto 80kg",9,IF(Atletas!F64="Adulto 90kg",10,IF(Atletas!F64="Adulto +90kg",11,"")))))))))))))</f>
        <v/>
      </c>
      <c r="AY68" s="46" t="str">
        <f>IF(Atletas!G64="","",IF(Atletas!B64="Feminino",100,IF(Atletas!B64="Masculino",200,""))+(IF(Atletas!G64="Changquan Mirim",1,IF(Atletas!G64="Nanquan Mirim",2,IF(Atletas!G64="Taijiquan Mirim",3,IF(Atletas!G64="Changquan Grupo C",4,IF(Atletas!G64="Nanquan Grupo C",5,IF(Atletas!G64="Taijiquan Grupo C",6,IF(Atletas!G64="Changquan Grupo B",7,IF(Atletas!G64="Nanquan Grupo B",8,IF(Atletas!G64="Taijiquan Grupo B",9,IF(Atletas!G64="Changquan Grupo A",10,IF(Atletas!G64="Nanquan Grupo A",11,IF(Atletas!G64="Taijiquan Grupo A",12,IF(Atletas!G64="Changquan Opcional",13,IF(Atletas!G64="Nanquan Opcional",14,IF(Atletas!G64="Taijiquan Opcional",15,IF(Atletas!G64="Changquan Adulto",16,IF(Atletas!G64="Nanquan Adulto",17,IF(Atletas!G64="Taijiquan Adulto",18,""))))))))))))))))))))</f>
        <v/>
      </c>
      <c r="AZ68" s="46" t="str">
        <f>IF(Atletas!H64="","",IF(Atletas!B64="Feminino",100,IF(Atletas!B64="Masculino",200,""))+(IF(Atletas!H64="Daoshu Mirim",19,IF(Atletas!H64="Jianshu Mirim",20,IF(Atletas!H64="Nandao Mirim",21,IF(Atletas!H64="Taijijian Mirim",22,IF(Atletas!H64="Daoshu Grupo C",23,IF(Atletas!H64="Jianshu Grupo C",24,IF(Atletas!H64="Nandao Grupo C",25,IF(Atletas!H64="Taijijian Grupo C",26,IF(Atletas!H64="Daoshu Grupo B",27,IF(Atletas!H64="Jianshu Grupo B",28,IF(Atletas!H64="Nandao Grupo B",29,IF(Atletas!H64="Taijijian Grupo B",30,IF(Atletas!H64="Daoshu Grupo A",31,IF(Atletas!H64="Jianshu Grupo A",32,IF(Atletas!H64="Nandao Grupo A",33,IF(Atletas!H64="Taijijian Grupo A",34,IF(Atletas!H64="Daoshu Opcional",35,IF(Atletas!H64="Jianshu Opcional",36,IF(Atletas!H64="Nandao Opcional",37,IF(Atletas!H64="Taijijian Opcional",38,IF(Atletas!H64="Daoshu Adulto",39,IF(Atletas!H64="Jianshu Adulto",40,IF(Atletas!H64="Nandao Adulto",41,IF(Atletas!H64="Taijijian Adulto",42,""))))))))))))))))))))))))))</f>
        <v/>
      </c>
      <c r="BA68" s="46" t="str">
        <f>IF(Atletas!I64="","",IF(Atletas!B64="Feminino",100,IF(Atletas!B64="Masculino",200,""))+(IF(Atletas!I64="Gunshu Mirim",43,IF(Atletas!I64="Qiangshu Mirim",44,IF(Atletas!I64="Nangun Mirim",45,IF(Atletas!I64="Gunshu Grupo C",46,IF(Atletas!I64="Qiangshu Grupo C",47,IF(Atletas!I64="Nangun Grupo C",48,IF(Atletas!I64="Gunshu Grupo B",49,IF(Atletas!I64="Qiangshu Grupo B",50,IF(Atletas!I64="Nangun Grupo B",51,IF(Atletas!I64="Gunshu Grupo A",52,IF(Atletas!I64="Qiangshu Grupo A",53,IF(Atletas!I64="Nangun Grupo A",54,IF(Atletas!I64="Gunshu Opcional",55,IF(Atletas!I64="Qiangshu Opcional",56,IF(Atletas!I64="Nangun Opcional",57,IF(Atletas!I64="Gunshu Adulto",58,IF(Atletas!I64="Qiangshu Adulto",59,IF(Atletas!I64="Nangun Adulto",60,""))))))))))))))))))))</f>
        <v/>
      </c>
      <c r="BF68" s="52" t="str">
        <f>IF(Atletas!J64="","",IF(Atletas!B64="Feminino",100,IF(Atletas!B64="Masculino",200,""))+(IF(Atletas!J64="Equipe 1 Grupo B",1,IF(Atletas!J64="Equipe 2 Grupo B",2,IF(Atletas!J64="Equipe 1 Grupo A",3,IF(Atletas!J64="Equipe 2 Grupo A",4,IF(Atletas!J64="Equipe 1 Adulto",5,IF(Atletas!J64="Equipe 2 Adulto",6,""))))))))</f>
        <v/>
      </c>
      <c r="BK68" s="52" t="str">
        <f>IF(Atletas!K64="","",IF(Atletas!W64&lt;&gt;"",10000,0)+(IF(Atletas!B64="Feminino",1000,IF(Atletas!B64="Masculino",2000,""))+IF(Atletas!K64="Choylayfut A",1,IF(Atletas!K64="Hunggar A",2,IF(Atletas!K64="Wuzuquan A",3,IF(Atletas!K64="Wingchun A",4,IF(Atletas!K64="Outra Mão de Sul A",5,IF(Atletas!K64="Choylayfut B",6,IF(Atletas!K64="Hunggar B",7,IF(Atletas!K64="Wuzuquan B",8,IF(Atletas!K64="Wingchun B",9,IF(Atletas!K64="Outra Mão de Sul B",10,IF(Atletas!K64="Choylayfut C",11,IF(Atletas!K64="Hunggar C",12,IF(Atletas!K64="Wuzuquan C",13,IF(Atletas!K64="Wingchun C",14,IF(Atletas!K64="Outra Mão de Sul C",15,IF(Atletas!K64="Choylayfut D",16,IF(Atletas!K64="Hunggar D",17,IF(Atletas!K64="Wuzuquan D",18,IF(Atletas!K64="Wingchun D",19,IF(Atletas!K64="Outra Mão de Sul D",20,IF(Atletas!K64="Choylayfut E",21,IF(Atletas!K64="Hunggar E",22,IF(Atletas!K64="Wuzuquan E",23,IF(Atletas!K64="Wingchun E",24,IF(Atletas!K64="Outra Mão de Sul E",25,IF(Atletas!K64="Choylayfut F",26,IF(Atletas!K64="Hunggar F",27,IF(Atletas!K64="Wuzuquan F",28,IF(Atletas!K64="Wingchun F",29,IF(Atletas!K64="Outra Mão de Sul F",30,""))))))))))))))))))))))))))))))))</f>
        <v/>
      </c>
      <c r="BL68" s="52" t="str">
        <f>IF(Atletas!L64="","",IF(Atletas!W64&lt;&gt;"",10000,0)+(IF(Atletas!B64="Feminino",1000,IF(Atletas!B64="Masculino",2000,""))+(IF(Atletas!L64="Chaquan A",101,IF(Atletas!L64="Emeiquan A",102,IF(Atletas!L64="Fanziquan A",103,IF(Atletas!L64="Huaquan A",104,IF(Atletas!L64="Hongquan A",105,IF(Atletas!L64="Paochui A",106,IF(Atletas!L64="Piguaquan A",107,IF(Atletas!L64="Shaolinquan A",108,IF(Atletas!L64="Tanglangquan A",109,IF(Atletas!L64="Yinzhaophai A",110,IF(Atletas!L64="Tongbeiquan A",111,IF(Atletas!L64="Wudangquan A",112,IF(Atletas!L64="Outros Estilos A",113,IF(Atletas!L64="Chaquan B",114,IF(Atletas!L64="Emeiquan B",115,IF(Atletas!L64="Fanziquan B",116,IF(Atletas!L64="Huaquan B",117,IF(Atletas!L64="Hongquan B",118,IF(Atletas!L64="Paochui B",119,IF(Atletas!L64="Piguaquan B",120,IF(Atletas!L64="Shaolinquan B",121,IF(Atletas!L64="Tanglangquan B",122,IF(Atletas!L64="Yinzhaophai B",123,IF(Atletas!L64="Tongbeiquan B",124,IF(Atletas!L64="Wudangquan B",125,IF(Atletas!L64="Outros Estilos B",126,IF(Atletas!L64="Chaquan C",127,IF(Atletas!L64="Emeiquan C",128,IF(Atletas!L64="Fanziquan C",129,IF(Atletas!L64="Huaquan C",130,IF(Atletas!L64="Hongquan C",131,IF(Atletas!L64="Paochui C",132,IF(Atletas!L64="Piguaquan C",133,IF(Atletas!L64="Shaolinquan C",134,IF(Atletas!L64="Tanglangquan C",135,IF(Atletas!L64="Yinzhaophai C",136,IF(Atletas!L64="Tongbeiquan C",137,IF(Atletas!L64="Wudangquan C",138,IF(Atletas!L64="Outros Estilos C",139,0))))))))))))))))))))))))))))))))))))))))))</f>
        <v/>
      </c>
      <c r="BM68" s="52" t="str">
        <f>IF(Atletas!L64="","",IF(Atletas!W64&lt;&gt;"",10000,0)+(IF(Atletas!B64="Feminino",1000,IF(Atletas!B64="Masculino",2000,""))+(IF(Atletas!L64="Chaquan D",140,IF(Atletas!L64="Emeiquan D",141,IF(Atletas!L64="Fanziquan D",142,IF(Atletas!L64="Huaquan D",143,IF(Atletas!L64="Hongquan D",144,IF(Atletas!L64="Paochui D",145,IF(Atletas!L64="Piguaquan D",146,IF(Atletas!L64="Shaolinquan D",147,IF(Atletas!L64="Tanglangquan D",148,IF(Atletas!L64="Yinzhaophai D",149,IF(Atletas!L64="Tongbeiquan D",150,IF(Atletas!L64="Wudangquan D",151,IF(Atletas!L64="Outros Estilos D",152,IF(Atletas!L64="Chaquan E",153,IF(Atletas!L64="Emeiquan E",154,IF(Atletas!L64="Fanziquan E",155,IF(Atletas!L64="Huaquan E",156,IF(Atletas!L64="Hongquan E",157,IF(Atletas!L64="Paochui E",158,IF(Atletas!L64="Piguaquan E",159,IF(Atletas!L64="Shaolinquan E",160,IF(Atletas!L64="Tanglangquan E",161,IF(Atletas!L64="Yinzhaophai E",162,IF(Atletas!L64="Tongbeiquan E",163,IF(Atletas!L64="Wudangquan E",164,IF(Atletas!L64="Outros Estilos E",165,IF(Atletas!L64="Chaquan F",166,IF(Atletas!L64="Emeiquan F",167,IF(Atletas!L64="Fanziquan F",168,IF(Atletas!L64="Huaquan F",169,IF(Atletas!L64="Hongquan F",170,IF(Atletas!L64="Paochui F",171,IF(Atletas!L64="Piguaquan F",172,IF(Atletas!L64="Shaolinquan F",173,IF(Atletas!L64="Tanglangquan F",174,IF(Atletas!L64="Yinzhaophai F",175,IF(Atletas!L64="Tongbeiquan F",176,IF(Atletas!L64="Wudangquan F",177,IF(Atletas!L64="Outros Estilos F",178,0))))))))))))))))))))))))))))))))))))))))))</f>
        <v/>
      </c>
      <c r="BN68" s="52" t="str">
        <f>IF(Atletas!M64="","",IF(Atletas!W64&lt;&gt;"",10000,0)+(IF(Atletas!B64="Feminino",1000,IF(Atletas!B64="Masculino",2000,""))+(IF(Atletas!M64="Ditangquan A",201,IF(Atletas!M64="Houquan A",202,IF(Atletas!M64="Zuiquan A",203,IF(Atletas!M64="Ditangquan B",204,IF(Atletas!M64="Houquan B",205,IF(Atletas!M64="Zuiquan B",206,IF(Atletas!M64="Ditangquan C",207,IF(Atletas!M64="Houquan C",208,IF(Atletas!M64="Zuiquan C",209,IF(Atletas!M64="Ditangquan D",210,IF(Atletas!M64="Houquan D",211,IF(Atletas!M64="Zuiquan D",212,IF(Atletas!M64="Ditangquan E",213,IF(Atletas!M64="Houquan E",214,IF(Atletas!M64="Zuiquan E",215,IF(Atletas!M64="Ditangquan F",216,IF(Atletas!M64="Houquan F",217,IF(Atletas!M64="Zuiquan F",218,"")))))))))))))))))))))</f>
        <v/>
      </c>
      <c r="BO68" s="52" t="str">
        <f>IF(Atletas!N64="","",IF(Atletas!W64&lt;&gt;"",10000,0)+IF(Atletas!B64="Feminino",1000,IF(Atletas!B64="Masculino",2000,""))+IF(Atletas!N64="Yang A",301,IF(Atletas!N64="Chen A",30,IF(Atletas!N64="Sun A",303,IF(Atletas!N64="Wu A",304,IF(Atletas!N64="Wu-Hao A",305,IF(Atletas!N64="Outro Taijiquan A",306,IF(Atletas!N64="Yang B",307,IF(Atletas!N64="Chen B",308,IF(Atletas!N64="Sun B",309,IF(Atletas!N64="Wu B",310,IF(Atletas!N64="Wu-Hao B",311,IF(Atletas!N64="Outro Taijiquan B",312,IF(Atletas!N64="Yang C",313,IF(Atletas!N64="Chen C",314,IF(Atletas!N64="Sun C",315,IF(Atletas!N64="Wu C",316,IF(Atletas!N64="Wu-Hao C",317,IF(Atletas!N64="Outro Taijiquan C",318,IF(Atletas!N64="Yang D",319,IF(Atletas!N64="Chen D",320,IF(Atletas!N64="Sun D",321,IF(Atletas!N64="Wu D",322,IF(Atletas!N64="Wu-Hao D",323,IF(Atletas!N64="Outro Taijiquan D",324,IF(Atletas!N64="Yang E",325,IF(Atletas!N64="Chen E",326,IF(Atletas!N64="Sun E",327,IF(Atletas!N64="Wu E",328,IF(Atletas!N64="Wu-Hao E",329,IF(Atletas!N64="Outro Taijiquan E",330,IF(Atletas!N64="Yang F",331,IF(Atletas!N64="Chen F",332,IF(Atletas!N64="Sun F",333,IF(Atletas!N64="Wu F",334,IF(Atletas!N64="Wu-Hao F",335,IF(Atletas!N64="Outro Taijiquan F",336,"")))))))))))))))))))))))))))))))))))))</f>
        <v/>
      </c>
      <c r="BP68" s="52" t="str">
        <f>IF(Atletas!O64="","",IF(Atletas!W64&lt;&gt;"",10000,0)+IF(Atletas!B64="Feminino",1000,IF(Atletas!B64="Masculino",2000,""))+IF(OR(Atletas!O64="Yang 26 A",Atletas!O64="Yang 40 A"),401,IF(OR(Atletas!O64="Chen 25 A",Atletas!O64="Chen 36 A",Atletas!O64="Chen 56 A"),402,IF(Atletas!O64="Sun 73 A",403,IF(Atletas!O64="Wu 45 A",404,IF(Atletas!O64="Wu-Hao 46 A",405,IF(OR(Atletas!O64="Taijiquan 16 A",Atletas!O64="Taijiquan 24 A",Atletas!O64="Taijiquan 32 A",Atletas!O64="Taijiquan 42 A"),406,IF(OR(Atletas!O64="Yang 26 B",Atletas!O64="Yang 40 B"),407,IF(OR(Atletas!O64="Chen 25 B",Atletas!O64="Chen 36 B",Atletas!O64="Chen 56 B"),408,IF(Atletas!O64="Sun 73 B",409,IF(Atletas!O64="Wu 45 B",410,IF(Atletas!O64="Wu-Hao 46 B",411,IF(OR(Atletas!O64="Taijiquan 16 B",Atletas!O64="Taijiquan 24 B",Atletas!O64="Taijiquan 32 B",Atletas!O64="Taijiquan 42 B"),412,IF(OR(Atletas!O64="Yang 26 C",Atletas!O64="Yang 40 C"),413,IF(OR(Atletas!O64="Chen 25 C",Atletas!O64="Chen 36 C",Atletas!O64="Chen 56 C"),414,IF(Atletas!O64="Sun 73 C",415,IF(Atletas!O64="Wu 45 C",416,IF(Atletas!O64="Wu-Hao 46 C",417,IF(OR(Atletas!O64="Taijiquan 16 C",Atletas!O64="Taijiquan 24 C",Atletas!O64="Taijiquan 32 C",Atletas!O64="Taijiquan 42 C"),418,0)))))))))))))))))))</f>
        <v/>
      </c>
      <c r="BQ68" s="52" t="str">
        <f>IF(Atletas!O64="","",IF(Atletas!W64&lt;&gt;"",10000,0)+IF(Atletas!B64="Feminino",1000,IF(Atletas!B64="Masculino",2000,""))+IF(OR(Atletas!O64="Yang 26 D",Atletas!O64="Yang 40 D"),419,IF(OR(Atletas!O64="Chen 25 D",Atletas!O64="Chen 36 D",Atletas!O64="Chen 56 D"),420,IF(Atletas!O64="Sun 73 D",421,IF(Atletas!O64="Wu 45 D",422,IF(Atletas!O64="Wu-Hao 46 D",423,IF(OR(Atletas!O64="Taijiquan 16 D",Atletas!O64="Taijiquan 24 D",Atletas!O64="Taijiquan 32 D",Atletas!O64="Taijiquan 42 D"),424,IF(OR(Atletas!O64="Yang 26 E",Atletas!O64="Yang 40 E"),425,IF(OR(Atletas!O64="Chen 25 E",Atletas!O64="Chen 36 E",Atletas!O64="Chen 56 E"),426,IF(Atletas!O64="Sun 73 E",427,IF(Atletas!O64="Wu 45 E",428,IF(Atletas!O64="Wu-Hao 46 E",429,IF(OR(Atletas!O64="Taijiquan 16 E",Atletas!O64="Taijiquan 24 E",Atletas!O64="Taijiquan 32 E",Atletas!O64="Taijiquan 42 E"),430,IF(OR(Atletas!O64="Yang 26 F",Atletas!O64="Yang 40 F"),431,IF(OR(Atletas!O64="Chen 25 F",Atletas!O64="Chen 36 F",Atletas!O64="Chen 56 F"),432,IF(Atletas!O64="Sun 73 F",433,IF(Atletas!O64="Wu 45 F",434,IF(Atletas!O64="Wu-Hao 46 F",435,IF(OR(Atletas!O64="Taijiquan 16 F",Atletas!O64="Taijiquan 24 F",Atletas!O64="Taijiquan 32 F",Atletas!O64="Taijiquan 42 F"),436,0)))))))))))))))))))</f>
        <v/>
      </c>
      <c r="BR68" s="52" t="str">
        <f>IF(Atletas!P64="","",IF(Atletas!W64&lt;&gt;"",10000,0)+IF(Atletas!B64="Feminino",1000,IF(Atletas!B64="Masculino",2000,""))+IF(Atletas!P64="Xingyiquan A",501,IF(Atletas!P64="Baguazhang A",502,IF(Atletas!P64="Outro Estilo Interno A",503,IF(Atletas!P64="Xingyiquan B",504,IF(Atletas!P64="Baguazhang B",505,IF(Atletas!P64="Outro Estilo Interno B",506,IF(Atletas!P64="Xingyiquan C",507,IF(Atletas!P64="Baguazhang C",508,IF(Atletas!P64="Outro Estilo Interno C",509,IF(Atletas!P64="Xingyiquan D",510,IF(Atletas!P64="Baguazhang D",511,IF(Atletas!P64="Outro Estilo Interno D",512,IF(Atletas!P64="Xingyiquan E",513,IF(Atletas!P64="Baguazhang E",514,IF(Atletas!P64="Outro Estilo Interno E",515,IF(Atletas!P64="Xingyiquan F",516,IF(Atletas!P64="Baguazhang F",517,IF(Atletas!P64="Outro Estilo Interno F",518, "")))))))))))))))))))</f>
        <v/>
      </c>
      <c r="BS68" s="52" t="str">
        <f>IF(Atletas!Q64="","",IF(Atletas!W64&lt;&gt;"",10000,0)+IF(Atletas!B64="Feminino",1000,IF(Atletas!B64="Masculino",2000,""))+IF(Atletas!Q64="Dao A",601,IF(Atletas!Q64="Jian A",602,IF(Atletas!Q64="Bishou A",603,IF(Atletas!Q64="Shan A",604,IF(Atletas!Q64="Outra Arma Curta A",605,IF(Atletas!Q64="Dao B",606,IF(Atletas!Q64="Jian B",607,IF(Atletas!Q64="Bishou B",608,IF(Atletas!Q64="Shan B",609,IF(Atletas!Q64="Outra Arma Curta B",610,IF(Atletas!Q64="Dao C",611,IF(Atletas!Q64="Jian C",612,IF(Atletas!Q64="Bishou C",613,IF(Atletas!Q64="Shan C",614,IF(Atletas!Q64="Outra Arma Curta C",615,IF(Atletas!Q64="Dao D",616,IF(Atletas!Q64="Jian D",617,IF(Atletas!Q64="Bishou D",618,IF(Atletas!Q64="Shan D",619,IF(Atletas!Q64="Outra Arma Curta D",620,IF(Atletas!Q64="Dao E",621,IF(Atletas!Q64="Jian E",622,IF(Atletas!Q64="Bishou E",623,IF(Atletas!Q64="Shan E",624,IF(Atletas!Q64="Outra Arma Curta E",625,IF(Atletas!Q64="Dao F",626,IF(Atletas!Q64="Jian F",627,IF(Atletas!Q64="Bishou F",628,IF(Atletas!Q64="Shan F",629,IF(Atletas!Q64="Outra Arma Curta F",630, "")))))))))))))))))))))))))))))))</f>
        <v/>
      </c>
      <c r="BT68" s="52" t="str">
        <f>IF(Atletas!R64="","",IF(Atletas!W64&lt;&gt;"",10000,0)+IF(Atletas!B64="Feminino",1000,IF(Atletas!B64="Masculino",2000,""))+IF(Atletas!R64="Gun A",701,IF(Atletas!R64="Qiang A",702,IF(Atletas!R64="Pudao / Guandao A",703,IF(Atletas!R64="Outra Arma Longa A",704,IF(Atletas!R64="Gun B",705,IF(Atletas!R64="Qiang B",706,IF(Atletas!R64="Pudao / Guandao B",707,IF(Atletas!R64="Outra Arma Longa B",708,IF(Atletas!R64="Gun C",709,IF(Atletas!R64="Qiang C",710,IF(Atletas!R64="Pudao / Guandao C",711,IF(Atletas!R64="Outra Arma Longa C",712,IF(Atletas!R64="Gun D",713,IF(Atletas!R64="Qiang D",714,IF(Atletas!R64="Pudao / Guandao D",715,IF(Atletas!R64="Outra Arma Longa D",716,IF(Atletas!R64="Gun E",717,IF(Atletas!R64="Qiang E",718,IF(Atletas!R64="Pudao / Guandao E",719,IF(Atletas!R64="Outra Arma Longa E",720,IF(Atletas!R64="Gun F",721,IF(Atletas!R64="Qiang F",722,IF(Atletas!R64="Pudao / Guandao F",723,IF(Atletas!R64="Outra Arma Longa F",724,"")))))))))))))))))))))))))</f>
        <v/>
      </c>
      <c r="BU68" s="52" t="str">
        <f>IF(Atletas!S64="","",IF(Atletas!W64&lt;&gt;"",10000,0)+IF(Atletas!B64="Feminino",1000,IF(Atletas!B64="Masculino",2000,""))+IF(Atletas!S64="Arma Dupla A",801,IF(Atletas!S64="Arma Maleável A",802,IF(Atletas!S64="Arma Dupla B",803,IF(Atletas!S64="Arma Maleável B",804,IF(Atletas!S64="Arma Dupla C",805,IF(Atletas!S64="Arma Maleável C",806,IF(Atletas!S64="Arma Dupla D",807,IF(Atletas!S64="Arma Maleável D",808,IF(Atletas!S64="Arma Dupla E",809,IF(Atletas!S64="Arma Maleável E",810,IF(Atletas!S64="Arma Dupla F",811,IF(Atletas!S64="Arma Maleável F",812, "")))))))))))))</f>
        <v/>
      </c>
      <c r="BV68" s="52" t="str">
        <f>IF(Atletas!T64="","",IF(Atletas!W64&lt;&gt;"",10000,0)+IF(Atletas!B64="Feminino",1000,IF(Atletas!B64="Masculino",2000,""))+IF(Atletas!T64="Taijijian Yang A",901,IF(Atletas!T64="Taijijian Chen A",902,IF(Atletas!T64="Taijijian Sun A",903,IF(Atletas!T64="Taijijian Wu A",904,IF(Atletas!T64="Taijijian Wu-Hao A",905,IF(Atletas!T64="Taijijian 32 A",906,IF(Atletas!T64="Taijijian 42 A",907,IF(Atletas!T64="Taijijian Yang B",908,IF(Atletas!T64="Taijijian Chen B",909,IF(Atletas!T64="Taijijian Sun B",910,IF(Atletas!T64="Taijijian Wu B",911,IF(Atletas!T64="Taijijian Wu-Hao B",912,IF(Atletas!T64="Taijijian 32 B",913,IF(Atletas!T64="Taijijian 42 B",914,IF(Atletas!T64="Taijijian Yang C",915,IF(Atletas!T64="Taijijian Chen C",916,IF(Atletas!T64="Taijijian Sun C",917,IF(Atletas!T64="Taijijian Wu C",918,IF(Atletas!T64="Taijijian Wu-Hao C",919,IF(Atletas!T64="Taijijian 32 C",920,IF(Atletas!T64="Taijijian 42 C",921,IF(Atletas!T64="Taijijian Yang D",922,IF(Atletas!T64="Taijijian Chen D",923,IF(Atletas!T64="Taijijian Sun D",924,IF(Atletas!T64="Taijijian Wu D",925,IF(Atletas!T64="Taijijian Wu-Hao D",926,IF(Atletas!T64="Taijijian 32 D",927,IF(Atletas!T64="Taijijian 42 D",928,IF(Atletas!T64="Taijijian Yang E",929,IF(Atletas!T64="Taijijian Chen E",930,IF(Atletas!T64="Taijijian Sun E",931,IF(Atletas!T64="Taijijian Wu E",932,IF(Atletas!T64="Taijijian Wu-Hao E",933,IF(Atletas!T64="Taijijian 32 E",934,IF(Atletas!T64="Taijijian 42 E",935,IF(Atletas!T64="Taijijian Yang F",936,IF(Atletas!T64="Taijijian Chen F",937,IF(Atletas!T64="Taijijian Sun F",938,IF(Atletas!T64="Taijijian Wu F",939,IF(Atletas!T64="Taijijian Wu-Hao F",940,IF(Atletas!T64="Taijijian 32 F",941,IF(Atletas!T64="Taijijian 42 F",942,"")))))))))))))))))))))))))))))))))))))))))))</f>
        <v/>
      </c>
      <c r="BW68" s="52" t="str">
        <f>IF(Atletas!U64="","",IF(Atletas!W64&lt;&gt;"",10000,0)+IF(Atletas!B64="Feminino",1000,IF(Atletas!B64="Masculino",2000,""))+IF(Atletas!T64="Taijijian 42 F",942,IF(Atletas!U64="Taijidao A",943,IF(Atletas!U64="Taijishan A",944,IF(Atletas!U64="Taijiqiang A",945,IF(Atletas!U64="Taijidao B",946,IF(Atletas!U64="Taijishan B",947,IF(Atletas!U64="Taijiqiang B",948,IF(Atletas!U64="Taijidao C",949,IF(Atletas!U64="Taijishan C",950,IF(Atletas!U64="Taijiqiang C",951,IF(Atletas!U64="Taijidao D",952,IF(Atletas!U64="Taijishan D",953,IF(Atletas!U64="Taijiqiang D",954,IF(Atletas!U64="Taijidao E",955,IF(Atletas!U64="Taijishan E",956,IF(Atletas!U64="Taijiqiang E",957,IF(Atletas!U64="Taijidao F",958,IF(Atletas!U64="Taijishan F",959,IF(Atletas!U64="Taijiqiang F",960))))))))))))))))))))</f>
        <v/>
      </c>
      <c r="BX68" s="64" t="str">
        <f>IF(BY68&lt;&gt;"","Paochui C","")</f>
        <v/>
      </c>
      <c r="BY68" s="64" t="str">
        <f>IF(COUNTIF(BK:BW,1132)&gt;0,COUNTIF(BK:BW,1132),"")</f>
        <v/>
      </c>
      <c r="BZ68" s="64" t="str">
        <f>IF(CA68&lt;&gt;"","Paochui C","")</f>
        <v/>
      </c>
      <c r="CA68" s="64" t="str">
        <f>IF(COUNTIF(BK:BW,2132)&gt;0,COUNTIF(BK:BW,2132),"")</f>
        <v/>
      </c>
      <c r="CB68" s="64" t="str">
        <f>IF(CC68&lt;&gt;"","Paochui C","")</f>
        <v/>
      </c>
      <c r="CC68" s="64" t="str">
        <f>IF(COUNTIF(BK:BW,11132)&gt;0,COUNTIF(BK:BW,11132),"")</f>
        <v/>
      </c>
      <c r="CD68" s="64" t="str">
        <f>IF(CE68&lt;&gt;"","Paochui C","")</f>
        <v/>
      </c>
      <c r="CE68" s="64" t="str">
        <f>IF(COUNTIF(BK:BW,12132)&gt;0,COUNTIF(BK:BW,12132),"")</f>
        <v/>
      </c>
      <c r="CF68" s="52" t="str">
        <f xml:space="preserve"> IF(Atletas!V64="","",IF(Atletas!V64="Duilian de Mãos AB - Equipe 1",1,IF(Atletas!V64="Duilian de Mãos AB - Equipe 2",2,IF(Atletas!V64="Duilian de Armas AB - Equipe 1",3,IF(Atletas!V64="Duilian de Armas AB - Equipe 2",4,IF(Atletas!V64="Duilian de Tuishou - Equipe 1",5,IF(Atletas!V64="Duilian de Tuishou - Equipe 2",6,IF(Atletas!V64="Grupo Externo AB - Equipe 1",7,IF(Atletas!V64="Grupo Externo AB - Equipe 2",8,IF(Atletas!V64="Grupo Interno AB - Equipe 1",9,IF(Atletas!V64="Grupo Interno AB - Equipe 2",10,IF(Atletas!V64="Duilian de Mãos CD - Equipe 1",11,IF(Atletas!V64="Duilian de Mãos CD - Equipe 2",12,IF(Atletas!V64="Duilian de Armas CD - Equipe 1",13,IF(Atletas!V64="Duilian de Armas CD - Equipe 2",14,IF(Atletas!V64="Duilian de Tuishou - Equipe 1",15,IF(Atletas!V64="Duilian de Tuishou - Equipe 2",16,IF(Atletas!V64="Grupo Externo CDEF - Equipe 1",17,IF(Atletas!V64="Grupo Externo CDEF - Equipe 2",18,IF(Atletas!V64="Grupo Interno CDEF - Equipe 1",19,IF(Atletas!V64="Grupo Interno CDEF - Equipe 2",20,IF(Atletas!V64="Duilian de Mãos EF - Equipe 1",21,IF(Atletas!V64="Duilian de Mãos EF - Equipe 2",22,IF(Atletas!V64="Duilian de Armas EF - Equipe 1",23,IF(Atletas!V64="Duilian de Armas EF - Equipe 2",24,IF(Atletas!V64="Duilian de Tuishou - Equipe 1",25,IF(Atletas!V64="Duilian de Tuishou - Equipe 2",26,"")))))))))))))))))))))))))))</f>
        <v/>
      </c>
    </row>
    <row r="69" spans="2:96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31"/>
      <c r="U69" s="4"/>
      <c r="V69" s="4" t="str">
        <f t="array" ref="V69">IFERROR(INDEX(BX$7:BX$336,SMALL(IF(BX$7:BX$336&lt;&gt;"",ROW(BX$7:BX$336)-ROW(BX$7)+1),ROWS(BX$7:BX68))),"")</f>
        <v/>
      </c>
      <c r="W69" s="4" t="str">
        <f t="array" ref="W69">IFERROR(INDEX(BY$7:BY$336,SMALL(IF(BY$7:BY$336&lt;&gt;"",ROW(BY$7:BY$336)-ROW(BY$7)+1),ROWS(BY$7:BY68))),"")</f>
        <v/>
      </c>
      <c r="X69" s="4" t="str">
        <f t="array" ref="X69">IFERROR(INDEX(BZ$7:BZ$336,SMALL(IF(BZ$7:BZ$336&lt;&gt;"",ROW(BZ$7:BZ$336)-ROW(BZ$7)+1),ROWS(BZ$7:BZ68))),"")</f>
        <v/>
      </c>
      <c r="Y69" s="4" t="str">
        <f t="array" ref="Y69">IFERROR(INDEX(CA$7:CA$336,SMALL(IF(CA$7:CA$336&lt;&gt;"",ROW(CA$7:CA$336)-ROW(CA$7)+1),ROWS(CA$7:CA68))),"")</f>
        <v/>
      </c>
      <c r="Z69" s="4" t="str">
        <f t="array" ref="Z69">IFERROR(INDEX(CB$7:CB$378,SMALL(IF(CB$7:CB$378&lt;&gt;"",ROW(CB$7:CB$378)-ROW(CB$7)+1),ROWS(CB$7:CB68))),"")</f>
        <v/>
      </c>
      <c r="AA69" s="4" t="str">
        <f t="array" ref="AA69">IFERROR(INDEX(CC$7:CC$378,SMALL(IF(CC$7:CC$378&lt;&gt;"",ROW(CC$7:CC$378)-ROW(CC$7)+1),ROWS(CC$7:CC68))),"")</f>
        <v/>
      </c>
      <c r="AB69" s="4" t="str">
        <f t="array" ref="AB69">IFERROR(INDEX(CD$7:CD$378,SMALL(IF(CD$7:CD$378&lt;&gt;"",ROW(CD$7:CD$378)-ROW(CD$7)+1),ROWS(CD$7:CD68))),"")</f>
        <v/>
      </c>
      <c r="AC69" s="4" t="str">
        <f t="array" ref="AC69">IFERROR(INDEX(CE$7:CE$378,SMALL(IF(CE$7:CE$378&lt;&gt;"",ROW(CE$7:CE$378)-ROW(CE$7)+1),ROWS(CE$7:CE68))),"")</f>
        <v/>
      </c>
      <c r="AD69" s="4"/>
      <c r="AE69" s="4"/>
      <c r="AF69" s="4"/>
      <c r="AG69" s="4"/>
      <c r="AH69" s="4"/>
      <c r="AI69" s="4"/>
      <c r="AJ69" s="46" t="str">
        <f>IF(Atletas!D65="","",IF(Atletas!B65="Feminino",100,IF(Atletas!B65="Masculino",200,""))+(IF(Atletas!D65="Infantil 39kg",1,IF(Atletas!D65="Infantil 42kg",2,IF(Atletas!D65="Infantil 45kg",3,IF(Atletas!D65="Infantil 48kg",4,IF(Atletas!D65="Infantil 52kg",5,IF(Atletas!D65="Infantil 56kg",6,IF(Atletas!D65="Infantil 60kg",7,IF(Atletas!D65="Juvenil 48kg",8,IF(Atletas!D65="Juvenil 52kg",9,IF(Atletas!D65="Juvenil 56kg",10,IF(Atletas!D65="Juvenil 60kg",11,IF(Atletas!D65="Juvenil 65kg",12,IF(Atletas!D65="Juvenil 70kg",13,IF(Atletas!D65="Juvenil 75kg",14,IF(Atletas!D65="Juvenil 80kg",15,IF(Atletas!D65="Adulto 48kg",16,IF(Atletas!D65="Adulto 52kg",17,IF(Atletas!D65="Adulto 56kg",18,IF(Atletas!D65="Adulto 60kg",19,IF(Atletas!D65="Adulto 65kg",20,IF(Atletas!D65="Adulto 70kg",21,IF(Atletas!D65="Adulto 75kg",22,IF(Atletas!D65="Adulto 80kg",23,IF(Atletas!D65="Adulto 85kg",24,IF(Atletas!D65="Adulto 90kg",25,IF(Atletas!D65="Adulto +90kg",26,""))))))))))))))))))))))))))))</f>
        <v/>
      </c>
      <c r="AO69" s="10" t="str">
        <f>IF(Atletas!E65="","",IF(Atletas!B65="Feminino",100,IF(Atletas!B65="Masculino",200,""))+(IF(Atletas!E65="Juvenil 44kg",1,IF(Atletas!E65="Juvenil 48kg",2,IF(Atletas!E65="Juvenil 52kg",3,IF(Atletas!E65="Juvenil 56kg",4,IF(Atletas!E65="Juvenil 60kg",5,IF(Atletas!E65="Juvenil 65kg",6,IF(Atletas!E65="Juvenil 70kg",7,IF(Atletas!E65="Juvenil 75kg",8,IF(Atletas!E65="Juvenil 82kg",9,IF(Atletas!E65="Juvenil 90kg",10,IF(Atletas!E65="Juvenil 100kg",11,IF(Atletas!E65="Adulto 48kg",12,IF(Atletas!E65="Adulto 52kg",13,IF(Atletas!E65="Adulto 56kg",14,IF(Atletas!E65="Adulto 60kg",15,IF(Atletas!E65="Adulto 65kg",16,IF(Atletas!E65="Adulto 70kg",17,IF(Atletas!E65="Adulto 75kg",18,IF(Atletas!E65="Adulto 82kg",19,IF(Atletas!E65="Adulto 90kg",20,IF(Atletas!E65="Adulto 100kg",21,IF(Atletas!E65="Adulto +100kg",22,""))))))))))))))))))))))))</f>
        <v/>
      </c>
      <c r="AT69" s="10" t="str">
        <f>IF(Atletas!F65="","",IF(Atletas!B65="Feminino",100,IF(Atletas!B65="Masculino",200,""))+(IF(Atletas!F65="Adulto 48kg",1,IF(Atletas!F65="Adulto 56kg",2,IF(Atletas!F65="Adulto 65kg",3,IF(Atletas!F65="Adulto 75kg",4,IF(Atletas!F65="Adulto +75kg",5,IF(Atletas!F65="Adulto 52kg",6,IF(Atletas!F65="Adulto 60kg",7,IF(Atletas!F65="Adulto 70kg",8,IF(Atletas!F65="Adulto 80kg",9,IF(Atletas!F65="Adulto 90kg",10,IF(Atletas!F65="Adulto +90kg",11,"")))))))))))))</f>
        <v/>
      </c>
      <c r="AY69" s="46" t="str">
        <f>IF(Atletas!G65="","",IF(Atletas!B65="Feminino",100,IF(Atletas!B65="Masculino",200,""))+(IF(Atletas!G65="Changquan Mirim",1,IF(Atletas!G65="Nanquan Mirim",2,IF(Atletas!G65="Taijiquan Mirim",3,IF(Atletas!G65="Changquan Grupo C",4,IF(Atletas!G65="Nanquan Grupo C",5,IF(Atletas!G65="Taijiquan Grupo C",6,IF(Atletas!G65="Changquan Grupo B",7,IF(Atletas!G65="Nanquan Grupo B",8,IF(Atletas!G65="Taijiquan Grupo B",9,IF(Atletas!G65="Changquan Grupo A",10,IF(Atletas!G65="Nanquan Grupo A",11,IF(Atletas!G65="Taijiquan Grupo A",12,IF(Atletas!G65="Changquan Opcional",13,IF(Atletas!G65="Nanquan Opcional",14,IF(Atletas!G65="Taijiquan Opcional",15,IF(Atletas!G65="Changquan Adulto",16,IF(Atletas!G65="Nanquan Adulto",17,IF(Atletas!G65="Taijiquan Adulto",18,""))))))))))))))))))))</f>
        <v/>
      </c>
      <c r="AZ69" s="46" t="str">
        <f>IF(Atletas!H65="","",IF(Atletas!B65="Feminino",100,IF(Atletas!B65="Masculino",200,""))+(IF(Atletas!H65="Daoshu Mirim",19,IF(Atletas!H65="Jianshu Mirim",20,IF(Atletas!H65="Nandao Mirim",21,IF(Atletas!H65="Taijijian Mirim",22,IF(Atletas!H65="Daoshu Grupo C",23,IF(Atletas!H65="Jianshu Grupo C",24,IF(Atletas!H65="Nandao Grupo C",25,IF(Atletas!H65="Taijijian Grupo C",26,IF(Atletas!H65="Daoshu Grupo B",27,IF(Atletas!H65="Jianshu Grupo B",28,IF(Atletas!H65="Nandao Grupo B",29,IF(Atletas!H65="Taijijian Grupo B",30,IF(Atletas!H65="Daoshu Grupo A",31,IF(Atletas!H65="Jianshu Grupo A",32,IF(Atletas!H65="Nandao Grupo A",33,IF(Atletas!H65="Taijijian Grupo A",34,IF(Atletas!H65="Daoshu Opcional",35,IF(Atletas!H65="Jianshu Opcional",36,IF(Atletas!H65="Nandao Opcional",37,IF(Atletas!H65="Taijijian Opcional",38,IF(Atletas!H65="Daoshu Adulto",39,IF(Atletas!H65="Jianshu Adulto",40,IF(Atletas!H65="Nandao Adulto",41,IF(Atletas!H65="Taijijian Adulto",42,""))))))))))))))))))))))))))</f>
        <v/>
      </c>
      <c r="BA69" s="46" t="str">
        <f>IF(Atletas!I65="","",IF(Atletas!B65="Feminino",100,IF(Atletas!B65="Masculino",200,""))+(IF(Atletas!I65="Gunshu Mirim",43,IF(Atletas!I65="Qiangshu Mirim",44,IF(Atletas!I65="Nangun Mirim",45,IF(Atletas!I65="Gunshu Grupo C",46,IF(Atletas!I65="Qiangshu Grupo C",47,IF(Atletas!I65="Nangun Grupo C",48,IF(Atletas!I65="Gunshu Grupo B",49,IF(Atletas!I65="Qiangshu Grupo B",50,IF(Atletas!I65="Nangun Grupo B",51,IF(Atletas!I65="Gunshu Grupo A",52,IF(Atletas!I65="Qiangshu Grupo A",53,IF(Atletas!I65="Nangun Grupo A",54,IF(Atletas!I65="Gunshu Opcional",55,IF(Atletas!I65="Qiangshu Opcional",56,IF(Atletas!I65="Nangun Opcional",57,IF(Atletas!I65="Gunshu Adulto",58,IF(Atletas!I65="Qiangshu Adulto",59,IF(Atletas!I65="Nangun Adulto",60,""))))))))))))))))))))</f>
        <v/>
      </c>
      <c r="BF69" s="52" t="str">
        <f>IF(Atletas!J65="","",IF(Atletas!B65="Feminino",100,IF(Atletas!B65="Masculino",200,""))+(IF(Atletas!J65="Equipe 1 Grupo B",1,IF(Atletas!J65="Equipe 2 Grupo B",2,IF(Atletas!J65="Equipe 1 Grupo A",3,IF(Atletas!J65="Equipe 2 Grupo A",4,IF(Atletas!J65="Equipe 1 Adulto",5,IF(Atletas!J65="Equipe 2 Adulto",6,""))))))))</f>
        <v/>
      </c>
      <c r="BK69" s="52" t="str">
        <f>IF(Atletas!K65="","",IF(Atletas!W65&lt;&gt;"",10000,0)+(IF(Atletas!B65="Feminino",1000,IF(Atletas!B65="Masculino",2000,""))+IF(Atletas!K65="Choylayfut A",1,IF(Atletas!K65="Hunggar A",2,IF(Atletas!K65="Wuzuquan A",3,IF(Atletas!K65="Wingchun A",4,IF(Atletas!K65="Outra Mão de Sul A",5,IF(Atletas!K65="Choylayfut B",6,IF(Atletas!K65="Hunggar B",7,IF(Atletas!K65="Wuzuquan B",8,IF(Atletas!K65="Wingchun B",9,IF(Atletas!K65="Outra Mão de Sul B",10,IF(Atletas!K65="Choylayfut C",11,IF(Atletas!K65="Hunggar C",12,IF(Atletas!K65="Wuzuquan C",13,IF(Atletas!K65="Wingchun C",14,IF(Atletas!K65="Outra Mão de Sul C",15,IF(Atletas!K65="Choylayfut D",16,IF(Atletas!K65="Hunggar D",17,IF(Atletas!K65="Wuzuquan D",18,IF(Atletas!K65="Wingchun D",19,IF(Atletas!K65="Outra Mão de Sul D",20,IF(Atletas!K65="Choylayfut E",21,IF(Atletas!K65="Hunggar E",22,IF(Atletas!K65="Wuzuquan E",23,IF(Atletas!K65="Wingchun E",24,IF(Atletas!K65="Outra Mão de Sul E",25,IF(Atletas!K65="Choylayfut F",26,IF(Atletas!K65="Hunggar F",27,IF(Atletas!K65="Wuzuquan F",28,IF(Atletas!K65="Wingchun F",29,IF(Atletas!K65="Outra Mão de Sul F",30,""))))))))))))))))))))))))))))))))</f>
        <v/>
      </c>
      <c r="BL69" s="52" t="str">
        <f>IF(Atletas!L65="","",IF(Atletas!W65&lt;&gt;"",10000,0)+(IF(Atletas!B65="Feminino",1000,IF(Atletas!B65="Masculino",2000,""))+(IF(Atletas!L65="Chaquan A",101,IF(Atletas!L65="Emeiquan A",102,IF(Atletas!L65="Fanziquan A",103,IF(Atletas!L65="Huaquan A",104,IF(Atletas!L65="Hongquan A",105,IF(Atletas!L65="Paochui A",106,IF(Atletas!L65="Piguaquan A",107,IF(Atletas!L65="Shaolinquan A",108,IF(Atletas!L65="Tanglangquan A",109,IF(Atletas!L65="Yinzhaophai A",110,IF(Atletas!L65="Tongbeiquan A",111,IF(Atletas!L65="Wudangquan A",112,IF(Atletas!L65="Outros Estilos A",113,IF(Atletas!L65="Chaquan B",114,IF(Atletas!L65="Emeiquan B",115,IF(Atletas!L65="Fanziquan B",116,IF(Atletas!L65="Huaquan B",117,IF(Atletas!L65="Hongquan B",118,IF(Atletas!L65="Paochui B",119,IF(Atletas!L65="Piguaquan B",120,IF(Atletas!L65="Shaolinquan B",121,IF(Atletas!L65="Tanglangquan B",122,IF(Atletas!L65="Yinzhaophai B",123,IF(Atletas!L65="Tongbeiquan B",124,IF(Atletas!L65="Wudangquan B",125,IF(Atletas!L65="Outros Estilos B",126,IF(Atletas!L65="Chaquan C",127,IF(Atletas!L65="Emeiquan C",128,IF(Atletas!L65="Fanziquan C",129,IF(Atletas!L65="Huaquan C",130,IF(Atletas!L65="Hongquan C",131,IF(Atletas!L65="Paochui C",132,IF(Atletas!L65="Piguaquan C",133,IF(Atletas!L65="Shaolinquan C",134,IF(Atletas!L65="Tanglangquan C",135,IF(Atletas!L65="Yinzhaophai C",136,IF(Atletas!L65="Tongbeiquan C",137,IF(Atletas!L65="Wudangquan C",138,IF(Atletas!L65="Outros Estilos C",139,0))))))))))))))))))))))))))))))))))))))))))</f>
        <v/>
      </c>
      <c r="BM69" s="52" t="str">
        <f>IF(Atletas!L65="","",IF(Atletas!W65&lt;&gt;"",10000,0)+(IF(Atletas!B65="Feminino",1000,IF(Atletas!B65="Masculino",2000,""))+(IF(Atletas!L65="Chaquan D",140,IF(Atletas!L65="Emeiquan D",141,IF(Atletas!L65="Fanziquan D",142,IF(Atletas!L65="Huaquan D",143,IF(Atletas!L65="Hongquan D",144,IF(Atletas!L65="Paochui D",145,IF(Atletas!L65="Piguaquan D",146,IF(Atletas!L65="Shaolinquan D",147,IF(Atletas!L65="Tanglangquan D",148,IF(Atletas!L65="Yinzhaophai D",149,IF(Atletas!L65="Tongbeiquan D",150,IF(Atletas!L65="Wudangquan D",151,IF(Atletas!L65="Outros Estilos D",152,IF(Atletas!L65="Chaquan E",153,IF(Atletas!L65="Emeiquan E",154,IF(Atletas!L65="Fanziquan E",155,IF(Atletas!L65="Huaquan E",156,IF(Atletas!L65="Hongquan E",157,IF(Atletas!L65="Paochui E",158,IF(Atletas!L65="Piguaquan E",159,IF(Atletas!L65="Shaolinquan E",160,IF(Atletas!L65="Tanglangquan E",161,IF(Atletas!L65="Yinzhaophai E",162,IF(Atletas!L65="Tongbeiquan E",163,IF(Atletas!L65="Wudangquan E",164,IF(Atletas!L65="Outros Estilos E",165,IF(Atletas!L65="Chaquan F",166,IF(Atletas!L65="Emeiquan F",167,IF(Atletas!L65="Fanziquan F",168,IF(Atletas!L65="Huaquan F",169,IF(Atletas!L65="Hongquan F",170,IF(Atletas!L65="Paochui F",171,IF(Atletas!L65="Piguaquan F",172,IF(Atletas!L65="Shaolinquan F",173,IF(Atletas!L65="Tanglangquan F",174,IF(Atletas!L65="Yinzhaophai F",175,IF(Atletas!L65="Tongbeiquan F",176,IF(Atletas!L65="Wudangquan F",177,IF(Atletas!L65="Outros Estilos F",178,0))))))))))))))))))))))))))))))))))))))))))</f>
        <v/>
      </c>
      <c r="BN69" s="52" t="str">
        <f>IF(Atletas!M65="","",IF(Atletas!W65&lt;&gt;"",10000,0)+(IF(Atletas!B65="Feminino",1000,IF(Atletas!B65="Masculino",2000,""))+(IF(Atletas!M65="Ditangquan A",201,IF(Atletas!M65="Houquan A",202,IF(Atletas!M65="Zuiquan A",203,IF(Atletas!M65="Ditangquan B",204,IF(Atletas!M65="Houquan B",205,IF(Atletas!M65="Zuiquan B",206,IF(Atletas!M65="Ditangquan C",207,IF(Atletas!M65="Houquan C",208,IF(Atletas!M65="Zuiquan C",209,IF(Atletas!M65="Ditangquan D",210,IF(Atletas!M65="Houquan D",211,IF(Atletas!M65="Zuiquan D",212,IF(Atletas!M65="Ditangquan E",213,IF(Atletas!M65="Houquan E",214,IF(Atletas!M65="Zuiquan E",215,IF(Atletas!M65="Ditangquan F",216,IF(Atletas!M65="Houquan F",217,IF(Atletas!M65="Zuiquan F",218,"")))))))))))))))))))))</f>
        <v/>
      </c>
      <c r="BO69" s="52" t="str">
        <f>IF(Atletas!N65="","",IF(Atletas!W65&lt;&gt;"",10000,0)+IF(Atletas!B65="Feminino",1000,IF(Atletas!B65="Masculino",2000,""))+IF(Atletas!N65="Yang A",301,IF(Atletas!N65="Chen A",30,IF(Atletas!N65="Sun A",303,IF(Atletas!N65="Wu A",304,IF(Atletas!N65="Wu-Hao A",305,IF(Atletas!N65="Outro Taijiquan A",306,IF(Atletas!N65="Yang B",307,IF(Atletas!N65="Chen B",308,IF(Atletas!N65="Sun B",309,IF(Atletas!N65="Wu B",310,IF(Atletas!N65="Wu-Hao B",311,IF(Atletas!N65="Outro Taijiquan B",312,IF(Atletas!N65="Yang C",313,IF(Atletas!N65="Chen C",314,IF(Atletas!N65="Sun C",315,IF(Atletas!N65="Wu C",316,IF(Atletas!N65="Wu-Hao C",317,IF(Atletas!N65="Outro Taijiquan C",318,IF(Atletas!N65="Yang D",319,IF(Atletas!N65="Chen D",320,IF(Atletas!N65="Sun D",321,IF(Atletas!N65="Wu D",322,IF(Atletas!N65="Wu-Hao D",323,IF(Atletas!N65="Outro Taijiquan D",324,IF(Atletas!N65="Yang E",325,IF(Atletas!N65="Chen E",326,IF(Atletas!N65="Sun E",327,IF(Atletas!N65="Wu E",328,IF(Atletas!N65="Wu-Hao E",329,IF(Atletas!N65="Outro Taijiquan E",330,IF(Atletas!N65="Yang F",331,IF(Atletas!N65="Chen F",332,IF(Atletas!N65="Sun F",333,IF(Atletas!N65="Wu F",334,IF(Atletas!N65="Wu-Hao F",335,IF(Atletas!N65="Outro Taijiquan F",336,"")))))))))))))))))))))))))))))))))))))</f>
        <v/>
      </c>
      <c r="BP69" s="52" t="str">
        <f>IF(Atletas!O65="","",IF(Atletas!W65&lt;&gt;"",10000,0)+IF(Atletas!B65="Feminino",1000,IF(Atletas!B65="Masculino",2000,""))+IF(OR(Atletas!O65="Yang 26 A",Atletas!O65="Yang 40 A"),401,IF(OR(Atletas!O65="Chen 25 A",Atletas!O65="Chen 36 A",Atletas!O65="Chen 56 A"),402,IF(Atletas!O65="Sun 73 A",403,IF(Atletas!O65="Wu 45 A",404,IF(Atletas!O65="Wu-Hao 46 A",405,IF(OR(Atletas!O65="Taijiquan 16 A",Atletas!O65="Taijiquan 24 A",Atletas!O65="Taijiquan 32 A",Atletas!O65="Taijiquan 42 A"),406,IF(OR(Atletas!O65="Yang 26 B",Atletas!O65="Yang 40 B"),407,IF(OR(Atletas!O65="Chen 25 B",Atletas!O65="Chen 36 B",Atletas!O65="Chen 56 B"),408,IF(Atletas!O65="Sun 73 B",409,IF(Atletas!O65="Wu 45 B",410,IF(Atletas!O65="Wu-Hao 46 B",411,IF(OR(Atletas!O65="Taijiquan 16 B",Atletas!O65="Taijiquan 24 B",Atletas!O65="Taijiquan 32 B",Atletas!O65="Taijiquan 42 B"),412,IF(OR(Atletas!O65="Yang 26 C",Atletas!O65="Yang 40 C"),413,IF(OR(Atletas!O65="Chen 25 C",Atletas!O65="Chen 36 C",Atletas!O65="Chen 56 C"),414,IF(Atletas!O65="Sun 73 C",415,IF(Atletas!O65="Wu 45 C",416,IF(Atletas!O65="Wu-Hao 46 C",417,IF(OR(Atletas!O65="Taijiquan 16 C",Atletas!O65="Taijiquan 24 C",Atletas!O65="Taijiquan 32 C",Atletas!O65="Taijiquan 42 C"),418,0)))))))))))))))))))</f>
        <v/>
      </c>
      <c r="BQ69" s="52" t="str">
        <f>IF(Atletas!O65="","",IF(Atletas!W65&lt;&gt;"",10000,0)+IF(Atletas!B65="Feminino",1000,IF(Atletas!B65="Masculino",2000,""))+IF(OR(Atletas!O65="Yang 26 D",Atletas!O65="Yang 40 D"),419,IF(OR(Atletas!O65="Chen 25 D",Atletas!O65="Chen 36 D",Atletas!O65="Chen 56 D"),420,IF(Atletas!O65="Sun 73 D",421,IF(Atletas!O65="Wu 45 D",422,IF(Atletas!O65="Wu-Hao 46 D",423,IF(OR(Atletas!O65="Taijiquan 16 D",Atletas!O65="Taijiquan 24 D",Atletas!O65="Taijiquan 32 D",Atletas!O65="Taijiquan 42 D"),424,IF(OR(Atletas!O65="Yang 26 E",Atletas!O65="Yang 40 E"),425,IF(OR(Atletas!O65="Chen 25 E",Atletas!O65="Chen 36 E",Atletas!O65="Chen 56 E"),426,IF(Atletas!O65="Sun 73 E",427,IF(Atletas!O65="Wu 45 E",428,IF(Atletas!O65="Wu-Hao 46 E",429,IF(OR(Atletas!O65="Taijiquan 16 E",Atletas!O65="Taijiquan 24 E",Atletas!O65="Taijiquan 32 E",Atletas!O65="Taijiquan 42 E"),430,IF(OR(Atletas!O65="Yang 26 F",Atletas!O65="Yang 40 F"),431,IF(OR(Atletas!O65="Chen 25 F",Atletas!O65="Chen 36 F",Atletas!O65="Chen 56 F"),432,IF(Atletas!O65="Sun 73 F",433,IF(Atletas!O65="Wu 45 F",434,IF(Atletas!O65="Wu-Hao 46 F",435,IF(OR(Atletas!O65="Taijiquan 16 F",Atletas!O65="Taijiquan 24 F",Atletas!O65="Taijiquan 32 F",Atletas!O65="Taijiquan 42 F"),436,0)))))))))))))))))))</f>
        <v/>
      </c>
      <c r="BR69" s="52" t="str">
        <f>IF(Atletas!P65="","",IF(Atletas!W65&lt;&gt;"",10000,0)+IF(Atletas!B65="Feminino",1000,IF(Atletas!B65="Masculino",2000,""))+IF(Atletas!P65="Xingyiquan A",501,IF(Atletas!P65="Baguazhang A",502,IF(Atletas!P65="Outro Estilo Interno A",503,IF(Atletas!P65="Xingyiquan B",504,IF(Atletas!P65="Baguazhang B",505,IF(Atletas!P65="Outro Estilo Interno B",506,IF(Atletas!P65="Xingyiquan C",507,IF(Atletas!P65="Baguazhang C",508,IF(Atletas!P65="Outro Estilo Interno C",509,IF(Atletas!P65="Xingyiquan D",510,IF(Atletas!P65="Baguazhang D",511,IF(Atletas!P65="Outro Estilo Interno D",512,IF(Atletas!P65="Xingyiquan E",513,IF(Atletas!P65="Baguazhang E",514,IF(Atletas!P65="Outro Estilo Interno E",515,IF(Atletas!P65="Xingyiquan F",516,IF(Atletas!P65="Baguazhang F",517,IF(Atletas!P65="Outro Estilo Interno F",518, "")))))))))))))))))))</f>
        <v/>
      </c>
      <c r="BS69" s="52" t="str">
        <f>IF(Atletas!Q65="","",IF(Atletas!W65&lt;&gt;"",10000,0)+IF(Atletas!B65="Feminino",1000,IF(Atletas!B65="Masculino",2000,""))+IF(Atletas!Q65="Dao A",601,IF(Atletas!Q65="Jian A",602,IF(Atletas!Q65="Bishou A",603,IF(Atletas!Q65="Shan A",604,IF(Atletas!Q65="Outra Arma Curta A",605,IF(Atletas!Q65="Dao B",606,IF(Atletas!Q65="Jian B",607,IF(Atletas!Q65="Bishou B",608,IF(Atletas!Q65="Shan B",609,IF(Atletas!Q65="Outra Arma Curta B",610,IF(Atletas!Q65="Dao C",611,IF(Atletas!Q65="Jian C",612,IF(Atletas!Q65="Bishou C",613,IF(Atletas!Q65="Shan C",614,IF(Atletas!Q65="Outra Arma Curta C",615,IF(Atletas!Q65="Dao D",616,IF(Atletas!Q65="Jian D",617,IF(Atletas!Q65="Bishou D",618,IF(Atletas!Q65="Shan D",619,IF(Atletas!Q65="Outra Arma Curta D",620,IF(Atletas!Q65="Dao E",621,IF(Atletas!Q65="Jian E",622,IF(Atletas!Q65="Bishou E",623,IF(Atletas!Q65="Shan E",624,IF(Atletas!Q65="Outra Arma Curta E",625,IF(Atletas!Q65="Dao F",626,IF(Atletas!Q65="Jian F",627,IF(Atletas!Q65="Bishou F",628,IF(Atletas!Q65="Shan F",629,IF(Atletas!Q65="Outra Arma Curta F",630, "")))))))))))))))))))))))))))))))</f>
        <v/>
      </c>
      <c r="BT69" s="52" t="str">
        <f>IF(Atletas!R65="","",IF(Atletas!W65&lt;&gt;"",10000,0)+IF(Atletas!B65="Feminino",1000,IF(Atletas!B65="Masculino",2000,""))+IF(Atletas!R65="Gun A",701,IF(Atletas!R65="Qiang A",702,IF(Atletas!R65="Pudao / Guandao A",703,IF(Atletas!R65="Outra Arma Longa A",704,IF(Atletas!R65="Gun B",705,IF(Atletas!R65="Qiang B",706,IF(Atletas!R65="Pudao / Guandao B",707,IF(Atletas!R65="Outra Arma Longa B",708,IF(Atletas!R65="Gun C",709,IF(Atletas!R65="Qiang C",710,IF(Atletas!R65="Pudao / Guandao C",711,IF(Atletas!R65="Outra Arma Longa C",712,IF(Atletas!R65="Gun D",713,IF(Atletas!R65="Qiang D",714,IF(Atletas!R65="Pudao / Guandao D",715,IF(Atletas!R65="Outra Arma Longa D",716,IF(Atletas!R65="Gun E",717,IF(Atletas!R65="Qiang E",718,IF(Atletas!R65="Pudao / Guandao E",719,IF(Atletas!R65="Outra Arma Longa E",720,IF(Atletas!R65="Gun F",721,IF(Atletas!R65="Qiang F",722,IF(Atletas!R65="Pudao / Guandao F",723,IF(Atletas!R65="Outra Arma Longa F",724,"")))))))))))))))))))))))))</f>
        <v/>
      </c>
      <c r="BU69" s="52" t="str">
        <f>IF(Atletas!S65="","",IF(Atletas!W65&lt;&gt;"",10000,0)+IF(Atletas!B65="Feminino",1000,IF(Atletas!B65="Masculino",2000,""))+IF(Atletas!S65="Arma Dupla A",801,IF(Atletas!S65="Arma Maleável A",802,IF(Atletas!S65="Arma Dupla B",803,IF(Atletas!S65="Arma Maleável B",804,IF(Atletas!S65="Arma Dupla C",805,IF(Atletas!S65="Arma Maleável C",806,IF(Atletas!S65="Arma Dupla D",807,IF(Atletas!S65="Arma Maleável D",808,IF(Atletas!S65="Arma Dupla E",809,IF(Atletas!S65="Arma Maleável E",810,IF(Atletas!S65="Arma Dupla F",811,IF(Atletas!S65="Arma Maleável F",812, "")))))))))))))</f>
        <v/>
      </c>
      <c r="BV69" s="52" t="str">
        <f>IF(Atletas!T65="","",IF(Atletas!W65&lt;&gt;"",10000,0)+IF(Atletas!B65="Feminino",1000,IF(Atletas!B65="Masculino",2000,""))+IF(Atletas!T65="Taijijian Yang A",901,IF(Atletas!T65="Taijijian Chen A",902,IF(Atletas!T65="Taijijian Sun A",903,IF(Atletas!T65="Taijijian Wu A",904,IF(Atletas!T65="Taijijian Wu-Hao A",905,IF(Atletas!T65="Taijijian 32 A",906,IF(Atletas!T65="Taijijian 42 A",907,IF(Atletas!T65="Taijijian Yang B",908,IF(Atletas!T65="Taijijian Chen B",909,IF(Atletas!T65="Taijijian Sun B",910,IF(Atletas!T65="Taijijian Wu B",911,IF(Atletas!T65="Taijijian Wu-Hao B",912,IF(Atletas!T65="Taijijian 32 B",913,IF(Atletas!T65="Taijijian 42 B",914,IF(Atletas!T65="Taijijian Yang C",915,IF(Atletas!T65="Taijijian Chen C",916,IF(Atletas!T65="Taijijian Sun C",917,IF(Atletas!T65="Taijijian Wu C",918,IF(Atletas!T65="Taijijian Wu-Hao C",919,IF(Atletas!T65="Taijijian 32 C",920,IF(Atletas!T65="Taijijian 42 C",921,IF(Atletas!T65="Taijijian Yang D",922,IF(Atletas!T65="Taijijian Chen D",923,IF(Atletas!T65="Taijijian Sun D",924,IF(Atletas!T65="Taijijian Wu D",925,IF(Atletas!T65="Taijijian Wu-Hao D",926,IF(Atletas!T65="Taijijian 32 D",927,IF(Atletas!T65="Taijijian 42 D",928,IF(Atletas!T65="Taijijian Yang E",929,IF(Atletas!T65="Taijijian Chen E",930,IF(Atletas!T65="Taijijian Sun E",931,IF(Atletas!T65="Taijijian Wu E",932,IF(Atletas!T65="Taijijian Wu-Hao E",933,IF(Atletas!T65="Taijijian 32 E",934,IF(Atletas!T65="Taijijian 42 E",935,IF(Atletas!T65="Taijijian Yang F",936,IF(Atletas!T65="Taijijian Chen F",937,IF(Atletas!T65="Taijijian Sun F",938,IF(Atletas!T65="Taijijian Wu F",939,IF(Atletas!T65="Taijijian Wu-Hao F",940,IF(Atletas!T65="Taijijian 32 F",941,IF(Atletas!T65="Taijijian 42 F",942,"")))))))))))))))))))))))))))))))))))))))))))</f>
        <v/>
      </c>
      <c r="BW69" s="52" t="str">
        <f>IF(Atletas!U65="","",IF(Atletas!W65&lt;&gt;"",10000,0)+IF(Atletas!B65="Feminino",1000,IF(Atletas!B65="Masculino",2000,""))+IF(Atletas!T65="Taijijian 42 F",942,IF(Atletas!U65="Taijidao A",943,IF(Atletas!U65="Taijishan A",944,IF(Atletas!U65="Taijiqiang A",945,IF(Atletas!U65="Taijidao B",946,IF(Atletas!U65="Taijishan B",947,IF(Atletas!U65="Taijiqiang B",948,IF(Atletas!U65="Taijidao C",949,IF(Atletas!U65="Taijishan C",950,IF(Atletas!U65="Taijiqiang C",951,IF(Atletas!U65="Taijidao D",952,IF(Atletas!U65="Taijishan D",953,IF(Atletas!U65="Taijiqiang D",954,IF(Atletas!U65="Taijidao E",955,IF(Atletas!U65="Taijishan E",956,IF(Atletas!U65="Taijiqiang E",957,IF(Atletas!U65="Taijidao F",958,IF(Atletas!U65="Taijishan F",959,IF(Atletas!U65="Taijiqiang F",960))))))))))))))))))))</f>
        <v/>
      </c>
      <c r="BX69" s="64" t="str">
        <f>IF(BY69&lt;&gt;"","Piguaquan C","")</f>
        <v/>
      </c>
      <c r="BY69" s="64" t="str">
        <f>IF(COUNTIF(BK:BW,1133)&gt;0,COUNTIF(BK:BW,1133),"")</f>
        <v/>
      </c>
      <c r="BZ69" s="64" t="str">
        <f>IF(CA69&lt;&gt;"","Piguaquan C","")</f>
        <v/>
      </c>
      <c r="CA69" s="64" t="str">
        <f>IF(COUNTIF(BK:BW,2133)&gt;0,COUNTIF(BK:BW,2133),"")</f>
        <v/>
      </c>
      <c r="CB69" s="64" t="str">
        <f>IF(CC69&lt;&gt;"","Piguaquan C","")</f>
        <v/>
      </c>
      <c r="CC69" s="64" t="str">
        <f>IF(COUNTIF(BK:BW,11133)&gt;0,COUNTIF(BK:BW,11133),"")</f>
        <v/>
      </c>
      <c r="CD69" s="64" t="str">
        <f>IF(CE69&lt;&gt;"","Piguaquan C","")</f>
        <v/>
      </c>
      <c r="CE69" s="64" t="str">
        <f>IF(COUNTIF(BK:BW,12133)&gt;0,COUNTIF(BK:BW,12133),"")</f>
        <v/>
      </c>
      <c r="CF69" s="52" t="str">
        <f xml:space="preserve"> IF(Atletas!V65="","",IF(Atletas!V65="Duilian de Mãos AB - Equipe 1",1,IF(Atletas!V65="Duilian de Mãos AB - Equipe 2",2,IF(Atletas!V65="Duilian de Armas AB - Equipe 1",3,IF(Atletas!V65="Duilian de Armas AB - Equipe 2",4,IF(Atletas!V65="Duilian de Tuishou - Equipe 1",5,IF(Atletas!V65="Duilian de Tuishou - Equipe 2",6,IF(Atletas!V65="Grupo Externo AB - Equipe 1",7,IF(Atletas!V65="Grupo Externo AB - Equipe 2",8,IF(Atletas!V65="Grupo Interno AB - Equipe 1",9,IF(Atletas!V65="Grupo Interno AB - Equipe 2",10,IF(Atletas!V65="Duilian de Mãos CD - Equipe 1",11,IF(Atletas!V65="Duilian de Mãos CD - Equipe 2",12,IF(Atletas!V65="Duilian de Armas CD - Equipe 1",13,IF(Atletas!V65="Duilian de Armas CD - Equipe 2",14,IF(Atletas!V65="Duilian de Tuishou - Equipe 1",15,IF(Atletas!V65="Duilian de Tuishou - Equipe 2",16,IF(Atletas!V65="Grupo Externo CDEF - Equipe 1",17,IF(Atletas!V65="Grupo Externo CDEF - Equipe 2",18,IF(Atletas!V65="Grupo Interno CDEF - Equipe 1",19,IF(Atletas!V65="Grupo Interno CDEF - Equipe 2",20,IF(Atletas!V65="Duilian de Mãos EF - Equipe 1",21,IF(Atletas!V65="Duilian de Mãos EF - Equipe 2",22,IF(Atletas!V65="Duilian de Armas EF - Equipe 1",23,IF(Atletas!V65="Duilian de Armas EF - Equipe 2",24,IF(Atletas!V65="Duilian de Tuishou - Equipe 1",25,IF(Atletas!V65="Duilian de Tuishou - Equipe 2",26,"")))))))))))))))))))))))))))</f>
        <v/>
      </c>
    </row>
    <row r="70" spans="2:96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31"/>
      <c r="U70" s="4"/>
      <c r="V70" s="4" t="str">
        <f t="array" ref="V70">IFERROR(INDEX(BX$7:BX$336,SMALL(IF(BX$7:BX$336&lt;&gt;"",ROW(BX$7:BX$336)-ROW(BX$7)+1),ROWS(BX$7:BX69))),"")</f>
        <v/>
      </c>
      <c r="W70" s="4" t="str">
        <f t="array" ref="W70">IFERROR(INDEX(BY$7:BY$336,SMALL(IF(BY$7:BY$336&lt;&gt;"",ROW(BY$7:BY$336)-ROW(BY$7)+1),ROWS(BY$7:BY69))),"")</f>
        <v/>
      </c>
      <c r="X70" s="4" t="str">
        <f t="array" ref="X70">IFERROR(INDEX(BZ$7:BZ$336,SMALL(IF(BZ$7:BZ$336&lt;&gt;"",ROW(BZ$7:BZ$336)-ROW(BZ$7)+1),ROWS(BZ$7:BZ69))),"")</f>
        <v/>
      </c>
      <c r="Y70" s="4" t="str">
        <f t="array" ref="Y70">IFERROR(INDEX(CA$7:CA$336,SMALL(IF(CA$7:CA$336&lt;&gt;"",ROW(CA$7:CA$336)-ROW(CA$7)+1),ROWS(CA$7:CA69))),"")</f>
        <v/>
      </c>
      <c r="Z70" s="4" t="str">
        <f t="array" ref="Z70">IFERROR(INDEX(CB$7:CB$378,SMALL(IF(CB$7:CB$378&lt;&gt;"",ROW(CB$7:CB$378)-ROW(CB$7)+1),ROWS(CB$7:CB69))),"")</f>
        <v/>
      </c>
      <c r="AA70" s="4" t="str">
        <f t="array" ref="AA70">IFERROR(INDEX(CC$7:CC$378,SMALL(IF(CC$7:CC$378&lt;&gt;"",ROW(CC$7:CC$378)-ROW(CC$7)+1),ROWS(CC$7:CC69))),"")</f>
        <v/>
      </c>
      <c r="AB70" s="4" t="str">
        <f t="array" ref="AB70">IFERROR(INDEX(CD$7:CD$378,SMALL(IF(CD$7:CD$378&lt;&gt;"",ROW(CD$7:CD$378)-ROW(CD$7)+1),ROWS(CD$7:CD69))),"")</f>
        <v/>
      </c>
      <c r="AC70" s="4" t="str">
        <f t="array" ref="AC70">IFERROR(INDEX(CE$7:CE$378,SMALL(IF(CE$7:CE$378&lt;&gt;"",ROW(CE$7:CE$378)-ROW(CE$7)+1),ROWS(CE$7:CE69))),"")</f>
        <v/>
      </c>
      <c r="AD70" s="4"/>
      <c r="AE70" s="4"/>
      <c r="AF70" s="4"/>
      <c r="AG70" s="4"/>
      <c r="AH70" s="4"/>
      <c r="AI70" s="4"/>
      <c r="AJ70" s="46" t="str">
        <f>IF(Atletas!D66="","",IF(Atletas!B66="Feminino",100,IF(Atletas!B66="Masculino",200,""))+(IF(Atletas!D66="Infantil 39kg",1,IF(Atletas!D66="Infantil 42kg",2,IF(Atletas!D66="Infantil 45kg",3,IF(Atletas!D66="Infantil 48kg",4,IF(Atletas!D66="Infantil 52kg",5,IF(Atletas!D66="Infantil 56kg",6,IF(Atletas!D66="Infantil 60kg",7,IF(Atletas!D66="Juvenil 48kg",8,IF(Atletas!D66="Juvenil 52kg",9,IF(Atletas!D66="Juvenil 56kg",10,IF(Atletas!D66="Juvenil 60kg",11,IF(Atletas!D66="Juvenil 65kg",12,IF(Atletas!D66="Juvenil 70kg",13,IF(Atletas!D66="Juvenil 75kg",14,IF(Atletas!D66="Juvenil 80kg",15,IF(Atletas!D66="Adulto 48kg",16,IF(Atletas!D66="Adulto 52kg",17,IF(Atletas!D66="Adulto 56kg",18,IF(Atletas!D66="Adulto 60kg",19,IF(Atletas!D66="Adulto 65kg",20,IF(Atletas!D66="Adulto 70kg",21,IF(Atletas!D66="Adulto 75kg",22,IF(Atletas!D66="Adulto 80kg",23,IF(Atletas!D66="Adulto 85kg",24,IF(Atletas!D66="Adulto 90kg",25,IF(Atletas!D66="Adulto +90kg",26,""))))))))))))))))))))))))))))</f>
        <v/>
      </c>
      <c r="AO70" s="10" t="str">
        <f>IF(Atletas!E66="","",IF(Atletas!B66="Feminino",100,IF(Atletas!B66="Masculino",200,""))+(IF(Atletas!E66="Juvenil 44kg",1,IF(Atletas!E66="Juvenil 48kg",2,IF(Atletas!E66="Juvenil 52kg",3,IF(Atletas!E66="Juvenil 56kg",4,IF(Atletas!E66="Juvenil 60kg",5,IF(Atletas!E66="Juvenil 65kg",6,IF(Atletas!E66="Juvenil 70kg",7,IF(Atletas!E66="Juvenil 75kg",8,IF(Atletas!E66="Juvenil 82kg",9,IF(Atletas!E66="Juvenil 90kg",10,IF(Atletas!E66="Juvenil 100kg",11,IF(Atletas!E66="Adulto 48kg",12,IF(Atletas!E66="Adulto 52kg",13,IF(Atletas!E66="Adulto 56kg",14,IF(Atletas!E66="Adulto 60kg",15,IF(Atletas!E66="Adulto 65kg",16,IF(Atletas!E66="Adulto 70kg",17,IF(Atletas!E66="Adulto 75kg",18,IF(Atletas!E66="Adulto 82kg",19,IF(Atletas!E66="Adulto 90kg",20,IF(Atletas!E66="Adulto 100kg",21,IF(Atletas!E66="Adulto +100kg",22,""))))))))))))))))))))))))</f>
        <v/>
      </c>
      <c r="AT70" s="10" t="str">
        <f>IF(Atletas!F66="","",IF(Atletas!B66="Feminino",100,IF(Atletas!B66="Masculino",200,""))+(IF(Atletas!F66="Adulto 48kg",1,IF(Atletas!F66="Adulto 56kg",2,IF(Atletas!F66="Adulto 65kg",3,IF(Atletas!F66="Adulto 75kg",4,IF(Atletas!F66="Adulto +75kg",5,IF(Atletas!F66="Adulto 52kg",6,IF(Atletas!F66="Adulto 60kg",7,IF(Atletas!F66="Adulto 70kg",8,IF(Atletas!F66="Adulto 80kg",9,IF(Atletas!F66="Adulto 90kg",10,IF(Atletas!F66="Adulto +90kg",11,"")))))))))))))</f>
        <v/>
      </c>
      <c r="AY70" s="46" t="str">
        <f>IF(Atletas!G66="","",IF(Atletas!B66="Feminino",100,IF(Atletas!B66="Masculino",200,""))+(IF(Atletas!G66="Changquan Mirim",1,IF(Atletas!G66="Nanquan Mirim",2,IF(Atletas!G66="Taijiquan Mirim",3,IF(Atletas!G66="Changquan Grupo C",4,IF(Atletas!G66="Nanquan Grupo C",5,IF(Atletas!G66="Taijiquan Grupo C",6,IF(Atletas!G66="Changquan Grupo B",7,IF(Atletas!G66="Nanquan Grupo B",8,IF(Atletas!G66="Taijiquan Grupo B",9,IF(Atletas!G66="Changquan Grupo A",10,IF(Atletas!G66="Nanquan Grupo A",11,IF(Atletas!G66="Taijiquan Grupo A",12,IF(Atletas!G66="Changquan Opcional",13,IF(Atletas!G66="Nanquan Opcional",14,IF(Atletas!G66="Taijiquan Opcional",15,IF(Atletas!G66="Changquan Adulto",16,IF(Atletas!G66="Nanquan Adulto",17,IF(Atletas!G66="Taijiquan Adulto",18,""))))))))))))))))))))</f>
        <v/>
      </c>
      <c r="AZ70" s="46" t="str">
        <f>IF(Atletas!H66="","",IF(Atletas!B66="Feminino",100,IF(Atletas!B66="Masculino",200,""))+(IF(Atletas!H66="Daoshu Mirim",19,IF(Atletas!H66="Jianshu Mirim",20,IF(Atletas!H66="Nandao Mirim",21,IF(Atletas!H66="Taijijian Mirim",22,IF(Atletas!H66="Daoshu Grupo C",23,IF(Atletas!H66="Jianshu Grupo C",24,IF(Atletas!H66="Nandao Grupo C",25,IF(Atletas!H66="Taijijian Grupo C",26,IF(Atletas!H66="Daoshu Grupo B",27,IF(Atletas!H66="Jianshu Grupo B",28,IF(Atletas!H66="Nandao Grupo B",29,IF(Atletas!H66="Taijijian Grupo B",30,IF(Atletas!H66="Daoshu Grupo A",31,IF(Atletas!H66="Jianshu Grupo A",32,IF(Atletas!H66="Nandao Grupo A",33,IF(Atletas!H66="Taijijian Grupo A",34,IF(Atletas!H66="Daoshu Opcional",35,IF(Atletas!H66="Jianshu Opcional",36,IF(Atletas!H66="Nandao Opcional",37,IF(Atletas!H66="Taijijian Opcional",38,IF(Atletas!H66="Daoshu Adulto",39,IF(Atletas!H66="Jianshu Adulto",40,IF(Atletas!H66="Nandao Adulto",41,IF(Atletas!H66="Taijijian Adulto",42,""))))))))))))))))))))))))))</f>
        <v/>
      </c>
      <c r="BA70" s="46" t="str">
        <f>IF(Atletas!I66="","",IF(Atletas!B66="Feminino",100,IF(Atletas!B66="Masculino",200,""))+(IF(Atletas!I66="Gunshu Mirim",43,IF(Atletas!I66="Qiangshu Mirim",44,IF(Atletas!I66="Nangun Mirim",45,IF(Atletas!I66="Gunshu Grupo C",46,IF(Atletas!I66="Qiangshu Grupo C",47,IF(Atletas!I66="Nangun Grupo C",48,IF(Atletas!I66="Gunshu Grupo B",49,IF(Atletas!I66="Qiangshu Grupo B",50,IF(Atletas!I66="Nangun Grupo B",51,IF(Atletas!I66="Gunshu Grupo A",52,IF(Atletas!I66="Qiangshu Grupo A",53,IF(Atletas!I66="Nangun Grupo A",54,IF(Atletas!I66="Gunshu Opcional",55,IF(Atletas!I66="Qiangshu Opcional",56,IF(Atletas!I66="Nangun Opcional",57,IF(Atletas!I66="Gunshu Adulto",58,IF(Atletas!I66="Qiangshu Adulto",59,IF(Atletas!I66="Nangun Adulto",60,""))))))))))))))))))))</f>
        <v/>
      </c>
      <c r="BF70" s="52" t="str">
        <f>IF(Atletas!J66="","",IF(Atletas!B66="Feminino",100,IF(Atletas!B66="Masculino",200,""))+(IF(Atletas!J66="Equipe 1 Grupo B",1,IF(Atletas!J66="Equipe 2 Grupo B",2,IF(Atletas!J66="Equipe 1 Grupo A",3,IF(Atletas!J66="Equipe 2 Grupo A",4,IF(Atletas!J66="Equipe 1 Adulto",5,IF(Atletas!J66="Equipe 2 Adulto",6,""))))))))</f>
        <v/>
      </c>
      <c r="BK70" s="52" t="str">
        <f>IF(Atletas!K66="","",IF(Atletas!W66&lt;&gt;"",10000,0)+(IF(Atletas!B66="Feminino",1000,IF(Atletas!B66="Masculino",2000,""))+IF(Atletas!K66="Choylayfut A",1,IF(Atletas!K66="Hunggar A",2,IF(Atletas!K66="Wuzuquan A",3,IF(Atletas!K66="Wingchun A",4,IF(Atletas!K66="Outra Mão de Sul A",5,IF(Atletas!K66="Choylayfut B",6,IF(Atletas!K66="Hunggar B",7,IF(Atletas!K66="Wuzuquan B",8,IF(Atletas!K66="Wingchun B",9,IF(Atletas!K66="Outra Mão de Sul B",10,IF(Atletas!K66="Choylayfut C",11,IF(Atletas!K66="Hunggar C",12,IF(Atletas!K66="Wuzuquan C",13,IF(Atletas!K66="Wingchun C",14,IF(Atletas!K66="Outra Mão de Sul C",15,IF(Atletas!K66="Choylayfut D",16,IF(Atletas!K66="Hunggar D",17,IF(Atletas!K66="Wuzuquan D",18,IF(Atletas!K66="Wingchun D",19,IF(Atletas!K66="Outra Mão de Sul D",20,IF(Atletas!K66="Choylayfut E",21,IF(Atletas!K66="Hunggar E",22,IF(Atletas!K66="Wuzuquan E",23,IF(Atletas!K66="Wingchun E",24,IF(Atletas!K66="Outra Mão de Sul E",25,IF(Atletas!K66="Choylayfut F",26,IF(Atletas!K66="Hunggar F",27,IF(Atletas!K66="Wuzuquan F",28,IF(Atletas!K66="Wingchun F",29,IF(Atletas!K66="Outra Mão de Sul F",30,""))))))))))))))))))))))))))))))))</f>
        <v/>
      </c>
      <c r="BL70" s="52" t="str">
        <f>IF(Atletas!L66="","",IF(Atletas!W66&lt;&gt;"",10000,0)+(IF(Atletas!B66="Feminino",1000,IF(Atletas!B66="Masculino",2000,""))+(IF(Atletas!L66="Chaquan A",101,IF(Atletas!L66="Emeiquan A",102,IF(Atletas!L66="Fanziquan A",103,IF(Atletas!L66="Huaquan A",104,IF(Atletas!L66="Hongquan A",105,IF(Atletas!L66="Paochui A",106,IF(Atletas!L66="Piguaquan A",107,IF(Atletas!L66="Shaolinquan A",108,IF(Atletas!L66="Tanglangquan A",109,IF(Atletas!L66="Yinzhaophai A",110,IF(Atletas!L66="Tongbeiquan A",111,IF(Atletas!L66="Wudangquan A",112,IF(Atletas!L66="Outros Estilos A",113,IF(Atletas!L66="Chaquan B",114,IF(Atletas!L66="Emeiquan B",115,IF(Atletas!L66="Fanziquan B",116,IF(Atletas!L66="Huaquan B",117,IF(Atletas!L66="Hongquan B",118,IF(Atletas!L66="Paochui B",119,IF(Atletas!L66="Piguaquan B",120,IF(Atletas!L66="Shaolinquan B",121,IF(Atletas!L66="Tanglangquan B",122,IF(Atletas!L66="Yinzhaophai B",123,IF(Atletas!L66="Tongbeiquan B",124,IF(Atletas!L66="Wudangquan B",125,IF(Atletas!L66="Outros Estilos B",126,IF(Atletas!L66="Chaquan C",127,IF(Atletas!L66="Emeiquan C",128,IF(Atletas!L66="Fanziquan C",129,IF(Atletas!L66="Huaquan C",130,IF(Atletas!L66="Hongquan C",131,IF(Atletas!L66="Paochui C",132,IF(Atletas!L66="Piguaquan C",133,IF(Atletas!L66="Shaolinquan C",134,IF(Atletas!L66="Tanglangquan C",135,IF(Atletas!L66="Yinzhaophai C",136,IF(Atletas!L66="Tongbeiquan C",137,IF(Atletas!L66="Wudangquan C",138,IF(Atletas!L66="Outros Estilos C",139,0))))))))))))))))))))))))))))))))))))))))))</f>
        <v/>
      </c>
      <c r="BM70" s="52" t="str">
        <f>IF(Atletas!L66="","",IF(Atletas!W66&lt;&gt;"",10000,0)+(IF(Atletas!B66="Feminino",1000,IF(Atletas!B66="Masculino",2000,""))+(IF(Atletas!L66="Chaquan D",140,IF(Atletas!L66="Emeiquan D",141,IF(Atletas!L66="Fanziquan D",142,IF(Atletas!L66="Huaquan D",143,IF(Atletas!L66="Hongquan D",144,IF(Atletas!L66="Paochui D",145,IF(Atletas!L66="Piguaquan D",146,IF(Atletas!L66="Shaolinquan D",147,IF(Atletas!L66="Tanglangquan D",148,IF(Atletas!L66="Yinzhaophai D",149,IF(Atletas!L66="Tongbeiquan D",150,IF(Atletas!L66="Wudangquan D",151,IF(Atletas!L66="Outros Estilos D",152,IF(Atletas!L66="Chaquan E",153,IF(Atletas!L66="Emeiquan E",154,IF(Atletas!L66="Fanziquan E",155,IF(Atletas!L66="Huaquan E",156,IF(Atletas!L66="Hongquan E",157,IF(Atletas!L66="Paochui E",158,IF(Atletas!L66="Piguaquan E",159,IF(Atletas!L66="Shaolinquan E",160,IF(Atletas!L66="Tanglangquan E",161,IF(Atletas!L66="Yinzhaophai E",162,IF(Atletas!L66="Tongbeiquan E",163,IF(Atletas!L66="Wudangquan E",164,IF(Atletas!L66="Outros Estilos E",165,IF(Atletas!L66="Chaquan F",166,IF(Atletas!L66="Emeiquan F",167,IF(Atletas!L66="Fanziquan F",168,IF(Atletas!L66="Huaquan F",169,IF(Atletas!L66="Hongquan F",170,IF(Atletas!L66="Paochui F",171,IF(Atletas!L66="Piguaquan F",172,IF(Atletas!L66="Shaolinquan F",173,IF(Atletas!L66="Tanglangquan F",174,IF(Atletas!L66="Yinzhaophai F",175,IF(Atletas!L66="Tongbeiquan F",176,IF(Atletas!L66="Wudangquan F",177,IF(Atletas!L66="Outros Estilos F",178,0))))))))))))))))))))))))))))))))))))))))))</f>
        <v/>
      </c>
      <c r="BN70" s="52" t="str">
        <f>IF(Atletas!M66="","",IF(Atletas!W66&lt;&gt;"",10000,0)+(IF(Atletas!B66="Feminino",1000,IF(Atletas!B66="Masculino",2000,""))+(IF(Atletas!M66="Ditangquan A",201,IF(Atletas!M66="Houquan A",202,IF(Atletas!M66="Zuiquan A",203,IF(Atletas!M66="Ditangquan B",204,IF(Atletas!M66="Houquan B",205,IF(Atletas!M66="Zuiquan B",206,IF(Atletas!M66="Ditangquan C",207,IF(Atletas!M66="Houquan C",208,IF(Atletas!M66="Zuiquan C",209,IF(Atletas!M66="Ditangquan D",210,IF(Atletas!M66="Houquan D",211,IF(Atletas!M66="Zuiquan D",212,IF(Atletas!M66="Ditangquan E",213,IF(Atletas!M66="Houquan E",214,IF(Atletas!M66="Zuiquan E",215,IF(Atletas!M66="Ditangquan F",216,IF(Atletas!M66="Houquan F",217,IF(Atletas!M66="Zuiquan F",218,"")))))))))))))))))))))</f>
        <v/>
      </c>
      <c r="BO70" s="52" t="str">
        <f>IF(Atletas!N66="","",IF(Atletas!W66&lt;&gt;"",10000,0)+IF(Atletas!B66="Feminino",1000,IF(Atletas!B66="Masculino",2000,""))+IF(Atletas!N66="Yang A",301,IF(Atletas!N66="Chen A",30,IF(Atletas!N66="Sun A",303,IF(Atletas!N66="Wu A",304,IF(Atletas!N66="Wu-Hao A",305,IF(Atletas!N66="Outro Taijiquan A",306,IF(Atletas!N66="Yang B",307,IF(Atletas!N66="Chen B",308,IF(Atletas!N66="Sun B",309,IF(Atletas!N66="Wu B",310,IF(Atletas!N66="Wu-Hao B",311,IF(Atletas!N66="Outro Taijiquan B",312,IF(Atletas!N66="Yang C",313,IF(Atletas!N66="Chen C",314,IF(Atletas!N66="Sun C",315,IF(Atletas!N66="Wu C",316,IF(Atletas!N66="Wu-Hao C",317,IF(Atletas!N66="Outro Taijiquan C",318,IF(Atletas!N66="Yang D",319,IF(Atletas!N66="Chen D",320,IF(Atletas!N66="Sun D",321,IF(Atletas!N66="Wu D",322,IF(Atletas!N66="Wu-Hao D",323,IF(Atletas!N66="Outro Taijiquan D",324,IF(Atletas!N66="Yang E",325,IF(Atletas!N66="Chen E",326,IF(Atletas!N66="Sun E",327,IF(Atletas!N66="Wu E",328,IF(Atletas!N66="Wu-Hao E",329,IF(Atletas!N66="Outro Taijiquan E",330,IF(Atletas!N66="Yang F",331,IF(Atletas!N66="Chen F",332,IF(Atletas!N66="Sun F",333,IF(Atletas!N66="Wu F",334,IF(Atletas!N66="Wu-Hao F",335,IF(Atletas!N66="Outro Taijiquan F",336,"")))))))))))))))))))))))))))))))))))))</f>
        <v/>
      </c>
      <c r="BP70" s="52" t="str">
        <f>IF(Atletas!O66="","",IF(Atletas!W66&lt;&gt;"",10000,0)+IF(Atletas!B66="Feminino",1000,IF(Atletas!B66="Masculino",2000,""))+IF(OR(Atletas!O66="Yang 26 A",Atletas!O66="Yang 40 A"),401,IF(OR(Atletas!O66="Chen 25 A",Atletas!O66="Chen 36 A",Atletas!O66="Chen 56 A"),402,IF(Atletas!O66="Sun 73 A",403,IF(Atletas!O66="Wu 45 A",404,IF(Atletas!O66="Wu-Hao 46 A",405,IF(OR(Atletas!O66="Taijiquan 16 A",Atletas!O66="Taijiquan 24 A",Atletas!O66="Taijiquan 32 A",Atletas!O66="Taijiquan 42 A"),406,IF(OR(Atletas!O66="Yang 26 B",Atletas!O66="Yang 40 B"),407,IF(OR(Atletas!O66="Chen 25 B",Atletas!O66="Chen 36 B",Atletas!O66="Chen 56 B"),408,IF(Atletas!O66="Sun 73 B",409,IF(Atletas!O66="Wu 45 B",410,IF(Atletas!O66="Wu-Hao 46 B",411,IF(OR(Atletas!O66="Taijiquan 16 B",Atletas!O66="Taijiquan 24 B",Atletas!O66="Taijiquan 32 B",Atletas!O66="Taijiquan 42 B"),412,IF(OR(Atletas!O66="Yang 26 C",Atletas!O66="Yang 40 C"),413,IF(OR(Atletas!O66="Chen 25 C",Atletas!O66="Chen 36 C",Atletas!O66="Chen 56 C"),414,IF(Atletas!O66="Sun 73 C",415,IF(Atletas!O66="Wu 45 C",416,IF(Atletas!O66="Wu-Hao 46 C",417,IF(OR(Atletas!O66="Taijiquan 16 C",Atletas!O66="Taijiquan 24 C",Atletas!O66="Taijiquan 32 C",Atletas!O66="Taijiquan 42 C"),418,0)))))))))))))))))))</f>
        <v/>
      </c>
      <c r="BQ70" s="52" t="str">
        <f>IF(Atletas!O66="","",IF(Atletas!W66&lt;&gt;"",10000,0)+IF(Atletas!B66="Feminino",1000,IF(Atletas!B66="Masculino",2000,""))+IF(OR(Atletas!O66="Yang 26 D",Atletas!O66="Yang 40 D"),419,IF(OR(Atletas!O66="Chen 25 D",Atletas!O66="Chen 36 D",Atletas!O66="Chen 56 D"),420,IF(Atletas!O66="Sun 73 D",421,IF(Atletas!O66="Wu 45 D",422,IF(Atletas!O66="Wu-Hao 46 D",423,IF(OR(Atletas!O66="Taijiquan 16 D",Atletas!O66="Taijiquan 24 D",Atletas!O66="Taijiquan 32 D",Atletas!O66="Taijiquan 42 D"),424,IF(OR(Atletas!O66="Yang 26 E",Atletas!O66="Yang 40 E"),425,IF(OR(Atletas!O66="Chen 25 E",Atletas!O66="Chen 36 E",Atletas!O66="Chen 56 E"),426,IF(Atletas!O66="Sun 73 E",427,IF(Atletas!O66="Wu 45 E",428,IF(Atletas!O66="Wu-Hao 46 E",429,IF(OR(Atletas!O66="Taijiquan 16 E",Atletas!O66="Taijiquan 24 E",Atletas!O66="Taijiquan 32 E",Atletas!O66="Taijiquan 42 E"),430,IF(OR(Atletas!O66="Yang 26 F",Atletas!O66="Yang 40 F"),431,IF(OR(Atletas!O66="Chen 25 F",Atletas!O66="Chen 36 F",Atletas!O66="Chen 56 F"),432,IF(Atletas!O66="Sun 73 F",433,IF(Atletas!O66="Wu 45 F",434,IF(Atletas!O66="Wu-Hao 46 F",435,IF(OR(Atletas!O66="Taijiquan 16 F",Atletas!O66="Taijiquan 24 F",Atletas!O66="Taijiquan 32 F",Atletas!O66="Taijiquan 42 F"),436,0)))))))))))))))))))</f>
        <v/>
      </c>
      <c r="BR70" s="52" t="str">
        <f>IF(Atletas!P66="","",IF(Atletas!W66&lt;&gt;"",10000,0)+IF(Atletas!B66="Feminino",1000,IF(Atletas!B66="Masculino",2000,""))+IF(Atletas!P66="Xingyiquan A",501,IF(Atletas!P66="Baguazhang A",502,IF(Atletas!P66="Outro Estilo Interno A",503,IF(Atletas!P66="Xingyiquan B",504,IF(Atletas!P66="Baguazhang B",505,IF(Atletas!P66="Outro Estilo Interno B",506,IF(Atletas!P66="Xingyiquan C",507,IF(Atletas!P66="Baguazhang C",508,IF(Atletas!P66="Outro Estilo Interno C",509,IF(Atletas!P66="Xingyiquan D",510,IF(Atletas!P66="Baguazhang D",511,IF(Atletas!P66="Outro Estilo Interno D",512,IF(Atletas!P66="Xingyiquan E",513,IF(Atletas!P66="Baguazhang E",514,IF(Atletas!P66="Outro Estilo Interno E",515,IF(Atletas!P66="Xingyiquan F",516,IF(Atletas!P66="Baguazhang F",517,IF(Atletas!P66="Outro Estilo Interno F",518, "")))))))))))))))))))</f>
        <v/>
      </c>
      <c r="BS70" s="52" t="str">
        <f>IF(Atletas!Q66="","",IF(Atletas!W66&lt;&gt;"",10000,0)+IF(Atletas!B66="Feminino",1000,IF(Atletas!B66="Masculino",2000,""))+IF(Atletas!Q66="Dao A",601,IF(Atletas!Q66="Jian A",602,IF(Atletas!Q66="Bishou A",603,IF(Atletas!Q66="Shan A",604,IF(Atletas!Q66="Outra Arma Curta A",605,IF(Atletas!Q66="Dao B",606,IF(Atletas!Q66="Jian B",607,IF(Atletas!Q66="Bishou B",608,IF(Atletas!Q66="Shan B",609,IF(Atletas!Q66="Outra Arma Curta B",610,IF(Atletas!Q66="Dao C",611,IF(Atletas!Q66="Jian C",612,IF(Atletas!Q66="Bishou C",613,IF(Atletas!Q66="Shan C",614,IF(Atletas!Q66="Outra Arma Curta C",615,IF(Atletas!Q66="Dao D",616,IF(Atletas!Q66="Jian D",617,IF(Atletas!Q66="Bishou D",618,IF(Atletas!Q66="Shan D",619,IF(Atletas!Q66="Outra Arma Curta D",620,IF(Atletas!Q66="Dao E",621,IF(Atletas!Q66="Jian E",622,IF(Atletas!Q66="Bishou E",623,IF(Atletas!Q66="Shan E",624,IF(Atletas!Q66="Outra Arma Curta E",625,IF(Atletas!Q66="Dao F",626,IF(Atletas!Q66="Jian F",627,IF(Atletas!Q66="Bishou F",628,IF(Atletas!Q66="Shan F",629,IF(Atletas!Q66="Outra Arma Curta F",630, "")))))))))))))))))))))))))))))))</f>
        <v/>
      </c>
      <c r="BT70" s="52" t="str">
        <f>IF(Atletas!R66="","",IF(Atletas!W66&lt;&gt;"",10000,0)+IF(Atletas!B66="Feminino",1000,IF(Atletas!B66="Masculino",2000,""))+IF(Atletas!R66="Gun A",701,IF(Atletas!R66="Qiang A",702,IF(Atletas!R66="Pudao / Guandao A",703,IF(Atletas!R66="Outra Arma Longa A",704,IF(Atletas!R66="Gun B",705,IF(Atletas!R66="Qiang B",706,IF(Atletas!R66="Pudao / Guandao B",707,IF(Atletas!R66="Outra Arma Longa B",708,IF(Atletas!R66="Gun C",709,IF(Atletas!R66="Qiang C",710,IF(Atletas!R66="Pudao / Guandao C",711,IF(Atletas!R66="Outra Arma Longa C",712,IF(Atletas!R66="Gun D",713,IF(Atletas!R66="Qiang D",714,IF(Atletas!R66="Pudao / Guandao D",715,IF(Atletas!R66="Outra Arma Longa D",716,IF(Atletas!R66="Gun E",717,IF(Atletas!R66="Qiang E",718,IF(Atletas!R66="Pudao / Guandao E",719,IF(Atletas!R66="Outra Arma Longa E",720,IF(Atletas!R66="Gun F",721,IF(Atletas!R66="Qiang F",722,IF(Atletas!R66="Pudao / Guandao F",723,IF(Atletas!R66="Outra Arma Longa F",724,"")))))))))))))))))))))))))</f>
        <v/>
      </c>
      <c r="BU70" s="52" t="str">
        <f>IF(Atletas!S66="","",IF(Atletas!W66&lt;&gt;"",10000,0)+IF(Atletas!B66="Feminino",1000,IF(Atletas!B66="Masculino",2000,""))+IF(Atletas!S66="Arma Dupla A",801,IF(Atletas!S66="Arma Maleável A",802,IF(Atletas!S66="Arma Dupla B",803,IF(Atletas!S66="Arma Maleável B",804,IF(Atletas!S66="Arma Dupla C",805,IF(Atletas!S66="Arma Maleável C",806,IF(Atletas!S66="Arma Dupla D",807,IF(Atletas!S66="Arma Maleável D",808,IF(Atletas!S66="Arma Dupla E",809,IF(Atletas!S66="Arma Maleável E",810,IF(Atletas!S66="Arma Dupla F",811,IF(Atletas!S66="Arma Maleável F",812, "")))))))))))))</f>
        <v/>
      </c>
      <c r="BV70" s="52" t="str">
        <f>IF(Atletas!T66="","",IF(Atletas!W66&lt;&gt;"",10000,0)+IF(Atletas!B66="Feminino",1000,IF(Atletas!B66="Masculino",2000,""))+IF(Atletas!T66="Taijijian Yang A",901,IF(Atletas!T66="Taijijian Chen A",902,IF(Atletas!T66="Taijijian Sun A",903,IF(Atletas!T66="Taijijian Wu A",904,IF(Atletas!T66="Taijijian Wu-Hao A",905,IF(Atletas!T66="Taijijian 32 A",906,IF(Atletas!T66="Taijijian 42 A",907,IF(Atletas!T66="Taijijian Yang B",908,IF(Atletas!T66="Taijijian Chen B",909,IF(Atletas!T66="Taijijian Sun B",910,IF(Atletas!T66="Taijijian Wu B",911,IF(Atletas!T66="Taijijian Wu-Hao B",912,IF(Atletas!T66="Taijijian 32 B",913,IF(Atletas!T66="Taijijian 42 B",914,IF(Atletas!T66="Taijijian Yang C",915,IF(Atletas!T66="Taijijian Chen C",916,IF(Atletas!T66="Taijijian Sun C",917,IF(Atletas!T66="Taijijian Wu C",918,IF(Atletas!T66="Taijijian Wu-Hao C",919,IF(Atletas!T66="Taijijian 32 C",920,IF(Atletas!T66="Taijijian 42 C",921,IF(Atletas!T66="Taijijian Yang D",922,IF(Atletas!T66="Taijijian Chen D",923,IF(Atletas!T66="Taijijian Sun D",924,IF(Atletas!T66="Taijijian Wu D",925,IF(Atletas!T66="Taijijian Wu-Hao D",926,IF(Atletas!T66="Taijijian 32 D",927,IF(Atletas!T66="Taijijian 42 D",928,IF(Atletas!T66="Taijijian Yang E",929,IF(Atletas!T66="Taijijian Chen E",930,IF(Atletas!T66="Taijijian Sun E",931,IF(Atletas!T66="Taijijian Wu E",932,IF(Atletas!T66="Taijijian Wu-Hao E",933,IF(Atletas!T66="Taijijian 32 E",934,IF(Atletas!T66="Taijijian 42 E",935,IF(Atletas!T66="Taijijian Yang F",936,IF(Atletas!T66="Taijijian Chen F",937,IF(Atletas!T66="Taijijian Sun F",938,IF(Atletas!T66="Taijijian Wu F",939,IF(Atletas!T66="Taijijian Wu-Hao F",940,IF(Atletas!T66="Taijijian 32 F",941,IF(Atletas!T66="Taijijian 42 F",942,"")))))))))))))))))))))))))))))))))))))))))))</f>
        <v/>
      </c>
      <c r="BW70" s="52" t="str">
        <f>IF(Atletas!U66="","",IF(Atletas!W66&lt;&gt;"",10000,0)+IF(Atletas!B66="Feminino",1000,IF(Atletas!B66="Masculino",2000,""))+IF(Atletas!T66="Taijijian 42 F",942,IF(Atletas!U66="Taijidao A",943,IF(Atletas!U66="Taijishan A",944,IF(Atletas!U66="Taijiqiang A",945,IF(Atletas!U66="Taijidao B",946,IF(Atletas!U66="Taijishan B",947,IF(Atletas!U66="Taijiqiang B",948,IF(Atletas!U66="Taijidao C",949,IF(Atletas!U66="Taijishan C",950,IF(Atletas!U66="Taijiqiang C",951,IF(Atletas!U66="Taijidao D",952,IF(Atletas!U66="Taijishan D",953,IF(Atletas!U66="Taijiqiang D",954,IF(Atletas!U66="Taijidao E",955,IF(Atletas!U66="Taijishan E",956,IF(Atletas!U66="Taijiqiang E",957,IF(Atletas!U66="Taijidao F",958,IF(Atletas!U66="Taijishan F",959,IF(Atletas!U66="Taijiqiang F",960))))))))))))))))))))</f>
        <v/>
      </c>
      <c r="BX70" s="64" t="str">
        <f>IF(BY70&lt;&gt;"","Shaolinquan C","")</f>
        <v/>
      </c>
      <c r="BY70" s="64" t="str">
        <f>IF(COUNTIF(BK:BW,1134)&gt;0,COUNTIF(BK:BW,1134),"")</f>
        <v/>
      </c>
      <c r="BZ70" s="64" t="str">
        <f>IF(CA70&lt;&gt;"","Shaolinquan C","")</f>
        <v/>
      </c>
      <c r="CA70" s="64" t="str">
        <f>IF(COUNTIF(BK:BW,2134)&gt;0,COUNTIF(BK:BW,2134),"")</f>
        <v/>
      </c>
      <c r="CB70" s="64" t="str">
        <f>IF(CC70&lt;&gt;"","Shaolinquan C","")</f>
        <v/>
      </c>
      <c r="CC70" s="64" t="str">
        <f>IF(COUNTIF(BK:BW,11134)&gt;0,COUNTIF(BK:BW,11134),"")</f>
        <v/>
      </c>
      <c r="CD70" s="64" t="str">
        <f>IF(CE70&lt;&gt;"","Shaolinquan C","")</f>
        <v/>
      </c>
      <c r="CE70" s="64" t="str">
        <f>IF(COUNTIF(BK:BW,12134)&gt;0,COUNTIF(BK:BW,12134),"")</f>
        <v/>
      </c>
      <c r="CF70" s="52" t="str">
        <f xml:space="preserve"> IF(Atletas!V66="","",IF(Atletas!V66="Duilian de Mãos AB - Equipe 1",1,IF(Atletas!V66="Duilian de Mãos AB - Equipe 2",2,IF(Atletas!V66="Duilian de Armas AB - Equipe 1",3,IF(Atletas!V66="Duilian de Armas AB - Equipe 2",4,IF(Atletas!V66="Duilian de Tuishou - Equipe 1",5,IF(Atletas!V66="Duilian de Tuishou - Equipe 2",6,IF(Atletas!V66="Grupo Externo AB - Equipe 1",7,IF(Atletas!V66="Grupo Externo AB - Equipe 2",8,IF(Atletas!V66="Grupo Interno AB - Equipe 1",9,IF(Atletas!V66="Grupo Interno AB - Equipe 2",10,IF(Atletas!V66="Duilian de Mãos CD - Equipe 1",11,IF(Atletas!V66="Duilian de Mãos CD - Equipe 2",12,IF(Atletas!V66="Duilian de Armas CD - Equipe 1",13,IF(Atletas!V66="Duilian de Armas CD - Equipe 2",14,IF(Atletas!V66="Duilian de Tuishou - Equipe 1",15,IF(Atletas!V66="Duilian de Tuishou - Equipe 2",16,IF(Atletas!V66="Grupo Externo CDEF - Equipe 1",17,IF(Atletas!V66="Grupo Externo CDEF - Equipe 2",18,IF(Atletas!V66="Grupo Interno CDEF - Equipe 1",19,IF(Atletas!V66="Grupo Interno CDEF - Equipe 2",20,IF(Atletas!V66="Duilian de Mãos EF - Equipe 1",21,IF(Atletas!V66="Duilian de Mãos EF - Equipe 2",22,IF(Atletas!V66="Duilian de Armas EF - Equipe 1",23,IF(Atletas!V66="Duilian de Armas EF - Equipe 2",24,IF(Atletas!V66="Duilian de Tuishou - Equipe 1",25,IF(Atletas!V66="Duilian de Tuishou - Equipe 2",26,"")))))))))))))))))))))))))))</f>
        <v/>
      </c>
    </row>
    <row r="71" spans="2:96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31"/>
      <c r="U71" s="4"/>
      <c r="V71" s="4" t="str">
        <f t="array" ref="V71">IFERROR(INDEX(BX$7:BX$336,SMALL(IF(BX$7:BX$336&lt;&gt;"",ROW(BX$7:BX$336)-ROW(BX$7)+1),ROWS(BX$7:BX70))),"")</f>
        <v/>
      </c>
      <c r="W71" s="4" t="str">
        <f t="array" ref="W71">IFERROR(INDEX(BY$7:BY$336,SMALL(IF(BY$7:BY$336&lt;&gt;"",ROW(BY$7:BY$336)-ROW(BY$7)+1),ROWS(BY$7:BY70))),"")</f>
        <v/>
      </c>
      <c r="X71" s="4" t="str">
        <f t="array" ref="X71">IFERROR(INDEX(BZ$7:BZ$336,SMALL(IF(BZ$7:BZ$336&lt;&gt;"",ROW(BZ$7:BZ$336)-ROW(BZ$7)+1),ROWS(BZ$7:BZ70))),"")</f>
        <v/>
      </c>
      <c r="Y71" s="4" t="str">
        <f t="array" ref="Y71">IFERROR(INDEX(CA$7:CA$336,SMALL(IF(CA$7:CA$336&lt;&gt;"",ROW(CA$7:CA$336)-ROW(CA$7)+1),ROWS(CA$7:CA70))),"")</f>
        <v/>
      </c>
      <c r="Z71" s="4" t="str">
        <f t="array" ref="Z71">IFERROR(INDEX(CB$7:CB$378,SMALL(IF(CB$7:CB$378&lt;&gt;"",ROW(CB$7:CB$378)-ROW(CB$7)+1),ROWS(CB$7:CB70))),"")</f>
        <v/>
      </c>
      <c r="AA71" s="4" t="str">
        <f t="array" ref="AA71">IFERROR(INDEX(CC$7:CC$378,SMALL(IF(CC$7:CC$378&lt;&gt;"",ROW(CC$7:CC$378)-ROW(CC$7)+1),ROWS(CC$7:CC70))),"")</f>
        <v/>
      </c>
      <c r="AB71" s="4" t="str">
        <f t="array" ref="AB71">IFERROR(INDEX(CD$7:CD$378,SMALL(IF(CD$7:CD$378&lt;&gt;"",ROW(CD$7:CD$378)-ROW(CD$7)+1),ROWS(CD$7:CD70))),"")</f>
        <v/>
      </c>
      <c r="AC71" s="4" t="str">
        <f t="array" ref="AC71">IFERROR(INDEX(CE$7:CE$378,SMALL(IF(CE$7:CE$378&lt;&gt;"",ROW(CE$7:CE$378)-ROW(CE$7)+1),ROWS(CE$7:CE70))),"")</f>
        <v/>
      </c>
      <c r="AD71" s="4"/>
      <c r="AE71" s="4"/>
      <c r="AF71" s="4"/>
      <c r="AG71" s="4"/>
      <c r="AH71" s="4"/>
      <c r="AI71" s="4"/>
      <c r="AJ71" s="46" t="str">
        <f>IF(Atletas!D67="","",IF(Atletas!B67="Feminino",100,IF(Atletas!B67="Masculino",200,""))+(IF(Atletas!D67="Infantil 39kg",1,IF(Atletas!D67="Infantil 42kg",2,IF(Atletas!D67="Infantil 45kg",3,IF(Atletas!D67="Infantil 48kg",4,IF(Atletas!D67="Infantil 52kg",5,IF(Atletas!D67="Infantil 56kg",6,IF(Atletas!D67="Infantil 60kg",7,IF(Atletas!D67="Juvenil 48kg",8,IF(Atletas!D67="Juvenil 52kg",9,IF(Atletas!D67="Juvenil 56kg",10,IF(Atletas!D67="Juvenil 60kg",11,IF(Atletas!D67="Juvenil 65kg",12,IF(Atletas!D67="Juvenil 70kg",13,IF(Atletas!D67="Juvenil 75kg",14,IF(Atletas!D67="Juvenil 80kg",15,IF(Atletas!D67="Adulto 48kg",16,IF(Atletas!D67="Adulto 52kg",17,IF(Atletas!D67="Adulto 56kg",18,IF(Atletas!D67="Adulto 60kg",19,IF(Atletas!D67="Adulto 65kg",20,IF(Atletas!D67="Adulto 70kg",21,IF(Atletas!D67="Adulto 75kg",22,IF(Atletas!D67="Adulto 80kg",23,IF(Atletas!D67="Adulto 85kg",24,IF(Atletas!D67="Adulto 90kg",25,IF(Atletas!D67="Adulto +90kg",26,""))))))))))))))))))))))))))))</f>
        <v/>
      </c>
      <c r="AO71" s="10" t="str">
        <f>IF(Atletas!E67="","",IF(Atletas!B67="Feminino",100,IF(Atletas!B67="Masculino",200,""))+(IF(Atletas!E67="Juvenil 44kg",1,IF(Atletas!E67="Juvenil 48kg",2,IF(Atletas!E67="Juvenil 52kg",3,IF(Atletas!E67="Juvenil 56kg",4,IF(Atletas!E67="Juvenil 60kg",5,IF(Atletas!E67="Juvenil 65kg",6,IF(Atletas!E67="Juvenil 70kg",7,IF(Atletas!E67="Juvenil 75kg",8,IF(Atletas!E67="Juvenil 82kg",9,IF(Atletas!E67="Juvenil 90kg",10,IF(Atletas!E67="Juvenil 100kg",11,IF(Atletas!E67="Adulto 48kg",12,IF(Atletas!E67="Adulto 52kg",13,IF(Atletas!E67="Adulto 56kg",14,IF(Atletas!E67="Adulto 60kg",15,IF(Atletas!E67="Adulto 65kg",16,IF(Atletas!E67="Adulto 70kg",17,IF(Atletas!E67="Adulto 75kg",18,IF(Atletas!E67="Adulto 82kg",19,IF(Atletas!E67="Adulto 90kg",20,IF(Atletas!E67="Adulto 100kg",21,IF(Atletas!E67="Adulto +100kg",22,""))))))))))))))))))))))))</f>
        <v/>
      </c>
      <c r="AT71" s="10" t="str">
        <f>IF(Atletas!F67="","",IF(Atletas!B67="Feminino",100,IF(Atletas!B67="Masculino",200,""))+(IF(Atletas!F67="Adulto 48kg",1,IF(Atletas!F67="Adulto 56kg",2,IF(Atletas!F67="Adulto 65kg",3,IF(Atletas!F67="Adulto 75kg",4,IF(Atletas!F67="Adulto +75kg",5,IF(Atletas!F67="Adulto 52kg",6,IF(Atletas!F67="Adulto 60kg",7,IF(Atletas!F67="Adulto 70kg",8,IF(Atletas!F67="Adulto 80kg",9,IF(Atletas!F67="Adulto 90kg",10,IF(Atletas!F67="Adulto +90kg",11,"")))))))))))))</f>
        <v/>
      </c>
      <c r="AY71" s="46" t="str">
        <f>IF(Atletas!G67="","",IF(Atletas!B67="Feminino",100,IF(Atletas!B67="Masculino",200,""))+(IF(Atletas!G67="Changquan Mirim",1,IF(Atletas!G67="Nanquan Mirim",2,IF(Atletas!G67="Taijiquan Mirim",3,IF(Atletas!G67="Changquan Grupo C",4,IF(Atletas!G67="Nanquan Grupo C",5,IF(Atletas!G67="Taijiquan Grupo C",6,IF(Atletas!G67="Changquan Grupo B",7,IF(Atletas!G67="Nanquan Grupo B",8,IF(Atletas!G67="Taijiquan Grupo B",9,IF(Atletas!G67="Changquan Grupo A",10,IF(Atletas!G67="Nanquan Grupo A",11,IF(Atletas!G67="Taijiquan Grupo A",12,IF(Atletas!G67="Changquan Opcional",13,IF(Atletas!G67="Nanquan Opcional",14,IF(Atletas!G67="Taijiquan Opcional",15,IF(Atletas!G67="Changquan Adulto",16,IF(Atletas!G67="Nanquan Adulto",17,IF(Atletas!G67="Taijiquan Adulto",18,""))))))))))))))))))))</f>
        <v/>
      </c>
      <c r="AZ71" s="46" t="str">
        <f>IF(Atletas!H67="","",IF(Atletas!B67="Feminino",100,IF(Atletas!B67="Masculino",200,""))+(IF(Atletas!H67="Daoshu Mirim",19,IF(Atletas!H67="Jianshu Mirim",20,IF(Atletas!H67="Nandao Mirim",21,IF(Atletas!H67="Taijijian Mirim",22,IF(Atletas!H67="Daoshu Grupo C",23,IF(Atletas!H67="Jianshu Grupo C",24,IF(Atletas!H67="Nandao Grupo C",25,IF(Atletas!H67="Taijijian Grupo C",26,IF(Atletas!H67="Daoshu Grupo B",27,IF(Atletas!H67="Jianshu Grupo B",28,IF(Atletas!H67="Nandao Grupo B",29,IF(Atletas!H67="Taijijian Grupo B",30,IF(Atletas!H67="Daoshu Grupo A",31,IF(Atletas!H67="Jianshu Grupo A",32,IF(Atletas!H67="Nandao Grupo A",33,IF(Atletas!H67="Taijijian Grupo A",34,IF(Atletas!H67="Daoshu Opcional",35,IF(Atletas!H67="Jianshu Opcional",36,IF(Atletas!H67="Nandao Opcional",37,IF(Atletas!H67="Taijijian Opcional",38,IF(Atletas!H67="Daoshu Adulto",39,IF(Atletas!H67="Jianshu Adulto",40,IF(Atletas!H67="Nandao Adulto",41,IF(Atletas!H67="Taijijian Adulto",42,""))))))))))))))))))))))))))</f>
        <v/>
      </c>
      <c r="BA71" s="46" t="str">
        <f>IF(Atletas!I67="","",IF(Atletas!B67="Feminino",100,IF(Atletas!B67="Masculino",200,""))+(IF(Atletas!I67="Gunshu Mirim",43,IF(Atletas!I67="Qiangshu Mirim",44,IF(Atletas!I67="Nangun Mirim",45,IF(Atletas!I67="Gunshu Grupo C",46,IF(Atletas!I67="Qiangshu Grupo C",47,IF(Atletas!I67="Nangun Grupo C",48,IF(Atletas!I67="Gunshu Grupo B",49,IF(Atletas!I67="Qiangshu Grupo B",50,IF(Atletas!I67="Nangun Grupo B",51,IF(Atletas!I67="Gunshu Grupo A",52,IF(Atletas!I67="Qiangshu Grupo A",53,IF(Atletas!I67="Nangun Grupo A",54,IF(Atletas!I67="Gunshu Opcional",55,IF(Atletas!I67="Qiangshu Opcional",56,IF(Atletas!I67="Nangun Opcional",57,IF(Atletas!I67="Gunshu Adulto",58,IF(Atletas!I67="Qiangshu Adulto",59,IF(Atletas!I67="Nangun Adulto",60,""))))))))))))))))))))</f>
        <v/>
      </c>
      <c r="BF71" s="52" t="str">
        <f>IF(Atletas!J67="","",IF(Atletas!B67="Feminino",100,IF(Atletas!B67="Masculino",200,""))+(IF(Atletas!J67="Equipe 1 Grupo B",1,IF(Atletas!J67="Equipe 2 Grupo B",2,IF(Atletas!J67="Equipe 1 Grupo A",3,IF(Atletas!J67="Equipe 2 Grupo A",4,IF(Atletas!J67="Equipe 1 Adulto",5,IF(Atletas!J67="Equipe 2 Adulto",6,""))))))))</f>
        <v/>
      </c>
      <c r="BK71" s="52" t="str">
        <f>IF(Atletas!K67="","",IF(Atletas!W67&lt;&gt;"",10000,0)+(IF(Atletas!B67="Feminino",1000,IF(Atletas!B67="Masculino",2000,""))+IF(Atletas!K67="Choylayfut A",1,IF(Atletas!K67="Hunggar A",2,IF(Atletas!K67="Wuzuquan A",3,IF(Atletas!K67="Wingchun A",4,IF(Atletas!K67="Outra Mão de Sul A",5,IF(Atletas!K67="Choylayfut B",6,IF(Atletas!K67="Hunggar B",7,IF(Atletas!K67="Wuzuquan B",8,IF(Atletas!K67="Wingchun B",9,IF(Atletas!K67="Outra Mão de Sul B",10,IF(Atletas!K67="Choylayfut C",11,IF(Atletas!K67="Hunggar C",12,IF(Atletas!K67="Wuzuquan C",13,IF(Atletas!K67="Wingchun C",14,IF(Atletas!K67="Outra Mão de Sul C",15,IF(Atletas!K67="Choylayfut D",16,IF(Atletas!K67="Hunggar D",17,IF(Atletas!K67="Wuzuquan D",18,IF(Atletas!K67="Wingchun D",19,IF(Atletas!K67="Outra Mão de Sul D",20,IF(Atletas!K67="Choylayfut E",21,IF(Atletas!K67="Hunggar E",22,IF(Atletas!K67="Wuzuquan E",23,IF(Atletas!K67="Wingchun E",24,IF(Atletas!K67="Outra Mão de Sul E",25,IF(Atletas!K67="Choylayfut F",26,IF(Atletas!K67="Hunggar F",27,IF(Atletas!K67="Wuzuquan F",28,IF(Atletas!K67="Wingchun F",29,IF(Atletas!K67="Outra Mão de Sul F",30,""))))))))))))))))))))))))))))))))</f>
        <v/>
      </c>
      <c r="BL71" s="52" t="str">
        <f>IF(Atletas!L67="","",IF(Atletas!W67&lt;&gt;"",10000,0)+(IF(Atletas!B67="Feminino",1000,IF(Atletas!B67="Masculino",2000,""))+(IF(Atletas!L67="Chaquan A",101,IF(Atletas!L67="Emeiquan A",102,IF(Atletas!L67="Fanziquan A",103,IF(Atletas!L67="Huaquan A",104,IF(Atletas!L67="Hongquan A",105,IF(Atletas!L67="Paochui A",106,IF(Atletas!L67="Piguaquan A",107,IF(Atletas!L67="Shaolinquan A",108,IF(Atletas!L67="Tanglangquan A",109,IF(Atletas!L67="Yinzhaophai A",110,IF(Atletas!L67="Tongbeiquan A",111,IF(Atletas!L67="Wudangquan A",112,IF(Atletas!L67="Outros Estilos A",113,IF(Atletas!L67="Chaquan B",114,IF(Atletas!L67="Emeiquan B",115,IF(Atletas!L67="Fanziquan B",116,IF(Atletas!L67="Huaquan B",117,IF(Atletas!L67="Hongquan B",118,IF(Atletas!L67="Paochui B",119,IF(Atletas!L67="Piguaquan B",120,IF(Atletas!L67="Shaolinquan B",121,IF(Atletas!L67="Tanglangquan B",122,IF(Atletas!L67="Yinzhaophai B",123,IF(Atletas!L67="Tongbeiquan B",124,IF(Atletas!L67="Wudangquan B",125,IF(Atletas!L67="Outros Estilos B",126,IF(Atletas!L67="Chaquan C",127,IF(Atletas!L67="Emeiquan C",128,IF(Atletas!L67="Fanziquan C",129,IF(Atletas!L67="Huaquan C",130,IF(Atletas!L67="Hongquan C",131,IF(Atletas!L67="Paochui C",132,IF(Atletas!L67="Piguaquan C",133,IF(Atletas!L67="Shaolinquan C",134,IF(Atletas!L67="Tanglangquan C",135,IF(Atletas!L67="Yinzhaophai C",136,IF(Atletas!L67="Tongbeiquan C",137,IF(Atletas!L67="Wudangquan C",138,IF(Atletas!L67="Outros Estilos C",139,0))))))))))))))))))))))))))))))))))))))))))</f>
        <v/>
      </c>
      <c r="BM71" s="52" t="str">
        <f>IF(Atletas!L67="","",IF(Atletas!W67&lt;&gt;"",10000,0)+(IF(Atletas!B67="Feminino",1000,IF(Atletas!B67="Masculino",2000,""))+(IF(Atletas!L67="Chaquan D",140,IF(Atletas!L67="Emeiquan D",141,IF(Atletas!L67="Fanziquan D",142,IF(Atletas!L67="Huaquan D",143,IF(Atletas!L67="Hongquan D",144,IF(Atletas!L67="Paochui D",145,IF(Atletas!L67="Piguaquan D",146,IF(Atletas!L67="Shaolinquan D",147,IF(Atletas!L67="Tanglangquan D",148,IF(Atletas!L67="Yinzhaophai D",149,IF(Atletas!L67="Tongbeiquan D",150,IF(Atletas!L67="Wudangquan D",151,IF(Atletas!L67="Outros Estilos D",152,IF(Atletas!L67="Chaquan E",153,IF(Atletas!L67="Emeiquan E",154,IF(Atletas!L67="Fanziquan E",155,IF(Atletas!L67="Huaquan E",156,IF(Atletas!L67="Hongquan E",157,IF(Atletas!L67="Paochui E",158,IF(Atletas!L67="Piguaquan E",159,IF(Atletas!L67="Shaolinquan E",160,IF(Atletas!L67="Tanglangquan E",161,IF(Atletas!L67="Yinzhaophai E",162,IF(Atletas!L67="Tongbeiquan E",163,IF(Atletas!L67="Wudangquan E",164,IF(Atletas!L67="Outros Estilos E",165,IF(Atletas!L67="Chaquan F",166,IF(Atletas!L67="Emeiquan F",167,IF(Atletas!L67="Fanziquan F",168,IF(Atletas!L67="Huaquan F",169,IF(Atletas!L67="Hongquan F",170,IF(Atletas!L67="Paochui F",171,IF(Atletas!L67="Piguaquan F",172,IF(Atletas!L67="Shaolinquan F",173,IF(Atletas!L67="Tanglangquan F",174,IF(Atletas!L67="Yinzhaophai F",175,IF(Atletas!L67="Tongbeiquan F",176,IF(Atletas!L67="Wudangquan F",177,IF(Atletas!L67="Outros Estilos F",178,0))))))))))))))))))))))))))))))))))))))))))</f>
        <v/>
      </c>
      <c r="BN71" s="52" t="str">
        <f>IF(Atletas!M67="","",IF(Atletas!W67&lt;&gt;"",10000,0)+(IF(Atletas!B67="Feminino",1000,IF(Atletas!B67="Masculino",2000,""))+(IF(Atletas!M67="Ditangquan A",201,IF(Atletas!M67="Houquan A",202,IF(Atletas!M67="Zuiquan A",203,IF(Atletas!M67="Ditangquan B",204,IF(Atletas!M67="Houquan B",205,IF(Atletas!M67="Zuiquan B",206,IF(Atletas!M67="Ditangquan C",207,IF(Atletas!M67="Houquan C",208,IF(Atletas!M67="Zuiquan C",209,IF(Atletas!M67="Ditangquan D",210,IF(Atletas!M67="Houquan D",211,IF(Atletas!M67="Zuiquan D",212,IF(Atletas!M67="Ditangquan E",213,IF(Atletas!M67="Houquan E",214,IF(Atletas!M67="Zuiquan E",215,IF(Atletas!M67="Ditangquan F",216,IF(Atletas!M67="Houquan F",217,IF(Atletas!M67="Zuiquan F",218,"")))))))))))))))))))))</f>
        <v/>
      </c>
      <c r="BO71" s="52" t="str">
        <f>IF(Atletas!N67="","",IF(Atletas!W67&lt;&gt;"",10000,0)+IF(Atletas!B67="Feminino",1000,IF(Atletas!B67="Masculino",2000,""))+IF(Atletas!N67="Yang A",301,IF(Atletas!N67="Chen A",30,IF(Atletas!N67="Sun A",303,IF(Atletas!N67="Wu A",304,IF(Atletas!N67="Wu-Hao A",305,IF(Atletas!N67="Outro Taijiquan A",306,IF(Atletas!N67="Yang B",307,IF(Atletas!N67="Chen B",308,IF(Atletas!N67="Sun B",309,IF(Atletas!N67="Wu B",310,IF(Atletas!N67="Wu-Hao B",311,IF(Atletas!N67="Outro Taijiquan B",312,IF(Atletas!N67="Yang C",313,IF(Atletas!N67="Chen C",314,IF(Atletas!N67="Sun C",315,IF(Atletas!N67="Wu C",316,IF(Atletas!N67="Wu-Hao C",317,IF(Atletas!N67="Outro Taijiquan C",318,IF(Atletas!N67="Yang D",319,IF(Atletas!N67="Chen D",320,IF(Atletas!N67="Sun D",321,IF(Atletas!N67="Wu D",322,IF(Atletas!N67="Wu-Hao D",323,IF(Atletas!N67="Outro Taijiquan D",324,IF(Atletas!N67="Yang E",325,IF(Atletas!N67="Chen E",326,IF(Atletas!N67="Sun E",327,IF(Atletas!N67="Wu E",328,IF(Atletas!N67="Wu-Hao E",329,IF(Atletas!N67="Outro Taijiquan E",330,IF(Atletas!N67="Yang F",331,IF(Atletas!N67="Chen F",332,IF(Atletas!N67="Sun F",333,IF(Atletas!N67="Wu F",334,IF(Atletas!N67="Wu-Hao F",335,IF(Atletas!N67="Outro Taijiquan F",336,"")))))))))))))))))))))))))))))))))))))</f>
        <v/>
      </c>
      <c r="BP71" s="52" t="str">
        <f>IF(Atletas!O67="","",IF(Atletas!W67&lt;&gt;"",10000,0)+IF(Atletas!B67="Feminino",1000,IF(Atletas!B67="Masculino",2000,""))+IF(OR(Atletas!O67="Yang 26 A",Atletas!O67="Yang 40 A"),401,IF(OR(Atletas!O67="Chen 25 A",Atletas!O67="Chen 36 A",Atletas!O67="Chen 56 A"),402,IF(Atletas!O67="Sun 73 A",403,IF(Atletas!O67="Wu 45 A",404,IF(Atletas!O67="Wu-Hao 46 A",405,IF(OR(Atletas!O67="Taijiquan 16 A",Atletas!O67="Taijiquan 24 A",Atletas!O67="Taijiquan 32 A",Atletas!O67="Taijiquan 42 A"),406,IF(OR(Atletas!O67="Yang 26 B",Atletas!O67="Yang 40 B"),407,IF(OR(Atletas!O67="Chen 25 B",Atletas!O67="Chen 36 B",Atletas!O67="Chen 56 B"),408,IF(Atletas!O67="Sun 73 B",409,IF(Atletas!O67="Wu 45 B",410,IF(Atletas!O67="Wu-Hao 46 B",411,IF(OR(Atletas!O67="Taijiquan 16 B",Atletas!O67="Taijiquan 24 B",Atletas!O67="Taijiquan 32 B",Atletas!O67="Taijiquan 42 B"),412,IF(OR(Atletas!O67="Yang 26 C",Atletas!O67="Yang 40 C"),413,IF(OR(Atletas!O67="Chen 25 C",Atletas!O67="Chen 36 C",Atletas!O67="Chen 56 C"),414,IF(Atletas!O67="Sun 73 C",415,IF(Atletas!O67="Wu 45 C",416,IF(Atletas!O67="Wu-Hao 46 C",417,IF(OR(Atletas!O67="Taijiquan 16 C",Atletas!O67="Taijiquan 24 C",Atletas!O67="Taijiquan 32 C",Atletas!O67="Taijiquan 42 C"),418,0)))))))))))))))))))</f>
        <v/>
      </c>
      <c r="BQ71" s="52" t="str">
        <f>IF(Atletas!O67="","",IF(Atletas!W67&lt;&gt;"",10000,0)+IF(Atletas!B67="Feminino",1000,IF(Atletas!B67="Masculino",2000,""))+IF(OR(Atletas!O67="Yang 26 D",Atletas!O67="Yang 40 D"),419,IF(OR(Atletas!O67="Chen 25 D",Atletas!O67="Chen 36 D",Atletas!O67="Chen 56 D"),420,IF(Atletas!O67="Sun 73 D",421,IF(Atletas!O67="Wu 45 D",422,IF(Atletas!O67="Wu-Hao 46 D",423,IF(OR(Atletas!O67="Taijiquan 16 D",Atletas!O67="Taijiquan 24 D",Atletas!O67="Taijiquan 32 D",Atletas!O67="Taijiquan 42 D"),424,IF(OR(Atletas!O67="Yang 26 E",Atletas!O67="Yang 40 E"),425,IF(OR(Atletas!O67="Chen 25 E",Atletas!O67="Chen 36 E",Atletas!O67="Chen 56 E"),426,IF(Atletas!O67="Sun 73 E",427,IF(Atletas!O67="Wu 45 E",428,IF(Atletas!O67="Wu-Hao 46 E",429,IF(OR(Atletas!O67="Taijiquan 16 E",Atletas!O67="Taijiquan 24 E",Atletas!O67="Taijiquan 32 E",Atletas!O67="Taijiquan 42 E"),430,IF(OR(Atletas!O67="Yang 26 F",Atletas!O67="Yang 40 F"),431,IF(OR(Atletas!O67="Chen 25 F",Atletas!O67="Chen 36 F",Atletas!O67="Chen 56 F"),432,IF(Atletas!O67="Sun 73 F",433,IF(Atletas!O67="Wu 45 F",434,IF(Atletas!O67="Wu-Hao 46 F",435,IF(OR(Atletas!O67="Taijiquan 16 F",Atletas!O67="Taijiquan 24 F",Atletas!O67="Taijiquan 32 F",Atletas!O67="Taijiquan 42 F"),436,0)))))))))))))))))))</f>
        <v/>
      </c>
      <c r="BR71" s="52" t="str">
        <f>IF(Atletas!P67="","",IF(Atletas!W67&lt;&gt;"",10000,0)+IF(Atletas!B67="Feminino",1000,IF(Atletas!B67="Masculino",2000,""))+IF(Atletas!P67="Xingyiquan A",501,IF(Atletas!P67="Baguazhang A",502,IF(Atletas!P67="Outro Estilo Interno A",503,IF(Atletas!P67="Xingyiquan B",504,IF(Atletas!P67="Baguazhang B",505,IF(Atletas!P67="Outro Estilo Interno B",506,IF(Atletas!P67="Xingyiquan C",507,IF(Atletas!P67="Baguazhang C",508,IF(Atletas!P67="Outro Estilo Interno C",509,IF(Atletas!P67="Xingyiquan D",510,IF(Atletas!P67="Baguazhang D",511,IF(Atletas!P67="Outro Estilo Interno D",512,IF(Atletas!P67="Xingyiquan E",513,IF(Atletas!P67="Baguazhang E",514,IF(Atletas!P67="Outro Estilo Interno E",515,IF(Atletas!P67="Xingyiquan F",516,IF(Atletas!P67="Baguazhang F",517,IF(Atletas!P67="Outro Estilo Interno F",518, "")))))))))))))))))))</f>
        <v/>
      </c>
      <c r="BS71" s="52" t="str">
        <f>IF(Atletas!Q67="","",IF(Atletas!W67&lt;&gt;"",10000,0)+IF(Atletas!B67="Feminino",1000,IF(Atletas!B67="Masculino",2000,""))+IF(Atletas!Q67="Dao A",601,IF(Atletas!Q67="Jian A",602,IF(Atletas!Q67="Bishou A",603,IF(Atletas!Q67="Shan A",604,IF(Atletas!Q67="Outra Arma Curta A",605,IF(Atletas!Q67="Dao B",606,IF(Atletas!Q67="Jian B",607,IF(Atletas!Q67="Bishou B",608,IF(Atletas!Q67="Shan B",609,IF(Atletas!Q67="Outra Arma Curta B",610,IF(Atletas!Q67="Dao C",611,IF(Atletas!Q67="Jian C",612,IF(Atletas!Q67="Bishou C",613,IF(Atletas!Q67="Shan C",614,IF(Atletas!Q67="Outra Arma Curta C",615,IF(Atletas!Q67="Dao D",616,IF(Atletas!Q67="Jian D",617,IF(Atletas!Q67="Bishou D",618,IF(Atletas!Q67="Shan D",619,IF(Atletas!Q67="Outra Arma Curta D",620,IF(Atletas!Q67="Dao E",621,IF(Atletas!Q67="Jian E",622,IF(Atletas!Q67="Bishou E",623,IF(Atletas!Q67="Shan E",624,IF(Atletas!Q67="Outra Arma Curta E",625,IF(Atletas!Q67="Dao F",626,IF(Atletas!Q67="Jian F",627,IF(Atletas!Q67="Bishou F",628,IF(Atletas!Q67="Shan F",629,IF(Atletas!Q67="Outra Arma Curta F",630, "")))))))))))))))))))))))))))))))</f>
        <v/>
      </c>
      <c r="BT71" s="52" t="str">
        <f>IF(Atletas!R67="","",IF(Atletas!W67&lt;&gt;"",10000,0)+IF(Atletas!B67="Feminino",1000,IF(Atletas!B67="Masculino",2000,""))+IF(Atletas!R67="Gun A",701,IF(Atletas!R67="Qiang A",702,IF(Atletas!R67="Pudao / Guandao A",703,IF(Atletas!R67="Outra Arma Longa A",704,IF(Atletas!R67="Gun B",705,IF(Atletas!R67="Qiang B",706,IF(Atletas!R67="Pudao / Guandao B",707,IF(Atletas!R67="Outra Arma Longa B",708,IF(Atletas!R67="Gun C",709,IF(Atletas!R67="Qiang C",710,IF(Atletas!R67="Pudao / Guandao C",711,IF(Atletas!R67="Outra Arma Longa C",712,IF(Atletas!R67="Gun D",713,IF(Atletas!R67="Qiang D",714,IF(Atletas!R67="Pudao / Guandao D",715,IF(Atletas!R67="Outra Arma Longa D",716,IF(Atletas!R67="Gun E",717,IF(Atletas!R67="Qiang E",718,IF(Atletas!R67="Pudao / Guandao E",719,IF(Atletas!R67="Outra Arma Longa E",720,IF(Atletas!R67="Gun F",721,IF(Atletas!R67="Qiang F",722,IF(Atletas!R67="Pudao / Guandao F",723,IF(Atletas!R67="Outra Arma Longa F",724,"")))))))))))))))))))))))))</f>
        <v/>
      </c>
      <c r="BU71" s="52" t="str">
        <f>IF(Atletas!S67="","",IF(Atletas!W67&lt;&gt;"",10000,0)+IF(Atletas!B67="Feminino",1000,IF(Atletas!B67="Masculino",2000,""))+IF(Atletas!S67="Arma Dupla A",801,IF(Atletas!S67="Arma Maleável A",802,IF(Atletas!S67="Arma Dupla B",803,IF(Atletas!S67="Arma Maleável B",804,IF(Atletas!S67="Arma Dupla C",805,IF(Atletas!S67="Arma Maleável C",806,IF(Atletas!S67="Arma Dupla D",807,IF(Atletas!S67="Arma Maleável D",808,IF(Atletas!S67="Arma Dupla E",809,IF(Atletas!S67="Arma Maleável E",810,IF(Atletas!S67="Arma Dupla F",811,IF(Atletas!S67="Arma Maleável F",812, "")))))))))))))</f>
        <v/>
      </c>
      <c r="BV71" s="52" t="str">
        <f>IF(Atletas!T67="","",IF(Atletas!W67&lt;&gt;"",10000,0)+IF(Atletas!B67="Feminino",1000,IF(Atletas!B67="Masculino",2000,""))+IF(Atletas!T67="Taijijian Yang A",901,IF(Atletas!T67="Taijijian Chen A",902,IF(Atletas!T67="Taijijian Sun A",903,IF(Atletas!T67="Taijijian Wu A",904,IF(Atletas!T67="Taijijian Wu-Hao A",905,IF(Atletas!T67="Taijijian 32 A",906,IF(Atletas!T67="Taijijian 42 A",907,IF(Atletas!T67="Taijijian Yang B",908,IF(Atletas!T67="Taijijian Chen B",909,IF(Atletas!T67="Taijijian Sun B",910,IF(Atletas!T67="Taijijian Wu B",911,IF(Atletas!T67="Taijijian Wu-Hao B",912,IF(Atletas!T67="Taijijian 32 B",913,IF(Atletas!T67="Taijijian 42 B",914,IF(Atletas!T67="Taijijian Yang C",915,IF(Atletas!T67="Taijijian Chen C",916,IF(Atletas!T67="Taijijian Sun C",917,IF(Atletas!T67="Taijijian Wu C",918,IF(Atletas!T67="Taijijian Wu-Hao C",919,IF(Atletas!T67="Taijijian 32 C",920,IF(Atletas!T67="Taijijian 42 C",921,IF(Atletas!T67="Taijijian Yang D",922,IF(Atletas!T67="Taijijian Chen D",923,IF(Atletas!T67="Taijijian Sun D",924,IF(Atletas!T67="Taijijian Wu D",925,IF(Atletas!T67="Taijijian Wu-Hao D",926,IF(Atletas!T67="Taijijian 32 D",927,IF(Atletas!T67="Taijijian 42 D",928,IF(Atletas!T67="Taijijian Yang E",929,IF(Atletas!T67="Taijijian Chen E",930,IF(Atletas!T67="Taijijian Sun E",931,IF(Atletas!T67="Taijijian Wu E",932,IF(Atletas!T67="Taijijian Wu-Hao E",933,IF(Atletas!T67="Taijijian 32 E",934,IF(Atletas!T67="Taijijian 42 E",935,IF(Atletas!T67="Taijijian Yang F",936,IF(Atletas!T67="Taijijian Chen F",937,IF(Atletas!T67="Taijijian Sun F",938,IF(Atletas!T67="Taijijian Wu F",939,IF(Atletas!T67="Taijijian Wu-Hao F",940,IF(Atletas!T67="Taijijian 32 F",941,IF(Atletas!T67="Taijijian 42 F",942,"")))))))))))))))))))))))))))))))))))))))))))</f>
        <v/>
      </c>
      <c r="BW71" s="52" t="str">
        <f>IF(Atletas!U67="","",IF(Atletas!W67&lt;&gt;"",10000,0)+IF(Atletas!B67="Feminino",1000,IF(Atletas!B67="Masculino",2000,""))+IF(Atletas!T67="Taijijian 42 F",942,IF(Atletas!U67="Taijidao A",943,IF(Atletas!U67="Taijishan A",944,IF(Atletas!U67="Taijiqiang A",945,IF(Atletas!U67="Taijidao B",946,IF(Atletas!U67="Taijishan B",947,IF(Atletas!U67="Taijiqiang B",948,IF(Atletas!U67="Taijidao C",949,IF(Atletas!U67="Taijishan C",950,IF(Atletas!U67="Taijiqiang C",951,IF(Atletas!U67="Taijidao D",952,IF(Atletas!U67="Taijishan D",953,IF(Atletas!U67="Taijiqiang D",954,IF(Atletas!U67="Taijidao E",955,IF(Atletas!U67="Taijishan E",956,IF(Atletas!U67="Taijiqiang E",957,IF(Atletas!U67="Taijidao F",958,IF(Atletas!U67="Taijishan F",959,IF(Atletas!U67="Taijiqiang F",960))))))))))))))))))))</f>
        <v/>
      </c>
      <c r="BX71" s="64" t="str">
        <f>IF(BY71&lt;&gt;"","Tanglangquan C","")</f>
        <v/>
      </c>
      <c r="BY71" s="64" t="str">
        <f>IF(COUNTIF(BK:BW,1135)&gt;0,COUNTIF(BK:BW,1135),"")</f>
        <v/>
      </c>
      <c r="BZ71" s="64" t="str">
        <f>IF(CA71&lt;&gt;"","Tanglangquan C","")</f>
        <v/>
      </c>
      <c r="CA71" s="64" t="str">
        <f>IF(COUNTIF(BK:BW,2135)&gt;0,COUNTIF(BK:BW,2135),"")</f>
        <v/>
      </c>
      <c r="CB71" s="64" t="str">
        <f>IF(CC71&lt;&gt;"","Tanglangquan C","")</f>
        <v/>
      </c>
      <c r="CC71" s="64" t="str">
        <f>IF(COUNTIF(BK:BW,11135)&gt;0,COUNTIF(BK:BW,11135),"")</f>
        <v/>
      </c>
      <c r="CD71" s="64" t="str">
        <f>IF(CE71&lt;&gt;"","Tanglangquan C","")</f>
        <v/>
      </c>
      <c r="CE71" s="64" t="str">
        <f>IF(COUNTIF(BK:BW,12135)&gt;0,COUNTIF(BK:BW,12135),"")</f>
        <v/>
      </c>
      <c r="CF71" s="52" t="str">
        <f xml:space="preserve"> IF(Atletas!V67="","",IF(Atletas!V67="Duilian de Mãos AB - Equipe 1",1,IF(Atletas!V67="Duilian de Mãos AB - Equipe 2",2,IF(Atletas!V67="Duilian de Armas AB - Equipe 1",3,IF(Atletas!V67="Duilian de Armas AB - Equipe 2",4,IF(Atletas!V67="Duilian de Tuishou - Equipe 1",5,IF(Atletas!V67="Duilian de Tuishou - Equipe 2",6,IF(Atletas!V67="Grupo Externo AB - Equipe 1",7,IF(Atletas!V67="Grupo Externo AB - Equipe 2",8,IF(Atletas!V67="Grupo Interno AB - Equipe 1",9,IF(Atletas!V67="Grupo Interno AB - Equipe 2",10,IF(Atletas!V67="Duilian de Mãos CD - Equipe 1",11,IF(Atletas!V67="Duilian de Mãos CD - Equipe 2",12,IF(Atletas!V67="Duilian de Armas CD - Equipe 1",13,IF(Atletas!V67="Duilian de Armas CD - Equipe 2",14,IF(Atletas!V67="Duilian de Tuishou - Equipe 1",15,IF(Atletas!V67="Duilian de Tuishou - Equipe 2",16,IF(Atletas!V67="Grupo Externo CDEF - Equipe 1",17,IF(Atletas!V67="Grupo Externo CDEF - Equipe 2",18,IF(Atletas!V67="Grupo Interno CDEF - Equipe 1",19,IF(Atletas!V67="Grupo Interno CDEF - Equipe 2",20,IF(Atletas!V67="Duilian de Mãos EF - Equipe 1",21,IF(Atletas!V67="Duilian de Mãos EF - Equipe 2",22,IF(Atletas!V67="Duilian de Armas EF - Equipe 1",23,IF(Atletas!V67="Duilian de Armas EF - Equipe 2",24,IF(Atletas!V67="Duilian de Tuishou - Equipe 1",25,IF(Atletas!V67="Duilian de Tuishou - Equipe 2",26,"")))))))))))))))))))))))))))</f>
        <v/>
      </c>
    </row>
    <row r="72" spans="2:96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31"/>
      <c r="U72" s="4"/>
      <c r="V72" s="4" t="str">
        <f t="array" ref="V72">IFERROR(INDEX(BX$7:BX$336,SMALL(IF(BX$7:BX$336&lt;&gt;"",ROW(BX$7:BX$336)-ROW(BX$7)+1),ROWS(BX$7:BX71))),"")</f>
        <v/>
      </c>
      <c r="W72" s="4" t="str">
        <f t="array" ref="W72">IFERROR(INDEX(BY$7:BY$336,SMALL(IF(BY$7:BY$336&lt;&gt;"",ROW(BY$7:BY$336)-ROW(BY$7)+1),ROWS(BY$7:BY71))),"")</f>
        <v/>
      </c>
      <c r="X72" s="4" t="str">
        <f t="array" ref="X72">IFERROR(INDEX(BZ$7:BZ$336,SMALL(IF(BZ$7:BZ$336&lt;&gt;"",ROW(BZ$7:BZ$336)-ROW(BZ$7)+1),ROWS(BZ$7:BZ71))),"")</f>
        <v/>
      </c>
      <c r="Y72" s="4" t="str">
        <f t="array" ref="Y72">IFERROR(INDEX(CA$7:CA$336,SMALL(IF(CA$7:CA$336&lt;&gt;"",ROW(CA$7:CA$336)-ROW(CA$7)+1),ROWS(CA$7:CA71))),"")</f>
        <v/>
      </c>
      <c r="Z72" s="4" t="str">
        <f t="array" ref="Z72">IFERROR(INDEX(CB$7:CB$378,SMALL(IF(CB$7:CB$378&lt;&gt;"",ROW(CB$7:CB$378)-ROW(CB$7)+1),ROWS(CB$7:CB71))),"")</f>
        <v/>
      </c>
      <c r="AA72" s="4" t="str">
        <f t="array" ref="AA72">IFERROR(INDEX(CC$7:CC$378,SMALL(IF(CC$7:CC$378&lt;&gt;"",ROW(CC$7:CC$378)-ROW(CC$7)+1),ROWS(CC$7:CC71))),"")</f>
        <v/>
      </c>
      <c r="AB72" s="4" t="str">
        <f t="array" ref="AB72">IFERROR(INDEX(CD$7:CD$378,SMALL(IF(CD$7:CD$378&lt;&gt;"",ROW(CD$7:CD$378)-ROW(CD$7)+1),ROWS(CD$7:CD71))),"")</f>
        <v/>
      </c>
      <c r="AC72" s="4" t="str">
        <f t="array" ref="AC72">IFERROR(INDEX(CE$7:CE$378,SMALL(IF(CE$7:CE$378&lt;&gt;"",ROW(CE$7:CE$378)-ROW(CE$7)+1),ROWS(CE$7:CE71))),"")</f>
        <v/>
      </c>
      <c r="AD72" s="4"/>
      <c r="AE72" s="4"/>
      <c r="AF72" s="4"/>
      <c r="AG72" s="4"/>
      <c r="AH72" s="4"/>
      <c r="AI72" s="4"/>
      <c r="AJ72" s="46" t="str">
        <f>IF(Atletas!D68="","",IF(Atletas!B68="Feminino",100,IF(Atletas!B68="Masculino",200,""))+(IF(Atletas!D68="Infantil 39kg",1,IF(Atletas!D68="Infantil 42kg",2,IF(Atletas!D68="Infantil 45kg",3,IF(Atletas!D68="Infantil 48kg",4,IF(Atletas!D68="Infantil 52kg",5,IF(Atletas!D68="Infantil 56kg",6,IF(Atletas!D68="Infantil 60kg",7,IF(Atletas!D68="Juvenil 48kg",8,IF(Atletas!D68="Juvenil 52kg",9,IF(Atletas!D68="Juvenil 56kg",10,IF(Atletas!D68="Juvenil 60kg",11,IF(Atletas!D68="Juvenil 65kg",12,IF(Atletas!D68="Juvenil 70kg",13,IF(Atletas!D68="Juvenil 75kg",14,IF(Atletas!D68="Juvenil 80kg",15,IF(Atletas!D68="Adulto 48kg",16,IF(Atletas!D68="Adulto 52kg",17,IF(Atletas!D68="Adulto 56kg",18,IF(Atletas!D68="Adulto 60kg",19,IF(Atletas!D68="Adulto 65kg",20,IF(Atletas!D68="Adulto 70kg",21,IF(Atletas!D68="Adulto 75kg",22,IF(Atletas!D68="Adulto 80kg",23,IF(Atletas!D68="Adulto 85kg",24,IF(Atletas!D68="Adulto 90kg",25,IF(Atletas!D68="Adulto +90kg",26,""))))))))))))))))))))))))))))</f>
        <v/>
      </c>
      <c r="AO72" s="10" t="str">
        <f>IF(Atletas!E68="","",IF(Atletas!B68="Feminino",100,IF(Atletas!B68="Masculino",200,""))+(IF(Atletas!E68="Juvenil 44kg",1,IF(Atletas!E68="Juvenil 48kg",2,IF(Atletas!E68="Juvenil 52kg",3,IF(Atletas!E68="Juvenil 56kg",4,IF(Atletas!E68="Juvenil 60kg",5,IF(Atletas!E68="Juvenil 65kg",6,IF(Atletas!E68="Juvenil 70kg",7,IF(Atletas!E68="Juvenil 75kg",8,IF(Atletas!E68="Juvenil 82kg",9,IF(Atletas!E68="Juvenil 90kg",10,IF(Atletas!E68="Juvenil 100kg",11,IF(Atletas!E68="Adulto 48kg",12,IF(Atletas!E68="Adulto 52kg",13,IF(Atletas!E68="Adulto 56kg",14,IF(Atletas!E68="Adulto 60kg",15,IF(Atletas!E68="Adulto 65kg",16,IF(Atletas!E68="Adulto 70kg",17,IF(Atletas!E68="Adulto 75kg",18,IF(Atletas!E68="Adulto 82kg",19,IF(Atletas!E68="Adulto 90kg",20,IF(Atletas!E68="Adulto 100kg",21,IF(Atletas!E68="Adulto +100kg",22,""))))))))))))))))))))))))</f>
        <v/>
      </c>
      <c r="AT72" s="10" t="str">
        <f>IF(Atletas!F68="","",IF(Atletas!B68="Feminino",100,IF(Atletas!B68="Masculino",200,""))+(IF(Atletas!F68="Adulto 48kg",1,IF(Atletas!F68="Adulto 56kg",2,IF(Atletas!F68="Adulto 65kg",3,IF(Atletas!F68="Adulto 75kg",4,IF(Atletas!F68="Adulto +75kg",5,IF(Atletas!F68="Adulto 52kg",6,IF(Atletas!F68="Adulto 60kg",7,IF(Atletas!F68="Adulto 70kg",8,IF(Atletas!F68="Adulto 80kg",9,IF(Atletas!F68="Adulto 90kg",10,IF(Atletas!F68="Adulto +90kg",11,"")))))))))))))</f>
        <v/>
      </c>
      <c r="AY72" s="46" t="str">
        <f>IF(Atletas!G68="","",IF(Atletas!B68="Feminino",100,IF(Atletas!B68="Masculino",200,""))+(IF(Atletas!G68="Changquan Mirim",1,IF(Atletas!G68="Nanquan Mirim",2,IF(Atletas!G68="Taijiquan Mirim",3,IF(Atletas!G68="Changquan Grupo C",4,IF(Atletas!G68="Nanquan Grupo C",5,IF(Atletas!G68="Taijiquan Grupo C",6,IF(Atletas!G68="Changquan Grupo B",7,IF(Atletas!G68="Nanquan Grupo B",8,IF(Atletas!G68="Taijiquan Grupo B",9,IF(Atletas!G68="Changquan Grupo A",10,IF(Atletas!G68="Nanquan Grupo A",11,IF(Atletas!G68="Taijiquan Grupo A",12,IF(Atletas!G68="Changquan Opcional",13,IF(Atletas!G68="Nanquan Opcional",14,IF(Atletas!G68="Taijiquan Opcional",15,IF(Atletas!G68="Changquan Adulto",16,IF(Atletas!G68="Nanquan Adulto",17,IF(Atletas!G68="Taijiquan Adulto",18,""))))))))))))))))))))</f>
        <v/>
      </c>
      <c r="AZ72" s="46" t="str">
        <f>IF(Atletas!H68="","",IF(Atletas!B68="Feminino",100,IF(Atletas!B68="Masculino",200,""))+(IF(Atletas!H68="Daoshu Mirim",19,IF(Atletas!H68="Jianshu Mirim",20,IF(Atletas!H68="Nandao Mirim",21,IF(Atletas!H68="Taijijian Mirim",22,IF(Atletas!H68="Daoshu Grupo C",23,IF(Atletas!H68="Jianshu Grupo C",24,IF(Atletas!H68="Nandao Grupo C",25,IF(Atletas!H68="Taijijian Grupo C",26,IF(Atletas!H68="Daoshu Grupo B",27,IF(Atletas!H68="Jianshu Grupo B",28,IF(Atletas!H68="Nandao Grupo B",29,IF(Atletas!H68="Taijijian Grupo B",30,IF(Atletas!H68="Daoshu Grupo A",31,IF(Atletas!H68="Jianshu Grupo A",32,IF(Atletas!H68="Nandao Grupo A",33,IF(Atletas!H68="Taijijian Grupo A",34,IF(Atletas!H68="Daoshu Opcional",35,IF(Atletas!H68="Jianshu Opcional",36,IF(Atletas!H68="Nandao Opcional",37,IF(Atletas!H68="Taijijian Opcional",38,IF(Atletas!H68="Daoshu Adulto",39,IF(Atletas!H68="Jianshu Adulto",40,IF(Atletas!H68="Nandao Adulto",41,IF(Atletas!H68="Taijijian Adulto",42,""))))))))))))))))))))))))))</f>
        <v/>
      </c>
      <c r="BA72" s="46" t="str">
        <f>IF(Atletas!I68="","",IF(Atletas!B68="Feminino",100,IF(Atletas!B68="Masculino",200,""))+(IF(Atletas!I68="Gunshu Mirim",43,IF(Atletas!I68="Qiangshu Mirim",44,IF(Atletas!I68="Nangun Mirim",45,IF(Atletas!I68="Gunshu Grupo C",46,IF(Atletas!I68="Qiangshu Grupo C",47,IF(Atletas!I68="Nangun Grupo C",48,IF(Atletas!I68="Gunshu Grupo B",49,IF(Atletas!I68="Qiangshu Grupo B",50,IF(Atletas!I68="Nangun Grupo B",51,IF(Atletas!I68="Gunshu Grupo A",52,IF(Atletas!I68="Qiangshu Grupo A",53,IF(Atletas!I68="Nangun Grupo A",54,IF(Atletas!I68="Gunshu Opcional",55,IF(Atletas!I68="Qiangshu Opcional",56,IF(Atletas!I68="Nangun Opcional",57,IF(Atletas!I68="Gunshu Adulto",58,IF(Atletas!I68="Qiangshu Adulto",59,IF(Atletas!I68="Nangun Adulto",60,""))))))))))))))))))))</f>
        <v/>
      </c>
      <c r="BF72" s="52" t="str">
        <f>IF(Atletas!J68="","",IF(Atletas!B68="Feminino",100,IF(Atletas!B68="Masculino",200,""))+(IF(Atletas!J68="Equipe 1 Grupo B",1,IF(Atletas!J68="Equipe 2 Grupo B",2,IF(Atletas!J68="Equipe 1 Grupo A",3,IF(Atletas!J68="Equipe 2 Grupo A",4,IF(Atletas!J68="Equipe 1 Adulto",5,IF(Atletas!J68="Equipe 2 Adulto",6,""))))))))</f>
        <v/>
      </c>
      <c r="BK72" s="52" t="str">
        <f>IF(Atletas!K68="","",IF(Atletas!W68&lt;&gt;"",10000,0)+(IF(Atletas!B68="Feminino",1000,IF(Atletas!B68="Masculino",2000,""))+IF(Atletas!K68="Choylayfut A",1,IF(Atletas!K68="Hunggar A",2,IF(Atletas!K68="Wuzuquan A",3,IF(Atletas!K68="Wingchun A",4,IF(Atletas!K68="Outra Mão de Sul A",5,IF(Atletas!K68="Choylayfut B",6,IF(Atletas!K68="Hunggar B",7,IF(Atletas!K68="Wuzuquan B",8,IF(Atletas!K68="Wingchun B",9,IF(Atletas!K68="Outra Mão de Sul B",10,IF(Atletas!K68="Choylayfut C",11,IF(Atletas!K68="Hunggar C",12,IF(Atletas!K68="Wuzuquan C",13,IF(Atletas!K68="Wingchun C",14,IF(Atletas!K68="Outra Mão de Sul C",15,IF(Atletas!K68="Choylayfut D",16,IF(Atletas!K68="Hunggar D",17,IF(Atletas!K68="Wuzuquan D",18,IF(Atletas!K68="Wingchun D",19,IF(Atletas!K68="Outra Mão de Sul D",20,IF(Atletas!K68="Choylayfut E",21,IF(Atletas!K68="Hunggar E",22,IF(Atletas!K68="Wuzuquan E",23,IF(Atletas!K68="Wingchun E",24,IF(Atletas!K68="Outra Mão de Sul E",25,IF(Atletas!K68="Choylayfut F",26,IF(Atletas!K68="Hunggar F",27,IF(Atletas!K68="Wuzuquan F",28,IF(Atletas!K68="Wingchun F",29,IF(Atletas!K68="Outra Mão de Sul F",30,""))))))))))))))))))))))))))))))))</f>
        <v/>
      </c>
      <c r="BL72" s="52" t="str">
        <f>IF(Atletas!L68="","",IF(Atletas!W68&lt;&gt;"",10000,0)+(IF(Atletas!B68="Feminino",1000,IF(Atletas!B68="Masculino",2000,""))+(IF(Atletas!L68="Chaquan A",101,IF(Atletas!L68="Emeiquan A",102,IF(Atletas!L68="Fanziquan A",103,IF(Atletas!L68="Huaquan A",104,IF(Atletas!L68="Hongquan A",105,IF(Atletas!L68="Paochui A",106,IF(Atletas!L68="Piguaquan A",107,IF(Atletas!L68="Shaolinquan A",108,IF(Atletas!L68="Tanglangquan A",109,IF(Atletas!L68="Yinzhaophai A",110,IF(Atletas!L68="Tongbeiquan A",111,IF(Atletas!L68="Wudangquan A",112,IF(Atletas!L68="Outros Estilos A",113,IF(Atletas!L68="Chaquan B",114,IF(Atletas!L68="Emeiquan B",115,IF(Atletas!L68="Fanziquan B",116,IF(Atletas!L68="Huaquan B",117,IF(Atletas!L68="Hongquan B",118,IF(Atletas!L68="Paochui B",119,IF(Atletas!L68="Piguaquan B",120,IF(Atletas!L68="Shaolinquan B",121,IF(Atletas!L68="Tanglangquan B",122,IF(Atletas!L68="Yinzhaophai B",123,IF(Atletas!L68="Tongbeiquan B",124,IF(Atletas!L68="Wudangquan B",125,IF(Atletas!L68="Outros Estilos B",126,IF(Atletas!L68="Chaquan C",127,IF(Atletas!L68="Emeiquan C",128,IF(Atletas!L68="Fanziquan C",129,IF(Atletas!L68="Huaquan C",130,IF(Atletas!L68="Hongquan C",131,IF(Atletas!L68="Paochui C",132,IF(Atletas!L68="Piguaquan C",133,IF(Atletas!L68="Shaolinquan C",134,IF(Atletas!L68="Tanglangquan C",135,IF(Atletas!L68="Yinzhaophai C",136,IF(Atletas!L68="Tongbeiquan C",137,IF(Atletas!L68="Wudangquan C",138,IF(Atletas!L68="Outros Estilos C",139,0))))))))))))))))))))))))))))))))))))))))))</f>
        <v/>
      </c>
      <c r="BM72" s="52" t="str">
        <f>IF(Atletas!L68="","",IF(Atletas!W68&lt;&gt;"",10000,0)+(IF(Atletas!B68="Feminino",1000,IF(Atletas!B68="Masculino",2000,""))+(IF(Atletas!L68="Chaquan D",140,IF(Atletas!L68="Emeiquan D",141,IF(Atletas!L68="Fanziquan D",142,IF(Atletas!L68="Huaquan D",143,IF(Atletas!L68="Hongquan D",144,IF(Atletas!L68="Paochui D",145,IF(Atletas!L68="Piguaquan D",146,IF(Atletas!L68="Shaolinquan D",147,IF(Atletas!L68="Tanglangquan D",148,IF(Atletas!L68="Yinzhaophai D",149,IF(Atletas!L68="Tongbeiquan D",150,IF(Atletas!L68="Wudangquan D",151,IF(Atletas!L68="Outros Estilos D",152,IF(Atletas!L68="Chaquan E",153,IF(Atletas!L68="Emeiquan E",154,IF(Atletas!L68="Fanziquan E",155,IF(Atletas!L68="Huaquan E",156,IF(Atletas!L68="Hongquan E",157,IF(Atletas!L68="Paochui E",158,IF(Atletas!L68="Piguaquan E",159,IF(Atletas!L68="Shaolinquan E",160,IF(Atletas!L68="Tanglangquan E",161,IF(Atletas!L68="Yinzhaophai E",162,IF(Atletas!L68="Tongbeiquan E",163,IF(Atletas!L68="Wudangquan E",164,IF(Atletas!L68="Outros Estilos E",165,IF(Atletas!L68="Chaquan F",166,IF(Atletas!L68="Emeiquan F",167,IF(Atletas!L68="Fanziquan F",168,IF(Atletas!L68="Huaquan F",169,IF(Atletas!L68="Hongquan F",170,IF(Atletas!L68="Paochui F",171,IF(Atletas!L68="Piguaquan F",172,IF(Atletas!L68="Shaolinquan F",173,IF(Atletas!L68="Tanglangquan F",174,IF(Atletas!L68="Yinzhaophai F",175,IF(Atletas!L68="Tongbeiquan F",176,IF(Atletas!L68="Wudangquan F",177,IF(Atletas!L68="Outros Estilos F",178,0))))))))))))))))))))))))))))))))))))))))))</f>
        <v/>
      </c>
      <c r="BN72" s="52" t="str">
        <f>IF(Atletas!M68="","",IF(Atletas!W68&lt;&gt;"",10000,0)+(IF(Atletas!B68="Feminino",1000,IF(Atletas!B68="Masculino",2000,""))+(IF(Atletas!M68="Ditangquan A",201,IF(Atletas!M68="Houquan A",202,IF(Atletas!M68="Zuiquan A",203,IF(Atletas!M68="Ditangquan B",204,IF(Atletas!M68="Houquan B",205,IF(Atletas!M68="Zuiquan B",206,IF(Atletas!M68="Ditangquan C",207,IF(Atletas!M68="Houquan C",208,IF(Atletas!M68="Zuiquan C",209,IF(Atletas!M68="Ditangquan D",210,IF(Atletas!M68="Houquan D",211,IF(Atletas!M68="Zuiquan D",212,IF(Atletas!M68="Ditangquan E",213,IF(Atletas!M68="Houquan E",214,IF(Atletas!M68="Zuiquan E",215,IF(Atletas!M68="Ditangquan F",216,IF(Atletas!M68="Houquan F",217,IF(Atletas!M68="Zuiquan F",218,"")))))))))))))))))))))</f>
        <v/>
      </c>
      <c r="BO72" s="52" t="str">
        <f>IF(Atletas!N68="","",IF(Atletas!W68&lt;&gt;"",10000,0)+IF(Atletas!B68="Feminino",1000,IF(Atletas!B68="Masculino",2000,""))+IF(Atletas!N68="Yang A",301,IF(Atletas!N68="Chen A",30,IF(Atletas!N68="Sun A",303,IF(Atletas!N68="Wu A",304,IF(Atletas!N68="Wu-Hao A",305,IF(Atletas!N68="Outro Taijiquan A",306,IF(Atletas!N68="Yang B",307,IF(Atletas!N68="Chen B",308,IF(Atletas!N68="Sun B",309,IF(Atletas!N68="Wu B",310,IF(Atletas!N68="Wu-Hao B",311,IF(Atletas!N68="Outro Taijiquan B",312,IF(Atletas!N68="Yang C",313,IF(Atletas!N68="Chen C",314,IF(Atletas!N68="Sun C",315,IF(Atletas!N68="Wu C",316,IF(Atletas!N68="Wu-Hao C",317,IF(Atletas!N68="Outro Taijiquan C",318,IF(Atletas!N68="Yang D",319,IF(Atletas!N68="Chen D",320,IF(Atletas!N68="Sun D",321,IF(Atletas!N68="Wu D",322,IF(Atletas!N68="Wu-Hao D",323,IF(Atletas!N68="Outro Taijiquan D",324,IF(Atletas!N68="Yang E",325,IF(Atletas!N68="Chen E",326,IF(Atletas!N68="Sun E",327,IF(Atletas!N68="Wu E",328,IF(Atletas!N68="Wu-Hao E",329,IF(Atletas!N68="Outro Taijiquan E",330,IF(Atletas!N68="Yang F",331,IF(Atletas!N68="Chen F",332,IF(Atletas!N68="Sun F",333,IF(Atletas!N68="Wu F",334,IF(Atletas!N68="Wu-Hao F",335,IF(Atletas!N68="Outro Taijiquan F",336,"")))))))))))))))))))))))))))))))))))))</f>
        <v/>
      </c>
      <c r="BP72" s="52" t="str">
        <f>IF(Atletas!O68="","",IF(Atletas!W68&lt;&gt;"",10000,0)+IF(Atletas!B68="Feminino",1000,IF(Atletas!B68="Masculino",2000,""))+IF(OR(Atletas!O68="Yang 26 A",Atletas!O68="Yang 40 A"),401,IF(OR(Atletas!O68="Chen 25 A",Atletas!O68="Chen 36 A",Atletas!O68="Chen 56 A"),402,IF(Atletas!O68="Sun 73 A",403,IF(Atletas!O68="Wu 45 A",404,IF(Atletas!O68="Wu-Hao 46 A",405,IF(OR(Atletas!O68="Taijiquan 16 A",Atletas!O68="Taijiquan 24 A",Atletas!O68="Taijiquan 32 A",Atletas!O68="Taijiquan 42 A"),406,IF(OR(Atletas!O68="Yang 26 B",Atletas!O68="Yang 40 B"),407,IF(OR(Atletas!O68="Chen 25 B",Atletas!O68="Chen 36 B",Atletas!O68="Chen 56 B"),408,IF(Atletas!O68="Sun 73 B",409,IF(Atletas!O68="Wu 45 B",410,IF(Atletas!O68="Wu-Hao 46 B",411,IF(OR(Atletas!O68="Taijiquan 16 B",Atletas!O68="Taijiquan 24 B",Atletas!O68="Taijiquan 32 B",Atletas!O68="Taijiquan 42 B"),412,IF(OR(Atletas!O68="Yang 26 C",Atletas!O68="Yang 40 C"),413,IF(OR(Atletas!O68="Chen 25 C",Atletas!O68="Chen 36 C",Atletas!O68="Chen 56 C"),414,IF(Atletas!O68="Sun 73 C",415,IF(Atletas!O68="Wu 45 C",416,IF(Atletas!O68="Wu-Hao 46 C",417,IF(OR(Atletas!O68="Taijiquan 16 C",Atletas!O68="Taijiquan 24 C",Atletas!O68="Taijiquan 32 C",Atletas!O68="Taijiquan 42 C"),418,0)))))))))))))))))))</f>
        <v/>
      </c>
      <c r="BQ72" s="52" t="str">
        <f>IF(Atletas!O68="","",IF(Atletas!W68&lt;&gt;"",10000,0)+IF(Atletas!B68="Feminino",1000,IF(Atletas!B68="Masculino",2000,""))+IF(OR(Atletas!O68="Yang 26 D",Atletas!O68="Yang 40 D"),419,IF(OR(Atletas!O68="Chen 25 D",Atletas!O68="Chen 36 D",Atletas!O68="Chen 56 D"),420,IF(Atletas!O68="Sun 73 D",421,IF(Atletas!O68="Wu 45 D",422,IF(Atletas!O68="Wu-Hao 46 D",423,IF(OR(Atletas!O68="Taijiquan 16 D",Atletas!O68="Taijiquan 24 D",Atletas!O68="Taijiquan 32 D",Atletas!O68="Taijiquan 42 D"),424,IF(OR(Atletas!O68="Yang 26 E",Atletas!O68="Yang 40 E"),425,IF(OR(Atletas!O68="Chen 25 E",Atletas!O68="Chen 36 E",Atletas!O68="Chen 56 E"),426,IF(Atletas!O68="Sun 73 E",427,IF(Atletas!O68="Wu 45 E",428,IF(Atletas!O68="Wu-Hao 46 E",429,IF(OR(Atletas!O68="Taijiquan 16 E",Atletas!O68="Taijiquan 24 E",Atletas!O68="Taijiquan 32 E",Atletas!O68="Taijiquan 42 E"),430,IF(OR(Atletas!O68="Yang 26 F",Atletas!O68="Yang 40 F"),431,IF(OR(Atletas!O68="Chen 25 F",Atletas!O68="Chen 36 F",Atletas!O68="Chen 56 F"),432,IF(Atletas!O68="Sun 73 F",433,IF(Atletas!O68="Wu 45 F",434,IF(Atletas!O68="Wu-Hao 46 F",435,IF(OR(Atletas!O68="Taijiquan 16 F",Atletas!O68="Taijiquan 24 F",Atletas!O68="Taijiquan 32 F",Atletas!O68="Taijiquan 42 F"),436,0)))))))))))))))))))</f>
        <v/>
      </c>
      <c r="BR72" s="52" t="str">
        <f>IF(Atletas!P68="","",IF(Atletas!W68&lt;&gt;"",10000,0)+IF(Atletas!B68="Feminino",1000,IF(Atletas!B68="Masculino",2000,""))+IF(Atletas!P68="Xingyiquan A",501,IF(Atletas!P68="Baguazhang A",502,IF(Atletas!P68="Outro Estilo Interno A",503,IF(Atletas!P68="Xingyiquan B",504,IF(Atletas!P68="Baguazhang B",505,IF(Atletas!P68="Outro Estilo Interno B",506,IF(Atletas!P68="Xingyiquan C",507,IF(Atletas!P68="Baguazhang C",508,IF(Atletas!P68="Outro Estilo Interno C",509,IF(Atletas!P68="Xingyiquan D",510,IF(Atletas!P68="Baguazhang D",511,IF(Atletas!P68="Outro Estilo Interno D",512,IF(Atletas!P68="Xingyiquan E",513,IF(Atletas!P68="Baguazhang E",514,IF(Atletas!P68="Outro Estilo Interno E",515,IF(Atletas!P68="Xingyiquan F",516,IF(Atletas!P68="Baguazhang F",517,IF(Atletas!P68="Outro Estilo Interno F",518, "")))))))))))))))))))</f>
        <v/>
      </c>
      <c r="BS72" s="52" t="str">
        <f>IF(Atletas!Q68="","",IF(Atletas!W68&lt;&gt;"",10000,0)+IF(Atletas!B68="Feminino",1000,IF(Atletas!B68="Masculino",2000,""))+IF(Atletas!Q68="Dao A",601,IF(Atletas!Q68="Jian A",602,IF(Atletas!Q68="Bishou A",603,IF(Atletas!Q68="Shan A",604,IF(Atletas!Q68="Outra Arma Curta A",605,IF(Atletas!Q68="Dao B",606,IF(Atletas!Q68="Jian B",607,IF(Atletas!Q68="Bishou B",608,IF(Atletas!Q68="Shan B",609,IF(Atletas!Q68="Outra Arma Curta B",610,IF(Atletas!Q68="Dao C",611,IF(Atletas!Q68="Jian C",612,IF(Atletas!Q68="Bishou C",613,IF(Atletas!Q68="Shan C",614,IF(Atletas!Q68="Outra Arma Curta C",615,IF(Atletas!Q68="Dao D",616,IF(Atletas!Q68="Jian D",617,IF(Atletas!Q68="Bishou D",618,IF(Atletas!Q68="Shan D",619,IF(Atletas!Q68="Outra Arma Curta D",620,IF(Atletas!Q68="Dao E",621,IF(Atletas!Q68="Jian E",622,IF(Atletas!Q68="Bishou E",623,IF(Atletas!Q68="Shan E",624,IF(Atletas!Q68="Outra Arma Curta E",625,IF(Atletas!Q68="Dao F",626,IF(Atletas!Q68="Jian F",627,IF(Atletas!Q68="Bishou F",628,IF(Atletas!Q68="Shan F",629,IF(Atletas!Q68="Outra Arma Curta F",630, "")))))))))))))))))))))))))))))))</f>
        <v/>
      </c>
      <c r="BT72" s="52" t="str">
        <f>IF(Atletas!R68="","",IF(Atletas!W68&lt;&gt;"",10000,0)+IF(Atletas!B68="Feminino",1000,IF(Atletas!B68="Masculino",2000,""))+IF(Atletas!R68="Gun A",701,IF(Atletas!R68="Qiang A",702,IF(Atletas!R68="Pudao / Guandao A",703,IF(Atletas!R68="Outra Arma Longa A",704,IF(Atletas!R68="Gun B",705,IF(Atletas!R68="Qiang B",706,IF(Atletas!R68="Pudao / Guandao B",707,IF(Atletas!R68="Outra Arma Longa B",708,IF(Atletas!R68="Gun C",709,IF(Atletas!R68="Qiang C",710,IF(Atletas!R68="Pudao / Guandao C",711,IF(Atletas!R68="Outra Arma Longa C",712,IF(Atletas!R68="Gun D",713,IF(Atletas!R68="Qiang D",714,IF(Atletas!R68="Pudao / Guandao D",715,IF(Atletas!R68="Outra Arma Longa D",716,IF(Atletas!R68="Gun E",717,IF(Atletas!R68="Qiang E",718,IF(Atletas!R68="Pudao / Guandao E",719,IF(Atletas!R68="Outra Arma Longa E",720,IF(Atletas!R68="Gun F",721,IF(Atletas!R68="Qiang F",722,IF(Atletas!R68="Pudao / Guandao F",723,IF(Atletas!R68="Outra Arma Longa F",724,"")))))))))))))))))))))))))</f>
        <v/>
      </c>
      <c r="BU72" s="52" t="str">
        <f>IF(Atletas!S68="","",IF(Atletas!W68&lt;&gt;"",10000,0)+IF(Atletas!B68="Feminino",1000,IF(Atletas!B68="Masculino",2000,""))+IF(Atletas!S68="Arma Dupla A",801,IF(Atletas!S68="Arma Maleável A",802,IF(Atletas!S68="Arma Dupla B",803,IF(Atletas!S68="Arma Maleável B",804,IF(Atletas!S68="Arma Dupla C",805,IF(Atletas!S68="Arma Maleável C",806,IF(Atletas!S68="Arma Dupla D",807,IF(Atletas!S68="Arma Maleável D",808,IF(Atletas!S68="Arma Dupla E",809,IF(Atletas!S68="Arma Maleável E",810,IF(Atletas!S68="Arma Dupla F",811,IF(Atletas!S68="Arma Maleável F",812, "")))))))))))))</f>
        <v/>
      </c>
      <c r="BV72" s="52" t="str">
        <f>IF(Atletas!T68="","",IF(Atletas!W68&lt;&gt;"",10000,0)+IF(Atletas!B68="Feminino",1000,IF(Atletas!B68="Masculino",2000,""))+IF(Atletas!T68="Taijijian Yang A",901,IF(Atletas!T68="Taijijian Chen A",902,IF(Atletas!T68="Taijijian Sun A",903,IF(Atletas!T68="Taijijian Wu A",904,IF(Atletas!T68="Taijijian Wu-Hao A",905,IF(Atletas!T68="Taijijian 32 A",906,IF(Atletas!T68="Taijijian 42 A",907,IF(Atletas!T68="Taijijian Yang B",908,IF(Atletas!T68="Taijijian Chen B",909,IF(Atletas!T68="Taijijian Sun B",910,IF(Atletas!T68="Taijijian Wu B",911,IF(Atletas!T68="Taijijian Wu-Hao B",912,IF(Atletas!T68="Taijijian 32 B",913,IF(Atletas!T68="Taijijian 42 B",914,IF(Atletas!T68="Taijijian Yang C",915,IF(Atletas!T68="Taijijian Chen C",916,IF(Atletas!T68="Taijijian Sun C",917,IF(Atletas!T68="Taijijian Wu C",918,IF(Atletas!T68="Taijijian Wu-Hao C",919,IF(Atletas!T68="Taijijian 32 C",920,IF(Atletas!T68="Taijijian 42 C",921,IF(Atletas!T68="Taijijian Yang D",922,IF(Atletas!T68="Taijijian Chen D",923,IF(Atletas!T68="Taijijian Sun D",924,IF(Atletas!T68="Taijijian Wu D",925,IF(Atletas!T68="Taijijian Wu-Hao D",926,IF(Atletas!T68="Taijijian 32 D",927,IF(Atletas!T68="Taijijian 42 D",928,IF(Atletas!T68="Taijijian Yang E",929,IF(Atletas!T68="Taijijian Chen E",930,IF(Atletas!T68="Taijijian Sun E",931,IF(Atletas!T68="Taijijian Wu E",932,IF(Atletas!T68="Taijijian Wu-Hao E",933,IF(Atletas!T68="Taijijian 32 E",934,IF(Atletas!T68="Taijijian 42 E",935,IF(Atletas!T68="Taijijian Yang F",936,IF(Atletas!T68="Taijijian Chen F",937,IF(Atletas!T68="Taijijian Sun F",938,IF(Atletas!T68="Taijijian Wu F",939,IF(Atletas!T68="Taijijian Wu-Hao F",940,IF(Atletas!T68="Taijijian 32 F",941,IF(Atletas!T68="Taijijian 42 F",942,"")))))))))))))))))))))))))))))))))))))))))))</f>
        <v/>
      </c>
      <c r="BW72" s="52" t="str">
        <f>IF(Atletas!U68="","",IF(Atletas!W68&lt;&gt;"",10000,0)+IF(Atletas!B68="Feminino",1000,IF(Atletas!B68="Masculino",2000,""))+IF(Atletas!T68="Taijijian 42 F",942,IF(Atletas!U68="Taijidao A",943,IF(Atletas!U68="Taijishan A",944,IF(Atletas!U68="Taijiqiang A",945,IF(Atletas!U68="Taijidao B",946,IF(Atletas!U68="Taijishan B",947,IF(Atletas!U68="Taijiqiang B",948,IF(Atletas!U68="Taijidao C",949,IF(Atletas!U68="Taijishan C",950,IF(Atletas!U68="Taijiqiang C",951,IF(Atletas!U68="Taijidao D",952,IF(Atletas!U68="Taijishan D",953,IF(Atletas!U68="Taijiqiang D",954,IF(Atletas!U68="Taijidao E",955,IF(Atletas!U68="Taijishan E",956,IF(Atletas!U68="Taijiqiang E",957,IF(Atletas!U68="Taijidao F",958,IF(Atletas!U68="Taijishan F",959,IF(Atletas!U68="Taijiqiang F",960))))))))))))))))))))</f>
        <v/>
      </c>
      <c r="BX72" s="64" t="str">
        <f>IF(BY72&lt;&gt;"","Yinzhaophai C","")</f>
        <v/>
      </c>
      <c r="BY72" s="64" t="str">
        <f>IF(COUNTIF(BK:BW,1136)&gt;0,COUNTIF(BK:BW,1136),"")</f>
        <v/>
      </c>
      <c r="BZ72" s="64" t="str">
        <f>IF(CA72&lt;&gt;"","Yinzhaophai C","")</f>
        <v/>
      </c>
      <c r="CA72" s="64" t="str">
        <f>IF(COUNTIF(BK:BW,2136)&gt;0,COUNTIF(BK:BW,2136),"")</f>
        <v/>
      </c>
      <c r="CB72" s="64" t="str">
        <f>IF(CC72&lt;&gt;"","Yinzhaophai C","")</f>
        <v/>
      </c>
      <c r="CC72" s="64" t="str">
        <f>IF(COUNTIF(BK:BW,11136)&gt;0,COUNTIF(BK:BW,11136),"")</f>
        <v/>
      </c>
      <c r="CD72" s="64" t="str">
        <f>IF(CE72&lt;&gt;"","Yinzhaophai C","")</f>
        <v/>
      </c>
      <c r="CE72" s="64" t="str">
        <f>IF(COUNTIF(BK:BW,12136)&gt;0,COUNTIF(BK:BW,12136),"")</f>
        <v/>
      </c>
      <c r="CF72" s="52" t="str">
        <f xml:space="preserve"> IF(Atletas!V68="","",IF(Atletas!V68="Duilian de Mãos AB - Equipe 1",1,IF(Atletas!V68="Duilian de Mãos AB - Equipe 2",2,IF(Atletas!V68="Duilian de Armas AB - Equipe 1",3,IF(Atletas!V68="Duilian de Armas AB - Equipe 2",4,IF(Atletas!V68="Duilian de Tuishou - Equipe 1",5,IF(Atletas!V68="Duilian de Tuishou - Equipe 2",6,IF(Atletas!V68="Grupo Externo AB - Equipe 1",7,IF(Atletas!V68="Grupo Externo AB - Equipe 2",8,IF(Atletas!V68="Grupo Interno AB - Equipe 1",9,IF(Atletas!V68="Grupo Interno AB - Equipe 2",10,IF(Atletas!V68="Duilian de Mãos CD - Equipe 1",11,IF(Atletas!V68="Duilian de Mãos CD - Equipe 2",12,IF(Atletas!V68="Duilian de Armas CD - Equipe 1",13,IF(Atletas!V68="Duilian de Armas CD - Equipe 2",14,IF(Atletas!V68="Duilian de Tuishou - Equipe 1",15,IF(Atletas!V68="Duilian de Tuishou - Equipe 2",16,IF(Atletas!V68="Grupo Externo CDEF - Equipe 1",17,IF(Atletas!V68="Grupo Externo CDEF - Equipe 2",18,IF(Atletas!V68="Grupo Interno CDEF - Equipe 1",19,IF(Atletas!V68="Grupo Interno CDEF - Equipe 2",20,IF(Atletas!V68="Duilian de Mãos EF - Equipe 1",21,IF(Atletas!V68="Duilian de Mãos EF - Equipe 2",22,IF(Atletas!V68="Duilian de Armas EF - Equipe 1",23,IF(Atletas!V68="Duilian de Armas EF - Equipe 2",24,IF(Atletas!V68="Duilian de Tuishou - Equipe 1",25,IF(Atletas!V68="Duilian de Tuishou - Equipe 2",26,"")))))))))))))))))))))))))))</f>
        <v/>
      </c>
    </row>
    <row r="73" spans="2:96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31"/>
      <c r="U73" s="4"/>
      <c r="V73" s="4" t="str">
        <f t="array" ref="V73">IFERROR(INDEX(BX$7:BX$336,SMALL(IF(BX$7:BX$336&lt;&gt;"",ROW(BX$7:BX$336)-ROW(BX$7)+1),ROWS(BX$7:BX72))),"")</f>
        <v/>
      </c>
      <c r="W73" s="4" t="str">
        <f t="array" ref="W73">IFERROR(INDEX(BY$7:BY$336,SMALL(IF(BY$7:BY$336&lt;&gt;"",ROW(BY$7:BY$336)-ROW(BY$7)+1),ROWS(BY$7:BY72))),"")</f>
        <v/>
      </c>
      <c r="X73" s="4" t="str">
        <f t="array" ref="X73">IFERROR(INDEX(BZ$7:BZ$336,SMALL(IF(BZ$7:BZ$336&lt;&gt;"",ROW(BZ$7:BZ$336)-ROW(BZ$7)+1),ROWS(BZ$7:BZ72))),"")</f>
        <v/>
      </c>
      <c r="Y73" s="4" t="str">
        <f t="array" ref="Y73">IFERROR(INDEX(CA$7:CA$336,SMALL(IF(CA$7:CA$336&lt;&gt;"",ROW(CA$7:CA$336)-ROW(CA$7)+1),ROWS(CA$7:CA72))),"")</f>
        <v/>
      </c>
      <c r="Z73" s="4" t="str">
        <f t="array" ref="Z73">IFERROR(INDEX(CB$7:CB$378,SMALL(IF(CB$7:CB$378&lt;&gt;"",ROW(CB$7:CB$378)-ROW(CB$7)+1),ROWS(CB$7:CB72))),"")</f>
        <v/>
      </c>
      <c r="AA73" s="4" t="str">
        <f t="array" ref="AA73">IFERROR(INDEX(CC$7:CC$378,SMALL(IF(CC$7:CC$378&lt;&gt;"",ROW(CC$7:CC$378)-ROW(CC$7)+1),ROWS(CC$7:CC72))),"")</f>
        <v/>
      </c>
      <c r="AB73" s="4" t="str">
        <f t="array" ref="AB73">IFERROR(INDEX(CD$7:CD$378,SMALL(IF(CD$7:CD$378&lt;&gt;"",ROW(CD$7:CD$378)-ROW(CD$7)+1),ROWS(CD$7:CD72))),"")</f>
        <v/>
      </c>
      <c r="AC73" s="4" t="str">
        <f t="array" ref="AC73">IFERROR(INDEX(CE$7:CE$378,SMALL(IF(CE$7:CE$378&lt;&gt;"",ROW(CE$7:CE$378)-ROW(CE$7)+1),ROWS(CE$7:CE72))),"")</f>
        <v/>
      </c>
      <c r="AD73" s="4"/>
      <c r="AE73" s="4"/>
      <c r="AF73" s="4"/>
      <c r="AG73" s="4"/>
      <c r="AH73" s="4"/>
      <c r="AI73" s="4"/>
      <c r="AJ73" s="46" t="str">
        <f>IF(Atletas!D69="","",IF(Atletas!B69="Feminino",100,IF(Atletas!B69="Masculino",200,""))+(IF(Atletas!D69="Infantil 39kg",1,IF(Atletas!D69="Infantil 42kg",2,IF(Atletas!D69="Infantil 45kg",3,IF(Atletas!D69="Infantil 48kg",4,IF(Atletas!D69="Infantil 52kg",5,IF(Atletas!D69="Infantil 56kg",6,IF(Atletas!D69="Infantil 60kg",7,IF(Atletas!D69="Juvenil 48kg",8,IF(Atletas!D69="Juvenil 52kg",9,IF(Atletas!D69="Juvenil 56kg",10,IF(Atletas!D69="Juvenil 60kg",11,IF(Atletas!D69="Juvenil 65kg",12,IF(Atletas!D69="Juvenil 70kg",13,IF(Atletas!D69="Juvenil 75kg",14,IF(Atletas!D69="Juvenil 80kg",15,IF(Atletas!D69="Adulto 48kg",16,IF(Atletas!D69="Adulto 52kg",17,IF(Atletas!D69="Adulto 56kg",18,IF(Atletas!D69="Adulto 60kg",19,IF(Atletas!D69="Adulto 65kg",20,IF(Atletas!D69="Adulto 70kg",21,IF(Atletas!D69="Adulto 75kg",22,IF(Atletas!D69="Adulto 80kg",23,IF(Atletas!D69="Adulto 85kg",24,IF(Atletas!D69="Adulto 90kg",25,IF(Atletas!D69="Adulto +90kg",26,""))))))))))))))))))))))))))))</f>
        <v/>
      </c>
      <c r="AO73" s="10" t="str">
        <f>IF(Atletas!E69="","",IF(Atletas!B69="Feminino",100,IF(Atletas!B69="Masculino",200,""))+(IF(Atletas!E69="Juvenil 44kg",1,IF(Atletas!E69="Juvenil 48kg",2,IF(Atletas!E69="Juvenil 52kg",3,IF(Atletas!E69="Juvenil 56kg",4,IF(Atletas!E69="Juvenil 60kg",5,IF(Atletas!E69="Juvenil 65kg",6,IF(Atletas!E69="Juvenil 70kg",7,IF(Atletas!E69="Juvenil 75kg",8,IF(Atletas!E69="Juvenil 82kg",9,IF(Atletas!E69="Juvenil 90kg",10,IF(Atletas!E69="Juvenil 100kg",11,IF(Atletas!E69="Adulto 48kg",12,IF(Atletas!E69="Adulto 52kg",13,IF(Atletas!E69="Adulto 56kg",14,IF(Atletas!E69="Adulto 60kg",15,IF(Atletas!E69="Adulto 65kg",16,IF(Atletas!E69="Adulto 70kg",17,IF(Atletas!E69="Adulto 75kg",18,IF(Atletas!E69="Adulto 82kg",19,IF(Atletas!E69="Adulto 90kg",20,IF(Atletas!E69="Adulto 100kg",21,IF(Atletas!E69="Adulto +100kg",22,""))))))))))))))))))))))))</f>
        <v/>
      </c>
      <c r="AT73" s="10" t="str">
        <f>IF(Atletas!F69="","",IF(Atletas!B69="Feminino",100,IF(Atletas!B69="Masculino",200,""))+(IF(Atletas!F69="Adulto 48kg",1,IF(Atletas!F69="Adulto 56kg",2,IF(Atletas!F69="Adulto 65kg",3,IF(Atletas!F69="Adulto 75kg",4,IF(Atletas!F69="Adulto +75kg",5,IF(Atletas!F69="Adulto 52kg",6,IF(Atletas!F69="Adulto 60kg",7,IF(Atletas!F69="Adulto 70kg",8,IF(Atletas!F69="Adulto 80kg",9,IF(Atletas!F69="Adulto 90kg",10,IF(Atletas!F69="Adulto +90kg",11,"")))))))))))))</f>
        <v/>
      </c>
      <c r="AY73" s="46" t="str">
        <f>IF(Atletas!G69="","",IF(Atletas!B69="Feminino",100,IF(Atletas!B69="Masculino",200,""))+(IF(Atletas!G69="Changquan Mirim",1,IF(Atletas!G69="Nanquan Mirim",2,IF(Atletas!G69="Taijiquan Mirim",3,IF(Atletas!G69="Changquan Grupo C",4,IF(Atletas!G69="Nanquan Grupo C",5,IF(Atletas!G69="Taijiquan Grupo C",6,IF(Atletas!G69="Changquan Grupo B",7,IF(Atletas!G69="Nanquan Grupo B",8,IF(Atletas!G69="Taijiquan Grupo B",9,IF(Atletas!G69="Changquan Grupo A",10,IF(Atletas!G69="Nanquan Grupo A",11,IF(Atletas!G69="Taijiquan Grupo A",12,IF(Atletas!G69="Changquan Opcional",13,IF(Atletas!G69="Nanquan Opcional",14,IF(Atletas!G69="Taijiquan Opcional",15,IF(Atletas!G69="Changquan Adulto",16,IF(Atletas!G69="Nanquan Adulto",17,IF(Atletas!G69="Taijiquan Adulto",18,""))))))))))))))))))))</f>
        <v/>
      </c>
      <c r="AZ73" s="46" t="str">
        <f>IF(Atletas!H69="","",IF(Atletas!B69="Feminino",100,IF(Atletas!B69="Masculino",200,""))+(IF(Atletas!H69="Daoshu Mirim",19,IF(Atletas!H69="Jianshu Mirim",20,IF(Atletas!H69="Nandao Mirim",21,IF(Atletas!H69="Taijijian Mirim",22,IF(Atletas!H69="Daoshu Grupo C",23,IF(Atletas!H69="Jianshu Grupo C",24,IF(Atletas!H69="Nandao Grupo C",25,IF(Atletas!H69="Taijijian Grupo C",26,IF(Atletas!H69="Daoshu Grupo B",27,IF(Atletas!H69="Jianshu Grupo B",28,IF(Atletas!H69="Nandao Grupo B",29,IF(Atletas!H69="Taijijian Grupo B",30,IF(Atletas!H69="Daoshu Grupo A",31,IF(Atletas!H69="Jianshu Grupo A",32,IF(Atletas!H69="Nandao Grupo A",33,IF(Atletas!H69="Taijijian Grupo A",34,IF(Atletas!H69="Daoshu Opcional",35,IF(Atletas!H69="Jianshu Opcional",36,IF(Atletas!H69="Nandao Opcional",37,IF(Atletas!H69="Taijijian Opcional",38,IF(Atletas!H69="Daoshu Adulto",39,IF(Atletas!H69="Jianshu Adulto",40,IF(Atletas!H69="Nandao Adulto",41,IF(Atletas!H69="Taijijian Adulto",42,""))))))))))))))))))))))))))</f>
        <v/>
      </c>
      <c r="BA73" s="46" t="str">
        <f>IF(Atletas!I69="","",IF(Atletas!B69="Feminino",100,IF(Atletas!B69="Masculino",200,""))+(IF(Atletas!I69="Gunshu Mirim",43,IF(Atletas!I69="Qiangshu Mirim",44,IF(Atletas!I69="Nangun Mirim",45,IF(Atletas!I69="Gunshu Grupo C",46,IF(Atletas!I69="Qiangshu Grupo C",47,IF(Atletas!I69="Nangun Grupo C",48,IF(Atletas!I69="Gunshu Grupo B",49,IF(Atletas!I69="Qiangshu Grupo B",50,IF(Atletas!I69="Nangun Grupo B",51,IF(Atletas!I69="Gunshu Grupo A",52,IF(Atletas!I69="Qiangshu Grupo A",53,IF(Atletas!I69="Nangun Grupo A",54,IF(Atletas!I69="Gunshu Opcional",55,IF(Atletas!I69="Qiangshu Opcional",56,IF(Atletas!I69="Nangun Opcional",57,IF(Atletas!I69="Gunshu Adulto",58,IF(Atletas!I69="Qiangshu Adulto",59,IF(Atletas!I69="Nangun Adulto",60,""))))))))))))))))))))</f>
        <v/>
      </c>
      <c r="BF73" s="52" t="str">
        <f>IF(Atletas!J69="","",IF(Atletas!B69="Feminino",100,IF(Atletas!B69="Masculino",200,""))+(IF(Atletas!J69="Equipe 1 Grupo B",1,IF(Atletas!J69="Equipe 2 Grupo B",2,IF(Atletas!J69="Equipe 1 Grupo A",3,IF(Atletas!J69="Equipe 2 Grupo A",4,IF(Atletas!J69="Equipe 1 Adulto",5,IF(Atletas!J69="Equipe 2 Adulto",6,""))))))))</f>
        <v/>
      </c>
      <c r="BK73" s="52" t="str">
        <f>IF(Atletas!K69="","",IF(Atletas!W69&lt;&gt;"",10000,0)+(IF(Atletas!B69="Feminino",1000,IF(Atletas!B69="Masculino",2000,""))+IF(Atletas!K69="Choylayfut A",1,IF(Atletas!K69="Hunggar A",2,IF(Atletas!K69="Wuzuquan A",3,IF(Atletas!K69="Wingchun A",4,IF(Atletas!K69="Outra Mão de Sul A",5,IF(Atletas!K69="Choylayfut B",6,IF(Atletas!K69="Hunggar B",7,IF(Atletas!K69="Wuzuquan B",8,IF(Atletas!K69="Wingchun B",9,IF(Atletas!K69="Outra Mão de Sul B",10,IF(Atletas!K69="Choylayfut C",11,IF(Atletas!K69="Hunggar C",12,IF(Atletas!K69="Wuzuquan C",13,IF(Atletas!K69="Wingchun C",14,IF(Atletas!K69="Outra Mão de Sul C",15,IF(Atletas!K69="Choylayfut D",16,IF(Atletas!K69="Hunggar D",17,IF(Atletas!K69="Wuzuquan D",18,IF(Atletas!K69="Wingchun D",19,IF(Atletas!K69="Outra Mão de Sul D",20,IF(Atletas!K69="Choylayfut E",21,IF(Atletas!K69="Hunggar E",22,IF(Atletas!K69="Wuzuquan E",23,IF(Atletas!K69="Wingchun E",24,IF(Atletas!K69="Outra Mão de Sul E",25,IF(Atletas!K69="Choylayfut F",26,IF(Atletas!K69="Hunggar F",27,IF(Atletas!K69="Wuzuquan F",28,IF(Atletas!K69="Wingchun F",29,IF(Atletas!K69="Outra Mão de Sul F",30,""))))))))))))))))))))))))))))))))</f>
        <v/>
      </c>
      <c r="BL73" s="52" t="str">
        <f>IF(Atletas!L69="","",IF(Atletas!W69&lt;&gt;"",10000,0)+(IF(Atletas!B69="Feminino",1000,IF(Atletas!B69="Masculino",2000,""))+(IF(Atletas!L69="Chaquan A",101,IF(Atletas!L69="Emeiquan A",102,IF(Atletas!L69="Fanziquan A",103,IF(Atletas!L69="Huaquan A",104,IF(Atletas!L69="Hongquan A",105,IF(Atletas!L69="Paochui A",106,IF(Atletas!L69="Piguaquan A",107,IF(Atletas!L69="Shaolinquan A",108,IF(Atletas!L69="Tanglangquan A",109,IF(Atletas!L69="Yinzhaophai A",110,IF(Atletas!L69="Tongbeiquan A",111,IF(Atletas!L69="Wudangquan A",112,IF(Atletas!L69="Outros Estilos A",113,IF(Atletas!L69="Chaquan B",114,IF(Atletas!L69="Emeiquan B",115,IF(Atletas!L69="Fanziquan B",116,IF(Atletas!L69="Huaquan B",117,IF(Atletas!L69="Hongquan B",118,IF(Atletas!L69="Paochui B",119,IF(Atletas!L69="Piguaquan B",120,IF(Atletas!L69="Shaolinquan B",121,IF(Atletas!L69="Tanglangquan B",122,IF(Atletas!L69="Yinzhaophai B",123,IF(Atletas!L69="Tongbeiquan B",124,IF(Atletas!L69="Wudangquan B",125,IF(Atletas!L69="Outros Estilos B",126,IF(Atletas!L69="Chaquan C",127,IF(Atletas!L69="Emeiquan C",128,IF(Atletas!L69="Fanziquan C",129,IF(Atletas!L69="Huaquan C",130,IF(Atletas!L69="Hongquan C",131,IF(Atletas!L69="Paochui C",132,IF(Atletas!L69="Piguaquan C",133,IF(Atletas!L69="Shaolinquan C",134,IF(Atletas!L69="Tanglangquan C",135,IF(Atletas!L69="Yinzhaophai C",136,IF(Atletas!L69="Tongbeiquan C",137,IF(Atletas!L69="Wudangquan C",138,IF(Atletas!L69="Outros Estilos C",139,0))))))))))))))))))))))))))))))))))))))))))</f>
        <v/>
      </c>
      <c r="BM73" s="52" t="str">
        <f>IF(Atletas!L69="","",IF(Atletas!W69&lt;&gt;"",10000,0)+(IF(Atletas!B69="Feminino",1000,IF(Atletas!B69="Masculino",2000,""))+(IF(Atletas!L69="Chaquan D",140,IF(Atletas!L69="Emeiquan D",141,IF(Atletas!L69="Fanziquan D",142,IF(Atletas!L69="Huaquan D",143,IF(Atletas!L69="Hongquan D",144,IF(Atletas!L69="Paochui D",145,IF(Atletas!L69="Piguaquan D",146,IF(Atletas!L69="Shaolinquan D",147,IF(Atletas!L69="Tanglangquan D",148,IF(Atletas!L69="Yinzhaophai D",149,IF(Atletas!L69="Tongbeiquan D",150,IF(Atletas!L69="Wudangquan D",151,IF(Atletas!L69="Outros Estilos D",152,IF(Atletas!L69="Chaquan E",153,IF(Atletas!L69="Emeiquan E",154,IF(Atletas!L69="Fanziquan E",155,IF(Atletas!L69="Huaquan E",156,IF(Atletas!L69="Hongquan E",157,IF(Atletas!L69="Paochui E",158,IF(Atletas!L69="Piguaquan E",159,IF(Atletas!L69="Shaolinquan E",160,IF(Atletas!L69="Tanglangquan E",161,IF(Atletas!L69="Yinzhaophai E",162,IF(Atletas!L69="Tongbeiquan E",163,IF(Atletas!L69="Wudangquan E",164,IF(Atletas!L69="Outros Estilos E",165,IF(Atletas!L69="Chaquan F",166,IF(Atletas!L69="Emeiquan F",167,IF(Atletas!L69="Fanziquan F",168,IF(Atletas!L69="Huaquan F",169,IF(Atletas!L69="Hongquan F",170,IF(Atletas!L69="Paochui F",171,IF(Atletas!L69="Piguaquan F",172,IF(Atletas!L69="Shaolinquan F",173,IF(Atletas!L69="Tanglangquan F",174,IF(Atletas!L69="Yinzhaophai F",175,IF(Atletas!L69="Tongbeiquan F",176,IF(Atletas!L69="Wudangquan F",177,IF(Atletas!L69="Outros Estilos F",178,0))))))))))))))))))))))))))))))))))))))))))</f>
        <v/>
      </c>
      <c r="BN73" s="52" t="str">
        <f>IF(Atletas!M69="","",IF(Atletas!W69&lt;&gt;"",10000,0)+(IF(Atletas!B69="Feminino",1000,IF(Atletas!B69="Masculino",2000,""))+(IF(Atletas!M69="Ditangquan A",201,IF(Atletas!M69="Houquan A",202,IF(Atletas!M69="Zuiquan A",203,IF(Atletas!M69="Ditangquan B",204,IF(Atletas!M69="Houquan B",205,IF(Atletas!M69="Zuiquan B",206,IF(Atletas!M69="Ditangquan C",207,IF(Atletas!M69="Houquan C",208,IF(Atletas!M69="Zuiquan C",209,IF(Atletas!M69="Ditangquan D",210,IF(Atletas!M69="Houquan D",211,IF(Atletas!M69="Zuiquan D",212,IF(Atletas!M69="Ditangquan E",213,IF(Atletas!M69="Houquan E",214,IF(Atletas!M69="Zuiquan E",215,IF(Atletas!M69="Ditangquan F",216,IF(Atletas!M69="Houquan F",217,IF(Atletas!M69="Zuiquan F",218,"")))))))))))))))))))))</f>
        <v/>
      </c>
      <c r="BO73" s="52" t="str">
        <f>IF(Atletas!N69="","",IF(Atletas!W69&lt;&gt;"",10000,0)+IF(Atletas!B69="Feminino",1000,IF(Atletas!B69="Masculino",2000,""))+IF(Atletas!N69="Yang A",301,IF(Atletas!N69="Chen A",30,IF(Atletas!N69="Sun A",303,IF(Atletas!N69="Wu A",304,IF(Atletas!N69="Wu-Hao A",305,IF(Atletas!N69="Outro Taijiquan A",306,IF(Atletas!N69="Yang B",307,IF(Atletas!N69="Chen B",308,IF(Atletas!N69="Sun B",309,IF(Atletas!N69="Wu B",310,IF(Atletas!N69="Wu-Hao B",311,IF(Atletas!N69="Outro Taijiquan B",312,IF(Atletas!N69="Yang C",313,IF(Atletas!N69="Chen C",314,IF(Atletas!N69="Sun C",315,IF(Atletas!N69="Wu C",316,IF(Atletas!N69="Wu-Hao C",317,IF(Atletas!N69="Outro Taijiquan C",318,IF(Atletas!N69="Yang D",319,IF(Atletas!N69="Chen D",320,IF(Atletas!N69="Sun D",321,IF(Atletas!N69="Wu D",322,IF(Atletas!N69="Wu-Hao D",323,IF(Atletas!N69="Outro Taijiquan D",324,IF(Atletas!N69="Yang E",325,IF(Atletas!N69="Chen E",326,IF(Atletas!N69="Sun E",327,IF(Atletas!N69="Wu E",328,IF(Atletas!N69="Wu-Hao E",329,IF(Atletas!N69="Outro Taijiquan E",330,IF(Atletas!N69="Yang F",331,IF(Atletas!N69="Chen F",332,IF(Atletas!N69="Sun F",333,IF(Atletas!N69="Wu F",334,IF(Atletas!N69="Wu-Hao F",335,IF(Atletas!N69="Outro Taijiquan F",336,"")))))))))))))))))))))))))))))))))))))</f>
        <v/>
      </c>
      <c r="BP73" s="52" t="str">
        <f>IF(Atletas!O69="","",IF(Atletas!W69&lt;&gt;"",10000,0)+IF(Atletas!B69="Feminino",1000,IF(Atletas!B69="Masculino",2000,""))+IF(OR(Atletas!O69="Yang 26 A",Atletas!O69="Yang 40 A"),401,IF(OR(Atletas!O69="Chen 25 A",Atletas!O69="Chen 36 A",Atletas!O69="Chen 56 A"),402,IF(Atletas!O69="Sun 73 A",403,IF(Atletas!O69="Wu 45 A",404,IF(Atletas!O69="Wu-Hao 46 A",405,IF(OR(Atletas!O69="Taijiquan 16 A",Atletas!O69="Taijiquan 24 A",Atletas!O69="Taijiquan 32 A",Atletas!O69="Taijiquan 42 A"),406,IF(OR(Atletas!O69="Yang 26 B",Atletas!O69="Yang 40 B"),407,IF(OR(Atletas!O69="Chen 25 B",Atletas!O69="Chen 36 B",Atletas!O69="Chen 56 B"),408,IF(Atletas!O69="Sun 73 B",409,IF(Atletas!O69="Wu 45 B",410,IF(Atletas!O69="Wu-Hao 46 B",411,IF(OR(Atletas!O69="Taijiquan 16 B",Atletas!O69="Taijiquan 24 B",Atletas!O69="Taijiquan 32 B",Atletas!O69="Taijiquan 42 B"),412,IF(OR(Atletas!O69="Yang 26 C",Atletas!O69="Yang 40 C"),413,IF(OR(Atletas!O69="Chen 25 C",Atletas!O69="Chen 36 C",Atletas!O69="Chen 56 C"),414,IF(Atletas!O69="Sun 73 C",415,IF(Atletas!O69="Wu 45 C",416,IF(Atletas!O69="Wu-Hao 46 C",417,IF(OR(Atletas!O69="Taijiquan 16 C",Atletas!O69="Taijiquan 24 C",Atletas!O69="Taijiquan 32 C",Atletas!O69="Taijiquan 42 C"),418,0)))))))))))))))))))</f>
        <v/>
      </c>
      <c r="BQ73" s="52" t="str">
        <f>IF(Atletas!O69="","",IF(Atletas!W69&lt;&gt;"",10000,0)+IF(Atletas!B69="Feminino",1000,IF(Atletas!B69="Masculino",2000,""))+IF(OR(Atletas!O69="Yang 26 D",Atletas!O69="Yang 40 D"),419,IF(OR(Atletas!O69="Chen 25 D",Atletas!O69="Chen 36 D",Atletas!O69="Chen 56 D"),420,IF(Atletas!O69="Sun 73 D",421,IF(Atletas!O69="Wu 45 D",422,IF(Atletas!O69="Wu-Hao 46 D",423,IF(OR(Atletas!O69="Taijiquan 16 D",Atletas!O69="Taijiquan 24 D",Atletas!O69="Taijiquan 32 D",Atletas!O69="Taijiquan 42 D"),424,IF(OR(Atletas!O69="Yang 26 E",Atletas!O69="Yang 40 E"),425,IF(OR(Atletas!O69="Chen 25 E",Atletas!O69="Chen 36 E",Atletas!O69="Chen 56 E"),426,IF(Atletas!O69="Sun 73 E",427,IF(Atletas!O69="Wu 45 E",428,IF(Atletas!O69="Wu-Hao 46 E",429,IF(OR(Atletas!O69="Taijiquan 16 E",Atletas!O69="Taijiquan 24 E",Atletas!O69="Taijiquan 32 E",Atletas!O69="Taijiquan 42 E"),430,IF(OR(Atletas!O69="Yang 26 F",Atletas!O69="Yang 40 F"),431,IF(OR(Atletas!O69="Chen 25 F",Atletas!O69="Chen 36 F",Atletas!O69="Chen 56 F"),432,IF(Atletas!O69="Sun 73 F",433,IF(Atletas!O69="Wu 45 F",434,IF(Atletas!O69="Wu-Hao 46 F",435,IF(OR(Atletas!O69="Taijiquan 16 F",Atletas!O69="Taijiquan 24 F",Atletas!O69="Taijiquan 32 F",Atletas!O69="Taijiquan 42 F"),436,0)))))))))))))))))))</f>
        <v/>
      </c>
      <c r="BR73" s="52" t="str">
        <f>IF(Atletas!P69="","",IF(Atletas!W69&lt;&gt;"",10000,0)+IF(Atletas!B69="Feminino",1000,IF(Atletas!B69="Masculino",2000,""))+IF(Atletas!P69="Xingyiquan A",501,IF(Atletas!P69="Baguazhang A",502,IF(Atletas!P69="Outro Estilo Interno A",503,IF(Atletas!P69="Xingyiquan B",504,IF(Atletas!P69="Baguazhang B",505,IF(Atletas!P69="Outro Estilo Interno B",506,IF(Atletas!P69="Xingyiquan C",507,IF(Atletas!P69="Baguazhang C",508,IF(Atletas!P69="Outro Estilo Interno C",509,IF(Atletas!P69="Xingyiquan D",510,IF(Atletas!P69="Baguazhang D",511,IF(Atletas!P69="Outro Estilo Interno D",512,IF(Atletas!P69="Xingyiquan E",513,IF(Atletas!P69="Baguazhang E",514,IF(Atletas!P69="Outro Estilo Interno E",515,IF(Atletas!P69="Xingyiquan F",516,IF(Atletas!P69="Baguazhang F",517,IF(Atletas!P69="Outro Estilo Interno F",518, "")))))))))))))))))))</f>
        <v/>
      </c>
      <c r="BS73" s="52" t="str">
        <f>IF(Atletas!Q69="","",IF(Atletas!W69&lt;&gt;"",10000,0)+IF(Atletas!B69="Feminino",1000,IF(Atletas!B69="Masculino",2000,""))+IF(Atletas!Q69="Dao A",601,IF(Atletas!Q69="Jian A",602,IF(Atletas!Q69="Bishou A",603,IF(Atletas!Q69="Shan A",604,IF(Atletas!Q69="Outra Arma Curta A",605,IF(Atletas!Q69="Dao B",606,IF(Atletas!Q69="Jian B",607,IF(Atletas!Q69="Bishou B",608,IF(Atletas!Q69="Shan B",609,IF(Atletas!Q69="Outra Arma Curta B",610,IF(Atletas!Q69="Dao C",611,IF(Atletas!Q69="Jian C",612,IF(Atletas!Q69="Bishou C",613,IF(Atletas!Q69="Shan C",614,IF(Atletas!Q69="Outra Arma Curta C",615,IF(Atletas!Q69="Dao D",616,IF(Atletas!Q69="Jian D",617,IF(Atletas!Q69="Bishou D",618,IF(Atletas!Q69="Shan D",619,IF(Atletas!Q69="Outra Arma Curta D",620,IF(Atletas!Q69="Dao E",621,IF(Atletas!Q69="Jian E",622,IF(Atletas!Q69="Bishou E",623,IF(Atletas!Q69="Shan E",624,IF(Atletas!Q69="Outra Arma Curta E",625,IF(Atletas!Q69="Dao F",626,IF(Atletas!Q69="Jian F",627,IF(Atletas!Q69="Bishou F",628,IF(Atletas!Q69="Shan F",629,IF(Atletas!Q69="Outra Arma Curta F",630, "")))))))))))))))))))))))))))))))</f>
        <v/>
      </c>
      <c r="BT73" s="52" t="str">
        <f>IF(Atletas!R69="","",IF(Atletas!W69&lt;&gt;"",10000,0)+IF(Atletas!B69="Feminino",1000,IF(Atletas!B69="Masculino",2000,""))+IF(Atletas!R69="Gun A",701,IF(Atletas!R69="Qiang A",702,IF(Atletas!R69="Pudao / Guandao A",703,IF(Atletas!R69="Outra Arma Longa A",704,IF(Atletas!R69="Gun B",705,IF(Atletas!R69="Qiang B",706,IF(Atletas!R69="Pudao / Guandao B",707,IF(Atletas!R69="Outra Arma Longa B",708,IF(Atletas!R69="Gun C",709,IF(Atletas!R69="Qiang C",710,IF(Atletas!R69="Pudao / Guandao C",711,IF(Atletas!R69="Outra Arma Longa C",712,IF(Atletas!R69="Gun D",713,IF(Atletas!R69="Qiang D",714,IF(Atletas!R69="Pudao / Guandao D",715,IF(Atletas!R69="Outra Arma Longa D",716,IF(Atletas!R69="Gun E",717,IF(Atletas!R69="Qiang E",718,IF(Atletas!R69="Pudao / Guandao E",719,IF(Atletas!R69="Outra Arma Longa E",720,IF(Atletas!R69="Gun F",721,IF(Atletas!R69="Qiang F",722,IF(Atletas!R69="Pudao / Guandao F",723,IF(Atletas!R69="Outra Arma Longa F",724,"")))))))))))))))))))))))))</f>
        <v/>
      </c>
      <c r="BU73" s="52" t="str">
        <f>IF(Atletas!S69="","",IF(Atletas!W69&lt;&gt;"",10000,0)+IF(Atletas!B69="Feminino",1000,IF(Atletas!B69="Masculino",2000,""))+IF(Atletas!S69="Arma Dupla A",801,IF(Atletas!S69="Arma Maleável A",802,IF(Atletas!S69="Arma Dupla B",803,IF(Atletas!S69="Arma Maleável B",804,IF(Atletas!S69="Arma Dupla C",805,IF(Atletas!S69="Arma Maleável C",806,IF(Atletas!S69="Arma Dupla D",807,IF(Atletas!S69="Arma Maleável D",808,IF(Atletas!S69="Arma Dupla E",809,IF(Atletas!S69="Arma Maleável E",810,IF(Atletas!S69="Arma Dupla F",811,IF(Atletas!S69="Arma Maleável F",812, "")))))))))))))</f>
        <v/>
      </c>
      <c r="BV73" s="52" t="str">
        <f>IF(Atletas!T69="","",IF(Atletas!W69&lt;&gt;"",10000,0)+IF(Atletas!B69="Feminino",1000,IF(Atletas!B69="Masculino",2000,""))+IF(Atletas!T69="Taijijian Yang A",901,IF(Atletas!T69="Taijijian Chen A",902,IF(Atletas!T69="Taijijian Sun A",903,IF(Atletas!T69="Taijijian Wu A",904,IF(Atletas!T69="Taijijian Wu-Hao A",905,IF(Atletas!T69="Taijijian 32 A",906,IF(Atletas!T69="Taijijian 42 A",907,IF(Atletas!T69="Taijijian Yang B",908,IF(Atletas!T69="Taijijian Chen B",909,IF(Atletas!T69="Taijijian Sun B",910,IF(Atletas!T69="Taijijian Wu B",911,IF(Atletas!T69="Taijijian Wu-Hao B",912,IF(Atletas!T69="Taijijian 32 B",913,IF(Atletas!T69="Taijijian 42 B",914,IF(Atletas!T69="Taijijian Yang C",915,IF(Atletas!T69="Taijijian Chen C",916,IF(Atletas!T69="Taijijian Sun C",917,IF(Atletas!T69="Taijijian Wu C",918,IF(Atletas!T69="Taijijian Wu-Hao C",919,IF(Atletas!T69="Taijijian 32 C",920,IF(Atletas!T69="Taijijian 42 C",921,IF(Atletas!T69="Taijijian Yang D",922,IF(Atletas!T69="Taijijian Chen D",923,IF(Atletas!T69="Taijijian Sun D",924,IF(Atletas!T69="Taijijian Wu D",925,IF(Atletas!T69="Taijijian Wu-Hao D",926,IF(Atletas!T69="Taijijian 32 D",927,IF(Atletas!T69="Taijijian 42 D",928,IF(Atletas!T69="Taijijian Yang E",929,IF(Atletas!T69="Taijijian Chen E",930,IF(Atletas!T69="Taijijian Sun E",931,IF(Atletas!T69="Taijijian Wu E",932,IF(Atletas!T69="Taijijian Wu-Hao E",933,IF(Atletas!T69="Taijijian 32 E",934,IF(Atletas!T69="Taijijian 42 E",935,IF(Atletas!T69="Taijijian Yang F",936,IF(Atletas!T69="Taijijian Chen F",937,IF(Atletas!T69="Taijijian Sun F",938,IF(Atletas!T69="Taijijian Wu F",939,IF(Atletas!T69="Taijijian Wu-Hao F",940,IF(Atletas!T69="Taijijian 32 F",941,IF(Atletas!T69="Taijijian 42 F",942,"")))))))))))))))))))))))))))))))))))))))))))</f>
        <v/>
      </c>
      <c r="BW73" s="52" t="str">
        <f>IF(Atletas!U69="","",IF(Atletas!W69&lt;&gt;"",10000,0)+IF(Atletas!B69="Feminino",1000,IF(Atletas!B69="Masculino",2000,""))+IF(Atletas!T69="Taijijian 42 F",942,IF(Atletas!U69="Taijidao A",943,IF(Atletas!U69="Taijishan A",944,IF(Atletas!U69="Taijiqiang A",945,IF(Atletas!U69="Taijidao B",946,IF(Atletas!U69="Taijishan B",947,IF(Atletas!U69="Taijiqiang B",948,IF(Atletas!U69="Taijidao C",949,IF(Atletas!U69="Taijishan C",950,IF(Atletas!U69="Taijiqiang C",951,IF(Atletas!U69="Taijidao D",952,IF(Atletas!U69="Taijishan D",953,IF(Atletas!U69="Taijiqiang D",954,IF(Atletas!U69="Taijidao E",955,IF(Atletas!U69="Taijishan E",956,IF(Atletas!U69="Taijiqiang E",957,IF(Atletas!U69="Taijidao F",958,IF(Atletas!U69="Taijishan F",959,IF(Atletas!U69="Taijiqiang F",960))))))))))))))))))))</f>
        <v/>
      </c>
      <c r="BX73" s="64" t="str">
        <f>IF(BY73&lt;&gt;"","Tongbeiquan C","")</f>
        <v/>
      </c>
      <c r="BY73" s="64" t="str">
        <f>IF(COUNTIF(BK:BW,1137)&gt;0,COUNTIF(BK:BW,1137),"")</f>
        <v/>
      </c>
      <c r="BZ73" s="64" t="str">
        <f>IF(CA73&lt;&gt;"","Tongbeiquan C","")</f>
        <v/>
      </c>
      <c r="CA73" s="64" t="str">
        <f>IF(COUNTIF(BK:BW,2137)&gt;0,COUNTIF(BK:BW,2137),"")</f>
        <v/>
      </c>
      <c r="CB73" s="64" t="str">
        <f>IF(CC73&lt;&gt;"","Tongbeiquan C","")</f>
        <v/>
      </c>
      <c r="CC73" s="64" t="str">
        <f>IF(COUNTIF(BK:BW,11137)&gt;0,COUNTIF(BK:BW,11137),"")</f>
        <v/>
      </c>
      <c r="CD73" s="64" t="str">
        <f>IF(CE73&lt;&gt;"","Tongbeiquan C","")</f>
        <v/>
      </c>
      <c r="CE73" s="64" t="str">
        <f>IF(COUNTIF(BK:BW,12137)&gt;0,COUNTIF(BK:BW,12137),"")</f>
        <v/>
      </c>
      <c r="CF73" s="52" t="str">
        <f xml:space="preserve"> IF(Atletas!V69="","",IF(Atletas!V69="Duilian de Mãos AB - Equipe 1",1,IF(Atletas!V69="Duilian de Mãos AB - Equipe 2",2,IF(Atletas!V69="Duilian de Armas AB - Equipe 1",3,IF(Atletas!V69="Duilian de Armas AB - Equipe 2",4,IF(Atletas!V69="Duilian de Tuishou - Equipe 1",5,IF(Atletas!V69="Duilian de Tuishou - Equipe 2",6,IF(Atletas!V69="Grupo Externo AB - Equipe 1",7,IF(Atletas!V69="Grupo Externo AB - Equipe 2",8,IF(Atletas!V69="Grupo Interno AB - Equipe 1",9,IF(Atletas!V69="Grupo Interno AB - Equipe 2",10,IF(Atletas!V69="Duilian de Mãos CD - Equipe 1",11,IF(Atletas!V69="Duilian de Mãos CD - Equipe 2",12,IF(Atletas!V69="Duilian de Armas CD - Equipe 1",13,IF(Atletas!V69="Duilian de Armas CD - Equipe 2",14,IF(Atletas!V69="Duilian de Tuishou - Equipe 1",15,IF(Atletas!V69="Duilian de Tuishou - Equipe 2",16,IF(Atletas!V69="Grupo Externo CDEF - Equipe 1",17,IF(Atletas!V69="Grupo Externo CDEF - Equipe 2",18,IF(Atletas!V69="Grupo Interno CDEF - Equipe 1",19,IF(Atletas!V69="Grupo Interno CDEF - Equipe 2",20,IF(Atletas!V69="Duilian de Mãos EF - Equipe 1",21,IF(Atletas!V69="Duilian de Mãos EF - Equipe 2",22,IF(Atletas!V69="Duilian de Armas EF - Equipe 1",23,IF(Atletas!V69="Duilian de Armas EF - Equipe 2",24,IF(Atletas!V69="Duilian de Tuishou - Equipe 1",25,IF(Atletas!V69="Duilian de Tuishou - Equipe 2",26,"")))))))))))))))))))))))))))</f>
        <v/>
      </c>
    </row>
    <row r="74" spans="2:96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31"/>
      <c r="U74" s="4"/>
      <c r="V74" s="4" t="str">
        <f t="array" ref="V74">IFERROR(INDEX(BX$7:BX$336,SMALL(IF(BX$7:BX$336&lt;&gt;"",ROW(BX$7:BX$336)-ROW(BX$7)+1),ROWS(BX$7:BX73))),"")</f>
        <v/>
      </c>
      <c r="W74" s="4" t="str">
        <f t="array" ref="W74">IFERROR(INDEX(BY$7:BY$336,SMALL(IF(BY$7:BY$336&lt;&gt;"",ROW(BY$7:BY$336)-ROW(BY$7)+1),ROWS(BY$7:BY73))),"")</f>
        <v/>
      </c>
      <c r="X74" s="4" t="str">
        <f t="array" ref="X74">IFERROR(INDEX(BZ$7:BZ$336,SMALL(IF(BZ$7:BZ$336&lt;&gt;"",ROW(BZ$7:BZ$336)-ROW(BZ$7)+1),ROWS(BZ$7:BZ73))),"")</f>
        <v/>
      </c>
      <c r="Y74" s="4" t="str">
        <f t="array" ref="Y74">IFERROR(INDEX(CA$7:CA$336,SMALL(IF(CA$7:CA$336&lt;&gt;"",ROW(CA$7:CA$336)-ROW(CA$7)+1),ROWS(CA$7:CA73))),"")</f>
        <v/>
      </c>
      <c r="Z74" s="4" t="str">
        <f t="array" ref="Z74">IFERROR(INDEX(CB$7:CB$378,SMALL(IF(CB$7:CB$378&lt;&gt;"",ROW(CB$7:CB$378)-ROW(CB$7)+1),ROWS(CB$7:CB73))),"")</f>
        <v/>
      </c>
      <c r="AA74" s="4" t="str">
        <f t="array" ref="AA74">IFERROR(INDEX(CC$7:CC$378,SMALL(IF(CC$7:CC$378&lt;&gt;"",ROW(CC$7:CC$378)-ROW(CC$7)+1),ROWS(CC$7:CC73))),"")</f>
        <v/>
      </c>
      <c r="AB74" s="4" t="str">
        <f t="array" ref="AB74">IFERROR(INDEX(CD$7:CD$378,SMALL(IF(CD$7:CD$378&lt;&gt;"",ROW(CD$7:CD$378)-ROW(CD$7)+1),ROWS(CD$7:CD73))),"")</f>
        <v/>
      </c>
      <c r="AC74" s="4" t="str">
        <f t="array" ref="AC74">IFERROR(INDEX(CE$7:CE$378,SMALL(IF(CE$7:CE$378&lt;&gt;"",ROW(CE$7:CE$378)-ROW(CE$7)+1),ROWS(CE$7:CE73))),"")</f>
        <v/>
      </c>
      <c r="AD74" s="4"/>
      <c r="AE74" s="4"/>
      <c r="AF74" s="4"/>
      <c r="AG74" s="4"/>
      <c r="AH74" s="4"/>
      <c r="AI74" s="4"/>
      <c r="AJ74" s="46" t="str">
        <f>IF(Atletas!D70="","",IF(Atletas!B70="Feminino",100,IF(Atletas!B70="Masculino",200,""))+(IF(Atletas!D70="Infantil 39kg",1,IF(Atletas!D70="Infantil 42kg",2,IF(Atletas!D70="Infantil 45kg",3,IF(Atletas!D70="Infantil 48kg",4,IF(Atletas!D70="Infantil 52kg",5,IF(Atletas!D70="Infantil 56kg",6,IF(Atletas!D70="Infantil 60kg",7,IF(Atletas!D70="Juvenil 48kg",8,IF(Atletas!D70="Juvenil 52kg",9,IF(Atletas!D70="Juvenil 56kg",10,IF(Atletas!D70="Juvenil 60kg",11,IF(Atletas!D70="Juvenil 65kg",12,IF(Atletas!D70="Juvenil 70kg",13,IF(Atletas!D70="Juvenil 75kg",14,IF(Atletas!D70="Juvenil 80kg",15,IF(Atletas!D70="Adulto 48kg",16,IF(Atletas!D70="Adulto 52kg",17,IF(Atletas!D70="Adulto 56kg",18,IF(Atletas!D70="Adulto 60kg",19,IF(Atletas!D70="Adulto 65kg",20,IF(Atletas!D70="Adulto 70kg",21,IF(Atletas!D70="Adulto 75kg",22,IF(Atletas!D70="Adulto 80kg",23,IF(Atletas!D70="Adulto 85kg",24,IF(Atletas!D70="Adulto 90kg",25,IF(Atletas!D70="Adulto +90kg",26,""))))))))))))))))))))))))))))</f>
        <v/>
      </c>
      <c r="AO74" s="10" t="str">
        <f>IF(Atletas!E70="","",IF(Atletas!B70="Feminino",100,IF(Atletas!B70="Masculino",200,""))+(IF(Atletas!E70="Juvenil 44kg",1,IF(Atletas!E70="Juvenil 48kg",2,IF(Atletas!E70="Juvenil 52kg",3,IF(Atletas!E70="Juvenil 56kg",4,IF(Atletas!E70="Juvenil 60kg",5,IF(Atletas!E70="Juvenil 65kg",6,IF(Atletas!E70="Juvenil 70kg",7,IF(Atletas!E70="Juvenil 75kg",8,IF(Atletas!E70="Juvenil 82kg",9,IF(Atletas!E70="Juvenil 90kg",10,IF(Atletas!E70="Juvenil 100kg",11,IF(Atletas!E70="Adulto 48kg",12,IF(Atletas!E70="Adulto 52kg",13,IF(Atletas!E70="Adulto 56kg",14,IF(Atletas!E70="Adulto 60kg",15,IF(Atletas!E70="Adulto 65kg",16,IF(Atletas!E70="Adulto 70kg",17,IF(Atletas!E70="Adulto 75kg",18,IF(Atletas!E70="Adulto 82kg",19,IF(Atletas!E70="Adulto 90kg",20,IF(Atletas!E70="Adulto 100kg",21,IF(Atletas!E70="Adulto +100kg",22,""))))))))))))))))))))))))</f>
        <v/>
      </c>
      <c r="AT74" s="10" t="str">
        <f>IF(Atletas!F70="","",IF(Atletas!B70="Feminino",100,IF(Atletas!B70="Masculino",200,""))+(IF(Atletas!F70="Adulto 48kg",1,IF(Atletas!F70="Adulto 56kg",2,IF(Atletas!F70="Adulto 65kg",3,IF(Atletas!F70="Adulto 75kg",4,IF(Atletas!F70="Adulto +75kg",5,IF(Atletas!F70="Adulto 52kg",6,IF(Atletas!F70="Adulto 60kg",7,IF(Atletas!F70="Adulto 70kg",8,IF(Atletas!F70="Adulto 80kg",9,IF(Atletas!F70="Adulto 90kg",10,IF(Atletas!F70="Adulto +90kg",11,"")))))))))))))</f>
        <v/>
      </c>
      <c r="AY74" s="46" t="str">
        <f>IF(Atletas!G70="","",IF(Atletas!B70="Feminino",100,IF(Atletas!B70="Masculino",200,""))+(IF(Atletas!G70="Changquan Mirim",1,IF(Atletas!G70="Nanquan Mirim",2,IF(Atletas!G70="Taijiquan Mirim",3,IF(Atletas!G70="Changquan Grupo C",4,IF(Atletas!G70="Nanquan Grupo C",5,IF(Atletas!G70="Taijiquan Grupo C",6,IF(Atletas!G70="Changquan Grupo B",7,IF(Atletas!G70="Nanquan Grupo B",8,IF(Atletas!G70="Taijiquan Grupo B",9,IF(Atletas!G70="Changquan Grupo A",10,IF(Atletas!G70="Nanquan Grupo A",11,IF(Atletas!G70="Taijiquan Grupo A",12,IF(Atletas!G70="Changquan Opcional",13,IF(Atletas!G70="Nanquan Opcional",14,IF(Atletas!G70="Taijiquan Opcional",15,IF(Atletas!G70="Changquan Adulto",16,IF(Atletas!G70="Nanquan Adulto",17,IF(Atletas!G70="Taijiquan Adulto",18,""))))))))))))))))))))</f>
        <v/>
      </c>
      <c r="AZ74" s="46" t="str">
        <f>IF(Atletas!H70="","",IF(Atletas!B70="Feminino",100,IF(Atletas!B70="Masculino",200,""))+(IF(Atletas!H70="Daoshu Mirim",19,IF(Atletas!H70="Jianshu Mirim",20,IF(Atletas!H70="Nandao Mirim",21,IF(Atletas!H70="Taijijian Mirim",22,IF(Atletas!H70="Daoshu Grupo C",23,IF(Atletas!H70="Jianshu Grupo C",24,IF(Atletas!H70="Nandao Grupo C",25,IF(Atletas!H70="Taijijian Grupo C",26,IF(Atletas!H70="Daoshu Grupo B",27,IF(Atletas!H70="Jianshu Grupo B",28,IF(Atletas!H70="Nandao Grupo B",29,IF(Atletas!H70="Taijijian Grupo B",30,IF(Atletas!H70="Daoshu Grupo A",31,IF(Atletas!H70="Jianshu Grupo A",32,IF(Atletas!H70="Nandao Grupo A",33,IF(Atletas!H70="Taijijian Grupo A",34,IF(Atletas!H70="Daoshu Opcional",35,IF(Atletas!H70="Jianshu Opcional",36,IF(Atletas!H70="Nandao Opcional",37,IF(Atletas!H70="Taijijian Opcional",38,IF(Atletas!H70="Daoshu Adulto",39,IF(Atletas!H70="Jianshu Adulto",40,IF(Atletas!H70="Nandao Adulto",41,IF(Atletas!H70="Taijijian Adulto",42,""))))))))))))))))))))))))))</f>
        <v/>
      </c>
      <c r="BA74" s="46" t="str">
        <f>IF(Atletas!I70="","",IF(Atletas!B70="Feminino",100,IF(Atletas!B70="Masculino",200,""))+(IF(Atletas!I70="Gunshu Mirim",43,IF(Atletas!I70="Qiangshu Mirim",44,IF(Atletas!I70="Nangun Mirim",45,IF(Atletas!I70="Gunshu Grupo C",46,IF(Atletas!I70="Qiangshu Grupo C",47,IF(Atletas!I70="Nangun Grupo C",48,IF(Atletas!I70="Gunshu Grupo B",49,IF(Atletas!I70="Qiangshu Grupo B",50,IF(Atletas!I70="Nangun Grupo B",51,IF(Atletas!I70="Gunshu Grupo A",52,IF(Atletas!I70="Qiangshu Grupo A",53,IF(Atletas!I70="Nangun Grupo A",54,IF(Atletas!I70="Gunshu Opcional",55,IF(Atletas!I70="Qiangshu Opcional",56,IF(Atletas!I70="Nangun Opcional",57,IF(Atletas!I70="Gunshu Adulto",58,IF(Atletas!I70="Qiangshu Adulto",59,IF(Atletas!I70="Nangun Adulto",60,""))))))))))))))))))))</f>
        <v/>
      </c>
      <c r="BF74" s="52" t="str">
        <f>IF(Atletas!J70="","",IF(Atletas!B70="Feminino",100,IF(Atletas!B70="Masculino",200,""))+(IF(Atletas!J70="Equipe 1 Grupo B",1,IF(Atletas!J70="Equipe 2 Grupo B",2,IF(Atletas!J70="Equipe 1 Grupo A",3,IF(Atletas!J70="Equipe 2 Grupo A",4,IF(Atletas!J70="Equipe 1 Adulto",5,IF(Atletas!J70="Equipe 2 Adulto",6,""))))))))</f>
        <v/>
      </c>
      <c r="BK74" s="52" t="str">
        <f>IF(Atletas!K70="","",IF(Atletas!W70&lt;&gt;"",10000,0)+(IF(Atletas!B70="Feminino",1000,IF(Atletas!B70="Masculino",2000,""))+IF(Atletas!K70="Choylayfut A",1,IF(Atletas!K70="Hunggar A",2,IF(Atletas!K70="Wuzuquan A",3,IF(Atletas!K70="Wingchun A",4,IF(Atletas!K70="Outra Mão de Sul A",5,IF(Atletas!K70="Choylayfut B",6,IF(Atletas!K70="Hunggar B",7,IF(Atletas!K70="Wuzuquan B",8,IF(Atletas!K70="Wingchun B",9,IF(Atletas!K70="Outra Mão de Sul B",10,IF(Atletas!K70="Choylayfut C",11,IF(Atletas!K70="Hunggar C",12,IF(Atletas!K70="Wuzuquan C",13,IF(Atletas!K70="Wingchun C",14,IF(Atletas!K70="Outra Mão de Sul C",15,IF(Atletas!K70="Choylayfut D",16,IF(Atletas!K70="Hunggar D",17,IF(Atletas!K70="Wuzuquan D",18,IF(Atletas!K70="Wingchun D",19,IF(Atletas!K70="Outra Mão de Sul D",20,IF(Atletas!K70="Choylayfut E",21,IF(Atletas!K70="Hunggar E",22,IF(Atletas!K70="Wuzuquan E",23,IF(Atletas!K70="Wingchun E",24,IF(Atletas!K70="Outra Mão de Sul E",25,IF(Atletas!K70="Choylayfut F",26,IF(Atletas!K70="Hunggar F",27,IF(Atletas!K70="Wuzuquan F",28,IF(Atletas!K70="Wingchun F",29,IF(Atletas!K70="Outra Mão de Sul F",30,""))))))))))))))))))))))))))))))))</f>
        <v/>
      </c>
      <c r="BL74" s="52" t="str">
        <f>IF(Atletas!L70="","",IF(Atletas!W70&lt;&gt;"",10000,0)+(IF(Atletas!B70="Feminino",1000,IF(Atletas!B70="Masculino",2000,""))+(IF(Atletas!L70="Chaquan A",101,IF(Atletas!L70="Emeiquan A",102,IF(Atletas!L70="Fanziquan A",103,IF(Atletas!L70="Huaquan A",104,IF(Atletas!L70="Hongquan A",105,IF(Atletas!L70="Paochui A",106,IF(Atletas!L70="Piguaquan A",107,IF(Atletas!L70="Shaolinquan A",108,IF(Atletas!L70="Tanglangquan A",109,IF(Atletas!L70="Yinzhaophai A",110,IF(Atletas!L70="Tongbeiquan A",111,IF(Atletas!L70="Wudangquan A",112,IF(Atletas!L70="Outros Estilos A",113,IF(Atletas!L70="Chaquan B",114,IF(Atletas!L70="Emeiquan B",115,IF(Atletas!L70="Fanziquan B",116,IF(Atletas!L70="Huaquan B",117,IF(Atletas!L70="Hongquan B",118,IF(Atletas!L70="Paochui B",119,IF(Atletas!L70="Piguaquan B",120,IF(Atletas!L70="Shaolinquan B",121,IF(Atletas!L70="Tanglangquan B",122,IF(Atletas!L70="Yinzhaophai B",123,IF(Atletas!L70="Tongbeiquan B",124,IF(Atletas!L70="Wudangquan B",125,IF(Atletas!L70="Outros Estilos B",126,IF(Atletas!L70="Chaquan C",127,IF(Atletas!L70="Emeiquan C",128,IF(Atletas!L70="Fanziquan C",129,IF(Atletas!L70="Huaquan C",130,IF(Atletas!L70="Hongquan C",131,IF(Atletas!L70="Paochui C",132,IF(Atletas!L70="Piguaquan C",133,IF(Atletas!L70="Shaolinquan C",134,IF(Atletas!L70="Tanglangquan C",135,IF(Atletas!L70="Yinzhaophai C",136,IF(Atletas!L70="Tongbeiquan C",137,IF(Atletas!L70="Wudangquan C",138,IF(Atletas!L70="Outros Estilos C",139,0))))))))))))))))))))))))))))))))))))))))))</f>
        <v/>
      </c>
      <c r="BM74" s="52" t="str">
        <f>IF(Atletas!L70="","",IF(Atletas!W70&lt;&gt;"",10000,0)+(IF(Atletas!B70="Feminino",1000,IF(Atletas!B70="Masculino",2000,""))+(IF(Atletas!L70="Chaquan D",140,IF(Atletas!L70="Emeiquan D",141,IF(Atletas!L70="Fanziquan D",142,IF(Atletas!L70="Huaquan D",143,IF(Atletas!L70="Hongquan D",144,IF(Atletas!L70="Paochui D",145,IF(Atletas!L70="Piguaquan D",146,IF(Atletas!L70="Shaolinquan D",147,IF(Atletas!L70="Tanglangquan D",148,IF(Atletas!L70="Yinzhaophai D",149,IF(Atletas!L70="Tongbeiquan D",150,IF(Atletas!L70="Wudangquan D",151,IF(Atletas!L70="Outros Estilos D",152,IF(Atletas!L70="Chaquan E",153,IF(Atletas!L70="Emeiquan E",154,IF(Atletas!L70="Fanziquan E",155,IF(Atletas!L70="Huaquan E",156,IF(Atletas!L70="Hongquan E",157,IF(Atletas!L70="Paochui E",158,IF(Atletas!L70="Piguaquan E",159,IF(Atletas!L70="Shaolinquan E",160,IF(Atletas!L70="Tanglangquan E",161,IF(Atletas!L70="Yinzhaophai E",162,IF(Atletas!L70="Tongbeiquan E",163,IF(Atletas!L70="Wudangquan E",164,IF(Atletas!L70="Outros Estilos E",165,IF(Atletas!L70="Chaquan F",166,IF(Atletas!L70="Emeiquan F",167,IF(Atletas!L70="Fanziquan F",168,IF(Atletas!L70="Huaquan F",169,IF(Atletas!L70="Hongquan F",170,IF(Atletas!L70="Paochui F",171,IF(Atletas!L70="Piguaquan F",172,IF(Atletas!L70="Shaolinquan F",173,IF(Atletas!L70="Tanglangquan F",174,IF(Atletas!L70="Yinzhaophai F",175,IF(Atletas!L70="Tongbeiquan F",176,IF(Atletas!L70="Wudangquan F",177,IF(Atletas!L70="Outros Estilos F",178,0))))))))))))))))))))))))))))))))))))))))))</f>
        <v/>
      </c>
      <c r="BN74" s="52" t="str">
        <f>IF(Atletas!M70="","",IF(Atletas!W70&lt;&gt;"",10000,0)+(IF(Atletas!B70="Feminino",1000,IF(Atletas!B70="Masculino",2000,""))+(IF(Atletas!M70="Ditangquan A",201,IF(Atletas!M70="Houquan A",202,IF(Atletas!M70="Zuiquan A",203,IF(Atletas!M70="Ditangquan B",204,IF(Atletas!M70="Houquan B",205,IF(Atletas!M70="Zuiquan B",206,IF(Atletas!M70="Ditangquan C",207,IF(Atletas!M70="Houquan C",208,IF(Atletas!M70="Zuiquan C",209,IF(Atletas!M70="Ditangquan D",210,IF(Atletas!M70="Houquan D",211,IF(Atletas!M70="Zuiquan D",212,IF(Atletas!M70="Ditangquan E",213,IF(Atletas!M70="Houquan E",214,IF(Atletas!M70="Zuiquan E",215,IF(Atletas!M70="Ditangquan F",216,IF(Atletas!M70="Houquan F",217,IF(Atletas!M70="Zuiquan F",218,"")))))))))))))))))))))</f>
        <v/>
      </c>
      <c r="BO74" s="52" t="str">
        <f>IF(Atletas!N70="","",IF(Atletas!W70&lt;&gt;"",10000,0)+IF(Atletas!B70="Feminino",1000,IF(Atletas!B70="Masculino",2000,""))+IF(Atletas!N70="Yang A",301,IF(Atletas!N70="Chen A",30,IF(Atletas!N70="Sun A",303,IF(Atletas!N70="Wu A",304,IF(Atletas!N70="Wu-Hao A",305,IF(Atletas!N70="Outro Taijiquan A",306,IF(Atletas!N70="Yang B",307,IF(Atletas!N70="Chen B",308,IF(Atletas!N70="Sun B",309,IF(Atletas!N70="Wu B",310,IF(Atletas!N70="Wu-Hao B",311,IF(Atletas!N70="Outro Taijiquan B",312,IF(Atletas!N70="Yang C",313,IF(Atletas!N70="Chen C",314,IF(Atletas!N70="Sun C",315,IF(Atletas!N70="Wu C",316,IF(Atletas!N70="Wu-Hao C",317,IF(Atletas!N70="Outro Taijiquan C",318,IF(Atletas!N70="Yang D",319,IF(Atletas!N70="Chen D",320,IF(Atletas!N70="Sun D",321,IF(Atletas!N70="Wu D",322,IF(Atletas!N70="Wu-Hao D",323,IF(Atletas!N70="Outro Taijiquan D",324,IF(Atletas!N70="Yang E",325,IF(Atletas!N70="Chen E",326,IF(Atletas!N70="Sun E",327,IF(Atletas!N70="Wu E",328,IF(Atletas!N70="Wu-Hao E",329,IF(Atletas!N70="Outro Taijiquan E",330,IF(Atletas!N70="Yang F",331,IF(Atletas!N70="Chen F",332,IF(Atletas!N70="Sun F",333,IF(Atletas!N70="Wu F",334,IF(Atletas!N70="Wu-Hao F",335,IF(Atletas!N70="Outro Taijiquan F",336,"")))))))))))))))))))))))))))))))))))))</f>
        <v/>
      </c>
      <c r="BP74" s="52" t="str">
        <f>IF(Atletas!O70="","",IF(Atletas!W70&lt;&gt;"",10000,0)+IF(Atletas!B70="Feminino",1000,IF(Atletas!B70="Masculino",2000,""))+IF(OR(Atletas!O70="Yang 26 A",Atletas!O70="Yang 40 A"),401,IF(OR(Atletas!O70="Chen 25 A",Atletas!O70="Chen 36 A",Atletas!O70="Chen 56 A"),402,IF(Atletas!O70="Sun 73 A",403,IF(Atletas!O70="Wu 45 A",404,IF(Atletas!O70="Wu-Hao 46 A",405,IF(OR(Atletas!O70="Taijiquan 16 A",Atletas!O70="Taijiquan 24 A",Atletas!O70="Taijiquan 32 A",Atletas!O70="Taijiquan 42 A"),406,IF(OR(Atletas!O70="Yang 26 B",Atletas!O70="Yang 40 B"),407,IF(OR(Atletas!O70="Chen 25 B",Atletas!O70="Chen 36 B",Atletas!O70="Chen 56 B"),408,IF(Atletas!O70="Sun 73 B",409,IF(Atletas!O70="Wu 45 B",410,IF(Atletas!O70="Wu-Hao 46 B",411,IF(OR(Atletas!O70="Taijiquan 16 B",Atletas!O70="Taijiquan 24 B",Atletas!O70="Taijiquan 32 B",Atletas!O70="Taijiquan 42 B"),412,IF(OR(Atletas!O70="Yang 26 C",Atletas!O70="Yang 40 C"),413,IF(OR(Atletas!O70="Chen 25 C",Atletas!O70="Chen 36 C",Atletas!O70="Chen 56 C"),414,IF(Atletas!O70="Sun 73 C",415,IF(Atletas!O70="Wu 45 C",416,IF(Atletas!O70="Wu-Hao 46 C",417,IF(OR(Atletas!O70="Taijiquan 16 C",Atletas!O70="Taijiquan 24 C",Atletas!O70="Taijiquan 32 C",Atletas!O70="Taijiquan 42 C"),418,0)))))))))))))))))))</f>
        <v/>
      </c>
      <c r="BQ74" s="52" t="str">
        <f>IF(Atletas!O70="","",IF(Atletas!W70&lt;&gt;"",10000,0)+IF(Atletas!B70="Feminino",1000,IF(Atletas!B70="Masculino",2000,""))+IF(OR(Atletas!O70="Yang 26 D",Atletas!O70="Yang 40 D"),419,IF(OR(Atletas!O70="Chen 25 D",Atletas!O70="Chen 36 D",Atletas!O70="Chen 56 D"),420,IF(Atletas!O70="Sun 73 D",421,IF(Atletas!O70="Wu 45 D",422,IF(Atletas!O70="Wu-Hao 46 D",423,IF(OR(Atletas!O70="Taijiquan 16 D",Atletas!O70="Taijiquan 24 D",Atletas!O70="Taijiquan 32 D",Atletas!O70="Taijiquan 42 D"),424,IF(OR(Atletas!O70="Yang 26 E",Atletas!O70="Yang 40 E"),425,IF(OR(Atletas!O70="Chen 25 E",Atletas!O70="Chen 36 E",Atletas!O70="Chen 56 E"),426,IF(Atletas!O70="Sun 73 E",427,IF(Atletas!O70="Wu 45 E",428,IF(Atletas!O70="Wu-Hao 46 E",429,IF(OR(Atletas!O70="Taijiquan 16 E",Atletas!O70="Taijiquan 24 E",Atletas!O70="Taijiquan 32 E",Atletas!O70="Taijiquan 42 E"),430,IF(OR(Atletas!O70="Yang 26 F",Atletas!O70="Yang 40 F"),431,IF(OR(Atletas!O70="Chen 25 F",Atletas!O70="Chen 36 F",Atletas!O70="Chen 56 F"),432,IF(Atletas!O70="Sun 73 F",433,IF(Atletas!O70="Wu 45 F",434,IF(Atletas!O70="Wu-Hao 46 F",435,IF(OR(Atletas!O70="Taijiquan 16 F",Atletas!O70="Taijiquan 24 F",Atletas!O70="Taijiquan 32 F",Atletas!O70="Taijiquan 42 F"),436,0)))))))))))))))))))</f>
        <v/>
      </c>
      <c r="BR74" s="52" t="str">
        <f>IF(Atletas!P70="","",IF(Atletas!W70&lt;&gt;"",10000,0)+IF(Atletas!B70="Feminino",1000,IF(Atletas!B70="Masculino",2000,""))+IF(Atletas!P70="Xingyiquan A",501,IF(Atletas!P70="Baguazhang A",502,IF(Atletas!P70="Outro Estilo Interno A",503,IF(Atletas!P70="Xingyiquan B",504,IF(Atletas!P70="Baguazhang B",505,IF(Atletas!P70="Outro Estilo Interno B",506,IF(Atletas!P70="Xingyiquan C",507,IF(Atletas!P70="Baguazhang C",508,IF(Atletas!P70="Outro Estilo Interno C",509,IF(Atletas!P70="Xingyiquan D",510,IF(Atletas!P70="Baguazhang D",511,IF(Atletas!P70="Outro Estilo Interno D",512,IF(Atletas!P70="Xingyiquan E",513,IF(Atletas!P70="Baguazhang E",514,IF(Atletas!P70="Outro Estilo Interno E",515,IF(Atletas!P70="Xingyiquan F",516,IF(Atletas!P70="Baguazhang F",517,IF(Atletas!P70="Outro Estilo Interno F",518, "")))))))))))))))))))</f>
        <v/>
      </c>
      <c r="BS74" s="52" t="str">
        <f>IF(Atletas!Q70="","",IF(Atletas!W70&lt;&gt;"",10000,0)+IF(Atletas!B70="Feminino",1000,IF(Atletas!B70="Masculino",2000,""))+IF(Atletas!Q70="Dao A",601,IF(Atletas!Q70="Jian A",602,IF(Atletas!Q70="Bishou A",603,IF(Atletas!Q70="Shan A",604,IF(Atletas!Q70="Outra Arma Curta A",605,IF(Atletas!Q70="Dao B",606,IF(Atletas!Q70="Jian B",607,IF(Atletas!Q70="Bishou B",608,IF(Atletas!Q70="Shan B",609,IF(Atletas!Q70="Outra Arma Curta B",610,IF(Atletas!Q70="Dao C",611,IF(Atletas!Q70="Jian C",612,IF(Atletas!Q70="Bishou C",613,IF(Atletas!Q70="Shan C",614,IF(Atletas!Q70="Outra Arma Curta C",615,IF(Atletas!Q70="Dao D",616,IF(Atletas!Q70="Jian D",617,IF(Atletas!Q70="Bishou D",618,IF(Atletas!Q70="Shan D",619,IF(Atletas!Q70="Outra Arma Curta D",620,IF(Atletas!Q70="Dao E",621,IF(Atletas!Q70="Jian E",622,IF(Atletas!Q70="Bishou E",623,IF(Atletas!Q70="Shan E",624,IF(Atletas!Q70="Outra Arma Curta E",625,IF(Atletas!Q70="Dao F",626,IF(Atletas!Q70="Jian F",627,IF(Atletas!Q70="Bishou F",628,IF(Atletas!Q70="Shan F",629,IF(Atletas!Q70="Outra Arma Curta F",630, "")))))))))))))))))))))))))))))))</f>
        <v/>
      </c>
      <c r="BT74" s="52" t="str">
        <f>IF(Atletas!R70="","",IF(Atletas!W70&lt;&gt;"",10000,0)+IF(Atletas!B70="Feminino",1000,IF(Atletas!B70="Masculino",2000,""))+IF(Atletas!R70="Gun A",701,IF(Atletas!R70="Qiang A",702,IF(Atletas!R70="Pudao / Guandao A",703,IF(Atletas!R70="Outra Arma Longa A",704,IF(Atletas!R70="Gun B",705,IF(Atletas!R70="Qiang B",706,IF(Atletas!R70="Pudao / Guandao B",707,IF(Atletas!R70="Outra Arma Longa B",708,IF(Atletas!R70="Gun C",709,IF(Atletas!R70="Qiang C",710,IF(Atletas!R70="Pudao / Guandao C",711,IF(Atletas!R70="Outra Arma Longa C",712,IF(Atletas!R70="Gun D",713,IF(Atletas!R70="Qiang D",714,IF(Atletas!R70="Pudao / Guandao D",715,IF(Atletas!R70="Outra Arma Longa D",716,IF(Atletas!R70="Gun E",717,IF(Atletas!R70="Qiang E",718,IF(Atletas!R70="Pudao / Guandao E",719,IF(Atletas!R70="Outra Arma Longa E",720,IF(Atletas!R70="Gun F",721,IF(Atletas!R70="Qiang F",722,IF(Atletas!R70="Pudao / Guandao F",723,IF(Atletas!R70="Outra Arma Longa F",724,"")))))))))))))))))))))))))</f>
        <v/>
      </c>
      <c r="BU74" s="52" t="str">
        <f>IF(Atletas!S70="","",IF(Atletas!W70&lt;&gt;"",10000,0)+IF(Atletas!B70="Feminino",1000,IF(Atletas!B70="Masculino",2000,""))+IF(Atletas!S70="Arma Dupla A",801,IF(Atletas!S70="Arma Maleável A",802,IF(Atletas!S70="Arma Dupla B",803,IF(Atletas!S70="Arma Maleável B",804,IF(Atletas!S70="Arma Dupla C",805,IF(Atletas!S70="Arma Maleável C",806,IF(Atletas!S70="Arma Dupla D",807,IF(Atletas!S70="Arma Maleável D",808,IF(Atletas!S70="Arma Dupla E",809,IF(Atletas!S70="Arma Maleável E",810,IF(Atletas!S70="Arma Dupla F",811,IF(Atletas!S70="Arma Maleável F",812, "")))))))))))))</f>
        <v/>
      </c>
      <c r="BV74" s="52" t="str">
        <f>IF(Atletas!T70="","",IF(Atletas!W70&lt;&gt;"",10000,0)+IF(Atletas!B70="Feminino",1000,IF(Atletas!B70="Masculino",2000,""))+IF(Atletas!T70="Taijijian Yang A",901,IF(Atletas!T70="Taijijian Chen A",902,IF(Atletas!T70="Taijijian Sun A",903,IF(Atletas!T70="Taijijian Wu A",904,IF(Atletas!T70="Taijijian Wu-Hao A",905,IF(Atletas!T70="Taijijian 32 A",906,IF(Atletas!T70="Taijijian 42 A",907,IF(Atletas!T70="Taijijian Yang B",908,IF(Atletas!T70="Taijijian Chen B",909,IF(Atletas!T70="Taijijian Sun B",910,IF(Atletas!T70="Taijijian Wu B",911,IF(Atletas!T70="Taijijian Wu-Hao B",912,IF(Atletas!T70="Taijijian 32 B",913,IF(Atletas!T70="Taijijian 42 B",914,IF(Atletas!T70="Taijijian Yang C",915,IF(Atletas!T70="Taijijian Chen C",916,IF(Atletas!T70="Taijijian Sun C",917,IF(Atletas!T70="Taijijian Wu C",918,IF(Atletas!T70="Taijijian Wu-Hao C",919,IF(Atletas!T70="Taijijian 32 C",920,IF(Atletas!T70="Taijijian 42 C",921,IF(Atletas!T70="Taijijian Yang D",922,IF(Atletas!T70="Taijijian Chen D",923,IF(Atletas!T70="Taijijian Sun D",924,IF(Atletas!T70="Taijijian Wu D",925,IF(Atletas!T70="Taijijian Wu-Hao D",926,IF(Atletas!T70="Taijijian 32 D",927,IF(Atletas!T70="Taijijian 42 D",928,IF(Atletas!T70="Taijijian Yang E",929,IF(Atletas!T70="Taijijian Chen E",930,IF(Atletas!T70="Taijijian Sun E",931,IF(Atletas!T70="Taijijian Wu E",932,IF(Atletas!T70="Taijijian Wu-Hao E",933,IF(Atletas!T70="Taijijian 32 E",934,IF(Atletas!T70="Taijijian 42 E",935,IF(Atletas!T70="Taijijian Yang F",936,IF(Atletas!T70="Taijijian Chen F",937,IF(Atletas!T70="Taijijian Sun F",938,IF(Atletas!T70="Taijijian Wu F",939,IF(Atletas!T70="Taijijian Wu-Hao F",940,IF(Atletas!T70="Taijijian 32 F",941,IF(Atletas!T70="Taijijian 42 F",942,"")))))))))))))))))))))))))))))))))))))))))))</f>
        <v/>
      </c>
      <c r="BW74" s="52" t="str">
        <f>IF(Atletas!U70="","",IF(Atletas!W70&lt;&gt;"",10000,0)+IF(Atletas!B70="Feminino",1000,IF(Atletas!B70="Masculino",2000,""))+IF(Atletas!T70="Taijijian 42 F",942,IF(Atletas!U70="Taijidao A",943,IF(Atletas!U70="Taijishan A",944,IF(Atletas!U70="Taijiqiang A",945,IF(Atletas!U70="Taijidao B",946,IF(Atletas!U70="Taijishan B",947,IF(Atletas!U70="Taijiqiang B",948,IF(Atletas!U70="Taijidao C",949,IF(Atletas!U70="Taijishan C",950,IF(Atletas!U70="Taijiqiang C",951,IF(Atletas!U70="Taijidao D",952,IF(Atletas!U70="Taijishan D",953,IF(Atletas!U70="Taijiqiang D",954,IF(Atletas!U70="Taijidao E",955,IF(Atletas!U70="Taijishan E",956,IF(Atletas!U70="Taijiqiang E",957,IF(Atletas!U70="Taijidao F",958,IF(Atletas!U70="Taijishan F",959,IF(Atletas!U70="Taijiqiang F",960))))))))))))))))))))</f>
        <v/>
      </c>
      <c r="BX74" s="64" t="str">
        <f>IF(BY74&lt;&gt;"","Wudangquan C","")</f>
        <v/>
      </c>
      <c r="BY74" s="64" t="str">
        <f>IF(COUNTIF(BK:BW,1138)&gt;0,COUNTIF(BK:BW,1138),"")</f>
        <v/>
      </c>
      <c r="BZ74" s="64" t="str">
        <f>IF(CA74&lt;&gt;"","Wudangquan C","")</f>
        <v/>
      </c>
      <c r="CA74" s="64" t="str">
        <f>IF(COUNTIF(BK:BW,2138)&gt;0,COUNTIF(BK:BW,2138),"")</f>
        <v/>
      </c>
      <c r="CB74" s="64" t="str">
        <f>IF(CC74&lt;&gt;"","Wudangquan C","")</f>
        <v/>
      </c>
      <c r="CC74" s="64" t="str">
        <f>IF(COUNTIF(BK:BW,11138)&gt;0,COUNTIF(BK:BW,11138),"")</f>
        <v/>
      </c>
      <c r="CD74" s="64" t="str">
        <f>IF(CE74&lt;&gt;"","Wudangquan C","")</f>
        <v/>
      </c>
      <c r="CE74" s="64" t="str">
        <f>IF(COUNTIF(BK:BW,12138)&gt;0,COUNTIF(BK:BW,12138),"")</f>
        <v/>
      </c>
      <c r="CF74" s="52" t="str">
        <f xml:space="preserve"> IF(Atletas!V70="","",IF(Atletas!V70="Duilian de Mãos AB - Equipe 1",1,IF(Atletas!V70="Duilian de Mãos AB - Equipe 2",2,IF(Atletas!V70="Duilian de Armas AB - Equipe 1",3,IF(Atletas!V70="Duilian de Armas AB - Equipe 2",4,IF(Atletas!V70="Duilian de Tuishou - Equipe 1",5,IF(Atletas!V70="Duilian de Tuishou - Equipe 2",6,IF(Atletas!V70="Grupo Externo AB - Equipe 1",7,IF(Atletas!V70="Grupo Externo AB - Equipe 2",8,IF(Atletas!V70="Grupo Interno AB - Equipe 1",9,IF(Atletas!V70="Grupo Interno AB - Equipe 2",10,IF(Atletas!V70="Duilian de Mãos CD - Equipe 1",11,IF(Atletas!V70="Duilian de Mãos CD - Equipe 2",12,IF(Atletas!V70="Duilian de Armas CD - Equipe 1",13,IF(Atletas!V70="Duilian de Armas CD - Equipe 2",14,IF(Atletas!V70="Duilian de Tuishou - Equipe 1",15,IF(Atletas!V70="Duilian de Tuishou - Equipe 2",16,IF(Atletas!V70="Grupo Externo CDEF - Equipe 1",17,IF(Atletas!V70="Grupo Externo CDEF - Equipe 2",18,IF(Atletas!V70="Grupo Interno CDEF - Equipe 1",19,IF(Atletas!V70="Grupo Interno CDEF - Equipe 2",20,IF(Atletas!V70="Duilian de Mãos EF - Equipe 1",21,IF(Atletas!V70="Duilian de Mãos EF - Equipe 2",22,IF(Atletas!V70="Duilian de Armas EF - Equipe 1",23,IF(Atletas!V70="Duilian de Armas EF - Equipe 2",24,IF(Atletas!V70="Duilian de Tuishou - Equipe 1",25,IF(Atletas!V70="Duilian de Tuishou - Equipe 2",26,"")))))))))))))))))))))))))))</f>
        <v/>
      </c>
    </row>
    <row r="75" spans="2:96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31"/>
      <c r="U75" s="4"/>
      <c r="V75" s="4" t="str">
        <f t="array" ref="V75">IFERROR(INDEX(BX$7:BX$336,SMALL(IF(BX$7:BX$336&lt;&gt;"",ROW(BX$7:BX$336)-ROW(BX$7)+1),ROWS(BX$7:BX74))),"")</f>
        <v/>
      </c>
      <c r="W75" s="4" t="str">
        <f t="array" ref="W75">IFERROR(INDEX(BY$7:BY$336,SMALL(IF(BY$7:BY$336&lt;&gt;"",ROW(BY$7:BY$336)-ROW(BY$7)+1),ROWS(BY$7:BY74))),"")</f>
        <v/>
      </c>
      <c r="X75" s="4" t="str">
        <f t="array" ref="X75">IFERROR(INDEX(BZ$7:BZ$336,SMALL(IF(BZ$7:BZ$336&lt;&gt;"",ROW(BZ$7:BZ$336)-ROW(BZ$7)+1),ROWS(BZ$7:BZ74))),"")</f>
        <v/>
      </c>
      <c r="Y75" s="4" t="str">
        <f t="array" ref="Y75">IFERROR(INDEX(CA$7:CA$336,SMALL(IF(CA$7:CA$336&lt;&gt;"",ROW(CA$7:CA$336)-ROW(CA$7)+1),ROWS(CA$7:CA74))),"")</f>
        <v/>
      </c>
      <c r="Z75" s="4" t="str">
        <f t="array" ref="Z75">IFERROR(INDEX(CB$7:CB$378,SMALL(IF(CB$7:CB$378&lt;&gt;"",ROW(CB$7:CB$378)-ROW(CB$7)+1),ROWS(CB$7:CB74))),"")</f>
        <v/>
      </c>
      <c r="AA75" s="4" t="str">
        <f t="array" ref="AA75">IFERROR(INDEX(CC$7:CC$378,SMALL(IF(CC$7:CC$378&lt;&gt;"",ROW(CC$7:CC$378)-ROW(CC$7)+1),ROWS(CC$7:CC74))),"")</f>
        <v/>
      </c>
      <c r="AB75" s="4" t="str">
        <f t="array" ref="AB75">IFERROR(INDEX(CD$7:CD$378,SMALL(IF(CD$7:CD$378&lt;&gt;"",ROW(CD$7:CD$378)-ROW(CD$7)+1),ROWS(CD$7:CD74))),"")</f>
        <v/>
      </c>
      <c r="AC75" s="4" t="str">
        <f t="array" ref="AC75">IFERROR(INDEX(CE$7:CE$378,SMALL(IF(CE$7:CE$378&lt;&gt;"",ROW(CE$7:CE$378)-ROW(CE$7)+1),ROWS(CE$7:CE74))),"")</f>
        <v/>
      </c>
      <c r="AD75" s="4"/>
      <c r="AE75" s="4"/>
      <c r="AF75" s="4"/>
      <c r="AG75" s="4"/>
      <c r="AH75" s="4"/>
      <c r="AI75" s="4"/>
      <c r="AJ75" s="46" t="str">
        <f>IF(Atletas!D71="","",IF(Atletas!B71="Feminino",100,IF(Atletas!B71="Masculino",200,""))+(IF(Atletas!D71="Infantil 39kg",1,IF(Atletas!D71="Infantil 42kg",2,IF(Atletas!D71="Infantil 45kg",3,IF(Atletas!D71="Infantil 48kg",4,IF(Atletas!D71="Infantil 52kg",5,IF(Atletas!D71="Infantil 56kg",6,IF(Atletas!D71="Infantil 60kg",7,IF(Atletas!D71="Juvenil 48kg",8,IF(Atletas!D71="Juvenil 52kg",9,IF(Atletas!D71="Juvenil 56kg",10,IF(Atletas!D71="Juvenil 60kg",11,IF(Atletas!D71="Juvenil 65kg",12,IF(Atletas!D71="Juvenil 70kg",13,IF(Atletas!D71="Juvenil 75kg",14,IF(Atletas!D71="Juvenil 80kg",15,IF(Atletas!D71="Adulto 48kg",16,IF(Atletas!D71="Adulto 52kg",17,IF(Atletas!D71="Adulto 56kg",18,IF(Atletas!D71="Adulto 60kg",19,IF(Atletas!D71="Adulto 65kg",20,IF(Atletas!D71="Adulto 70kg",21,IF(Atletas!D71="Adulto 75kg",22,IF(Atletas!D71="Adulto 80kg",23,IF(Atletas!D71="Adulto 85kg",24,IF(Atletas!D71="Adulto 90kg",25,IF(Atletas!D71="Adulto +90kg",26,""))))))))))))))))))))))))))))</f>
        <v/>
      </c>
      <c r="AO75" s="10" t="str">
        <f>IF(Atletas!E71="","",IF(Atletas!B71="Feminino",100,IF(Atletas!B71="Masculino",200,""))+(IF(Atletas!E71="Juvenil 44kg",1,IF(Atletas!E71="Juvenil 48kg",2,IF(Atletas!E71="Juvenil 52kg",3,IF(Atletas!E71="Juvenil 56kg",4,IF(Atletas!E71="Juvenil 60kg",5,IF(Atletas!E71="Juvenil 65kg",6,IF(Atletas!E71="Juvenil 70kg",7,IF(Atletas!E71="Juvenil 75kg",8,IF(Atletas!E71="Juvenil 82kg",9,IF(Atletas!E71="Juvenil 90kg",10,IF(Atletas!E71="Juvenil 100kg",11,IF(Atletas!E71="Adulto 48kg",12,IF(Atletas!E71="Adulto 52kg",13,IF(Atletas!E71="Adulto 56kg",14,IF(Atletas!E71="Adulto 60kg",15,IF(Atletas!E71="Adulto 65kg",16,IF(Atletas!E71="Adulto 70kg",17,IF(Atletas!E71="Adulto 75kg",18,IF(Atletas!E71="Adulto 82kg",19,IF(Atletas!E71="Adulto 90kg",20,IF(Atletas!E71="Adulto 100kg",21,IF(Atletas!E71="Adulto +100kg",22,""))))))))))))))))))))))))</f>
        <v/>
      </c>
      <c r="AT75" s="10" t="str">
        <f>IF(Atletas!F71="","",IF(Atletas!B71="Feminino",100,IF(Atletas!B71="Masculino",200,""))+(IF(Atletas!F71="Adulto 48kg",1,IF(Atletas!F71="Adulto 56kg",2,IF(Atletas!F71="Adulto 65kg",3,IF(Atletas!F71="Adulto 75kg",4,IF(Atletas!F71="Adulto +75kg",5,IF(Atletas!F71="Adulto 52kg",6,IF(Atletas!F71="Adulto 60kg",7,IF(Atletas!F71="Adulto 70kg",8,IF(Atletas!F71="Adulto 80kg",9,IF(Atletas!F71="Adulto 90kg",10,IF(Atletas!F71="Adulto +90kg",11,"")))))))))))))</f>
        <v/>
      </c>
      <c r="AY75" s="46" t="str">
        <f>IF(Atletas!G71="","",IF(Atletas!B71="Feminino",100,IF(Atletas!B71="Masculino",200,""))+(IF(Atletas!G71="Changquan Mirim",1,IF(Atletas!G71="Nanquan Mirim",2,IF(Atletas!G71="Taijiquan Mirim",3,IF(Atletas!G71="Changquan Grupo C",4,IF(Atletas!G71="Nanquan Grupo C",5,IF(Atletas!G71="Taijiquan Grupo C",6,IF(Atletas!G71="Changquan Grupo B",7,IF(Atletas!G71="Nanquan Grupo B",8,IF(Atletas!G71="Taijiquan Grupo B",9,IF(Atletas!G71="Changquan Grupo A",10,IF(Atletas!G71="Nanquan Grupo A",11,IF(Atletas!G71="Taijiquan Grupo A",12,IF(Atletas!G71="Changquan Opcional",13,IF(Atletas!G71="Nanquan Opcional",14,IF(Atletas!G71="Taijiquan Opcional",15,IF(Atletas!G71="Changquan Adulto",16,IF(Atletas!G71="Nanquan Adulto",17,IF(Atletas!G71="Taijiquan Adulto",18,""))))))))))))))))))))</f>
        <v/>
      </c>
      <c r="AZ75" s="46" t="str">
        <f>IF(Atletas!H71="","",IF(Atletas!B71="Feminino",100,IF(Atletas!B71="Masculino",200,""))+(IF(Atletas!H71="Daoshu Mirim",19,IF(Atletas!H71="Jianshu Mirim",20,IF(Atletas!H71="Nandao Mirim",21,IF(Atletas!H71="Taijijian Mirim",22,IF(Atletas!H71="Daoshu Grupo C",23,IF(Atletas!H71="Jianshu Grupo C",24,IF(Atletas!H71="Nandao Grupo C",25,IF(Atletas!H71="Taijijian Grupo C",26,IF(Atletas!H71="Daoshu Grupo B",27,IF(Atletas!H71="Jianshu Grupo B",28,IF(Atletas!H71="Nandao Grupo B",29,IF(Atletas!H71="Taijijian Grupo B",30,IF(Atletas!H71="Daoshu Grupo A",31,IF(Atletas!H71="Jianshu Grupo A",32,IF(Atletas!H71="Nandao Grupo A",33,IF(Atletas!H71="Taijijian Grupo A",34,IF(Atletas!H71="Daoshu Opcional",35,IF(Atletas!H71="Jianshu Opcional",36,IF(Atletas!H71="Nandao Opcional",37,IF(Atletas!H71="Taijijian Opcional",38,IF(Atletas!H71="Daoshu Adulto",39,IF(Atletas!H71="Jianshu Adulto",40,IF(Atletas!H71="Nandao Adulto",41,IF(Atletas!H71="Taijijian Adulto",42,""))))))))))))))))))))))))))</f>
        <v/>
      </c>
      <c r="BA75" s="46" t="str">
        <f>IF(Atletas!I71="","",IF(Atletas!B71="Feminino",100,IF(Atletas!B71="Masculino",200,""))+(IF(Atletas!I71="Gunshu Mirim",43,IF(Atletas!I71="Qiangshu Mirim",44,IF(Atletas!I71="Nangun Mirim",45,IF(Atletas!I71="Gunshu Grupo C",46,IF(Atletas!I71="Qiangshu Grupo C",47,IF(Atletas!I71="Nangun Grupo C",48,IF(Atletas!I71="Gunshu Grupo B",49,IF(Atletas!I71="Qiangshu Grupo B",50,IF(Atletas!I71="Nangun Grupo B",51,IF(Atletas!I71="Gunshu Grupo A",52,IF(Atletas!I71="Qiangshu Grupo A",53,IF(Atletas!I71="Nangun Grupo A",54,IF(Atletas!I71="Gunshu Opcional",55,IF(Atletas!I71="Qiangshu Opcional",56,IF(Atletas!I71="Nangun Opcional",57,IF(Atletas!I71="Gunshu Adulto",58,IF(Atletas!I71="Qiangshu Adulto",59,IF(Atletas!I71="Nangun Adulto",60,""))))))))))))))))))))</f>
        <v/>
      </c>
      <c r="BF75" s="52" t="str">
        <f>IF(Atletas!J71="","",IF(Atletas!B71="Feminino",100,IF(Atletas!B71="Masculino",200,""))+(IF(Atletas!J71="Equipe 1 Grupo B",1,IF(Atletas!J71="Equipe 2 Grupo B",2,IF(Atletas!J71="Equipe 1 Grupo A",3,IF(Atletas!J71="Equipe 2 Grupo A",4,IF(Atletas!J71="Equipe 1 Adulto",5,IF(Atletas!J71="Equipe 2 Adulto",6,""))))))))</f>
        <v/>
      </c>
      <c r="BK75" s="52" t="str">
        <f>IF(Atletas!K71="","",IF(Atletas!W71&lt;&gt;"",10000,0)+(IF(Atletas!B71="Feminino",1000,IF(Atletas!B71="Masculino",2000,""))+IF(Atletas!K71="Choylayfut A",1,IF(Atletas!K71="Hunggar A",2,IF(Atletas!K71="Wuzuquan A",3,IF(Atletas!K71="Wingchun A",4,IF(Atletas!K71="Outra Mão de Sul A",5,IF(Atletas!K71="Choylayfut B",6,IF(Atletas!K71="Hunggar B",7,IF(Atletas!K71="Wuzuquan B",8,IF(Atletas!K71="Wingchun B",9,IF(Atletas!K71="Outra Mão de Sul B",10,IF(Atletas!K71="Choylayfut C",11,IF(Atletas!K71="Hunggar C",12,IF(Atletas!K71="Wuzuquan C",13,IF(Atletas!K71="Wingchun C",14,IF(Atletas!K71="Outra Mão de Sul C",15,IF(Atletas!K71="Choylayfut D",16,IF(Atletas!K71="Hunggar D",17,IF(Atletas!K71="Wuzuquan D",18,IF(Atletas!K71="Wingchun D",19,IF(Atletas!K71="Outra Mão de Sul D",20,IF(Atletas!K71="Choylayfut E",21,IF(Atletas!K71="Hunggar E",22,IF(Atletas!K71="Wuzuquan E",23,IF(Atletas!K71="Wingchun E",24,IF(Atletas!K71="Outra Mão de Sul E",25,IF(Atletas!K71="Choylayfut F",26,IF(Atletas!K71="Hunggar F",27,IF(Atletas!K71="Wuzuquan F",28,IF(Atletas!K71="Wingchun F",29,IF(Atletas!K71="Outra Mão de Sul F",30,""))))))))))))))))))))))))))))))))</f>
        <v/>
      </c>
      <c r="BL75" s="52" t="str">
        <f>IF(Atletas!L71="","",IF(Atletas!W71&lt;&gt;"",10000,0)+(IF(Atletas!B71="Feminino",1000,IF(Atletas!B71="Masculino",2000,""))+(IF(Atletas!L71="Chaquan A",101,IF(Atletas!L71="Emeiquan A",102,IF(Atletas!L71="Fanziquan A",103,IF(Atletas!L71="Huaquan A",104,IF(Atletas!L71="Hongquan A",105,IF(Atletas!L71="Paochui A",106,IF(Atletas!L71="Piguaquan A",107,IF(Atletas!L71="Shaolinquan A",108,IF(Atletas!L71="Tanglangquan A",109,IF(Atletas!L71="Yinzhaophai A",110,IF(Atletas!L71="Tongbeiquan A",111,IF(Atletas!L71="Wudangquan A",112,IF(Atletas!L71="Outros Estilos A",113,IF(Atletas!L71="Chaquan B",114,IF(Atletas!L71="Emeiquan B",115,IF(Atletas!L71="Fanziquan B",116,IF(Atletas!L71="Huaquan B",117,IF(Atletas!L71="Hongquan B",118,IF(Atletas!L71="Paochui B",119,IF(Atletas!L71="Piguaquan B",120,IF(Atletas!L71="Shaolinquan B",121,IF(Atletas!L71="Tanglangquan B",122,IF(Atletas!L71="Yinzhaophai B",123,IF(Atletas!L71="Tongbeiquan B",124,IF(Atletas!L71="Wudangquan B",125,IF(Atletas!L71="Outros Estilos B",126,IF(Atletas!L71="Chaquan C",127,IF(Atletas!L71="Emeiquan C",128,IF(Atletas!L71="Fanziquan C",129,IF(Atletas!L71="Huaquan C",130,IF(Atletas!L71="Hongquan C",131,IF(Atletas!L71="Paochui C",132,IF(Atletas!L71="Piguaquan C",133,IF(Atletas!L71="Shaolinquan C",134,IF(Atletas!L71="Tanglangquan C",135,IF(Atletas!L71="Yinzhaophai C",136,IF(Atletas!L71="Tongbeiquan C",137,IF(Atletas!L71="Wudangquan C",138,IF(Atletas!L71="Outros Estilos C",139,0))))))))))))))))))))))))))))))))))))))))))</f>
        <v/>
      </c>
      <c r="BM75" s="52" t="str">
        <f>IF(Atletas!L71="","",IF(Atletas!W71&lt;&gt;"",10000,0)+(IF(Atletas!B71="Feminino",1000,IF(Atletas!B71="Masculino",2000,""))+(IF(Atletas!L71="Chaquan D",140,IF(Atletas!L71="Emeiquan D",141,IF(Atletas!L71="Fanziquan D",142,IF(Atletas!L71="Huaquan D",143,IF(Atletas!L71="Hongquan D",144,IF(Atletas!L71="Paochui D",145,IF(Atletas!L71="Piguaquan D",146,IF(Atletas!L71="Shaolinquan D",147,IF(Atletas!L71="Tanglangquan D",148,IF(Atletas!L71="Yinzhaophai D",149,IF(Atletas!L71="Tongbeiquan D",150,IF(Atletas!L71="Wudangquan D",151,IF(Atletas!L71="Outros Estilos D",152,IF(Atletas!L71="Chaquan E",153,IF(Atletas!L71="Emeiquan E",154,IF(Atletas!L71="Fanziquan E",155,IF(Atletas!L71="Huaquan E",156,IF(Atletas!L71="Hongquan E",157,IF(Atletas!L71="Paochui E",158,IF(Atletas!L71="Piguaquan E",159,IF(Atletas!L71="Shaolinquan E",160,IF(Atletas!L71="Tanglangquan E",161,IF(Atletas!L71="Yinzhaophai E",162,IF(Atletas!L71="Tongbeiquan E",163,IF(Atletas!L71="Wudangquan E",164,IF(Atletas!L71="Outros Estilos E",165,IF(Atletas!L71="Chaquan F",166,IF(Atletas!L71="Emeiquan F",167,IF(Atletas!L71="Fanziquan F",168,IF(Atletas!L71="Huaquan F",169,IF(Atletas!L71="Hongquan F",170,IF(Atletas!L71="Paochui F",171,IF(Atletas!L71="Piguaquan F",172,IF(Atletas!L71="Shaolinquan F",173,IF(Atletas!L71="Tanglangquan F",174,IF(Atletas!L71="Yinzhaophai F",175,IF(Atletas!L71="Tongbeiquan F",176,IF(Atletas!L71="Wudangquan F",177,IF(Atletas!L71="Outros Estilos F",178,0))))))))))))))))))))))))))))))))))))))))))</f>
        <v/>
      </c>
      <c r="BN75" s="52" t="str">
        <f>IF(Atletas!M71="","",IF(Atletas!W71&lt;&gt;"",10000,0)+(IF(Atletas!B71="Feminino",1000,IF(Atletas!B71="Masculino",2000,""))+(IF(Atletas!M71="Ditangquan A",201,IF(Atletas!M71="Houquan A",202,IF(Atletas!M71="Zuiquan A",203,IF(Atletas!M71="Ditangquan B",204,IF(Atletas!M71="Houquan B",205,IF(Atletas!M71="Zuiquan B",206,IF(Atletas!M71="Ditangquan C",207,IF(Atletas!M71="Houquan C",208,IF(Atletas!M71="Zuiquan C",209,IF(Atletas!M71="Ditangquan D",210,IF(Atletas!M71="Houquan D",211,IF(Atletas!M71="Zuiquan D",212,IF(Atletas!M71="Ditangquan E",213,IF(Atletas!M71="Houquan E",214,IF(Atletas!M71="Zuiquan E",215,IF(Atletas!M71="Ditangquan F",216,IF(Atletas!M71="Houquan F",217,IF(Atletas!M71="Zuiquan F",218,"")))))))))))))))))))))</f>
        <v/>
      </c>
      <c r="BO75" s="52" t="str">
        <f>IF(Atletas!N71="","",IF(Atletas!W71&lt;&gt;"",10000,0)+IF(Atletas!B71="Feminino",1000,IF(Atletas!B71="Masculino",2000,""))+IF(Atletas!N71="Yang A",301,IF(Atletas!N71="Chen A",30,IF(Atletas!N71="Sun A",303,IF(Atletas!N71="Wu A",304,IF(Atletas!N71="Wu-Hao A",305,IF(Atletas!N71="Outro Taijiquan A",306,IF(Atletas!N71="Yang B",307,IF(Atletas!N71="Chen B",308,IF(Atletas!N71="Sun B",309,IF(Atletas!N71="Wu B",310,IF(Atletas!N71="Wu-Hao B",311,IF(Atletas!N71="Outro Taijiquan B",312,IF(Atletas!N71="Yang C",313,IF(Atletas!N71="Chen C",314,IF(Atletas!N71="Sun C",315,IF(Atletas!N71="Wu C",316,IF(Atletas!N71="Wu-Hao C",317,IF(Atletas!N71="Outro Taijiquan C",318,IF(Atletas!N71="Yang D",319,IF(Atletas!N71="Chen D",320,IF(Atletas!N71="Sun D",321,IF(Atletas!N71="Wu D",322,IF(Atletas!N71="Wu-Hao D",323,IF(Atletas!N71="Outro Taijiquan D",324,IF(Atletas!N71="Yang E",325,IF(Atletas!N71="Chen E",326,IF(Atletas!N71="Sun E",327,IF(Atletas!N71="Wu E",328,IF(Atletas!N71="Wu-Hao E",329,IF(Atletas!N71="Outro Taijiquan E",330,IF(Atletas!N71="Yang F",331,IF(Atletas!N71="Chen F",332,IF(Atletas!N71="Sun F",333,IF(Atletas!N71="Wu F",334,IF(Atletas!N71="Wu-Hao F",335,IF(Atletas!N71="Outro Taijiquan F",336,"")))))))))))))))))))))))))))))))))))))</f>
        <v/>
      </c>
      <c r="BP75" s="52" t="str">
        <f>IF(Atletas!O71="","",IF(Atletas!W71&lt;&gt;"",10000,0)+IF(Atletas!B71="Feminino",1000,IF(Atletas!B71="Masculino",2000,""))+IF(OR(Atletas!O71="Yang 26 A",Atletas!O71="Yang 40 A"),401,IF(OR(Atletas!O71="Chen 25 A",Atletas!O71="Chen 36 A",Atletas!O71="Chen 56 A"),402,IF(Atletas!O71="Sun 73 A",403,IF(Atletas!O71="Wu 45 A",404,IF(Atletas!O71="Wu-Hao 46 A",405,IF(OR(Atletas!O71="Taijiquan 16 A",Atletas!O71="Taijiquan 24 A",Atletas!O71="Taijiquan 32 A",Atletas!O71="Taijiquan 42 A"),406,IF(OR(Atletas!O71="Yang 26 B",Atletas!O71="Yang 40 B"),407,IF(OR(Atletas!O71="Chen 25 B",Atletas!O71="Chen 36 B",Atletas!O71="Chen 56 B"),408,IF(Atletas!O71="Sun 73 B",409,IF(Atletas!O71="Wu 45 B",410,IF(Atletas!O71="Wu-Hao 46 B",411,IF(OR(Atletas!O71="Taijiquan 16 B",Atletas!O71="Taijiquan 24 B",Atletas!O71="Taijiquan 32 B",Atletas!O71="Taijiquan 42 B"),412,IF(OR(Atletas!O71="Yang 26 C",Atletas!O71="Yang 40 C"),413,IF(OR(Atletas!O71="Chen 25 C",Atletas!O71="Chen 36 C",Atletas!O71="Chen 56 C"),414,IF(Atletas!O71="Sun 73 C",415,IF(Atletas!O71="Wu 45 C",416,IF(Atletas!O71="Wu-Hao 46 C",417,IF(OR(Atletas!O71="Taijiquan 16 C",Atletas!O71="Taijiquan 24 C",Atletas!O71="Taijiquan 32 C",Atletas!O71="Taijiquan 42 C"),418,0)))))))))))))))))))</f>
        <v/>
      </c>
      <c r="BQ75" s="52" t="str">
        <f>IF(Atletas!O71="","",IF(Atletas!W71&lt;&gt;"",10000,0)+IF(Atletas!B71="Feminino",1000,IF(Atletas!B71="Masculino",2000,""))+IF(OR(Atletas!O71="Yang 26 D",Atletas!O71="Yang 40 D"),419,IF(OR(Atletas!O71="Chen 25 D",Atletas!O71="Chen 36 D",Atletas!O71="Chen 56 D"),420,IF(Atletas!O71="Sun 73 D",421,IF(Atletas!O71="Wu 45 D",422,IF(Atletas!O71="Wu-Hao 46 D",423,IF(OR(Atletas!O71="Taijiquan 16 D",Atletas!O71="Taijiquan 24 D",Atletas!O71="Taijiquan 32 D",Atletas!O71="Taijiquan 42 D"),424,IF(OR(Atletas!O71="Yang 26 E",Atletas!O71="Yang 40 E"),425,IF(OR(Atletas!O71="Chen 25 E",Atletas!O71="Chen 36 E",Atletas!O71="Chen 56 E"),426,IF(Atletas!O71="Sun 73 E",427,IF(Atletas!O71="Wu 45 E",428,IF(Atletas!O71="Wu-Hao 46 E",429,IF(OR(Atletas!O71="Taijiquan 16 E",Atletas!O71="Taijiquan 24 E",Atletas!O71="Taijiquan 32 E",Atletas!O71="Taijiquan 42 E"),430,IF(OR(Atletas!O71="Yang 26 F",Atletas!O71="Yang 40 F"),431,IF(OR(Atletas!O71="Chen 25 F",Atletas!O71="Chen 36 F",Atletas!O71="Chen 56 F"),432,IF(Atletas!O71="Sun 73 F",433,IF(Atletas!O71="Wu 45 F",434,IF(Atletas!O71="Wu-Hao 46 F",435,IF(OR(Atletas!O71="Taijiquan 16 F",Atletas!O71="Taijiquan 24 F",Atletas!O71="Taijiquan 32 F",Atletas!O71="Taijiquan 42 F"),436,0)))))))))))))))))))</f>
        <v/>
      </c>
      <c r="BR75" s="52" t="str">
        <f>IF(Atletas!P71="","",IF(Atletas!W71&lt;&gt;"",10000,0)+IF(Atletas!B71="Feminino",1000,IF(Atletas!B71="Masculino",2000,""))+IF(Atletas!P71="Xingyiquan A",501,IF(Atletas!P71="Baguazhang A",502,IF(Atletas!P71="Outro Estilo Interno A",503,IF(Atletas!P71="Xingyiquan B",504,IF(Atletas!P71="Baguazhang B",505,IF(Atletas!P71="Outro Estilo Interno B",506,IF(Atletas!P71="Xingyiquan C",507,IF(Atletas!P71="Baguazhang C",508,IF(Atletas!P71="Outro Estilo Interno C",509,IF(Atletas!P71="Xingyiquan D",510,IF(Atletas!P71="Baguazhang D",511,IF(Atletas!P71="Outro Estilo Interno D",512,IF(Atletas!P71="Xingyiquan E",513,IF(Atletas!P71="Baguazhang E",514,IF(Atletas!P71="Outro Estilo Interno E",515,IF(Atletas!P71="Xingyiquan F",516,IF(Atletas!P71="Baguazhang F",517,IF(Atletas!P71="Outro Estilo Interno F",518, "")))))))))))))))))))</f>
        <v/>
      </c>
      <c r="BS75" s="52" t="str">
        <f>IF(Atletas!Q71="","",IF(Atletas!W71&lt;&gt;"",10000,0)+IF(Atletas!B71="Feminino",1000,IF(Atletas!B71="Masculino",2000,""))+IF(Atletas!Q71="Dao A",601,IF(Atletas!Q71="Jian A",602,IF(Atletas!Q71="Bishou A",603,IF(Atletas!Q71="Shan A",604,IF(Atletas!Q71="Outra Arma Curta A",605,IF(Atletas!Q71="Dao B",606,IF(Atletas!Q71="Jian B",607,IF(Atletas!Q71="Bishou B",608,IF(Atletas!Q71="Shan B",609,IF(Atletas!Q71="Outra Arma Curta B",610,IF(Atletas!Q71="Dao C",611,IF(Atletas!Q71="Jian C",612,IF(Atletas!Q71="Bishou C",613,IF(Atletas!Q71="Shan C",614,IF(Atletas!Q71="Outra Arma Curta C",615,IF(Atletas!Q71="Dao D",616,IF(Atletas!Q71="Jian D",617,IF(Atletas!Q71="Bishou D",618,IF(Atletas!Q71="Shan D",619,IF(Atletas!Q71="Outra Arma Curta D",620,IF(Atletas!Q71="Dao E",621,IF(Atletas!Q71="Jian E",622,IF(Atletas!Q71="Bishou E",623,IF(Atletas!Q71="Shan E",624,IF(Atletas!Q71="Outra Arma Curta E",625,IF(Atletas!Q71="Dao F",626,IF(Atletas!Q71="Jian F",627,IF(Atletas!Q71="Bishou F",628,IF(Atletas!Q71="Shan F",629,IF(Atletas!Q71="Outra Arma Curta F",630, "")))))))))))))))))))))))))))))))</f>
        <v/>
      </c>
      <c r="BT75" s="52" t="str">
        <f>IF(Atletas!R71="","",IF(Atletas!W71&lt;&gt;"",10000,0)+IF(Atletas!B71="Feminino",1000,IF(Atletas!B71="Masculino",2000,""))+IF(Atletas!R71="Gun A",701,IF(Atletas!R71="Qiang A",702,IF(Atletas!R71="Pudao / Guandao A",703,IF(Atletas!R71="Outra Arma Longa A",704,IF(Atletas!R71="Gun B",705,IF(Atletas!R71="Qiang B",706,IF(Atletas!R71="Pudao / Guandao B",707,IF(Atletas!R71="Outra Arma Longa B",708,IF(Atletas!R71="Gun C",709,IF(Atletas!R71="Qiang C",710,IF(Atletas!R71="Pudao / Guandao C",711,IF(Atletas!R71="Outra Arma Longa C",712,IF(Atletas!R71="Gun D",713,IF(Atletas!R71="Qiang D",714,IF(Atletas!R71="Pudao / Guandao D",715,IF(Atletas!R71="Outra Arma Longa D",716,IF(Atletas!R71="Gun E",717,IF(Atletas!R71="Qiang E",718,IF(Atletas!R71="Pudao / Guandao E",719,IF(Atletas!R71="Outra Arma Longa E",720,IF(Atletas!R71="Gun F",721,IF(Atletas!R71="Qiang F",722,IF(Atletas!R71="Pudao / Guandao F",723,IF(Atletas!R71="Outra Arma Longa F",724,"")))))))))))))))))))))))))</f>
        <v/>
      </c>
      <c r="BU75" s="52" t="str">
        <f>IF(Atletas!S71="","",IF(Atletas!W71&lt;&gt;"",10000,0)+IF(Atletas!B71="Feminino",1000,IF(Atletas!B71="Masculino",2000,""))+IF(Atletas!S71="Arma Dupla A",801,IF(Atletas!S71="Arma Maleável A",802,IF(Atletas!S71="Arma Dupla B",803,IF(Atletas!S71="Arma Maleável B",804,IF(Atletas!S71="Arma Dupla C",805,IF(Atletas!S71="Arma Maleável C",806,IF(Atletas!S71="Arma Dupla D",807,IF(Atletas!S71="Arma Maleável D",808,IF(Atletas!S71="Arma Dupla E",809,IF(Atletas!S71="Arma Maleável E",810,IF(Atletas!S71="Arma Dupla F",811,IF(Atletas!S71="Arma Maleável F",812, "")))))))))))))</f>
        <v/>
      </c>
      <c r="BV75" s="52" t="str">
        <f>IF(Atletas!T71="","",IF(Atletas!W71&lt;&gt;"",10000,0)+IF(Atletas!B71="Feminino",1000,IF(Atletas!B71="Masculino",2000,""))+IF(Atletas!T71="Taijijian Yang A",901,IF(Atletas!T71="Taijijian Chen A",902,IF(Atletas!T71="Taijijian Sun A",903,IF(Atletas!T71="Taijijian Wu A",904,IF(Atletas!T71="Taijijian Wu-Hao A",905,IF(Atletas!T71="Taijijian 32 A",906,IF(Atletas!T71="Taijijian 42 A",907,IF(Atletas!T71="Taijijian Yang B",908,IF(Atletas!T71="Taijijian Chen B",909,IF(Atletas!T71="Taijijian Sun B",910,IF(Atletas!T71="Taijijian Wu B",911,IF(Atletas!T71="Taijijian Wu-Hao B",912,IF(Atletas!T71="Taijijian 32 B",913,IF(Atletas!T71="Taijijian 42 B",914,IF(Atletas!T71="Taijijian Yang C",915,IF(Atletas!T71="Taijijian Chen C",916,IF(Atletas!T71="Taijijian Sun C",917,IF(Atletas!T71="Taijijian Wu C",918,IF(Atletas!T71="Taijijian Wu-Hao C",919,IF(Atletas!T71="Taijijian 32 C",920,IF(Atletas!T71="Taijijian 42 C",921,IF(Atletas!T71="Taijijian Yang D",922,IF(Atletas!T71="Taijijian Chen D",923,IF(Atletas!T71="Taijijian Sun D",924,IF(Atletas!T71="Taijijian Wu D",925,IF(Atletas!T71="Taijijian Wu-Hao D",926,IF(Atletas!T71="Taijijian 32 D",927,IF(Atletas!T71="Taijijian 42 D",928,IF(Atletas!T71="Taijijian Yang E",929,IF(Atletas!T71="Taijijian Chen E",930,IF(Atletas!T71="Taijijian Sun E",931,IF(Atletas!T71="Taijijian Wu E",932,IF(Atletas!T71="Taijijian Wu-Hao E",933,IF(Atletas!T71="Taijijian 32 E",934,IF(Atletas!T71="Taijijian 42 E",935,IF(Atletas!T71="Taijijian Yang F",936,IF(Atletas!T71="Taijijian Chen F",937,IF(Atletas!T71="Taijijian Sun F",938,IF(Atletas!T71="Taijijian Wu F",939,IF(Atletas!T71="Taijijian Wu-Hao F",940,IF(Atletas!T71="Taijijian 32 F",941,IF(Atletas!T71="Taijijian 42 F",942,"")))))))))))))))))))))))))))))))))))))))))))</f>
        <v/>
      </c>
      <c r="BW75" s="52" t="str">
        <f>IF(Atletas!U71="","",IF(Atletas!W71&lt;&gt;"",10000,0)+IF(Atletas!B71="Feminino",1000,IF(Atletas!B71="Masculino",2000,""))+IF(Atletas!T71="Taijijian 42 F",942,IF(Atletas!U71="Taijidao A",943,IF(Atletas!U71="Taijishan A",944,IF(Atletas!U71="Taijiqiang A",945,IF(Atletas!U71="Taijidao B",946,IF(Atletas!U71="Taijishan B",947,IF(Atletas!U71="Taijiqiang B",948,IF(Atletas!U71="Taijidao C",949,IF(Atletas!U71="Taijishan C",950,IF(Atletas!U71="Taijiqiang C",951,IF(Atletas!U71="Taijidao D",952,IF(Atletas!U71="Taijishan D",953,IF(Atletas!U71="Taijiqiang D",954,IF(Atletas!U71="Taijidao E",955,IF(Atletas!U71="Taijishan E",956,IF(Atletas!U71="Taijiqiang E",957,IF(Atletas!U71="Taijidao F",958,IF(Atletas!U71="Taijishan F",959,IF(Atletas!U71="Taijiqiang F",960))))))))))))))))))))</f>
        <v/>
      </c>
      <c r="BX75" s="64" t="str">
        <f>IF(BY75&lt;&gt;"","Outros Estilos C","")</f>
        <v/>
      </c>
      <c r="BY75" s="64" t="str">
        <f>IF(COUNTIF(BK:BW,1139)&gt;0,COUNTIF(BK:BW,1139),"")</f>
        <v/>
      </c>
      <c r="BZ75" s="64" t="str">
        <f>IF(CA75&lt;&gt;"","Outros Estilos C","")</f>
        <v/>
      </c>
      <c r="CA75" s="64" t="str">
        <f>IF(COUNTIF(BK:BW,2139)&gt;0,COUNTIF(BK:BW,2139),"")</f>
        <v/>
      </c>
      <c r="CB75" s="64" t="str">
        <f>IF(CC75&lt;&gt;"","Outros Estilos C","")</f>
        <v/>
      </c>
      <c r="CC75" s="64" t="str">
        <f>IF(COUNTIF(BK:BW,11139)&gt;0,COUNTIF(BK:BW,11139),"")</f>
        <v/>
      </c>
      <c r="CD75" s="64" t="str">
        <f>IF(CE75&lt;&gt;"","Outros Estilos C","")</f>
        <v/>
      </c>
      <c r="CE75" s="64" t="str">
        <f>IF(COUNTIF(BK:BW,12139)&gt;0,COUNTIF(BK:BW,12139),"")</f>
        <v/>
      </c>
      <c r="CF75" s="52" t="str">
        <f xml:space="preserve"> IF(Atletas!V71="","",IF(Atletas!V71="Duilian de Mãos AB - Equipe 1",1,IF(Atletas!V71="Duilian de Mãos AB - Equipe 2",2,IF(Atletas!V71="Duilian de Armas AB - Equipe 1",3,IF(Atletas!V71="Duilian de Armas AB - Equipe 2",4,IF(Atletas!V71="Duilian de Tuishou - Equipe 1",5,IF(Atletas!V71="Duilian de Tuishou - Equipe 2",6,IF(Atletas!V71="Grupo Externo AB - Equipe 1",7,IF(Atletas!V71="Grupo Externo AB - Equipe 2",8,IF(Atletas!V71="Grupo Interno AB - Equipe 1",9,IF(Atletas!V71="Grupo Interno AB - Equipe 2",10,IF(Atletas!V71="Duilian de Mãos CD - Equipe 1",11,IF(Atletas!V71="Duilian de Mãos CD - Equipe 2",12,IF(Atletas!V71="Duilian de Armas CD - Equipe 1",13,IF(Atletas!V71="Duilian de Armas CD - Equipe 2",14,IF(Atletas!V71="Duilian de Tuishou - Equipe 1",15,IF(Atletas!V71="Duilian de Tuishou - Equipe 2",16,IF(Atletas!V71="Grupo Externo CDEF - Equipe 1",17,IF(Atletas!V71="Grupo Externo CDEF - Equipe 2",18,IF(Atletas!V71="Grupo Interno CDEF - Equipe 1",19,IF(Atletas!V71="Grupo Interno CDEF - Equipe 2",20,IF(Atletas!V71="Duilian de Mãos EF - Equipe 1",21,IF(Atletas!V71="Duilian de Mãos EF - Equipe 2",22,IF(Atletas!V71="Duilian de Armas EF - Equipe 1",23,IF(Atletas!V71="Duilian de Armas EF - Equipe 2",24,IF(Atletas!V71="Duilian de Tuishou - Equipe 1",25,IF(Atletas!V71="Duilian de Tuishou - Equipe 2",26,"")))))))))))))))))))))))))))</f>
        <v/>
      </c>
    </row>
    <row r="76" spans="2:96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31"/>
      <c r="U76" s="4"/>
      <c r="V76" s="4" t="str">
        <f t="array" ref="V76">IFERROR(INDEX(BX$7:BX$336,SMALL(IF(BX$7:BX$336&lt;&gt;"",ROW(BX$7:BX$336)-ROW(BX$7)+1),ROWS(BX$7:BX75))),"")</f>
        <v/>
      </c>
      <c r="W76" s="4" t="str">
        <f t="array" ref="W76">IFERROR(INDEX(BY$7:BY$336,SMALL(IF(BY$7:BY$336&lt;&gt;"",ROW(BY$7:BY$336)-ROW(BY$7)+1),ROWS(BY$7:BY75))),"")</f>
        <v/>
      </c>
      <c r="X76" s="4" t="str">
        <f t="array" ref="X76">IFERROR(INDEX(BZ$7:BZ$336,SMALL(IF(BZ$7:BZ$336&lt;&gt;"",ROW(BZ$7:BZ$336)-ROW(BZ$7)+1),ROWS(BZ$7:BZ75))),"")</f>
        <v/>
      </c>
      <c r="Y76" s="4" t="str">
        <f t="array" ref="Y76">IFERROR(INDEX(CA$7:CA$336,SMALL(IF(CA$7:CA$336&lt;&gt;"",ROW(CA$7:CA$336)-ROW(CA$7)+1),ROWS(CA$7:CA75))),"")</f>
        <v/>
      </c>
      <c r="Z76" s="4" t="str">
        <f t="array" ref="Z76">IFERROR(INDEX(CB$7:CB$378,SMALL(IF(CB$7:CB$378&lt;&gt;"",ROW(CB$7:CB$378)-ROW(CB$7)+1),ROWS(CB$7:CB75))),"")</f>
        <v/>
      </c>
      <c r="AA76" s="4" t="str">
        <f t="array" ref="AA76">IFERROR(INDEX(CC$7:CC$378,SMALL(IF(CC$7:CC$378&lt;&gt;"",ROW(CC$7:CC$378)-ROW(CC$7)+1),ROWS(CC$7:CC75))),"")</f>
        <v/>
      </c>
      <c r="AB76" s="4" t="str">
        <f t="array" ref="AB76">IFERROR(INDEX(CD$7:CD$378,SMALL(IF(CD$7:CD$378&lt;&gt;"",ROW(CD$7:CD$378)-ROW(CD$7)+1),ROWS(CD$7:CD75))),"")</f>
        <v/>
      </c>
      <c r="AC76" s="4" t="str">
        <f t="array" ref="AC76">IFERROR(INDEX(CE$7:CE$378,SMALL(IF(CE$7:CE$378&lt;&gt;"",ROW(CE$7:CE$378)-ROW(CE$7)+1),ROWS(CE$7:CE75))),"")</f>
        <v/>
      </c>
      <c r="AD76" s="4"/>
      <c r="AE76" s="4"/>
      <c r="AF76" s="4"/>
      <c r="AG76" s="4"/>
      <c r="AH76" s="4"/>
      <c r="AI76" s="4"/>
      <c r="AJ76" s="46" t="str">
        <f>IF(Atletas!D72="","",IF(Atletas!B72="Feminino",100,IF(Atletas!B72="Masculino",200,""))+(IF(Atletas!D72="Infantil 39kg",1,IF(Atletas!D72="Infantil 42kg",2,IF(Atletas!D72="Infantil 45kg",3,IF(Atletas!D72="Infantil 48kg",4,IF(Atletas!D72="Infantil 52kg",5,IF(Atletas!D72="Infantil 56kg",6,IF(Atletas!D72="Infantil 60kg",7,IF(Atletas!D72="Juvenil 48kg",8,IF(Atletas!D72="Juvenil 52kg",9,IF(Atletas!D72="Juvenil 56kg",10,IF(Atletas!D72="Juvenil 60kg",11,IF(Atletas!D72="Juvenil 65kg",12,IF(Atletas!D72="Juvenil 70kg",13,IF(Atletas!D72="Juvenil 75kg",14,IF(Atletas!D72="Juvenil 80kg",15,IF(Atletas!D72="Adulto 48kg",16,IF(Atletas!D72="Adulto 52kg",17,IF(Atletas!D72="Adulto 56kg",18,IF(Atletas!D72="Adulto 60kg",19,IF(Atletas!D72="Adulto 65kg",20,IF(Atletas!D72="Adulto 70kg",21,IF(Atletas!D72="Adulto 75kg",22,IF(Atletas!D72="Adulto 80kg",23,IF(Atletas!D72="Adulto 85kg",24,IF(Atletas!D72="Adulto 90kg",25,IF(Atletas!D72="Adulto +90kg",26,""))))))))))))))))))))))))))))</f>
        <v/>
      </c>
      <c r="AO76" s="10" t="str">
        <f>IF(Atletas!E72="","",IF(Atletas!B72="Feminino",100,IF(Atletas!B72="Masculino",200,""))+(IF(Atletas!E72="Juvenil 44kg",1,IF(Atletas!E72="Juvenil 48kg",2,IF(Atletas!E72="Juvenil 52kg",3,IF(Atletas!E72="Juvenil 56kg",4,IF(Atletas!E72="Juvenil 60kg",5,IF(Atletas!E72="Juvenil 65kg",6,IF(Atletas!E72="Juvenil 70kg",7,IF(Atletas!E72="Juvenil 75kg",8,IF(Atletas!E72="Juvenil 82kg",9,IF(Atletas!E72="Juvenil 90kg",10,IF(Atletas!E72="Juvenil 100kg",11,IF(Atletas!E72="Adulto 48kg",12,IF(Atletas!E72="Adulto 52kg",13,IF(Atletas!E72="Adulto 56kg",14,IF(Atletas!E72="Adulto 60kg",15,IF(Atletas!E72="Adulto 65kg",16,IF(Atletas!E72="Adulto 70kg",17,IF(Atletas!E72="Adulto 75kg",18,IF(Atletas!E72="Adulto 82kg",19,IF(Atletas!E72="Adulto 90kg",20,IF(Atletas!E72="Adulto 100kg",21,IF(Atletas!E72="Adulto +100kg",22,""))))))))))))))))))))))))</f>
        <v/>
      </c>
      <c r="AT76" s="10" t="str">
        <f>IF(Atletas!F72="","",IF(Atletas!B72="Feminino",100,IF(Atletas!B72="Masculino",200,""))+(IF(Atletas!F72="Adulto 48kg",1,IF(Atletas!F72="Adulto 56kg",2,IF(Atletas!F72="Adulto 65kg",3,IF(Atletas!F72="Adulto 75kg",4,IF(Atletas!F72="Adulto +75kg",5,IF(Atletas!F72="Adulto 52kg",6,IF(Atletas!F72="Adulto 60kg",7,IF(Atletas!F72="Adulto 70kg",8,IF(Atletas!F72="Adulto 80kg",9,IF(Atletas!F72="Adulto 90kg",10,IF(Atletas!F72="Adulto +90kg",11,"")))))))))))))</f>
        <v/>
      </c>
      <c r="AY76" s="46" t="str">
        <f>IF(Atletas!G72="","",IF(Atletas!B72="Feminino",100,IF(Atletas!B72="Masculino",200,""))+(IF(Atletas!G72="Changquan Mirim",1,IF(Atletas!G72="Nanquan Mirim",2,IF(Atletas!G72="Taijiquan Mirim",3,IF(Atletas!G72="Changquan Grupo C",4,IF(Atletas!G72="Nanquan Grupo C",5,IF(Atletas!G72="Taijiquan Grupo C",6,IF(Atletas!G72="Changquan Grupo B",7,IF(Atletas!G72="Nanquan Grupo B",8,IF(Atletas!G72="Taijiquan Grupo B",9,IF(Atletas!G72="Changquan Grupo A",10,IF(Atletas!G72="Nanquan Grupo A",11,IF(Atletas!G72="Taijiquan Grupo A",12,IF(Atletas!G72="Changquan Opcional",13,IF(Atletas!G72="Nanquan Opcional",14,IF(Atletas!G72="Taijiquan Opcional",15,IF(Atletas!G72="Changquan Adulto",16,IF(Atletas!G72="Nanquan Adulto",17,IF(Atletas!G72="Taijiquan Adulto",18,""))))))))))))))))))))</f>
        <v/>
      </c>
      <c r="AZ76" s="46" t="str">
        <f>IF(Atletas!H72="","",IF(Atletas!B72="Feminino",100,IF(Atletas!B72="Masculino",200,""))+(IF(Atletas!H72="Daoshu Mirim",19,IF(Atletas!H72="Jianshu Mirim",20,IF(Atletas!H72="Nandao Mirim",21,IF(Atletas!H72="Taijijian Mirim",22,IF(Atletas!H72="Daoshu Grupo C",23,IF(Atletas!H72="Jianshu Grupo C",24,IF(Atletas!H72="Nandao Grupo C",25,IF(Atletas!H72="Taijijian Grupo C",26,IF(Atletas!H72="Daoshu Grupo B",27,IF(Atletas!H72="Jianshu Grupo B",28,IF(Atletas!H72="Nandao Grupo B",29,IF(Atletas!H72="Taijijian Grupo B",30,IF(Atletas!H72="Daoshu Grupo A",31,IF(Atletas!H72="Jianshu Grupo A",32,IF(Atletas!H72="Nandao Grupo A",33,IF(Atletas!H72="Taijijian Grupo A",34,IF(Atletas!H72="Daoshu Opcional",35,IF(Atletas!H72="Jianshu Opcional",36,IF(Atletas!H72="Nandao Opcional",37,IF(Atletas!H72="Taijijian Opcional",38,IF(Atletas!H72="Daoshu Adulto",39,IF(Atletas!H72="Jianshu Adulto",40,IF(Atletas!H72="Nandao Adulto",41,IF(Atletas!H72="Taijijian Adulto",42,""))))))))))))))))))))))))))</f>
        <v/>
      </c>
      <c r="BA76" s="46" t="str">
        <f>IF(Atletas!I72="","",IF(Atletas!B72="Feminino",100,IF(Atletas!B72="Masculino",200,""))+(IF(Atletas!I72="Gunshu Mirim",43,IF(Atletas!I72="Qiangshu Mirim",44,IF(Atletas!I72="Nangun Mirim",45,IF(Atletas!I72="Gunshu Grupo C",46,IF(Atletas!I72="Qiangshu Grupo C",47,IF(Atletas!I72="Nangun Grupo C",48,IF(Atletas!I72="Gunshu Grupo B",49,IF(Atletas!I72="Qiangshu Grupo B",50,IF(Atletas!I72="Nangun Grupo B",51,IF(Atletas!I72="Gunshu Grupo A",52,IF(Atletas!I72="Qiangshu Grupo A",53,IF(Atletas!I72="Nangun Grupo A",54,IF(Atletas!I72="Gunshu Opcional",55,IF(Atletas!I72="Qiangshu Opcional",56,IF(Atletas!I72="Nangun Opcional",57,IF(Atletas!I72="Gunshu Adulto",58,IF(Atletas!I72="Qiangshu Adulto",59,IF(Atletas!I72="Nangun Adulto",60,""))))))))))))))))))))</f>
        <v/>
      </c>
      <c r="BF76" s="52" t="str">
        <f>IF(Atletas!J72="","",IF(Atletas!B72="Feminino",100,IF(Atletas!B72="Masculino",200,""))+(IF(Atletas!J72="Equipe 1 Grupo B",1,IF(Atletas!J72="Equipe 2 Grupo B",2,IF(Atletas!J72="Equipe 1 Grupo A",3,IF(Atletas!J72="Equipe 2 Grupo A",4,IF(Atletas!J72="Equipe 1 Adulto",5,IF(Atletas!J72="Equipe 2 Adulto",6,""))))))))</f>
        <v/>
      </c>
      <c r="BK76" s="52" t="str">
        <f>IF(Atletas!K72="","",IF(Atletas!W72&lt;&gt;"",10000,0)+(IF(Atletas!B72="Feminino",1000,IF(Atletas!B72="Masculino",2000,""))+IF(Atletas!K72="Choylayfut A",1,IF(Atletas!K72="Hunggar A",2,IF(Atletas!K72="Wuzuquan A",3,IF(Atletas!K72="Wingchun A",4,IF(Atletas!K72="Outra Mão de Sul A",5,IF(Atletas!K72="Choylayfut B",6,IF(Atletas!K72="Hunggar B",7,IF(Atletas!K72="Wuzuquan B",8,IF(Atletas!K72="Wingchun B",9,IF(Atletas!K72="Outra Mão de Sul B",10,IF(Atletas!K72="Choylayfut C",11,IF(Atletas!K72="Hunggar C",12,IF(Atletas!K72="Wuzuquan C",13,IF(Atletas!K72="Wingchun C",14,IF(Atletas!K72="Outra Mão de Sul C",15,IF(Atletas!K72="Choylayfut D",16,IF(Atletas!K72="Hunggar D",17,IF(Atletas!K72="Wuzuquan D",18,IF(Atletas!K72="Wingchun D",19,IF(Atletas!K72="Outra Mão de Sul D",20,IF(Atletas!K72="Choylayfut E",21,IF(Atletas!K72="Hunggar E",22,IF(Atletas!K72="Wuzuquan E",23,IF(Atletas!K72="Wingchun E",24,IF(Atletas!K72="Outra Mão de Sul E",25,IF(Atletas!K72="Choylayfut F",26,IF(Atletas!K72="Hunggar F",27,IF(Atletas!K72="Wuzuquan F",28,IF(Atletas!K72="Wingchun F",29,IF(Atletas!K72="Outra Mão de Sul F",30,""))))))))))))))))))))))))))))))))</f>
        <v/>
      </c>
      <c r="BL76" s="52" t="str">
        <f>IF(Atletas!L72="","",IF(Atletas!W72&lt;&gt;"",10000,0)+(IF(Atletas!B72="Feminino",1000,IF(Atletas!B72="Masculino",2000,""))+(IF(Atletas!L72="Chaquan A",101,IF(Atletas!L72="Emeiquan A",102,IF(Atletas!L72="Fanziquan A",103,IF(Atletas!L72="Huaquan A",104,IF(Atletas!L72="Hongquan A",105,IF(Atletas!L72="Paochui A",106,IF(Atletas!L72="Piguaquan A",107,IF(Atletas!L72="Shaolinquan A",108,IF(Atletas!L72="Tanglangquan A",109,IF(Atletas!L72="Yinzhaophai A",110,IF(Atletas!L72="Tongbeiquan A",111,IF(Atletas!L72="Wudangquan A",112,IF(Atletas!L72="Outros Estilos A",113,IF(Atletas!L72="Chaquan B",114,IF(Atletas!L72="Emeiquan B",115,IF(Atletas!L72="Fanziquan B",116,IF(Atletas!L72="Huaquan B",117,IF(Atletas!L72="Hongquan B",118,IF(Atletas!L72="Paochui B",119,IF(Atletas!L72="Piguaquan B",120,IF(Atletas!L72="Shaolinquan B",121,IF(Atletas!L72="Tanglangquan B",122,IF(Atletas!L72="Yinzhaophai B",123,IF(Atletas!L72="Tongbeiquan B",124,IF(Atletas!L72="Wudangquan B",125,IF(Atletas!L72="Outros Estilos B",126,IF(Atletas!L72="Chaquan C",127,IF(Atletas!L72="Emeiquan C",128,IF(Atletas!L72="Fanziquan C",129,IF(Atletas!L72="Huaquan C",130,IF(Atletas!L72="Hongquan C",131,IF(Atletas!L72="Paochui C",132,IF(Atletas!L72="Piguaquan C",133,IF(Atletas!L72="Shaolinquan C",134,IF(Atletas!L72="Tanglangquan C",135,IF(Atletas!L72="Yinzhaophai C",136,IF(Atletas!L72="Tongbeiquan C",137,IF(Atletas!L72="Wudangquan C",138,IF(Atletas!L72="Outros Estilos C",139,0))))))))))))))))))))))))))))))))))))))))))</f>
        <v/>
      </c>
      <c r="BM76" s="52" t="str">
        <f>IF(Atletas!L72="","",IF(Atletas!W72&lt;&gt;"",10000,0)+(IF(Atletas!B72="Feminino",1000,IF(Atletas!B72="Masculino",2000,""))+(IF(Atletas!L72="Chaquan D",140,IF(Atletas!L72="Emeiquan D",141,IF(Atletas!L72="Fanziquan D",142,IF(Atletas!L72="Huaquan D",143,IF(Atletas!L72="Hongquan D",144,IF(Atletas!L72="Paochui D",145,IF(Atletas!L72="Piguaquan D",146,IF(Atletas!L72="Shaolinquan D",147,IF(Atletas!L72="Tanglangquan D",148,IF(Atletas!L72="Yinzhaophai D",149,IF(Atletas!L72="Tongbeiquan D",150,IF(Atletas!L72="Wudangquan D",151,IF(Atletas!L72="Outros Estilos D",152,IF(Atletas!L72="Chaquan E",153,IF(Atletas!L72="Emeiquan E",154,IF(Atletas!L72="Fanziquan E",155,IF(Atletas!L72="Huaquan E",156,IF(Atletas!L72="Hongquan E",157,IF(Atletas!L72="Paochui E",158,IF(Atletas!L72="Piguaquan E",159,IF(Atletas!L72="Shaolinquan E",160,IF(Atletas!L72="Tanglangquan E",161,IF(Atletas!L72="Yinzhaophai E",162,IF(Atletas!L72="Tongbeiquan E",163,IF(Atletas!L72="Wudangquan E",164,IF(Atletas!L72="Outros Estilos E",165,IF(Atletas!L72="Chaquan F",166,IF(Atletas!L72="Emeiquan F",167,IF(Atletas!L72="Fanziquan F",168,IF(Atletas!L72="Huaquan F",169,IF(Atletas!L72="Hongquan F",170,IF(Atletas!L72="Paochui F",171,IF(Atletas!L72="Piguaquan F",172,IF(Atletas!L72="Shaolinquan F",173,IF(Atletas!L72="Tanglangquan F",174,IF(Atletas!L72="Yinzhaophai F",175,IF(Atletas!L72="Tongbeiquan F",176,IF(Atletas!L72="Wudangquan F",177,IF(Atletas!L72="Outros Estilos F",178,0))))))))))))))))))))))))))))))))))))))))))</f>
        <v/>
      </c>
      <c r="BN76" s="52" t="str">
        <f>IF(Atletas!M72="","",IF(Atletas!W72&lt;&gt;"",10000,0)+(IF(Atletas!B72="Feminino",1000,IF(Atletas!B72="Masculino",2000,""))+(IF(Atletas!M72="Ditangquan A",201,IF(Atletas!M72="Houquan A",202,IF(Atletas!M72="Zuiquan A",203,IF(Atletas!M72="Ditangquan B",204,IF(Atletas!M72="Houquan B",205,IF(Atletas!M72="Zuiquan B",206,IF(Atletas!M72="Ditangquan C",207,IF(Atletas!M72="Houquan C",208,IF(Atletas!M72="Zuiquan C",209,IF(Atletas!M72="Ditangquan D",210,IF(Atletas!M72="Houquan D",211,IF(Atletas!M72="Zuiquan D",212,IF(Atletas!M72="Ditangquan E",213,IF(Atletas!M72="Houquan E",214,IF(Atletas!M72="Zuiquan E",215,IF(Atletas!M72="Ditangquan F",216,IF(Atletas!M72="Houquan F",217,IF(Atletas!M72="Zuiquan F",218,"")))))))))))))))))))))</f>
        <v/>
      </c>
      <c r="BO76" s="52" t="str">
        <f>IF(Atletas!N72="","",IF(Atletas!W72&lt;&gt;"",10000,0)+IF(Atletas!B72="Feminino",1000,IF(Atletas!B72="Masculino",2000,""))+IF(Atletas!N72="Yang A",301,IF(Atletas!N72="Chen A",30,IF(Atletas!N72="Sun A",303,IF(Atletas!N72="Wu A",304,IF(Atletas!N72="Wu-Hao A",305,IF(Atletas!N72="Outro Taijiquan A",306,IF(Atletas!N72="Yang B",307,IF(Atletas!N72="Chen B",308,IF(Atletas!N72="Sun B",309,IF(Atletas!N72="Wu B",310,IF(Atletas!N72="Wu-Hao B",311,IF(Atletas!N72="Outro Taijiquan B",312,IF(Atletas!N72="Yang C",313,IF(Atletas!N72="Chen C",314,IF(Atletas!N72="Sun C",315,IF(Atletas!N72="Wu C",316,IF(Atletas!N72="Wu-Hao C",317,IF(Atletas!N72="Outro Taijiquan C",318,IF(Atletas!N72="Yang D",319,IF(Atletas!N72="Chen D",320,IF(Atletas!N72="Sun D",321,IF(Atletas!N72="Wu D",322,IF(Atletas!N72="Wu-Hao D",323,IF(Atletas!N72="Outro Taijiquan D",324,IF(Atletas!N72="Yang E",325,IF(Atletas!N72="Chen E",326,IF(Atletas!N72="Sun E",327,IF(Atletas!N72="Wu E",328,IF(Atletas!N72="Wu-Hao E",329,IF(Atletas!N72="Outro Taijiquan E",330,IF(Atletas!N72="Yang F",331,IF(Atletas!N72="Chen F",332,IF(Atletas!N72="Sun F",333,IF(Atletas!N72="Wu F",334,IF(Atletas!N72="Wu-Hao F",335,IF(Atletas!N72="Outro Taijiquan F",336,"")))))))))))))))))))))))))))))))))))))</f>
        <v/>
      </c>
      <c r="BP76" s="52" t="str">
        <f>IF(Atletas!O72="","",IF(Atletas!W72&lt;&gt;"",10000,0)+IF(Atletas!B72="Feminino",1000,IF(Atletas!B72="Masculino",2000,""))+IF(OR(Atletas!O72="Yang 26 A",Atletas!O72="Yang 40 A"),401,IF(OR(Atletas!O72="Chen 25 A",Atletas!O72="Chen 36 A",Atletas!O72="Chen 56 A"),402,IF(Atletas!O72="Sun 73 A",403,IF(Atletas!O72="Wu 45 A",404,IF(Atletas!O72="Wu-Hao 46 A",405,IF(OR(Atletas!O72="Taijiquan 16 A",Atletas!O72="Taijiquan 24 A",Atletas!O72="Taijiquan 32 A",Atletas!O72="Taijiquan 42 A"),406,IF(OR(Atletas!O72="Yang 26 B",Atletas!O72="Yang 40 B"),407,IF(OR(Atletas!O72="Chen 25 B",Atletas!O72="Chen 36 B",Atletas!O72="Chen 56 B"),408,IF(Atletas!O72="Sun 73 B",409,IF(Atletas!O72="Wu 45 B",410,IF(Atletas!O72="Wu-Hao 46 B",411,IF(OR(Atletas!O72="Taijiquan 16 B",Atletas!O72="Taijiquan 24 B",Atletas!O72="Taijiquan 32 B",Atletas!O72="Taijiquan 42 B"),412,IF(OR(Atletas!O72="Yang 26 C",Atletas!O72="Yang 40 C"),413,IF(OR(Atletas!O72="Chen 25 C",Atletas!O72="Chen 36 C",Atletas!O72="Chen 56 C"),414,IF(Atletas!O72="Sun 73 C",415,IF(Atletas!O72="Wu 45 C",416,IF(Atletas!O72="Wu-Hao 46 C",417,IF(OR(Atletas!O72="Taijiquan 16 C",Atletas!O72="Taijiquan 24 C",Atletas!O72="Taijiquan 32 C",Atletas!O72="Taijiquan 42 C"),418,0)))))))))))))))))))</f>
        <v/>
      </c>
      <c r="BQ76" s="52" t="str">
        <f>IF(Atletas!O72="","",IF(Atletas!W72&lt;&gt;"",10000,0)+IF(Atletas!B72="Feminino",1000,IF(Atletas!B72="Masculino",2000,""))+IF(OR(Atletas!O72="Yang 26 D",Atletas!O72="Yang 40 D"),419,IF(OR(Atletas!O72="Chen 25 D",Atletas!O72="Chen 36 D",Atletas!O72="Chen 56 D"),420,IF(Atletas!O72="Sun 73 D",421,IF(Atletas!O72="Wu 45 D",422,IF(Atletas!O72="Wu-Hao 46 D",423,IF(OR(Atletas!O72="Taijiquan 16 D",Atletas!O72="Taijiquan 24 D",Atletas!O72="Taijiquan 32 D",Atletas!O72="Taijiquan 42 D"),424,IF(OR(Atletas!O72="Yang 26 E",Atletas!O72="Yang 40 E"),425,IF(OR(Atletas!O72="Chen 25 E",Atletas!O72="Chen 36 E",Atletas!O72="Chen 56 E"),426,IF(Atletas!O72="Sun 73 E",427,IF(Atletas!O72="Wu 45 E",428,IF(Atletas!O72="Wu-Hao 46 E",429,IF(OR(Atletas!O72="Taijiquan 16 E",Atletas!O72="Taijiquan 24 E",Atletas!O72="Taijiquan 32 E",Atletas!O72="Taijiquan 42 E"),430,IF(OR(Atletas!O72="Yang 26 F",Atletas!O72="Yang 40 F"),431,IF(OR(Atletas!O72="Chen 25 F",Atletas!O72="Chen 36 F",Atletas!O72="Chen 56 F"),432,IF(Atletas!O72="Sun 73 F",433,IF(Atletas!O72="Wu 45 F",434,IF(Atletas!O72="Wu-Hao 46 F",435,IF(OR(Atletas!O72="Taijiquan 16 F",Atletas!O72="Taijiquan 24 F",Atletas!O72="Taijiquan 32 F",Atletas!O72="Taijiquan 42 F"),436,0)))))))))))))))))))</f>
        <v/>
      </c>
      <c r="BR76" s="52" t="str">
        <f>IF(Atletas!P72="","",IF(Atletas!W72&lt;&gt;"",10000,0)+IF(Atletas!B72="Feminino",1000,IF(Atletas!B72="Masculino",2000,""))+IF(Atletas!P72="Xingyiquan A",501,IF(Atletas!P72="Baguazhang A",502,IF(Atletas!P72="Outro Estilo Interno A",503,IF(Atletas!P72="Xingyiquan B",504,IF(Atletas!P72="Baguazhang B",505,IF(Atletas!P72="Outro Estilo Interno B",506,IF(Atletas!P72="Xingyiquan C",507,IF(Atletas!P72="Baguazhang C",508,IF(Atletas!P72="Outro Estilo Interno C",509,IF(Atletas!P72="Xingyiquan D",510,IF(Atletas!P72="Baguazhang D",511,IF(Atletas!P72="Outro Estilo Interno D",512,IF(Atletas!P72="Xingyiquan E",513,IF(Atletas!P72="Baguazhang E",514,IF(Atletas!P72="Outro Estilo Interno E",515,IF(Atletas!P72="Xingyiquan F",516,IF(Atletas!P72="Baguazhang F",517,IF(Atletas!P72="Outro Estilo Interno F",518, "")))))))))))))))))))</f>
        <v/>
      </c>
      <c r="BS76" s="52" t="str">
        <f>IF(Atletas!Q72="","",IF(Atletas!W72&lt;&gt;"",10000,0)+IF(Atletas!B72="Feminino",1000,IF(Atletas!B72="Masculino",2000,""))+IF(Atletas!Q72="Dao A",601,IF(Atletas!Q72="Jian A",602,IF(Atletas!Q72="Bishou A",603,IF(Atletas!Q72="Shan A",604,IF(Atletas!Q72="Outra Arma Curta A",605,IF(Atletas!Q72="Dao B",606,IF(Atletas!Q72="Jian B",607,IF(Atletas!Q72="Bishou B",608,IF(Atletas!Q72="Shan B",609,IF(Atletas!Q72="Outra Arma Curta B",610,IF(Atletas!Q72="Dao C",611,IF(Atletas!Q72="Jian C",612,IF(Atletas!Q72="Bishou C",613,IF(Atletas!Q72="Shan C",614,IF(Atletas!Q72="Outra Arma Curta C",615,IF(Atletas!Q72="Dao D",616,IF(Atletas!Q72="Jian D",617,IF(Atletas!Q72="Bishou D",618,IF(Atletas!Q72="Shan D",619,IF(Atletas!Q72="Outra Arma Curta D",620,IF(Atletas!Q72="Dao E",621,IF(Atletas!Q72="Jian E",622,IF(Atletas!Q72="Bishou E",623,IF(Atletas!Q72="Shan E",624,IF(Atletas!Q72="Outra Arma Curta E",625,IF(Atletas!Q72="Dao F",626,IF(Atletas!Q72="Jian F",627,IF(Atletas!Q72="Bishou F",628,IF(Atletas!Q72="Shan F",629,IF(Atletas!Q72="Outra Arma Curta F",630, "")))))))))))))))))))))))))))))))</f>
        <v/>
      </c>
      <c r="BT76" s="52" t="str">
        <f>IF(Atletas!R72="","",IF(Atletas!W72&lt;&gt;"",10000,0)+IF(Atletas!B72="Feminino",1000,IF(Atletas!B72="Masculino",2000,""))+IF(Atletas!R72="Gun A",701,IF(Atletas!R72="Qiang A",702,IF(Atletas!R72="Pudao / Guandao A",703,IF(Atletas!R72="Outra Arma Longa A",704,IF(Atletas!R72="Gun B",705,IF(Atletas!R72="Qiang B",706,IF(Atletas!R72="Pudao / Guandao B",707,IF(Atletas!R72="Outra Arma Longa B",708,IF(Atletas!R72="Gun C",709,IF(Atletas!R72="Qiang C",710,IF(Atletas!R72="Pudao / Guandao C",711,IF(Atletas!R72="Outra Arma Longa C",712,IF(Atletas!R72="Gun D",713,IF(Atletas!R72="Qiang D",714,IF(Atletas!R72="Pudao / Guandao D",715,IF(Atletas!R72="Outra Arma Longa D",716,IF(Atletas!R72="Gun E",717,IF(Atletas!R72="Qiang E",718,IF(Atletas!R72="Pudao / Guandao E",719,IF(Atletas!R72="Outra Arma Longa E",720,IF(Atletas!R72="Gun F",721,IF(Atletas!R72="Qiang F",722,IF(Atletas!R72="Pudao / Guandao F",723,IF(Atletas!R72="Outra Arma Longa F",724,"")))))))))))))))))))))))))</f>
        <v/>
      </c>
      <c r="BU76" s="52" t="str">
        <f>IF(Atletas!S72="","",IF(Atletas!W72&lt;&gt;"",10000,0)+IF(Atletas!B72="Feminino",1000,IF(Atletas!B72="Masculino",2000,""))+IF(Atletas!S72="Arma Dupla A",801,IF(Atletas!S72="Arma Maleável A",802,IF(Atletas!S72="Arma Dupla B",803,IF(Atletas!S72="Arma Maleável B",804,IF(Atletas!S72="Arma Dupla C",805,IF(Atletas!S72="Arma Maleável C",806,IF(Atletas!S72="Arma Dupla D",807,IF(Atletas!S72="Arma Maleável D",808,IF(Atletas!S72="Arma Dupla E",809,IF(Atletas!S72="Arma Maleável E",810,IF(Atletas!S72="Arma Dupla F",811,IF(Atletas!S72="Arma Maleável F",812, "")))))))))))))</f>
        <v/>
      </c>
      <c r="BV76" s="52" t="str">
        <f>IF(Atletas!T72="","",IF(Atletas!W72&lt;&gt;"",10000,0)+IF(Atletas!B72="Feminino",1000,IF(Atletas!B72="Masculino",2000,""))+IF(Atletas!T72="Taijijian Yang A",901,IF(Atletas!T72="Taijijian Chen A",902,IF(Atletas!T72="Taijijian Sun A",903,IF(Atletas!T72="Taijijian Wu A",904,IF(Atletas!T72="Taijijian Wu-Hao A",905,IF(Atletas!T72="Taijijian 32 A",906,IF(Atletas!T72="Taijijian 42 A",907,IF(Atletas!T72="Taijijian Yang B",908,IF(Atletas!T72="Taijijian Chen B",909,IF(Atletas!T72="Taijijian Sun B",910,IF(Atletas!T72="Taijijian Wu B",911,IF(Atletas!T72="Taijijian Wu-Hao B",912,IF(Atletas!T72="Taijijian 32 B",913,IF(Atletas!T72="Taijijian 42 B",914,IF(Atletas!T72="Taijijian Yang C",915,IF(Atletas!T72="Taijijian Chen C",916,IF(Atletas!T72="Taijijian Sun C",917,IF(Atletas!T72="Taijijian Wu C",918,IF(Atletas!T72="Taijijian Wu-Hao C",919,IF(Atletas!T72="Taijijian 32 C",920,IF(Atletas!T72="Taijijian 42 C",921,IF(Atletas!T72="Taijijian Yang D",922,IF(Atletas!T72="Taijijian Chen D",923,IF(Atletas!T72="Taijijian Sun D",924,IF(Atletas!T72="Taijijian Wu D",925,IF(Atletas!T72="Taijijian Wu-Hao D",926,IF(Atletas!T72="Taijijian 32 D",927,IF(Atletas!T72="Taijijian 42 D",928,IF(Atletas!T72="Taijijian Yang E",929,IF(Atletas!T72="Taijijian Chen E",930,IF(Atletas!T72="Taijijian Sun E",931,IF(Atletas!T72="Taijijian Wu E",932,IF(Atletas!T72="Taijijian Wu-Hao E",933,IF(Atletas!T72="Taijijian 32 E",934,IF(Atletas!T72="Taijijian 42 E",935,IF(Atletas!T72="Taijijian Yang F",936,IF(Atletas!T72="Taijijian Chen F",937,IF(Atletas!T72="Taijijian Sun F",938,IF(Atletas!T72="Taijijian Wu F",939,IF(Atletas!T72="Taijijian Wu-Hao F",940,IF(Atletas!T72="Taijijian 32 F",941,IF(Atletas!T72="Taijijian 42 F",942,"")))))))))))))))))))))))))))))))))))))))))))</f>
        <v/>
      </c>
      <c r="BW76" s="52" t="str">
        <f>IF(Atletas!U72="","",IF(Atletas!W72&lt;&gt;"",10000,0)+IF(Atletas!B72="Feminino",1000,IF(Atletas!B72="Masculino",2000,""))+IF(Atletas!T72="Taijijian 42 F",942,IF(Atletas!U72="Taijidao A",943,IF(Atletas!U72="Taijishan A",944,IF(Atletas!U72="Taijiqiang A",945,IF(Atletas!U72="Taijidao B",946,IF(Atletas!U72="Taijishan B",947,IF(Atletas!U72="Taijiqiang B",948,IF(Atletas!U72="Taijidao C",949,IF(Atletas!U72="Taijishan C",950,IF(Atletas!U72="Taijiqiang C",951,IF(Atletas!U72="Taijidao D",952,IF(Atletas!U72="Taijishan D",953,IF(Atletas!U72="Taijiqiang D",954,IF(Atletas!U72="Taijidao E",955,IF(Atletas!U72="Taijishan E",956,IF(Atletas!U72="Taijiqiang E",957,IF(Atletas!U72="Taijidao F",958,IF(Atletas!U72="Taijishan F",959,IF(Atletas!U72="Taijiqiang F",960))))))))))))))))))))</f>
        <v/>
      </c>
      <c r="BX76" s="64" t="str">
        <f>IF(BY76&lt;&gt;"","Chaquan D","")</f>
        <v/>
      </c>
      <c r="BY76" s="64" t="str">
        <f>IF(COUNTIF(BK:BW,1140)&gt;0,COUNTIF(BK:BW,1140),"")</f>
        <v/>
      </c>
      <c r="BZ76" s="64" t="str">
        <f>IF(CA76&lt;&gt;"","Chaquan D","")</f>
        <v/>
      </c>
      <c r="CA76" s="64" t="str">
        <f>IF(COUNTIF(BK:BW,2140)&gt;0,COUNTIF(BK:BW,2140),"")</f>
        <v/>
      </c>
      <c r="CB76" s="64" t="str">
        <f>IF(CC76&lt;&gt;"","Chaquan D","")</f>
        <v/>
      </c>
      <c r="CC76" s="64" t="str">
        <f>IF(COUNTIF(BK:BW,11140)&gt;0,COUNTIF(BK:BW,11140),"")</f>
        <v/>
      </c>
      <c r="CD76" s="64" t="str">
        <f>IF(CE76&lt;&gt;"","Chaquan D","")</f>
        <v/>
      </c>
      <c r="CE76" s="64" t="str">
        <f>IF(COUNTIF(BK:BW,12140)&gt;0,COUNTIF(BK:BW,12140),"")</f>
        <v/>
      </c>
      <c r="CF76" s="52" t="str">
        <f xml:space="preserve"> IF(Atletas!V72="","",IF(Atletas!V72="Duilian de Mãos AB - Equipe 1",1,IF(Atletas!V72="Duilian de Mãos AB - Equipe 2",2,IF(Atletas!V72="Duilian de Armas AB - Equipe 1",3,IF(Atletas!V72="Duilian de Armas AB - Equipe 2",4,IF(Atletas!V72="Duilian de Tuishou - Equipe 1",5,IF(Atletas!V72="Duilian de Tuishou - Equipe 2",6,IF(Atletas!V72="Grupo Externo AB - Equipe 1",7,IF(Atletas!V72="Grupo Externo AB - Equipe 2",8,IF(Atletas!V72="Grupo Interno AB - Equipe 1",9,IF(Atletas!V72="Grupo Interno AB - Equipe 2",10,IF(Atletas!V72="Duilian de Mãos CD - Equipe 1",11,IF(Atletas!V72="Duilian de Mãos CD - Equipe 2",12,IF(Atletas!V72="Duilian de Armas CD - Equipe 1",13,IF(Atletas!V72="Duilian de Armas CD - Equipe 2",14,IF(Atletas!V72="Duilian de Tuishou - Equipe 1",15,IF(Atletas!V72="Duilian de Tuishou - Equipe 2",16,IF(Atletas!V72="Grupo Externo CDEF - Equipe 1",17,IF(Atletas!V72="Grupo Externo CDEF - Equipe 2",18,IF(Atletas!V72="Grupo Interno CDEF - Equipe 1",19,IF(Atletas!V72="Grupo Interno CDEF - Equipe 2",20,IF(Atletas!V72="Duilian de Mãos EF - Equipe 1",21,IF(Atletas!V72="Duilian de Mãos EF - Equipe 2",22,IF(Atletas!V72="Duilian de Armas EF - Equipe 1",23,IF(Atletas!V72="Duilian de Armas EF - Equipe 2",24,IF(Atletas!V72="Duilian de Tuishou - Equipe 1",25,IF(Atletas!V72="Duilian de Tuishou - Equipe 2",26,"")))))))))))))))))))))))))))</f>
        <v/>
      </c>
    </row>
    <row r="77" spans="2:96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31"/>
      <c r="U77" s="4"/>
      <c r="V77" s="4" t="str">
        <f t="array" ref="V77">IFERROR(INDEX(BX$7:BX$336,SMALL(IF(BX$7:BX$336&lt;&gt;"",ROW(BX$7:BX$336)-ROW(BX$7)+1),ROWS(BX$7:BX76))),"")</f>
        <v/>
      </c>
      <c r="W77" s="4" t="str">
        <f t="array" ref="W77">IFERROR(INDEX(BY$7:BY$336,SMALL(IF(BY$7:BY$336&lt;&gt;"",ROW(BY$7:BY$336)-ROW(BY$7)+1),ROWS(BY$7:BY76))),"")</f>
        <v/>
      </c>
      <c r="X77" s="4" t="str">
        <f t="array" ref="X77">IFERROR(INDEX(BZ$7:BZ$336,SMALL(IF(BZ$7:BZ$336&lt;&gt;"",ROW(BZ$7:BZ$336)-ROW(BZ$7)+1),ROWS(BZ$7:BZ76))),"")</f>
        <v/>
      </c>
      <c r="Y77" s="4" t="str">
        <f t="array" ref="Y77">IFERROR(INDEX(CA$7:CA$336,SMALL(IF(CA$7:CA$336&lt;&gt;"",ROW(CA$7:CA$336)-ROW(CA$7)+1),ROWS(CA$7:CA76))),"")</f>
        <v/>
      </c>
      <c r="Z77" s="4" t="str">
        <f t="array" ref="Z77">IFERROR(INDEX(CB$7:CB$378,SMALL(IF(CB$7:CB$378&lt;&gt;"",ROW(CB$7:CB$378)-ROW(CB$7)+1),ROWS(CB$7:CB76))),"")</f>
        <v/>
      </c>
      <c r="AA77" s="4" t="str">
        <f t="array" ref="AA77">IFERROR(INDEX(CC$7:CC$378,SMALL(IF(CC$7:CC$378&lt;&gt;"",ROW(CC$7:CC$378)-ROW(CC$7)+1),ROWS(CC$7:CC76))),"")</f>
        <v/>
      </c>
      <c r="AB77" s="4" t="str">
        <f t="array" ref="AB77">IFERROR(INDEX(CD$7:CD$378,SMALL(IF(CD$7:CD$378&lt;&gt;"",ROW(CD$7:CD$378)-ROW(CD$7)+1),ROWS(CD$7:CD76))),"")</f>
        <v/>
      </c>
      <c r="AC77" s="4" t="str">
        <f t="array" ref="AC77">IFERROR(INDEX(CE$7:CE$378,SMALL(IF(CE$7:CE$378&lt;&gt;"",ROW(CE$7:CE$378)-ROW(CE$7)+1),ROWS(CE$7:CE76))),"")</f>
        <v/>
      </c>
      <c r="AD77" s="4"/>
      <c r="AE77" s="4"/>
      <c r="AF77" s="4"/>
      <c r="AG77" s="4"/>
      <c r="AH77" s="4"/>
      <c r="AI77" s="4"/>
      <c r="AJ77" s="46" t="str">
        <f>IF(Atletas!D73="","",IF(Atletas!B73="Feminino",100,IF(Atletas!B73="Masculino",200,""))+(IF(Atletas!D73="Infantil 39kg",1,IF(Atletas!D73="Infantil 42kg",2,IF(Atletas!D73="Infantil 45kg",3,IF(Atletas!D73="Infantil 48kg",4,IF(Atletas!D73="Infantil 52kg",5,IF(Atletas!D73="Infantil 56kg",6,IF(Atletas!D73="Infantil 60kg",7,IF(Atletas!D73="Juvenil 48kg",8,IF(Atletas!D73="Juvenil 52kg",9,IF(Atletas!D73="Juvenil 56kg",10,IF(Atletas!D73="Juvenil 60kg",11,IF(Atletas!D73="Juvenil 65kg",12,IF(Atletas!D73="Juvenil 70kg",13,IF(Atletas!D73="Juvenil 75kg",14,IF(Atletas!D73="Juvenil 80kg",15,IF(Atletas!D73="Adulto 48kg",16,IF(Atletas!D73="Adulto 52kg",17,IF(Atletas!D73="Adulto 56kg",18,IF(Atletas!D73="Adulto 60kg",19,IF(Atletas!D73="Adulto 65kg",20,IF(Atletas!D73="Adulto 70kg",21,IF(Atletas!D73="Adulto 75kg",22,IF(Atletas!D73="Adulto 80kg",23,IF(Atletas!D73="Adulto 85kg",24,IF(Atletas!D73="Adulto 90kg",25,IF(Atletas!D73="Adulto +90kg",26,""))))))))))))))))))))))))))))</f>
        <v/>
      </c>
      <c r="AO77" s="10" t="str">
        <f>IF(Atletas!E73="","",IF(Atletas!B73="Feminino",100,IF(Atletas!B73="Masculino",200,""))+(IF(Atletas!E73="Juvenil 44kg",1,IF(Atletas!E73="Juvenil 48kg",2,IF(Atletas!E73="Juvenil 52kg",3,IF(Atletas!E73="Juvenil 56kg",4,IF(Atletas!E73="Juvenil 60kg",5,IF(Atletas!E73="Juvenil 65kg",6,IF(Atletas!E73="Juvenil 70kg",7,IF(Atletas!E73="Juvenil 75kg",8,IF(Atletas!E73="Juvenil 82kg",9,IF(Atletas!E73="Juvenil 90kg",10,IF(Atletas!E73="Juvenil 100kg",11,IF(Atletas!E73="Adulto 48kg",12,IF(Atletas!E73="Adulto 52kg",13,IF(Atletas!E73="Adulto 56kg",14,IF(Atletas!E73="Adulto 60kg",15,IF(Atletas!E73="Adulto 65kg",16,IF(Atletas!E73="Adulto 70kg",17,IF(Atletas!E73="Adulto 75kg",18,IF(Atletas!E73="Adulto 82kg",19,IF(Atletas!E73="Adulto 90kg",20,IF(Atletas!E73="Adulto 100kg",21,IF(Atletas!E73="Adulto +100kg",22,""))))))))))))))))))))))))</f>
        <v/>
      </c>
      <c r="AT77" s="10" t="str">
        <f>IF(Atletas!F73="","",IF(Atletas!B73="Feminino",100,IF(Atletas!B73="Masculino",200,""))+(IF(Atletas!F73="Adulto 48kg",1,IF(Atletas!F73="Adulto 56kg",2,IF(Atletas!F73="Adulto 65kg",3,IF(Atletas!F73="Adulto 75kg",4,IF(Atletas!F73="Adulto +75kg",5,IF(Atletas!F73="Adulto 52kg",6,IF(Atletas!F73="Adulto 60kg",7,IF(Atletas!F73="Adulto 70kg",8,IF(Atletas!F73="Adulto 80kg",9,IF(Atletas!F73="Adulto 90kg",10,IF(Atletas!F73="Adulto +90kg",11,"")))))))))))))</f>
        <v/>
      </c>
      <c r="AY77" s="46" t="str">
        <f>IF(Atletas!G73="","",IF(Atletas!B73="Feminino",100,IF(Atletas!B73="Masculino",200,""))+(IF(Atletas!G73="Changquan Mirim",1,IF(Atletas!G73="Nanquan Mirim",2,IF(Atletas!G73="Taijiquan Mirim",3,IF(Atletas!G73="Changquan Grupo C",4,IF(Atletas!G73="Nanquan Grupo C",5,IF(Atletas!G73="Taijiquan Grupo C",6,IF(Atletas!G73="Changquan Grupo B",7,IF(Atletas!G73="Nanquan Grupo B",8,IF(Atletas!G73="Taijiquan Grupo B",9,IF(Atletas!G73="Changquan Grupo A",10,IF(Atletas!G73="Nanquan Grupo A",11,IF(Atletas!G73="Taijiquan Grupo A",12,IF(Atletas!G73="Changquan Opcional",13,IF(Atletas!G73="Nanquan Opcional",14,IF(Atletas!G73="Taijiquan Opcional",15,IF(Atletas!G73="Changquan Adulto",16,IF(Atletas!G73="Nanquan Adulto",17,IF(Atletas!G73="Taijiquan Adulto",18,""))))))))))))))))))))</f>
        <v/>
      </c>
      <c r="AZ77" s="46" t="str">
        <f>IF(Atletas!H73="","",IF(Atletas!B73="Feminino",100,IF(Atletas!B73="Masculino",200,""))+(IF(Atletas!H73="Daoshu Mirim",19,IF(Atletas!H73="Jianshu Mirim",20,IF(Atletas!H73="Nandao Mirim",21,IF(Atletas!H73="Taijijian Mirim",22,IF(Atletas!H73="Daoshu Grupo C",23,IF(Atletas!H73="Jianshu Grupo C",24,IF(Atletas!H73="Nandao Grupo C",25,IF(Atletas!H73="Taijijian Grupo C",26,IF(Atletas!H73="Daoshu Grupo B",27,IF(Atletas!H73="Jianshu Grupo B",28,IF(Atletas!H73="Nandao Grupo B",29,IF(Atletas!H73="Taijijian Grupo B",30,IF(Atletas!H73="Daoshu Grupo A",31,IF(Atletas!H73="Jianshu Grupo A",32,IF(Atletas!H73="Nandao Grupo A",33,IF(Atletas!H73="Taijijian Grupo A",34,IF(Atletas!H73="Daoshu Opcional",35,IF(Atletas!H73="Jianshu Opcional",36,IF(Atletas!H73="Nandao Opcional",37,IF(Atletas!H73="Taijijian Opcional",38,IF(Atletas!H73="Daoshu Adulto",39,IF(Atletas!H73="Jianshu Adulto",40,IF(Atletas!H73="Nandao Adulto",41,IF(Atletas!H73="Taijijian Adulto",42,""))))))))))))))))))))))))))</f>
        <v/>
      </c>
      <c r="BA77" s="46" t="str">
        <f>IF(Atletas!I73="","",IF(Atletas!B73="Feminino",100,IF(Atletas!B73="Masculino",200,""))+(IF(Atletas!I73="Gunshu Mirim",43,IF(Atletas!I73="Qiangshu Mirim",44,IF(Atletas!I73="Nangun Mirim",45,IF(Atletas!I73="Gunshu Grupo C",46,IF(Atletas!I73="Qiangshu Grupo C",47,IF(Atletas!I73="Nangun Grupo C",48,IF(Atletas!I73="Gunshu Grupo B",49,IF(Atletas!I73="Qiangshu Grupo B",50,IF(Atletas!I73="Nangun Grupo B",51,IF(Atletas!I73="Gunshu Grupo A",52,IF(Atletas!I73="Qiangshu Grupo A",53,IF(Atletas!I73="Nangun Grupo A",54,IF(Atletas!I73="Gunshu Opcional",55,IF(Atletas!I73="Qiangshu Opcional",56,IF(Atletas!I73="Nangun Opcional",57,IF(Atletas!I73="Gunshu Adulto",58,IF(Atletas!I73="Qiangshu Adulto",59,IF(Atletas!I73="Nangun Adulto",60,""))))))))))))))))))))</f>
        <v/>
      </c>
      <c r="BF77" s="52" t="str">
        <f>IF(Atletas!J73="","",IF(Atletas!B73="Feminino",100,IF(Atletas!B73="Masculino",200,""))+(IF(Atletas!J73="Equipe 1 Grupo B",1,IF(Atletas!J73="Equipe 2 Grupo B",2,IF(Atletas!J73="Equipe 1 Grupo A",3,IF(Atletas!J73="Equipe 2 Grupo A",4,IF(Atletas!J73="Equipe 1 Adulto",5,IF(Atletas!J73="Equipe 2 Adulto",6,""))))))))</f>
        <v/>
      </c>
      <c r="BK77" s="52" t="str">
        <f>IF(Atletas!K73="","",IF(Atletas!W73&lt;&gt;"",10000,0)+(IF(Atletas!B73="Feminino",1000,IF(Atletas!B73="Masculino",2000,""))+IF(Atletas!K73="Choylayfut A",1,IF(Atletas!K73="Hunggar A",2,IF(Atletas!K73="Wuzuquan A",3,IF(Atletas!K73="Wingchun A",4,IF(Atletas!K73="Outra Mão de Sul A",5,IF(Atletas!K73="Choylayfut B",6,IF(Atletas!K73="Hunggar B",7,IF(Atletas!K73="Wuzuquan B",8,IF(Atletas!K73="Wingchun B",9,IF(Atletas!K73="Outra Mão de Sul B",10,IF(Atletas!K73="Choylayfut C",11,IF(Atletas!K73="Hunggar C",12,IF(Atletas!K73="Wuzuquan C",13,IF(Atletas!K73="Wingchun C",14,IF(Atletas!K73="Outra Mão de Sul C",15,IF(Atletas!K73="Choylayfut D",16,IF(Atletas!K73="Hunggar D",17,IF(Atletas!K73="Wuzuquan D",18,IF(Atletas!K73="Wingchun D",19,IF(Atletas!K73="Outra Mão de Sul D",20,IF(Atletas!K73="Choylayfut E",21,IF(Atletas!K73="Hunggar E",22,IF(Atletas!K73="Wuzuquan E",23,IF(Atletas!K73="Wingchun E",24,IF(Atletas!K73="Outra Mão de Sul E",25,IF(Atletas!K73="Choylayfut F",26,IF(Atletas!K73="Hunggar F",27,IF(Atletas!K73="Wuzuquan F",28,IF(Atletas!K73="Wingchun F",29,IF(Atletas!K73="Outra Mão de Sul F",30,""))))))))))))))))))))))))))))))))</f>
        <v/>
      </c>
      <c r="BL77" s="52" t="str">
        <f>IF(Atletas!L73="","",IF(Atletas!W73&lt;&gt;"",10000,0)+(IF(Atletas!B73="Feminino",1000,IF(Atletas!B73="Masculino",2000,""))+(IF(Atletas!L73="Chaquan A",101,IF(Atletas!L73="Emeiquan A",102,IF(Atletas!L73="Fanziquan A",103,IF(Atletas!L73="Huaquan A",104,IF(Atletas!L73="Hongquan A",105,IF(Atletas!L73="Paochui A",106,IF(Atletas!L73="Piguaquan A",107,IF(Atletas!L73="Shaolinquan A",108,IF(Atletas!L73="Tanglangquan A",109,IF(Atletas!L73="Yinzhaophai A",110,IF(Atletas!L73="Tongbeiquan A",111,IF(Atletas!L73="Wudangquan A",112,IF(Atletas!L73="Outros Estilos A",113,IF(Atletas!L73="Chaquan B",114,IF(Atletas!L73="Emeiquan B",115,IF(Atletas!L73="Fanziquan B",116,IF(Atletas!L73="Huaquan B",117,IF(Atletas!L73="Hongquan B",118,IF(Atletas!L73="Paochui B",119,IF(Atletas!L73="Piguaquan B",120,IF(Atletas!L73="Shaolinquan B",121,IF(Atletas!L73="Tanglangquan B",122,IF(Atletas!L73="Yinzhaophai B",123,IF(Atletas!L73="Tongbeiquan B",124,IF(Atletas!L73="Wudangquan B",125,IF(Atletas!L73="Outros Estilos B",126,IF(Atletas!L73="Chaquan C",127,IF(Atletas!L73="Emeiquan C",128,IF(Atletas!L73="Fanziquan C",129,IF(Atletas!L73="Huaquan C",130,IF(Atletas!L73="Hongquan C",131,IF(Atletas!L73="Paochui C",132,IF(Atletas!L73="Piguaquan C",133,IF(Atletas!L73="Shaolinquan C",134,IF(Atletas!L73="Tanglangquan C",135,IF(Atletas!L73="Yinzhaophai C",136,IF(Atletas!L73="Tongbeiquan C",137,IF(Atletas!L73="Wudangquan C",138,IF(Atletas!L73="Outros Estilos C",139,0))))))))))))))))))))))))))))))))))))))))))</f>
        <v/>
      </c>
      <c r="BM77" s="52" t="str">
        <f>IF(Atletas!L73="","",IF(Atletas!W73&lt;&gt;"",10000,0)+(IF(Atletas!B73="Feminino",1000,IF(Atletas!B73="Masculino",2000,""))+(IF(Atletas!L73="Chaquan D",140,IF(Atletas!L73="Emeiquan D",141,IF(Atletas!L73="Fanziquan D",142,IF(Atletas!L73="Huaquan D",143,IF(Atletas!L73="Hongquan D",144,IF(Atletas!L73="Paochui D",145,IF(Atletas!L73="Piguaquan D",146,IF(Atletas!L73="Shaolinquan D",147,IF(Atletas!L73="Tanglangquan D",148,IF(Atletas!L73="Yinzhaophai D",149,IF(Atletas!L73="Tongbeiquan D",150,IF(Atletas!L73="Wudangquan D",151,IF(Atletas!L73="Outros Estilos D",152,IF(Atletas!L73="Chaquan E",153,IF(Atletas!L73="Emeiquan E",154,IF(Atletas!L73="Fanziquan E",155,IF(Atletas!L73="Huaquan E",156,IF(Atletas!L73="Hongquan E",157,IF(Atletas!L73="Paochui E",158,IF(Atletas!L73="Piguaquan E",159,IF(Atletas!L73="Shaolinquan E",160,IF(Atletas!L73="Tanglangquan E",161,IF(Atletas!L73="Yinzhaophai E",162,IF(Atletas!L73="Tongbeiquan E",163,IF(Atletas!L73="Wudangquan E",164,IF(Atletas!L73="Outros Estilos E",165,IF(Atletas!L73="Chaquan F",166,IF(Atletas!L73="Emeiquan F",167,IF(Atletas!L73="Fanziquan F",168,IF(Atletas!L73="Huaquan F",169,IF(Atletas!L73="Hongquan F",170,IF(Atletas!L73="Paochui F",171,IF(Atletas!L73="Piguaquan F",172,IF(Atletas!L73="Shaolinquan F",173,IF(Atletas!L73="Tanglangquan F",174,IF(Atletas!L73="Yinzhaophai F",175,IF(Atletas!L73="Tongbeiquan F",176,IF(Atletas!L73="Wudangquan F",177,IF(Atletas!L73="Outros Estilos F",178,0))))))))))))))))))))))))))))))))))))))))))</f>
        <v/>
      </c>
      <c r="BN77" s="52" t="str">
        <f>IF(Atletas!M73="","",IF(Atletas!W73&lt;&gt;"",10000,0)+(IF(Atletas!B73="Feminino",1000,IF(Atletas!B73="Masculino",2000,""))+(IF(Atletas!M73="Ditangquan A",201,IF(Atletas!M73="Houquan A",202,IF(Atletas!M73="Zuiquan A",203,IF(Atletas!M73="Ditangquan B",204,IF(Atletas!M73="Houquan B",205,IF(Atletas!M73="Zuiquan B",206,IF(Atletas!M73="Ditangquan C",207,IF(Atletas!M73="Houquan C",208,IF(Atletas!M73="Zuiquan C",209,IF(Atletas!M73="Ditangquan D",210,IF(Atletas!M73="Houquan D",211,IF(Atletas!M73="Zuiquan D",212,IF(Atletas!M73="Ditangquan E",213,IF(Atletas!M73="Houquan E",214,IF(Atletas!M73="Zuiquan E",215,IF(Atletas!M73="Ditangquan F",216,IF(Atletas!M73="Houquan F",217,IF(Atletas!M73="Zuiquan F",218,"")))))))))))))))))))))</f>
        <v/>
      </c>
      <c r="BO77" s="52" t="str">
        <f>IF(Atletas!N73="","",IF(Atletas!W73&lt;&gt;"",10000,0)+IF(Atletas!B73="Feminino",1000,IF(Atletas!B73="Masculino",2000,""))+IF(Atletas!N73="Yang A",301,IF(Atletas!N73="Chen A",30,IF(Atletas!N73="Sun A",303,IF(Atletas!N73="Wu A",304,IF(Atletas!N73="Wu-Hao A",305,IF(Atletas!N73="Outro Taijiquan A",306,IF(Atletas!N73="Yang B",307,IF(Atletas!N73="Chen B",308,IF(Atletas!N73="Sun B",309,IF(Atletas!N73="Wu B",310,IF(Atletas!N73="Wu-Hao B",311,IF(Atletas!N73="Outro Taijiquan B",312,IF(Atletas!N73="Yang C",313,IF(Atletas!N73="Chen C",314,IF(Atletas!N73="Sun C",315,IF(Atletas!N73="Wu C",316,IF(Atletas!N73="Wu-Hao C",317,IF(Atletas!N73="Outro Taijiquan C",318,IF(Atletas!N73="Yang D",319,IF(Atletas!N73="Chen D",320,IF(Atletas!N73="Sun D",321,IF(Atletas!N73="Wu D",322,IF(Atletas!N73="Wu-Hao D",323,IF(Atletas!N73="Outro Taijiquan D",324,IF(Atletas!N73="Yang E",325,IF(Atletas!N73="Chen E",326,IF(Atletas!N73="Sun E",327,IF(Atletas!N73="Wu E",328,IF(Atletas!N73="Wu-Hao E",329,IF(Atletas!N73="Outro Taijiquan E",330,IF(Atletas!N73="Yang F",331,IF(Atletas!N73="Chen F",332,IF(Atletas!N73="Sun F",333,IF(Atletas!N73="Wu F",334,IF(Atletas!N73="Wu-Hao F",335,IF(Atletas!N73="Outro Taijiquan F",336,"")))))))))))))))))))))))))))))))))))))</f>
        <v/>
      </c>
      <c r="BP77" s="52" t="str">
        <f>IF(Atletas!O73="","",IF(Atletas!W73&lt;&gt;"",10000,0)+IF(Atletas!B73="Feminino",1000,IF(Atletas!B73="Masculino",2000,""))+IF(OR(Atletas!O73="Yang 26 A",Atletas!O73="Yang 40 A"),401,IF(OR(Atletas!O73="Chen 25 A",Atletas!O73="Chen 36 A",Atletas!O73="Chen 56 A"),402,IF(Atletas!O73="Sun 73 A",403,IF(Atletas!O73="Wu 45 A",404,IF(Atletas!O73="Wu-Hao 46 A",405,IF(OR(Atletas!O73="Taijiquan 16 A",Atletas!O73="Taijiquan 24 A",Atletas!O73="Taijiquan 32 A",Atletas!O73="Taijiquan 42 A"),406,IF(OR(Atletas!O73="Yang 26 B",Atletas!O73="Yang 40 B"),407,IF(OR(Atletas!O73="Chen 25 B",Atletas!O73="Chen 36 B",Atletas!O73="Chen 56 B"),408,IF(Atletas!O73="Sun 73 B",409,IF(Atletas!O73="Wu 45 B",410,IF(Atletas!O73="Wu-Hao 46 B",411,IF(OR(Atletas!O73="Taijiquan 16 B",Atletas!O73="Taijiquan 24 B",Atletas!O73="Taijiquan 32 B",Atletas!O73="Taijiquan 42 B"),412,IF(OR(Atletas!O73="Yang 26 C",Atletas!O73="Yang 40 C"),413,IF(OR(Atletas!O73="Chen 25 C",Atletas!O73="Chen 36 C",Atletas!O73="Chen 56 C"),414,IF(Atletas!O73="Sun 73 C",415,IF(Atletas!O73="Wu 45 C",416,IF(Atletas!O73="Wu-Hao 46 C",417,IF(OR(Atletas!O73="Taijiquan 16 C",Atletas!O73="Taijiquan 24 C",Atletas!O73="Taijiquan 32 C",Atletas!O73="Taijiquan 42 C"),418,0)))))))))))))))))))</f>
        <v/>
      </c>
      <c r="BQ77" s="52" t="str">
        <f>IF(Atletas!O73="","",IF(Atletas!W73&lt;&gt;"",10000,0)+IF(Atletas!B73="Feminino",1000,IF(Atletas!B73="Masculino",2000,""))+IF(OR(Atletas!O73="Yang 26 D",Atletas!O73="Yang 40 D"),419,IF(OR(Atletas!O73="Chen 25 D",Atletas!O73="Chen 36 D",Atletas!O73="Chen 56 D"),420,IF(Atletas!O73="Sun 73 D",421,IF(Atletas!O73="Wu 45 D",422,IF(Atletas!O73="Wu-Hao 46 D",423,IF(OR(Atletas!O73="Taijiquan 16 D",Atletas!O73="Taijiquan 24 D",Atletas!O73="Taijiquan 32 D",Atletas!O73="Taijiquan 42 D"),424,IF(OR(Atletas!O73="Yang 26 E",Atletas!O73="Yang 40 E"),425,IF(OR(Atletas!O73="Chen 25 E",Atletas!O73="Chen 36 E",Atletas!O73="Chen 56 E"),426,IF(Atletas!O73="Sun 73 E",427,IF(Atletas!O73="Wu 45 E",428,IF(Atletas!O73="Wu-Hao 46 E",429,IF(OR(Atletas!O73="Taijiquan 16 E",Atletas!O73="Taijiquan 24 E",Atletas!O73="Taijiquan 32 E",Atletas!O73="Taijiquan 42 E"),430,IF(OR(Atletas!O73="Yang 26 F",Atletas!O73="Yang 40 F"),431,IF(OR(Atletas!O73="Chen 25 F",Atletas!O73="Chen 36 F",Atletas!O73="Chen 56 F"),432,IF(Atletas!O73="Sun 73 F",433,IF(Atletas!O73="Wu 45 F",434,IF(Atletas!O73="Wu-Hao 46 F",435,IF(OR(Atletas!O73="Taijiquan 16 F",Atletas!O73="Taijiquan 24 F",Atletas!O73="Taijiquan 32 F",Atletas!O73="Taijiquan 42 F"),436,0)))))))))))))))))))</f>
        <v/>
      </c>
      <c r="BR77" s="52" t="str">
        <f>IF(Atletas!P73="","",IF(Atletas!W73&lt;&gt;"",10000,0)+IF(Atletas!B73="Feminino",1000,IF(Atletas!B73="Masculino",2000,""))+IF(Atletas!P73="Xingyiquan A",501,IF(Atletas!P73="Baguazhang A",502,IF(Atletas!P73="Outro Estilo Interno A",503,IF(Atletas!P73="Xingyiquan B",504,IF(Atletas!P73="Baguazhang B",505,IF(Atletas!P73="Outro Estilo Interno B",506,IF(Atletas!P73="Xingyiquan C",507,IF(Atletas!P73="Baguazhang C",508,IF(Atletas!P73="Outro Estilo Interno C",509,IF(Atletas!P73="Xingyiquan D",510,IF(Atletas!P73="Baguazhang D",511,IF(Atletas!P73="Outro Estilo Interno D",512,IF(Atletas!P73="Xingyiquan E",513,IF(Atletas!P73="Baguazhang E",514,IF(Atletas!P73="Outro Estilo Interno E",515,IF(Atletas!P73="Xingyiquan F",516,IF(Atletas!P73="Baguazhang F",517,IF(Atletas!P73="Outro Estilo Interno F",518, "")))))))))))))))))))</f>
        <v/>
      </c>
      <c r="BS77" s="52" t="str">
        <f>IF(Atletas!Q73="","",IF(Atletas!W73&lt;&gt;"",10000,0)+IF(Atletas!B73="Feminino",1000,IF(Atletas!B73="Masculino",2000,""))+IF(Atletas!Q73="Dao A",601,IF(Atletas!Q73="Jian A",602,IF(Atletas!Q73="Bishou A",603,IF(Atletas!Q73="Shan A",604,IF(Atletas!Q73="Outra Arma Curta A",605,IF(Atletas!Q73="Dao B",606,IF(Atletas!Q73="Jian B",607,IF(Atletas!Q73="Bishou B",608,IF(Atletas!Q73="Shan B",609,IF(Atletas!Q73="Outra Arma Curta B",610,IF(Atletas!Q73="Dao C",611,IF(Atletas!Q73="Jian C",612,IF(Atletas!Q73="Bishou C",613,IF(Atletas!Q73="Shan C",614,IF(Atletas!Q73="Outra Arma Curta C",615,IF(Atletas!Q73="Dao D",616,IF(Atletas!Q73="Jian D",617,IF(Atletas!Q73="Bishou D",618,IF(Atletas!Q73="Shan D",619,IF(Atletas!Q73="Outra Arma Curta D",620,IF(Atletas!Q73="Dao E",621,IF(Atletas!Q73="Jian E",622,IF(Atletas!Q73="Bishou E",623,IF(Atletas!Q73="Shan E",624,IF(Atletas!Q73="Outra Arma Curta E",625,IF(Atletas!Q73="Dao F",626,IF(Atletas!Q73="Jian F",627,IF(Atletas!Q73="Bishou F",628,IF(Atletas!Q73="Shan F",629,IF(Atletas!Q73="Outra Arma Curta F",630, "")))))))))))))))))))))))))))))))</f>
        <v/>
      </c>
      <c r="BT77" s="52" t="str">
        <f>IF(Atletas!R73="","",IF(Atletas!W73&lt;&gt;"",10000,0)+IF(Atletas!B73="Feminino",1000,IF(Atletas!B73="Masculino",2000,""))+IF(Atletas!R73="Gun A",701,IF(Atletas!R73="Qiang A",702,IF(Atletas!R73="Pudao / Guandao A",703,IF(Atletas!R73="Outra Arma Longa A",704,IF(Atletas!R73="Gun B",705,IF(Atletas!R73="Qiang B",706,IF(Atletas!R73="Pudao / Guandao B",707,IF(Atletas!R73="Outra Arma Longa B",708,IF(Atletas!R73="Gun C",709,IF(Atletas!R73="Qiang C",710,IF(Atletas!R73="Pudao / Guandao C",711,IF(Atletas!R73="Outra Arma Longa C",712,IF(Atletas!R73="Gun D",713,IF(Atletas!R73="Qiang D",714,IF(Atletas!R73="Pudao / Guandao D",715,IF(Atletas!R73="Outra Arma Longa D",716,IF(Atletas!R73="Gun E",717,IF(Atletas!R73="Qiang E",718,IF(Atletas!R73="Pudao / Guandao E",719,IF(Atletas!R73="Outra Arma Longa E",720,IF(Atletas!R73="Gun F",721,IF(Atletas!R73="Qiang F",722,IF(Atletas!R73="Pudao / Guandao F",723,IF(Atletas!R73="Outra Arma Longa F",724,"")))))))))))))))))))))))))</f>
        <v/>
      </c>
      <c r="BU77" s="52" t="str">
        <f>IF(Atletas!S73="","",IF(Atletas!W73&lt;&gt;"",10000,0)+IF(Atletas!B73="Feminino",1000,IF(Atletas!B73="Masculino",2000,""))+IF(Atletas!S73="Arma Dupla A",801,IF(Atletas!S73="Arma Maleável A",802,IF(Atletas!S73="Arma Dupla B",803,IF(Atletas!S73="Arma Maleável B",804,IF(Atletas!S73="Arma Dupla C",805,IF(Atletas!S73="Arma Maleável C",806,IF(Atletas!S73="Arma Dupla D",807,IF(Atletas!S73="Arma Maleável D",808,IF(Atletas!S73="Arma Dupla E",809,IF(Atletas!S73="Arma Maleável E",810,IF(Atletas!S73="Arma Dupla F",811,IF(Atletas!S73="Arma Maleável F",812, "")))))))))))))</f>
        <v/>
      </c>
      <c r="BV77" s="52" t="str">
        <f>IF(Atletas!T73="","",IF(Atletas!W73&lt;&gt;"",10000,0)+IF(Atletas!B73="Feminino",1000,IF(Atletas!B73="Masculino",2000,""))+IF(Atletas!T73="Taijijian Yang A",901,IF(Atletas!T73="Taijijian Chen A",902,IF(Atletas!T73="Taijijian Sun A",903,IF(Atletas!T73="Taijijian Wu A",904,IF(Atletas!T73="Taijijian Wu-Hao A",905,IF(Atletas!T73="Taijijian 32 A",906,IF(Atletas!T73="Taijijian 42 A",907,IF(Atletas!T73="Taijijian Yang B",908,IF(Atletas!T73="Taijijian Chen B",909,IF(Atletas!T73="Taijijian Sun B",910,IF(Atletas!T73="Taijijian Wu B",911,IF(Atletas!T73="Taijijian Wu-Hao B",912,IF(Atletas!T73="Taijijian 32 B",913,IF(Atletas!T73="Taijijian 42 B",914,IF(Atletas!T73="Taijijian Yang C",915,IF(Atletas!T73="Taijijian Chen C",916,IF(Atletas!T73="Taijijian Sun C",917,IF(Atletas!T73="Taijijian Wu C",918,IF(Atletas!T73="Taijijian Wu-Hao C",919,IF(Atletas!T73="Taijijian 32 C",920,IF(Atletas!T73="Taijijian 42 C",921,IF(Atletas!T73="Taijijian Yang D",922,IF(Atletas!T73="Taijijian Chen D",923,IF(Atletas!T73="Taijijian Sun D",924,IF(Atletas!T73="Taijijian Wu D",925,IF(Atletas!T73="Taijijian Wu-Hao D",926,IF(Atletas!T73="Taijijian 32 D",927,IF(Atletas!T73="Taijijian 42 D",928,IF(Atletas!T73="Taijijian Yang E",929,IF(Atletas!T73="Taijijian Chen E",930,IF(Atletas!T73="Taijijian Sun E",931,IF(Atletas!T73="Taijijian Wu E",932,IF(Atletas!T73="Taijijian Wu-Hao E",933,IF(Atletas!T73="Taijijian 32 E",934,IF(Atletas!T73="Taijijian 42 E",935,IF(Atletas!T73="Taijijian Yang F",936,IF(Atletas!T73="Taijijian Chen F",937,IF(Atletas!T73="Taijijian Sun F",938,IF(Atletas!T73="Taijijian Wu F",939,IF(Atletas!T73="Taijijian Wu-Hao F",940,IF(Atletas!T73="Taijijian 32 F",941,IF(Atletas!T73="Taijijian 42 F",942,"")))))))))))))))))))))))))))))))))))))))))))</f>
        <v/>
      </c>
      <c r="BW77" s="52" t="str">
        <f>IF(Atletas!U73="","",IF(Atletas!W73&lt;&gt;"",10000,0)+IF(Atletas!B73="Feminino",1000,IF(Atletas!B73="Masculino",2000,""))+IF(Atletas!T73="Taijijian 42 F",942,IF(Atletas!U73="Taijidao A",943,IF(Atletas!U73="Taijishan A",944,IF(Atletas!U73="Taijiqiang A",945,IF(Atletas!U73="Taijidao B",946,IF(Atletas!U73="Taijishan B",947,IF(Atletas!U73="Taijiqiang B",948,IF(Atletas!U73="Taijidao C",949,IF(Atletas!U73="Taijishan C",950,IF(Atletas!U73="Taijiqiang C",951,IF(Atletas!U73="Taijidao D",952,IF(Atletas!U73="Taijishan D",953,IF(Atletas!U73="Taijiqiang D",954,IF(Atletas!U73="Taijidao E",955,IF(Atletas!U73="Taijishan E",956,IF(Atletas!U73="Taijiqiang E",957,IF(Atletas!U73="Taijidao F",958,IF(Atletas!U73="Taijishan F",959,IF(Atletas!U73="Taijiqiang F",960))))))))))))))))))))</f>
        <v/>
      </c>
      <c r="BX77" s="64" t="str">
        <f>IF(BY77&lt;&gt;"","Emeiquan D","")</f>
        <v/>
      </c>
      <c r="BY77" s="64" t="str">
        <f>IF(COUNTIF(BK:BW,1141)&gt;0,COUNTIF(BK:BW,1141),"")</f>
        <v/>
      </c>
      <c r="BZ77" s="64" t="str">
        <f>IF(CA77&lt;&gt;"","Emeiquan D","")</f>
        <v/>
      </c>
      <c r="CA77" s="64" t="str">
        <f>IF(COUNTIF(BK:BW,2141)&gt;0,COUNTIF(BK:BW,2141),"")</f>
        <v/>
      </c>
      <c r="CB77" s="64" t="str">
        <f>IF(CC77&lt;&gt;"","Emeiquan D","")</f>
        <v/>
      </c>
      <c r="CC77" s="64" t="str">
        <f>IF(COUNTIF(BK:BW,11141)&gt;0,COUNTIF(BK:BW,11141),"")</f>
        <v/>
      </c>
      <c r="CD77" s="64" t="str">
        <f>IF(CE77&lt;&gt;"","Emeiquan D","")</f>
        <v/>
      </c>
      <c r="CE77" s="64" t="str">
        <f>IF(COUNTIF(BK:BW,12141)&gt;0,COUNTIF(BK:BW,12141),"")</f>
        <v/>
      </c>
      <c r="CF77" s="52" t="str">
        <f xml:space="preserve"> IF(Atletas!V73="","",IF(Atletas!V73="Duilian de Mãos AB - Equipe 1",1,IF(Atletas!V73="Duilian de Mãos AB - Equipe 2",2,IF(Atletas!V73="Duilian de Armas AB - Equipe 1",3,IF(Atletas!V73="Duilian de Armas AB - Equipe 2",4,IF(Atletas!V73="Duilian de Tuishou - Equipe 1",5,IF(Atletas!V73="Duilian de Tuishou - Equipe 2",6,IF(Atletas!V73="Grupo Externo AB - Equipe 1",7,IF(Atletas!V73="Grupo Externo AB - Equipe 2",8,IF(Atletas!V73="Grupo Interno AB - Equipe 1",9,IF(Atletas!V73="Grupo Interno AB - Equipe 2",10,IF(Atletas!V73="Duilian de Mãos CD - Equipe 1",11,IF(Atletas!V73="Duilian de Mãos CD - Equipe 2",12,IF(Atletas!V73="Duilian de Armas CD - Equipe 1",13,IF(Atletas!V73="Duilian de Armas CD - Equipe 2",14,IF(Atletas!V73="Duilian de Tuishou - Equipe 1",15,IF(Atletas!V73="Duilian de Tuishou - Equipe 2",16,IF(Atletas!V73="Grupo Externo CDEF - Equipe 1",17,IF(Atletas!V73="Grupo Externo CDEF - Equipe 2",18,IF(Atletas!V73="Grupo Interno CDEF - Equipe 1",19,IF(Atletas!V73="Grupo Interno CDEF - Equipe 2",20,IF(Atletas!V73="Duilian de Mãos EF - Equipe 1",21,IF(Atletas!V73="Duilian de Mãos EF - Equipe 2",22,IF(Atletas!V73="Duilian de Armas EF - Equipe 1",23,IF(Atletas!V73="Duilian de Armas EF - Equipe 2",24,IF(Atletas!V73="Duilian de Tuishou - Equipe 1",25,IF(Atletas!V73="Duilian de Tuishou - Equipe 2",26,"")))))))))))))))))))))))))))</f>
        <v/>
      </c>
    </row>
    <row r="78" spans="2:96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31"/>
      <c r="U78" s="4"/>
      <c r="V78" s="4" t="str">
        <f t="array" ref="V78">IFERROR(INDEX(BX$7:BX$336,SMALL(IF(BX$7:BX$336&lt;&gt;"",ROW(BX$7:BX$336)-ROW(BX$7)+1),ROWS(BX$7:BX77))),"")</f>
        <v/>
      </c>
      <c r="W78" s="4" t="str">
        <f t="array" ref="W78">IFERROR(INDEX(BY$7:BY$336,SMALL(IF(BY$7:BY$336&lt;&gt;"",ROW(BY$7:BY$336)-ROW(BY$7)+1),ROWS(BY$7:BY77))),"")</f>
        <v/>
      </c>
      <c r="X78" s="4" t="str">
        <f t="array" ref="X78">IFERROR(INDEX(BZ$7:BZ$336,SMALL(IF(BZ$7:BZ$336&lt;&gt;"",ROW(BZ$7:BZ$336)-ROW(BZ$7)+1),ROWS(BZ$7:BZ77))),"")</f>
        <v/>
      </c>
      <c r="Y78" s="4" t="str">
        <f t="array" ref="Y78">IFERROR(INDEX(CA$7:CA$336,SMALL(IF(CA$7:CA$336&lt;&gt;"",ROW(CA$7:CA$336)-ROW(CA$7)+1),ROWS(CA$7:CA77))),"")</f>
        <v/>
      </c>
      <c r="Z78" s="4" t="str">
        <f t="array" ref="Z78">IFERROR(INDEX(CB$7:CB$378,SMALL(IF(CB$7:CB$378&lt;&gt;"",ROW(CB$7:CB$378)-ROW(CB$7)+1),ROWS(CB$7:CB77))),"")</f>
        <v/>
      </c>
      <c r="AA78" s="4" t="str">
        <f t="array" ref="AA78">IFERROR(INDEX(CC$7:CC$378,SMALL(IF(CC$7:CC$378&lt;&gt;"",ROW(CC$7:CC$378)-ROW(CC$7)+1),ROWS(CC$7:CC77))),"")</f>
        <v/>
      </c>
      <c r="AB78" s="4" t="str">
        <f t="array" ref="AB78">IFERROR(INDEX(CD$7:CD$378,SMALL(IF(CD$7:CD$378&lt;&gt;"",ROW(CD$7:CD$378)-ROW(CD$7)+1),ROWS(CD$7:CD77))),"")</f>
        <v/>
      </c>
      <c r="AC78" s="4" t="str">
        <f t="array" ref="AC78">IFERROR(INDEX(CE$7:CE$378,SMALL(IF(CE$7:CE$378&lt;&gt;"",ROW(CE$7:CE$378)-ROW(CE$7)+1),ROWS(CE$7:CE77))),"")</f>
        <v/>
      </c>
      <c r="AD78" s="4"/>
      <c r="AE78" s="4"/>
      <c r="AF78" s="4"/>
      <c r="AG78" s="4"/>
      <c r="AH78" s="4"/>
      <c r="AI78" s="4"/>
      <c r="AJ78" s="46" t="str">
        <f>IF(Atletas!D74="","",IF(Atletas!B74="Feminino",100,IF(Atletas!B74="Masculino",200,""))+(IF(Atletas!D74="Infantil 39kg",1,IF(Atletas!D74="Infantil 42kg",2,IF(Atletas!D74="Infantil 45kg",3,IF(Atletas!D74="Infantil 48kg",4,IF(Atletas!D74="Infantil 52kg",5,IF(Atletas!D74="Infantil 56kg",6,IF(Atletas!D74="Infantil 60kg",7,IF(Atletas!D74="Juvenil 48kg",8,IF(Atletas!D74="Juvenil 52kg",9,IF(Atletas!D74="Juvenil 56kg",10,IF(Atletas!D74="Juvenil 60kg",11,IF(Atletas!D74="Juvenil 65kg",12,IF(Atletas!D74="Juvenil 70kg",13,IF(Atletas!D74="Juvenil 75kg",14,IF(Atletas!D74="Juvenil 80kg",15,IF(Atletas!D74="Adulto 48kg",16,IF(Atletas!D74="Adulto 52kg",17,IF(Atletas!D74="Adulto 56kg",18,IF(Atletas!D74="Adulto 60kg",19,IF(Atletas!D74="Adulto 65kg",20,IF(Atletas!D74="Adulto 70kg",21,IF(Atletas!D74="Adulto 75kg",22,IF(Atletas!D74="Adulto 80kg",23,IF(Atletas!D74="Adulto 85kg",24,IF(Atletas!D74="Adulto 90kg",25,IF(Atletas!D74="Adulto +90kg",26,""))))))))))))))))))))))))))))</f>
        <v/>
      </c>
      <c r="AO78" s="10" t="str">
        <f>IF(Atletas!E74="","",IF(Atletas!B74="Feminino",100,IF(Atletas!B74="Masculino",200,""))+(IF(Atletas!E74="Juvenil 44kg",1,IF(Atletas!E74="Juvenil 48kg",2,IF(Atletas!E74="Juvenil 52kg",3,IF(Atletas!E74="Juvenil 56kg",4,IF(Atletas!E74="Juvenil 60kg",5,IF(Atletas!E74="Juvenil 65kg",6,IF(Atletas!E74="Juvenil 70kg",7,IF(Atletas!E74="Juvenil 75kg",8,IF(Atletas!E74="Juvenil 82kg",9,IF(Atletas!E74="Juvenil 90kg",10,IF(Atletas!E74="Juvenil 100kg",11,IF(Atletas!E74="Adulto 48kg",12,IF(Atletas!E74="Adulto 52kg",13,IF(Atletas!E74="Adulto 56kg",14,IF(Atletas!E74="Adulto 60kg",15,IF(Atletas!E74="Adulto 65kg",16,IF(Atletas!E74="Adulto 70kg",17,IF(Atletas!E74="Adulto 75kg",18,IF(Atletas!E74="Adulto 82kg",19,IF(Atletas!E74="Adulto 90kg",20,IF(Atletas!E74="Adulto 100kg",21,IF(Atletas!E74="Adulto +100kg",22,""))))))))))))))))))))))))</f>
        <v/>
      </c>
      <c r="AT78" s="10" t="str">
        <f>IF(Atletas!F74="","",IF(Atletas!B74="Feminino",100,IF(Atletas!B74="Masculino",200,""))+(IF(Atletas!F74="Adulto 48kg",1,IF(Atletas!F74="Adulto 56kg",2,IF(Atletas!F74="Adulto 65kg",3,IF(Atletas!F74="Adulto 75kg",4,IF(Atletas!F74="Adulto +75kg",5,IF(Atletas!F74="Adulto 52kg",6,IF(Atletas!F74="Adulto 60kg",7,IF(Atletas!F74="Adulto 70kg",8,IF(Atletas!F74="Adulto 80kg",9,IF(Atletas!F74="Adulto 90kg",10,IF(Atletas!F74="Adulto +90kg",11,"")))))))))))))</f>
        <v/>
      </c>
      <c r="AY78" s="46" t="str">
        <f>IF(Atletas!G74="","",IF(Atletas!B74="Feminino",100,IF(Atletas!B74="Masculino",200,""))+(IF(Atletas!G74="Changquan Mirim",1,IF(Atletas!G74="Nanquan Mirim",2,IF(Atletas!G74="Taijiquan Mirim",3,IF(Atletas!G74="Changquan Grupo C",4,IF(Atletas!G74="Nanquan Grupo C",5,IF(Atletas!G74="Taijiquan Grupo C",6,IF(Atletas!G74="Changquan Grupo B",7,IF(Atletas!G74="Nanquan Grupo B",8,IF(Atletas!G74="Taijiquan Grupo B",9,IF(Atletas!G74="Changquan Grupo A",10,IF(Atletas!G74="Nanquan Grupo A",11,IF(Atletas!G74="Taijiquan Grupo A",12,IF(Atletas!G74="Changquan Opcional",13,IF(Atletas!G74="Nanquan Opcional",14,IF(Atletas!G74="Taijiquan Opcional",15,IF(Atletas!G74="Changquan Adulto",16,IF(Atletas!G74="Nanquan Adulto",17,IF(Atletas!G74="Taijiquan Adulto",18,""))))))))))))))))))))</f>
        <v/>
      </c>
      <c r="AZ78" s="46" t="str">
        <f>IF(Atletas!H74="","",IF(Atletas!B74="Feminino",100,IF(Atletas!B74="Masculino",200,""))+(IF(Atletas!H74="Daoshu Mirim",19,IF(Atletas!H74="Jianshu Mirim",20,IF(Atletas!H74="Nandao Mirim",21,IF(Atletas!H74="Taijijian Mirim",22,IF(Atletas!H74="Daoshu Grupo C",23,IF(Atletas!H74="Jianshu Grupo C",24,IF(Atletas!H74="Nandao Grupo C",25,IF(Atletas!H74="Taijijian Grupo C",26,IF(Atletas!H74="Daoshu Grupo B",27,IF(Atletas!H74="Jianshu Grupo B",28,IF(Atletas!H74="Nandao Grupo B",29,IF(Atletas!H74="Taijijian Grupo B",30,IF(Atletas!H74="Daoshu Grupo A",31,IF(Atletas!H74="Jianshu Grupo A",32,IF(Atletas!H74="Nandao Grupo A",33,IF(Atletas!H74="Taijijian Grupo A",34,IF(Atletas!H74="Daoshu Opcional",35,IF(Atletas!H74="Jianshu Opcional",36,IF(Atletas!H74="Nandao Opcional",37,IF(Atletas!H74="Taijijian Opcional",38,IF(Atletas!H74="Daoshu Adulto",39,IF(Atletas!H74="Jianshu Adulto",40,IF(Atletas!H74="Nandao Adulto",41,IF(Atletas!H74="Taijijian Adulto",42,""))))))))))))))))))))))))))</f>
        <v/>
      </c>
      <c r="BA78" s="46" t="str">
        <f>IF(Atletas!I74="","",IF(Atletas!B74="Feminino",100,IF(Atletas!B74="Masculino",200,""))+(IF(Atletas!I74="Gunshu Mirim",43,IF(Atletas!I74="Qiangshu Mirim",44,IF(Atletas!I74="Nangun Mirim",45,IF(Atletas!I74="Gunshu Grupo C",46,IF(Atletas!I74="Qiangshu Grupo C",47,IF(Atletas!I74="Nangun Grupo C",48,IF(Atletas!I74="Gunshu Grupo B",49,IF(Atletas!I74="Qiangshu Grupo B",50,IF(Atletas!I74="Nangun Grupo B",51,IF(Atletas!I74="Gunshu Grupo A",52,IF(Atletas!I74="Qiangshu Grupo A",53,IF(Atletas!I74="Nangun Grupo A",54,IF(Atletas!I74="Gunshu Opcional",55,IF(Atletas!I74="Qiangshu Opcional",56,IF(Atletas!I74="Nangun Opcional",57,IF(Atletas!I74="Gunshu Adulto",58,IF(Atletas!I74="Qiangshu Adulto",59,IF(Atletas!I74="Nangun Adulto",60,""))))))))))))))))))))</f>
        <v/>
      </c>
      <c r="BF78" s="52" t="str">
        <f>IF(Atletas!J74="","",IF(Atletas!B74="Feminino",100,IF(Atletas!B74="Masculino",200,""))+(IF(Atletas!J74="Equipe 1 Grupo B",1,IF(Atletas!J74="Equipe 2 Grupo B",2,IF(Atletas!J74="Equipe 1 Grupo A",3,IF(Atletas!J74="Equipe 2 Grupo A",4,IF(Atletas!J74="Equipe 1 Adulto",5,IF(Atletas!J74="Equipe 2 Adulto",6,""))))))))</f>
        <v/>
      </c>
      <c r="BK78" s="52" t="str">
        <f>IF(Atletas!K74="","",IF(Atletas!W74&lt;&gt;"",10000,0)+(IF(Atletas!B74="Feminino",1000,IF(Atletas!B74="Masculino",2000,""))+IF(Atletas!K74="Choylayfut A",1,IF(Atletas!K74="Hunggar A",2,IF(Atletas!K74="Wuzuquan A",3,IF(Atletas!K74="Wingchun A",4,IF(Atletas!K74="Outra Mão de Sul A",5,IF(Atletas!K74="Choylayfut B",6,IF(Atletas!K74="Hunggar B",7,IF(Atletas!K74="Wuzuquan B",8,IF(Atletas!K74="Wingchun B",9,IF(Atletas!K74="Outra Mão de Sul B",10,IF(Atletas!K74="Choylayfut C",11,IF(Atletas!K74="Hunggar C",12,IF(Atletas!K74="Wuzuquan C",13,IF(Atletas!K74="Wingchun C",14,IF(Atletas!K74="Outra Mão de Sul C",15,IF(Atletas!K74="Choylayfut D",16,IF(Atletas!K74="Hunggar D",17,IF(Atletas!K74="Wuzuquan D",18,IF(Atletas!K74="Wingchun D",19,IF(Atletas!K74="Outra Mão de Sul D",20,IF(Atletas!K74="Choylayfut E",21,IF(Atletas!K74="Hunggar E",22,IF(Atletas!K74="Wuzuquan E",23,IF(Atletas!K74="Wingchun E",24,IF(Atletas!K74="Outra Mão de Sul E",25,IF(Atletas!K74="Choylayfut F",26,IF(Atletas!K74="Hunggar F",27,IF(Atletas!K74="Wuzuquan F",28,IF(Atletas!K74="Wingchun F",29,IF(Atletas!K74="Outra Mão de Sul F",30,""))))))))))))))))))))))))))))))))</f>
        <v/>
      </c>
      <c r="BL78" s="52" t="str">
        <f>IF(Atletas!L74="","",IF(Atletas!W74&lt;&gt;"",10000,0)+(IF(Atletas!B74="Feminino",1000,IF(Atletas!B74="Masculino",2000,""))+(IF(Atletas!L74="Chaquan A",101,IF(Atletas!L74="Emeiquan A",102,IF(Atletas!L74="Fanziquan A",103,IF(Atletas!L74="Huaquan A",104,IF(Atletas!L74="Hongquan A",105,IF(Atletas!L74="Paochui A",106,IF(Atletas!L74="Piguaquan A",107,IF(Atletas!L74="Shaolinquan A",108,IF(Atletas!L74="Tanglangquan A",109,IF(Atletas!L74="Yinzhaophai A",110,IF(Atletas!L74="Tongbeiquan A",111,IF(Atletas!L74="Wudangquan A",112,IF(Atletas!L74="Outros Estilos A",113,IF(Atletas!L74="Chaquan B",114,IF(Atletas!L74="Emeiquan B",115,IF(Atletas!L74="Fanziquan B",116,IF(Atletas!L74="Huaquan B",117,IF(Atletas!L74="Hongquan B",118,IF(Atletas!L74="Paochui B",119,IF(Atletas!L74="Piguaquan B",120,IF(Atletas!L74="Shaolinquan B",121,IF(Atletas!L74="Tanglangquan B",122,IF(Atletas!L74="Yinzhaophai B",123,IF(Atletas!L74="Tongbeiquan B",124,IF(Atletas!L74="Wudangquan B",125,IF(Atletas!L74="Outros Estilos B",126,IF(Atletas!L74="Chaquan C",127,IF(Atletas!L74="Emeiquan C",128,IF(Atletas!L74="Fanziquan C",129,IF(Atletas!L74="Huaquan C",130,IF(Atletas!L74="Hongquan C",131,IF(Atletas!L74="Paochui C",132,IF(Atletas!L74="Piguaquan C",133,IF(Atletas!L74="Shaolinquan C",134,IF(Atletas!L74="Tanglangquan C",135,IF(Atletas!L74="Yinzhaophai C",136,IF(Atletas!L74="Tongbeiquan C",137,IF(Atletas!L74="Wudangquan C",138,IF(Atletas!L74="Outros Estilos C",139,0))))))))))))))))))))))))))))))))))))))))))</f>
        <v/>
      </c>
      <c r="BM78" s="52" t="str">
        <f>IF(Atletas!L74="","",IF(Atletas!W74&lt;&gt;"",10000,0)+(IF(Atletas!B74="Feminino",1000,IF(Atletas!B74="Masculino",2000,""))+(IF(Atletas!L74="Chaquan D",140,IF(Atletas!L74="Emeiquan D",141,IF(Atletas!L74="Fanziquan D",142,IF(Atletas!L74="Huaquan D",143,IF(Atletas!L74="Hongquan D",144,IF(Atletas!L74="Paochui D",145,IF(Atletas!L74="Piguaquan D",146,IF(Atletas!L74="Shaolinquan D",147,IF(Atletas!L74="Tanglangquan D",148,IF(Atletas!L74="Yinzhaophai D",149,IF(Atletas!L74="Tongbeiquan D",150,IF(Atletas!L74="Wudangquan D",151,IF(Atletas!L74="Outros Estilos D",152,IF(Atletas!L74="Chaquan E",153,IF(Atletas!L74="Emeiquan E",154,IF(Atletas!L74="Fanziquan E",155,IF(Atletas!L74="Huaquan E",156,IF(Atletas!L74="Hongquan E",157,IF(Atletas!L74="Paochui E",158,IF(Atletas!L74="Piguaquan E",159,IF(Atletas!L74="Shaolinquan E",160,IF(Atletas!L74="Tanglangquan E",161,IF(Atletas!L74="Yinzhaophai E",162,IF(Atletas!L74="Tongbeiquan E",163,IF(Atletas!L74="Wudangquan E",164,IF(Atletas!L74="Outros Estilos E",165,IF(Atletas!L74="Chaquan F",166,IF(Atletas!L74="Emeiquan F",167,IF(Atletas!L74="Fanziquan F",168,IF(Atletas!L74="Huaquan F",169,IF(Atletas!L74="Hongquan F",170,IF(Atletas!L74="Paochui F",171,IF(Atletas!L74="Piguaquan F",172,IF(Atletas!L74="Shaolinquan F",173,IF(Atletas!L74="Tanglangquan F",174,IF(Atletas!L74="Yinzhaophai F",175,IF(Atletas!L74="Tongbeiquan F",176,IF(Atletas!L74="Wudangquan F",177,IF(Atletas!L74="Outros Estilos F",178,0))))))))))))))))))))))))))))))))))))))))))</f>
        <v/>
      </c>
      <c r="BN78" s="52" t="str">
        <f>IF(Atletas!M74="","",IF(Atletas!W74&lt;&gt;"",10000,0)+(IF(Atletas!B74="Feminino",1000,IF(Atletas!B74="Masculino",2000,""))+(IF(Atletas!M74="Ditangquan A",201,IF(Atletas!M74="Houquan A",202,IF(Atletas!M74="Zuiquan A",203,IF(Atletas!M74="Ditangquan B",204,IF(Atletas!M74="Houquan B",205,IF(Atletas!M74="Zuiquan B",206,IF(Atletas!M74="Ditangquan C",207,IF(Atletas!M74="Houquan C",208,IF(Atletas!M74="Zuiquan C",209,IF(Atletas!M74="Ditangquan D",210,IF(Atletas!M74="Houquan D",211,IF(Atletas!M74="Zuiquan D",212,IF(Atletas!M74="Ditangquan E",213,IF(Atletas!M74="Houquan E",214,IF(Atletas!M74="Zuiquan E",215,IF(Atletas!M74="Ditangquan F",216,IF(Atletas!M74="Houquan F",217,IF(Atletas!M74="Zuiquan F",218,"")))))))))))))))))))))</f>
        <v/>
      </c>
      <c r="BO78" s="52" t="str">
        <f>IF(Atletas!N74="","",IF(Atletas!W74&lt;&gt;"",10000,0)+IF(Atletas!B74="Feminino",1000,IF(Atletas!B74="Masculino",2000,""))+IF(Atletas!N74="Yang A",301,IF(Atletas!N74="Chen A",30,IF(Atletas!N74="Sun A",303,IF(Atletas!N74="Wu A",304,IF(Atletas!N74="Wu-Hao A",305,IF(Atletas!N74="Outro Taijiquan A",306,IF(Atletas!N74="Yang B",307,IF(Atletas!N74="Chen B",308,IF(Atletas!N74="Sun B",309,IF(Atletas!N74="Wu B",310,IF(Atletas!N74="Wu-Hao B",311,IF(Atletas!N74="Outro Taijiquan B",312,IF(Atletas!N74="Yang C",313,IF(Atletas!N74="Chen C",314,IF(Atletas!N74="Sun C",315,IF(Atletas!N74="Wu C",316,IF(Atletas!N74="Wu-Hao C",317,IF(Atletas!N74="Outro Taijiquan C",318,IF(Atletas!N74="Yang D",319,IF(Atletas!N74="Chen D",320,IF(Atletas!N74="Sun D",321,IF(Atletas!N74="Wu D",322,IF(Atletas!N74="Wu-Hao D",323,IF(Atletas!N74="Outro Taijiquan D",324,IF(Atletas!N74="Yang E",325,IF(Atletas!N74="Chen E",326,IF(Atletas!N74="Sun E",327,IF(Atletas!N74="Wu E",328,IF(Atletas!N74="Wu-Hao E",329,IF(Atletas!N74="Outro Taijiquan E",330,IF(Atletas!N74="Yang F",331,IF(Atletas!N74="Chen F",332,IF(Atletas!N74="Sun F",333,IF(Atletas!N74="Wu F",334,IF(Atletas!N74="Wu-Hao F",335,IF(Atletas!N74="Outro Taijiquan F",336,"")))))))))))))))))))))))))))))))))))))</f>
        <v/>
      </c>
      <c r="BP78" s="52" t="str">
        <f>IF(Atletas!O74="","",IF(Atletas!W74&lt;&gt;"",10000,0)+IF(Atletas!B74="Feminino",1000,IF(Atletas!B74="Masculino",2000,""))+IF(OR(Atletas!O74="Yang 26 A",Atletas!O74="Yang 40 A"),401,IF(OR(Atletas!O74="Chen 25 A",Atletas!O74="Chen 36 A",Atletas!O74="Chen 56 A"),402,IF(Atletas!O74="Sun 73 A",403,IF(Atletas!O74="Wu 45 A",404,IF(Atletas!O74="Wu-Hao 46 A",405,IF(OR(Atletas!O74="Taijiquan 16 A",Atletas!O74="Taijiquan 24 A",Atletas!O74="Taijiquan 32 A",Atletas!O74="Taijiquan 42 A"),406,IF(OR(Atletas!O74="Yang 26 B",Atletas!O74="Yang 40 B"),407,IF(OR(Atletas!O74="Chen 25 B",Atletas!O74="Chen 36 B",Atletas!O74="Chen 56 B"),408,IF(Atletas!O74="Sun 73 B",409,IF(Atletas!O74="Wu 45 B",410,IF(Atletas!O74="Wu-Hao 46 B",411,IF(OR(Atletas!O74="Taijiquan 16 B",Atletas!O74="Taijiquan 24 B",Atletas!O74="Taijiquan 32 B",Atletas!O74="Taijiquan 42 B"),412,IF(OR(Atletas!O74="Yang 26 C",Atletas!O74="Yang 40 C"),413,IF(OR(Atletas!O74="Chen 25 C",Atletas!O74="Chen 36 C",Atletas!O74="Chen 56 C"),414,IF(Atletas!O74="Sun 73 C",415,IF(Atletas!O74="Wu 45 C",416,IF(Atletas!O74="Wu-Hao 46 C",417,IF(OR(Atletas!O74="Taijiquan 16 C",Atletas!O74="Taijiquan 24 C",Atletas!O74="Taijiquan 32 C",Atletas!O74="Taijiquan 42 C"),418,0)))))))))))))))))))</f>
        <v/>
      </c>
      <c r="BQ78" s="52" t="str">
        <f>IF(Atletas!O74="","",IF(Atletas!W74&lt;&gt;"",10000,0)+IF(Atletas!B74="Feminino",1000,IF(Atletas!B74="Masculino",2000,""))+IF(OR(Atletas!O74="Yang 26 D",Atletas!O74="Yang 40 D"),419,IF(OR(Atletas!O74="Chen 25 D",Atletas!O74="Chen 36 D",Atletas!O74="Chen 56 D"),420,IF(Atletas!O74="Sun 73 D",421,IF(Atletas!O74="Wu 45 D",422,IF(Atletas!O74="Wu-Hao 46 D",423,IF(OR(Atletas!O74="Taijiquan 16 D",Atletas!O74="Taijiquan 24 D",Atletas!O74="Taijiquan 32 D",Atletas!O74="Taijiquan 42 D"),424,IF(OR(Atletas!O74="Yang 26 E",Atletas!O74="Yang 40 E"),425,IF(OR(Atletas!O74="Chen 25 E",Atletas!O74="Chen 36 E",Atletas!O74="Chen 56 E"),426,IF(Atletas!O74="Sun 73 E",427,IF(Atletas!O74="Wu 45 E",428,IF(Atletas!O74="Wu-Hao 46 E",429,IF(OR(Atletas!O74="Taijiquan 16 E",Atletas!O74="Taijiquan 24 E",Atletas!O74="Taijiquan 32 E",Atletas!O74="Taijiquan 42 E"),430,IF(OR(Atletas!O74="Yang 26 F",Atletas!O74="Yang 40 F"),431,IF(OR(Atletas!O74="Chen 25 F",Atletas!O74="Chen 36 F",Atletas!O74="Chen 56 F"),432,IF(Atletas!O74="Sun 73 F",433,IF(Atletas!O74="Wu 45 F",434,IF(Atletas!O74="Wu-Hao 46 F",435,IF(OR(Atletas!O74="Taijiquan 16 F",Atletas!O74="Taijiquan 24 F",Atletas!O74="Taijiquan 32 F",Atletas!O74="Taijiquan 42 F"),436,0)))))))))))))))))))</f>
        <v/>
      </c>
      <c r="BR78" s="52" t="str">
        <f>IF(Atletas!P74="","",IF(Atletas!W74&lt;&gt;"",10000,0)+IF(Atletas!B74="Feminino",1000,IF(Atletas!B74="Masculino",2000,""))+IF(Atletas!P74="Xingyiquan A",501,IF(Atletas!P74="Baguazhang A",502,IF(Atletas!P74="Outro Estilo Interno A",503,IF(Atletas!P74="Xingyiquan B",504,IF(Atletas!P74="Baguazhang B",505,IF(Atletas!P74="Outro Estilo Interno B",506,IF(Atletas!P74="Xingyiquan C",507,IF(Atletas!P74="Baguazhang C",508,IF(Atletas!P74="Outro Estilo Interno C",509,IF(Atletas!P74="Xingyiquan D",510,IF(Atletas!P74="Baguazhang D",511,IF(Atletas!P74="Outro Estilo Interno D",512,IF(Atletas!P74="Xingyiquan E",513,IF(Atletas!P74="Baguazhang E",514,IF(Atletas!P74="Outro Estilo Interno E",515,IF(Atletas!P74="Xingyiquan F",516,IF(Atletas!P74="Baguazhang F",517,IF(Atletas!P74="Outro Estilo Interno F",518, "")))))))))))))))))))</f>
        <v/>
      </c>
      <c r="BS78" s="52" t="str">
        <f>IF(Atletas!Q74="","",IF(Atletas!W74&lt;&gt;"",10000,0)+IF(Atletas!B74="Feminino",1000,IF(Atletas!B74="Masculino",2000,""))+IF(Atletas!Q74="Dao A",601,IF(Atletas!Q74="Jian A",602,IF(Atletas!Q74="Bishou A",603,IF(Atletas!Q74="Shan A",604,IF(Atletas!Q74="Outra Arma Curta A",605,IF(Atletas!Q74="Dao B",606,IF(Atletas!Q74="Jian B",607,IF(Atletas!Q74="Bishou B",608,IF(Atletas!Q74="Shan B",609,IF(Atletas!Q74="Outra Arma Curta B",610,IF(Atletas!Q74="Dao C",611,IF(Atletas!Q74="Jian C",612,IF(Atletas!Q74="Bishou C",613,IF(Atletas!Q74="Shan C",614,IF(Atletas!Q74="Outra Arma Curta C",615,IF(Atletas!Q74="Dao D",616,IF(Atletas!Q74="Jian D",617,IF(Atletas!Q74="Bishou D",618,IF(Atletas!Q74="Shan D",619,IF(Atletas!Q74="Outra Arma Curta D",620,IF(Atletas!Q74="Dao E",621,IF(Atletas!Q74="Jian E",622,IF(Atletas!Q74="Bishou E",623,IF(Atletas!Q74="Shan E",624,IF(Atletas!Q74="Outra Arma Curta E",625,IF(Atletas!Q74="Dao F",626,IF(Atletas!Q74="Jian F",627,IF(Atletas!Q74="Bishou F",628,IF(Atletas!Q74="Shan F",629,IF(Atletas!Q74="Outra Arma Curta F",630, "")))))))))))))))))))))))))))))))</f>
        <v/>
      </c>
      <c r="BT78" s="52" t="str">
        <f>IF(Atletas!R74="","",IF(Atletas!W74&lt;&gt;"",10000,0)+IF(Atletas!B74="Feminino",1000,IF(Atletas!B74="Masculino",2000,""))+IF(Atletas!R74="Gun A",701,IF(Atletas!R74="Qiang A",702,IF(Atletas!R74="Pudao / Guandao A",703,IF(Atletas!R74="Outra Arma Longa A",704,IF(Atletas!R74="Gun B",705,IF(Atletas!R74="Qiang B",706,IF(Atletas!R74="Pudao / Guandao B",707,IF(Atletas!R74="Outra Arma Longa B",708,IF(Atletas!R74="Gun C",709,IF(Atletas!R74="Qiang C",710,IF(Atletas!R74="Pudao / Guandao C",711,IF(Atletas!R74="Outra Arma Longa C",712,IF(Atletas!R74="Gun D",713,IF(Atletas!R74="Qiang D",714,IF(Atletas!R74="Pudao / Guandao D",715,IF(Atletas!R74="Outra Arma Longa D",716,IF(Atletas!R74="Gun E",717,IF(Atletas!R74="Qiang E",718,IF(Atletas!R74="Pudao / Guandao E",719,IF(Atletas!R74="Outra Arma Longa E",720,IF(Atletas!R74="Gun F",721,IF(Atletas!R74="Qiang F",722,IF(Atletas!R74="Pudao / Guandao F",723,IF(Atletas!R74="Outra Arma Longa F",724,"")))))))))))))))))))))))))</f>
        <v/>
      </c>
      <c r="BU78" s="52" t="str">
        <f>IF(Atletas!S74="","",IF(Atletas!W74&lt;&gt;"",10000,0)+IF(Atletas!B74="Feminino",1000,IF(Atletas!B74="Masculino",2000,""))+IF(Atletas!S74="Arma Dupla A",801,IF(Atletas!S74="Arma Maleável A",802,IF(Atletas!S74="Arma Dupla B",803,IF(Atletas!S74="Arma Maleável B",804,IF(Atletas!S74="Arma Dupla C",805,IF(Atletas!S74="Arma Maleável C",806,IF(Atletas!S74="Arma Dupla D",807,IF(Atletas!S74="Arma Maleável D",808,IF(Atletas!S74="Arma Dupla E",809,IF(Atletas!S74="Arma Maleável E",810,IF(Atletas!S74="Arma Dupla F",811,IF(Atletas!S74="Arma Maleável F",812, "")))))))))))))</f>
        <v/>
      </c>
      <c r="BV78" s="52" t="str">
        <f>IF(Atletas!T74="","",IF(Atletas!W74&lt;&gt;"",10000,0)+IF(Atletas!B74="Feminino",1000,IF(Atletas!B74="Masculino",2000,""))+IF(Atletas!T74="Taijijian Yang A",901,IF(Atletas!T74="Taijijian Chen A",902,IF(Atletas!T74="Taijijian Sun A",903,IF(Atletas!T74="Taijijian Wu A",904,IF(Atletas!T74="Taijijian Wu-Hao A",905,IF(Atletas!T74="Taijijian 32 A",906,IF(Atletas!T74="Taijijian 42 A",907,IF(Atletas!T74="Taijijian Yang B",908,IF(Atletas!T74="Taijijian Chen B",909,IF(Atletas!T74="Taijijian Sun B",910,IF(Atletas!T74="Taijijian Wu B",911,IF(Atletas!T74="Taijijian Wu-Hao B",912,IF(Atletas!T74="Taijijian 32 B",913,IF(Atletas!T74="Taijijian 42 B",914,IF(Atletas!T74="Taijijian Yang C",915,IF(Atletas!T74="Taijijian Chen C",916,IF(Atletas!T74="Taijijian Sun C",917,IF(Atletas!T74="Taijijian Wu C",918,IF(Atletas!T74="Taijijian Wu-Hao C",919,IF(Atletas!T74="Taijijian 32 C",920,IF(Atletas!T74="Taijijian 42 C",921,IF(Atletas!T74="Taijijian Yang D",922,IF(Atletas!T74="Taijijian Chen D",923,IF(Atletas!T74="Taijijian Sun D",924,IF(Atletas!T74="Taijijian Wu D",925,IF(Atletas!T74="Taijijian Wu-Hao D",926,IF(Atletas!T74="Taijijian 32 D",927,IF(Atletas!T74="Taijijian 42 D",928,IF(Atletas!T74="Taijijian Yang E",929,IF(Atletas!T74="Taijijian Chen E",930,IF(Atletas!T74="Taijijian Sun E",931,IF(Atletas!T74="Taijijian Wu E",932,IF(Atletas!T74="Taijijian Wu-Hao E",933,IF(Atletas!T74="Taijijian 32 E",934,IF(Atletas!T74="Taijijian 42 E",935,IF(Atletas!T74="Taijijian Yang F",936,IF(Atletas!T74="Taijijian Chen F",937,IF(Atletas!T74="Taijijian Sun F",938,IF(Atletas!T74="Taijijian Wu F",939,IF(Atletas!T74="Taijijian Wu-Hao F",940,IF(Atletas!T74="Taijijian 32 F",941,IF(Atletas!T74="Taijijian 42 F",942,"")))))))))))))))))))))))))))))))))))))))))))</f>
        <v/>
      </c>
      <c r="BW78" s="52" t="str">
        <f>IF(Atletas!U74="","",IF(Atletas!W74&lt;&gt;"",10000,0)+IF(Atletas!B74="Feminino",1000,IF(Atletas!B74="Masculino",2000,""))+IF(Atletas!T74="Taijijian 42 F",942,IF(Atletas!U74="Taijidao A",943,IF(Atletas!U74="Taijishan A",944,IF(Atletas!U74="Taijiqiang A",945,IF(Atletas!U74="Taijidao B",946,IF(Atletas!U74="Taijishan B",947,IF(Atletas!U74="Taijiqiang B",948,IF(Atletas!U74="Taijidao C",949,IF(Atletas!U74="Taijishan C",950,IF(Atletas!U74="Taijiqiang C",951,IF(Atletas!U74="Taijidao D",952,IF(Atletas!U74="Taijishan D",953,IF(Atletas!U74="Taijiqiang D",954,IF(Atletas!U74="Taijidao E",955,IF(Atletas!U74="Taijishan E",956,IF(Atletas!U74="Taijiqiang E",957,IF(Atletas!U74="Taijidao F",958,IF(Atletas!U74="Taijishan F",959,IF(Atletas!U74="Taijiqiang F",960))))))))))))))))))))</f>
        <v/>
      </c>
      <c r="BX78" s="64" t="str">
        <f>IF(BY78&lt;&gt;"","Fanziquan D","")</f>
        <v/>
      </c>
      <c r="BY78" s="64" t="str">
        <f>IF(COUNTIF(BK:BW,1142)&gt;0,COUNTIF(BK:BW,1142),"")</f>
        <v/>
      </c>
      <c r="BZ78" s="64" t="str">
        <f>IF(CA78&lt;&gt;"","Fanziquan D","")</f>
        <v/>
      </c>
      <c r="CA78" s="64" t="str">
        <f>IF(COUNTIF(BK:BW,2142)&gt;0,COUNTIF(BK:BW,2142),"")</f>
        <v/>
      </c>
      <c r="CB78" s="64" t="str">
        <f>IF(CC78&lt;&gt;"","Fanziquan D","")</f>
        <v/>
      </c>
      <c r="CC78" s="64" t="str">
        <f>IF(COUNTIF(BK:BW,11142)&gt;0,COUNTIF(BK:BW,11142),"")</f>
        <v/>
      </c>
      <c r="CD78" s="64" t="str">
        <f>IF(CE78&lt;&gt;"","Fanziquan D","")</f>
        <v/>
      </c>
      <c r="CE78" s="64" t="str">
        <f>IF(COUNTIF(BK:BW,12142)&gt;0,COUNTIF(BK:BW,12142),"")</f>
        <v/>
      </c>
      <c r="CF78" s="52" t="str">
        <f xml:space="preserve"> IF(Atletas!V74="","",IF(Atletas!V74="Duilian de Mãos AB - Equipe 1",1,IF(Atletas!V74="Duilian de Mãos AB - Equipe 2",2,IF(Atletas!V74="Duilian de Armas AB - Equipe 1",3,IF(Atletas!V74="Duilian de Armas AB - Equipe 2",4,IF(Atletas!V74="Duilian de Tuishou - Equipe 1",5,IF(Atletas!V74="Duilian de Tuishou - Equipe 2",6,IF(Atletas!V74="Grupo Externo AB - Equipe 1",7,IF(Atletas!V74="Grupo Externo AB - Equipe 2",8,IF(Atletas!V74="Grupo Interno AB - Equipe 1",9,IF(Atletas!V74="Grupo Interno AB - Equipe 2",10,IF(Atletas!V74="Duilian de Mãos CD - Equipe 1",11,IF(Atletas!V74="Duilian de Mãos CD - Equipe 2",12,IF(Atletas!V74="Duilian de Armas CD - Equipe 1",13,IF(Atletas!V74="Duilian de Armas CD - Equipe 2",14,IF(Atletas!V74="Duilian de Tuishou - Equipe 1",15,IF(Atletas!V74="Duilian de Tuishou - Equipe 2",16,IF(Atletas!V74="Grupo Externo CDEF - Equipe 1",17,IF(Atletas!V74="Grupo Externo CDEF - Equipe 2",18,IF(Atletas!V74="Grupo Interno CDEF - Equipe 1",19,IF(Atletas!V74="Grupo Interno CDEF - Equipe 2",20,IF(Atletas!V74="Duilian de Mãos EF - Equipe 1",21,IF(Atletas!V74="Duilian de Mãos EF - Equipe 2",22,IF(Atletas!V74="Duilian de Armas EF - Equipe 1",23,IF(Atletas!V74="Duilian de Armas EF - Equipe 2",24,IF(Atletas!V74="Duilian de Tuishou - Equipe 1",25,IF(Atletas!V74="Duilian de Tuishou - Equipe 2",26,"")))))))))))))))))))))))))))</f>
        <v/>
      </c>
    </row>
    <row r="79" spans="2:96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31"/>
      <c r="U79" s="4"/>
      <c r="V79" s="4" t="str">
        <f t="array" ref="V79">IFERROR(INDEX(BX$7:BX$336,SMALL(IF(BX$7:BX$336&lt;&gt;"",ROW(BX$7:BX$336)-ROW(BX$7)+1),ROWS(BX$7:BX78))),"")</f>
        <v/>
      </c>
      <c r="W79" s="4" t="str">
        <f t="array" ref="W79">IFERROR(INDEX(BY$7:BY$336,SMALL(IF(BY$7:BY$336&lt;&gt;"",ROW(BY$7:BY$336)-ROW(BY$7)+1),ROWS(BY$7:BY78))),"")</f>
        <v/>
      </c>
      <c r="X79" s="4" t="str">
        <f t="array" ref="X79">IFERROR(INDEX(BZ$7:BZ$336,SMALL(IF(BZ$7:BZ$336&lt;&gt;"",ROW(BZ$7:BZ$336)-ROW(BZ$7)+1),ROWS(BZ$7:BZ78))),"")</f>
        <v/>
      </c>
      <c r="Y79" s="4" t="str">
        <f t="array" ref="Y79">IFERROR(INDEX(CA$7:CA$336,SMALL(IF(CA$7:CA$336&lt;&gt;"",ROW(CA$7:CA$336)-ROW(CA$7)+1),ROWS(CA$7:CA78))),"")</f>
        <v/>
      </c>
      <c r="Z79" s="4" t="str">
        <f t="array" ref="Z79">IFERROR(INDEX(CB$7:CB$378,SMALL(IF(CB$7:CB$378&lt;&gt;"",ROW(CB$7:CB$378)-ROW(CB$7)+1),ROWS(CB$7:CB78))),"")</f>
        <v/>
      </c>
      <c r="AA79" s="4" t="str">
        <f t="array" ref="AA79">IFERROR(INDEX(CC$7:CC$378,SMALL(IF(CC$7:CC$378&lt;&gt;"",ROW(CC$7:CC$378)-ROW(CC$7)+1),ROWS(CC$7:CC78))),"")</f>
        <v/>
      </c>
      <c r="AB79" s="4" t="str">
        <f t="array" ref="AB79">IFERROR(INDEX(CD$7:CD$378,SMALL(IF(CD$7:CD$378&lt;&gt;"",ROW(CD$7:CD$378)-ROW(CD$7)+1),ROWS(CD$7:CD78))),"")</f>
        <v/>
      </c>
      <c r="AC79" s="4" t="str">
        <f t="array" ref="AC79">IFERROR(INDEX(CE$7:CE$378,SMALL(IF(CE$7:CE$378&lt;&gt;"",ROW(CE$7:CE$378)-ROW(CE$7)+1),ROWS(CE$7:CE78))),"")</f>
        <v/>
      </c>
      <c r="AD79" s="4"/>
      <c r="AE79" s="4"/>
      <c r="AF79" s="4"/>
      <c r="AG79" s="4"/>
      <c r="AH79" s="4"/>
      <c r="AI79" s="4"/>
      <c r="AJ79" s="46" t="str">
        <f>IF(Atletas!D75="","",IF(Atletas!B75="Feminino",100,IF(Atletas!B75="Masculino",200,""))+(IF(Atletas!D75="Infantil 39kg",1,IF(Atletas!D75="Infantil 42kg",2,IF(Atletas!D75="Infantil 45kg",3,IF(Atletas!D75="Infantil 48kg",4,IF(Atletas!D75="Infantil 52kg",5,IF(Atletas!D75="Infantil 56kg",6,IF(Atletas!D75="Infantil 60kg",7,IF(Atletas!D75="Juvenil 48kg",8,IF(Atletas!D75="Juvenil 52kg",9,IF(Atletas!D75="Juvenil 56kg",10,IF(Atletas!D75="Juvenil 60kg",11,IF(Atletas!D75="Juvenil 65kg",12,IF(Atletas!D75="Juvenil 70kg",13,IF(Atletas!D75="Juvenil 75kg",14,IF(Atletas!D75="Juvenil 80kg",15,IF(Atletas!D75="Adulto 48kg",16,IF(Atletas!D75="Adulto 52kg",17,IF(Atletas!D75="Adulto 56kg",18,IF(Atletas!D75="Adulto 60kg",19,IF(Atletas!D75="Adulto 65kg",20,IF(Atletas!D75="Adulto 70kg",21,IF(Atletas!D75="Adulto 75kg",22,IF(Atletas!D75="Adulto 80kg",23,IF(Atletas!D75="Adulto 85kg",24,IF(Atletas!D75="Adulto 90kg",25,IF(Atletas!D75="Adulto +90kg",26,""))))))))))))))))))))))))))))</f>
        <v/>
      </c>
      <c r="AO79" s="10" t="str">
        <f>IF(Atletas!E75="","",IF(Atletas!B75="Feminino",100,IF(Atletas!B75="Masculino",200,""))+(IF(Atletas!E75="Juvenil 44kg",1,IF(Atletas!E75="Juvenil 48kg",2,IF(Atletas!E75="Juvenil 52kg",3,IF(Atletas!E75="Juvenil 56kg",4,IF(Atletas!E75="Juvenil 60kg",5,IF(Atletas!E75="Juvenil 65kg",6,IF(Atletas!E75="Juvenil 70kg",7,IF(Atletas!E75="Juvenil 75kg",8,IF(Atletas!E75="Juvenil 82kg",9,IF(Atletas!E75="Juvenil 90kg",10,IF(Atletas!E75="Juvenil 100kg",11,IF(Atletas!E75="Adulto 48kg",12,IF(Atletas!E75="Adulto 52kg",13,IF(Atletas!E75="Adulto 56kg",14,IF(Atletas!E75="Adulto 60kg",15,IF(Atletas!E75="Adulto 65kg",16,IF(Atletas!E75="Adulto 70kg",17,IF(Atletas!E75="Adulto 75kg",18,IF(Atletas!E75="Adulto 82kg",19,IF(Atletas!E75="Adulto 90kg",20,IF(Atletas!E75="Adulto 100kg",21,IF(Atletas!E75="Adulto +100kg",22,""))))))))))))))))))))))))</f>
        <v/>
      </c>
      <c r="AT79" s="10" t="str">
        <f>IF(Atletas!F75="","",IF(Atletas!B75="Feminino",100,IF(Atletas!B75="Masculino",200,""))+(IF(Atletas!F75="Adulto 48kg",1,IF(Atletas!F75="Adulto 56kg",2,IF(Atletas!F75="Adulto 65kg",3,IF(Atletas!F75="Adulto 75kg",4,IF(Atletas!F75="Adulto +75kg",5,IF(Atletas!F75="Adulto 52kg",6,IF(Atletas!F75="Adulto 60kg",7,IF(Atletas!F75="Adulto 70kg",8,IF(Atletas!F75="Adulto 80kg",9,IF(Atletas!F75="Adulto 90kg",10,IF(Atletas!F75="Adulto +90kg",11,"")))))))))))))</f>
        <v/>
      </c>
      <c r="AY79" s="46" t="str">
        <f>IF(Atletas!G75="","",IF(Atletas!B75="Feminino",100,IF(Atletas!B75="Masculino",200,""))+(IF(Atletas!G75="Changquan Mirim",1,IF(Atletas!G75="Nanquan Mirim",2,IF(Atletas!G75="Taijiquan Mirim",3,IF(Atletas!G75="Changquan Grupo C",4,IF(Atletas!G75="Nanquan Grupo C",5,IF(Atletas!G75="Taijiquan Grupo C",6,IF(Atletas!G75="Changquan Grupo B",7,IF(Atletas!G75="Nanquan Grupo B",8,IF(Atletas!G75="Taijiquan Grupo B",9,IF(Atletas!G75="Changquan Grupo A",10,IF(Atletas!G75="Nanquan Grupo A",11,IF(Atletas!G75="Taijiquan Grupo A",12,IF(Atletas!G75="Changquan Opcional",13,IF(Atletas!G75="Nanquan Opcional",14,IF(Atletas!G75="Taijiquan Opcional",15,IF(Atletas!G75="Changquan Adulto",16,IF(Atletas!G75="Nanquan Adulto",17,IF(Atletas!G75="Taijiquan Adulto",18,""))))))))))))))))))))</f>
        <v/>
      </c>
      <c r="AZ79" s="46" t="str">
        <f>IF(Atletas!H75="","",IF(Atletas!B75="Feminino",100,IF(Atletas!B75="Masculino",200,""))+(IF(Atletas!H75="Daoshu Mirim",19,IF(Atletas!H75="Jianshu Mirim",20,IF(Atletas!H75="Nandao Mirim",21,IF(Atletas!H75="Taijijian Mirim",22,IF(Atletas!H75="Daoshu Grupo C",23,IF(Atletas!H75="Jianshu Grupo C",24,IF(Atletas!H75="Nandao Grupo C",25,IF(Atletas!H75="Taijijian Grupo C",26,IF(Atletas!H75="Daoshu Grupo B",27,IF(Atletas!H75="Jianshu Grupo B",28,IF(Atletas!H75="Nandao Grupo B",29,IF(Atletas!H75="Taijijian Grupo B",30,IF(Atletas!H75="Daoshu Grupo A",31,IF(Atletas!H75="Jianshu Grupo A",32,IF(Atletas!H75="Nandao Grupo A",33,IF(Atletas!H75="Taijijian Grupo A",34,IF(Atletas!H75="Daoshu Opcional",35,IF(Atletas!H75="Jianshu Opcional",36,IF(Atletas!H75="Nandao Opcional",37,IF(Atletas!H75="Taijijian Opcional",38,IF(Atletas!H75="Daoshu Adulto",39,IF(Atletas!H75="Jianshu Adulto",40,IF(Atletas!H75="Nandao Adulto",41,IF(Atletas!H75="Taijijian Adulto",42,""))))))))))))))))))))))))))</f>
        <v/>
      </c>
      <c r="BA79" s="46" t="str">
        <f>IF(Atletas!I75="","",IF(Atletas!B75="Feminino",100,IF(Atletas!B75="Masculino",200,""))+(IF(Atletas!I75="Gunshu Mirim",43,IF(Atletas!I75="Qiangshu Mirim",44,IF(Atletas!I75="Nangun Mirim",45,IF(Atletas!I75="Gunshu Grupo C",46,IF(Atletas!I75="Qiangshu Grupo C",47,IF(Atletas!I75="Nangun Grupo C",48,IF(Atletas!I75="Gunshu Grupo B",49,IF(Atletas!I75="Qiangshu Grupo B",50,IF(Atletas!I75="Nangun Grupo B",51,IF(Atletas!I75="Gunshu Grupo A",52,IF(Atletas!I75="Qiangshu Grupo A",53,IF(Atletas!I75="Nangun Grupo A",54,IF(Atletas!I75="Gunshu Opcional",55,IF(Atletas!I75="Qiangshu Opcional",56,IF(Atletas!I75="Nangun Opcional",57,IF(Atletas!I75="Gunshu Adulto",58,IF(Atletas!I75="Qiangshu Adulto",59,IF(Atletas!I75="Nangun Adulto",60,""))))))))))))))))))))</f>
        <v/>
      </c>
      <c r="BF79" s="52" t="str">
        <f>IF(Atletas!J75="","",IF(Atletas!B75="Feminino",100,IF(Atletas!B75="Masculino",200,""))+(IF(Atletas!J75="Equipe 1 Grupo B",1,IF(Atletas!J75="Equipe 2 Grupo B",2,IF(Atletas!J75="Equipe 1 Grupo A",3,IF(Atletas!J75="Equipe 2 Grupo A",4,IF(Atletas!J75="Equipe 1 Adulto",5,IF(Atletas!J75="Equipe 2 Adulto",6,""))))))))</f>
        <v/>
      </c>
      <c r="BK79" s="52" t="str">
        <f>IF(Atletas!K75="","",IF(Atletas!W75&lt;&gt;"",10000,0)+(IF(Atletas!B75="Feminino",1000,IF(Atletas!B75="Masculino",2000,""))+IF(Atletas!K75="Choylayfut A",1,IF(Atletas!K75="Hunggar A",2,IF(Atletas!K75="Wuzuquan A",3,IF(Atletas!K75="Wingchun A",4,IF(Atletas!K75="Outra Mão de Sul A",5,IF(Atletas!K75="Choylayfut B",6,IF(Atletas!K75="Hunggar B",7,IF(Atletas!K75="Wuzuquan B",8,IF(Atletas!K75="Wingchun B",9,IF(Atletas!K75="Outra Mão de Sul B",10,IF(Atletas!K75="Choylayfut C",11,IF(Atletas!K75="Hunggar C",12,IF(Atletas!K75="Wuzuquan C",13,IF(Atletas!K75="Wingchun C",14,IF(Atletas!K75="Outra Mão de Sul C",15,IF(Atletas!K75="Choylayfut D",16,IF(Atletas!K75="Hunggar D",17,IF(Atletas!K75="Wuzuquan D",18,IF(Atletas!K75="Wingchun D",19,IF(Atletas!K75="Outra Mão de Sul D",20,IF(Atletas!K75="Choylayfut E",21,IF(Atletas!K75="Hunggar E",22,IF(Atletas!K75="Wuzuquan E",23,IF(Atletas!K75="Wingchun E",24,IF(Atletas!K75="Outra Mão de Sul E",25,IF(Atletas!K75="Choylayfut F",26,IF(Atletas!K75="Hunggar F",27,IF(Atletas!K75="Wuzuquan F",28,IF(Atletas!K75="Wingchun F",29,IF(Atletas!K75="Outra Mão de Sul F",30,""))))))))))))))))))))))))))))))))</f>
        <v/>
      </c>
      <c r="BL79" s="52" t="str">
        <f>IF(Atletas!L75="","",IF(Atletas!W75&lt;&gt;"",10000,0)+(IF(Atletas!B75="Feminino",1000,IF(Atletas!B75="Masculino",2000,""))+(IF(Atletas!L75="Chaquan A",101,IF(Atletas!L75="Emeiquan A",102,IF(Atletas!L75="Fanziquan A",103,IF(Atletas!L75="Huaquan A",104,IF(Atletas!L75="Hongquan A",105,IF(Atletas!L75="Paochui A",106,IF(Atletas!L75="Piguaquan A",107,IF(Atletas!L75="Shaolinquan A",108,IF(Atletas!L75="Tanglangquan A",109,IF(Atletas!L75="Yinzhaophai A",110,IF(Atletas!L75="Tongbeiquan A",111,IF(Atletas!L75="Wudangquan A",112,IF(Atletas!L75="Outros Estilos A",113,IF(Atletas!L75="Chaquan B",114,IF(Atletas!L75="Emeiquan B",115,IF(Atletas!L75="Fanziquan B",116,IF(Atletas!L75="Huaquan B",117,IF(Atletas!L75="Hongquan B",118,IF(Atletas!L75="Paochui B",119,IF(Atletas!L75="Piguaquan B",120,IF(Atletas!L75="Shaolinquan B",121,IF(Atletas!L75="Tanglangquan B",122,IF(Atletas!L75="Yinzhaophai B",123,IF(Atletas!L75="Tongbeiquan B",124,IF(Atletas!L75="Wudangquan B",125,IF(Atletas!L75="Outros Estilos B",126,IF(Atletas!L75="Chaquan C",127,IF(Atletas!L75="Emeiquan C",128,IF(Atletas!L75="Fanziquan C",129,IF(Atletas!L75="Huaquan C",130,IF(Atletas!L75="Hongquan C",131,IF(Atletas!L75="Paochui C",132,IF(Atletas!L75="Piguaquan C",133,IF(Atletas!L75="Shaolinquan C",134,IF(Atletas!L75="Tanglangquan C",135,IF(Atletas!L75="Yinzhaophai C",136,IF(Atletas!L75="Tongbeiquan C",137,IF(Atletas!L75="Wudangquan C",138,IF(Atletas!L75="Outros Estilos C",139,0))))))))))))))))))))))))))))))))))))))))))</f>
        <v/>
      </c>
      <c r="BM79" s="52" t="str">
        <f>IF(Atletas!L75="","",IF(Atletas!W75&lt;&gt;"",10000,0)+(IF(Atletas!B75="Feminino",1000,IF(Atletas!B75="Masculino",2000,""))+(IF(Atletas!L75="Chaquan D",140,IF(Atletas!L75="Emeiquan D",141,IF(Atletas!L75="Fanziquan D",142,IF(Atletas!L75="Huaquan D",143,IF(Atletas!L75="Hongquan D",144,IF(Atletas!L75="Paochui D",145,IF(Atletas!L75="Piguaquan D",146,IF(Atletas!L75="Shaolinquan D",147,IF(Atletas!L75="Tanglangquan D",148,IF(Atletas!L75="Yinzhaophai D",149,IF(Atletas!L75="Tongbeiquan D",150,IF(Atletas!L75="Wudangquan D",151,IF(Atletas!L75="Outros Estilos D",152,IF(Atletas!L75="Chaquan E",153,IF(Atletas!L75="Emeiquan E",154,IF(Atletas!L75="Fanziquan E",155,IF(Atletas!L75="Huaquan E",156,IF(Atletas!L75="Hongquan E",157,IF(Atletas!L75="Paochui E",158,IF(Atletas!L75="Piguaquan E",159,IF(Atletas!L75="Shaolinquan E",160,IF(Atletas!L75="Tanglangquan E",161,IF(Atletas!L75="Yinzhaophai E",162,IF(Atletas!L75="Tongbeiquan E",163,IF(Atletas!L75="Wudangquan E",164,IF(Atletas!L75="Outros Estilos E",165,IF(Atletas!L75="Chaquan F",166,IF(Atletas!L75="Emeiquan F",167,IF(Atletas!L75="Fanziquan F",168,IF(Atletas!L75="Huaquan F",169,IF(Atletas!L75="Hongquan F",170,IF(Atletas!L75="Paochui F",171,IF(Atletas!L75="Piguaquan F",172,IF(Atletas!L75="Shaolinquan F",173,IF(Atletas!L75="Tanglangquan F",174,IF(Atletas!L75="Yinzhaophai F",175,IF(Atletas!L75="Tongbeiquan F",176,IF(Atletas!L75="Wudangquan F",177,IF(Atletas!L75="Outros Estilos F",178,0))))))))))))))))))))))))))))))))))))))))))</f>
        <v/>
      </c>
      <c r="BN79" s="52" t="str">
        <f>IF(Atletas!M75="","",IF(Atletas!W75&lt;&gt;"",10000,0)+(IF(Atletas!B75="Feminino",1000,IF(Atletas!B75="Masculino",2000,""))+(IF(Atletas!M75="Ditangquan A",201,IF(Atletas!M75="Houquan A",202,IF(Atletas!M75="Zuiquan A",203,IF(Atletas!M75="Ditangquan B",204,IF(Atletas!M75="Houquan B",205,IF(Atletas!M75="Zuiquan B",206,IF(Atletas!M75="Ditangquan C",207,IF(Atletas!M75="Houquan C",208,IF(Atletas!M75="Zuiquan C",209,IF(Atletas!M75="Ditangquan D",210,IF(Atletas!M75="Houquan D",211,IF(Atletas!M75="Zuiquan D",212,IF(Atletas!M75="Ditangquan E",213,IF(Atletas!M75="Houquan E",214,IF(Atletas!M75="Zuiquan E",215,IF(Atletas!M75="Ditangquan F",216,IF(Atletas!M75="Houquan F",217,IF(Atletas!M75="Zuiquan F",218,"")))))))))))))))))))))</f>
        <v/>
      </c>
      <c r="BO79" s="52" t="str">
        <f>IF(Atletas!N75="","",IF(Atletas!W75&lt;&gt;"",10000,0)+IF(Atletas!B75="Feminino",1000,IF(Atletas!B75="Masculino",2000,""))+IF(Atletas!N75="Yang A",301,IF(Atletas!N75="Chen A",30,IF(Atletas!N75="Sun A",303,IF(Atletas!N75="Wu A",304,IF(Atletas!N75="Wu-Hao A",305,IF(Atletas!N75="Outro Taijiquan A",306,IF(Atletas!N75="Yang B",307,IF(Atletas!N75="Chen B",308,IF(Atletas!N75="Sun B",309,IF(Atletas!N75="Wu B",310,IF(Atletas!N75="Wu-Hao B",311,IF(Atletas!N75="Outro Taijiquan B",312,IF(Atletas!N75="Yang C",313,IF(Atletas!N75="Chen C",314,IF(Atletas!N75="Sun C",315,IF(Atletas!N75="Wu C",316,IF(Atletas!N75="Wu-Hao C",317,IF(Atletas!N75="Outro Taijiquan C",318,IF(Atletas!N75="Yang D",319,IF(Atletas!N75="Chen D",320,IF(Atletas!N75="Sun D",321,IF(Atletas!N75="Wu D",322,IF(Atletas!N75="Wu-Hao D",323,IF(Atletas!N75="Outro Taijiquan D",324,IF(Atletas!N75="Yang E",325,IF(Atletas!N75="Chen E",326,IF(Atletas!N75="Sun E",327,IF(Atletas!N75="Wu E",328,IF(Atletas!N75="Wu-Hao E",329,IF(Atletas!N75="Outro Taijiquan E",330,IF(Atletas!N75="Yang F",331,IF(Atletas!N75="Chen F",332,IF(Atletas!N75="Sun F",333,IF(Atletas!N75="Wu F",334,IF(Atletas!N75="Wu-Hao F",335,IF(Atletas!N75="Outro Taijiquan F",336,"")))))))))))))))))))))))))))))))))))))</f>
        <v/>
      </c>
      <c r="BP79" s="52" t="str">
        <f>IF(Atletas!O75="","",IF(Atletas!W75&lt;&gt;"",10000,0)+IF(Atletas!B75="Feminino",1000,IF(Atletas!B75="Masculino",2000,""))+IF(OR(Atletas!O75="Yang 26 A",Atletas!O75="Yang 40 A"),401,IF(OR(Atletas!O75="Chen 25 A",Atletas!O75="Chen 36 A",Atletas!O75="Chen 56 A"),402,IF(Atletas!O75="Sun 73 A",403,IF(Atletas!O75="Wu 45 A",404,IF(Atletas!O75="Wu-Hao 46 A",405,IF(OR(Atletas!O75="Taijiquan 16 A",Atletas!O75="Taijiquan 24 A",Atletas!O75="Taijiquan 32 A",Atletas!O75="Taijiquan 42 A"),406,IF(OR(Atletas!O75="Yang 26 B",Atletas!O75="Yang 40 B"),407,IF(OR(Atletas!O75="Chen 25 B",Atletas!O75="Chen 36 B",Atletas!O75="Chen 56 B"),408,IF(Atletas!O75="Sun 73 B",409,IF(Atletas!O75="Wu 45 B",410,IF(Atletas!O75="Wu-Hao 46 B",411,IF(OR(Atletas!O75="Taijiquan 16 B",Atletas!O75="Taijiquan 24 B",Atletas!O75="Taijiquan 32 B",Atletas!O75="Taijiquan 42 B"),412,IF(OR(Atletas!O75="Yang 26 C",Atletas!O75="Yang 40 C"),413,IF(OR(Atletas!O75="Chen 25 C",Atletas!O75="Chen 36 C",Atletas!O75="Chen 56 C"),414,IF(Atletas!O75="Sun 73 C",415,IF(Atletas!O75="Wu 45 C",416,IF(Atletas!O75="Wu-Hao 46 C",417,IF(OR(Atletas!O75="Taijiquan 16 C",Atletas!O75="Taijiquan 24 C",Atletas!O75="Taijiquan 32 C",Atletas!O75="Taijiquan 42 C"),418,0)))))))))))))))))))</f>
        <v/>
      </c>
      <c r="BQ79" s="52" t="str">
        <f>IF(Atletas!O75="","",IF(Atletas!W75&lt;&gt;"",10000,0)+IF(Atletas!B75="Feminino",1000,IF(Atletas!B75="Masculino",2000,""))+IF(OR(Atletas!O75="Yang 26 D",Atletas!O75="Yang 40 D"),419,IF(OR(Atletas!O75="Chen 25 D",Atletas!O75="Chen 36 D",Atletas!O75="Chen 56 D"),420,IF(Atletas!O75="Sun 73 D",421,IF(Atletas!O75="Wu 45 D",422,IF(Atletas!O75="Wu-Hao 46 D",423,IF(OR(Atletas!O75="Taijiquan 16 D",Atletas!O75="Taijiquan 24 D",Atletas!O75="Taijiquan 32 D",Atletas!O75="Taijiquan 42 D"),424,IF(OR(Atletas!O75="Yang 26 E",Atletas!O75="Yang 40 E"),425,IF(OR(Atletas!O75="Chen 25 E",Atletas!O75="Chen 36 E",Atletas!O75="Chen 56 E"),426,IF(Atletas!O75="Sun 73 E",427,IF(Atletas!O75="Wu 45 E",428,IF(Atletas!O75="Wu-Hao 46 E",429,IF(OR(Atletas!O75="Taijiquan 16 E",Atletas!O75="Taijiquan 24 E",Atletas!O75="Taijiquan 32 E",Atletas!O75="Taijiquan 42 E"),430,IF(OR(Atletas!O75="Yang 26 F",Atletas!O75="Yang 40 F"),431,IF(OR(Atletas!O75="Chen 25 F",Atletas!O75="Chen 36 F",Atletas!O75="Chen 56 F"),432,IF(Atletas!O75="Sun 73 F",433,IF(Atletas!O75="Wu 45 F",434,IF(Atletas!O75="Wu-Hao 46 F",435,IF(OR(Atletas!O75="Taijiquan 16 F",Atletas!O75="Taijiquan 24 F",Atletas!O75="Taijiquan 32 F",Atletas!O75="Taijiquan 42 F"),436,0)))))))))))))))))))</f>
        <v/>
      </c>
      <c r="BR79" s="52" t="str">
        <f>IF(Atletas!P75="","",IF(Atletas!W75&lt;&gt;"",10000,0)+IF(Atletas!B75="Feminino",1000,IF(Atletas!B75="Masculino",2000,""))+IF(Atletas!P75="Xingyiquan A",501,IF(Atletas!P75="Baguazhang A",502,IF(Atletas!P75="Outro Estilo Interno A",503,IF(Atletas!P75="Xingyiquan B",504,IF(Atletas!P75="Baguazhang B",505,IF(Atletas!P75="Outro Estilo Interno B",506,IF(Atletas!P75="Xingyiquan C",507,IF(Atletas!P75="Baguazhang C",508,IF(Atletas!P75="Outro Estilo Interno C",509,IF(Atletas!P75="Xingyiquan D",510,IF(Atletas!P75="Baguazhang D",511,IF(Atletas!P75="Outro Estilo Interno D",512,IF(Atletas!P75="Xingyiquan E",513,IF(Atletas!P75="Baguazhang E",514,IF(Atletas!P75="Outro Estilo Interno E",515,IF(Atletas!P75="Xingyiquan F",516,IF(Atletas!P75="Baguazhang F",517,IF(Atletas!P75="Outro Estilo Interno F",518, "")))))))))))))))))))</f>
        <v/>
      </c>
      <c r="BS79" s="52" t="str">
        <f>IF(Atletas!Q75="","",IF(Atletas!W75&lt;&gt;"",10000,0)+IF(Atletas!B75="Feminino",1000,IF(Atletas!B75="Masculino",2000,""))+IF(Atletas!Q75="Dao A",601,IF(Atletas!Q75="Jian A",602,IF(Atletas!Q75="Bishou A",603,IF(Atletas!Q75="Shan A",604,IF(Atletas!Q75="Outra Arma Curta A",605,IF(Atletas!Q75="Dao B",606,IF(Atletas!Q75="Jian B",607,IF(Atletas!Q75="Bishou B",608,IF(Atletas!Q75="Shan B",609,IF(Atletas!Q75="Outra Arma Curta B",610,IF(Atletas!Q75="Dao C",611,IF(Atletas!Q75="Jian C",612,IF(Atletas!Q75="Bishou C",613,IF(Atletas!Q75="Shan C",614,IF(Atletas!Q75="Outra Arma Curta C",615,IF(Atletas!Q75="Dao D",616,IF(Atletas!Q75="Jian D",617,IF(Atletas!Q75="Bishou D",618,IF(Atletas!Q75="Shan D",619,IF(Atletas!Q75="Outra Arma Curta D",620,IF(Atletas!Q75="Dao E",621,IF(Atletas!Q75="Jian E",622,IF(Atletas!Q75="Bishou E",623,IF(Atletas!Q75="Shan E",624,IF(Atletas!Q75="Outra Arma Curta E",625,IF(Atletas!Q75="Dao F",626,IF(Atletas!Q75="Jian F",627,IF(Atletas!Q75="Bishou F",628,IF(Atletas!Q75="Shan F",629,IF(Atletas!Q75="Outra Arma Curta F",630, "")))))))))))))))))))))))))))))))</f>
        <v/>
      </c>
      <c r="BT79" s="52" t="str">
        <f>IF(Atletas!R75="","",IF(Atletas!W75&lt;&gt;"",10000,0)+IF(Atletas!B75="Feminino",1000,IF(Atletas!B75="Masculino",2000,""))+IF(Atletas!R75="Gun A",701,IF(Atletas!R75="Qiang A",702,IF(Atletas!R75="Pudao / Guandao A",703,IF(Atletas!R75="Outra Arma Longa A",704,IF(Atletas!R75="Gun B",705,IF(Atletas!R75="Qiang B",706,IF(Atletas!R75="Pudao / Guandao B",707,IF(Atletas!R75="Outra Arma Longa B",708,IF(Atletas!R75="Gun C",709,IF(Atletas!R75="Qiang C",710,IF(Atletas!R75="Pudao / Guandao C",711,IF(Atletas!R75="Outra Arma Longa C",712,IF(Atletas!R75="Gun D",713,IF(Atletas!R75="Qiang D",714,IF(Atletas!R75="Pudao / Guandao D",715,IF(Atletas!R75="Outra Arma Longa D",716,IF(Atletas!R75="Gun E",717,IF(Atletas!R75="Qiang E",718,IF(Atletas!R75="Pudao / Guandao E",719,IF(Atletas!R75="Outra Arma Longa E",720,IF(Atletas!R75="Gun F",721,IF(Atletas!R75="Qiang F",722,IF(Atletas!R75="Pudao / Guandao F",723,IF(Atletas!R75="Outra Arma Longa F",724,"")))))))))))))))))))))))))</f>
        <v/>
      </c>
      <c r="BU79" s="52" t="str">
        <f>IF(Atletas!S75="","",IF(Atletas!W75&lt;&gt;"",10000,0)+IF(Atletas!B75="Feminino",1000,IF(Atletas!B75="Masculino",2000,""))+IF(Atletas!S75="Arma Dupla A",801,IF(Atletas!S75="Arma Maleável A",802,IF(Atletas!S75="Arma Dupla B",803,IF(Atletas!S75="Arma Maleável B",804,IF(Atletas!S75="Arma Dupla C",805,IF(Atletas!S75="Arma Maleável C",806,IF(Atletas!S75="Arma Dupla D",807,IF(Atletas!S75="Arma Maleável D",808,IF(Atletas!S75="Arma Dupla E",809,IF(Atletas!S75="Arma Maleável E",810,IF(Atletas!S75="Arma Dupla F",811,IF(Atletas!S75="Arma Maleável F",812, "")))))))))))))</f>
        <v/>
      </c>
      <c r="BV79" s="52" t="str">
        <f>IF(Atletas!T75="","",IF(Atletas!W75&lt;&gt;"",10000,0)+IF(Atletas!B75="Feminino",1000,IF(Atletas!B75="Masculino",2000,""))+IF(Atletas!T75="Taijijian Yang A",901,IF(Atletas!T75="Taijijian Chen A",902,IF(Atletas!T75="Taijijian Sun A",903,IF(Atletas!T75="Taijijian Wu A",904,IF(Atletas!T75="Taijijian Wu-Hao A",905,IF(Atletas!T75="Taijijian 32 A",906,IF(Atletas!T75="Taijijian 42 A",907,IF(Atletas!T75="Taijijian Yang B",908,IF(Atletas!T75="Taijijian Chen B",909,IF(Atletas!T75="Taijijian Sun B",910,IF(Atletas!T75="Taijijian Wu B",911,IF(Atletas!T75="Taijijian Wu-Hao B",912,IF(Atletas!T75="Taijijian 32 B",913,IF(Atletas!T75="Taijijian 42 B",914,IF(Atletas!T75="Taijijian Yang C",915,IF(Atletas!T75="Taijijian Chen C",916,IF(Atletas!T75="Taijijian Sun C",917,IF(Atletas!T75="Taijijian Wu C",918,IF(Atletas!T75="Taijijian Wu-Hao C",919,IF(Atletas!T75="Taijijian 32 C",920,IF(Atletas!T75="Taijijian 42 C",921,IF(Atletas!T75="Taijijian Yang D",922,IF(Atletas!T75="Taijijian Chen D",923,IF(Atletas!T75="Taijijian Sun D",924,IF(Atletas!T75="Taijijian Wu D",925,IF(Atletas!T75="Taijijian Wu-Hao D",926,IF(Atletas!T75="Taijijian 32 D",927,IF(Atletas!T75="Taijijian 42 D",928,IF(Atletas!T75="Taijijian Yang E",929,IF(Atletas!T75="Taijijian Chen E",930,IF(Atletas!T75="Taijijian Sun E",931,IF(Atletas!T75="Taijijian Wu E",932,IF(Atletas!T75="Taijijian Wu-Hao E",933,IF(Atletas!T75="Taijijian 32 E",934,IF(Atletas!T75="Taijijian 42 E",935,IF(Atletas!T75="Taijijian Yang F",936,IF(Atletas!T75="Taijijian Chen F",937,IF(Atletas!T75="Taijijian Sun F",938,IF(Atletas!T75="Taijijian Wu F",939,IF(Atletas!T75="Taijijian Wu-Hao F",940,IF(Atletas!T75="Taijijian 32 F",941,IF(Atletas!T75="Taijijian 42 F",942,"")))))))))))))))))))))))))))))))))))))))))))</f>
        <v/>
      </c>
      <c r="BW79" s="52" t="str">
        <f>IF(Atletas!U75="","",IF(Atletas!W75&lt;&gt;"",10000,0)+IF(Atletas!B75="Feminino",1000,IF(Atletas!B75="Masculino",2000,""))+IF(Atletas!T75="Taijijian 42 F",942,IF(Atletas!U75="Taijidao A",943,IF(Atletas!U75="Taijishan A",944,IF(Atletas!U75="Taijiqiang A",945,IF(Atletas!U75="Taijidao B",946,IF(Atletas!U75="Taijishan B",947,IF(Atletas!U75="Taijiqiang B",948,IF(Atletas!U75="Taijidao C",949,IF(Atletas!U75="Taijishan C",950,IF(Atletas!U75="Taijiqiang C",951,IF(Atletas!U75="Taijidao D",952,IF(Atletas!U75="Taijishan D",953,IF(Atletas!U75="Taijiqiang D",954,IF(Atletas!U75="Taijidao E",955,IF(Atletas!U75="Taijishan E",956,IF(Atletas!U75="Taijiqiang E",957,IF(Atletas!U75="Taijidao F",958,IF(Atletas!U75="Taijishan F",959,IF(Atletas!U75="Taijiqiang F",960))))))))))))))))))))</f>
        <v/>
      </c>
      <c r="BX79" s="64" t="str">
        <f>IF(BY79&lt;&gt;"","Huaquan D","")</f>
        <v/>
      </c>
      <c r="BY79" s="64" t="str">
        <f>IF(COUNTIF(BK:BW,1143)&gt;0,COUNTIF(BK:BW,1143),"")</f>
        <v/>
      </c>
      <c r="BZ79" s="64" t="str">
        <f>IF(CA79&lt;&gt;"","Huaquan D","")</f>
        <v/>
      </c>
      <c r="CA79" s="64" t="str">
        <f>IF(COUNTIF(BK:BW,2143)&gt;0,COUNTIF(BK:BW,2143),"")</f>
        <v/>
      </c>
      <c r="CB79" s="64" t="str">
        <f>IF(CC79&lt;&gt;"","Huaquan D","")</f>
        <v/>
      </c>
      <c r="CC79" s="64" t="str">
        <f>IF(COUNTIF(BK:BW,11143)&gt;0,COUNTIF(BK:BW,11143),"")</f>
        <v/>
      </c>
      <c r="CD79" s="64" t="str">
        <f>IF(CE79&lt;&gt;"","Huaquan D","")</f>
        <v/>
      </c>
      <c r="CE79" s="64" t="str">
        <f>IF(COUNTIF(BK:BW,12143)&gt;0,COUNTIF(BK:BW,12143),"")</f>
        <v/>
      </c>
      <c r="CF79" s="52" t="str">
        <f xml:space="preserve"> IF(Atletas!V75="","",IF(Atletas!V75="Duilian de Mãos AB - Equipe 1",1,IF(Atletas!V75="Duilian de Mãos AB - Equipe 2",2,IF(Atletas!V75="Duilian de Armas AB - Equipe 1",3,IF(Atletas!V75="Duilian de Armas AB - Equipe 2",4,IF(Atletas!V75="Duilian de Tuishou - Equipe 1",5,IF(Atletas!V75="Duilian de Tuishou - Equipe 2",6,IF(Atletas!V75="Grupo Externo AB - Equipe 1",7,IF(Atletas!V75="Grupo Externo AB - Equipe 2",8,IF(Atletas!V75="Grupo Interno AB - Equipe 1",9,IF(Atletas!V75="Grupo Interno AB - Equipe 2",10,IF(Atletas!V75="Duilian de Mãos CD - Equipe 1",11,IF(Atletas!V75="Duilian de Mãos CD - Equipe 2",12,IF(Atletas!V75="Duilian de Armas CD - Equipe 1",13,IF(Atletas!V75="Duilian de Armas CD - Equipe 2",14,IF(Atletas!V75="Duilian de Tuishou - Equipe 1",15,IF(Atletas!V75="Duilian de Tuishou - Equipe 2",16,IF(Atletas!V75="Grupo Externo CDEF - Equipe 1",17,IF(Atletas!V75="Grupo Externo CDEF - Equipe 2",18,IF(Atletas!V75="Grupo Interno CDEF - Equipe 1",19,IF(Atletas!V75="Grupo Interno CDEF - Equipe 2",20,IF(Atletas!V75="Duilian de Mãos EF - Equipe 1",21,IF(Atletas!V75="Duilian de Mãos EF - Equipe 2",22,IF(Atletas!V75="Duilian de Armas EF - Equipe 1",23,IF(Atletas!V75="Duilian de Armas EF - Equipe 2",24,IF(Atletas!V75="Duilian de Tuishou - Equipe 1",25,IF(Atletas!V75="Duilian de Tuishou - Equipe 2",26,"")))))))))))))))))))))))))))</f>
        <v/>
      </c>
    </row>
    <row r="80" spans="2:96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31"/>
      <c r="U80" s="4"/>
      <c r="V80" s="4" t="str">
        <f t="array" ref="V80">IFERROR(INDEX(BX$7:BX$336,SMALL(IF(BX$7:BX$336&lt;&gt;"",ROW(BX$7:BX$336)-ROW(BX$7)+1),ROWS(BX$7:BX79))),"")</f>
        <v/>
      </c>
      <c r="W80" s="4" t="str">
        <f t="array" ref="W80">IFERROR(INDEX(BY$7:BY$336,SMALL(IF(BY$7:BY$336&lt;&gt;"",ROW(BY$7:BY$336)-ROW(BY$7)+1),ROWS(BY$7:BY79))),"")</f>
        <v/>
      </c>
      <c r="X80" s="4" t="str">
        <f t="array" ref="X80">IFERROR(INDEX(BZ$7:BZ$336,SMALL(IF(BZ$7:BZ$336&lt;&gt;"",ROW(BZ$7:BZ$336)-ROW(BZ$7)+1),ROWS(BZ$7:BZ79))),"")</f>
        <v/>
      </c>
      <c r="Y80" s="4" t="str">
        <f t="array" ref="Y80">IFERROR(INDEX(CA$7:CA$336,SMALL(IF(CA$7:CA$336&lt;&gt;"",ROW(CA$7:CA$336)-ROW(CA$7)+1),ROWS(CA$7:CA79))),"")</f>
        <v/>
      </c>
      <c r="Z80" s="4" t="str">
        <f t="array" ref="Z80">IFERROR(INDEX(CB$7:CB$378,SMALL(IF(CB$7:CB$378&lt;&gt;"",ROW(CB$7:CB$378)-ROW(CB$7)+1),ROWS(CB$7:CB79))),"")</f>
        <v/>
      </c>
      <c r="AA80" s="4" t="str">
        <f t="array" ref="AA80">IFERROR(INDEX(CC$7:CC$378,SMALL(IF(CC$7:CC$378&lt;&gt;"",ROW(CC$7:CC$378)-ROW(CC$7)+1),ROWS(CC$7:CC79))),"")</f>
        <v/>
      </c>
      <c r="AB80" s="4" t="str">
        <f t="array" ref="AB80">IFERROR(INDEX(CD$7:CD$378,SMALL(IF(CD$7:CD$378&lt;&gt;"",ROW(CD$7:CD$378)-ROW(CD$7)+1),ROWS(CD$7:CD79))),"")</f>
        <v/>
      </c>
      <c r="AC80" s="4" t="str">
        <f t="array" ref="AC80">IFERROR(INDEX(CE$7:CE$378,SMALL(IF(CE$7:CE$378&lt;&gt;"",ROW(CE$7:CE$378)-ROW(CE$7)+1),ROWS(CE$7:CE79))),"")</f>
        <v/>
      </c>
      <c r="AD80" s="4"/>
      <c r="AE80" s="4"/>
      <c r="AF80" s="4"/>
      <c r="AG80" s="4"/>
      <c r="AH80" s="4"/>
      <c r="AI80" s="4"/>
      <c r="AJ80" s="46" t="str">
        <f>IF(Atletas!D76="","",IF(Atletas!B76="Feminino",100,IF(Atletas!B76="Masculino",200,""))+(IF(Atletas!D76="Infantil 39kg",1,IF(Atletas!D76="Infantil 42kg",2,IF(Atletas!D76="Infantil 45kg",3,IF(Atletas!D76="Infantil 48kg",4,IF(Atletas!D76="Infantil 52kg",5,IF(Atletas!D76="Infantil 56kg",6,IF(Atletas!D76="Infantil 60kg",7,IF(Atletas!D76="Juvenil 48kg",8,IF(Atletas!D76="Juvenil 52kg",9,IF(Atletas!D76="Juvenil 56kg",10,IF(Atletas!D76="Juvenil 60kg",11,IF(Atletas!D76="Juvenil 65kg",12,IF(Atletas!D76="Juvenil 70kg",13,IF(Atletas!D76="Juvenil 75kg",14,IF(Atletas!D76="Juvenil 80kg",15,IF(Atletas!D76="Adulto 48kg",16,IF(Atletas!D76="Adulto 52kg",17,IF(Atletas!D76="Adulto 56kg",18,IF(Atletas!D76="Adulto 60kg",19,IF(Atletas!D76="Adulto 65kg",20,IF(Atletas!D76="Adulto 70kg",21,IF(Atletas!D76="Adulto 75kg",22,IF(Atletas!D76="Adulto 80kg",23,IF(Atletas!D76="Adulto 85kg",24,IF(Atletas!D76="Adulto 90kg",25,IF(Atletas!D76="Adulto +90kg",26,""))))))))))))))))))))))))))))</f>
        <v/>
      </c>
      <c r="AO80" s="10" t="str">
        <f>IF(Atletas!E76="","",IF(Atletas!B76="Feminino",100,IF(Atletas!B76="Masculino",200,""))+(IF(Atletas!E76="Juvenil 44kg",1,IF(Atletas!E76="Juvenil 48kg",2,IF(Atletas!E76="Juvenil 52kg",3,IF(Atletas!E76="Juvenil 56kg",4,IF(Atletas!E76="Juvenil 60kg",5,IF(Atletas!E76="Juvenil 65kg",6,IF(Atletas!E76="Juvenil 70kg",7,IF(Atletas!E76="Juvenil 75kg",8,IF(Atletas!E76="Juvenil 82kg",9,IF(Atletas!E76="Juvenil 90kg",10,IF(Atletas!E76="Juvenil 100kg",11,IF(Atletas!E76="Adulto 48kg",12,IF(Atletas!E76="Adulto 52kg",13,IF(Atletas!E76="Adulto 56kg",14,IF(Atletas!E76="Adulto 60kg",15,IF(Atletas!E76="Adulto 65kg",16,IF(Atletas!E76="Adulto 70kg",17,IF(Atletas!E76="Adulto 75kg",18,IF(Atletas!E76="Adulto 82kg",19,IF(Atletas!E76="Adulto 90kg",20,IF(Atletas!E76="Adulto 100kg",21,IF(Atletas!E76="Adulto +100kg",22,""))))))))))))))))))))))))</f>
        <v/>
      </c>
      <c r="AT80" s="10" t="str">
        <f>IF(Atletas!F76="","",IF(Atletas!B76="Feminino",100,IF(Atletas!B76="Masculino",200,""))+(IF(Atletas!F76="Adulto 48kg",1,IF(Atletas!F76="Adulto 56kg",2,IF(Atletas!F76="Adulto 65kg",3,IF(Atletas!F76="Adulto 75kg",4,IF(Atletas!F76="Adulto +75kg",5,IF(Atletas!F76="Adulto 52kg",6,IF(Atletas!F76="Adulto 60kg",7,IF(Atletas!F76="Adulto 70kg",8,IF(Atletas!F76="Adulto 80kg",9,IF(Atletas!F76="Adulto 90kg",10,IF(Atletas!F76="Adulto +90kg",11,"")))))))))))))</f>
        <v/>
      </c>
      <c r="AY80" s="46" t="str">
        <f>IF(Atletas!G76="","",IF(Atletas!B76="Feminino",100,IF(Atletas!B76="Masculino",200,""))+(IF(Atletas!G76="Changquan Mirim",1,IF(Atletas!G76="Nanquan Mirim",2,IF(Atletas!G76="Taijiquan Mirim",3,IF(Atletas!G76="Changquan Grupo C",4,IF(Atletas!G76="Nanquan Grupo C",5,IF(Atletas!G76="Taijiquan Grupo C",6,IF(Atletas!G76="Changquan Grupo B",7,IF(Atletas!G76="Nanquan Grupo B",8,IF(Atletas!G76="Taijiquan Grupo B",9,IF(Atletas!G76="Changquan Grupo A",10,IF(Atletas!G76="Nanquan Grupo A",11,IF(Atletas!G76="Taijiquan Grupo A",12,IF(Atletas!G76="Changquan Opcional",13,IF(Atletas!G76="Nanquan Opcional",14,IF(Atletas!G76="Taijiquan Opcional",15,IF(Atletas!G76="Changquan Adulto",16,IF(Atletas!G76="Nanquan Adulto",17,IF(Atletas!G76="Taijiquan Adulto",18,""))))))))))))))))))))</f>
        <v/>
      </c>
      <c r="AZ80" s="46" t="str">
        <f>IF(Atletas!H76="","",IF(Atletas!B76="Feminino",100,IF(Atletas!B76="Masculino",200,""))+(IF(Atletas!H76="Daoshu Mirim",19,IF(Atletas!H76="Jianshu Mirim",20,IF(Atletas!H76="Nandao Mirim",21,IF(Atletas!H76="Taijijian Mirim",22,IF(Atletas!H76="Daoshu Grupo C",23,IF(Atletas!H76="Jianshu Grupo C",24,IF(Atletas!H76="Nandao Grupo C",25,IF(Atletas!H76="Taijijian Grupo C",26,IF(Atletas!H76="Daoshu Grupo B",27,IF(Atletas!H76="Jianshu Grupo B",28,IF(Atletas!H76="Nandao Grupo B",29,IF(Atletas!H76="Taijijian Grupo B",30,IF(Atletas!H76="Daoshu Grupo A",31,IF(Atletas!H76="Jianshu Grupo A",32,IF(Atletas!H76="Nandao Grupo A",33,IF(Atletas!H76="Taijijian Grupo A",34,IF(Atletas!H76="Daoshu Opcional",35,IF(Atletas!H76="Jianshu Opcional",36,IF(Atletas!H76="Nandao Opcional",37,IF(Atletas!H76="Taijijian Opcional",38,IF(Atletas!H76="Daoshu Adulto",39,IF(Atletas!H76="Jianshu Adulto",40,IF(Atletas!H76="Nandao Adulto",41,IF(Atletas!H76="Taijijian Adulto",42,""))))))))))))))))))))))))))</f>
        <v/>
      </c>
      <c r="BA80" s="46" t="str">
        <f>IF(Atletas!I76="","",IF(Atletas!B76="Feminino",100,IF(Atletas!B76="Masculino",200,""))+(IF(Atletas!I76="Gunshu Mirim",43,IF(Atletas!I76="Qiangshu Mirim",44,IF(Atletas!I76="Nangun Mirim",45,IF(Atletas!I76="Gunshu Grupo C",46,IF(Atletas!I76="Qiangshu Grupo C",47,IF(Atletas!I76="Nangun Grupo C",48,IF(Atletas!I76="Gunshu Grupo B",49,IF(Atletas!I76="Qiangshu Grupo B",50,IF(Atletas!I76="Nangun Grupo B",51,IF(Atletas!I76="Gunshu Grupo A",52,IF(Atletas!I76="Qiangshu Grupo A",53,IF(Atletas!I76="Nangun Grupo A",54,IF(Atletas!I76="Gunshu Opcional",55,IF(Atletas!I76="Qiangshu Opcional",56,IF(Atletas!I76="Nangun Opcional",57,IF(Atletas!I76="Gunshu Adulto",58,IF(Atletas!I76="Qiangshu Adulto",59,IF(Atletas!I76="Nangun Adulto",60,""))))))))))))))))))))</f>
        <v/>
      </c>
      <c r="BF80" s="52" t="str">
        <f>IF(Atletas!J76="","",IF(Atletas!B76="Feminino",100,IF(Atletas!B76="Masculino",200,""))+(IF(Atletas!J76="Equipe 1 Grupo B",1,IF(Atletas!J76="Equipe 2 Grupo B",2,IF(Atletas!J76="Equipe 1 Grupo A",3,IF(Atletas!J76="Equipe 2 Grupo A",4,IF(Atletas!J76="Equipe 1 Adulto",5,IF(Atletas!J76="Equipe 2 Adulto",6,""))))))))</f>
        <v/>
      </c>
      <c r="BK80" s="52" t="str">
        <f>IF(Atletas!K76="","",IF(Atletas!W76&lt;&gt;"",10000,0)+(IF(Atletas!B76="Feminino",1000,IF(Atletas!B76="Masculino",2000,""))+IF(Atletas!K76="Choylayfut A",1,IF(Atletas!K76="Hunggar A",2,IF(Atletas!K76="Wuzuquan A",3,IF(Atletas!K76="Wingchun A",4,IF(Atletas!K76="Outra Mão de Sul A",5,IF(Atletas!K76="Choylayfut B",6,IF(Atletas!K76="Hunggar B",7,IF(Atletas!K76="Wuzuquan B",8,IF(Atletas!K76="Wingchun B",9,IF(Atletas!K76="Outra Mão de Sul B",10,IF(Atletas!K76="Choylayfut C",11,IF(Atletas!K76="Hunggar C",12,IF(Atletas!K76="Wuzuquan C",13,IF(Atletas!K76="Wingchun C",14,IF(Atletas!K76="Outra Mão de Sul C",15,IF(Atletas!K76="Choylayfut D",16,IF(Atletas!K76="Hunggar D",17,IF(Atletas!K76="Wuzuquan D",18,IF(Atletas!K76="Wingchun D",19,IF(Atletas!K76="Outra Mão de Sul D",20,IF(Atletas!K76="Choylayfut E",21,IF(Atletas!K76="Hunggar E",22,IF(Atletas!K76="Wuzuquan E",23,IF(Atletas!K76="Wingchun E",24,IF(Atletas!K76="Outra Mão de Sul E",25,IF(Atletas!K76="Choylayfut F",26,IF(Atletas!K76="Hunggar F",27,IF(Atletas!K76="Wuzuquan F",28,IF(Atletas!K76="Wingchun F",29,IF(Atletas!K76="Outra Mão de Sul F",30,""))))))))))))))))))))))))))))))))</f>
        <v/>
      </c>
      <c r="BL80" s="52" t="str">
        <f>IF(Atletas!L76="","",IF(Atletas!W76&lt;&gt;"",10000,0)+(IF(Atletas!B76="Feminino",1000,IF(Atletas!B76="Masculino",2000,""))+(IF(Atletas!L76="Chaquan A",101,IF(Atletas!L76="Emeiquan A",102,IF(Atletas!L76="Fanziquan A",103,IF(Atletas!L76="Huaquan A",104,IF(Atletas!L76="Hongquan A",105,IF(Atletas!L76="Paochui A",106,IF(Atletas!L76="Piguaquan A",107,IF(Atletas!L76="Shaolinquan A",108,IF(Atletas!L76="Tanglangquan A",109,IF(Atletas!L76="Yinzhaophai A",110,IF(Atletas!L76="Tongbeiquan A",111,IF(Atletas!L76="Wudangquan A",112,IF(Atletas!L76="Outros Estilos A",113,IF(Atletas!L76="Chaquan B",114,IF(Atletas!L76="Emeiquan B",115,IF(Atletas!L76="Fanziquan B",116,IF(Atletas!L76="Huaquan B",117,IF(Atletas!L76="Hongquan B",118,IF(Atletas!L76="Paochui B",119,IF(Atletas!L76="Piguaquan B",120,IF(Atletas!L76="Shaolinquan B",121,IF(Atletas!L76="Tanglangquan B",122,IF(Atletas!L76="Yinzhaophai B",123,IF(Atletas!L76="Tongbeiquan B",124,IF(Atletas!L76="Wudangquan B",125,IF(Atletas!L76="Outros Estilos B",126,IF(Atletas!L76="Chaquan C",127,IF(Atletas!L76="Emeiquan C",128,IF(Atletas!L76="Fanziquan C",129,IF(Atletas!L76="Huaquan C",130,IF(Atletas!L76="Hongquan C",131,IF(Atletas!L76="Paochui C",132,IF(Atletas!L76="Piguaquan C",133,IF(Atletas!L76="Shaolinquan C",134,IF(Atletas!L76="Tanglangquan C",135,IF(Atletas!L76="Yinzhaophai C",136,IF(Atletas!L76="Tongbeiquan C",137,IF(Atletas!L76="Wudangquan C",138,IF(Atletas!L76="Outros Estilos C",139,0))))))))))))))))))))))))))))))))))))))))))</f>
        <v/>
      </c>
      <c r="BM80" s="52" t="str">
        <f>IF(Atletas!L76="","",IF(Atletas!W76&lt;&gt;"",10000,0)+(IF(Atletas!B76="Feminino",1000,IF(Atletas!B76="Masculino",2000,""))+(IF(Atletas!L76="Chaquan D",140,IF(Atletas!L76="Emeiquan D",141,IF(Atletas!L76="Fanziquan D",142,IF(Atletas!L76="Huaquan D",143,IF(Atletas!L76="Hongquan D",144,IF(Atletas!L76="Paochui D",145,IF(Atletas!L76="Piguaquan D",146,IF(Atletas!L76="Shaolinquan D",147,IF(Atletas!L76="Tanglangquan D",148,IF(Atletas!L76="Yinzhaophai D",149,IF(Atletas!L76="Tongbeiquan D",150,IF(Atletas!L76="Wudangquan D",151,IF(Atletas!L76="Outros Estilos D",152,IF(Atletas!L76="Chaquan E",153,IF(Atletas!L76="Emeiquan E",154,IF(Atletas!L76="Fanziquan E",155,IF(Atletas!L76="Huaquan E",156,IF(Atletas!L76="Hongquan E",157,IF(Atletas!L76="Paochui E",158,IF(Atletas!L76="Piguaquan E",159,IF(Atletas!L76="Shaolinquan E",160,IF(Atletas!L76="Tanglangquan E",161,IF(Atletas!L76="Yinzhaophai E",162,IF(Atletas!L76="Tongbeiquan E",163,IF(Atletas!L76="Wudangquan E",164,IF(Atletas!L76="Outros Estilos E",165,IF(Atletas!L76="Chaquan F",166,IF(Atletas!L76="Emeiquan F",167,IF(Atletas!L76="Fanziquan F",168,IF(Atletas!L76="Huaquan F",169,IF(Atletas!L76="Hongquan F",170,IF(Atletas!L76="Paochui F",171,IF(Atletas!L76="Piguaquan F",172,IF(Atletas!L76="Shaolinquan F",173,IF(Atletas!L76="Tanglangquan F",174,IF(Atletas!L76="Yinzhaophai F",175,IF(Atletas!L76="Tongbeiquan F",176,IF(Atletas!L76="Wudangquan F",177,IF(Atletas!L76="Outros Estilos F",178,0))))))))))))))))))))))))))))))))))))))))))</f>
        <v/>
      </c>
      <c r="BN80" s="52" t="str">
        <f>IF(Atletas!M76="","",IF(Atletas!W76&lt;&gt;"",10000,0)+(IF(Atletas!B76="Feminino",1000,IF(Atletas!B76="Masculino",2000,""))+(IF(Atletas!M76="Ditangquan A",201,IF(Atletas!M76="Houquan A",202,IF(Atletas!M76="Zuiquan A",203,IF(Atletas!M76="Ditangquan B",204,IF(Atletas!M76="Houquan B",205,IF(Atletas!M76="Zuiquan B",206,IF(Atletas!M76="Ditangquan C",207,IF(Atletas!M76="Houquan C",208,IF(Atletas!M76="Zuiquan C",209,IF(Atletas!M76="Ditangquan D",210,IF(Atletas!M76="Houquan D",211,IF(Atletas!M76="Zuiquan D",212,IF(Atletas!M76="Ditangquan E",213,IF(Atletas!M76="Houquan E",214,IF(Atletas!M76="Zuiquan E",215,IF(Atletas!M76="Ditangquan F",216,IF(Atletas!M76="Houquan F",217,IF(Atletas!M76="Zuiquan F",218,"")))))))))))))))))))))</f>
        <v/>
      </c>
      <c r="BO80" s="52" t="str">
        <f>IF(Atletas!N76="","",IF(Atletas!W76&lt;&gt;"",10000,0)+IF(Atletas!B76="Feminino",1000,IF(Atletas!B76="Masculino",2000,""))+IF(Atletas!N76="Yang A",301,IF(Atletas!N76="Chen A",30,IF(Atletas!N76="Sun A",303,IF(Atletas!N76="Wu A",304,IF(Atletas!N76="Wu-Hao A",305,IF(Atletas!N76="Outro Taijiquan A",306,IF(Atletas!N76="Yang B",307,IF(Atletas!N76="Chen B",308,IF(Atletas!N76="Sun B",309,IF(Atletas!N76="Wu B",310,IF(Atletas!N76="Wu-Hao B",311,IF(Atletas!N76="Outro Taijiquan B",312,IF(Atletas!N76="Yang C",313,IF(Atletas!N76="Chen C",314,IF(Atletas!N76="Sun C",315,IF(Atletas!N76="Wu C",316,IF(Atletas!N76="Wu-Hao C",317,IF(Atletas!N76="Outro Taijiquan C",318,IF(Atletas!N76="Yang D",319,IF(Atletas!N76="Chen D",320,IF(Atletas!N76="Sun D",321,IF(Atletas!N76="Wu D",322,IF(Atletas!N76="Wu-Hao D",323,IF(Atletas!N76="Outro Taijiquan D",324,IF(Atletas!N76="Yang E",325,IF(Atletas!N76="Chen E",326,IF(Atletas!N76="Sun E",327,IF(Atletas!N76="Wu E",328,IF(Atletas!N76="Wu-Hao E",329,IF(Atletas!N76="Outro Taijiquan E",330,IF(Atletas!N76="Yang F",331,IF(Atletas!N76="Chen F",332,IF(Atletas!N76="Sun F",333,IF(Atletas!N76="Wu F",334,IF(Atletas!N76="Wu-Hao F",335,IF(Atletas!N76="Outro Taijiquan F",336,"")))))))))))))))))))))))))))))))))))))</f>
        <v/>
      </c>
      <c r="BP80" s="52" t="str">
        <f>IF(Atletas!O76="","",IF(Atletas!W76&lt;&gt;"",10000,0)+IF(Atletas!B76="Feminino",1000,IF(Atletas!B76="Masculino",2000,""))+IF(OR(Atletas!O76="Yang 26 A",Atletas!O76="Yang 40 A"),401,IF(OR(Atletas!O76="Chen 25 A",Atletas!O76="Chen 36 A",Atletas!O76="Chen 56 A"),402,IF(Atletas!O76="Sun 73 A",403,IF(Atletas!O76="Wu 45 A",404,IF(Atletas!O76="Wu-Hao 46 A",405,IF(OR(Atletas!O76="Taijiquan 16 A",Atletas!O76="Taijiquan 24 A",Atletas!O76="Taijiquan 32 A",Atletas!O76="Taijiquan 42 A"),406,IF(OR(Atletas!O76="Yang 26 B",Atletas!O76="Yang 40 B"),407,IF(OR(Atletas!O76="Chen 25 B",Atletas!O76="Chen 36 B",Atletas!O76="Chen 56 B"),408,IF(Atletas!O76="Sun 73 B",409,IF(Atletas!O76="Wu 45 B",410,IF(Atletas!O76="Wu-Hao 46 B",411,IF(OR(Atletas!O76="Taijiquan 16 B",Atletas!O76="Taijiquan 24 B",Atletas!O76="Taijiquan 32 B",Atletas!O76="Taijiquan 42 B"),412,IF(OR(Atletas!O76="Yang 26 C",Atletas!O76="Yang 40 C"),413,IF(OR(Atletas!O76="Chen 25 C",Atletas!O76="Chen 36 C",Atletas!O76="Chen 56 C"),414,IF(Atletas!O76="Sun 73 C",415,IF(Atletas!O76="Wu 45 C",416,IF(Atletas!O76="Wu-Hao 46 C",417,IF(OR(Atletas!O76="Taijiquan 16 C",Atletas!O76="Taijiquan 24 C",Atletas!O76="Taijiquan 32 C",Atletas!O76="Taijiquan 42 C"),418,0)))))))))))))))))))</f>
        <v/>
      </c>
      <c r="BQ80" s="52" t="str">
        <f>IF(Atletas!O76="","",IF(Atletas!W76&lt;&gt;"",10000,0)+IF(Atletas!B76="Feminino",1000,IF(Atletas!B76="Masculino",2000,""))+IF(OR(Atletas!O76="Yang 26 D",Atletas!O76="Yang 40 D"),419,IF(OR(Atletas!O76="Chen 25 D",Atletas!O76="Chen 36 D",Atletas!O76="Chen 56 D"),420,IF(Atletas!O76="Sun 73 D",421,IF(Atletas!O76="Wu 45 D",422,IF(Atletas!O76="Wu-Hao 46 D",423,IF(OR(Atletas!O76="Taijiquan 16 D",Atletas!O76="Taijiquan 24 D",Atletas!O76="Taijiquan 32 D",Atletas!O76="Taijiquan 42 D"),424,IF(OR(Atletas!O76="Yang 26 E",Atletas!O76="Yang 40 E"),425,IF(OR(Atletas!O76="Chen 25 E",Atletas!O76="Chen 36 E",Atletas!O76="Chen 56 E"),426,IF(Atletas!O76="Sun 73 E",427,IF(Atletas!O76="Wu 45 E",428,IF(Atletas!O76="Wu-Hao 46 E",429,IF(OR(Atletas!O76="Taijiquan 16 E",Atletas!O76="Taijiquan 24 E",Atletas!O76="Taijiquan 32 E",Atletas!O76="Taijiquan 42 E"),430,IF(OR(Atletas!O76="Yang 26 F",Atletas!O76="Yang 40 F"),431,IF(OR(Atletas!O76="Chen 25 F",Atletas!O76="Chen 36 F",Atletas!O76="Chen 56 F"),432,IF(Atletas!O76="Sun 73 F",433,IF(Atletas!O76="Wu 45 F",434,IF(Atletas!O76="Wu-Hao 46 F",435,IF(OR(Atletas!O76="Taijiquan 16 F",Atletas!O76="Taijiquan 24 F",Atletas!O76="Taijiquan 32 F",Atletas!O76="Taijiquan 42 F"),436,0)))))))))))))))))))</f>
        <v/>
      </c>
      <c r="BR80" s="52" t="str">
        <f>IF(Atletas!P76="","",IF(Atletas!W76&lt;&gt;"",10000,0)+IF(Atletas!B76="Feminino",1000,IF(Atletas!B76="Masculino",2000,""))+IF(Atletas!P76="Xingyiquan A",501,IF(Atletas!P76="Baguazhang A",502,IF(Atletas!P76="Outro Estilo Interno A",503,IF(Atletas!P76="Xingyiquan B",504,IF(Atletas!P76="Baguazhang B",505,IF(Atletas!P76="Outro Estilo Interno B",506,IF(Atletas!P76="Xingyiquan C",507,IF(Atletas!P76="Baguazhang C",508,IF(Atletas!P76="Outro Estilo Interno C",509,IF(Atletas!P76="Xingyiquan D",510,IF(Atletas!P76="Baguazhang D",511,IF(Atletas!P76="Outro Estilo Interno D",512,IF(Atletas!P76="Xingyiquan E",513,IF(Atletas!P76="Baguazhang E",514,IF(Atletas!P76="Outro Estilo Interno E",515,IF(Atletas!P76="Xingyiquan F",516,IF(Atletas!P76="Baguazhang F",517,IF(Atletas!P76="Outro Estilo Interno F",518, "")))))))))))))))))))</f>
        <v/>
      </c>
      <c r="BS80" s="52" t="str">
        <f>IF(Atletas!Q76="","",IF(Atletas!W76&lt;&gt;"",10000,0)+IF(Atletas!B76="Feminino",1000,IF(Atletas!B76="Masculino",2000,""))+IF(Atletas!Q76="Dao A",601,IF(Atletas!Q76="Jian A",602,IF(Atletas!Q76="Bishou A",603,IF(Atletas!Q76="Shan A",604,IF(Atletas!Q76="Outra Arma Curta A",605,IF(Atletas!Q76="Dao B",606,IF(Atletas!Q76="Jian B",607,IF(Atletas!Q76="Bishou B",608,IF(Atletas!Q76="Shan B",609,IF(Atletas!Q76="Outra Arma Curta B",610,IF(Atletas!Q76="Dao C",611,IF(Atletas!Q76="Jian C",612,IF(Atletas!Q76="Bishou C",613,IF(Atletas!Q76="Shan C",614,IF(Atletas!Q76="Outra Arma Curta C",615,IF(Atletas!Q76="Dao D",616,IF(Atletas!Q76="Jian D",617,IF(Atletas!Q76="Bishou D",618,IF(Atletas!Q76="Shan D",619,IF(Atletas!Q76="Outra Arma Curta D",620,IF(Atletas!Q76="Dao E",621,IF(Atletas!Q76="Jian E",622,IF(Atletas!Q76="Bishou E",623,IF(Atletas!Q76="Shan E",624,IF(Atletas!Q76="Outra Arma Curta E",625,IF(Atletas!Q76="Dao F",626,IF(Atletas!Q76="Jian F",627,IF(Atletas!Q76="Bishou F",628,IF(Atletas!Q76="Shan F",629,IF(Atletas!Q76="Outra Arma Curta F",630, "")))))))))))))))))))))))))))))))</f>
        <v/>
      </c>
      <c r="BT80" s="52" t="str">
        <f>IF(Atletas!R76="","",IF(Atletas!W76&lt;&gt;"",10000,0)+IF(Atletas!B76="Feminino",1000,IF(Atletas!B76="Masculino",2000,""))+IF(Atletas!R76="Gun A",701,IF(Atletas!R76="Qiang A",702,IF(Atletas!R76="Pudao / Guandao A",703,IF(Atletas!R76="Outra Arma Longa A",704,IF(Atletas!R76="Gun B",705,IF(Atletas!R76="Qiang B",706,IF(Atletas!R76="Pudao / Guandao B",707,IF(Atletas!R76="Outra Arma Longa B",708,IF(Atletas!R76="Gun C",709,IF(Atletas!R76="Qiang C",710,IF(Atletas!R76="Pudao / Guandao C",711,IF(Atletas!R76="Outra Arma Longa C",712,IF(Atletas!R76="Gun D",713,IF(Atletas!R76="Qiang D",714,IF(Atletas!R76="Pudao / Guandao D",715,IF(Atletas!R76="Outra Arma Longa D",716,IF(Atletas!R76="Gun E",717,IF(Atletas!R76="Qiang E",718,IF(Atletas!R76="Pudao / Guandao E",719,IF(Atletas!R76="Outra Arma Longa E",720,IF(Atletas!R76="Gun F",721,IF(Atletas!R76="Qiang F",722,IF(Atletas!R76="Pudao / Guandao F",723,IF(Atletas!R76="Outra Arma Longa F",724,"")))))))))))))))))))))))))</f>
        <v/>
      </c>
      <c r="BU80" s="52" t="str">
        <f>IF(Atletas!S76="","",IF(Atletas!W76&lt;&gt;"",10000,0)+IF(Atletas!B76="Feminino",1000,IF(Atletas!B76="Masculino",2000,""))+IF(Atletas!S76="Arma Dupla A",801,IF(Atletas!S76="Arma Maleável A",802,IF(Atletas!S76="Arma Dupla B",803,IF(Atletas!S76="Arma Maleável B",804,IF(Atletas!S76="Arma Dupla C",805,IF(Atletas!S76="Arma Maleável C",806,IF(Atletas!S76="Arma Dupla D",807,IF(Atletas!S76="Arma Maleável D",808,IF(Atletas!S76="Arma Dupla E",809,IF(Atletas!S76="Arma Maleável E",810,IF(Atletas!S76="Arma Dupla F",811,IF(Atletas!S76="Arma Maleável F",812, "")))))))))))))</f>
        <v/>
      </c>
      <c r="BV80" s="52" t="str">
        <f>IF(Atletas!T76="","",IF(Atletas!W76&lt;&gt;"",10000,0)+IF(Atletas!B76="Feminino",1000,IF(Atletas!B76="Masculino",2000,""))+IF(Atletas!T76="Taijijian Yang A",901,IF(Atletas!T76="Taijijian Chen A",902,IF(Atletas!T76="Taijijian Sun A",903,IF(Atletas!T76="Taijijian Wu A",904,IF(Atletas!T76="Taijijian Wu-Hao A",905,IF(Atletas!T76="Taijijian 32 A",906,IF(Atletas!T76="Taijijian 42 A",907,IF(Atletas!T76="Taijijian Yang B",908,IF(Atletas!T76="Taijijian Chen B",909,IF(Atletas!T76="Taijijian Sun B",910,IF(Atletas!T76="Taijijian Wu B",911,IF(Atletas!T76="Taijijian Wu-Hao B",912,IF(Atletas!T76="Taijijian 32 B",913,IF(Atletas!T76="Taijijian 42 B",914,IF(Atletas!T76="Taijijian Yang C",915,IF(Atletas!T76="Taijijian Chen C",916,IF(Atletas!T76="Taijijian Sun C",917,IF(Atletas!T76="Taijijian Wu C",918,IF(Atletas!T76="Taijijian Wu-Hao C",919,IF(Atletas!T76="Taijijian 32 C",920,IF(Atletas!T76="Taijijian 42 C",921,IF(Atletas!T76="Taijijian Yang D",922,IF(Atletas!T76="Taijijian Chen D",923,IF(Atletas!T76="Taijijian Sun D",924,IF(Atletas!T76="Taijijian Wu D",925,IF(Atletas!T76="Taijijian Wu-Hao D",926,IF(Atletas!T76="Taijijian 32 D",927,IF(Atletas!T76="Taijijian 42 D",928,IF(Atletas!T76="Taijijian Yang E",929,IF(Atletas!T76="Taijijian Chen E",930,IF(Atletas!T76="Taijijian Sun E",931,IF(Atletas!T76="Taijijian Wu E",932,IF(Atletas!T76="Taijijian Wu-Hao E",933,IF(Atletas!T76="Taijijian 32 E",934,IF(Atletas!T76="Taijijian 42 E",935,IF(Atletas!T76="Taijijian Yang F",936,IF(Atletas!T76="Taijijian Chen F",937,IF(Atletas!T76="Taijijian Sun F",938,IF(Atletas!T76="Taijijian Wu F",939,IF(Atletas!T76="Taijijian Wu-Hao F",940,IF(Atletas!T76="Taijijian 32 F",941,IF(Atletas!T76="Taijijian 42 F",942,"")))))))))))))))))))))))))))))))))))))))))))</f>
        <v/>
      </c>
      <c r="BW80" s="52" t="str">
        <f>IF(Atletas!U76="","",IF(Atletas!W76&lt;&gt;"",10000,0)+IF(Atletas!B76="Feminino",1000,IF(Atletas!B76="Masculino",2000,""))+IF(Atletas!T76="Taijijian 42 F",942,IF(Atletas!U76="Taijidao A",943,IF(Atletas!U76="Taijishan A",944,IF(Atletas!U76="Taijiqiang A",945,IF(Atletas!U76="Taijidao B",946,IF(Atletas!U76="Taijishan B",947,IF(Atletas!U76="Taijiqiang B",948,IF(Atletas!U76="Taijidao C",949,IF(Atletas!U76="Taijishan C",950,IF(Atletas!U76="Taijiqiang C",951,IF(Atletas!U76="Taijidao D",952,IF(Atletas!U76="Taijishan D",953,IF(Atletas!U76="Taijiqiang D",954,IF(Atletas!U76="Taijidao E",955,IF(Atletas!U76="Taijishan E",956,IF(Atletas!U76="Taijiqiang E",957,IF(Atletas!U76="Taijidao F",958,IF(Atletas!U76="Taijishan F",959,IF(Atletas!U76="Taijiqiang F",960))))))))))))))))))))</f>
        <v/>
      </c>
      <c r="BX80" s="64" t="str">
        <f>IF(BY80&lt;&gt;"","Hongquan D","")</f>
        <v/>
      </c>
      <c r="BY80" s="64" t="str">
        <f>IF(COUNTIF(BK:BW,1144)&gt;0,COUNTIF(BK:BW,1144),"")</f>
        <v/>
      </c>
      <c r="BZ80" s="64" t="str">
        <f>IF(CA80&lt;&gt;"","Hongquan D","")</f>
        <v/>
      </c>
      <c r="CA80" s="64" t="str">
        <f>IF(COUNTIF(BK:BW,2144)&gt;0,COUNTIF(BK:BW,2144),"")</f>
        <v/>
      </c>
      <c r="CB80" s="64" t="str">
        <f>IF(CC80&lt;&gt;"","Hongquan D","")</f>
        <v/>
      </c>
      <c r="CC80" s="64" t="str">
        <f>IF(COUNTIF(BK:BW,11144)&gt;0,COUNTIF(BK:BW,11144),"")</f>
        <v/>
      </c>
      <c r="CD80" s="64" t="str">
        <f>IF(CE80&lt;&gt;"","Hongquan D","")</f>
        <v/>
      </c>
      <c r="CE80" s="64" t="str">
        <f>IF(COUNTIF(BK:BW,12144)&gt;0,COUNTIF(BK:BW,12144),"")</f>
        <v/>
      </c>
      <c r="CF80" s="52" t="str">
        <f xml:space="preserve"> IF(Atletas!V76="","",IF(Atletas!V76="Duilian de Mãos AB - Equipe 1",1,IF(Atletas!V76="Duilian de Mãos AB - Equipe 2",2,IF(Atletas!V76="Duilian de Armas AB - Equipe 1",3,IF(Atletas!V76="Duilian de Armas AB - Equipe 2",4,IF(Atletas!V76="Duilian de Tuishou - Equipe 1",5,IF(Atletas!V76="Duilian de Tuishou - Equipe 2",6,IF(Atletas!V76="Grupo Externo AB - Equipe 1",7,IF(Atletas!V76="Grupo Externo AB - Equipe 2",8,IF(Atletas!V76="Grupo Interno AB - Equipe 1",9,IF(Atletas!V76="Grupo Interno AB - Equipe 2",10,IF(Atletas!V76="Duilian de Mãos CD - Equipe 1",11,IF(Atletas!V76="Duilian de Mãos CD - Equipe 2",12,IF(Atletas!V76="Duilian de Armas CD - Equipe 1",13,IF(Atletas!V76="Duilian de Armas CD - Equipe 2",14,IF(Atletas!V76="Duilian de Tuishou - Equipe 1",15,IF(Atletas!V76="Duilian de Tuishou - Equipe 2",16,IF(Atletas!V76="Grupo Externo CDEF - Equipe 1",17,IF(Atletas!V76="Grupo Externo CDEF - Equipe 2",18,IF(Atletas!V76="Grupo Interno CDEF - Equipe 1",19,IF(Atletas!V76="Grupo Interno CDEF - Equipe 2",20,IF(Atletas!V76="Duilian de Mãos EF - Equipe 1",21,IF(Atletas!V76="Duilian de Mãos EF - Equipe 2",22,IF(Atletas!V76="Duilian de Armas EF - Equipe 1",23,IF(Atletas!V76="Duilian de Armas EF - Equipe 2",24,IF(Atletas!V76="Duilian de Tuishou - Equipe 1",25,IF(Atletas!V76="Duilian de Tuishou - Equipe 2",26,"")))))))))))))))))))))))))))</f>
        <v/>
      </c>
    </row>
    <row r="81" spans="2:84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31"/>
      <c r="U81" s="4"/>
      <c r="V81" s="4" t="str">
        <f t="array" ref="V81">IFERROR(INDEX(BX$7:BX$336,SMALL(IF(BX$7:BX$336&lt;&gt;"",ROW(BX$7:BX$336)-ROW(BX$7)+1),ROWS(BX$7:BX80))),"")</f>
        <v/>
      </c>
      <c r="W81" s="4" t="str">
        <f t="array" ref="W81">IFERROR(INDEX(BY$7:BY$336,SMALL(IF(BY$7:BY$336&lt;&gt;"",ROW(BY$7:BY$336)-ROW(BY$7)+1),ROWS(BY$7:BY80))),"")</f>
        <v/>
      </c>
      <c r="X81" s="4" t="str">
        <f t="array" ref="X81">IFERROR(INDEX(BZ$7:BZ$336,SMALL(IF(BZ$7:BZ$336&lt;&gt;"",ROW(BZ$7:BZ$336)-ROW(BZ$7)+1),ROWS(BZ$7:BZ80))),"")</f>
        <v/>
      </c>
      <c r="Y81" s="4" t="str">
        <f t="array" ref="Y81">IFERROR(INDEX(CA$7:CA$336,SMALL(IF(CA$7:CA$336&lt;&gt;"",ROW(CA$7:CA$336)-ROW(CA$7)+1),ROWS(CA$7:CA80))),"")</f>
        <v/>
      </c>
      <c r="Z81" s="4" t="str">
        <f t="array" ref="Z81">IFERROR(INDEX(CB$7:CB$378,SMALL(IF(CB$7:CB$378&lt;&gt;"",ROW(CB$7:CB$378)-ROW(CB$7)+1),ROWS(CB$7:CB80))),"")</f>
        <v/>
      </c>
      <c r="AA81" s="4" t="str">
        <f t="array" ref="AA81">IFERROR(INDEX(CC$7:CC$378,SMALL(IF(CC$7:CC$378&lt;&gt;"",ROW(CC$7:CC$378)-ROW(CC$7)+1),ROWS(CC$7:CC80))),"")</f>
        <v/>
      </c>
      <c r="AB81" s="4" t="str">
        <f t="array" ref="AB81">IFERROR(INDEX(CD$7:CD$378,SMALL(IF(CD$7:CD$378&lt;&gt;"",ROW(CD$7:CD$378)-ROW(CD$7)+1),ROWS(CD$7:CD80))),"")</f>
        <v/>
      </c>
      <c r="AC81" s="4" t="str">
        <f t="array" ref="AC81">IFERROR(INDEX(CE$7:CE$378,SMALL(IF(CE$7:CE$378&lt;&gt;"",ROW(CE$7:CE$378)-ROW(CE$7)+1),ROWS(CE$7:CE80))),"")</f>
        <v/>
      </c>
      <c r="AD81" s="4"/>
      <c r="AE81" s="4"/>
      <c r="AF81" s="4"/>
      <c r="AG81" s="4"/>
      <c r="AH81" s="4"/>
      <c r="AI81" s="4"/>
      <c r="AJ81" s="46" t="str">
        <f>IF(Atletas!D77="","",IF(Atletas!B77="Feminino",100,IF(Atletas!B77="Masculino",200,""))+(IF(Atletas!D77="Infantil 39kg",1,IF(Atletas!D77="Infantil 42kg",2,IF(Atletas!D77="Infantil 45kg",3,IF(Atletas!D77="Infantil 48kg",4,IF(Atletas!D77="Infantil 52kg",5,IF(Atletas!D77="Infantil 56kg",6,IF(Atletas!D77="Infantil 60kg",7,IF(Atletas!D77="Juvenil 48kg",8,IF(Atletas!D77="Juvenil 52kg",9,IF(Atletas!D77="Juvenil 56kg",10,IF(Atletas!D77="Juvenil 60kg",11,IF(Atletas!D77="Juvenil 65kg",12,IF(Atletas!D77="Juvenil 70kg",13,IF(Atletas!D77="Juvenil 75kg",14,IF(Atletas!D77="Juvenil 80kg",15,IF(Atletas!D77="Adulto 48kg",16,IF(Atletas!D77="Adulto 52kg",17,IF(Atletas!D77="Adulto 56kg",18,IF(Atletas!D77="Adulto 60kg",19,IF(Atletas!D77="Adulto 65kg",20,IF(Atletas!D77="Adulto 70kg",21,IF(Atletas!D77="Adulto 75kg",22,IF(Atletas!D77="Adulto 80kg",23,IF(Atletas!D77="Adulto 85kg",24,IF(Atletas!D77="Adulto 90kg",25,IF(Atletas!D77="Adulto +90kg",26,""))))))))))))))))))))))))))))</f>
        <v/>
      </c>
      <c r="AO81" s="10" t="str">
        <f>IF(Atletas!E77="","",IF(Atletas!B77="Feminino",100,IF(Atletas!B77="Masculino",200,""))+(IF(Atletas!E77="Juvenil 44kg",1,IF(Atletas!E77="Juvenil 48kg",2,IF(Atletas!E77="Juvenil 52kg",3,IF(Atletas!E77="Juvenil 56kg",4,IF(Atletas!E77="Juvenil 60kg",5,IF(Atletas!E77="Juvenil 65kg",6,IF(Atletas!E77="Juvenil 70kg",7,IF(Atletas!E77="Juvenil 75kg",8,IF(Atletas!E77="Juvenil 82kg",9,IF(Atletas!E77="Juvenil 90kg",10,IF(Atletas!E77="Juvenil 100kg",11,IF(Atletas!E77="Adulto 48kg",12,IF(Atletas!E77="Adulto 52kg",13,IF(Atletas!E77="Adulto 56kg",14,IF(Atletas!E77="Adulto 60kg",15,IF(Atletas!E77="Adulto 65kg",16,IF(Atletas!E77="Adulto 70kg",17,IF(Atletas!E77="Adulto 75kg",18,IF(Atletas!E77="Adulto 82kg",19,IF(Atletas!E77="Adulto 90kg",20,IF(Atletas!E77="Adulto 100kg",21,IF(Atletas!E77="Adulto +100kg",22,""))))))))))))))))))))))))</f>
        <v/>
      </c>
      <c r="AT81" s="10" t="str">
        <f>IF(Atletas!F77="","",IF(Atletas!B77="Feminino",100,IF(Atletas!B77="Masculino",200,""))+(IF(Atletas!F77="Adulto 48kg",1,IF(Atletas!F77="Adulto 56kg",2,IF(Atletas!F77="Adulto 65kg",3,IF(Atletas!F77="Adulto 75kg",4,IF(Atletas!F77="Adulto +75kg",5,IF(Atletas!F77="Adulto 52kg",6,IF(Atletas!F77="Adulto 60kg",7,IF(Atletas!F77="Adulto 70kg",8,IF(Atletas!F77="Adulto 80kg",9,IF(Atletas!F77="Adulto 90kg",10,IF(Atletas!F77="Adulto +90kg",11,"")))))))))))))</f>
        <v/>
      </c>
      <c r="AY81" s="46" t="str">
        <f>IF(Atletas!G77="","",IF(Atletas!B77="Feminino",100,IF(Atletas!B77="Masculino",200,""))+(IF(Atletas!G77="Changquan Mirim",1,IF(Atletas!G77="Nanquan Mirim",2,IF(Atletas!G77="Taijiquan Mirim",3,IF(Atletas!G77="Changquan Grupo C",4,IF(Atletas!G77="Nanquan Grupo C",5,IF(Atletas!G77="Taijiquan Grupo C",6,IF(Atletas!G77="Changquan Grupo B",7,IF(Atletas!G77="Nanquan Grupo B",8,IF(Atletas!G77="Taijiquan Grupo B",9,IF(Atletas!G77="Changquan Grupo A",10,IF(Atletas!G77="Nanquan Grupo A",11,IF(Atletas!G77="Taijiquan Grupo A",12,IF(Atletas!G77="Changquan Opcional",13,IF(Atletas!G77="Nanquan Opcional",14,IF(Atletas!G77="Taijiquan Opcional",15,IF(Atletas!G77="Changquan Adulto",16,IF(Atletas!G77="Nanquan Adulto",17,IF(Atletas!G77="Taijiquan Adulto",18,""))))))))))))))))))))</f>
        <v/>
      </c>
      <c r="AZ81" s="46" t="str">
        <f>IF(Atletas!H77="","",IF(Atletas!B77="Feminino",100,IF(Atletas!B77="Masculino",200,""))+(IF(Atletas!H77="Daoshu Mirim",19,IF(Atletas!H77="Jianshu Mirim",20,IF(Atletas!H77="Nandao Mirim",21,IF(Atletas!H77="Taijijian Mirim",22,IF(Atletas!H77="Daoshu Grupo C",23,IF(Atletas!H77="Jianshu Grupo C",24,IF(Atletas!H77="Nandao Grupo C",25,IF(Atletas!H77="Taijijian Grupo C",26,IF(Atletas!H77="Daoshu Grupo B",27,IF(Atletas!H77="Jianshu Grupo B",28,IF(Atletas!H77="Nandao Grupo B",29,IF(Atletas!H77="Taijijian Grupo B",30,IF(Atletas!H77="Daoshu Grupo A",31,IF(Atletas!H77="Jianshu Grupo A",32,IF(Atletas!H77="Nandao Grupo A",33,IF(Atletas!H77="Taijijian Grupo A",34,IF(Atletas!H77="Daoshu Opcional",35,IF(Atletas!H77="Jianshu Opcional",36,IF(Atletas!H77="Nandao Opcional",37,IF(Atletas!H77="Taijijian Opcional",38,IF(Atletas!H77="Daoshu Adulto",39,IF(Atletas!H77="Jianshu Adulto",40,IF(Atletas!H77="Nandao Adulto",41,IF(Atletas!H77="Taijijian Adulto",42,""))))))))))))))))))))))))))</f>
        <v/>
      </c>
      <c r="BA81" s="46" t="str">
        <f>IF(Atletas!I77="","",IF(Atletas!B77="Feminino",100,IF(Atletas!B77="Masculino",200,""))+(IF(Atletas!I77="Gunshu Mirim",43,IF(Atletas!I77="Qiangshu Mirim",44,IF(Atletas!I77="Nangun Mirim",45,IF(Atletas!I77="Gunshu Grupo C",46,IF(Atletas!I77="Qiangshu Grupo C",47,IF(Atletas!I77="Nangun Grupo C",48,IF(Atletas!I77="Gunshu Grupo B",49,IF(Atletas!I77="Qiangshu Grupo B",50,IF(Atletas!I77="Nangun Grupo B",51,IF(Atletas!I77="Gunshu Grupo A",52,IF(Atletas!I77="Qiangshu Grupo A",53,IF(Atletas!I77="Nangun Grupo A",54,IF(Atletas!I77="Gunshu Opcional",55,IF(Atletas!I77="Qiangshu Opcional",56,IF(Atletas!I77="Nangun Opcional",57,IF(Atletas!I77="Gunshu Adulto",58,IF(Atletas!I77="Qiangshu Adulto",59,IF(Atletas!I77="Nangun Adulto",60,""))))))))))))))))))))</f>
        <v/>
      </c>
      <c r="BF81" s="52" t="str">
        <f>IF(Atletas!J77="","",IF(Atletas!B77="Feminino",100,IF(Atletas!B77="Masculino",200,""))+(IF(Atletas!J77="Equipe 1 Grupo B",1,IF(Atletas!J77="Equipe 2 Grupo B",2,IF(Atletas!J77="Equipe 1 Grupo A",3,IF(Atletas!J77="Equipe 2 Grupo A",4,IF(Atletas!J77="Equipe 1 Adulto",5,IF(Atletas!J77="Equipe 2 Adulto",6,""))))))))</f>
        <v/>
      </c>
      <c r="BK81" s="52" t="str">
        <f>IF(Atletas!K77="","",IF(Atletas!W77&lt;&gt;"",10000,0)+(IF(Atletas!B77="Feminino",1000,IF(Atletas!B77="Masculino",2000,""))+IF(Atletas!K77="Choylayfut A",1,IF(Atletas!K77="Hunggar A",2,IF(Atletas!K77="Wuzuquan A",3,IF(Atletas!K77="Wingchun A",4,IF(Atletas!K77="Outra Mão de Sul A",5,IF(Atletas!K77="Choylayfut B",6,IF(Atletas!K77="Hunggar B",7,IF(Atletas!K77="Wuzuquan B",8,IF(Atletas!K77="Wingchun B",9,IF(Atletas!K77="Outra Mão de Sul B",10,IF(Atletas!K77="Choylayfut C",11,IF(Atletas!K77="Hunggar C",12,IF(Atletas!K77="Wuzuquan C",13,IF(Atletas!K77="Wingchun C",14,IF(Atletas!K77="Outra Mão de Sul C",15,IF(Atletas!K77="Choylayfut D",16,IF(Atletas!K77="Hunggar D",17,IF(Atletas!K77="Wuzuquan D",18,IF(Atletas!K77="Wingchun D",19,IF(Atletas!K77="Outra Mão de Sul D",20,IF(Atletas!K77="Choylayfut E",21,IF(Atletas!K77="Hunggar E",22,IF(Atletas!K77="Wuzuquan E",23,IF(Atletas!K77="Wingchun E",24,IF(Atletas!K77="Outra Mão de Sul E",25,IF(Atletas!K77="Choylayfut F",26,IF(Atletas!K77="Hunggar F",27,IF(Atletas!K77="Wuzuquan F",28,IF(Atletas!K77="Wingchun F",29,IF(Atletas!K77="Outra Mão de Sul F",30,""))))))))))))))))))))))))))))))))</f>
        <v/>
      </c>
      <c r="BL81" s="52" t="str">
        <f>IF(Atletas!L77="","",IF(Atletas!W77&lt;&gt;"",10000,0)+(IF(Atletas!B77="Feminino",1000,IF(Atletas!B77="Masculino",2000,""))+(IF(Atletas!L77="Chaquan A",101,IF(Atletas!L77="Emeiquan A",102,IF(Atletas!L77="Fanziquan A",103,IF(Atletas!L77="Huaquan A",104,IF(Atletas!L77="Hongquan A",105,IF(Atletas!L77="Paochui A",106,IF(Atletas!L77="Piguaquan A",107,IF(Atletas!L77="Shaolinquan A",108,IF(Atletas!L77="Tanglangquan A",109,IF(Atletas!L77="Yinzhaophai A",110,IF(Atletas!L77="Tongbeiquan A",111,IF(Atletas!L77="Wudangquan A",112,IF(Atletas!L77="Outros Estilos A",113,IF(Atletas!L77="Chaquan B",114,IF(Atletas!L77="Emeiquan B",115,IF(Atletas!L77="Fanziquan B",116,IF(Atletas!L77="Huaquan B",117,IF(Atletas!L77="Hongquan B",118,IF(Atletas!L77="Paochui B",119,IF(Atletas!L77="Piguaquan B",120,IF(Atletas!L77="Shaolinquan B",121,IF(Atletas!L77="Tanglangquan B",122,IF(Atletas!L77="Yinzhaophai B",123,IF(Atletas!L77="Tongbeiquan B",124,IF(Atletas!L77="Wudangquan B",125,IF(Atletas!L77="Outros Estilos B",126,IF(Atletas!L77="Chaquan C",127,IF(Atletas!L77="Emeiquan C",128,IF(Atletas!L77="Fanziquan C",129,IF(Atletas!L77="Huaquan C",130,IF(Atletas!L77="Hongquan C",131,IF(Atletas!L77="Paochui C",132,IF(Atletas!L77="Piguaquan C",133,IF(Atletas!L77="Shaolinquan C",134,IF(Atletas!L77="Tanglangquan C",135,IF(Atletas!L77="Yinzhaophai C",136,IF(Atletas!L77="Tongbeiquan C",137,IF(Atletas!L77="Wudangquan C",138,IF(Atletas!L77="Outros Estilos C",139,0))))))))))))))))))))))))))))))))))))))))))</f>
        <v/>
      </c>
      <c r="BM81" s="52" t="str">
        <f>IF(Atletas!L77="","",IF(Atletas!W77&lt;&gt;"",10000,0)+(IF(Atletas!B77="Feminino",1000,IF(Atletas!B77="Masculino",2000,""))+(IF(Atletas!L77="Chaquan D",140,IF(Atletas!L77="Emeiquan D",141,IF(Atletas!L77="Fanziquan D",142,IF(Atletas!L77="Huaquan D",143,IF(Atletas!L77="Hongquan D",144,IF(Atletas!L77="Paochui D",145,IF(Atletas!L77="Piguaquan D",146,IF(Atletas!L77="Shaolinquan D",147,IF(Atletas!L77="Tanglangquan D",148,IF(Atletas!L77="Yinzhaophai D",149,IF(Atletas!L77="Tongbeiquan D",150,IF(Atletas!L77="Wudangquan D",151,IF(Atletas!L77="Outros Estilos D",152,IF(Atletas!L77="Chaquan E",153,IF(Atletas!L77="Emeiquan E",154,IF(Atletas!L77="Fanziquan E",155,IF(Atletas!L77="Huaquan E",156,IF(Atletas!L77="Hongquan E",157,IF(Atletas!L77="Paochui E",158,IF(Atletas!L77="Piguaquan E",159,IF(Atletas!L77="Shaolinquan E",160,IF(Atletas!L77="Tanglangquan E",161,IF(Atletas!L77="Yinzhaophai E",162,IF(Atletas!L77="Tongbeiquan E",163,IF(Atletas!L77="Wudangquan E",164,IF(Atletas!L77="Outros Estilos E",165,IF(Atletas!L77="Chaquan F",166,IF(Atletas!L77="Emeiquan F",167,IF(Atletas!L77="Fanziquan F",168,IF(Atletas!L77="Huaquan F",169,IF(Atletas!L77="Hongquan F",170,IF(Atletas!L77="Paochui F",171,IF(Atletas!L77="Piguaquan F",172,IF(Atletas!L77="Shaolinquan F",173,IF(Atletas!L77="Tanglangquan F",174,IF(Atletas!L77="Yinzhaophai F",175,IF(Atletas!L77="Tongbeiquan F",176,IF(Atletas!L77="Wudangquan F",177,IF(Atletas!L77="Outros Estilos F",178,0))))))))))))))))))))))))))))))))))))))))))</f>
        <v/>
      </c>
      <c r="BN81" s="52" t="str">
        <f>IF(Atletas!M77="","",IF(Atletas!W77&lt;&gt;"",10000,0)+(IF(Atletas!B77="Feminino",1000,IF(Atletas!B77="Masculino",2000,""))+(IF(Atletas!M77="Ditangquan A",201,IF(Atletas!M77="Houquan A",202,IF(Atletas!M77="Zuiquan A",203,IF(Atletas!M77="Ditangquan B",204,IF(Atletas!M77="Houquan B",205,IF(Atletas!M77="Zuiquan B",206,IF(Atletas!M77="Ditangquan C",207,IF(Atletas!M77="Houquan C",208,IF(Atletas!M77="Zuiquan C",209,IF(Atletas!M77="Ditangquan D",210,IF(Atletas!M77="Houquan D",211,IF(Atletas!M77="Zuiquan D",212,IF(Atletas!M77="Ditangquan E",213,IF(Atletas!M77="Houquan E",214,IF(Atletas!M77="Zuiquan E",215,IF(Atletas!M77="Ditangquan F",216,IF(Atletas!M77="Houquan F",217,IF(Atletas!M77="Zuiquan F",218,"")))))))))))))))))))))</f>
        <v/>
      </c>
      <c r="BO81" s="52" t="str">
        <f>IF(Atletas!N77="","",IF(Atletas!W77&lt;&gt;"",10000,0)+IF(Atletas!B77="Feminino",1000,IF(Atletas!B77="Masculino",2000,""))+IF(Atletas!N77="Yang A",301,IF(Atletas!N77="Chen A",30,IF(Atletas!N77="Sun A",303,IF(Atletas!N77="Wu A",304,IF(Atletas!N77="Wu-Hao A",305,IF(Atletas!N77="Outro Taijiquan A",306,IF(Atletas!N77="Yang B",307,IF(Atletas!N77="Chen B",308,IF(Atletas!N77="Sun B",309,IF(Atletas!N77="Wu B",310,IF(Atletas!N77="Wu-Hao B",311,IF(Atletas!N77="Outro Taijiquan B",312,IF(Atletas!N77="Yang C",313,IF(Atletas!N77="Chen C",314,IF(Atletas!N77="Sun C",315,IF(Atletas!N77="Wu C",316,IF(Atletas!N77="Wu-Hao C",317,IF(Atletas!N77="Outro Taijiquan C",318,IF(Atletas!N77="Yang D",319,IF(Atletas!N77="Chen D",320,IF(Atletas!N77="Sun D",321,IF(Atletas!N77="Wu D",322,IF(Atletas!N77="Wu-Hao D",323,IF(Atletas!N77="Outro Taijiquan D",324,IF(Atletas!N77="Yang E",325,IF(Atletas!N77="Chen E",326,IF(Atletas!N77="Sun E",327,IF(Atletas!N77="Wu E",328,IF(Atletas!N77="Wu-Hao E",329,IF(Atletas!N77="Outro Taijiquan E",330,IF(Atletas!N77="Yang F",331,IF(Atletas!N77="Chen F",332,IF(Atletas!N77="Sun F",333,IF(Atletas!N77="Wu F",334,IF(Atletas!N77="Wu-Hao F",335,IF(Atletas!N77="Outro Taijiquan F",336,"")))))))))))))))))))))))))))))))))))))</f>
        <v/>
      </c>
      <c r="BP81" s="52" t="str">
        <f>IF(Atletas!O77="","",IF(Atletas!W77&lt;&gt;"",10000,0)+IF(Atletas!B77="Feminino",1000,IF(Atletas!B77="Masculino",2000,""))+IF(OR(Atletas!O77="Yang 26 A",Atletas!O77="Yang 40 A"),401,IF(OR(Atletas!O77="Chen 25 A",Atletas!O77="Chen 36 A",Atletas!O77="Chen 56 A"),402,IF(Atletas!O77="Sun 73 A",403,IF(Atletas!O77="Wu 45 A",404,IF(Atletas!O77="Wu-Hao 46 A",405,IF(OR(Atletas!O77="Taijiquan 16 A",Atletas!O77="Taijiquan 24 A",Atletas!O77="Taijiquan 32 A",Atletas!O77="Taijiquan 42 A"),406,IF(OR(Atletas!O77="Yang 26 B",Atletas!O77="Yang 40 B"),407,IF(OR(Atletas!O77="Chen 25 B",Atletas!O77="Chen 36 B",Atletas!O77="Chen 56 B"),408,IF(Atletas!O77="Sun 73 B",409,IF(Atletas!O77="Wu 45 B",410,IF(Atletas!O77="Wu-Hao 46 B",411,IF(OR(Atletas!O77="Taijiquan 16 B",Atletas!O77="Taijiquan 24 B",Atletas!O77="Taijiquan 32 B",Atletas!O77="Taijiquan 42 B"),412,IF(OR(Atletas!O77="Yang 26 C",Atletas!O77="Yang 40 C"),413,IF(OR(Atletas!O77="Chen 25 C",Atletas!O77="Chen 36 C",Atletas!O77="Chen 56 C"),414,IF(Atletas!O77="Sun 73 C",415,IF(Atletas!O77="Wu 45 C",416,IF(Atletas!O77="Wu-Hao 46 C",417,IF(OR(Atletas!O77="Taijiquan 16 C",Atletas!O77="Taijiquan 24 C",Atletas!O77="Taijiquan 32 C",Atletas!O77="Taijiquan 42 C"),418,0)))))))))))))))))))</f>
        <v/>
      </c>
      <c r="BQ81" s="52" t="str">
        <f>IF(Atletas!O77="","",IF(Atletas!W77&lt;&gt;"",10000,0)+IF(Atletas!B77="Feminino",1000,IF(Atletas!B77="Masculino",2000,""))+IF(OR(Atletas!O77="Yang 26 D",Atletas!O77="Yang 40 D"),419,IF(OR(Atletas!O77="Chen 25 D",Atletas!O77="Chen 36 D",Atletas!O77="Chen 56 D"),420,IF(Atletas!O77="Sun 73 D",421,IF(Atletas!O77="Wu 45 D",422,IF(Atletas!O77="Wu-Hao 46 D",423,IF(OR(Atletas!O77="Taijiquan 16 D",Atletas!O77="Taijiquan 24 D",Atletas!O77="Taijiquan 32 D",Atletas!O77="Taijiquan 42 D"),424,IF(OR(Atletas!O77="Yang 26 E",Atletas!O77="Yang 40 E"),425,IF(OR(Atletas!O77="Chen 25 E",Atletas!O77="Chen 36 E",Atletas!O77="Chen 56 E"),426,IF(Atletas!O77="Sun 73 E",427,IF(Atletas!O77="Wu 45 E",428,IF(Atletas!O77="Wu-Hao 46 E",429,IF(OR(Atletas!O77="Taijiquan 16 E",Atletas!O77="Taijiquan 24 E",Atletas!O77="Taijiquan 32 E",Atletas!O77="Taijiquan 42 E"),430,IF(OR(Atletas!O77="Yang 26 F",Atletas!O77="Yang 40 F"),431,IF(OR(Atletas!O77="Chen 25 F",Atletas!O77="Chen 36 F",Atletas!O77="Chen 56 F"),432,IF(Atletas!O77="Sun 73 F",433,IF(Atletas!O77="Wu 45 F",434,IF(Atletas!O77="Wu-Hao 46 F",435,IF(OR(Atletas!O77="Taijiquan 16 F",Atletas!O77="Taijiquan 24 F",Atletas!O77="Taijiquan 32 F",Atletas!O77="Taijiquan 42 F"),436,0)))))))))))))))))))</f>
        <v/>
      </c>
      <c r="BR81" s="52" t="str">
        <f>IF(Atletas!P77="","",IF(Atletas!W77&lt;&gt;"",10000,0)+IF(Atletas!B77="Feminino",1000,IF(Atletas!B77="Masculino",2000,""))+IF(Atletas!P77="Xingyiquan A",501,IF(Atletas!P77="Baguazhang A",502,IF(Atletas!P77="Outro Estilo Interno A",503,IF(Atletas!P77="Xingyiquan B",504,IF(Atletas!P77="Baguazhang B",505,IF(Atletas!P77="Outro Estilo Interno B",506,IF(Atletas!P77="Xingyiquan C",507,IF(Atletas!P77="Baguazhang C",508,IF(Atletas!P77="Outro Estilo Interno C",509,IF(Atletas!P77="Xingyiquan D",510,IF(Atletas!P77="Baguazhang D",511,IF(Atletas!P77="Outro Estilo Interno D",512,IF(Atletas!P77="Xingyiquan E",513,IF(Atletas!P77="Baguazhang E",514,IF(Atletas!P77="Outro Estilo Interno E",515,IF(Atletas!P77="Xingyiquan F",516,IF(Atletas!P77="Baguazhang F",517,IF(Atletas!P77="Outro Estilo Interno F",518, "")))))))))))))))))))</f>
        <v/>
      </c>
      <c r="BS81" s="52" t="str">
        <f>IF(Atletas!Q77="","",IF(Atletas!W77&lt;&gt;"",10000,0)+IF(Atletas!B77="Feminino",1000,IF(Atletas!B77="Masculino",2000,""))+IF(Atletas!Q77="Dao A",601,IF(Atletas!Q77="Jian A",602,IF(Atletas!Q77="Bishou A",603,IF(Atletas!Q77="Shan A",604,IF(Atletas!Q77="Outra Arma Curta A",605,IF(Atletas!Q77="Dao B",606,IF(Atletas!Q77="Jian B",607,IF(Atletas!Q77="Bishou B",608,IF(Atletas!Q77="Shan B",609,IF(Atletas!Q77="Outra Arma Curta B",610,IF(Atletas!Q77="Dao C",611,IF(Atletas!Q77="Jian C",612,IF(Atletas!Q77="Bishou C",613,IF(Atletas!Q77="Shan C",614,IF(Atletas!Q77="Outra Arma Curta C",615,IF(Atletas!Q77="Dao D",616,IF(Atletas!Q77="Jian D",617,IF(Atletas!Q77="Bishou D",618,IF(Atletas!Q77="Shan D",619,IF(Atletas!Q77="Outra Arma Curta D",620,IF(Atletas!Q77="Dao E",621,IF(Atletas!Q77="Jian E",622,IF(Atletas!Q77="Bishou E",623,IF(Atletas!Q77="Shan E",624,IF(Atletas!Q77="Outra Arma Curta E",625,IF(Atletas!Q77="Dao F",626,IF(Atletas!Q77="Jian F",627,IF(Atletas!Q77="Bishou F",628,IF(Atletas!Q77="Shan F",629,IF(Atletas!Q77="Outra Arma Curta F",630, "")))))))))))))))))))))))))))))))</f>
        <v/>
      </c>
      <c r="BT81" s="52" t="str">
        <f>IF(Atletas!R77="","",IF(Atletas!W77&lt;&gt;"",10000,0)+IF(Atletas!B77="Feminino",1000,IF(Atletas!B77="Masculino",2000,""))+IF(Atletas!R77="Gun A",701,IF(Atletas!R77="Qiang A",702,IF(Atletas!R77="Pudao / Guandao A",703,IF(Atletas!R77="Outra Arma Longa A",704,IF(Atletas!R77="Gun B",705,IF(Atletas!R77="Qiang B",706,IF(Atletas!R77="Pudao / Guandao B",707,IF(Atletas!R77="Outra Arma Longa B",708,IF(Atletas!R77="Gun C",709,IF(Atletas!R77="Qiang C",710,IF(Atletas!R77="Pudao / Guandao C",711,IF(Atletas!R77="Outra Arma Longa C",712,IF(Atletas!R77="Gun D",713,IF(Atletas!R77="Qiang D",714,IF(Atletas!R77="Pudao / Guandao D",715,IF(Atletas!R77="Outra Arma Longa D",716,IF(Atletas!R77="Gun E",717,IF(Atletas!R77="Qiang E",718,IF(Atletas!R77="Pudao / Guandao E",719,IF(Atletas!R77="Outra Arma Longa E",720,IF(Atletas!R77="Gun F",721,IF(Atletas!R77="Qiang F",722,IF(Atletas!R77="Pudao / Guandao F",723,IF(Atletas!R77="Outra Arma Longa F",724,"")))))))))))))))))))))))))</f>
        <v/>
      </c>
      <c r="BU81" s="52" t="str">
        <f>IF(Atletas!S77="","",IF(Atletas!W77&lt;&gt;"",10000,0)+IF(Atletas!B77="Feminino",1000,IF(Atletas!B77="Masculino",2000,""))+IF(Atletas!S77="Arma Dupla A",801,IF(Atletas!S77="Arma Maleável A",802,IF(Atletas!S77="Arma Dupla B",803,IF(Atletas!S77="Arma Maleável B",804,IF(Atletas!S77="Arma Dupla C",805,IF(Atletas!S77="Arma Maleável C",806,IF(Atletas!S77="Arma Dupla D",807,IF(Atletas!S77="Arma Maleável D",808,IF(Atletas!S77="Arma Dupla E",809,IF(Atletas!S77="Arma Maleável E",810,IF(Atletas!S77="Arma Dupla F",811,IF(Atletas!S77="Arma Maleável F",812, "")))))))))))))</f>
        <v/>
      </c>
      <c r="BV81" s="52" t="str">
        <f>IF(Atletas!T77="","",IF(Atletas!W77&lt;&gt;"",10000,0)+IF(Atletas!B77="Feminino",1000,IF(Atletas!B77="Masculino",2000,""))+IF(Atletas!T77="Taijijian Yang A",901,IF(Atletas!T77="Taijijian Chen A",902,IF(Atletas!T77="Taijijian Sun A",903,IF(Atletas!T77="Taijijian Wu A",904,IF(Atletas!T77="Taijijian Wu-Hao A",905,IF(Atletas!T77="Taijijian 32 A",906,IF(Atletas!T77="Taijijian 42 A",907,IF(Atletas!T77="Taijijian Yang B",908,IF(Atletas!T77="Taijijian Chen B",909,IF(Atletas!T77="Taijijian Sun B",910,IF(Atletas!T77="Taijijian Wu B",911,IF(Atletas!T77="Taijijian Wu-Hao B",912,IF(Atletas!T77="Taijijian 32 B",913,IF(Atletas!T77="Taijijian 42 B",914,IF(Atletas!T77="Taijijian Yang C",915,IF(Atletas!T77="Taijijian Chen C",916,IF(Atletas!T77="Taijijian Sun C",917,IF(Atletas!T77="Taijijian Wu C",918,IF(Atletas!T77="Taijijian Wu-Hao C",919,IF(Atletas!T77="Taijijian 32 C",920,IF(Atletas!T77="Taijijian 42 C",921,IF(Atletas!T77="Taijijian Yang D",922,IF(Atletas!T77="Taijijian Chen D",923,IF(Atletas!T77="Taijijian Sun D",924,IF(Atletas!T77="Taijijian Wu D",925,IF(Atletas!T77="Taijijian Wu-Hao D",926,IF(Atletas!T77="Taijijian 32 D",927,IF(Atletas!T77="Taijijian 42 D",928,IF(Atletas!T77="Taijijian Yang E",929,IF(Atletas!T77="Taijijian Chen E",930,IF(Atletas!T77="Taijijian Sun E",931,IF(Atletas!T77="Taijijian Wu E",932,IF(Atletas!T77="Taijijian Wu-Hao E",933,IF(Atletas!T77="Taijijian 32 E",934,IF(Atletas!T77="Taijijian 42 E",935,IF(Atletas!T77="Taijijian Yang F",936,IF(Atletas!T77="Taijijian Chen F",937,IF(Atletas!T77="Taijijian Sun F",938,IF(Atletas!T77="Taijijian Wu F",939,IF(Atletas!T77="Taijijian Wu-Hao F",940,IF(Atletas!T77="Taijijian 32 F",941,IF(Atletas!T77="Taijijian 42 F",942,"")))))))))))))))))))))))))))))))))))))))))))</f>
        <v/>
      </c>
      <c r="BW81" s="52" t="str">
        <f>IF(Atletas!U77="","",IF(Atletas!W77&lt;&gt;"",10000,0)+IF(Atletas!B77="Feminino",1000,IF(Atletas!B77="Masculino",2000,""))+IF(Atletas!T77="Taijijian 42 F",942,IF(Atletas!U77="Taijidao A",943,IF(Atletas!U77="Taijishan A",944,IF(Atletas!U77="Taijiqiang A",945,IF(Atletas!U77="Taijidao B",946,IF(Atletas!U77="Taijishan B",947,IF(Atletas!U77="Taijiqiang B",948,IF(Atletas!U77="Taijidao C",949,IF(Atletas!U77="Taijishan C",950,IF(Atletas!U77="Taijiqiang C",951,IF(Atletas!U77="Taijidao D",952,IF(Atletas!U77="Taijishan D",953,IF(Atletas!U77="Taijiqiang D",954,IF(Atletas!U77="Taijidao E",955,IF(Atletas!U77="Taijishan E",956,IF(Atletas!U77="Taijiqiang E",957,IF(Atletas!U77="Taijidao F",958,IF(Atletas!U77="Taijishan F",959,IF(Atletas!U77="Taijiqiang F",960))))))))))))))))))))</f>
        <v/>
      </c>
      <c r="BX81" s="64" t="str">
        <f>IF(BY81&lt;&gt;"","Paochui D","")</f>
        <v/>
      </c>
      <c r="BY81" s="64" t="str">
        <f>IF(COUNTIF(BK:BW,1145)&gt;0,COUNTIF(BK:BW,1145),"")</f>
        <v/>
      </c>
      <c r="BZ81" s="64" t="str">
        <f>IF(CA81&lt;&gt;"","Paochui D","")</f>
        <v/>
      </c>
      <c r="CA81" s="64" t="str">
        <f>IF(COUNTIF(BK:BW,2145)&gt;0,COUNTIF(BK:BW,2145),"")</f>
        <v/>
      </c>
      <c r="CB81" s="64" t="str">
        <f>IF(CC81&lt;&gt;"","Paochui D","")</f>
        <v/>
      </c>
      <c r="CC81" s="64" t="str">
        <f>IF(COUNTIF(BK:BW,11145)&gt;0,COUNTIF(BK:BW,11145),"")</f>
        <v/>
      </c>
      <c r="CD81" s="64" t="str">
        <f>IF(CE81&lt;&gt;"","Paochui D","")</f>
        <v/>
      </c>
      <c r="CE81" s="64" t="str">
        <f>IF(COUNTIF(BK:BW,12145)&gt;0,COUNTIF(BK:BW,12145),"")</f>
        <v/>
      </c>
      <c r="CF81" s="52" t="str">
        <f xml:space="preserve"> IF(Atletas!V77="","",IF(Atletas!V77="Duilian de Mãos AB - Equipe 1",1,IF(Atletas!V77="Duilian de Mãos AB - Equipe 2",2,IF(Atletas!V77="Duilian de Armas AB - Equipe 1",3,IF(Atletas!V77="Duilian de Armas AB - Equipe 2",4,IF(Atletas!V77="Duilian de Tuishou - Equipe 1",5,IF(Atletas!V77="Duilian de Tuishou - Equipe 2",6,IF(Atletas!V77="Grupo Externo AB - Equipe 1",7,IF(Atletas!V77="Grupo Externo AB - Equipe 2",8,IF(Atletas!V77="Grupo Interno AB - Equipe 1",9,IF(Atletas!V77="Grupo Interno AB - Equipe 2",10,IF(Atletas!V77="Duilian de Mãos CD - Equipe 1",11,IF(Atletas!V77="Duilian de Mãos CD - Equipe 2",12,IF(Atletas!V77="Duilian de Armas CD - Equipe 1",13,IF(Atletas!V77="Duilian de Armas CD - Equipe 2",14,IF(Atletas!V77="Duilian de Tuishou - Equipe 1",15,IF(Atletas!V77="Duilian de Tuishou - Equipe 2",16,IF(Atletas!V77="Grupo Externo CDEF - Equipe 1",17,IF(Atletas!V77="Grupo Externo CDEF - Equipe 2",18,IF(Atletas!V77="Grupo Interno CDEF - Equipe 1",19,IF(Atletas!V77="Grupo Interno CDEF - Equipe 2",20,IF(Atletas!V77="Duilian de Mãos EF - Equipe 1",21,IF(Atletas!V77="Duilian de Mãos EF - Equipe 2",22,IF(Atletas!V77="Duilian de Armas EF - Equipe 1",23,IF(Atletas!V77="Duilian de Armas EF - Equipe 2",24,IF(Atletas!V77="Duilian de Tuishou - Equipe 1",25,IF(Atletas!V77="Duilian de Tuishou - Equipe 2",26,"")))))))))))))))))))))))))))</f>
        <v/>
      </c>
    </row>
    <row r="82" spans="2:84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31"/>
      <c r="U82" s="4"/>
      <c r="V82" s="4" t="str">
        <f t="array" ref="V82">IFERROR(INDEX(BX$7:BX$336,SMALL(IF(BX$7:BX$336&lt;&gt;"",ROW(BX$7:BX$336)-ROW(BX$7)+1),ROWS(BX$7:BX81))),"")</f>
        <v/>
      </c>
      <c r="W82" s="4" t="str">
        <f t="array" ref="W82">IFERROR(INDEX(BY$7:BY$336,SMALL(IF(BY$7:BY$336&lt;&gt;"",ROW(BY$7:BY$336)-ROW(BY$7)+1),ROWS(BY$7:BY81))),"")</f>
        <v/>
      </c>
      <c r="X82" s="4" t="str">
        <f t="array" ref="X82">IFERROR(INDEX(BZ$7:BZ$336,SMALL(IF(BZ$7:BZ$336&lt;&gt;"",ROW(BZ$7:BZ$336)-ROW(BZ$7)+1),ROWS(BZ$7:BZ81))),"")</f>
        <v/>
      </c>
      <c r="Y82" s="4" t="str">
        <f t="array" ref="Y82">IFERROR(INDEX(CA$7:CA$336,SMALL(IF(CA$7:CA$336&lt;&gt;"",ROW(CA$7:CA$336)-ROW(CA$7)+1),ROWS(CA$7:CA81))),"")</f>
        <v/>
      </c>
      <c r="Z82" s="4" t="str">
        <f t="array" ref="Z82">IFERROR(INDEX(CB$7:CB$378,SMALL(IF(CB$7:CB$378&lt;&gt;"",ROW(CB$7:CB$378)-ROW(CB$7)+1),ROWS(CB$7:CB81))),"")</f>
        <v/>
      </c>
      <c r="AA82" s="4" t="str">
        <f t="array" ref="AA82">IFERROR(INDEX(CC$7:CC$378,SMALL(IF(CC$7:CC$378&lt;&gt;"",ROW(CC$7:CC$378)-ROW(CC$7)+1),ROWS(CC$7:CC81))),"")</f>
        <v/>
      </c>
      <c r="AB82" s="4" t="str">
        <f t="array" ref="AB82">IFERROR(INDEX(CD$7:CD$378,SMALL(IF(CD$7:CD$378&lt;&gt;"",ROW(CD$7:CD$378)-ROW(CD$7)+1),ROWS(CD$7:CD81))),"")</f>
        <v/>
      </c>
      <c r="AC82" s="4" t="str">
        <f t="array" ref="AC82">IFERROR(INDEX(CE$7:CE$378,SMALL(IF(CE$7:CE$378&lt;&gt;"",ROW(CE$7:CE$378)-ROW(CE$7)+1),ROWS(CE$7:CE81))),"")</f>
        <v/>
      </c>
      <c r="AD82" s="4"/>
      <c r="AE82" s="4"/>
      <c r="AF82" s="4"/>
      <c r="AG82" s="4"/>
      <c r="AH82" s="4"/>
      <c r="AI82" s="4"/>
      <c r="AJ82" s="46" t="str">
        <f>IF(Atletas!D78="","",IF(Atletas!B78="Feminino",100,IF(Atletas!B78="Masculino",200,""))+(IF(Atletas!D78="Infantil 39kg",1,IF(Atletas!D78="Infantil 42kg",2,IF(Atletas!D78="Infantil 45kg",3,IF(Atletas!D78="Infantil 48kg",4,IF(Atletas!D78="Infantil 52kg",5,IF(Atletas!D78="Infantil 56kg",6,IF(Atletas!D78="Infantil 60kg",7,IF(Atletas!D78="Juvenil 48kg",8,IF(Atletas!D78="Juvenil 52kg",9,IF(Atletas!D78="Juvenil 56kg",10,IF(Atletas!D78="Juvenil 60kg",11,IF(Atletas!D78="Juvenil 65kg",12,IF(Atletas!D78="Juvenil 70kg",13,IF(Atletas!D78="Juvenil 75kg",14,IF(Atletas!D78="Juvenil 80kg",15,IF(Atletas!D78="Adulto 48kg",16,IF(Atletas!D78="Adulto 52kg",17,IF(Atletas!D78="Adulto 56kg",18,IF(Atletas!D78="Adulto 60kg",19,IF(Atletas!D78="Adulto 65kg",20,IF(Atletas!D78="Adulto 70kg",21,IF(Atletas!D78="Adulto 75kg",22,IF(Atletas!D78="Adulto 80kg",23,IF(Atletas!D78="Adulto 85kg",24,IF(Atletas!D78="Adulto 90kg",25,IF(Atletas!D78="Adulto +90kg",26,""))))))))))))))))))))))))))))</f>
        <v/>
      </c>
      <c r="AO82" s="10" t="str">
        <f>IF(Atletas!E78="","",IF(Atletas!B78="Feminino",100,IF(Atletas!B78="Masculino",200,""))+(IF(Atletas!E78="Juvenil 44kg",1,IF(Atletas!E78="Juvenil 48kg",2,IF(Atletas!E78="Juvenil 52kg",3,IF(Atletas!E78="Juvenil 56kg",4,IF(Atletas!E78="Juvenil 60kg",5,IF(Atletas!E78="Juvenil 65kg",6,IF(Atletas!E78="Juvenil 70kg",7,IF(Atletas!E78="Juvenil 75kg",8,IF(Atletas!E78="Juvenil 82kg",9,IF(Atletas!E78="Juvenil 90kg",10,IF(Atletas!E78="Juvenil 100kg",11,IF(Atletas!E78="Adulto 48kg",12,IF(Atletas!E78="Adulto 52kg",13,IF(Atletas!E78="Adulto 56kg",14,IF(Atletas!E78="Adulto 60kg",15,IF(Atletas!E78="Adulto 65kg",16,IF(Atletas!E78="Adulto 70kg",17,IF(Atletas!E78="Adulto 75kg",18,IF(Atletas!E78="Adulto 82kg",19,IF(Atletas!E78="Adulto 90kg",20,IF(Atletas!E78="Adulto 100kg",21,IF(Atletas!E78="Adulto +100kg",22,""))))))))))))))))))))))))</f>
        <v/>
      </c>
      <c r="AT82" s="10" t="str">
        <f>IF(Atletas!F78="","",IF(Atletas!B78="Feminino",100,IF(Atletas!B78="Masculino",200,""))+(IF(Atletas!F78="Adulto 48kg",1,IF(Atletas!F78="Adulto 56kg",2,IF(Atletas!F78="Adulto 65kg",3,IF(Atletas!F78="Adulto 75kg",4,IF(Atletas!F78="Adulto +75kg",5,IF(Atletas!F78="Adulto 52kg",6,IF(Atletas!F78="Adulto 60kg",7,IF(Atletas!F78="Adulto 70kg",8,IF(Atletas!F78="Adulto 80kg",9,IF(Atletas!F78="Adulto 90kg",10,IF(Atletas!F78="Adulto +90kg",11,"")))))))))))))</f>
        <v/>
      </c>
      <c r="AY82" s="46" t="str">
        <f>IF(Atletas!G78="","",IF(Atletas!B78="Feminino",100,IF(Atletas!B78="Masculino",200,""))+(IF(Atletas!G78="Changquan Mirim",1,IF(Atletas!G78="Nanquan Mirim",2,IF(Atletas!G78="Taijiquan Mirim",3,IF(Atletas!G78="Changquan Grupo C",4,IF(Atletas!G78="Nanquan Grupo C",5,IF(Atletas!G78="Taijiquan Grupo C",6,IF(Atletas!G78="Changquan Grupo B",7,IF(Atletas!G78="Nanquan Grupo B",8,IF(Atletas!G78="Taijiquan Grupo B",9,IF(Atletas!G78="Changquan Grupo A",10,IF(Atletas!G78="Nanquan Grupo A",11,IF(Atletas!G78="Taijiquan Grupo A",12,IF(Atletas!G78="Changquan Opcional",13,IF(Atletas!G78="Nanquan Opcional",14,IF(Atletas!G78="Taijiquan Opcional",15,IF(Atletas!G78="Changquan Adulto",16,IF(Atletas!G78="Nanquan Adulto",17,IF(Atletas!G78="Taijiquan Adulto",18,""))))))))))))))))))))</f>
        <v/>
      </c>
      <c r="AZ82" s="46" t="str">
        <f>IF(Atletas!H78="","",IF(Atletas!B78="Feminino",100,IF(Atletas!B78="Masculino",200,""))+(IF(Atletas!H78="Daoshu Mirim",19,IF(Atletas!H78="Jianshu Mirim",20,IF(Atletas!H78="Nandao Mirim",21,IF(Atletas!H78="Taijijian Mirim",22,IF(Atletas!H78="Daoshu Grupo C",23,IF(Atletas!H78="Jianshu Grupo C",24,IF(Atletas!H78="Nandao Grupo C",25,IF(Atletas!H78="Taijijian Grupo C",26,IF(Atletas!H78="Daoshu Grupo B",27,IF(Atletas!H78="Jianshu Grupo B",28,IF(Atletas!H78="Nandao Grupo B",29,IF(Atletas!H78="Taijijian Grupo B",30,IF(Atletas!H78="Daoshu Grupo A",31,IF(Atletas!H78="Jianshu Grupo A",32,IF(Atletas!H78="Nandao Grupo A",33,IF(Atletas!H78="Taijijian Grupo A",34,IF(Atletas!H78="Daoshu Opcional",35,IF(Atletas!H78="Jianshu Opcional",36,IF(Atletas!H78="Nandao Opcional",37,IF(Atletas!H78="Taijijian Opcional",38,IF(Atletas!H78="Daoshu Adulto",39,IF(Atletas!H78="Jianshu Adulto",40,IF(Atletas!H78="Nandao Adulto",41,IF(Atletas!H78="Taijijian Adulto",42,""))))))))))))))))))))))))))</f>
        <v/>
      </c>
      <c r="BA82" s="46" t="str">
        <f>IF(Atletas!I78="","",IF(Atletas!B78="Feminino",100,IF(Atletas!B78="Masculino",200,""))+(IF(Atletas!I78="Gunshu Mirim",43,IF(Atletas!I78="Qiangshu Mirim",44,IF(Atletas!I78="Nangun Mirim",45,IF(Atletas!I78="Gunshu Grupo C",46,IF(Atletas!I78="Qiangshu Grupo C",47,IF(Atletas!I78="Nangun Grupo C",48,IF(Atletas!I78="Gunshu Grupo B",49,IF(Atletas!I78="Qiangshu Grupo B",50,IF(Atletas!I78="Nangun Grupo B",51,IF(Atletas!I78="Gunshu Grupo A",52,IF(Atletas!I78="Qiangshu Grupo A",53,IF(Atletas!I78="Nangun Grupo A",54,IF(Atletas!I78="Gunshu Opcional",55,IF(Atletas!I78="Qiangshu Opcional",56,IF(Atletas!I78="Nangun Opcional",57,IF(Atletas!I78="Gunshu Adulto",58,IF(Atletas!I78="Qiangshu Adulto",59,IF(Atletas!I78="Nangun Adulto",60,""))))))))))))))))))))</f>
        <v/>
      </c>
      <c r="BF82" s="52" t="str">
        <f>IF(Atletas!J78="","",IF(Atletas!B78="Feminino",100,IF(Atletas!B78="Masculino",200,""))+(IF(Atletas!J78="Equipe 1 Grupo B",1,IF(Atletas!J78="Equipe 2 Grupo B",2,IF(Atletas!J78="Equipe 1 Grupo A",3,IF(Atletas!J78="Equipe 2 Grupo A",4,IF(Atletas!J78="Equipe 1 Adulto",5,IF(Atletas!J78="Equipe 2 Adulto",6,""))))))))</f>
        <v/>
      </c>
      <c r="BK82" s="52" t="str">
        <f>IF(Atletas!K78="","",IF(Atletas!W78&lt;&gt;"",10000,0)+(IF(Atletas!B78="Feminino",1000,IF(Atletas!B78="Masculino",2000,""))+IF(Atletas!K78="Choylayfut A",1,IF(Atletas!K78="Hunggar A",2,IF(Atletas!K78="Wuzuquan A",3,IF(Atletas!K78="Wingchun A",4,IF(Atletas!K78="Outra Mão de Sul A",5,IF(Atletas!K78="Choylayfut B",6,IF(Atletas!K78="Hunggar B",7,IF(Atletas!K78="Wuzuquan B",8,IF(Atletas!K78="Wingchun B",9,IF(Atletas!K78="Outra Mão de Sul B",10,IF(Atletas!K78="Choylayfut C",11,IF(Atletas!K78="Hunggar C",12,IF(Atletas!K78="Wuzuquan C",13,IF(Atletas!K78="Wingchun C",14,IF(Atletas!K78="Outra Mão de Sul C",15,IF(Atletas!K78="Choylayfut D",16,IF(Atletas!K78="Hunggar D",17,IF(Atletas!K78="Wuzuquan D",18,IF(Atletas!K78="Wingchun D",19,IF(Atletas!K78="Outra Mão de Sul D",20,IF(Atletas!K78="Choylayfut E",21,IF(Atletas!K78="Hunggar E",22,IF(Atletas!K78="Wuzuquan E",23,IF(Atletas!K78="Wingchun E",24,IF(Atletas!K78="Outra Mão de Sul E",25,IF(Atletas!K78="Choylayfut F",26,IF(Atletas!K78="Hunggar F",27,IF(Atletas!K78="Wuzuquan F",28,IF(Atletas!K78="Wingchun F",29,IF(Atletas!K78="Outra Mão de Sul F",30,""))))))))))))))))))))))))))))))))</f>
        <v/>
      </c>
      <c r="BL82" s="52" t="str">
        <f>IF(Atletas!L78="","",IF(Atletas!W78&lt;&gt;"",10000,0)+(IF(Atletas!B78="Feminino",1000,IF(Atletas!B78="Masculino",2000,""))+(IF(Atletas!L78="Chaquan A",101,IF(Atletas!L78="Emeiquan A",102,IF(Atletas!L78="Fanziquan A",103,IF(Atletas!L78="Huaquan A",104,IF(Atletas!L78="Hongquan A",105,IF(Atletas!L78="Paochui A",106,IF(Atletas!L78="Piguaquan A",107,IF(Atletas!L78="Shaolinquan A",108,IF(Atletas!L78="Tanglangquan A",109,IF(Atletas!L78="Yinzhaophai A",110,IF(Atletas!L78="Tongbeiquan A",111,IF(Atletas!L78="Wudangquan A",112,IF(Atletas!L78="Outros Estilos A",113,IF(Atletas!L78="Chaquan B",114,IF(Atletas!L78="Emeiquan B",115,IF(Atletas!L78="Fanziquan B",116,IF(Atletas!L78="Huaquan B",117,IF(Atletas!L78="Hongquan B",118,IF(Atletas!L78="Paochui B",119,IF(Atletas!L78="Piguaquan B",120,IF(Atletas!L78="Shaolinquan B",121,IF(Atletas!L78="Tanglangquan B",122,IF(Atletas!L78="Yinzhaophai B",123,IF(Atletas!L78="Tongbeiquan B",124,IF(Atletas!L78="Wudangquan B",125,IF(Atletas!L78="Outros Estilos B",126,IF(Atletas!L78="Chaquan C",127,IF(Atletas!L78="Emeiquan C",128,IF(Atletas!L78="Fanziquan C",129,IF(Atletas!L78="Huaquan C",130,IF(Atletas!L78="Hongquan C",131,IF(Atletas!L78="Paochui C",132,IF(Atletas!L78="Piguaquan C",133,IF(Atletas!L78="Shaolinquan C",134,IF(Atletas!L78="Tanglangquan C",135,IF(Atletas!L78="Yinzhaophai C",136,IF(Atletas!L78="Tongbeiquan C",137,IF(Atletas!L78="Wudangquan C",138,IF(Atletas!L78="Outros Estilos C",139,0))))))))))))))))))))))))))))))))))))))))))</f>
        <v/>
      </c>
      <c r="BM82" s="52" t="str">
        <f>IF(Atletas!L78="","",IF(Atletas!W78&lt;&gt;"",10000,0)+(IF(Atletas!B78="Feminino",1000,IF(Atletas!B78="Masculino",2000,""))+(IF(Atletas!L78="Chaquan D",140,IF(Atletas!L78="Emeiquan D",141,IF(Atletas!L78="Fanziquan D",142,IF(Atletas!L78="Huaquan D",143,IF(Atletas!L78="Hongquan D",144,IF(Atletas!L78="Paochui D",145,IF(Atletas!L78="Piguaquan D",146,IF(Atletas!L78="Shaolinquan D",147,IF(Atletas!L78="Tanglangquan D",148,IF(Atletas!L78="Yinzhaophai D",149,IF(Atletas!L78="Tongbeiquan D",150,IF(Atletas!L78="Wudangquan D",151,IF(Atletas!L78="Outros Estilos D",152,IF(Atletas!L78="Chaquan E",153,IF(Atletas!L78="Emeiquan E",154,IF(Atletas!L78="Fanziquan E",155,IF(Atletas!L78="Huaquan E",156,IF(Atletas!L78="Hongquan E",157,IF(Atletas!L78="Paochui E",158,IF(Atletas!L78="Piguaquan E",159,IF(Atletas!L78="Shaolinquan E",160,IF(Atletas!L78="Tanglangquan E",161,IF(Atletas!L78="Yinzhaophai E",162,IF(Atletas!L78="Tongbeiquan E",163,IF(Atletas!L78="Wudangquan E",164,IF(Atletas!L78="Outros Estilos E",165,IF(Atletas!L78="Chaquan F",166,IF(Atletas!L78="Emeiquan F",167,IF(Atletas!L78="Fanziquan F",168,IF(Atletas!L78="Huaquan F",169,IF(Atletas!L78="Hongquan F",170,IF(Atletas!L78="Paochui F",171,IF(Atletas!L78="Piguaquan F",172,IF(Atletas!L78="Shaolinquan F",173,IF(Atletas!L78="Tanglangquan F",174,IF(Atletas!L78="Yinzhaophai F",175,IF(Atletas!L78="Tongbeiquan F",176,IF(Atletas!L78="Wudangquan F",177,IF(Atletas!L78="Outros Estilos F",178,0))))))))))))))))))))))))))))))))))))))))))</f>
        <v/>
      </c>
      <c r="BN82" s="52" t="str">
        <f>IF(Atletas!M78="","",IF(Atletas!W78&lt;&gt;"",10000,0)+(IF(Atletas!B78="Feminino",1000,IF(Atletas!B78="Masculino",2000,""))+(IF(Atletas!M78="Ditangquan A",201,IF(Atletas!M78="Houquan A",202,IF(Atletas!M78="Zuiquan A",203,IF(Atletas!M78="Ditangquan B",204,IF(Atletas!M78="Houquan B",205,IF(Atletas!M78="Zuiquan B",206,IF(Atletas!M78="Ditangquan C",207,IF(Atletas!M78="Houquan C",208,IF(Atletas!M78="Zuiquan C",209,IF(Atletas!M78="Ditangquan D",210,IF(Atletas!M78="Houquan D",211,IF(Atletas!M78="Zuiquan D",212,IF(Atletas!M78="Ditangquan E",213,IF(Atletas!M78="Houquan E",214,IF(Atletas!M78="Zuiquan E",215,IF(Atletas!M78="Ditangquan F",216,IF(Atletas!M78="Houquan F",217,IF(Atletas!M78="Zuiquan F",218,"")))))))))))))))))))))</f>
        <v/>
      </c>
      <c r="BO82" s="52" t="str">
        <f>IF(Atletas!N78="","",IF(Atletas!W78&lt;&gt;"",10000,0)+IF(Atletas!B78="Feminino",1000,IF(Atletas!B78="Masculino",2000,""))+IF(Atletas!N78="Yang A",301,IF(Atletas!N78="Chen A",30,IF(Atletas!N78="Sun A",303,IF(Atletas!N78="Wu A",304,IF(Atletas!N78="Wu-Hao A",305,IF(Atletas!N78="Outro Taijiquan A",306,IF(Atletas!N78="Yang B",307,IF(Atletas!N78="Chen B",308,IF(Atletas!N78="Sun B",309,IF(Atletas!N78="Wu B",310,IF(Atletas!N78="Wu-Hao B",311,IF(Atletas!N78="Outro Taijiquan B",312,IF(Atletas!N78="Yang C",313,IF(Atletas!N78="Chen C",314,IF(Atletas!N78="Sun C",315,IF(Atletas!N78="Wu C",316,IF(Atletas!N78="Wu-Hao C",317,IF(Atletas!N78="Outro Taijiquan C",318,IF(Atletas!N78="Yang D",319,IF(Atletas!N78="Chen D",320,IF(Atletas!N78="Sun D",321,IF(Atletas!N78="Wu D",322,IF(Atletas!N78="Wu-Hao D",323,IF(Atletas!N78="Outro Taijiquan D",324,IF(Atletas!N78="Yang E",325,IF(Atletas!N78="Chen E",326,IF(Atletas!N78="Sun E",327,IF(Atletas!N78="Wu E",328,IF(Atletas!N78="Wu-Hao E",329,IF(Atletas!N78="Outro Taijiquan E",330,IF(Atletas!N78="Yang F",331,IF(Atletas!N78="Chen F",332,IF(Atletas!N78="Sun F",333,IF(Atletas!N78="Wu F",334,IF(Atletas!N78="Wu-Hao F",335,IF(Atletas!N78="Outro Taijiquan F",336,"")))))))))))))))))))))))))))))))))))))</f>
        <v/>
      </c>
      <c r="BP82" s="52" t="str">
        <f>IF(Atletas!O78="","",IF(Atletas!W78&lt;&gt;"",10000,0)+IF(Atletas!B78="Feminino",1000,IF(Atletas!B78="Masculino",2000,""))+IF(OR(Atletas!O78="Yang 26 A",Atletas!O78="Yang 40 A"),401,IF(OR(Atletas!O78="Chen 25 A",Atletas!O78="Chen 36 A",Atletas!O78="Chen 56 A"),402,IF(Atletas!O78="Sun 73 A",403,IF(Atletas!O78="Wu 45 A",404,IF(Atletas!O78="Wu-Hao 46 A",405,IF(OR(Atletas!O78="Taijiquan 16 A",Atletas!O78="Taijiquan 24 A",Atletas!O78="Taijiquan 32 A",Atletas!O78="Taijiquan 42 A"),406,IF(OR(Atletas!O78="Yang 26 B",Atletas!O78="Yang 40 B"),407,IF(OR(Atletas!O78="Chen 25 B",Atletas!O78="Chen 36 B",Atletas!O78="Chen 56 B"),408,IF(Atletas!O78="Sun 73 B",409,IF(Atletas!O78="Wu 45 B",410,IF(Atletas!O78="Wu-Hao 46 B",411,IF(OR(Atletas!O78="Taijiquan 16 B",Atletas!O78="Taijiquan 24 B",Atletas!O78="Taijiquan 32 B",Atletas!O78="Taijiquan 42 B"),412,IF(OR(Atletas!O78="Yang 26 C",Atletas!O78="Yang 40 C"),413,IF(OR(Atletas!O78="Chen 25 C",Atletas!O78="Chen 36 C",Atletas!O78="Chen 56 C"),414,IF(Atletas!O78="Sun 73 C",415,IF(Atletas!O78="Wu 45 C",416,IF(Atletas!O78="Wu-Hao 46 C",417,IF(OR(Atletas!O78="Taijiquan 16 C",Atletas!O78="Taijiquan 24 C",Atletas!O78="Taijiquan 32 C",Atletas!O78="Taijiquan 42 C"),418,0)))))))))))))))))))</f>
        <v/>
      </c>
      <c r="BQ82" s="52" t="str">
        <f>IF(Atletas!O78="","",IF(Atletas!W78&lt;&gt;"",10000,0)+IF(Atletas!B78="Feminino",1000,IF(Atletas!B78="Masculino",2000,""))+IF(OR(Atletas!O78="Yang 26 D",Atletas!O78="Yang 40 D"),419,IF(OR(Atletas!O78="Chen 25 D",Atletas!O78="Chen 36 D",Atletas!O78="Chen 56 D"),420,IF(Atletas!O78="Sun 73 D",421,IF(Atletas!O78="Wu 45 D",422,IF(Atletas!O78="Wu-Hao 46 D",423,IF(OR(Atletas!O78="Taijiquan 16 D",Atletas!O78="Taijiquan 24 D",Atletas!O78="Taijiquan 32 D",Atletas!O78="Taijiquan 42 D"),424,IF(OR(Atletas!O78="Yang 26 E",Atletas!O78="Yang 40 E"),425,IF(OR(Atletas!O78="Chen 25 E",Atletas!O78="Chen 36 E",Atletas!O78="Chen 56 E"),426,IF(Atletas!O78="Sun 73 E",427,IF(Atletas!O78="Wu 45 E",428,IF(Atletas!O78="Wu-Hao 46 E",429,IF(OR(Atletas!O78="Taijiquan 16 E",Atletas!O78="Taijiquan 24 E",Atletas!O78="Taijiquan 32 E",Atletas!O78="Taijiquan 42 E"),430,IF(OR(Atletas!O78="Yang 26 F",Atletas!O78="Yang 40 F"),431,IF(OR(Atletas!O78="Chen 25 F",Atletas!O78="Chen 36 F",Atletas!O78="Chen 56 F"),432,IF(Atletas!O78="Sun 73 F",433,IF(Atletas!O78="Wu 45 F",434,IF(Atletas!O78="Wu-Hao 46 F",435,IF(OR(Atletas!O78="Taijiquan 16 F",Atletas!O78="Taijiquan 24 F",Atletas!O78="Taijiquan 32 F",Atletas!O78="Taijiquan 42 F"),436,0)))))))))))))))))))</f>
        <v/>
      </c>
      <c r="BR82" s="52" t="str">
        <f>IF(Atletas!P78="","",IF(Atletas!W78&lt;&gt;"",10000,0)+IF(Atletas!B78="Feminino",1000,IF(Atletas!B78="Masculino",2000,""))+IF(Atletas!P78="Xingyiquan A",501,IF(Atletas!P78="Baguazhang A",502,IF(Atletas!P78="Outro Estilo Interno A",503,IF(Atletas!P78="Xingyiquan B",504,IF(Atletas!P78="Baguazhang B",505,IF(Atletas!P78="Outro Estilo Interno B",506,IF(Atletas!P78="Xingyiquan C",507,IF(Atletas!P78="Baguazhang C",508,IF(Atletas!P78="Outro Estilo Interno C",509,IF(Atletas!P78="Xingyiquan D",510,IF(Atletas!P78="Baguazhang D",511,IF(Atletas!P78="Outro Estilo Interno D",512,IF(Atletas!P78="Xingyiquan E",513,IF(Atletas!P78="Baguazhang E",514,IF(Atletas!P78="Outro Estilo Interno E",515,IF(Atletas!P78="Xingyiquan F",516,IF(Atletas!P78="Baguazhang F",517,IF(Atletas!P78="Outro Estilo Interno F",518, "")))))))))))))))))))</f>
        <v/>
      </c>
      <c r="BS82" s="52" t="str">
        <f>IF(Atletas!Q78="","",IF(Atletas!W78&lt;&gt;"",10000,0)+IF(Atletas!B78="Feminino",1000,IF(Atletas!B78="Masculino",2000,""))+IF(Atletas!Q78="Dao A",601,IF(Atletas!Q78="Jian A",602,IF(Atletas!Q78="Bishou A",603,IF(Atletas!Q78="Shan A",604,IF(Atletas!Q78="Outra Arma Curta A",605,IF(Atletas!Q78="Dao B",606,IF(Atletas!Q78="Jian B",607,IF(Atletas!Q78="Bishou B",608,IF(Atletas!Q78="Shan B",609,IF(Atletas!Q78="Outra Arma Curta B",610,IF(Atletas!Q78="Dao C",611,IF(Atletas!Q78="Jian C",612,IF(Atletas!Q78="Bishou C",613,IF(Atletas!Q78="Shan C",614,IF(Atletas!Q78="Outra Arma Curta C",615,IF(Atletas!Q78="Dao D",616,IF(Atletas!Q78="Jian D",617,IF(Atletas!Q78="Bishou D",618,IF(Atletas!Q78="Shan D",619,IF(Atletas!Q78="Outra Arma Curta D",620,IF(Atletas!Q78="Dao E",621,IF(Atletas!Q78="Jian E",622,IF(Atletas!Q78="Bishou E",623,IF(Atletas!Q78="Shan E",624,IF(Atletas!Q78="Outra Arma Curta E",625,IF(Atletas!Q78="Dao F",626,IF(Atletas!Q78="Jian F",627,IF(Atletas!Q78="Bishou F",628,IF(Atletas!Q78="Shan F",629,IF(Atletas!Q78="Outra Arma Curta F",630, "")))))))))))))))))))))))))))))))</f>
        <v/>
      </c>
      <c r="BT82" s="52" t="str">
        <f>IF(Atletas!R78="","",IF(Atletas!W78&lt;&gt;"",10000,0)+IF(Atletas!B78="Feminino",1000,IF(Atletas!B78="Masculino",2000,""))+IF(Atletas!R78="Gun A",701,IF(Atletas!R78="Qiang A",702,IF(Atletas!R78="Pudao / Guandao A",703,IF(Atletas!R78="Outra Arma Longa A",704,IF(Atletas!R78="Gun B",705,IF(Atletas!R78="Qiang B",706,IF(Atletas!R78="Pudao / Guandao B",707,IF(Atletas!R78="Outra Arma Longa B",708,IF(Atletas!R78="Gun C",709,IF(Atletas!R78="Qiang C",710,IF(Atletas!R78="Pudao / Guandao C",711,IF(Atletas!R78="Outra Arma Longa C",712,IF(Atletas!R78="Gun D",713,IF(Atletas!R78="Qiang D",714,IF(Atletas!R78="Pudao / Guandao D",715,IF(Atletas!R78="Outra Arma Longa D",716,IF(Atletas!R78="Gun E",717,IF(Atletas!R78="Qiang E",718,IF(Atletas!R78="Pudao / Guandao E",719,IF(Atletas!R78="Outra Arma Longa E",720,IF(Atletas!R78="Gun F",721,IF(Atletas!R78="Qiang F",722,IF(Atletas!R78="Pudao / Guandao F",723,IF(Atletas!R78="Outra Arma Longa F",724,"")))))))))))))))))))))))))</f>
        <v/>
      </c>
      <c r="BU82" s="52" t="str">
        <f>IF(Atletas!S78="","",IF(Atletas!W78&lt;&gt;"",10000,0)+IF(Atletas!B78="Feminino",1000,IF(Atletas!B78="Masculino",2000,""))+IF(Atletas!S78="Arma Dupla A",801,IF(Atletas!S78="Arma Maleável A",802,IF(Atletas!S78="Arma Dupla B",803,IF(Atletas!S78="Arma Maleável B",804,IF(Atletas!S78="Arma Dupla C",805,IF(Atletas!S78="Arma Maleável C",806,IF(Atletas!S78="Arma Dupla D",807,IF(Atletas!S78="Arma Maleável D",808,IF(Atletas!S78="Arma Dupla E",809,IF(Atletas!S78="Arma Maleável E",810,IF(Atletas!S78="Arma Dupla F",811,IF(Atletas!S78="Arma Maleável F",812, "")))))))))))))</f>
        <v/>
      </c>
      <c r="BV82" s="52" t="str">
        <f>IF(Atletas!T78="","",IF(Atletas!W78&lt;&gt;"",10000,0)+IF(Atletas!B78="Feminino",1000,IF(Atletas!B78="Masculino",2000,""))+IF(Atletas!T78="Taijijian Yang A",901,IF(Atletas!T78="Taijijian Chen A",902,IF(Atletas!T78="Taijijian Sun A",903,IF(Atletas!T78="Taijijian Wu A",904,IF(Atletas!T78="Taijijian Wu-Hao A",905,IF(Atletas!T78="Taijijian 32 A",906,IF(Atletas!T78="Taijijian 42 A",907,IF(Atletas!T78="Taijijian Yang B",908,IF(Atletas!T78="Taijijian Chen B",909,IF(Atletas!T78="Taijijian Sun B",910,IF(Atletas!T78="Taijijian Wu B",911,IF(Atletas!T78="Taijijian Wu-Hao B",912,IF(Atletas!T78="Taijijian 32 B",913,IF(Atletas!T78="Taijijian 42 B",914,IF(Atletas!T78="Taijijian Yang C",915,IF(Atletas!T78="Taijijian Chen C",916,IF(Atletas!T78="Taijijian Sun C",917,IF(Atletas!T78="Taijijian Wu C",918,IF(Atletas!T78="Taijijian Wu-Hao C",919,IF(Atletas!T78="Taijijian 32 C",920,IF(Atletas!T78="Taijijian 42 C",921,IF(Atletas!T78="Taijijian Yang D",922,IF(Atletas!T78="Taijijian Chen D",923,IF(Atletas!T78="Taijijian Sun D",924,IF(Atletas!T78="Taijijian Wu D",925,IF(Atletas!T78="Taijijian Wu-Hao D",926,IF(Atletas!T78="Taijijian 32 D",927,IF(Atletas!T78="Taijijian 42 D",928,IF(Atletas!T78="Taijijian Yang E",929,IF(Atletas!T78="Taijijian Chen E",930,IF(Atletas!T78="Taijijian Sun E",931,IF(Atletas!T78="Taijijian Wu E",932,IF(Atletas!T78="Taijijian Wu-Hao E",933,IF(Atletas!T78="Taijijian 32 E",934,IF(Atletas!T78="Taijijian 42 E",935,IF(Atletas!T78="Taijijian Yang F",936,IF(Atletas!T78="Taijijian Chen F",937,IF(Atletas!T78="Taijijian Sun F",938,IF(Atletas!T78="Taijijian Wu F",939,IF(Atletas!T78="Taijijian Wu-Hao F",940,IF(Atletas!T78="Taijijian 32 F",941,IF(Atletas!T78="Taijijian 42 F",942,"")))))))))))))))))))))))))))))))))))))))))))</f>
        <v/>
      </c>
      <c r="BW82" s="52" t="str">
        <f>IF(Atletas!U78="","",IF(Atletas!W78&lt;&gt;"",10000,0)+IF(Atletas!B78="Feminino",1000,IF(Atletas!B78="Masculino",2000,""))+IF(Atletas!T78="Taijijian 42 F",942,IF(Atletas!U78="Taijidao A",943,IF(Atletas!U78="Taijishan A",944,IF(Atletas!U78="Taijiqiang A",945,IF(Atletas!U78="Taijidao B",946,IF(Atletas!U78="Taijishan B",947,IF(Atletas!U78="Taijiqiang B",948,IF(Atletas!U78="Taijidao C",949,IF(Atletas!U78="Taijishan C",950,IF(Atletas!U78="Taijiqiang C",951,IF(Atletas!U78="Taijidao D",952,IF(Atletas!U78="Taijishan D",953,IF(Atletas!U78="Taijiqiang D",954,IF(Atletas!U78="Taijidao E",955,IF(Atletas!U78="Taijishan E",956,IF(Atletas!U78="Taijiqiang E",957,IF(Atletas!U78="Taijidao F",958,IF(Atletas!U78="Taijishan F",959,IF(Atletas!U78="Taijiqiang F",960))))))))))))))))))))</f>
        <v/>
      </c>
      <c r="BX82" s="64" t="str">
        <f>IF(BY82&lt;&gt;"","Piguaquan D","")</f>
        <v/>
      </c>
      <c r="BY82" s="64" t="str">
        <f>IF(COUNTIF(BK:BW,1146)&gt;0,COUNTIF(BK:BW,1146),"")</f>
        <v/>
      </c>
      <c r="BZ82" s="64" t="str">
        <f>IF(CA82&lt;&gt;"","Piguaquan D","")</f>
        <v/>
      </c>
      <c r="CA82" s="64" t="str">
        <f>IF(COUNTIF(BK:BW,2146)&gt;0,COUNTIF(BK:BW,2146),"")</f>
        <v/>
      </c>
      <c r="CB82" s="64" t="str">
        <f>IF(CC82&lt;&gt;"","Piguaquan D","")</f>
        <v/>
      </c>
      <c r="CC82" s="64" t="str">
        <f>IF(COUNTIF(BK:BW,11146)&gt;0,COUNTIF(BK:BW,11146),"")</f>
        <v/>
      </c>
      <c r="CD82" s="64" t="str">
        <f>IF(CE82&lt;&gt;"","Piguaquan D","")</f>
        <v/>
      </c>
      <c r="CE82" s="64" t="str">
        <f>IF(COUNTIF(BK:BW,12146)&gt;0,COUNTIF(BK:BW,12146),"")</f>
        <v/>
      </c>
      <c r="CF82" s="52" t="str">
        <f xml:space="preserve"> IF(Atletas!V78="","",IF(Atletas!V78="Duilian de Mãos AB - Equipe 1",1,IF(Atletas!V78="Duilian de Mãos AB - Equipe 2",2,IF(Atletas!V78="Duilian de Armas AB - Equipe 1",3,IF(Atletas!V78="Duilian de Armas AB - Equipe 2",4,IF(Atletas!V78="Duilian de Tuishou - Equipe 1",5,IF(Atletas!V78="Duilian de Tuishou - Equipe 2",6,IF(Atletas!V78="Grupo Externo AB - Equipe 1",7,IF(Atletas!V78="Grupo Externo AB - Equipe 2",8,IF(Atletas!V78="Grupo Interno AB - Equipe 1",9,IF(Atletas!V78="Grupo Interno AB - Equipe 2",10,IF(Atletas!V78="Duilian de Mãos CD - Equipe 1",11,IF(Atletas!V78="Duilian de Mãos CD - Equipe 2",12,IF(Atletas!V78="Duilian de Armas CD - Equipe 1",13,IF(Atletas!V78="Duilian de Armas CD - Equipe 2",14,IF(Atletas!V78="Duilian de Tuishou - Equipe 1",15,IF(Atletas!V78="Duilian de Tuishou - Equipe 2",16,IF(Atletas!V78="Grupo Externo CDEF - Equipe 1",17,IF(Atletas!V78="Grupo Externo CDEF - Equipe 2",18,IF(Atletas!V78="Grupo Interno CDEF - Equipe 1",19,IF(Atletas!V78="Grupo Interno CDEF - Equipe 2",20,IF(Atletas!V78="Duilian de Mãos EF - Equipe 1",21,IF(Atletas!V78="Duilian de Mãos EF - Equipe 2",22,IF(Atletas!V78="Duilian de Armas EF - Equipe 1",23,IF(Atletas!V78="Duilian de Armas EF - Equipe 2",24,IF(Atletas!V78="Duilian de Tuishou - Equipe 1",25,IF(Atletas!V78="Duilian de Tuishou - Equipe 2",26,"")))))))))))))))))))))))))))</f>
        <v/>
      </c>
    </row>
    <row r="83" spans="2:84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31"/>
      <c r="U83" s="4"/>
      <c r="V83" s="4" t="str">
        <f t="array" ref="V83">IFERROR(INDEX(BX$7:BX$336,SMALL(IF(BX$7:BX$336&lt;&gt;"",ROW(BX$7:BX$336)-ROW(BX$7)+1),ROWS(BX$7:BX82))),"")</f>
        <v/>
      </c>
      <c r="W83" s="4" t="str">
        <f t="array" ref="W83">IFERROR(INDEX(BY$7:BY$336,SMALL(IF(BY$7:BY$336&lt;&gt;"",ROW(BY$7:BY$336)-ROW(BY$7)+1),ROWS(BY$7:BY82))),"")</f>
        <v/>
      </c>
      <c r="X83" s="4" t="str">
        <f t="array" ref="X83">IFERROR(INDEX(BZ$7:BZ$336,SMALL(IF(BZ$7:BZ$336&lt;&gt;"",ROW(BZ$7:BZ$336)-ROW(BZ$7)+1),ROWS(BZ$7:BZ82))),"")</f>
        <v/>
      </c>
      <c r="Y83" s="4" t="str">
        <f t="array" ref="Y83">IFERROR(INDEX(CA$7:CA$336,SMALL(IF(CA$7:CA$336&lt;&gt;"",ROW(CA$7:CA$336)-ROW(CA$7)+1),ROWS(CA$7:CA82))),"")</f>
        <v/>
      </c>
      <c r="Z83" s="4" t="str">
        <f t="array" ref="Z83">IFERROR(INDEX(CB$7:CB$378,SMALL(IF(CB$7:CB$378&lt;&gt;"",ROW(CB$7:CB$378)-ROW(CB$7)+1),ROWS(CB$7:CB82))),"")</f>
        <v/>
      </c>
      <c r="AA83" s="4" t="str">
        <f t="array" ref="AA83">IFERROR(INDEX(CC$7:CC$378,SMALL(IF(CC$7:CC$378&lt;&gt;"",ROW(CC$7:CC$378)-ROW(CC$7)+1),ROWS(CC$7:CC82))),"")</f>
        <v/>
      </c>
      <c r="AB83" s="4" t="str">
        <f t="array" ref="AB83">IFERROR(INDEX(CD$7:CD$378,SMALL(IF(CD$7:CD$378&lt;&gt;"",ROW(CD$7:CD$378)-ROW(CD$7)+1),ROWS(CD$7:CD82))),"")</f>
        <v/>
      </c>
      <c r="AC83" s="4" t="str">
        <f t="array" ref="AC83">IFERROR(INDEX(CE$7:CE$378,SMALL(IF(CE$7:CE$378&lt;&gt;"",ROW(CE$7:CE$378)-ROW(CE$7)+1),ROWS(CE$7:CE82))),"")</f>
        <v/>
      </c>
      <c r="AD83" s="4"/>
      <c r="AE83" s="4"/>
      <c r="AF83" s="4"/>
      <c r="AG83" s="4"/>
      <c r="AH83" s="4"/>
      <c r="AI83" s="4"/>
      <c r="AJ83" s="46" t="str">
        <f>IF(Atletas!D79="","",IF(Atletas!B79="Feminino",100,IF(Atletas!B79="Masculino",200,""))+(IF(Atletas!D79="Infantil 39kg",1,IF(Atletas!D79="Infantil 42kg",2,IF(Atletas!D79="Infantil 45kg",3,IF(Atletas!D79="Infantil 48kg",4,IF(Atletas!D79="Infantil 52kg",5,IF(Atletas!D79="Infantil 56kg",6,IF(Atletas!D79="Infantil 60kg",7,IF(Atletas!D79="Juvenil 48kg",8,IF(Atletas!D79="Juvenil 52kg",9,IF(Atletas!D79="Juvenil 56kg",10,IF(Atletas!D79="Juvenil 60kg",11,IF(Atletas!D79="Juvenil 65kg",12,IF(Atletas!D79="Juvenil 70kg",13,IF(Atletas!D79="Juvenil 75kg",14,IF(Atletas!D79="Juvenil 80kg",15,IF(Atletas!D79="Adulto 48kg",16,IF(Atletas!D79="Adulto 52kg",17,IF(Atletas!D79="Adulto 56kg",18,IF(Atletas!D79="Adulto 60kg",19,IF(Atletas!D79="Adulto 65kg",20,IF(Atletas!D79="Adulto 70kg",21,IF(Atletas!D79="Adulto 75kg",22,IF(Atletas!D79="Adulto 80kg",23,IF(Atletas!D79="Adulto 85kg",24,IF(Atletas!D79="Adulto 90kg",25,IF(Atletas!D79="Adulto +90kg",26,""))))))))))))))))))))))))))))</f>
        <v/>
      </c>
      <c r="AO83" s="10" t="str">
        <f>IF(Atletas!E79="","",IF(Atletas!B79="Feminino",100,IF(Atletas!B79="Masculino",200,""))+(IF(Atletas!E79="Juvenil 44kg",1,IF(Atletas!E79="Juvenil 48kg",2,IF(Atletas!E79="Juvenil 52kg",3,IF(Atletas!E79="Juvenil 56kg",4,IF(Atletas!E79="Juvenil 60kg",5,IF(Atletas!E79="Juvenil 65kg",6,IF(Atletas!E79="Juvenil 70kg",7,IF(Atletas!E79="Juvenil 75kg",8,IF(Atletas!E79="Juvenil 82kg",9,IF(Atletas!E79="Juvenil 90kg",10,IF(Atletas!E79="Juvenil 100kg",11,IF(Atletas!E79="Adulto 48kg",12,IF(Atletas!E79="Adulto 52kg",13,IF(Atletas!E79="Adulto 56kg",14,IF(Atletas!E79="Adulto 60kg",15,IF(Atletas!E79="Adulto 65kg",16,IF(Atletas!E79="Adulto 70kg",17,IF(Atletas!E79="Adulto 75kg",18,IF(Atletas!E79="Adulto 82kg",19,IF(Atletas!E79="Adulto 90kg",20,IF(Atletas!E79="Adulto 100kg",21,IF(Atletas!E79="Adulto +100kg",22,""))))))))))))))))))))))))</f>
        <v/>
      </c>
      <c r="AT83" s="10" t="str">
        <f>IF(Atletas!F79="","",IF(Atletas!B79="Feminino",100,IF(Atletas!B79="Masculino",200,""))+(IF(Atletas!F79="Adulto 48kg",1,IF(Atletas!F79="Adulto 56kg",2,IF(Atletas!F79="Adulto 65kg",3,IF(Atletas!F79="Adulto 75kg",4,IF(Atletas!F79="Adulto +75kg",5,IF(Atletas!F79="Adulto 52kg",6,IF(Atletas!F79="Adulto 60kg",7,IF(Atletas!F79="Adulto 70kg",8,IF(Atletas!F79="Adulto 80kg",9,IF(Atletas!F79="Adulto 90kg",10,IF(Atletas!F79="Adulto +90kg",11,"")))))))))))))</f>
        <v/>
      </c>
      <c r="AY83" s="46" t="str">
        <f>IF(Atletas!G79="","",IF(Atletas!B79="Feminino",100,IF(Atletas!B79="Masculino",200,""))+(IF(Atletas!G79="Changquan Mirim",1,IF(Atletas!G79="Nanquan Mirim",2,IF(Atletas!G79="Taijiquan Mirim",3,IF(Atletas!G79="Changquan Grupo C",4,IF(Atletas!G79="Nanquan Grupo C",5,IF(Atletas!G79="Taijiquan Grupo C",6,IF(Atletas!G79="Changquan Grupo B",7,IF(Atletas!G79="Nanquan Grupo B",8,IF(Atletas!G79="Taijiquan Grupo B",9,IF(Atletas!G79="Changquan Grupo A",10,IF(Atletas!G79="Nanquan Grupo A",11,IF(Atletas!G79="Taijiquan Grupo A",12,IF(Atletas!G79="Changquan Opcional",13,IF(Atletas!G79="Nanquan Opcional",14,IF(Atletas!G79="Taijiquan Opcional",15,IF(Atletas!G79="Changquan Adulto",16,IF(Atletas!G79="Nanquan Adulto",17,IF(Atletas!G79="Taijiquan Adulto",18,""))))))))))))))))))))</f>
        <v/>
      </c>
      <c r="AZ83" s="46" t="str">
        <f>IF(Atletas!H79="","",IF(Atletas!B79="Feminino",100,IF(Atletas!B79="Masculino",200,""))+(IF(Atletas!H79="Daoshu Mirim",19,IF(Atletas!H79="Jianshu Mirim",20,IF(Atletas!H79="Nandao Mirim",21,IF(Atletas!H79="Taijijian Mirim",22,IF(Atletas!H79="Daoshu Grupo C",23,IF(Atletas!H79="Jianshu Grupo C",24,IF(Atletas!H79="Nandao Grupo C",25,IF(Atletas!H79="Taijijian Grupo C",26,IF(Atletas!H79="Daoshu Grupo B",27,IF(Atletas!H79="Jianshu Grupo B",28,IF(Atletas!H79="Nandao Grupo B",29,IF(Atletas!H79="Taijijian Grupo B",30,IF(Atletas!H79="Daoshu Grupo A",31,IF(Atletas!H79="Jianshu Grupo A",32,IF(Atletas!H79="Nandao Grupo A",33,IF(Atletas!H79="Taijijian Grupo A",34,IF(Atletas!H79="Daoshu Opcional",35,IF(Atletas!H79="Jianshu Opcional",36,IF(Atletas!H79="Nandao Opcional",37,IF(Atletas!H79="Taijijian Opcional",38,IF(Atletas!H79="Daoshu Adulto",39,IF(Atletas!H79="Jianshu Adulto",40,IF(Atletas!H79="Nandao Adulto",41,IF(Atletas!H79="Taijijian Adulto",42,""))))))))))))))))))))))))))</f>
        <v/>
      </c>
      <c r="BA83" s="46" t="str">
        <f>IF(Atletas!I79="","",IF(Atletas!B79="Feminino",100,IF(Atletas!B79="Masculino",200,""))+(IF(Atletas!I79="Gunshu Mirim",43,IF(Atletas!I79="Qiangshu Mirim",44,IF(Atletas!I79="Nangun Mirim",45,IF(Atletas!I79="Gunshu Grupo C",46,IF(Atletas!I79="Qiangshu Grupo C",47,IF(Atletas!I79="Nangun Grupo C",48,IF(Atletas!I79="Gunshu Grupo B",49,IF(Atletas!I79="Qiangshu Grupo B",50,IF(Atletas!I79="Nangun Grupo B",51,IF(Atletas!I79="Gunshu Grupo A",52,IF(Atletas!I79="Qiangshu Grupo A",53,IF(Atletas!I79="Nangun Grupo A",54,IF(Atletas!I79="Gunshu Opcional",55,IF(Atletas!I79="Qiangshu Opcional",56,IF(Atletas!I79="Nangun Opcional",57,IF(Atletas!I79="Gunshu Adulto",58,IF(Atletas!I79="Qiangshu Adulto",59,IF(Atletas!I79="Nangun Adulto",60,""))))))))))))))))))))</f>
        <v/>
      </c>
      <c r="BF83" s="52" t="str">
        <f>IF(Atletas!J79="","",IF(Atletas!B79="Feminino",100,IF(Atletas!B79="Masculino",200,""))+(IF(Atletas!J79="Equipe 1 Grupo B",1,IF(Atletas!J79="Equipe 2 Grupo B",2,IF(Atletas!J79="Equipe 1 Grupo A",3,IF(Atletas!J79="Equipe 2 Grupo A",4,IF(Atletas!J79="Equipe 1 Adulto",5,IF(Atletas!J79="Equipe 2 Adulto",6,""))))))))</f>
        <v/>
      </c>
      <c r="BK83" s="52" t="str">
        <f>IF(Atletas!K79="","",IF(Atletas!W79&lt;&gt;"",10000,0)+(IF(Atletas!B79="Feminino",1000,IF(Atletas!B79="Masculino",2000,""))+IF(Atletas!K79="Choylayfut A",1,IF(Atletas!K79="Hunggar A",2,IF(Atletas!K79="Wuzuquan A",3,IF(Atletas!K79="Wingchun A",4,IF(Atletas!K79="Outra Mão de Sul A",5,IF(Atletas!K79="Choylayfut B",6,IF(Atletas!K79="Hunggar B",7,IF(Atletas!K79="Wuzuquan B",8,IF(Atletas!K79="Wingchun B",9,IF(Atletas!K79="Outra Mão de Sul B",10,IF(Atletas!K79="Choylayfut C",11,IF(Atletas!K79="Hunggar C",12,IF(Atletas!K79="Wuzuquan C",13,IF(Atletas!K79="Wingchun C",14,IF(Atletas!K79="Outra Mão de Sul C",15,IF(Atletas!K79="Choylayfut D",16,IF(Atletas!K79="Hunggar D",17,IF(Atletas!K79="Wuzuquan D",18,IF(Atletas!K79="Wingchun D",19,IF(Atletas!K79="Outra Mão de Sul D",20,IF(Atletas!K79="Choylayfut E",21,IF(Atletas!K79="Hunggar E",22,IF(Atletas!K79="Wuzuquan E",23,IF(Atletas!K79="Wingchun E",24,IF(Atletas!K79="Outra Mão de Sul E",25,IF(Atletas!K79="Choylayfut F",26,IF(Atletas!K79="Hunggar F",27,IF(Atletas!K79="Wuzuquan F",28,IF(Atletas!K79="Wingchun F",29,IF(Atletas!K79="Outra Mão de Sul F",30,""))))))))))))))))))))))))))))))))</f>
        <v/>
      </c>
      <c r="BL83" s="52" t="str">
        <f>IF(Atletas!L79="","",IF(Atletas!W79&lt;&gt;"",10000,0)+(IF(Atletas!B79="Feminino",1000,IF(Atletas!B79="Masculino",2000,""))+(IF(Atletas!L79="Chaquan A",101,IF(Atletas!L79="Emeiquan A",102,IF(Atletas!L79="Fanziquan A",103,IF(Atletas!L79="Huaquan A",104,IF(Atletas!L79="Hongquan A",105,IF(Atletas!L79="Paochui A",106,IF(Atletas!L79="Piguaquan A",107,IF(Atletas!L79="Shaolinquan A",108,IF(Atletas!L79="Tanglangquan A",109,IF(Atletas!L79="Yinzhaophai A",110,IF(Atletas!L79="Tongbeiquan A",111,IF(Atletas!L79="Wudangquan A",112,IF(Atletas!L79="Outros Estilos A",113,IF(Atletas!L79="Chaquan B",114,IF(Atletas!L79="Emeiquan B",115,IF(Atletas!L79="Fanziquan B",116,IF(Atletas!L79="Huaquan B",117,IF(Atletas!L79="Hongquan B",118,IF(Atletas!L79="Paochui B",119,IF(Atletas!L79="Piguaquan B",120,IF(Atletas!L79="Shaolinquan B",121,IF(Atletas!L79="Tanglangquan B",122,IF(Atletas!L79="Yinzhaophai B",123,IF(Atletas!L79="Tongbeiquan B",124,IF(Atletas!L79="Wudangquan B",125,IF(Atletas!L79="Outros Estilos B",126,IF(Atletas!L79="Chaquan C",127,IF(Atletas!L79="Emeiquan C",128,IF(Atletas!L79="Fanziquan C",129,IF(Atletas!L79="Huaquan C",130,IF(Atletas!L79="Hongquan C",131,IF(Atletas!L79="Paochui C",132,IF(Atletas!L79="Piguaquan C",133,IF(Atletas!L79="Shaolinquan C",134,IF(Atletas!L79="Tanglangquan C",135,IF(Atletas!L79="Yinzhaophai C",136,IF(Atletas!L79="Tongbeiquan C",137,IF(Atletas!L79="Wudangquan C",138,IF(Atletas!L79="Outros Estilos C",139,0))))))))))))))))))))))))))))))))))))))))))</f>
        <v/>
      </c>
      <c r="BM83" s="52" t="str">
        <f>IF(Atletas!L79="","",IF(Atletas!W79&lt;&gt;"",10000,0)+(IF(Atletas!B79="Feminino",1000,IF(Atletas!B79="Masculino",2000,""))+(IF(Atletas!L79="Chaquan D",140,IF(Atletas!L79="Emeiquan D",141,IF(Atletas!L79="Fanziquan D",142,IF(Atletas!L79="Huaquan D",143,IF(Atletas!L79="Hongquan D",144,IF(Atletas!L79="Paochui D",145,IF(Atletas!L79="Piguaquan D",146,IF(Atletas!L79="Shaolinquan D",147,IF(Atletas!L79="Tanglangquan D",148,IF(Atletas!L79="Yinzhaophai D",149,IF(Atletas!L79="Tongbeiquan D",150,IF(Atletas!L79="Wudangquan D",151,IF(Atletas!L79="Outros Estilos D",152,IF(Atletas!L79="Chaquan E",153,IF(Atletas!L79="Emeiquan E",154,IF(Atletas!L79="Fanziquan E",155,IF(Atletas!L79="Huaquan E",156,IF(Atletas!L79="Hongquan E",157,IF(Atletas!L79="Paochui E",158,IF(Atletas!L79="Piguaquan E",159,IF(Atletas!L79="Shaolinquan E",160,IF(Atletas!L79="Tanglangquan E",161,IF(Atletas!L79="Yinzhaophai E",162,IF(Atletas!L79="Tongbeiquan E",163,IF(Atletas!L79="Wudangquan E",164,IF(Atletas!L79="Outros Estilos E",165,IF(Atletas!L79="Chaquan F",166,IF(Atletas!L79="Emeiquan F",167,IF(Atletas!L79="Fanziquan F",168,IF(Atletas!L79="Huaquan F",169,IF(Atletas!L79="Hongquan F",170,IF(Atletas!L79="Paochui F",171,IF(Atletas!L79="Piguaquan F",172,IF(Atletas!L79="Shaolinquan F",173,IF(Atletas!L79="Tanglangquan F",174,IF(Atletas!L79="Yinzhaophai F",175,IF(Atletas!L79="Tongbeiquan F",176,IF(Atletas!L79="Wudangquan F",177,IF(Atletas!L79="Outros Estilos F",178,0))))))))))))))))))))))))))))))))))))))))))</f>
        <v/>
      </c>
      <c r="BN83" s="52" t="str">
        <f>IF(Atletas!M79="","",IF(Atletas!W79&lt;&gt;"",10000,0)+(IF(Atletas!B79="Feminino",1000,IF(Atletas!B79="Masculino",2000,""))+(IF(Atletas!M79="Ditangquan A",201,IF(Atletas!M79="Houquan A",202,IF(Atletas!M79="Zuiquan A",203,IF(Atletas!M79="Ditangquan B",204,IF(Atletas!M79="Houquan B",205,IF(Atletas!M79="Zuiquan B",206,IF(Atletas!M79="Ditangquan C",207,IF(Atletas!M79="Houquan C",208,IF(Atletas!M79="Zuiquan C",209,IF(Atletas!M79="Ditangquan D",210,IF(Atletas!M79="Houquan D",211,IF(Atletas!M79="Zuiquan D",212,IF(Atletas!M79="Ditangquan E",213,IF(Atletas!M79="Houquan E",214,IF(Atletas!M79="Zuiquan E",215,IF(Atletas!M79="Ditangquan F",216,IF(Atletas!M79="Houquan F",217,IF(Atletas!M79="Zuiquan F",218,"")))))))))))))))))))))</f>
        <v/>
      </c>
      <c r="BO83" s="52" t="str">
        <f>IF(Atletas!N79="","",IF(Atletas!W79&lt;&gt;"",10000,0)+IF(Atletas!B79="Feminino",1000,IF(Atletas!B79="Masculino",2000,""))+IF(Atletas!N79="Yang A",301,IF(Atletas!N79="Chen A",30,IF(Atletas!N79="Sun A",303,IF(Atletas!N79="Wu A",304,IF(Atletas!N79="Wu-Hao A",305,IF(Atletas!N79="Outro Taijiquan A",306,IF(Atletas!N79="Yang B",307,IF(Atletas!N79="Chen B",308,IF(Atletas!N79="Sun B",309,IF(Atletas!N79="Wu B",310,IF(Atletas!N79="Wu-Hao B",311,IF(Atletas!N79="Outro Taijiquan B",312,IF(Atletas!N79="Yang C",313,IF(Atletas!N79="Chen C",314,IF(Atletas!N79="Sun C",315,IF(Atletas!N79="Wu C",316,IF(Atletas!N79="Wu-Hao C",317,IF(Atletas!N79="Outro Taijiquan C",318,IF(Atletas!N79="Yang D",319,IF(Atletas!N79="Chen D",320,IF(Atletas!N79="Sun D",321,IF(Atletas!N79="Wu D",322,IF(Atletas!N79="Wu-Hao D",323,IF(Atletas!N79="Outro Taijiquan D",324,IF(Atletas!N79="Yang E",325,IF(Atletas!N79="Chen E",326,IF(Atletas!N79="Sun E",327,IF(Atletas!N79="Wu E",328,IF(Atletas!N79="Wu-Hao E",329,IF(Atletas!N79="Outro Taijiquan E",330,IF(Atletas!N79="Yang F",331,IF(Atletas!N79="Chen F",332,IF(Atletas!N79="Sun F",333,IF(Atletas!N79="Wu F",334,IF(Atletas!N79="Wu-Hao F",335,IF(Atletas!N79="Outro Taijiquan F",336,"")))))))))))))))))))))))))))))))))))))</f>
        <v/>
      </c>
      <c r="BP83" s="52" t="str">
        <f>IF(Atletas!O79="","",IF(Atletas!W79&lt;&gt;"",10000,0)+IF(Atletas!B79="Feminino",1000,IF(Atletas!B79="Masculino",2000,""))+IF(OR(Atletas!O79="Yang 26 A",Atletas!O79="Yang 40 A"),401,IF(OR(Atletas!O79="Chen 25 A",Atletas!O79="Chen 36 A",Atletas!O79="Chen 56 A"),402,IF(Atletas!O79="Sun 73 A",403,IF(Atletas!O79="Wu 45 A",404,IF(Atletas!O79="Wu-Hao 46 A",405,IF(OR(Atletas!O79="Taijiquan 16 A",Atletas!O79="Taijiquan 24 A",Atletas!O79="Taijiquan 32 A",Atletas!O79="Taijiquan 42 A"),406,IF(OR(Atletas!O79="Yang 26 B",Atletas!O79="Yang 40 B"),407,IF(OR(Atletas!O79="Chen 25 B",Atletas!O79="Chen 36 B",Atletas!O79="Chen 56 B"),408,IF(Atletas!O79="Sun 73 B",409,IF(Atletas!O79="Wu 45 B",410,IF(Atletas!O79="Wu-Hao 46 B",411,IF(OR(Atletas!O79="Taijiquan 16 B",Atletas!O79="Taijiquan 24 B",Atletas!O79="Taijiquan 32 B",Atletas!O79="Taijiquan 42 B"),412,IF(OR(Atletas!O79="Yang 26 C",Atletas!O79="Yang 40 C"),413,IF(OR(Atletas!O79="Chen 25 C",Atletas!O79="Chen 36 C",Atletas!O79="Chen 56 C"),414,IF(Atletas!O79="Sun 73 C",415,IF(Atletas!O79="Wu 45 C",416,IF(Atletas!O79="Wu-Hao 46 C",417,IF(OR(Atletas!O79="Taijiquan 16 C",Atletas!O79="Taijiquan 24 C",Atletas!O79="Taijiquan 32 C",Atletas!O79="Taijiquan 42 C"),418,0)))))))))))))))))))</f>
        <v/>
      </c>
      <c r="BQ83" s="52" t="str">
        <f>IF(Atletas!O79="","",IF(Atletas!W79&lt;&gt;"",10000,0)+IF(Atletas!B79="Feminino",1000,IF(Atletas!B79="Masculino",2000,""))+IF(OR(Atletas!O79="Yang 26 D",Atletas!O79="Yang 40 D"),419,IF(OR(Atletas!O79="Chen 25 D",Atletas!O79="Chen 36 D",Atletas!O79="Chen 56 D"),420,IF(Atletas!O79="Sun 73 D",421,IF(Atletas!O79="Wu 45 D",422,IF(Atletas!O79="Wu-Hao 46 D",423,IF(OR(Atletas!O79="Taijiquan 16 D",Atletas!O79="Taijiquan 24 D",Atletas!O79="Taijiquan 32 D",Atletas!O79="Taijiquan 42 D"),424,IF(OR(Atletas!O79="Yang 26 E",Atletas!O79="Yang 40 E"),425,IF(OR(Atletas!O79="Chen 25 E",Atletas!O79="Chen 36 E",Atletas!O79="Chen 56 E"),426,IF(Atletas!O79="Sun 73 E",427,IF(Atletas!O79="Wu 45 E",428,IF(Atletas!O79="Wu-Hao 46 E",429,IF(OR(Atletas!O79="Taijiquan 16 E",Atletas!O79="Taijiquan 24 E",Atletas!O79="Taijiquan 32 E",Atletas!O79="Taijiquan 42 E"),430,IF(OR(Atletas!O79="Yang 26 F",Atletas!O79="Yang 40 F"),431,IF(OR(Atletas!O79="Chen 25 F",Atletas!O79="Chen 36 F",Atletas!O79="Chen 56 F"),432,IF(Atletas!O79="Sun 73 F",433,IF(Atletas!O79="Wu 45 F",434,IF(Atletas!O79="Wu-Hao 46 F",435,IF(OR(Atletas!O79="Taijiquan 16 F",Atletas!O79="Taijiquan 24 F",Atletas!O79="Taijiquan 32 F",Atletas!O79="Taijiquan 42 F"),436,0)))))))))))))))))))</f>
        <v/>
      </c>
      <c r="BR83" s="52" t="str">
        <f>IF(Atletas!P79="","",IF(Atletas!W79&lt;&gt;"",10000,0)+IF(Atletas!B79="Feminino",1000,IF(Atletas!B79="Masculino",2000,""))+IF(Atletas!P79="Xingyiquan A",501,IF(Atletas!P79="Baguazhang A",502,IF(Atletas!P79="Outro Estilo Interno A",503,IF(Atletas!P79="Xingyiquan B",504,IF(Atletas!P79="Baguazhang B",505,IF(Atletas!P79="Outro Estilo Interno B",506,IF(Atletas!P79="Xingyiquan C",507,IF(Atletas!P79="Baguazhang C",508,IF(Atletas!P79="Outro Estilo Interno C",509,IF(Atletas!P79="Xingyiquan D",510,IF(Atletas!P79="Baguazhang D",511,IF(Atletas!P79="Outro Estilo Interno D",512,IF(Atletas!P79="Xingyiquan E",513,IF(Atletas!P79="Baguazhang E",514,IF(Atletas!P79="Outro Estilo Interno E",515,IF(Atletas!P79="Xingyiquan F",516,IF(Atletas!P79="Baguazhang F",517,IF(Atletas!P79="Outro Estilo Interno F",518, "")))))))))))))))))))</f>
        <v/>
      </c>
      <c r="BS83" s="52" t="str">
        <f>IF(Atletas!Q79="","",IF(Atletas!W79&lt;&gt;"",10000,0)+IF(Atletas!B79="Feminino",1000,IF(Atletas!B79="Masculino",2000,""))+IF(Atletas!Q79="Dao A",601,IF(Atletas!Q79="Jian A",602,IF(Atletas!Q79="Bishou A",603,IF(Atletas!Q79="Shan A",604,IF(Atletas!Q79="Outra Arma Curta A",605,IF(Atletas!Q79="Dao B",606,IF(Atletas!Q79="Jian B",607,IF(Atletas!Q79="Bishou B",608,IF(Atletas!Q79="Shan B",609,IF(Atletas!Q79="Outra Arma Curta B",610,IF(Atletas!Q79="Dao C",611,IF(Atletas!Q79="Jian C",612,IF(Atletas!Q79="Bishou C",613,IF(Atletas!Q79="Shan C",614,IF(Atletas!Q79="Outra Arma Curta C",615,IF(Atletas!Q79="Dao D",616,IF(Atletas!Q79="Jian D",617,IF(Atletas!Q79="Bishou D",618,IF(Atletas!Q79="Shan D",619,IF(Atletas!Q79="Outra Arma Curta D",620,IF(Atletas!Q79="Dao E",621,IF(Atletas!Q79="Jian E",622,IF(Atletas!Q79="Bishou E",623,IF(Atletas!Q79="Shan E",624,IF(Atletas!Q79="Outra Arma Curta E",625,IF(Atletas!Q79="Dao F",626,IF(Atletas!Q79="Jian F",627,IF(Atletas!Q79="Bishou F",628,IF(Atletas!Q79="Shan F",629,IF(Atletas!Q79="Outra Arma Curta F",630, "")))))))))))))))))))))))))))))))</f>
        <v/>
      </c>
      <c r="BT83" s="52" t="str">
        <f>IF(Atletas!R79="","",IF(Atletas!W79&lt;&gt;"",10000,0)+IF(Atletas!B79="Feminino",1000,IF(Atletas!B79="Masculino",2000,""))+IF(Atletas!R79="Gun A",701,IF(Atletas!R79="Qiang A",702,IF(Atletas!R79="Pudao / Guandao A",703,IF(Atletas!R79="Outra Arma Longa A",704,IF(Atletas!R79="Gun B",705,IF(Atletas!R79="Qiang B",706,IF(Atletas!R79="Pudao / Guandao B",707,IF(Atletas!R79="Outra Arma Longa B",708,IF(Atletas!R79="Gun C",709,IF(Atletas!R79="Qiang C",710,IF(Atletas!R79="Pudao / Guandao C",711,IF(Atletas!R79="Outra Arma Longa C",712,IF(Atletas!R79="Gun D",713,IF(Atletas!R79="Qiang D",714,IF(Atletas!R79="Pudao / Guandao D",715,IF(Atletas!R79="Outra Arma Longa D",716,IF(Atletas!R79="Gun E",717,IF(Atletas!R79="Qiang E",718,IF(Atletas!R79="Pudao / Guandao E",719,IF(Atletas!R79="Outra Arma Longa E",720,IF(Atletas!R79="Gun F",721,IF(Atletas!R79="Qiang F",722,IF(Atletas!R79="Pudao / Guandao F",723,IF(Atletas!R79="Outra Arma Longa F",724,"")))))))))))))))))))))))))</f>
        <v/>
      </c>
      <c r="BU83" s="52" t="str">
        <f>IF(Atletas!S79="","",IF(Atletas!W79&lt;&gt;"",10000,0)+IF(Atletas!B79="Feminino",1000,IF(Atletas!B79="Masculino",2000,""))+IF(Atletas!S79="Arma Dupla A",801,IF(Atletas!S79="Arma Maleável A",802,IF(Atletas!S79="Arma Dupla B",803,IF(Atletas!S79="Arma Maleável B",804,IF(Atletas!S79="Arma Dupla C",805,IF(Atletas!S79="Arma Maleável C",806,IF(Atletas!S79="Arma Dupla D",807,IF(Atletas!S79="Arma Maleável D",808,IF(Atletas!S79="Arma Dupla E",809,IF(Atletas!S79="Arma Maleável E",810,IF(Atletas!S79="Arma Dupla F",811,IF(Atletas!S79="Arma Maleável F",812, "")))))))))))))</f>
        <v/>
      </c>
      <c r="BV83" s="52" t="str">
        <f>IF(Atletas!T79="","",IF(Atletas!W79&lt;&gt;"",10000,0)+IF(Atletas!B79="Feminino",1000,IF(Atletas!B79="Masculino",2000,""))+IF(Atletas!T79="Taijijian Yang A",901,IF(Atletas!T79="Taijijian Chen A",902,IF(Atletas!T79="Taijijian Sun A",903,IF(Atletas!T79="Taijijian Wu A",904,IF(Atletas!T79="Taijijian Wu-Hao A",905,IF(Atletas!T79="Taijijian 32 A",906,IF(Atletas!T79="Taijijian 42 A",907,IF(Atletas!T79="Taijijian Yang B",908,IF(Atletas!T79="Taijijian Chen B",909,IF(Atletas!T79="Taijijian Sun B",910,IF(Atletas!T79="Taijijian Wu B",911,IF(Atletas!T79="Taijijian Wu-Hao B",912,IF(Atletas!T79="Taijijian 32 B",913,IF(Atletas!T79="Taijijian 42 B",914,IF(Atletas!T79="Taijijian Yang C",915,IF(Atletas!T79="Taijijian Chen C",916,IF(Atletas!T79="Taijijian Sun C",917,IF(Atletas!T79="Taijijian Wu C",918,IF(Atletas!T79="Taijijian Wu-Hao C",919,IF(Atletas!T79="Taijijian 32 C",920,IF(Atletas!T79="Taijijian 42 C",921,IF(Atletas!T79="Taijijian Yang D",922,IF(Atletas!T79="Taijijian Chen D",923,IF(Atletas!T79="Taijijian Sun D",924,IF(Atletas!T79="Taijijian Wu D",925,IF(Atletas!T79="Taijijian Wu-Hao D",926,IF(Atletas!T79="Taijijian 32 D",927,IF(Atletas!T79="Taijijian 42 D",928,IF(Atletas!T79="Taijijian Yang E",929,IF(Atletas!T79="Taijijian Chen E",930,IF(Atletas!T79="Taijijian Sun E",931,IF(Atletas!T79="Taijijian Wu E",932,IF(Atletas!T79="Taijijian Wu-Hao E",933,IF(Atletas!T79="Taijijian 32 E",934,IF(Atletas!T79="Taijijian 42 E",935,IF(Atletas!T79="Taijijian Yang F",936,IF(Atletas!T79="Taijijian Chen F",937,IF(Atletas!T79="Taijijian Sun F",938,IF(Atletas!T79="Taijijian Wu F",939,IF(Atletas!T79="Taijijian Wu-Hao F",940,IF(Atletas!T79="Taijijian 32 F",941,IF(Atletas!T79="Taijijian 42 F",942,"")))))))))))))))))))))))))))))))))))))))))))</f>
        <v/>
      </c>
      <c r="BW83" s="52" t="str">
        <f>IF(Atletas!U79="","",IF(Atletas!W79&lt;&gt;"",10000,0)+IF(Atletas!B79="Feminino",1000,IF(Atletas!B79="Masculino",2000,""))+IF(Atletas!T79="Taijijian 42 F",942,IF(Atletas!U79="Taijidao A",943,IF(Atletas!U79="Taijishan A",944,IF(Atletas!U79="Taijiqiang A",945,IF(Atletas!U79="Taijidao B",946,IF(Atletas!U79="Taijishan B",947,IF(Atletas!U79="Taijiqiang B",948,IF(Atletas!U79="Taijidao C",949,IF(Atletas!U79="Taijishan C",950,IF(Atletas!U79="Taijiqiang C",951,IF(Atletas!U79="Taijidao D",952,IF(Atletas!U79="Taijishan D",953,IF(Atletas!U79="Taijiqiang D",954,IF(Atletas!U79="Taijidao E",955,IF(Atletas!U79="Taijishan E",956,IF(Atletas!U79="Taijiqiang E",957,IF(Atletas!U79="Taijidao F",958,IF(Atletas!U79="Taijishan F",959,IF(Atletas!U79="Taijiqiang F",960))))))))))))))))))))</f>
        <v/>
      </c>
      <c r="BX83" s="64" t="str">
        <f>IF(BY83&lt;&gt;"","Shaolinquan D","")</f>
        <v/>
      </c>
      <c r="BY83" s="64" t="str">
        <f>IF(COUNTIF(BK:BW,1147)&gt;0,COUNTIF(BK:BW,1147),"")</f>
        <v/>
      </c>
      <c r="BZ83" s="64" t="str">
        <f>IF(CA83&lt;&gt;"","Shaolinquan D","")</f>
        <v/>
      </c>
      <c r="CA83" s="64" t="str">
        <f>IF(COUNTIF(BK:BW,2147)&gt;0,COUNTIF(BK:BW,2147),"")</f>
        <v/>
      </c>
      <c r="CB83" s="64" t="str">
        <f>IF(CC83&lt;&gt;"","Shaolinquan D","")</f>
        <v/>
      </c>
      <c r="CC83" s="64" t="str">
        <f>IF(COUNTIF(BK:BW,11147)&gt;0,COUNTIF(BK:BW,11147),"")</f>
        <v/>
      </c>
      <c r="CD83" s="64" t="str">
        <f>IF(CE83&lt;&gt;"","Shaolinquan D","")</f>
        <v/>
      </c>
      <c r="CE83" s="64" t="str">
        <f>IF(COUNTIF(BK:BW,12147)&gt;0,COUNTIF(BK:BW,12147),"")</f>
        <v/>
      </c>
      <c r="CF83" s="52" t="str">
        <f xml:space="preserve"> IF(Atletas!V79="","",IF(Atletas!V79="Duilian de Mãos AB - Equipe 1",1,IF(Atletas!V79="Duilian de Mãos AB - Equipe 2",2,IF(Atletas!V79="Duilian de Armas AB - Equipe 1",3,IF(Atletas!V79="Duilian de Armas AB - Equipe 2",4,IF(Atletas!V79="Duilian de Tuishou - Equipe 1",5,IF(Atletas!V79="Duilian de Tuishou - Equipe 2",6,IF(Atletas!V79="Grupo Externo AB - Equipe 1",7,IF(Atletas!V79="Grupo Externo AB - Equipe 2",8,IF(Atletas!V79="Grupo Interno AB - Equipe 1",9,IF(Atletas!V79="Grupo Interno AB - Equipe 2",10,IF(Atletas!V79="Duilian de Mãos CD - Equipe 1",11,IF(Atletas!V79="Duilian de Mãos CD - Equipe 2",12,IF(Atletas!V79="Duilian de Armas CD - Equipe 1",13,IF(Atletas!V79="Duilian de Armas CD - Equipe 2",14,IF(Atletas!V79="Duilian de Tuishou - Equipe 1",15,IF(Atletas!V79="Duilian de Tuishou - Equipe 2",16,IF(Atletas!V79="Grupo Externo CDEF - Equipe 1",17,IF(Atletas!V79="Grupo Externo CDEF - Equipe 2",18,IF(Atletas!V79="Grupo Interno CDEF - Equipe 1",19,IF(Atletas!V79="Grupo Interno CDEF - Equipe 2",20,IF(Atletas!V79="Duilian de Mãos EF - Equipe 1",21,IF(Atletas!V79="Duilian de Mãos EF - Equipe 2",22,IF(Atletas!V79="Duilian de Armas EF - Equipe 1",23,IF(Atletas!V79="Duilian de Armas EF - Equipe 2",24,IF(Atletas!V79="Duilian de Tuishou - Equipe 1",25,IF(Atletas!V79="Duilian de Tuishou - Equipe 2",26,"")))))))))))))))))))))))))))</f>
        <v/>
      </c>
    </row>
    <row r="84" spans="2:84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31"/>
      <c r="U84" s="4"/>
      <c r="V84" s="4" t="str">
        <f t="array" ref="V84">IFERROR(INDEX(BX$7:BX$336,SMALL(IF(BX$7:BX$336&lt;&gt;"",ROW(BX$7:BX$336)-ROW(BX$7)+1),ROWS(BX$7:BX83))),"")</f>
        <v/>
      </c>
      <c r="W84" s="4" t="str">
        <f t="array" ref="W84">IFERROR(INDEX(BY$7:BY$336,SMALL(IF(BY$7:BY$336&lt;&gt;"",ROW(BY$7:BY$336)-ROW(BY$7)+1),ROWS(BY$7:BY83))),"")</f>
        <v/>
      </c>
      <c r="X84" s="4" t="str">
        <f t="array" ref="X84">IFERROR(INDEX(BZ$7:BZ$336,SMALL(IF(BZ$7:BZ$336&lt;&gt;"",ROW(BZ$7:BZ$336)-ROW(BZ$7)+1),ROWS(BZ$7:BZ83))),"")</f>
        <v/>
      </c>
      <c r="Y84" s="4" t="str">
        <f t="array" ref="Y84">IFERROR(INDEX(CA$7:CA$336,SMALL(IF(CA$7:CA$336&lt;&gt;"",ROW(CA$7:CA$336)-ROW(CA$7)+1),ROWS(CA$7:CA83))),"")</f>
        <v/>
      </c>
      <c r="Z84" s="4" t="str">
        <f t="array" ref="Z84">IFERROR(INDEX(CB$7:CB$378,SMALL(IF(CB$7:CB$378&lt;&gt;"",ROW(CB$7:CB$378)-ROW(CB$7)+1),ROWS(CB$7:CB83))),"")</f>
        <v/>
      </c>
      <c r="AA84" s="4" t="str">
        <f t="array" ref="AA84">IFERROR(INDEX(CC$7:CC$378,SMALL(IF(CC$7:CC$378&lt;&gt;"",ROW(CC$7:CC$378)-ROW(CC$7)+1),ROWS(CC$7:CC83))),"")</f>
        <v/>
      </c>
      <c r="AB84" s="4" t="str">
        <f t="array" ref="AB84">IFERROR(INDEX(CD$7:CD$378,SMALL(IF(CD$7:CD$378&lt;&gt;"",ROW(CD$7:CD$378)-ROW(CD$7)+1),ROWS(CD$7:CD83))),"")</f>
        <v/>
      </c>
      <c r="AC84" s="4" t="str">
        <f t="array" ref="AC84">IFERROR(INDEX(CE$7:CE$378,SMALL(IF(CE$7:CE$378&lt;&gt;"",ROW(CE$7:CE$378)-ROW(CE$7)+1),ROWS(CE$7:CE83))),"")</f>
        <v/>
      </c>
      <c r="AD84" s="4"/>
      <c r="AE84" s="4"/>
      <c r="AF84" s="4"/>
      <c r="AG84" s="4"/>
      <c r="AH84" s="4"/>
      <c r="AI84" s="4"/>
      <c r="AJ84" s="46" t="str">
        <f>IF(Atletas!D80="","",IF(Atletas!B80="Feminino",100,IF(Atletas!B80="Masculino",200,""))+(IF(Atletas!D80="Infantil 39kg",1,IF(Atletas!D80="Infantil 42kg",2,IF(Atletas!D80="Infantil 45kg",3,IF(Atletas!D80="Infantil 48kg",4,IF(Atletas!D80="Infantil 52kg",5,IF(Atletas!D80="Infantil 56kg",6,IF(Atletas!D80="Infantil 60kg",7,IF(Atletas!D80="Juvenil 48kg",8,IF(Atletas!D80="Juvenil 52kg",9,IF(Atletas!D80="Juvenil 56kg",10,IF(Atletas!D80="Juvenil 60kg",11,IF(Atletas!D80="Juvenil 65kg",12,IF(Atletas!D80="Juvenil 70kg",13,IF(Atletas!D80="Juvenil 75kg",14,IF(Atletas!D80="Juvenil 80kg",15,IF(Atletas!D80="Adulto 48kg",16,IF(Atletas!D80="Adulto 52kg",17,IF(Atletas!D80="Adulto 56kg",18,IF(Atletas!D80="Adulto 60kg",19,IF(Atletas!D80="Adulto 65kg",20,IF(Atletas!D80="Adulto 70kg",21,IF(Atletas!D80="Adulto 75kg",22,IF(Atletas!D80="Adulto 80kg",23,IF(Atletas!D80="Adulto 85kg",24,IF(Atletas!D80="Adulto 90kg",25,IF(Atletas!D80="Adulto +90kg",26,""))))))))))))))))))))))))))))</f>
        <v/>
      </c>
      <c r="AO84" s="10" t="str">
        <f>IF(Atletas!E80="","",IF(Atletas!B80="Feminino",100,IF(Atletas!B80="Masculino",200,""))+(IF(Atletas!E80="Juvenil 44kg",1,IF(Atletas!E80="Juvenil 48kg",2,IF(Atletas!E80="Juvenil 52kg",3,IF(Atletas!E80="Juvenil 56kg",4,IF(Atletas!E80="Juvenil 60kg",5,IF(Atletas!E80="Juvenil 65kg",6,IF(Atletas!E80="Juvenil 70kg",7,IF(Atletas!E80="Juvenil 75kg",8,IF(Atletas!E80="Juvenil 82kg",9,IF(Atletas!E80="Juvenil 90kg",10,IF(Atletas!E80="Juvenil 100kg",11,IF(Atletas!E80="Adulto 48kg",12,IF(Atletas!E80="Adulto 52kg",13,IF(Atletas!E80="Adulto 56kg",14,IF(Atletas!E80="Adulto 60kg",15,IF(Atletas!E80="Adulto 65kg",16,IF(Atletas!E80="Adulto 70kg",17,IF(Atletas!E80="Adulto 75kg",18,IF(Atletas!E80="Adulto 82kg",19,IF(Atletas!E80="Adulto 90kg",20,IF(Atletas!E80="Adulto 100kg",21,IF(Atletas!E80="Adulto +100kg",22,""))))))))))))))))))))))))</f>
        <v/>
      </c>
      <c r="AT84" s="10" t="str">
        <f>IF(Atletas!F80="","",IF(Atletas!B80="Feminino",100,IF(Atletas!B80="Masculino",200,""))+(IF(Atletas!F80="Adulto 48kg",1,IF(Atletas!F80="Adulto 56kg",2,IF(Atletas!F80="Adulto 65kg",3,IF(Atletas!F80="Adulto 75kg",4,IF(Atletas!F80="Adulto +75kg",5,IF(Atletas!F80="Adulto 52kg",6,IF(Atletas!F80="Adulto 60kg",7,IF(Atletas!F80="Adulto 70kg",8,IF(Atletas!F80="Adulto 80kg",9,IF(Atletas!F80="Adulto 90kg",10,IF(Atletas!F80="Adulto +90kg",11,"")))))))))))))</f>
        <v/>
      </c>
      <c r="AY84" s="46" t="str">
        <f>IF(Atletas!G80="","",IF(Atletas!B80="Feminino",100,IF(Atletas!B80="Masculino",200,""))+(IF(Atletas!G80="Changquan Mirim",1,IF(Atletas!G80="Nanquan Mirim",2,IF(Atletas!G80="Taijiquan Mirim",3,IF(Atletas!G80="Changquan Grupo C",4,IF(Atletas!G80="Nanquan Grupo C",5,IF(Atletas!G80="Taijiquan Grupo C",6,IF(Atletas!G80="Changquan Grupo B",7,IF(Atletas!G80="Nanquan Grupo B",8,IF(Atletas!G80="Taijiquan Grupo B",9,IF(Atletas!G80="Changquan Grupo A",10,IF(Atletas!G80="Nanquan Grupo A",11,IF(Atletas!G80="Taijiquan Grupo A",12,IF(Atletas!G80="Changquan Opcional",13,IF(Atletas!G80="Nanquan Opcional",14,IF(Atletas!G80="Taijiquan Opcional",15,IF(Atletas!G80="Changquan Adulto",16,IF(Atletas!G80="Nanquan Adulto",17,IF(Atletas!G80="Taijiquan Adulto",18,""))))))))))))))))))))</f>
        <v/>
      </c>
      <c r="AZ84" s="46" t="str">
        <f>IF(Atletas!H80="","",IF(Atletas!B80="Feminino",100,IF(Atletas!B80="Masculino",200,""))+(IF(Atletas!H80="Daoshu Mirim",19,IF(Atletas!H80="Jianshu Mirim",20,IF(Atletas!H80="Nandao Mirim",21,IF(Atletas!H80="Taijijian Mirim",22,IF(Atletas!H80="Daoshu Grupo C",23,IF(Atletas!H80="Jianshu Grupo C",24,IF(Atletas!H80="Nandao Grupo C",25,IF(Atletas!H80="Taijijian Grupo C",26,IF(Atletas!H80="Daoshu Grupo B",27,IF(Atletas!H80="Jianshu Grupo B",28,IF(Atletas!H80="Nandao Grupo B",29,IF(Atletas!H80="Taijijian Grupo B",30,IF(Atletas!H80="Daoshu Grupo A",31,IF(Atletas!H80="Jianshu Grupo A",32,IF(Atletas!H80="Nandao Grupo A",33,IF(Atletas!H80="Taijijian Grupo A",34,IF(Atletas!H80="Daoshu Opcional",35,IF(Atletas!H80="Jianshu Opcional",36,IF(Atletas!H80="Nandao Opcional",37,IF(Atletas!H80="Taijijian Opcional",38,IF(Atletas!H80="Daoshu Adulto",39,IF(Atletas!H80="Jianshu Adulto",40,IF(Atletas!H80="Nandao Adulto",41,IF(Atletas!H80="Taijijian Adulto",42,""))))))))))))))))))))))))))</f>
        <v/>
      </c>
      <c r="BA84" s="46" t="str">
        <f>IF(Atletas!I80="","",IF(Atletas!B80="Feminino",100,IF(Atletas!B80="Masculino",200,""))+(IF(Atletas!I80="Gunshu Mirim",43,IF(Atletas!I80="Qiangshu Mirim",44,IF(Atletas!I80="Nangun Mirim",45,IF(Atletas!I80="Gunshu Grupo C",46,IF(Atletas!I80="Qiangshu Grupo C",47,IF(Atletas!I80="Nangun Grupo C",48,IF(Atletas!I80="Gunshu Grupo B",49,IF(Atletas!I80="Qiangshu Grupo B",50,IF(Atletas!I80="Nangun Grupo B",51,IF(Atletas!I80="Gunshu Grupo A",52,IF(Atletas!I80="Qiangshu Grupo A",53,IF(Atletas!I80="Nangun Grupo A",54,IF(Atletas!I80="Gunshu Opcional",55,IF(Atletas!I80="Qiangshu Opcional",56,IF(Atletas!I80="Nangun Opcional",57,IF(Atletas!I80="Gunshu Adulto",58,IF(Atletas!I80="Qiangshu Adulto",59,IF(Atletas!I80="Nangun Adulto",60,""))))))))))))))))))))</f>
        <v/>
      </c>
      <c r="BF84" s="52" t="str">
        <f>IF(Atletas!J80="","",IF(Atletas!B80="Feminino",100,IF(Atletas!B80="Masculino",200,""))+(IF(Atletas!J80="Equipe 1 Grupo B",1,IF(Atletas!J80="Equipe 2 Grupo B",2,IF(Atletas!J80="Equipe 1 Grupo A",3,IF(Atletas!J80="Equipe 2 Grupo A",4,IF(Atletas!J80="Equipe 1 Adulto",5,IF(Atletas!J80="Equipe 2 Adulto",6,""))))))))</f>
        <v/>
      </c>
      <c r="BK84" s="52" t="str">
        <f>IF(Atletas!K80="","",IF(Atletas!W80&lt;&gt;"",10000,0)+(IF(Atletas!B80="Feminino",1000,IF(Atletas!B80="Masculino",2000,""))+IF(Atletas!K80="Choylayfut A",1,IF(Atletas!K80="Hunggar A",2,IF(Atletas!K80="Wuzuquan A",3,IF(Atletas!K80="Wingchun A",4,IF(Atletas!K80="Outra Mão de Sul A",5,IF(Atletas!K80="Choylayfut B",6,IF(Atletas!K80="Hunggar B",7,IF(Atletas!K80="Wuzuquan B",8,IF(Atletas!K80="Wingchun B",9,IF(Atletas!K80="Outra Mão de Sul B",10,IF(Atletas!K80="Choylayfut C",11,IF(Atletas!K80="Hunggar C",12,IF(Atletas!K80="Wuzuquan C",13,IF(Atletas!K80="Wingchun C",14,IF(Atletas!K80="Outra Mão de Sul C",15,IF(Atletas!K80="Choylayfut D",16,IF(Atletas!K80="Hunggar D",17,IF(Atletas!K80="Wuzuquan D",18,IF(Atletas!K80="Wingchun D",19,IF(Atletas!K80="Outra Mão de Sul D",20,IF(Atletas!K80="Choylayfut E",21,IF(Atletas!K80="Hunggar E",22,IF(Atletas!K80="Wuzuquan E",23,IF(Atletas!K80="Wingchun E",24,IF(Atletas!K80="Outra Mão de Sul E",25,IF(Atletas!K80="Choylayfut F",26,IF(Atletas!K80="Hunggar F",27,IF(Atletas!K80="Wuzuquan F",28,IF(Atletas!K80="Wingchun F",29,IF(Atletas!K80="Outra Mão de Sul F",30,""))))))))))))))))))))))))))))))))</f>
        <v/>
      </c>
      <c r="BL84" s="52" t="str">
        <f>IF(Atletas!L80="","",IF(Atletas!W80&lt;&gt;"",10000,0)+(IF(Atletas!B80="Feminino",1000,IF(Atletas!B80="Masculino",2000,""))+(IF(Atletas!L80="Chaquan A",101,IF(Atletas!L80="Emeiquan A",102,IF(Atletas!L80="Fanziquan A",103,IF(Atletas!L80="Huaquan A",104,IF(Atletas!L80="Hongquan A",105,IF(Atletas!L80="Paochui A",106,IF(Atletas!L80="Piguaquan A",107,IF(Atletas!L80="Shaolinquan A",108,IF(Atletas!L80="Tanglangquan A",109,IF(Atletas!L80="Yinzhaophai A",110,IF(Atletas!L80="Tongbeiquan A",111,IF(Atletas!L80="Wudangquan A",112,IF(Atletas!L80="Outros Estilos A",113,IF(Atletas!L80="Chaquan B",114,IF(Atletas!L80="Emeiquan B",115,IF(Atletas!L80="Fanziquan B",116,IF(Atletas!L80="Huaquan B",117,IF(Atletas!L80="Hongquan B",118,IF(Atletas!L80="Paochui B",119,IF(Atletas!L80="Piguaquan B",120,IF(Atletas!L80="Shaolinquan B",121,IF(Atletas!L80="Tanglangquan B",122,IF(Atletas!L80="Yinzhaophai B",123,IF(Atletas!L80="Tongbeiquan B",124,IF(Atletas!L80="Wudangquan B",125,IF(Atletas!L80="Outros Estilos B",126,IF(Atletas!L80="Chaquan C",127,IF(Atletas!L80="Emeiquan C",128,IF(Atletas!L80="Fanziquan C",129,IF(Atletas!L80="Huaquan C",130,IF(Atletas!L80="Hongquan C",131,IF(Atletas!L80="Paochui C",132,IF(Atletas!L80="Piguaquan C",133,IF(Atletas!L80="Shaolinquan C",134,IF(Atletas!L80="Tanglangquan C",135,IF(Atletas!L80="Yinzhaophai C",136,IF(Atletas!L80="Tongbeiquan C",137,IF(Atletas!L80="Wudangquan C",138,IF(Atletas!L80="Outros Estilos C",139,0))))))))))))))))))))))))))))))))))))))))))</f>
        <v/>
      </c>
      <c r="BM84" s="52" t="str">
        <f>IF(Atletas!L80="","",IF(Atletas!W80&lt;&gt;"",10000,0)+(IF(Atletas!B80="Feminino",1000,IF(Atletas!B80="Masculino",2000,""))+(IF(Atletas!L80="Chaquan D",140,IF(Atletas!L80="Emeiquan D",141,IF(Atletas!L80="Fanziquan D",142,IF(Atletas!L80="Huaquan D",143,IF(Atletas!L80="Hongquan D",144,IF(Atletas!L80="Paochui D",145,IF(Atletas!L80="Piguaquan D",146,IF(Atletas!L80="Shaolinquan D",147,IF(Atletas!L80="Tanglangquan D",148,IF(Atletas!L80="Yinzhaophai D",149,IF(Atletas!L80="Tongbeiquan D",150,IF(Atletas!L80="Wudangquan D",151,IF(Atletas!L80="Outros Estilos D",152,IF(Atletas!L80="Chaquan E",153,IF(Atletas!L80="Emeiquan E",154,IF(Atletas!L80="Fanziquan E",155,IF(Atletas!L80="Huaquan E",156,IF(Atletas!L80="Hongquan E",157,IF(Atletas!L80="Paochui E",158,IF(Atletas!L80="Piguaquan E",159,IF(Atletas!L80="Shaolinquan E",160,IF(Atletas!L80="Tanglangquan E",161,IF(Atletas!L80="Yinzhaophai E",162,IF(Atletas!L80="Tongbeiquan E",163,IF(Atletas!L80="Wudangquan E",164,IF(Atletas!L80="Outros Estilos E",165,IF(Atletas!L80="Chaquan F",166,IF(Atletas!L80="Emeiquan F",167,IF(Atletas!L80="Fanziquan F",168,IF(Atletas!L80="Huaquan F",169,IF(Atletas!L80="Hongquan F",170,IF(Atletas!L80="Paochui F",171,IF(Atletas!L80="Piguaquan F",172,IF(Atletas!L80="Shaolinquan F",173,IF(Atletas!L80="Tanglangquan F",174,IF(Atletas!L80="Yinzhaophai F",175,IF(Atletas!L80="Tongbeiquan F",176,IF(Atletas!L80="Wudangquan F",177,IF(Atletas!L80="Outros Estilos F",178,0))))))))))))))))))))))))))))))))))))))))))</f>
        <v/>
      </c>
      <c r="BN84" s="52" t="str">
        <f>IF(Atletas!M80="","",IF(Atletas!W80&lt;&gt;"",10000,0)+(IF(Atletas!B80="Feminino",1000,IF(Atletas!B80="Masculino",2000,""))+(IF(Atletas!M80="Ditangquan A",201,IF(Atletas!M80="Houquan A",202,IF(Atletas!M80="Zuiquan A",203,IF(Atletas!M80="Ditangquan B",204,IF(Atletas!M80="Houquan B",205,IF(Atletas!M80="Zuiquan B",206,IF(Atletas!M80="Ditangquan C",207,IF(Atletas!M80="Houquan C",208,IF(Atletas!M80="Zuiquan C",209,IF(Atletas!M80="Ditangquan D",210,IF(Atletas!M80="Houquan D",211,IF(Atletas!M80="Zuiquan D",212,IF(Atletas!M80="Ditangquan E",213,IF(Atletas!M80="Houquan E",214,IF(Atletas!M80="Zuiquan E",215,IF(Atletas!M80="Ditangquan F",216,IF(Atletas!M80="Houquan F",217,IF(Atletas!M80="Zuiquan F",218,"")))))))))))))))))))))</f>
        <v/>
      </c>
      <c r="BO84" s="52" t="str">
        <f>IF(Atletas!N80="","",IF(Atletas!W80&lt;&gt;"",10000,0)+IF(Atletas!B80="Feminino",1000,IF(Atletas!B80="Masculino",2000,""))+IF(Atletas!N80="Yang A",301,IF(Atletas!N80="Chen A",30,IF(Atletas!N80="Sun A",303,IF(Atletas!N80="Wu A",304,IF(Atletas!N80="Wu-Hao A",305,IF(Atletas!N80="Outro Taijiquan A",306,IF(Atletas!N80="Yang B",307,IF(Atletas!N80="Chen B",308,IF(Atletas!N80="Sun B",309,IF(Atletas!N80="Wu B",310,IF(Atletas!N80="Wu-Hao B",311,IF(Atletas!N80="Outro Taijiquan B",312,IF(Atletas!N80="Yang C",313,IF(Atletas!N80="Chen C",314,IF(Atletas!N80="Sun C",315,IF(Atletas!N80="Wu C",316,IF(Atletas!N80="Wu-Hao C",317,IF(Atletas!N80="Outro Taijiquan C",318,IF(Atletas!N80="Yang D",319,IF(Atletas!N80="Chen D",320,IF(Atletas!N80="Sun D",321,IF(Atletas!N80="Wu D",322,IF(Atletas!N80="Wu-Hao D",323,IF(Atletas!N80="Outro Taijiquan D",324,IF(Atletas!N80="Yang E",325,IF(Atletas!N80="Chen E",326,IF(Atletas!N80="Sun E",327,IF(Atletas!N80="Wu E",328,IF(Atletas!N80="Wu-Hao E",329,IF(Atletas!N80="Outro Taijiquan E",330,IF(Atletas!N80="Yang F",331,IF(Atletas!N80="Chen F",332,IF(Atletas!N80="Sun F",333,IF(Atletas!N80="Wu F",334,IF(Atletas!N80="Wu-Hao F",335,IF(Atletas!N80="Outro Taijiquan F",336,"")))))))))))))))))))))))))))))))))))))</f>
        <v/>
      </c>
      <c r="BP84" s="52" t="str">
        <f>IF(Atletas!O80="","",IF(Atletas!W80&lt;&gt;"",10000,0)+IF(Atletas!B80="Feminino",1000,IF(Atletas!B80="Masculino",2000,""))+IF(OR(Atletas!O80="Yang 26 A",Atletas!O80="Yang 40 A"),401,IF(OR(Atletas!O80="Chen 25 A",Atletas!O80="Chen 36 A",Atletas!O80="Chen 56 A"),402,IF(Atletas!O80="Sun 73 A",403,IF(Atletas!O80="Wu 45 A",404,IF(Atletas!O80="Wu-Hao 46 A",405,IF(OR(Atletas!O80="Taijiquan 16 A",Atletas!O80="Taijiquan 24 A",Atletas!O80="Taijiquan 32 A",Atletas!O80="Taijiquan 42 A"),406,IF(OR(Atletas!O80="Yang 26 B",Atletas!O80="Yang 40 B"),407,IF(OR(Atletas!O80="Chen 25 B",Atletas!O80="Chen 36 B",Atletas!O80="Chen 56 B"),408,IF(Atletas!O80="Sun 73 B",409,IF(Atletas!O80="Wu 45 B",410,IF(Atletas!O80="Wu-Hao 46 B",411,IF(OR(Atletas!O80="Taijiquan 16 B",Atletas!O80="Taijiquan 24 B",Atletas!O80="Taijiquan 32 B",Atletas!O80="Taijiquan 42 B"),412,IF(OR(Atletas!O80="Yang 26 C",Atletas!O80="Yang 40 C"),413,IF(OR(Atletas!O80="Chen 25 C",Atletas!O80="Chen 36 C",Atletas!O80="Chen 56 C"),414,IF(Atletas!O80="Sun 73 C",415,IF(Atletas!O80="Wu 45 C",416,IF(Atletas!O80="Wu-Hao 46 C",417,IF(OR(Atletas!O80="Taijiquan 16 C",Atletas!O80="Taijiquan 24 C",Atletas!O80="Taijiquan 32 C",Atletas!O80="Taijiquan 42 C"),418,0)))))))))))))))))))</f>
        <v/>
      </c>
      <c r="BQ84" s="52" t="str">
        <f>IF(Atletas!O80="","",IF(Atletas!W80&lt;&gt;"",10000,0)+IF(Atletas!B80="Feminino",1000,IF(Atletas!B80="Masculino",2000,""))+IF(OR(Atletas!O80="Yang 26 D",Atletas!O80="Yang 40 D"),419,IF(OR(Atletas!O80="Chen 25 D",Atletas!O80="Chen 36 D",Atletas!O80="Chen 56 D"),420,IF(Atletas!O80="Sun 73 D",421,IF(Atletas!O80="Wu 45 D",422,IF(Atletas!O80="Wu-Hao 46 D",423,IF(OR(Atletas!O80="Taijiquan 16 D",Atletas!O80="Taijiquan 24 D",Atletas!O80="Taijiquan 32 D",Atletas!O80="Taijiquan 42 D"),424,IF(OR(Atletas!O80="Yang 26 E",Atletas!O80="Yang 40 E"),425,IF(OR(Atletas!O80="Chen 25 E",Atletas!O80="Chen 36 E",Atletas!O80="Chen 56 E"),426,IF(Atletas!O80="Sun 73 E",427,IF(Atletas!O80="Wu 45 E",428,IF(Atletas!O80="Wu-Hao 46 E",429,IF(OR(Atletas!O80="Taijiquan 16 E",Atletas!O80="Taijiquan 24 E",Atletas!O80="Taijiquan 32 E",Atletas!O80="Taijiquan 42 E"),430,IF(OR(Atletas!O80="Yang 26 F",Atletas!O80="Yang 40 F"),431,IF(OR(Atletas!O80="Chen 25 F",Atletas!O80="Chen 36 F",Atletas!O80="Chen 56 F"),432,IF(Atletas!O80="Sun 73 F",433,IF(Atletas!O80="Wu 45 F",434,IF(Atletas!O80="Wu-Hao 46 F",435,IF(OR(Atletas!O80="Taijiquan 16 F",Atletas!O80="Taijiquan 24 F",Atletas!O80="Taijiquan 32 F",Atletas!O80="Taijiquan 42 F"),436,0)))))))))))))))))))</f>
        <v/>
      </c>
      <c r="BR84" s="52" t="str">
        <f>IF(Atletas!P80="","",IF(Atletas!W80&lt;&gt;"",10000,0)+IF(Atletas!B80="Feminino",1000,IF(Atletas!B80="Masculino",2000,""))+IF(Atletas!P80="Xingyiquan A",501,IF(Atletas!P80="Baguazhang A",502,IF(Atletas!P80="Outro Estilo Interno A",503,IF(Atletas!P80="Xingyiquan B",504,IF(Atletas!P80="Baguazhang B",505,IF(Atletas!P80="Outro Estilo Interno B",506,IF(Atletas!P80="Xingyiquan C",507,IF(Atletas!P80="Baguazhang C",508,IF(Atletas!P80="Outro Estilo Interno C",509,IF(Atletas!P80="Xingyiquan D",510,IF(Atletas!P80="Baguazhang D",511,IF(Atletas!P80="Outro Estilo Interno D",512,IF(Atletas!P80="Xingyiquan E",513,IF(Atletas!P80="Baguazhang E",514,IF(Atletas!P80="Outro Estilo Interno E",515,IF(Atletas!P80="Xingyiquan F",516,IF(Atletas!P80="Baguazhang F",517,IF(Atletas!P80="Outro Estilo Interno F",518, "")))))))))))))))))))</f>
        <v/>
      </c>
      <c r="BS84" s="52" t="str">
        <f>IF(Atletas!Q80="","",IF(Atletas!W80&lt;&gt;"",10000,0)+IF(Atletas!B80="Feminino",1000,IF(Atletas!B80="Masculino",2000,""))+IF(Atletas!Q80="Dao A",601,IF(Atletas!Q80="Jian A",602,IF(Atletas!Q80="Bishou A",603,IF(Atletas!Q80="Shan A",604,IF(Atletas!Q80="Outra Arma Curta A",605,IF(Atletas!Q80="Dao B",606,IF(Atletas!Q80="Jian B",607,IF(Atletas!Q80="Bishou B",608,IF(Atletas!Q80="Shan B",609,IF(Atletas!Q80="Outra Arma Curta B",610,IF(Atletas!Q80="Dao C",611,IF(Atletas!Q80="Jian C",612,IF(Atletas!Q80="Bishou C",613,IF(Atletas!Q80="Shan C",614,IF(Atletas!Q80="Outra Arma Curta C",615,IF(Atletas!Q80="Dao D",616,IF(Atletas!Q80="Jian D",617,IF(Atletas!Q80="Bishou D",618,IF(Atletas!Q80="Shan D",619,IF(Atletas!Q80="Outra Arma Curta D",620,IF(Atletas!Q80="Dao E",621,IF(Atletas!Q80="Jian E",622,IF(Atletas!Q80="Bishou E",623,IF(Atletas!Q80="Shan E",624,IF(Atletas!Q80="Outra Arma Curta E",625,IF(Atletas!Q80="Dao F",626,IF(Atletas!Q80="Jian F",627,IF(Atletas!Q80="Bishou F",628,IF(Atletas!Q80="Shan F",629,IF(Atletas!Q80="Outra Arma Curta F",630, "")))))))))))))))))))))))))))))))</f>
        <v/>
      </c>
      <c r="BT84" s="52" t="str">
        <f>IF(Atletas!R80="","",IF(Atletas!W80&lt;&gt;"",10000,0)+IF(Atletas!B80="Feminino",1000,IF(Atletas!B80="Masculino",2000,""))+IF(Atletas!R80="Gun A",701,IF(Atletas!R80="Qiang A",702,IF(Atletas!R80="Pudao / Guandao A",703,IF(Atletas!R80="Outra Arma Longa A",704,IF(Atletas!R80="Gun B",705,IF(Atletas!R80="Qiang B",706,IF(Atletas!R80="Pudao / Guandao B",707,IF(Atletas!R80="Outra Arma Longa B",708,IF(Atletas!R80="Gun C",709,IF(Atletas!R80="Qiang C",710,IF(Atletas!R80="Pudao / Guandao C",711,IF(Atletas!R80="Outra Arma Longa C",712,IF(Atletas!R80="Gun D",713,IF(Atletas!R80="Qiang D",714,IF(Atletas!R80="Pudao / Guandao D",715,IF(Atletas!R80="Outra Arma Longa D",716,IF(Atletas!R80="Gun E",717,IF(Atletas!R80="Qiang E",718,IF(Atletas!R80="Pudao / Guandao E",719,IF(Atletas!R80="Outra Arma Longa E",720,IF(Atletas!R80="Gun F",721,IF(Atletas!R80="Qiang F",722,IF(Atletas!R80="Pudao / Guandao F",723,IF(Atletas!R80="Outra Arma Longa F",724,"")))))))))))))))))))))))))</f>
        <v/>
      </c>
      <c r="BU84" s="52" t="str">
        <f>IF(Atletas!S80="","",IF(Atletas!W80&lt;&gt;"",10000,0)+IF(Atletas!B80="Feminino",1000,IF(Atletas!B80="Masculino",2000,""))+IF(Atletas!S80="Arma Dupla A",801,IF(Atletas!S80="Arma Maleável A",802,IF(Atletas!S80="Arma Dupla B",803,IF(Atletas!S80="Arma Maleável B",804,IF(Atletas!S80="Arma Dupla C",805,IF(Atletas!S80="Arma Maleável C",806,IF(Atletas!S80="Arma Dupla D",807,IF(Atletas!S80="Arma Maleável D",808,IF(Atletas!S80="Arma Dupla E",809,IF(Atletas!S80="Arma Maleável E",810,IF(Atletas!S80="Arma Dupla F",811,IF(Atletas!S80="Arma Maleável F",812, "")))))))))))))</f>
        <v/>
      </c>
      <c r="BV84" s="52" t="str">
        <f>IF(Atletas!T80="","",IF(Atletas!W80&lt;&gt;"",10000,0)+IF(Atletas!B80="Feminino",1000,IF(Atletas!B80="Masculino",2000,""))+IF(Atletas!T80="Taijijian Yang A",901,IF(Atletas!T80="Taijijian Chen A",902,IF(Atletas!T80="Taijijian Sun A",903,IF(Atletas!T80="Taijijian Wu A",904,IF(Atletas!T80="Taijijian Wu-Hao A",905,IF(Atletas!T80="Taijijian 32 A",906,IF(Atletas!T80="Taijijian 42 A",907,IF(Atletas!T80="Taijijian Yang B",908,IF(Atletas!T80="Taijijian Chen B",909,IF(Atletas!T80="Taijijian Sun B",910,IF(Atletas!T80="Taijijian Wu B",911,IF(Atletas!T80="Taijijian Wu-Hao B",912,IF(Atletas!T80="Taijijian 32 B",913,IF(Atletas!T80="Taijijian 42 B",914,IF(Atletas!T80="Taijijian Yang C",915,IF(Atletas!T80="Taijijian Chen C",916,IF(Atletas!T80="Taijijian Sun C",917,IF(Atletas!T80="Taijijian Wu C",918,IF(Atletas!T80="Taijijian Wu-Hao C",919,IF(Atletas!T80="Taijijian 32 C",920,IF(Atletas!T80="Taijijian 42 C",921,IF(Atletas!T80="Taijijian Yang D",922,IF(Atletas!T80="Taijijian Chen D",923,IF(Atletas!T80="Taijijian Sun D",924,IF(Atletas!T80="Taijijian Wu D",925,IF(Atletas!T80="Taijijian Wu-Hao D",926,IF(Atletas!T80="Taijijian 32 D",927,IF(Atletas!T80="Taijijian 42 D",928,IF(Atletas!T80="Taijijian Yang E",929,IF(Atletas!T80="Taijijian Chen E",930,IF(Atletas!T80="Taijijian Sun E",931,IF(Atletas!T80="Taijijian Wu E",932,IF(Atletas!T80="Taijijian Wu-Hao E",933,IF(Atletas!T80="Taijijian 32 E",934,IF(Atletas!T80="Taijijian 42 E",935,IF(Atletas!T80="Taijijian Yang F",936,IF(Atletas!T80="Taijijian Chen F",937,IF(Atletas!T80="Taijijian Sun F",938,IF(Atletas!T80="Taijijian Wu F",939,IF(Atletas!T80="Taijijian Wu-Hao F",940,IF(Atletas!T80="Taijijian 32 F",941,IF(Atletas!T80="Taijijian 42 F",942,"")))))))))))))))))))))))))))))))))))))))))))</f>
        <v/>
      </c>
      <c r="BW84" s="52" t="str">
        <f>IF(Atletas!U80="","",IF(Atletas!W80&lt;&gt;"",10000,0)+IF(Atletas!B80="Feminino",1000,IF(Atletas!B80="Masculino",2000,""))+IF(Atletas!T80="Taijijian 42 F",942,IF(Atletas!U80="Taijidao A",943,IF(Atletas!U80="Taijishan A",944,IF(Atletas!U80="Taijiqiang A",945,IF(Atletas!U80="Taijidao B",946,IF(Atletas!U80="Taijishan B",947,IF(Atletas!U80="Taijiqiang B",948,IF(Atletas!U80="Taijidao C",949,IF(Atletas!U80="Taijishan C",950,IF(Atletas!U80="Taijiqiang C",951,IF(Atletas!U80="Taijidao D",952,IF(Atletas!U80="Taijishan D",953,IF(Atletas!U80="Taijiqiang D",954,IF(Atletas!U80="Taijidao E",955,IF(Atletas!U80="Taijishan E",956,IF(Atletas!U80="Taijiqiang E",957,IF(Atletas!U80="Taijidao F",958,IF(Atletas!U80="Taijishan F",959,IF(Atletas!U80="Taijiqiang F",960))))))))))))))))))))</f>
        <v/>
      </c>
      <c r="BX84" s="64" t="str">
        <f>IF(BY84&lt;&gt;"","Tanglangquan D","")</f>
        <v/>
      </c>
      <c r="BY84" s="64" t="str">
        <f>IF(COUNTIF(BK:BW,1148)&gt;0,COUNTIF(BK:BW,1148),"")</f>
        <v/>
      </c>
      <c r="BZ84" s="64" t="str">
        <f>IF(CA84&lt;&gt;"","Tanglangquan D","")</f>
        <v/>
      </c>
      <c r="CA84" s="64" t="str">
        <f>IF(COUNTIF(BK:BW,2148)&gt;0,COUNTIF(BK:BW,2148),"")</f>
        <v/>
      </c>
      <c r="CB84" s="64" t="str">
        <f>IF(CC84&lt;&gt;"","Tanglangquan D","")</f>
        <v/>
      </c>
      <c r="CC84" s="64" t="str">
        <f>IF(COUNTIF(BK:BW,11148)&gt;0,COUNTIF(BK:BW,11148),"")</f>
        <v/>
      </c>
      <c r="CD84" s="64" t="str">
        <f>IF(CE84&lt;&gt;"","Tanglangquan D","")</f>
        <v/>
      </c>
      <c r="CE84" s="64" t="str">
        <f>IF(COUNTIF(BK:BW,12148)&gt;0,COUNTIF(BK:BW,12148),"")</f>
        <v/>
      </c>
      <c r="CF84" s="52" t="str">
        <f xml:space="preserve"> IF(Atletas!V80="","",IF(Atletas!V80="Duilian de Mãos AB - Equipe 1",1,IF(Atletas!V80="Duilian de Mãos AB - Equipe 2",2,IF(Atletas!V80="Duilian de Armas AB - Equipe 1",3,IF(Atletas!V80="Duilian de Armas AB - Equipe 2",4,IF(Atletas!V80="Duilian de Tuishou - Equipe 1",5,IF(Atletas!V80="Duilian de Tuishou - Equipe 2",6,IF(Atletas!V80="Grupo Externo AB - Equipe 1",7,IF(Atletas!V80="Grupo Externo AB - Equipe 2",8,IF(Atletas!V80="Grupo Interno AB - Equipe 1",9,IF(Atletas!V80="Grupo Interno AB - Equipe 2",10,IF(Atletas!V80="Duilian de Mãos CD - Equipe 1",11,IF(Atletas!V80="Duilian de Mãos CD - Equipe 2",12,IF(Atletas!V80="Duilian de Armas CD - Equipe 1",13,IF(Atletas!V80="Duilian de Armas CD - Equipe 2",14,IF(Atletas!V80="Duilian de Tuishou - Equipe 1",15,IF(Atletas!V80="Duilian de Tuishou - Equipe 2",16,IF(Atletas!V80="Grupo Externo CDEF - Equipe 1",17,IF(Atletas!V80="Grupo Externo CDEF - Equipe 2",18,IF(Atletas!V80="Grupo Interno CDEF - Equipe 1",19,IF(Atletas!V80="Grupo Interno CDEF - Equipe 2",20,IF(Atletas!V80="Duilian de Mãos EF - Equipe 1",21,IF(Atletas!V80="Duilian de Mãos EF - Equipe 2",22,IF(Atletas!V80="Duilian de Armas EF - Equipe 1",23,IF(Atletas!V80="Duilian de Armas EF - Equipe 2",24,IF(Atletas!V80="Duilian de Tuishou - Equipe 1",25,IF(Atletas!V80="Duilian de Tuishou - Equipe 2",26,"")))))))))))))))))))))))))))</f>
        <v/>
      </c>
    </row>
    <row r="85" spans="2:84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31"/>
      <c r="U85" s="4"/>
      <c r="V85" s="4" t="str">
        <f t="array" ref="V85">IFERROR(INDEX(BX$7:BX$336,SMALL(IF(BX$7:BX$336&lt;&gt;"",ROW(BX$7:BX$336)-ROW(BX$7)+1),ROWS(BX$7:BX84))),"")</f>
        <v/>
      </c>
      <c r="W85" s="4" t="str">
        <f t="array" ref="W85">IFERROR(INDEX(BY$7:BY$336,SMALL(IF(BY$7:BY$336&lt;&gt;"",ROW(BY$7:BY$336)-ROW(BY$7)+1),ROWS(BY$7:BY84))),"")</f>
        <v/>
      </c>
      <c r="X85" s="4" t="str">
        <f t="array" ref="X85">IFERROR(INDEX(BZ$7:BZ$336,SMALL(IF(BZ$7:BZ$336&lt;&gt;"",ROW(BZ$7:BZ$336)-ROW(BZ$7)+1),ROWS(BZ$7:BZ84))),"")</f>
        <v/>
      </c>
      <c r="Y85" s="4" t="str">
        <f t="array" ref="Y85">IFERROR(INDEX(CA$7:CA$336,SMALL(IF(CA$7:CA$336&lt;&gt;"",ROW(CA$7:CA$336)-ROW(CA$7)+1),ROWS(CA$7:CA84))),"")</f>
        <v/>
      </c>
      <c r="Z85" s="4" t="str">
        <f t="array" ref="Z85">IFERROR(INDEX(CB$7:CB$378,SMALL(IF(CB$7:CB$378&lt;&gt;"",ROW(CB$7:CB$378)-ROW(CB$7)+1),ROWS(CB$7:CB84))),"")</f>
        <v/>
      </c>
      <c r="AA85" s="4" t="str">
        <f t="array" ref="AA85">IFERROR(INDEX(CC$7:CC$378,SMALL(IF(CC$7:CC$378&lt;&gt;"",ROW(CC$7:CC$378)-ROW(CC$7)+1),ROWS(CC$7:CC84))),"")</f>
        <v/>
      </c>
      <c r="AB85" s="4" t="str">
        <f t="array" ref="AB85">IFERROR(INDEX(CD$7:CD$378,SMALL(IF(CD$7:CD$378&lt;&gt;"",ROW(CD$7:CD$378)-ROW(CD$7)+1),ROWS(CD$7:CD84))),"")</f>
        <v/>
      </c>
      <c r="AC85" s="4" t="str">
        <f t="array" ref="AC85">IFERROR(INDEX(CE$7:CE$378,SMALL(IF(CE$7:CE$378&lt;&gt;"",ROW(CE$7:CE$378)-ROW(CE$7)+1),ROWS(CE$7:CE84))),"")</f>
        <v/>
      </c>
      <c r="AD85" s="4"/>
      <c r="AE85" s="4"/>
      <c r="AF85" s="4"/>
      <c r="AG85" s="4"/>
      <c r="AH85" s="4"/>
      <c r="AI85" s="4"/>
      <c r="AJ85" s="46" t="str">
        <f>IF(Atletas!D81="","",IF(Atletas!B81="Feminino",100,IF(Atletas!B81="Masculino",200,""))+(IF(Atletas!D81="Infantil 39kg",1,IF(Atletas!D81="Infantil 42kg",2,IF(Atletas!D81="Infantil 45kg",3,IF(Atletas!D81="Infantil 48kg",4,IF(Atletas!D81="Infantil 52kg",5,IF(Atletas!D81="Infantil 56kg",6,IF(Atletas!D81="Infantil 60kg",7,IF(Atletas!D81="Juvenil 48kg",8,IF(Atletas!D81="Juvenil 52kg",9,IF(Atletas!D81="Juvenil 56kg",10,IF(Atletas!D81="Juvenil 60kg",11,IF(Atletas!D81="Juvenil 65kg",12,IF(Atletas!D81="Juvenil 70kg",13,IF(Atletas!D81="Juvenil 75kg",14,IF(Atletas!D81="Juvenil 80kg",15,IF(Atletas!D81="Adulto 48kg",16,IF(Atletas!D81="Adulto 52kg",17,IF(Atletas!D81="Adulto 56kg",18,IF(Atletas!D81="Adulto 60kg",19,IF(Atletas!D81="Adulto 65kg",20,IF(Atletas!D81="Adulto 70kg",21,IF(Atletas!D81="Adulto 75kg",22,IF(Atletas!D81="Adulto 80kg",23,IF(Atletas!D81="Adulto 85kg",24,IF(Atletas!D81="Adulto 90kg",25,IF(Atletas!D81="Adulto +90kg",26,""))))))))))))))))))))))))))))</f>
        <v/>
      </c>
      <c r="AO85" s="10" t="str">
        <f>IF(Atletas!E81="","",IF(Atletas!B81="Feminino",100,IF(Atletas!B81="Masculino",200,""))+(IF(Atletas!E81="Juvenil 44kg",1,IF(Atletas!E81="Juvenil 48kg",2,IF(Atletas!E81="Juvenil 52kg",3,IF(Atletas!E81="Juvenil 56kg",4,IF(Atletas!E81="Juvenil 60kg",5,IF(Atletas!E81="Juvenil 65kg",6,IF(Atletas!E81="Juvenil 70kg",7,IF(Atletas!E81="Juvenil 75kg",8,IF(Atletas!E81="Juvenil 82kg",9,IF(Atletas!E81="Juvenil 90kg",10,IF(Atletas!E81="Juvenil 100kg",11,IF(Atletas!E81="Adulto 48kg",12,IF(Atletas!E81="Adulto 52kg",13,IF(Atletas!E81="Adulto 56kg",14,IF(Atletas!E81="Adulto 60kg",15,IF(Atletas!E81="Adulto 65kg",16,IF(Atletas!E81="Adulto 70kg",17,IF(Atletas!E81="Adulto 75kg",18,IF(Atletas!E81="Adulto 82kg",19,IF(Atletas!E81="Adulto 90kg",20,IF(Atletas!E81="Adulto 100kg",21,IF(Atletas!E81="Adulto +100kg",22,""))))))))))))))))))))))))</f>
        <v/>
      </c>
      <c r="AT85" s="10" t="str">
        <f>IF(Atletas!F81="","",IF(Atletas!B81="Feminino",100,IF(Atletas!B81="Masculino",200,""))+(IF(Atletas!F81="Adulto 48kg",1,IF(Atletas!F81="Adulto 56kg",2,IF(Atletas!F81="Adulto 65kg",3,IF(Atletas!F81="Adulto 75kg",4,IF(Atletas!F81="Adulto +75kg",5,IF(Atletas!F81="Adulto 52kg",6,IF(Atletas!F81="Adulto 60kg",7,IF(Atletas!F81="Adulto 70kg",8,IF(Atletas!F81="Adulto 80kg",9,IF(Atletas!F81="Adulto 90kg",10,IF(Atletas!F81="Adulto +90kg",11,"")))))))))))))</f>
        <v/>
      </c>
      <c r="AY85" s="46" t="str">
        <f>IF(Atletas!G81="","",IF(Atletas!B81="Feminino",100,IF(Atletas!B81="Masculino",200,""))+(IF(Atletas!G81="Changquan Mirim",1,IF(Atletas!G81="Nanquan Mirim",2,IF(Atletas!G81="Taijiquan Mirim",3,IF(Atletas!G81="Changquan Grupo C",4,IF(Atletas!G81="Nanquan Grupo C",5,IF(Atletas!G81="Taijiquan Grupo C",6,IF(Atletas!G81="Changquan Grupo B",7,IF(Atletas!G81="Nanquan Grupo B",8,IF(Atletas!G81="Taijiquan Grupo B",9,IF(Atletas!G81="Changquan Grupo A",10,IF(Atletas!G81="Nanquan Grupo A",11,IF(Atletas!G81="Taijiquan Grupo A",12,IF(Atletas!G81="Changquan Opcional",13,IF(Atletas!G81="Nanquan Opcional",14,IF(Atletas!G81="Taijiquan Opcional",15,IF(Atletas!G81="Changquan Adulto",16,IF(Atletas!G81="Nanquan Adulto",17,IF(Atletas!G81="Taijiquan Adulto",18,""))))))))))))))))))))</f>
        <v/>
      </c>
      <c r="AZ85" s="46" t="str">
        <f>IF(Atletas!H81="","",IF(Atletas!B81="Feminino",100,IF(Atletas!B81="Masculino",200,""))+(IF(Atletas!H81="Daoshu Mirim",19,IF(Atletas!H81="Jianshu Mirim",20,IF(Atletas!H81="Nandao Mirim",21,IF(Atletas!H81="Taijijian Mirim",22,IF(Atletas!H81="Daoshu Grupo C",23,IF(Atletas!H81="Jianshu Grupo C",24,IF(Atletas!H81="Nandao Grupo C",25,IF(Atletas!H81="Taijijian Grupo C",26,IF(Atletas!H81="Daoshu Grupo B",27,IF(Atletas!H81="Jianshu Grupo B",28,IF(Atletas!H81="Nandao Grupo B",29,IF(Atletas!H81="Taijijian Grupo B",30,IF(Atletas!H81="Daoshu Grupo A",31,IF(Atletas!H81="Jianshu Grupo A",32,IF(Atletas!H81="Nandao Grupo A",33,IF(Atletas!H81="Taijijian Grupo A",34,IF(Atletas!H81="Daoshu Opcional",35,IF(Atletas!H81="Jianshu Opcional",36,IF(Atletas!H81="Nandao Opcional",37,IF(Atletas!H81="Taijijian Opcional",38,IF(Atletas!H81="Daoshu Adulto",39,IF(Atletas!H81="Jianshu Adulto",40,IF(Atletas!H81="Nandao Adulto",41,IF(Atletas!H81="Taijijian Adulto",42,""))))))))))))))))))))))))))</f>
        <v/>
      </c>
      <c r="BA85" s="46" t="str">
        <f>IF(Atletas!I81="","",IF(Atletas!B81="Feminino",100,IF(Atletas!B81="Masculino",200,""))+(IF(Atletas!I81="Gunshu Mirim",43,IF(Atletas!I81="Qiangshu Mirim",44,IF(Atletas!I81="Nangun Mirim",45,IF(Atletas!I81="Gunshu Grupo C",46,IF(Atletas!I81="Qiangshu Grupo C",47,IF(Atletas!I81="Nangun Grupo C",48,IF(Atletas!I81="Gunshu Grupo B",49,IF(Atletas!I81="Qiangshu Grupo B",50,IF(Atletas!I81="Nangun Grupo B",51,IF(Atletas!I81="Gunshu Grupo A",52,IF(Atletas!I81="Qiangshu Grupo A",53,IF(Atletas!I81="Nangun Grupo A",54,IF(Atletas!I81="Gunshu Opcional",55,IF(Atletas!I81="Qiangshu Opcional",56,IF(Atletas!I81="Nangun Opcional",57,IF(Atletas!I81="Gunshu Adulto",58,IF(Atletas!I81="Qiangshu Adulto",59,IF(Atletas!I81="Nangun Adulto",60,""))))))))))))))))))))</f>
        <v/>
      </c>
      <c r="BF85" s="52" t="str">
        <f>IF(Atletas!J81="","",IF(Atletas!B81="Feminino",100,IF(Atletas!B81="Masculino",200,""))+(IF(Atletas!J81="Equipe 1 Grupo B",1,IF(Atletas!J81="Equipe 2 Grupo B",2,IF(Atletas!J81="Equipe 1 Grupo A",3,IF(Atletas!J81="Equipe 2 Grupo A",4,IF(Atletas!J81="Equipe 1 Adulto",5,IF(Atletas!J81="Equipe 2 Adulto",6,""))))))))</f>
        <v/>
      </c>
      <c r="BK85" s="52" t="str">
        <f>IF(Atletas!K81="","",IF(Atletas!W81&lt;&gt;"",10000,0)+(IF(Atletas!B81="Feminino",1000,IF(Atletas!B81="Masculino",2000,""))+IF(Atletas!K81="Choylayfut A",1,IF(Atletas!K81="Hunggar A",2,IF(Atletas!K81="Wuzuquan A",3,IF(Atletas!K81="Wingchun A",4,IF(Atletas!K81="Outra Mão de Sul A",5,IF(Atletas!K81="Choylayfut B",6,IF(Atletas!K81="Hunggar B",7,IF(Atletas!K81="Wuzuquan B",8,IF(Atletas!K81="Wingchun B",9,IF(Atletas!K81="Outra Mão de Sul B",10,IF(Atletas!K81="Choylayfut C",11,IF(Atletas!K81="Hunggar C",12,IF(Atletas!K81="Wuzuquan C",13,IF(Atletas!K81="Wingchun C",14,IF(Atletas!K81="Outra Mão de Sul C",15,IF(Atletas!K81="Choylayfut D",16,IF(Atletas!K81="Hunggar D",17,IF(Atletas!K81="Wuzuquan D",18,IF(Atletas!K81="Wingchun D",19,IF(Atletas!K81="Outra Mão de Sul D",20,IF(Atletas!K81="Choylayfut E",21,IF(Atletas!K81="Hunggar E",22,IF(Atletas!K81="Wuzuquan E",23,IF(Atletas!K81="Wingchun E",24,IF(Atletas!K81="Outra Mão de Sul E",25,IF(Atletas!K81="Choylayfut F",26,IF(Atletas!K81="Hunggar F",27,IF(Atletas!K81="Wuzuquan F",28,IF(Atletas!K81="Wingchun F",29,IF(Atletas!K81="Outra Mão de Sul F",30,""))))))))))))))))))))))))))))))))</f>
        <v/>
      </c>
      <c r="BL85" s="52" t="str">
        <f>IF(Atletas!L81="","",IF(Atletas!W81&lt;&gt;"",10000,0)+(IF(Atletas!B81="Feminino",1000,IF(Atletas!B81="Masculino",2000,""))+(IF(Atletas!L81="Chaquan A",101,IF(Atletas!L81="Emeiquan A",102,IF(Atletas!L81="Fanziquan A",103,IF(Atletas!L81="Huaquan A",104,IF(Atletas!L81="Hongquan A",105,IF(Atletas!L81="Paochui A",106,IF(Atletas!L81="Piguaquan A",107,IF(Atletas!L81="Shaolinquan A",108,IF(Atletas!L81="Tanglangquan A",109,IF(Atletas!L81="Yinzhaophai A",110,IF(Atletas!L81="Tongbeiquan A",111,IF(Atletas!L81="Wudangquan A",112,IF(Atletas!L81="Outros Estilos A",113,IF(Atletas!L81="Chaquan B",114,IF(Atletas!L81="Emeiquan B",115,IF(Atletas!L81="Fanziquan B",116,IF(Atletas!L81="Huaquan B",117,IF(Atletas!L81="Hongquan B",118,IF(Atletas!L81="Paochui B",119,IF(Atletas!L81="Piguaquan B",120,IF(Atletas!L81="Shaolinquan B",121,IF(Atletas!L81="Tanglangquan B",122,IF(Atletas!L81="Yinzhaophai B",123,IF(Atletas!L81="Tongbeiquan B",124,IF(Atletas!L81="Wudangquan B",125,IF(Atletas!L81="Outros Estilos B",126,IF(Atletas!L81="Chaquan C",127,IF(Atletas!L81="Emeiquan C",128,IF(Atletas!L81="Fanziquan C",129,IF(Atletas!L81="Huaquan C",130,IF(Atletas!L81="Hongquan C",131,IF(Atletas!L81="Paochui C",132,IF(Atletas!L81="Piguaquan C",133,IF(Atletas!L81="Shaolinquan C",134,IF(Atletas!L81="Tanglangquan C",135,IF(Atletas!L81="Yinzhaophai C",136,IF(Atletas!L81="Tongbeiquan C",137,IF(Atletas!L81="Wudangquan C",138,IF(Atletas!L81="Outros Estilos C",139,0))))))))))))))))))))))))))))))))))))))))))</f>
        <v/>
      </c>
      <c r="BM85" s="52" t="str">
        <f>IF(Atletas!L81="","",IF(Atletas!W81&lt;&gt;"",10000,0)+(IF(Atletas!B81="Feminino",1000,IF(Atletas!B81="Masculino",2000,""))+(IF(Atletas!L81="Chaquan D",140,IF(Atletas!L81="Emeiquan D",141,IF(Atletas!L81="Fanziquan D",142,IF(Atletas!L81="Huaquan D",143,IF(Atletas!L81="Hongquan D",144,IF(Atletas!L81="Paochui D",145,IF(Atletas!L81="Piguaquan D",146,IF(Atletas!L81="Shaolinquan D",147,IF(Atletas!L81="Tanglangquan D",148,IF(Atletas!L81="Yinzhaophai D",149,IF(Atletas!L81="Tongbeiquan D",150,IF(Atletas!L81="Wudangquan D",151,IF(Atletas!L81="Outros Estilos D",152,IF(Atletas!L81="Chaquan E",153,IF(Atletas!L81="Emeiquan E",154,IF(Atletas!L81="Fanziquan E",155,IF(Atletas!L81="Huaquan E",156,IF(Atletas!L81="Hongquan E",157,IF(Atletas!L81="Paochui E",158,IF(Atletas!L81="Piguaquan E",159,IF(Atletas!L81="Shaolinquan E",160,IF(Atletas!L81="Tanglangquan E",161,IF(Atletas!L81="Yinzhaophai E",162,IF(Atletas!L81="Tongbeiquan E",163,IF(Atletas!L81="Wudangquan E",164,IF(Atletas!L81="Outros Estilos E",165,IF(Atletas!L81="Chaquan F",166,IF(Atletas!L81="Emeiquan F",167,IF(Atletas!L81="Fanziquan F",168,IF(Atletas!L81="Huaquan F",169,IF(Atletas!L81="Hongquan F",170,IF(Atletas!L81="Paochui F",171,IF(Atletas!L81="Piguaquan F",172,IF(Atletas!L81="Shaolinquan F",173,IF(Atletas!L81="Tanglangquan F",174,IF(Atletas!L81="Yinzhaophai F",175,IF(Atletas!L81="Tongbeiquan F",176,IF(Atletas!L81="Wudangquan F",177,IF(Atletas!L81="Outros Estilos F",178,0))))))))))))))))))))))))))))))))))))))))))</f>
        <v/>
      </c>
      <c r="BN85" s="52" t="str">
        <f>IF(Atletas!M81="","",IF(Atletas!W81&lt;&gt;"",10000,0)+(IF(Atletas!B81="Feminino",1000,IF(Atletas!B81="Masculino",2000,""))+(IF(Atletas!M81="Ditangquan A",201,IF(Atletas!M81="Houquan A",202,IF(Atletas!M81="Zuiquan A",203,IF(Atletas!M81="Ditangquan B",204,IF(Atletas!M81="Houquan B",205,IF(Atletas!M81="Zuiquan B",206,IF(Atletas!M81="Ditangquan C",207,IF(Atletas!M81="Houquan C",208,IF(Atletas!M81="Zuiquan C",209,IF(Atletas!M81="Ditangquan D",210,IF(Atletas!M81="Houquan D",211,IF(Atletas!M81="Zuiquan D",212,IF(Atletas!M81="Ditangquan E",213,IF(Atletas!M81="Houquan E",214,IF(Atletas!M81="Zuiquan E",215,IF(Atletas!M81="Ditangquan F",216,IF(Atletas!M81="Houquan F",217,IF(Atletas!M81="Zuiquan F",218,"")))))))))))))))))))))</f>
        <v/>
      </c>
      <c r="BO85" s="52" t="str">
        <f>IF(Atletas!N81="","",IF(Atletas!W81&lt;&gt;"",10000,0)+IF(Atletas!B81="Feminino",1000,IF(Atletas!B81="Masculino",2000,""))+IF(Atletas!N81="Yang A",301,IF(Atletas!N81="Chen A",30,IF(Atletas!N81="Sun A",303,IF(Atletas!N81="Wu A",304,IF(Atletas!N81="Wu-Hao A",305,IF(Atletas!N81="Outro Taijiquan A",306,IF(Atletas!N81="Yang B",307,IF(Atletas!N81="Chen B",308,IF(Atletas!N81="Sun B",309,IF(Atletas!N81="Wu B",310,IF(Atletas!N81="Wu-Hao B",311,IF(Atletas!N81="Outro Taijiquan B",312,IF(Atletas!N81="Yang C",313,IF(Atletas!N81="Chen C",314,IF(Atletas!N81="Sun C",315,IF(Atletas!N81="Wu C",316,IF(Atletas!N81="Wu-Hao C",317,IF(Atletas!N81="Outro Taijiquan C",318,IF(Atletas!N81="Yang D",319,IF(Atletas!N81="Chen D",320,IF(Atletas!N81="Sun D",321,IF(Atletas!N81="Wu D",322,IF(Atletas!N81="Wu-Hao D",323,IF(Atletas!N81="Outro Taijiquan D",324,IF(Atletas!N81="Yang E",325,IF(Atletas!N81="Chen E",326,IF(Atletas!N81="Sun E",327,IF(Atletas!N81="Wu E",328,IF(Atletas!N81="Wu-Hao E",329,IF(Atletas!N81="Outro Taijiquan E",330,IF(Atletas!N81="Yang F",331,IF(Atletas!N81="Chen F",332,IF(Atletas!N81="Sun F",333,IF(Atletas!N81="Wu F",334,IF(Atletas!N81="Wu-Hao F",335,IF(Atletas!N81="Outro Taijiquan F",336,"")))))))))))))))))))))))))))))))))))))</f>
        <v/>
      </c>
      <c r="BP85" s="52" t="str">
        <f>IF(Atletas!O81="","",IF(Atletas!W81&lt;&gt;"",10000,0)+IF(Atletas!B81="Feminino",1000,IF(Atletas!B81="Masculino",2000,""))+IF(OR(Atletas!O81="Yang 26 A",Atletas!O81="Yang 40 A"),401,IF(OR(Atletas!O81="Chen 25 A",Atletas!O81="Chen 36 A",Atletas!O81="Chen 56 A"),402,IF(Atletas!O81="Sun 73 A",403,IF(Atletas!O81="Wu 45 A",404,IF(Atletas!O81="Wu-Hao 46 A",405,IF(OR(Atletas!O81="Taijiquan 16 A",Atletas!O81="Taijiquan 24 A",Atletas!O81="Taijiquan 32 A",Atletas!O81="Taijiquan 42 A"),406,IF(OR(Atletas!O81="Yang 26 B",Atletas!O81="Yang 40 B"),407,IF(OR(Atletas!O81="Chen 25 B",Atletas!O81="Chen 36 B",Atletas!O81="Chen 56 B"),408,IF(Atletas!O81="Sun 73 B",409,IF(Atletas!O81="Wu 45 B",410,IF(Atletas!O81="Wu-Hao 46 B",411,IF(OR(Atletas!O81="Taijiquan 16 B",Atletas!O81="Taijiquan 24 B",Atletas!O81="Taijiquan 32 B",Atletas!O81="Taijiquan 42 B"),412,IF(OR(Atletas!O81="Yang 26 C",Atletas!O81="Yang 40 C"),413,IF(OR(Atletas!O81="Chen 25 C",Atletas!O81="Chen 36 C",Atletas!O81="Chen 56 C"),414,IF(Atletas!O81="Sun 73 C",415,IF(Atletas!O81="Wu 45 C",416,IF(Atletas!O81="Wu-Hao 46 C",417,IF(OR(Atletas!O81="Taijiquan 16 C",Atletas!O81="Taijiquan 24 C",Atletas!O81="Taijiquan 32 C",Atletas!O81="Taijiquan 42 C"),418,0)))))))))))))))))))</f>
        <v/>
      </c>
      <c r="BQ85" s="52" t="str">
        <f>IF(Atletas!O81="","",IF(Atletas!W81&lt;&gt;"",10000,0)+IF(Atletas!B81="Feminino",1000,IF(Atletas!B81="Masculino",2000,""))+IF(OR(Atletas!O81="Yang 26 D",Atletas!O81="Yang 40 D"),419,IF(OR(Atletas!O81="Chen 25 D",Atletas!O81="Chen 36 D",Atletas!O81="Chen 56 D"),420,IF(Atletas!O81="Sun 73 D",421,IF(Atletas!O81="Wu 45 D",422,IF(Atletas!O81="Wu-Hao 46 D",423,IF(OR(Atletas!O81="Taijiquan 16 D",Atletas!O81="Taijiquan 24 D",Atletas!O81="Taijiquan 32 D",Atletas!O81="Taijiquan 42 D"),424,IF(OR(Atletas!O81="Yang 26 E",Atletas!O81="Yang 40 E"),425,IF(OR(Atletas!O81="Chen 25 E",Atletas!O81="Chen 36 E",Atletas!O81="Chen 56 E"),426,IF(Atletas!O81="Sun 73 E",427,IF(Atletas!O81="Wu 45 E",428,IF(Atletas!O81="Wu-Hao 46 E",429,IF(OR(Atletas!O81="Taijiquan 16 E",Atletas!O81="Taijiquan 24 E",Atletas!O81="Taijiquan 32 E",Atletas!O81="Taijiquan 42 E"),430,IF(OR(Atletas!O81="Yang 26 F",Atletas!O81="Yang 40 F"),431,IF(OR(Atletas!O81="Chen 25 F",Atletas!O81="Chen 36 F",Atletas!O81="Chen 56 F"),432,IF(Atletas!O81="Sun 73 F",433,IF(Atletas!O81="Wu 45 F",434,IF(Atletas!O81="Wu-Hao 46 F",435,IF(OR(Atletas!O81="Taijiquan 16 F",Atletas!O81="Taijiquan 24 F",Atletas!O81="Taijiquan 32 F",Atletas!O81="Taijiquan 42 F"),436,0)))))))))))))))))))</f>
        <v/>
      </c>
      <c r="BR85" s="52" t="str">
        <f>IF(Atletas!P81="","",IF(Atletas!W81&lt;&gt;"",10000,0)+IF(Atletas!B81="Feminino",1000,IF(Atletas!B81="Masculino",2000,""))+IF(Atletas!P81="Xingyiquan A",501,IF(Atletas!P81="Baguazhang A",502,IF(Atletas!P81="Outro Estilo Interno A",503,IF(Atletas!P81="Xingyiquan B",504,IF(Atletas!P81="Baguazhang B",505,IF(Atletas!P81="Outro Estilo Interno B",506,IF(Atletas!P81="Xingyiquan C",507,IF(Atletas!P81="Baguazhang C",508,IF(Atletas!P81="Outro Estilo Interno C",509,IF(Atletas!P81="Xingyiquan D",510,IF(Atletas!P81="Baguazhang D",511,IF(Atletas!P81="Outro Estilo Interno D",512,IF(Atletas!P81="Xingyiquan E",513,IF(Atletas!P81="Baguazhang E",514,IF(Atletas!P81="Outro Estilo Interno E",515,IF(Atletas!P81="Xingyiquan F",516,IF(Atletas!P81="Baguazhang F",517,IF(Atletas!P81="Outro Estilo Interno F",518, "")))))))))))))))))))</f>
        <v/>
      </c>
      <c r="BS85" s="52" t="str">
        <f>IF(Atletas!Q81="","",IF(Atletas!W81&lt;&gt;"",10000,0)+IF(Atletas!B81="Feminino",1000,IF(Atletas!B81="Masculino",2000,""))+IF(Atletas!Q81="Dao A",601,IF(Atletas!Q81="Jian A",602,IF(Atletas!Q81="Bishou A",603,IF(Atletas!Q81="Shan A",604,IF(Atletas!Q81="Outra Arma Curta A",605,IF(Atletas!Q81="Dao B",606,IF(Atletas!Q81="Jian B",607,IF(Atletas!Q81="Bishou B",608,IF(Atletas!Q81="Shan B",609,IF(Atletas!Q81="Outra Arma Curta B",610,IF(Atletas!Q81="Dao C",611,IF(Atletas!Q81="Jian C",612,IF(Atletas!Q81="Bishou C",613,IF(Atletas!Q81="Shan C",614,IF(Atletas!Q81="Outra Arma Curta C",615,IF(Atletas!Q81="Dao D",616,IF(Atletas!Q81="Jian D",617,IF(Atletas!Q81="Bishou D",618,IF(Atletas!Q81="Shan D",619,IF(Atletas!Q81="Outra Arma Curta D",620,IF(Atletas!Q81="Dao E",621,IF(Atletas!Q81="Jian E",622,IF(Atletas!Q81="Bishou E",623,IF(Atletas!Q81="Shan E",624,IF(Atletas!Q81="Outra Arma Curta E",625,IF(Atletas!Q81="Dao F",626,IF(Atletas!Q81="Jian F",627,IF(Atletas!Q81="Bishou F",628,IF(Atletas!Q81="Shan F",629,IF(Atletas!Q81="Outra Arma Curta F",630, "")))))))))))))))))))))))))))))))</f>
        <v/>
      </c>
      <c r="BT85" s="52" t="str">
        <f>IF(Atletas!R81="","",IF(Atletas!W81&lt;&gt;"",10000,0)+IF(Atletas!B81="Feminino",1000,IF(Atletas!B81="Masculino",2000,""))+IF(Atletas!R81="Gun A",701,IF(Atletas!R81="Qiang A",702,IF(Atletas!R81="Pudao / Guandao A",703,IF(Atletas!R81="Outra Arma Longa A",704,IF(Atletas!R81="Gun B",705,IF(Atletas!R81="Qiang B",706,IF(Atletas!R81="Pudao / Guandao B",707,IF(Atletas!R81="Outra Arma Longa B",708,IF(Atletas!R81="Gun C",709,IF(Atletas!R81="Qiang C",710,IF(Atletas!R81="Pudao / Guandao C",711,IF(Atletas!R81="Outra Arma Longa C",712,IF(Atletas!R81="Gun D",713,IF(Atletas!R81="Qiang D",714,IF(Atletas!R81="Pudao / Guandao D",715,IF(Atletas!R81="Outra Arma Longa D",716,IF(Atletas!R81="Gun E",717,IF(Atletas!R81="Qiang E",718,IF(Atletas!R81="Pudao / Guandao E",719,IF(Atletas!R81="Outra Arma Longa E",720,IF(Atletas!R81="Gun F",721,IF(Atletas!R81="Qiang F",722,IF(Atletas!R81="Pudao / Guandao F",723,IF(Atletas!R81="Outra Arma Longa F",724,"")))))))))))))))))))))))))</f>
        <v/>
      </c>
      <c r="BU85" s="52" t="str">
        <f>IF(Atletas!S81="","",IF(Atletas!W81&lt;&gt;"",10000,0)+IF(Atletas!B81="Feminino",1000,IF(Atletas!B81="Masculino",2000,""))+IF(Atletas!S81="Arma Dupla A",801,IF(Atletas!S81="Arma Maleável A",802,IF(Atletas!S81="Arma Dupla B",803,IF(Atletas!S81="Arma Maleável B",804,IF(Atletas!S81="Arma Dupla C",805,IF(Atletas!S81="Arma Maleável C",806,IF(Atletas!S81="Arma Dupla D",807,IF(Atletas!S81="Arma Maleável D",808,IF(Atletas!S81="Arma Dupla E",809,IF(Atletas!S81="Arma Maleável E",810,IF(Atletas!S81="Arma Dupla F",811,IF(Atletas!S81="Arma Maleável F",812, "")))))))))))))</f>
        <v/>
      </c>
      <c r="BV85" s="52" t="str">
        <f>IF(Atletas!T81="","",IF(Atletas!W81&lt;&gt;"",10000,0)+IF(Atletas!B81="Feminino",1000,IF(Atletas!B81="Masculino",2000,""))+IF(Atletas!T81="Taijijian Yang A",901,IF(Atletas!T81="Taijijian Chen A",902,IF(Atletas!T81="Taijijian Sun A",903,IF(Atletas!T81="Taijijian Wu A",904,IF(Atletas!T81="Taijijian Wu-Hao A",905,IF(Atletas!T81="Taijijian 32 A",906,IF(Atletas!T81="Taijijian 42 A",907,IF(Atletas!T81="Taijijian Yang B",908,IF(Atletas!T81="Taijijian Chen B",909,IF(Atletas!T81="Taijijian Sun B",910,IF(Atletas!T81="Taijijian Wu B",911,IF(Atletas!T81="Taijijian Wu-Hao B",912,IF(Atletas!T81="Taijijian 32 B",913,IF(Atletas!T81="Taijijian 42 B",914,IF(Atletas!T81="Taijijian Yang C",915,IF(Atletas!T81="Taijijian Chen C",916,IF(Atletas!T81="Taijijian Sun C",917,IF(Atletas!T81="Taijijian Wu C",918,IF(Atletas!T81="Taijijian Wu-Hao C",919,IF(Atletas!T81="Taijijian 32 C",920,IF(Atletas!T81="Taijijian 42 C",921,IF(Atletas!T81="Taijijian Yang D",922,IF(Atletas!T81="Taijijian Chen D",923,IF(Atletas!T81="Taijijian Sun D",924,IF(Atletas!T81="Taijijian Wu D",925,IF(Atletas!T81="Taijijian Wu-Hao D",926,IF(Atletas!T81="Taijijian 32 D",927,IF(Atletas!T81="Taijijian 42 D",928,IF(Atletas!T81="Taijijian Yang E",929,IF(Atletas!T81="Taijijian Chen E",930,IF(Atletas!T81="Taijijian Sun E",931,IF(Atletas!T81="Taijijian Wu E",932,IF(Atletas!T81="Taijijian Wu-Hao E",933,IF(Atletas!T81="Taijijian 32 E",934,IF(Atletas!T81="Taijijian 42 E",935,IF(Atletas!T81="Taijijian Yang F",936,IF(Atletas!T81="Taijijian Chen F",937,IF(Atletas!T81="Taijijian Sun F",938,IF(Atletas!T81="Taijijian Wu F",939,IF(Atletas!T81="Taijijian Wu-Hao F",940,IF(Atletas!T81="Taijijian 32 F",941,IF(Atletas!T81="Taijijian 42 F",942,"")))))))))))))))))))))))))))))))))))))))))))</f>
        <v/>
      </c>
      <c r="BW85" s="52" t="str">
        <f>IF(Atletas!U81="","",IF(Atletas!W81&lt;&gt;"",10000,0)+IF(Atletas!B81="Feminino",1000,IF(Atletas!B81="Masculino",2000,""))+IF(Atletas!T81="Taijijian 42 F",942,IF(Atletas!U81="Taijidao A",943,IF(Atletas!U81="Taijishan A",944,IF(Atletas!U81="Taijiqiang A",945,IF(Atletas!U81="Taijidao B",946,IF(Atletas!U81="Taijishan B",947,IF(Atletas!U81="Taijiqiang B",948,IF(Atletas!U81="Taijidao C",949,IF(Atletas!U81="Taijishan C",950,IF(Atletas!U81="Taijiqiang C",951,IF(Atletas!U81="Taijidao D",952,IF(Atletas!U81="Taijishan D",953,IF(Atletas!U81="Taijiqiang D",954,IF(Atletas!U81="Taijidao E",955,IF(Atletas!U81="Taijishan E",956,IF(Atletas!U81="Taijiqiang E",957,IF(Atletas!U81="Taijidao F",958,IF(Atletas!U81="Taijishan F",959,IF(Atletas!U81="Taijiqiang F",960))))))))))))))))))))</f>
        <v/>
      </c>
      <c r="BX85" s="64" t="str">
        <f>IF(BY85&lt;&gt;"","Yinzhaophai D","")</f>
        <v/>
      </c>
      <c r="BY85" s="64" t="str">
        <f>IF(COUNTIF(BK:BW,1149)&gt;0,COUNTIF(BK:BW,1149),"")</f>
        <v/>
      </c>
      <c r="BZ85" s="64" t="str">
        <f>IF(CA85&lt;&gt;"","Yinzhaophai D","")</f>
        <v/>
      </c>
      <c r="CA85" s="64" t="str">
        <f>IF(COUNTIF(BK:BW,2149)&gt;0,COUNTIF(BK:BW,2149),"")</f>
        <v/>
      </c>
      <c r="CB85" s="64" t="str">
        <f>IF(CC85&lt;&gt;"","Yinzhaophai D","")</f>
        <v/>
      </c>
      <c r="CC85" s="64" t="str">
        <f>IF(COUNTIF(BK:BW,11149)&gt;0,COUNTIF(BK:BW,11149),"")</f>
        <v/>
      </c>
      <c r="CD85" s="64" t="str">
        <f>IF(CE85&lt;&gt;"","Yinzhaophai D","")</f>
        <v/>
      </c>
      <c r="CE85" s="64" t="str">
        <f>IF(COUNTIF(BK:BW,12149)&gt;0,COUNTIF(BK:BW,12149),"")</f>
        <v/>
      </c>
      <c r="CF85" s="52" t="str">
        <f xml:space="preserve"> IF(Atletas!V81="","",IF(Atletas!V81="Duilian de Mãos AB - Equipe 1",1,IF(Atletas!V81="Duilian de Mãos AB - Equipe 2",2,IF(Atletas!V81="Duilian de Armas AB - Equipe 1",3,IF(Atletas!V81="Duilian de Armas AB - Equipe 2",4,IF(Atletas!V81="Duilian de Tuishou - Equipe 1",5,IF(Atletas!V81="Duilian de Tuishou - Equipe 2",6,IF(Atletas!V81="Grupo Externo AB - Equipe 1",7,IF(Atletas!V81="Grupo Externo AB - Equipe 2",8,IF(Atletas!V81="Grupo Interno AB - Equipe 1",9,IF(Atletas!V81="Grupo Interno AB - Equipe 2",10,IF(Atletas!V81="Duilian de Mãos CD - Equipe 1",11,IF(Atletas!V81="Duilian de Mãos CD - Equipe 2",12,IF(Atletas!V81="Duilian de Armas CD - Equipe 1",13,IF(Atletas!V81="Duilian de Armas CD - Equipe 2",14,IF(Atletas!V81="Duilian de Tuishou - Equipe 1",15,IF(Atletas!V81="Duilian de Tuishou - Equipe 2",16,IF(Atletas!V81="Grupo Externo CDEF - Equipe 1",17,IF(Atletas!V81="Grupo Externo CDEF - Equipe 2",18,IF(Atletas!V81="Grupo Interno CDEF - Equipe 1",19,IF(Atletas!V81="Grupo Interno CDEF - Equipe 2",20,IF(Atletas!V81="Duilian de Mãos EF - Equipe 1",21,IF(Atletas!V81="Duilian de Mãos EF - Equipe 2",22,IF(Atletas!V81="Duilian de Armas EF - Equipe 1",23,IF(Atletas!V81="Duilian de Armas EF - Equipe 2",24,IF(Atletas!V81="Duilian de Tuishou - Equipe 1",25,IF(Atletas!V81="Duilian de Tuishou - Equipe 2",26,"")))))))))))))))))))))))))))</f>
        <v/>
      </c>
    </row>
    <row r="86" spans="2:84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31"/>
      <c r="U86" s="4"/>
      <c r="V86" s="4" t="str">
        <f t="array" ref="V86">IFERROR(INDEX(BX$7:BX$336,SMALL(IF(BX$7:BX$336&lt;&gt;"",ROW(BX$7:BX$336)-ROW(BX$7)+1),ROWS(BX$7:BX85))),"")</f>
        <v/>
      </c>
      <c r="W86" s="4" t="str">
        <f t="array" ref="W86">IFERROR(INDEX(BY$7:BY$336,SMALL(IF(BY$7:BY$336&lt;&gt;"",ROW(BY$7:BY$336)-ROW(BY$7)+1),ROWS(BY$7:BY85))),"")</f>
        <v/>
      </c>
      <c r="X86" s="4" t="str">
        <f t="array" ref="X86">IFERROR(INDEX(BZ$7:BZ$336,SMALL(IF(BZ$7:BZ$336&lt;&gt;"",ROW(BZ$7:BZ$336)-ROW(BZ$7)+1),ROWS(BZ$7:BZ85))),"")</f>
        <v/>
      </c>
      <c r="Y86" s="4" t="str">
        <f t="array" ref="Y86">IFERROR(INDEX(CA$7:CA$336,SMALL(IF(CA$7:CA$336&lt;&gt;"",ROW(CA$7:CA$336)-ROW(CA$7)+1),ROWS(CA$7:CA85))),"")</f>
        <v/>
      </c>
      <c r="Z86" s="4" t="str">
        <f t="array" ref="Z86">IFERROR(INDEX(CB$7:CB$378,SMALL(IF(CB$7:CB$378&lt;&gt;"",ROW(CB$7:CB$378)-ROW(CB$7)+1),ROWS(CB$7:CB85))),"")</f>
        <v/>
      </c>
      <c r="AA86" s="4" t="str">
        <f t="array" ref="AA86">IFERROR(INDEX(CC$7:CC$378,SMALL(IF(CC$7:CC$378&lt;&gt;"",ROW(CC$7:CC$378)-ROW(CC$7)+1),ROWS(CC$7:CC85))),"")</f>
        <v/>
      </c>
      <c r="AB86" s="4" t="str">
        <f t="array" ref="AB86">IFERROR(INDEX(CD$7:CD$378,SMALL(IF(CD$7:CD$378&lt;&gt;"",ROW(CD$7:CD$378)-ROW(CD$7)+1),ROWS(CD$7:CD85))),"")</f>
        <v/>
      </c>
      <c r="AC86" s="4" t="str">
        <f t="array" ref="AC86">IFERROR(INDEX(CE$7:CE$378,SMALL(IF(CE$7:CE$378&lt;&gt;"",ROW(CE$7:CE$378)-ROW(CE$7)+1),ROWS(CE$7:CE85))),"")</f>
        <v/>
      </c>
      <c r="AD86" s="4"/>
      <c r="AE86" s="4"/>
      <c r="AF86" s="4"/>
      <c r="AG86" s="4"/>
      <c r="AH86" s="4"/>
      <c r="AI86" s="4"/>
      <c r="AJ86" s="46" t="str">
        <f>IF(Atletas!D82="","",IF(Atletas!B82="Feminino",100,IF(Atletas!B82="Masculino",200,""))+(IF(Atletas!D82="Infantil 39kg",1,IF(Atletas!D82="Infantil 42kg",2,IF(Atletas!D82="Infantil 45kg",3,IF(Atletas!D82="Infantil 48kg",4,IF(Atletas!D82="Infantil 52kg",5,IF(Atletas!D82="Infantil 56kg",6,IF(Atletas!D82="Infantil 60kg",7,IF(Atletas!D82="Juvenil 48kg",8,IF(Atletas!D82="Juvenil 52kg",9,IF(Atletas!D82="Juvenil 56kg",10,IF(Atletas!D82="Juvenil 60kg",11,IF(Atletas!D82="Juvenil 65kg",12,IF(Atletas!D82="Juvenil 70kg",13,IF(Atletas!D82="Juvenil 75kg",14,IF(Atletas!D82="Juvenil 80kg",15,IF(Atletas!D82="Adulto 48kg",16,IF(Atletas!D82="Adulto 52kg",17,IF(Atletas!D82="Adulto 56kg",18,IF(Atletas!D82="Adulto 60kg",19,IF(Atletas!D82="Adulto 65kg",20,IF(Atletas!D82="Adulto 70kg",21,IF(Atletas!D82="Adulto 75kg",22,IF(Atletas!D82="Adulto 80kg",23,IF(Atletas!D82="Adulto 85kg",24,IF(Atletas!D82="Adulto 90kg",25,IF(Atletas!D82="Adulto +90kg",26,""))))))))))))))))))))))))))))</f>
        <v/>
      </c>
      <c r="AO86" s="10" t="str">
        <f>IF(Atletas!E82="","",IF(Atletas!B82="Feminino",100,IF(Atletas!B82="Masculino",200,""))+(IF(Atletas!E82="Juvenil 44kg",1,IF(Atletas!E82="Juvenil 48kg",2,IF(Atletas!E82="Juvenil 52kg",3,IF(Atletas!E82="Juvenil 56kg",4,IF(Atletas!E82="Juvenil 60kg",5,IF(Atletas!E82="Juvenil 65kg",6,IF(Atletas!E82="Juvenil 70kg",7,IF(Atletas!E82="Juvenil 75kg",8,IF(Atletas!E82="Juvenil 82kg",9,IF(Atletas!E82="Juvenil 90kg",10,IF(Atletas!E82="Juvenil 100kg",11,IF(Atletas!E82="Adulto 48kg",12,IF(Atletas!E82="Adulto 52kg",13,IF(Atletas!E82="Adulto 56kg",14,IF(Atletas!E82="Adulto 60kg",15,IF(Atletas!E82="Adulto 65kg",16,IF(Atletas!E82="Adulto 70kg",17,IF(Atletas!E82="Adulto 75kg",18,IF(Atletas!E82="Adulto 82kg",19,IF(Atletas!E82="Adulto 90kg",20,IF(Atletas!E82="Adulto 100kg",21,IF(Atletas!E82="Adulto +100kg",22,""))))))))))))))))))))))))</f>
        <v/>
      </c>
      <c r="AT86" s="10" t="str">
        <f>IF(Atletas!F82="","",IF(Atletas!B82="Feminino",100,IF(Atletas!B82="Masculino",200,""))+(IF(Atletas!F82="Adulto 48kg",1,IF(Atletas!F82="Adulto 56kg",2,IF(Atletas!F82="Adulto 65kg",3,IF(Atletas!F82="Adulto 75kg",4,IF(Atletas!F82="Adulto +75kg",5,IF(Atletas!F82="Adulto 52kg",6,IF(Atletas!F82="Adulto 60kg",7,IF(Atletas!F82="Adulto 70kg",8,IF(Atletas!F82="Adulto 80kg",9,IF(Atletas!F82="Adulto 90kg",10,IF(Atletas!F82="Adulto +90kg",11,"")))))))))))))</f>
        <v/>
      </c>
      <c r="AY86" s="46" t="str">
        <f>IF(Atletas!G82="","",IF(Atletas!B82="Feminino",100,IF(Atletas!B82="Masculino",200,""))+(IF(Atletas!G82="Changquan Mirim",1,IF(Atletas!G82="Nanquan Mirim",2,IF(Atletas!G82="Taijiquan Mirim",3,IF(Atletas!G82="Changquan Grupo C",4,IF(Atletas!G82="Nanquan Grupo C",5,IF(Atletas!G82="Taijiquan Grupo C",6,IF(Atletas!G82="Changquan Grupo B",7,IF(Atletas!G82="Nanquan Grupo B",8,IF(Atletas!G82="Taijiquan Grupo B",9,IF(Atletas!G82="Changquan Grupo A",10,IF(Atletas!G82="Nanquan Grupo A",11,IF(Atletas!G82="Taijiquan Grupo A",12,IF(Atletas!G82="Changquan Opcional",13,IF(Atletas!G82="Nanquan Opcional",14,IF(Atletas!G82="Taijiquan Opcional",15,IF(Atletas!G82="Changquan Adulto",16,IF(Atletas!G82="Nanquan Adulto",17,IF(Atletas!G82="Taijiquan Adulto",18,""))))))))))))))))))))</f>
        <v/>
      </c>
      <c r="AZ86" s="46" t="str">
        <f>IF(Atletas!H82="","",IF(Atletas!B82="Feminino",100,IF(Atletas!B82="Masculino",200,""))+(IF(Atletas!H82="Daoshu Mirim",19,IF(Atletas!H82="Jianshu Mirim",20,IF(Atletas!H82="Nandao Mirim",21,IF(Atletas!H82="Taijijian Mirim",22,IF(Atletas!H82="Daoshu Grupo C",23,IF(Atletas!H82="Jianshu Grupo C",24,IF(Atletas!H82="Nandao Grupo C",25,IF(Atletas!H82="Taijijian Grupo C",26,IF(Atletas!H82="Daoshu Grupo B",27,IF(Atletas!H82="Jianshu Grupo B",28,IF(Atletas!H82="Nandao Grupo B",29,IF(Atletas!H82="Taijijian Grupo B",30,IF(Atletas!H82="Daoshu Grupo A",31,IF(Atletas!H82="Jianshu Grupo A",32,IF(Atletas!H82="Nandao Grupo A",33,IF(Atletas!H82="Taijijian Grupo A",34,IF(Atletas!H82="Daoshu Opcional",35,IF(Atletas!H82="Jianshu Opcional",36,IF(Atletas!H82="Nandao Opcional",37,IF(Atletas!H82="Taijijian Opcional",38,IF(Atletas!H82="Daoshu Adulto",39,IF(Atletas!H82="Jianshu Adulto",40,IF(Atletas!H82="Nandao Adulto",41,IF(Atletas!H82="Taijijian Adulto",42,""))))))))))))))))))))))))))</f>
        <v/>
      </c>
      <c r="BA86" s="46" t="str">
        <f>IF(Atletas!I82="","",IF(Atletas!B82="Feminino",100,IF(Atletas!B82="Masculino",200,""))+(IF(Atletas!I82="Gunshu Mirim",43,IF(Atletas!I82="Qiangshu Mirim",44,IF(Atletas!I82="Nangun Mirim",45,IF(Atletas!I82="Gunshu Grupo C",46,IF(Atletas!I82="Qiangshu Grupo C",47,IF(Atletas!I82="Nangun Grupo C",48,IF(Atletas!I82="Gunshu Grupo B",49,IF(Atletas!I82="Qiangshu Grupo B",50,IF(Atletas!I82="Nangun Grupo B",51,IF(Atletas!I82="Gunshu Grupo A",52,IF(Atletas!I82="Qiangshu Grupo A",53,IF(Atletas!I82="Nangun Grupo A",54,IF(Atletas!I82="Gunshu Opcional",55,IF(Atletas!I82="Qiangshu Opcional",56,IF(Atletas!I82="Nangun Opcional",57,IF(Atletas!I82="Gunshu Adulto",58,IF(Atletas!I82="Qiangshu Adulto",59,IF(Atletas!I82="Nangun Adulto",60,""))))))))))))))))))))</f>
        <v/>
      </c>
      <c r="BF86" s="52" t="str">
        <f>IF(Atletas!J82="","",IF(Atletas!B82="Feminino",100,IF(Atletas!B82="Masculino",200,""))+(IF(Atletas!J82="Equipe 1 Grupo B",1,IF(Atletas!J82="Equipe 2 Grupo B",2,IF(Atletas!J82="Equipe 1 Grupo A",3,IF(Atletas!J82="Equipe 2 Grupo A",4,IF(Atletas!J82="Equipe 1 Adulto",5,IF(Atletas!J82="Equipe 2 Adulto",6,""))))))))</f>
        <v/>
      </c>
      <c r="BK86" s="52" t="str">
        <f>IF(Atletas!K82="","",IF(Atletas!W82&lt;&gt;"",10000,0)+(IF(Atletas!B82="Feminino",1000,IF(Atletas!B82="Masculino",2000,""))+IF(Atletas!K82="Choylayfut A",1,IF(Atletas!K82="Hunggar A",2,IF(Atletas!K82="Wuzuquan A",3,IF(Atletas!K82="Wingchun A",4,IF(Atletas!K82="Outra Mão de Sul A",5,IF(Atletas!K82="Choylayfut B",6,IF(Atletas!K82="Hunggar B",7,IF(Atletas!K82="Wuzuquan B",8,IF(Atletas!K82="Wingchun B",9,IF(Atletas!K82="Outra Mão de Sul B",10,IF(Atletas!K82="Choylayfut C",11,IF(Atletas!K82="Hunggar C",12,IF(Atletas!K82="Wuzuquan C",13,IF(Atletas!K82="Wingchun C",14,IF(Atletas!K82="Outra Mão de Sul C",15,IF(Atletas!K82="Choylayfut D",16,IF(Atletas!K82="Hunggar D",17,IF(Atletas!K82="Wuzuquan D",18,IF(Atletas!K82="Wingchun D",19,IF(Atletas!K82="Outra Mão de Sul D",20,IF(Atletas!K82="Choylayfut E",21,IF(Atletas!K82="Hunggar E",22,IF(Atletas!K82="Wuzuquan E",23,IF(Atletas!K82="Wingchun E",24,IF(Atletas!K82="Outra Mão de Sul E",25,IF(Atletas!K82="Choylayfut F",26,IF(Atletas!K82="Hunggar F",27,IF(Atletas!K82="Wuzuquan F",28,IF(Atletas!K82="Wingchun F",29,IF(Atletas!K82="Outra Mão de Sul F",30,""))))))))))))))))))))))))))))))))</f>
        <v/>
      </c>
      <c r="BL86" s="52" t="str">
        <f>IF(Atletas!L82="","",IF(Atletas!W82&lt;&gt;"",10000,0)+(IF(Atletas!B82="Feminino",1000,IF(Atletas!B82="Masculino",2000,""))+(IF(Atletas!L82="Chaquan A",101,IF(Atletas!L82="Emeiquan A",102,IF(Atletas!L82="Fanziquan A",103,IF(Atletas!L82="Huaquan A",104,IF(Atletas!L82="Hongquan A",105,IF(Atletas!L82="Paochui A",106,IF(Atletas!L82="Piguaquan A",107,IF(Atletas!L82="Shaolinquan A",108,IF(Atletas!L82="Tanglangquan A",109,IF(Atletas!L82="Yinzhaophai A",110,IF(Atletas!L82="Tongbeiquan A",111,IF(Atletas!L82="Wudangquan A",112,IF(Atletas!L82="Outros Estilos A",113,IF(Atletas!L82="Chaquan B",114,IF(Atletas!L82="Emeiquan B",115,IF(Atletas!L82="Fanziquan B",116,IF(Atletas!L82="Huaquan B",117,IF(Atletas!L82="Hongquan B",118,IF(Atletas!L82="Paochui B",119,IF(Atletas!L82="Piguaquan B",120,IF(Atletas!L82="Shaolinquan B",121,IF(Atletas!L82="Tanglangquan B",122,IF(Atletas!L82="Yinzhaophai B",123,IF(Atletas!L82="Tongbeiquan B",124,IF(Atletas!L82="Wudangquan B",125,IF(Atletas!L82="Outros Estilos B",126,IF(Atletas!L82="Chaquan C",127,IF(Atletas!L82="Emeiquan C",128,IF(Atletas!L82="Fanziquan C",129,IF(Atletas!L82="Huaquan C",130,IF(Atletas!L82="Hongquan C",131,IF(Atletas!L82="Paochui C",132,IF(Atletas!L82="Piguaquan C",133,IF(Atletas!L82="Shaolinquan C",134,IF(Atletas!L82="Tanglangquan C",135,IF(Atletas!L82="Yinzhaophai C",136,IF(Atletas!L82="Tongbeiquan C",137,IF(Atletas!L82="Wudangquan C",138,IF(Atletas!L82="Outros Estilos C",139,0))))))))))))))))))))))))))))))))))))))))))</f>
        <v/>
      </c>
      <c r="BM86" s="52" t="str">
        <f>IF(Atletas!L82="","",IF(Atletas!W82&lt;&gt;"",10000,0)+(IF(Atletas!B82="Feminino",1000,IF(Atletas!B82="Masculino",2000,""))+(IF(Atletas!L82="Chaquan D",140,IF(Atletas!L82="Emeiquan D",141,IF(Atletas!L82="Fanziquan D",142,IF(Atletas!L82="Huaquan D",143,IF(Atletas!L82="Hongquan D",144,IF(Atletas!L82="Paochui D",145,IF(Atletas!L82="Piguaquan D",146,IF(Atletas!L82="Shaolinquan D",147,IF(Atletas!L82="Tanglangquan D",148,IF(Atletas!L82="Yinzhaophai D",149,IF(Atletas!L82="Tongbeiquan D",150,IF(Atletas!L82="Wudangquan D",151,IF(Atletas!L82="Outros Estilos D",152,IF(Atletas!L82="Chaquan E",153,IF(Atletas!L82="Emeiquan E",154,IF(Atletas!L82="Fanziquan E",155,IF(Atletas!L82="Huaquan E",156,IF(Atletas!L82="Hongquan E",157,IF(Atletas!L82="Paochui E",158,IF(Atletas!L82="Piguaquan E",159,IF(Atletas!L82="Shaolinquan E",160,IF(Atletas!L82="Tanglangquan E",161,IF(Atletas!L82="Yinzhaophai E",162,IF(Atletas!L82="Tongbeiquan E",163,IF(Atletas!L82="Wudangquan E",164,IF(Atletas!L82="Outros Estilos E",165,IF(Atletas!L82="Chaquan F",166,IF(Atletas!L82="Emeiquan F",167,IF(Atletas!L82="Fanziquan F",168,IF(Atletas!L82="Huaquan F",169,IF(Atletas!L82="Hongquan F",170,IF(Atletas!L82="Paochui F",171,IF(Atletas!L82="Piguaquan F",172,IF(Atletas!L82="Shaolinquan F",173,IF(Atletas!L82="Tanglangquan F",174,IF(Atletas!L82="Yinzhaophai F",175,IF(Atletas!L82="Tongbeiquan F",176,IF(Atletas!L82="Wudangquan F",177,IF(Atletas!L82="Outros Estilos F",178,0))))))))))))))))))))))))))))))))))))))))))</f>
        <v/>
      </c>
      <c r="BN86" s="52" t="str">
        <f>IF(Atletas!M82="","",IF(Atletas!W82&lt;&gt;"",10000,0)+(IF(Atletas!B82="Feminino",1000,IF(Atletas!B82="Masculino",2000,""))+(IF(Atletas!M82="Ditangquan A",201,IF(Atletas!M82="Houquan A",202,IF(Atletas!M82="Zuiquan A",203,IF(Atletas!M82="Ditangquan B",204,IF(Atletas!M82="Houquan B",205,IF(Atletas!M82="Zuiquan B",206,IF(Atletas!M82="Ditangquan C",207,IF(Atletas!M82="Houquan C",208,IF(Atletas!M82="Zuiquan C",209,IF(Atletas!M82="Ditangquan D",210,IF(Atletas!M82="Houquan D",211,IF(Atletas!M82="Zuiquan D",212,IF(Atletas!M82="Ditangquan E",213,IF(Atletas!M82="Houquan E",214,IF(Atletas!M82="Zuiquan E",215,IF(Atletas!M82="Ditangquan F",216,IF(Atletas!M82="Houquan F",217,IF(Atletas!M82="Zuiquan F",218,"")))))))))))))))))))))</f>
        <v/>
      </c>
      <c r="BO86" s="52" t="str">
        <f>IF(Atletas!N82="","",IF(Atletas!W82&lt;&gt;"",10000,0)+IF(Atletas!B82="Feminino",1000,IF(Atletas!B82="Masculino",2000,""))+IF(Atletas!N82="Yang A",301,IF(Atletas!N82="Chen A",30,IF(Atletas!N82="Sun A",303,IF(Atletas!N82="Wu A",304,IF(Atletas!N82="Wu-Hao A",305,IF(Atletas!N82="Outro Taijiquan A",306,IF(Atletas!N82="Yang B",307,IF(Atletas!N82="Chen B",308,IF(Atletas!N82="Sun B",309,IF(Atletas!N82="Wu B",310,IF(Atletas!N82="Wu-Hao B",311,IF(Atletas!N82="Outro Taijiquan B",312,IF(Atletas!N82="Yang C",313,IF(Atletas!N82="Chen C",314,IF(Atletas!N82="Sun C",315,IF(Atletas!N82="Wu C",316,IF(Atletas!N82="Wu-Hao C",317,IF(Atletas!N82="Outro Taijiquan C",318,IF(Atletas!N82="Yang D",319,IF(Atletas!N82="Chen D",320,IF(Atletas!N82="Sun D",321,IF(Atletas!N82="Wu D",322,IF(Atletas!N82="Wu-Hao D",323,IF(Atletas!N82="Outro Taijiquan D",324,IF(Atletas!N82="Yang E",325,IF(Atletas!N82="Chen E",326,IF(Atletas!N82="Sun E",327,IF(Atletas!N82="Wu E",328,IF(Atletas!N82="Wu-Hao E",329,IF(Atletas!N82="Outro Taijiquan E",330,IF(Atletas!N82="Yang F",331,IF(Atletas!N82="Chen F",332,IF(Atletas!N82="Sun F",333,IF(Atletas!N82="Wu F",334,IF(Atletas!N82="Wu-Hao F",335,IF(Atletas!N82="Outro Taijiquan F",336,"")))))))))))))))))))))))))))))))))))))</f>
        <v/>
      </c>
      <c r="BP86" s="52" t="str">
        <f>IF(Atletas!O82="","",IF(Atletas!W82&lt;&gt;"",10000,0)+IF(Atletas!B82="Feminino",1000,IF(Atletas!B82="Masculino",2000,""))+IF(OR(Atletas!O82="Yang 26 A",Atletas!O82="Yang 40 A"),401,IF(OR(Atletas!O82="Chen 25 A",Atletas!O82="Chen 36 A",Atletas!O82="Chen 56 A"),402,IF(Atletas!O82="Sun 73 A",403,IF(Atletas!O82="Wu 45 A",404,IF(Atletas!O82="Wu-Hao 46 A",405,IF(OR(Atletas!O82="Taijiquan 16 A",Atletas!O82="Taijiquan 24 A",Atletas!O82="Taijiquan 32 A",Atletas!O82="Taijiquan 42 A"),406,IF(OR(Atletas!O82="Yang 26 B",Atletas!O82="Yang 40 B"),407,IF(OR(Atletas!O82="Chen 25 B",Atletas!O82="Chen 36 B",Atletas!O82="Chen 56 B"),408,IF(Atletas!O82="Sun 73 B",409,IF(Atletas!O82="Wu 45 B",410,IF(Atletas!O82="Wu-Hao 46 B",411,IF(OR(Atletas!O82="Taijiquan 16 B",Atletas!O82="Taijiquan 24 B",Atletas!O82="Taijiquan 32 B",Atletas!O82="Taijiquan 42 B"),412,IF(OR(Atletas!O82="Yang 26 C",Atletas!O82="Yang 40 C"),413,IF(OR(Atletas!O82="Chen 25 C",Atletas!O82="Chen 36 C",Atletas!O82="Chen 56 C"),414,IF(Atletas!O82="Sun 73 C",415,IF(Atletas!O82="Wu 45 C",416,IF(Atletas!O82="Wu-Hao 46 C",417,IF(OR(Atletas!O82="Taijiquan 16 C",Atletas!O82="Taijiquan 24 C",Atletas!O82="Taijiquan 32 C",Atletas!O82="Taijiquan 42 C"),418,0)))))))))))))))))))</f>
        <v/>
      </c>
      <c r="BQ86" s="52" t="str">
        <f>IF(Atletas!O82="","",IF(Atletas!W82&lt;&gt;"",10000,0)+IF(Atletas!B82="Feminino",1000,IF(Atletas!B82="Masculino",2000,""))+IF(OR(Atletas!O82="Yang 26 D",Atletas!O82="Yang 40 D"),419,IF(OR(Atletas!O82="Chen 25 D",Atletas!O82="Chen 36 D",Atletas!O82="Chen 56 D"),420,IF(Atletas!O82="Sun 73 D",421,IF(Atletas!O82="Wu 45 D",422,IF(Atletas!O82="Wu-Hao 46 D",423,IF(OR(Atletas!O82="Taijiquan 16 D",Atletas!O82="Taijiquan 24 D",Atletas!O82="Taijiquan 32 D",Atletas!O82="Taijiquan 42 D"),424,IF(OR(Atletas!O82="Yang 26 E",Atletas!O82="Yang 40 E"),425,IF(OR(Atletas!O82="Chen 25 E",Atletas!O82="Chen 36 E",Atletas!O82="Chen 56 E"),426,IF(Atletas!O82="Sun 73 E",427,IF(Atletas!O82="Wu 45 E",428,IF(Atletas!O82="Wu-Hao 46 E",429,IF(OR(Atletas!O82="Taijiquan 16 E",Atletas!O82="Taijiquan 24 E",Atletas!O82="Taijiquan 32 E",Atletas!O82="Taijiquan 42 E"),430,IF(OR(Atletas!O82="Yang 26 F",Atletas!O82="Yang 40 F"),431,IF(OR(Atletas!O82="Chen 25 F",Atletas!O82="Chen 36 F",Atletas!O82="Chen 56 F"),432,IF(Atletas!O82="Sun 73 F",433,IF(Atletas!O82="Wu 45 F",434,IF(Atletas!O82="Wu-Hao 46 F",435,IF(OR(Atletas!O82="Taijiquan 16 F",Atletas!O82="Taijiquan 24 F",Atletas!O82="Taijiquan 32 F",Atletas!O82="Taijiquan 42 F"),436,0)))))))))))))))))))</f>
        <v/>
      </c>
      <c r="BR86" s="52" t="str">
        <f>IF(Atletas!P82="","",IF(Atletas!W82&lt;&gt;"",10000,0)+IF(Atletas!B82="Feminino",1000,IF(Atletas!B82="Masculino",2000,""))+IF(Atletas!P82="Xingyiquan A",501,IF(Atletas!P82="Baguazhang A",502,IF(Atletas!P82="Outro Estilo Interno A",503,IF(Atletas!P82="Xingyiquan B",504,IF(Atletas!P82="Baguazhang B",505,IF(Atletas!P82="Outro Estilo Interno B",506,IF(Atletas!P82="Xingyiquan C",507,IF(Atletas!P82="Baguazhang C",508,IF(Atletas!P82="Outro Estilo Interno C",509,IF(Atletas!P82="Xingyiquan D",510,IF(Atletas!P82="Baguazhang D",511,IF(Atletas!P82="Outro Estilo Interno D",512,IF(Atletas!P82="Xingyiquan E",513,IF(Atletas!P82="Baguazhang E",514,IF(Atletas!P82="Outro Estilo Interno E",515,IF(Atletas!P82="Xingyiquan F",516,IF(Atletas!P82="Baguazhang F",517,IF(Atletas!P82="Outro Estilo Interno F",518, "")))))))))))))))))))</f>
        <v/>
      </c>
      <c r="BS86" s="52" t="str">
        <f>IF(Atletas!Q82="","",IF(Atletas!W82&lt;&gt;"",10000,0)+IF(Atletas!B82="Feminino",1000,IF(Atletas!B82="Masculino",2000,""))+IF(Atletas!Q82="Dao A",601,IF(Atletas!Q82="Jian A",602,IF(Atletas!Q82="Bishou A",603,IF(Atletas!Q82="Shan A",604,IF(Atletas!Q82="Outra Arma Curta A",605,IF(Atletas!Q82="Dao B",606,IF(Atletas!Q82="Jian B",607,IF(Atletas!Q82="Bishou B",608,IF(Atletas!Q82="Shan B",609,IF(Atletas!Q82="Outra Arma Curta B",610,IF(Atletas!Q82="Dao C",611,IF(Atletas!Q82="Jian C",612,IF(Atletas!Q82="Bishou C",613,IF(Atletas!Q82="Shan C",614,IF(Atletas!Q82="Outra Arma Curta C",615,IF(Atletas!Q82="Dao D",616,IF(Atletas!Q82="Jian D",617,IF(Atletas!Q82="Bishou D",618,IF(Atletas!Q82="Shan D",619,IF(Atletas!Q82="Outra Arma Curta D",620,IF(Atletas!Q82="Dao E",621,IF(Atletas!Q82="Jian E",622,IF(Atletas!Q82="Bishou E",623,IF(Atletas!Q82="Shan E",624,IF(Atletas!Q82="Outra Arma Curta E",625,IF(Atletas!Q82="Dao F",626,IF(Atletas!Q82="Jian F",627,IF(Atletas!Q82="Bishou F",628,IF(Atletas!Q82="Shan F",629,IF(Atletas!Q82="Outra Arma Curta F",630, "")))))))))))))))))))))))))))))))</f>
        <v/>
      </c>
      <c r="BT86" s="52" t="str">
        <f>IF(Atletas!R82="","",IF(Atletas!W82&lt;&gt;"",10000,0)+IF(Atletas!B82="Feminino",1000,IF(Atletas!B82="Masculino",2000,""))+IF(Atletas!R82="Gun A",701,IF(Atletas!R82="Qiang A",702,IF(Atletas!R82="Pudao / Guandao A",703,IF(Atletas!R82="Outra Arma Longa A",704,IF(Atletas!R82="Gun B",705,IF(Atletas!R82="Qiang B",706,IF(Atletas!R82="Pudao / Guandao B",707,IF(Atletas!R82="Outra Arma Longa B",708,IF(Atletas!R82="Gun C",709,IF(Atletas!R82="Qiang C",710,IF(Atletas!R82="Pudao / Guandao C",711,IF(Atletas!R82="Outra Arma Longa C",712,IF(Atletas!R82="Gun D",713,IF(Atletas!R82="Qiang D",714,IF(Atletas!R82="Pudao / Guandao D",715,IF(Atletas!R82="Outra Arma Longa D",716,IF(Atletas!R82="Gun E",717,IF(Atletas!R82="Qiang E",718,IF(Atletas!R82="Pudao / Guandao E",719,IF(Atletas!R82="Outra Arma Longa E",720,IF(Atletas!R82="Gun F",721,IF(Atletas!R82="Qiang F",722,IF(Atletas!R82="Pudao / Guandao F",723,IF(Atletas!R82="Outra Arma Longa F",724,"")))))))))))))))))))))))))</f>
        <v/>
      </c>
      <c r="BU86" s="52" t="str">
        <f>IF(Atletas!S82="","",IF(Atletas!W82&lt;&gt;"",10000,0)+IF(Atletas!B82="Feminino",1000,IF(Atletas!B82="Masculino",2000,""))+IF(Atletas!S82="Arma Dupla A",801,IF(Atletas!S82="Arma Maleável A",802,IF(Atletas!S82="Arma Dupla B",803,IF(Atletas!S82="Arma Maleável B",804,IF(Atletas!S82="Arma Dupla C",805,IF(Atletas!S82="Arma Maleável C",806,IF(Atletas!S82="Arma Dupla D",807,IF(Atletas!S82="Arma Maleável D",808,IF(Atletas!S82="Arma Dupla E",809,IF(Atletas!S82="Arma Maleável E",810,IF(Atletas!S82="Arma Dupla F",811,IF(Atletas!S82="Arma Maleável F",812, "")))))))))))))</f>
        <v/>
      </c>
      <c r="BV86" s="52" t="str">
        <f>IF(Atletas!T82="","",IF(Atletas!W82&lt;&gt;"",10000,0)+IF(Atletas!B82="Feminino",1000,IF(Atletas!B82="Masculino",2000,""))+IF(Atletas!T82="Taijijian Yang A",901,IF(Atletas!T82="Taijijian Chen A",902,IF(Atletas!T82="Taijijian Sun A",903,IF(Atletas!T82="Taijijian Wu A",904,IF(Atletas!T82="Taijijian Wu-Hao A",905,IF(Atletas!T82="Taijijian 32 A",906,IF(Atletas!T82="Taijijian 42 A",907,IF(Atletas!T82="Taijijian Yang B",908,IF(Atletas!T82="Taijijian Chen B",909,IF(Atletas!T82="Taijijian Sun B",910,IF(Atletas!T82="Taijijian Wu B",911,IF(Atletas!T82="Taijijian Wu-Hao B",912,IF(Atletas!T82="Taijijian 32 B",913,IF(Atletas!T82="Taijijian 42 B",914,IF(Atletas!T82="Taijijian Yang C",915,IF(Atletas!T82="Taijijian Chen C",916,IF(Atletas!T82="Taijijian Sun C",917,IF(Atletas!T82="Taijijian Wu C",918,IF(Atletas!T82="Taijijian Wu-Hao C",919,IF(Atletas!T82="Taijijian 32 C",920,IF(Atletas!T82="Taijijian 42 C",921,IF(Atletas!T82="Taijijian Yang D",922,IF(Atletas!T82="Taijijian Chen D",923,IF(Atletas!T82="Taijijian Sun D",924,IF(Atletas!T82="Taijijian Wu D",925,IF(Atletas!T82="Taijijian Wu-Hao D",926,IF(Atletas!T82="Taijijian 32 D",927,IF(Atletas!T82="Taijijian 42 D",928,IF(Atletas!T82="Taijijian Yang E",929,IF(Atletas!T82="Taijijian Chen E",930,IF(Atletas!T82="Taijijian Sun E",931,IF(Atletas!T82="Taijijian Wu E",932,IF(Atletas!T82="Taijijian Wu-Hao E",933,IF(Atletas!T82="Taijijian 32 E",934,IF(Atletas!T82="Taijijian 42 E",935,IF(Atletas!T82="Taijijian Yang F",936,IF(Atletas!T82="Taijijian Chen F",937,IF(Atletas!T82="Taijijian Sun F",938,IF(Atletas!T82="Taijijian Wu F",939,IF(Atletas!T82="Taijijian Wu-Hao F",940,IF(Atletas!T82="Taijijian 32 F",941,IF(Atletas!T82="Taijijian 42 F",942,"")))))))))))))))))))))))))))))))))))))))))))</f>
        <v/>
      </c>
      <c r="BW86" s="52" t="str">
        <f>IF(Atletas!U82="","",IF(Atletas!W82&lt;&gt;"",10000,0)+IF(Atletas!B82="Feminino",1000,IF(Atletas!B82="Masculino",2000,""))+IF(Atletas!T82="Taijijian 42 F",942,IF(Atletas!U82="Taijidao A",943,IF(Atletas!U82="Taijishan A",944,IF(Atletas!U82="Taijiqiang A",945,IF(Atletas!U82="Taijidao B",946,IF(Atletas!U82="Taijishan B",947,IF(Atletas!U82="Taijiqiang B",948,IF(Atletas!U82="Taijidao C",949,IF(Atletas!U82="Taijishan C",950,IF(Atletas!U82="Taijiqiang C",951,IF(Atletas!U82="Taijidao D",952,IF(Atletas!U82="Taijishan D",953,IF(Atletas!U82="Taijiqiang D",954,IF(Atletas!U82="Taijidao E",955,IF(Atletas!U82="Taijishan E",956,IF(Atletas!U82="Taijiqiang E",957,IF(Atletas!U82="Taijidao F",958,IF(Atletas!U82="Taijishan F",959,IF(Atletas!U82="Taijiqiang F",960))))))))))))))))))))</f>
        <v/>
      </c>
      <c r="BX86" s="64" t="str">
        <f>IF(BY86&lt;&gt;"","Tongbeiquan D","")</f>
        <v/>
      </c>
      <c r="BY86" s="64" t="str">
        <f>IF(COUNTIF(BK:BW,1150)&gt;0,COUNTIF(BK:BW,1150),"")</f>
        <v/>
      </c>
      <c r="BZ86" s="64" t="str">
        <f>IF(CA86&lt;&gt;"","Tongbeiquan D","")</f>
        <v/>
      </c>
      <c r="CA86" s="64" t="str">
        <f>IF(COUNTIF(BK:BW,2150)&gt;0,COUNTIF(BK:BW,2150),"")</f>
        <v/>
      </c>
      <c r="CB86" s="64" t="str">
        <f>IF(CC86&lt;&gt;"","Tongbeiquan D","")</f>
        <v/>
      </c>
      <c r="CC86" s="64" t="str">
        <f>IF(COUNTIF(BK:BW,11150)&gt;0,COUNTIF(BK:BW,11150),"")</f>
        <v/>
      </c>
      <c r="CD86" s="64" t="str">
        <f>IF(CE86&lt;&gt;"","Tongbeiquan D","")</f>
        <v/>
      </c>
      <c r="CE86" s="64" t="str">
        <f>IF(COUNTIF(BK:BW,12150)&gt;0,COUNTIF(BK:BW,12150),"")</f>
        <v/>
      </c>
      <c r="CF86" s="52" t="str">
        <f xml:space="preserve"> IF(Atletas!V82="","",IF(Atletas!V82="Duilian de Mãos AB - Equipe 1",1,IF(Atletas!V82="Duilian de Mãos AB - Equipe 2",2,IF(Atletas!V82="Duilian de Armas AB - Equipe 1",3,IF(Atletas!V82="Duilian de Armas AB - Equipe 2",4,IF(Atletas!V82="Duilian de Tuishou - Equipe 1",5,IF(Atletas!V82="Duilian de Tuishou - Equipe 2",6,IF(Atletas!V82="Grupo Externo AB - Equipe 1",7,IF(Atletas!V82="Grupo Externo AB - Equipe 2",8,IF(Atletas!V82="Grupo Interno AB - Equipe 1",9,IF(Atletas!V82="Grupo Interno AB - Equipe 2",10,IF(Atletas!V82="Duilian de Mãos CD - Equipe 1",11,IF(Atletas!V82="Duilian de Mãos CD - Equipe 2",12,IF(Atletas!V82="Duilian de Armas CD - Equipe 1",13,IF(Atletas!V82="Duilian de Armas CD - Equipe 2",14,IF(Atletas!V82="Duilian de Tuishou - Equipe 1",15,IF(Atletas!V82="Duilian de Tuishou - Equipe 2",16,IF(Atletas!V82="Grupo Externo CDEF - Equipe 1",17,IF(Atletas!V82="Grupo Externo CDEF - Equipe 2",18,IF(Atletas!V82="Grupo Interno CDEF - Equipe 1",19,IF(Atletas!V82="Grupo Interno CDEF - Equipe 2",20,IF(Atletas!V82="Duilian de Mãos EF - Equipe 1",21,IF(Atletas!V82="Duilian de Mãos EF - Equipe 2",22,IF(Atletas!V82="Duilian de Armas EF - Equipe 1",23,IF(Atletas!V82="Duilian de Armas EF - Equipe 2",24,IF(Atletas!V82="Duilian de Tuishou - Equipe 1",25,IF(Atletas!V82="Duilian de Tuishou - Equipe 2",26,"")))))))))))))))))))))))))))</f>
        <v/>
      </c>
    </row>
    <row r="87" spans="2:84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31"/>
      <c r="U87" s="4"/>
      <c r="V87" s="4" t="str">
        <f t="array" ref="V87">IFERROR(INDEX(BX$7:BX$336,SMALL(IF(BX$7:BX$336&lt;&gt;"",ROW(BX$7:BX$336)-ROW(BX$7)+1),ROWS(BX$7:BX86))),"")</f>
        <v/>
      </c>
      <c r="W87" s="4" t="str">
        <f t="array" ref="W87">IFERROR(INDEX(BY$7:BY$336,SMALL(IF(BY$7:BY$336&lt;&gt;"",ROW(BY$7:BY$336)-ROW(BY$7)+1),ROWS(BY$7:BY86))),"")</f>
        <v/>
      </c>
      <c r="X87" s="4" t="str">
        <f t="array" ref="X87">IFERROR(INDEX(BZ$7:BZ$336,SMALL(IF(BZ$7:BZ$336&lt;&gt;"",ROW(BZ$7:BZ$336)-ROW(BZ$7)+1),ROWS(BZ$7:BZ86))),"")</f>
        <v/>
      </c>
      <c r="Y87" s="4" t="str">
        <f t="array" ref="Y87">IFERROR(INDEX(CA$7:CA$336,SMALL(IF(CA$7:CA$336&lt;&gt;"",ROW(CA$7:CA$336)-ROW(CA$7)+1),ROWS(CA$7:CA86))),"")</f>
        <v/>
      </c>
      <c r="Z87" s="4" t="str">
        <f t="array" ref="Z87">IFERROR(INDEX(CB$7:CB$378,SMALL(IF(CB$7:CB$378&lt;&gt;"",ROW(CB$7:CB$378)-ROW(CB$7)+1),ROWS(CB$7:CB86))),"")</f>
        <v/>
      </c>
      <c r="AA87" s="4" t="str">
        <f t="array" ref="AA87">IFERROR(INDEX(CC$7:CC$378,SMALL(IF(CC$7:CC$378&lt;&gt;"",ROW(CC$7:CC$378)-ROW(CC$7)+1),ROWS(CC$7:CC86))),"")</f>
        <v/>
      </c>
      <c r="AB87" s="4" t="str">
        <f t="array" ref="AB87">IFERROR(INDEX(CD$7:CD$378,SMALL(IF(CD$7:CD$378&lt;&gt;"",ROW(CD$7:CD$378)-ROW(CD$7)+1),ROWS(CD$7:CD86))),"")</f>
        <v/>
      </c>
      <c r="AC87" s="4" t="str">
        <f t="array" ref="AC87">IFERROR(INDEX(CE$7:CE$378,SMALL(IF(CE$7:CE$378&lt;&gt;"",ROW(CE$7:CE$378)-ROW(CE$7)+1),ROWS(CE$7:CE86))),"")</f>
        <v/>
      </c>
      <c r="AD87" s="4"/>
      <c r="AE87" s="4"/>
      <c r="AF87" s="4"/>
      <c r="AG87" s="4"/>
      <c r="AH87" s="4"/>
      <c r="AI87" s="4"/>
      <c r="AJ87" s="46" t="str">
        <f>IF(Atletas!D83="","",IF(Atletas!B83="Feminino",100,IF(Atletas!B83="Masculino",200,""))+(IF(Atletas!D83="Infantil 39kg",1,IF(Atletas!D83="Infantil 42kg",2,IF(Atletas!D83="Infantil 45kg",3,IF(Atletas!D83="Infantil 48kg",4,IF(Atletas!D83="Infantil 52kg",5,IF(Atletas!D83="Infantil 56kg",6,IF(Atletas!D83="Infantil 60kg",7,IF(Atletas!D83="Juvenil 48kg",8,IF(Atletas!D83="Juvenil 52kg",9,IF(Atletas!D83="Juvenil 56kg",10,IF(Atletas!D83="Juvenil 60kg",11,IF(Atletas!D83="Juvenil 65kg",12,IF(Atletas!D83="Juvenil 70kg",13,IF(Atletas!D83="Juvenil 75kg",14,IF(Atletas!D83="Juvenil 80kg",15,IF(Atletas!D83="Adulto 48kg",16,IF(Atletas!D83="Adulto 52kg",17,IF(Atletas!D83="Adulto 56kg",18,IF(Atletas!D83="Adulto 60kg",19,IF(Atletas!D83="Adulto 65kg",20,IF(Atletas!D83="Adulto 70kg",21,IF(Atletas!D83="Adulto 75kg",22,IF(Atletas!D83="Adulto 80kg",23,IF(Atletas!D83="Adulto 85kg",24,IF(Atletas!D83="Adulto 90kg",25,IF(Atletas!D83="Adulto +90kg",26,""))))))))))))))))))))))))))))</f>
        <v/>
      </c>
      <c r="AO87" s="10" t="str">
        <f>IF(Atletas!E83="","",IF(Atletas!B83="Feminino",100,IF(Atletas!B83="Masculino",200,""))+(IF(Atletas!E83="Juvenil 44kg",1,IF(Atletas!E83="Juvenil 48kg",2,IF(Atletas!E83="Juvenil 52kg",3,IF(Atletas!E83="Juvenil 56kg",4,IF(Atletas!E83="Juvenil 60kg",5,IF(Atletas!E83="Juvenil 65kg",6,IF(Atletas!E83="Juvenil 70kg",7,IF(Atletas!E83="Juvenil 75kg",8,IF(Atletas!E83="Juvenil 82kg",9,IF(Atletas!E83="Juvenil 90kg",10,IF(Atletas!E83="Juvenil 100kg",11,IF(Atletas!E83="Adulto 48kg",12,IF(Atletas!E83="Adulto 52kg",13,IF(Atletas!E83="Adulto 56kg",14,IF(Atletas!E83="Adulto 60kg",15,IF(Atletas!E83="Adulto 65kg",16,IF(Atletas!E83="Adulto 70kg",17,IF(Atletas!E83="Adulto 75kg",18,IF(Atletas!E83="Adulto 82kg",19,IF(Atletas!E83="Adulto 90kg",20,IF(Atletas!E83="Adulto 100kg",21,IF(Atletas!E83="Adulto +100kg",22,""))))))))))))))))))))))))</f>
        <v/>
      </c>
      <c r="AT87" s="10" t="str">
        <f>IF(Atletas!F83="","",IF(Atletas!B83="Feminino",100,IF(Atletas!B83="Masculino",200,""))+(IF(Atletas!F83="Adulto 48kg",1,IF(Atletas!F83="Adulto 56kg",2,IF(Atletas!F83="Adulto 65kg",3,IF(Atletas!F83="Adulto 75kg",4,IF(Atletas!F83="Adulto +75kg",5,IF(Atletas!F83="Adulto 52kg",6,IF(Atletas!F83="Adulto 60kg",7,IF(Atletas!F83="Adulto 70kg",8,IF(Atletas!F83="Adulto 80kg",9,IF(Atletas!F83="Adulto 90kg",10,IF(Atletas!F83="Adulto +90kg",11,"")))))))))))))</f>
        <v/>
      </c>
      <c r="AY87" s="46" t="str">
        <f>IF(Atletas!G83="","",IF(Atletas!B83="Feminino",100,IF(Atletas!B83="Masculino",200,""))+(IF(Atletas!G83="Changquan Mirim",1,IF(Atletas!G83="Nanquan Mirim",2,IF(Atletas!G83="Taijiquan Mirim",3,IF(Atletas!G83="Changquan Grupo C",4,IF(Atletas!G83="Nanquan Grupo C",5,IF(Atletas!G83="Taijiquan Grupo C",6,IF(Atletas!G83="Changquan Grupo B",7,IF(Atletas!G83="Nanquan Grupo B",8,IF(Atletas!G83="Taijiquan Grupo B",9,IF(Atletas!G83="Changquan Grupo A",10,IF(Atletas!G83="Nanquan Grupo A",11,IF(Atletas!G83="Taijiquan Grupo A",12,IF(Atletas!G83="Changquan Opcional",13,IF(Atletas!G83="Nanquan Opcional",14,IF(Atletas!G83="Taijiquan Opcional",15,IF(Atletas!G83="Changquan Adulto",16,IF(Atletas!G83="Nanquan Adulto",17,IF(Atletas!G83="Taijiquan Adulto",18,""))))))))))))))))))))</f>
        <v/>
      </c>
      <c r="AZ87" s="46" t="str">
        <f>IF(Atletas!H83="","",IF(Atletas!B83="Feminino",100,IF(Atletas!B83="Masculino",200,""))+(IF(Atletas!H83="Daoshu Mirim",19,IF(Atletas!H83="Jianshu Mirim",20,IF(Atletas!H83="Nandao Mirim",21,IF(Atletas!H83="Taijijian Mirim",22,IF(Atletas!H83="Daoshu Grupo C",23,IF(Atletas!H83="Jianshu Grupo C",24,IF(Atletas!H83="Nandao Grupo C",25,IF(Atletas!H83="Taijijian Grupo C",26,IF(Atletas!H83="Daoshu Grupo B",27,IF(Atletas!H83="Jianshu Grupo B",28,IF(Atletas!H83="Nandao Grupo B",29,IF(Atletas!H83="Taijijian Grupo B",30,IF(Atletas!H83="Daoshu Grupo A",31,IF(Atletas!H83="Jianshu Grupo A",32,IF(Atletas!H83="Nandao Grupo A",33,IF(Atletas!H83="Taijijian Grupo A",34,IF(Atletas!H83="Daoshu Opcional",35,IF(Atletas!H83="Jianshu Opcional",36,IF(Atletas!H83="Nandao Opcional",37,IF(Atletas!H83="Taijijian Opcional",38,IF(Atletas!H83="Daoshu Adulto",39,IF(Atletas!H83="Jianshu Adulto",40,IF(Atletas!H83="Nandao Adulto",41,IF(Atletas!H83="Taijijian Adulto",42,""))))))))))))))))))))))))))</f>
        <v/>
      </c>
      <c r="BA87" s="46" t="str">
        <f>IF(Atletas!I83="","",IF(Atletas!B83="Feminino",100,IF(Atletas!B83="Masculino",200,""))+(IF(Atletas!I83="Gunshu Mirim",43,IF(Atletas!I83="Qiangshu Mirim",44,IF(Atletas!I83="Nangun Mirim",45,IF(Atletas!I83="Gunshu Grupo C",46,IF(Atletas!I83="Qiangshu Grupo C",47,IF(Atletas!I83="Nangun Grupo C",48,IF(Atletas!I83="Gunshu Grupo B",49,IF(Atletas!I83="Qiangshu Grupo B",50,IF(Atletas!I83="Nangun Grupo B",51,IF(Atletas!I83="Gunshu Grupo A",52,IF(Atletas!I83="Qiangshu Grupo A",53,IF(Atletas!I83="Nangun Grupo A",54,IF(Atletas!I83="Gunshu Opcional",55,IF(Atletas!I83="Qiangshu Opcional",56,IF(Atletas!I83="Nangun Opcional",57,IF(Atletas!I83="Gunshu Adulto",58,IF(Atletas!I83="Qiangshu Adulto",59,IF(Atletas!I83="Nangun Adulto",60,""))))))))))))))))))))</f>
        <v/>
      </c>
      <c r="BF87" s="52" t="str">
        <f>IF(Atletas!J83="","",IF(Atletas!B83="Feminino",100,IF(Atletas!B83="Masculino",200,""))+(IF(Atletas!J83="Equipe 1 Grupo B",1,IF(Atletas!J83="Equipe 2 Grupo B",2,IF(Atletas!J83="Equipe 1 Grupo A",3,IF(Atletas!J83="Equipe 2 Grupo A",4,IF(Atletas!J83="Equipe 1 Adulto",5,IF(Atletas!J83="Equipe 2 Adulto",6,""))))))))</f>
        <v/>
      </c>
      <c r="BK87" s="52" t="str">
        <f>IF(Atletas!K83="","",IF(Atletas!W83&lt;&gt;"",10000,0)+(IF(Atletas!B83="Feminino",1000,IF(Atletas!B83="Masculino",2000,""))+IF(Atletas!K83="Choylayfut A",1,IF(Atletas!K83="Hunggar A",2,IF(Atletas!K83="Wuzuquan A",3,IF(Atletas!K83="Wingchun A",4,IF(Atletas!K83="Outra Mão de Sul A",5,IF(Atletas!K83="Choylayfut B",6,IF(Atletas!K83="Hunggar B",7,IF(Atletas!K83="Wuzuquan B",8,IF(Atletas!K83="Wingchun B",9,IF(Atletas!K83="Outra Mão de Sul B",10,IF(Atletas!K83="Choylayfut C",11,IF(Atletas!K83="Hunggar C",12,IF(Atletas!K83="Wuzuquan C",13,IF(Atletas!K83="Wingchun C",14,IF(Atletas!K83="Outra Mão de Sul C",15,IF(Atletas!K83="Choylayfut D",16,IF(Atletas!K83="Hunggar D",17,IF(Atletas!K83="Wuzuquan D",18,IF(Atletas!K83="Wingchun D",19,IF(Atletas!K83="Outra Mão de Sul D",20,IF(Atletas!K83="Choylayfut E",21,IF(Atletas!K83="Hunggar E",22,IF(Atletas!K83="Wuzuquan E",23,IF(Atletas!K83="Wingchun E",24,IF(Atletas!K83="Outra Mão de Sul E",25,IF(Atletas!K83="Choylayfut F",26,IF(Atletas!K83="Hunggar F",27,IF(Atletas!K83="Wuzuquan F",28,IF(Atletas!K83="Wingchun F",29,IF(Atletas!K83="Outra Mão de Sul F",30,""))))))))))))))))))))))))))))))))</f>
        <v/>
      </c>
      <c r="BL87" s="52" t="str">
        <f>IF(Atletas!L83="","",IF(Atletas!W83&lt;&gt;"",10000,0)+(IF(Atletas!B83="Feminino",1000,IF(Atletas!B83="Masculino",2000,""))+(IF(Atletas!L83="Chaquan A",101,IF(Atletas!L83="Emeiquan A",102,IF(Atletas!L83="Fanziquan A",103,IF(Atletas!L83="Huaquan A",104,IF(Atletas!L83="Hongquan A",105,IF(Atletas!L83="Paochui A",106,IF(Atletas!L83="Piguaquan A",107,IF(Atletas!L83="Shaolinquan A",108,IF(Atletas!L83="Tanglangquan A",109,IF(Atletas!L83="Yinzhaophai A",110,IF(Atletas!L83="Tongbeiquan A",111,IF(Atletas!L83="Wudangquan A",112,IF(Atletas!L83="Outros Estilos A",113,IF(Atletas!L83="Chaquan B",114,IF(Atletas!L83="Emeiquan B",115,IF(Atletas!L83="Fanziquan B",116,IF(Atletas!L83="Huaquan B",117,IF(Atletas!L83="Hongquan B",118,IF(Atletas!L83="Paochui B",119,IF(Atletas!L83="Piguaquan B",120,IF(Atletas!L83="Shaolinquan B",121,IF(Atletas!L83="Tanglangquan B",122,IF(Atletas!L83="Yinzhaophai B",123,IF(Atletas!L83="Tongbeiquan B",124,IF(Atletas!L83="Wudangquan B",125,IF(Atletas!L83="Outros Estilos B",126,IF(Atletas!L83="Chaquan C",127,IF(Atletas!L83="Emeiquan C",128,IF(Atletas!L83="Fanziquan C",129,IF(Atletas!L83="Huaquan C",130,IF(Atletas!L83="Hongquan C",131,IF(Atletas!L83="Paochui C",132,IF(Atletas!L83="Piguaquan C",133,IF(Atletas!L83="Shaolinquan C",134,IF(Atletas!L83="Tanglangquan C",135,IF(Atletas!L83="Yinzhaophai C",136,IF(Atletas!L83="Tongbeiquan C",137,IF(Atletas!L83="Wudangquan C",138,IF(Atletas!L83="Outros Estilos C",139,0))))))))))))))))))))))))))))))))))))))))))</f>
        <v/>
      </c>
      <c r="BM87" s="52" t="str">
        <f>IF(Atletas!L83="","",IF(Atletas!W83&lt;&gt;"",10000,0)+(IF(Atletas!B83="Feminino",1000,IF(Atletas!B83="Masculino",2000,""))+(IF(Atletas!L83="Chaquan D",140,IF(Atletas!L83="Emeiquan D",141,IF(Atletas!L83="Fanziquan D",142,IF(Atletas!L83="Huaquan D",143,IF(Atletas!L83="Hongquan D",144,IF(Atletas!L83="Paochui D",145,IF(Atletas!L83="Piguaquan D",146,IF(Atletas!L83="Shaolinquan D",147,IF(Atletas!L83="Tanglangquan D",148,IF(Atletas!L83="Yinzhaophai D",149,IF(Atletas!L83="Tongbeiquan D",150,IF(Atletas!L83="Wudangquan D",151,IF(Atletas!L83="Outros Estilos D",152,IF(Atletas!L83="Chaquan E",153,IF(Atletas!L83="Emeiquan E",154,IF(Atletas!L83="Fanziquan E",155,IF(Atletas!L83="Huaquan E",156,IF(Atletas!L83="Hongquan E",157,IF(Atletas!L83="Paochui E",158,IF(Atletas!L83="Piguaquan E",159,IF(Atletas!L83="Shaolinquan E",160,IF(Atletas!L83="Tanglangquan E",161,IF(Atletas!L83="Yinzhaophai E",162,IF(Atletas!L83="Tongbeiquan E",163,IF(Atletas!L83="Wudangquan E",164,IF(Atletas!L83="Outros Estilos E",165,IF(Atletas!L83="Chaquan F",166,IF(Atletas!L83="Emeiquan F",167,IF(Atletas!L83="Fanziquan F",168,IF(Atletas!L83="Huaquan F",169,IF(Atletas!L83="Hongquan F",170,IF(Atletas!L83="Paochui F",171,IF(Atletas!L83="Piguaquan F",172,IF(Atletas!L83="Shaolinquan F",173,IF(Atletas!L83="Tanglangquan F",174,IF(Atletas!L83="Yinzhaophai F",175,IF(Atletas!L83="Tongbeiquan F",176,IF(Atletas!L83="Wudangquan F",177,IF(Atletas!L83="Outros Estilos F",178,0))))))))))))))))))))))))))))))))))))))))))</f>
        <v/>
      </c>
      <c r="BN87" s="52" t="str">
        <f>IF(Atletas!M83="","",IF(Atletas!W83&lt;&gt;"",10000,0)+(IF(Atletas!B83="Feminino",1000,IF(Atletas!B83="Masculino",2000,""))+(IF(Atletas!M83="Ditangquan A",201,IF(Atletas!M83="Houquan A",202,IF(Atletas!M83="Zuiquan A",203,IF(Atletas!M83="Ditangquan B",204,IF(Atletas!M83="Houquan B",205,IF(Atletas!M83="Zuiquan B",206,IF(Atletas!M83="Ditangquan C",207,IF(Atletas!M83="Houquan C",208,IF(Atletas!M83="Zuiquan C",209,IF(Atletas!M83="Ditangquan D",210,IF(Atletas!M83="Houquan D",211,IF(Atletas!M83="Zuiquan D",212,IF(Atletas!M83="Ditangquan E",213,IF(Atletas!M83="Houquan E",214,IF(Atletas!M83="Zuiquan E",215,IF(Atletas!M83="Ditangquan F",216,IF(Atletas!M83="Houquan F",217,IF(Atletas!M83="Zuiquan F",218,"")))))))))))))))))))))</f>
        <v/>
      </c>
      <c r="BO87" s="52" t="str">
        <f>IF(Atletas!N83="","",IF(Atletas!W83&lt;&gt;"",10000,0)+IF(Atletas!B83="Feminino",1000,IF(Atletas!B83="Masculino",2000,""))+IF(Atletas!N83="Yang A",301,IF(Atletas!N83="Chen A",30,IF(Atletas!N83="Sun A",303,IF(Atletas!N83="Wu A",304,IF(Atletas!N83="Wu-Hao A",305,IF(Atletas!N83="Outro Taijiquan A",306,IF(Atletas!N83="Yang B",307,IF(Atletas!N83="Chen B",308,IF(Atletas!N83="Sun B",309,IF(Atletas!N83="Wu B",310,IF(Atletas!N83="Wu-Hao B",311,IF(Atletas!N83="Outro Taijiquan B",312,IF(Atletas!N83="Yang C",313,IF(Atletas!N83="Chen C",314,IF(Atletas!N83="Sun C",315,IF(Atletas!N83="Wu C",316,IF(Atletas!N83="Wu-Hao C",317,IF(Atletas!N83="Outro Taijiquan C",318,IF(Atletas!N83="Yang D",319,IF(Atletas!N83="Chen D",320,IF(Atletas!N83="Sun D",321,IF(Atletas!N83="Wu D",322,IF(Atletas!N83="Wu-Hao D",323,IF(Atletas!N83="Outro Taijiquan D",324,IF(Atletas!N83="Yang E",325,IF(Atletas!N83="Chen E",326,IF(Atletas!N83="Sun E",327,IF(Atletas!N83="Wu E",328,IF(Atletas!N83="Wu-Hao E",329,IF(Atletas!N83="Outro Taijiquan E",330,IF(Atletas!N83="Yang F",331,IF(Atletas!N83="Chen F",332,IF(Atletas!N83="Sun F",333,IF(Atletas!N83="Wu F",334,IF(Atletas!N83="Wu-Hao F",335,IF(Atletas!N83="Outro Taijiquan F",336,"")))))))))))))))))))))))))))))))))))))</f>
        <v/>
      </c>
      <c r="BP87" s="52" t="str">
        <f>IF(Atletas!O83="","",IF(Atletas!W83&lt;&gt;"",10000,0)+IF(Atletas!B83="Feminino",1000,IF(Atletas!B83="Masculino",2000,""))+IF(OR(Atletas!O83="Yang 26 A",Atletas!O83="Yang 40 A"),401,IF(OR(Atletas!O83="Chen 25 A",Atletas!O83="Chen 36 A",Atletas!O83="Chen 56 A"),402,IF(Atletas!O83="Sun 73 A",403,IF(Atletas!O83="Wu 45 A",404,IF(Atletas!O83="Wu-Hao 46 A",405,IF(OR(Atletas!O83="Taijiquan 16 A",Atletas!O83="Taijiquan 24 A",Atletas!O83="Taijiquan 32 A",Atletas!O83="Taijiquan 42 A"),406,IF(OR(Atletas!O83="Yang 26 B",Atletas!O83="Yang 40 B"),407,IF(OR(Atletas!O83="Chen 25 B",Atletas!O83="Chen 36 B",Atletas!O83="Chen 56 B"),408,IF(Atletas!O83="Sun 73 B",409,IF(Atletas!O83="Wu 45 B",410,IF(Atletas!O83="Wu-Hao 46 B",411,IF(OR(Atletas!O83="Taijiquan 16 B",Atletas!O83="Taijiquan 24 B",Atletas!O83="Taijiquan 32 B",Atletas!O83="Taijiquan 42 B"),412,IF(OR(Atletas!O83="Yang 26 C",Atletas!O83="Yang 40 C"),413,IF(OR(Atletas!O83="Chen 25 C",Atletas!O83="Chen 36 C",Atletas!O83="Chen 56 C"),414,IF(Atletas!O83="Sun 73 C",415,IF(Atletas!O83="Wu 45 C",416,IF(Atletas!O83="Wu-Hao 46 C",417,IF(OR(Atletas!O83="Taijiquan 16 C",Atletas!O83="Taijiquan 24 C",Atletas!O83="Taijiquan 32 C",Atletas!O83="Taijiquan 42 C"),418,0)))))))))))))))))))</f>
        <v/>
      </c>
      <c r="BQ87" s="52" t="str">
        <f>IF(Atletas!O83="","",IF(Atletas!W83&lt;&gt;"",10000,0)+IF(Atletas!B83="Feminino",1000,IF(Atletas!B83="Masculino",2000,""))+IF(OR(Atletas!O83="Yang 26 D",Atletas!O83="Yang 40 D"),419,IF(OR(Atletas!O83="Chen 25 D",Atletas!O83="Chen 36 D",Atletas!O83="Chen 56 D"),420,IF(Atletas!O83="Sun 73 D",421,IF(Atletas!O83="Wu 45 D",422,IF(Atletas!O83="Wu-Hao 46 D",423,IF(OR(Atletas!O83="Taijiquan 16 D",Atletas!O83="Taijiquan 24 D",Atletas!O83="Taijiquan 32 D",Atletas!O83="Taijiquan 42 D"),424,IF(OR(Atletas!O83="Yang 26 E",Atletas!O83="Yang 40 E"),425,IF(OR(Atletas!O83="Chen 25 E",Atletas!O83="Chen 36 E",Atletas!O83="Chen 56 E"),426,IF(Atletas!O83="Sun 73 E",427,IF(Atletas!O83="Wu 45 E",428,IF(Atletas!O83="Wu-Hao 46 E",429,IF(OR(Atletas!O83="Taijiquan 16 E",Atletas!O83="Taijiquan 24 E",Atletas!O83="Taijiquan 32 E",Atletas!O83="Taijiquan 42 E"),430,IF(OR(Atletas!O83="Yang 26 F",Atletas!O83="Yang 40 F"),431,IF(OR(Atletas!O83="Chen 25 F",Atletas!O83="Chen 36 F",Atletas!O83="Chen 56 F"),432,IF(Atletas!O83="Sun 73 F",433,IF(Atletas!O83="Wu 45 F",434,IF(Atletas!O83="Wu-Hao 46 F",435,IF(OR(Atletas!O83="Taijiquan 16 F",Atletas!O83="Taijiquan 24 F",Atletas!O83="Taijiquan 32 F",Atletas!O83="Taijiquan 42 F"),436,0)))))))))))))))))))</f>
        <v/>
      </c>
      <c r="BR87" s="52" t="str">
        <f>IF(Atletas!P83="","",IF(Atletas!W83&lt;&gt;"",10000,0)+IF(Atletas!B83="Feminino",1000,IF(Atletas!B83="Masculino",2000,""))+IF(Atletas!P83="Xingyiquan A",501,IF(Atletas!P83="Baguazhang A",502,IF(Atletas!P83="Outro Estilo Interno A",503,IF(Atletas!P83="Xingyiquan B",504,IF(Atletas!P83="Baguazhang B",505,IF(Atletas!P83="Outro Estilo Interno B",506,IF(Atletas!P83="Xingyiquan C",507,IF(Atletas!P83="Baguazhang C",508,IF(Atletas!P83="Outro Estilo Interno C",509,IF(Atletas!P83="Xingyiquan D",510,IF(Atletas!P83="Baguazhang D",511,IF(Atletas!P83="Outro Estilo Interno D",512,IF(Atletas!P83="Xingyiquan E",513,IF(Atletas!P83="Baguazhang E",514,IF(Atletas!P83="Outro Estilo Interno E",515,IF(Atletas!P83="Xingyiquan F",516,IF(Atletas!P83="Baguazhang F",517,IF(Atletas!P83="Outro Estilo Interno F",518, "")))))))))))))))))))</f>
        <v/>
      </c>
      <c r="BS87" s="52" t="str">
        <f>IF(Atletas!Q83="","",IF(Atletas!W83&lt;&gt;"",10000,0)+IF(Atletas!B83="Feminino",1000,IF(Atletas!B83="Masculino",2000,""))+IF(Atletas!Q83="Dao A",601,IF(Atletas!Q83="Jian A",602,IF(Atletas!Q83="Bishou A",603,IF(Atletas!Q83="Shan A",604,IF(Atletas!Q83="Outra Arma Curta A",605,IF(Atletas!Q83="Dao B",606,IF(Atletas!Q83="Jian B",607,IF(Atletas!Q83="Bishou B",608,IF(Atletas!Q83="Shan B",609,IF(Atletas!Q83="Outra Arma Curta B",610,IF(Atletas!Q83="Dao C",611,IF(Atletas!Q83="Jian C",612,IF(Atletas!Q83="Bishou C",613,IF(Atletas!Q83="Shan C",614,IF(Atletas!Q83="Outra Arma Curta C",615,IF(Atletas!Q83="Dao D",616,IF(Atletas!Q83="Jian D",617,IF(Atletas!Q83="Bishou D",618,IF(Atletas!Q83="Shan D",619,IF(Atletas!Q83="Outra Arma Curta D",620,IF(Atletas!Q83="Dao E",621,IF(Atletas!Q83="Jian E",622,IF(Atletas!Q83="Bishou E",623,IF(Atletas!Q83="Shan E",624,IF(Atletas!Q83="Outra Arma Curta E",625,IF(Atletas!Q83="Dao F",626,IF(Atletas!Q83="Jian F",627,IF(Atletas!Q83="Bishou F",628,IF(Atletas!Q83="Shan F",629,IF(Atletas!Q83="Outra Arma Curta F",630, "")))))))))))))))))))))))))))))))</f>
        <v/>
      </c>
      <c r="BT87" s="52" t="str">
        <f>IF(Atletas!R83="","",IF(Atletas!W83&lt;&gt;"",10000,0)+IF(Atletas!B83="Feminino",1000,IF(Atletas!B83="Masculino",2000,""))+IF(Atletas!R83="Gun A",701,IF(Atletas!R83="Qiang A",702,IF(Atletas!R83="Pudao / Guandao A",703,IF(Atletas!R83="Outra Arma Longa A",704,IF(Atletas!R83="Gun B",705,IF(Atletas!R83="Qiang B",706,IF(Atletas!R83="Pudao / Guandao B",707,IF(Atletas!R83="Outra Arma Longa B",708,IF(Atletas!R83="Gun C",709,IF(Atletas!R83="Qiang C",710,IF(Atletas!R83="Pudao / Guandao C",711,IF(Atletas!R83="Outra Arma Longa C",712,IF(Atletas!R83="Gun D",713,IF(Atletas!R83="Qiang D",714,IF(Atletas!R83="Pudao / Guandao D",715,IF(Atletas!R83="Outra Arma Longa D",716,IF(Atletas!R83="Gun E",717,IF(Atletas!R83="Qiang E",718,IF(Atletas!R83="Pudao / Guandao E",719,IF(Atletas!R83="Outra Arma Longa E",720,IF(Atletas!R83="Gun F",721,IF(Atletas!R83="Qiang F",722,IF(Atletas!R83="Pudao / Guandao F",723,IF(Atletas!R83="Outra Arma Longa F",724,"")))))))))))))))))))))))))</f>
        <v/>
      </c>
      <c r="BU87" s="52" t="str">
        <f>IF(Atletas!S83="","",IF(Atletas!W83&lt;&gt;"",10000,0)+IF(Atletas!B83="Feminino",1000,IF(Atletas!B83="Masculino",2000,""))+IF(Atletas!S83="Arma Dupla A",801,IF(Atletas!S83="Arma Maleável A",802,IF(Atletas!S83="Arma Dupla B",803,IF(Atletas!S83="Arma Maleável B",804,IF(Atletas!S83="Arma Dupla C",805,IF(Atletas!S83="Arma Maleável C",806,IF(Atletas!S83="Arma Dupla D",807,IF(Atletas!S83="Arma Maleável D",808,IF(Atletas!S83="Arma Dupla E",809,IF(Atletas!S83="Arma Maleável E",810,IF(Atletas!S83="Arma Dupla F",811,IF(Atletas!S83="Arma Maleável F",812, "")))))))))))))</f>
        <v/>
      </c>
      <c r="BV87" s="52" t="str">
        <f>IF(Atletas!T83="","",IF(Atletas!W83&lt;&gt;"",10000,0)+IF(Atletas!B83="Feminino",1000,IF(Atletas!B83="Masculino",2000,""))+IF(Atletas!T83="Taijijian Yang A",901,IF(Atletas!T83="Taijijian Chen A",902,IF(Atletas!T83="Taijijian Sun A",903,IF(Atletas!T83="Taijijian Wu A",904,IF(Atletas!T83="Taijijian Wu-Hao A",905,IF(Atletas!T83="Taijijian 32 A",906,IF(Atletas!T83="Taijijian 42 A",907,IF(Atletas!T83="Taijijian Yang B",908,IF(Atletas!T83="Taijijian Chen B",909,IF(Atletas!T83="Taijijian Sun B",910,IF(Atletas!T83="Taijijian Wu B",911,IF(Atletas!T83="Taijijian Wu-Hao B",912,IF(Atletas!T83="Taijijian 32 B",913,IF(Atletas!T83="Taijijian 42 B",914,IF(Atletas!T83="Taijijian Yang C",915,IF(Atletas!T83="Taijijian Chen C",916,IF(Atletas!T83="Taijijian Sun C",917,IF(Atletas!T83="Taijijian Wu C",918,IF(Atletas!T83="Taijijian Wu-Hao C",919,IF(Atletas!T83="Taijijian 32 C",920,IF(Atletas!T83="Taijijian 42 C",921,IF(Atletas!T83="Taijijian Yang D",922,IF(Atletas!T83="Taijijian Chen D",923,IF(Atletas!T83="Taijijian Sun D",924,IF(Atletas!T83="Taijijian Wu D",925,IF(Atletas!T83="Taijijian Wu-Hao D",926,IF(Atletas!T83="Taijijian 32 D",927,IF(Atletas!T83="Taijijian 42 D",928,IF(Atletas!T83="Taijijian Yang E",929,IF(Atletas!T83="Taijijian Chen E",930,IF(Atletas!T83="Taijijian Sun E",931,IF(Atletas!T83="Taijijian Wu E",932,IF(Atletas!T83="Taijijian Wu-Hao E",933,IF(Atletas!T83="Taijijian 32 E",934,IF(Atletas!T83="Taijijian 42 E",935,IF(Atletas!T83="Taijijian Yang F",936,IF(Atletas!T83="Taijijian Chen F",937,IF(Atletas!T83="Taijijian Sun F",938,IF(Atletas!T83="Taijijian Wu F",939,IF(Atletas!T83="Taijijian Wu-Hao F",940,IF(Atletas!T83="Taijijian 32 F",941,IF(Atletas!T83="Taijijian 42 F",942,"")))))))))))))))))))))))))))))))))))))))))))</f>
        <v/>
      </c>
      <c r="BW87" s="52" t="str">
        <f>IF(Atletas!U83="","",IF(Atletas!W83&lt;&gt;"",10000,0)+IF(Atletas!B83="Feminino",1000,IF(Atletas!B83="Masculino",2000,""))+IF(Atletas!T83="Taijijian 42 F",942,IF(Atletas!U83="Taijidao A",943,IF(Atletas!U83="Taijishan A",944,IF(Atletas!U83="Taijiqiang A",945,IF(Atletas!U83="Taijidao B",946,IF(Atletas!U83="Taijishan B",947,IF(Atletas!U83="Taijiqiang B",948,IF(Atletas!U83="Taijidao C",949,IF(Atletas!U83="Taijishan C",950,IF(Atletas!U83="Taijiqiang C",951,IF(Atletas!U83="Taijidao D",952,IF(Atletas!U83="Taijishan D",953,IF(Atletas!U83="Taijiqiang D",954,IF(Atletas!U83="Taijidao E",955,IF(Atletas!U83="Taijishan E",956,IF(Atletas!U83="Taijiqiang E",957,IF(Atletas!U83="Taijidao F",958,IF(Atletas!U83="Taijishan F",959,IF(Atletas!U83="Taijiqiang F",960))))))))))))))))))))</f>
        <v/>
      </c>
      <c r="BX87" s="64" t="str">
        <f>IF(BY87&lt;&gt;"","Wudangquan D","")</f>
        <v/>
      </c>
      <c r="BY87" s="64" t="str">
        <f>IF(COUNTIF(BK:BW,1151)&gt;0,COUNTIF(BK:BW,1151),"")</f>
        <v/>
      </c>
      <c r="BZ87" s="64" t="str">
        <f>IF(CA87&lt;&gt;"","Wudangquan D","")</f>
        <v/>
      </c>
      <c r="CA87" s="64" t="str">
        <f>IF(COUNTIF(BK:BW,2151)&gt;0,COUNTIF(BK:BW,2151),"")</f>
        <v/>
      </c>
      <c r="CB87" s="64" t="str">
        <f>IF(CC87&lt;&gt;"","Wudangquan D","")</f>
        <v/>
      </c>
      <c r="CC87" s="64" t="str">
        <f>IF(COUNTIF(BK:BW,11151)&gt;0,COUNTIF(BK:BW,11151),"")</f>
        <v/>
      </c>
      <c r="CD87" s="64" t="str">
        <f>IF(CE87&lt;&gt;"","Wudangquan D","")</f>
        <v/>
      </c>
      <c r="CE87" s="64" t="str">
        <f>IF(COUNTIF(BK:BW,12151)&gt;0,COUNTIF(BK:BW,12151),"")</f>
        <v/>
      </c>
      <c r="CF87" s="52" t="str">
        <f xml:space="preserve"> IF(Atletas!V83="","",IF(Atletas!V83="Duilian de Mãos AB - Equipe 1",1,IF(Atletas!V83="Duilian de Mãos AB - Equipe 2",2,IF(Atletas!V83="Duilian de Armas AB - Equipe 1",3,IF(Atletas!V83="Duilian de Armas AB - Equipe 2",4,IF(Atletas!V83="Duilian de Tuishou - Equipe 1",5,IF(Atletas!V83="Duilian de Tuishou - Equipe 2",6,IF(Atletas!V83="Grupo Externo AB - Equipe 1",7,IF(Atletas!V83="Grupo Externo AB - Equipe 2",8,IF(Atletas!V83="Grupo Interno AB - Equipe 1",9,IF(Atletas!V83="Grupo Interno AB - Equipe 2",10,IF(Atletas!V83="Duilian de Mãos CD - Equipe 1",11,IF(Atletas!V83="Duilian de Mãos CD - Equipe 2",12,IF(Atletas!V83="Duilian de Armas CD - Equipe 1",13,IF(Atletas!V83="Duilian de Armas CD - Equipe 2",14,IF(Atletas!V83="Duilian de Tuishou - Equipe 1",15,IF(Atletas!V83="Duilian de Tuishou - Equipe 2",16,IF(Atletas!V83="Grupo Externo CDEF - Equipe 1",17,IF(Atletas!V83="Grupo Externo CDEF - Equipe 2",18,IF(Atletas!V83="Grupo Interno CDEF - Equipe 1",19,IF(Atletas!V83="Grupo Interno CDEF - Equipe 2",20,IF(Atletas!V83="Duilian de Mãos EF - Equipe 1",21,IF(Atletas!V83="Duilian de Mãos EF - Equipe 2",22,IF(Atletas!V83="Duilian de Armas EF - Equipe 1",23,IF(Atletas!V83="Duilian de Armas EF - Equipe 2",24,IF(Atletas!V83="Duilian de Tuishou - Equipe 1",25,IF(Atletas!V83="Duilian de Tuishou - Equipe 2",26,"")))))))))))))))))))))))))))</f>
        <v/>
      </c>
    </row>
    <row r="88" spans="2:84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31"/>
      <c r="U88" s="4"/>
      <c r="V88" s="4" t="str">
        <f t="array" ref="V88">IFERROR(INDEX(BX$7:BX$336,SMALL(IF(BX$7:BX$336&lt;&gt;"",ROW(BX$7:BX$336)-ROW(BX$7)+1),ROWS(BX$7:BX87))),"")</f>
        <v/>
      </c>
      <c r="W88" s="4" t="str">
        <f t="array" ref="W88">IFERROR(INDEX(BY$7:BY$336,SMALL(IF(BY$7:BY$336&lt;&gt;"",ROW(BY$7:BY$336)-ROW(BY$7)+1),ROWS(BY$7:BY87))),"")</f>
        <v/>
      </c>
      <c r="X88" s="4" t="str">
        <f t="array" ref="X88">IFERROR(INDEX(BZ$7:BZ$336,SMALL(IF(BZ$7:BZ$336&lt;&gt;"",ROW(BZ$7:BZ$336)-ROW(BZ$7)+1),ROWS(BZ$7:BZ87))),"")</f>
        <v/>
      </c>
      <c r="Y88" s="4" t="str">
        <f t="array" ref="Y88">IFERROR(INDEX(CA$7:CA$336,SMALL(IF(CA$7:CA$336&lt;&gt;"",ROW(CA$7:CA$336)-ROW(CA$7)+1),ROWS(CA$7:CA87))),"")</f>
        <v/>
      </c>
      <c r="Z88" s="4" t="str">
        <f t="array" ref="Z88">IFERROR(INDEX(CB$7:CB$378,SMALL(IF(CB$7:CB$378&lt;&gt;"",ROW(CB$7:CB$378)-ROW(CB$7)+1),ROWS(CB$7:CB87))),"")</f>
        <v/>
      </c>
      <c r="AA88" s="4" t="str">
        <f t="array" ref="AA88">IFERROR(INDEX(CC$7:CC$378,SMALL(IF(CC$7:CC$378&lt;&gt;"",ROW(CC$7:CC$378)-ROW(CC$7)+1),ROWS(CC$7:CC87))),"")</f>
        <v/>
      </c>
      <c r="AB88" s="4" t="str">
        <f t="array" ref="AB88">IFERROR(INDEX(CD$7:CD$378,SMALL(IF(CD$7:CD$378&lt;&gt;"",ROW(CD$7:CD$378)-ROW(CD$7)+1),ROWS(CD$7:CD87))),"")</f>
        <v/>
      </c>
      <c r="AC88" s="4" t="str">
        <f t="array" ref="AC88">IFERROR(INDEX(CE$7:CE$378,SMALL(IF(CE$7:CE$378&lt;&gt;"",ROW(CE$7:CE$378)-ROW(CE$7)+1),ROWS(CE$7:CE87))),"")</f>
        <v/>
      </c>
      <c r="AD88" s="4"/>
      <c r="AE88" s="4"/>
      <c r="AF88" s="4"/>
      <c r="AG88" s="4"/>
      <c r="AH88" s="4"/>
      <c r="AI88" s="4"/>
      <c r="AJ88" s="46" t="str">
        <f>IF(Atletas!D84="","",IF(Atletas!B84="Feminino",100,IF(Atletas!B84="Masculino",200,""))+(IF(Atletas!D84="Infantil 39kg",1,IF(Atletas!D84="Infantil 42kg",2,IF(Atletas!D84="Infantil 45kg",3,IF(Atletas!D84="Infantil 48kg",4,IF(Atletas!D84="Infantil 52kg",5,IF(Atletas!D84="Infantil 56kg",6,IF(Atletas!D84="Infantil 60kg",7,IF(Atletas!D84="Juvenil 48kg",8,IF(Atletas!D84="Juvenil 52kg",9,IF(Atletas!D84="Juvenil 56kg",10,IF(Atletas!D84="Juvenil 60kg",11,IF(Atletas!D84="Juvenil 65kg",12,IF(Atletas!D84="Juvenil 70kg",13,IF(Atletas!D84="Juvenil 75kg",14,IF(Atletas!D84="Juvenil 80kg",15,IF(Atletas!D84="Adulto 48kg",16,IF(Atletas!D84="Adulto 52kg",17,IF(Atletas!D84="Adulto 56kg",18,IF(Atletas!D84="Adulto 60kg",19,IF(Atletas!D84="Adulto 65kg",20,IF(Atletas!D84="Adulto 70kg",21,IF(Atletas!D84="Adulto 75kg",22,IF(Atletas!D84="Adulto 80kg",23,IF(Atletas!D84="Adulto 85kg",24,IF(Atletas!D84="Adulto 90kg",25,IF(Atletas!D84="Adulto +90kg",26,""))))))))))))))))))))))))))))</f>
        <v/>
      </c>
      <c r="AO88" s="10" t="str">
        <f>IF(Atletas!E84="","",IF(Atletas!B84="Feminino",100,IF(Atletas!B84="Masculino",200,""))+(IF(Atletas!E84="Juvenil 44kg",1,IF(Atletas!E84="Juvenil 48kg",2,IF(Atletas!E84="Juvenil 52kg",3,IF(Atletas!E84="Juvenil 56kg",4,IF(Atletas!E84="Juvenil 60kg",5,IF(Atletas!E84="Juvenil 65kg",6,IF(Atletas!E84="Juvenil 70kg",7,IF(Atletas!E84="Juvenil 75kg",8,IF(Atletas!E84="Juvenil 82kg",9,IF(Atletas!E84="Juvenil 90kg",10,IF(Atletas!E84="Juvenil 100kg",11,IF(Atletas!E84="Adulto 48kg",12,IF(Atletas!E84="Adulto 52kg",13,IF(Atletas!E84="Adulto 56kg",14,IF(Atletas!E84="Adulto 60kg",15,IF(Atletas!E84="Adulto 65kg",16,IF(Atletas!E84="Adulto 70kg",17,IF(Atletas!E84="Adulto 75kg",18,IF(Atletas!E84="Adulto 82kg",19,IF(Atletas!E84="Adulto 90kg",20,IF(Atletas!E84="Adulto 100kg",21,IF(Atletas!E84="Adulto +100kg",22,""))))))))))))))))))))))))</f>
        <v/>
      </c>
      <c r="AT88" s="10" t="str">
        <f>IF(Atletas!F84="","",IF(Atletas!B84="Feminino",100,IF(Atletas!B84="Masculino",200,""))+(IF(Atletas!F84="Adulto 48kg",1,IF(Atletas!F84="Adulto 56kg",2,IF(Atletas!F84="Adulto 65kg",3,IF(Atletas!F84="Adulto 75kg",4,IF(Atletas!F84="Adulto +75kg",5,IF(Atletas!F84="Adulto 52kg",6,IF(Atletas!F84="Adulto 60kg",7,IF(Atletas!F84="Adulto 70kg",8,IF(Atletas!F84="Adulto 80kg",9,IF(Atletas!F84="Adulto 90kg",10,IF(Atletas!F84="Adulto +90kg",11,"")))))))))))))</f>
        <v/>
      </c>
      <c r="AY88" s="46" t="str">
        <f>IF(Atletas!G84="","",IF(Atletas!B84="Feminino",100,IF(Atletas!B84="Masculino",200,""))+(IF(Atletas!G84="Changquan Mirim",1,IF(Atletas!G84="Nanquan Mirim",2,IF(Atletas!G84="Taijiquan Mirim",3,IF(Atletas!G84="Changquan Grupo C",4,IF(Atletas!G84="Nanquan Grupo C",5,IF(Atletas!G84="Taijiquan Grupo C",6,IF(Atletas!G84="Changquan Grupo B",7,IF(Atletas!G84="Nanquan Grupo B",8,IF(Atletas!G84="Taijiquan Grupo B",9,IF(Atletas!G84="Changquan Grupo A",10,IF(Atletas!G84="Nanquan Grupo A",11,IF(Atletas!G84="Taijiquan Grupo A",12,IF(Atletas!G84="Changquan Opcional",13,IF(Atletas!G84="Nanquan Opcional",14,IF(Atletas!G84="Taijiquan Opcional",15,IF(Atletas!G84="Changquan Adulto",16,IF(Atletas!G84="Nanquan Adulto",17,IF(Atletas!G84="Taijiquan Adulto",18,""))))))))))))))))))))</f>
        <v/>
      </c>
      <c r="AZ88" s="46" t="str">
        <f>IF(Atletas!H84="","",IF(Atletas!B84="Feminino",100,IF(Atletas!B84="Masculino",200,""))+(IF(Atletas!H84="Daoshu Mirim",19,IF(Atletas!H84="Jianshu Mirim",20,IF(Atletas!H84="Nandao Mirim",21,IF(Atletas!H84="Taijijian Mirim",22,IF(Atletas!H84="Daoshu Grupo C",23,IF(Atletas!H84="Jianshu Grupo C",24,IF(Atletas!H84="Nandao Grupo C",25,IF(Atletas!H84="Taijijian Grupo C",26,IF(Atletas!H84="Daoshu Grupo B",27,IF(Atletas!H84="Jianshu Grupo B",28,IF(Atletas!H84="Nandao Grupo B",29,IF(Atletas!H84="Taijijian Grupo B",30,IF(Atletas!H84="Daoshu Grupo A",31,IF(Atletas!H84="Jianshu Grupo A",32,IF(Atletas!H84="Nandao Grupo A",33,IF(Atletas!H84="Taijijian Grupo A",34,IF(Atletas!H84="Daoshu Opcional",35,IF(Atletas!H84="Jianshu Opcional",36,IF(Atletas!H84="Nandao Opcional",37,IF(Atletas!H84="Taijijian Opcional",38,IF(Atletas!H84="Daoshu Adulto",39,IF(Atletas!H84="Jianshu Adulto",40,IF(Atletas!H84="Nandao Adulto",41,IF(Atletas!H84="Taijijian Adulto",42,""))))))))))))))))))))))))))</f>
        <v/>
      </c>
      <c r="BA88" s="46" t="str">
        <f>IF(Atletas!I84="","",IF(Atletas!B84="Feminino",100,IF(Atletas!B84="Masculino",200,""))+(IF(Atletas!I84="Gunshu Mirim",43,IF(Atletas!I84="Qiangshu Mirim",44,IF(Atletas!I84="Nangun Mirim",45,IF(Atletas!I84="Gunshu Grupo C",46,IF(Atletas!I84="Qiangshu Grupo C",47,IF(Atletas!I84="Nangun Grupo C",48,IF(Atletas!I84="Gunshu Grupo B",49,IF(Atletas!I84="Qiangshu Grupo B",50,IF(Atletas!I84="Nangun Grupo B",51,IF(Atletas!I84="Gunshu Grupo A",52,IF(Atletas!I84="Qiangshu Grupo A",53,IF(Atletas!I84="Nangun Grupo A",54,IF(Atletas!I84="Gunshu Opcional",55,IF(Atletas!I84="Qiangshu Opcional",56,IF(Atletas!I84="Nangun Opcional",57,IF(Atletas!I84="Gunshu Adulto",58,IF(Atletas!I84="Qiangshu Adulto",59,IF(Atletas!I84="Nangun Adulto",60,""))))))))))))))))))))</f>
        <v/>
      </c>
      <c r="BF88" s="52" t="str">
        <f>IF(Atletas!J84="","",IF(Atletas!B84="Feminino",100,IF(Atletas!B84="Masculino",200,""))+(IF(Atletas!J84="Equipe 1 Grupo B",1,IF(Atletas!J84="Equipe 2 Grupo B",2,IF(Atletas!J84="Equipe 1 Grupo A",3,IF(Atletas!J84="Equipe 2 Grupo A",4,IF(Atletas!J84="Equipe 1 Adulto",5,IF(Atletas!J84="Equipe 2 Adulto",6,""))))))))</f>
        <v/>
      </c>
      <c r="BK88" s="52" t="str">
        <f>IF(Atletas!K84="","",IF(Atletas!W84&lt;&gt;"",10000,0)+(IF(Atletas!B84="Feminino",1000,IF(Atletas!B84="Masculino",2000,""))+IF(Atletas!K84="Choylayfut A",1,IF(Atletas!K84="Hunggar A",2,IF(Atletas!K84="Wuzuquan A",3,IF(Atletas!K84="Wingchun A",4,IF(Atletas!K84="Outra Mão de Sul A",5,IF(Atletas!K84="Choylayfut B",6,IF(Atletas!K84="Hunggar B",7,IF(Atletas!K84="Wuzuquan B",8,IF(Atletas!K84="Wingchun B",9,IF(Atletas!K84="Outra Mão de Sul B",10,IF(Atletas!K84="Choylayfut C",11,IF(Atletas!K84="Hunggar C",12,IF(Atletas!K84="Wuzuquan C",13,IF(Atletas!K84="Wingchun C",14,IF(Atletas!K84="Outra Mão de Sul C",15,IF(Atletas!K84="Choylayfut D",16,IF(Atletas!K84="Hunggar D",17,IF(Atletas!K84="Wuzuquan D",18,IF(Atletas!K84="Wingchun D",19,IF(Atletas!K84="Outra Mão de Sul D",20,IF(Atletas!K84="Choylayfut E",21,IF(Atletas!K84="Hunggar E",22,IF(Atletas!K84="Wuzuquan E",23,IF(Atletas!K84="Wingchun E",24,IF(Atletas!K84="Outra Mão de Sul E",25,IF(Atletas!K84="Choylayfut F",26,IF(Atletas!K84="Hunggar F",27,IF(Atletas!K84="Wuzuquan F",28,IF(Atletas!K84="Wingchun F",29,IF(Atletas!K84="Outra Mão de Sul F",30,""))))))))))))))))))))))))))))))))</f>
        <v/>
      </c>
      <c r="BL88" s="52" t="str">
        <f>IF(Atletas!L84="","",IF(Atletas!W84&lt;&gt;"",10000,0)+(IF(Atletas!B84="Feminino",1000,IF(Atletas!B84="Masculino",2000,""))+(IF(Atletas!L84="Chaquan A",101,IF(Atletas!L84="Emeiquan A",102,IF(Atletas!L84="Fanziquan A",103,IF(Atletas!L84="Huaquan A",104,IF(Atletas!L84="Hongquan A",105,IF(Atletas!L84="Paochui A",106,IF(Atletas!L84="Piguaquan A",107,IF(Atletas!L84="Shaolinquan A",108,IF(Atletas!L84="Tanglangquan A",109,IF(Atletas!L84="Yinzhaophai A",110,IF(Atletas!L84="Tongbeiquan A",111,IF(Atletas!L84="Wudangquan A",112,IF(Atletas!L84="Outros Estilos A",113,IF(Atletas!L84="Chaquan B",114,IF(Atletas!L84="Emeiquan B",115,IF(Atletas!L84="Fanziquan B",116,IF(Atletas!L84="Huaquan B",117,IF(Atletas!L84="Hongquan B",118,IF(Atletas!L84="Paochui B",119,IF(Atletas!L84="Piguaquan B",120,IF(Atletas!L84="Shaolinquan B",121,IF(Atletas!L84="Tanglangquan B",122,IF(Atletas!L84="Yinzhaophai B",123,IF(Atletas!L84="Tongbeiquan B",124,IF(Atletas!L84="Wudangquan B",125,IF(Atletas!L84="Outros Estilos B",126,IF(Atletas!L84="Chaquan C",127,IF(Atletas!L84="Emeiquan C",128,IF(Atletas!L84="Fanziquan C",129,IF(Atletas!L84="Huaquan C",130,IF(Atletas!L84="Hongquan C",131,IF(Atletas!L84="Paochui C",132,IF(Atletas!L84="Piguaquan C",133,IF(Atletas!L84="Shaolinquan C",134,IF(Atletas!L84="Tanglangquan C",135,IF(Atletas!L84="Yinzhaophai C",136,IF(Atletas!L84="Tongbeiquan C",137,IF(Atletas!L84="Wudangquan C",138,IF(Atletas!L84="Outros Estilos C",139,0))))))))))))))))))))))))))))))))))))))))))</f>
        <v/>
      </c>
      <c r="BM88" s="52" t="str">
        <f>IF(Atletas!L84="","",IF(Atletas!W84&lt;&gt;"",10000,0)+(IF(Atletas!B84="Feminino",1000,IF(Atletas!B84="Masculino",2000,""))+(IF(Atletas!L84="Chaquan D",140,IF(Atletas!L84="Emeiquan D",141,IF(Atletas!L84="Fanziquan D",142,IF(Atletas!L84="Huaquan D",143,IF(Atletas!L84="Hongquan D",144,IF(Atletas!L84="Paochui D",145,IF(Atletas!L84="Piguaquan D",146,IF(Atletas!L84="Shaolinquan D",147,IF(Atletas!L84="Tanglangquan D",148,IF(Atletas!L84="Yinzhaophai D",149,IF(Atletas!L84="Tongbeiquan D",150,IF(Atletas!L84="Wudangquan D",151,IF(Atletas!L84="Outros Estilos D",152,IF(Atletas!L84="Chaquan E",153,IF(Atletas!L84="Emeiquan E",154,IF(Atletas!L84="Fanziquan E",155,IF(Atletas!L84="Huaquan E",156,IF(Atletas!L84="Hongquan E",157,IF(Atletas!L84="Paochui E",158,IF(Atletas!L84="Piguaquan E",159,IF(Atletas!L84="Shaolinquan E",160,IF(Atletas!L84="Tanglangquan E",161,IF(Atletas!L84="Yinzhaophai E",162,IF(Atletas!L84="Tongbeiquan E",163,IF(Atletas!L84="Wudangquan E",164,IF(Atletas!L84="Outros Estilos E",165,IF(Atletas!L84="Chaquan F",166,IF(Atletas!L84="Emeiquan F",167,IF(Atletas!L84="Fanziquan F",168,IF(Atletas!L84="Huaquan F",169,IF(Atletas!L84="Hongquan F",170,IF(Atletas!L84="Paochui F",171,IF(Atletas!L84="Piguaquan F",172,IF(Atletas!L84="Shaolinquan F",173,IF(Atletas!L84="Tanglangquan F",174,IF(Atletas!L84="Yinzhaophai F",175,IF(Atletas!L84="Tongbeiquan F",176,IF(Atletas!L84="Wudangquan F",177,IF(Atletas!L84="Outros Estilos F",178,0))))))))))))))))))))))))))))))))))))))))))</f>
        <v/>
      </c>
      <c r="BN88" s="52" t="str">
        <f>IF(Atletas!M84="","",IF(Atletas!W84&lt;&gt;"",10000,0)+(IF(Atletas!B84="Feminino",1000,IF(Atletas!B84="Masculino",2000,""))+(IF(Atletas!M84="Ditangquan A",201,IF(Atletas!M84="Houquan A",202,IF(Atletas!M84="Zuiquan A",203,IF(Atletas!M84="Ditangquan B",204,IF(Atletas!M84="Houquan B",205,IF(Atletas!M84="Zuiquan B",206,IF(Atletas!M84="Ditangquan C",207,IF(Atletas!M84="Houquan C",208,IF(Atletas!M84="Zuiquan C",209,IF(Atletas!M84="Ditangquan D",210,IF(Atletas!M84="Houquan D",211,IF(Atletas!M84="Zuiquan D",212,IF(Atletas!M84="Ditangquan E",213,IF(Atletas!M84="Houquan E",214,IF(Atletas!M84="Zuiquan E",215,IF(Atletas!M84="Ditangquan F",216,IF(Atletas!M84="Houquan F",217,IF(Atletas!M84="Zuiquan F",218,"")))))))))))))))))))))</f>
        <v/>
      </c>
      <c r="BO88" s="52" t="str">
        <f>IF(Atletas!N84="","",IF(Atletas!W84&lt;&gt;"",10000,0)+IF(Atletas!B84="Feminino",1000,IF(Atletas!B84="Masculino",2000,""))+IF(Atletas!N84="Yang A",301,IF(Atletas!N84="Chen A",30,IF(Atletas!N84="Sun A",303,IF(Atletas!N84="Wu A",304,IF(Atletas!N84="Wu-Hao A",305,IF(Atletas!N84="Outro Taijiquan A",306,IF(Atletas!N84="Yang B",307,IF(Atletas!N84="Chen B",308,IF(Atletas!N84="Sun B",309,IF(Atletas!N84="Wu B",310,IF(Atletas!N84="Wu-Hao B",311,IF(Atletas!N84="Outro Taijiquan B",312,IF(Atletas!N84="Yang C",313,IF(Atletas!N84="Chen C",314,IF(Atletas!N84="Sun C",315,IF(Atletas!N84="Wu C",316,IF(Atletas!N84="Wu-Hao C",317,IF(Atletas!N84="Outro Taijiquan C",318,IF(Atletas!N84="Yang D",319,IF(Atletas!N84="Chen D",320,IF(Atletas!N84="Sun D",321,IF(Atletas!N84="Wu D",322,IF(Atletas!N84="Wu-Hao D",323,IF(Atletas!N84="Outro Taijiquan D",324,IF(Atletas!N84="Yang E",325,IF(Atletas!N84="Chen E",326,IF(Atletas!N84="Sun E",327,IF(Atletas!N84="Wu E",328,IF(Atletas!N84="Wu-Hao E",329,IF(Atletas!N84="Outro Taijiquan E",330,IF(Atletas!N84="Yang F",331,IF(Atletas!N84="Chen F",332,IF(Atletas!N84="Sun F",333,IF(Atletas!N84="Wu F",334,IF(Atletas!N84="Wu-Hao F",335,IF(Atletas!N84="Outro Taijiquan F",336,"")))))))))))))))))))))))))))))))))))))</f>
        <v/>
      </c>
      <c r="BP88" s="52" t="str">
        <f>IF(Atletas!O84="","",IF(Atletas!W84&lt;&gt;"",10000,0)+IF(Atletas!B84="Feminino",1000,IF(Atletas!B84="Masculino",2000,""))+IF(OR(Atletas!O84="Yang 26 A",Atletas!O84="Yang 40 A"),401,IF(OR(Atletas!O84="Chen 25 A",Atletas!O84="Chen 36 A",Atletas!O84="Chen 56 A"),402,IF(Atletas!O84="Sun 73 A",403,IF(Atletas!O84="Wu 45 A",404,IF(Atletas!O84="Wu-Hao 46 A",405,IF(OR(Atletas!O84="Taijiquan 16 A",Atletas!O84="Taijiquan 24 A",Atletas!O84="Taijiquan 32 A",Atletas!O84="Taijiquan 42 A"),406,IF(OR(Atletas!O84="Yang 26 B",Atletas!O84="Yang 40 B"),407,IF(OR(Atletas!O84="Chen 25 B",Atletas!O84="Chen 36 B",Atletas!O84="Chen 56 B"),408,IF(Atletas!O84="Sun 73 B",409,IF(Atletas!O84="Wu 45 B",410,IF(Atletas!O84="Wu-Hao 46 B",411,IF(OR(Atletas!O84="Taijiquan 16 B",Atletas!O84="Taijiquan 24 B",Atletas!O84="Taijiquan 32 B",Atletas!O84="Taijiquan 42 B"),412,IF(OR(Atletas!O84="Yang 26 C",Atletas!O84="Yang 40 C"),413,IF(OR(Atletas!O84="Chen 25 C",Atletas!O84="Chen 36 C",Atletas!O84="Chen 56 C"),414,IF(Atletas!O84="Sun 73 C",415,IF(Atletas!O84="Wu 45 C",416,IF(Atletas!O84="Wu-Hao 46 C",417,IF(OR(Atletas!O84="Taijiquan 16 C",Atletas!O84="Taijiquan 24 C",Atletas!O84="Taijiquan 32 C",Atletas!O84="Taijiquan 42 C"),418,0)))))))))))))))))))</f>
        <v/>
      </c>
      <c r="BQ88" s="52" t="str">
        <f>IF(Atletas!O84="","",IF(Atletas!W84&lt;&gt;"",10000,0)+IF(Atletas!B84="Feminino",1000,IF(Atletas!B84="Masculino",2000,""))+IF(OR(Atletas!O84="Yang 26 D",Atletas!O84="Yang 40 D"),419,IF(OR(Atletas!O84="Chen 25 D",Atletas!O84="Chen 36 D",Atletas!O84="Chen 56 D"),420,IF(Atletas!O84="Sun 73 D",421,IF(Atletas!O84="Wu 45 D",422,IF(Atletas!O84="Wu-Hao 46 D",423,IF(OR(Atletas!O84="Taijiquan 16 D",Atletas!O84="Taijiquan 24 D",Atletas!O84="Taijiquan 32 D",Atletas!O84="Taijiquan 42 D"),424,IF(OR(Atletas!O84="Yang 26 E",Atletas!O84="Yang 40 E"),425,IF(OR(Atletas!O84="Chen 25 E",Atletas!O84="Chen 36 E",Atletas!O84="Chen 56 E"),426,IF(Atletas!O84="Sun 73 E",427,IF(Atletas!O84="Wu 45 E",428,IF(Atletas!O84="Wu-Hao 46 E",429,IF(OR(Atletas!O84="Taijiquan 16 E",Atletas!O84="Taijiquan 24 E",Atletas!O84="Taijiquan 32 E",Atletas!O84="Taijiquan 42 E"),430,IF(OR(Atletas!O84="Yang 26 F",Atletas!O84="Yang 40 F"),431,IF(OR(Atletas!O84="Chen 25 F",Atletas!O84="Chen 36 F",Atletas!O84="Chen 56 F"),432,IF(Atletas!O84="Sun 73 F",433,IF(Atletas!O84="Wu 45 F",434,IF(Atletas!O84="Wu-Hao 46 F",435,IF(OR(Atletas!O84="Taijiquan 16 F",Atletas!O84="Taijiquan 24 F",Atletas!O84="Taijiquan 32 F",Atletas!O84="Taijiquan 42 F"),436,0)))))))))))))))))))</f>
        <v/>
      </c>
      <c r="BR88" s="52" t="str">
        <f>IF(Atletas!P84="","",IF(Atletas!W84&lt;&gt;"",10000,0)+IF(Atletas!B84="Feminino",1000,IF(Atletas!B84="Masculino",2000,""))+IF(Atletas!P84="Xingyiquan A",501,IF(Atletas!P84="Baguazhang A",502,IF(Atletas!P84="Outro Estilo Interno A",503,IF(Atletas!P84="Xingyiquan B",504,IF(Atletas!P84="Baguazhang B",505,IF(Atletas!P84="Outro Estilo Interno B",506,IF(Atletas!P84="Xingyiquan C",507,IF(Atletas!P84="Baguazhang C",508,IF(Atletas!P84="Outro Estilo Interno C",509,IF(Atletas!P84="Xingyiquan D",510,IF(Atletas!P84="Baguazhang D",511,IF(Atletas!P84="Outro Estilo Interno D",512,IF(Atletas!P84="Xingyiquan E",513,IF(Atletas!P84="Baguazhang E",514,IF(Atletas!P84="Outro Estilo Interno E",515,IF(Atletas!P84="Xingyiquan F",516,IF(Atletas!P84="Baguazhang F",517,IF(Atletas!P84="Outro Estilo Interno F",518, "")))))))))))))))))))</f>
        <v/>
      </c>
      <c r="BS88" s="52" t="str">
        <f>IF(Atletas!Q84="","",IF(Atletas!W84&lt;&gt;"",10000,0)+IF(Atletas!B84="Feminino",1000,IF(Atletas!B84="Masculino",2000,""))+IF(Atletas!Q84="Dao A",601,IF(Atletas!Q84="Jian A",602,IF(Atletas!Q84="Bishou A",603,IF(Atletas!Q84="Shan A",604,IF(Atletas!Q84="Outra Arma Curta A",605,IF(Atletas!Q84="Dao B",606,IF(Atletas!Q84="Jian B",607,IF(Atletas!Q84="Bishou B",608,IF(Atletas!Q84="Shan B",609,IF(Atletas!Q84="Outra Arma Curta B",610,IF(Atletas!Q84="Dao C",611,IF(Atletas!Q84="Jian C",612,IF(Atletas!Q84="Bishou C",613,IF(Atletas!Q84="Shan C",614,IF(Atletas!Q84="Outra Arma Curta C",615,IF(Atletas!Q84="Dao D",616,IF(Atletas!Q84="Jian D",617,IF(Atletas!Q84="Bishou D",618,IF(Atletas!Q84="Shan D",619,IF(Atletas!Q84="Outra Arma Curta D",620,IF(Atletas!Q84="Dao E",621,IF(Atletas!Q84="Jian E",622,IF(Atletas!Q84="Bishou E",623,IF(Atletas!Q84="Shan E",624,IF(Atletas!Q84="Outra Arma Curta E",625,IF(Atletas!Q84="Dao F",626,IF(Atletas!Q84="Jian F",627,IF(Atletas!Q84="Bishou F",628,IF(Atletas!Q84="Shan F",629,IF(Atletas!Q84="Outra Arma Curta F",630, "")))))))))))))))))))))))))))))))</f>
        <v/>
      </c>
      <c r="BT88" s="52" t="str">
        <f>IF(Atletas!R84="","",IF(Atletas!W84&lt;&gt;"",10000,0)+IF(Atletas!B84="Feminino",1000,IF(Atletas!B84="Masculino",2000,""))+IF(Atletas!R84="Gun A",701,IF(Atletas!R84="Qiang A",702,IF(Atletas!R84="Pudao / Guandao A",703,IF(Atletas!R84="Outra Arma Longa A",704,IF(Atletas!R84="Gun B",705,IF(Atletas!R84="Qiang B",706,IF(Atletas!R84="Pudao / Guandao B",707,IF(Atletas!R84="Outra Arma Longa B",708,IF(Atletas!R84="Gun C",709,IF(Atletas!R84="Qiang C",710,IF(Atletas!R84="Pudao / Guandao C",711,IF(Atletas!R84="Outra Arma Longa C",712,IF(Atletas!R84="Gun D",713,IF(Atletas!R84="Qiang D",714,IF(Atletas!R84="Pudao / Guandao D",715,IF(Atletas!R84="Outra Arma Longa D",716,IF(Atletas!R84="Gun E",717,IF(Atletas!R84="Qiang E",718,IF(Atletas!R84="Pudao / Guandao E",719,IF(Atletas!R84="Outra Arma Longa E",720,IF(Atletas!R84="Gun F",721,IF(Atletas!R84="Qiang F",722,IF(Atletas!R84="Pudao / Guandao F",723,IF(Atletas!R84="Outra Arma Longa F",724,"")))))))))))))))))))))))))</f>
        <v/>
      </c>
      <c r="BU88" s="52" t="str">
        <f>IF(Atletas!S84="","",IF(Atletas!W84&lt;&gt;"",10000,0)+IF(Atletas!B84="Feminino",1000,IF(Atletas!B84="Masculino",2000,""))+IF(Atletas!S84="Arma Dupla A",801,IF(Atletas!S84="Arma Maleável A",802,IF(Atletas!S84="Arma Dupla B",803,IF(Atletas!S84="Arma Maleável B",804,IF(Atletas!S84="Arma Dupla C",805,IF(Atletas!S84="Arma Maleável C",806,IF(Atletas!S84="Arma Dupla D",807,IF(Atletas!S84="Arma Maleável D",808,IF(Atletas!S84="Arma Dupla E",809,IF(Atletas!S84="Arma Maleável E",810,IF(Atletas!S84="Arma Dupla F",811,IF(Atletas!S84="Arma Maleável F",812, "")))))))))))))</f>
        <v/>
      </c>
      <c r="BV88" s="52" t="str">
        <f>IF(Atletas!T84="","",IF(Atletas!W84&lt;&gt;"",10000,0)+IF(Atletas!B84="Feminino",1000,IF(Atletas!B84="Masculino",2000,""))+IF(Atletas!T84="Taijijian Yang A",901,IF(Atletas!T84="Taijijian Chen A",902,IF(Atletas!T84="Taijijian Sun A",903,IF(Atletas!T84="Taijijian Wu A",904,IF(Atletas!T84="Taijijian Wu-Hao A",905,IF(Atletas!T84="Taijijian 32 A",906,IF(Atletas!T84="Taijijian 42 A",907,IF(Atletas!T84="Taijijian Yang B",908,IF(Atletas!T84="Taijijian Chen B",909,IF(Atletas!T84="Taijijian Sun B",910,IF(Atletas!T84="Taijijian Wu B",911,IF(Atletas!T84="Taijijian Wu-Hao B",912,IF(Atletas!T84="Taijijian 32 B",913,IF(Atletas!T84="Taijijian 42 B",914,IF(Atletas!T84="Taijijian Yang C",915,IF(Atletas!T84="Taijijian Chen C",916,IF(Atletas!T84="Taijijian Sun C",917,IF(Atletas!T84="Taijijian Wu C",918,IF(Atletas!T84="Taijijian Wu-Hao C",919,IF(Atletas!T84="Taijijian 32 C",920,IF(Atletas!T84="Taijijian 42 C",921,IF(Atletas!T84="Taijijian Yang D",922,IF(Atletas!T84="Taijijian Chen D",923,IF(Atletas!T84="Taijijian Sun D",924,IF(Atletas!T84="Taijijian Wu D",925,IF(Atletas!T84="Taijijian Wu-Hao D",926,IF(Atletas!T84="Taijijian 32 D",927,IF(Atletas!T84="Taijijian 42 D",928,IF(Atletas!T84="Taijijian Yang E",929,IF(Atletas!T84="Taijijian Chen E",930,IF(Atletas!T84="Taijijian Sun E",931,IF(Atletas!T84="Taijijian Wu E",932,IF(Atletas!T84="Taijijian Wu-Hao E",933,IF(Atletas!T84="Taijijian 32 E",934,IF(Atletas!T84="Taijijian 42 E",935,IF(Atletas!T84="Taijijian Yang F",936,IF(Atletas!T84="Taijijian Chen F",937,IF(Atletas!T84="Taijijian Sun F",938,IF(Atletas!T84="Taijijian Wu F",939,IF(Atletas!T84="Taijijian Wu-Hao F",940,IF(Atletas!T84="Taijijian 32 F",941,IF(Atletas!T84="Taijijian 42 F",942,"")))))))))))))))))))))))))))))))))))))))))))</f>
        <v/>
      </c>
      <c r="BW88" s="52" t="str">
        <f>IF(Atletas!U84="","",IF(Atletas!W84&lt;&gt;"",10000,0)+IF(Atletas!B84="Feminino",1000,IF(Atletas!B84="Masculino",2000,""))+IF(Atletas!T84="Taijijian 42 F",942,IF(Atletas!U84="Taijidao A",943,IF(Atletas!U84="Taijishan A",944,IF(Atletas!U84="Taijiqiang A",945,IF(Atletas!U84="Taijidao B",946,IF(Atletas!U84="Taijishan B",947,IF(Atletas!U84="Taijiqiang B",948,IF(Atletas!U84="Taijidao C",949,IF(Atletas!U84="Taijishan C",950,IF(Atletas!U84="Taijiqiang C",951,IF(Atletas!U84="Taijidao D",952,IF(Atletas!U84="Taijishan D",953,IF(Atletas!U84="Taijiqiang D",954,IF(Atletas!U84="Taijidao E",955,IF(Atletas!U84="Taijishan E",956,IF(Atletas!U84="Taijiqiang E",957,IF(Atletas!U84="Taijidao F",958,IF(Atletas!U84="Taijishan F",959,IF(Atletas!U84="Taijiqiang F",960))))))))))))))))))))</f>
        <v/>
      </c>
      <c r="BX88" s="64" t="str">
        <f>IF(BY88&lt;&gt;"","Outros Estilos D","")</f>
        <v/>
      </c>
      <c r="BY88" s="64" t="str">
        <f>IF(COUNTIF(BK:BW,1152)&gt;0,COUNTIF(BK:BW,1152),"")</f>
        <v/>
      </c>
      <c r="BZ88" s="64" t="str">
        <f>IF(CA88&lt;&gt;"","Outros Estilos D","")</f>
        <v/>
      </c>
      <c r="CA88" s="64" t="str">
        <f>IF(COUNTIF(BK:BW,2152)&gt;0,COUNTIF(BK:BW,2152),"")</f>
        <v/>
      </c>
      <c r="CB88" s="64" t="str">
        <f>IF(CC88&lt;&gt;"","Outros Estilos D","")</f>
        <v/>
      </c>
      <c r="CC88" s="64" t="str">
        <f>IF(COUNTIF(BK:BW,11152)&gt;0,COUNTIF(BK:BW,11152),"")</f>
        <v/>
      </c>
      <c r="CD88" s="64" t="str">
        <f>IF(CE88&lt;&gt;"","Outros Estilos D","")</f>
        <v/>
      </c>
      <c r="CE88" s="64" t="str">
        <f>IF(COUNTIF(BK:BW,12152)&gt;0,COUNTIF(BK:BW,12152),"")</f>
        <v/>
      </c>
      <c r="CF88" s="52" t="str">
        <f xml:space="preserve"> IF(Atletas!V84="","",IF(Atletas!V84="Duilian de Mãos AB - Equipe 1",1,IF(Atletas!V84="Duilian de Mãos AB - Equipe 2",2,IF(Atletas!V84="Duilian de Armas AB - Equipe 1",3,IF(Atletas!V84="Duilian de Armas AB - Equipe 2",4,IF(Atletas!V84="Duilian de Tuishou - Equipe 1",5,IF(Atletas!V84="Duilian de Tuishou - Equipe 2",6,IF(Atletas!V84="Grupo Externo AB - Equipe 1",7,IF(Atletas!V84="Grupo Externo AB - Equipe 2",8,IF(Atletas!V84="Grupo Interno AB - Equipe 1",9,IF(Atletas!V84="Grupo Interno AB - Equipe 2",10,IF(Atletas!V84="Duilian de Mãos CD - Equipe 1",11,IF(Atletas!V84="Duilian de Mãos CD - Equipe 2",12,IF(Atletas!V84="Duilian de Armas CD - Equipe 1",13,IF(Atletas!V84="Duilian de Armas CD - Equipe 2",14,IF(Atletas!V84="Duilian de Tuishou - Equipe 1",15,IF(Atletas!V84="Duilian de Tuishou - Equipe 2",16,IF(Atletas!V84="Grupo Externo CDEF - Equipe 1",17,IF(Atletas!V84="Grupo Externo CDEF - Equipe 2",18,IF(Atletas!V84="Grupo Interno CDEF - Equipe 1",19,IF(Atletas!V84="Grupo Interno CDEF - Equipe 2",20,IF(Atletas!V84="Duilian de Mãos EF - Equipe 1",21,IF(Atletas!V84="Duilian de Mãos EF - Equipe 2",22,IF(Atletas!V84="Duilian de Armas EF - Equipe 1",23,IF(Atletas!V84="Duilian de Armas EF - Equipe 2",24,IF(Atletas!V84="Duilian de Tuishou - Equipe 1",25,IF(Atletas!V84="Duilian de Tuishou - Equipe 2",26,"")))))))))))))))))))))))))))</f>
        <v/>
      </c>
    </row>
    <row r="89" spans="2:84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31"/>
      <c r="U89" s="4"/>
      <c r="V89" s="4" t="str">
        <f t="array" ref="V89">IFERROR(INDEX(BX$7:BX$336,SMALL(IF(BX$7:BX$336&lt;&gt;"",ROW(BX$7:BX$336)-ROW(BX$7)+1),ROWS(BX$7:BX88))),"")</f>
        <v/>
      </c>
      <c r="W89" s="4" t="str">
        <f t="array" ref="W89">IFERROR(INDEX(BY$7:BY$336,SMALL(IF(BY$7:BY$336&lt;&gt;"",ROW(BY$7:BY$336)-ROW(BY$7)+1),ROWS(BY$7:BY88))),"")</f>
        <v/>
      </c>
      <c r="X89" s="4" t="str">
        <f t="array" ref="X89">IFERROR(INDEX(BZ$7:BZ$336,SMALL(IF(BZ$7:BZ$336&lt;&gt;"",ROW(BZ$7:BZ$336)-ROW(BZ$7)+1),ROWS(BZ$7:BZ88))),"")</f>
        <v/>
      </c>
      <c r="Y89" s="4" t="str">
        <f t="array" ref="Y89">IFERROR(INDEX(CA$7:CA$336,SMALL(IF(CA$7:CA$336&lt;&gt;"",ROW(CA$7:CA$336)-ROW(CA$7)+1),ROWS(CA$7:CA88))),"")</f>
        <v/>
      </c>
      <c r="Z89" s="4" t="str">
        <f t="array" ref="Z89">IFERROR(INDEX(CB$7:CB$378,SMALL(IF(CB$7:CB$378&lt;&gt;"",ROW(CB$7:CB$378)-ROW(CB$7)+1),ROWS(CB$7:CB88))),"")</f>
        <v/>
      </c>
      <c r="AA89" s="4" t="str">
        <f t="array" ref="AA89">IFERROR(INDEX(CC$7:CC$378,SMALL(IF(CC$7:CC$378&lt;&gt;"",ROW(CC$7:CC$378)-ROW(CC$7)+1),ROWS(CC$7:CC88))),"")</f>
        <v/>
      </c>
      <c r="AB89" s="4" t="str">
        <f t="array" ref="AB89">IFERROR(INDEX(CD$7:CD$378,SMALL(IF(CD$7:CD$378&lt;&gt;"",ROW(CD$7:CD$378)-ROW(CD$7)+1),ROWS(CD$7:CD88))),"")</f>
        <v/>
      </c>
      <c r="AC89" s="4" t="str">
        <f t="array" ref="AC89">IFERROR(INDEX(CE$7:CE$378,SMALL(IF(CE$7:CE$378&lt;&gt;"",ROW(CE$7:CE$378)-ROW(CE$7)+1),ROWS(CE$7:CE88))),"")</f>
        <v/>
      </c>
      <c r="AD89" s="4"/>
      <c r="AE89" s="4"/>
      <c r="AF89" s="4"/>
      <c r="AG89" s="4"/>
      <c r="AH89" s="4"/>
      <c r="AI89" s="4"/>
      <c r="AJ89" s="46" t="str">
        <f>IF(Atletas!D85="","",IF(Atletas!B85="Feminino",100,IF(Atletas!B85="Masculino",200,""))+(IF(Atletas!D85="Infantil 39kg",1,IF(Atletas!D85="Infantil 42kg",2,IF(Atletas!D85="Infantil 45kg",3,IF(Atletas!D85="Infantil 48kg",4,IF(Atletas!D85="Infantil 52kg",5,IF(Atletas!D85="Infantil 56kg",6,IF(Atletas!D85="Infantil 60kg",7,IF(Atletas!D85="Juvenil 48kg",8,IF(Atletas!D85="Juvenil 52kg",9,IF(Atletas!D85="Juvenil 56kg",10,IF(Atletas!D85="Juvenil 60kg",11,IF(Atletas!D85="Juvenil 65kg",12,IF(Atletas!D85="Juvenil 70kg",13,IF(Atletas!D85="Juvenil 75kg",14,IF(Atletas!D85="Juvenil 80kg",15,IF(Atletas!D85="Adulto 48kg",16,IF(Atletas!D85="Adulto 52kg",17,IF(Atletas!D85="Adulto 56kg",18,IF(Atletas!D85="Adulto 60kg",19,IF(Atletas!D85="Adulto 65kg",20,IF(Atletas!D85="Adulto 70kg",21,IF(Atletas!D85="Adulto 75kg",22,IF(Atletas!D85="Adulto 80kg",23,IF(Atletas!D85="Adulto 85kg",24,IF(Atletas!D85="Adulto 90kg",25,IF(Atletas!D85="Adulto +90kg",26,""))))))))))))))))))))))))))))</f>
        <v/>
      </c>
      <c r="AO89" s="10" t="str">
        <f>IF(Atletas!E85="","",IF(Atletas!B85="Feminino",100,IF(Atletas!B85="Masculino",200,""))+(IF(Atletas!E85="Juvenil 44kg",1,IF(Atletas!E85="Juvenil 48kg",2,IF(Atletas!E85="Juvenil 52kg",3,IF(Atletas!E85="Juvenil 56kg",4,IF(Atletas!E85="Juvenil 60kg",5,IF(Atletas!E85="Juvenil 65kg",6,IF(Atletas!E85="Juvenil 70kg",7,IF(Atletas!E85="Juvenil 75kg",8,IF(Atletas!E85="Juvenil 82kg",9,IF(Atletas!E85="Juvenil 90kg",10,IF(Atletas!E85="Juvenil 100kg",11,IF(Atletas!E85="Adulto 48kg",12,IF(Atletas!E85="Adulto 52kg",13,IF(Atletas!E85="Adulto 56kg",14,IF(Atletas!E85="Adulto 60kg",15,IF(Atletas!E85="Adulto 65kg",16,IF(Atletas!E85="Adulto 70kg",17,IF(Atletas!E85="Adulto 75kg",18,IF(Atletas!E85="Adulto 82kg",19,IF(Atletas!E85="Adulto 90kg",20,IF(Atletas!E85="Adulto 100kg",21,IF(Atletas!E85="Adulto +100kg",22,""))))))))))))))))))))))))</f>
        <v/>
      </c>
      <c r="AT89" s="10" t="str">
        <f>IF(Atletas!F85="","",IF(Atletas!B85="Feminino",100,IF(Atletas!B85="Masculino",200,""))+(IF(Atletas!F85="Adulto 48kg",1,IF(Atletas!F85="Adulto 56kg",2,IF(Atletas!F85="Adulto 65kg",3,IF(Atletas!F85="Adulto 75kg",4,IF(Atletas!F85="Adulto +75kg",5,IF(Atletas!F85="Adulto 52kg",6,IF(Atletas!F85="Adulto 60kg",7,IF(Atletas!F85="Adulto 70kg",8,IF(Atletas!F85="Adulto 80kg",9,IF(Atletas!F85="Adulto 90kg",10,IF(Atletas!F85="Adulto +90kg",11,"")))))))))))))</f>
        <v/>
      </c>
      <c r="AY89" s="46" t="str">
        <f>IF(Atletas!G85="","",IF(Atletas!B85="Feminino",100,IF(Atletas!B85="Masculino",200,""))+(IF(Atletas!G85="Changquan Mirim",1,IF(Atletas!G85="Nanquan Mirim",2,IF(Atletas!G85="Taijiquan Mirim",3,IF(Atletas!G85="Changquan Grupo C",4,IF(Atletas!G85="Nanquan Grupo C",5,IF(Atletas!G85="Taijiquan Grupo C",6,IF(Atletas!G85="Changquan Grupo B",7,IF(Atletas!G85="Nanquan Grupo B",8,IF(Atletas!G85="Taijiquan Grupo B",9,IF(Atletas!G85="Changquan Grupo A",10,IF(Atletas!G85="Nanquan Grupo A",11,IF(Atletas!G85="Taijiquan Grupo A",12,IF(Atletas!G85="Changquan Opcional",13,IF(Atletas!G85="Nanquan Opcional",14,IF(Atletas!G85="Taijiquan Opcional",15,IF(Atletas!G85="Changquan Adulto",16,IF(Atletas!G85="Nanquan Adulto",17,IF(Atletas!G85="Taijiquan Adulto",18,""))))))))))))))))))))</f>
        <v/>
      </c>
      <c r="AZ89" s="46" t="str">
        <f>IF(Atletas!H85="","",IF(Atletas!B85="Feminino",100,IF(Atletas!B85="Masculino",200,""))+(IF(Atletas!H85="Daoshu Mirim",19,IF(Atletas!H85="Jianshu Mirim",20,IF(Atletas!H85="Nandao Mirim",21,IF(Atletas!H85="Taijijian Mirim",22,IF(Atletas!H85="Daoshu Grupo C",23,IF(Atletas!H85="Jianshu Grupo C",24,IF(Atletas!H85="Nandao Grupo C",25,IF(Atletas!H85="Taijijian Grupo C",26,IF(Atletas!H85="Daoshu Grupo B",27,IF(Atletas!H85="Jianshu Grupo B",28,IF(Atletas!H85="Nandao Grupo B",29,IF(Atletas!H85="Taijijian Grupo B",30,IF(Atletas!H85="Daoshu Grupo A",31,IF(Atletas!H85="Jianshu Grupo A",32,IF(Atletas!H85="Nandao Grupo A",33,IF(Atletas!H85="Taijijian Grupo A",34,IF(Atletas!H85="Daoshu Opcional",35,IF(Atletas!H85="Jianshu Opcional",36,IF(Atletas!H85="Nandao Opcional",37,IF(Atletas!H85="Taijijian Opcional",38,IF(Atletas!H85="Daoshu Adulto",39,IF(Atletas!H85="Jianshu Adulto",40,IF(Atletas!H85="Nandao Adulto",41,IF(Atletas!H85="Taijijian Adulto",42,""))))))))))))))))))))))))))</f>
        <v/>
      </c>
      <c r="BA89" s="46" t="str">
        <f>IF(Atletas!I85="","",IF(Atletas!B85="Feminino",100,IF(Atletas!B85="Masculino",200,""))+(IF(Atletas!I85="Gunshu Mirim",43,IF(Atletas!I85="Qiangshu Mirim",44,IF(Atletas!I85="Nangun Mirim",45,IF(Atletas!I85="Gunshu Grupo C",46,IF(Atletas!I85="Qiangshu Grupo C",47,IF(Atletas!I85="Nangun Grupo C",48,IF(Atletas!I85="Gunshu Grupo B",49,IF(Atletas!I85="Qiangshu Grupo B",50,IF(Atletas!I85="Nangun Grupo B",51,IF(Atletas!I85="Gunshu Grupo A",52,IF(Atletas!I85="Qiangshu Grupo A",53,IF(Atletas!I85="Nangun Grupo A",54,IF(Atletas!I85="Gunshu Opcional",55,IF(Atletas!I85="Qiangshu Opcional",56,IF(Atletas!I85="Nangun Opcional",57,IF(Atletas!I85="Gunshu Adulto",58,IF(Atletas!I85="Qiangshu Adulto",59,IF(Atletas!I85="Nangun Adulto",60,""))))))))))))))))))))</f>
        <v/>
      </c>
      <c r="BF89" s="52" t="str">
        <f>IF(Atletas!J85="","",IF(Atletas!B85="Feminino",100,IF(Atletas!B85="Masculino",200,""))+(IF(Atletas!J85="Equipe 1 Grupo B",1,IF(Atletas!J85="Equipe 2 Grupo B",2,IF(Atletas!J85="Equipe 1 Grupo A",3,IF(Atletas!J85="Equipe 2 Grupo A",4,IF(Atletas!J85="Equipe 1 Adulto",5,IF(Atletas!J85="Equipe 2 Adulto",6,""))))))))</f>
        <v/>
      </c>
      <c r="BK89" s="52" t="str">
        <f>IF(Atletas!K85="","",IF(Atletas!W85&lt;&gt;"",10000,0)+(IF(Atletas!B85="Feminino",1000,IF(Atletas!B85="Masculino",2000,""))+IF(Atletas!K85="Choylayfut A",1,IF(Atletas!K85="Hunggar A",2,IF(Atletas!K85="Wuzuquan A",3,IF(Atletas!K85="Wingchun A",4,IF(Atletas!K85="Outra Mão de Sul A",5,IF(Atletas!K85="Choylayfut B",6,IF(Atletas!K85="Hunggar B",7,IF(Atletas!K85="Wuzuquan B",8,IF(Atletas!K85="Wingchun B",9,IF(Atletas!K85="Outra Mão de Sul B",10,IF(Atletas!K85="Choylayfut C",11,IF(Atletas!K85="Hunggar C",12,IF(Atletas!K85="Wuzuquan C",13,IF(Atletas!K85="Wingchun C",14,IF(Atletas!K85="Outra Mão de Sul C",15,IF(Atletas!K85="Choylayfut D",16,IF(Atletas!K85="Hunggar D",17,IF(Atletas!K85="Wuzuquan D",18,IF(Atletas!K85="Wingchun D",19,IF(Atletas!K85="Outra Mão de Sul D",20,IF(Atletas!K85="Choylayfut E",21,IF(Atletas!K85="Hunggar E",22,IF(Atletas!K85="Wuzuquan E",23,IF(Atletas!K85="Wingchun E",24,IF(Atletas!K85="Outra Mão de Sul E",25,IF(Atletas!K85="Choylayfut F",26,IF(Atletas!K85="Hunggar F",27,IF(Atletas!K85="Wuzuquan F",28,IF(Atletas!K85="Wingchun F",29,IF(Atletas!K85="Outra Mão de Sul F",30,""))))))))))))))))))))))))))))))))</f>
        <v/>
      </c>
      <c r="BL89" s="52" t="str">
        <f>IF(Atletas!L85="","",IF(Atletas!W85&lt;&gt;"",10000,0)+(IF(Atletas!B85="Feminino",1000,IF(Atletas!B85="Masculino",2000,""))+(IF(Atletas!L85="Chaquan A",101,IF(Atletas!L85="Emeiquan A",102,IF(Atletas!L85="Fanziquan A",103,IF(Atletas!L85="Huaquan A",104,IF(Atletas!L85="Hongquan A",105,IF(Atletas!L85="Paochui A",106,IF(Atletas!L85="Piguaquan A",107,IF(Atletas!L85="Shaolinquan A",108,IF(Atletas!L85="Tanglangquan A",109,IF(Atletas!L85="Yinzhaophai A",110,IF(Atletas!L85="Tongbeiquan A",111,IF(Atletas!L85="Wudangquan A",112,IF(Atletas!L85="Outros Estilos A",113,IF(Atletas!L85="Chaquan B",114,IF(Atletas!L85="Emeiquan B",115,IF(Atletas!L85="Fanziquan B",116,IF(Atletas!L85="Huaquan B",117,IF(Atletas!L85="Hongquan B",118,IF(Atletas!L85="Paochui B",119,IF(Atletas!L85="Piguaquan B",120,IF(Atletas!L85="Shaolinquan B",121,IF(Atletas!L85="Tanglangquan B",122,IF(Atletas!L85="Yinzhaophai B",123,IF(Atletas!L85="Tongbeiquan B",124,IF(Atletas!L85="Wudangquan B",125,IF(Atletas!L85="Outros Estilos B",126,IF(Atletas!L85="Chaquan C",127,IF(Atletas!L85="Emeiquan C",128,IF(Atletas!L85="Fanziquan C",129,IF(Atletas!L85="Huaquan C",130,IF(Atletas!L85="Hongquan C",131,IF(Atletas!L85="Paochui C",132,IF(Atletas!L85="Piguaquan C",133,IF(Atletas!L85="Shaolinquan C",134,IF(Atletas!L85="Tanglangquan C",135,IF(Atletas!L85="Yinzhaophai C",136,IF(Atletas!L85="Tongbeiquan C",137,IF(Atletas!L85="Wudangquan C",138,IF(Atletas!L85="Outros Estilos C",139,0))))))))))))))))))))))))))))))))))))))))))</f>
        <v/>
      </c>
      <c r="BM89" s="52" t="str">
        <f>IF(Atletas!L85="","",IF(Atletas!W85&lt;&gt;"",10000,0)+(IF(Atletas!B85="Feminino",1000,IF(Atletas!B85="Masculino",2000,""))+(IF(Atletas!L85="Chaquan D",140,IF(Atletas!L85="Emeiquan D",141,IF(Atletas!L85="Fanziquan D",142,IF(Atletas!L85="Huaquan D",143,IF(Atletas!L85="Hongquan D",144,IF(Atletas!L85="Paochui D",145,IF(Atletas!L85="Piguaquan D",146,IF(Atletas!L85="Shaolinquan D",147,IF(Atletas!L85="Tanglangquan D",148,IF(Atletas!L85="Yinzhaophai D",149,IF(Atletas!L85="Tongbeiquan D",150,IF(Atletas!L85="Wudangquan D",151,IF(Atletas!L85="Outros Estilos D",152,IF(Atletas!L85="Chaquan E",153,IF(Atletas!L85="Emeiquan E",154,IF(Atletas!L85="Fanziquan E",155,IF(Atletas!L85="Huaquan E",156,IF(Atletas!L85="Hongquan E",157,IF(Atletas!L85="Paochui E",158,IF(Atletas!L85="Piguaquan E",159,IF(Atletas!L85="Shaolinquan E",160,IF(Atletas!L85="Tanglangquan E",161,IF(Atletas!L85="Yinzhaophai E",162,IF(Atletas!L85="Tongbeiquan E",163,IF(Atletas!L85="Wudangquan E",164,IF(Atletas!L85="Outros Estilos E",165,IF(Atletas!L85="Chaquan F",166,IF(Atletas!L85="Emeiquan F",167,IF(Atletas!L85="Fanziquan F",168,IF(Atletas!L85="Huaquan F",169,IF(Atletas!L85="Hongquan F",170,IF(Atletas!L85="Paochui F",171,IF(Atletas!L85="Piguaquan F",172,IF(Atletas!L85="Shaolinquan F",173,IF(Atletas!L85="Tanglangquan F",174,IF(Atletas!L85="Yinzhaophai F",175,IF(Atletas!L85="Tongbeiquan F",176,IF(Atletas!L85="Wudangquan F",177,IF(Atletas!L85="Outros Estilos F",178,0))))))))))))))))))))))))))))))))))))))))))</f>
        <v/>
      </c>
      <c r="BN89" s="52" t="str">
        <f>IF(Atletas!M85="","",IF(Atletas!W85&lt;&gt;"",10000,0)+(IF(Atletas!B85="Feminino",1000,IF(Atletas!B85="Masculino",2000,""))+(IF(Atletas!M85="Ditangquan A",201,IF(Atletas!M85="Houquan A",202,IF(Atletas!M85="Zuiquan A",203,IF(Atletas!M85="Ditangquan B",204,IF(Atletas!M85="Houquan B",205,IF(Atletas!M85="Zuiquan B",206,IF(Atletas!M85="Ditangquan C",207,IF(Atletas!M85="Houquan C",208,IF(Atletas!M85="Zuiquan C",209,IF(Atletas!M85="Ditangquan D",210,IF(Atletas!M85="Houquan D",211,IF(Atletas!M85="Zuiquan D",212,IF(Atletas!M85="Ditangquan E",213,IF(Atletas!M85="Houquan E",214,IF(Atletas!M85="Zuiquan E",215,IF(Atletas!M85="Ditangquan F",216,IF(Atletas!M85="Houquan F",217,IF(Atletas!M85="Zuiquan F",218,"")))))))))))))))))))))</f>
        <v/>
      </c>
      <c r="BO89" s="52" t="str">
        <f>IF(Atletas!N85="","",IF(Atletas!W85&lt;&gt;"",10000,0)+IF(Atletas!B85="Feminino",1000,IF(Atletas!B85="Masculino",2000,""))+IF(Atletas!N85="Yang A",301,IF(Atletas!N85="Chen A",30,IF(Atletas!N85="Sun A",303,IF(Atletas!N85="Wu A",304,IF(Atletas!N85="Wu-Hao A",305,IF(Atletas!N85="Outro Taijiquan A",306,IF(Atletas!N85="Yang B",307,IF(Atletas!N85="Chen B",308,IF(Atletas!N85="Sun B",309,IF(Atletas!N85="Wu B",310,IF(Atletas!N85="Wu-Hao B",311,IF(Atletas!N85="Outro Taijiquan B",312,IF(Atletas!N85="Yang C",313,IF(Atletas!N85="Chen C",314,IF(Atletas!N85="Sun C",315,IF(Atletas!N85="Wu C",316,IF(Atletas!N85="Wu-Hao C",317,IF(Atletas!N85="Outro Taijiquan C",318,IF(Atletas!N85="Yang D",319,IF(Atletas!N85="Chen D",320,IF(Atletas!N85="Sun D",321,IF(Atletas!N85="Wu D",322,IF(Atletas!N85="Wu-Hao D",323,IF(Atletas!N85="Outro Taijiquan D",324,IF(Atletas!N85="Yang E",325,IF(Atletas!N85="Chen E",326,IF(Atletas!N85="Sun E",327,IF(Atletas!N85="Wu E",328,IF(Atletas!N85="Wu-Hao E",329,IF(Atletas!N85="Outro Taijiquan E",330,IF(Atletas!N85="Yang F",331,IF(Atletas!N85="Chen F",332,IF(Atletas!N85="Sun F",333,IF(Atletas!N85="Wu F",334,IF(Atletas!N85="Wu-Hao F",335,IF(Atletas!N85="Outro Taijiquan F",336,"")))))))))))))))))))))))))))))))))))))</f>
        <v/>
      </c>
      <c r="BP89" s="52" t="str">
        <f>IF(Atletas!O85="","",IF(Atletas!W85&lt;&gt;"",10000,0)+IF(Atletas!B85="Feminino",1000,IF(Atletas!B85="Masculino",2000,""))+IF(OR(Atletas!O85="Yang 26 A",Atletas!O85="Yang 40 A"),401,IF(OR(Atletas!O85="Chen 25 A",Atletas!O85="Chen 36 A",Atletas!O85="Chen 56 A"),402,IF(Atletas!O85="Sun 73 A",403,IF(Atletas!O85="Wu 45 A",404,IF(Atletas!O85="Wu-Hao 46 A",405,IF(OR(Atletas!O85="Taijiquan 16 A",Atletas!O85="Taijiquan 24 A",Atletas!O85="Taijiquan 32 A",Atletas!O85="Taijiquan 42 A"),406,IF(OR(Atletas!O85="Yang 26 B",Atletas!O85="Yang 40 B"),407,IF(OR(Atletas!O85="Chen 25 B",Atletas!O85="Chen 36 B",Atletas!O85="Chen 56 B"),408,IF(Atletas!O85="Sun 73 B",409,IF(Atletas!O85="Wu 45 B",410,IF(Atletas!O85="Wu-Hao 46 B",411,IF(OR(Atletas!O85="Taijiquan 16 B",Atletas!O85="Taijiquan 24 B",Atletas!O85="Taijiquan 32 B",Atletas!O85="Taijiquan 42 B"),412,IF(OR(Atletas!O85="Yang 26 C",Atletas!O85="Yang 40 C"),413,IF(OR(Atletas!O85="Chen 25 C",Atletas!O85="Chen 36 C",Atletas!O85="Chen 56 C"),414,IF(Atletas!O85="Sun 73 C",415,IF(Atletas!O85="Wu 45 C",416,IF(Atletas!O85="Wu-Hao 46 C",417,IF(OR(Atletas!O85="Taijiquan 16 C",Atletas!O85="Taijiquan 24 C",Atletas!O85="Taijiquan 32 C",Atletas!O85="Taijiquan 42 C"),418,0)))))))))))))))))))</f>
        <v/>
      </c>
      <c r="BQ89" s="52" t="str">
        <f>IF(Atletas!O85="","",IF(Atletas!W85&lt;&gt;"",10000,0)+IF(Atletas!B85="Feminino",1000,IF(Atletas!B85="Masculino",2000,""))+IF(OR(Atletas!O85="Yang 26 D",Atletas!O85="Yang 40 D"),419,IF(OR(Atletas!O85="Chen 25 D",Atletas!O85="Chen 36 D",Atletas!O85="Chen 56 D"),420,IF(Atletas!O85="Sun 73 D",421,IF(Atletas!O85="Wu 45 D",422,IF(Atletas!O85="Wu-Hao 46 D",423,IF(OR(Atletas!O85="Taijiquan 16 D",Atletas!O85="Taijiquan 24 D",Atletas!O85="Taijiquan 32 D",Atletas!O85="Taijiquan 42 D"),424,IF(OR(Atletas!O85="Yang 26 E",Atletas!O85="Yang 40 E"),425,IF(OR(Atletas!O85="Chen 25 E",Atletas!O85="Chen 36 E",Atletas!O85="Chen 56 E"),426,IF(Atletas!O85="Sun 73 E",427,IF(Atletas!O85="Wu 45 E",428,IF(Atletas!O85="Wu-Hao 46 E",429,IF(OR(Atletas!O85="Taijiquan 16 E",Atletas!O85="Taijiquan 24 E",Atletas!O85="Taijiquan 32 E",Atletas!O85="Taijiquan 42 E"),430,IF(OR(Atletas!O85="Yang 26 F",Atletas!O85="Yang 40 F"),431,IF(OR(Atletas!O85="Chen 25 F",Atletas!O85="Chen 36 F",Atletas!O85="Chen 56 F"),432,IF(Atletas!O85="Sun 73 F",433,IF(Atletas!O85="Wu 45 F",434,IF(Atletas!O85="Wu-Hao 46 F",435,IF(OR(Atletas!O85="Taijiquan 16 F",Atletas!O85="Taijiquan 24 F",Atletas!O85="Taijiquan 32 F",Atletas!O85="Taijiquan 42 F"),436,0)))))))))))))))))))</f>
        <v/>
      </c>
      <c r="BR89" s="52" t="str">
        <f>IF(Atletas!P85="","",IF(Atletas!W85&lt;&gt;"",10000,0)+IF(Atletas!B85="Feminino",1000,IF(Atletas!B85="Masculino",2000,""))+IF(Atletas!P85="Xingyiquan A",501,IF(Atletas!P85="Baguazhang A",502,IF(Atletas!P85="Outro Estilo Interno A",503,IF(Atletas!P85="Xingyiquan B",504,IF(Atletas!P85="Baguazhang B",505,IF(Atletas!P85="Outro Estilo Interno B",506,IF(Atletas!P85="Xingyiquan C",507,IF(Atletas!P85="Baguazhang C",508,IF(Atletas!P85="Outro Estilo Interno C",509,IF(Atletas!P85="Xingyiquan D",510,IF(Atletas!P85="Baguazhang D",511,IF(Atletas!P85="Outro Estilo Interno D",512,IF(Atletas!P85="Xingyiquan E",513,IF(Atletas!P85="Baguazhang E",514,IF(Atletas!P85="Outro Estilo Interno E",515,IF(Atletas!P85="Xingyiquan F",516,IF(Atletas!P85="Baguazhang F",517,IF(Atletas!P85="Outro Estilo Interno F",518, "")))))))))))))))))))</f>
        <v/>
      </c>
      <c r="BS89" s="52" t="str">
        <f>IF(Atletas!Q85="","",IF(Atletas!W85&lt;&gt;"",10000,0)+IF(Atletas!B85="Feminino",1000,IF(Atletas!B85="Masculino",2000,""))+IF(Atletas!Q85="Dao A",601,IF(Atletas!Q85="Jian A",602,IF(Atletas!Q85="Bishou A",603,IF(Atletas!Q85="Shan A",604,IF(Atletas!Q85="Outra Arma Curta A",605,IF(Atletas!Q85="Dao B",606,IF(Atletas!Q85="Jian B",607,IF(Atletas!Q85="Bishou B",608,IF(Atletas!Q85="Shan B",609,IF(Atletas!Q85="Outra Arma Curta B",610,IF(Atletas!Q85="Dao C",611,IF(Atletas!Q85="Jian C",612,IF(Atletas!Q85="Bishou C",613,IF(Atletas!Q85="Shan C",614,IF(Atletas!Q85="Outra Arma Curta C",615,IF(Atletas!Q85="Dao D",616,IF(Atletas!Q85="Jian D",617,IF(Atletas!Q85="Bishou D",618,IF(Atletas!Q85="Shan D",619,IF(Atletas!Q85="Outra Arma Curta D",620,IF(Atletas!Q85="Dao E",621,IF(Atletas!Q85="Jian E",622,IF(Atletas!Q85="Bishou E",623,IF(Atletas!Q85="Shan E",624,IF(Atletas!Q85="Outra Arma Curta E",625,IF(Atletas!Q85="Dao F",626,IF(Atletas!Q85="Jian F",627,IF(Atletas!Q85="Bishou F",628,IF(Atletas!Q85="Shan F",629,IF(Atletas!Q85="Outra Arma Curta F",630, "")))))))))))))))))))))))))))))))</f>
        <v/>
      </c>
      <c r="BT89" s="52" t="str">
        <f>IF(Atletas!R85="","",IF(Atletas!W85&lt;&gt;"",10000,0)+IF(Atletas!B85="Feminino",1000,IF(Atletas!B85="Masculino",2000,""))+IF(Atletas!R85="Gun A",701,IF(Atletas!R85="Qiang A",702,IF(Atletas!R85="Pudao / Guandao A",703,IF(Atletas!R85="Outra Arma Longa A",704,IF(Atletas!R85="Gun B",705,IF(Atletas!R85="Qiang B",706,IF(Atletas!R85="Pudao / Guandao B",707,IF(Atletas!R85="Outra Arma Longa B",708,IF(Atletas!R85="Gun C",709,IF(Atletas!R85="Qiang C",710,IF(Atletas!R85="Pudao / Guandao C",711,IF(Atletas!R85="Outra Arma Longa C",712,IF(Atletas!R85="Gun D",713,IF(Atletas!R85="Qiang D",714,IF(Atletas!R85="Pudao / Guandao D",715,IF(Atletas!R85="Outra Arma Longa D",716,IF(Atletas!R85="Gun E",717,IF(Atletas!R85="Qiang E",718,IF(Atletas!R85="Pudao / Guandao E",719,IF(Atletas!R85="Outra Arma Longa E",720,IF(Atletas!R85="Gun F",721,IF(Atletas!R85="Qiang F",722,IF(Atletas!R85="Pudao / Guandao F",723,IF(Atletas!R85="Outra Arma Longa F",724,"")))))))))))))))))))))))))</f>
        <v/>
      </c>
      <c r="BU89" s="52" t="str">
        <f>IF(Atletas!S85="","",IF(Atletas!W85&lt;&gt;"",10000,0)+IF(Atletas!B85="Feminino",1000,IF(Atletas!B85="Masculino",2000,""))+IF(Atletas!S85="Arma Dupla A",801,IF(Atletas!S85="Arma Maleável A",802,IF(Atletas!S85="Arma Dupla B",803,IF(Atletas!S85="Arma Maleável B",804,IF(Atletas!S85="Arma Dupla C",805,IF(Atletas!S85="Arma Maleável C",806,IF(Atletas!S85="Arma Dupla D",807,IF(Atletas!S85="Arma Maleável D",808,IF(Atletas!S85="Arma Dupla E",809,IF(Atletas!S85="Arma Maleável E",810,IF(Atletas!S85="Arma Dupla F",811,IF(Atletas!S85="Arma Maleável F",812, "")))))))))))))</f>
        <v/>
      </c>
      <c r="BV89" s="52" t="str">
        <f>IF(Atletas!T85="","",IF(Atletas!W85&lt;&gt;"",10000,0)+IF(Atletas!B85="Feminino",1000,IF(Atletas!B85="Masculino",2000,""))+IF(Atletas!T85="Taijijian Yang A",901,IF(Atletas!T85="Taijijian Chen A",902,IF(Atletas!T85="Taijijian Sun A",903,IF(Atletas!T85="Taijijian Wu A",904,IF(Atletas!T85="Taijijian Wu-Hao A",905,IF(Atletas!T85="Taijijian 32 A",906,IF(Atletas!T85="Taijijian 42 A",907,IF(Atletas!T85="Taijijian Yang B",908,IF(Atletas!T85="Taijijian Chen B",909,IF(Atletas!T85="Taijijian Sun B",910,IF(Atletas!T85="Taijijian Wu B",911,IF(Atletas!T85="Taijijian Wu-Hao B",912,IF(Atletas!T85="Taijijian 32 B",913,IF(Atletas!T85="Taijijian 42 B",914,IF(Atletas!T85="Taijijian Yang C",915,IF(Atletas!T85="Taijijian Chen C",916,IF(Atletas!T85="Taijijian Sun C",917,IF(Atletas!T85="Taijijian Wu C",918,IF(Atletas!T85="Taijijian Wu-Hao C",919,IF(Atletas!T85="Taijijian 32 C",920,IF(Atletas!T85="Taijijian 42 C",921,IF(Atletas!T85="Taijijian Yang D",922,IF(Atletas!T85="Taijijian Chen D",923,IF(Atletas!T85="Taijijian Sun D",924,IF(Atletas!T85="Taijijian Wu D",925,IF(Atletas!T85="Taijijian Wu-Hao D",926,IF(Atletas!T85="Taijijian 32 D",927,IF(Atletas!T85="Taijijian 42 D",928,IF(Atletas!T85="Taijijian Yang E",929,IF(Atletas!T85="Taijijian Chen E",930,IF(Atletas!T85="Taijijian Sun E",931,IF(Atletas!T85="Taijijian Wu E",932,IF(Atletas!T85="Taijijian Wu-Hao E",933,IF(Atletas!T85="Taijijian 32 E",934,IF(Atletas!T85="Taijijian 42 E",935,IF(Atletas!T85="Taijijian Yang F",936,IF(Atletas!T85="Taijijian Chen F",937,IF(Atletas!T85="Taijijian Sun F",938,IF(Atletas!T85="Taijijian Wu F",939,IF(Atletas!T85="Taijijian Wu-Hao F",940,IF(Atletas!T85="Taijijian 32 F",941,IF(Atletas!T85="Taijijian 42 F",942,"")))))))))))))))))))))))))))))))))))))))))))</f>
        <v/>
      </c>
      <c r="BW89" s="52" t="str">
        <f>IF(Atletas!U85="","",IF(Atletas!W85&lt;&gt;"",10000,0)+IF(Atletas!B85="Feminino",1000,IF(Atletas!B85="Masculino",2000,""))+IF(Atletas!T85="Taijijian 42 F",942,IF(Atletas!U85="Taijidao A",943,IF(Atletas!U85="Taijishan A",944,IF(Atletas!U85="Taijiqiang A",945,IF(Atletas!U85="Taijidao B",946,IF(Atletas!U85="Taijishan B",947,IF(Atletas!U85="Taijiqiang B",948,IF(Atletas!U85="Taijidao C",949,IF(Atletas!U85="Taijishan C",950,IF(Atletas!U85="Taijiqiang C",951,IF(Atletas!U85="Taijidao D",952,IF(Atletas!U85="Taijishan D",953,IF(Atletas!U85="Taijiqiang D",954,IF(Atletas!U85="Taijidao E",955,IF(Atletas!U85="Taijishan E",956,IF(Atletas!U85="Taijiqiang E",957,IF(Atletas!U85="Taijidao F",958,IF(Atletas!U85="Taijishan F",959,IF(Atletas!U85="Taijiqiang F",960))))))))))))))))))))</f>
        <v/>
      </c>
      <c r="BX89" s="64" t="str">
        <f>IF(BY89&lt;&gt;"","Chaquan E","")</f>
        <v/>
      </c>
      <c r="BY89" s="64" t="str">
        <f>IF(COUNTIF(BK:BW,1153)&gt;0,COUNTIF(BK:BW,1153),"")</f>
        <v/>
      </c>
      <c r="BZ89" s="64" t="str">
        <f>IF(CA89&lt;&gt;"","Chaquan E","")</f>
        <v/>
      </c>
      <c r="CA89" s="64" t="str">
        <f>IF(COUNTIF(BK:BW,2153)&gt;0,COUNTIF(BK:BW,2153),"")</f>
        <v/>
      </c>
      <c r="CB89" s="64" t="str">
        <f>IF(CC89&lt;&gt;"","Chaquan E","")</f>
        <v/>
      </c>
      <c r="CC89" s="64" t="str">
        <f>IF(COUNTIF(BK:BW,11153)&gt;0,COUNTIF(BK:BW,11153),"")</f>
        <v/>
      </c>
      <c r="CD89" s="64" t="str">
        <f>IF(CE89&lt;&gt;"","Chaquan E","")</f>
        <v/>
      </c>
      <c r="CE89" s="64" t="str">
        <f>IF(COUNTIF(BK:BW,12153)&gt;0,COUNTIF(BK:BW,12153),"")</f>
        <v/>
      </c>
      <c r="CF89" s="52" t="str">
        <f xml:space="preserve"> IF(Atletas!V85="","",IF(Atletas!V85="Duilian de Mãos AB - Equipe 1",1,IF(Atletas!V85="Duilian de Mãos AB - Equipe 2",2,IF(Atletas!V85="Duilian de Armas AB - Equipe 1",3,IF(Atletas!V85="Duilian de Armas AB - Equipe 2",4,IF(Atletas!V85="Duilian de Tuishou - Equipe 1",5,IF(Atletas!V85="Duilian de Tuishou - Equipe 2",6,IF(Atletas!V85="Grupo Externo AB - Equipe 1",7,IF(Atletas!V85="Grupo Externo AB - Equipe 2",8,IF(Atletas!V85="Grupo Interno AB - Equipe 1",9,IF(Atletas!V85="Grupo Interno AB - Equipe 2",10,IF(Atletas!V85="Duilian de Mãos CD - Equipe 1",11,IF(Atletas!V85="Duilian de Mãos CD - Equipe 2",12,IF(Atletas!V85="Duilian de Armas CD - Equipe 1",13,IF(Atletas!V85="Duilian de Armas CD - Equipe 2",14,IF(Atletas!V85="Duilian de Tuishou - Equipe 1",15,IF(Atletas!V85="Duilian de Tuishou - Equipe 2",16,IF(Atletas!V85="Grupo Externo CDEF - Equipe 1",17,IF(Atletas!V85="Grupo Externo CDEF - Equipe 2",18,IF(Atletas!V85="Grupo Interno CDEF - Equipe 1",19,IF(Atletas!V85="Grupo Interno CDEF - Equipe 2",20,IF(Atletas!V85="Duilian de Mãos EF - Equipe 1",21,IF(Atletas!V85="Duilian de Mãos EF - Equipe 2",22,IF(Atletas!V85="Duilian de Armas EF - Equipe 1",23,IF(Atletas!V85="Duilian de Armas EF - Equipe 2",24,IF(Atletas!V85="Duilian de Tuishou - Equipe 1",25,IF(Atletas!V85="Duilian de Tuishou - Equipe 2",26,"")))))))))))))))))))))))))))</f>
        <v/>
      </c>
    </row>
    <row r="90" spans="2:84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31"/>
      <c r="U90" s="4"/>
      <c r="V90" s="4" t="str">
        <f t="array" ref="V90">IFERROR(INDEX(BX$7:BX$336,SMALL(IF(BX$7:BX$336&lt;&gt;"",ROW(BX$7:BX$336)-ROW(BX$7)+1),ROWS(BX$7:BX89))),"")</f>
        <v/>
      </c>
      <c r="W90" s="4" t="str">
        <f t="array" ref="W90">IFERROR(INDEX(BY$7:BY$336,SMALL(IF(BY$7:BY$336&lt;&gt;"",ROW(BY$7:BY$336)-ROW(BY$7)+1),ROWS(BY$7:BY89))),"")</f>
        <v/>
      </c>
      <c r="X90" s="4" t="str">
        <f t="array" ref="X90">IFERROR(INDEX(BZ$7:BZ$336,SMALL(IF(BZ$7:BZ$336&lt;&gt;"",ROW(BZ$7:BZ$336)-ROW(BZ$7)+1),ROWS(BZ$7:BZ89))),"")</f>
        <v/>
      </c>
      <c r="Y90" s="4" t="str">
        <f t="array" ref="Y90">IFERROR(INDEX(CA$7:CA$336,SMALL(IF(CA$7:CA$336&lt;&gt;"",ROW(CA$7:CA$336)-ROW(CA$7)+1),ROWS(CA$7:CA89))),"")</f>
        <v/>
      </c>
      <c r="Z90" s="4" t="str">
        <f t="array" ref="Z90">IFERROR(INDEX(CB$7:CB$378,SMALL(IF(CB$7:CB$378&lt;&gt;"",ROW(CB$7:CB$378)-ROW(CB$7)+1),ROWS(CB$7:CB89))),"")</f>
        <v/>
      </c>
      <c r="AA90" s="4" t="str">
        <f t="array" ref="AA90">IFERROR(INDEX(CC$7:CC$378,SMALL(IF(CC$7:CC$378&lt;&gt;"",ROW(CC$7:CC$378)-ROW(CC$7)+1),ROWS(CC$7:CC89))),"")</f>
        <v/>
      </c>
      <c r="AB90" s="4" t="str">
        <f t="array" ref="AB90">IFERROR(INDEX(CD$7:CD$378,SMALL(IF(CD$7:CD$378&lt;&gt;"",ROW(CD$7:CD$378)-ROW(CD$7)+1),ROWS(CD$7:CD89))),"")</f>
        <v/>
      </c>
      <c r="AC90" s="4" t="str">
        <f t="array" ref="AC90">IFERROR(INDEX(CE$7:CE$378,SMALL(IF(CE$7:CE$378&lt;&gt;"",ROW(CE$7:CE$378)-ROW(CE$7)+1),ROWS(CE$7:CE89))),"")</f>
        <v/>
      </c>
      <c r="AD90" s="4"/>
      <c r="AE90" s="4"/>
      <c r="AF90" s="4"/>
      <c r="AG90" s="4"/>
      <c r="AH90" s="4"/>
      <c r="AI90" s="4"/>
      <c r="AJ90" s="46" t="str">
        <f>IF(Atletas!D86="","",IF(Atletas!B86="Feminino",100,IF(Atletas!B86="Masculino",200,""))+(IF(Atletas!D86="Infantil 39kg",1,IF(Atletas!D86="Infantil 42kg",2,IF(Atletas!D86="Infantil 45kg",3,IF(Atletas!D86="Infantil 48kg",4,IF(Atletas!D86="Infantil 52kg",5,IF(Atletas!D86="Infantil 56kg",6,IF(Atletas!D86="Infantil 60kg",7,IF(Atletas!D86="Juvenil 48kg",8,IF(Atletas!D86="Juvenil 52kg",9,IF(Atletas!D86="Juvenil 56kg",10,IF(Atletas!D86="Juvenil 60kg",11,IF(Atletas!D86="Juvenil 65kg",12,IF(Atletas!D86="Juvenil 70kg",13,IF(Atletas!D86="Juvenil 75kg",14,IF(Atletas!D86="Juvenil 80kg",15,IF(Atletas!D86="Adulto 48kg",16,IF(Atletas!D86="Adulto 52kg",17,IF(Atletas!D86="Adulto 56kg",18,IF(Atletas!D86="Adulto 60kg",19,IF(Atletas!D86="Adulto 65kg",20,IF(Atletas!D86="Adulto 70kg",21,IF(Atletas!D86="Adulto 75kg",22,IF(Atletas!D86="Adulto 80kg",23,IF(Atletas!D86="Adulto 85kg",24,IF(Atletas!D86="Adulto 90kg",25,IF(Atletas!D86="Adulto +90kg",26,""))))))))))))))))))))))))))))</f>
        <v/>
      </c>
      <c r="AO90" s="10" t="str">
        <f>IF(Atletas!E86="","",IF(Atletas!B86="Feminino",100,IF(Atletas!B86="Masculino",200,""))+(IF(Atletas!E86="Juvenil 44kg",1,IF(Atletas!E86="Juvenil 48kg",2,IF(Atletas!E86="Juvenil 52kg",3,IF(Atletas!E86="Juvenil 56kg",4,IF(Atletas!E86="Juvenil 60kg",5,IF(Atletas!E86="Juvenil 65kg",6,IF(Atletas!E86="Juvenil 70kg",7,IF(Atletas!E86="Juvenil 75kg",8,IF(Atletas!E86="Juvenil 82kg",9,IF(Atletas!E86="Juvenil 90kg",10,IF(Atletas!E86="Juvenil 100kg",11,IF(Atletas!E86="Adulto 48kg",12,IF(Atletas!E86="Adulto 52kg",13,IF(Atletas!E86="Adulto 56kg",14,IF(Atletas!E86="Adulto 60kg",15,IF(Atletas!E86="Adulto 65kg",16,IF(Atletas!E86="Adulto 70kg",17,IF(Atletas!E86="Adulto 75kg",18,IF(Atletas!E86="Adulto 82kg",19,IF(Atletas!E86="Adulto 90kg",20,IF(Atletas!E86="Adulto 100kg",21,IF(Atletas!E86="Adulto +100kg",22,""))))))))))))))))))))))))</f>
        <v/>
      </c>
      <c r="AT90" s="10" t="str">
        <f>IF(Atletas!F86="","",IF(Atletas!B86="Feminino",100,IF(Atletas!B86="Masculino",200,""))+(IF(Atletas!F86="Adulto 48kg",1,IF(Atletas!F86="Adulto 56kg",2,IF(Atletas!F86="Adulto 65kg",3,IF(Atletas!F86="Adulto 75kg",4,IF(Atletas!F86="Adulto +75kg",5,IF(Atletas!F86="Adulto 52kg",6,IF(Atletas!F86="Adulto 60kg",7,IF(Atletas!F86="Adulto 70kg",8,IF(Atletas!F86="Adulto 80kg",9,IF(Atletas!F86="Adulto 90kg",10,IF(Atletas!F86="Adulto +90kg",11,"")))))))))))))</f>
        <v/>
      </c>
      <c r="AY90" s="46" t="str">
        <f>IF(Atletas!G86="","",IF(Atletas!B86="Feminino",100,IF(Atletas!B86="Masculino",200,""))+(IF(Atletas!G86="Changquan Mirim",1,IF(Atletas!G86="Nanquan Mirim",2,IF(Atletas!G86="Taijiquan Mirim",3,IF(Atletas!G86="Changquan Grupo C",4,IF(Atletas!G86="Nanquan Grupo C",5,IF(Atletas!G86="Taijiquan Grupo C",6,IF(Atletas!G86="Changquan Grupo B",7,IF(Atletas!G86="Nanquan Grupo B",8,IF(Atletas!G86="Taijiquan Grupo B",9,IF(Atletas!G86="Changquan Grupo A",10,IF(Atletas!G86="Nanquan Grupo A",11,IF(Atletas!G86="Taijiquan Grupo A",12,IF(Atletas!G86="Changquan Opcional",13,IF(Atletas!G86="Nanquan Opcional",14,IF(Atletas!G86="Taijiquan Opcional",15,IF(Atletas!G86="Changquan Adulto",16,IF(Atletas!G86="Nanquan Adulto",17,IF(Atletas!G86="Taijiquan Adulto",18,""))))))))))))))))))))</f>
        <v/>
      </c>
      <c r="AZ90" s="46" t="str">
        <f>IF(Atletas!H86="","",IF(Atletas!B86="Feminino",100,IF(Atletas!B86="Masculino",200,""))+(IF(Atletas!H86="Daoshu Mirim",19,IF(Atletas!H86="Jianshu Mirim",20,IF(Atletas!H86="Nandao Mirim",21,IF(Atletas!H86="Taijijian Mirim",22,IF(Atletas!H86="Daoshu Grupo C",23,IF(Atletas!H86="Jianshu Grupo C",24,IF(Atletas!H86="Nandao Grupo C",25,IF(Atletas!H86="Taijijian Grupo C",26,IF(Atletas!H86="Daoshu Grupo B",27,IF(Atletas!H86="Jianshu Grupo B",28,IF(Atletas!H86="Nandao Grupo B",29,IF(Atletas!H86="Taijijian Grupo B",30,IF(Atletas!H86="Daoshu Grupo A",31,IF(Atletas!H86="Jianshu Grupo A",32,IF(Atletas!H86="Nandao Grupo A",33,IF(Atletas!H86="Taijijian Grupo A",34,IF(Atletas!H86="Daoshu Opcional",35,IF(Atletas!H86="Jianshu Opcional",36,IF(Atletas!H86="Nandao Opcional",37,IF(Atletas!H86="Taijijian Opcional",38,IF(Atletas!H86="Daoshu Adulto",39,IF(Atletas!H86="Jianshu Adulto",40,IF(Atletas!H86="Nandao Adulto",41,IF(Atletas!H86="Taijijian Adulto",42,""))))))))))))))))))))))))))</f>
        <v/>
      </c>
      <c r="BA90" s="46" t="str">
        <f>IF(Atletas!I86="","",IF(Atletas!B86="Feminino",100,IF(Atletas!B86="Masculino",200,""))+(IF(Atletas!I86="Gunshu Mirim",43,IF(Atletas!I86="Qiangshu Mirim",44,IF(Atletas!I86="Nangun Mirim",45,IF(Atletas!I86="Gunshu Grupo C",46,IF(Atletas!I86="Qiangshu Grupo C",47,IF(Atletas!I86="Nangun Grupo C",48,IF(Atletas!I86="Gunshu Grupo B",49,IF(Atletas!I86="Qiangshu Grupo B",50,IF(Atletas!I86="Nangun Grupo B",51,IF(Atletas!I86="Gunshu Grupo A",52,IF(Atletas!I86="Qiangshu Grupo A",53,IF(Atletas!I86="Nangun Grupo A",54,IF(Atletas!I86="Gunshu Opcional",55,IF(Atletas!I86="Qiangshu Opcional",56,IF(Atletas!I86="Nangun Opcional",57,IF(Atletas!I86="Gunshu Adulto",58,IF(Atletas!I86="Qiangshu Adulto",59,IF(Atletas!I86="Nangun Adulto",60,""))))))))))))))))))))</f>
        <v/>
      </c>
      <c r="BF90" s="52" t="str">
        <f>IF(Atletas!J86="","",IF(Atletas!B86="Feminino",100,IF(Atletas!B86="Masculino",200,""))+(IF(Atletas!J86="Equipe 1 Grupo B",1,IF(Atletas!J86="Equipe 2 Grupo B",2,IF(Atletas!J86="Equipe 1 Grupo A",3,IF(Atletas!J86="Equipe 2 Grupo A",4,IF(Atletas!J86="Equipe 1 Adulto",5,IF(Atletas!J86="Equipe 2 Adulto",6,""))))))))</f>
        <v/>
      </c>
      <c r="BK90" s="52" t="str">
        <f>IF(Atletas!K86="","",IF(Atletas!W86&lt;&gt;"",10000,0)+(IF(Atletas!B86="Feminino",1000,IF(Atletas!B86="Masculino",2000,""))+IF(Atletas!K86="Choylayfut A",1,IF(Atletas!K86="Hunggar A",2,IF(Atletas!K86="Wuzuquan A",3,IF(Atletas!K86="Wingchun A",4,IF(Atletas!K86="Outra Mão de Sul A",5,IF(Atletas!K86="Choylayfut B",6,IF(Atletas!K86="Hunggar B",7,IF(Atletas!K86="Wuzuquan B",8,IF(Atletas!K86="Wingchun B",9,IF(Atletas!K86="Outra Mão de Sul B",10,IF(Atletas!K86="Choylayfut C",11,IF(Atletas!K86="Hunggar C",12,IF(Atletas!K86="Wuzuquan C",13,IF(Atletas!K86="Wingchun C",14,IF(Atletas!K86="Outra Mão de Sul C",15,IF(Atletas!K86="Choylayfut D",16,IF(Atletas!K86="Hunggar D",17,IF(Atletas!K86="Wuzuquan D",18,IF(Atletas!K86="Wingchun D",19,IF(Atletas!K86="Outra Mão de Sul D",20,IF(Atletas!K86="Choylayfut E",21,IF(Atletas!K86="Hunggar E",22,IF(Atletas!K86="Wuzuquan E",23,IF(Atletas!K86="Wingchun E",24,IF(Atletas!K86="Outra Mão de Sul E",25,IF(Atletas!K86="Choylayfut F",26,IF(Atletas!K86="Hunggar F",27,IF(Atletas!K86="Wuzuquan F",28,IF(Atletas!K86="Wingchun F",29,IF(Atletas!K86="Outra Mão de Sul F",30,""))))))))))))))))))))))))))))))))</f>
        <v/>
      </c>
      <c r="BL90" s="52" t="str">
        <f>IF(Atletas!L86="","",IF(Atletas!W86&lt;&gt;"",10000,0)+(IF(Atletas!B86="Feminino",1000,IF(Atletas!B86="Masculino",2000,""))+(IF(Atletas!L86="Chaquan A",101,IF(Atletas!L86="Emeiquan A",102,IF(Atletas!L86="Fanziquan A",103,IF(Atletas!L86="Huaquan A",104,IF(Atletas!L86="Hongquan A",105,IF(Atletas!L86="Paochui A",106,IF(Atletas!L86="Piguaquan A",107,IF(Atletas!L86="Shaolinquan A",108,IF(Atletas!L86="Tanglangquan A",109,IF(Atletas!L86="Yinzhaophai A",110,IF(Atletas!L86="Tongbeiquan A",111,IF(Atletas!L86="Wudangquan A",112,IF(Atletas!L86="Outros Estilos A",113,IF(Atletas!L86="Chaquan B",114,IF(Atletas!L86="Emeiquan B",115,IF(Atletas!L86="Fanziquan B",116,IF(Atletas!L86="Huaquan B",117,IF(Atletas!L86="Hongquan B",118,IF(Atletas!L86="Paochui B",119,IF(Atletas!L86="Piguaquan B",120,IF(Atletas!L86="Shaolinquan B",121,IF(Atletas!L86="Tanglangquan B",122,IF(Atletas!L86="Yinzhaophai B",123,IF(Atletas!L86="Tongbeiquan B",124,IF(Atletas!L86="Wudangquan B",125,IF(Atletas!L86="Outros Estilos B",126,IF(Atletas!L86="Chaquan C",127,IF(Atletas!L86="Emeiquan C",128,IF(Atletas!L86="Fanziquan C",129,IF(Atletas!L86="Huaquan C",130,IF(Atletas!L86="Hongquan C",131,IF(Atletas!L86="Paochui C",132,IF(Atletas!L86="Piguaquan C",133,IF(Atletas!L86="Shaolinquan C",134,IF(Atletas!L86="Tanglangquan C",135,IF(Atletas!L86="Yinzhaophai C",136,IF(Atletas!L86="Tongbeiquan C",137,IF(Atletas!L86="Wudangquan C",138,IF(Atletas!L86="Outros Estilos C",139,0))))))))))))))))))))))))))))))))))))))))))</f>
        <v/>
      </c>
      <c r="BM90" s="52" t="str">
        <f>IF(Atletas!L86="","",IF(Atletas!W86&lt;&gt;"",10000,0)+(IF(Atletas!B86="Feminino",1000,IF(Atletas!B86="Masculino",2000,""))+(IF(Atletas!L86="Chaquan D",140,IF(Atletas!L86="Emeiquan D",141,IF(Atletas!L86="Fanziquan D",142,IF(Atletas!L86="Huaquan D",143,IF(Atletas!L86="Hongquan D",144,IF(Atletas!L86="Paochui D",145,IF(Atletas!L86="Piguaquan D",146,IF(Atletas!L86="Shaolinquan D",147,IF(Atletas!L86="Tanglangquan D",148,IF(Atletas!L86="Yinzhaophai D",149,IF(Atletas!L86="Tongbeiquan D",150,IF(Atletas!L86="Wudangquan D",151,IF(Atletas!L86="Outros Estilos D",152,IF(Atletas!L86="Chaquan E",153,IF(Atletas!L86="Emeiquan E",154,IF(Atletas!L86="Fanziquan E",155,IF(Atletas!L86="Huaquan E",156,IF(Atletas!L86="Hongquan E",157,IF(Atletas!L86="Paochui E",158,IF(Atletas!L86="Piguaquan E",159,IF(Atletas!L86="Shaolinquan E",160,IF(Atletas!L86="Tanglangquan E",161,IF(Atletas!L86="Yinzhaophai E",162,IF(Atletas!L86="Tongbeiquan E",163,IF(Atletas!L86="Wudangquan E",164,IF(Atletas!L86="Outros Estilos E",165,IF(Atletas!L86="Chaquan F",166,IF(Atletas!L86="Emeiquan F",167,IF(Atletas!L86="Fanziquan F",168,IF(Atletas!L86="Huaquan F",169,IF(Atletas!L86="Hongquan F",170,IF(Atletas!L86="Paochui F",171,IF(Atletas!L86="Piguaquan F",172,IF(Atletas!L86="Shaolinquan F",173,IF(Atletas!L86="Tanglangquan F",174,IF(Atletas!L86="Yinzhaophai F",175,IF(Atletas!L86="Tongbeiquan F",176,IF(Atletas!L86="Wudangquan F",177,IF(Atletas!L86="Outros Estilos F",178,0))))))))))))))))))))))))))))))))))))))))))</f>
        <v/>
      </c>
      <c r="BN90" s="52" t="str">
        <f>IF(Atletas!M86="","",IF(Atletas!W86&lt;&gt;"",10000,0)+(IF(Atletas!B86="Feminino",1000,IF(Atletas!B86="Masculino",2000,""))+(IF(Atletas!M86="Ditangquan A",201,IF(Atletas!M86="Houquan A",202,IF(Atletas!M86="Zuiquan A",203,IF(Atletas!M86="Ditangquan B",204,IF(Atletas!M86="Houquan B",205,IF(Atletas!M86="Zuiquan B",206,IF(Atletas!M86="Ditangquan C",207,IF(Atletas!M86="Houquan C",208,IF(Atletas!M86="Zuiquan C",209,IF(Atletas!M86="Ditangquan D",210,IF(Atletas!M86="Houquan D",211,IF(Atletas!M86="Zuiquan D",212,IF(Atletas!M86="Ditangquan E",213,IF(Atletas!M86="Houquan E",214,IF(Atletas!M86="Zuiquan E",215,IF(Atletas!M86="Ditangquan F",216,IF(Atletas!M86="Houquan F",217,IF(Atletas!M86="Zuiquan F",218,"")))))))))))))))))))))</f>
        <v/>
      </c>
      <c r="BO90" s="52" t="str">
        <f>IF(Atletas!N86="","",IF(Atletas!W86&lt;&gt;"",10000,0)+IF(Atletas!B86="Feminino",1000,IF(Atletas!B86="Masculino",2000,""))+IF(Atletas!N86="Yang A",301,IF(Atletas!N86="Chen A",30,IF(Atletas!N86="Sun A",303,IF(Atletas!N86="Wu A",304,IF(Atletas!N86="Wu-Hao A",305,IF(Atletas!N86="Outro Taijiquan A",306,IF(Atletas!N86="Yang B",307,IF(Atletas!N86="Chen B",308,IF(Atletas!N86="Sun B",309,IF(Atletas!N86="Wu B",310,IF(Atletas!N86="Wu-Hao B",311,IF(Atletas!N86="Outro Taijiquan B",312,IF(Atletas!N86="Yang C",313,IF(Atletas!N86="Chen C",314,IF(Atletas!N86="Sun C",315,IF(Atletas!N86="Wu C",316,IF(Atletas!N86="Wu-Hao C",317,IF(Atletas!N86="Outro Taijiquan C",318,IF(Atletas!N86="Yang D",319,IF(Atletas!N86="Chen D",320,IF(Atletas!N86="Sun D",321,IF(Atletas!N86="Wu D",322,IF(Atletas!N86="Wu-Hao D",323,IF(Atletas!N86="Outro Taijiquan D",324,IF(Atletas!N86="Yang E",325,IF(Atletas!N86="Chen E",326,IF(Atletas!N86="Sun E",327,IF(Atletas!N86="Wu E",328,IF(Atletas!N86="Wu-Hao E",329,IF(Atletas!N86="Outro Taijiquan E",330,IF(Atletas!N86="Yang F",331,IF(Atletas!N86="Chen F",332,IF(Atletas!N86="Sun F",333,IF(Atletas!N86="Wu F",334,IF(Atletas!N86="Wu-Hao F",335,IF(Atletas!N86="Outro Taijiquan F",336,"")))))))))))))))))))))))))))))))))))))</f>
        <v/>
      </c>
      <c r="BP90" s="52" t="str">
        <f>IF(Atletas!O86="","",IF(Atletas!W86&lt;&gt;"",10000,0)+IF(Atletas!B86="Feminino",1000,IF(Atletas!B86="Masculino",2000,""))+IF(OR(Atletas!O86="Yang 26 A",Atletas!O86="Yang 40 A"),401,IF(OR(Atletas!O86="Chen 25 A",Atletas!O86="Chen 36 A",Atletas!O86="Chen 56 A"),402,IF(Atletas!O86="Sun 73 A",403,IF(Atletas!O86="Wu 45 A",404,IF(Atletas!O86="Wu-Hao 46 A",405,IF(OR(Atletas!O86="Taijiquan 16 A",Atletas!O86="Taijiquan 24 A",Atletas!O86="Taijiquan 32 A",Atletas!O86="Taijiquan 42 A"),406,IF(OR(Atletas!O86="Yang 26 B",Atletas!O86="Yang 40 B"),407,IF(OR(Atletas!O86="Chen 25 B",Atletas!O86="Chen 36 B",Atletas!O86="Chen 56 B"),408,IF(Atletas!O86="Sun 73 B",409,IF(Atletas!O86="Wu 45 B",410,IF(Atletas!O86="Wu-Hao 46 B",411,IF(OR(Atletas!O86="Taijiquan 16 B",Atletas!O86="Taijiquan 24 B",Atletas!O86="Taijiquan 32 B",Atletas!O86="Taijiquan 42 B"),412,IF(OR(Atletas!O86="Yang 26 C",Atletas!O86="Yang 40 C"),413,IF(OR(Atletas!O86="Chen 25 C",Atletas!O86="Chen 36 C",Atletas!O86="Chen 56 C"),414,IF(Atletas!O86="Sun 73 C",415,IF(Atletas!O86="Wu 45 C",416,IF(Atletas!O86="Wu-Hao 46 C",417,IF(OR(Atletas!O86="Taijiquan 16 C",Atletas!O86="Taijiquan 24 C",Atletas!O86="Taijiquan 32 C",Atletas!O86="Taijiquan 42 C"),418,0)))))))))))))))))))</f>
        <v/>
      </c>
      <c r="BQ90" s="52" t="str">
        <f>IF(Atletas!O86="","",IF(Atletas!W86&lt;&gt;"",10000,0)+IF(Atletas!B86="Feminino",1000,IF(Atletas!B86="Masculino",2000,""))+IF(OR(Atletas!O86="Yang 26 D",Atletas!O86="Yang 40 D"),419,IF(OR(Atletas!O86="Chen 25 D",Atletas!O86="Chen 36 D",Atletas!O86="Chen 56 D"),420,IF(Atletas!O86="Sun 73 D",421,IF(Atletas!O86="Wu 45 D",422,IF(Atletas!O86="Wu-Hao 46 D",423,IF(OR(Atletas!O86="Taijiquan 16 D",Atletas!O86="Taijiquan 24 D",Atletas!O86="Taijiquan 32 D",Atletas!O86="Taijiquan 42 D"),424,IF(OR(Atletas!O86="Yang 26 E",Atletas!O86="Yang 40 E"),425,IF(OR(Atletas!O86="Chen 25 E",Atletas!O86="Chen 36 E",Atletas!O86="Chen 56 E"),426,IF(Atletas!O86="Sun 73 E",427,IF(Atletas!O86="Wu 45 E",428,IF(Atletas!O86="Wu-Hao 46 E",429,IF(OR(Atletas!O86="Taijiquan 16 E",Atletas!O86="Taijiquan 24 E",Atletas!O86="Taijiquan 32 E",Atletas!O86="Taijiquan 42 E"),430,IF(OR(Atletas!O86="Yang 26 F",Atletas!O86="Yang 40 F"),431,IF(OR(Atletas!O86="Chen 25 F",Atletas!O86="Chen 36 F",Atletas!O86="Chen 56 F"),432,IF(Atletas!O86="Sun 73 F",433,IF(Atletas!O86="Wu 45 F",434,IF(Atletas!O86="Wu-Hao 46 F",435,IF(OR(Atletas!O86="Taijiquan 16 F",Atletas!O86="Taijiquan 24 F",Atletas!O86="Taijiquan 32 F",Atletas!O86="Taijiquan 42 F"),436,0)))))))))))))))))))</f>
        <v/>
      </c>
      <c r="BR90" s="52" t="str">
        <f>IF(Atletas!P86="","",IF(Atletas!W86&lt;&gt;"",10000,0)+IF(Atletas!B86="Feminino",1000,IF(Atletas!B86="Masculino",2000,""))+IF(Atletas!P86="Xingyiquan A",501,IF(Atletas!P86="Baguazhang A",502,IF(Atletas!P86="Outro Estilo Interno A",503,IF(Atletas!P86="Xingyiquan B",504,IF(Atletas!P86="Baguazhang B",505,IF(Atletas!P86="Outro Estilo Interno B",506,IF(Atletas!P86="Xingyiquan C",507,IF(Atletas!P86="Baguazhang C",508,IF(Atletas!P86="Outro Estilo Interno C",509,IF(Atletas!P86="Xingyiquan D",510,IF(Atletas!P86="Baguazhang D",511,IF(Atletas!P86="Outro Estilo Interno D",512,IF(Atletas!P86="Xingyiquan E",513,IF(Atletas!P86="Baguazhang E",514,IF(Atletas!P86="Outro Estilo Interno E",515,IF(Atletas!P86="Xingyiquan F",516,IF(Atletas!P86="Baguazhang F",517,IF(Atletas!P86="Outro Estilo Interno F",518, "")))))))))))))))))))</f>
        <v/>
      </c>
      <c r="BS90" s="52" t="str">
        <f>IF(Atletas!Q86="","",IF(Atletas!W86&lt;&gt;"",10000,0)+IF(Atletas!B86="Feminino",1000,IF(Atletas!B86="Masculino",2000,""))+IF(Atletas!Q86="Dao A",601,IF(Atletas!Q86="Jian A",602,IF(Atletas!Q86="Bishou A",603,IF(Atletas!Q86="Shan A",604,IF(Atletas!Q86="Outra Arma Curta A",605,IF(Atletas!Q86="Dao B",606,IF(Atletas!Q86="Jian B",607,IF(Atletas!Q86="Bishou B",608,IF(Atletas!Q86="Shan B",609,IF(Atletas!Q86="Outra Arma Curta B",610,IF(Atletas!Q86="Dao C",611,IF(Atletas!Q86="Jian C",612,IF(Atletas!Q86="Bishou C",613,IF(Atletas!Q86="Shan C",614,IF(Atletas!Q86="Outra Arma Curta C",615,IF(Atletas!Q86="Dao D",616,IF(Atletas!Q86="Jian D",617,IF(Atletas!Q86="Bishou D",618,IF(Atletas!Q86="Shan D",619,IF(Atletas!Q86="Outra Arma Curta D",620,IF(Atletas!Q86="Dao E",621,IF(Atletas!Q86="Jian E",622,IF(Atletas!Q86="Bishou E",623,IF(Atletas!Q86="Shan E",624,IF(Atletas!Q86="Outra Arma Curta E",625,IF(Atletas!Q86="Dao F",626,IF(Atletas!Q86="Jian F",627,IF(Atletas!Q86="Bishou F",628,IF(Atletas!Q86="Shan F",629,IF(Atletas!Q86="Outra Arma Curta F",630, "")))))))))))))))))))))))))))))))</f>
        <v/>
      </c>
      <c r="BT90" s="52" t="str">
        <f>IF(Atletas!R86="","",IF(Atletas!W86&lt;&gt;"",10000,0)+IF(Atletas!B86="Feminino",1000,IF(Atletas!B86="Masculino",2000,""))+IF(Atletas!R86="Gun A",701,IF(Atletas!R86="Qiang A",702,IF(Atletas!R86="Pudao / Guandao A",703,IF(Atletas!R86="Outra Arma Longa A",704,IF(Atletas!R86="Gun B",705,IF(Atletas!R86="Qiang B",706,IF(Atletas!R86="Pudao / Guandao B",707,IF(Atletas!R86="Outra Arma Longa B",708,IF(Atletas!R86="Gun C",709,IF(Atletas!R86="Qiang C",710,IF(Atletas!R86="Pudao / Guandao C",711,IF(Atletas!R86="Outra Arma Longa C",712,IF(Atletas!R86="Gun D",713,IF(Atletas!R86="Qiang D",714,IF(Atletas!R86="Pudao / Guandao D",715,IF(Atletas!R86="Outra Arma Longa D",716,IF(Atletas!R86="Gun E",717,IF(Atletas!R86="Qiang E",718,IF(Atletas!R86="Pudao / Guandao E",719,IF(Atletas!R86="Outra Arma Longa E",720,IF(Atletas!R86="Gun F",721,IF(Atletas!R86="Qiang F",722,IF(Atletas!R86="Pudao / Guandao F",723,IF(Atletas!R86="Outra Arma Longa F",724,"")))))))))))))))))))))))))</f>
        <v/>
      </c>
      <c r="BU90" s="52" t="str">
        <f>IF(Atletas!S86="","",IF(Atletas!W86&lt;&gt;"",10000,0)+IF(Atletas!B86="Feminino",1000,IF(Atletas!B86="Masculino",2000,""))+IF(Atletas!S86="Arma Dupla A",801,IF(Atletas!S86="Arma Maleável A",802,IF(Atletas!S86="Arma Dupla B",803,IF(Atletas!S86="Arma Maleável B",804,IF(Atletas!S86="Arma Dupla C",805,IF(Atletas!S86="Arma Maleável C",806,IF(Atletas!S86="Arma Dupla D",807,IF(Atletas!S86="Arma Maleável D",808,IF(Atletas!S86="Arma Dupla E",809,IF(Atletas!S86="Arma Maleável E",810,IF(Atletas!S86="Arma Dupla F",811,IF(Atletas!S86="Arma Maleável F",812, "")))))))))))))</f>
        <v/>
      </c>
      <c r="BV90" s="52" t="str">
        <f>IF(Atletas!T86="","",IF(Atletas!W86&lt;&gt;"",10000,0)+IF(Atletas!B86="Feminino",1000,IF(Atletas!B86="Masculino",2000,""))+IF(Atletas!T86="Taijijian Yang A",901,IF(Atletas!T86="Taijijian Chen A",902,IF(Atletas!T86="Taijijian Sun A",903,IF(Atletas!T86="Taijijian Wu A",904,IF(Atletas!T86="Taijijian Wu-Hao A",905,IF(Atletas!T86="Taijijian 32 A",906,IF(Atletas!T86="Taijijian 42 A",907,IF(Atletas!T86="Taijijian Yang B",908,IF(Atletas!T86="Taijijian Chen B",909,IF(Atletas!T86="Taijijian Sun B",910,IF(Atletas!T86="Taijijian Wu B",911,IF(Atletas!T86="Taijijian Wu-Hao B",912,IF(Atletas!T86="Taijijian 32 B",913,IF(Atletas!T86="Taijijian 42 B",914,IF(Atletas!T86="Taijijian Yang C",915,IF(Atletas!T86="Taijijian Chen C",916,IF(Atletas!T86="Taijijian Sun C",917,IF(Atletas!T86="Taijijian Wu C",918,IF(Atletas!T86="Taijijian Wu-Hao C",919,IF(Atletas!T86="Taijijian 32 C",920,IF(Atletas!T86="Taijijian 42 C",921,IF(Atletas!T86="Taijijian Yang D",922,IF(Atletas!T86="Taijijian Chen D",923,IF(Atletas!T86="Taijijian Sun D",924,IF(Atletas!T86="Taijijian Wu D",925,IF(Atletas!T86="Taijijian Wu-Hao D",926,IF(Atletas!T86="Taijijian 32 D",927,IF(Atletas!T86="Taijijian 42 D",928,IF(Atletas!T86="Taijijian Yang E",929,IF(Atletas!T86="Taijijian Chen E",930,IF(Atletas!T86="Taijijian Sun E",931,IF(Atletas!T86="Taijijian Wu E",932,IF(Atletas!T86="Taijijian Wu-Hao E",933,IF(Atletas!T86="Taijijian 32 E",934,IF(Atletas!T86="Taijijian 42 E",935,IF(Atletas!T86="Taijijian Yang F",936,IF(Atletas!T86="Taijijian Chen F",937,IF(Atletas!T86="Taijijian Sun F",938,IF(Atletas!T86="Taijijian Wu F",939,IF(Atletas!T86="Taijijian Wu-Hao F",940,IF(Atletas!T86="Taijijian 32 F",941,IF(Atletas!T86="Taijijian 42 F",942,"")))))))))))))))))))))))))))))))))))))))))))</f>
        <v/>
      </c>
      <c r="BW90" s="52" t="str">
        <f>IF(Atletas!U86="","",IF(Atletas!W86&lt;&gt;"",10000,0)+IF(Atletas!B86="Feminino",1000,IF(Atletas!B86="Masculino",2000,""))+IF(Atletas!T86="Taijijian 42 F",942,IF(Atletas!U86="Taijidao A",943,IF(Atletas!U86="Taijishan A",944,IF(Atletas!U86="Taijiqiang A",945,IF(Atletas!U86="Taijidao B",946,IF(Atletas!U86="Taijishan B",947,IF(Atletas!U86="Taijiqiang B",948,IF(Atletas!U86="Taijidao C",949,IF(Atletas!U86="Taijishan C",950,IF(Atletas!U86="Taijiqiang C",951,IF(Atletas!U86="Taijidao D",952,IF(Atletas!U86="Taijishan D",953,IF(Atletas!U86="Taijiqiang D",954,IF(Atletas!U86="Taijidao E",955,IF(Atletas!U86="Taijishan E",956,IF(Atletas!U86="Taijiqiang E",957,IF(Atletas!U86="Taijidao F",958,IF(Atletas!U86="Taijishan F",959,IF(Atletas!U86="Taijiqiang F",960))))))))))))))))))))</f>
        <v/>
      </c>
      <c r="BX90" s="64" t="str">
        <f>IF(BY90&lt;&gt;"","Emeiquan E","")</f>
        <v/>
      </c>
      <c r="BY90" s="64" t="str">
        <f>IF(COUNTIF(BK:BW,1154)&gt;0,COUNTIF(BK:BW,1154),"")</f>
        <v/>
      </c>
      <c r="BZ90" s="64" t="str">
        <f>IF(CA90&lt;&gt;"","Emeiquan E","")</f>
        <v/>
      </c>
      <c r="CA90" s="64" t="str">
        <f>IF(COUNTIF(BK:BW,2154)&gt;0,COUNTIF(BK:BW,2154),"")</f>
        <v/>
      </c>
      <c r="CB90" s="64" t="str">
        <f>IF(CC90&lt;&gt;"","Emeiquan E","")</f>
        <v/>
      </c>
      <c r="CC90" s="64" t="str">
        <f>IF(COUNTIF(BK:BW,11154)&gt;0,COUNTIF(BK:BW,11154),"")</f>
        <v/>
      </c>
      <c r="CD90" s="64" t="str">
        <f>IF(CE90&lt;&gt;"","Emeiquan E","")</f>
        <v/>
      </c>
      <c r="CE90" s="64" t="str">
        <f>IF(COUNTIF(BK:BW,12154)&gt;0,COUNTIF(BK:BW,12154),"")</f>
        <v/>
      </c>
      <c r="CF90" s="52" t="str">
        <f xml:space="preserve"> IF(Atletas!V86="","",IF(Atletas!V86="Duilian de Mãos AB - Equipe 1",1,IF(Atletas!V86="Duilian de Mãos AB - Equipe 2",2,IF(Atletas!V86="Duilian de Armas AB - Equipe 1",3,IF(Atletas!V86="Duilian de Armas AB - Equipe 2",4,IF(Atletas!V86="Duilian de Tuishou - Equipe 1",5,IF(Atletas!V86="Duilian de Tuishou - Equipe 2",6,IF(Atletas!V86="Grupo Externo AB - Equipe 1",7,IF(Atletas!V86="Grupo Externo AB - Equipe 2",8,IF(Atletas!V86="Grupo Interno AB - Equipe 1",9,IF(Atletas!V86="Grupo Interno AB - Equipe 2",10,IF(Atletas!V86="Duilian de Mãos CD - Equipe 1",11,IF(Atletas!V86="Duilian de Mãos CD - Equipe 2",12,IF(Atletas!V86="Duilian de Armas CD - Equipe 1",13,IF(Atletas!V86="Duilian de Armas CD - Equipe 2",14,IF(Atletas!V86="Duilian de Tuishou - Equipe 1",15,IF(Atletas!V86="Duilian de Tuishou - Equipe 2",16,IF(Atletas!V86="Grupo Externo CDEF - Equipe 1",17,IF(Atletas!V86="Grupo Externo CDEF - Equipe 2",18,IF(Atletas!V86="Grupo Interno CDEF - Equipe 1",19,IF(Atletas!V86="Grupo Interno CDEF - Equipe 2",20,IF(Atletas!V86="Duilian de Mãos EF - Equipe 1",21,IF(Atletas!V86="Duilian de Mãos EF - Equipe 2",22,IF(Atletas!V86="Duilian de Armas EF - Equipe 1",23,IF(Atletas!V86="Duilian de Armas EF - Equipe 2",24,IF(Atletas!V86="Duilian de Tuishou - Equipe 1",25,IF(Atletas!V86="Duilian de Tuishou - Equipe 2",26,"")))))))))))))))))))))))))))</f>
        <v/>
      </c>
    </row>
    <row r="91" spans="2:84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65"/>
      <c r="U91" s="4"/>
      <c r="V91" s="4" t="str">
        <f t="array" ref="V91">IFERROR(INDEX(BX$7:BX$336,SMALL(IF(BX$7:BX$336&lt;&gt;"",ROW(BX$7:BX$336)-ROW(BX$7)+1),ROWS(BX$7:BX90))),"")</f>
        <v/>
      </c>
      <c r="W91" s="4" t="str">
        <f t="array" ref="W91">IFERROR(INDEX(BY$7:BY$336,SMALL(IF(BY$7:BY$336&lt;&gt;"",ROW(BY$7:BY$336)-ROW(BY$7)+1),ROWS(BY$7:BY90))),"")</f>
        <v/>
      </c>
      <c r="X91" s="4" t="str">
        <f t="array" ref="X91">IFERROR(INDEX(BZ$7:BZ$336,SMALL(IF(BZ$7:BZ$336&lt;&gt;"",ROW(BZ$7:BZ$336)-ROW(BZ$7)+1),ROWS(BZ$7:BZ90))),"")</f>
        <v/>
      </c>
      <c r="Y91" s="4" t="str">
        <f t="array" ref="Y91">IFERROR(INDEX(CA$7:CA$336,SMALL(IF(CA$7:CA$336&lt;&gt;"",ROW(CA$7:CA$336)-ROW(CA$7)+1),ROWS(CA$7:CA90))),"")</f>
        <v/>
      </c>
      <c r="Z91" s="4" t="str">
        <f t="array" ref="Z91">IFERROR(INDEX(CB$7:CB$378,SMALL(IF(CB$7:CB$378&lt;&gt;"",ROW(CB$7:CB$378)-ROW(CB$7)+1),ROWS(CB$7:CB90))),"")</f>
        <v/>
      </c>
      <c r="AA91" s="4" t="str">
        <f t="array" ref="AA91">IFERROR(INDEX(CC$7:CC$378,SMALL(IF(CC$7:CC$378&lt;&gt;"",ROW(CC$7:CC$378)-ROW(CC$7)+1),ROWS(CC$7:CC90))),"")</f>
        <v/>
      </c>
      <c r="AB91" s="4" t="str">
        <f t="array" ref="AB91">IFERROR(INDEX(CD$7:CD$378,SMALL(IF(CD$7:CD$378&lt;&gt;"",ROW(CD$7:CD$378)-ROW(CD$7)+1),ROWS(CD$7:CD90))),"")</f>
        <v/>
      </c>
      <c r="AC91" s="4" t="str">
        <f t="array" ref="AC91">IFERROR(INDEX(CE$7:CE$378,SMALL(IF(CE$7:CE$378&lt;&gt;"",ROW(CE$7:CE$378)-ROW(CE$7)+1),ROWS(CE$7:CE90))),"")</f>
        <v/>
      </c>
      <c r="AD91" s="4"/>
      <c r="AE91" s="4"/>
      <c r="AF91" s="4"/>
      <c r="AG91" s="4"/>
      <c r="AH91" s="4"/>
      <c r="AI91" s="4"/>
      <c r="AJ91" s="46" t="str">
        <f>IF(Atletas!D87="","",IF(Atletas!B87="Feminino",100,IF(Atletas!B87="Masculino",200,""))+(IF(Atletas!D87="Infantil 39kg",1,IF(Atletas!D87="Infantil 42kg",2,IF(Atletas!D87="Infantil 45kg",3,IF(Atletas!D87="Infantil 48kg",4,IF(Atletas!D87="Infantil 52kg",5,IF(Atletas!D87="Infantil 56kg",6,IF(Atletas!D87="Infantil 60kg",7,IF(Atletas!D87="Juvenil 48kg",8,IF(Atletas!D87="Juvenil 52kg",9,IF(Atletas!D87="Juvenil 56kg",10,IF(Atletas!D87="Juvenil 60kg",11,IF(Atletas!D87="Juvenil 65kg",12,IF(Atletas!D87="Juvenil 70kg",13,IF(Atletas!D87="Juvenil 75kg",14,IF(Atletas!D87="Juvenil 80kg",15,IF(Atletas!D87="Adulto 48kg",16,IF(Atletas!D87="Adulto 52kg",17,IF(Atletas!D87="Adulto 56kg",18,IF(Atletas!D87="Adulto 60kg",19,IF(Atletas!D87="Adulto 65kg",20,IF(Atletas!D87="Adulto 70kg",21,IF(Atletas!D87="Adulto 75kg",22,IF(Atletas!D87="Adulto 80kg",23,IF(Atletas!D87="Adulto 85kg",24,IF(Atletas!D87="Adulto 90kg",25,IF(Atletas!D87="Adulto +90kg",26,""))))))))))))))))))))))))))))</f>
        <v/>
      </c>
      <c r="AO91" s="10" t="str">
        <f>IF(Atletas!E87="","",IF(Atletas!B87="Feminino",100,IF(Atletas!B87="Masculino",200,""))+(IF(Atletas!E87="Juvenil 44kg",1,IF(Atletas!E87="Juvenil 48kg",2,IF(Atletas!E87="Juvenil 52kg",3,IF(Atletas!E87="Juvenil 56kg",4,IF(Atletas!E87="Juvenil 60kg",5,IF(Atletas!E87="Juvenil 65kg",6,IF(Atletas!E87="Juvenil 70kg",7,IF(Atletas!E87="Juvenil 75kg",8,IF(Atletas!E87="Juvenil 82kg",9,IF(Atletas!E87="Juvenil 90kg",10,IF(Atletas!E87="Juvenil 100kg",11,IF(Atletas!E87="Adulto 48kg",12,IF(Atletas!E87="Adulto 52kg",13,IF(Atletas!E87="Adulto 56kg",14,IF(Atletas!E87="Adulto 60kg",15,IF(Atletas!E87="Adulto 65kg",16,IF(Atletas!E87="Adulto 70kg",17,IF(Atletas!E87="Adulto 75kg",18,IF(Atletas!E87="Adulto 82kg",19,IF(Atletas!E87="Adulto 90kg",20,IF(Atletas!E87="Adulto 100kg",21,IF(Atletas!E87="Adulto +100kg",22,""))))))))))))))))))))))))</f>
        <v/>
      </c>
      <c r="AT91" s="10" t="str">
        <f>IF(Atletas!F87="","",IF(Atletas!B87="Feminino",100,IF(Atletas!B87="Masculino",200,""))+(IF(Atletas!F87="Adulto 48kg",1,IF(Atletas!F87="Adulto 56kg",2,IF(Atletas!F87="Adulto 65kg",3,IF(Atletas!F87="Adulto 75kg",4,IF(Atletas!F87="Adulto +75kg",5,IF(Atletas!F87="Adulto 52kg",6,IF(Atletas!F87="Adulto 60kg",7,IF(Atletas!F87="Adulto 70kg",8,IF(Atletas!F87="Adulto 80kg",9,IF(Atletas!F87="Adulto 90kg",10,IF(Atletas!F87="Adulto +90kg",11,"")))))))))))))</f>
        <v/>
      </c>
      <c r="AY91" s="46" t="str">
        <f>IF(Atletas!G87="","",IF(Atletas!B87="Feminino",100,IF(Atletas!B87="Masculino",200,""))+(IF(Atletas!G87="Changquan Mirim",1,IF(Atletas!G87="Nanquan Mirim",2,IF(Atletas!G87="Taijiquan Mirim",3,IF(Atletas!G87="Changquan Grupo C",4,IF(Atletas!G87="Nanquan Grupo C",5,IF(Atletas!G87="Taijiquan Grupo C",6,IF(Atletas!G87="Changquan Grupo B",7,IF(Atletas!G87="Nanquan Grupo B",8,IF(Atletas!G87="Taijiquan Grupo B",9,IF(Atletas!G87="Changquan Grupo A",10,IF(Atletas!G87="Nanquan Grupo A",11,IF(Atletas!G87="Taijiquan Grupo A",12,IF(Atletas!G87="Changquan Opcional",13,IF(Atletas!G87="Nanquan Opcional",14,IF(Atletas!G87="Taijiquan Opcional",15,IF(Atletas!G87="Changquan Adulto",16,IF(Atletas!G87="Nanquan Adulto",17,IF(Atletas!G87="Taijiquan Adulto",18,""))))))))))))))))))))</f>
        <v/>
      </c>
      <c r="AZ91" s="46" t="str">
        <f>IF(Atletas!H87="","",IF(Atletas!B87="Feminino",100,IF(Atletas!B87="Masculino",200,""))+(IF(Atletas!H87="Daoshu Mirim",19,IF(Atletas!H87="Jianshu Mirim",20,IF(Atletas!H87="Nandao Mirim",21,IF(Atletas!H87="Taijijian Mirim",22,IF(Atletas!H87="Daoshu Grupo C",23,IF(Atletas!H87="Jianshu Grupo C",24,IF(Atletas!H87="Nandao Grupo C",25,IF(Atletas!H87="Taijijian Grupo C",26,IF(Atletas!H87="Daoshu Grupo B",27,IF(Atletas!H87="Jianshu Grupo B",28,IF(Atletas!H87="Nandao Grupo B",29,IF(Atletas!H87="Taijijian Grupo B",30,IF(Atletas!H87="Daoshu Grupo A",31,IF(Atletas!H87="Jianshu Grupo A",32,IF(Atletas!H87="Nandao Grupo A",33,IF(Atletas!H87="Taijijian Grupo A",34,IF(Atletas!H87="Daoshu Opcional",35,IF(Atletas!H87="Jianshu Opcional",36,IF(Atletas!H87="Nandao Opcional",37,IF(Atletas!H87="Taijijian Opcional",38,IF(Atletas!H87="Daoshu Adulto",39,IF(Atletas!H87="Jianshu Adulto",40,IF(Atletas!H87="Nandao Adulto",41,IF(Atletas!H87="Taijijian Adulto",42,""))))))))))))))))))))))))))</f>
        <v/>
      </c>
      <c r="BA91" s="46" t="str">
        <f>IF(Atletas!I87="","",IF(Atletas!B87="Feminino",100,IF(Atletas!B87="Masculino",200,""))+(IF(Atletas!I87="Gunshu Mirim",43,IF(Atletas!I87="Qiangshu Mirim",44,IF(Atletas!I87="Nangun Mirim",45,IF(Atletas!I87="Gunshu Grupo C",46,IF(Atletas!I87="Qiangshu Grupo C",47,IF(Atletas!I87="Nangun Grupo C",48,IF(Atletas!I87="Gunshu Grupo B",49,IF(Atletas!I87="Qiangshu Grupo B",50,IF(Atletas!I87="Nangun Grupo B",51,IF(Atletas!I87="Gunshu Grupo A",52,IF(Atletas!I87="Qiangshu Grupo A",53,IF(Atletas!I87="Nangun Grupo A",54,IF(Atletas!I87="Gunshu Opcional",55,IF(Atletas!I87="Qiangshu Opcional",56,IF(Atletas!I87="Nangun Opcional",57,IF(Atletas!I87="Gunshu Adulto",58,IF(Atletas!I87="Qiangshu Adulto",59,IF(Atletas!I87="Nangun Adulto",60,""))))))))))))))))))))</f>
        <v/>
      </c>
      <c r="BF91" s="52" t="str">
        <f>IF(Atletas!J87="","",IF(Atletas!B87="Feminino",100,IF(Atletas!B87="Masculino",200,""))+(IF(Atletas!J87="Equipe 1 Grupo B",1,IF(Atletas!J87="Equipe 2 Grupo B",2,IF(Atletas!J87="Equipe 1 Grupo A",3,IF(Atletas!J87="Equipe 2 Grupo A",4,IF(Atletas!J87="Equipe 1 Adulto",5,IF(Atletas!J87="Equipe 2 Adulto",6,""))))))))</f>
        <v/>
      </c>
      <c r="BK91" s="52" t="str">
        <f>IF(Atletas!K87="","",IF(Atletas!W87&lt;&gt;"",10000,0)+(IF(Atletas!B87="Feminino",1000,IF(Atletas!B87="Masculino",2000,""))+IF(Atletas!K87="Choylayfut A",1,IF(Atletas!K87="Hunggar A",2,IF(Atletas!K87="Wuzuquan A",3,IF(Atletas!K87="Wingchun A",4,IF(Atletas!K87="Outra Mão de Sul A",5,IF(Atletas!K87="Choylayfut B",6,IF(Atletas!K87="Hunggar B",7,IF(Atletas!K87="Wuzuquan B",8,IF(Atletas!K87="Wingchun B",9,IF(Atletas!K87="Outra Mão de Sul B",10,IF(Atletas!K87="Choylayfut C",11,IF(Atletas!K87="Hunggar C",12,IF(Atletas!K87="Wuzuquan C",13,IF(Atletas!K87="Wingchun C",14,IF(Atletas!K87="Outra Mão de Sul C",15,IF(Atletas!K87="Choylayfut D",16,IF(Atletas!K87="Hunggar D",17,IF(Atletas!K87="Wuzuquan D",18,IF(Atletas!K87="Wingchun D",19,IF(Atletas!K87="Outra Mão de Sul D",20,IF(Atletas!K87="Choylayfut E",21,IF(Atletas!K87="Hunggar E",22,IF(Atletas!K87="Wuzuquan E",23,IF(Atletas!K87="Wingchun E",24,IF(Atletas!K87="Outra Mão de Sul E",25,IF(Atletas!K87="Choylayfut F",26,IF(Atletas!K87="Hunggar F",27,IF(Atletas!K87="Wuzuquan F",28,IF(Atletas!K87="Wingchun F",29,IF(Atletas!K87="Outra Mão de Sul F",30,""))))))))))))))))))))))))))))))))</f>
        <v/>
      </c>
      <c r="BL91" s="52" t="str">
        <f>IF(Atletas!L87="","",IF(Atletas!W87&lt;&gt;"",10000,0)+(IF(Atletas!B87="Feminino",1000,IF(Atletas!B87="Masculino",2000,""))+(IF(Atletas!L87="Chaquan A",101,IF(Atletas!L87="Emeiquan A",102,IF(Atletas!L87="Fanziquan A",103,IF(Atletas!L87="Huaquan A",104,IF(Atletas!L87="Hongquan A",105,IF(Atletas!L87="Paochui A",106,IF(Atletas!L87="Piguaquan A",107,IF(Atletas!L87="Shaolinquan A",108,IF(Atletas!L87="Tanglangquan A",109,IF(Atletas!L87="Yinzhaophai A",110,IF(Atletas!L87="Tongbeiquan A",111,IF(Atletas!L87="Wudangquan A",112,IF(Atletas!L87="Outros Estilos A",113,IF(Atletas!L87="Chaquan B",114,IF(Atletas!L87="Emeiquan B",115,IF(Atletas!L87="Fanziquan B",116,IF(Atletas!L87="Huaquan B",117,IF(Atletas!L87="Hongquan B",118,IF(Atletas!L87="Paochui B",119,IF(Atletas!L87="Piguaquan B",120,IF(Atletas!L87="Shaolinquan B",121,IF(Atletas!L87="Tanglangquan B",122,IF(Atletas!L87="Yinzhaophai B",123,IF(Atletas!L87="Tongbeiquan B",124,IF(Atletas!L87="Wudangquan B",125,IF(Atletas!L87="Outros Estilos B",126,IF(Atletas!L87="Chaquan C",127,IF(Atletas!L87="Emeiquan C",128,IF(Atletas!L87="Fanziquan C",129,IF(Atletas!L87="Huaquan C",130,IF(Atletas!L87="Hongquan C",131,IF(Atletas!L87="Paochui C",132,IF(Atletas!L87="Piguaquan C",133,IF(Atletas!L87="Shaolinquan C",134,IF(Atletas!L87="Tanglangquan C",135,IF(Atletas!L87="Yinzhaophai C",136,IF(Atletas!L87="Tongbeiquan C",137,IF(Atletas!L87="Wudangquan C",138,IF(Atletas!L87="Outros Estilos C",139,0))))))))))))))))))))))))))))))))))))))))))</f>
        <v/>
      </c>
      <c r="BM91" s="52" t="str">
        <f>IF(Atletas!L87="","",IF(Atletas!W87&lt;&gt;"",10000,0)+(IF(Atletas!B87="Feminino",1000,IF(Atletas!B87="Masculino",2000,""))+(IF(Atletas!L87="Chaquan D",140,IF(Atletas!L87="Emeiquan D",141,IF(Atletas!L87="Fanziquan D",142,IF(Atletas!L87="Huaquan D",143,IF(Atletas!L87="Hongquan D",144,IF(Atletas!L87="Paochui D",145,IF(Atletas!L87="Piguaquan D",146,IF(Atletas!L87="Shaolinquan D",147,IF(Atletas!L87="Tanglangquan D",148,IF(Atletas!L87="Yinzhaophai D",149,IF(Atletas!L87="Tongbeiquan D",150,IF(Atletas!L87="Wudangquan D",151,IF(Atletas!L87="Outros Estilos D",152,IF(Atletas!L87="Chaquan E",153,IF(Atletas!L87="Emeiquan E",154,IF(Atletas!L87="Fanziquan E",155,IF(Atletas!L87="Huaquan E",156,IF(Atletas!L87="Hongquan E",157,IF(Atletas!L87="Paochui E",158,IF(Atletas!L87="Piguaquan E",159,IF(Atletas!L87="Shaolinquan E",160,IF(Atletas!L87="Tanglangquan E",161,IF(Atletas!L87="Yinzhaophai E",162,IF(Atletas!L87="Tongbeiquan E",163,IF(Atletas!L87="Wudangquan E",164,IF(Atletas!L87="Outros Estilos E",165,IF(Atletas!L87="Chaquan F",166,IF(Atletas!L87="Emeiquan F",167,IF(Atletas!L87="Fanziquan F",168,IF(Atletas!L87="Huaquan F",169,IF(Atletas!L87="Hongquan F",170,IF(Atletas!L87="Paochui F",171,IF(Atletas!L87="Piguaquan F",172,IF(Atletas!L87="Shaolinquan F",173,IF(Atletas!L87="Tanglangquan F",174,IF(Atletas!L87="Yinzhaophai F",175,IF(Atletas!L87="Tongbeiquan F",176,IF(Atletas!L87="Wudangquan F",177,IF(Atletas!L87="Outros Estilos F",178,0))))))))))))))))))))))))))))))))))))))))))</f>
        <v/>
      </c>
      <c r="BN91" s="52" t="str">
        <f>IF(Atletas!M87="","",IF(Atletas!W87&lt;&gt;"",10000,0)+(IF(Atletas!B87="Feminino",1000,IF(Atletas!B87="Masculino",2000,""))+(IF(Atletas!M87="Ditangquan A",201,IF(Atletas!M87="Houquan A",202,IF(Atletas!M87="Zuiquan A",203,IF(Atletas!M87="Ditangquan B",204,IF(Atletas!M87="Houquan B",205,IF(Atletas!M87="Zuiquan B",206,IF(Atletas!M87="Ditangquan C",207,IF(Atletas!M87="Houquan C",208,IF(Atletas!M87="Zuiquan C",209,IF(Atletas!M87="Ditangquan D",210,IF(Atletas!M87="Houquan D",211,IF(Atletas!M87="Zuiquan D",212,IF(Atletas!M87="Ditangquan E",213,IF(Atletas!M87="Houquan E",214,IF(Atletas!M87="Zuiquan E",215,IF(Atletas!M87="Ditangquan F",216,IF(Atletas!M87="Houquan F",217,IF(Atletas!M87="Zuiquan F",218,"")))))))))))))))))))))</f>
        <v/>
      </c>
      <c r="BO91" s="52" t="str">
        <f>IF(Atletas!N87="","",IF(Atletas!W87&lt;&gt;"",10000,0)+IF(Atletas!B87="Feminino",1000,IF(Atletas!B87="Masculino",2000,""))+IF(Atletas!N87="Yang A",301,IF(Atletas!N87="Chen A",30,IF(Atletas!N87="Sun A",303,IF(Atletas!N87="Wu A",304,IF(Atletas!N87="Wu-Hao A",305,IF(Atletas!N87="Outro Taijiquan A",306,IF(Atletas!N87="Yang B",307,IF(Atletas!N87="Chen B",308,IF(Atletas!N87="Sun B",309,IF(Atletas!N87="Wu B",310,IF(Atletas!N87="Wu-Hao B",311,IF(Atletas!N87="Outro Taijiquan B",312,IF(Atletas!N87="Yang C",313,IF(Atletas!N87="Chen C",314,IF(Atletas!N87="Sun C",315,IF(Atletas!N87="Wu C",316,IF(Atletas!N87="Wu-Hao C",317,IF(Atletas!N87="Outro Taijiquan C",318,IF(Atletas!N87="Yang D",319,IF(Atletas!N87="Chen D",320,IF(Atletas!N87="Sun D",321,IF(Atletas!N87="Wu D",322,IF(Atletas!N87="Wu-Hao D",323,IF(Atletas!N87="Outro Taijiquan D",324,IF(Atletas!N87="Yang E",325,IF(Atletas!N87="Chen E",326,IF(Atletas!N87="Sun E",327,IF(Atletas!N87="Wu E",328,IF(Atletas!N87="Wu-Hao E",329,IF(Atletas!N87="Outro Taijiquan E",330,IF(Atletas!N87="Yang F",331,IF(Atletas!N87="Chen F",332,IF(Atletas!N87="Sun F",333,IF(Atletas!N87="Wu F",334,IF(Atletas!N87="Wu-Hao F",335,IF(Atletas!N87="Outro Taijiquan F",336,"")))))))))))))))))))))))))))))))))))))</f>
        <v/>
      </c>
      <c r="BP91" s="52" t="str">
        <f>IF(Atletas!O87="","",IF(Atletas!W87&lt;&gt;"",10000,0)+IF(Atletas!B87="Feminino",1000,IF(Atletas!B87="Masculino",2000,""))+IF(OR(Atletas!O87="Yang 26 A",Atletas!O87="Yang 40 A"),401,IF(OR(Atletas!O87="Chen 25 A",Atletas!O87="Chen 36 A",Atletas!O87="Chen 56 A"),402,IF(Atletas!O87="Sun 73 A",403,IF(Atletas!O87="Wu 45 A",404,IF(Atletas!O87="Wu-Hao 46 A",405,IF(OR(Atletas!O87="Taijiquan 16 A",Atletas!O87="Taijiquan 24 A",Atletas!O87="Taijiquan 32 A",Atletas!O87="Taijiquan 42 A"),406,IF(OR(Atletas!O87="Yang 26 B",Atletas!O87="Yang 40 B"),407,IF(OR(Atletas!O87="Chen 25 B",Atletas!O87="Chen 36 B",Atletas!O87="Chen 56 B"),408,IF(Atletas!O87="Sun 73 B",409,IF(Atletas!O87="Wu 45 B",410,IF(Atletas!O87="Wu-Hao 46 B",411,IF(OR(Atletas!O87="Taijiquan 16 B",Atletas!O87="Taijiquan 24 B",Atletas!O87="Taijiquan 32 B",Atletas!O87="Taijiquan 42 B"),412,IF(OR(Atletas!O87="Yang 26 C",Atletas!O87="Yang 40 C"),413,IF(OR(Atletas!O87="Chen 25 C",Atletas!O87="Chen 36 C",Atletas!O87="Chen 56 C"),414,IF(Atletas!O87="Sun 73 C",415,IF(Atletas!O87="Wu 45 C",416,IF(Atletas!O87="Wu-Hao 46 C",417,IF(OR(Atletas!O87="Taijiquan 16 C",Atletas!O87="Taijiquan 24 C",Atletas!O87="Taijiquan 32 C",Atletas!O87="Taijiquan 42 C"),418,0)))))))))))))))))))</f>
        <v/>
      </c>
      <c r="BQ91" s="52" t="str">
        <f>IF(Atletas!O87="","",IF(Atletas!W87&lt;&gt;"",10000,0)+IF(Atletas!B87="Feminino",1000,IF(Atletas!B87="Masculino",2000,""))+IF(OR(Atletas!O87="Yang 26 D",Atletas!O87="Yang 40 D"),419,IF(OR(Atletas!O87="Chen 25 D",Atletas!O87="Chen 36 D",Atletas!O87="Chen 56 D"),420,IF(Atletas!O87="Sun 73 D",421,IF(Atletas!O87="Wu 45 D",422,IF(Atletas!O87="Wu-Hao 46 D",423,IF(OR(Atletas!O87="Taijiquan 16 D",Atletas!O87="Taijiquan 24 D",Atletas!O87="Taijiquan 32 D",Atletas!O87="Taijiquan 42 D"),424,IF(OR(Atletas!O87="Yang 26 E",Atletas!O87="Yang 40 E"),425,IF(OR(Atletas!O87="Chen 25 E",Atletas!O87="Chen 36 E",Atletas!O87="Chen 56 E"),426,IF(Atletas!O87="Sun 73 E",427,IF(Atletas!O87="Wu 45 E",428,IF(Atletas!O87="Wu-Hao 46 E",429,IF(OR(Atletas!O87="Taijiquan 16 E",Atletas!O87="Taijiquan 24 E",Atletas!O87="Taijiquan 32 E",Atletas!O87="Taijiquan 42 E"),430,IF(OR(Atletas!O87="Yang 26 F",Atletas!O87="Yang 40 F"),431,IF(OR(Atletas!O87="Chen 25 F",Atletas!O87="Chen 36 F",Atletas!O87="Chen 56 F"),432,IF(Atletas!O87="Sun 73 F",433,IF(Atletas!O87="Wu 45 F",434,IF(Atletas!O87="Wu-Hao 46 F",435,IF(OR(Atletas!O87="Taijiquan 16 F",Atletas!O87="Taijiquan 24 F",Atletas!O87="Taijiquan 32 F",Atletas!O87="Taijiquan 42 F"),436,0)))))))))))))))))))</f>
        <v/>
      </c>
      <c r="BR91" s="52" t="str">
        <f>IF(Atletas!P87="","",IF(Atletas!W87&lt;&gt;"",10000,0)+IF(Atletas!B87="Feminino",1000,IF(Atletas!B87="Masculino",2000,""))+IF(Atletas!P87="Xingyiquan A",501,IF(Atletas!P87="Baguazhang A",502,IF(Atletas!P87="Outro Estilo Interno A",503,IF(Atletas!P87="Xingyiquan B",504,IF(Atletas!P87="Baguazhang B",505,IF(Atletas!P87="Outro Estilo Interno B",506,IF(Atletas!P87="Xingyiquan C",507,IF(Atletas!P87="Baguazhang C",508,IF(Atletas!P87="Outro Estilo Interno C",509,IF(Atletas!P87="Xingyiquan D",510,IF(Atletas!P87="Baguazhang D",511,IF(Atletas!P87="Outro Estilo Interno D",512,IF(Atletas!P87="Xingyiquan E",513,IF(Atletas!P87="Baguazhang E",514,IF(Atletas!P87="Outro Estilo Interno E",515,IF(Atletas!P87="Xingyiquan F",516,IF(Atletas!P87="Baguazhang F",517,IF(Atletas!P87="Outro Estilo Interno F",518, "")))))))))))))))))))</f>
        <v/>
      </c>
      <c r="BS91" s="52" t="str">
        <f>IF(Atletas!Q87="","",IF(Atletas!W87&lt;&gt;"",10000,0)+IF(Atletas!B87="Feminino",1000,IF(Atletas!B87="Masculino",2000,""))+IF(Atletas!Q87="Dao A",601,IF(Atletas!Q87="Jian A",602,IF(Atletas!Q87="Bishou A",603,IF(Atletas!Q87="Shan A",604,IF(Atletas!Q87="Outra Arma Curta A",605,IF(Atletas!Q87="Dao B",606,IF(Atletas!Q87="Jian B",607,IF(Atletas!Q87="Bishou B",608,IF(Atletas!Q87="Shan B",609,IF(Atletas!Q87="Outra Arma Curta B",610,IF(Atletas!Q87="Dao C",611,IF(Atletas!Q87="Jian C",612,IF(Atletas!Q87="Bishou C",613,IF(Atletas!Q87="Shan C",614,IF(Atletas!Q87="Outra Arma Curta C",615,IF(Atletas!Q87="Dao D",616,IF(Atletas!Q87="Jian D",617,IF(Atletas!Q87="Bishou D",618,IF(Atletas!Q87="Shan D",619,IF(Atletas!Q87="Outra Arma Curta D",620,IF(Atletas!Q87="Dao E",621,IF(Atletas!Q87="Jian E",622,IF(Atletas!Q87="Bishou E",623,IF(Atletas!Q87="Shan E",624,IF(Atletas!Q87="Outra Arma Curta E",625,IF(Atletas!Q87="Dao F",626,IF(Atletas!Q87="Jian F",627,IF(Atletas!Q87="Bishou F",628,IF(Atletas!Q87="Shan F",629,IF(Atletas!Q87="Outra Arma Curta F",630, "")))))))))))))))))))))))))))))))</f>
        <v/>
      </c>
      <c r="BT91" s="52" t="str">
        <f>IF(Atletas!R87="","",IF(Atletas!W87&lt;&gt;"",10000,0)+IF(Atletas!B87="Feminino",1000,IF(Atletas!B87="Masculino",2000,""))+IF(Atletas!R87="Gun A",701,IF(Atletas!R87="Qiang A",702,IF(Atletas!R87="Pudao / Guandao A",703,IF(Atletas!R87="Outra Arma Longa A",704,IF(Atletas!R87="Gun B",705,IF(Atletas!R87="Qiang B",706,IF(Atletas!R87="Pudao / Guandao B",707,IF(Atletas!R87="Outra Arma Longa B",708,IF(Atletas!R87="Gun C",709,IF(Atletas!R87="Qiang C",710,IF(Atletas!R87="Pudao / Guandao C",711,IF(Atletas!R87="Outra Arma Longa C",712,IF(Atletas!R87="Gun D",713,IF(Atletas!R87="Qiang D",714,IF(Atletas!R87="Pudao / Guandao D",715,IF(Atletas!R87="Outra Arma Longa D",716,IF(Atletas!R87="Gun E",717,IF(Atletas!R87="Qiang E",718,IF(Atletas!R87="Pudao / Guandao E",719,IF(Atletas!R87="Outra Arma Longa E",720,IF(Atletas!R87="Gun F",721,IF(Atletas!R87="Qiang F",722,IF(Atletas!R87="Pudao / Guandao F",723,IF(Atletas!R87="Outra Arma Longa F",724,"")))))))))))))))))))))))))</f>
        <v/>
      </c>
      <c r="BU91" s="52" t="str">
        <f>IF(Atletas!S87="","",IF(Atletas!W87&lt;&gt;"",10000,0)+IF(Atletas!B87="Feminino",1000,IF(Atletas!B87="Masculino",2000,""))+IF(Atletas!S87="Arma Dupla A",801,IF(Atletas!S87="Arma Maleável A",802,IF(Atletas!S87="Arma Dupla B",803,IF(Atletas!S87="Arma Maleável B",804,IF(Atletas!S87="Arma Dupla C",805,IF(Atletas!S87="Arma Maleável C",806,IF(Atletas!S87="Arma Dupla D",807,IF(Atletas!S87="Arma Maleável D",808,IF(Atletas!S87="Arma Dupla E",809,IF(Atletas!S87="Arma Maleável E",810,IF(Atletas!S87="Arma Dupla F",811,IF(Atletas!S87="Arma Maleável F",812, "")))))))))))))</f>
        <v/>
      </c>
      <c r="BV91" s="52" t="str">
        <f>IF(Atletas!T87="","",IF(Atletas!W87&lt;&gt;"",10000,0)+IF(Atletas!B87="Feminino",1000,IF(Atletas!B87="Masculino",2000,""))+IF(Atletas!T87="Taijijian Yang A",901,IF(Atletas!T87="Taijijian Chen A",902,IF(Atletas!T87="Taijijian Sun A",903,IF(Atletas!T87="Taijijian Wu A",904,IF(Atletas!T87="Taijijian Wu-Hao A",905,IF(Atletas!T87="Taijijian 32 A",906,IF(Atletas!T87="Taijijian 42 A",907,IF(Atletas!T87="Taijijian Yang B",908,IF(Atletas!T87="Taijijian Chen B",909,IF(Atletas!T87="Taijijian Sun B",910,IF(Atletas!T87="Taijijian Wu B",911,IF(Atletas!T87="Taijijian Wu-Hao B",912,IF(Atletas!T87="Taijijian 32 B",913,IF(Atletas!T87="Taijijian 42 B",914,IF(Atletas!T87="Taijijian Yang C",915,IF(Atletas!T87="Taijijian Chen C",916,IF(Atletas!T87="Taijijian Sun C",917,IF(Atletas!T87="Taijijian Wu C",918,IF(Atletas!T87="Taijijian Wu-Hao C",919,IF(Atletas!T87="Taijijian 32 C",920,IF(Atletas!T87="Taijijian 42 C",921,IF(Atletas!T87="Taijijian Yang D",922,IF(Atletas!T87="Taijijian Chen D",923,IF(Atletas!T87="Taijijian Sun D",924,IF(Atletas!T87="Taijijian Wu D",925,IF(Atletas!T87="Taijijian Wu-Hao D",926,IF(Atletas!T87="Taijijian 32 D",927,IF(Atletas!T87="Taijijian 42 D",928,IF(Atletas!T87="Taijijian Yang E",929,IF(Atletas!T87="Taijijian Chen E",930,IF(Atletas!T87="Taijijian Sun E",931,IF(Atletas!T87="Taijijian Wu E",932,IF(Atletas!T87="Taijijian Wu-Hao E",933,IF(Atletas!T87="Taijijian 32 E",934,IF(Atletas!T87="Taijijian 42 E",935,IF(Atletas!T87="Taijijian Yang F",936,IF(Atletas!T87="Taijijian Chen F",937,IF(Atletas!T87="Taijijian Sun F",938,IF(Atletas!T87="Taijijian Wu F",939,IF(Atletas!T87="Taijijian Wu-Hao F",940,IF(Atletas!T87="Taijijian 32 F",941,IF(Atletas!T87="Taijijian 42 F",942,"")))))))))))))))))))))))))))))))))))))))))))</f>
        <v/>
      </c>
      <c r="BW91" s="52" t="str">
        <f>IF(Atletas!U87="","",IF(Atletas!W87&lt;&gt;"",10000,0)+IF(Atletas!B87="Feminino",1000,IF(Atletas!B87="Masculino",2000,""))+IF(Atletas!T87="Taijijian 42 F",942,IF(Atletas!U87="Taijidao A",943,IF(Atletas!U87="Taijishan A",944,IF(Atletas!U87="Taijiqiang A",945,IF(Atletas!U87="Taijidao B",946,IF(Atletas!U87="Taijishan B",947,IF(Atletas!U87="Taijiqiang B",948,IF(Atletas!U87="Taijidao C",949,IF(Atletas!U87="Taijishan C",950,IF(Atletas!U87="Taijiqiang C",951,IF(Atletas!U87="Taijidao D",952,IF(Atletas!U87="Taijishan D",953,IF(Atletas!U87="Taijiqiang D",954,IF(Atletas!U87="Taijidao E",955,IF(Atletas!U87="Taijishan E",956,IF(Atletas!U87="Taijiqiang E",957,IF(Atletas!U87="Taijidao F",958,IF(Atletas!U87="Taijishan F",959,IF(Atletas!U87="Taijiqiang F",960))))))))))))))))))))</f>
        <v/>
      </c>
      <c r="BX91" s="64" t="str">
        <f>IF(BY91&lt;&gt;"","Fanziquan E","")</f>
        <v/>
      </c>
      <c r="BY91" s="64" t="str">
        <f>IF(COUNTIF(BK:BW,1155)&gt;0,COUNTIF(BK:BW,1155),"")</f>
        <v/>
      </c>
      <c r="BZ91" s="64" t="str">
        <f>IF(CA91&lt;&gt;"","Fanziquan E","")</f>
        <v/>
      </c>
      <c r="CA91" s="64" t="str">
        <f>IF(COUNTIF(BK:BW,2155)&gt;0,COUNTIF(BK:BW,2155),"")</f>
        <v/>
      </c>
      <c r="CB91" s="64" t="str">
        <f>IF(CC91&lt;&gt;"","Fanziquan E","")</f>
        <v/>
      </c>
      <c r="CC91" s="64" t="str">
        <f>IF(COUNTIF(BK:BW,11155)&gt;0,COUNTIF(BK:BW,11155),"")</f>
        <v/>
      </c>
      <c r="CD91" s="64" t="str">
        <f>IF(CE91&lt;&gt;"","Fanziquan E","")</f>
        <v/>
      </c>
      <c r="CE91" s="64" t="str">
        <f>IF(COUNTIF(BK:BW,12155)&gt;0,COUNTIF(BK:BW,12155),"")</f>
        <v/>
      </c>
      <c r="CF91" s="52" t="str">
        <f xml:space="preserve"> IF(Atletas!V87="","",IF(Atletas!V87="Duilian de Mãos AB - Equipe 1",1,IF(Atletas!V87="Duilian de Mãos AB - Equipe 2",2,IF(Atletas!V87="Duilian de Armas AB - Equipe 1",3,IF(Atletas!V87="Duilian de Armas AB - Equipe 2",4,IF(Atletas!V87="Duilian de Tuishou - Equipe 1",5,IF(Atletas!V87="Duilian de Tuishou - Equipe 2",6,IF(Atletas!V87="Grupo Externo AB - Equipe 1",7,IF(Atletas!V87="Grupo Externo AB - Equipe 2",8,IF(Atletas!V87="Grupo Interno AB - Equipe 1",9,IF(Atletas!V87="Grupo Interno AB - Equipe 2",10,IF(Atletas!V87="Duilian de Mãos CD - Equipe 1",11,IF(Atletas!V87="Duilian de Mãos CD - Equipe 2",12,IF(Atletas!V87="Duilian de Armas CD - Equipe 1",13,IF(Atletas!V87="Duilian de Armas CD - Equipe 2",14,IF(Atletas!V87="Duilian de Tuishou - Equipe 1",15,IF(Atletas!V87="Duilian de Tuishou - Equipe 2",16,IF(Atletas!V87="Grupo Externo CDEF - Equipe 1",17,IF(Atletas!V87="Grupo Externo CDEF - Equipe 2",18,IF(Atletas!V87="Grupo Interno CDEF - Equipe 1",19,IF(Atletas!V87="Grupo Interno CDEF - Equipe 2",20,IF(Atletas!V87="Duilian de Mãos EF - Equipe 1",21,IF(Atletas!V87="Duilian de Mãos EF - Equipe 2",22,IF(Atletas!V87="Duilian de Armas EF - Equipe 1",23,IF(Atletas!V87="Duilian de Armas EF - Equipe 2",24,IF(Atletas!V87="Duilian de Tuishou - Equipe 1",25,IF(Atletas!V87="Duilian de Tuishou - Equipe 2",26,"")))))))))))))))))))))))))))</f>
        <v/>
      </c>
    </row>
    <row r="92" spans="2:84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 t="str">
        <f t="array" ref="V92">IFERROR(INDEX(BX$7:BX$336,SMALL(IF(BX$7:BX$336&lt;&gt;"",ROW(BX$7:BX$336)-ROW(BX$7)+1),ROWS(BX$7:BX91))),"")</f>
        <v/>
      </c>
      <c r="W92" s="4" t="str">
        <f t="array" ref="W92">IFERROR(INDEX(BY$7:BY$336,SMALL(IF(BY$7:BY$336&lt;&gt;"",ROW(BY$7:BY$336)-ROW(BY$7)+1),ROWS(BY$7:BY91))),"")</f>
        <v/>
      </c>
      <c r="X92" s="4" t="str">
        <f t="array" ref="X92">IFERROR(INDEX(BZ$7:BZ$336,SMALL(IF(BZ$7:BZ$336&lt;&gt;"",ROW(BZ$7:BZ$336)-ROW(BZ$7)+1),ROWS(BZ$7:BZ91))),"")</f>
        <v/>
      </c>
      <c r="Y92" s="4" t="str">
        <f t="array" ref="Y92">IFERROR(INDEX(CA$7:CA$336,SMALL(IF(CA$7:CA$336&lt;&gt;"",ROW(CA$7:CA$336)-ROW(CA$7)+1),ROWS(CA$7:CA91))),"")</f>
        <v/>
      </c>
      <c r="Z92" s="4" t="str">
        <f t="array" ref="Z92">IFERROR(INDEX(CB$7:CB$378,SMALL(IF(CB$7:CB$378&lt;&gt;"",ROW(CB$7:CB$378)-ROW(CB$7)+1),ROWS(CB$7:CB91))),"")</f>
        <v/>
      </c>
      <c r="AA92" s="4" t="str">
        <f t="array" ref="AA92">IFERROR(INDEX(CC$7:CC$378,SMALL(IF(CC$7:CC$378&lt;&gt;"",ROW(CC$7:CC$378)-ROW(CC$7)+1),ROWS(CC$7:CC91))),"")</f>
        <v/>
      </c>
      <c r="AB92" s="4" t="str">
        <f t="array" ref="AB92">IFERROR(INDEX(CD$7:CD$378,SMALL(IF(CD$7:CD$378&lt;&gt;"",ROW(CD$7:CD$378)-ROW(CD$7)+1),ROWS(CD$7:CD91))),"")</f>
        <v/>
      </c>
      <c r="AC92" s="4" t="str">
        <f t="array" ref="AC92">IFERROR(INDEX(CE$7:CE$378,SMALL(IF(CE$7:CE$378&lt;&gt;"",ROW(CE$7:CE$378)-ROW(CE$7)+1),ROWS(CE$7:CE91))),"")</f>
        <v/>
      </c>
      <c r="AD92" s="4"/>
      <c r="AE92" s="4"/>
      <c r="AF92" s="4"/>
      <c r="AG92" s="4"/>
      <c r="AH92" s="4"/>
      <c r="AI92" s="4"/>
      <c r="AJ92" s="46" t="str">
        <f>IF(Atletas!D88="","",IF(Atletas!B88="Feminino",100,IF(Atletas!B88="Masculino",200,""))+(IF(Atletas!D88="Infantil 39kg",1,IF(Atletas!D88="Infantil 42kg",2,IF(Atletas!D88="Infantil 45kg",3,IF(Atletas!D88="Infantil 48kg",4,IF(Atletas!D88="Infantil 52kg",5,IF(Atletas!D88="Infantil 56kg",6,IF(Atletas!D88="Infantil 60kg",7,IF(Atletas!D88="Juvenil 48kg",8,IF(Atletas!D88="Juvenil 52kg",9,IF(Atletas!D88="Juvenil 56kg",10,IF(Atletas!D88="Juvenil 60kg",11,IF(Atletas!D88="Juvenil 65kg",12,IF(Atletas!D88="Juvenil 70kg",13,IF(Atletas!D88="Juvenil 75kg",14,IF(Atletas!D88="Juvenil 80kg",15,IF(Atletas!D88="Adulto 48kg",16,IF(Atletas!D88="Adulto 52kg",17,IF(Atletas!D88="Adulto 56kg",18,IF(Atletas!D88="Adulto 60kg",19,IF(Atletas!D88="Adulto 65kg",20,IF(Atletas!D88="Adulto 70kg",21,IF(Atletas!D88="Adulto 75kg",22,IF(Atletas!D88="Adulto 80kg",23,IF(Atletas!D88="Adulto 85kg",24,IF(Atletas!D88="Adulto 90kg",25,IF(Atletas!D88="Adulto +90kg",26,""))))))))))))))))))))))))))))</f>
        <v/>
      </c>
      <c r="AO92" s="10" t="str">
        <f>IF(Atletas!E88="","",IF(Atletas!B88="Feminino",100,IF(Atletas!B88="Masculino",200,""))+(IF(Atletas!E88="Juvenil 44kg",1,IF(Atletas!E88="Juvenil 48kg",2,IF(Atletas!E88="Juvenil 52kg",3,IF(Atletas!E88="Juvenil 56kg",4,IF(Atletas!E88="Juvenil 60kg",5,IF(Atletas!E88="Juvenil 65kg",6,IF(Atletas!E88="Juvenil 70kg",7,IF(Atletas!E88="Juvenil 75kg",8,IF(Atletas!E88="Juvenil 82kg",9,IF(Atletas!E88="Juvenil 90kg",10,IF(Atletas!E88="Juvenil 100kg",11,IF(Atletas!E88="Adulto 48kg",12,IF(Atletas!E88="Adulto 52kg",13,IF(Atletas!E88="Adulto 56kg",14,IF(Atletas!E88="Adulto 60kg",15,IF(Atletas!E88="Adulto 65kg",16,IF(Atletas!E88="Adulto 70kg",17,IF(Atletas!E88="Adulto 75kg",18,IF(Atletas!E88="Adulto 82kg",19,IF(Atletas!E88="Adulto 90kg",20,IF(Atletas!E88="Adulto 100kg",21,IF(Atletas!E88="Adulto +100kg",22,""))))))))))))))))))))))))</f>
        <v/>
      </c>
      <c r="AT92" s="10" t="str">
        <f>IF(Atletas!F88="","",IF(Atletas!B88="Feminino",100,IF(Atletas!B88="Masculino",200,""))+(IF(Atletas!F88="Adulto 48kg",1,IF(Atletas!F88="Adulto 56kg",2,IF(Atletas!F88="Adulto 65kg",3,IF(Atletas!F88="Adulto 75kg",4,IF(Atletas!F88="Adulto +75kg",5,IF(Atletas!F88="Adulto 52kg",6,IF(Atletas!F88="Adulto 60kg",7,IF(Atletas!F88="Adulto 70kg",8,IF(Atletas!F88="Adulto 80kg",9,IF(Atletas!F88="Adulto 90kg",10,IF(Atletas!F88="Adulto +90kg",11,"")))))))))))))</f>
        <v/>
      </c>
      <c r="AY92" s="46" t="str">
        <f>IF(Atletas!G88="","",IF(Atletas!B88="Feminino",100,IF(Atletas!B88="Masculino",200,""))+(IF(Atletas!G88="Changquan Mirim",1,IF(Atletas!G88="Nanquan Mirim",2,IF(Atletas!G88="Taijiquan Mirim",3,IF(Atletas!G88="Changquan Grupo C",4,IF(Atletas!G88="Nanquan Grupo C",5,IF(Atletas!G88="Taijiquan Grupo C",6,IF(Atletas!G88="Changquan Grupo B",7,IF(Atletas!G88="Nanquan Grupo B",8,IF(Atletas!G88="Taijiquan Grupo B",9,IF(Atletas!G88="Changquan Grupo A",10,IF(Atletas!G88="Nanquan Grupo A",11,IF(Atletas!G88="Taijiquan Grupo A",12,IF(Atletas!G88="Changquan Opcional",13,IF(Atletas!G88="Nanquan Opcional",14,IF(Atletas!G88="Taijiquan Opcional",15,IF(Atletas!G88="Changquan Adulto",16,IF(Atletas!G88="Nanquan Adulto",17,IF(Atletas!G88="Taijiquan Adulto",18,""))))))))))))))))))))</f>
        <v/>
      </c>
      <c r="AZ92" s="46" t="str">
        <f>IF(Atletas!H88="","",IF(Atletas!B88="Feminino",100,IF(Atletas!B88="Masculino",200,""))+(IF(Atletas!H88="Daoshu Mirim",19,IF(Atletas!H88="Jianshu Mirim",20,IF(Atletas!H88="Nandao Mirim",21,IF(Atletas!H88="Taijijian Mirim",22,IF(Atletas!H88="Daoshu Grupo C",23,IF(Atletas!H88="Jianshu Grupo C",24,IF(Atletas!H88="Nandao Grupo C",25,IF(Atletas!H88="Taijijian Grupo C",26,IF(Atletas!H88="Daoshu Grupo B",27,IF(Atletas!H88="Jianshu Grupo B",28,IF(Atletas!H88="Nandao Grupo B",29,IF(Atletas!H88="Taijijian Grupo B",30,IF(Atletas!H88="Daoshu Grupo A",31,IF(Atletas!H88="Jianshu Grupo A",32,IF(Atletas!H88="Nandao Grupo A",33,IF(Atletas!H88="Taijijian Grupo A",34,IF(Atletas!H88="Daoshu Opcional",35,IF(Atletas!H88="Jianshu Opcional",36,IF(Atletas!H88="Nandao Opcional",37,IF(Atletas!H88="Taijijian Opcional",38,IF(Atletas!H88="Daoshu Adulto",39,IF(Atletas!H88="Jianshu Adulto",40,IF(Atletas!H88="Nandao Adulto",41,IF(Atletas!H88="Taijijian Adulto",42,""))))))))))))))))))))))))))</f>
        <v/>
      </c>
      <c r="BA92" s="46" t="str">
        <f>IF(Atletas!I88="","",IF(Atletas!B88="Feminino",100,IF(Atletas!B88="Masculino",200,""))+(IF(Atletas!I88="Gunshu Mirim",43,IF(Atletas!I88="Qiangshu Mirim",44,IF(Atletas!I88="Nangun Mirim",45,IF(Atletas!I88="Gunshu Grupo C",46,IF(Atletas!I88="Qiangshu Grupo C",47,IF(Atletas!I88="Nangun Grupo C",48,IF(Atletas!I88="Gunshu Grupo B",49,IF(Atletas!I88="Qiangshu Grupo B",50,IF(Atletas!I88="Nangun Grupo B",51,IF(Atletas!I88="Gunshu Grupo A",52,IF(Atletas!I88="Qiangshu Grupo A",53,IF(Atletas!I88="Nangun Grupo A",54,IF(Atletas!I88="Gunshu Opcional",55,IF(Atletas!I88="Qiangshu Opcional",56,IF(Atletas!I88="Nangun Opcional",57,IF(Atletas!I88="Gunshu Adulto",58,IF(Atletas!I88="Qiangshu Adulto",59,IF(Atletas!I88="Nangun Adulto",60,""))))))))))))))))))))</f>
        <v/>
      </c>
      <c r="BF92" s="52" t="str">
        <f>IF(Atletas!J88="","",IF(Atletas!B88="Feminino",100,IF(Atletas!B88="Masculino",200,""))+(IF(Atletas!J88="Equipe 1 Grupo B",1,IF(Atletas!J88="Equipe 2 Grupo B",2,IF(Atletas!J88="Equipe 1 Grupo A",3,IF(Atletas!J88="Equipe 2 Grupo A",4,IF(Atletas!J88="Equipe 1 Adulto",5,IF(Atletas!J88="Equipe 2 Adulto",6,""))))))))</f>
        <v/>
      </c>
      <c r="BK92" s="52" t="str">
        <f>IF(Atletas!K88="","",IF(Atletas!W88&lt;&gt;"",10000,0)+(IF(Atletas!B88="Feminino",1000,IF(Atletas!B88="Masculino",2000,""))+IF(Atletas!K88="Choylayfut A",1,IF(Atletas!K88="Hunggar A",2,IF(Atletas!K88="Wuzuquan A",3,IF(Atletas!K88="Wingchun A",4,IF(Atletas!K88="Outra Mão de Sul A",5,IF(Atletas!K88="Choylayfut B",6,IF(Atletas!K88="Hunggar B",7,IF(Atletas!K88="Wuzuquan B",8,IF(Atletas!K88="Wingchun B",9,IF(Atletas!K88="Outra Mão de Sul B",10,IF(Atletas!K88="Choylayfut C",11,IF(Atletas!K88="Hunggar C",12,IF(Atletas!K88="Wuzuquan C",13,IF(Atletas!K88="Wingchun C",14,IF(Atletas!K88="Outra Mão de Sul C",15,IF(Atletas!K88="Choylayfut D",16,IF(Atletas!K88="Hunggar D",17,IF(Atletas!K88="Wuzuquan D",18,IF(Atletas!K88="Wingchun D",19,IF(Atletas!K88="Outra Mão de Sul D",20,IF(Atletas!K88="Choylayfut E",21,IF(Atletas!K88="Hunggar E",22,IF(Atletas!K88="Wuzuquan E",23,IF(Atletas!K88="Wingchun E",24,IF(Atletas!K88="Outra Mão de Sul E",25,IF(Atletas!K88="Choylayfut F",26,IF(Atletas!K88="Hunggar F",27,IF(Atletas!K88="Wuzuquan F",28,IF(Atletas!K88="Wingchun F",29,IF(Atletas!K88="Outra Mão de Sul F",30,""))))))))))))))))))))))))))))))))</f>
        <v/>
      </c>
      <c r="BL92" s="52" t="str">
        <f>IF(Atletas!L88="","",IF(Atletas!W88&lt;&gt;"",10000,0)+(IF(Atletas!B88="Feminino",1000,IF(Atletas!B88="Masculino",2000,""))+(IF(Atletas!L88="Chaquan A",101,IF(Atletas!L88="Emeiquan A",102,IF(Atletas!L88="Fanziquan A",103,IF(Atletas!L88="Huaquan A",104,IF(Atletas!L88="Hongquan A",105,IF(Atletas!L88="Paochui A",106,IF(Atletas!L88="Piguaquan A",107,IF(Atletas!L88="Shaolinquan A",108,IF(Atletas!L88="Tanglangquan A",109,IF(Atletas!L88="Yinzhaophai A",110,IF(Atletas!L88="Tongbeiquan A",111,IF(Atletas!L88="Wudangquan A",112,IF(Atletas!L88="Outros Estilos A",113,IF(Atletas!L88="Chaquan B",114,IF(Atletas!L88="Emeiquan B",115,IF(Atletas!L88="Fanziquan B",116,IF(Atletas!L88="Huaquan B",117,IF(Atletas!L88="Hongquan B",118,IF(Atletas!L88="Paochui B",119,IF(Atletas!L88="Piguaquan B",120,IF(Atletas!L88="Shaolinquan B",121,IF(Atletas!L88="Tanglangquan B",122,IF(Atletas!L88="Yinzhaophai B",123,IF(Atletas!L88="Tongbeiquan B",124,IF(Atletas!L88="Wudangquan B",125,IF(Atletas!L88="Outros Estilos B",126,IF(Atletas!L88="Chaquan C",127,IF(Atletas!L88="Emeiquan C",128,IF(Atletas!L88="Fanziquan C",129,IF(Atletas!L88="Huaquan C",130,IF(Atletas!L88="Hongquan C",131,IF(Atletas!L88="Paochui C",132,IF(Atletas!L88="Piguaquan C",133,IF(Atletas!L88="Shaolinquan C",134,IF(Atletas!L88="Tanglangquan C",135,IF(Atletas!L88="Yinzhaophai C",136,IF(Atletas!L88="Tongbeiquan C",137,IF(Atletas!L88="Wudangquan C",138,IF(Atletas!L88="Outros Estilos C",139,0))))))))))))))))))))))))))))))))))))))))))</f>
        <v/>
      </c>
      <c r="BM92" s="52" t="str">
        <f>IF(Atletas!L88="","",IF(Atletas!W88&lt;&gt;"",10000,0)+(IF(Atletas!B88="Feminino",1000,IF(Atletas!B88="Masculino",2000,""))+(IF(Atletas!L88="Chaquan D",140,IF(Atletas!L88="Emeiquan D",141,IF(Atletas!L88="Fanziquan D",142,IF(Atletas!L88="Huaquan D",143,IF(Atletas!L88="Hongquan D",144,IF(Atletas!L88="Paochui D",145,IF(Atletas!L88="Piguaquan D",146,IF(Atletas!L88="Shaolinquan D",147,IF(Atletas!L88="Tanglangquan D",148,IF(Atletas!L88="Yinzhaophai D",149,IF(Atletas!L88="Tongbeiquan D",150,IF(Atletas!L88="Wudangquan D",151,IF(Atletas!L88="Outros Estilos D",152,IF(Atletas!L88="Chaquan E",153,IF(Atletas!L88="Emeiquan E",154,IF(Atletas!L88="Fanziquan E",155,IF(Atletas!L88="Huaquan E",156,IF(Atletas!L88="Hongquan E",157,IF(Atletas!L88="Paochui E",158,IF(Atletas!L88="Piguaquan E",159,IF(Atletas!L88="Shaolinquan E",160,IF(Atletas!L88="Tanglangquan E",161,IF(Atletas!L88="Yinzhaophai E",162,IF(Atletas!L88="Tongbeiquan E",163,IF(Atletas!L88="Wudangquan E",164,IF(Atletas!L88="Outros Estilos E",165,IF(Atletas!L88="Chaquan F",166,IF(Atletas!L88="Emeiquan F",167,IF(Atletas!L88="Fanziquan F",168,IF(Atletas!L88="Huaquan F",169,IF(Atletas!L88="Hongquan F",170,IF(Atletas!L88="Paochui F",171,IF(Atletas!L88="Piguaquan F",172,IF(Atletas!L88="Shaolinquan F",173,IF(Atletas!L88="Tanglangquan F",174,IF(Atletas!L88="Yinzhaophai F",175,IF(Atletas!L88="Tongbeiquan F",176,IF(Atletas!L88="Wudangquan F",177,IF(Atletas!L88="Outros Estilos F",178,0))))))))))))))))))))))))))))))))))))))))))</f>
        <v/>
      </c>
      <c r="BN92" s="52" t="str">
        <f>IF(Atletas!M88="","",IF(Atletas!W88&lt;&gt;"",10000,0)+(IF(Atletas!B88="Feminino",1000,IF(Atletas!B88="Masculino",2000,""))+(IF(Atletas!M88="Ditangquan A",201,IF(Atletas!M88="Houquan A",202,IF(Atletas!M88="Zuiquan A",203,IF(Atletas!M88="Ditangquan B",204,IF(Atletas!M88="Houquan B",205,IF(Atletas!M88="Zuiquan B",206,IF(Atletas!M88="Ditangquan C",207,IF(Atletas!M88="Houquan C",208,IF(Atletas!M88="Zuiquan C",209,IF(Atletas!M88="Ditangquan D",210,IF(Atletas!M88="Houquan D",211,IF(Atletas!M88="Zuiquan D",212,IF(Atletas!M88="Ditangquan E",213,IF(Atletas!M88="Houquan E",214,IF(Atletas!M88="Zuiquan E",215,IF(Atletas!M88="Ditangquan F",216,IF(Atletas!M88="Houquan F",217,IF(Atletas!M88="Zuiquan F",218,"")))))))))))))))))))))</f>
        <v/>
      </c>
      <c r="BO92" s="52" t="str">
        <f>IF(Atletas!N88="","",IF(Atletas!W88&lt;&gt;"",10000,0)+IF(Atletas!B88="Feminino",1000,IF(Atletas!B88="Masculino",2000,""))+IF(Atletas!N88="Yang A",301,IF(Atletas!N88="Chen A",30,IF(Atletas!N88="Sun A",303,IF(Atletas!N88="Wu A",304,IF(Atletas!N88="Wu-Hao A",305,IF(Atletas!N88="Outro Taijiquan A",306,IF(Atletas!N88="Yang B",307,IF(Atletas!N88="Chen B",308,IF(Atletas!N88="Sun B",309,IF(Atletas!N88="Wu B",310,IF(Atletas!N88="Wu-Hao B",311,IF(Atletas!N88="Outro Taijiquan B",312,IF(Atletas!N88="Yang C",313,IF(Atletas!N88="Chen C",314,IF(Atletas!N88="Sun C",315,IF(Atletas!N88="Wu C",316,IF(Atletas!N88="Wu-Hao C",317,IF(Atletas!N88="Outro Taijiquan C",318,IF(Atletas!N88="Yang D",319,IF(Atletas!N88="Chen D",320,IF(Atletas!N88="Sun D",321,IF(Atletas!N88="Wu D",322,IF(Atletas!N88="Wu-Hao D",323,IF(Atletas!N88="Outro Taijiquan D",324,IF(Atletas!N88="Yang E",325,IF(Atletas!N88="Chen E",326,IF(Atletas!N88="Sun E",327,IF(Atletas!N88="Wu E",328,IF(Atletas!N88="Wu-Hao E",329,IF(Atletas!N88="Outro Taijiquan E",330,IF(Atletas!N88="Yang F",331,IF(Atletas!N88="Chen F",332,IF(Atletas!N88="Sun F",333,IF(Atletas!N88="Wu F",334,IF(Atletas!N88="Wu-Hao F",335,IF(Atletas!N88="Outro Taijiquan F",336,"")))))))))))))))))))))))))))))))))))))</f>
        <v/>
      </c>
      <c r="BP92" s="52" t="str">
        <f>IF(Atletas!O88="","",IF(Atletas!W88&lt;&gt;"",10000,0)+IF(Atletas!B88="Feminino",1000,IF(Atletas!B88="Masculino",2000,""))+IF(OR(Atletas!O88="Yang 26 A",Atletas!O88="Yang 40 A"),401,IF(OR(Atletas!O88="Chen 25 A",Atletas!O88="Chen 36 A",Atletas!O88="Chen 56 A"),402,IF(Atletas!O88="Sun 73 A",403,IF(Atletas!O88="Wu 45 A",404,IF(Atletas!O88="Wu-Hao 46 A",405,IF(OR(Atletas!O88="Taijiquan 16 A",Atletas!O88="Taijiquan 24 A",Atletas!O88="Taijiquan 32 A",Atletas!O88="Taijiquan 42 A"),406,IF(OR(Atletas!O88="Yang 26 B",Atletas!O88="Yang 40 B"),407,IF(OR(Atletas!O88="Chen 25 B",Atletas!O88="Chen 36 B",Atletas!O88="Chen 56 B"),408,IF(Atletas!O88="Sun 73 B",409,IF(Atletas!O88="Wu 45 B",410,IF(Atletas!O88="Wu-Hao 46 B",411,IF(OR(Atletas!O88="Taijiquan 16 B",Atletas!O88="Taijiquan 24 B",Atletas!O88="Taijiquan 32 B",Atletas!O88="Taijiquan 42 B"),412,IF(OR(Atletas!O88="Yang 26 C",Atletas!O88="Yang 40 C"),413,IF(OR(Atletas!O88="Chen 25 C",Atletas!O88="Chen 36 C",Atletas!O88="Chen 56 C"),414,IF(Atletas!O88="Sun 73 C",415,IF(Atletas!O88="Wu 45 C",416,IF(Atletas!O88="Wu-Hao 46 C",417,IF(OR(Atletas!O88="Taijiquan 16 C",Atletas!O88="Taijiquan 24 C",Atletas!O88="Taijiquan 32 C",Atletas!O88="Taijiquan 42 C"),418,0)))))))))))))))))))</f>
        <v/>
      </c>
      <c r="BQ92" s="52" t="str">
        <f>IF(Atletas!O88="","",IF(Atletas!W88&lt;&gt;"",10000,0)+IF(Atletas!B88="Feminino",1000,IF(Atletas!B88="Masculino",2000,""))+IF(OR(Atletas!O88="Yang 26 D",Atletas!O88="Yang 40 D"),419,IF(OR(Atletas!O88="Chen 25 D",Atletas!O88="Chen 36 D",Atletas!O88="Chen 56 D"),420,IF(Atletas!O88="Sun 73 D",421,IF(Atletas!O88="Wu 45 D",422,IF(Atletas!O88="Wu-Hao 46 D",423,IF(OR(Atletas!O88="Taijiquan 16 D",Atletas!O88="Taijiquan 24 D",Atletas!O88="Taijiquan 32 D",Atletas!O88="Taijiquan 42 D"),424,IF(OR(Atletas!O88="Yang 26 E",Atletas!O88="Yang 40 E"),425,IF(OR(Atletas!O88="Chen 25 E",Atletas!O88="Chen 36 E",Atletas!O88="Chen 56 E"),426,IF(Atletas!O88="Sun 73 E",427,IF(Atletas!O88="Wu 45 E",428,IF(Atletas!O88="Wu-Hao 46 E",429,IF(OR(Atletas!O88="Taijiquan 16 E",Atletas!O88="Taijiquan 24 E",Atletas!O88="Taijiquan 32 E",Atletas!O88="Taijiquan 42 E"),430,IF(OR(Atletas!O88="Yang 26 F",Atletas!O88="Yang 40 F"),431,IF(OR(Atletas!O88="Chen 25 F",Atletas!O88="Chen 36 F",Atletas!O88="Chen 56 F"),432,IF(Atletas!O88="Sun 73 F",433,IF(Atletas!O88="Wu 45 F",434,IF(Atletas!O88="Wu-Hao 46 F",435,IF(OR(Atletas!O88="Taijiquan 16 F",Atletas!O88="Taijiquan 24 F",Atletas!O88="Taijiquan 32 F",Atletas!O88="Taijiquan 42 F"),436,0)))))))))))))))))))</f>
        <v/>
      </c>
      <c r="BR92" s="52" t="str">
        <f>IF(Atletas!P88="","",IF(Atletas!W88&lt;&gt;"",10000,0)+IF(Atletas!B88="Feminino",1000,IF(Atletas!B88="Masculino",2000,""))+IF(Atletas!P88="Xingyiquan A",501,IF(Atletas!P88="Baguazhang A",502,IF(Atletas!P88="Outro Estilo Interno A",503,IF(Atletas!P88="Xingyiquan B",504,IF(Atletas!P88="Baguazhang B",505,IF(Atletas!P88="Outro Estilo Interno B",506,IF(Atletas!P88="Xingyiquan C",507,IF(Atletas!P88="Baguazhang C",508,IF(Atletas!P88="Outro Estilo Interno C",509,IF(Atletas!P88="Xingyiquan D",510,IF(Atletas!P88="Baguazhang D",511,IF(Atletas!P88="Outro Estilo Interno D",512,IF(Atletas!P88="Xingyiquan E",513,IF(Atletas!P88="Baguazhang E",514,IF(Atletas!P88="Outro Estilo Interno E",515,IF(Atletas!P88="Xingyiquan F",516,IF(Atletas!P88="Baguazhang F",517,IF(Atletas!P88="Outro Estilo Interno F",518, "")))))))))))))))))))</f>
        <v/>
      </c>
      <c r="BS92" s="52" t="str">
        <f>IF(Atletas!Q88="","",IF(Atletas!W88&lt;&gt;"",10000,0)+IF(Atletas!B88="Feminino",1000,IF(Atletas!B88="Masculino",2000,""))+IF(Atletas!Q88="Dao A",601,IF(Atletas!Q88="Jian A",602,IF(Atletas!Q88="Bishou A",603,IF(Atletas!Q88="Shan A",604,IF(Atletas!Q88="Outra Arma Curta A",605,IF(Atletas!Q88="Dao B",606,IF(Atletas!Q88="Jian B",607,IF(Atletas!Q88="Bishou B",608,IF(Atletas!Q88="Shan B",609,IF(Atletas!Q88="Outra Arma Curta B",610,IF(Atletas!Q88="Dao C",611,IF(Atletas!Q88="Jian C",612,IF(Atletas!Q88="Bishou C",613,IF(Atletas!Q88="Shan C",614,IF(Atletas!Q88="Outra Arma Curta C",615,IF(Atletas!Q88="Dao D",616,IF(Atletas!Q88="Jian D",617,IF(Atletas!Q88="Bishou D",618,IF(Atletas!Q88="Shan D",619,IF(Atletas!Q88="Outra Arma Curta D",620,IF(Atletas!Q88="Dao E",621,IF(Atletas!Q88="Jian E",622,IF(Atletas!Q88="Bishou E",623,IF(Atletas!Q88="Shan E",624,IF(Atletas!Q88="Outra Arma Curta E",625,IF(Atletas!Q88="Dao F",626,IF(Atletas!Q88="Jian F",627,IF(Atletas!Q88="Bishou F",628,IF(Atletas!Q88="Shan F",629,IF(Atletas!Q88="Outra Arma Curta F",630, "")))))))))))))))))))))))))))))))</f>
        <v/>
      </c>
      <c r="BT92" s="52" t="str">
        <f>IF(Atletas!R88="","",IF(Atletas!W88&lt;&gt;"",10000,0)+IF(Atletas!B88="Feminino",1000,IF(Atletas!B88="Masculino",2000,""))+IF(Atletas!R88="Gun A",701,IF(Atletas!R88="Qiang A",702,IF(Atletas!R88="Pudao / Guandao A",703,IF(Atletas!R88="Outra Arma Longa A",704,IF(Atletas!R88="Gun B",705,IF(Atletas!R88="Qiang B",706,IF(Atletas!R88="Pudao / Guandao B",707,IF(Atletas!R88="Outra Arma Longa B",708,IF(Atletas!R88="Gun C",709,IF(Atletas!R88="Qiang C",710,IF(Atletas!R88="Pudao / Guandao C",711,IF(Atletas!R88="Outra Arma Longa C",712,IF(Atletas!R88="Gun D",713,IF(Atletas!R88="Qiang D",714,IF(Atletas!R88="Pudao / Guandao D",715,IF(Atletas!R88="Outra Arma Longa D",716,IF(Atletas!R88="Gun E",717,IF(Atletas!R88="Qiang E",718,IF(Atletas!R88="Pudao / Guandao E",719,IF(Atletas!R88="Outra Arma Longa E",720,IF(Atletas!R88="Gun F",721,IF(Atletas!R88="Qiang F",722,IF(Atletas!R88="Pudao / Guandao F",723,IF(Atletas!R88="Outra Arma Longa F",724,"")))))))))))))))))))))))))</f>
        <v/>
      </c>
      <c r="BU92" s="52" t="str">
        <f>IF(Atletas!S88="","",IF(Atletas!W88&lt;&gt;"",10000,0)+IF(Atletas!B88="Feminino",1000,IF(Atletas!B88="Masculino",2000,""))+IF(Atletas!S88="Arma Dupla A",801,IF(Atletas!S88="Arma Maleável A",802,IF(Atletas!S88="Arma Dupla B",803,IF(Atletas!S88="Arma Maleável B",804,IF(Atletas!S88="Arma Dupla C",805,IF(Atletas!S88="Arma Maleável C",806,IF(Atletas!S88="Arma Dupla D",807,IF(Atletas!S88="Arma Maleável D",808,IF(Atletas!S88="Arma Dupla E",809,IF(Atletas!S88="Arma Maleável E",810,IF(Atletas!S88="Arma Dupla F",811,IF(Atletas!S88="Arma Maleável F",812, "")))))))))))))</f>
        <v/>
      </c>
      <c r="BV92" s="52" t="str">
        <f>IF(Atletas!T88="","",IF(Atletas!W88&lt;&gt;"",10000,0)+IF(Atletas!B88="Feminino",1000,IF(Atletas!B88="Masculino",2000,""))+IF(Atletas!T88="Taijijian Yang A",901,IF(Atletas!T88="Taijijian Chen A",902,IF(Atletas!T88="Taijijian Sun A",903,IF(Atletas!T88="Taijijian Wu A",904,IF(Atletas!T88="Taijijian Wu-Hao A",905,IF(Atletas!T88="Taijijian 32 A",906,IF(Atletas!T88="Taijijian 42 A",907,IF(Atletas!T88="Taijijian Yang B",908,IF(Atletas!T88="Taijijian Chen B",909,IF(Atletas!T88="Taijijian Sun B",910,IF(Atletas!T88="Taijijian Wu B",911,IF(Atletas!T88="Taijijian Wu-Hao B",912,IF(Atletas!T88="Taijijian 32 B",913,IF(Atletas!T88="Taijijian 42 B",914,IF(Atletas!T88="Taijijian Yang C",915,IF(Atletas!T88="Taijijian Chen C",916,IF(Atletas!T88="Taijijian Sun C",917,IF(Atletas!T88="Taijijian Wu C",918,IF(Atletas!T88="Taijijian Wu-Hao C",919,IF(Atletas!T88="Taijijian 32 C",920,IF(Atletas!T88="Taijijian 42 C",921,IF(Atletas!T88="Taijijian Yang D",922,IF(Atletas!T88="Taijijian Chen D",923,IF(Atletas!T88="Taijijian Sun D",924,IF(Atletas!T88="Taijijian Wu D",925,IF(Atletas!T88="Taijijian Wu-Hao D",926,IF(Atletas!T88="Taijijian 32 D",927,IF(Atletas!T88="Taijijian 42 D",928,IF(Atletas!T88="Taijijian Yang E",929,IF(Atletas!T88="Taijijian Chen E",930,IF(Atletas!T88="Taijijian Sun E",931,IF(Atletas!T88="Taijijian Wu E",932,IF(Atletas!T88="Taijijian Wu-Hao E",933,IF(Atletas!T88="Taijijian 32 E",934,IF(Atletas!T88="Taijijian 42 E",935,IF(Atletas!T88="Taijijian Yang F",936,IF(Atletas!T88="Taijijian Chen F",937,IF(Atletas!T88="Taijijian Sun F",938,IF(Atletas!T88="Taijijian Wu F",939,IF(Atletas!T88="Taijijian Wu-Hao F",940,IF(Atletas!T88="Taijijian 32 F",941,IF(Atletas!T88="Taijijian 42 F",942,"")))))))))))))))))))))))))))))))))))))))))))</f>
        <v/>
      </c>
      <c r="BW92" s="52" t="str">
        <f>IF(Atletas!U88="","",IF(Atletas!W88&lt;&gt;"",10000,0)+IF(Atletas!B88="Feminino",1000,IF(Atletas!B88="Masculino",2000,""))+IF(Atletas!T88="Taijijian 42 F",942,IF(Atletas!U88="Taijidao A",943,IF(Atletas!U88="Taijishan A",944,IF(Atletas!U88="Taijiqiang A",945,IF(Atletas!U88="Taijidao B",946,IF(Atletas!U88="Taijishan B",947,IF(Atletas!U88="Taijiqiang B",948,IF(Atletas!U88="Taijidao C",949,IF(Atletas!U88="Taijishan C",950,IF(Atletas!U88="Taijiqiang C",951,IF(Atletas!U88="Taijidao D",952,IF(Atletas!U88="Taijishan D",953,IF(Atletas!U88="Taijiqiang D",954,IF(Atletas!U88="Taijidao E",955,IF(Atletas!U88="Taijishan E",956,IF(Atletas!U88="Taijiqiang E",957,IF(Atletas!U88="Taijidao F",958,IF(Atletas!U88="Taijishan F",959,IF(Atletas!U88="Taijiqiang F",960))))))))))))))))))))</f>
        <v/>
      </c>
      <c r="BX92" s="64" t="str">
        <f>IF(BY92&lt;&gt;"","Huaquan E","")</f>
        <v/>
      </c>
      <c r="BY92" s="64" t="str">
        <f>IF(COUNTIF(BK:BW,1156)&gt;0,COUNTIF(BK:BW,1156),"")</f>
        <v/>
      </c>
      <c r="BZ92" s="64" t="str">
        <f>IF(CA92&lt;&gt;"","Huaquan E","")</f>
        <v/>
      </c>
      <c r="CA92" s="64" t="str">
        <f>IF(COUNTIF(BK:BW,2156)&gt;0,COUNTIF(BK:BW,2156),"")</f>
        <v/>
      </c>
      <c r="CB92" s="64" t="str">
        <f>IF(CC92&lt;&gt;"","Huaquan E","")</f>
        <v/>
      </c>
      <c r="CC92" s="64" t="str">
        <f>IF(COUNTIF(BK:BW,11156)&gt;0,COUNTIF(BK:BW,11156),"")</f>
        <v/>
      </c>
      <c r="CD92" s="64" t="str">
        <f>IF(CE92&lt;&gt;"","Huaquan E","")</f>
        <v/>
      </c>
      <c r="CE92" s="64" t="str">
        <f>IF(COUNTIF(BK:BW,12156)&gt;0,COUNTIF(BK:BW,12156),"")</f>
        <v/>
      </c>
      <c r="CF92" s="52" t="str">
        <f xml:space="preserve"> IF(Atletas!V88="","",IF(Atletas!V88="Duilian de Mãos AB - Equipe 1",1,IF(Atletas!V88="Duilian de Mãos AB - Equipe 2",2,IF(Atletas!V88="Duilian de Armas AB - Equipe 1",3,IF(Atletas!V88="Duilian de Armas AB - Equipe 2",4,IF(Atletas!V88="Duilian de Tuishou - Equipe 1",5,IF(Atletas!V88="Duilian de Tuishou - Equipe 2",6,IF(Atletas!V88="Grupo Externo AB - Equipe 1",7,IF(Atletas!V88="Grupo Externo AB - Equipe 2",8,IF(Atletas!V88="Grupo Interno AB - Equipe 1",9,IF(Atletas!V88="Grupo Interno AB - Equipe 2",10,IF(Atletas!V88="Duilian de Mãos CD - Equipe 1",11,IF(Atletas!V88="Duilian de Mãos CD - Equipe 2",12,IF(Atletas!V88="Duilian de Armas CD - Equipe 1",13,IF(Atletas!V88="Duilian de Armas CD - Equipe 2",14,IF(Atletas!V88="Duilian de Tuishou - Equipe 1",15,IF(Atletas!V88="Duilian de Tuishou - Equipe 2",16,IF(Atletas!V88="Grupo Externo CDEF - Equipe 1",17,IF(Atletas!V88="Grupo Externo CDEF - Equipe 2",18,IF(Atletas!V88="Grupo Interno CDEF - Equipe 1",19,IF(Atletas!V88="Grupo Interno CDEF - Equipe 2",20,IF(Atletas!V88="Duilian de Mãos EF - Equipe 1",21,IF(Atletas!V88="Duilian de Mãos EF - Equipe 2",22,IF(Atletas!V88="Duilian de Armas EF - Equipe 1",23,IF(Atletas!V88="Duilian de Armas EF - Equipe 2",24,IF(Atletas!V88="Duilian de Tuishou - Equipe 1",25,IF(Atletas!V88="Duilian de Tuishou - Equipe 2",26,"")))))))))))))))))))))))))))</f>
        <v/>
      </c>
    </row>
    <row r="93" spans="2:84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 t="str">
        <f t="array" ref="V93">IFERROR(INDEX(BX$7:BX$336,SMALL(IF(BX$7:BX$336&lt;&gt;"",ROW(BX$7:BX$336)-ROW(BX$7)+1),ROWS(BX$7:BX92))),"")</f>
        <v/>
      </c>
      <c r="W93" s="4" t="str">
        <f t="array" ref="W93">IFERROR(INDEX(BY$7:BY$336,SMALL(IF(BY$7:BY$336&lt;&gt;"",ROW(BY$7:BY$336)-ROW(BY$7)+1),ROWS(BY$7:BY92))),"")</f>
        <v/>
      </c>
      <c r="X93" s="4" t="str">
        <f t="array" ref="X93">IFERROR(INDEX(BZ$7:BZ$336,SMALL(IF(BZ$7:BZ$336&lt;&gt;"",ROW(BZ$7:BZ$336)-ROW(BZ$7)+1),ROWS(BZ$7:BZ92))),"")</f>
        <v/>
      </c>
      <c r="Y93" s="4" t="str">
        <f t="array" ref="Y93">IFERROR(INDEX(CA$7:CA$336,SMALL(IF(CA$7:CA$336&lt;&gt;"",ROW(CA$7:CA$336)-ROW(CA$7)+1),ROWS(CA$7:CA92))),"")</f>
        <v/>
      </c>
      <c r="Z93" s="4" t="str">
        <f t="array" ref="Z93">IFERROR(INDEX(CB$7:CB$378,SMALL(IF(CB$7:CB$378&lt;&gt;"",ROW(CB$7:CB$378)-ROW(CB$7)+1),ROWS(CB$7:CB92))),"")</f>
        <v/>
      </c>
      <c r="AA93" s="4" t="str">
        <f t="array" ref="AA93">IFERROR(INDEX(CC$7:CC$378,SMALL(IF(CC$7:CC$378&lt;&gt;"",ROW(CC$7:CC$378)-ROW(CC$7)+1),ROWS(CC$7:CC92))),"")</f>
        <v/>
      </c>
      <c r="AB93" s="4" t="str">
        <f t="array" ref="AB93">IFERROR(INDEX(CD$7:CD$378,SMALL(IF(CD$7:CD$378&lt;&gt;"",ROW(CD$7:CD$378)-ROW(CD$7)+1),ROWS(CD$7:CD92))),"")</f>
        <v/>
      </c>
      <c r="AC93" s="4" t="str">
        <f t="array" ref="AC93">IFERROR(INDEX(CE$7:CE$378,SMALL(IF(CE$7:CE$378&lt;&gt;"",ROW(CE$7:CE$378)-ROW(CE$7)+1),ROWS(CE$7:CE92))),"")</f>
        <v/>
      </c>
      <c r="AD93" s="4"/>
      <c r="AE93" s="4"/>
      <c r="AF93" s="4"/>
      <c r="AG93" s="4"/>
      <c r="AH93" s="4"/>
      <c r="AI93" s="4"/>
      <c r="AJ93" s="46" t="str">
        <f>IF(Atletas!D89="","",IF(Atletas!B89="Feminino",100,IF(Atletas!B89="Masculino",200,""))+(IF(Atletas!D89="Infantil 39kg",1,IF(Atletas!D89="Infantil 42kg",2,IF(Atletas!D89="Infantil 45kg",3,IF(Atletas!D89="Infantil 48kg",4,IF(Atletas!D89="Infantil 52kg",5,IF(Atletas!D89="Infantil 56kg",6,IF(Atletas!D89="Infantil 60kg",7,IF(Atletas!D89="Juvenil 48kg",8,IF(Atletas!D89="Juvenil 52kg",9,IF(Atletas!D89="Juvenil 56kg",10,IF(Atletas!D89="Juvenil 60kg",11,IF(Atletas!D89="Juvenil 65kg",12,IF(Atletas!D89="Juvenil 70kg",13,IF(Atletas!D89="Juvenil 75kg",14,IF(Atletas!D89="Juvenil 80kg",15,IF(Atletas!D89="Adulto 48kg",16,IF(Atletas!D89="Adulto 52kg",17,IF(Atletas!D89="Adulto 56kg",18,IF(Atletas!D89="Adulto 60kg",19,IF(Atletas!D89="Adulto 65kg",20,IF(Atletas!D89="Adulto 70kg",21,IF(Atletas!D89="Adulto 75kg",22,IF(Atletas!D89="Adulto 80kg",23,IF(Atletas!D89="Adulto 85kg",24,IF(Atletas!D89="Adulto 90kg",25,IF(Atletas!D89="Adulto +90kg",26,""))))))))))))))))))))))))))))</f>
        <v/>
      </c>
      <c r="AO93" s="10" t="str">
        <f>IF(Atletas!E89="","",IF(Atletas!B89="Feminino",100,IF(Atletas!B89="Masculino",200,""))+(IF(Atletas!E89="Juvenil 44kg",1,IF(Atletas!E89="Juvenil 48kg",2,IF(Atletas!E89="Juvenil 52kg",3,IF(Atletas!E89="Juvenil 56kg",4,IF(Atletas!E89="Juvenil 60kg",5,IF(Atletas!E89="Juvenil 65kg",6,IF(Atletas!E89="Juvenil 70kg",7,IF(Atletas!E89="Juvenil 75kg",8,IF(Atletas!E89="Juvenil 82kg",9,IF(Atletas!E89="Juvenil 90kg",10,IF(Atletas!E89="Juvenil 100kg",11,IF(Atletas!E89="Adulto 48kg",12,IF(Atletas!E89="Adulto 52kg",13,IF(Atletas!E89="Adulto 56kg",14,IF(Atletas!E89="Adulto 60kg",15,IF(Atletas!E89="Adulto 65kg",16,IF(Atletas!E89="Adulto 70kg",17,IF(Atletas!E89="Adulto 75kg",18,IF(Atletas!E89="Adulto 82kg",19,IF(Atletas!E89="Adulto 90kg",20,IF(Atletas!E89="Adulto 100kg",21,IF(Atletas!E89="Adulto +100kg",22,""))))))))))))))))))))))))</f>
        <v/>
      </c>
      <c r="AT93" s="10" t="str">
        <f>IF(Atletas!F89="","",IF(Atletas!B89="Feminino",100,IF(Atletas!B89="Masculino",200,""))+(IF(Atletas!F89="Adulto 48kg",1,IF(Atletas!F89="Adulto 56kg",2,IF(Atletas!F89="Adulto 65kg",3,IF(Atletas!F89="Adulto 75kg",4,IF(Atletas!F89="Adulto +75kg",5,IF(Atletas!F89="Adulto 52kg",6,IF(Atletas!F89="Adulto 60kg",7,IF(Atletas!F89="Adulto 70kg",8,IF(Atletas!F89="Adulto 80kg",9,IF(Atletas!F89="Adulto 90kg",10,IF(Atletas!F89="Adulto +90kg",11,"")))))))))))))</f>
        <v/>
      </c>
      <c r="AY93" s="46" t="str">
        <f>IF(Atletas!G89="","",IF(Atletas!B89="Feminino",100,IF(Atletas!B89="Masculino",200,""))+(IF(Atletas!G89="Changquan Mirim",1,IF(Atletas!G89="Nanquan Mirim",2,IF(Atletas!G89="Taijiquan Mirim",3,IF(Atletas!G89="Changquan Grupo C",4,IF(Atletas!G89="Nanquan Grupo C",5,IF(Atletas!G89="Taijiquan Grupo C",6,IF(Atletas!G89="Changquan Grupo B",7,IF(Atletas!G89="Nanquan Grupo B",8,IF(Atletas!G89="Taijiquan Grupo B",9,IF(Atletas!G89="Changquan Grupo A",10,IF(Atletas!G89="Nanquan Grupo A",11,IF(Atletas!G89="Taijiquan Grupo A",12,IF(Atletas!G89="Changquan Opcional",13,IF(Atletas!G89="Nanquan Opcional",14,IF(Atletas!G89="Taijiquan Opcional",15,IF(Atletas!G89="Changquan Adulto",16,IF(Atletas!G89="Nanquan Adulto",17,IF(Atletas!G89="Taijiquan Adulto",18,""))))))))))))))))))))</f>
        <v/>
      </c>
      <c r="AZ93" s="46" t="str">
        <f>IF(Atletas!H89="","",IF(Atletas!B89="Feminino",100,IF(Atletas!B89="Masculino",200,""))+(IF(Atletas!H89="Daoshu Mirim",19,IF(Atletas!H89="Jianshu Mirim",20,IF(Atletas!H89="Nandao Mirim",21,IF(Atletas!H89="Taijijian Mirim",22,IF(Atletas!H89="Daoshu Grupo C",23,IF(Atletas!H89="Jianshu Grupo C",24,IF(Atletas!H89="Nandao Grupo C",25,IF(Atletas!H89="Taijijian Grupo C",26,IF(Atletas!H89="Daoshu Grupo B",27,IF(Atletas!H89="Jianshu Grupo B",28,IF(Atletas!H89="Nandao Grupo B",29,IF(Atletas!H89="Taijijian Grupo B",30,IF(Atletas!H89="Daoshu Grupo A",31,IF(Atletas!H89="Jianshu Grupo A",32,IF(Atletas!H89="Nandao Grupo A",33,IF(Atletas!H89="Taijijian Grupo A",34,IF(Atletas!H89="Daoshu Opcional",35,IF(Atletas!H89="Jianshu Opcional",36,IF(Atletas!H89="Nandao Opcional",37,IF(Atletas!H89="Taijijian Opcional",38,IF(Atletas!H89="Daoshu Adulto",39,IF(Atletas!H89="Jianshu Adulto",40,IF(Atletas!H89="Nandao Adulto",41,IF(Atletas!H89="Taijijian Adulto",42,""))))))))))))))))))))))))))</f>
        <v/>
      </c>
      <c r="BA93" s="46" t="str">
        <f>IF(Atletas!I89="","",IF(Atletas!B89="Feminino",100,IF(Atletas!B89="Masculino",200,""))+(IF(Atletas!I89="Gunshu Mirim",43,IF(Atletas!I89="Qiangshu Mirim",44,IF(Atletas!I89="Nangun Mirim",45,IF(Atletas!I89="Gunshu Grupo C",46,IF(Atletas!I89="Qiangshu Grupo C",47,IF(Atletas!I89="Nangun Grupo C",48,IF(Atletas!I89="Gunshu Grupo B",49,IF(Atletas!I89="Qiangshu Grupo B",50,IF(Atletas!I89="Nangun Grupo B",51,IF(Atletas!I89="Gunshu Grupo A",52,IF(Atletas!I89="Qiangshu Grupo A",53,IF(Atletas!I89="Nangun Grupo A",54,IF(Atletas!I89="Gunshu Opcional",55,IF(Atletas!I89="Qiangshu Opcional",56,IF(Atletas!I89="Nangun Opcional",57,IF(Atletas!I89="Gunshu Adulto",58,IF(Atletas!I89="Qiangshu Adulto",59,IF(Atletas!I89="Nangun Adulto",60,""))))))))))))))))))))</f>
        <v/>
      </c>
      <c r="BF93" s="52" t="str">
        <f>IF(Atletas!J89="","",IF(Atletas!B89="Feminino",100,IF(Atletas!B89="Masculino",200,""))+(IF(Atletas!J89="Equipe 1 Grupo B",1,IF(Atletas!J89="Equipe 2 Grupo B",2,IF(Atletas!J89="Equipe 1 Grupo A",3,IF(Atletas!J89="Equipe 2 Grupo A",4,IF(Atletas!J89="Equipe 1 Adulto",5,IF(Atletas!J89="Equipe 2 Adulto",6,""))))))))</f>
        <v/>
      </c>
      <c r="BK93" s="52" t="str">
        <f>IF(Atletas!K89="","",IF(Atletas!W89&lt;&gt;"",10000,0)+(IF(Atletas!B89="Feminino",1000,IF(Atletas!B89="Masculino",2000,""))+IF(Atletas!K89="Choylayfut A",1,IF(Atletas!K89="Hunggar A",2,IF(Atletas!K89="Wuzuquan A",3,IF(Atletas!K89="Wingchun A",4,IF(Atletas!K89="Outra Mão de Sul A",5,IF(Atletas!K89="Choylayfut B",6,IF(Atletas!K89="Hunggar B",7,IF(Atletas!K89="Wuzuquan B",8,IF(Atletas!K89="Wingchun B",9,IF(Atletas!K89="Outra Mão de Sul B",10,IF(Atletas!K89="Choylayfut C",11,IF(Atletas!K89="Hunggar C",12,IF(Atletas!K89="Wuzuquan C",13,IF(Atletas!K89="Wingchun C",14,IF(Atletas!K89="Outra Mão de Sul C",15,IF(Atletas!K89="Choylayfut D",16,IF(Atletas!K89="Hunggar D",17,IF(Atletas!K89="Wuzuquan D",18,IF(Atletas!K89="Wingchun D",19,IF(Atletas!K89="Outra Mão de Sul D",20,IF(Atletas!K89="Choylayfut E",21,IF(Atletas!K89="Hunggar E",22,IF(Atletas!K89="Wuzuquan E",23,IF(Atletas!K89="Wingchun E",24,IF(Atletas!K89="Outra Mão de Sul E",25,IF(Atletas!K89="Choylayfut F",26,IF(Atletas!K89="Hunggar F",27,IF(Atletas!K89="Wuzuquan F",28,IF(Atletas!K89="Wingchun F",29,IF(Atletas!K89="Outra Mão de Sul F",30,""))))))))))))))))))))))))))))))))</f>
        <v/>
      </c>
      <c r="BL93" s="52" t="str">
        <f>IF(Atletas!L89="","",IF(Atletas!W89&lt;&gt;"",10000,0)+(IF(Atletas!B89="Feminino",1000,IF(Atletas!B89="Masculino",2000,""))+(IF(Atletas!L89="Chaquan A",101,IF(Atletas!L89="Emeiquan A",102,IF(Atletas!L89="Fanziquan A",103,IF(Atletas!L89="Huaquan A",104,IF(Atletas!L89="Hongquan A",105,IF(Atletas!L89="Paochui A",106,IF(Atletas!L89="Piguaquan A",107,IF(Atletas!L89="Shaolinquan A",108,IF(Atletas!L89="Tanglangquan A",109,IF(Atletas!L89="Yinzhaophai A",110,IF(Atletas!L89="Tongbeiquan A",111,IF(Atletas!L89="Wudangquan A",112,IF(Atletas!L89="Outros Estilos A",113,IF(Atletas!L89="Chaquan B",114,IF(Atletas!L89="Emeiquan B",115,IF(Atletas!L89="Fanziquan B",116,IF(Atletas!L89="Huaquan B",117,IF(Atletas!L89="Hongquan B",118,IF(Atletas!L89="Paochui B",119,IF(Atletas!L89="Piguaquan B",120,IF(Atletas!L89="Shaolinquan B",121,IF(Atletas!L89="Tanglangquan B",122,IF(Atletas!L89="Yinzhaophai B",123,IF(Atletas!L89="Tongbeiquan B",124,IF(Atletas!L89="Wudangquan B",125,IF(Atletas!L89="Outros Estilos B",126,IF(Atletas!L89="Chaquan C",127,IF(Atletas!L89="Emeiquan C",128,IF(Atletas!L89="Fanziquan C",129,IF(Atletas!L89="Huaquan C",130,IF(Atletas!L89="Hongquan C",131,IF(Atletas!L89="Paochui C",132,IF(Atletas!L89="Piguaquan C",133,IF(Atletas!L89="Shaolinquan C",134,IF(Atletas!L89="Tanglangquan C",135,IF(Atletas!L89="Yinzhaophai C",136,IF(Atletas!L89="Tongbeiquan C",137,IF(Atletas!L89="Wudangquan C",138,IF(Atletas!L89="Outros Estilos C",139,0))))))))))))))))))))))))))))))))))))))))))</f>
        <v/>
      </c>
      <c r="BM93" s="52" t="str">
        <f>IF(Atletas!L89="","",IF(Atletas!W89&lt;&gt;"",10000,0)+(IF(Atletas!B89="Feminino",1000,IF(Atletas!B89="Masculino",2000,""))+(IF(Atletas!L89="Chaquan D",140,IF(Atletas!L89="Emeiquan D",141,IF(Atletas!L89="Fanziquan D",142,IF(Atletas!L89="Huaquan D",143,IF(Atletas!L89="Hongquan D",144,IF(Atletas!L89="Paochui D",145,IF(Atletas!L89="Piguaquan D",146,IF(Atletas!L89="Shaolinquan D",147,IF(Atletas!L89="Tanglangquan D",148,IF(Atletas!L89="Yinzhaophai D",149,IF(Atletas!L89="Tongbeiquan D",150,IF(Atletas!L89="Wudangquan D",151,IF(Atletas!L89="Outros Estilos D",152,IF(Atletas!L89="Chaquan E",153,IF(Atletas!L89="Emeiquan E",154,IF(Atletas!L89="Fanziquan E",155,IF(Atletas!L89="Huaquan E",156,IF(Atletas!L89="Hongquan E",157,IF(Atletas!L89="Paochui E",158,IF(Atletas!L89="Piguaquan E",159,IF(Atletas!L89="Shaolinquan E",160,IF(Atletas!L89="Tanglangquan E",161,IF(Atletas!L89="Yinzhaophai E",162,IF(Atletas!L89="Tongbeiquan E",163,IF(Atletas!L89="Wudangquan E",164,IF(Atletas!L89="Outros Estilos E",165,IF(Atletas!L89="Chaquan F",166,IF(Atletas!L89="Emeiquan F",167,IF(Atletas!L89="Fanziquan F",168,IF(Atletas!L89="Huaquan F",169,IF(Atletas!L89="Hongquan F",170,IF(Atletas!L89="Paochui F",171,IF(Atletas!L89="Piguaquan F",172,IF(Atletas!L89="Shaolinquan F",173,IF(Atletas!L89="Tanglangquan F",174,IF(Atletas!L89="Yinzhaophai F",175,IF(Atletas!L89="Tongbeiquan F",176,IF(Atletas!L89="Wudangquan F",177,IF(Atletas!L89="Outros Estilos F",178,0))))))))))))))))))))))))))))))))))))))))))</f>
        <v/>
      </c>
      <c r="BN93" s="52" t="str">
        <f>IF(Atletas!M89="","",IF(Atletas!W89&lt;&gt;"",10000,0)+(IF(Atletas!B89="Feminino",1000,IF(Atletas!B89="Masculino",2000,""))+(IF(Atletas!M89="Ditangquan A",201,IF(Atletas!M89="Houquan A",202,IF(Atletas!M89="Zuiquan A",203,IF(Atletas!M89="Ditangquan B",204,IF(Atletas!M89="Houquan B",205,IF(Atletas!M89="Zuiquan B",206,IF(Atletas!M89="Ditangquan C",207,IF(Atletas!M89="Houquan C",208,IF(Atletas!M89="Zuiquan C",209,IF(Atletas!M89="Ditangquan D",210,IF(Atletas!M89="Houquan D",211,IF(Atletas!M89="Zuiquan D",212,IF(Atletas!M89="Ditangquan E",213,IF(Atletas!M89="Houquan E",214,IF(Atletas!M89="Zuiquan E",215,IF(Atletas!M89="Ditangquan F",216,IF(Atletas!M89="Houquan F",217,IF(Atletas!M89="Zuiquan F",218,"")))))))))))))))))))))</f>
        <v/>
      </c>
      <c r="BO93" s="52" t="str">
        <f>IF(Atletas!N89="","",IF(Atletas!W89&lt;&gt;"",10000,0)+IF(Atletas!B89="Feminino",1000,IF(Atletas!B89="Masculino",2000,""))+IF(Atletas!N89="Yang A",301,IF(Atletas!N89="Chen A",30,IF(Atletas!N89="Sun A",303,IF(Atletas!N89="Wu A",304,IF(Atletas!N89="Wu-Hao A",305,IF(Atletas!N89="Outro Taijiquan A",306,IF(Atletas!N89="Yang B",307,IF(Atletas!N89="Chen B",308,IF(Atletas!N89="Sun B",309,IF(Atletas!N89="Wu B",310,IF(Atletas!N89="Wu-Hao B",311,IF(Atletas!N89="Outro Taijiquan B",312,IF(Atletas!N89="Yang C",313,IF(Atletas!N89="Chen C",314,IF(Atletas!N89="Sun C",315,IF(Atletas!N89="Wu C",316,IF(Atletas!N89="Wu-Hao C",317,IF(Atletas!N89="Outro Taijiquan C",318,IF(Atletas!N89="Yang D",319,IF(Atletas!N89="Chen D",320,IF(Atletas!N89="Sun D",321,IF(Atletas!N89="Wu D",322,IF(Atletas!N89="Wu-Hao D",323,IF(Atletas!N89="Outro Taijiquan D",324,IF(Atletas!N89="Yang E",325,IF(Atletas!N89="Chen E",326,IF(Atletas!N89="Sun E",327,IF(Atletas!N89="Wu E",328,IF(Atletas!N89="Wu-Hao E",329,IF(Atletas!N89="Outro Taijiquan E",330,IF(Atletas!N89="Yang F",331,IF(Atletas!N89="Chen F",332,IF(Atletas!N89="Sun F",333,IF(Atletas!N89="Wu F",334,IF(Atletas!N89="Wu-Hao F",335,IF(Atletas!N89="Outro Taijiquan F",336,"")))))))))))))))))))))))))))))))))))))</f>
        <v/>
      </c>
      <c r="BP93" s="52" t="str">
        <f>IF(Atletas!O89="","",IF(Atletas!W89&lt;&gt;"",10000,0)+IF(Atletas!B89="Feminino",1000,IF(Atletas!B89="Masculino",2000,""))+IF(OR(Atletas!O89="Yang 26 A",Atletas!O89="Yang 40 A"),401,IF(OR(Atletas!O89="Chen 25 A",Atletas!O89="Chen 36 A",Atletas!O89="Chen 56 A"),402,IF(Atletas!O89="Sun 73 A",403,IF(Atletas!O89="Wu 45 A",404,IF(Atletas!O89="Wu-Hao 46 A",405,IF(OR(Atletas!O89="Taijiquan 16 A",Atletas!O89="Taijiquan 24 A",Atletas!O89="Taijiquan 32 A",Atletas!O89="Taijiquan 42 A"),406,IF(OR(Atletas!O89="Yang 26 B",Atletas!O89="Yang 40 B"),407,IF(OR(Atletas!O89="Chen 25 B",Atletas!O89="Chen 36 B",Atletas!O89="Chen 56 B"),408,IF(Atletas!O89="Sun 73 B",409,IF(Atletas!O89="Wu 45 B",410,IF(Atletas!O89="Wu-Hao 46 B",411,IF(OR(Atletas!O89="Taijiquan 16 B",Atletas!O89="Taijiquan 24 B",Atletas!O89="Taijiquan 32 B",Atletas!O89="Taijiquan 42 B"),412,IF(OR(Atletas!O89="Yang 26 C",Atletas!O89="Yang 40 C"),413,IF(OR(Atletas!O89="Chen 25 C",Atletas!O89="Chen 36 C",Atletas!O89="Chen 56 C"),414,IF(Atletas!O89="Sun 73 C",415,IF(Atletas!O89="Wu 45 C",416,IF(Atletas!O89="Wu-Hao 46 C",417,IF(OR(Atletas!O89="Taijiquan 16 C",Atletas!O89="Taijiquan 24 C",Atletas!O89="Taijiquan 32 C",Atletas!O89="Taijiquan 42 C"),418,0)))))))))))))))))))</f>
        <v/>
      </c>
      <c r="BQ93" s="52" t="str">
        <f>IF(Atletas!O89="","",IF(Atletas!W89&lt;&gt;"",10000,0)+IF(Atletas!B89="Feminino",1000,IF(Atletas!B89="Masculino",2000,""))+IF(OR(Atletas!O89="Yang 26 D",Atletas!O89="Yang 40 D"),419,IF(OR(Atletas!O89="Chen 25 D",Atletas!O89="Chen 36 D",Atletas!O89="Chen 56 D"),420,IF(Atletas!O89="Sun 73 D",421,IF(Atletas!O89="Wu 45 D",422,IF(Atletas!O89="Wu-Hao 46 D",423,IF(OR(Atletas!O89="Taijiquan 16 D",Atletas!O89="Taijiquan 24 D",Atletas!O89="Taijiquan 32 D",Atletas!O89="Taijiquan 42 D"),424,IF(OR(Atletas!O89="Yang 26 E",Atletas!O89="Yang 40 E"),425,IF(OR(Atletas!O89="Chen 25 E",Atletas!O89="Chen 36 E",Atletas!O89="Chen 56 E"),426,IF(Atletas!O89="Sun 73 E",427,IF(Atletas!O89="Wu 45 E",428,IF(Atletas!O89="Wu-Hao 46 E",429,IF(OR(Atletas!O89="Taijiquan 16 E",Atletas!O89="Taijiquan 24 E",Atletas!O89="Taijiquan 32 E",Atletas!O89="Taijiquan 42 E"),430,IF(OR(Atletas!O89="Yang 26 F",Atletas!O89="Yang 40 F"),431,IF(OR(Atletas!O89="Chen 25 F",Atletas!O89="Chen 36 F",Atletas!O89="Chen 56 F"),432,IF(Atletas!O89="Sun 73 F",433,IF(Atletas!O89="Wu 45 F",434,IF(Atletas!O89="Wu-Hao 46 F",435,IF(OR(Atletas!O89="Taijiquan 16 F",Atletas!O89="Taijiquan 24 F",Atletas!O89="Taijiquan 32 F",Atletas!O89="Taijiquan 42 F"),436,0)))))))))))))))))))</f>
        <v/>
      </c>
      <c r="BR93" s="52" t="str">
        <f>IF(Atletas!P89="","",IF(Atletas!W89&lt;&gt;"",10000,0)+IF(Atletas!B89="Feminino",1000,IF(Atletas!B89="Masculino",2000,""))+IF(Atletas!P89="Xingyiquan A",501,IF(Atletas!P89="Baguazhang A",502,IF(Atletas!P89="Outro Estilo Interno A",503,IF(Atletas!P89="Xingyiquan B",504,IF(Atletas!P89="Baguazhang B",505,IF(Atletas!P89="Outro Estilo Interno B",506,IF(Atletas!P89="Xingyiquan C",507,IF(Atletas!P89="Baguazhang C",508,IF(Atletas!P89="Outro Estilo Interno C",509,IF(Atletas!P89="Xingyiquan D",510,IF(Atletas!P89="Baguazhang D",511,IF(Atletas!P89="Outro Estilo Interno D",512,IF(Atletas!P89="Xingyiquan E",513,IF(Atletas!P89="Baguazhang E",514,IF(Atletas!P89="Outro Estilo Interno E",515,IF(Atletas!P89="Xingyiquan F",516,IF(Atletas!P89="Baguazhang F",517,IF(Atletas!P89="Outro Estilo Interno F",518, "")))))))))))))))))))</f>
        <v/>
      </c>
      <c r="BS93" s="52" t="str">
        <f>IF(Atletas!Q89="","",IF(Atletas!W89&lt;&gt;"",10000,0)+IF(Atletas!B89="Feminino",1000,IF(Atletas!B89="Masculino",2000,""))+IF(Atletas!Q89="Dao A",601,IF(Atletas!Q89="Jian A",602,IF(Atletas!Q89="Bishou A",603,IF(Atletas!Q89="Shan A",604,IF(Atletas!Q89="Outra Arma Curta A",605,IF(Atletas!Q89="Dao B",606,IF(Atletas!Q89="Jian B",607,IF(Atletas!Q89="Bishou B",608,IF(Atletas!Q89="Shan B",609,IF(Atletas!Q89="Outra Arma Curta B",610,IF(Atletas!Q89="Dao C",611,IF(Atletas!Q89="Jian C",612,IF(Atletas!Q89="Bishou C",613,IF(Atletas!Q89="Shan C",614,IF(Atletas!Q89="Outra Arma Curta C",615,IF(Atletas!Q89="Dao D",616,IF(Atletas!Q89="Jian D",617,IF(Atletas!Q89="Bishou D",618,IF(Atletas!Q89="Shan D",619,IF(Atletas!Q89="Outra Arma Curta D",620,IF(Atletas!Q89="Dao E",621,IF(Atletas!Q89="Jian E",622,IF(Atletas!Q89="Bishou E",623,IF(Atletas!Q89="Shan E",624,IF(Atletas!Q89="Outra Arma Curta E",625,IF(Atletas!Q89="Dao F",626,IF(Atletas!Q89="Jian F",627,IF(Atletas!Q89="Bishou F",628,IF(Atletas!Q89="Shan F",629,IF(Atletas!Q89="Outra Arma Curta F",630, "")))))))))))))))))))))))))))))))</f>
        <v/>
      </c>
      <c r="BT93" s="52" t="str">
        <f>IF(Atletas!R89="","",IF(Atletas!W89&lt;&gt;"",10000,0)+IF(Atletas!B89="Feminino",1000,IF(Atletas!B89="Masculino",2000,""))+IF(Atletas!R89="Gun A",701,IF(Atletas!R89="Qiang A",702,IF(Atletas!R89="Pudao / Guandao A",703,IF(Atletas!R89="Outra Arma Longa A",704,IF(Atletas!R89="Gun B",705,IF(Atletas!R89="Qiang B",706,IF(Atletas!R89="Pudao / Guandao B",707,IF(Atletas!R89="Outra Arma Longa B",708,IF(Atletas!R89="Gun C",709,IF(Atletas!R89="Qiang C",710,IF(Atletas!R89="Pudao / Guandao C",711,IF(Atletas!R89="Outra Arma Longa C",712,IF(Atletas!R89="Gun D",713,IF(Atletas!R89="Qiang D",714,IF(Atletas!R89="Pudao / Guandao D",715,IF(Atletas!R89="Outra Arma Longa D",716,IF(Atletas!R89="Gun E",717,IF(Atletas!R89="Qiang E",718,IF(Atletas!R89="Pudao / Guandao E",719,IF(Atletas!R89="Outra Arma Longa E",720,IF(Atletas!R89="Gun F",721,IF(Atletas!R89="Qiang F",722,IF(Atletas!R89="Pudao / Guandao F",723,IF(Atletas!R89="Outra Arma Longa F",724,"")))))))))))))))))))))))))</f>
        <v/>
      </c>
      <c r="BU93" s="52" t="str">
        <f>IF(Atletas!S89="","",IF(Atletas!W89&lt;&gt;"",10000,0)+IF(Atletas!B89="Feminino",1000,IF(Atletas!B89="Masculino",2000,""))+IF(Atletas!S89="Arma Dupla A",801,IF(Atletas!S89="Arma Maleável A",802,IF(Atletas!S89="Arma Dupla B",803,IF(Atletas!S89="Arma Maleável B",804,IF(Atletas!S89="Arma Dupla C",805,IF(Atletas!S89="Arma Maleável C",806,IF(Atletas!S89="Arma Dupla D",807,IF(Atletas!S89="Arma Maleável D",808,IF(Atletas!S89="Arma Dupla E",809,IF(Atletas!S89="Arma Maleável E",810,IF(Atletas!S89="Arma Dupla F",811,IF(Atletas!S89="Arma Maleável F",812, "")))))))))))))</f>
        <v/>
      </c>
      <c r="BV93" s="52" t="str">
        <f>IF(Atletas!T89="","",IF(Atletas!W89&lt;&gt;"",10000,0)+IF(Atletas!B89="Feminino",1000,IF(Atletas!B89="Masculino",2000,""))+IF(Atletas!T89="Taijijian Yang A",901,IF(Atletas!T89="Taijijian Chen A",902,IF(Atletas!T89="Taijijian Sun A",903,IF(Atletas!T89="Taijijian Wu A",904,IF(Atletas!T89="Taijijian Wu-Hao A",905,IF(Atletas!T89="Taijijian 32 A",906,IF(Atletas!T89="Taijijian 42 A",907,IF(Atletas!T89="Taijijian Yang B",908,IF(Atletas!T89="Taijijian Chen B",909,IF(Atletas!T89="Taijijian Sun B",910,IF(Atletas!T89="Taijijian Wu B",911,IF(Atletas!T89="Taijijian Wu-Hao B",912,IF(Atletas!T89="Taijijian 32 B",913,IF(Atletas!T89="Taijijian 42 B",914,IF(Atletas!T89="Taijijian Yang C",915,IF(Atletas!T89="Taijijian Chen C",916,IF(Atletas!T89="Taijijian Sun C",917,IF(Atletas!T89="Taijijian Wu C",918,IF(Atletas!T89="Taijijian Wu-Hao C",919,IF(Atletas!T89="Taijijian 32 C",920,IF(Atletas!T89="Taijijian 42 C",921,IF(Atletas!T89="Taijijian Yang D",922,IF(Atletas!T89="Taijijian Chen D",923,IF(Atletas!T89="Taijijian Sun D",924,IF(Atletas!T89="Taijijian Wu D",925,IF(Atletas!T89="Taijijian Wu-Hao D",926,IF(Atletas!T89="Taijijian 32 D",927,IF(Atletas!T89="Taijijian 42 D",928,IF(Atletas!T89="Taijijian Yang E",929,IF(Atletas!T89="Taijijian Chen E",930,IF(Atletas!T89="Taijijian Sun E",931,IF(Atletas!T89="Taijijian Wu E",932,IF(Atletas!T89="Taijijian Wu-Hao E",933,IF(Atletas!T89="Taijijian 32 E",934,IF(Atletas!T89="Taijijian 42 E",935,IF(Atletas!T89="Taijijian Yang F",936,IF(Atletas!T89="Taijijian Chen F",937,IF(Atletas!T89="Taijijian Sun F",938,IF(Atletas!T89="Taijijian Wu F",939,IF(Atletas!T89="Taijijian Wu-Hao F",940,IF(Atletas!T89="Taijijian 32 F",941,IF(Atletas!T89="Taijijian 42 F",942,"")))))))))))))))))))))))))))))))))))))))))))</f>
        <v/>
      </c>
      <c r="BW93" s="52" t="str">
        <f>IF(Atletas!U89="","",IF(Atletas!W89&lt;&gt;"",10000,0)+IF(Atletas!B89="Feminino",1000,IF(Atletas!B89="Masculino",2000,""))+IF(Atletas!T89="Taijijian 42 F",942,IF(Atletas!U89="Taijidao A",943,IF(Atletas!U89="Taijishan A",944,IF(Atletas!U89="Taijiqiang A",945,IF(Atletas!U89="Taijidao B",946,IF(Atletas!U89="Taijishan B",947,IF(Atletas!U89="Taijiqiang B",948,IF(Atletas!U89="Taijidao C",949,IF(Atletas!U89="Taijishan C",950,IF(Atletas!U89="Taijiqiang C",951,IF(Atletas!U89="Taijidao D",952,IF(Atletas!U89="Taijishan D",953,IF(Atletas!U89="Taijiqiang D",954,IF(Atletas!U89="Taijidao E",955,IF(Atletas!U89="Taijishan E",956,IF(Atletas!U89="Taijiqiang E",957,IF(Atletas!U89="Taijidao F",958,IF(Atletas!U89="Taijishan F",959,IF(Atletas!U89="Taijiqiang F",960))))))))))))))))))))</f>
        <v/>
      </c>
      <c r="BX93" s="64" t="str">
        <f>IF(BY93&lt;&gt;"","Hongquan E","")</f>
        <v/>
      </c>
      <c r="BY93" s="64" t="str">
        <f>IF(COUNTIF(BK:BW,1157)&gt;0,COUNTIF(BK:BW,1157),"")</f>
        <v/>
      </c>
      <c r="BZ93" s="64" t="str">
        <f>IF(CA93&lt;&gt;"","Hongquan E","")</f>
        <v/>
      </c>
      <c r="CA93" s="64" t="str">
        <f>IF(COUNTIF(BK:BW,2157)&gt;0,COUNTIF(BK:BW,2157),"")</f>
        <v/>
      </c>
      <c r="CB93" s="64" t="str">
        <f>IF(CC93&lt;&gt;"","Hongquan E","")</f>
        <v/>
      </c>
      <c r="CC93" s="64" t="str">
        <f>IF(COUNTIF(BK:BW,11157)&gt;0,COUNTIF(BK:BW,11157),"")</f>
        <v/>
      </c>
      <c r="CD93" s="64" t="str">
        <f>IF(CE93&lt;&gt;"","Hongquan E","")</f>
        <v/>
      </c>
      <c r="CE93" s="64" t="str">
        <f>IF(COUNTIF(BK:BW,12157)&gt;0,COUNTIF(BK:BW,12157),"")</f>
        <v/>
      </c>
      <c r="CF93" s="52" t="str">
        <f xml:space="preserve"> IF(Atletas!V89="","",IF(Atletas!V89="Duilian de Mãos AB - Equipe 1",1,IF(Atletas!V89="Duilian de Mãos AB - Equipe 2",2,IF(Atletas!V89="Duilian de Armas AB - Equipe 1",3,IF(Atletas!V89="Duilian de Armas AB - Equipe 2",4,IF(Atletas!V89="Duilian de Tuishou - Equipe 1",5,IF(Atletas!V89="Duilian de Tuishou - Equipe 2",6,IF(Atletas!V89="Grupo Externo AB - Equipe 1",7,IF(Atletas!V89="Grupo Externo AB - Equipe 2",8,IF(Atletas!V89="Grupo Interno AB - Equipe 1",9,IF(Atletas!V89="Grupo Interno AB - Equipe 2",10,IF(Atletas!V89="Duilian de Mãos CD - Equipe 1",11,IF(Atletas!V89="Duilian de Mãos CD - Equipe 2",12,IF(Atletas!V89="Duilian de Armas CD - Equipe 1",13,IF(Atletas!V89="Duilian de Armas CD - Equipe 2",14,IF(Atletas!V89="Duilian de Tuishou - Equipe 1",15,IF(Atletas!V89="Duilian de Tuishou - Equipe 2",16,IF(Atletas!V89="Grupo Externo CDEF - Equipe 1",17,IF(Atletas!V89="Grupo Externo CDEF - Equipe 2",18,IF(Atletas!V89="Grupo Interno CDEF - Equipe 1",19,IF(Atletas!V89="Grupo Interno CDEF - Equipe 2",20,IF(Atletas!V89="Duilian de Mãos EF - Equipe 1",21,IF(Atletas!V89="Duilian de Mãos EF - Equipe 2",22,IF(Atletas!V89="Duilian de Armas EF - Equipe 1",23,IF(Atletas!V89="Duilian de Armas EF - Equipe 2",24,IF(Atletas!V89="Duilian de Tuishou - Equipe 1",25,IF(Atletas!V89="Duilian de Tuishou - Equipe 2",26,"")))))))))))))))))))))))))))</f>
        <v/>
      </c>
    </row>
    <row r="94" spans="2:84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 t="str">
        <f t="array" ref="V94">IFERROR(INDEX(BX$7:BX$336,SMALL(IF(BX$7:BX$336&lt;&gt;"",ROW(BX$7:BX$336)-ROW(BX$7)+1),ROWS(BX$7:BX93))),"")</f>
        <v/>
      </c>
      <c r="W94" s="4" t="str">
        <f t="array" ref="W94">IFERROR(INDEX(BY$7:BY$336,SMALL(IF(BY$7:BY$336&lt;&gt;"",ROW(BY$7:BY$336)-ROW(BY$7)+1),ROWS(BY$7:BY93))),"")</f>
        <v/>
      </c>
      <c r="X94" s="4" t="str">
        <f t="array" ref="X94">IFERROR(INDEX(BZ$7:BZ$336,SMALL(IF(BZ$7:BZ$336&lt;&gt;"",ROW(BZ$7:BZ$336)-ROW(BZ$7)+1),ROWS(BZ$7:BZ93))),"")</f>
        <v/>
      </c>
      <c r="Y94" s="4" t="str">
        <f t="array" ref="Y94">IFERROR(INDEX(CA$7:CA$336,SMALL(IF(CA$7:CA$336&lt;&gt;"",ROW(CA$7:CA$336)-ROW(CA$7)+1),ROWS(CA$7:CA93))),"")</f>
        <v/>
      </c>
      <c r="Z94" s="4" t="str">
        <f t="array" ref="Z94">IFERROR(INDEX(CB$7:CB$378,SMALL(IF(CB$7:CB$378&lt;&gt;"",ROW(CB$7:CB$378)-ROW(CB$7)+1),ROWS(CB$7:CB93))),"")</f>
        <v/>
      </c>
      <c r="AA94" s="4" t="str">
        <f t="array" ref="AA94">IFERROR(INDEX(CC$7:CC$378,SMALL(IF(CC$7:CC$378&lt;&gt;"",ROW(CC$7:CC$378)-ROW(CC$7)+1),ROWS(CC$7:CC93))),"")</f>
        <v/>
      </c>
      <c r="AB94" s="4" t="str">
        <f t="array" ref="AB94">IFERROR(INDEX(CD$7:CD$378,SMALL(IF(CD$7:CD$378&lt;&gt;"",ROW(CD$7:CD$378)-ROW(CD$7)+1),ROWS(CD$7:CD93))),"")</f>
        <v/>
      </c>
      <c r="AC94" s="4" t="str">
        <f t="array" ref="AC94">IFERROR(INDEX(CE$7:CE$378,SMALL(IF(CE$7:CE$378&lt;&gt;"",ROW(CE$7:CE$378)-ROW(CE$7)+1),ROWS(CE$7:CE93))),"")</f>
        <v/>
      </c>
      <c r="AD94" s="4"/>
      <c r="AE94" s="4"/>
      <c r="AF94" s="4"/>
      <c r="AG94" s="4"/>
      <c r="AH94" s="4"/>
      <c r="AI94" s="4"/>
      <c r="AJ94" s="46" t="str">
        <f>IF(Atletas!D90="","",IF(Atletas!B90="Feminino",100,IF(Atletas!B90="Masculino",200,""))+(IF(Atletas!D90="Infantil 39kg",1,IF(Atletas!D90="Infantil 42kg",2,IF(Atletas!D90="Infantil 45kg",3,IF(Atletas!D90="Infantil 48kg",4,IF(Atletas!D90="Infantil 52kg",5,IF(Atletas!D90="Infantil 56kg",6,IF(Atletas!D90="Infantil 60kg",7,IF(Atletas!D90="Juvenil 48kg",8,IF(Atletas!D90="Juvenil 52kg",9,IF(Atletas!D90="Juvenil 56kg",10,IF(Atletas!D90="Juvenil 60kg",11,IF(Atletas!D90="Juvenil 65kg",12,IF(Atletas!D90="Juvenil 70kg",13,IF(Atletas!D90="Juvenil 75kg",14,IF(Atletas!D90="Juvenil 80kg",15,IF(Atletas!D90="Adulto 48kg",16,IF(Atletas!D90="Adulto 52kg",17,IF(Atletas!D90="Adulto 56kg",18,IF(Atletas!D90="Adulto 60kg",19,IF(Atletas!D90="Adulto 65kg",20,IF(Atletas!D90="Adulto 70kg",21,IF(Atletas!D90="Adulto 75kg",22,IF(Atletas!D90="Adulto 80kg",23,IF(Atletas!D90="Adulto 85kg",24,IF(Atletas!D90="Adulto 90kg",25,IF(Atletas!D90="Adulto +90kg",26,""))))))))))))))))))))))))))))</f>
        <v/>
      </c>
      <c r="AO94" s="10" t="str">
        <f>IF(Atletas!E90="","",IF(Atletas!B90="Feminino",100,IF(Atletas!B90="Masculino",200,""))+(IF(Atletas!E90="Juvenil 44kg",1,IF(Atletas!E90="Juvenil 48kg",2,IF(Atletas!E90="Juvenil 52kg",3,IF(Atletas!E90="Juvenil 56kg",4,IF(Atletas!E90="Juvenil 60kg",5,IF(Atletas!E90="Juvenil 65kg",6,IF(Atletas!E90="Juvenil 70kg",7,IF(Atletas!E90="Juvenil 75kg",8,IF(Atletas!E90="Juvenil 82kg",9,IF(Atletas!E90="Juvenil 90kg",10,IF(Atletas!E90="Juvenil 100kg",11,IF(Atletas!E90="Adulto 48kg",12,IF(Atletas!E90="Adulto 52kg",13,IF(Atletas!E90="Adulto 56kg",14,IF(Atletas!E90="Adulto 60kg",15,IF(Atletas!E90="Adulto 65kg",16,IF(Atletas!E90="Adulto 70kg",17,IF(Atletas!E90="Adulto 75kg",18,IF(Atletas!E90="Adulto 82kg",19,IF(Atletas!E90="Adulto 90kg",20,IF(Atletas!E90="Adulto 100kg",21,IF(Atletas!E90="Adulto +100kg",22,""))))))))))))))))))))))))</f>
        <v/>
      </c>
      <c r="AT94" s="10" t="str">
        <f>IF(Atletas!F90="","",IF(Atletas!B90="Feminino",100,IF(Atletas!B90="Masculino",200,""))+(IF(Atletas!F90="Adulto 48kg",1,IF(Atletas!F90="Adulto 56kg",2,IF(Atletas!F90="Adulto 65kg",3,IF(Atletas!F90="Adulto 75kg",4,IF(Atletas!F90="Adulto +75kg",5,IF(Atletas!F90="Adulto 52kg",6,IF(Atletas!F90="Adulto 60kg",7,IF(Atletas!F90="Adulto 70kg",8,IF(Atletas!F90="Adulto 80kg",9,IF(Atletas!F90="Adulto 90kg",10,IF(Atletas!F90="Adulto +90kg",11,"")))))))))))))</f>
        <v/>
      </c>
      <c r="AY94" s="46" t="str">
        <f>IF(Atletas!G90="","",IF(Atletas!B90="Feminino",100,IF(Atletas!B90="Masculino",200,""))+(IF(Atletas!G90="Changquan Mirim",1,IF(Atletas!G90="Nanquan Mirim",2,IF(Atletas!G90="Taijiquan Mirim",3,IF(Atletas!G90="Changquan Grupo C",4,IF(Atletas!G90="Nanquan Grupo C",5,IF(Atletas!G90="Taijiquan Grupo C",6,IF(Atletas!G90="Changquan Grupo B",7,IF(Atletas!G90="Nanquan Grupo B",8,IF(Atletas!G90="Taijiquan Grupo B",9,IF(Atletas!G90="Changquan Grupo A",10,IF(Atletas!G90="Nanquan Grupo A",11,IF(Atletas!G90="Taijiquan Grupo A",12,IF(Atletas!G90="Changquan Opcional",13,IF(Atletas!G90="Nanquan Opcional",14,IF(Atletas!G90="Taijiquan Opcional",15,IF(Atletas!G90="Changquan Adulto",16,IF(Atletas!G90="Nanquan Adulto",17,IF(Atletas!G90="Taijiquan Adulto",18,""))))))))))))))))))))</f>
        <v/>
      </c>
      <c r="AZ94" s="46" t="str">
        <f>IF(Atletas!H90="","",IF(Atletas!B90="Feminino",100,IF(Atletas!B90="Masculino",200,""))+(IF(Atletas!H90="Daoshu Mirim",19,IF(Atletas!H90="Jianshu Mirim",20,IF(Atletas!H90="Nandao Mirim",21,IF(Atletas!H90="Taijijian Mirim",22,IF(Atletas!H90="Daoshu Grupo C",23,IF(Atletas!H90="Jianshu Grupo C",24,IF(Atletas!H90="Nandao Grupo C",25,IF(Atletas!H90="Taijijian Grupo C",26,IF(Atletas!H90="Daoshu Grupo B",27,IF(Atletas!H90="Jianshu Grupo B",28,IF(Atletas!H90="Nandao Grupo B",29,IF(Atletas!H90="Taijijian Grupo B",30,IF(Atletas!H90="Daoshu Grupo A",31,IF(Atletas!H90="Jianshu Grupo A",32,IF(Atletas!H90="Nandao Grupo A",33,IF(Atletas!H90="Taijijian Grupo A",34,IF(Atletas!H90="Daoshu Opcional",35,IF(Atletas!H90="Jianshu Opcional",36,IF(Atletas!H90="Nandao Opcional",37,IF(Atletas!H90="Taijijian Opcional",38,IF(Atletas!H90="Daoshu Adulto",39,IF(Atletas!H90="Jianshu Adulto",40,IF(Atletas!H90="Nandao Adulto",41,IF(Atletas!H90="Taijijian Adulto",42,""))))))))))))))))))))))))))</f>
        <v/>
      </c>
      <c r="BA94" s="46" t="str">
        <f>IF(Atletas!I90="","",IF(Atletas!B90="Feminino",100,IF(Atletas!B90="Masculino",200,""))+(IF(Atletas!I90="Gunshu Mirim",43,IF(Atletas!I90="Qiangshu Mirim",44,IF(Atletas!I90="Nangun Mirim",45,IF(Atletas!I90="Gunshu Grupo C",46,IF(Atletas!I90="Qiangshu Grupo C",47,IF(Atletas!I90="Nangun Grupo C",48,IF(Atletas!I90="Gunshu Grupo B",49,IF(Atletas!I90="Qiangshu Grupo B",50,IF(Atletas!I90="Nangun Grupo B",51,IF(Atletas!I90="Gunshu Grupo A",52,IF(Atletas!I90="Qiangshu Grupo A",53,IF(Atletas!I90="Nangun Grupo A",54,IF(Atletas!I90="Gunshu Opcional",55,IF(Atletas!I90="Qiangshu Opcional",56,IF(Atletas!I90="Nangun Opcional",57,IF(Atletas!I90="Gunshu Adulto",58,IF(Atletas!I90="Qiangshu Adulto",59,IF(Atletas!I90="Nangun Adulto",60,""))))))))))))))))))))</f>
        <v/>
      </c>
      <c r="BF94" s="52" t="str">
        <f>IF(Atletas!J90="","",IF(Atletas!B90="Feminino",100,IF(Atletas!B90="Masculino",200,""))+(IF(Atletas!J90="Equipe 1 Grupo B",1,IF(Atletas!J90="Equipe 2 Grupo B",2,IF(Atletas!J90="Equipe 1 Grupo A",3,IF(Atletas!J90="Equipe 2 Grupo A",4,IF(Atletas!J90="Equipe 1 Adulto",5,IF(Atletas!J90="Equipe 2 Adulto",6,""))))))))</f>
        <v/>
      </c>
      <c r="BK94" s="52" t="str">
        <f>IF(Atletas!K90="","",IF(Atletas!W90&lt;&gt;"",10000,0)+(IF(Atletas!B90="Feminino",1000,IF(Atletas!B90="Masculino",2000,""))+IF(Atletas!K90="Choylayfut A",1,IF(Atletas!K90="Hunggar A",2,IF(Atletas!K90="Wuzuquan A",3,IF(Atletas!K90="Wingchun A",4,IF(Atletas!K90="Outra Mão de Sul A",5,IF(Atletas!K90="Choylayfut B",6,IF(Atletas!K90="Hunggar B",7,IF(Atletas!K90="Wuzuquan B",8,IF(Atletas!K90="Wingchun B",9,IF(Atletas!K90="Outra Mão de Sul B",10,IF(Atletas!K90="Choylayfut C",11,IF(Atletas!K90="Hunggar C",12,IF(Atletas!K90="Wuzuquan C",13,IF(Atletas!K90="Wingchun C",14,IF(Atletas!K90="Outra Mão de Sul C",15,IF(Atletas!K90="Choylayfut D",16,IF(Atletas!K90="Hunggar D",17,IF(Atletas!K90="Wuzuquan D",18,IF(Atletas!K90="Wingchun D",19,IF(Atletas!K90="Outra Mão de Sul D",20,IF(Atletas!K90="Choylayfut E",21,IF(Atletas!K90="Hunggar E",22,IF(Atletas!K90="Wuzuquan E",23,IF(Atletas!K90="Wingchun E",24,IF(Atletas!K90="Outra Mão de Sul E",25,IF(Atletas!K90="Choylayfut F",26,IF(Atletas!K90="Hunggar F",27,IF(Atletas!K90="Wuzuquan F",28,IF(Atletas!K90="Wingchun F",29,IF(Atletas!K90="Outra Mão de Sul F",30,""))))))))))))))))))))))))))))))))</f>
        <v/>
      </c>
      <c r="BL94" s="52" t="str">
        <f>IF(Atletas!L90="","",IF(Atletas!W90&lt;&gt;"",10000,0)+(IF(Atletas!B90="Feminino",1000,IF(Atletas!B90="Masculino",2000,""))+(IF(Atletas!L90="Chaquan A",101,IF(Atletas!L90="Emeiquan A",102,IF(Atletas!L90="Fanziquan A",103,IF(Atletas!L90="Huaquan A",104,IF(Atletas!L90="Hongquan A",105,IF(Atletas!L90="Paochui A",106,IF(Atletas!L90="Piguaquan A",107,IF(Atletas!L90="Shaolinquan A",108,IF(Atletas!L90="Tanglangquan A",109,IF(Atletas!L90="Yinzhaophai A",110,IF(Atletas!L90="Tongbeiquan A",111,IF(Atletas!L90="Wudangquan A",112,IF(Atletas!L90="Outros Estilos A",113,IF(Atletas!L90="Chaquan B",114,IF(Atletas!L90="Emeiquan B",115,IF(Atletas!L90="Fanziquan B",116,IF(Atletas!L90="Huaquan B",117,IF(Atletas!L90="Hongquan B",118,IF(Atletas!L90="Paochui B",119,IF(Atletas!L90="Piguaquan B",120,IF(Atletas!L90="Shaolinquan B",121,IF(Atletas!L90="Tanglangquan B",122,IF(Atletas!L90="Yinzhaophai B",123,IF(Atletas!L90="Tongbeiquan B",124,IF(Atletas!L90="Wudangquan B",125,IF(Atletas!L90="Outros Estilos B",126,IF(Atletas!L90="Chaquan C",127,IF(Atletas!L90="Emeiquan C",128,IF(Atletas!L90="Fanziquan C",129,IF(Atletas!L90="Huaquan C",130,IF(Atletas!L90="Hongquan C",131,IF(Atletas!L90="Paochui C",132,IF(Atletas!L90="Piguaquan C",133,IF(Atletas!L90="Shaolinquan C",134,IF(Atletas!L90="Tanglangquan C",135,IF(Atletas!L90="Yinzhaophai C",136,IF(Atletas!L90="Tongbeiquan C",137,IF(Atletas!L90="Wudangquan C",138,IF(Atletas!L90="Outros Estilos C",139,0))))))))))))))))))))))))))))))))))))))))))</f>
        <v/>
      </c>
      <c r="BM94" s="52" t="str">
        <f>IF(Atletas!L90="","",IF(Atletas!W90&lt;&gt;"",10000,0)+(IF(Atletas!B90="Feminino",1000,IF(Atletas!B90="Masculino",2000,""))+(IF(Atletas!L90="Chaquan D",140,IF(Atletas!L90="Emeiquan D",141,IF(Atletas!L90="Fanziquan D",142,IF(Atletas!L90="Huaquan D",143,IF(Atletas!L90="Hongquan D",144,IF(Atletas!L90="Paochui D",145,IF(Atletas!L90="Piguaquan D",146,IF(Atletas!L90="Shaolinquan D",147,IF(Atletas!L90="Tanglangquan D",148,IF(Atletas!L90="Yinzhaophai D",149,IF(Atletas!L90="Tongbeiquan D",150,IF(Atletas!L90="Wudangquan D",151,IF(Atletas!L90="Outros Estilos D",152,IF(Atletas!L90="Chaquan E",153,IF(Atletas!L90="Emeiquan E",154,IF(Atletas!L90="Fanziquan E",155,IF(Atletas!L90="Huaquan E",156,IF(Atletas!L90="Hongquan E",157,IF(Atletas!L90="Paochui E",158,IF(Atletas!L90="Piguaquan E",159,IF(Atletas!L90="Shaolinquan E",160,IF(Atletas!L90="Tanglangquan E",161,IF(Atletas!L90="Yinzhaophai E",162,IF(Atletas!L90="Tongbeiquan E",163,IF(Atletas!L90="Wudangquan E",164,IF(Atletas!L90="Outros Estilos E",165,IF(Atletas!L90="Chaquan F",166,IF(Atletas!L90="Emeiquan F",167,IF(Atletas!L90="Fanziquan F",168,IF(Atletas!L90="Huaquan F",169,IF(Atletas!L90="Hongquan F",170,IF(Atletas!L90="Paochui F",171,IF(Atletas!L90="Piguaquan F",172,IF(Atletas!L90="Shaolinquan F",173,IF(Atletas!L90="Tanglangquan F",174,IF(Atletas!L90="Yinzhaophai F",175,IF(Atletas!L90="Tongbeiquan F",176,IF(Atletas!L90="Wudangquan F",177,IF(Atletas!L90="Outros Estilos F",178,0))))))))))))))))))))))))))))))))))))))))))</f>
        <v/>
      </c>
      <c r="BN94" s="52" t="str">
        <f>IF(Atletas!M90="","",IF(Atletas!W90&lt;&gt;"",10000,0)+(IF(Atletas!B90="Feminino",1000,IF(Atletas!B90="Masculino",2000,""))+(IF(Atletas!M90="Ditangquan A",201,IF(Atletas!M90="Houquan A",202,IF(Atletas!M90="Zuiquan A",203,IF(Atletas!M90="Ditangquan B",204,IF(Atletas!M90="Houquan B",205,IF(Atletas!M90="Zuiquan B",206,IF(Atletas!M90="Ditangquan C",207,IF(Atletas!M90="Houquan C",208,IF(Atletas!M90="Zuiquan C",209,IF(Atletas!M90="Ditangquan D",210,IF(Atletas!M90="Houquan D",211,IF(Atletas!M90="Zuiquan D",212,IF(Atletas!M90="Ditangquan E",213,IF(Atletas!M90="Houquan E",214,IF(Atletas!M90="Zuiquan E",215,IF(Atletas!M90="Ditangquan F",216,IF(Atletas!M90="Houquan F",217,IF(Atletas!M90="Zuiquan F",218,"")))))))))))))))))))))</f>
        <v/>
      </c>
      <c r="BO94" s="52" t="str">
        <f>IF(Atletas!N90="","",IF(Atletas!W90&lt;&gt;"",10000,0)+IF(Atletas!B90="Feminino",1000,IF(Atletas!B90="Masculino",2000,""))+IF(Atletas!N90="Yang A",301,IF(Atletas!N90="Chen A",30,IF(Atletas!N90="Sun A",303,IF(Atletas!N90="Wu A",304,IF(Atletas!N90="Wu-Hao A",305,IF(Atletas!N90="Outro Taijiquan A",306,IF(Atletas!N90="Yang B",307,IF(Atletas!N90="Chen B",308,IF(Atletas!N90="Sun B",309,IF(Atletas!N90="Wu B",310,IF(Atletas!N90="Wu-Hao B",311,IF(Atletas!N90="Outro Taijiquan B",312,IF(Atletas!N90="Yang C",313,IF(Atletas!N90="Chen C",314,IF(Atletas!N90="Sun C",315,IF(Atletas!N90="Wu C",316,IF(Atletas!N90="Wu-Hao C",317,IF(Atletas!N90="Outro Taijiquan C",318,IF(Atletas!N90="Yang D",319,IF(Atletas!N90="Chen D",320,IF(Atletas!N90="Sun D",321,IF(Atletas!N90="Wu D",322,IF(Atletas!N90="Wu-Hao D",323,IF(Atletas!N90="Outro Taijiquan D",324,IF(Atletas!N90="Yang E",325,IF(Atletas!N90="Chen E",326,IF(Atletas!N90="Sun E",327,IF(Atletas!N90="Wu E",328,IF(Atletas!N90="Wu-Hao E",329,IF(Atletas!N90="Outro Taijiquan E",330,IF(Atletas!N90="Yang F",331,IF(Atletas!N90="Chen F",332,IF(Atletas!N90="Sun F",333,IF(Atletas!N90="Wu F",334,IF(Atletas!N90="Wu-Hao F",335,IF(Atletas!N90="Outro Taijiquan F",336,"")))))))))))))))))))))))))))))))))))))</f>
        <v/>
      </c>
      <c r="BP94" s="52" t="str">
        <f>IF(Atletas!O90="","",IF(Atletas!W90&lt;&gt;"",10000,0)+IF(Atletas!B90="Feminino",1000,IF(Atletas!B90="Masculino",2000,""))+IF(OR(Atletas!O90="Yang 26 A",Atletas!O90="Yang 40 A"),401,IF(OR(Atletas!O90="Chen 25 A",Atletas!O90="Chen 36 A",Atletas!O90="Chen 56 A"),402,IF(Atletas!O90="Sun 73 A",403,IF(Atletas!O90="Wu 45 A",404,IF(Atletas!O90="Wu-Hao 46 A",405,IF(OR(Atletas!O90="Taijiquan 16 A",Atletas!O90="Taijiquan 24 A",Atletas!O90="Taijiquan 32 A",Atletas!O90="Taijiquan 42 A"),406,IF(OR(Atletas!O90="Yang 26 B",Atletas!O90="Yang 40 B"),407,IF(OR(Atletas!O90="Chen 25 B",Atletas!O90="Chen 36 B",Atletas!O90="Chen 56 B"),408,IF(Atletas!O90="Sun 73 B",409,IF(Atletas!O90="Wu 45 B",410,IF(Atletas!O90="Wu-Hao 46 B",411,IF(OR(Atletas!O90="Taijiquan 16 B",Atletas!O90="Taijiquan 24 B",Atletas!O90="Taijiquan 32 B",Atletas!O90="Taijiquan 42 B"),412,IF(OR(Atletas!O90="Yang 26 C",Atletas!O90="Yang 40 C"),413,IF(OR(Atletas!O90="Chen 25 C",Atletas!O90="Chen 36 C",Atletas!O90="Chen 56 C"),414,IF(Atletas!O90="Sun 73 C",415,IF(Atletas!O90="Wu 45 C",416,IF(Atletas!O90="Wu-Hao 46 C",417,IF(OR(Atletas!O90="Taijiquan 16 C",Atletas!O90="Taijiquan 24 C",Atletas!O90="Taijiquan 32 C",Atletas!O90="Taijiquan 42 C"),418,0)))))))))))))))))))</f>
        <v/>
      </c>
      <c r="BQ94" s="52" t="str">
        <f>IF(Atletas!O90="","",IF(Atletas!W90&lt;&gt;"",10000,0)+IF(Atletas!B90="Feminino",1000,IF(Atletas!B90="Masculino",2000,""))+IF(OR(Atletas!O90="Yang 26 D",Atletas!O90="Yang 40 D"),419,IF(OR(Atletas!O90="Chen 25 D",Atletas!O90="Chen 36 D",Atletas!O90="Chen 56 D"),420,IF(Atletas!O90="Sun 73 D",421,IF(Atletas!O90="Wu 45 D",422,IF(Atletas!O90="Wu-Hao 46 D",423,IF(OR(Atletas!O90="Taijiquan 16 D",Atletas!O90="Taijiquan 24 D",Atletas!O90="Taijiquan 32 D",Atletas!O90="Taijiquan 42 D"),424,IF(OR(Atletas!O90="Yang 26 E",Atletas!O90="Yang 40 E"),425,IF(OR(Atletas!O90="Chen 25 E",Atletas!O90="Chen 36 E",Atletas!O90="Chen 56 E"),426,IF(Atletas!O90="Sun 73 E",427,IF(Atletas!O90="Wu 45 E",428,IF(Atletas!O90="Wu-Hao 46 E",429,IF(OR(Atletas!O90="Taijiquan 16 E",Atletas!O90="Taijiquan 24 E",Atletas!O90="Taijiquan 32 E",Atletas!O90="Taijiquan 42 E"),430,IF(OR(Atletas!O90="Yang 26 F",Atletas!O90="Yang 40 F"),431,IF(OR(Atletas!O90="Chen 25 F",Atletas!O90="Chen 36 F",Atletas!O90="Chen 56 F"),432,IF(Atletas!O90="Sun 73 F",433,IF(Atletas!O90="Wu 45 F",434,IF(Atletas!O90="Wu-Hao 46 F",435,IF(OR(Atletas!O90="Taijiquan 16 F",Atletas!O90="Taijiquan 24 F",Atletas!O90="Taijiquan 32 F",Atletas!O90="Taijiquan 42 F"),436,0)))))))))))))))))))</f>
        <v/>
      </c>
      <c r="BR94" s="52" t="str">
        <f>IF(Atletas!P90="","",IF(Atletas!W90&lt;&gt;"",10000,0)+IF(Atletas!B90="Feminino",1000,IF(Atletas!B90="Masculino",2000,""))+IF(Atletas!P90="Xingyiquan A",501,IF(Atletas!P90="Baguazhang A",502,IF(Atletas!P90="Outro Estilo Interno A",503,IF(Atletas!P90="Xingyiquan B",504,IF(Atletas!P90="Baguazhang B",505,IF(Atletas!P90="Outro Estilo Interno B",506,IF(Atletas!P90="Xingyiquan C",507,IF(Atletas!P90="Baguazhang C",508,IF(Atletas!P90="Outro Estilo Interno C",509,IF(Atletas!P90="Xingyiquan D",510,IF(Atletas!P90="Baguazhang D",511,IF(Atletas!P90="Outro Estilo Interno D",512,IF(Atletas!P90="Xingyiquan E",513,IF(Atletas!P90="Baguazhang E",514,IF(Atletas!P90="Outro Estilo Interno E",515,IF(Atletas!P90="Xingyiquan F",516,IF(Atletas!P90="Baguazhang F",517,IF(Atletas!P90="Outro Estilo Interno F",518, "")))))))))))))))))))</f>
        <v/>
      </c>
      <c r="BS94" s="52" t="str">
        <f>IF(Atletas!Q90="","",IF(Atletas!W90&lt;&gt;"",10000,0)+IF(Atletas!B90="Feminino",1000,IF(Atletas!B90="Masculino",2000,""))+IF(Atletas!Q90="Dao A",601,IF(Atletas!Q90="Jian A",602,IF(Atletas!Q90="Bishou A",603,IF(Atletas!Q90="Shan A",604,IF(Atletas!Q90="Outra Arma Curta A",605,IF(Atletas!Q90="Dao B",606,IF(Atletas!Q90="Jian B",607,IF(Atletas!Q90="Bishou B",608,IF(Atletas!Q90="Shan B",609,IF(Atletas!Q90="Outra Arma Curta B",610,IF(Atletas!Q90="Dao C",611,IF(Atletas!Q90="Jian C",612,IF(Atletas!Q90="Bishou C",613,IF(Atletas!Q90="Shan C",614,IF(Atletas!Q90="Outra Arma Curta C",615,IF(Atletas!Q90="Dao D",616,IF(Atletas!Q90="Jian D",617,IF(Atletas!Q90="Bishou D",618,IF(Atletas!Q90="Shan D",619,IF(Atletas!Q90="Outra Arma Curta D",620,IF(Atletas!Q90="Dao E",621,IF(Atletas!Q90="Jian E",622,IF(Atletas!Q90="Bishou E",623,IF(Atletas!Q90="Shan E",624,IF(Atletas!Q90="Outra Arma Curta E",625,IF(Atletas!Q90="Dao F",626,IF(Atletas!Q90="Jian F",627,IF(Atletas!Q90="Bishou F",628,IF(Atletas!Q90="Shan F",629,IF(Atletas!Q90="Outra Arma Curta F",630, "")))))))))))))))))))))))))))))))</f>
        <v/>
      </c>
      <c r="BT94" s="52" t="str">
        <f>IF(Atletas!R90="","",IF(Atletas!W90&lt;&gt;"",10000,0)+IF(Atletas!B90="Feminino",1000,IF(Atletas!B90="Masculino",2000,""))+IF(Atletas!R90="Gun A",701,IF(Atletas!R90="Qiang A",702,IF(Atletas!R90="Pudao / Guandao A",703,IF(Atletas!R90="Outra Arma Longa A",704,IF(Atletas!R90="Gun B",705,IF(Atletas!R90="Qiang B",706,IF(Atletas!R90="Pudao / Guandao B",707,IF(Atletas!R90="Outra Arma Longa B",708,IF(Atletas!R90="Gun C",709,IF(Atletas!R90="Qiang C",710,IF(Atletas!R90="Pudao / Guandao C",711,IF(Atletas!R90="Outra Arma Longa C",712,IF(Atletas!R90="Gun D",713,IF(Atletas!R90="Qiang D",714,IF(Atletas!R90="Pudao / Guandao D",715,IF(Atletas!R90="Outra Arma Longa D",716,IF(Atletas!R90="Gun E",717,IF(Atletas!R90="Qiang E",718,IF(Atletas!R90="Pudao / Guandao E",719,IF(Atletas!R90="Outra Arma Longa E",720,IF(Atletas!R90="Gun F",721,IF(Atletas!R90="Qiang F",722,IF(Atletas!R90="Pudao / Guandao F",723,IF(Atletas!R90="Outra Arma Longa F",724,"")))))))))))))))))))))))))</f>
        <v/>
      </c>
      <c r="BU94" s="52" t="str">
        <f>IF(Atletas!S90="","",IF(Atletas!W90&lt;&gt;"",10000,0)+IF(Atletas!B90="Feminino",1000,IF(Atletas!B90="Masculino",2000,""))+IF(Atletas!S90="Arma Dupla A",801,IF(Atletas!S90="Arma Maleável A",802,IF(Atletas!S90="Arma Dupla B",803,IF(Atletas!S90="Arma Maleável B",804,IF(Atletas!S90="Arma Dupla C",805,IF(Atletas!S90="Arma Maleável C",806,IF(Atletas!S90="Arma Dupla D",807,IF(Atletas!S90="Arma Maleável D",808,IF(Atletas!S90="Arma Dupla E",809,IF(Atletas!S90="Arma Maleável E",810,IF(Atletas!S90="Arma Dupla F",811,IF(Atletas!S90="Arma Maleável F",812, "")))))))))))))</f>
        <v/>
      </c>
      <c r="BV94" s="52" t="str">
        <f>IF(Atletas!T90="","",IF(Atletas!W90&lt;&gt;"",10000,0)+IF(Atletas!B90="Feminino",1000,IF(Atletas!B90="Masculino",2000,""))+IF(Atletas!T90="Taijijian Yang A",901,IF(Atletas!T90="Taijijian Chen A",902,IF(Atletas!T90="Taijijian Sun A",903,IF(Atletas!T90="Taijijian Wu A",904,IF(Atletas!T90="Taijijian Wu-Hao A",905,IF(Atletas!T90="Taijijian 32 A",906,IF(Atletas!T90="Taijijian 42 A",907,IF(Atletas!T90="Taijijian Yang B",908,IF(Atletas!T90="Taijijian Chen B",909,IF(Atletas!T90="Taijijian Sun B",910,IF(Atletas!T90="Taijijian Wu B",911,IF(Atletas!T90="Taijijian Wu-Hao B",912,IF(Atletas!T90="Taijijian 32 B",913,IF(Atletas!T90="Taijijian 42 B",914,IF(Atletas!T90="Taijijian Yang C",915,IF(Atletas!T90="Taijijian Chen C",916,IF(Atletas!T90="Taijijian Sun C",917,IF(Atletas!T90="Taijijian Wu C",918,IF(Atletas!T90="Taijijian Wu-Hao C",919,IF(Atletas!T90="Taijijian 32 C",920,IF(Atletas!T90="Taijijian 42 C",921,IF(Atletas!T90="Taijijian Yang D",922,IF(Atletas!T90="Taijijian Chen D",923,IF(Atletas!T90="Taijijian Sun D",924,IF(Atletas!T90="Taijijian Wu D",925,IF(Atletas!T90="Taijijian Wu-Hao D",926,IF(Atletas!T90="Taijijian 32 D",927,IF(Atletas!T90="Taijijian 42 D",928,IF(Atletas!T90="Taijijian Yang E",929,IF(Atletas!T90="Taijijian Chen E",930,IF(Atletas!T90="Taijijian Sun E",931,IF(Atletas!T90="Taijijian Wu E",932,IF(Atletas!T90="Taijijian Wu-Hao E",933,IF(Atletas!T90="Taijijian 32 E",934,IF(Atletas!T90="Taijijian 42 E",935,IF(Atletas!T90="Taijijian Yang F",936,IF(Atletas!T90="Taijijian Chen F",937,IF(Atletas!T90="Taijijian Sun F",938,IF(Atletas!T90="Taijijian Wu F",939,IF(Atletas!T90="Taijijian Wu-Hao F",940,IF(Atletas!T90="Taijijian 32 F",941,IF(Atletas!T90="Taijijian 42 F",942,"")))))))))))))))))))))))))))))))))))))))))))</f>
        <v/>
      </c>
      <c r="BW94" s="52" t="str">
        <f>IF(Atletas!U90="","",IF(Atletas!W90&lt;&gt;"",10000,0)+IF(Atletas!B90="Feminino",1000,IF(Atletas!B90="Masculino",2000,""))+IF(Atletas!T90="Taijijian 42 F",942,IF(Atletas!U90="Taijidao A",943,IF(Atletas!U90="Taijishan A",944,IF(Atletas!U90="Taijiqiang A",945,IF(Atletas!U90="Taijidao B",946,IF(Atletas!U90="Taijishan B",947,IF(Atletas!U90="Taijiqiang B",948,IF(Atletas!U90="Taijidao C",949,IF(Atletas!U90="Taijishan C",950,IF(Atletas!U90="Taijiqiang C",951,IF(Atletas!U90="Taijidao D",952,IF(Atletas!U90="Taijishan D",953,IF(Atletas!U90="Taijiqiang D",954,IF(Atletas!U90="Taijidao E",955,IF(Atletas!U90="Taijishan E",956,IF(Atletas!U90="Taijiqiang E",957,IF(Atletas!U90="Taijidao F",958,IF(Atletas!U90="Taijishan F",959,IF(Atletas!U90="Taijiqiang F",960))))))))))))))))))))</f>
        <v/>
      </c>
      <c r="BX94" s="64" t="str">
        <f>IF(BY94&lt;&gt;"","Paochui E","")</f>
        <v/>
      </c>
      <c r="BY94" s="64" t="str">
        <f>IF(COUNTIF(BK:BW,1158)&gt;0,COUNTIF(BK:BW,1158),"")</f>
        <v/>
      </c>
      <c r="BZ94" s="64" t="str">
        <f>IF(CA94&lt;&gt;"","Paochui E","")</f>
        <v/>
      </c>
      <c r="CA94" s="64" t="str">
        <f>IF(COUNTIF(BK:BW,2158)&gt;0,COUNTIF(BK:BW,2158),"")</f>
        <v/>
      </c>
      <c r="CB94" s="64" t="str">
        <f>IF(CC94&lt;&gt;"","Paochui E","")</f>
        <v/>
      </c>
      <c r="CC94" s="64" t="str">
        <f>IF(COUNTIF(BK:BW,11158)&gt;0,COUNTIF(BK:BW,11158),"")</f>
        <v/>
      </c>
      <c r="CD94" s="64" t="str">
        <f>IF(CE94&lt;&gt;"","Paochui E","")</f>
        <v/>
      </c>
      <c r="CE94" s="64" t="str">
        <f>IF(COUNTIF(BK:BW,12158)&gt;0,COUNTIF(BK:BW,12158),"")</f>
        <v/>
      </c>
      <c r="CF94" s="52" t="str">
        <f xml:space="preserve"> IF(Atletas!V90="","",IF(Atletas!V90="Duilian de Mãos AB - Equipe 1",1,IF(Atletas!V90="Duilian de Mãos AB - Equipe 2",2,IF(Atletas!V90="Duilian de Armas AB - Equipe 1",3,IF(Atletas!V90="Duilian de Armas AB - Equipe 2",4,IF(Atletas!V90="Duilian de Tuishou - Equipe 1",5,IF(Atletas!V90="Duilian de Tuishou - Equipe 2",6,IF(Atletas!V90="Grupo Externo AB - Equipe 1",7,IF(Atletas!V90="Grupo Externo AB - Equipe 2",8,IF(Atletas!V90="Grupo Interno AB - Equipe 1",9,IF(Atletas!V90="Grupo Interno AB - Equipe 2",10,IF(Atletas!V90="Duilian de Mãos CD - Equipe 1",11,IF(Atletas!V90="Duilian de Mãos CD - Equipe 2",12,IF(Atletas!V90="Duilian de Armas CD - Equipe 1",13,IF(Atletas!V90="Duilian de Armas CD - Equipe 2",14,IF(Atletas!V90="Duilian de Tuishou - Equipe 1",15,IF(Atletas!V90="Duilian de Tuishou - Equipe 2",16,IF(Atletas!V90="Grupo Externo CDEF - Equipe 1",17,IF(Atletas!V90="Grupo Externo CDEF - Equipe 2",18,IF(Atletas!V90="Grupo Interno CDEF - Equipe 1",19,IF(Atletas!V90="Grupo Interno CDEF - Equipe 2",20,IF(Atletas!V90="Duilian de Mãos EF - Equipe 1",21,IF(Atletas!V90="Duilian de Mãos EF - Equipe 2",22,IF(Atletas!V90="Duilian de Armas EF - Equipe 1",23,IF(Atletas!V90="Duilian de Armas EF - Equipe 2",24,IF(Atletas!V90="Duilian de Tuishou - Equipe 1",25,IF(Atletas!V90="Duilian de Tuishou - Equipe 2",26,"")))))))))))))))))))))))))))</f>
        <v/>
      </c>
    </row>
    <row r="95" spans="2:84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 t="str">
        <f t="array" ref="V95">IFERROR(INDEX(BX$7:BX$336,SMALL(IF(BX$7:BX$336&lt;&gt;"",ROW(BX$7:BX$336)-ROW(BX$7)+1),ROWS(BX$7:BX94))),"")</f>
        <v/>
      </c>
      <c r="W95" s="4" t="str">
        <f t="array" ref="W95">IFERROR(INDEX(BY$7:BY$336,SMALL(IF(BY$7:BY$336&lt;&gt;"",ROW(BY$7:BY$336)-ROW(BY$7)+1),ROWS(BY$7:BY94))),"")</f>
        <v/>
      </c>
      <c r="X95" s="4" t="str">
        <f t="array" ref="X95">IFERROR(INDEX(BZ$7:BZ$336,SMALL(IF(BZ$7:BZ$336&lt;&gt;"",ROW(BZ$7:BZ$336)-ROW(BZ$7)+1),ROWS(BZ$7:BZ94))),"")</f>
        <v/>
      </c>
      <c r="Y95" s="4" t="str">
        <f t="array" ref="Y95">IFERROR(INDEX(CA$7:CA$336,SMALL(IF(CA$7:CA$336&lt;&gt;"",ROW(CA$7:CA$336)-ROW(CA$7)+1),ROWS(CA$7:CA94))),"")</f>
        <v/>
      </c>
      <c r="Z95" s="4" t="str">
        <f t="array" ref="Z95">IFERROR(INDEX(CB$7:CB$378,SMALL(IF(CB$7:CB$378&lt;&gt;"",ROW(CB$7:CB$378)-ROW(CB$7)+1),ROWS(CB$7:CB94))),"")</f>
        <v/>
      </c>
      <c r="AA95" s="4" t="str">
        <f t="array" ref="AA95">IFERROR(INDEX(CC$7:CC$378,SMALL(IF(CC$7:CC$378&lt;&gt;"",ROW(CC$7:CC$378)-ROW(CC$7)+1),ROWS(CC$7:CC94))),"")</f>
        <v/>
      </c>
      <c r="AB95" s="4" t="str">
        <f t="array" ref="AB95">IFERROR(INDEX(CD$7:CD$378,SMALL(IF(CD$7:CD$378&lt;&gt;"",ROW(CD$7:CD$378)-ROW(CD$7)+1),ROWS(CD$7:CD94))),"")</f>
        <v/>
      </c>
      <c r="AC95" s="4" t="str">
        <f t="array" ref="AC95">IFERROR(INDEX(CE$7:CE$378,SMALL(IF(CE$7:CE$378&lt;&gt;"",ROW(CE$7:CE$378)-ROW(CE$7)+1),ROWS(CE$7:CE94))),"")</f>
        <v/>
      </c>
      <c r="AD95" s="4"/>
      <c r="AE95" s="4"/>
      <c r="AF95" s="4"/>
      <c r="AG95" s="4"/>
      <c r="AH95" s="4"/>
      <c r="AI95" s="4"/>
      <c r="AJ95" s="46" t="str">
        <f>IF(Atletas!D91="","",IF(Atletas!B91="Feminino",100,IF(Atletas!B91="Masculino",200,""))+(IF(Atletas!D91="Infantil 39kg",1,IF(Atletas!D91="Infantil 42kg",2,IF(Atletas!D91="Infantil 45kg",3,IF(Atletas!D91="Infantil 48kg",4,IF(Atletas!D91="Infantil 52kg",5,IF(Atletas!D91="Infantil 56kg",6,IF(Atletas!D91="Infantil 60kg",7,IF(Atletas!D91="Juvenil 48kg",8,IF(Atletas!D91="Juvenil 52kg",9,IF(Atletas!D91="Juvenil 56kg",10,IF(Atletas!D91="Juvenil 60kg",11,IF(Atletas!D91="Juvenil 65kg",12,IF(Atletas!D91="Juvenil 70kg",13,IF(Atletas!D91="Juvenil 75kg",14,IF(Atletas!D91="Juvenil 80kg",15,IF(Atletas!D91="Adulto 48kg",16,IF(Atletas!D91="Adulto 52kg",17,IF(Atletas!D91="Adulto 56kg",18,IF(Atletas!D91="Adulto 60kg",19,IF(Atletas!D91="Adulto 65kg",20,IF(Atletas!D91="Adulto 70kg",21,IF(Atletas!D91="Adulto 75kg",22,IF(Atletas!D91="Adulto 80kg",23,IF(Atletas!D91="Adulto 85kg",24,IF(Atletas!D91="Adulto 90kg",25,IF(Atletas!D91="Adulto +90kg",26,""))))))))))))))))))))))))))))</f>
        <v/>
      </c>
      <c r="AO95" s="10" t="str">
        <f>IF(Atletas!E91="","",IF(Atletas!B91="Feminino",100,IF(Atletas!B91="Masculino",200,""))+(IF(Atletas!E91="Juvenil 44kg",1,IF(Atletas!E91="Juvenil 48kg",2,IF(Atletas!E91="Juvenil 52kg",3,IF(Atletas!E91="Juvenil 56kg",4,IF(Atletas!E91="Juvenil 60kg",5,IF(Atletas!E91="Juvenil 65kg",6,IF(Atletas!E91="Juvenil 70kg",7,IF(Atletas!E91="Juvenil 75kg",8,IF(Atletas!E91="Juvenil 82kg",9,IF(Atletas!E91="Juvenil 90kg",10,IF(Atletas!E91="Juvenil 100kg",11,IF(Atletas!E91="Adulto 48kg",12,IF(Atletas!E91="Adulto 52kg",13,IF(Atletas!E91="Adulto 56kg",14,IF(Atletas!E91="Adulto 60kg",15,IF(Atletas!E91="Adulto 65kg",16,IF(Atletas!E91="Adulto 70kg",17,IF(Atletas!E91="Adulto 75kg",18,IF(Atletas!E91="Adulto 82kg",19,IF(Atletas!E91="Adulto 90kg",20,IF(Atletas!E91="Adulto 100kg",21,IF(Atletas!E91="Adulto +100kg",22,""))))))))))))))))))))))))</f>
        <v/>
      </c>
      <c r="AT95" s="10" t="str">
        <f>IF(Atletas!F91="","",IF(Atletas!B91="Feminino",100,IF(Atletas!B91="Masculino",200,""))+(IF(Atletas!F91="Adulto 48kg",1,IF(Atletas!F91="Adulto 56kg",2,IF(Atletas!F91="Adulto 65kg",3,IF(Atletas!F91="Adulto 75kg",4,IF(Atletas!F91="Adulto +75kg",5,IF(Atletas!F91="Adulto 52kg",6,IF(Atletas!F91="Adulto 60kg",7,IF(Atletas!F91="Adulto 70kg",8,IF(Atletas!F91="Adulto 80kg",9,IF(Atletas!F91="Adulto 90kg",10,IF(Atletas!F91="Adulto +90kg",11,"")))))))))))))</f>
        <v/>
      </c>
      <c r="AY95" s="46" t="str">
        <f>IF(Atletas!G91="","",IF(Atletas!B91="Feminino",100,IF(Atletas!B91="Masculino",200,""))+(IF(Atletas!G91="Changquan Mirim",1,IF(Atletas!G91="Nanquan Mirim",2,IF(Atletas!G91="Taijiquan Mirim",3,IF(Atletas!G91="Changquan Grupo C",4,IF(Atletas!G91="Nanquan Grupo C",5,IF(Atletas!G91="Taijiquan Grupo C",6,IF(Atletas!G91="Changquan Grupo B",7,IF(Atletas!G91="Nanquan Grupo B",8,IF(Atletas!G91="Taijiquan Grupo B",9,IF(Atletas!G91="Changquan Grupo A",10,IF(Atletas!G91="Nanquan Grupo A",11,IF(Atletas!G91="Taijiquan Grupo A",12,IF(Atletas!G91="Changquan Opcional",13,IF(Atletas!G91="Nanquan Opcional",14,IF(Atletas!G91="Taijiquan Opcional",15,IF(Atletas!G91="Changquan Adulto",16,IF(Atletas!G91="Nanquan Adulto",17,IF(Atletas!G91="Taijiquan Adulto",18,""))))))))))))))))))))</f>
        <v/>
      </c>
      <c r="AZ95" s="46" t="str">
        <f>IF(Atletas!H91="","",IF(Atletas!B91="Feminino",100,IF(Atletas!B91="Masculino",200,""))+(IF(Atletas!H91="Daoshu Mirim",19,IF(Atletas!H91="Jianshu Mirim",20,IF(Atletas!H91="Nandao Mirim",21,IF(Atletas!H91="Taijijian Mirim",22,IF(Atletas!H91="Daoshu Grupo C",23,IF(Atletas!H91="Jianshu Grupo C",24,IF(Atletas!H91="Nandao Grupo C",25,IF(Atletas!H91="Taijijian Grupo C",26,IF(Atletas!H91="Daoshu Grupo B",27,IF(Atletas!H91="Jianshu Grupo B",28,IF(Atletas!H91="Nandao Grupo B",29,IF(Atletas!H91="Taijijian Grupo B",30,IF(Atletas!H91="Daoshu Grupo A",31,IF(Atletas!H91="Jianshu Grupo A",32,IF(Atletas!H91="Nandao Grupo A",33,IF(Atletas!H91="Taijijian Grupo A",34,IF(Atletas!H91="Daoshu Opcional",35,IF(Atletas!H91="Jianshu Opcional",36,IF(Atletas!H91="Nandao Opcional",37,IF(Atletas!H91="Taijijian Opcional",38,IF(Atletas!H91="Daoshu Adulto",39,IF(Atletas!H91="Jianshu Adulto",40,IF(Atletas!H91="Nandao Adulto",41,IF(Atletas!H91="Taijijian Adulto",42,""))))))))))))))))))))))))))</f>
        <v/>
      </c>
      <c r="BA95" s="46" t="str">
        <f>IF(Atletas!I91="","",IF(Atletas!B91="Feminino",100,IF(Atletas!B91="Masculino",200,""))+(IF(Atletas!I91="Gunshu Mirim",43,IF(Atletas!I91="Qiangshu Mirim",44,IF(Atletas!I91="Nangun Mirim",45,IF(Atletas!I91="Gunshu Grupo C",46,IF(Atletas!I91="Qiangshu Grupo C",47,IF(Atletas!I91="Nangun Grupo C",48,IF(Atletas!I91="Gunshu Grupo B",49,IF(Atletas!I91="Qiangshu Grupo B",50,IF(Atletas!I91="Nangun Grupo B",51,IF(Atletas!I91="Gunshu Grupo A",52,IF(Atletas!I91="Qiangshu Grupo A",53,IF(Atletas!I91="Nangun Grupo A",54,IF(Atletas!I91="Gunshu Opcional",55,IF(Atletas!I91="Qiangshu Opcional",56,IF(Atletas!I91="Nangun Opcional",57,IF(Atletas!I91="Gunshu Adulto",58,IF(Atletas!I91="Qiangshu Adulto",59,IF(Atletas!I91="Nangun Adulto",60,""))))))))))))))))))))</f>
        <v/>
      </c>
      <c r="BF95" s="52" t="str">
        <f>IF(Atletas!J91="","",IF(Atletas!B91="Feminino",100,IF(Atletas!B91="Masculino",200,""))+(IF(Atletas!J91="Equipe 1 Grupo B",1,IF(Atletas!J91="Equipe 2 Grupo B",2,IF(Atletas!J91="Equipe 1 Grupo A",3,IF(Atletas!J91="Equipe 2 Grupo A",4,IF(Atletas!J91="Equipe 1 Adulto",5,IF(Atletas!J91="Equipe 2 Adulto",6,""))))))))</f>
        <v/>
      </c>
      <c r="BK95" s="52" t="str">
        <f>IF(Atletas!K91="","",IF(Atletas!W91&lt;&gt;"",10000,0)+(IF(Atletas!B91="Feminino",1000,IF(Atletas!B91="Masculino",2000,""))+IF(Atletas!K91="Choylayfut A",1,IF(Atletas!K91="Hunggar A",2,IF(Atletas!K91="Wuzuquan A",3,IF(Atletas!K91="Wingchun A",4,IF(Atletas!K91="Outra Mão de Sul A",5,IF(Atletas!K91="Choylayfut B",6,IF(Atletas!K91="Hunggar B",7,IF(Atletas!K91="Wuzuquan B",8,IF(Atletas!K91="Wingchun B",9,IF(Atletas!K91="Outra Mão de Sul B",10,IF(Atletas!K91="Choylayfut C",11,IF(Atletas!K91="Hunggar C",12,IF(Atletas!K91="Wuzuquan C",13,IF(Atletas!K91="Wingchun C",14,IF(Atletas!K91="Outra Mão de Sul C",15,IF(Atletas!K91="Choylayfut D",16,IF(Atletas!K91="Hunggar D",17,IF(Atletas!K91="Wuzuquan D",18,IF(Atletas!K91="Wingchun D",19,IF(Atletas!K91="Outra Mão de Sul D",20,IF(Atletas!K91="Choylayfut E",21,IF(Atletas!K91="Hunggar E",22,IF(Atletas!K91="Wuzuquan E",23,IF(Atletas!K91="Wingchun E",24,IF(Atletas!K91="Outra Mão de Sul E",25,IF(Atletas!K91="Choylayfut F",26,IF(Atletas!K91="Hunggar F",27,IF(Atletas!K91="Wuzuquan F",28,IF(Atletas!K91="Wingchun F",29,IF(Atletas!K91="Outra Mão de Sul F",30,""))))))))))))))))))))))))))))))))</f>
        <v/>
      </c>
      <c r="BL95" s="52" t="str">
        <f>IF(Atletas!L91="","",IF(Atletas!W91&lt;&gt;"",10000,0)+(IF(Atletas!B91="Feminino",1000,IF(Atletas!B91="Masculino",2000,""))+(IF(Atletas!L91="Chaquan A",101,IF(Atletas!L91="Emeiquan A",102,IF(Atletas!L91="Fanziquan A",103,IF(Atletas!L91="Huaquan A",104,IF(Atletas!L91="Hongquan A",105,IF(Atletas!L91="Paochui A",106,IF(Atletas!L91="Piguaquan A",107,IF(Atletas!L91="Shaolinquan A",108,IF(Atletas!L91="Tanglangquan A",109,IF(Atletas!L91="Yinzhaophai A",110,IF(Atletas!L91="Tongbeiquan A",111,IF(Atletas!L91="Wudangquan A",112,IF(Atletas!L91="Outros Estilos A",113,IF(Atletas!L91="Chaquan B",114,IF(Atletas!L91="Emeiquan B",115,IF(Atletas!L91="Fanziquan B",116,IF(Atletas!L91="Huaquan B",117,IF(Atletas!L91="Hongquan B",118,IF(Atletas!L91="Paochui B",119,IF(Atletas!L91="Piguaquan B",120,IF(Atletas!L91="Shaolinquan B",121,IF(Atletas!L91="Tanglangquan B",122,IF(Atletas!L91="Yinzhaophai B",123,IF(Atletas!L91="Tongbeiquan B",124,IF(Atletas!L91="Wudangquan B",125,IF(Atletas!L91="Outros Estilos B",126,IF(Atletas!L91="Chaquan C",127,IF(Atletas!L91="Emeiquan C",128,IF(Atletas!L91="Fanziquan C",129,IF(Atletas!L91="Huaquan C",130,IF(Atletas!L91="Hongquan C",131,IF(Atletas!L91="Paochui C",132,IF(Atletas!L91="Piguaquan C",133,IF(Atletas!L91="Shaolinquan C",134,IF(Atletas!L91="Tanglangquan C",135,IF(Atletas!L91="Yinzhaophai C",136,IF(Atletas!L91="Tongbeiquan C",137,IF(Atletas!L91="Wudangquan C",138,IF(Atletas!L91="Outros Estilos C",139,0))))))))))))))))))))))))))))))))))))))))))</f>
        <v/>
      </c>
      <c r="BM95" s="52" t="str">
        <f>IF(Atletas!L91="","",IF(Atletas!W91&lt;&gt;"",10000,0)+(IF(Atletas!B91="Feminino",1000,IF(Atletas!B91="Masculino",2000,""))+(IF(Atletas!L91="Chaquan D",140,IF(Atletas!L91="Emeiquan D",141,IF(Atletas!L91="Fanziquan D",142,IF(Atletas!L91="Huaquan D",143,IF(Atletas!L91="Hongquan D",144,IF(Atletas!L91="Paochui D",145,IF(Atletas!L91="Piguaquan D",146,IF(Atletas!L91="Shaolinquan D",147,IF(Atletas!L91="Tanglangquan D",148,IF(Atletas!L91="Yinzhaophai D",149,IF(Atletas!L91="Tongbeiquan D",150,IF(Atletas!L91="Wudangquan D",151,IF(Atletas!L91="Outros Estilos D",152,IF(Atletas!L91="Chaquan E",153,IF(Atletas!L91="Emeiquan E",154,IF(Atletas!L91="Fanziquan E",155,IF(Atletas!L91="Huaquan E",156,IF(Atletas!L91="Hongquan E",157,IF(Atletas!L91="Paochui E",158,IF(Atletas!L91="Piguaquan E",159,IF(Atletas!L91="Shaolinquan E",160,IF(Atletas!L91="Tanglangquan E",161,IF(Atletas!L91="Yinzhaophai E",162,IF(Atletas!L91="Tongbeiquan E",163,IF(Atletas!L91="Wudangquan E",164,IF(Atletas!L91="Outros Estilos E",165,IF(Atletas!L91="Chaquan F",166,IF(Atletas!L91="Emeiquan F",167,IF(Atletas!L91="Fanziquan F",168,IF(Atletas!L91="Huaquan F",169,IF(Atletas!L91="Hongquan F",170,IF(Atletas!L91="Paochui F",171,IF(Atletas!L91="Piguaquan F",172,IF(Atletas!L91="Shaolinquan F",173,IF(Atletas!L91="Tanglangquan F",174,IF(Atletas!L91="Yinzhaophai F",175,IF(Atletas!L91="Tongbeiquan F",176,IF(Atletas!L91="Wudangquan F",177,IF(Atletas!L91="Outros Estilos F",178,0))))))))))))))))))))))))))))))))))))))))))</f>
        <v/>
      </c>
      <c r="BN95" s="52" t="str">
        <f>IF(Atletas!M91="","",IF(Atletas!W91&lt;&gt;"",10000,0)+(IF(Atletas!B91="Feminino",1000,IF(Atletas!B91="Masculino",2000,""))+(IF(Atletas!M91="Ditangquan A",201,IF(Atletas!M91="Houquan A",202,IF(Atletas!M91="Zuiquan A",203,IF(Atletas!M91="Ditangquan B",204,IF(Atletas!M91="Houquan B",205,IF(Atletas!M91="Zuiquan B",206,IF(Atletas!M91="Ditangquan C",207,IF(Atletas!M91="Houquan C",208,IF(Atletas!M91="Zuiquan C",209,IF(Atletas!M91="Ditangquan D",210,IF(Atletas!M91="Houquan D",211,IF(Atletas!M91="Zuiquan D",212,IF(Atletas!M91="Ditangquan E",213,IF(Atletas!M91="Houquan E",214,IF(Atletas!M91="Zuiquan E",215,IF(Atletas!M91="Ditangquan F",216,IF(Atletas!M91="Houquan F",217,IF(Atletas!M91="Zuiquan F",218,"")))))))))))))))))))))</f>
        <v/>
      </c>
      <c r="BO95" s="52" t="str">
        <f>IF(Atletas!N91="","",IF(Atletas!W91&lt;&gt;"",10000,0)+IF(Atletas!B91="Feminino",1000,IF(Atletas!B91="Masculino",2000,""))+IF(Atletas!N91="Yang A",301,IF(Atletas!N91="Chen A",30,IF(Atletas!N91="Sun A",303,IF(Atletas!N91="Wu A",304,IF(Atletas!N91="Wu-Hao A",305,IF(Atletas!N91="Outro Taijiquan A",306,IF(Atletas!N91="Yang B",307,IF(Atletas!N91="Chen B",308,IF(Atletas!N91="Sun B",309,IF(Atletas!N91="Wu B",310,IF(Atletas!N91="Wu-Hao B",311,IF(Atletas!N91="Outro Taijiquan B",312,IF(Atletas!N91="Yang C",313,IF(Atletas!N91="Chen C",314,IF(Atletas!N91="Sun C",315,IF(Atletas!N91="Wu C",316,IF(Atletas!N91="Wu-Hao C",317,IF(Atletas!N91="Outro Taijiquan C",318,IF(Atletas!N91="Yang D",319,IF(Atletas!N91="Chen D",320,IF(Atletas!N91="Sun D",321,IF(Atletas!N91="Wu D",322,IF(Atletas!N91="Wu-Hao D",323,IF(Atletas!N91="Outro Taijiquan D",324,IF(Atletas!N91="Yang E",325,IF(Atletas!N91="Chen E",326,IF(Atletas!N91="Sun E",327,IF(Atletas!N91="Wu E",328,IF(Atletas!N91="Wu-Hao E",329,IF(Atletas!N91="Outro Taijiquan E",330,IF(Atletas!N91="Yang F",331,IF(Atletas!N91="Chen F",332,IF(Atletas!N91="Sun F",333,IF(Atletas!N91="Wu F",334,IF(Atletas!N91="Wu-Hao F",335,IF(Atletas!N91="Outro Taijiquan F",336,"")))))))))))))))))))))))))))))))))))))</f>
        <v/>
      </c>
      <c r="BP95" s="52" t="str">
        <f>IF(Atletas!O91="","",IF(Atletas!W91&lt;&gt;"",10000,0)+IF(Atletas!B91="Feminino",1000,IF(Atletas!B91="Masculino",2000,""))+IF(OR(Atletas!O91="Yang 26 A",Atletas!O91="Yang 40 A"),401,IF(OR(Atletas!O91="Chen 25 A",Atletas!O91="Chen 36 A",Atletas!O91="Chen 56 A"),402,IF(Atletas!O91="Sun 73 A",403,IF(Atletas!O91="Wu 45 A",404,IF(Atletas!O91="Wu-Hao 46 A",405,IF(OR(Atletas!O91="Taijiquan 16 A",Atletas!O91="Taijiquan 24 A",Atletas!O91="Taijiquan 32 A",Atletas!O91="Taijiquan 42 A"),406,IF(OR(Atletas!O91="Yang 26 B",Atletas!O91="Yang 40 B"),407,IF(OR(Atletas!O91="Chen 25 B",Atletas!O91="Chen 36 B",Atletas!O91="Chen 56 B"),408,IF(Atletas!O91="Sun 73 B",409,IF(Atletas!O91="Wu 45 B",410,IF(Atletas!O91="Wu-Hao 46 B",411,IF(OR(Atletas!O91="Taijiquan 16 B",Atletas!O91="Taijiquan 24 B",Atletas!O91="Taijiquan 32 B",Atletas!O91="Taijiquan 42 B"),412,IF(OR(Atletas!O91="Yang 26 C",Atletas!O91="Yang 40 C"),413,IF(OR(Atletas!O91="Chen 25 C",Atletas!O91="Chen 36 C",Atletas!O91="Chen 56 C"),414,IF(Atletas!O91="Sun 73 C",415,IF(Atletas!O91="Wu 45 C",416,IF(Atletas!O91="Wu-Hao 46 C",417,IF(OR(Atletas!O91="Taijiquan 16 C",Atletas!O91="Taijiquan 24 C",Atletas!O91="Taijiquan 32 C",Atletas!O91="Taijiquan 42 C"),418,0)))))))))))))))))))</f>
        <v/>
      </c>
      <c r="BQ95" s="52" t="str">
        <f>IF(Atletas!O91="","",IF(Atletas!W91&lt;&gt;"",10000,0)+IF(Atletas!B91="Feminino",1000,IF(Atletas!B91="Masculino",2000,""))+IF(OR(Atletas!O91="Yang 26 D",Atletas!O91="Yang 40 D"),419,IF(OR(Atletas!O91="Chen 25 D",Atletas!O91="Chen 36 D",Atletas!O91="Chen 56 D"),420,IF(Atletas!O91="Sun 73 D",421,IF(Atletas!O91="Wu 45 D",422,IF(Atletas!O91="Wu-Hao 46 D",423,IF(OR(Atletas!O91="Taijiquan 16 D",Atletas!O91="Taijiquan 24 D",Atletas!O91="Taijiquan 32 D",Atletas!O91="Taijiquan 42 D"),424,IF(OR(Atletas!O91="Yang 26 E",Atletas!O91="Yang 40 E"),425,IF(OR(Atletas!O91="Chen 25 E",Atletas!O91="Chen 36 E",Atletas!O91="Chen 56 E"),426,IF(Atletas!O91="Sun 73 E",427,IF(Atletas!O91="Wu 45 E",428,IF(Atletas!O91="Wu-Hao 46 E",429,IF(OR(Atletas!O91="Taijiquan 16 E",Atletas!O91="Taijiquan 24 E",Atletas!O91="Taijiquan 32 E",Atletas!O91="Taijiquan 42 E"),430,IF(OR(Atletas!O91="Yang 26 F",Atletas!O91="Yang 40 F"),431,IF(OR(Atletas!O91="Chen 25 F",Atletas!O91="Chen 36 F",Atletas!O91="Chen 56 F"),432,IF(Atletas!O91="Sun 73 F",433,IF(Atletas!O91="Wu 45 F",434,IF(Atletas!O91="Wu-Hao 46 F",435,IF(OR(Atletas!O91="Taijiquan 16 F",Atletas!O91="Taijiquan 24 F",Atletas!O91="Taijiquan 32 F",Atletas!O91="Taijiquan 42 F"),436,0)))))))))))))))))))</f>
        <v/>
      </c>
      <c r="BR95" s="52" t="str">
        <f>IF(Atletas!P91="","",IF(Atletas!W91&lt;&gt;"",10000,0)+IF(Atletas!B91="Feminino",1000,IF(Atletas!B91="Masculino",2000,""))+IF(Atletas!P91="Xingyiquan A",501,IF(Atletas!P91="Baguazhang A",502,IF(Atletas!P91="Outro Estilo Interno A",503,IF(Atletas!P91="Xingyiquan B",504,IF(Atletas!P91="Baguazhang B",505,IF(Atletas!P91="Outro Estilo Interno B",506,IF(Atletas!P91="Xingyiquan C",507,IF(Atletas!P91="Baguazhang C",508,IF(Atletas!P91="Outro Estilo Interno C",509,IF(Atletas!P91="Xingyiquan D",510,IF(Atletas!P91="Baguazhang D",511,IF(Atletas!P91="Outro Estilo Interno D",512,IF(Atletas!P91="Xingyiquan E",513,IF(Atletas!P91="Baguazhang E",514,IF(Atletas!P91="Outro Estilo Interno E",515,IF(Atletas!P91="Xingyiquan F",516,IF(Atletas!P91="Baguazhang F",517,IF(Atletas!P91="Outro Estilo Interno F",518, "")))))))))))))))))))</f>
        <v/>
      </c>
      <c r="BS95" s="52" t="str">
        <f>IF(Atletas!Q91="","",IF(Atletas!W91&lt;&gt;"",10000,0)+IF(Atletas!B91="Feminino",1000,IF(Atletas!B91="Masculino",2000,""))+IF(Atletas!Q91="Dao A",601,IF(Atletas!Q91="Jian A",602,IF(Atletas!Q91="Bishou A",603,IF(Atletas!Q91="Shan A",604,IF(Atletas!Q91="Outra Arma Curta A",605,IF(Atletas!Q91="Dao B",606,IF(Atletas!Q91="Jian B",607,IF(Atletas!Q91="Bishou B",608,IF(Atletas!Q91="Shan B",609,IF(Atletas!Q91="Outra Arma Curta B",610,IF(Atletas!Q91="Dao C",611,IF(Atletas!Q91="Jian C",612,IF(Atletas!Q91="Bishou C",613,IF(Atletas!Q91="Shan C",614,IF(Atletas!Q91="Outra Arma Curta C",615,IF(Atletas!Q91="Dao D",616,IF(Atletas!Q91="Jian D",617,IF(Atletas!Q91="Bishou D",618,IF(Atletas!Q91="Shan D",619,IF(Atletas!Q91="Outra Arma Curta D",620,IF(Atletas!Q91="Dao E",621,IF(Atletas!Q91="Jian E",622,IF(Atletas!Q91="Bishou E",623,IF(Atletas!Q91="Shan E",624,IF(Atletas!Q91="Outra Arma Curta E",625,IF(Atletas!Q91="Dao F",626,IF(Atletas!Q91="Jian F",627,IF(Atletas!Q91="Bishou F",628,IF(Atletas!Q91="Shan F",629,IF(Atletas!Q91="Outra Arma Curta F",630, "")))))))))))))))))))))))))))))))</f>
        <v/>
      </c>
      <c r="BT95" s="52" t="str">
        <f>IF(Atletas!R91="","",IF(Atletas!W91&lt;&gt;"",10000,0)+IF(Atletas!B91="Feminino",1000,IF(Atletas!B91="Masculino",2000,""))+IF(Atletas!R91="Gun A",701,IF(Atletas!R91="Qiang A",702,IF(Atletas!R91="Pudao / Guandao A",703,IF(Atletas!R91="Outra Arma Longa A",704,IF(Atletas!R91="Gun B",705,IF(Atletas!R91="Qiang B",706,IF(Atletas!R91="Pudao / Guandao B",707,IF(Atletas!R91="Outra Arma Longa B",708,IF(Atletas!R91="Gun C",709,IF(Atletas!R91="Qiang C",710,IF(Atletas!R91="Pudao / Guandao C",711,IF(Atletas!R91="Outra Arma Longa C",712,IF(Atletas!R91="Gun D",713,IF(Atletas!R91="Qiang D",714,IF(Atletas!R91="Pudao / Guandao D",715,IF(Atletas!R91="Outra Arma Longa D",716,IF(Atletas!R91="Gun E",717,IF(Atletas!R91="Qiang E",718,IF(Atletas!R91="Pudao / Guandao E",719,IF(Atletas!R91="Outra Arma Longa E",720,IF(Atletas!R91="Gun F",721,IF(Atletas!R91="Qiang F",722,IF(Atletas!R91="Pudao / Guandao F",723,IF(Atletas!R91="Outra Arma Longa F",724,"")))))))))))))))))))))))))</f>
        <v/>
      </c>
      <c r="BU95" s="52" t="str">
        <f>IF(Atletas!S91="","",IF(Atletas!W91&lt;&gt;"",10000,0)+IF(Atletas!B91="Feminino",1000,IF(Atletas!B91="Masculino",2000,""))+IF(Atletas!S91="Arma Dupla A",801,IF(Atletas!S91="Arma Maleável A",802,IF(Atletas!S91="Arma Dupla B",803,IF(Atletas!S91="Arma Maleável B",804,IF(Atletas!S91="Arma Dupla C",805,IF(Atletas!S91="Arma Maleável C",806,IF(Atletas!S91="Arma Dupla D",807,IF(Atletas!S91="Arma Maleável D",808,IF(Atletas!S91="Arma Dupla E",809,IF(Atletas!S91="Arma Maleável E",810,IF(Atletas!S91="Arma Dupla F",811,IF(Atletas!S91="Arma Maleável F",812, "")))))))))))))</f>
        <v/>
      </c>
      <c r="BV95" s="52" t="str">
        <f>IF(Atletas!T91="","",IF(Atletas!W91&lt;&gt;"",10000,0)+IF(Atletas!B91="Feminino",1000,IF(Atletas!B91="Masculino",2000,""))+IF(Atletas!T91="Taijijian Yang A",901,IF(Atletas!T91="Taijijian Chen A",902,IF(Atletas!T91="Taijijian Sun A",903,IF(Atletas!T91="Taijijian Wu A",904,IF(Atletas!T91="Taijijian Wu-Hao A",905,IF(Atletas!T91="Taijijian 32 A",906,IF(Atletas!T91="Taijijian 42 A",907,IF(Atletas!T91="Taijijian Yang B",908,IF(Atletas!T91="Taijijian Chen B",909,IF(Atletas!T91="Taijijian Sun B",910,IF(Atletas!T91="Taijijian Wu B",911,IF(Atletas!T91="Taijijian Wu-Hao B",912,IF(Atletas!T91="Taijijian 32 B",913,IF(Atletas!T91="Taijijian 42 B",914,IF(Atletas!T91="Taijijian Yang C",915,IF(Atletas!T91="Taijijian Chen C",916,IF(Atletas!T91="Taijijian Sun C",917,IF(Atletas!T91="Taijijian Wu C",918,IF(Atletas!T91="Taijijian Wu-Hao C",919,IF(Atletas!T91="Taijijian 32 C",920,IF(Atletas!T91="Taijijian 42 C",921,IF(Atletas!T91="Taijijian Yang D",922,IF(Atletas!T91="Taijijian Chen D",923,IF(Atletas!T91="Taijijian Sun D",924,IF(Atletas!T91="Taijijian Wu D",925,IF(Atletas!T91="Taijijian Wu-Hao D",926,IF(Atletas!T91="Taijijian 32 D",927,IF(Atletas!T91="Taijijian 42 D",928,IF(Atletas!T91="Taijijian Yang E",929,IF(Atletas!T91="Taijijian Chen E",930,IF(Atletas!T91="Taijijian Sun E",931,IF(Atletas!T91="Taijijian Wu E",932,IF(Atletas!T91="Taijijian Wu-Hao E",933,IF(Atletas!T91="Taijijian 32 E",934,IF(Atletas!T91="Taijijian 42 E",935,IF(Atletas!T91="Taijijian Yang F",936,IF(Atletas!T91="Taijijian Chen F",937,IF(Atletas!T91="Taijijian Sun F",938,IF(Atletas!T91="Taijijian Wu F",939,IF(Atletas!T91="Taijijian Wu-Hao F",940,IF(Atletas!T91="Taijijian 32 F",941,IF(Atletas!T91="Taijijian 42 F",942,"")))))))))))))))))))))))))))))))))))))))))))</f>
        <v/>
      </c>
      <c r="BW95" s="52" t="str">
        <f>IF(Atletas!U91="","",IF(Atletas!W91&lt;&gt;"",10000,0)+IF(Atletas!B91="Feminino",1000,IF(Atletas!B91="Masculino",2000,""))+IF(Atletas!T91="Taijijian 42 F",942,IF(Atletas!U91="Taijidao A",943,IF(Atletas!U91="Taijishan A",944,IF(Atletas!U91="Taijiqiang A",945,IF(Atletas!U91="Taijidao B",946,IF(Atletas!U91="Taijishan B",947,IF(Atletas!U91="Taijiqiang B",948,IF(Atletas!U91="Taijidao C",949,IF(Atletas!U91="Taijishan C",950,IF(Atletas!U91="Taijiqiang C",951,IF(Atletas!U91="Taijidao D",952,IF(Atletas!U91="Taijishan D",953,IF(Atletas!U91="Taijiqiang D",954,IF(Atletas!U91="Taijidao E",955,IF(Atletas!U91="Taijishan E",956,IF(Atletas!U91="Taijiqiang E",957,IF(Atletas!U91="Taijidao F",958,IF(Atletas!U91="Taijishan F",959,IF(Atletas!U91="Taijiqiang F",960))))))))))))))))))))</f>
        <v/>
      </c>
      <c r="BX95" s="64" t="str">
        <f>IF(BY95&lt;&gt;"","Piguaquan E","")</f>
        <v/>
      </c>
      <c r="BY95" s="64" t="str">
        <f>IF(COUNTIF(BK:BW,1159)&gt;0,COUNTIF(BK:BW,1159),"")</f>
        <v/>
      </c>
      <c r="BZ95" s="64" t="str">
        <f>IF(CA95&lt;&gt;"","Piguaquan E","")</f>
        <v/>
      </c>
      <c r="CA95" s="64" t="str">
        <f>IF(COUNTIF(BK:BW,2159)&gt;0,COUNTIF(BK:BW,2159),"")</f>
        <v/>
      </c>
      <c r="CB95" s="64" t="str">
        <f>IF(CC95&lt;&gt;"","Piguaquan E","")</f>
        <v/>
      </c>
      <c r="CC95" s="64" t="str">
        <f>IF(COUNTIF(BK:BW,11159)&gt;0,COUNTIF(BK:BW,11159),"")</f>
        <v/>
      </c>
      <c r="CD95" s="64" t="str">
        <f>IF(CE95&lt;&gt;"","Piguaquan E","")</f>
        <v/>
      </c>
      <c r="CE95" s="64" t="str">
        <f>IF(COUNTIF(BK:BW,12159)&gt;0,COUNTIF(BK:BW,12159),"")</f>
        <v/>
      </c>
      <c r="CF95" s="52" t="str">
        <f xml:space="preserve"> IF(Atletas!V91="","",IF(Atletas!V91="Duilian de Mãos AB - Equipe 1",1,IF(Atletas!V91="Duilian de Mãos AB - Equipe 2",2,IF(Atletas!V91="Duilian de Armas AB - Equipe 1",3,IF(Atletas!V91="Duilian de Armas AB - Equipe 2",4,IF(Atletas!V91="Duilian de Tuishou - Equipe 1",5,IF(Atletas!V91="Duilian de Tuishou - Equipe 2",6,IF(Atletas!V91="Grupo Externo AB - Equipe 1",7,IF(Atletas!V91="Grupo Externo AB - Equipe 2",8,IF(Atletas!V91="Grupo Interno AB - Equipe 1",9,IF(Atletas!V91="Grupo Interno AB - Equipe 2",10,IF(Atletas!V91="Duilian de Mãos CD - Equipe 1",11,IF(Atletas!V91="Duilian de Mãos CD - Equipe 2",12,IF(Atletas!V91="Duilian de Armas CD - Equipe 1",13,IF(Atletas!V91="Duilian de Armas CD - Equipe 2",14,IF(Atletas!V91="Duilian de Tuishou - Equipe 1",15,IF(Atletas!V91="Duilian de Tuishou - Equipe 2",16,IF(Atletas!V91="Grupo Externo CDEF - Equipe 1",17,IF(Atletas!V91="Grupo Externo CDEF - Equipe 2",18,IF(Atletas!V91="Grupo Interno CDEF - Equipe 1",19,IF(Atletas!V91="Grupo Interno CDEF - Equipe 2",20,IF(Atletas!V91="Duilian de Mãos EF - Equipe 1",21,IF(Atletas!V91="Duilian de Mãos EF - Equipe 2",22,IF(Atletas!V91="Duilian de Armas EF - Equipe 1",23,IF(Atletas!V91="Duilian de Armas EF - Equipe 2",24,IF(Atletas!V91="Duilian de Tuishou - Equipe 1",25,IF(Atletas!V91="Duilian de Tuishou - Equipe 2",26,"")))))))))))))))))))))))))))</f>
        <v/>
      </c>
    </row>
    <row r="96" spans="2:84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 t="str">
        <f t="array" ref="V96">IFERROR(INDEX(BX$7:BX$336,SMALL(IF(BX$7:BX$336&lt;&gt;"",ROW(BX$7:BX$336)-ROW(BX$7)+1),ROWS(BX$7:BX95))),"")</f>
        <v/>
      </c>
      <c r="W96" s="4" t="str">
        <f t="array" ref="W96">IFERROR(INDEX(BY$7:BY$336,SMALL(IF(BY$7:BY$336&lt;&gt;"",ROW(BY$7:BY$336)-ROW(BY$7)+1),ROWS(BY$7:BY95))),"")</f>
        <v/>
      </c>
      <c r="X96" s="4" t="str">
        <f t="array" ref="X96">IFERROR(INDEX(BZ$7:BZ$336,SMALL(IF(BZ$7:BZ$336&lt;&gt;"",ROW(BZ$7:BZ$336)-ROW(BZ$7)+1),ROWS(BZ$7:BZ95))),"")</f>
        <v/>
      </c>
      <c r="Y96" s="4" t="str">
        <f t="array" ref="Y96">IFERROR(INDEX(CA$7:CA$336,SMALL(IF(CA$7:CA$336&lt;&gt;"",ROW(CA$7:CA$336)-ROW(CA$7)+1),ROWS(CA$7:CA95))),"")</f>
        <v/>
      </c>
      <c r="Z96" s="4" t="str">
        <f t="array" ref="Z96">IFERROR(INDEX(CB$7:CB$378,SMALL(IF(CB$7:CB$378&lt;&gt;"",ROW(CB$7:CB$378)-ROW(CB$7)+1),ROWS(CB$7:CB95))),"")</f>
        <v/>
      </c>
      <c r="AA96" s="4" t="str">
        <f t="array" ref="AA96">IFERROR(INDEX(CC$7:CC$378,SMALL(IF(CC$7:CC$378&lt;&gt;"",ROW(CC$7:CC$378)-ROW(CC$7)+1),ROWS(CC$7:CC95))),"")</f>
        <v/>
      </c>
      <c r="AB96" s="4" t="str">
        <f t="array" ref="AB96">IFERROR(INDEX(CD$7:CD$378,SMALL(IF(CD$7:CD$378&lt;&gt;"",ROW(CD$7:CD$378)-ROW(CD$7)+1),ROWS(CD$7:CD95))),"")</f>
        <v/>
      </c>
      <c r="AC96" s="4" t="str">
        <f t="array" ref="AC96">IFERROR(INDEX(CE$7:CE$378,SMALL(IF(CE$7:CE$378&lt;&gt;"",ROW(CE$7:CE$378)-ROW(CE$7)+1),ROWS(CE$7:CE95))),"")</f>
        <v/>
      </c>
      <c r="AD96" s="4"/>
      <c r="AE96" s="4"/>
      <c r="AF96" s="4"/>
      <c r="AG96" s="4"/>
      <c r="AH96" s="4"/>
      <c r="AI96" s="4"/>
      <c r="AJ96" s="46" t="str">
        <f>IF(Atletas!D92="","",IF(Atletas!B92="Feminino",100,IF(Atletas!B92="Masculino",200,""))+(IF(Atletas!D92="Infantil 39kg",1,IF(Atletas!D92="Infantil 42kg",2,IF(Atletas!D92="Infantil 45kg",3,IF(Atletas!D92="Infantil 48kg",4,IF(Atletas!D92="Infantil 52kg",5,IF(Atletas!D92="Infantil 56kg",6,IF(Atletas!D92="Infantil 60kg",7,IF(Atletas!D92="Juvenil 48kg",8,IF(Atletas!D92="Juvenil 52kg",9,IF(Atletas!D92="Juvenil 56kg",10,IF(Atletas!D92="Juvenil 60kg",11,IF(Atletas!D92="Juvenil 65kg",12,IF(Atletas!D92="Juvenil 70kg",13,IF(Atletas!D92="Juvenil 75kg",14,IF(Atletas!D92="Juvenil 80kg",15,IF(Atletas!D92="Adulto 48kg",16,IF(Atletas!D92="Adulto 52kg",17,IF(Atletas!D92="Adulto 56kg",18,IF(Atletas!D92="Adulto 60kg",19,IF(Atletas!D92="Adulto 65kg",20,IF(Atletas!D92="Adulto 70kg",21,IF(Atletas!D92="Adulto 75kg",22,IF(Atletas!D92="Adulto 80kg",23,IF(Atletas!D92="Adulto 85kg",24,IF(Atletas!D92="Adulto 90kg",25,IF(Atletas!D92="Adulto +90kg",26,""))))))))))))))))))))))))))))</f>
        <v/>
      </c>
      <c r="AO96" s="10" t="str">
        <f>IF(Atletas!E92="","",IF(Atletas!B92="Feminino",100,IF(Atletas!B92="Masculino",200,""))+(IF(Atletas!E92="Juvenil 44kg",1,IF(Atletas!E92="Juvenil 48kg",2,IF(Atletas!E92="Juvenil 52kg",3,IF(Atletas!E92="Juvenil 56kg",4,IF(Atletas!E92="Juvenil 60kg",5,IF(Atletas!E92="Juvenil 65kg",6,IF(Atletas!E92="Juvenil 70kg",7,IF(Atletas!E92="Juvenil 75kg",8,IF(Atletas!E92="Juvenil 82kg",9,IF(Atletas!E92="Juvenil 90kg",10,IF(Atletas!E92="Juvenil 100kg",11,IF(Atletas!E92="Adulto 48kg",12,IF(Atletas!E92="Adulto 52kg",13,IF(Atletas!E92="Adulto 56kg",14,IF(Atletas!E92="Adulto 60kg",15,IF(Atletas!E92="Adulto 65kg",16,IF(Atletas!E92="Adulto 70kg",17,IF(Atletas!E92="Adulto 75kg",18,IF(Atletas!E92="Adulto 82kg",19,IF(Atletas!E92="Adulto 90kg",20,IF(Atletas!E92="Adulto 100kg",21,IF(Atletas!E92="Adulto +100kg",22,""))))))))))))))))))))))))</f>
        <v/>
      </c>
      <c r="AT96" s="10" t="str">
        <f>IF(Atletas!F92="","",IF(Atletas!B92="Feminino",100,IF(Atletas!B92="Masculino",200,""))+(IF(Atletas!F92="Adulto 48kg",1,IF(Atletas!F92="Adulto 56kg",2,IF(Atletas!F92="Adulto 65kg",3,IF(Atletas!F92="Adulto 75kg",4,IF(Atletas!F92="Adulto +75kg",5,IF(Atletas!F92="Adulto 52kg",6,IF(Atletas!F92="Adulto 60kg",7,IF(Atletas!F92="Adulto 70kg",8,IF(Atletas!F92="Adulto 80kg",9,IF(Atletas!F92="Adulto 90kg",10,IF(Atletas!F92="Adulto +90kg",11,"")))))))))))))</f>
        <v/>
      </c>
      <c r="AY96" s="46" t="str">
        <f>IF(Atletas!G92="","",IF(Atletas!B92="Feminino",100,IF(Atletas!B92="Masculino",200,""))+(IF(Atletas!G92="Changquan Mirim",1,IF(Atletas!G92="Nanquan Mirim",2,IF(Atletas!G92="Taijiquan Mirim",3,IF(Atletas!G92="Changquan Grupo C",4,IF(Atletas!G92="Nanquan Grupo C",5,IF(Atletas!G92="Taijiquan Grupo C",6,IF(Atletas!G92="Changquan Grupo B",7,IF(Atletas!G92="Nanquan Grupo B",8,IF(Atletas!G92="Taijiquan Grupo B",9,IF(Atletas!G92="Changquan Grupo A",10,IF(Atletas!G92="Nanquan Grupo A",11,IF(Atletas!G92="Taijiquan Grupo A",12,IF(Atletas!G92="Changquan Opcional",13,IF(Atletas!G92="Nanquan Opcional",14,IF(Atletas!G92="Taijiquan Opcional",15,IF(Atletas!G92="Changquan Adulto",16,IF(Atletas!G92="Nanquan Adulto",17,IF(Atletas!G92="Taijiquan Adulto",18,""))))))))))))))))))))</f>
        <v/>
      </c>
      <c r="AZ96" s="46" t="str">
        <f>IF(Atletas!H92="","",IF(Atletas!B92="Feminino",100,IF(Atletas!B92="Masculino",200,""))+(IF(Atletas!H92="Daoshu Mirim",19,IF(Atletas!H92="Jianshu Mirim",20,IF(Atletas!H92="Nandao Mirim",21,IF(Atletas!H92="Taijijian Mirim",22,IF(Atletas!H92="Daoshu Grupo C",23,IF(Atletas!H92="Jianshu Grupo C",24,IF(Atletas!H92="Nandao Grupo C",25,IF(Atletas!H92="Taijijian Grupo C",26,IF(Atletas!H92="Daoshu Grupo B",27,IF(Atletas!H92="Jianshu Grupo B",28,IF(Atletas!H92="Nandao Grupo B",29,IF(Atletas!H92="Taijijian Grupo B",30,IF(Atletas!H92="Daoshu Grupo A",31,IF(Atletas!H92="Jianshu Grupo A",32,IF(Atletas!H92="Nandao Grupo A",33,IF(Atletas!H92="Taijijian Grupo A",34,IF(Atletas!H92="Daoshu Opcional",35,IF(Atletas!H92="Jianshu Opcional",36,IF(Atletas!H92="Nandao Opcional",37,IF(Atletas!H92="Taijijian Opcional",38,IF(Atletas!H92="Daoshu Adulto",39,IF(Atletas!H92="Jianshu Adulto",40,IF(Atletas!H92="Nandao Adulto",41,IF(Atletas!H92="Taijijian Adulto",42,""))))))))))))))))))))))))))</f>
        <v/>
      </c>
      <c r="BA96" s="46" t="str">
        <f>IF(Atletas!I92="","",IF(Atletas!B92="Feminino",100,IF(Atletas!B92="Masculino",200,""))+(IF(Atletas!I92="Gunshu Mirim",43,IF(Atletas!I92="Qiangshu Mirim",44,IF(Atletas!I92="Nangun Mirim",45,IF(Atletas!I92="Gunshu Grupo C",46,IF(Atletas!I92="Qiangshu Grupo C",47,IF(Atletas!I92="Nangun Grupo C",48,IF(Atletas!I92="Gunshu Grupo B",49,IF(Atletas!I92="Qiangshu Grupo B",50,IF(Atletas!I92="Nangun Grupo B",51,IF(Atletas!I92="Gunshu Grupo A",52,IF(Atletas!I92="Qiangshu Grupo A",53,IF(Atletas!I92="Nangun Grupo A",54,IF(Atletas!I92="Gunshu Opcional",55,IF(Atletas!I92="Qiangshu Opcional",56,IF(Atletas!I92="Nangun Opcional",57,IF(Atletas!I92="Gunshu Adulto",58,IF(Atletas!I92="Qiangshu Adulto",59,IF(Atletas!I92="Nangun Adulto",60,""))))))))))))))))))))</f>
        <v/>
      </c>
      <c r="BF96" s="52" t="str">
        <f>IF(Atletas!J92="","",IF(Atletas!B92="Feminino",100,IF(Atletas!B92="Masculino",200,""))+(IF(Atletas!J92="Equipe 1 Grupo B",1,IF(Atletas!J92="Equipe 2 Grupo B",2,IF(Atletas!J92="Equipe 1 Grupo A",3,IF(Atletas!J92="Equipe 2 Grupo A",4,IF(Atletas!J92="Equipe 1 Adulto",5,IF(Atletas!J92="Equipe 2 Adulto",6,""))))))))</f>
        <v/>
      </c>
      <c r="BK96" s="52" t="str">
        <f>IF(Atletas!K92="","",IF(Atletas!W92&lt;&gt;"",10000,0)+(IF(Atletas!B92="Feminino",1000,IF(Atletas!B92="Masculino",2000,""))+IF(Atletas!K92="Choylayfut A",1,IF(Atletas!K92="Hunggar A",2,IF(Atletas!K92="Wuzuquan A",3,IF(Atletas!K92="Wingchun A",4,IF(Atletas!K92="Outra Mão de Sul A",5,IF(Atletas!K92="Choylayfut B",6,IF(Atletas!K92="Hunggar B",7,IF(Atletas!K92="Wuzuquan B",8,IF(Atletas!K92="Wingchun B",9,IF(Atletas!K92="Outra Mão de Sul B",10,IF(Atletas!K92="Choylayfut C",11,IF(Atletas!K92="Hunggar C",12,IF(Atletas!K92="Wuzuquan C",13,IF(Atletas!K92="Wingchun C",14,IF(Atletas!K92="Outra Mão de Sul C",15,IF(Atletas!K92="Choylayfut D",16,IF(Atletas!K92="Hunggar D",17,IF(Atletas!K92="Wuzuquan D",18,IF(Atletas!K92="Wingchun D",19,IF(Atletas!K92="Outra Mão de Sul D",20,IF(Atletas!K92="Choylayfut E",21,IF(Atletas!K92="Hunggar E",22,IF(Atletas!K92="Wuzuquan E",23,IF(Atletas!K92="Wingchun E",24,IF(Atletas!K92="Outra Mão de Sul E",25,IF(Atletas!K92="Choylayfut F",26,IF(Atletas!K92="Hunggar F",27,IF(Atletas!K92="Wuzuquan F",28,IF(Atletas!K92="Wingchun F",29,IF(Atletas!K92="Outra Mão de Sul F",30,""))))))))))))))))))))))))))))))))</f>
        <v/>
      </c>
      <c r="BL96" s="52" t="str">
        <f>IF(Atletas!L92="","",IF(Atletas!W92&lt;&gt;"",10000,0)+(IF(Atletas!B92="Feminino",1000,IF(Atletas!B92="Masculino",2000,""))+(IF(Atletas!L92="Chaquan A",101,IF(Atletas!L92="Emeiquan A",102,IF(Atletas!L92="Fanziquan A",103,IF(Atletas!L92="Huaquan A",104,IF(Atletas!L92="Hongquan A",105,IF(Atletas!L92="Paochui A",106,IF(Atletas!L92="Piguaquan A",107,IF(Atletas!L92="Shaolinquan A",108,IF(Atletas!L92="Tanglangquan A",109,IF(Atletas!L92="Yinzhaophai A",110,IF(Atletas!L92="Tongbeiquan A",111,IF(Atletas!L92="Wudangquan A",112,IF(Atletas!L92="Outros Estilos A",113,IF(Atletas!L92="Chaquan B",114,IF(Atletas!L92="Emeiquan B",115,IF(Atletas!L92="Fanziquan B",116,IF(Atletas!L92="Huaquan B",117,IF(Atletas!L92="Hongquan B",118,IF(Atletas!L92="Paochui B",119,IF(Atletas!L92="Piguaquan B",120,IF(Atletas!L92="Shaolinquan B",121,IF(Atletas!L92="Tanglangquan B",122,IF(Atletas!L92="Yinzhaophai B",123,IF(Atletas!L92="Tongbeiquan B",124,IF(Atletas!L92="Wudangquan B",125,IF(Atletas!L92="Outros Estilos B",126,IF(Atletas!L92="Chaquan C",127,IF(Atletas!L92="Emeiquan C",128,IF(Atletas!L92="Fanziquan C",129,IF(Atletas!L92="Huaquan C",130,IF(Atletas!L92="Hongquan C",131,IF(Atletas!L92="Paochui C",132,IF(Atletas!L92="Piguaquan C",133,IF(Atletas!L92="Shaolinquan C",134,IF(Atletas!L92="Tanglangquan C",135,IF(Atletas!L92="Yinzhaophai C",136,IF(Atletas!L92="Tongbeiquan C",137,IF(Atletas!L92="Wudangquan C",138,IF(Atletas!L92="Outros Estilos C",139,0))))))))))))))))))))))))))))))))))))))))))</f>
        <v/>
      </c>
      <c r="BM96" s="52" t="str">
        <f>IF(Atletas!L92="","",IF(Atletas!W92&lt;&gt;"",10000,0)+(IF(Atletas!B92="Feminino",1000,IF(Atletas!B92="Masculino",2000,""))+(IF(Atletas!L92="Chaquan D",140,IF(Atletas!L92="Emeiquan D",141,IF(Atletas!L92="Fanziquan D",142,IF(Atletas!L92="Huaquan D",143,IF(Atletas!L92="Hongquan D",144,IF(Atletas!L92="Paochui D",145,IF(Atletas!L92="Piguaquan D",146,IF(Atletas!L92="Shaolinquan D",147,IF(Atletas!L92="Tanglangquan D",148,IF(Atletas!L92="Yinzhaophai D",149,IF(Atletas!L92="Tongbeiquan D",150,IF(Atletas!L92="Wudangquan D",151,IF(Atletas!L92="Outros Estilos D",152,IF(Atletas!L92="Chaquan E",153,IF(Atletas!L92="Emeiquan E",154,IF(Atletas!L92="Fanziquan E",155,IF(Atletas!L92="Huaquan E",156,IF(Atletas!L92="Hongquan E",157,IF(Atletas!L92="Paochui E",158,IF(Atletas!L92="Piguaquan E",159,IF(Atletas!L92="Shaolinquan E",160,IF(Atletas!L92="Tanglangquan E",161,IF(Atletas!L92="Yinzhaophai E",162,IF(Atletas!L92="Tongbeiquan E",163,IF(Atletas!L92="Wudangquan E",164,IF(Atletas!L92="Outros Estilos E",165,IF(Atletas!L92="Chaquan F",166,IF(Atletas!L92="Emeiquan F",167,IF(Atletas!L92="Fanziquan F",168,IF(Atletas!L92="Huaquan F",169,IF(Atletas!L92="Hongquan F",170,IF(Atletas!L92="Paochui F",171,IF(Atletas!L92="Piguaquan F",172,IF(Atletas!L92="Shaolinquan F",173,IF(Atletas!L92="Tanglangquan F",174,IF(Atletas!L92="Yinzhaophai F",175,IF(Atletas!L92="Tongbeiquan F",176,IF(Atletas!L92="Wudangquan F",177,IF(Atletas!L92="Outros Estilos F",178,0))))))))))))))))))))))))))))))))))))))))))</f>
        <v/>
      </c>
      <c r="BN96" s="52" t="str">
        <f>IF(Atletas!M92="","",IF(Atletas!W92&lt;&gt;"",10000,0)+(IF(Atletas!B92="Feminino",1000,IF(Atletas!B92="Masculino",2000,""))+(IF(Atletas!M92="Ditangquan A",201,IF(Atletas!M92="Houquan A",202,IF(Atletas!M92="Zuiquan A",203,IF(Atletas!M92="Ditangquan B",204,IF(Atletas!M92="Houquan B",205,IF(Atletas!M92="Zuiquan B",206,IF(Atletas!M92="Ditangquan C",207,IF(Atletas!M92="Houquan C",208,IF(Atletas!M92="Zuiquan C",209,IF(Atletas!M92="Ditangquan D",210,IF(Atletas!M92="Houquan D",211,IF(Atletas!M92="Zuiquan D",212,IF(Atletas!M92="Ditangquan E",213,IF(Atletas!M92="Houquan E",214,IF(Atletas!M92="Zuiquan E",215,IF(Atletas!M92="Ditangquan F",216,IF(Atletas!M92="Houquan F",217,IF(Atletas!M92="Zuiquan F",218,"")))))))))))))))))))))</f>
        <v/>
      </c>
      <c r="BO96" s="52" t="str">
        <f>IF(Atletas!N92="","",IF(Atletas!W92&lt;&gt;"",10000,0)+IF(Atletas!B92="Feminino",1000,IF(Atletas!B92="Masculino",2000,""))+IF(Atletas!N92="Yang A",301,IF(Atletas!N92="Chen A",30,IF(Atletas!N92="Sun A",303,IF(Atletas!N92="Wu A",304,IF(Atletas!N92="Wu-Hao A",305,IF(Atletas!N92="Outro Taijiquan A",306,IF(Atletas!N92="Yang B",307,IF(Atletas!N92="Chen B",308,IF(Atletas!N92="Sun B",309,IF(Atletas!N92="Wu B",310,IF(Atletas!N92="Wu-Hao B",311,IF(Atletas!N92="Outro Taijiquan B",312,IF(Atletas!N92="Yang C",313,IF(Atletas!N92="Chen C",314,IF(Atletas!N92="Sun C",315,IF(Atletas!N92="Wu C",316,IF(Atletas!N92="Wu-Hao C",317,IF(Atletas!N92="Outro Taijiquan C",318,IF(Atletas!N92="Yang D",319,IF(Atletas!N92="Chen D",320,IF(Atletas!N92="Sun D",321,IF(Atletas!N92="Wu D",322,IF(Atletas!N92="Wu-Hao D",323,IF(Atletas!N92="Outro Taijiquan D",324,IF(Atletas!N92="Yang E",325,IF(Atletas!N92="Chen E",326,IF(Atletas!N92="Sun E",327,IF(Atletas!N92="Wu E",328,IF(Atletas!N92="Wu-Hao E",329,IF(Atletas!N92="Outro Taijiquan E",330,IF(Atletas!N92="Yang F",331,IF(Atletas!N92="Chen F",332,IF(Atletas!N92="Sun F",333,IF(Atletas!N92="Wu F",334,IF(Atletas!N92="Wu-Hao F",335,IF(Atletas!N92="Outro Taijiquan F",336,"")))))))))))))))))))))))))))))))))))))</f>
        <v/>
      </c>
      <c r="BP96" s="52" t="str">
        <f>IF(Atletas!O92="","",IF(Atletas!W92&lt;&gt;"",10000,0)+IF(Atletas!B92="Feminino",1000,IF(Atletas!B92="Masculino",2000,""))+IF(OR(Atletas!O92="Yang 26 A",Atletas!O92="Yang 40 A"),401,IF(OR(Atletas!O92="Chen 25 A",Atletas!O92="Chen 36 A",Atletas!O92="Chen 56 A"),402,IF(Atletas!O92="Sun 73 A",403,IF(Atletas!O92="Wu 45 A",404,IF(Atletas!O92="Wu-Hao 46 A",405,IF(OR(Atletas!O92="Taijiquan 16 A",Atletas!O92="Taijiquan 24 A",Atletas!O92="Taijiquan 32 A",Atletas!O92="Taijiquan 42 A"),406,IF(OR(Atletas!O92="Yang 26 B",Atletas!O92="Yang 40 B"),407,IF(OR(Atletas!O92="Chen 25 B",Atletas!O92="Chen 36 B",Atletas!O92="Chen 56 B"),408,IF(Atletas!O92="Sun 73 B",409,IF(Atletas!O92="Wu 45 B",410,IF(Atletas!O92="Wu-Hao 46 B",411,IF(OR(Atletas!O92="Taijiquan 16 B",Atletas!O92="Taijiquan 24 B",Atletas!O92="Taijiquan 32 B",Atletas!O92="Taijiquan 42 B"),412,IF(OR(Atletas!O92="Yang 26 C",Atletas!O92="Yang 40 C"),413,IF(OR(Atletas!O92="Chen 25 C",Atletas!O92="Chen 36 C",Atletas!O92="Chen 56 C"),414,IF(Atletas!O92="Sun 73 C",415,IF(Atletas!O92="Wu 45 C",416,IF(Atletas!O92="Wu-Hao 46 C",417,IF(OR(Atletas!O92="Taijiquan 16 C",Atletas!O92="Taijiquan 24 C",Atletas!O92="Taijiquan 32 C",Atletas!O92="Taijiquan 42 C"),418,0)))))))))))))))))))</f>
        <v/>
      </c>
      <c r="BQ96" s="52" t="str">
        <f>IF(Atletas!O92="","",IF(Atletas!W92&lt;&gt;"",10000,0)+IF(Atletas!B92="Feminino",1000,IF(Atletas!B92="Masculino",2000,""))+IF(OR(Atletas!O92="Yang 26 D",Atletas!O92="Yang 40 D"),419,IF(OR(Atletas!O92="Chen 25 D",Atletas!O92="Chen 36 D",Atletas!O92="Chen 56 D"),420,IF(Atletas!O92="Sun 73 D",421,IF(Atletas!O92="Wu 45 D",422,IF(Atletas!O92="Wu-Hao 46 D",423,IF(OR(Atletas!O92="Taijiquan 16 D",Atletas!O92="Taijiquan 24 D",Atletas!O92="Taijiquan 32 D",Atletas!O92="Taijiquan 42 D"),424,IF(OR(Atletas!O92="Yang 26 E",Atletas!O92="Yang 40 E"),425,IF(OR(Atletas!O92="Chen 25 E",Atletas!O92="Chen 36 E",Atletas!O92="Chen 56 E"),426,IF(Atletas!O92="Sun 73 E",427,IF(Atletas!O92="Wu 45 E",428,IF(Atletas!O92="Wu-Hao 46 E",429,IF(OR(Atletas!O92="Taijiquan 16 E",Atletas!O92="Taijiquan 24 E",Atletas!O92="Taijiquan 32 E",Atletas!O92="Taijiquan 42 E"),430,IF(OR(Atletas!O92="Yang 26 F",Atletas!O92="Yang 40 F"),431,IF(OR(Atletas!O92="Chen 25 F",Atletas!O92="Chen 36 F",Atletas!O92="Chen 56 F"),432,IF(Atletas!O92="Sun 73 F",433,IF(Atletas!O92="Wu 45 F",434,IF(Atletas!O92="Wu-Hao 46 F",435,IF(OR(Atletas!O92="Taijiquan 16 F",Atletas!O92="Taijiquan 24 F",Atletas!O92="Taijiquan 32 F",Atletas!O92="Taijiquan 42 F"),436,0)))))))))))))))))))</f>
        <v/>
      </c>
      <c r="BR96" s="52" t="str">
        <f>IF(Atletas!P92="","",IF(Atletas!W92&lt;&gt;"",10000,0)+IF(Atletas!B92="Feminino",1000,IF(Atletas!B92="Masculino",2000,""))+IF(Atletas!P92="Xingyiquan A",501,IF(Atletas!P92="Baguazhang A",502,IF(Atletas!P92="Outro Estilo Interno A",503,IF(Atletas!P92="Xingyiquan B",504,IF(Atletas!P92="Baguazhang B",505,IF(Atletas!P92="Outro Estilo Interno B",506,IF(Atletas!P92="Xingyiquan C",507,IF(Atletas!P92="Baguazhang C",508,IF(Atletas!P92="Outro Estilo Interno C",509,IF(Atletas!P92="Xingyiquan D",510,IF(Atletas!P92="Baguazhang D",511,IF(Atletas!P92="Outro Estilo Interno D",512,IF(Atletas!P92="Xingyiquan E",513,IF(Atletas!P92="Baguazhang E",514,IF(Atletas!P92="Outro Estilo Interno E",515,IF(Atletas!P92="Xingyiquan F",516,IF(Atletas!P92="Baguazhang F",517,IF(Atletas!P92="Outro Estilo Interno F",518, "")))))))))))))))))))</f>
        <v/>
      </c>
      <c r="BS96" s="52" t="str">
        <f>IF(Atletas!Q92="","",IF(Atletas!W92&lt;&gt;"",10000,0)+IF(Atletas!B92="Feminino",1000,IF(Atletas!B92="Masculino",2000,""))+IF(Atletas!Q92="Dao A",601,IF(Atletas!Q92="Jian A",602,IF(Atletas!Q92="Bishou A",603,IF(Atletas!Q92="Shan A",604,IF(Atletas!Q92="Outra Arma Curta A",605,IF(Atletas!Q92="Dao B",606,IF(Atletas!Q92="Jian B",607,IF(Atletas!Q92="Bishou B",608,IF(Atletas!Q92="Shan B",609,IF(Atletas!Q92="Outra Arma Curta B",610,IF(Atletas!Q92="Dao C",611,IF(Atletas!Q92="Jian C",612,IF(Atletas!Q92="Bishou C",613,IF(Atletas!Q92="Shan C",614,IF(Atletas!Q92="Outra Arma Curta C",615,IF(Atletas!Q92="Dao D",616,IF(Atletas!Q92="Jian D",617,IF(Atletas!Q92="Bishou D",618,IF(Atletas!Q92="Shan D",619,IF(Atletas!Q92="Outra Arma Curta D",620,IF(Atletas!Q92="Dao E",621,IF(Atletas!Q92="Jian E",622,IF(Atletas!Q92="Bishou E",623,IF(Atletas!Q92="Shan E",624,IF(Atletas!Q92="Outra Arma Curta E",625,IF(Atletas!Q92="Dao F",626,IF(Atletas!Q92="Jian F",627,IF(Atletas!Q92="Bishou F",628,IF(Atletas!Q92="Shan F",629,IF(Atletas!Q92="Outra Arma Curta F",630, "")))))))))))))))))))))))))))))))</f>
        <v/>
      </c>
      <c r="BT96" s="52" t="str">
        <f>IF(Atletas!R92="","",IF(Atletas!W92&lt;&gt;"",10000,0)+IF(Atletas!B92="Feminino",1000,IF(Atletas!B92="Masculino",2000,""))+IF(Atletas!R92="Gun A",701,IF(Atletas!R92="Qiang A",702,IF(Atletas!R92="Pudao / Guandao A",703,IF(Atletas!R92="Outra Arma Longa A",704,IF(Atletas!R92="Gun B",705,IF(Atletas!R92="Qiang B",706,IF(Atletas!R92="Pudao / Guandao B",707,IF(Atletas!R92="Outra Arma Longa B",708,IF(Atletas!R92="Gun C",709,IF(Atletas!R92="Qiang C",710,IF(Atletas!R92="Pudao / Guandao C",711,IF(Atletas!R92="Outra Arma Longa C",712,IF(Atletas!R92="Gun D",713,IF(Atletas!R92="Qiang D",714,IF(Atletas!R92="Pudao / Guandao D",715,IF(Atletas!R92="Outra Arma Longa D",716,IF(Atletas!R92="Gun E",717,IF(Atletas!R92="Qiang E",718,IF(Atletas!R92="Pudao / Guandao E",719,IF(Atletas!R92="Outra Arma Longa E",720,IF(Atletas!R92="Gun F",721,IF(Atletas!R92="Qiang F",722,IF(Atletas!R92="Pudao / Guandao F",723,IF(Atletas!R92="Outra Arma Longa F",724,"")))))))))))))))))))))))))</f>
        <v/>
      </c>
      <c r="BU96" s="52" t="str">
        <f>IF(Atletas!S92="","",IF(Atletas!W92&lt;&gt;"",10000,0)+IF(Atletas!B92="Feminino",1000,IF(Atletas!B92="Masculino",2000,""))+IF(Atletas!S92="Arma Dupla A",801,IF(Atletas!S92="Arma Maleável A",802,IF(Atletas!S92="Arma Dupla B",803,IF(Atletas!S92="Arma Maleável B",804,IF(Atletas!S92="Arma Dupla C",805,IF(Atletas!S92="Arma Maleável C",806,IF(Atletas!S92="Arma Dupla D",807,IF(Atletas!S92="Arma Maleável D",808,IF(Atletas!S92="Arma Dupla E",809,IF(Atletas!S92="Arma Maleável E",810,IF(Atletas!S92="Arma Dupla F",811,IF(Atletas!S92="Arma Maleável F",812, "")))))))))))))</f>
        <v/>
      </c>
      <c r="BV96" s="52" t="str">
        <f>IF(Atletas!T92="","",IF(Atletas!W92&lt;&gt;"",10000,0)+IF(Atletas!B92="Feminino",1000,IF(Atletas!B92="Masculino",2000,""))+IF(Atletas!T92="Taijijian Yang A",901,IF(Atletas!T92="Taijijian Chen A",902,IF(Atletas!T92="Taijijian Sun A",903,IF(Atletas!T92="Taijijian Wu A",904,IF(Atletas!T92="Taijijian Wu-Hao A",905,IF(Atletas!T92="Taijijian 32 A",906,IF(Atletas!T92="Taijijian 42 A",907,IF(Atletas!T92="Taijijian Yang B",908,IF(Atletas!T92="Taijijian Chen B",909,IF(Atletas!T92="Taijijian Sun B",910,IF(Atletas!T92="Taijijian Wu B",911,IF(Atletas!T92="Taijijian Wu-Hao B",912,IF(Atletas!T92="Taijijian 32 B",913,IF(Atletas!T92="Taijijian 42 B",914,IF(Atletas!T92="Taijijian Yang C",915,IF(Atletas!T92="Taijijian Chen C",916,IF(Atletas!T92="Taijijian Sun C",917,IF(Atletas!T92="Taijijian Wu C",918,IF(Atletas!T92="Taijijian Wu-Hao C",919,IF(Atletas!T92="Taijijian 32 C",920,IF(Atletas!T92="Taijijian 42 C",921,IF(Atletas!T92="Taijijian Yang D",922,IF(Atletas!T92="Taijijian Chen D",923,IF(Atletas!T92="Taijijian Sun D",924,IF(Atletas!T92="Taijijian Wu D",925,IF(Atletas!T92="Taijijian Wu-Hao D",926,IF(Atletas!T92="Taijijian 32 D",927,IF(Atletas!T92="Taijijian 42 D",928,IF(Atletas!T92="Taijijian Yang E",929,IF(Atletas!T92="Taijijian Chen E",930,IF(Atletas!T92="Taijijian Sun E",931,IF(Atletas!T92="Taijijian Wu E",932,IF(Atletas!T92="Taijijian Wu-Hao E",933,IF(Atletas!T92="Taijijian 32 E",934,IF(Atletas!T92="Taijijian 42 E",935,IF(Atletas!T92="Taijijian Yang F",936,IF(Atletas!T92="Taijijian Chen F",937,IF(Atletas!T92="Taijijian Sun F",938,IF(Atletas!T92="Taijijian Wu F",939,IF(Atletas!T92="Taijijian Wu-Hao F",940,IF(Atletas!T92="Taijijian 32 F",941,IF(Atletas!T92="Taijijian 42 F",942,"")))))))))))))))))))))))))))))))))))))))))))</f>
        <v/>
      </c>
      <c r="BW96" s="52" t="str">
        <f>IF(Atletas!U92="","",IF(Atletas!W92&lt;&gt;"",10000,0)+IF(Atletas!B92="Feminino",1000,IF(Atletas!B92="Masculino",2000,""))+IF(Atletas!T92="Taijijian 42 F",942,IF(Atletas!U92="Taijidao A",943,IF(Atletas!U92="Taijishan A",944,IF(Atletas!U92="Taijiqiang A",945,IF(Atletas!U92="Taijidao B",946,IF(Atletas!U92="Taijishan B",947,IF(Atletas!U92="Taijiqiang B",948,IF(Atletas!U92="Taijidao C",949,IF(Atletas!U92="Taijishan C",950,IF(Atletas!U92="Taijiqiang C",951,IF(Atletas!U92="Taijidao D",952,IF(Atletas!U92="Taijishan D",953,IF(Atletas!U92="Taijiqiang D",954,IF(Atletas!U92="Taijidao E",955,IF(Atletas!U92="Taijishan E",956,IF(Atletas!U92="Taijiqiang E",957,IF(Atletas!U92="Taijidao F",958,IF(Atletas!U92="Taijishan F",959,IF(Atletas!U92="Taijiqiang F",960))))))))))))))))))))</f>
        <v/>
      </c>
      <c r="BX96" s="64" t="str">
        <f>IF(BY96&lt;&gt;"","Shaolinquan E","")</f>
        <v/>
      </c>
      <c r="BY96" s="64" t="str">
        <f>IF(COUNTIF(BK:BW,1160)&gt;0,COUNTIF(BK:BW,1160),"")</f>
        <v/>
      </c>
      <c r="BZ96" s="64" t="str">
        <f>IF(CA96&lt;&gt;"","Shaolinquan E","")</f>
        <v/>
      </c>
      <c r="CA96" s="64" t="str">
        <f>IF(COUNTIF(BK:BW,2160)&gt;0,COUNTIF(BK:BW,2160),"")</f>
        <v/>
      </c>
      <c r="CB96" s="64" t="str">
        <f>IF(CC96&lt;&gt;"","Shaolinquan E","")</f>
        <v/>
      </c>
      <c r="CC96" s="64" t="str">
        <f>IF(COUNTIF(BK:BW,11160)&gt;0,COUNTIF(BK:BW,11160),"")</f>
        <v/>
      </c>
      <c r="CD96" s="64" t="str">
        <f>IF(CE96&lt;&gt;"","Shaolinquan E","")</f>
        <v/>
      </c>
      <c r="CE96" s="64" t="str">
        <f>IF(COUNTIF(BK:BW,12160)&gt;0,COUNTIF(BK:BW,12160),"")</f>
        <v/>
      </c>
      <c r="CF96" s="52" t="str">
        <f xml:space="preserve"> IF(Atletas!V92="","",IF(Atletas!V92="Duilian de Mãos AB - Equipe 1",1,IF(Atletas!V92="Duilian de Mãos AB - Equipe 2",2,IF(Atletas!V92="Duilian de Armas AB - Equipe 1",3,IF(Atletas!V92="Duilian de Armas AB - Equipe 2",4,IF(Atletas!V92="Duilian de Tuishou - Equipe 1",5,IF(Atletas!V92="Duilian de Tuishou - Equipe 2",6,IF(Atletas!V92="Grupo Externo AB - Equipe 1",7,IF(Atletas!V92="Grupo Externo AB - Equipe 2",8,IF(Atletas!V92="Grupo Interno AB - Equipe 1",9,IF(Atletas!V92="Grupo Interno AB - Equipe 2",10,IF(Atletas!V92="Duilian de Mãos CD - Equipe 1",11,IF(Atletas!V92="Duilian de Mãos CD - Equipe 2",12,IF(Atletas!V92="Duilian de Armas CD - Equipe 1",13,IF(Atletas!V92="Duilian de Armas CD - Equipe 2",14,IF(Atletas!V92="Duilian de Tuishou - Equipe 1",15,IF(Atletas!V92="Duilian de Tuishou - Equipe 2",16,IF(Atletas!V92="Grupo Externo CDEF - Equipe 1",17,IF(Atletas!V92="Grupo Externo CDEF - Equipe 2",18,IF(Atletas!V92="Grupo Interno CDEF - Equipe 1",19,IF(Atletas!V92="Grupo Interno CDEF - Equipe 2",20,IF(Atletas!V92="Duilian de Mãos EF - Equipe 1",21,IF(Atletas!V92="Duilian de Mãos EF - Equipe 2",22,IF(Atletas!V92="Duilian de Armas EF - Equipe 1",23,IF(Atletas!V92="Duilian de Armas EF - Equipe 2",24,IF(Atletas!V92="Duilian de Tuishou - Equipe 1",25,IF(Atletas!V92="Duilian de Tuishou - Equipe 2",26,"")))))))))))))))))))))))))))</f>
        <v/>
      </c>
    </row>
    <row r="97" spans="2:84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 t="str">
        <f t="array" ref="V97">IFERROR(INDEX(BX$7:BX$336,SMALL(IF(BX$7:BX$336&lt;&gt;"",ROW(BX$7:BX$336)-ROW(BX$7)+1),ROWS(BX$7:BX96))),"")</f>
        <v/>
      </c>
      <c r="W97" s="4" t="str">
        <f t="array" ref="W97">IFERROR(INDEX(BY$7:BY$336,SMALL(IF(BY$7:BY$336&lt;&gt;"",ROW(BY$7:BY$336)-ROW(BY$7)+1),ROWS(BY$7:BY96))),"")</f>
        <v/>
      </c>
      <c r="X97" s="4" t="str">
        <f t="array" ref="X97">IFERROR(INDEX(BZ$7:BZ$336,SMALL(IF(BZ$7:BZ$336&lt;&gt;"",ROW(BZ$7:BZ$336)-ROW(BZ$7)+1),ROWS(BZ$7:BZ96))),"")</f>
        <v/>
      </c>
      <c r="Y97" s="4" t="str">
        <f t="array" ref="Y97">IFERROR(INDEX(CA$7:CA$336,SMALL(IF(CA$7:CA$336&lt;&gt;"",ROW(CA$7:CA$336)-ROW(CA$7)+1),ROWS(CA$7:CA96))),"")</f>
        <v/>
      </c>
      <c r="Z97" s="4" t="str">
        <f t="array" ref="Z97">IFERROR(INDEX(CB$7:CB$378,SMALL(IF(CB$7:CB$378&lt;&gt;"",ROW(CB$7:CB$378)-ROW(CB$7)+1),ROWS(CB$7:CB96))),"")</f>
        <v/>
      </c>
      <c r="AA97" s="4" t="str">
        <f t="array" ref="AA97">IFERROR(INDEX(CC$7:CC$378,SMALL(IF(CC$7:CC$378&lt;&gt;"",ROW(CC$7:CC$378)-ROW(CC$7)+1),ROWS(CC$7:CC96))),"")</f>
        <v/>
      </c>
      <c r="AB97" s="4" t="str">
        <f t="array" ref="AB97">IFERROR(INDEX(CD$7:CD$378,SMALL(IF(CD$7:CD$378&lt;&gt;"",ROW(CD$7:CD$378)-ROW(CD$7)+1),ROWS(CD$7:CD96))),"")</f>
        <v/>
      </c>
      <c r="AC97" s="4" t="str">
        <f t="array" ref="AC97">IFERROR(INDEX(CE$7:CE$378,SMALL(IF(CE$7:CE$378&lt;&gt;"",ROW(CE$7:CE$378)-ROW(CE$7)+1),ROWS(CE$7:CE96))),"")</f>
        <v/>
      </c>
      <c r="AD97" s="4"/>
      <c r="AE97" s="4"/>
      <c r="AF97" s="4"/>
      <c r="AG97" s="4"/>
      <c r="AH97" s="4"/>
      <c r="AI97" s="4"/>
      <c r="AJ97" s="46" t="str">
        <f>IF(Atletas!D93="","",IF(Atletas!B93="Feminino",100,IF(Atletas!B93="Masculino",200,""))+(IF(Atletas!D93="Infantil 39kg",1,IF(Atletas!D93="Infantil 42kg",2,IF(Atletas!D93="Infantil 45kg",3,IF(Atletas!D93="Infantil 48kg",4,IF(Atletas!D93="Infantil 52kg",5,IF(Atletas!D93="Infantil 56kg",6,IF(Atletas!D93="Infantil 60kg",7,IF(Atletas!D93="Juvenil 48kg",8,IF(Atletas!D93="Juvenil 52kg",9,IF(Atletas!D93="Juvenil 56kg",10,IF(Atletas!D93="Juvenil 60kg",11,IF(Atletas!D93="Juvenil 65kg",12,IF(Atletas!D93="Juvenil 70kg",13,IF(Atletas!D93="Juvenil 75kg",14,IF(Atletas!D93="Juvenil 80kg",15,IF(Atletas!D93="Adulto 48kg",16,IF(Atletas!D93="Adulto 52kg",17,IF(Atletas!D93="Adulto 56kg",18,IF(Atletas!D93="Adulto 60kg",19,IF(Atletas!D93="Adulto 65kg",20,IF(Atletas!D93="Adulto 70kg",21,IF(Atletas!D93="Adulto 75kg",22,IF(Atletas!D93="Adulto 80kg",23,IF(Atletas!D93="Adulto 85kg",24,IF(Atletas!D93="Adulto 90kg",25,IF(Atletas!D93="Adulto +90kg",26,""))))))))))))))))))))))))))))</f>
        <v/>
      </c>
      <c r="AO97" s="10" t="str">
        <f>IF(Atletas!E93="","",IF(Atletas!B93="Feminino",100,IF(Atletas!B93="Masculino",200,""))+(IF(Atletas!E93="Juvenil 44kg",1,IF(Atletas!E93="Juvenil 48kg",2,IF(Atletas!E93="Juvenil 52kg",3,IF(Atletas!E93="Juvenil 56kg",4,IF(Atletas!E93="Juvenil 60kg",5,IF(Atletas!E93="Juvenil 65kg",6,IF(Atletas!E93="Juvenil 70kg",7,IF(Atletas!E93="Juvenil 75kg",8,IF(Atletas!E93="Juvenil 82kg",9,IF(Atletas!E93="Juvenil 90kg",10,IF(Atletas!E93="Juvenil 100kg",11,IF(Atletas!E93="Adulto 48kg",12,IF(Atletas!E93="Adulto 52kg",13,IF(Atletas!E93="Adulto 56kg",14,IF(Atletas!E93="Adulto 60kg",15,IF(Atletas!E93="Adulto 65kg",16,IF(Atletas!E93="Adulto 70kg",17,IF(Atletas!E93="Adulto 75kg",18,IF(Atletas!E93="Adulto 82kg",19,IF(Atletas!E93="Adulto 90kg",20,IF(Atletas!E93="Adulto 100kg",21,IF(Atletas!E93="Adulto +100kg",22,""))))))))))))))))))))))))</f>
        <v/>
      </c>
      <c r="AT97" s="10" t="str">
        <f>IF(Atletas!F93="","",IF(Atletas!B93="Feminino",100,IF(Atletas!B93="Masculino",200,""))+(IF(Atletas!F93="Adulto 48kg",1,IF(Atletas!F93="Adulto 56kg",2,IF(Atletas!F93="Adulto 65kg",3,IF(Atletas!F93="Adulto 75kg",4,IF(Atletas!F93="Adulto +75kg",5,IF(Atletas!F93="Adulto 52kg",6,IF(Atletas!F93="Adulto 60kg",7,IF(Atletas!F93="Adulto 70kg",8,IF(Atletas!F93="Adulto 80kg",9,IF(Atletas!F93="Adulto 90kg",10,IF(Atletas!F93="Adulto +90kg",11,"")))))))))))))</f>
        <v/>
      </c>
      <c r="AY97" s="46" t="str">
        <f>IF(Atletas!G93="","",IF(Atletas!B93="Feminino",100,IF(Atletas!B93="Masculino",200,""))+(IF(Atletas!G93="Changquan Mirim",1,IF(Atletas!G93="Nanquan Mirim",2,IF(Atletas!G93="Taijiquan Mirim",3,IF(Atletas!G93="Changquan Grupo C",4,IF(Atletas!G93="Nanquan Grupo C",5,IF(Atletas!G93="Taijiquan Grupo C",6,IF(Atletas!G93="Changquan Grupo B",7,IF(Atletas!G93="Nanquan Grupo B",8,IF(Atletas!G93="Taijiquan Grupo B",9,IF(Atletas!G93="Changquan Grupo A",10,IF(Atletas!G93="Nanquan Grupo A",11,IF(Atletas!G93="Taijiquan Grupo A",12,IF(Atletas!G93="Changquan Opcional",13,IF(Atletas!G93="Nanquan Opcional",14,IF(Atletas!G93="Taijiquan Opcional",15,IF(Atletas!G93="Changquan Adulto",16,IF(Atletas!G93="Nanquan Adulto",17,IF(Atletas!G93="Taijiquan Adulto",18,""))))))))))))))))))))</f>
        <v/>
      </c>
      <c r="AZ97" s="46" t="str">
        <f>IF(Atletas!H93="","",IF(Atletas!B93="Feminino",100,IF(Atletas!B93="Masculino",200,""))+(IF(Atletas!H93="Daoshu Mirim",19,IF(Atletas!H93="Jianshu Mirim",20,IF(Atletas!H93="Nandao Mirim",21,IF(Atletas!H93="Taijijian Mirim",22,IF(Atletas!H93="Daoshu Grupo C",23,IF(Atletas!H93="Jianshu Grupo C",24,IF(Atletas!H93="Nandao Grupo C",25,IF(Atletas!H93="Taijijian Grupo C",26,IF(Atletas!H93="Daoshu Grupo B",27,IF(Atletas!H93="Jianshu Grupo B",28,IF(Atletas!H93="Nandao Grupo B",29,IF(Atletas!H93="Taijijian Grupo B",30,IF(Atletas!H93="Daoshu Grupo A",31,IF(Atletas!H93="Jianshu Grupo A",32,IF(Atletas!H93="Nandao Grupo A",33,IF(Atletas!H93="Taijijian Grupo A",34,IF(Atletas!H93="Daoshu Opcional",35,IF(Atletas!H93="Jianshu Opcional",36,IF(Atletas!H93="Nandao Opcional",37,IF(Atletas!H93="Taijijian Opcional",38,IF(Atletas!H93="Daoshu Adulto",39,IF(Atletas!H93="Jianshu Adulto",40,IF(Atletas!H93="Nandao Adulto",41,IF(Atletas!H93="Taijijian Adulto",42,""))))))))))))))))))))))))))</f>
        <v/>
      </c>
      <c r="BA97" s="46" t="str">
        <f>IF(Atletas!I93="","",IF(Atletas!B93="Feminino",100,IF(Atletas!B93="Masculino",200,""))+(IF(Atletas!I93="Gunshu Mirim",43,IF(Atletas!I93="Qiangshu Mirim",44,IF(Atletas!I93="Nangun Mirim",45,IF(Atletas!I93="Gunshu Grupo C",46,IF(Atletas!I93="Qiangshu Grupo C",47,IF(Atletas!I93="Nangun Grupo C",48,IF(Atletas!I93="Gunshu Grupo B",49,IF(Atletas!I93="Qiangshu Grupo B",50,IF(Atletas!I93="Nangun Grupo B",51,IF(Atletas!I93="Gunshu Grupo A",52,IF(Atletas!I93="Qiangshu Grupo A",53,IF(Atletas!I93="Nangun Grupo A",54,IF(Atletas!I93="Gunshu Opcional",55,IF(Atletas!I93="Qiangshu Opcional",56,IF(Atletas!I93="Nangun Opcional",57,IF(Atletas!I93="Gunshu Adulto",58,IF(Atletas!I93="Qiangshu Adulto",59,IF(Atletas!I93="Nangun Adulto",60,""))))))))))))))))))))</f>
        <v/>
      </c>
      <c r="BF97" s="52" t="str">
        <f>IF(Atletas!J93="","",IF(Atletas!B93="Feminino",100,IF(Atletas!B93="Masculino",200,""))+(IF(Atletas!J93="Equipe 1 Grupo B",1,IF(Atletas!J93="Equipe 2 Grupo B",2,IF(Atletas!J93="Equipe 1 Grupo A",3,IF(Atletas!J93="Equipe 2 Grupo A",4,IF(Atletas!J93="Equipe 1 Adulto",5,IF(Atletas!J93="Equipe 2 Adulto",6,""))))))))</f>
        <v/>
      </c>
      <c r="BK97" s="52" t="str">
        <f>IF(Atletas!K93="","",IF(Atletas!W93&lt;&gt;"",10000,0)+(IF(Atletas!B93="Feminino",1000,IF(Atletas!B93="Masculino",2000,""))+IF(Atletas!K93="Choylayfut A",1,IF(Atletas!K93="Hunggar A",2,IF(Atletas!K93="Wuzuquan A",3,IF(Atletas!K93="Wingchun A",4,IF(Atletas!K93="Outra Mão de Sul A",5,IF(Atletas!K93="Choylayfut B",6,IF(Atletas!K93="Hunggar B",7,IF(Atletas!K93="Wuzuquan B",8,IF(Atletas!K93="Wingchun B",9,IF(Atletas!K93="Outra Mão de Sul B",10,IF(Atletas!K93="Choylayfut C",11,IF(Atletas!K93="Hunggar C",12,IF(Atletas!K93="Wuzuquan C",13,IF(Atletas!K93="Wingchun C",14,IF(Atletas!K93="Outra Mão de Sul C",15,IF(Atletas!K93="Choylayfut D",16,IF(Atletas!K93="Hunggar D",17,IF(Atletas!K93="Wuzuquan D",18,IF(Atletas!K93="Wingchun D",19,IF(Atletas!K93="Outra Mão de Sul D",20,IF(Atletas!K93="Choylayfut E",21,IF(Atletas!K93="Hunggar E",22,IF(Atletas!K93="Wuzuquan E",23,IF(Atletas!K93="Wingchun E",24,IF(Atletas!K93="Outra Mão de Sul E",25,IF(Atletas!K93="Choylayfut F",26,IF(Atletas!K93="Hunggar F",27,IF(Atletas!K93="Wuzuquan F",28,IF(Atletas!K93="Wingchun F",29,IF(Atletas!K93="Outra Mão de Sul F",30,""))))))))))))))))))))))))))))))))</f>
        <v/>
      </c>
      <c r="BL97" s="52" t="str">
        <f>IF(Atletas!L93="","",IF(Atletas!W93&lt;&gt;"",10000,0)+(IF(Atletas!B93="Feminino",1000,IF(Atletas!B93="Masculino",2000,""))+(IF(Atletas!L93="Chaquan A",101,IF(Atletas!L93="Emeiquan A",102,IF(Atletas!L93="Fanziquan A",103,IF(Atletas!L93="Huaquan A",104,IF(Atletas!L93="Hongquan A",105,IF(Atletas!L93="Paochui A",106,IF(Atletas!L93="Piguaquan A",107,IF(Atletas!L93="Shaolinquan A",108,IF(Atletas!L93="Tanglangquan A",109,IF(Atletas!L93="Yinzhaophai A",110,IF(Atletas!L93="Tongbeiquan A",111,IF(Atletas!L93="Wudangquan A",112,IF(Atletas!L93="Outros Estilos A",113,IF(Atletas!L93="Chaquan B",114,IF(Atletas!L93="Emeiquan B",115,IF(Atletas!L93="Fanziquan B",116,IF(Atletas!L93="Huaquan B",117,IF(Atletas!L93="Hongquan B",118,IF(Atletas!L93="Paochui B",119,IF(Atletas!L93="Piguaquan B",120,IF(Atletas!L93="Shaolinquan B",121,IF(Atletas!L93="Tanglangquan B",122,IF(Atletas!L93="Yinzhaophai B",123,IF(Atletas!L93="Tongbeiquan B",124,IF(Atletas!L93="Wudangquan B",125,IF(Atletas!L93="Outros Estilos B",126,IF(Atletas!L93="Chaquan C",127,IF(Atletas!L93="Emeiquan C",128,IF(Atletas!L93="Fanziquan C",129,IF(Atletas!L93="Huaquan C",130,IF(Atletas!L93="Hongquan C",131,IF(Atletas!L93="Paochui C",132,IF(Atletas!L93="Piguaquan C",133,IF(Atletas!L93="Shaolinquan C",134,IF(Atletas!L93="Tanglangquan C",135,IF(Atletas!L93="Yinzhaophai C",136,IF(Atletas!L93="Tongbeiquan C",137,IF(Atletas!L93="Wudangquan C",138,IF(Atletas!L93="Outros Estilos C",139,0))))))))))))))))))))))))))))))))))))))))))</f>
        <v/>
      </c>
      <c r="BM97" s="52" t="str">
        <f>IF(Atletas!L93="","",IF(Atletas!W93&lt;&gt;"",10000,0)+(IF(Atletas!B93="Feminino",1000,IF(Atletas!B93="Masculino",2000,""))+(IF(Atletas!L93="Chaquan D",140,IF(Atletas!L93="Emeiquan D",141,IF(Atletas!L93="Fanziquan D",142,IF(Atletas!L93="Huaquan D",143,IF(Atletas!L93="Hongquan D",144,IF(Atletas!L93="Paochui D",145,IF(Atletas!L93="Piguaquan D",146,IF(Atletas!L93="Shaolinquan D",147,IF(Atletas!L93="Tanglangquan D",148,IF(Atletas!L93="Yinzhaophai D",149,IF(Atletas!L93="Tongbeiquan D",150,IF(Atletas!L93="Wudangquan D",151,IF(Atletas!L93="Outros Estilos D",152,IF(Atletas!L93="Chaquan E",153,IF(Atletas!L93="Emeiquan E",154,IF(Atletas!L93="Fanziquan E",155,IF(Atletas!L93="Huaquan E",156,IF(Atletas!L93="Hongquan E",157,IF(Atletas!L93="Paochui E",158,IF(Atletas!L93="Piguaquan E",159,IF(Atletas!L93="Shaolinquan E",160,IF(Atletas!L93="Tanglangquan E",161,IF(Atletas!L93="Yinzhaophai E",162,IF(Atletas!L93="Tongbeiquan E",163,IF(Atletas!L93="Wudangquan E",164,IF(Atletas!L93="Outros Estilos E",165,IF(Atletas!L93="Chaquan F",166,IF(Atletas!L93="Emeiquan F",167,IF(Atletas!L93="Fanziquan F",168,IF(Atletas!L93="Huaquan F",169,IF(Atletas!L93="Hongquan F",170,IF(Atletas!L93="Paochui F",171,IF(Atletas!L93="Piguaquan F",172,IF(Atletas!L93="Shaolinquan F",173,IF(Atletas!L93="Tanglangquan F",174,IF(Atletas!L93="Yinzhaophai F",175,IF(Atletas!L93="Tongbeiquan F",176,IF(Atletas!L93="Wudangquan F",177,IF(Atletas!L93="Outros Estilos F",178,0))))))))))))))))))))))))))))))))))))))))))</f>
        <v/>
      </c>
      <c r="BN97" s="52" t="str">
        <f>IF(Atletas!M93="","",IF(Atletas!W93&lt;&gt;"",10000,0)+(IF(Atletas!B93="Feminino",1000,IF(Atletas!B93="Masculino",2000,""))+(IF(Atletas!M93="Ditangquan A",201,IF(Atletas!M93="Houquan A",202,IF(Atletas!M93="Zuiquan A",203,IF(Atletas!M93="Ditangquan B",204,IF(Atletas!M93="Houquan B",205,IF(Atletas!M93="Zuiquan B",206,IF(Atletas!M93="Ditangquan C",207,IF(Atletas!M93="Houquan C",208,IF(Atletas!M93="Zuiquan C",209,IF(Atletas!M93="Ditangquan D",210,IF(Atletas!M93="Houquan D",211,IF(Atletas!M93="Zuiquan D",212,IF(Atletas!M93="Ditangquan E",213,IF(Atletas!M93="Houquan E",214,IF(Atletas!M93="Zuiquan E",215,IF(Atletas!M93="Ditangquan F",216,IF(Atletas!M93="Houquan F",217,IF(Atletas!M93="Zuiquan F",218,"")))))))))))))))))))))</f>
        <v/>
      </c>
      <c r="BO97" s="52" t="str">
        <f>IF(Atletas!N93="","",IF(Atletas!W93&lt;&gt;"",10000,0)+IF(Atletas!B93="Feminino",1000,IF(Atletas!B93="Masculino",2000,""))+IF(Atletas!N93="Yang A",301,IF(Atletas!N93="Chen A",30,IF(Atletas!N93="Sun A",303,IF(Atletas!N93="Wu A",304,IF(Atletas!N93="Wu-Hao A",305,IF(Atletas!N93="Outro Taijiquan A",306,IF(Atletas!N93="Yang B",307,IF(Atletas!N93="Chen B",308,IF(Atletas!N93="Sun B",309,IF(Atletas!N93="Wu B",310,IF(Atletas!N93="Wu-Hao B",311,IF(Atletas!N93="Outro Taijiquan B",312,IF(Atletas!N93="Yang C",313,IF(Atletas!N93="Chen C",314,IF(Atletas!N93="Sun C",315,IF(Atletas!N93="Wu C",316,IF(Atletas!N93="Wu-Hao C",317,IF(Atletas!N93="Outro Taijiquan C",318,IF(Atletas!N93="Yang D",319,IF(Atletas!N93="Chen D",320,IF(Atletas!N93="Sun D",321,IF(Atletas!N93="Wu D",322,IF(Atletas!N93="Wu-Hao D",323,IF(Atletas!N93="Outro Taijiquan D",324,IF(Atletas!N93="Yang E",325,IF(Atletas!N93="Chen E",326,IF(Atletas!N93="Sun E",327,IF(Atletas!N93="Wu E",328,IF(Atletas!N93="Wu-Hao E",329,IF(Atletas!N93="Outro Taijiquan E",330,IF(Atletas!N93="Yang F",331,IF(Atletas!N93="Chen F",332,IF(Atletas!N93="Sun F",333,IF(Atletas!N93="Wu F",334,IF(Atletas!N93="Wu-Hao F",335,IF(Atletas!N93="Outro Taijiquan F",336,"")))))))))))))))))))))))))))))))))))))</f>
        <v/>
      </c>
      <c r="BP97" s="52" t="str">
        <f>IF(Atletas!O93="","",IF(Atletas!W93&lt;&gt;"",10000,0)+IF(Atletas!B93="Feminino",1000,IF(Atletas!B93="Masculino",2000,""))+IF(OR(Atletas!O93="Yang 26 A",Atletas!O93="Yang 40 A"),401,IF(OR(Atletas!O93="Chen 25 A",Atletas!O93="Chen 36 A",Atletas!O93="Chen 56 A"),402,IF(Atletas!O93="Sun 73 A",403,IF(Atletas!O93="Wu 45 A",404,IF(Atletas!O93="Wu-Hao 46 A",405,IF(OR(Atletas!O93="Taijiquan 16 A",Atletas!O93="Taijiquan 24 A",Atletas!O93="Taijiquan 32 A",Atletas!O93="Taijiquan 42 A"),406,IF(OR(Atletas!O93="Yang 26 B",Atletas!O93="Yang 40 B"),407,IF(OR(Atletas!O93="Chen 25 B",Atletas!O93="Chen 36 B",Atletas!O93="Chen 56 B"),408,IF(Atletas!O93="Sun 73 B",409,IF(Atletas!O93="Wu 45 B",410,IF(Atletas!O93="Wu-Hao 46 B",411,IF(OR(Atletas!O93="Taijiquan 16 B",Atletas!O93="Taijiquan 24 B",Atletas!O93="Taijiquan 32 B",Atletas!O93="Taijiquan 42 B"),412,IF(OR(Atletas!O93="Yang 26 C",Atletas!O93="Yang 40 C"),413,IF(OR(Atletas!O93="Chen 25 C",Atletas!O93="Chen 36 C",Atletas!O93="Chen 56 C"),414,IF(Atletas!O93="Sun 73 C",415,IF(Atletas!O93="Wu 45 C",416,IF(Atletas!O93="Wu-Hao 46 C",417,IF(OR(Atletas!O93="Taijiquan 16 C",Atletas!O93="Taijiquan 24 C",Atletas!O93="Taijiquan 32 C",Atletas!O93="Taijiquan 42 C"),418,0)))))))))))))))))))</f>
        <v/>
      </c>
      <c r="BQ97" s="52" t="str">
        <f>IF(Atletas!O93="","",IF(Atletas!W93&lt;&gt;"",10000,0)+IF(Atletas!B93="Feminino",1000,IF(Atletas!B93="Masculino",2000,""))+IF(OR(Atletas!O93="Yang 26 D",Atletas!O93="Yang 40 D"),419,IF(OR(Atletas!O93="Chen 25 D",Atletas!O93="Chen 36 D",Atletas!O93="Chen 56 D"),420,IF(Atletas!O93="Sun 73 D",421,IF(Atletas!O93="Wu 45 D",422,IF(Atletas!O93="Wu-Hao 46 D",423,IF(OR(Atletas!O93="Taijiquan 16 D",Atletas!O93="Taijiquan 24 D",Atletas!O93="Taijiquan 32 D",Atletas!O93="Taijiquan 42 D"),424,IF(OR(Atletas!O93="Yang 26 E",Atletas!O93="Yang 40 E"),425,IF(OR(Atletas!O93="Chen 25 E",Atletas!O93="Chen 36 E",Atletas!O93="Chen 56 E"),426,IF(Atletas!O93="Sun 73 E",427,IF(Atletas!O93="Wu 45 E",428,IF(Atletas!O93="Wu-Hao 46 E",429,IF(OR(Atletas!O93="Taijiquan 16 E",Atletas!O93="Taijiquan 24 E",Atletas!O93="Taijiquan 32 E",Atletas!O93="Taijiquan 42 E"),430,IF(OR(Atletas!O93="Yang 26 F",Atletas!O93="Yang 40 F"),431,IF(OR(Atletas!O93="Chen 25 F",Atletas!O93="Chen 36 F",Atletas!O93="Chen 56 F"),432,IF(Atletas!O93="Sun 73 F",433,IF(Atletas!O93="Wu 45 F",434,IF(Atletas!O93="Wu-Hao 46 F",435,IF(OR(Atletas!O93="Taijiquan 16 F",Atletas!O93="Taijiquan 24 F",Atletas!O93="Taijiquan 32 F",Atletas!O93="Taijiquan 42 F"),436,0)))))))))))))))))))</f>
        <v/>
      </c>
      <c r="BR97" s="52" t="str">
        <f>IF(Atletas!P93="","",IF(Atletas!W93&lt;&gt;"",10000,0)+IF(Atletas!B93="Feminino",1000,IF(Atletas!B93="Masculino",2000,""))+IF(Atletas!P93="Xingyiquan A",501,IF(Atletas!P93="Baguazhang A",502,IF(Atletas!P93="Outro Estilo Interno A",503,IF(Atletas!P93="Xingyiquan B",504,IF(Atletas!P93="Baguazhang B",505,IF(Atletas!P93="Outro Estilo Interno B",506,IF(Atletas!P93="Xingyiquan C",507,IF(Atletas!P93="Baguazhang C",508,IF(Atletas!P93="Outro Estilo Interno C",509,IF(Atletas!P93="Xingyiquan D",510,IF(Atletas!P93="Baguazhang D",511,IF(Atletas!P93="Outro Estilo Interno D",512,IF(Atletas!P93="Xingyiquan E",513,IF(Atletas!P93="Baguazhang E",514,IF(Atletas!P93="Outro Estilo Interno E",515,IF(Atletas!P93="Xingyiquan F",516,IF(Atletas!P93="Baguazhang F",517,IF(Atletas!P93="Outro Estilo Interno F",518, "")))))))))))))))))))</f>
        <v/>
      </c>
      <c r="BS97" s="52" t="str">
        <f>IF(Atletas!Q93="","",IF(Atletas!W93&lt;&gt;"",10000,0)+IF(Atletas!B93="Feminino",1000,IF(Atletas!B93="Masculino",2000,""))+IF(Atletas!Q93="Dao A",601,IF(Atletas!Q93="Jian A",602,IF(Atletas!Q93="Bishou A",603,IF(Atletas!Q93="Shan A",604,IF(Atletas!Q93="Outra Arma Curta A",605,IF(Atletas!Q93="Dao B",606,IF(Atletas!Q93="Jian B",607,IF(Atletas!Q93="Bishou B",608,IF(Atletas!Q93="Shan B",609,IF(Atletas!Q93="Outra Arma Curta B",610,IF(Atletas!Q93="Dao C",611,IF(Atletas!Q93="Jian C",612,IF(Atletas!Q93="Bishou C",613,IF(Atletas!Q93="Shan C",614,IF(Atletas!Q93="Outra Arma Curta C",615,IF(Atletas!Q93="Dao D",616,IF(Atletas!Q93="Jian D",617,IF(Atletas!Q93="Bishou D",618,IF(Atletas!Q93="Shan D",619,IF(Atletas!Q93="Outra Arma Curta D",620,IF(Atletas!Q93="Dao E",621,IF(Atletas!Q93="Jian E",622,IF(Atletas!Q93="Bishou E",623,IF(Atletas!Q93="Shan E",624,IF(Atletas!Q93="Outra Arma Curta E",625,IF(Atletas!Q93="Dao F",626,IF(Atletas!Q93="Jian F",627,IF(Atletas!Q93="Bishou F",628,IF(Atletas!Q93="Shan F",629,IF(Atletas!Q93="Outra Arma Curta F",630, "")))))))))))))))))))))))))))))))</f>
        <v/>
      </c>
      <c r="BT97" s="52" t="str">
        <f>IF(Atletas!R93="","",IF(Atletas!W93&lt;&gt;"",10000,0)+IF(Atletas!B93="Feminino",1000,IF(Atletas!B93="Masculino",2000,""))+IF(Atletas!R93="Gun A",701,IF(Atletas!R93="Qiang A",702,IF(Atletas!R93="Pudao / Guandao A",703,IF(Atletas!R93="Outra Arma Longa A",704,IF(Atletas!R93="Gun B",705,IF(Atletas!R93="Qiang B",706,IF(Atletas!R93="Pudao / Guandao B",707,IF(Atletas!R93="Outra Arma Longa B",708,IF(Atletas!R93="Gun C",709,IF(Atletas!R93="Qiang C",710,IF(Atletas!R93="Pudao / Guandao C",711,IF(Atletas!R93="Outra Arma Longa C",712,IF(Atletas!R93="Gun D",713,IF(Atletas!R93="Qiang D",714,IF(Atletas!R93="Pudao / Guandao D",715,IF(Atletas!R93="Outra Arma Longa D",716,IF(Atletas!R93="Gun E",717,IF(Atletas!R93="Qiang E",718,IF(Atletas!R93="Pudao / Guandao E",719,IF(Atletas!R93="Outra Arma Longa E",720,IF(Atletas!R93="Gun F",721,IF(Atletas!R93="Qiang F",722,IF(Atletas!R93="Pudao / Guandao F",723,IF(Atletas!R93="Outra Arma Longa F",724,"")))))))))))))))))))))))))</f>
        <v/>
      </c>
      <c r="BU97" s="52" t="str">
        <f>IF(Atletas!S93="","",IF(Atletas!W93&lt;&gt;"",10000,0)+IF(Atletas!B93="Feminino",1000,IF(Atletas!B93="Masculino",2000,""))+IF(Atletas!S93="Arma Dupla A",801,IF(Atletas!S93="Arma Maleável A",802,IF(Atletas!S93="Arma Dupla B",803,IF(Atletas!S93="Arma Maleável B",804,IF(Atletas!S93="Arma Dupla C",805,IF(Atletas!S93="Arma Maleável C",806,IF(Atletas!S93="Arma Dupla D",807,IF(Atletas!S93="Arma Maleável D",808,IF(Atletas!S93="Arma Dupla E",809,IF(Atletas!S93="Arma Maleável E",810,IF(Atletas!S93="Arma Dupla F",811,IF(Atletas!S93="Arma Maleável F",812, "")))))))))))))</f>
        <v/>
      </c>
      <c r="BV97" s="52" t="str">
        <f>IF(Atletas!T93="","",IF(Atletas!W93&lt;&gt;"",10000,0)+IF(Atletas!B93="Feminino",1000,IF(Atletas!B93="Masculino",2000,""))+IF(Atletas!T93="Taijijian Yang A",901,IF(Atletas!T93="Taijijian Chen A",902,IF(Atletas!T93="Taijijian Sun A",903,IF(Atletas!T93="Taijijian Wu A",904,IF(Atletas!T93="Taijijian Wu-Hao A",905,IF(Atletas!T93="Taijijian 32 A",906,IF(Atletas!T93="Taijijian 42 A",907,IF(Atletas!T93="Taijijian Yang B",908,IF(Atletas!T93="Taijijian Chen B",909,IF(Atletas!T93="Taijijian Sun B",910,IF(Atletas!T93="Taijijian Wu B",911,IF(Atletas!T93="Taijijian Wu-Hao B",912,IF(Atletas!T93="Taijijian 32 B",913,IF(Atletas!T93="Taijijian 42 B",914,IF(Atletas!T93="Taijijian Yang C",915,IF(Atletas!T93="Taijijian Chen C",916,IF(Atletas!T93="Taijijian Sun C",917,IF(Atletas!T93="Taijijian Wu C",918,IF(Atletas!T93="Taijijian Wu-Hao C",919,IF(Atletas!T93="Taijijian 32 C",920,IF(Atletas!T93="Taijijian 42 C",921,IF(Atletas!T93="Taijijian Yang D",922,IF(Atletas!T93="Taijijian Chen D",923,IF(Atletas!T93="Taijijian Sun D",924,IF(Atletas!T93="Taijijian Wu D",925,IF(Atletas!T93="Taijijian Wu-Hao D",926,IF(Atletas!T93="Taijijian 32 D",927,IF(Atletas!T93="Taijijian 42 D",928,IF(Atletas!T93="Taijijian Yang E",929,IF(Atletas!T93="Taijijian Chen E",930,IF(Atletas!T93="Taijijian Sun E",931,IF(Atletas!T93="Taijijian Wu E",932,IF(Atletas!T93="Taijijian Wu-Hao E",933,IF(Atletas!T93="Taijijian 32 E",934,IF(Atletas!T93="Taijijian 42 E",935,IF(Atletas!T93="Taijijian Yang F",936,IF(Atletas!T93="Taijijian Chen F",937,IF(Atletas!T93="Taijijian Sun F",938,IF(Atletas!T93="Taijijian Wu F",939,IF(Atletas!T93="Taijijian Wu-Hao F",940,IF(Atletas!T93="Taijijian 32 F",941,IF(Atletas!T93="Taijijian 42 F",942,"")))))))))))))))))))))))))))))))))))))))))))</f>
        <v/>
      </c>
      <c r="BW97" s="52" t="str">
        <f>IF(Atletas!U93="","",IF(Atletas!W93&lt;&gt;"",10000,0)+IF(Atletas!B93="Feminino",1000,IF(Atletas!B93="Masculino",2000,""))+IF(Atletas!T93="Taijijian 42 F",942,IF(Atletas!U93="Taijidao A",943,IF(Atletas!U93="Taijishan A",944,IF(Atletas!U93="Taijiqiang A",945,IF(Atletas!U93="Taijidao B",946,IF(Atletas!U93="Taijishan B",947,IF(Atletas!U93="Taijiqiang B",948,IF(Atletas!U93="Taijidao C",949,IF(Atletas!U93="Taijishan C",950,IF(Atletas!U93="Taijiqiang C",951,IF(Atletas!U93="Taijidao D",952,IF(Atletas!U93="Taijishan D",953,IF(Atletas!U93="Taijiqiang D",954,IF(Atletas!U93="Taijidao E",955,IF(Atletas!U93="Taijishan E",956,IF(Atletas!U93="Taijiqiang E",957,IF(Atletas!U93="Taijidao F",958,IF(Atletas!U93="Taijishan F",959,IF(Atletas!U93="Taijiqiang F",960))))))))))))))))))))</f>
        <v/>
      </c>
      <c r="BX97" s="64" t="str">
        <f>IF(BY97&lt;&gt;"","Tanglangquan E","")</f>
        <v/>
      </c>
      <c r="BY97" s="64" t="str">
        <f>IF(COUNTIF(BK:BW,1161)&gt;0,COUNTIF(BK:BW,1161),"")</f>
        <v/>
      </c>
      <c r="BZ97" s="64" t="str">
        <f>IF(CA97&lt;&gt;"","Tanglangquan E","")</f>
        <v/>
      </c>
      <c r="CA97" s="64" t="str">
        <f>IF(COUNTIF(BK:BW,2161)&gt;0,COUNTIF(BK:BW,2161),"")</f>
        <v/>
      </c>
      <c r="CB97" s="64" t="str">
        <f>IF(CC97&lt;&gt;"","Tanglangquan E","")</f>
        <v/>
      </c>
      <c r="CC97" s="64" t="str">
        <f>IF(COUNTIF(BK:BW,11161)&gt;0,COUNTIF(BK:BW,11161),"")</f>
        <v/>
      </c>
      <c r="CD97" s="64" t="str">
        <f>IF(CE97&lt;&gt;"","Tanglangquan E","")</f>
        <v/>
      </c>
      <c r="CE97" s="64" t="str">
        <f>IF(COUNTIF(BK:BW,12161)&gt;0,COUNTIF(BK:BW,12161),"")</f>
        <v/>
      </c>
      <c r="CF97" s="52" t="str">
        <f xml:space="preserve"> IF(Atletas!V93="","",IF(Atletas!V93="Duilian de Mãos AB - Equipe 1",1,IF(Atletas!V93="Duilian de Mãos AB - Equipe 2",2,IF(Atletas!V93="Duilian de Armas AB - Equipe 1",3,IF(Atletas!V93="Duilian de Armas AB - Equipe 2",4,IF(Atletas!V93="Duilian de Tuishou - Equipe 1",5,IF(Atletas!V93="Duilian de Tuishou - Equipe 2",6,IF(Atletas!V93="Grupo Externo AB - Equipe 1",7,IF(Atletas!V93="Grupo Externo AB - Equipe 2",8,IF(Atletas!V93="Grupo Interno AB - Equipe 1",9,IF(Atletas!V93="Grupo Interno AB - Equipe 2",10,IF(Atletas!V93="Duilian de Mãos CD - Equipe 1",11,IF(Atletas!V93="Duilian de Mãos CD - Equipe 2",12,IF(Atletas!V93="Duilian de Armas CD - Equipe 1",13,IF(Atletas!V93="Duilian de Armas CD - Equipe 2",14,IF(Atletas!V93="Duilian de Tuishou - Equipe 1",15,IF(Atletas!V93="Duilian de Tuishou - Equipe 2",16,IF(Atletas!V93="Grupo Externo CDEF - Equipe 1",17,IF(Atletas!V93="Grupo Externo CDEF - Equipe 2",18,IF(Atletas!V93="Grupo Interno CDEF - Equipe 1",19,IF(Atletas!V93="Grupo Interno CDEF - Equipe 2",20,IF(Atletas!V93="Duilian de Mãos EF - Equipe 1",21,IF(Atletas!V93="Duilian de Mãos EF - Equipe 2",22,IF(Atletas!V93="Duilian de Armas EF - Equipe 1",23,IF(Atletas!V93="Duilian de Armas EF - Equipe 2",24,IF(Atletas!V93="Duilian de Tuishou - Equipe 1",25,IF(Atletas!V93="Duilian de Tuishou - Equipe 2",26,"")))))))))))))))))))))))))))</f>
        <v/>
      </c>
    </row>
    <row r="98" spans="2:84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 t="str">
        <f t="array" ref="V98">IFERROR(INDEX(BX$7:BX$336,SMALL(IF(BX$7:BX$336&lt;&gt;"",ROW(BX$7:BX$336)-ROW(BX$7)+1),ROWS(BX$7:BX97))),"")</f>
        <v/>
      </c>
      <c r="W98" s="4" t="str">
        <f t="array" ref="W98">IFERROR(INDEX(BY$7:BY$336,SMALL(IF(BY$7:BY$336&lt;&gt;"",ROW(BY$7:BY$336)-ROW(BY$7)+1),ROWS(BY$7:BY97))),"")</f>
        <v/>
      </c>
      <c r="X98" s="4" t="str">
        <f t="array" ref="X98">IFERROR(INDEX(BZ$7:BZ$336,SMALL(IF(BZ$7:BZ$336&lt;&gt;"",ROW(BZ$7:BZ$336)-ROW(BZ$7)+1),ROWS(BZ$7:BZ97))),"")</f>
        <v/>
      </c>
      <c r="Y98" s="4" t="str">
        <f t="array" ref="Y98">IFERROR(INDEX(CA$7:CA$336,SMALL(IF(CA$7:CA$336&lt;&gt;"",ROW(CA$7:CA$336)-ROW(CA$7)+1),ROWS(CA$7:CA97))),"")</f>
        <v/>
      </c>
      <c r="Z98" s="4" t="str">
        <f t="array" ref="Z98">IFERROR(INDEX(CB$7:CB$378,SMALL(IF(CB$7:CB$378&lt;&gt;"",ROW(CB$7:CB$378)-ROW(CB$7)+1),ROWS(CB$7:CB97))),"")</f>
        <v/>
      </c>
      <c r="AA98" s="4" t="str">
        <f t="array" ref="AA98">IFERROR(INDEX(CC$7:CC$378,SMALL(IF(CC$7:CC$378&lt;&gt;"",ROW(CC$7:CC$378)-ROW(CC$7)+1),ROWS(CC$7:CC97))),"")</f>
        <v/>
      </c>
      <c r="AB98" s="4" t="str">
        <f t="array" ref="AB98">IFERROR(INDEX(CD$7:CD$378,SMALL(IF(CD$7:CD$378&lt;&gt;"",ROW(CD$7:CD$378)-ROW(CD$7)+1),ROWS(CD$7:CD97))),"")</f>
        <v/>
      </c>
      <c r="AC98" s="4" t="str">
        <f t="array" ref="AC98">IFERROR(INDEX(CE$7:CE$378,SMALL(IF(CE$7:CE$378&lt;&gt;"",ROW(CE$7:CE$378)-ROW(CE$7)+1),ROWS(CE$7:CE97))),"")</f>
        <v/>
      </c>
      <c r="AD98" s="4"/>
      <c r="AE98" s="4"/>
      <c r="AF98" s="4"/>
      <c r="AG98" s="4"/>
      <c r="AH98" s="4"/>
      <c r="AI98" s="4"/>
      <c r="AJ98" s="46" t="str">
        <f>IF(Atletas!D94="","",IF(Atletas!B94="Feminino",100,IF(Atletas!B94="Masculino",200,""))+(IF(Atletas!D94="Infantil 39kg",1,IF(Atletas!D94="Infantil 42kg",2,IF(Atletas!D94="Infantil 45kg",3,IF(Atletas!D94="Infantil 48kg",4,IF(Atletas!D94="Infantil 52kg",5,IF(Atletas!D94="Infantil 56kg",6,IF(Atletas!D94="Infantil 60kg",7,IF(Atletas!D94="Juvenil 48kg",8,IF(Atletas!D94="Juvenil 52kg",9,IF(Atletas!D94="Juvenil 56kg",10,IF(Atletas!D94="Juvenil 60kg",11,IF(Atletas!D94="Juvenil 65kg",12,IF(Atletas!D94="Juvenil 70kg",13,IF(Atletas!D94="Juvenil 75kg",14,IF(Atletas!D94="Juvenil 80kg",15,IF(Atletas!D94="Adulto 48kg",16,IF(Atletas!D94="Adulto 52kg",17,IF(Atletas!D94="Adulto 56kg",18,IF(Atletas!D94="Adulto 60kg",19,IF(Atletas!D94="Adulto 65kg",20,IF(Atletas!D94="Adulto 70kg",21,IF(Atletas!D94="Adulto 75kg",22,IF(Atletas!D94="Adulto 80kg",23,IF(Atletas!D94="Adulto 85kg",24,IF(Atletas!D94="Adulto 90kg",25,IF(Atletas!D94="Adulto +90kg",26,""))))))))))))))))))))))))))))</f>
        <v/>
      </c>
      <c r="AO98" s="10" t="str">
        <f>IF(Atletas!E94="","",IF(Atletas!B94="Feminino",100,IF(Atletas!B94="Masculino",200,""))+(IF(Atletas!E94="Juvenil 44kg",1,IF(Atletas!E94="Juvenil 48kg",2,IF(Atletas!E94="Juvenil 52kg",3,IF(Atletas!E94="Juvenil 56kg",4,IF(Atletas!E94="Juvenil 60kg",5,IF(Atletas!E94="Juvenil 65kg",6,IF(Atletas!E94="Juvenil 70kg",7,IF(Atletas!E94="Juvenil 75kg",8,IF(Atletas!E94="Juvenil 82kg",9,IF(Atletas!E94="Juvenil 90kg",10,IF(Atletas!E94="Juvenil 100kg",11,IF(Atletas!E94="Adulto 48kg",12,IF(Atletas!E94="Adulto 52kg",13,IF(Atletas!E94="Adulto 56kg",14,IF(Atletas!E94="Adulto 60kg",15,IF(Atletas!E94="Adulto 65kg",16,IF(Atletas!E94="Adulto 70kg",17,IF(Atletas!E94="Adulto 75kg",18,IF(Atletas!E94="Adulto 82kg",19,IF(Atletas!E94="Adulto 90kg",20,IF(Atletas!E94="Adulto 100kg",21,IF(Atletas!E94="Adulto +100kg",22,""))))))))))))))))))))))))</f>
        <v/>
      </c>
      <c r="AT98" s="10" t="str">
        <f>IF(Atletas!F94="","",IF(Atletas!B94="Feminino",100,IF(Atletas!B94="Masculino",200,""))+(IF(Atletas!F94="Adulto 48kg",1,IF(Atletas!F94="Adulto 56kg",2,IF(Atletas!F94="Adulto 65kg",3,IF(Atletas!F94="Adulto 75kg",4,IF(Atletas!F94="Adulto +75kg",5,IF(Atletas!F94="Adulto 52kg",6,IF(Atletas!F94="Adulto 60kg",7,IF(Atletas!F94="Adulto 70kg",8,IF(Atletas!F94="Adulto 80kg",9,IF(Atletas!F94="Adulto 90kg",10,IF(Atletas!F94="Adulto +90kg",11,"")))))))))))))</f>
        <v/>
      </c>
      <c r="AY98" s="46" t="str">
        <f>IF(Atletas!G94="","",IF(Atletas!B94="Feminino",100,IF(Atletas!B94="Masculino",200,""))+(IF(Atletas!G94="Changquan Mirim",1,IF(Atletas!G94="Nanquan Mirim",2,IF(Atletas!G94="Taijiquan Mirim",3,IF(Atletas!G94="Changquan Grupo C",4,IF(Atletas!G94="Nanquan Grupo C",5,IF(Atletas!G94="Taijiquan Grupo C",6,IF(Atletas!G94="Changquan Grupo B",7,IF(Atletas!G94="Nanquan Grupo B",8,IF(Atletas!G94="Taijiquan Grupo B",9,IF(Atletas!G94="Changquan Grupo A",10,IF(Atletas!G94="Nanquan Grupo A",11,IF(Atletas!G94="Taijiquan Grupo A",12,IF(Atletas!G94="Changquan Opcional",13,IF(Atletas!G94="Nanquan Opcional",14,IF(Atletas!G94="Taijiquan Opcional",15,IF(Atletas!G94="Changquan Adulto",16,IF(Atletas!G94="Nanquan Adulto",17,IF(Atletas!G94="Taijiquan Adulto",18,""))))))))))))))))))))</f>
        <v/>
      </c>
      <c r="AZ98" s="46" t="str">
        <f>IF(Atletas!H94="","",IF(Atletas!B94="Feminino",100,IF(Atletas!B94="Masculino",200,""))+(IF(Atletas!H94="Daoshu Mirim",19,IF(Atletas!H94="Jianshu Mirim",20,IF(Atletas!H94="Nandao Mirim",21,IF(Atletas!H94="Taijijian Mirim",22,IF(Atletas!H94="Daoshu Grupo C",23,IF(Atletas!H94="Jianshu Grupo C",24,IF(Atletas!H94="Nandao Grupo C",25,IF(Atletas!H94="Taijijian Grupo C",26,IF(Atletas!H94="Daoshu Grupo B",27,IF(Atletas!H94="Jianshu Grupo B",28,IF(Atletas!H94="Nandao Grupo B",29,IF(Atletas!H94="Taijijian Grupo B",30,IF(Atletas!H94="Daoshu Grupo A",31,IF(Atletas!H94="Jianshu Grupo A",32,IF(Atletas!H94="Nandao Grupo A",33,IF(Atletas!H94="Taijijian Grupo A",34,IF(Atletas!H94="Daoshu Opcional",35,IF(Atletas!H94="Jianshu Opcional",36,IF(Atletas!H94="Nandao Opcional",37,IF(Atletas!H94="Taijijian Opcional",38,IF(Atletas!H94="Daoshu Adulto",39,IF(Atletas!H94="Jianshu Adulto",40,IF(Atletas!H94="Nandao Adulto",41,IF(Atletas!H94="Taijijian Adulto",42,""))))))))))))))))))))))))))</f>
        <v/>
      </c>
      <c r="BA98" s="46" t="str">
        <f>IF(Atletas!I94="","",IF(Atletas!B94="Feminino",100,IF(Atletas!B94="Masculino",200,""))+(IF(Atletas!I94="Gunshu Mirim",43,IF(Atletas!I94="Qiangshu Mirim",44,IF(Atletas!I94="Nangun Mirim",45,IF(Atletas!I94="Gunshu Grupo C",46,IF(Atletas!I94="Qiangshu Grupo C",47,IF(Atletas!I94="Nangun Grupo C",48,IF(Atletas!I94="Gunshu Grupo B",49,IF(Atletas!I94="Qiangshu Grupo B",50,IF(Atletas!I94="Nangun Grupo B",51,IF(Atletas!I94="Gunshu Grupo A",52,IF(Atletas!I94="Qiangshu Grupo A",53,IF(Atletas!I94="Nangun Grupo A",54,IF(Atletas!I94="Gunshu Opcional",55,IF(Atletas!I94="Qiangshu Opcional",56,IF(Atletas!I94="Nangun Opcional",57,IF(Atletas!I94="Gunshu Adulto",58,IF(Atletas!I94="Qiangshu Adulto",59,IF(Atletas!I94="Nangun Adulto",60,""))))))))))))))))))))</f>
        <v/>
      </c>
      <c r="BF98" s="52" t="str">
        <f>IF(Atletas!J94="","",IF(Atletas!B94="Feminino",100,IF(Atletas!B94="Masculino",200,""))+(IF(Atletas!J94="Equipe 1 Grupo B",1,IF(Atletas!J94="Equipe 2 Grupo B",2,IF(Atletas!J94="Equipe 1 Grupo A",3,IF(Atletas!J94="Equipe 2 Grupo A",4,IF(Atletas!J94="Equipe 1 Adulto",5,IF(Atletas!J94="Equipe 2 Adulto",6,""))))))))</f>
        <v/>
      </c>
      <c r="BK98" s="52" t="str">
        <f>IF(Atletas!K94="","",IF(Atletas!W94&lt;&gt;"",10000,0)+(IF(Atletas!B94="Feminino",1000,IF(Atletas!B94="Masculino",2000,""))+IF(Atletas!K94="Choylayfut A",1,IF(Atletas!K94="Hunggar A",2,IF(Atletas!K94="Wuzuquan A",3,IF(Atletas!K94="Wingchun A",4,IF(Atletas!K94="Outra Mão de Sul A",5,IF(Atletas!K94="Choylayfut B",6,IF(Atletas!K94="Hunggar B",7,IF(Atletas!K94="Wuzuquan B",8,IF(Atletas!K94="Wingchun B",9,IF(Atletas!K94="Outra Mão de Sul B",10,IF(Atletas!K94="Choylayfut C",11,IF(Atletas!K94="Hunggar C",12,IF(Atletas!K94="Wuzuquan C",13,IF(Atletas!K94="Wingchun C",14,IF(Atletas!K94="Outra Mão de Sul C",15,IF(Atletas!K94="Choylayfut D",16,IF(Atletas!K94="Hunggar D",17,IF(Atletas!K94="Wuzuquan D",18,IF(Atletas!K94="Wingchun D",19,IF(Atletas!K94="Outra Mão de Sul D",20,IF(Atletas!K94="Choylayfut E",21,IF(Atletas!K94="Hunggar E",22,IF(Atletas!K94="Wuzuquan E",23,IF(Atletas!K94="Wingchun E",24,IF(Atletas!K94="Outra Mão de Sul E",25,IF(Atletas!K94="Choylayfut F",26,IF(Atletas!K94="Hunggar F",27,IF(Atletas!K94="Wuzuquan F",28,IF(Atletas!K94="Wingchun F",29,IF(Atletas!K94="Outra Mão de Sul F",30,""))))))))))))))))))))))))))))))))</f>
        <v/>
      </c>
      <c r="BL98" s="52" t="str">
        <f>IF(Atletas!L94="","",IF(Atletas!W94&lt;&gt;"",10000,0)+(IF(Atletas!B94="Feminino",1000,IF(Atletas!B94="Masculino",2000,""))+(IF(Atletas!L94="Chaquan A",101,IF(Atletas!L94="Emeiquan A",102,IF(Atletas!L94="Fanziquan A",103,IF(Atletas!L94="Huaquan A",104,IF(Atletas!L94="Hongquan A",105,IF(Atletas!L94="Paochui A",106,IF(Atletas!L94="Piguaquan A",107,IF(Atletas!L94="Shaolinquan A",108,IF(Atletas!L94="Tanglangquan A",109,IF(Atletas!L94="Yinzhaophai A",110,IF(Atletas!L94="Tongbeiquan A",111,IF(Atletas!L94="Wudangquan A",112,IF(Atletas!L94="Outros Estilos A",113,IF(Atletas!L94="Chaquan B",114,IF(Atletas!L94="Emeiquan B",115,IF(Atletas!L94="Fanziquan B",116,IF(Atletas!L94="Huaquan B",117,IF(Atletas!L94="Hongquan B",118,IF(Atletas!L94="Paochui B",119,IF(Atletas!L94="Piguaquan B",120,IF(Atletas!L94="Shaolinquan B",121,IF(Atletas!L94="Tanglangquan B",122,IF(Atletas!L94="Yinzhaophai B",123,IF(Atletas!L94="Tongbeiquan B",124,IF(Atletas!L94="Wudangquan B",125,IF(Atletas!L94="Outros Estilos B",126,IF(Atletas!L94="Chaquan C",127,IF(Atletas!L94="Emeiquan C",128,IF(Atletas!L94="Fanziquan C",129,IF(Atletas!L94="Huaquan C",130,IF(Atletas!L94="Hongquan C",131,IF(Atletas!L94="Paochui C",132,IF(Atletas!L94="Piguaquan C",133,IF(Atletas!L94="Shaolinquan C",134,IF(Atletas!L94="Tanglangquan C",135,IF(Atletas!L94="Yinzhaophai C",136,IF(Atletas!L94="Tongbeiquan C",137,IF(Atletas!L94="Wudangquan C",138,IF(Atletas!L94="Outros Estilos C",139,0))))))))))))))))))))))))))))))))))))))))))</f>
        <v/>
      </c>
      <c r="BM98" s="52" t="str">
        <f>IF(Atletas!L94="","",IF(Atletas!W94&lt;&gt;"",10000,0)+(IF(Atletas!B94="Feminino",1000,IF(Atletas!B94="Masculino",2000,""))+(IF(Atletas!L94="Chaquan D",140,IF(Atletas!L94="Emeiquan D",141,IF(Atletas!L94="Fanziquan D",142,IF(Atletas!L94="Huaquan D",143,IF(Atletas!L94="Hongquan D",144,IF(Atletas!L94="Paochui D",145,IF(Atletas!L94="Piguaquan D",146,IF(Atletas!L94="Shaolinquan D",147,IF(Atletas!L94="Tanglangquan D",148,IF(Atletas!L94="Yinzhaophai D",149,IF(Atletas!L94="Tongbeiquan D",150,IF(Atletas!L94="Wudangquan D",151,IF(Atletas!L94="Outros Estilos D",152,IF(Atletas!L94="Chaquan E",153,IF(Atletas!L94="Emeiquan E",154,IF(Atletas!L94="Fanziquan E",155,IF(Atletas!L94="Huaquan E",156,IF(Atletas!L94="Hongquan E",157,IF(Atletas!L94="Paochui E",158,IF(Atletas!L94="Piguaquan E",159,IF(Atletas!L94="Shaolinquan E",160,IF(Atletas!L94="Tanglangquan E",161,IF(Atletas!L94="Yinzhaophai E",162,IF(Atletas!L94="Tongbeiquan E",163,IF(Atletas!L94="Wudangquan E",164,IF(Atletas!L94="Outros Estilos E",165,IF(Atletas!L94="Chaquan F",166,IF(Atletas!L94="Emeiquan F",167,IF(Atletas!L94="Fanziquan F",168,IF(Atletas!L94="Huaquan F",169,IF(Atletas!L94="Hongquan F",170,IF(Atletas!L94="Paochui F",171,IF(Atletas!L94="Piguaquan F",172,IF(Atletas!L94="Shaolinquan F",173,IF(Atletas!L94="Tanglangquan F",174,IF(Atletas!L94="Yinzhaophai F",175,IF(Atletas!L94="Tongbeiquan F",176,IF(Atletas!L94="Wudangquan F",177,IF(Atletas!L94="Outros Estilos F",178,0))))))))))))))))))))))))))))))))))))))))))</f>
        <v/>
      </c>
      <c r="BN98" s="52" t="str">
        <f>IF(Atletas!M94="","",IF(Atletas!W94&lt;&gt;"",10000,0)+(IF(Atletas!B94="Feminino",1000,IF(Atletas!B94="Masculino",2000,""))+(IF(Atletas!M94="Ditangquan A",201,IF(Atletas!M94="Houquan A",202,IF(Atletas!M94="Zuiquan A",203,IF(Atletas!M94="Ditangquan B",204,IF(Atletas!M94="Houquan B",205,IF(Atletas!M94="Zuiquan B",206,IF(Atletas!M94="Ditangquan C",207,IF(Atletas!M94="Houquan C",208,IF(Atletas!M94="Zuiquan C",209,IF(Atletas!M94="Ditangquan D",210,IF(Atletas!M94="Houquan D",211,IF(Atletas!M94="Zuiquan D",212,IF(Atletas!M94="Ditangquan E",213,IF(Atletas!M94="Houquan E",214,IF(Atletas!M94="Zuiquan E",215,IF(Atletas!M94="Ditangquan F",216,IF(Atletas!M94="Houquan F",217,IF(Atletas!M94="Zuiquan F",218,"")))))))))))))))))))))</f>
        <v/>
      </c>
      <c r="BO98" s="52" t="str">
        <f>IF(Atletas!N94="","",IF(Atletas!W94&lt;&gt;"",10000,0)+IF(Atletas!B94="Feminino",1000,IF(Atletas!B94="Masculino",2000,""))+IF(Atletas!N94="Yang A",301,IF(Atletas!N94="Chen A",30,IF(Atletas!N94="Sun A",303,IF(Atletas!N94="Wu A",304,IF(Atletas!N94="Wu-Hao A",305,IF(Atletas!N94="Outro Taijiquan A",306,IF(Atletas!N94="Yang B",307,IF(Atletas!N94="Chen B",308,IF(Atletas!N94="Sun B",309,IF(Atletas!N94="Wu B",310,IF(Atletas!N94="Wu-Hao B",311,IF(Atletas!N94="Outro Taijiquan B",312,IF(Atletas!N94="Yang C",313,IF(Atletas!N94="Chen C",314,IF(Atletas!N94="Sun C",315,IF(Atletas!N94="Wu C",316,IF(Atletas!N94="Wu-Hao C",317,IF(Atletas!N94="Outro Taijiquan C",318,IF(Atletas!N94="Yang D",319,IF(Atletas!N94="Chen D",320,IF(Atletas!N94="Sun D",321,IF(Atletas!N94="Wu D",322,IF(Atletas!N94="Wu-Hao D",323,IF(Atletas!N94="Outro Taijiquan D",324,IF(Atletas!N94="Yang E",325,IF(Atletas!N94="Chen E",326,IF(Atletas!N94="Sun E",327,IF(Atletas!N94="Wu E",328,IF(Atletas!N94="Wu-Hao E",329,IF(Atletas!N94="Outro Taijiquan E",330,IF(Atletas!N94="Yang F",331,IF(Atletas!N94="Chen F",332,IF(Atletas!N94="Sun F",333,IF(Atletas!N94="Wu F",334,IF(Atletas!N94="Wu-Hao F",335,IF(Atletas!N94="Outro Taijiquan F",336,"")))))))))))))))))))))))))))))))))))))</f>
        <v/>
      </c>
      <c r="BP98" s="52" t="str">
        <f>IF(Atletas!O94="","",IF(Atletas!W94&lt;&gt;"",10000,0)+IF(Atletas!B94="Feminino",1000,IF(Atletas!B94="Masculino",2000,""))+IF(OR(Atletas!O94="Yang 26 A",Atletas!O94="Yang 40 A"),401,IF(OR(Atletas!O94="Chen 25 A",Atletas!O94="Chen 36 A",Atletas!O94="Chen 56 A"),402,IF(Atletas!O94="Sun 73 A",403,IF(Atletas!O94="Wu 45 A",404,IF(Atletas!O94="Wu-Hao 46 A",405,IF(OR(Atletas!O94="Taijiquan 16 A",Atletas!O94="Taijiquan 24 A",Atletas!O94="Taijiquan 32 A",Atletas!O94="Taijiquan 42 A"),406,IF(OR(Atletas!O94="Yang 26 B",Atletas!O94="Yang 40 B"),407,IF(OR(Atletas!O94="Chen 25 B",Atletas!O94="Chen 36 B",Atletas!O94="Chen 56 B"),408,IF(Atletas!O94="Sun 73 B",409,IF(Atletas!O94="Wu 45 B",410,IF(Atletas!O94="Wu-Hao 46 B",411,IF(OR(Atletas!O94="Taijiquan 16 B",Atletas!O94="Taijiquan 24 B",Atletas!O94="Taijiquan 32 B",Atletas!O94="Taijiquan 42 B"),412,IF(OR(Atletas!O94="Yang 26 C",Atletas!O94="Yang 40 C"),413,IF(OR(Atletas!O94="Chen 25 C",Atletas!O94="Chen 36 C",Atletas!O94="Chen 56 C"),414,IF(Atletas!O94="Sun 73 C",415,IF(Atletas!O94="Wu 45 C",416,IF(Atletas!O94="Wu-Hao 46 C",417,IF(OR(Atletas!O94="Taijiquan 16 C",Atletas!O94="Taijiquan 24 C",Atletas!O94="Taijiquan 32 C",Atletas!O94="Taijiquan 42 C"),418,0)))))))))))))))))))</f>
        <v/>
      </c>
      <c r="BQ98" s="52" t="str">
        <f>IF(Atletas!O94="","",IF(Atletas!W94&lt;&gt;"",10000,0)+IF(Atletas!B94="Feminino",1000,IF(Atletas!B94="Masculino",2000,""))+IF(OR(Atletas!O94="Yang 26 D",Atletas!O94="Yang 40 D"),419,IF(OR(Atletas!O94="Chen 25 D",Atletas!O94="Chen 36 D",Atletas!O94="Chen 56 D"),420,IF(Atletas!O94="Sun 73 D",421,IF(Atletas!O94="Wu 45 D",422,IF(Atletas!O94="Wu-Hao 46 D",423,IF(OR(Atletas!O94="Taijiquan 16 D",Atletas!O94="Taijiquan 24 D",Atletas!O94="Taijiquan 32 D",Atletas!O94="Taijiquan 42 D"),424,IF(OR(Atletas!O94="Yang 26 E",Atletas!O94="Yang 40 E"),425,IF(OR(Atletas!O94="Chen 25 E",Atletas!O94="Chen 36 E",Atletas!O94="Chen 56 E"),426,IF(Atletas!O94="Sun 73 E",427,IF(Atletas!O94="Wu 45 E",428,IF(Atletas!O94="Wu-Hao 46 E",429,IF(OR(Atletas!O94="Taijiquan 16 E",Atletas!O94="Taijiquan 24 E",Atletas!O94="Taijiquan 32 E",Atletas!O94="Taijiquan 42 E"),430,IF(OR(Atletas!O94="Yang 26 F",Atletas!O94="Yang 40 F"),431,IF(OR(Atletas!O94="Chen 25 F",Atletas!O94="Chen 36 F",Atletas!O94="Chen 56 F"),432,IF(Atletas!O94="Sun 73 F",433,IF(Atletas!O94="Wu 45 F",434,IF(Atletas!O94="Wu-Hao 46 F",435,IF(OR(Atletas!O94="Taijiquan 16 F",Atletas!O94="Taijiquan 24 F",Atletas!O94="Taijiquan 32 F",Atletas!O94="Taijiquan 42 F"),436,0)))))))))))))))))))</f>
        <v/>
      </c>
      <c r="BR98" s="52" t="str">
        <f>IF(Atletas!P94="","",IF(Atletas!W94&lt;&gt;"",10000,0)+IF(Atletas!B94="Feminino",1000,IF(Atletas!B94="Masculino",2000,""))+IF(Atletas!P94="Xingyiquan A",501,IF(Atletas!P94="Baguazhang A",502,IF(Atletas!P94="Outro Estilo Interno A",503,IF(Atletas!P94="Xingyiquan B",504,IF(Atletas!P94="Baguazhang B",505,IF(Atletas!P94="Outro Estilo Interno B",506,IF(Atletas!P94="Xingyiquan C",507,IF(Atletas!P94="Baguazhang C",508,IF(Atletas!P94="Outro Estilo Interno C",509,IF(Atletas!P94="Xingyiquan D",510,IF(Atletas!P94="Baguazhang D",511,IF(Atletas!P94="Outro Estilo Interno D",512,IF(Atletas!P94="Xingyiquan E",513,IF(Atletas!P94="Baguazhang E",514,IF(Atletas!P94="Outro Estilo Interno E",515,IF(Atletas!P94="Xingyiquan F",516,IF(Atletas!P94="Baguazhang F",517,IF(Atletas!P94="Outro Estilo Interno F",518, "")))))))))))))))))))</f>
        <v/>
      </c>
      <c r="BS98" s="52" t="str">
        <f>IF(Atletas!Q94="","",IF(Atletas!W94&lt;&gt;"",10000,0)+IF(Atletas!B94="Feminino",1000,IF(Atletas!B94="Masculino",2000,""))+IF(Atletas!Q94="Dao A",601,IF(Atletas!Q94="Jian A",602,IF(Atletas!Q94="Bishou A",603,IF(Atletas!Q94="Shan A",604,IF(Atletas!Q94="Outra Arma Curta A",605,IF(Atletas!Q94="Dao B",606,IF(Atletas!Q94="Jian B",607,IF(Atletas!Q94="Bishou B",608,IF(Atletas!Q94="Shan B",609,IF(Atletas!Q94="Outra Arma Curta B",610,IF(Atletas!Q94="Dao C",611,IF(Atletas!Q94="Jian C",612,IF(Atletas!Q94="Bishou C",613,IF(Atletas!Q94="Shan C",614,IF(Atletas!Q94="Outra Arma Curta C",615,IF(Atletas!Q94="Dao D",616,IF(Atletas!Q94="Jian D",617,IF(Atletas!Q94="Bishou D",618,IF(Atletas!Q94="Shan D",619,IF(Atletas!Q94="Outra Arma Curta D",620,IF(Atletas!Q94="Dao E",621,IF(Atletas!Q94="Jian E",622,IF(Atletas!Q94="Bishou E",623,IF(Atletas!Q94="Shan E",624,IF(Atletas!Q94="Outra Arma Curta E",625,IF(Atletas!Q94="Dao F",626,IF(Atletas!Q94="Jian F",627,IF(Atletas!Q94="Bishou F",628,IF(Atletas!Q94="Shan F",629,IF(Atletas!Q94="Outra Arma Curta F",630, "")))))))))))))))))))))))))))))))</f>
        <v/>
      </c>
      <c r="BT98" s="52" t="str">
        <f>IF(Atletas!R94="","",IF(Atletas!W94&lt;&gt;"",10000,0)+IF(Atletas!B94="Feminino",1000,IF(Atletas!B94="Masculino",2000,""))+IF(Atletas!R94="Gun A",701,IF(Atletas!R94="Qiang A",702,IF(Atletas!R94="Pudao / Guandao A",703,IF(Atletas!R94="Outra Arma Longa A",704,IF(Atletas!R94="Gun B",705,IF(Atletas!R94="Qiang B",706,IF(Atletas!R94="Pudao / Guandao B",707,IF(Atletas!R94="Outra Arma Longa B",708,IF(Atletas!R94="Gun C",709,IF(Atletas!R94="Qiang C",710,IF(Atletas!R94="Pudao / Guandao C",711,IF(Atletas!R94="Outra Arma Longa C",712,IF(Atletas!R94="Gun D",713,IF(Atletas!R94="Qiang D",714,IF(Atletas!R94="Pudao / Guandao D",715,IF(Atletas!R94="Outra Arma Longa D",716,IF(Atletas!R94="Gun E",717,IF(Atletas!R94="Qiang E",718,IF(Atletas!R94="Pudao / Guandao E",719,IF(Atletas!R94="Outra Arma Longa E",720,IF(Atletas!R94="Gun F",721,IF(Atletas!R94="Qiang F",722,IF(Atletas!R94="Pudao / Guandao F",723,IF(Atletas!R94="Outra Arma Longa F",724,"")))))))))))))))))))))))))</f>
        <v/>
      </c>
      <c r="BU98" s="52" t="str">
        <f>IF(Atletas!S94="","",IF(Atletas!W94&lt;&gt;"",10000,0)+IF(Atletas!B94="Feminino",1000,IF(Atletas!B94="Masculino",2000,""))+IF(Atletas!S94="Arma Dupla A",801,IF(Atletas!S94="Arma Maleável A",802,IF(Atletas!S94="Arma Dupla B",803,IF(Atletas!S94="Arma Maleável B",804,IF(Atletas!S94="Arma Dupla C",805,IF(Atletas!S94="Arma Maleável C",806,IF(Atletas!S94="Arma Dupla D",807,IF(Atletas!S94="Arma Maleável D",808,IF(Atletas!S94="Arma Dupla E",809,IF(Atletas!S94="Arma Maleável E",810,IF(Atletas!S94="Arma Dupla F",811,IF(Atletas!S94="Arma Maleável F",812, "")))))))))))))</f>
        <v/>
      </c>
      <c r="BV98" s="52" t="str">
        <f>IF(Atletas!T94="","",IF(Atletas!W94&lt;&gt;"",10000,0)+IF(Atletas!B94="Feminino",1000,IF(Atletas!B94="Masculino",2000,""))+IF(Atletas!T94="Taijijian Yang A",901,IF(Atletas!T94="Taijijian Chen A",902,IF(Atletas!T94="Taijijian Sun A",903,IF(Atletas!T94="Taijijian Wu A",904,IF(Atletas!T94="Taijijian Wu-Hao A",905,IF(Atletas!T94="Taijijian 32 A",906,IF(Atletas!T94="Taijijian 42 A",907,IF(Atletas!T94="Taijijian Yang B",908,IF(Atletas!T94="Taijijian Chen B",909,IF(Atletas!T94="Taijijian Sun B",910,IF(Atletas!T94="Taijijian Wu B",911,IF(Atletas!T94="Taijijian Wu-Hao B",912,IF(Atletas!T94="Taijijian 32 B",913,IF(Atletas!T94="Taijijian 42 B",914,IF(Atletas!T94="Taijijian Yang C",915,IF(Atletas!T94="Taijijian Chen C",916,IF(Atletas!T94="Taijijian Sun C",917,IF(Atletas!T94="Taijijian Wu C",918,IF(Atletas!T94="Taijijian Wu-Hao C",919,IF(Atletas!T94="Taijijian 32 C",920,IF(Atletas!T94="Taijijian 42 C",921,IF(Atletas!T94="Taijijian Yang D",922,IF(Atletas!T94="Taijijian Chen D",923,IF(Atletas!T94="Taijijian Sun D",924,IF(Atletas!T94="Taijijian Wu D",925,IF(Atletas!T94="Taijijian Wu-Hao D",926,IF(Atletas!T94="Taijijian 32 D",927,IF(Atletas!T94="Taijijian 42 D",928,IF(Atletas!T94="Taijijian Yang E",929,IF(Atletas!T94="Taijijian Chen E",930,IF(Atletas!T94="Taijijian Sun E",931,IF(Atletas!T94="Taijijian Wu E",932,IF(Atletas!T94="Taijijian Wu-Hao E",933,IF(Atletas!T94="Taijijian 32 E",934,IF(Atletas!T94="Taijijian 42 E",935,IF(Atletas!T94="Taijijian Yang F",936,IF(Atletas!T94="Taijijian Chen F",937,IF(Atletas!T94="Taijijian Sun F",938,IF(Atletas!T94="Taijijian Wu F",939,IF(Atletas!T94="Taijijian Wu-Hao F",940,IF(Atletas!T94="Taijijian 32 F",941,IF(Atletas!T94="Taijijian 42 F",942,"")))))))))))))))))))))))))))))))))))))))))))</f>
        <v/>
      </c>
      <c r="BW98" s="52" t="str">
        <f>IF(Atletas!U94="","",IF(Atletas!W94&lt;&gt;"",10000,0)+IF(Atletas!B94="Feminino",1000,IF(Atletas!B94="Masculino",2000,""))+IF(Atletas!T94="Taijijian 42 F",942,IF(Atletas!U94="Taijidao A",943,IF(Atletas!U94="Taijishan A",944,IF(Atletas!U94="Taijiqiang A",945,IF(Atletas!U94="Taijidao B",946,IF(Atletas!U94="Taijishan B",947,IF(Atletas!U94="Taijiqiang B",948,IF(Atletas!U94="Taijidao C",949,IF(Atletas!U94="Taijishan C",950,IF(Atletas!U94="Taijiqiang C",951,IF(Atletas!U94="Taijidao D",952,IF(Atletas!U94="Taijishan D",953,IF(Atletas!U94="Taijiqiang D",954,IF(Atletas!U94="Taijidao E",955,IF(Atletas!U94="Taijishan E",956,IF(Atletas!U94="Taijiqiang E",957,IF(Atletas!U94="Taijidao F",958,IF(Atletas!U94="Taijishan F",959,IF(Atletas!U94="Taijiqiang F",960))))))))))))))))))))</f>
        <v/>
      </c>
      <c r="BX98" s="64" t="str">
        <f>IF(BY98&lt;&gt;"","Yinzhaophai E","")</f>
        <v/>
      </c>
      <c r="BY98" s="64" t="str">
        <f>IF(COUNTIF(BK:BW,1162)&gt;0,COUNTIF(BK:BW,1162),"")</f>
        <v/>
      </c>
      <c r="BZ98" s="64" t="str">
        <f>IF(CA98&lt;&gt;"","Yinzhaophai E","")</f>
        <v/>
      </c>
      <c r="CA98" s="64" t="str">
        <f>IF(COUNTIF(BK:BW,2162)&gt;0,COUNTIF(BK:BW,2162),"")</f>
        <v/>
      </c>
      <c r="CB98" s="64" t="str">
        <f>IF(CC98&lt;&gt;"","Yinzhaophai E","")</f>
        <v/>
      </c>
      <c r="CC98" s="64" t="str">
        <f>IF(COUNTIF(BK:BW,11162)&gt;0,COUNTIF(BK:BW,11162),"")</f>
        <v/>
      </c>
      <c r="CD98" s="64" t="str">
        <f>IF(CE98&lt;&gt;"","Yinzhaophai E","")</f>
        <v/>
      </c>
      <c r="CE98" s="64" t="str">
        <f>IF(COUNTIF(BK:BW,12162)&gt;0,COUNTIF(BK:BW,12162),"")</f>
        <v/>
      </c>
      <c r="CF98" s="52" t="str">
        <f xml:space="preserve"> IF(Atletas!V94="","",IF(Atletas!V94="Duilian de Mãos AB - Equipe 1",1,IF(Atletas!V94="Duilian de Mãos AB - Equipe 2",2,IF(Atletas!V94="Duilian de Armas AB - Equipe 1",3,IF(Atletas!V94="Duilian de Armas AB - Equipe 2",4,IF(Atletas!V94="Duilian de Tuishou - Equipe 1",5,IF(Atletas!V94="Duilian de Tuishou - Equipe 2",6,IF(Atletas!V94="Grupo Externo AB - Equipe 1",7,IF(Atletas!V94="Grupo Externo AB - Equipe 2",8,IF(Atletas!V94="Grupo Interno AB - Equipe 1",9,IF(Atletas!V94="Grupo Interno AB - Equipe 2",10,IF(Atletas!V94="Duilian de Mãos CD - Equipe 1",11,IF(Atletas!V94="Duilian de Mãos CD - Equipe 2",12,IF(Atletas!V94="Duilian de Armas CD - Equipe 1",13,IF(Atletas!V94="Duilian de Armas CD - Equipe 2",14,IF(Atletas!V94="Duilian de Tuishou - Equipe 1",15,IF(Atletas!V94="Duilian de Tuishou - Equipe 2",16,IF(Atletas!V94="Grupo Externo CDEF - Equipe 1",17,IF(Atletas!V94="Grupo Externo CDEF - Equipe 2",18,IF(Atletas!V94="Grupo Interno CDEF - Equipe 1",19,IF(Atletas!V94="Grupo Interno CDEF - Equipe 2",20,IF(Atletas!V94="Duilian de Mãos EF - Equipe 1",21,IF(Atletas!V94="Duilian de Mãos EF - Equipe 2",22,IF(Atletas!V94="Duilian de Armas EF - Equipe 1",23,IF(Atletas!V94="Duilian de Armas EF - Equipe 2",24,IF(Atletas!V94="Duilian de Tuishou - Equipe 1",25,IF(Atletas!V94="Duilian de Tuishou - Equipe 2",26,"")))))))))))))))))))))))))))</f>
        <v/>
      </c>
    </row>
    <row r="99" spans="2:84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 t="str">
        <f t="array" ref="V99">IFERROR(INDEX(BX$7:BX$336,SMALL(IF(BX$7:BX$336&lt;&gt;"",ROW(BX$7:BX$336)-ROW(BX$7)+1),ROWS(BX$7:BX98))),"")</f>
        <v/>
      </c>
      <c r="W99" s="4" t="str">
        <f t="array" ref="W99">IFERROR(INDEX(BY$7:BY$336,SMALL(IF(BY$7:BY$336&lt;&gt;"",ROW(BY$7:BY$336)-ROW(BY$7)+1),ROWS(BY$7:BY98))),"")</f>
        <v/>
      </c>
      <c r="X99" s="4" t="str">
        <f t="array" ref="X99">IFERROR(INDEX(BZ$7:BZ$336,SMALL(IF(BZ$7:BZ$336&lt;&gt;"",ROW(BZ$7:BZ$336)-ROW(BZ$7)+1),ROWS(BZ$7:BZ98))),"")</f>
        <v/>
      </c>
      <c r="Y99" s="4" t="str">
        <f t="array" ref="Y99">IFERROR(INDEX(CA$7:CA$336,SMALL(IF(CA$7:CA$336&lt;&gt;"",ROW(CA$7:CA$336)-ROW(CA$7)+1),ROWS(CA$7:CA98))),"")</f>
        <v/>
      </c>
      <c r="Z99" s="4" t="str">
        <f t="array" ref="Z99">IFERROR(INDEX(CB$7:CB$378,SMALL(IF(CB$7:CB$378&lt;&gt;"",ROW(CB$7:CB$378)-ROW(CB$7)+1),ROWS(CB$7:CB98))),"")</f>
        <v/>
      </c>
      <c r="AA99" s="4" t="str">
        <f t="array" ref="AA99">IFERROR(INDEX(CC$7:CC$378,SMALL(IF(CC$7:CC$378&lt;&gt;"",ROW(CC$7:CC$378)-ROW(CC$7)+1),ROWS(CC$7:CC98))),"")</f>
        <v/>
      </c>
      <c r="AB99" s="4" t="str">
        <f t="array" ref="AB99">IFERROR(INDEX(CD$7:CD$378,SMALL(IF(CD$7:CD$378&lt;&gt;"",ROW(CD$7:CD$378)-ROW(CD$7)+1),ROWS(CD$7:CD98))),"")</f>
        <v/>
      </c>
      <c r="AC99" s="4" t="str">
        <f t="array" ref="AC99">IFERROR(INDEX(CE$7:CE$378,SMALL(IF(CE$7:CE$378&lt;&gt;"",ROW(CE$7:CE$378)-ROW(CE$7)+1),ROWS(CE$7:CE98))),"")</f>
        <v/>
      </c>
      <c r="AD99" s="4"/>
      <c r="AE99" s="4"/>
      <c r="AF99" s="4"/>
      <c r="AG99" s="4"/>
      <c r="AH99" s="4"/>
      <c r="AI99" s="4"/>
      <c r="AJ99" s="46" t="str">
        <f>IF(Atletas!D95="","",IF(Atletas!B95="Feminino",100,IF(Atletas!B95="Masculino",200,""))+(IF(Atletas!D95="Infantil 39kg",1,IF(Atletas!D95="Infantil 42kg",2,IF(Atletas!D95="Infantil 45kg",3,IF(Atletas!D95="Infantil 48kg",4,IF(Atletas!D95="Infantil 52kg",5,IF(Atletas!D95="Infantil 56kg",6,IF(Atletas!D95="Infantil 60kg",7,IF(Atletas!D95="Juvenil 48kg",8,IF(Atletas!D95="Juvenil 52kg",9,IF(Atletas!D95="Juvenil 56kg",10,IF(Atletas!D95="Juvenil 60kg",11,IF(Atletas!D95="Juvenil 65kg",12,IF(Atletas!D95="Juvenil 70kg",13,IF(Atletas!D95="Juvenil 75kg",14,IF(Atletas!D95="Juvenil 80kg",15,IF(Atletas!D95="Adulto 48kg",16,IF(Atletas!D95="Adulto 52kg",17,IF(Atletas!D95="Adulto 56kg",18,IF(Atletas!D95="Adulto 60kg",19,IF(Atletas!D95="Adulto 65kg",20,IF(Atletas!D95="Adulto 70kg",21,IF(Atletas!D95="Adulto 75kg",22,IF(Atletas!D95="Adulto 80kg",23,IF(Atletas!D95="Adulto 85kg",24,IF(Atletas!D95="Adulto 90kg",25,IF(Atletas!D95="Adulto +90kg",26,""))))))))))))))))))))))))))))</f>
        <v/>
      </c>
      <c r="AO99" s="10" t="str">
        <f>IF(Atletas!E95="","",IF(Atletas!B95="Feminino",100,IF(Atletas!B95="Masculino",200,""))+(IF(Atletas!E95="Juvenil 44kg",1,IF(Atletas!E95="Juvenil 48kg",2,IF(Atletas!E95="Juvenil 52kg",3,IF(Atletas!E95="Juvenil 56kg",4,IF(Atletas!E95="Juvenil 60kg",5,IF(Atletas!E95="Juvenil 65kg",6,IF(Atletas!E95="Juvenil 70kg",7,IF(Atletas!E95="Juvenil 75kg",8,IF(Atletas!E95="Juvenil 82kg",9,IF(Atletas!E95="Juvenil 90kg",10,IF(Atletas!E95="Juvenil 100kg",11,IF(Atletas!E95="Adulto 48kg",12,IF(Atletas!E95="Adulto 52kg",13,IF(Atletas!E95="Adulto 56kg",14,IF(Atletas!E95="Adulto 60kg",15,IF(Atletas!E95="Adulto 65kg",16,IF(Atletas!E95="Adulto 70kg",17,IF(Atletas!E95="Adulto 75kg",18,IF(Atletas!E95="Adulto 82kg",19,IF(Atletas!E95="Adulto 90kg",20,IF(Atletas!E95="Adulto 100kg",21,IF(Atletas!E95="Adulto +100kg",22,""))))))))))))))))))))))))</f>
        <v/>
      </c>
      <c r="AT99" s="10" t="str">
        <f>IF(Atletas!F95="","",IF(Atletas!B95="Feminino",100,IF(Atletas!B95="Masculino",200,""))+(IF(Atletas!F95="Adulto 48kg",1,IF(Atletas!F95="Adulto 56kg",2,IF(Atletas!F95="Adulto 65kg",3,IF(Atletas!F95="Adulto 75kg",4,IF(Atletas!F95="Adulto +75kg",5,IF(Atletas!F95="Adulto 52kg",6,IF(Atletas!F95="Adulto 60kg",7,IF(Atletas!F95="Adulto 70kg",8,IF(Atletas!F95="Adulto 80kg",9,IF(Atletas!F95="Adulto 90kg",10,IF(Atletas!F95="Adulto +90kg",11,"")))))))))))))</f>
        <v/>
      </c>
      <c r="AY99" s="46" t="str">
        <f>IF(Atletas!G95="","",IF(Atletas!B95="Feminino",100,IF(Atletas!B95="Masculino",200,""))+(IF(Atletas!G95="Changquan Mirim",1,IF(Atletas!G95="Nanquan Mirim",2,IF(Atletas!G95="Taijiquan Mirim",3,IF(Atletas!G95="Changquan Grupo C",4,IF(Atletas!G95="Nanquan Grupo C",5,IF(Atletas!G95="Taijiquan Grupo C",6,IF(Atletas!G95="Changquan Grupo B",7,IF(Atletas!G95="Nanquan Grupo B",8,IF(Atletas!G95="Taijiquan Grupo B",9,IF(Atletas!G95="Changquan Grupo A",10,IF(Atletas!G95="Nanquan Grupo A",11,IF(Atletas!G95="Taijiquan Grupo A",12,IF(Atletas!G95="Changquan Opcional",13,IF(Atletas!G95="Nanquan Opcional",14,IF(Atletas!G95="Taijiquan Opcional",15,IF(Atletas!G95="Changquan Adulto",16,IF(Atletas!G95="Nanquan Adulto",17,IF(Atletas!G95="Taijiquan Adulto",18,""))))))))))))))))))))</f>
        <v/>
      </c>
      <c r="AZ99" s="46" t="str">
        <f>IF(Atletas!H95="","",IF(Atletas!B95="Feminino",100,IF(Atletas!B95="Masculino",200,""))+(IF(Atletas!H95="Daoshu Mirim",19,IF(Atletas!H95="Jianshu Mirim",20,IF(Atletas!H95="Nandao Mirim",21,IF(Atletas!H95="Taijijian Mirim",22,IF(Atletas!H95="Daoshu Grupo C",23,IF(Atletas!H95="Jianshu Grupo C",24,IF(Atletas!H95="Nandao Grupo C",25,IF(Atletas!H95="Taijijian Grupo C",26,IF(Atletas!H95="Daoshu Grupo B",27,IF(Atletas!H95="Jianshu Grupo B",28,IF(Atletas!H95="Nandao Grupo B",29,IF(Atletas!H95="Taijijian Grupo B",30,IF(Atletas!H95="Daoshu Grupo A",31,IF(Atletas!H95="Jianshu Grupo A",32,IF(Atletas!H95="Nandao Grupo A",33,IF(Atletas!H95="Taijijian Grupo A",34,IF(Atletas!H95="Daoshu Opcional",35,IF(Atletas!H95="Jianshu Opcional",36,IF(Atletas!H95="Nandao Opcional",37,IF(Atletas!H95="Taijijian Opcional",38,IF(Atletas!H95="Daoshu Adulto",39,IF(Atletas!H95="Jianshu Adulto",40,IF(Atletas!H95="Nandao Adulto",41,IF(Atletas!H95="Taijijian Adulto",42,""))))))))))))))))))))))))))</f>
        <v/>
      </c>
      <c r="BA99" s="46" t="str">
        <f>IF(Atletas!I95="","",IF(Atletas!B95="Feminino",100,IF(Atletas!B95="Masculino",200,""))+(IF(Atletas!I95="Gunshu Mirim",43,IF(Atletas!I95="Qiangshu Mirim",44,IF(Atletas!I95="Nangun Mirim",45,IF(Atletas!I95="Gunshu Grupo C",46,IF(Atletas!I95="Qiangshu Grupo C",47,IF(Atletas!I95="Nangun Grupo C",48,IF(Atletas!I95="Gunshu Grupo B",49,IF(Atletas!I95="Qiangshu Grupo B",50,IF(Atletas!I95="Nangun Grupo B",51,IF(Atletas!I95="Gunshu Grupo A",52,IF(Atletas!I95="Qiangshu Grupo A",53,IF(Atletas!I95="Nangun Grupo A",54,IF(Atletas!I95="Gunshu Opcional",55,IF(Atletas!I95="Qiangshu Opcional",56,IF(Atletas!I95="Nangun Opcional",57,IF(Atletas!I95="Gunshu Adulto",58,IF(Atletas!I95="Qiangshu Adulto",59,IF(Atletas!I95="Nangun Adulto",60,""))))))))))))))))))))</f>
        <v/>
      </c>
      <c r="BF99" s="52" t="str">
        <f>IF(Atletas!J95="","",IF(Atletas!B95="Feminino",100,IF(Atletas!B95="Masculino",200,""))+(IF(Atletas!J95="Equipe 1 Grupo B",1,IF(Atletas!J95="Equipe 2 Grupo B",2,IF(Atletas!J95="Equipe 1 Grupo A",3,IF(Atletas!J95="Equipe 2 Grupo A",4,IF(Atletas!J95="Equipe 1 Adulto",5,IF(Atletas!J95="Equipe 2 Adulto",6,""))))))))</f>
        <v/>
      </c>
      <c r="BK99" s="52" t="str">
        <f>IF(Atletas!K95="","",IF(Atletas!W95&lt;&gt;"",10000,0)+(IF(Atletas!B95="Feminino",1000,IF(Atletas!B95="Masculino",2000,""))+IF(Atletas!K95="Choylayfut A",1,IF(Atletas!K95="Hunggar A",2,IF(Atletas!K95="Wuzuquan A",3,IF(Atletas!K95="Wingchun A",4,IF(Atletas!K95="Outra Mão de Sul A",5,IF(Atletas!K95="Choylayfut B",6,IF(Atletas!K95="Hunggar B",7,IF(Atletas!K95="Wuzuquan B",8,IF(Atletas!K95="Wingchun B",9,IF(Atletas!K95="Outra Mão de Sul B",10,IF(Atletas!K95="Choylayfut C",11,IF(Atletas!K95="Hunggar C",12,IF(Atletas!K95="Wuzuquan C",13,IF(Atletas!K95="Wingchun C",14,IF(Atletas!K95="Outra Mão de Sul C",15,IF(Atletas!K95="Choylayfut D",16,IF(Atletas!K95="Hunggar D",17,IF(Atletas!K95="Wuzuquan D",18,IF(Atletas!K95="Wingchun D",19,IF(Atletas!K95="Outra Mão de Sul D",20,IF(Atletas!K95="Choylayfut E",21,IF(Atletas!K95="Hunggar E",22,IF(Atletas!K95="Wuzuquan E",23,IF(Atletas!K95="Wingchun E",24,IF(Atletas!K95="Outra Mão de Sul E",25,IF(Atletas!K95="Choylayfut F",26,IF(Atletas!K95="Hunggar F",27,IF(Atletas!K95="Wuzuquan F",28,IF(Atletas!K95="Wingchun F",29,IF(Atletas!K95="Outra Mão de Sul F",30,""))))))))))))))))))))))))))))))))</f>
        <v/>
      </c>
      <c r="BL99" s="52" t="str">
        <f>IF(Atletas!L95="","",IF(Atletas!W95&lt;&gt;"",10000,0)+(IF(Atletas!B95="Feminino",1000,IF(Atletas!B95="Masculino",2000,""))+(IF(Atletas!L95="Chaquan A",101,IF(Atletas!L95="Emeiquan A",102,IF(Atletas!L95="Fanziquan A",103,IF(Atletas!L95="Huaquan A",104,IF(Atletas!L95="Hongquan A",105,IF(Atletas!L95="Paochui A",106,IF(Atletas!L95="Piguaquan A",107,IF(Atletas!L95="Shaolinquan A",108,IF(Atletas!L95="Tanglangquan A",109,IF(Atletas!L95="Yinzhaophai A",110,IF(Atletas!L95="Tongbeiquan A",111,IF(Atletas!L95="Wudangquan A",112,IF(Atletas!L95="Outros Estilos A",113,IF(Atletas!L95="Chaquan B",114,IF(Atletas!L95="Emeiquan B",115,IF(Atletas!L95="Fanziquan B",116,IF(Atletas!L95="Huaquan B",117,IF(Atletas!L95="Hongquan B",118,IF(Atletas!L95="Paochui B",119,IF(Atletas!L95="Piguaquan B",120,IF(Atletas!L95="Shaolinquan B",121,IF(Atletas!L95="Tanglangquan B",122,IF(Atletas!L95="Yinzhaophai B",123,IF(Atletas!L95="Tongbeiquan B",124,IF(Atletas!L95="Wudangquan B",125,IF(Atletas!L95="Outros Estilos B",126,IF(Atletas!L95="Chaquan C",127,IF(Atletas!L95="Emeiquan C",128,IF(Atletas!L95="Fanziquan C",129,IF(Atletas!L95="Huaquan C",130,IF(Atletas!L95="Hongquan C",131,IF(Atletas!L95="Paochui C",132,IF(Atletas!L95="Piguaquan C",133,IF(Atletas!L95="Shaolinquan C",134,IF(Atletas!L95="Tanglangquan C",135,IF(Atletas!L95="Yinzhaophai C",136,IF(Atletas!L95="Tongbeiquan C",137,IF(Atletas!L95="Wudangquan C",138,IF(Atletas!L95="Outros Estilos C",139,0))))))))))))))))))))))))))))))))))))))))))</f>
        <v/>
      </c>
      <c r="BM99" s="52" t="str">
        <f>IF(Atletas!L95="","",IF(Atletas!W95&lt;&gt;"",10000,0)+(IF(Atletas!B95="Feminino",1000,IF(Atletas!B95="Masculino",2000,""))+(IF(Atletas!L95="Chaquan D",140,IF(Atletas!L95="Emeiquan D",141,IF(Atletas!L95="Fanziquan D",142,IF(Atletas!L95="Huaquan D",143,IF(Atletas!L95="Hongquan D",144,IF(Atletas!L95="Paochui D",145,IF(Atletas!L95="Piguaquan D",146,IF(Atletas!L95="Shaolinquan D",147,IF(Atletas!L95="Tanglangquan D",148,IF(Atletas!L95="Yinzhaophai D",149,IF(Atletas!L95="Tongbeiquan D",150,IF(Atletas!L95="Wudangquan D",151,IF(Atletas!L95="Outros Estilos D",152,IF(Atletas!L95="Chaquan E",153,IF(Atletas!L95="Emeiquan E",154,IF(Atletas!L95="Fanziquan E",155,IF(Atletas!L95="Huaquan E",156,IF(Atletas!L95="Hongquan E",157,IF(Atletas!L95="Paochui E",158,IF(Atletas!L95="Piguaquan E",159,IF(Atletas!L95="Shaolinquan E",160,IF(Atletas!L95="Tanglangquan E",161,IF(Atletas!L95="Yinzhaophai E",162,IF(Atletas!L95="Tongbeiquan E",163,IF(Atletas!L95="Wudangquan E",164,IF(Atletas!L95="Outros Estilos E",165,IF(Atletas!L95="Chaquan F",166,IF(Atletas!L95="Emeiquan F",167,IF(Atletas!L95="Fanziquan F",168,IF(Atletas!L95="Huaquan F",169,IF(Atletas!L95="Hongquan F",170,IF(Atletas!L95="Paochui F",171,IF(Atletas!L95="Piguaquan F",172,IF(Atletas!L95="Shaolinquan F",173,IF(Atletas!L95="Tanglangquan F",174,IF(Atletas!L95="Yinzhaophai F",175,IF(Atletas!L95="Tongbeiquan F",176,IF(Atletas!L95="Wudangquan F",177,IF(Atletas!L95="Outros Estilos F",178,0))))))))))))))))))))))))))))))))))))))))))</f>
        <v/>
      </c>
      <c r="BN99" s="52" t="str">
        <f>IF(Atletas!M95="","",IF(Atletas!W95&lt;&gt;"",10000,0)+(IF(Atletas!B95="Feminino",1000,IF(Atletas!B95="Masculino",2000,""))+(IF(Atletas!M95="Ditangquan A",201,IF(Atletas!M95="Houquan A",202,IF(Atletas!M95="Zuiquan A",203,IF(Atletas!M95="Ditangquan B",204,IF(Atletas!M95="Houquan B",205,IF(Atletas!M95="Zuiquan B",206,IF(Atletas!M95="Ditangquan C",207,IF(Atletas!M95="Houquan C",208,IF(Atletas!M95="Zuiquan C",209,IF(Atletas!M95="Ditangquan D",210,IF(Atletas!M95="Houquan D",211,IF(Atletas!M95="Zuiquan D",212,IF(Atletas!M95="Ditangquan E",213,IF(Atletas!M95="Houquan E",214,IF(Atletas!M95="Zuiquan E",215,IF(Atletas!M95="Ditangquan F",216,IF(Atletas!M95="Houquan F",217,IF(Atletas!M95="Zuiquan F",218,"")))))))))))))))))))))</f>
        <v/>
      </c>
      <c r="BO99" s="52" t="str">
        <f>IF(Atletas!N95="","",IF(Atletas!W95&lt;&gt;"",10000,0)+IF(Atletas!B95="Feminino",1000,IF(Atletas!B95="Masculino",2000,""))+IF(Atletas!N95="Yang A",301,IF(Atletas!N95="Chen A",30,IF(Atletas!N95="Sun A",303,IF(Atletas!N95="Wu A",304,IF(Atletas!N95="Wu-Hao A",305,IF(Atletas!N95="Outro Taijiquan A",306,IF(Atletas!N95="Yang B",307,IF(Atletas!N95="Chen B",308,IF(Atletas!N95="Sun B",309,IF(Atletas!N95="Wu B",310,IF(Atletas!N95="Wu-Hao B",311,IF(Atletas!N95="Outro Taijiquan B",312,IF(Atletas!N95="Yang C",313,IF(Atletas!N95="Chen C",314,IF(Atletas!N95="Sun C",315,IF(Atletas!N95="Wu C",316,IF(Atletas!N95="Wu-Hao C",317,IF(Atletas!N95="Outro Taijiquan C",318,IF(Atletas!N95="Yang D",319,IF(Atletas!N95="Chen D",320,IF(Atletas!N95="Sun D",321,IF(Atletas!N95="Wu D",322,IF(Atletas!N95="Wu-Hao D",323,IF(Atletas!N95="Outro Taijiquan D",324,IF(Atletas!N95="Yang E",325,IF(Atletas!N95="Chen E",326,IF(Atletas!N95="Sun E",327,IF(Atletas!N95="Wu E",328,IF(Atletas!N95="Wu-Hao E",329,IF(Atletas!N95="Outro Taijiquan E",330,IF(Atletas!N95="Yang F",331,IF(Atletas!N95="Chen F",332,IF(Atletas!N95="Sun F",333,IF(Atletas!N95="Wu F",334,IF(Atletas!N95="Wu-Hao F",335,IF(Atletas!N95="Outro Taijiquan F",336,"")))))))))))))))))))))))))))))))))))))</f>
        <v/>
      </c>
      <c r="BP99" s="52" t="str">
        <f>IF(Atletas!O95="","",IF(Atletas!W95&lt;&gt;"",10000,0)+IF(Atletas!B95="Feminino",1000,IF(Atletas!B95="Masculino",2000,""))+IF(OR(Atletas!O95="Yang 26 A",Atletas!O95="Yang 40 A"),401,IF(OR(Atletas!O95="Chen 25 A",Atletas!O95="Chen 36 A",Atletas!O95="Chen 56 A"),402,IF(Atletas!O95="Sun 73 A",403,IF(Atletas!O95="Wu 45 A",404,IF(Atletas!O95="Wu-Hao 46 A",405,IF(OR(Atletas!O95="Taijiquan 16 A",Atletas!O95="Taijiquan 24 A",Atletas!O95="Taijiquan 32 A",Atletas!O95="Taijiquan 42 A"),406,IF(OR(Atletas!O95="Yang 26 B",Atletas!O95="Yang 40 B"),407,IF(OR(Atletas!O95="Chen 25 B",Atletas!O95="Chen 36 B",Atletas!O95="Chen 56 B"),408,IF(Atletas!O95="Sun 73 B",409,IF(Atletas!O95="Wu 45 B",410,IF(Atletas!O95="Wu-Hao 46 B",411,IF(OR(Atletas!O95="Taijiquan 16 B",Atletas!O95="Taijiquan 24 B",Atletas!O95="Taijiquan 32 B",Atletas!O95="Taijiquan 42 B"),412,IF(OR(Atletas!O95="Yang 26 C",Atletas!O95="Yang 40 C"),413,IF(OR(Atletas!O95="Chen 25 C",Atletas!O95="Chen 36 C",Atletas!O95="Chen 56 C"),414,IF(Atletas!O95="Sun 73 C",415,IF(Atletas!O95="Wu 45 C",416,IF(Atletas!O95="Wu-Hao 46 C",417,IF(OR(Atletas!O95="Taijiquan 16 C",Atletas!O95="Taijiquan 24 C",Atletas!O95="Taijiquan 32 C",Atletas!O95="Taijiquan 42 C"),418,0)))))))))))))))))))</f>
        <v/>
      </c>
      <c r="BQ99" s="52" t="str">
        <f>IF(Atletas!O95="","",IF(Atletas!W95&lt;&gt;"",10000,0)+IF(Atletas!B95="Feminino",1000,IF(Atletas!B95="Masculino",2000,""))+IF(OR(Atletas!O95="Yang 26 D",Atletas!O95="Yang 40 D"),419,IF(OR(Atletas!O95="Chen 25 D",Atletas!O95="Chen 36 D",Atletas!O95="Chen 56 D"),420,IF(Atletas!O95="Sun 73 D",421,IF(Atletas!O95="Wu 45 D",422,IF(Atletas!O95="Wu-Hao 46 D",423,IF(OR(Atletas!O95="Taijiquan 16 D",Atletas!O95="Taijiquan 24 D",Atletas!O95="Taijiquan 32 D",Atletas!O95="Taijiquan 42 D"),424,IF(OR(Atletas!O95="Yang 26 E",Atletas!O95="Yang 40 E"),425,IF(OR(Atletas!O95="Chen 25 E",Atletas!O95="Chen 36 E",Atletas!O95="Chen 56 E"),426,IF(Atletas!O95="Sun 73 E",427,IF(Atletas!O95="Wu 45 E",428,IF(Atletas!O95="Wu-Hao 46 E",429,IF(OR(Atletas!O95="Taijiquan 16 E",Atletas!O95="Taijiquan 24 E",Atletas!O95="Taijiquan 32 E",Atletas!O95="Taijiquan 42 E"),430,IF(OR(Atletas!O95="Yang 26 F",Atletas!O95="Yang 40 F"),431,IF(OR(Atletas!O95="Chen 25 F",Atletas!O95="Chen 36 F",Atletas!O95="Chen 56 F"),432,IF(Atletas!O95="Sun 73 F",433,IF(Atletas!O95="Wu 45 F",434,IF(Atletas!O95="Wu-Hao 46 F",435,IF(OR(Atletas!O95="Taijiquan 16 F",Atletas!O95="Taijiquan 24 F",Atletas!O95="Taijiquan 32 F",Atletas!O95="Taijiquan 42 F"),436,0)))))))))))))))))))</f>
        <v/>
      </c>
      <c r="BR99" s="52" t="str">
        <f>IF(Atletas!P95="","",IF(Atletas!W95&lt;&gt;"",10000,0)+IF(Atletas!B95="Feminino",1000,IF(Atletas!B95="Masculino",2000,""))+IF(Atletas!P95="Xingyiquan A",501,IF(Atletas!P95="Baguazhang A",502,IF(Atletas!P95="Outro Estilo Interno A",503,IF(Atletas!P95="Xingyiquan B",504,IF(Atletas!P95="Baguazhang B",505,IF(Atletas!P95="Outro Estilo Interno B",506,IF(Atletas!P95="Xingyiquan C",507,IF(Atletas!P95="Baguazhang C",508,IF(Atletas!P95="Outro Estilo Interno C",509,IF(Atletas!P95="Xingyiquan D",510,IF(Atletas!P95="Baguazhang D",511,IF(Atletas!P95="Outro Estilo Interno D",512,IF(Atletas!P95="Xingyiquan E",513,IF(Atletas!P95="Baguazhang E",514,IF(Atletas!P95="Outro Estilo Interno E",515,IF(Atletas!P95="Xingyiquan F",516,IF(Atletas!P95="Baguazhang F",517,IF(Atletas!P95="Outro Estilo Interno F",518, "")))))))))))))))))))</f>
        <v/>
      </c>
      <c r="BS99" s="52" t="str">
        <f>IF(Atletas!Q95="","",IF(Atletas!W95&lt;&gt;"",10000,0)+IF(Atletas!B95="Feminino",1000,IF(Atletas!B95="Masculino",2000,""))+IF(Atletas!Q95="Dao A",601,IF(Atletas!Q95="Jian A",602,IF(Atletas!Q95="Bishou A",603,IF(Atletas!Q95="Shan A",604,IF(Atletas!Q95="Outra Arma Curta A",605,IF(Atletas!Q95="Dao B",606,IF(Atletas!Q95="Jian B",607,IF(Atletas!Q95="Bishou B",608,IF(Atletas!Q95="Shan B",609,IF(Atletas!Q95="Outra Arma Curta B",610,IF(Atletas!Q95="Dao C",611,IF(Atletas!Q95="Jian C",612,IF(Atletas!Q95="Bishou C",613,IF(Atletas!Q95="Shan C",614,IF(Atletas!Q95="Outra Arma Curta C",615,IF(Atletas!Q95="Dao D",616,IF(Atletas!Q95="Jian D",617,IF(Atletas!Q95="Bishou D",618,IF(Atletas!Q95="Shan D",619,IF(Atletas!Q95="Outra Arma Curta D",620,IF(Atletas!Q95="Dao E",621,IF(Atletas!Q95="Jian E",622,IF(Atletas!Q95="Bishou E",623,IF(Atletas!Q95="Shan E",624,IF(Atletas!Q95="Outra Arma Curta E",625,IF(Atletas!Q95="Dao F",626,IF(Atletas!Q95="Jian F",627,IF(Atletas!Q95="Bishou F",628,IF(Atletas!Q95="Shan F",629,IF(Atletas!Q95="Outra Arma Curta F",630, "")))))))))))))))))))))))))))))))</f>
        <v/>
      </c>
      <c r="BT99" s="52" t="str">
        <f>IF(Atletas!R95="","",IF(Atletas!W95&lt;&gt;"",10000,0)+IF(Atletas!B95="Feminino",1000,IF(Atletas!B95="Masculino",2000,""))+IF(Atletas!R95="Gun A",701,IF(Atletas!R95="Qiang A",702,IF(Atletas!R95="Pudao / Guandao A",703,IF(Atletas!R95="Outra Arma Longa A",704,IF(Atletas!R95="Gun B",705,IF(Atletas!R95="Qiang B",706,IF(Atletas!R95="Pudao / Guandao B",707,IF(Atletas!R95="Outra Arma Longa B",708,IF(Atletas!R95="Gun C",709,IF(Atletas!R95="Qiang C",710,IF(Atletas!R95="Pudao / Guandao C",711,IF(Atletas!R95="Outra Arma Longa C",712,IF(Atletas!R95="Gun D",713,IF(Atletas!R95="Qiang D",714,IF(Atletas!R95="Pudao / Guandao D",715,IF(Atletas!R95="Outra Arma Longa D",716,IF(Atletas!R95="Gun E",717,IF(Atletas!R95="Qiang E",718,IF(Atletas!R95="Pudao / Guandao E",719,IF(Atletas!R95="Outra Arma Longa E",720,IF(Atletas!R95="Gun F",721,IF(Atletas!R95="Qiang F",722,IF(Atletas!R95="Pudao / Guandao F",723,IF(Atletas!R95="Outra Arma Longa F",724,"")))))))))))))))))))))))))</f>
        <v/>
      </c>
      <c r="BU99" s="52" t="str">
        <f>IF(Atletas!S95="","",IF(Atletas!W95&lt;&gt;"",10000,0)+IF(Atletas!B95="Feminino",1000,IF(Atletas!B95="Masculino",2000,""))+IF(Atletas!S95="Arma Dupla A",801,IF(Atletas!S95="Arma Maleável A",802,IF(Atletas!S95="Arma Dupla B",803,IF(Atletas!S95="Arma Maleável B",804,IF(Atletas!S95="Arma Dupla C",805,IF(Atletas!S95="Arma Maleável C",806,IF(Atletas!S95="Arma Dupla D",807,IF(Atletas!S95="Arma Maleável D",808,IF(Atletas!S95="Arma Dupla E",809,IF(Atletas!S95="Arma Maleável E",810,IF(Atletas!S95="Arma Dupla F",811,IF(Atletas!S95="Arma Maleável F",812, "")))))))))))))</f>
        <v/>
      </c>
      <c r="BV99" s="52" t="str">
        <f>IF(Atletas!T95="","",IF(Atletas!W95&lt;&gt;"",10000,0)+IF(Atletas!B95="Feminino",1000,IF(Atletas!B95="Masculino",2000,""))+IF(Atletas!T95="Taijijian Yang A",901,IF(Atletas!T95="Taijijian Chen A",902,IF(Atletas!T95="Taijijian Sun A",903,IF(Atletas!T95="Taijijian Wu A",904,IF(Atletas!T95="Taijijian Wu-Hao A",905,IF(Atletas!T95="Taijijian 32 A",906,IF(Atletas!T95="Taijijian 42 A",907,IF(Atletas!T95="Taijijian Yang B",908,IF(Atletas!T95="Taijijian Chen B",909,IF(Atletas!T95="Taijijian Sun B",910,IF(Atletas!T95="Taijijian Wu B",911,IF(Atletas!T95="Taijijian Wu-Hao B",912,IF(Atletas!T95="Taijijian 32 B",913,IF(Atletas!T95="Taijijian 42 B",914,IF(Atletas!T95="Taijijian Yang C",915,IF(Atletas!T95="Taijijian Chen C",916,IF(Atletas!T95="Taijijian Sun C",917,IF(Atletas!T95="Taijijian Wu C",918,IF(Atletas!T95="Taijijian Wu-Hao C",919,IF(Atletas!T95="Taijijian 32 C",920,IF(Atletas!T95="Taijijian 42 C",921,IF(Atletas!T95="Taijijian Yang D",922,IF(Atletas!T95="Taijijian Chen D",923,IF(Atletas!T95="Taijijian Sun D",924,IF(Atletas!T95="Taijijian Wu D",925,IF(Atletas!T95="Taijijian Wu-Hao D",926,IF(Atletas!T95="Taijijian 32 D",927,IF(Atletas!T95="Taijijian 42 D",928,IF(Atletas!T95="Taijijian Yang E",929,IF(Atletas!T95="Taijijian Chen E",930,IF(Atletas!T95="Taijijian Sun E",931,IF(Atletas!T95="Taijijian Wu E",932,IF(Atletas!T95="Taijijian Wu-Hao E",933,IF(Atletas!T95="Taijijian 32 E",934,IF(Atletas!T95="Taijijian 42 E",935,IF(Atletas!T95="Taijijian Yang F",936,IF(Atletas!T95="Taijijian Chen F",937,IF(Atletas!T95="Taijijian Sun F",938,IF(Atletas!T95="Taijijian Wu F",939,IF(Atletas!T95="Taijijian Wu-Hao F",940,IF(Atletas!T95="Taijijian 32 F",941,IF(Atletas!T95="Taijijian 42 F",942,"")))))))))))))))))))))))))))))))))))))))))))</f>
        <v/>
      </c>
      <c r="BW99" s="52" t="str">
        <f>IF(Atletas!U95="","",IF(Atletas!W95&lt;&gt;"",10000,0)+IF(Atletas!B95="Feminino",1000,IF(Atletas!B95="Masculino",2000,""))+IF(Atletas!T95="Taijijian 42 F",942,IF(Atletas!U95="Taijidao A",943,IF(Atletas!U95="Taijishan A",944,IF(Atletas!U95="Taijiqiang A",945,IF(Atletas!U95="Taijidao B",946,IF(Atletas!U95="Taijishan B",947,IF(Atletas!U95="Taijiqiang B",948,IF(Atletas!U95="Taijidao C",949,IF(Atletas!U95="Taijishan C",950,IF(Atletas!U95="Taijiqiang C",951,IF(Atletas!U95="Taijidao D",952,IF(Atletas!U95="Taijishan D",953,IF(Atletas!U95="Taijiqiang D",954,IF(Atletas!U95="Taijidao E",955,IF(Atletas!U95="Taijishan E",956,IF(Atletas!U95="Taijiqiang E",957,IF(Atletas!U95="Taijidao F",958,IF(Atletas!U95="Taijishan F",959,IF(Atletas!U95="Taijiqiang F",960))))))))))))))))))))</f>
        <v/>
      </c>
      <c r="BX99" s="64" t="str">
        <f>IF(BY99&lt;&gt;"","Tongbeiquan E","")</f>
        <v/>
      </c>
      <c r="BY99" s="64" t="str">
        <f>IF(COUNTIF(BK:BW,1163)&gt;0,COUNTIF(BK:BW,1163),"")</f>
        <v/>
      </c>
      <c r="BZ99" s="64" t="str">
        <f>IF(CA99&lt;&gt;"","Tongbeiquan E","")</f>
        <v/>
      </c>
      <c r="CA99" s="64" t="str">
        <f>IF(COUNTIF(BK:BW,2163)&gt;0,COUNTIF(BK:BW,2163),"")</f>
        <v/>
      </c>
      <c r="CB99" s="64" t="str">
        <f>IF(CC99&lt;&gt;"","Tongbeiquan E","")</f>
        <v/>
      </c>
      <c r="CC99" s="64" t="str">
        <f>IF(COUNTIF(BK:BW,11163)&gt;0,COUNTIF(BK:BW,11163),"")</f>
        <v/>
      </c>
      <c r="CD99" s="64" t="str">
        <f>IF(CE99&lt;&gt;"","Tongbeiquan E","")</f>
        <v/>
      </c>
      <c r="CE99" s="64" t="str">
        <f>IF(COUNTIF(BK:BW,12163)&gt;0,COUNTIF(BK:BW,12163),"")</f>
        <v/>
      </c>
      <c r="CF99" s="52" t="str">
        <f xml:space="preserve"> IF(Atletas!V95="","",IF(Atletas!V95="Duilian de Mãos AB - Equipe 1",1,IF(Atletas!V95="Duilian de Mãos AB - Equipe 2",2,IF(Atletas!V95="Duilian de Armas AB - Equipe 1",3,IF(Atletas!V95="Duilian de Armas AB - Equipe 2",4,IF(Atletas!V95="Duilian de Tuishou - Equipe 1",5,IF(Atletas!V95="Duilian de Tuishou - Equipe 2",6,IF(Atletas!V95="Grupo Externo AB - Equipe 1",7,IF(Atletas!V95="Grupo Externo AB - Equipe 2",8,IF(Atletas!V95="Grupo Interno AB - Equipe 1",9,IF(Atletas!V95="Grupo Interno AB - Equipe 2",10,IF(Atletas!V95="Duilian de Mãos CD - Equipe 1",11,IF(Atletas!V95="Duilian de Mãos CD - Equipe 2",12,IF(Atletas!V95="Duilian de Armas CD - Equipe 1",13,IF(Atletas!V95="Duilian de Armas CD - Equipe 2",14,IF(Atletas!V95="Duilian de Tuishou - Equipe 1",15,IF(Atletas!V95="Duilian de Tuishou - Equipe 2",16,IF(Atletas!V95="Grupo Externo CDEF - Equipe 1",17,IF(Atletas!V95="Grupo Externo CDEF - Equipe 2",18,IF(Atletas!V95="Grupo Interno CDEF - Equipe 1",19,IF(Atletas!V95="Grupo Interno CDEF - Equipe 2",20,IF(Atletas!V95="Duilian de Mãos EF - Equipe 1",21,IF(Atletas!V95="Duilian de Mãos EF - Equipe 2",22,IF(Atletas!V95="Duilian de Armas EF - Equipe 1",23,IF(Atletas!V95="Duilian de Armas EF - Equipe 2",24,IF(Atletas!V95="Duilian de Tuishou - Equipe 1",25,IF(Atletas!V95="Duilian de Tuishou - Equipe 2",26,"")))))))))))))))))))))))))))</f>
        <v/>
      </c>
    </row>
    <row r="100" spans="2:84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 t="str">
        <f t="array" ref="V100">IFERROR(INDEX(BX$7:BX$336,SMALL(IF(BX$7:BX$336&lt;&gt;"",ROW(BX$7:BX$336)-ROW(BX$7)+1),ROWS(BX$7:BX99))),"")</f>
        <v/>
      </c>
      <c r="W100" s="4" t="str">
        <f t="array" ref="W100">IFERROR(INDEX(BY$7:BY$336,SMALL(IF(BY$7:BY$336&lt;&gt;"",ROW(BY$7:BY$336)-ROW(BY$7)+1),ROWS(BY$7:BY99))),"")</f>
        <v/>
      </c>
      <c r="X100" s="4" t="str">
        <f t="array" ref="X100">IFERROR(INDEX(BZ$7:BZ$336,SMALL(IF(BZ$7:BZ$336&lt;&gt;"",ROW(BZ$7:BZ$336)-ROW(BZ$7)+1),ROWS(BZ$7:BZ99))),"")</f>
        <v/>
      </c>
      <c r="Y100" s="4" t="str">
        <f t="array" ref="Y100">IFERROR(INDEX(CA$7:CA$336,SMALL(IF(CA$7:CA$336&lt;&gt;"",ROW(CA$7:CA$336)-ROW(CA$7)+1),ROWS(CA$7:CA99))),"")</f>
        <v/>
      </c>
      <c r="Z100" s="4" t="str">
        <f t="array" ref="Z100">IFERROR(INDEX(CB$7:CB$378,SMALL(IF(CB$7:CB$378&lt;&gt;"",ROW(CB$7:CB$378)-ROW(CB$7)+1),ROWS(CB$7:CB99))),"")</f>
        <v/>
      </c>
      <c r="AA100" s="4" t="str">
        <f t="array" ref="AA100">IFERROR(INDEX(CC$7:CC$378,SMALL(IF(CC$7:CC$378&lt;&gt;"",ROW(CC$7:CC$378)-ROW(CC$7)+1),ROWS(CC$7:CC99))),"")</f>
        <v/>
      </c>
      <c r="AB100" s="4" t="str">
        <f t="array" ref="AB100">IFERROR(INDEX(CD$7:CD$378,SMALL(IF(CD$7:CD$378&lt;&gt;"",ROW(CD$7:CD$378)-ROW(CD$7)+1),ROWS(CD$7:CD99))),"")</f>
        <v/>
      </c>
      <c r="AC100" s="4" t="str">
        <f t="array" ref="AC100">IFERROR(INDEX(CE$7:CE$378,SMALL(IF(CE$7:CE$378&lt;&gt;"",ROW(CE$7:CE$378)-ROW(CE$7)+1),ROWS(CE$7:CE99))),"")</f>
        <v/>
      </c>
      <c r="AD100" s="4"/>
      <c r="AE100" s="4"/>
      <c r="AF100" s="4"/>
      <c r="AG100" s="4"/>
      <c r="AH100" s="4"/>
      <c r="AI100" s="4"/>
      <c r="AJ100" s="46" t="str">
        <f>IF(Atletas!D96="","",IF(Atletas!B96="Feminino",100,IF(Atletas!B96="Masculino",200,""))+(IF(Atletas!D96="Infantil 39kg",1,IF(Atletas!D96="Infantil 42kg",2,IF(Atletas!D96="Infantil 45kg",3,IF(Atletas!D96="Infantil 48kg",4,IF(Atletas!D96="Infantil 52kg",5,IF(Atletas!D96="Infantil 56kg",6,IF(Atletas!D96="Infantil 60kg",7,IF(Atletas!D96="Juvenil 48kg",8,IF(Atletas!D96="Juvenil 52kg",9,IF(Atletas!D96="Juvenil 56kg",10,IF(Atletas!D96="Juvenil 60kg",11,IF(Atletas!D96="Juvenil 65kg",12,IF(Atletas!D96="Juvenil 70kg",13,IF(Atletas!D96="Juvenil 75kg",14,IF(Atletas!D96="Juvenil 80kg",15,IF(Atletas!D96="Adulto 48kg",16,IF(Atletas!D96="Adulto 52kg",17,IF(Atletas!D96="Adulto 56kg",18,IF(Atletas!D96="Adulto 60kg",19,IF(Atletas!D96="Adulto 65kg",20,IF(Atletas!D96="Adulto 70kg",21,IF(Atletas!D96="Adulto 75kg",22,IF(Atletas!D96="Adulto 80kg",23,IF(Atletas!D96="Adulto 85kg",24,IF(Atletas!D96="Adulto 90kg",25,IF(Atletas!D96="Adulto +90kg",26,""))))))))))))))))))))))))))))</f>
        <v/>
      </c>
      <c r="AO100" s="10" t="str">
        <f>IF(Atletas!E96="","",IF(Atletas!B96="Feminino",100,IF(Atletas!B96="Masculino",200,""))+(IF(Atletas!E96="Juvenil 44kg",1,IF(Atletas!E96="Juvenil 48kg",2,IF(Atletas!E96="Juvenil 52kg",3,IF(Atletas!E96="Juvenil 56kg",4,IF(Atletas!E96="Juvenil 60kg",5,IF(Atletas!E96="Juvenil 65kg",6,IF(Atletas!E96="Juvenil 70kg",7,IF(Atletas!E96="Juvenil 75kg",8,IF(Atletas!E96="Juvenil 82kg",9,IF(Atletas!E96="Juvenil 90kg",10,IF(Atletas!E96="Juvenil 100kg",11,IF(Atletas!E96="Adulto 48kg",12,IF(Atletas!E96="Adulto 52kg",13,IF(Atletas!E96="Adulto 56kg",14,IF(Atletas!E96="Adulto 60kg",15,IF(Atletas!E96="Adulto 65kg",16,IF(Atletas!E96="Adulto 70kg",17,IF(Atletas!E96="Adulto 75kg",18,IF(Atletas!E96="Adulto 82kg",19,IF(Atletas!E96="Adulto 90kg",20,IF(Atletas!E96="Adulto 100kg",21,IF(Atletas!E96="Adulto +100kg",22,""))))))))))))))))))))))))</f>
        <v/>
      </c>
      <c r="AT100" s="10" t="str">
        <f>IF(Atletas!F96="","",IF(Atletas!B96="Feminino",100,IF(Atletas!B96="Masculino",200,""))+(IF(Atletas!F96="Adulto 48kg",1,IF(Atletas!F96="Adulto 56kg",2,IF(Atletas!F96="Adulto 65kg",3,IF(Atletas!F96="Adulto 75kg",4,IF(Atletas!F96="Adulto +75kg",5,IF(Atletas!F96="Adulto 52kg",6,IF(Atletas!F96="Adulto 60kg",7,IF(Atletas!F96="Adulto 70kg",8,IF(Atletas!F96="Adulto 80kg",9,IF(Atletas!F96="Adulto 90kg",10,IF(Atletas!F96="Adulto +90kg",11,"")))))))))))))</f>
        <v/>
      </c>
      <c r="AY100" s="46" t="str">
        <f>IF(Atletas!G96="","",IF(Atletas!B96="Feminino",100,IF(Atletas!B96="Masculino",200,""))+(IF(Atletas!G96="Changquan Mirim",1,IF(Atletas!G96="Nanquan Mirim",2,IF(Atletas!G96="Taijiquan Mirim",3,IF(Atletas!G96="Changquan Grupo C",4,IF(Atletas!G96="Nanquan Grupo C",5,IF(Atletas!G96="Taijiquan Grupo C",6,IF(Atletas!G96="Changquan Grupo B",7,IF(Atletas!G96="Nanquan Grupo B",8,IF(Atletas!G96="Taijiquan Grupo B",9,IF(Atletas!G96="Changquan Grupo A",10,IF(Atletas!G96="Nanquan Grupo A",11,IF(Atletas!G96="Taijiquan Grupo A",12,IF(Atletas!G96="Changquan Opcional",13,IF(Atletas!G96="Nanquan Opcional",14,IF(Atletas!G96="Taijiquan Opcional",15,IF(Atletas!G96="Changquan Adulto",16,IF(Atletas!G96="Nanquan Adulto",17,IF(Atletas!G96="Taijiquan Adulto",18,""))))))))))))))))))))</f>
        <v/>
      </c>
      <c r="AZ100" s="46" t="str">
        <f>IF(Atletas!H96="","",IF(Atletas!B96="Feminino",100,IF(Atletas!B96="Masculino",200,""))+(IF(Atletas!H96="Daoshu Mirim",19,IF(Atletas!H96="Jianshu Mirim",20,IF(Atletas!H96="Nandao Mirim",21,IF(Atletas!H96="Taijijian Mirim",22,IF(Atletas!H96="Daoshu Grupo C",23,IF(Atletas!H96="Jianshu Grupo C",24,IF(Atletas!H96="Nandao Grupo C",25,IF(Atletas!H96="Taijijian Grupo C",26,IF(Atletas!H96="Daoshu Grupo B",27,IF(Atletas!H96="Jianshu Grupo B",28,IF(Atletas!H96="Nandao Grupo B",29,IF(Atletas!H96="Taijijian Grupo B",30,IF(Atletas!H96="Daoshu Grupo A",31,IF(Atletas!H96="Jianshu Grupo A",32,IF(Atletas!H96="Nandao Grupo A",33,IF(Atletas!H96="Taijijian Grupo A",34,IF(Atletas!H96="Daoshu Opcional",35,IF(Atletas!H96="Jianshu Opcional",36,IF(Atletas!H96="Nandao Opcional",37,IF(Atletas!H96="Taijijian Opcional",38,IF(Atletas!H96="Daoshu Adulto",39,IF(Atletas!H96="Jianshu Adulto",40,IF(Atletas!H96="Nandao Adulto",41,IF(Atletas!H96="Taijijian Adulto",42,""))))))))))))))))))))))))))</f>
        <v/>
      </c>
      <c r="BA100" s="46" t="str">
        <f>IF(Atletas!I96="","",IF(Atletas!B96="Feminino",100,IF(Atletas!B96="Masculino",200,""))+(IF(Atletas!I96="Gunshu Mirim",43,IF(Atletas!I96="Qiangshu Mirim",44,IF(Atletas!I96="Nangun Mirim",45,IF(Atletas!I96="Gunshu Grupo C",46,IF(Atletas!I96="Qiangshu Grupo C",47,IF(Atletas!I96="Nangun Grupo C",48,IF(Atletas!I96="Gunshu Grupo B",49,IF(Atletas!I96="Qiangshu Grupo B",50,IF(Atletas!I96="Nangun Grupo B",51,IF(Atletas!I96="Gunshu Grupo A",52,IF(Atletas!I96="Qiangshu Grupo A",53,IF(Atletas!I96="Nangun Grupo A",54,IF(Atletas!I96="Gunshu Opcional",55,IF(Atletas!I96="Qiangshu Opcional",56,IF(Atletas!I96="Nangun Opcional",57,IF(Atletas!I96="Gunshu Adulto",58,IF(Atletas!I96="Qiangshu Adulto",59,IF(Atletas!I96="Nangun Adulto",60,""))))))))))))))))))))</f>
        <v/>
      </c>
      <c r="BF100" s="52" t="str">
        <f>IF(Atletas!J96="","",IF(Atletas!B96="Feminino",100,IF(Atletas!B96="Masculino",200,""))+(IF(Atletas!J96="Equipe 1 Grupo B",1,IF(Atletas!J96="Equipe 2 Grupo B",2,IF(Atletas!J96="Equipe 1 Grupo A",3,IF(Atletas!J96="Equipe 2 Grupo A",4,IF(Atletas!J96="Equipe 1 Adulto",5,IF(Atletas!J96="Equipe 2 Adulto",6,""))))))))</f>
        <v/>
      </c>
      <c r="BK100" s="52" t="str">
        <f>IF(Atletas!K96="","",IF(Atletas!W96&lt;&gt;"",10000,0)+(IF(Atletas!B96="Feminino",1000,IF(Atletas!B96="Masculino",2000,""))+IF(Atletas!K96="Choylayfut A",1,IF(Atletas!K96="Hunggar A",2,IF(Atletas!K96="Wuzuquan A",3,IF(Atletas!K96="Wingchun A",4,IF(Atletas!K96="Outra Mão de Sul A",5,IF(Atletas!K96="Choylayfut B",6,IF(Atletas!K96="Hunggar B",7,IF(Atletas!K96="Wuzuquan B",8,IF(Atletas!K96="Wingchun B",9,IF(Atletas!K96="Outra Mão de Sul B",10,IF(Atletas!K96="Choylayfut C",11,IF(Atletas!K96="Hunggar C",12,IF(Atletas!K96="Wuzuquan C",13,IF(Atletas!K96="Wingchun C",14,IF(Atletas!K96="Outra Mão de Sul C",15,IF(Atletas!K96="Choylayfut D",16,IF(Atletas!K96="Hunggar D",17,IF(Atletas!K96="Wuzuquan D",18,IF(Atletas!K96="Wingchun D",19,IF(Atletas!K96="Outra Mão de Sul D",20,IF(Atletas!K96="Choylayfut E",21,IF(Atletas!K96="Hunggar E",22,IF(Atletas!K96="Wuzuquan E",23,IF(Atletas!K96="Wingchun E",24,IF(Atletas!K96="Outra Mão de Sul E",25,IF(Atletas!K96="Choylayfut F",26,IF(Atletas!K96="Hunggar F",27,IF(Atletas!K96="Wuzuquan F",28,IF(Atletas!K96="Wingchun F",29,IF(Atletas!K96="Outra Mão de Sul F",30,""))))))))))))))))))))))))))))))))</f>
        <v/>
      </c>
      <c r="BL100" s="52" t="str">
        <f>IF(Atletas!L96="","",IF(Atletas!W96&lt;&gt;"",10000,0)+(IF(Atletas!B96="Feminino",1000,IF(Atletas!B96="Masculino",2000,""))+(IF(Atletas!L96="Chaquan A",101,IF(Atletas!L96="Emeiquan A",102,IF(Atletas!L96="Fanziquan A",103,IF(Atletas!L96="Huaquan A",104,IF(Atletas!L96="Hongquan A",105,IF(Atletas!L96="Paochui A",106,IF(Atletas!L96="Piguaquan A",107,IF(Atletas!L96="Shaolinquan A",108,IF(Atletas!L96="Tanglangquan A",109,IF(Atletas!L96="Yinzhaophai A",110,IF(Atletas!L96="Tongbeiquan A",111,IF(Atletas!L96="Wudangquan A",112,IF(Atletas!L96="Outros Estilos A",113,IF(Atletas!L96="Chaquan B",114,IF(Atletas!L96="Emeiquan B",115,IF(Atletas!L96="Fanziquan B",116,IF(Atletas!L96="Huaquan B",117,IF(Atletas!L96="Hongquan B",118,IF(Atletas!L96="Paochui B",119,IF(Atletas!L96="Piguaquan B",120,IF(Atletas!L96="Shaolinquan B",121,IF(Atletas!L96="Tanglangquan B",122,IF(Atletas!L96="Yinzhaophai B",123,IF(Atletas!L96="Tongbeiquan B",124,IF(Atletas!L96="Wudangquan B",125,IF(Atletas!L96="Outros Estilos B",126,IF(Atletas!L96="Chaquan C",127,IF(Atletas!L96="Emeiquan C",128,IF(Atletas!L96="Fanziquan C",129,IF(Atletas!L96="Huaquan C",130,IF(Atletas!L96="Hongquan C",131,IF(Atletas!L96="Paochui C",132,IF(Atletas!L96="Piguaquan C",133,IF(Atletas!L96="Shaolinquan C",134,IF(Atletas!L96="Tanglangquan C",135,IF(Atletas!L96="Yinzhaophai C",136,IF(Atletas!L96="Tongbeiquan C",137,IF(Atletas!L96="Wudangquan C",138,IF(Atletas!L96="Outros Estilos C",139,0))))))))))))))))))))))))))))))))))))))))))</f>
        <v/>
      </c>
      <c r="BM100" s="52" t="str">
        <f>IF(Atletas!L96="","",IF(Atletas!W96&lt;&gt;"",10000,0)+(IF(Atletas!B96="Feminino",1000,IF(Atletas!B96="Masculino",2000,""))+(IF(Atletas!L96="Chaquan D",140,IF(Atletas!L96="Emeiquan D",141,IF(Atletas!L96="Fanziquan D",142,IF(Atletas!L96="Huaquan D",143,IF(Atletas!L96="Hongquan D",144,IF(Atletas!L96="Paochui D",145,IF(Atletas!L96="Piguaquan D",146,IF(Atletas!L96="Shaolinquan D",147,IF(Atletas!L96="Tanglangquan D",148,IF(Atletas!L96="Yinzhaophai D",149,IF(Atletas!L96="Tongbeiquan D",150,IF(Atletas!L96="Wudangquan D",151,IF(Atletas!L96="Outros Estilos D",152,IF(Atletas!L96="Chaquan E",153,IF(Atletas!L96="Emeiquan E",154,IF(Atletas!L96="Fanziquan E",155,IF(Atletas!L96="Huaquan E",156,IF(Atletas!L96="Hongquan E",157,IF(Atletas!L96="Paochui E",158,IF(Atletas!L96="Piguaquan E",159,IF(Atletas!L96="Shaolinquan E",160,IF(Atletas!L96="Tanglangquan E",161,IF(Atletas!L96="Yinzhaophai E",162,IF(Atletas!L96="Tongbeiquan E",163,IF(Atletas!L96="Wudangquan E",164,IF(Atletas!L96="Outros Estilos E",165,IF(Atletas!L96="Chaquan F",166,IF(Atletas!L96="Emeiquan F",167,IF(Atletas!L96="Fanziquan F",168,IF(Atletas!L96="Huaquan F",169,IF(Atletas!L96="Hongquan F",170,IF(Atletas!L96="Paochui F",171,IF(Atletas!L96="Piguaquan F",172,IF(Atletas!L96="Shaolinquan F",173,IF(Atletas!L96="Tanglangquan F",174,IF(Atletas!L96="Yinzhaophai F",175,IF(Atletas!L96="Tongbeiquan F",176,IF(Atletas!L96="Wudangquan F",177,IF(Atletas!L96="Outros Estilos F",178,0))))))))))))))))))))))))))))))))))))))))))</f>
        <v/>
      </c>
      <c r="BN100" s="52" t="str">
        <f>IF(Atletas!M96="","",IF(Atletas!W96&lt;&gt;"",10000,0)+(IF(Atletas!B96="Feminino",1000,IF(Atletas!B96="Masculino",2000,""))+(IF(Atletas!M96="Ditangquan A",201,IF(Atletas!M96="Houquan A",202,IF(Atletas!M96="Zuiquan A",203,IF(Atletas!M96="Ditangquan B",204,IF(Atletas!M96="Houquan B",205,IF(Atletas!M96="Zuiquan B",206,IF(Atletas!M96="Ditangquan C",207,IF(Atletas!M96="Houquan C",208,IF(Atletas!M96="Zuiquan C",209,IF(Atletas!M96="Ditangquan D",210,IF(Atletas!M96="Houquan D",211,IF(Atletas!M96="Zuiquan D",212,IF(Atletas!M96="Ditangquan E",213,IF(Atletas!M96="Houquan E",214,IF(Atletas!M96="Zuiquan E",215,IF(Atletas!M96="Ditangquan F",216,IF(Atletas!M96="Houquan F",217,IF(Atletas!M96="Zuiquan F",218,"")))))))))))))))))))))</f>
        <v/>
      </c>
      <c r="BO100" s="52" t="str">
        <f>IF(Atletas!N96="","",IF(Atletas!W96&lt;&gt;"",10000,0)+IF(Atletas!B96="Feminino",1000,IF(Atletas!B96="Masculino",2000,""))+IF(Atletas!N96="Yang A",301,IF(Atletas!N96="Chen A",30,IF(Atletas!N96="Sun A",303,IF(Atletas!N96="Wu A",304,IF(Atletas!N96="Wu-Hao A",305,IF(Atletas!N96="Outro Taijiquan A",306,IF(Atletas!N96="Yang B",307,IF(Atletas!N96="Chen B",308,IF(Atletas!N96="Sun B",309,IF(Atletas!N96="Wu B",310,IF(Atletas!N96="Wu-Hao B",311,IF(Atletas!N96="Outro Taijiquan B",312,IF(Atletas!N96="Yang C",313,IF(Atletas!N96="Chen C",314,IF(Atletas!N96="Sun C",315,IF(Atletas!N96="Wu C",316,IF(Atletas!N96="Wu-Hao C",317,IF(Atletas!N96="Outro Taijiquan C",318,IF(Atletas!N96="Yang D",319,IF(Atletas!N96="Chen D",320,IF(Atletas!N96="Sun D",321,IF(Atletas!N96="Wu D",322,IF(Atletas!N96="Wu-Hao D",323,IF(Atletas!N96="Outro Taijiquan D",324,IF(Atletas!N96="Yang E",325,IF(Atletas!N96="Chen E",326,IF(Atletas!N96="Sun E",327,IF(Atletas!N96="Wu E",328,IF(Atletas!N96="Wu-Hao E",329,IF(Atletas!N96="Outro Taijiquan E",330,IF(Atletas!N96="Yang F",331,IF(Atletas!N96="Chen F",332,IF(Atletas!N96="Sun F",333,IF(Atletas!N96="Wu F",334,IF(Atletas!N96="Wu-Hao F",335,IF(Atletas!N96="Outro Taijiquan F",336,"")))))))))))))))))))))))))))))))))))))</f>
        <v/>
      </c>
      <c r="BP100" s="52" t="str">
        <f>IF(Atletas!O96="","",IF(Atletas!W96&lt;&gt;"",10000,0)+IF(Atletas!B96="Feminino",1000,IF(Atletas!B96="Masculino",2000,""))+IF(OR(Atletas!O96="Yang 26 A",Atletas!O96="Yang 40 A"),401,IF(OR(Atletas!O96="Chen 25 A",Atletas!O96="Chen 36 A",Atletas!O96="Chen 56 A"),402,IF(Atletas!O96="Sun 73 A",403,IF(Atletas!O96="Wu 45 A",404,IF(Atletas!O96="Wu-Hao 46 A",405,IF(OR(Atletas!O96="Taijiquan 16 A",Atletas!O96="Taijiquan 24 A",Atletas!O96="Taijiquan 32 A",Atletas!O96="Taijiquan 42 A"),406,IF(OR(Atletas!O96="Yang 26 B",Atletas!O96="Yang 40 B"),407,IF(OR(Atletas!O96="Chen 25 B",Atletas!O96="Chen 36 B",Atletas!O96="Chen 56 B"),408,IF(Atletas!O96="Sun 73 B",409,IF(Atletas!O96="Wu 45 B",410,IF(Atletas!O96="Wu-Hao 46 B",411,IF(OR(Atletas!O96="Taijiquan 16 B",Atletas!O96="Taijiquan 24 B",Atletas!O96="Taijiquan 32 B",Atletas!O96="Taijiquan 42 B"),412,IF(OR(Atletas!O96="Yang 26 C",Atletas!O96="Yang 40 C"),413,IF(OR(Atletas!O96="Chen 25 C",Atletas!O96="Chen 36 C",Atletas!O96="Chen 56 C"),414,IF(Atletas!O96="Sun 73 C",415,IF(Atletas!O96="Wu 45 C",416,IF(Atletas!O96="Wu-Hao 46 C",417,IF(OR(Atletas!O96="Taijiquan 16 C",Atletas!O96="Taijiquan 24 C",Atletas!O96="Taijiquan 32 C",Atletas!O96="Taijiquan 42 C"),418,0)))))))))))))))))))</f>
        <v/>
      </c>
      <c r="BQ100" s="52" t="str">
        <f>IF(Atletas!O96="","",IF(Atletas!W96&lt;&gt;"",10000,0)+IF(Atletas!B96="Feminino",1000,IF(Atletas!B96="Masculino",2000,""))+IF(OR(Atletas!O96="Yang 26 D",Atletas!O96="Yang 40 D"),419,IF(OR(Atletas!O96="Chen 25 D",Atletas!O96="Chen 36 D",Atletas!O96="Chen 56 D"),420,IF(Atletas!O96="Sun 73 D",421,IF(Atletas!O96="Wu 45 D",422,IF(Atletas!O96="Wu-Hao 46 D",423,IF(OR(Atletas!O96="Taijiquan 16 D",Atletas!O96="Taijiquan 24 D",Atletas!O96="Taijiquan 32 D",Atletas!O96="Taijiquan 42 D"),424,IF(OR(Atletas!O96="Yang 26 E",Atletas!O96="Yang 40 E"),425,IF(OR(Atletas!O96="Chen 25 E",Atletas!O96="Chen 36 E",Atletas!O96="Chen 56 E"),426,IF(Atletas!O96="Sun 73 E",427,IF(Atletas!O96="Wu 45 E",428,IF(Atletas!O96="Wu-Hao 46 E",429,IF(OR(Atletas!O96="Taijiquan 16 E",Atletas!O96="Taijiquan 24 E",Atletas!O96="Taijiquan 32 E",Atletas!O96="Taijiquan 42 E"),430,IF(OR(Atletas!O96="Yang 26 F",Atletas!O96="Yang 40 F"),431,IF(OR(Atletas!O96="Chen 25 F",Atletas!O96="Chen 36 F",Atletas!O96="Chen 56 F"),432,IF(Atletas!O96="Sun 73 F",433,IF(Atletas!O96="Wu 45 F",434,IF(Atletas!O96="Wu-Hao 46 F",435,IF(OR(Atletas!O96="Taijiquan 16 F",Atletas!O96="Taijiquan 24 F",Atletas!O96="Taijiquan 32 F",Atletas!O96="Taijiquan 42 F"),436,0)))))))))))))))))))</f>
        <v/>
      </c>
      <c r="BR100" s="52" t="str">
        <f>IF(Atletas!P96="","",IF(Atletas!W96&lt;&gt;"",10000,0)+IF(Atletas!B96="Feminino",1000,IF(Atletas!B96="Masculino",2000,""))+IF(Atletas!P96="Xingyiquan A",501,IF(Atletas!P96="Baguazhang A",502,IF(Atletas!P96="Outro Estilo Interno A",503,IF(Atletas!P96="Xingyiquan B",504,IF(Atletas!P96="Baguazhang B",505,IF(Atletas!P96="Outro Estilo Interno B",506,IF(Atletas!P96="Xingyiquan C",507,IF(Atletas!P96="Baguazhang C",508,IF(Atletas!P96="Outro Estilo Interno C",509,IF(Atletas!P96="Xingyiquan D",510,IF(Atletas!P96="Baguazhang D",511,IF(Atletas!P96="Outro Estilo Interno D",512,IF(Atletas!P96="Xingyiquan E",513,IF(Atletas!P96="Baguazhang E",514,IF(Atletas!P96="Outro Estilo Interno E",515,IF(Atletas!P96="Xingyiquan F",516,IF(Atletas!P96="Baguazhang F",517,IF(Atletas!P96="Outro Estilo Interno F",518, "")))))))))))))))))))</f>
        <v/>
      </c>
      <c r="BS100" s="52" t="str">
        <f>IF(Atletas!Q96="","",IF(Atletas!W96&lt;&gt;"",10000,0)+IF(Atletas!B96="Feminino",1000,IF(Atletas!B96="Masculino",2000,""))+IF(Atletas!Q96="Dao A",601,IF(Atletas!Q96="Jian A",602,IF(Atletas!Q96="Bishou A",603,IF(Atletas!Q96="Shan A",604,IF(Atletas!Q96="Outra Arma Curta A",605,IF(Atletas!Q96="Dao B",606,IF(Atletas!Q96="Jian B",607,IF(Atletas!Q96="Bishou B",608,IF(Atletas!Q96="Shan B",609,IF(Atletas!Q96="Outra Arma Curta B",610,IF(Atletas!Q96="Dao C",611,IF(Atletas!Q96="Jian C",612,IF(Atletas!Q96="Bishou C",613,IF(Atletas!Q96="Shan C",614,IF(Atletas!Q96="Outra Arma Curta C",615,IF(Atletas!Q96="Dao D",616,IF(Atletas!Q96="Jian D",617,IF(Atletas!Q96="Bishou D",618,IF(Atletas!Q96="Shan D",619,IF(Atletas!Q96="Outra Arma Curta D",620,IF(Atletas!Q96="Dao E",621,IF(Atletas!Q96="Jian E",622,IF(Atletas!Q96="Bishou E",623,IF(Atletas!Q96="Shan E",624,IF(Atletas!Q96="Outra Arma Curta E",625,IF(Atletas!Q96="Dao F",626,IF(Atletas!Q96="Jian F",627,IF(Atletas!Q96="Bishou F",628,IF(Atletas!Q96="Shan F",629,IF(Atletas!Q96="Outra Arma Curta F",630, "")))))))))))))))))))))))))))))))</f>
        <v/>
      </c>
      <c r="BT100" s="52" t="str">
        <f>IF(Atletas!R96="","",IF(Atletas!W96&lt;&gt;"",10000,0)+IF(Atletas!B96="Feminino",1000,IF(Atletas!B96="Masculino",2000,""))+IF(Atletas!R96="Gun A",701,IF(Atletas!R96="Qiang A",702,IF(Atletas!R96="Pudao / Guandao A",703,IF(Atletas!R96="Outra Arma Longa A",704,IF(Atletas!R96="Gun B",705,IF(Atletas!R96="Qiang B",706,IF(Atletas!R96="Pudao / Guandao B",707,IF(Atletas!R96="Outra Arma Longa B",708,IF(Atletas!R96="Gun C",709,IF(Atletas!R96="Qiang C",710,IF(Atletas!R96="Pudao / Guandao C",711,IF(Atletas!R96="Outra Arma Longa C",712,IF(Atletas!R96="Gun D",713,IF(Atletas!R96="Qiang D",714,IF(Atletas!R96="Pudao / Guandao D",715,IF(Atletas!R96="Outra Arma Longa D",716,IF(Atletas!R96="Gun E",717,IF(Atletas!R96="Qiang E",718,IF(Atletas!R96="Pudao / Guandao E",719,IF(Atletas!R96="Outra Arma Longa E",720,IF(Atletas!R96="Gun F",721,IF(Atletas!R96="Qiang F",722,IF(Atletas!R96="Pudao / Guandao F",723,IF(Atletas!R96="Outra Arma Longa F",724,"")))))))))))))))))))))))))</f>
        <v/>
      </c>
      <c r="BU100" s="52" t="str">
        <f>IF(Atletas!S96="","",IF(Atletas!W96&lt;&gt;"",10000,0)+IF(Atletas!B96="Feminino",1000,IF(Atletas!B96="Masculino",2000,""))+IF(Atletas!S96="Arma Dupla A",801,IF(Atletas!S96="Arma Maleável A",802,IF(Atletas!S96="Arma Dupla B",803,IF(Atletas!S96="Arma Maleável B",804,IF(Atletas!S96="Arma Dupla C",805,IF(Atletas!S96="Arma Maleável C",806,IF(Atletas!S96="Arma Dupla D",807,IF(Atletas!S96="Arma Maleável D",808,IF(Atletas!S96="Arma Dupla E",809,IF(Atletas!S96="Arma Maleável E",810,IF(Atletas!S96="Arma Dupla F",811,IF(Atletas!S96="Arma Maleável F",812, "")))))))))))))</f>
        <v/>
      </c>
      <c r="BV100" s="52" t="str">
        <f>IF(Atletas!T96="","",IF(Atletas!W96&lt;&gt;"",10000,0)+IF(Atletas!B96="Feminino",1000,IF(Atletas!B96="Masculino",2000,""))+IF(Atletas!T96="Taijijian Yang A",901,IF(Atletas!T96="Taijijian Chen A",902,IF(Atletas!T96="Taijijian Sun A",903,IF(Atletas!T96="Taijijian Wu A",904,IF(Atletas!T96="Taijijian Wu-Hao A",905,IF(Atletas!T96="Taijijian 32 A",906,IF(Atletas!T96="Taijijian 42 A",907,IF(Atletas!T96="Taijijian Yang B",908,IF(Atletas!T96="Taijijian Chen B",909,IF(Atletas!T96="Taijijian Sun B",910,IF(Atletas!T96="Taijijian Wu B",911,IF(Atletas!T96="Taijijian Wu-Hao B",912,IF(Atletas!T96="Taijijian 32 B",913,IF(Atletas!T96="Taijijian 42 B",914,IF(Atletas!T96="Taijijian Yang C",915,IF(Atletas!T96="Taijijian Chen C",916,IF(Atletas!T96="Taijijian Sun C",917,IF(Atletas!T96="Taijijian Wu C",918,IF(Atletas!T96="Taijijian Wu-Hao C",919,IF(Atletas!T96="Taijijian 32 C",920,IF(Atletas!T96="Taijijian 42 C",921,IF(Atletas!T96="Taijijian Yang D",922,IF(Atletas!T96="Taijijian Chen D",923,IF(Atletas!T96="Taijijian Sun D",924,IF(Atletas!T96="Taijijian Wu D",925,IF(Atletas!T96="Taijijian Wu-Hao D",926,IF(Atletas!T96="Taijijian 32 D",927,IF(Atletas!T96="Taijijian 42 D",928,IF(Atletas!T96="Taijijian Yang E",929,IF(Atletas!T96="Taijijian Chen E",930,IF(Atletas!T96="Taijijian Sun E",931,IF(Atletas!T96="Taijijian Wu E",932,IF(Atletas!T96="Taijijian Wu-Hao E",933,IF(Atletas!T96="Taijijian 32 E",934,IF(Atletas!T96="Taijijian 42 E",935,IF(Atletas!T96="Taijijian Yang F",936,IF(Atletas!T96="Taijijian Chen F",937,IF(Atletas!T96="Taijijian Sun F",938,IF(Atletas!T96="Taijijian Wu F",939,IF(Atletas!T96="Taijijian Wu-Hao F",940,IF(Atletas!T96="Taijijian 32 F",941,IF(Atletas!T96="Taijijian 42 F",942,"")))))))))))))))))))))))))))))))))))))))))))</f>
        <v/>
      </c>
      <c r="BW100" s="52" t="str">
        <f>IF(Atletas!U96="","",IF(Atletas!W96&lt;&gt;"",10000,0)+IF(Atletas!B96="Feminino",1000,IF(Atletas!B96="Masculino",2000,""))+IF(Atletas!T96="Taijijian 42 F",942,IF(Atletas!U96="Taijidao A",943,IF(Atletas!U96="Taijishan A",944,IF(Atletas!U96="Taijiqiang A",945,IF(Atletas!U96="Taijidao B",946,IF(Atletas!U96="Taijishan B",947,IF(Atletas!U96="Taijiqiang B",948,IF(Atletas!U96="Taijidao C",949,IF(Atletas!U96="Taijishan C",950,IF(Atletas!U96="Taijiqiang C",951,IF(Atletas!U96="Taijidao D",952,IF(Atletas!U96="Taijishan D",953,IF(Atletas!U96="Taijiqiang D",954,IF(Atletas!U96="Taijidao E",955,IF(Atletas!U96="Taijishan E",956,IF(Atletas!U96="Taijiqiang E",957,IF(Atletas!U96="Taijidao F",958,IF(Atletas!U96="Taijishan F",959,IF(Atletas!U96="Taijiqiang F",960))))))))))))))))))))</f>
        <v/>
      </c>
      <c r="BX100" s="64" t="str">
        <f>IF(BY100&lt;&gt;"","Wudangquan E","")</f>
        <v/>
      </c>
      <c r="BY100" s="64" t="str">
        <f>IF(COUNTIF(BK:BW,1164)&gt;0,COUNTIF(BK:BW,1164),"")</f>
        <v/>
      </c>
      <c r="BZ100" s="64" t="str">
        <f>IF(CA100&lt;&gt;"","Wudangquan E","")</f>
        <v/>
      </c>
      <c r="CA100" s="64" t="str">
        <f>IF(COUNTIF(BK:BW,2164)&gt;0,COUNTIF(BK:BW,2164),"")</f>
        <v/>
      </c>
      <c r="CB100" s="64" t="str">
        <f>IF(CC100&lt;&gt;"","Wudangquan E","")</f>
        <v/>
      </c>
      <c r="CC100" s="64" t="str">
        <f>IF(COUNTIF(BK:BW,11164)&gt;0,COUNTIF(BK:BW,11164),"")</f>
        <v/>
      </c>
      <c r="CD100" s="64" t="str">
        <f>IF(CE100&lt;&gt;"","Wudangquan E","")</f>
        <v/>
      </c>
      <c r="CE100" s="64" t="str">
        <f>IF(COUNTIF(BK:BW,12164)&gt;0,COUNTIF(BK:BW,12164),"")</f>
        <v/>
      </c>
      <c r="CF100" s="52" t="str">
        <f xml:space="preserve"> IF(Atletas!V96="","",IF(Atletas!V96="Duilian de Mãos AB - Equipe 1",1,IF(Atletas!V96="Duilian de Mãos AB - Equipe 2",2,IF(Atletas!V96="Duilian de Armas AB - Equipe 1",3,IF(Atletas!V96="Duilian de Armas AB - Equipe 2",4,IF(Atletas!V96="Duilian de Tuishou - Equipe 1",5,IF(Atletas!V96="Duilian de Tuishou - Equipe 2",6,IF(Atletas!V96="Grupo Externo AB - Equipe 1",7,IF(Atletas!V96="Grupo Externo AB - Equipe 2",8,IF(Atletas!V96="Grupo Interno AB - Equipe 1",9,IF(Atletas!V96="Grupo Interno AB - Equipe 2",10,IF(Atletas!V96="Duilian de Mãos CD - Equipe 1",11,IF(Atletas!V96="Duilian de Mãos CD - Equipe 2",12,IF(Atletas!V96="Duilian de Armas CD - Equipe 1",13,IF(Atletas!V96="Duilian de Armas CD - Equipe 2",14,IF(Atletas!V96="Duilian de Tuishou - Equipe 1",15,IF(Atletas!V96="Duilian de Tuishou - Equipe 2",16,IF(Atletas!V96="Grupo Externo CDEF - Equipe 1",17,IF(Atletas!V96="Grupo Externo CDEF - Equipe 2",18,IF(Atletas!V96="Grupo Interno CDEF - Equipe 1",19,IF(Atletas!V96="Grupo Interno CDEF - Equipe 2",20,IF(Atletas!V96="Duilian de Mãos EF - Equipe 1",21,IF(Atletas!V96="Duilian de Mãos EF - Equipe 2",22,IF(Atletas!V96="Duilian de Armas EF - Equipe 1",23,IF(Atletas!V96="Duilian de Armas EF - Equipe 2",24,IF(Atletas!V96="Duilian de Tuishou - Equipe 1",25,IF(Atletas!V96="Duilian de Tuishou - Equipe 2",26,"")))))))))))))))))))))))))))</f>
        <v/>
      </c>
    </row>
    <row r="101" spans="2:84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 t="str">
        <f t="array" ref="V101">IFERROR(INDEX(BX$7:BX$336,SMALL(IF(BX$7:BX$336&lt;&gt;"",ROW(BX$7:BX$336)-ROW(BX$7)+1),ROWS(BX$7:BX100))),"")</f>
        <v/>
      </c>
      <c r="W101" s="4" t="str">
        <f t="array" ref="W101">IFERROR(INDEX(BY$7:BY$336,SMALL(IF(BY$7:BY$336&lt;&gt;"",ROW(BY$7:BY$336)-ROW(BY$7)+1),ROWS(BY$7:BY100))),"")</f>
        <v/>
      </c>
      <c r="X101" s="4" t="str">
        <f t="array" ref="X101">IFERROR(INDEX(BZ$7:BZ$336,SMALL(IF(BZ$7:BZ$336&lt;&gt;"",ROW(BZ$7:BZ$336)-ROW(BZ$7)+1),ROWS(BZ$7:BZ100))),"")</f>
        <v/>
      </c>
      <c r="Y101" s="4" t="str">
        <f t="array" ref="Y101">IFERROR(INDEX(CA$7:CA$336,SMALL(IF(CA$7:CA$336&lt;&gt;"",ROW(CA$7:CA$336)-ROW(CA$7)+1),ROWS(CA$7:CA100))),"")</f>
        <v/>
      </c>
      <c r="Z101" s="4" t="str">
        <f t="array" ref="Z101">IFERROR(INDEX(CB$7:CB$378,SMALL(IF(CB$7:CB$378&lt;&gt;"",ROW(CB$7:CB$378)-ROW(CB$7)+1),ROWS(CB$7:CB100))),"")</f>
        <v/>
      </c>
      <c r="AA101" s="4" t="str">
        <f t="array" ref="AA101">IFERROR(INDEX(CC$7:CC$378,SMALL(IF(CC$7:CC$378&lt;&gt;"",ROW(CC$7:CC$378)-ROW(CC$7)+1),ROWS(CC$7:CC100))),"")</f>
        <v/>
      </c>
      <c r="AB101" s="4" t="str">
        <f t="array" ref="AB101">IFERROR(INDEX(CD$7:CD$378,SMALL(IF(CD$7:CD$378&lt;&gt;"",ROW(CD$7:CD$378)-ROW(CD$7)+1),ROWS(CD$7:CD100))),"")</f>
        <v/>
      </c>
      <c r="AC101" s="4" t="str">
        <f t="array" ref="AC101">IFERROR(INDEX(CE$7:CE$378,SMALL(IF(CE$7:CE$378&lt;&gt;"",ROW(CE$7:CE$378)-ROW(CE$7)+1),ROWS(CE$7:CE100))),"")</f>
        <v/>
      </c>
      <c r="AD101" s="4"/>
      <c r="AE101" s="4"/>
      <c r="AF101" s="4"/>
      <c r="AG101" s="4"/>
      <c r="AH101" s="4"/>
      <c r="AI101" s="4"/>
      <c r="AJ101" s="46" t="str">
        <f>IF(Atletas!D97="","",IF(Atletas!B97="Feminino",100,IF(Atletas!B97="Masculino",200,""))+(IF(Atletas!D97="Infantil 39kg",1,IF(Atletas!D97="Infantil 42kg",2,IF(Atletas!D97="Infantil 45kg",3,IF(Atletas!D97="Infantil 48kg",4,IF(Atletas!D97="Infantil 52kg",5,IF(Atletas!D97="Infantil 56kg",6,IF(Atletas!D97="Infantil 60kg",7,IF(Atletas!D97="Juvenil 48kg",8,IF(Atletas!D97="Juvenil 52kg",9,IF(Atletas!D97="Juvenil 56kg",10,IF(Atletas!D97="Juvenil 60kg",11,IF(Atletas!D97="Juvenil 65kg",12,IF(Atletas!D97="Juvenil 70kg",13,IF(Atletas!D97="Juvenil 75kg",14,IF(Atletas!D97="Juvenil 80kg",15,IF(Atletas!D97="Adulto 48kg",16,IF(Atletas!D97="Adulto 52kg",17,IF(Atletas!D97="Adulto 56kg",18,IF(Atletas!D97="Adulto 60kg",19,IF(Atletas!D97="Adulto 65kg",20,IF(Atletas!D97="Adulto 70kg",21,IF(Atletas!D97="Adulto 75kg",22,IF(Atletas!D97="Adulto 80kg",23,IF(Atletas!D97="Adulto 85kg",24,IF(Atletas!D97="Adulto 90kg",25,IF(Atletas!D97="Adulto +90kg",26,""))))))))))))))))))))))))))))</f>
        <v/>
      </c>
      <c r="AO101" s="10" t="str">
        <f>IF(Atletas!E97="","",IF(Atletas!B97="Feminino",100,IF(Atletas!B97="Masculino",200,""))+(IF(Atletas!E97="Juvenil 44kg",1,IF(Atletas!E97="Juvenil 48kg",2,IF(Atletas!E97="Juvenil 52kg",3,IF(Atletas!E97="Juvenil 56kg",4,IF(Atletas!E97="Juvenil 60kg",5,IF(Atletas!E97="Juvenil 65kg",6,IF(Atletas!E97="Juvenil 70kg",7,IF(Atletas!E97="Juvenil 75kg",8,IF(Atletas!E97="Juvenil 82kg",9,IF(Atletas!E97="Juvenil 90kg",10,IF(Atletas!E97="Juvenil 100kg",11,IF(Atletas!E97="Adulto 48kg",12,IF(Atletas!E97="Adulto 52kg",13,IF(Atletas!E97="Adulto 56kg",14,IF(Atletas!E97="Adulto 60kg",15,IF(Atletas!E97="Adulto 65kg",16,IF(Atletas!E97="Adulto 70kg",17,IF(Atletas!E97="Adulto 75kg",18,IF(Atletas!E97="Adulto 82kg",19,IF(Atletas!E97="Adulto 90kg",20,IF(Atletas!E97="Adulto 100kg",21,IF(Atletas!E97="Adulto +100kg",22,""))))))))))))))))))))))))</f>
        <v/>
      </c>
      <c r="AT101" s="10" t="str">
        <f>IF(Atletas!F97="","",IF(Atletas!B97="Feminino",100,IF(Atletas!B97="Masculino",200,""))+(IF(Atletas!F97="Adulto 48kg",1,IF(Atletas!F97="Adulto 56kg",2,IF(Atletas!F97="Adulto 65kg",3,IF(Atletas!F97="Adulto 75kg",4,IF(Atletas!F97="Adulto +75kg",5,IF(Atletas!F97="Adulto 52kg",6,IF(Atletas!F97="Adulto 60kg",7,IF(Atletas!F97="Adulto 70kg",8,IF(Atletas!F97="Adulto 80kg",9,IF(Atletas!F97="Adulto 90kg",10,IF(Atletas!F97="Adulto +90kg",11,"")))))))))))))</f>
        <v/>
      </c>
      <c r="AY101" s="46" t="str">
        <f>IF(Atletas!G97="","",IF(Atletas!B97="Feminino",100,IF(Atletas!B97="Masculino",200,""))+(IF(Atletas!G97="Changquan Mirim",1,IF(Atletas!G97="Nanquan Mirim",2,IF(Atletas!G97="Taijiquan Mirim",3,IF(Atletas!G97="Changquan Grupo C",4,IF(Atletas!G97="Nanquan Grupo C",5,IF(Atletas!G97="Taijiquan Grupo C",6,IF(Atletas!G97="Changquan Grupo B",7,IF(Atletas!G97="Nanquan Grupo B",8,IF(Atletas!G97="Taijiquan Grupo B",9,IF(Atletas!G97="Changquan Grupo A",10,IF(Atletas!G97="Nanquan Grupo A",11,IF(Atletas!G97="Taijiquan Grupo A",12,IF(Atletas!G97="Changquan Opcional",13,IF(Atletas!G97="Nanquan Opcional",14,IF(Atletas!G97="Taijiquan Opcional",15,IF(Atletas!G97="Changquan Adulto",16,IF(Atletas!G97="Nanquan Adulto",17,IF(Atletas!G97="Taijiquan Adulto",18,""))))))))))))))))))))</f>
        <v/>
      </c>
      <c r="AZ101" s="46" t="str">
        <f>IF(Atletas!H97="","",IF(Atletas!B97="Feminino",100,IF(Atletas!B97="Masculino",200,""))+(IF(Atletas!H97="Daoshu Mirim",19,IF(Atletas!H97="Jianshu Mirim",20,IF(Atletas!H97="Nandao Mirim",21,IF(Atletas!H97="Taijijian Mirim",22,IF(Atletas!H97="Daoshu Grupo C",23,IF(Atletas!H97="Jianshu Grupo C",24,IF(Atletas!H97="Nandao Grupo C",25,IF(Atletas!H97="Taijijian Grupo C",26,IF(Atletas!H97="Daoshu Grupo B",27,IF(Atletas!H97="Jianshu Grupo B",28,IF(Atletas!H97="Nandao Grupo B",29,IF(Atletas!H97="Taijijian Grupo B",30,IF(Atletas!H97="Daoshu Grupo A",31,IF(Atletas!H97="Jianshu Grupo A",32,IF(Atletas!H97="Nandao Grupo A",33,IF(Atletas!H97="Taijijian Grupo A",34,IF(Atletas!H97="Daoshu Opcional",35,IF(Atletas!H97="Jianshu Opcional",36,IF(Atletas!H97="Nandao Opcional",37,IF(Atletas!H97="Taijijian Opcional",38,IF(Atletas!H97="Daoshu Adulto",39,IF(Atletas!H97="Jianshu Adulto",40,IF(Atletas!H97="Nandao Adulto",41,IF(Atletas!H97="Taijijian Adulto",42,""))))))))))))))))))))))))))</f>
        <v/>
      </c>
      <c r="BA101" s="46" t="str">
        <f>IF(Atletas!I97="","",IF(Atletas!B97="Feminino",100,IF(Atletas!B97="Masculino",200,""))+(IF(Atletas!I97="Gunshu Mirim",43,IF(Atletas!I97="Qiangshu Mirim",44,IF(Atletas!I97="Nangun Mirim",45,IF(Atletas!I97="Gunshu Grupo C",46,IF(Atletas!I97="Qiangshu Grupo C",47,IF(Atletas!I97="Nangun Grupo C",48,IF(Atletas!I97="Gunshu Grupo B",49,IF(Atletas!I97="Qiangshu Grupo B",50,IF(Atletas!I97="Nangun Grupo B",51,IF(Atletas!I97="Gunshu Grupo A",52,IF(Atletas!I97="Qiangshu Grupo A",53,IF(Atletas!I97="Nangun Grupo A",54,IF(Atletas!I97="Gunshu Opcional",55,IF(Atletas!I97="Qiangshu Opcional",56,IF(Atletas!I97="Nangun Opcional",57,IF(Atletas!I97="Gunshu Adulto",58,IF(Atletas!I97="Qiangshu Adulto",59,IF(Atletas!I97="Nangun Adulto",60,""))))))))))))))))))))</f>
        <v/>
      </c>
      <c r="BF101" s="52" t="str">
        <f>IF(Atletas!J97="","",IF(Atletas!B97="Feminino",100,IF(Atletas!B97="Masculino",200,""))+(IF(Atletas!J97="Equipe 1 Grupo B",1,IF(Atletas!J97="Equipe 2 Grupo B",2,IF(Atletas!J97="Equipe 1 Grupo A",3,IF(Atletas!J97="Equipe 2 Grupo A",4,IF(Atletas!J97="Equipe 1 Adulto",5,IF(Atletas!J97="Equipe 2 Adulto",6,""))))))))</f>
        <v/>
      </c>
      <c r="BK101" s="52" t="str">
        <f>IF(Atletas!K97="","",IF(Atletas!W97&lt;&gt;"",10000,0)+(IF(Atletas!B97="Feminino",1000,IF(Atletas!B97="Masculino",2000,""))+IF(Atletas!K97="Choylayfut A",1,IF(Atletas!K97="Hunggar A",2,IF(Atletas!K97="Wuzuquan A",3,IF(Atletas!K97="Wingchun A",4,IF(Atletas!K97="Outra Mão de Sul A",5,IF(Atletas!K97="Choylayfut B",6,IF(Atletas!K97="Hunggar B",7,IF(Atletas!K97="Wuzuquan B",8,IF(Atletas!K97="Wingchun B",9,IF(Atletas!K97="Outra Mão de Sul B",10,IF(Atletas!K97="Choylayfut C",11,IF(Atletas!K97="Hunggar C",12,IF(Atletas!K97="Wuzuquan C",13,IF(Atletas!K97="Wingchun C",14,IF(Atletas!K97="Outra Mão de Sul C",15,IF(Atletas!K97="Choylayfut D",16,IF(Atletas!K97="Hunggar D",17,IF(Atletas!K97="Wuzuquan D",18,IF(Atletas!K97="Wingchun D",19,IF(Atletas!K97="Outra Mão de Sul D",20,IF(Atletas!K97="Choylayfut E",21,IF(Atletas!K97="Hunggar E",22,IF(Atletas!K97="Wuzuquan E",23,IF(Atletas!K97="Wingchun E",24,IF(Atletas!K97="Outra Mão de Sul E",25,IF(Atletas!K97="Choylayfut F",26,IF(Atletas!K97="Hunggar F",27,IF(Atletas!K97="Wuzuquan F",28,IF(Atletas!K97="Wingchun F",29,IF(Atletas!K97="Outra Mão de Sul F",30,""))))))))))))))))))))))))))))))))</f>
        <v/>
      </c>
      <c r="BL101" s="52" t="str">
        <f>IF(Atletas!L97="","",IF(Atletas!W97&lt;&gt;"",10000,0)+(IF(Atletas!B97="Feminino",1000,IF(Atletas!B97="Masculino",2000,""))+(IF(Atletas!L97="Chaquan A",101,IF(Atletas!L97="Emeiquan A",102,IF(Atletas!L97="Fanziquan A",103,IF(Atletas!L97="Huaquan A",104,IF(Atletas!L97="Hongquan A",105,IF(Atletas!L97="Paochui A",106,IF(Atletas!L97="Piguaquan A",107,IF(Atletas!L97="Shaolinquan A",108,IF(Atletas!L97="Tanglangquan A",109,IF(Atletas!L97="Yinzhaophai A",110,IF(Atletas!L97="Tongbeiquan A",111,IF(Atletas!L97="Wudangquan A",112,IF(Atletas!L97="Outros Estilos A",113,IF(Atletas!L97="Chaquan B",114,IF(Atletas!L97="Emeiquan B",115,IF(Atletas!L97="Fanziquan B",116,IF(Atletas!L97="Huaquan B",117,IF(Atletas!L97="Hongquan B",118,IF(Atletas!L97="Paochui B",119,IF(Atletas!L97="Piguaquan B",120,IF(Atletas!L97="Shaolinquan B",121,IF(Atletas!L97="Tanglangquan B",122,IF(Atletas!L97="Yinzhaophai B",123,IF(Atletas!L97="Tongbeiquan B",124,IF(Atletas!L97="Wudangquan B",125,IF(Atletas!L97="Outros Estilos B",126,IF(Atletas!L97="Chaquan C",127,IF(Atletas!L97="Emeiquan C",128,IF(Atletas!L97="Fanziquan C",129,IF(Atletas!L97="Huaquan C",130,IF(Atletas!L97="Hongquan C",131,IF(Atletas!L97="Paochui C",132,IF(Atletas!L97="Piguaquan C",133,IF(Atletas!L97="Shaolinquan C",134,IF(Atletas!L97="Tanglangquan C",135,IF(Atletas!L97="Yinzhaophai C",136,IF(Atletas!L97="Tongbeiquan C",137,IF(Atletas!L97="Wudangquan C",138,IF(Atletas!L97="Outros Estilos C",139,0))))))))))))))))))))))))))))))))))))))))))</f>
        <v/>
      </c>
      <c r="BM101" s="52" t="str">
        <f>IF(Atletas!L97="","",IF(Atletas!W97&lt;&gt;"",10000,0)+(IF(Atletas!B97="Feminino",1000,IF(Atletas!B97="Masculino",2000,""))+(IF(Atletas!L97="Chaquan D",140,IF(Atletas!L97="Emeiquan D",141,IF(Atletas!L97="Fanziquan D",142,IF(Atletas!L97="Huaquan D",143,IF(Atletas!L97="Hongquan D",144,IF(Atletas!L97="Paochui D",145,IF(Atletas!L97="Piguaquan D",146,IF(Atletas!L97="Shaolinquan D",147,IF(Atletas!L97="Tanglangquan D",148,IF(Atletas!L97="Yinzhaophai D",149,IF(Atletas!L97="Tongbeiquan D",150,IF(Atletas!L97="Wudangquan D",151,IF(Atletas!L97="Outros Estilos D",152,IF(Atletas!L97="Chaquan E",153,IF(Atletas!L97="Emeiquan E",154,IF(Atletas!L97="Fanziquan E",155,IF(Atletas!L97="Huaquan E",156,IF(Atletas!L97="Hongquan E",157,IF(Atletas!L97="Paochui E",158,IF(Atletas!L97="Piguaquan E",159,IF(Atletas!L97="Shaolinquan E",160,IF(Atletas!L97="Tanglangquan E",161,IF(Atletas!L97="Yinzhaophai E",162,IF(Atletas!L97="Tongbeiquan E",163,IF(Atletas!L97="Wudangquan E",164,IF(Atletas!L97="Outros Estilos E",165,IF(Atletas!L97="Chaquan F",166,IF(Atletas!L97="Emeiquan F",167,IF(Atletas!L97="Fanziquan F",168,IF(Atletas!L97="Huaquan F",169,IF(Atletas!L97="Hongquan F",170,IF(Atletas!L97="Paochui F",171,IF(Atletas!L97="Piguaquan F",172,IF(Atletas!L97="Shaolinquan F",173,IF(Atletas!L97="Tanglangquan F",174,IF(Atletas!L97="Yinzhaophai F",175,IF(Atletas!L97="Tongbeiquan F",176,IF(Atletas!L97="Wudangquan F",177,IF(Atletas!L97="Outros Estilos F",178,0))))))))))))))))))))))))))))))))))))))))))</f>
        <v/>
      </c>
      <c r="BN101" s="52" t="str">
        <f>IF(Atletas!M97="","",IF(Atletas!W97&lt;&gt;"",10000,0)+(IF(Atletas!B97="Feminino",1000,IF(Atletas!B97="Masculino",2000,""))+(IF(Atletas!M97="Ditangquan A",201,IF(Atletas!M97="Houquan A",202,IF(Atletas!M97="Zuiquan A",203,IF(Atletas!M97="Ditangquan B",204,IF(Atletas!M97="Houquan B",205,IF(Atletas!M97="Zuiquan B",206,IF(Atletas!M97="Ditangquan C",207,IF(Atletas!M97="Houquan C",208,IF(Atletas!M97="Zuiquan C",209,IF(Atletas!M97="Ditangquan D",210,IF(Atletas!M97="Houquan D",211,IF(Atletas!M97="Zuiquan D",212,IF(Atletas!M97="Ditangquan E",213,IF(Atletas!M97="Houquan E",214,IF(Atletas!M97="Zuiquan E",215,IF(Atletas!M97="Ditangquan F",216,IF(Atletas!M97="Houquan F",217,IF(Atletas!M97="Zuiquan F",218,"")))))))))))))))))))))</f>
        <v/>
      </c>
      <c r="BO101" s="52" t="str">
        <f>IF(Atletas!N97="","",IF(Atletas!W97&lt;&gt;"",10000,0)+IF(Atletas!B97="Feminino",1000,IF(Atletas!B97="Masculino",2000,""))+IF(Atletas!N97="Yang A",301,IF(Atletas!N97="Chen A",30,IF(Atletas!N97="Sun A",303,IF(Atletas!N97="Wu A",304,IF(Atletas!N97="Wu-Hao A",305,IF(Atletas!N97="Outro Taijiquan A",306,IF(Atletas!N97="Yang B",307,IF(Atletas!N97="Chen B",308,IF(Atletas!N97="Sun B",309,IF(Atletas!N97="Wu B",310,IF(Atletas!N97="Wu-Hao B",311,IF(Atletas!N97="Outro Taijiquan B",312,IF(Atletas!N97="Yang C",313,IF(Atletas!N97="Chen C",314,IF(Atletas!N97="Sun C",315,IF(Atletas!N97="Wu C",316,IF(Atletas!N97="Wu-Hao C",317,IF(Atletas!N97="Outro Taijiquan C",318,IF(Atletas!N97="Yang D",319,IF(Atletas!N97="Chen D",320,IF(Atletas!N97="Sun D",321,IF(Atletas!N97="Wu D",322,IF(Atletas!N97="Wu-Hao D",323,IF(Atletas!N97="Outro Taijiquan D",324,IF(Atletas!N97="Yang E",325,IF(Atletas!N97="Chen E",326,IF(Atletas!N97="Sun E",327,IF(Atletas!N97="Wu E",328,IF(Atletas!N97="Wu-Hao E",329,IF(Atletas!N97="Outro Taijiquan E",330,IF(Atletas!N97="Yang F",331,IF(Atletas!N97="Chen F",332,IF(Atletas!N97="Sun F",333,IF(Atletas!N97="Wu F",334,IF(Atletas!N97="Wu-Hao F",335,IF(Atletas!N97="Outro Taijiquan F",336,"")))))))))))))))))))))))))))))))))))))</f>
        <v/>
      </c>
      <c r="BP101" s="52" t="str">
        <f>IF(Atletas!O97="","",IF(Atletas!W97&lt;&gt;"",10000,0)+IF(Atletas!B97="Feminino",1000,IF(Atletas!B97="Masculino",2000,""))+IF(OR(Atletas!O97="Yang 26 A",Atletas!O97="Yang 40 A"),401,IF(OR(Atletas!O97="Chen 25 A",Atletas!O97="Chen 36 A",Atletas!O97="Chen 56 A"),402,IF(Atletas!O97="Sun 73 A",403,IF(Atletas!O97="Wu 45 A",404,IF(Atletas!O97="Wu-Hao 46 A",405,IF(OR(Atletas!O97="Taijiquan 16 A",Atletas!O97="Taijiquan 24 A",Atletas!O97="Taijiquan 32 A",Atletas!O97="Taijiquan 42 A"),406,IF(OR(Atletas!O97="Yang 26 B",Atletas!O97="Yang 40 B"),407,IF(OR(Atletas!O97="Chen 25 B",Atletas!O97="Chen 36 B",Atletas!O97="Chen 56 B"),408,IF(Atletas!O97="Sun 73 B",409,IF(Atletas!O97="Wu 45 B",410,IF(Atletas!O97="Wu-Hao 46 B",411,IF(OR(Atletas!O97="Taijiquan 16 B",Atletas!O97="Taijiquan 24 B",Atletas!O97="Taijiquan 32 B",Atletas!O97="Taijiquan 42 B"),412,IF(OR(Atletas!O97="Yang 26 C",Atletas!O97="Yang 40 C"),413,IF(OR(Atletas!O97="Chen 25 C",Atletas!O97="Chen 36 C",Atletas!O97="Chen 56 C"),414,IF(Atletas!O97="Sun 73 C",415,IF(Atletas!O97="Wu 45 C",416,IF(Atletas!O97="Wu-Hao 46 C",417,IF(OR(Atletas!O97="Taijiquan 16 C",Atletas!O97="Taijiquan 24 C",Atletas!O97="Taijiquan 32 C",Atletas!O97="Taijiquan 42 C"),418,0)))))))))))))))))))</f>
        <v/>
      </c>
      <c r="BQ101" s="52" t="str">
        <f>IF(Atletas!O97="","",IF(Atletas!W97&lt;&gt;"",10000,0)+IF(Atletas!B97="Feminino",1000,IF(Atletas!B97="Masculino",2000,""))+IF(OR(Atletas!O97="Yang 26 D",Atletas!O97="Yang 40 D"),419,IF(OR(Atletas!O97="Chen 25 D",Atletas!O97="Chen 36 D",Atletas!O97="Chen 56 D"),420,IF(Atletas!O97="Sun 73 D",421,IF(Atletas!O97="Wu 45 D",422,IF(Atletas!O97="Wu-Hao 46 D",423,IF(OR(Atletas!O97="Taijiquan 16 D",Atletas!O97="Taijiquan 24 D",Atletas!O97="Taijiquan 32 D",Atletas!O97="Taijiquan 42 D"),424,IF(OR(Atletas!O97="Yang 26 E",Atletas!O97="Yang 40 E"),425,IF(OR(Atletas!O97="Chen 25 E",Atletas!O97="Chen 36 E",Atletas!O97="Chen 56 E"),426,IF(Atletas!O97="Sun 73 E",427,IF(Atletas!O97="Wu 45 E",428,IF(Atletas!O97="Wu-Hao 46 E",429,IF(OR(Atletas!O97="Taijiquan 16 E",Atletas!O97="Taijiquan 24 E",Atletas!O97="Taijiquan 32 E",Atletas!O97="Taijiquan 42 E"),430,IF(OR(Atletas!O97="Yang 26 F",Atletas!O97="Yang 40 F"),431,IF(OR(Atletas!O97="Chen 25 F",Atletas!O97="Chen 36 F",Atletas!O97="Chen 56 F"),432,IF(Atletas!O97="Sun 73 F",433,IF(Atletas!O97="Wu 45 F",434,IF(Atletas!O97="Wu-Hao 46 F",435,IF(OR(Atletas!O97="Taijiquan 16 F",Atletas!O97="Taijiquan 24 F",Atletas!O97="Taijiquan 32 F",Atletas!O97="Taijiquan 42 F"),436,0)))))))))))))))))))</f>
        <v/>
      </c>
      <c r="BR101" s="52" t="str">
        <f>IF(Atletas!P97="","",IF(Atletas!W97&lt;&gt;"",10000,0)+IF(Atletas!B97="Feminino",1000,IF(Atletas!B97="Masculino",2000,""))+IF(Atletas!P97="Xingyiquan A",501,IF(Atletas!P97="Baguazhang A",502,IF(Atletas!P97="Outro Estilo Interno A",503,IF(Atletas!P97="Xingyiquan B",504,IF(Atletas!P97="Baguazhang B",505,IF(Atletas!P97="Outro Estilo Interno B",506,IF(Atletas!P97="Xingyiquan C",507,IF(Atletas!P97="Baguazhang C",508,IF(Atletas!P97="Outro Estilo Interno C",509,IF(Atletas!P97="Xingyiquan D",510,IF(Atletas!P97="Baguazhang D",511,IF(Atletas!P97="Outro Estilo Interno D",512,IF(Atletas!P97="Xingyiquan E",513,IF(Atletas!P97="Baguazhang E",514,IF(Atletas!P97="Outro Estilo Interno E",515,IF(Atletas!P97="Xingyiquan F",516,IF(Atletas!P97="Baguazhang F",517,IF(Atletas!P97="Outro Estilo Interno F",518, "")))))))))))))))))))</f>
        <v/>
      </c>
      <c r="BS101" s="52" t="str">
        <f>IF(Atletas!Q97="","",IF(Atletas!W97&lt;&gt;"",10000,0)+IF(Atletas!B97="Feminino",1000,IF(Atletas!B97="Masculino",2000,""))+IF(Atletas!Q97="Dao A",601,IF(Atletas!Q97="Jian A",602,IF(Atletas!Q97="Bishou A",603,IF(Atletas!Q97="Shan A",604,IF(Atletas!Q97="Outra Arma Curta A",605,IF(Atletas!Q97="Dao B",606,IF(Atletas!Q97="Jian B",607,IF(Atletas!Q97="Bishou B",608,IF(Atletas!Q97="Shan B",609,IF(Atletas!Q97="Outra Arma Curta B",610,IF(Atletas!Q97="Dao C",611,IF(Atletas!Q97="Jian C",612,IF(Atletas!Q97="Bishou C",613,IF(Atletas!Q97="Shan C",614,IF(Atletas!Q97="Outra Arma Curta C",615,IF(Atletas!Q97="Dao D",616,IF(Atletas!Q97="Jian D",617,IF(Atletas!Q97="Bishou D",618,IF(Atletas!Q97="Shan D",619,IF(Atletas!Q97="Outra Arma Curta D",620,IF(Atletas!Q97="Dao E",621,IF(Atletas!Q97="Jian E",622,IF(Atletas!Q97="Bishou E",623,IF(Atletas!Q97="Shan E",624,IF(Atletas!Q97="Outra Arma Curta E",625,IF(Atletas!Q97="Dao F",626,IF(Atletas!Q97="Jian F",627,IF(Atletas!Q97="Bishou F",628,IF(Atletas!Q97="Shan F",629,IF(Atletas!Q97="Outra Arma Curta F",630, "")))))))))))))))))))))))))))))))</f>
        <v/>
      </c>
      <c r="BT101" s="52" t="str">
        <f>IF(Atletas!R97="","",IF(Atletas!W97&lt;&gt;"",10000,0)+IF(Atletas!B97="Feminino",1000,IF(Atletas!B97="Masculino",2000,""))+IF(Atletas!R97="Gun A",701,IF(Atletas!R97="Qiang A",702,IF(Atletas!R97="Pudao / Guandao A",703,IF(Atletas!R97="Outra Arma Longa A",704,IF(Atletas!R97="Gun B",705,IF(Atletas!R97="Qiang B",706,IF(Atletas!R97="Pudao / Guandao B",707,IF(Atletas!R97="Outra Arma Longa B",708,IF(Atletas!R97="Gun C",709,IF(Atletas!R97="Qiang C",710,IF(Atletas!R97="Pudao / Guandao C",711,IF(Atletas!R97="Outra Arma Longa C",712,IF(Atletas!R97="Gun D",713,IF(Atletas!R97="Qiang D",714,IF(Atletas!R97="Pudao / Guandao D",715,IF(Atletas!R97="Outra Arma Longa D",716,IF(Atletas!R97="Gun E",717,IF(Atletas!R97="Qiang E",718,IF(Atletas!R97="Pudao / Guandao E",719,IF(Atletas!R97="Outra Arma Longa E",720,IF(Atletas!R97="Gun F",721,IF(Atletas!R97="Qiang F",722,IF(Atletas!R97="Pudao / Guandao F",723,IF(Atletas!R97="Outra Arma Longa F",724,"")))))))))))))))))))))))))</f>
        <v/>
      </c>
      <c r="BU101" s="52" t="str">
        <f>IF(Atletas!S97="","",IF(Atletas!W97&lt;&gt;"",10000,0)+IF(Atletas!B97="Feminino",1000,IF(Atletas!B97="Masculino",2000,""))+IF(Atletas!S97="Arma Dupla A",801,IF(Atletas!S97="Arma Maleável A",802,IF(Atletas!S97="Arma Dupla B",803,IF(Atletas!S97="Arma Maleável B",804,IF(Atletas!S97="Arma Dupla C",805,IF(Atletas!S97="Arma Maleável C",806,IF(Atletas!S97="Arma Dupla D",807,IF(Atletas!S97="Arma Maleável D",808,IF(Atletas!S97="Arma Dupla E",809,IF(Atletas!S97="Arma Maleável E",810,IF(Atletas!S97="Arma Dupla F",811,IF(Atletas!S97="Arma Maleável F",812, "")))))))))))))</f>
        <v/>
      </c>
      <c r="BV101" s="52" t="str">
        <f>IF(Atletas!T97="","",IF(Atletas!W97&lt;&gt;"",10000,0)+IF(Atletas!B97="Feminino",1000,IF(Atletas!B97="Masculino",2000,""))+IF(Atletas!T97="Taijijian Yang A",901,IF(Atletas!T97="Taijijian Chen A",902,IF(Atletas!T97="Taijijian Sun A",903,IF(Atletas!T97="Taijijian Wu A",904,IF(Atletas!T97="Taijijian Wu-Hao A",905,IF(Atletas!T97="Taijijian 32 A",906,IF(Atletas!T97="Taijijian 42 A",907,IF(Atletas!T97="Taijijian Yang B",908,IF(Atletas!T97="Taijijian Chen B",909,IF(Atletas!T97="Taijijian Sun B",910,IF(Atletas!T97="Taijijian Wu B",911,IF(Atletas!T97="Taijijian Wu-Hao B",912,IF(Atletas!T97="Taijijian 32 B",913,IF(Atletas!T97="Taijijian 42 B",914,IF(Atletas!T97="Taijijian Yang C",915,IF(Atletas!T97="Taijijian Chen C",916,IF(Atletas!T97="Taijijian Sun C",917,IF(Atletas!T97="Taijijian Wu C",918,IF(Atletas!T97="Taijijian Wu-Hao C",919,IF(Atletas!T97="Taijijian 32 C",920,IF(Atletas!T97="Taijijian 42 C",921,IF(Atletas!T97="Taijijian Yang D",922,IF(Atletas!T97="Taijijian Chen D",923,IF(Atletas!T97="Taijijian Sun D",924,IF(Atletas!T97="Taijijian Wu D",925,IF(Atletas!T97="Taijijian Wu-Hao D",926,IF(Atletas!T97="Taijijian 32 D",927,IF(Atletas!T97="Taijijian 42 D",928,IF(Atletas!T97="Taijijian Yang E",929,IF(Atletas!T97="Taijijian Chen E",930,IF(Atletas!T97="Taijijian Sun E",931,IF(Atletas!T97="Taijijian Wu E",932,IF(Atletas!T97="Taijijian Wu-Hao E",933,IF(Atletas!T97="Taijijian 32 E",934,IF(Atletas!T97="Taijijian 42 E",935,IF(Atletas!T97="Taijijian Yang F",936,IF(Atletas!T97="Taijijian Chen F",937,IF(Atletas!T97="Taijijian Sun F",938,IF(Atletas!T97="Taijijian Wu F",939,IF(Atletas!T97="Taijijian Wu-Hao F",940,IF(Atletas!T97="Taijijian 32 F",941,IF(Atletas!T97="Taijijian 42 F",942,"")))))))))))))))))))))))))))))))))))))))))))</f>
        <v/>
      </c>
      <c r="BW101" s="52" t="str">
        <f>IF(Atletas!U97="","",IF(Atletas!W97&lt;&gt;"",10000,0)+IF(Atletas!B97="Feminino",1000,IF(Atletas!B97="Masculino",2000,""))+IF(Atletas!T97="Taijijian 42 F",942,IF(Atletas!U97="Taijidao A",943,IF(Atletas!U97="Taijishan A",944,IF(Atletas!U97="Taijiqiang A",945,IF(Atletas!U97="Taijidao B",946,IF(Atletas!U97="Taijishan B",947,IF(Atletas!U97="Taijiqiang B",948,IF(Atletas!U97="Taijidao C",949,IF(Atletas!U97="Taijishan C",950,IF(Atletas!U97="Taijiqiang C",951,IF(Atletas!U97="Taijidao D",952,IF(Atletas!U97="Taijishan D",953,IF(Atletas!U97="Taijiqiang D",954,IF(Atletas!U97="Taijidao E",955,IF(Atletas!U97="Taijishan E",956,IF(Atletas!U97="Taijiqiang E",957,IF(Atletas!U97="Taijidao F",958,IF(Atletas!U97="Taijishan F",959,IF(Atletas!U97="Taijiqiang F",960))))))))))))))))))))</f>
        <v/>
      </c>
      <c r="BX101" s="64" t="str">
        <f>IF(BY101&lt;&gt;"","Outros Estilos E","")</f>
        <v/>
      </c>
      <c r="BY101" s="64" t="str">
        <f>IF(COUNTIF(BK:BW,1165)&gt;0,COUNTIF(BK:BW,1165),"")</f>
        <v/>
      </c>
      <c r="BZ101" s="64" t="str">
        <f>IF(CA101&lt;&gt;"","Outros Estilos E","")</f>
        <v/>
      </c>
      <c r="CA101" s="64" t="str">
        <f>IF(COUNTIF(BK:BW,2165)&gt;0,COUNTIF(BK:BW,2165),"")</f>
        <v/>
      </c>
      <c r="CB101" s="64" t="str">
        <f>IF(CC101&lt;&gt;"","Outros Estilos E","")</f>
        <v/>
      </c>
      <c r="CC101" s="64" t="str">
        <f>IF(COUNTIF(BK:BW,11165)&gt;0,COUNTIF(BK:BW,11165),"")</f>
        <v/>
      </c>
      <c r="CD101" s="64" t="str">
        <f>IF(CE101&lt;&gt;"","Outros Estilos E","")</f>
        <v/>
      </c>
      <c r="CE101" s="64" t="str">
        <f>IF(COUNTIF(BK:BW,12165)&gt;0,COUNTIF(BK:BW,12165),"")</f>
        <v/>
      </c>
      <c r="CF101" s="52" t="str">
        <f xml:space="preserve"> IF(Atletas!V97="","",IF(Atletas!V97="Duilian de Mãos AB - Equipe 1",1,IF(Atletas!V97="Duilian de Mãos AB - Equipe 2",2,IF(Atletas!V97="Duilian de Armas AB - Equipe 1",3,IF(Atletas!V97="Duilian de Armas AB - Equipe 2",4,IF(Atletas!V97="Duilian de Tuishou - Equipe 1",5,IF(Atletas!V97="Duilian de Tuishou - Equipe 2",6,IF(Atletas!V97="Grupo Externo AB - Equipe 1",7,IF(Atletas!V97="Grupo Externo AB - Equipe 2",8,IF(Atletas!V97="Grupo Interno AB - Equipe 1",9,IF(Atletas!V97="Grupo Interno AB - Equipe 2",10,IF(Atletas!V97="Duilian de Mãos CD - Equipe 1",11,IF(Atletas!V97="Duilian de Mãos CD - Equipe 2",12,IF(Atletas!V97="Duilian de Armas CD - Equipe 1",13,IF(Atletas!V97="Duilian de Armas CD - Equipe 2",14,IF(Atletas!V97="Duilian de Tuishou - Equipe 1",15,IF(Atletas!V97="Duilian de Tuishou - Equipe 2",16,IF(Atletas!V97="Grupo Externo CDEF - Equipe 1",17,IF(Atletas!V97="Grupo Externo CDEF - Equipe 2",18,IF(Atletas!V97="Grupo Interno CDEF - Equipe 1",19,IF(Atletas!V97="Grupo Interno CDEF - Equipe 2",20,IF(Atletas!V97="Duilian de Mãos EF - Equipe 1",21,IF(Atletas!V97="Duilian de Mãos EF - Equipe 2",22,IF(Atletas!V97="Duilian de Armas EF - Equipe 1",23,IF(Atletas!V97="Duilian de Armas EF - Equipe 2",24,IF(Atletas!V97="Duilian de Tuishou - Equipe 1",25,IF(Atletas!V97="Duilian de Tuishou - Equipe 2",26,"")))))))))))))))))))))))))))</f>
        <v/>
      </c>
    </row>
    <row r="102" spans="2:84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 t="str">
        <f t="array" ref="V102">IFERROR(INDEX(BX$7:BX$336,SMALL(IF(BX$7:BX$336&lt;&gt;"",ROW(BX$7:BX$336)-ROW(BX$7)+1),ROWS(BX$7:BX101))),"")</f>
        <v/>
      </c>
      <c r="W102" s="4" t="str">
        <f t="array" ref="W102">IFERROR(INDEX(BY$7:BY$336,SMALL(IF(BY$7:BY$336&lt;&gt;"",ROW(BY$7:BY$336)-ROW(BY$7)+1),ROWS(BY$7:BY101))),"")</f>
        <v/>
      </c>
      <c r="X102" s="4" t="str">
        <f t="array" ref="X102">IFERROR(INDEX(BZ$7:BZ$336,SMALL(IF(BZ$7:BZ$336&lt;&gt;"",ROW(BZ$7:BZ$336)-ROW(BZ$7)+1),ROWS(BZ$7:BZ101))),"")</f>
        <v/>
      </c>
      <c r="Y102" s="4" t="str">
        <f t="array" ref="Y102">IFERROR(INDEX(CA$7:CA$336,SMALL(IF(CA$7:CA$336&lt;&gt;"",ROW(CA$7:CA$336)-ROW(CA$7)+1),ROWS(CA$7:CA101))),"")</f>
        <v/>
      </c>
      <c r="Z102" s="4" t="str">
        <f t="array" ref="Z102">IFERROR(INDEX(CB$7:CB$378,SMALL(IF(CB$7:CB$378&lt;&gt;"",ROW(CB$7:CB$378)-ROW(CB$7)+1),ROWS(CB$7:CB101))),"")</f>
        <v/>
      </c>
      <c r="AA102" s="4" t="str">
        <f t="array" ref="AA102">IFERROR(INDEX(CC$7:CC$378,SMALL(IF(CC$7:CC$378&lt;&gt;"",ROW(CC$7:CC$378)-ROW(CC$7)+1),ROWS(CC$7:CC101))),"")</f>
        <v/>
      </c>
      <c r="AB102" s="4" t="str">
        <f t="array" ref="AB102">IFERROR(INDEX(CD$7:CD$378,SMALL(IF(CD$7:CD$378&lt;&gt;"",ROW(CD$7:CD$378)-ROW(CD$7)+1),ROWS(CD$7:CD101))),"")</f>
        <v/>
      </c>
      <c r="AC102" s="4" t="str">
        <f t="array" ref="AC102">IFERROR(INDEX(CE$7:CE$378,SMALL(IF(CE$7:CE$378&lt;&gt;"",ROW(CE$7:CE$378)-ROW(CE$7)+1),ROWS(CE$7:CE101))),"")</f>
        <v/>
      </c>
      <c r="AD102" s="4"/>
      <c r="AE102" s="4"/>
      <c r="AF102" s="4"/>
      <c r="AG102" s="4"/>
      <c r="AH102" s="4"/>
      <c r="AI102" s="4"/>
      <c r="AJ102" s="46" t="str">
        <f>IF(Atletas!D98="","",IF(Atletas!B98="Feminino",100,IF(Atletas!B98="Masculino",200,""))+(IF(Atletas!D98="Infantil 39kg",1,IF(Atletas!D98="Infantil 42kg",2,IF(Atletas!D98="Infantil 45kg",3,IF(Atletas!D98="Infantil 48kg",4,IF(Atletas!D98="Infantil 52kg",5,IF(Atletas!D98="Infantil 56kg",6,IF(Atletas!D98="Infantil 60kg",7,IF(Atletas!D98="Juvenil 48kg",8,IF(Atletas!D98="Juvenil 52kg",9,IF(Atletas!D98="Juvenil 56kg",10,IF(Atletas!D98="Juvenil 60kg",11,IF(Atletas!D98="Juvenil 65kg",12,IF(Atletas!D98="Juvenil 70kg",13,IF(Atletas!D98="Juvenil 75kg",14,IF(Atletas!D98="Juvenil 80kg",15,IF(Atletas!D98="Adulto 48kg",16,IF(Atletas!D98="Adulto 52kg",17,IF(Atletas!D98="Adulto 56kg",18,IF(Atletas!D98="Adulto 60kg",19,IF(Atletas!D98="Adulto 65kg",20,IF(Atletas!D98="Adulto 70kg",21,IF(Atletas!D98="Adulto 75kg",22,IF(Atletas!D98="Adulto 80kg",23,IF(Atletas!D98="Adulto 85kg",24,IF(Atletas!D98="Adulto 90kg",25,IF(Atletas!D98="Adulto +90kg",26,""))))))))))))))))))))))))))))</f>
        <v/>
      </c>
      <c r="AO102" s="10" t="str">
        <f>IF(Atletas!E98="","",IF(Atletas!B98="Feminino",100,IF(Atletas!B98="Masculino",200,""))+(IF(Atletas!E98="Juvenil 44kg",1,IF(Atletas!E98="Juvenil 48kg",2,IF(Atletas!E98="Juvenil 52kg",3,IF(Atletas!E98="Juvenil 56kg",4,IF(Atletas!E98="Juvenil 60kg",5,IF(Atletas!E98="Juvenil 65kg",6,IF(Atletas!E98="Juvenil 70kg",7,IF(Atletas!E98="Juvenil 75kg",8,IF(Atletas!E98="Juvenil 82kg",9,IF(Atletas!E98="Juvenil 90kg",10,IF(Atletas!E98="Juvenil 100kg",11,IF(Atletas!E98="Adulto 48kg",12,IF(Atletas!E98="Adulto 52kg",13,IF(Atletas!E98="Adulto 56kg",14,IF(Atletas!E98="Adulto 60kg",15,IF(Atletas!E98="Adulto 65kg",16,IF(Atletas!E98="Adulto 70kg",17,IF(Atletas!E98="Adulto 75kg",18,IF(Atletas!E98="Adulto 82kg",19,IF(Atletas!E98="Adulto 90kg",20,IF(Atletas!E98="Adulto 100kg",21,IF(Atletas!E98="Adulto +100kg",22,""))))))))))))))))))))))))</f>
        <v/>
      </c>
      <c r="AT102" s="10" t="str">
        <f>IF(Atletas!F98="","",IF(Atletas!B98="Feminino",100,IF(Atletas!B98="Masculino",200,""))+(IF(Atletas!F98="Adulto 48kg",1,IF(Atletas!F98="Adulto 56kg",2,IF(Atletas!F98="Adulto 65kg",3,IF(Atletas!F98="Adulto 75kg",4,IF(Atletas!F98="Adulto +75kg",5,IF(Atletas!F98="Adulto 52kg",6,IF(Atletas!F98="Adulto 60kg",7,IF(Atletas!F98="Adulto 70kg",8,IF(Atletas!F98="Adulto 80kg",9,IF(Atletas!F98="Adulto 90kg",10,IF(Atletas!F98="Adulto +90kg",11,"")))))))))))))</f>
        <v/>
      </c>
      <c r="AY102" s="46" t="str">
        <f>IF(Atletas!G98="","",IF(Atletas!B98="Feminino",100,IF(Atletas!B98="Masculino",200,""))+(IF(Atletas!G98="Changquan Mirim",1,IF(Atletas!G98="Nanquan Mirim",2,IF(Atletas!G98="Taijiquan Mirim",3,IF(Atletas!G98="Changquan Grupo C",4,IF(Atletas!G98="Nanquan Grupo C",5,IF(Atletas!G98="Taijiquan Grupo C",6,IF(Atletas!G98="Changquan Grupo B",7,IF(Atletas!G98="Nanquan Grupo B",8,IF(Atletas!G98="Taijiquan Grupo B",9,IF(Atletas!G98="Changquan Grupo A",10,IF(Atletas!G98="Nanquan Grupo A",11,IF(Atletas!G98="Taijiquan Grupo A",12,IF(Atletas!G98="Changquan Opcional",13,IF(Atletas!G98="Nanquan Opcional",14,IF(Atletas!G98="Taijiquan Opcional",15,IF(Atletas!G98="Changquan Adulto",16,IF(Atletas!G98="Nanquan Adulto",17,IF(Atletas!G98="Taijiquan Adulto",18,""))))))))))))))))))))</f>
        <v/>
      </c>
      <c r="AZ102" s="46" t="str">
        <f>IF(Atletas!H98="","",IF(Atletas!B98="Feminino",100,IF(Atletas!B98="Masculino",200,""))+(IF(Atletas!H98="Daoshu Mirim",19,IF(Atletas!H98="Jianshu Mirim",20,IF(Atletas!H98="Nandao Mirim",21,IF(Atletas!H98="Taijijian Mirim",22,IF(Atletas!H98="Daoshu Grupo C",23,IF(Atletas!H98="Jianshu Grupo C",24,IF(Atletas!H98="Nandao Grupo C",25,IF(Atletas!H98="Taijijian Grupo C",26,IF(Atletas!H98="Daoshu Grupo B",27,IF(Atletas!H98="Jianshu Grupo B",28,IF(Atletas!H98="Nandao Grupo B",29,IF(Atletas!H98="Taijijian Grupo B",30,IF(Atletas!H98="Daoshu Grupo A",31,IF(Atletas!H98="Jianshu Grupo A",32,IF(Atletas!H98="Nandao Grupo A",33,IF(Atletas!H98="Taijijian Grupo A",34,IF(Atletas!H98="Daoshu Opcional",35,IF(Atletas!H98="Jianshu Opcional",36,IF(Atletas!H98="Nandao Opcional",37,IF(Atletas!H98="Taijijian Opcional",38,IF(Atletas!H98="Daoshu Adulto",39,IF(Atletas!H98="Jianshu Adulto",40,IF(Atletas!H98="Nandao Adulto",41,IF(Atletas!H98="Taijijian Adulto",42,""))))))))))))))))))))))))))</f>
        <v/>
      </c>
      <c r="BA102" s="46" t="str">
        <f>IF(Atletas!I98="","",IF(Atletas!B98="Feminino",100,IF(Atletas!B98="Masculino",200,""))+(IF(Atletas!I98="Gunshu Mirim",43,IF(Atletas!I98="Qiangshu Mirim",44,IF(Atletas!I98="Nangun Mirim",45,IF(Atletas!I98="Gunshu Grupo C",46,IF(Atletas!I98="Qiangshu Grupo C",47,IF(Atletas!I98="Nangun Grupo C",48,IF(Atletas!I98="Gunshu Grupo B",49,IF(Atletas!I98="Qiangshu Grupo B",50,IF(Atletas!I98="Nangun Grupo B",51,IF(Atletas!I98="Gunshu Grupo A",52,IF(Atletas!I98="Qiangshu Grupo A",53,IF(Atletas!I98="Nangun Grupo A",54,IF(Atletas!I98="Gunshu Opcional",55,IF(Atletas!I98="Qiangshu Opcional",56,IF(Atletas!I98="Nangun Opcional",57,IF(Atletas!I98="Gunshu Adulto",58,IF(Atletas!I98="Qiangshu Adulto",59,IF(Atletas!I98="Nangun Adulto",60,""))))))))))))))))))))</f>
        <v/>
      </c>
      <c r="BF102" s="52" t="str">
        <f>IF(Atletas!J98="","",IF(Atletas!B98="Feminino",100,IF(Atletas!B98="Masculino",200,""))+(IF(Atletas!J98="Equipe 1 Grupo B",1,IF(Atletas!J98="Equipe 2 Grupo B",2,IF(Atletas!J98="Equipe 1 Grupo A",3,IF(Atletas!J98="Equipe 2 Grupo A",4,IF(Atletas!J98="Equipe 1 Adulto",5,IF(Atletas!J98="Equipe 2 Adulto",6,""))))))))</f>
        <v/>
      </c>
      <c r="BK102" s="52" t="str">
        <f>IF(Atletas!K98="","",IF(Atletas!W98&lt;&gt;"",10000,0)+(IF(Atletas!B98="Feminino",1000,IF(Atletas!B98="Masculino",2000,""))+IF(Atletas!K98="Choylayfut A",1,IF(Atletas!K98="Hunggar A",2,IF(Atletas!K98="Wuzuquan A",3,IF(Atletas!K98="Wingchun A",4,IF(Atletas!K98="Outra Mão de Sul A",5,IF(Atletas!K98="Choylayfut B",6,IF(Atletas!K98="Hunggar B",7,IF(Atletas!K98="Wuzuquan B",8,IF(Atletas!K98="Wingchun B",9,IF(Atletas!K98="Outra Mão de Sul B",10,IF(Atletas!K98="Choylayfut C",11,IF(Atletas!K98="Hunggar C",12,IF(Atletas!K98="Wuzuquan C",13,IF(Atletas!K98="Wingchun C",14,IF(Atletas!K98="Outra Mão de Sul C",15,IF(Atletas!K98="Choylayfut D",16,IF(Atletas!K98="Hunggar D",17,IF(Atletas!K98="Wuzuquan D",18,IF(Atletas!K98="Wingchun D",19,IF(Atletas!K98="Outra Mão de Sul D",20,IF(Atletas!K98="Choylayfut E",21,IF(Atletas!K98="Hunggar E",22,IF(Atletas!K98="Wuzuquan E",23,IF(Atletas!K98="Wingchun E",24,IF(Atletas!K98="Outra Mão de Sul E",25,IF(Atletas!K98="Choylayfut F",26,IF(Atletas!K98="Hunggar F",27,IF(Atletas!K98="Wuzuquan F",28,IF(Atletas!K98="Wingchun F",29,IF(Atletas!K98="Outra Mão de Sul F",30,""))))))))))))))))))))))))))))))))</f>
        <v/>
      </c>
      <c r="BL102" s="52" t="str">
        <f>IF(Atletas!L98="","",IF(Atletas!W98&lt;&gt;"",10000,0)+(IF(Atletas!B98="Feminino",1000,IF(Atletas!B98="Masculino",2000,""))+(IF(Atletas!L98="Chaquan A",101,IF(Atletas!L98="Emeiquan A",102,IF(Atletas!L98="Fanziquan A",103,IF(Atletas!L98="Huaquan A",104,IF(Atletas!L98="Hongquan A",105,IF(Atletas!L98="Paochui A",106,IF(Atletas!L98="Piguaquan A",107,IF(Atletas!L98="Shaolinquan A",108,IF(Atletas!L98="Tanglangquan A",109,IF(Atletas!L98="Yinzhaophai A",110,IF(Atletas!L98="Tongbeiquan A",111,IF(Atletas!L98="Wudangquan A",112,IF(Atletas!L98="Outros Estilos A",113,IF(Atletas!L98="Chaquan B",114,IF(Atletas!L98="Emeiquan B",115,IF(Atletas!L98="Fanziquan B",116,IF(Atletas!L98="Huaquan B",117,IF(Atletas!L98="Hongquan B",118,IF(Atletas!L98="Paochui B",119,IF(Atletas!L98="Piguaquan B",120,IF(Atletas!L98="Shaolinquan B",121,IF(Atletas!L98="Tanglangquan B",122,IF(Atletas!L98="Yinzhaophai B",123,IF(Atletas!L98="Tongbeiquan B",124,IF(Atletas!L98="Wudangquan B",125,IF(Atletas!L98="Outros Estilos B",126,IF(Atletas!L98="Chaquan C",127,IF(Atletas!L98="Emeiquan C",128,IF(Atletas!L98="Fanziquan C",129,IF(Atletas!L98="Huaquan C",130,IF(Atletas!L98="Hongquan C",131,IF(Atletas!L98="Paochui C",132,IF(Atletas!L98="Piguaquan C",133,IF(Atletas!L98="Shaolinquan C",134,IF(Atletas!L98="Tanglangquan C",135,IF(Atletas!L98="Yinzhaophai C",136,IF(Atletas!L98="Tongbeiquan C",137,IF(Atletas!L98="Wudangquan C",138,IF(Atletas!L98="Outros Estilos C",139,0))))))))))))))))))))))))))))))))))))))))))</f>
        <v/>
      </c>
      <c r="BM102" s="52" t="str">
        <f>IF(Atletas!L98="","",IF(Atletas!W98&lt;&gt;"",10000,0)+(IF(Atletas!B98="Feminino",1000,IF(Atletas!B98="Masculino",2000,""))+(IF(Atletas!L98="Chaquan D",140,IF(Atletas!L98="Emeiquan D",141,IF(Atletas!L98="Fanziquan D",142,IF(Atletas!L98="Huaquan D",143,IF(Atletas!L98="Hongquan D",144,IF(Atletas!L98="Paochui D",145,IF(Atletas!L98="Piguaquan D",146,IF(Atletas!L98="Shaolinquan D",147,IF(Atletas!L98="Tanglangquan D",148,IF(Atletas!L98="Yinzhaophai D",149,IF(Atletas!L98="Tongbeiquan D",150,IF(Atletas!L98="Wudangquan D",151,IF(Atletas!L98="Outros Estilos D",152,IF(Atletas!L98="Chaquan E",153,IF(Atletas!L98="Emeiquan E",154,IF(Atletas!L98="Fanziquan E",155,IF(Atletas!L98="Huaquan E",156,IF(Atletas!L98="Hongquan E",157,IF(Atletas!L98="Paochui E",158,IF(Atletas!L98="Piguaquan E",159,IF(Atletas!L98="Shaolinquan E",160,IF(Atletas!L98="Tanglangquan E",161,IF(Atletas!L98="Yinzhaophai E",162,IF(Atletas!L98="Tongbeiquan E",163,IF(Atletas!L98="Wudangquan E",164,IF(Atletas!L98="Outros Estilos E",165,IF(Atletas!L98="Chaquan F",166,IF(Atletas!L98="Emeiquan F",167,IF(Atletas!L98="Fanziquan F",168,IF(Atletas!L98="Huaquan F",169,IF(Atletas!L98="Hongquan F",170,IF(Atletas!L98="Paochui F",171,IF(Atletas!L98="Piguaquan F",172,IF(Atletas!L98="Shaolinquan F",173,IF(Atletas!L98="Tanglangquan F",174,IF(Atletas!L98="Yinzhaophai F",175,IF(Atletas!L98="Tongbeiquan F",176,IF(Atletas!L98="Wudangquan F",177,IF(Atletas!L98="Outros Estilos F",178,0))))))))))))))))))))))))))))))))))))))))))</f>
        <v/>
      </c>
      <c r="BN102" s="52" t="str">
        <f>IF(Atletas!M98="","",IF(Atletas!W98&lt;&gt;"",10000,0)+(IF(Atletas!B98="Feminino",1000,IF(Atletas!B98="Masculino",2000,""))+(IF(Atletas!M98="Ditangquan A",201,IF(Atletas!M98="Houquan A",202,IF(Atletas!M98="Zuiquan A",203,IF(Atletas!M98="Ditangquan B",204,IF(Atletas!M98="Houquan B",205,IF(Atletas!M98="Zuiquan B",206,IF(Atletas!M98="Ditangquan C",207,IF(Atletas!M98="Houquan C",208,IF(Atletas!M98="Zuiquan C",209,IF(Atletas!M98="Ditangquan D",210,IF(Atletas!M98="Houquan D",211,IF(Atletas!M98="Zuiquan D",212,IF(Atletas!M98="Ditangquan E",213,IF(Atletas!M98="Houquan E",214,IF(Atletas!M98="Zuiquan E",215,IF(Atletas!M98="Ditangquan F",216,IF(Atletas!M98="Houquan F",217,IF(Atletas!M98="Zuiquan F",218,"")))))))))))))))))))))</f>
        <v/>
      </c>
      <c r="BO102" s="52" t="str">
        <f>IF(Atletas!N98="","",IF(Atletas!W98&lt;&gt;"",10000,0)+IF(Atletas!B98="Feminino",1000,IF(Atletas!B98="Masculino",2000,""))+IF(Atletas!N98="Yang A",301,IF(Atletas!N98="Chen A",30,IF(Atletas!N98="Sun A",303,IF(Atletas!N98="Wu A",304,IF(Atletas!N98="Wu-Hao A",305,IF(Atletas!N98="Outro Taijiquan A",306,IF(Atletas!N98="Yang B",307,IF(Atletas!N98="Chen B",308,IF(Atletas!N98="Sun B",309,IF(Atletas!N98="Wu B",310,IF(Atletas!N98="Wu-Hao B",311,IF(Atletas!N98="Outro Taijiquan B",312,IF(Atletas!N98="Yang C",313,IF(Atletas!N98="Chen C",314,IF(Atletas!N98="Sun C",315,IF(Atletas!N98="Wu C",316,IF(Atletas!N98="Wu-Hao C",317,IF(Atletas!N98="Outro Taijiquan C",318,IF(Atletas!N98="Yang D",319,IF(Atletas!N98="Chen D",320,IF(Atletas!N98="Sun D",321,IF(Atletas!N98="Wu D",322,IF(Atletas!N98="Wu-Hao D",323,IF(Atletas!N98="Outro Taijiquan D",324,IF(Atletas!N98="Yang E",325,IF(Atletas!N98="Chen E",326,IF(Atletas!N98="Sun E",327,IF(Atletas!N98="Wu E",328,IF(Atletas!N98="Wu-Hao E",329,IF(Atletas!N98="Outro Taijiquan E",330,IF(Atletas!N98="Yang F",331,IF(Atletas!N98="Chen F",332,IF(Atletas!N98="Sun F",333,IF(Atletas!N98="Wu F",334,IF(Atletas!N98="Wu-Hao F",335,IF(Atletas!N98="Outro Taijiquan F",336,"")))))))))))))))))))))))))))))))))))))</f>
        <v/>
      </c>
      <c r="BP102" s="52" t="str">
        <f>IF(Atletas!O98="","",IF(Atletas!W98&lt;&gt;"",10000,0)+IF(Atletas!B98="Feminino",1000,IF(Atletas!B98="Masculino",2000,""))+IF(OR(Atletas!O98="Yang 26 A",Atletas!O98="Yang 40 A"),401,IF(OR(Atletas!O98="Chen 25 A",Atletas!O98="Chen 36 A",Atletas!O98="Chen 56 A"),402,IF(Atletas!O98="Sun 73 A",403,IF(Atletas!O98="Wu 45 A",404,IF(Atletas!O98="Wu-Hao 46 A",405,IF(OR(Atletas!O98="Taijiquan 16 A",Atletas!O98="Taijiquan 24 A",Atletas!O98="Taijiquan 32 A",Atletas!O98="Taijiquan 42 A"),406,IF(OR(Atletas!O98="Yang 26 B",Atletas!O98="Yang 40 B"),407,IF(OR(Atletas!O98="Chen 25 B",Atletas!O98="Chen 36 B",Atletas!O98="Chen 56 B"),408,IF(Atletas!O98="Sun 73 B",409,IF(Atletas!O98="Wu 45 B",410,IF(Atletas!O98="Wu-Hao 46 B",411,IF(OR(Atletas!O98="Taijiquan 16 B",Atletas!O98="Taijiquan 24 B",Atletas!O98="Taijiquan 32 B",Atletas!O98="Taijiquan 42 B"),412,IF(OR(Atletas!O98="Yang 26 C",Atletas!O98="Yang 40 C"),413,IF(OR(Atletas!O98="Chen 25 C",Atletas!O98="Chen 36 C",Atletas!O98="Chen 56 C"),414,IF(Atletas!O98="Sun 73 C",415,IF(Atletas!O98="Wu 45 C",416,IF(Atletas!O98="Wu-Hao 46 C",417,IF(OR(Atletas!O98="Taijiquan 16 C",Atletas!O98="Taijiquan 24 C",Atletas!O98="Taijiquan 32 C",Atletas!O98="Taijiquan 42 C"),418,0)))))))))))))))))))</f>
        <v/>
      </c>
      <c r="BQ102" s="52" t="str">
        <f>IF(Atletas!O98="","",IF(Atletas!W98&lt;&gt;"",10000,0)+IF(Atletas!B98="Feminino",1000,IF(Atletas!B98="Masculino",2000,""))+IF(OR(Atletas!O98="Yang 26 D",Atletas!O98="Yang 40 D"),419,IF(OR(Atletas!O98="Chen 25 D",Atletas!O98="Chen 36 D",Atletas!O98="Chen 56 D"),420,IF(Atletas!O98="Sun 73 D",421,IF(Atletas!O98="Wu 45 D",422,IF(Atletas!O98="Wu-Hao 46 D",423,IF(OR(Atletas!O98="Taijiquan 16 D",Atletas!O98="Taijiquan 24 D",Atletas!O98="Taijiquan 32 D",Atletas!O98="Taijiquan 42 D"),424,IF(OR(Atletas!O98="Yang 26 E",Atletas!O98="Yang 40 E"),425,IF(OR(Atletas!O98="Chen 25 E",Atletas!O98="Chen 36 E",Atletas!O98="Chen 56 E"),426,IF(Atletas!O98="Sun 73 E",427,IF(Atletas!O98="Wu 45 E",428,IF(Atletas!O98="Wu-Hao 46 E",429,IF(OR(Atletas!O98="Taijiquan 16 E",Atletas!O98="Taijiquan 24 E",Atletas!O98="Taijiquan 32 E",Atletas!O98="Taijiquan 42 E"),430,IF(OR(Atletas!O98="Yang 26 F",Atletas!O98="Yang 40 F"),431,IF(OR(Atletas!O98="Chen 25 F",Atletas!O98="Chen 36 F",Atletas!O98="Chen 56 F"),432,IF(Atletas!O98="Sun 73 F",433,IF(Atletas!O98="Wu 45 F",434,IF(Atletas!O98="Wu-Hao 46 F",435,IF(OR(Atletas!O98="Taijiquan 16 F",Atletas!O98="Taijiquan 24 F",Atletas!O98="Taijiquan 32 F",Atletas!O98="Taijiquan 42 F"),436,0)))))))))))))))))))</f>
        <v/>
      </c>
      <c r="BR102" s="52" t="str">
        <f>IF(Atletas!P98="","",IF(Atletas!W98&lt;&gt;"",10000,0)+IF(Atletas!B98="Feminino",1000,IF(Atletas!B98="Masculino",2000,""))+IF(Atletas!P98="Xingyiquan A",501,IF(Atletas!P98="Baguazhang A",502,IF(Atletas!P98="Outro Estilo Interno A",503,IF(Atletas!P98="Xingyiquan B",504,IF(Atletas!P98="Baguazhang B",505,IF(Atletas!P98="Outro Estilo Interno B",506,IF(Atletas!P98="Xingyiquan C",507,IF(Atletas!P98="Baguazhang C",508,IF(Atletas!P98="Outro Estilo Interno C",509,IF(Atletas!P98="Xingyiquan D",510,IF(Atletas!P98="Baguazhang D",511,IF(Atletas!P98="Outro Estilo Interno D",512,IF(Atletas!P98="Xingyiquan E",513,IF(Atletas!P98="Baguazhang E",514,IF(Atletas!P98="Outro Estilo Interno E",515,IF(Atletas!P98="Xingyiquan F",516,IF(Atletas!P98="Baguazhang F",517,IF(Atletas!P98="Outro Estilo Interno F",518, "")))))))))))))))))))</f>
        <v/>
      </c>
      <c r="BS102" s="52" t="str">
        <f>IF(Atletas!Q98="","",IF(Atletas!W98&lt;&gt;"",10000,0)+IF(Atletas!B98="Feminino",1000,IF(Atletas!B98="Masculino",2000,""))+IF(Atletas!Q98="Dao A",601,IF(Atletas!Q98="Jian A",602,IF(Atletas!Q98="Bishou A",603,IF(Atletas!Q98="Shan A",604,IF(Atletas!Q98="Outra Arma Curta A",605,IF(Atletas!Q98="Dao B",606,IF(Atletas!Q98="Jian B",607,IF(Atletas!Q98="Bishou B",608,IF(Atletas!Q98="Shan B",609,IF(Atletas!Q98="Outra Arma Curta B",610,IF(Atletas!Q98="Dao C",611,IF(Atletas!Q98="Jian C",612,IF(Atletas!Q98="Bishou C",613,IF(Atletas!Q98="Shan C",614,IF(Atletas!Q98="Outra Arma Curta C",615,IF(Atletas!Q98="Dao D",616,IF(Atletas!Q98="Jian D",617,IF(Atletas!Q98="Bishou D",618,IF(Atletas!Q98="Shan D",619,IF(Atletas!Q98="Outra Arma Curta D",620,IF(Atletas!Q98="Dao E",621,IF(Atletas!Q98="Jian E",622,IF(Atletas!Q98="Bishou E",623,IF(Atletas!Q98="Shan E",624,IF(Atletas!Q98="Outra Arma Curta E",625,IF(Atletas!Q98="Dao F",626,IF(Atletas!Q98="Jian F",627,IF(Atletas!Q98="Bishou F",628,IF(Atletas!Q98="Shan F",629,IF(Atletas!Q98="Outra Arma Curta F",630, "")))))))))))))))))))))))))))))))</f>
        <v/>
      </c>
      <c r="BT102" s="52" t="str">
        <f>IF(Atletas!R98="","",IF(Atletas!W98&lt;&gt;"",10000,0)+IF(Atletas!B98="Feminino",1000,IF(Atletas!B98="Masculino",2000,""))+IF(Atletas!R98="Gun A",701,IF(Atletas!R98="Qiang A",702,IF(Atletas!R98="Pudao / Guandao A",703,IF(Atletas!R98="Outra Arma Longa A",704,IF(Atletas!R98="Gun B",705,IF(Atletas!R98="Qiang B",706,IF(Atletas!R98="Pudao / Guandao B",707,IF(Atletas!R98="Outra Arma Longa B",708,IF(Atletas!R98="Gun C",709,IF(Atletas!R98="Qiang C",710,IF(Atletas!R98="Pudao / Guandao C",711,IF(Atletas!R98="Outra Arma Longa C",712,IF(Atletas!R98="Gun D",713,IF(Atletas!R98="Qiang D",714,IF(Atletas!R98="Pudao / Guandao D",715,IF(Atletas!R98="Outra Arma Longa D",716,IF(Atletas!R98="Gun E",717,IF(Atletas!R98="Qiang E",718,IF(Atletas!R98="Pudao / Guandao E",719,IF(Atletas!R98="Outra Arma Longa E",720,IF(Atletas!R98="Gun F",721,IF(Atletas!R98="Qiang F",722,IF(Atletas!R98="Pudao / Guandao F",723,IF(Atletas!R98="Outra Arma Longa F",724,"")))))))))))))))))))))))))</f>
        <v/>
      </c>
      <c r="BU102" s="52" t="str">
        <f>IF(Atletas!S98="","",IF(Atletas!W98&lt;&gt;"",10000,0)+IF(Atletas!B98="Feminino",1000,IF(Atletas!B98="Masculino",2000,""))+IF(Atletas!S98="Arma Dupla A",801,IF(Atletas!S98="Arma Maleável A",802,IF(Atletas!S98="Arma Dupla B",803,IF(Atletas!S98="Arma Maleável B",804,IF(Atletas!S98="Arma Dupla C",805,IF(Atletas!S98="Arma Maleável C",806,IF(Atletas!S98="Arma Dupla D",807,IF(Atletas!S98="Arma Maleável D",808,IF(Atletas!S98="Arma Dupla E",809,IF(Atletas!S98="Arma Maleável E",810,IF(Atletas!S98="Arma Dupla F",811,IF(Atletas!S98="Arma Maleável F",812, "")))))))))))))</f>
        <v/>
      </c>
      <c r="BV102" s="52" t="str">
        <f>IF(Atletas!T98="","",IF(Atletas!W98&lt;&gt;"",10000,0)+IF(Atletas!B98="Feminino",1000,IF(Atletas!B98="Masculino",2000,""))+IF(Atletas!T98="Taijijian Yang A",901,IF(Atletas!T98="Taijijian Chen A",902,IF(Atletas!T98="Taijijian Sun A",903,IF(Atletas!T98="Taijijian Wu A",904,IF(Atletas!T98="Taijijian Wu-Hao A",905,IF(Atletas!T98="Taijijian 32 A",906,IF(Atletas!T98="Taijijian 42 A",907,IF(Atletas!T98="Taijijian Yang B",908,IF(Atletas!T98="Taijijian Chen B",909,IF(Atletas!T98="Taijijian Sun B",910,IF(Atletas!T98="Taijijian Wu B",911,IF(Atletas!T98="Taijijian Wu-Hao B",912,IF(Atletas!T98="Taijijian 32 B",913,IF(Atletas!T98="Taijijian 42 B",914,IF(Atletas!T98="Taijijian Yang C",915,IF(Atletas!T98="Taijijian Chen C",916,IF(Atletas!T98="Taijijian Sun C",917,IF(Atletas!T98="Taijijian Wu C",918,IF(Atletas!T98="Taijijian Wu-Hao C",919,IF(Atletas!T98="Taijijian 32 C",920,IF(Atletas!T98="Taijijian 42 C",921,IF(Atletas!T98="Taijijian Yang D",922,IF(Atletas!T98="Taijijian Chen D",923,IF(Atletas!T98="Taijijian Sun D",924,IF(Atletas!T98="Taijijian Wu D",925,IF(Atletas!T98="Taijijian Wu-Hao D",926,IF(Atletas!T98="Taijijian 32 D",927,IF(Atletas!T98="Taijijian 42 D",928,IF(Atletas!T98="Taijijian Yang E",929,IF(Atletas!T98="Taijijian Chen E",930,IF(Atletas!T98="Taijijian Sun E",931,IF(Atletas!T98="Taijijian Wu E",932,IF(Atletas!T98="Taijijian Wu-Hao E",933,IF(Atletas!T98="Taijijian 32 E",934,IF(Atletas!T98="Taijijian 42 E",935,IF(Atletas!T98="Taijijian Yang F",936,IF(Atletas!T98="Taijijian Chen F",937,IF(Atletas!T98="Taijijian Sun F",938,IF(Atletas!T98="Taijijian Wu F",939,IF(Atletas!T98="Taijijian Wu-Hao F",940,IF(Atletas!T98="Taijijian 32 F",941,IF(Atletas!T98="Taijijian 42 F",942,"")))))))))))))))))))))))))))))))))))))))))))</f>
        <v/>
      </c>
      <c r="BW102" s="52" t="str">
        <f>IF(Atletas!U98="","",IF(Atletas!W98&lt;&gt;"",10000,0)+IF(Atletas!B98="Feminino",1000,IF(Atletas!B98="Masculino",2000,""))+IF(Atletas!T98="Taijijian 42 F",942,IF(Atletas!U98="Taijidao A",943,IF(Atletas!U98="Taijishan A",944,IF(Atletas!U98="Taijiqiang A",945,IF(Atletas!U98="Taijidao B",946,IF(Atletas!U98="Taijishan B",947,IF(Atletas!U98="Taijiqiang B",948,IF(Atletas!U98="Taijidao C",949,IF(Atletas!U98="Taijishan C",950,IF(Atletas!U98="Taijiqiang C",951,IF(Atletas!U98="Taijidao D",952,IF(Atletas!U98="Taijishan D",953,IF(Atletas!U98="Taijiqiang D",954,IF(Atletas!U98="Taijidao E",955,IF(Atletas!U98="Taijishan E",956,IF(Atletas!U98="Taijiqiang E",957,IF(Atletas!U98="Taijidao F",958,IF(Atletas!U98="Taijishan F",959,IF(Atletas!U98="Taijiqiang F",960))))))))))))))))))))</f>
        <v/>
      </c>
      <c r="BX102" s="64" t="str">
        <f>IF(BY102&lt;&gt;"","Chaquan F","")</f>
        <v/>
      </c>
      <c r="BY102" s="64" t="str">
        <f>IF(COUNTIF(BK:BW,1166)&gt;0,COUNTIF(BK:BW,1166),"")</f>
        <v/>
      </c>
      <c r="BZ102" s="64" t="str">
        <f>IF(CA102&lt;&gt;"","Chaquan F","")</f>
        <v/>
      </c>
      <c r="CA102" s="64" t="str">
        <f>IF(COUNTIF(BK:BW,2166)&gt;0,COUNTIF(BK:BW,2166),"")</f>
        <v/>
      </c>
      <c r="CB102" s="64" t="str">
        <f>IF(CC102&lt;&gt;"","Chaquan F","")</f>
        <v/>
      </c>
      <c r="CC102" s="64" t="str">
        <f>IF(COUNTIF(BK:BW,11166)&gt;0,COUNTIF(BK:BW,11166),"")</f>
        <v/>
      </c>
      <c r="CD102" s="64" t="str">
        <f>IF(CE102&lt;&gt;"","Chaquan F","")</f>
        <v/>
      </c>
      <c r="CE102" s="64" t="str">
        <f>IF(COUNTIF(BK:BW,12166)&gt;0,COUNTIF(BK:BW,12166),"")</f>
        <v/>
      </c>
      <c r="CF102" s="52" t="str">
        <f xml:space="preserve"> IF(Atletas!V98="","",IF(Atletas!V98="Duilian de Mãos AB - Equipe 1",1,IF(Atletas!V98="Duilian de Mãos AB - Equipe 2",2,IF(Atletas!V98="Duilian de Armas AB - Equipe 1",3,IF(Atletas!V98="Duilian de Armas AB - Equipe 2",4,IF(Atletas!V98="Duilian de Tuishou - Equipe 1",5,IF(Atletas!V98="Duilian de Tuishou - Equipe 2",6,IF(Atletas!V98="Grupo Externo AB - Equipe 1",7,IF(Atletas!V98="Grupo Externo AB - Equipe 2",8,IF(Atletas!V98="Grupo Interno AB - Equipe 1",9,IF(Atletas!V98="Grupo Interno AB - Equipe 2",10,IF(Atletas!V98="Duilian de Mãos CD - Equipe 1",11,IF(Atletas!V98="Duilian de Mãos CD - Equipe 2",12,IF(Atletas!V98="Duilian de Armas CD - Equipe 1",13,IF(Atletas!V98="Duilian de Armas CD - Equipe 2",14,IF(Atletas!V98="Duilian de Tuishou - Equipe 1",15,IF(Atletas!V98="Duilian de Tuishou - Equipe 2",16,IF(Atletas!V98="Grupo Externo CDEF - Equipe 1",17,IF(Atletas!V98="Grupo Externo CDEF - Equipe 2",18,IF(Atletas!V98="Grupo Interno CDEF - Equipe 1",19,IF(Atletas!V98="Grupo Interno CDEF - Equipe 2",20,IF(Atletas!V98="Duilian de Mãos EF - Equipe 1",21,IF(Atletas!V98="Duilian de Mãos EF - Equipe 2",22,IF(Atletas!V98="Duilian de Armas EF - Equipe 1",23,IF(Atletas!V98="Duilian de Armas EF - Equipe 2",24,IF(Atletas!V98="Duilian de Tuishou - Equipe 1",25,IF(Atletas!V98="Duilian de Tuishou - Equipe 2",26,"")))))))))))))))))))))))))))</f>
        <v/>
      </c>
    </row>
    <row r="103" spans="2:84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 t="str">
        <f t="array" ref="V103">IFERROR(INDEX(BX$7:BX$336,SMALL(IF(BX$7:BX$336&lt;&gt;"",ROW(BX$7:BX$336)-ROW(BX$7)+1),ROWS(BX$7:BX102))),"")</f>
        <v/>
      </c>
      <c r="W103" s="4" t="str">
        <f t="array" ref="W103">IFERROR(INDEX(BY$7:BY$336,SMALL(IF(BY$7:BY$336&lt;&gt;"",ROW(BY$7:BY$336)-ROW(BY$7)+1),ROWS(BY$7:BY102))),"")</f>
        <v/>
      </c>
      <c r="X103" s="4" t="str">
        <f t="array" ref="X103">IFERROR(INDEX(BZ$7:BZ$336,SMALL(IF(BZ$7:BZ$336&lt;&gt;"",ROW(BZ$7:BZ$336)-ROW(BZ$7)+1),ROWS(BZ$7:BZ102))),"")</f>
        <v/>
      </c>
      <c r="Y103" s="4" t="str">
        <f t="array" ref="Y103">IFERROR(INDEX(CA$7:CA$336,SMALL(IF(CA$7:CA$336&lt;&gt;"",ROW(CA$7:CA$336)-ROW(CA$7)+1),ROWS(CA$7:CA102))),"")</f>
        <v/>
      </c>
      <c r="Z103" s="4" t="str">
        <f t="array" ref="Z103">IFERROR(INDEX(CB$7:CB$378,SMALL(IF(CB$7:CB$378&lt;&gt;"",ROW(CB$7:CB$378)-ROW(CB$7)+1),ROWS(CB$7:CB102))),"")</f>
        <v/>
      </c>
      <c r="AA103" s="4" t="str">
        <f t="array" ref="AA103">IFERROR(INDEX(CC$7:CC$378,SMALL(IF(CC$7:CC$378&lt;&gt;"",ROW(CC$7:CC$378)-ROW(CC$7)+1),ROWS(CC$7:CC102))),"")</f>
        <v/>
      </c>
      <c r="AB103" s="4" t="str">
        <f t="array" ref="AB103">IFERROR(INDEX(CD$7:CD$378,SMALL(IF(CD$7:CD$378&lt;&gt;"",ROW(CD$7:CD$378)-ROW(CD$7)+1),ROWS(CD$7:CD102))),"")</f>
        <v/>
      </c>
      <c r="AC103" s="4" t="str">
        <f t="array" ref="AC103">IFERROR(INDEX(CE$7:CE$378,SMALL(IF(CE$7:CE$378&lt;&gt;"",ROW(CE$7:CE$378)-ROW(CE$7)+1),ROWS(CE$7:CE102))),"")</f>
        <v/>
      </c>
      <c r="AD103" s="4"/>
      <c r="AE103" s="4"/>
      <c r="AF103" s="4"/>
      <c r="AG103" s="4"/>
      <c r="AH103" s="4"/>
      <c r="AI103" s="4"/>
      <c r="AJ103" s="46" t="str">
        <f>IF(Atletas!D99="","",IF(Atletas!B99="Feminino",100,IF(Atletas!B99="Masculino",200,""))+(IF(Atletas!D99="Infantil 39kg",1,IF(Atletas!D99="Infantil 42kg",2,IF(Atletas!D99="Infantil 45kg",3,IF(Atletas!D99="Infantil 48kg",4,IF(Atletas!D99="Infantil 52kg",5,IF(Atletas!D99="Infantil 56kg",6,IF(Atletas!D99="Infantil 60kg",7,IF(Atletas!D99="Juvenil 48kg",8,IF(Atletas!D99="Juvenil 52kg",9,IF(Atletas!D99="Juvenil 56kg",10,IF(Atletas!D99="Juvenil 60kg",11,IF(Atletas!D99="Juvenil 65kg",12,IF(Atletas!D99="Juvenil 70kg",13,IF(Atletas!D99="Juvenil 75kg",14,IF(Atletas!D99="Juvenil 80kg",15,IF(Atletas!D99="Adulto 48kg",16,IF(Atletas!D99="Adulto 52kg",17,IF(Atletas!D99="Adulto 56kg",18,IF(Atletas!D99="Adulto 60kg",19,IF(Atletas!D99="Adulto 65kg",20,IF(Atletas!D99="Adulto 70kg",21,IF(Atletas!D99="Adulto 75kg",22,IF(Atletas!D99="Adulto 80kg",23,IF(Atletas!D99="Adulto 85kg",24,IF(Atletas!D99="Adulto 90kg",25,IF(Atletas!D99="Adulto +90kg",26,""))))))))))))))))))))))))))))</f>
        <v/>
      </c>
      <c r="AO103" s="10" t="str">
        <f>IF(Atletas!E99="","",IF(Atletas!B99="Feminino",100,IF(Atletas!B99="Masculino",200,""))+(IF(Atletas!E99="Juvenil 44kg",1,IF(Atletas!E99="Juvenil 48kg",2,IF(Atletas!E99="Juvenil 52kg",3,IF(Atletas!E99="Juvenil 56kg",4,IF(Atletas!E99="Juvenil 60kg",5,IF(Atletas!E99="Juvenil 65kg",6,IF(Atletas!E99="Juvenil 70kg",7,IF(Atletas!E99="Juvenil 75kg",8,IF(Atletas!E99="Juvenil 82kg",9,IF(Atletas!E99="Juvenil 90kg",10,IF(Atletas!E99="Juvenil 100kg",11,IF(Atletas!E99="Adulto 48kg",12,IF(Atletas!E99="Adulto 52kg",13,IF(Atletas!E99="Adulto 56kg",14,IF(Atletas!E99="Adulto 60kg",15,IF(Atletas!E99="Adulto 65kg",16,IF(Atletas!E99="Adulto 70kg",17,IF(Atletas!E99="Adulto 75kg",18,IF(Atletas!E99="Adulto 82kg",19,IF(Atletas!E99="Adulto 90kg",20,IF(Atletas!E99="Adulto 100kg",21,IF(Atletas!E99="Adulto +100kg",22,""))))))))))))))))))))))))</f>
        <v/>
      </c>
      <c r="AT103" s="10" t="str">
        <f>IF(Atletas!F99="","",IF(Atletas!B99="Feminino",100,IF(Atletas!B99="Masculino",200,""))+(IF(Atletas!F99="Adulto 48kg",1,IF(Atletas!F99="Adulto 56kg",2,IF(Atletas!F99="Adulto 65kg",3,IF(Atletas!F99="Adulto 75kg",4,IF(Atletas!F99="Adulto +75kg",5,IF(Atletas!F99="Adulto 52kg",6,IF(Atletas!F99="Adulto 60kg",7,IF(Atletas!F99="Adulto 70kg",8,IF(Atletas!F99="Adulto 80kg",9,IF(Atletas!F99="Adulto 90kg",10,IF(Atletas!F99="Adulto +90kg",11,"")))))))))))))</f>
        <v/>
      </c>
      <c r="AY103" s="46" t="str">
        <f>IF(Atletas!G99="","",IF(Atletas!B99="Feminino",100,IF(Atletas!B99="Masculino",200,""))+(IF(Atletas!G99="Changquan Mirim",1,IF(Atletas!G99="Nanquan Mirim",2,IF(Atletas!G99="Taijiquan Mirim",3,IF(Atletas!G99="Changquan Grupo C",4,IF(Atletas!G99="Nanquan Grupo C",5,IF(Atletas!G99="Taijiquan Grupo C",6,IF(Atletas!G99="Changquan Grupo B",7,IF(Atletas!G99="Nanquan Grupo B",8,IF(Atletas!G99="Taijiquan Grupo B",9,IF(Atletas!G99="Changquan Grupo A",10,IF(Atletas!G99="Nanquan Grupo A",11,IF(Atletas!G99="Taijiquan Grupo A",12,IF(Atletas!G99="Changquan Opcional",13,IF(Atletas!G99="Nanquan Opcional",14,IF(Atletas!G99="Taijiquan Opcional",15,IF(Atletas!G99="Changquan Adulto",16,IF(Atletas!G99="Nanquan Adulto",17,IF(Atletas!G99="Taijiquan Adulto",18,""))))))))))))))))))))</f>
        <v/>
      </c>
      <c r="AZ103" s="46" t="str">
        <f>IF(Atletas!H99="","",IF(Atletas!B99="Feminino",100,IF(Atletas!B99="Masculino",200,""))+(IF(Atletas!H99="Daoshu Mirim",19,IF(Atletas!H99="Jianshu Mirim",20,IF(Atletas!H99="Nandao Mirim",21,IF(Atletas!H99="Taijijian Mirim",22,IF(Atletas!H99="Daoshu Grupo C",23,IF(Atletas!H99="Jianshu Grupo C",24,IF(Atletas!H99="Nandao Grupo C",25,IF(Atletas!H99="Taijijian Grupo C",26,IF(Atletas!H99="Daoshu Grupo B",27,IF(Atletas!H99="Jianshu Grupo B",28,IF(Atletas!H99="Nandao Grupo B",29,IF(Atletas!H99="Taijijian Grupo B",30,IF(Atletas!H99="Daoshu Grupo A",31,IF(Atletas!H99="Jianshu Grupo A",32,IF(Atletas!H99="Nandao Grupo A",33,IF(Atletas!H99="Taijijian Grupo A",34,IF(Atletas!H99="Daoshu Opcional",35,IF(Atletas!H99="Jianshu Opcional",36,IF(Atletas!H99="Nandao Opcional",37,IF(Atletas!H99="Taijijian Opcional",38,IF(Atletas!H99="Daoshu Adulto",39,IF(Atletas!H99="Jianshu Adulto",40,IF(Atletas!H99="Nandao Adulto",41,IF(Atletas!H99="Taijijian Adulto",42,""))))))))))))))))))))))))))</f>
        <v/>
      </c>
      <c r="BA103" s="46" t="str">
        <f>IF(Atletas!I99="","",IF(Atletas!B99="Feminino",100,IF(Atletas!B99="Masculino",200,""))+(IF(Atletas!I99="Gunshu Mirim",43,IF(Atletas!I99="Qiangshu Mirim",44,IF(Atletas!I99="Nangun Mirim",45,IF(Atletas!I99="Gunshu Grupo C",46,IF(Atletas!I99="Qiangshu Grupo C",47,IF(Atletas!I99="Nangun Grupo C",48,IF(Atletas!I99="Gunshu Grupo B",49,IF(Atletas!I99="Qiangshu Grupo B",50,IF(Atletas!I99="Nangun Grupo B",51,IF(Atletas!I99="Gunshu Grupo A",52,IF(Atletas!I99="Qiangshu Grupo A",53,IF(Atletas!I99="Nangun Grupo A",54,IF(Atletas!I99="Gunshu Opcional",55,IF(Atletas!I99="Qiangshu Opcional",56,IF(Atletas!I99="Nangun Opcional",57,IF(Atletas!I99="Gunshu Adulto",58,IF(Atletas!I99="Qiangshu Adulto",59,IF(Atletas!I99="Nangun Adulto",60,""))))))))))))))))))))</f>
        <v/>
      </c>
      <c r="BF103" s="52" t="str">
        <f>IF(Atletas!J99="","",IF(Atletas!B99="Feminino",100,IF(Atletas!B99="Masculino",200,""))+(IF(Atletas!J99="Equipe 1 Grupo B",1,IF(Atletas!J99="Equipe 2 Grupo B",2,IF(Atletas!J99="Equipe 1 Grupo A",3,IF(Atletas!J99="Equipe 2 Grupo A",4,IF(Atletas!J99="Equipe 1 Adulto",5,IF(Atletas!J99="Equipe 2 Adulto",6,""))))))))</f>
        <v/>
      </c>
      <c r="BK103" s="52" t="str">
        <f>IF(Atletas!K99="","",IF(Atletas!W99&lt;&gt;"",10000,0)+(IF(Atletas!B99="Feminino",1000,IF(Atletas!B99="Masculino",2000,""))+IF(Atletas!K99="Choylayfut A",1,IF(Atletas!K99="Hunggar A",2,IF(Atletas!K99="Wuzuquan A",3,IF(Atletas!K99="Wingchun A",4,IF(Atletas!K99="Outra Mão de Sul A",5,IF(Atletas!K99="Choylayfut B",6,IF(Atletas!K99="Hunggar B",7,IF(Atletas!K99="Wuzuquan B",8,IF(Atletas!K99="Wingchun B",9,IF(Atletas!K99="Outra Mão de Sul B",10,IF(Atletas!K99="Choylayfut C",11,IF(Atletas!K99="Hunggar C",12,IF(Atletas!K99="Wuzuquan C",13,IF(Atletas!K99="Wingchun C",14,IF(Atletas!K99="Outra Mão de Sul C",15,IF(Atletas!K99="Choylayfut D",16,IF(Atletas!K99="Hunggar D",17,IF(Atletas!K99="Wuzuquan D",18,IF(Atletas!K99="Wingchun D",19,IF(Atletas!K99="Outra Mão de Sul D",20,IF(Atletas!K99="Choylayfut E",21,IF(Atletas!K99="Hunggar E",22,IF(Atletas!K99="Wuzuquan E",23,IF(Atletas!K99="Wingchun E",24,IF(Atletas!K99="Outra Mão de Sul E",25,IF(Atletas!K99="Choylayfut F",26,IF(Atletas!K99="Hunggar F",27,IF(Atletas!K99="Wuzuquan F",28,IF(Atletas!K99="Wingchun F",29,IF(Atletas!K99="Outra Mão de Sul F",30,""))))))))))))))))))))))))))))))))</f>
        <v/>
      </c>
      <c r="BL103" s="52" t="str">
        <f>IF(Atletas!L99="","",IF(Atletas!W99&lt;&gt;"",10000,0)+(IF(Atletas!B99="Feminino",1000,IF(Atletas!B99="Masculino",2000,""))+(IF(Atletas!L99="Chaquan A",101,IF(Atletas!L99="Emeiquan A",102,IF(Atletas!L99="Fanziquan A",103,IF(Atletas!L99="Huaquan A",104,IF(Atletas!L99="Hongquan A",105,IF(Atletas!L99="Paochui A",106,IF(Atletas!L99="Piguaquan A",107,IF(Atletas!L99="Shaolinquan A",108,IF(Atletas!L99="Tanglangquan A",109,IF(Atletas!L99="Yinzhaophai A",110,IF(Atletas!L99="Tongbeiquan A",111,IF(Atletas!L99="Wudangquan A",112,IF(Atletas!L99="Outros Estilos A",113,IF(Atletas!L99="Chaquan B",114,IF(Atletas!L99="Emeiquan B",115,IF(Atletas!L99="Fanziquan B",116,IF(Atletas!L99="Huaquan B",117,IF(Atletas!L99="Hongquan B",118,IF(Atletas!L99="Paochui B",119,IF(Atletas!L99="Piguaquan B",120,IF(Atletas!L99="Shaolinquan B",121,IF(Atletas!L99="Tanglangquan B",122,IF(Atletas!L99="Yinzhaophai B",123,IF(Atletas!L99="Tongbeiquan B",124,IF(Atletas!L99="Wudangquan B",125,IF(Atletas!L99="Outros Estilos B",126,IF(Atletas!L99="Chaquan C",127,IF(Atletas!L99="Emeiquan C",128,IF(Atletas!L99="Fanziquan C",129,IF(Atletas!L99="Huaquan C",130,IF(Atletas!L99="Hongquan C",131,IF(Atletas!L99="Paochui C",132,IF(Atletas!L99="Piguaquan C",133,IF(Atletas!L99="Shaolinquan C",134,IF(Atletas!L99="Tanglangquan C",135,IF(Atletas!L99="Yinzhaophai C",136,IF(Atletas!L99="Tongbeiquan C",137,IF(Atletas!L99="Wudangquan C",138,IF(Atletas!L99="Outros Estilos C",139,0))))))))))))))))))))))))))))))))))))))))))</f>
        <v/>
      </c>
      <c r="BM103" s="52" t="str">
        <f>IF(Atletas!L99="","",IF(Atletas!W99&lt;&gt;"",10000,0)+(IF(Atletas!B99="Feminino",1000,IF(Atletas!B99="Masculino",2000,""))+(IF(Atletas!L99="Chaquan D",140,IF(Atletas!L99="Emeiquan D",141,IF(Atletas!L99="Fanziquan D",142,IF(Atletas!L99="Huaquan D",143,IF(Atletas!L99="Hongquan D",144,IF(Atletas!L99="Paochui D",145,IF(Atletas!L99="Piguaquan D",146,IF(Atletas!L99="Shaolinquan D",147,IF(Atletas!L99="Tanglangquan D",148,IF(Atletas!L99="Yinzhaophai D",149,IF(Atletas!L99="Tongbeiquan D",150,IF(Atletas!L99="Wudangquan D",151,IF(Atletas!L99="Outros Estilos D",152,IF(Atletas!L99="Chaquan E",153,IF(Atletas!L99="Emeiquan E",154,IF(Atletas!L99="Fanziquan E",155,IF(Atletas!L99="Huaquan E",156,IF(Atletas!L99="Hongquan E",157,IF(Atletas!L99="Paochui E",158,IF(Atletas!L99="Piguaquan E",159,IF(Atletas!L99="Shaolinquan E",160,IF(Atletas!L99="Tanglangquan E",161,IF(Atletas!L99="Yinzhaophai E",162,IF(Atletas!L99="Tongbeiquan E",163,IF(Atletas!L99="Wudangquan E",164,IF(Atletas!L99="Outros Estilos E",165,IF(Atletas!L99="Chaquan F",166,IF(Atletas!L99="Emeiquan F",167,IF(Atletas!L99="Fanziquan F",168,IF(Atletas!L99="Huaquan F",169,IF(Atletas!L99="Hongquan F",170,IF(Atletas!L99="Paochui F",171,IF(Atletas!L99="Piguaquan F",172,IF(Atletas!L99="Shaolinquan F",173,IF(Atletas!L99="Tanglangquan F",174,IF(Atletas!L99="Yinzhaophai F",175,IF(Atletas!L99="Tongbeiquan F",176,IF(Atletas!L99="Wudangquan F",177,IF(Atletas!L99="Outros Estilos F",178,0))))))))))))))))))))))))))))))))))))))))))</f>
        <v/>
      </c>
      <c r="BN103" s="52" t="str">
        <f>IF(Atletas!M99="","",IF(Atletas!W99&lt;&gt;"",10000,0)+(IF(Atletas!B99="Feminino",1000,IF(Atletas!B99="Masculino",2000,""))+(IF(Atletas!M99="Ditangquan A",201,IF(Atletas!M99="Houquan A",202,IF(Atletas!M99="Zuiquan A",203,IF(Atletas!M99="Ditangquan B",204,IF(Atletas!M99="Houquan B",205,IF(Atletas!M99="Zuiquan B",206,IF(Atletas!M99="Ditangquan C",207,IF(Atletas!M99="Houquan C",208,IF(Atletas!M99="Zuiquan C",209,IF(Atletas!M99="Ditangquan D",210,IF(Atletas!M99="Houquan D",211,IF(Atletas!M99="Zuiquan D",212,IF(Atletas!M99="Ditangquan E",213,IF(Atletas!M99="Houquan E",214,IF(Atletas!M99="Zuiquan E",215,IF(Atletas!M99="Ditangquan F",216,IF(Atletas!M99="Houquan F",217,IF(Atletas!M99="Zuiquan F",218,"")))))))))))))))))))))</f>
        <v/>
      </c>
      <c r="BO103" s="52" t="str">
        <f>IF(Atletas!N99="","",IF(Atletas!W99&lt;&gt;"",10000,0)+IF(Atletas!B99="Feminino",1000,IF(Atletas!B99="Masculino",2000,""))+IF(Atletas!N99="Yang A",301,IF(Atletas!N99="Chen A",30,IF(Atletas!N99="Sun A",303,IF(Atletas!N99="Wu A",304,IF(Atletas!N99="Wu-Hao A",305,IF(Atletas!N99="Outro Taijiquan A",306,IF(Atletas!N99="Yang B",307,IF(Atletas!N99="Chen B",308,IF(Atletas!N99="Sun B",309,IF(Atletas!N99="Wu B",310,IF(Atletas!N99="Wu-Hao B",311,IF(Atletas!N99="Outro Taijiquan B",312,IF(Atletas!N99="Yang C",313,IF(Atletas!N99="Chen C",314,IF(Atletas!N99="Sun C",315,IF(Atletas!N99="Wu C",316,IF(Atletas!N99="Wu-Hao C",317,IF(Atletas!N99="Outro Taijiquan C",318,IF(Atletas!N99="Yang D",319,IF(Atletas!N99="Chen D",320,IF(Atletas!N99="Sun D",321,IF(Atletas!N99="Wu D",322,IF(Atletas!N99="Wu-Hao D",323,IF(Atletas!N99="Outro Taijiquan D",324,IF(Atletas!N99="Yang E",325,IF(Atletas!N99="Chen E",326,IF(Atletas!N99="Sun E",327,IF(Atletas!N99="Wu E",328,IF(Atletas!N99="Wu-Hao E",329,IF(Atletas!N99="Outro Taijiquan E",330,IF(Atletas!N99="Yang F",331,IF(Atletas!N99="Chen F",332,IF(Atletas!N99="Sun F",333,IF(Atletas!N99="Wu F",334,IF(Atletas!N99="Wu-Hao F",335,IF(Atletas!N99="Outro Taijiquan F",336,"")))))))))))))))))))))))))))))))))))))</f>
        <v/>
      </c>
      <c r="BP103" s="52" t="str">
        <f>IF(Atletas!O99="","",IF(Atletas!W99&lt;&gt;"",10000,0)+IF(Atletas!B99="Feminino",1000,IF(Atletas!B99="Masculino",2000,""))+IF(OR(Atletas!O99="Yang 26 A",Atletas!O99="Yang 40 A"),401,IF(OR(Atletas!O99="Chen 25 A",Atletas!O99="Chen 36 A",Atletas!O99="Chen 56 A"),402,IF(Atletas!O99="Sun 73 A",403,IF(Atletas!O99="Wu 45 A",404,IF(Atletas!O99="Wu-Hao 46 A",405,IF(OR(Atletas!O99="Taijiquan 16 A",Atletas!O99="Taijiquan 24 A",Atletas!O99="Taijiquan 32 A",Atletas!O99="Taijiquan 42 A"),406,IF(OR(Atletas!O99="Yang 26 B",Atletas!O99="Yang 40 B"),407,IF(OR(Atletas!O99="Chen 25 B",Atletas!O99="Chen 36 B",Atletas!O99="Chen 56 B"),408,IF(Atletas!O99="Sun 73 B",409,IF(Atletas!O99="Wu 45 B",410,IF(Atletas!O99="Wu-Hao 46 B",411,IF(OR(Atletas!O99="Taijiquan 16 B",Atletas!O99="Taijiquan 24 B",Atletas!O99="Taijiquan 32 B",Atletas!O99="Taijiquan 42 B"),412,IF(OR(Atletas!O99="Yang 26 C",Atletas!O99="Yang 40 C"),413,IF(OR(Atletas!O99="Chen 25 C",Atletas!O99="Chen 36 C",Atletas!O99="Chen 56 C"),414,IF(Atletas!O99="Sun 73 C",415,IF(Atletas!O99="Wu 45 C",416,IF(Atletas!O99="Wu-Hao 46 C",417,IF(OR(Atletas!O99="Taijiquan 16 C",Atletas!O99="Taijiquan 24 C",Atletas!O99="Taijiquan 32 C",Atletas!O99="Taijiquan 42 C"),418,0)))))))))))))))))))</f>
        <v/>
      </c>
      <c r="BQ103" s="52" t="str">
        <f>IF(Atletas!O99="","",IF(Atletas!W99&lt;&gt;"",10000,0)+IF(Atletas!B99="Feminino",1000,IF(Atletas!B99="Masculino",2000,""))+IF(OR(Atletas!O99="Yang 26 D",Atletas!O99="Yang 40 D"),419,IF(OR(Atletas!O99="Chen 25 D",Atletas!O99="Chen 36 D",Atletas!O99="Chen 56 D"),420,IF(Atletas!O99="Sun 73 D",421,IF(Atletas!O99="Wu 45 D",422,IF(Atletas!O99="Wu-Hao 46 D",423,IF(OR(Atletas!O99="Taijiquan 16 D",Atletas!O99="Taijiquan 24 D",Atletas!O99="Taijiquan 32 D",Atletas!O99="Taijiquan 42 D"),424,IF(OR(Atletas!O99="Yang 26 E",Atletas!O99="Yang 40 E"),425,IF(OR(Atletas!O99="Chen 25 E",Atletas!O99="Chen 36 E",Atletas!O99="Chen 56 E"),426,IF(Atletas!O99="Sun 73 E",427,IF(Atletas!O99="Wu 45 E",428,IF(Atletas!O99="Wu-Hao 46 E",429,IF(OR(Atletas!O99="Taijiquan 16 E",Atletas!O99="Taijiquan 24 E",Atletas!O99="Taijiquan 32 E",Atletas!O99="Taijiquan 42 E"),430,IF(OR(Atletas!O99="Yang 26 F",Atletas!O99="Yang 40 F"),431,IF(OR(Atletas!O99="Chen 25 F",Atletas!O99="Chen 36 F",Atletas!O99="Chen 56 F"),432,IF(Atletas!O99="Sun 73 F",433,IF(Atletas!O99="Wu 45 F",434,IF(Atletas!O99="Wu-Hao 46 F",435,IF(OR(Atletas!O99="Taijiquan 16 F",Atletas!O99="Taijiquan 24 F",Atletas!O99="Taijiquan 32 F",Atletas!O99="Taijiquan 42 F"),436,0)))))))))))))))))))</f>
        <v/>
      </c>
      <c r="BR103" s="52" t="str">
        <f>IF(Atletas!P99="","",IF(Atletas!W99&lt;&gt;"",10000,0)+IF(Atletas!B99="Feminino",1000,IF(Atletas!B99="Masculino",2000,""))+IF(Atletas!P99="Xingyiquan A",501,IF(Atletas!P99="Baguazhang A",502,IF(Atletas!P99="Outro Estilo Interno A",503,IF(Atletas!P99="Xingyiquan B",504,IF(Atletas!P99="Baguazhang B",505,IF(Atletas!P99="Outro Estilo Interno B",506,IF(Atletas!P99="Xingyiquan C",507,IF(Atletas!P99="Baguazhang C",508,IF(Atletas!P99="Outro Estilo Interno C",509,IF(Atletas!P99="Xingyiquan D",510,IF(Atletas!P99="Baguazhang D",511,IF(Atletas!P99="Outro Estilo Interno D",512,IF(Atletas!P99="Xingyiquan E",513,IF(Atletas!P99="Baguazhang E",514,IF(Atletas!P99="Outro Estilo Interno E",515,IF(Atletas!P99="Xingyiquan F",516,IF(Atletas!P99="Baguazhang F",517,IF(Atletas!P99="Outro Estilo Interno F",518, "")))))))))))))))))))</f>
        <v/>
      </c>
      <c r="BS103" s="52" t="str">
        <f>IF(Atletas!Q99="","",IF(Atletas!W99&lt;&gt;"",10000,0)+IF(Atletas!B99="Feminino",1000,IF(Atletas!B99="Masculino",2000,""))+IF(Atletas!Q99="Dao A",601,IF(Atletas!Q99="Jian A",602,IF(Atletas!Q99="Bishou A",603,IF(Atletas!Q99="Shan A",604,IF(Atletas!Q99="Outra Arma Curta A",605,IF(Atletas!Q99="Dao B",606,IF(Atletas!Q99="Jian B",607,IF(Atletas!Q99="Bishou B",608,IF(Atletas!Q99="Shan B",609,IF(Atletas!Q99="Outra Arma Curta B",610,IF(Atletas!Q99="Dao C",611,IF(Atletas!Q99="Jian C",612,IF(Atletas!Q99="Bishou C",613,IF(Atletas!Q99="Shan C",614,IF(Atletas!Q99="Outra Arma Curta C",615,IF(Atletas!Q99="Dao D",616,IF(Atletas!Q99="Jian D",617,IF(Atletas!Q99="Bishou D",618,IF(Atletas!Q99="Shan D",619,IF(Atletas!Q99="Outra Arma Curta D",620,IF(Atletas!Q99="Dao E",621,IF(Atletas!Q99="Jian E",622,IF(Atletas!Q99="Bishou E",623,IF(Atletas!Q99="Shan E",624,IF(Atletas!Q99="Outra Arma Curta E",625,IF(Atletas!Q99="Dao F",626,IF(Atletas!Q99="Jian F",627,IF(Atletas!Q99="Bishou F",628,IF(Atletas!Q99="Shan F",629,IF(Atletas!Q99="Outra Arma Curta F",630, "")))))))))))))))))))))))))))))))</f>
        <v/>
      </c>
      <c r="BT103" s="52" t="str">
        <f>IF(Atletas!R99="","",IF(Atletas!W99&lt;&gt;"",10000,0)+IF(Atletas!B99="Feminino",1000,IF(Atletas!B99="Masculino",2000,""))+IF(Atletas!R99="Gun A",701,IF(Atletas!R99="Qiang A",702,IF(Atletas!R99="Pudao / Guandao A",703,IF(Atletas!R99="Outra Arma Longa A",704,IF(Atletas!R99="Gun B",705,IF(Atletas!R99="Qiang B",706,IF(Atletas!R99="Pudao / Guandao B",707,IF(Atletas!R99="Outra Arma Longa B",708,IF(Atletas!R99="Gun C",709,IF(Atletas!R99="Qiang C",710,IF(Atletas!R99="Pudao / Guandao C",711,IF(Atletas!R99="Outra Arma Longa C",712,IF(Atletas!R99="Gun D",713,IF(Atletas!R99="Qiang D",714,IF(Atletas!R99="Pudao / Guandao D",715,IF(Atletas!R99="Outra Arma Longa D",716,IF(Atletas!R99="Gun E",717,IF(Atletas!R99="Qiang E",718,IF(Atletas!R99="Pudao / Guandao E",719,IF(Atletas!R99="Outra Arma Longa E",720,IF(Atletas!R99="Gun F",721,IF(Atletas!R99="Qiang F",722,IF(Atletas!R99="Pudao / Guandao F",723,IF(Atletas!R99="Outra Arma Longa F",724,"")))))))))))))))))))))))))</f>
        <v/>
      </c>
      <c r="BU103" s="52" t="str">
        <f>IF(Atletas!S99="","",IF(Atletas!W99&lt;&gt;"",10000,0)+IF(Atletas!B99="Feminino",1000,IF(Atletas!B99="Masculino",2000,""))+IF(Atletas!S99="Arma Dupla A",801,IF(Atletas!S99="Arma Maleável A",802,IF(Atletas!S99="Arma Dupla B",803,IF(Atletas!S99="Arma Maleável B",804,IF(Atletas!S99="Arma Dupla C",805,IF(Atletas!S99="Arma Maleável C",806,IF(Atletas!S99="Arma Dupla D",807,IF(Atletas!S99="Arma Maleável D",808,IF(Atletas!S99="Arma Dupla E",809,IF(Atletas!S99="Arma Maleável E",810,IF(Atletas!S99="Arma Dupla F",811,IF(Atletas!S99="Arma Maleável F",812, "")))))))))))))</f>
        <v/>
      </c>
      <c r="BV103" s="52" t="str">
        <f>IF(Atletas!T99="","",IF(Atletas!W99&lt;&gt;"",10000,0)+IF(Atletas!B99="Feminino",1000,IF(Atletas!B99="Masculino",2000,""))+IF(Atletas!T99="Taijijian Yang A",901,IF(Atletas!T99="Taijijian Chen A",902,IF(Atletas!T99="Taijijian Sun A",903,IF(Atletas!T99="Taijijian Wu A",904,IF(Atletas!T99="Taijijian Wu-Hao A",905,IF(Atletas!T99="Taijijian 32 A",906,IF(Atletas!T99="Taijijian 42 A",907,IF(Atletas!T99="Taijijian Yang B",908,IF(Atletas!T99="Taijijian Chen B",909,IF(Atletas!T99="Taijijian Sun B",910,IF(Atletas!T99="Taijijian Wu B",911,IF(Atletas!T99="Taijijian Wu-Hao B",912,IF(Atletas!T99="Taijijian 32 B",913,IF(Atletas!T99="Taijijian 42 B",914,IF(Atletas!T99="Taijijian Yang C",915,IF(Atletas!T99="Taijijian Chen C",916,IF(Atletas!T99="Taijijian Sun C",917,IF(Atletas!T99="Taijijian Wu C",918,IF(Atletas!T99="Taijijian Wu-Hao C",919,IF(Atletas!T99="Taijijian 32 C",920,IF(Atletas!T99="Taijijian 42 C",921,IF(Atletas!T99="Taijijian Yang D",922,IF(Atletas!T99="Taijijian Chen D",923,IF(Atletas!T99="Taijijian Sun D",924,IF(Atletas!T99="Taijijian Wu D",925,IF(Atletas!T99="Taijijian Wu-Hao D",926,IF(Atletas!T99="Taijijian 32 D",927,IF(Atletas!T99="Taijijian 42 D",928,IF(Atletas!T99="Taijijian Yang E",929,IF(Atletas!T99="Taijijian Chen E",930,IF(Atletas!T99="Taijijian Sun E",931,IF(Atletas!T99="Taijijian Wu E",932,IF(Atletas!T99="Taijijian Wu-Hao E",933,IF(Atletas!T99="Taijijian 32 E",934,IF(Atletas!T99="Taijijian 42 E",935,IF(Atletas!T99="Taijijian Yang F",936,IF(Atletas!T99="Taijijian Chen F",937,IF(Atletas!T99="Taijijian Sun F",938,IF(Atletas!T99="Taijijian Wu F",939,IF(Atletas!T99="Taijijian Wu-Hao F",940,IF(Atletas!T99="Taijijian 32 F",941,IF(Atletas!T99="Taijijian 42 F",942,"")))))))))))))))))))))))))))))))))))))))))))</f>
        <v/>
      </c>
      <c r="BW103" s="52" t="str">
        <f>IF(Atletas!U99="","",IF(Atletas!W99&lt;&gt;"",10000,0)+IF(Atletas!B99="Feminino",1000,IF(Atletas!B99="Masculino",2000,""))+IF(Atletas!T99="Taijijian 42 F",942,IF(Atletas!U99="Taijidao A",943,IF(Atletas!U99="Taijishan A",944,IF(Atletas!U99="Taijiqiang A",945,IF(Atletas!U99="Taijidao B",946,IF(Atletas!U99="Taijishan B",947,IF(Atletas!U99="Taijiqiang B",948,IF(Atletas!U99="Taijidao C",949,IF(Atletas!U99="Taijishan C",950,IF(Atletas!U99="Taijiqiang C",951,IF(Atletas!U99="Taijidao D",952,IF(Atletas!U99="Taijishan D",953,IF(Atletas!U99="Taijiqiang D",954,IF(Atletas!U99="Taijidao E",955,IF(Atletas!U99="Taijishan E",956,IF(Atletas!U99="Taijiqiang E",957,IF(Atletas!U99="Taijidao F",958,IF(Atletas!U99="Taijishan F",959,IF(Atletas!U99="Taijiqiang F",960))))))))))))))))))))</f>
        <v/>
      </c>
      <c r="BX103" s="64" t="str">
        <f>IF(BY103&lt;&gt;"","Emeiquan F","")</f>
        <v/>
      </c>
      <c r="BY103" s="64" t="str">
        <f>IF(COUNTIF(BK:BW,1167)&gt;0,COUNTIF(BK:BW,1167),"")</f>
        <v/>
      </c>
      <c r="BZ103" s="64" t="str">
        <f>IF(CA103&lt;&gt;"","Emeiquan F","")</f>
        <v/>
      </c>
      <c r="CA103" s="64" t="str">
        <f>IF(COUNTIF(BK:BW,2167)&gt;0,COUNTIF(BK:BW,2167),"")</f>
        <v/>
      </c>
      <c r="CB103" s="64" t="str">
        <f>IF(CC103&lt;&gt;"","Emeiquan F","")</f>
        <v/>
      </c>
      <c r="CC103" s="64" t="str">
        <f>IF(COUNTIF(BK:BW,11167)&gt;0,COUNTIF(BK:BW,11167),"")</f>
        <v/>
      </c>
      <c r="CD103" s="64" t="str">
        <f>IF(CE103&lt;&gt;"","Emeiquan F","")</f>
        <v/>
      </c>
      <c r="CE103" s="64" t="str">
        <f>IF(COUNTIF(BK:BW,12167)&gt;0,COUNTIF(BK:BW,12167),"")</f>
        <v/>
      </c>
      <c r="CF103" s="52" t="str">
        <f xml:space="preserve"> IF(Atletas!V99="","",IF(Atletas!V99="Duilian de Mãos AB - Equipe 1",1,IF(Atletas!V99="Duilian de Mãos AB - Equipe 2",2,IF(Atletas!V99="Duilian de Armas AB - Equipe 1",3,IF(Atletas!V99="Duilian de Armas AB - Equipe 2",4,IF(Atletas!V99="Duilian de Tuishou - Equipe 1",5,IF(Atletas!V99="Duilian de Tuishou - Equipe 2",6,IF(Atletas!V99="Grupo Externo AB - Equipe 1",7,IF(Atletas!V99="Grupo Externo AB - Equipe 2",8,IF(Atletas!V99="Grupo Interno AB - Equipe 1",9,IF(Atletas!V99="Grupo Interno AB - Equipe 2",10,IF(Atletas!V99="Duilian de Mãos CD - Equipe 1",11,IF(Atletas!V99="Duilian de Mãos CD - Equipe 2",12,IF(Atletas!V99="Duilian de Armas CD - Equipe 1",13,IF(Atletas!V99="Duilian de Armas CD - Equipe 2",14,IF(Atletas!V99="Duilian de Tuishou - Equipe 1",15,IF(Atletas!V99="Duilian de Tuishou - Equipe 2",16,IF(Atletas!V99="Grupo Externo CDEF - Equipe 1",17,IF(Atletas!V99="Grupo Externo CDEF - Equipe 2",18,IF(Atletas!V99="Grupo Interno CDEF - Equipe 1",19,IF(Atletas!V99="Grupo Interno CDEF - Equipe 2",20,IF(Atletas!V99="Duilian de Mãos EF - Equipe 1",21,IF(Atletas!V99="Duilian de Mãos EF - Equipe 2",22,IF(Atletas!V99="Duilian de Armas EF - Equipe 1",23,IF(Atletas!V99="Duilian de Armas EF - Equipe 2",24,IF(Atletas!V99="Duilian de Tuishou - Equipe 1",25,IF(Atletas!V99="Duilian de Tuishou - Equipe 2",26,"")))))))))))))))))))))))))))</f>
        <v/>
      </c>
    </row>
    <row r="104" spans="2:84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 t="str">
        <f t="array" ref="V104">IFERROR(INDEX(BX$7:BX$336,SMALL(IF(BX$7:BX$336&lt;&gt;"",ROW(BX$7:BX$336)-ROW(BX$7)+1),ROWS(BX$7:BX103))),"")</f>
        <v/>
      </c>
      <c r="W104" s="4" t="str">
        <f t="array" ref="W104">IFERROR(INDEX(BY$7:BY$336,SMALL(IF(BY$7:BY$336&lt;&gt;"",ROW(BY$7:BY$336)-ROW(BY$7)+1),ROWS(BY$7:BY103))),"")</f>
        <v/>
      </c>
      <c r="X104" s="4" t="str">
        <f t="array" ref="X104">IFERROR(INDEX(BZ$7:BZ$336,SMALL(IF(BZ$7:BZ$336&lt;&gt;"",ROW(BZ$7:BZ$336)-ROW(BZ$7)+1),ROWS(BZ$7:BZ103))),"")</f>
        <v/>
      </c>
      <c r="Y104" s="4" t="str">
        <f t="array" ref="Y104">IFERROR(INDEX(CA$7:CA$336,SMALL(IF(CA$7:CA$336&lt;&gt;"",ROW(CA$7:CA$336)-ROW(CA$7)+1),ROWS(CA$7:CA103))),"")</f>
        <v/>
      </c>
      <c r="Z104" s="4" t="str">
        <f t="array" ref="Z104">IFERROR(INDEX(CB$7:CB$378,SMALL(IF(CB$7:CB$378&lt;&gt;"",ROW(CB$7:CB$378)-ROW(CB$7)+1),ROWS(CB$7:CB103))),"")</f>
        <v/>
      </c>
      <c r="AA104" s="4" t="str">
        <f t="array" ref="AA104">IFERROR(INDEX(CC$7:CC$378,SMALL(IF(CC$7:CC$378&lt;&gt;"",ROW(CC$7:CC$378)-ROW(CC$7)+1),ROWS(CC$7:CC103))),"")</f>
        <v/>
      </c>
      <c r="AB104" s="4" t="str">
        <f t="array" ref="AB104">IFERROR(INDEX(CD$7:CD$378,SMALL(IF(CD$7:CD$378&lt;&gt;"",ROW(CD$7:CD$378)-ROW(CD$7)+1),ROWS(CD$7:CD103))),"")</f>
        <v/>
      </c>
      <c r="AC104" s="4" t="str">
        <f t="array" ref="AC104">IFERROR(INDEX(CE$7:CE$378,SMALL(IF(CE$7:CE$378&lt;&gt;"",ROW(CE$7:CE$378)-ROW(CE$7)+1),ROWS(CE$7:CE103))),"")</f>
        <v/>
      </c>
      <c r="AD104" s="4"/>
      <c r="AE104" s="4"/>
      <c r="AF104" s="4"/>
      <c r="AG104" s="4"/>
      <c r="AH104" s="4"/>
      <c r="AI104" s="4"/>
      <c r="AJ104" s="46" t="str">
        <f>IF(Atletas!D100="","",IF(Atletas!B100="Feminino",100,IF(Atletas!B100="Masculino",200,""))+(IF(Atletas!D100="Infantil 39kg",1,IF(Atletas!D100="Infantil 42kg",2,IF(Atletas!D100="Infantil 45kg",3,IF(Atletas!D100="Infantil 48kg",4,IF(Atletas!D100="Infantil 52kg",5,IF(Atletas!D100="Infantil 56kg",6,IF(Atletas!D100="Infantil 60kg",7,IF(Atletas!D100="Juvenil 48kg",8,IF(Atletas!D100="Juvenil 52kg",9,IF(Atletas!D100="Juvenil 56kg",10,IF(Atletas!D100="Juvenil 60kg",11,IF(Atletas!D100="Juvenil 65kg",12,IF(Atletas!D100="Juvenil 70kg",13,IF(Atletas!D100="Juvenil 75kg",14,IF(Atletas!D100="Juvenil 80kg",15,IF(Atletas!D100="Adulto 48kg",16,IF(Atletas!D100="Adulto 52kg",17,IF(Atletas!D100="Adulto 56kg",18,IF(Atletas!D100="Adulto 60kg",19,IF(Atletas!D100="Adulto 65kg",20,IF(Atletas!D100="Adulto 70kg",21,IF(Atletas!D100="Adulto 75kg",22,IF(Atletas!D100="Adulto 80kg",23,IF(Atletas!D100="Adulto 85kg",24,IF(Atletas!D100="Adulto 90kg",25,IF(Atletas!D100="Adulto +90kg",26,""))))))))))))))))))))))))))))</f>
        <v/>
      </c>
      <c r="AO104" s="10" t="str">
        <f>IF(Atletas!E100="","",IF(Atletas!B100="Feminino",100,IF(Atletas!B100="Masculino",200,""))+(IF(Atletas!E100="Juvenil 44kg",1,IF(Atletas!E100="Juvenil 48kg",2,IF(Atletas!E100="Juvenil 52kg",3,IF(Atletas!E100="Juvenil 56kg",4,IF(Atletas!E100="Juvenil 60kg",5,IF(Atletas!E100="Juvenil 65kg",6,IF(Atletas!E100="Juvenil 70kg",7,IF(Atletas!E100="Juvenil 75kg",8,IF(Atletas!E100="Juvenil 82kg",9,IF(Atletas!E100="Juvenil 90kg",10,IF(Atletas!E100="Juvenil 100kg",11,IF(Atletas!E100="Adulto 48kg",12,IF(Atletas!E100="Adulto 52kg",13,IF(Atletas!E100="Adulto 56kg",14,IF(Atletas!E100="Adulto 60kg",15,IF(Atletas!E100="Adulto 65kg",16,IF(Atletas!E100="Adulto 70kg",17,IF(Atletas!E100="Adulto 75kg",18,IF(Atletas!E100="Adulto 82kg",19,IF(Atletas!E100="Adulto 90kg",20,IF(Atletas!E100="Adulto 100kg",21,IF(Atletas!E100="Adulto +100kg",22,""))))))))))))))))))))))))</f>
        <v/>
      </c>
      <c r="AT104" s="10" t="str">
        <f>IF(Atletas!F100="","",IF(Atletas!B100="Feminino",100,IF(Atletas!B100="Masculino",200,""))+(IF(Atletas!F100="Adulto 48kg",1,IF(Atletas!F100="Adulto 56kg",2,IF(Atletas!F100="Adulto 65kg",3,IF(Atletas!F100="Adulto 75kg",4,IF(Atletas!F100="Adulto +75kg",5,IF(Atletas!F100="Adulto 52kg",6,IF(Atletas!F100="Adulto 60kg",7,IF(Atletas!F100="Adulto 70kg",8,IF(Atletas!F100="Adulto 80kg",9,IF(Atletas!F100="Adulto 90kg",10,IF(Atletas!F100="Adulto +90kg",11,"")))))))))))))</f>
        <v/>
      </c>
      <c r="AY104" s="46" t="str">
        <f>IF(Atletas!G100="","",IF(Atletas!B100="Feminino",100,IF(Atletas!B100="Masculino",200,""))+(IF(Atletas!G100="Changquan Mirim",1,IF(Atletas!G100="Nanquan Mirim",2,IF(Atletas!G100="Taijiquan Mirim",3,IF(Atletas!G100="Changquan Grupo C",4,IF(Atletas!G100="Nanquan Grupo C",5,IF(Atletas!G100="Taijiquan Grupo C",6,IF(Atletas!G100="Changquan Grupo B",7,IF(Atletas!G100="Nanquan Grupo B",8,IF(Atletas!G100="Taijiquan Grupo B",9,IF(Atletas!G100="Changquan Grupo A",10,IF(Atletas!G100="Nanquan Grupo A",11,IF(Atletas!G100="Taijiquan Grupo A",12,IF(Atletas!G100="Changquan Opcional",13,IF(Atletas!G100="Nanquan Opcional",14,IF(Atletas!G100="Taijiquan Opcional",15,IF(Atletas!G100="Changquan Adulto",16,IF(Atletas!G100="Nanquan Adulto",17,IF(Atletas!G100="Taijiquan Adulto",18,""))))))))))))))))))))</f>
        <v/>
      </c>
      <c r="AZ104" s="46" t="str">
        <f>IF(Atletas!H100="","",IF(Atletas!B100="Feminino",100,IF(Atletas!B100="Masculino",200,""))+(IF(Atletas!H100="Daoshu Mirim",19,IF(Atletas!H100="Jianshu Mirim",20,IF(Atletas!H100="Nandao Mirim",21,IF(Atletas!H100="Taijijian Mirim",22,IF(Atletas!H100="Daoshu Grupo C",23,IF(Atletas!H100="Jianshu Grupo C",24,IF(Atletas!H100="Nandao Grupo C",25,IF(Atletas!H100="Taijijian Grupo C",26,IF(Atletas!H100="Daoshu Grupo B",27,IF(Atletas!H100="Jianshu Grupo B",28,IF(Atletas!H100="Nandao Grupo B",29,IF(Atletas!H100="Taijijian Grupo B",30,IF(Atletas!H100="Daoshu Grupo A",31,IF(Atletas!H100="Jianshu Grupo A",32,IF(Atletas!H100="Nandao Grupo A",33,IF(Atletas!H100="Taijijian Grupo A",34,IF(Atletas!H100="Daoshu Opcional",35,IF(Atletas!H100="Jianshu Opcional",36,IF(Atletas!H100="Nandao Opcional",37,IF(Atletas!H100="Taijijian Opcional",38,IF(Atletas!H100="Daoshu Adulto",39,IF(Atletas!H100="Jianshu Adulto",40,IF(Atletas!H100="Nandao Adulto",41,IF(Atletas!H100="Taijijian Adulto",42,""))))))))))))))))))))))))))</f>
        <v/>
      </c>
      <c r="BA104" s="46" t="str">
        <f>IF(Atletas!I100="","",IF(Atletas!B100="Feminino",100,IF(Atletas!B100="Masculino",200,""))+(IF(Atletas!I100="Gunshu Mirim",43,IF(Atletas!I100="Qiangshu Mirim",44,IF(Atletas!I100="Nangun Mirim",45,IF(Atletas!I100="Gunshu Grupo C",46,IF(Atletas!I100="Qiangshu Grupo C",47,IF(Atletas!I100="Nangun Grupo C",48,IF(Atletas!I100="Gunshu Grupo B",49,IF(Atletas!I100="Qiangshu Grupo B",50,IF(Atletas!I100="Nangun Grupo B",51,IF(Atletas!I100="Gunshu Grupo A",52,IF(Atletas!I100="Qiangshu Grupo A",53,IF(Atletas!I100="Nangun Grupo A",54,IF(Atletas!I100="Gunshu Opcional",55,IF(Atletas!I100="Qiangshu Opcional",56,IF(Atletas!I100="Nangun Opcional",57,IF(Atletas!I100="Gunshu Adulto",58,IF(Atletas!I100="Qiangshu Adulto",59,IF(Atletas!I100="Nangun Adulto",60,""))))))))))))))))))))</f>
        <v/>
      </c>
      <c r="BF104" s="52" t="str">
        <f>IF(Atletas!J100="","",IF(Atletas!B100="Feminino",100,IF(Atletas!B100="Masculino",200,""))+(IF(Atletas!J100="Equipe 1 Grupo B",1,IF(Atletas!J100="Equipe 2 Grupo B",2,IF(Atletas!J100="Equipe 1 Grupo A",3,IF(Atletas!J100="Equipe 2 Grupo A",4,IF(Atletas!J100="Equipe 1 Adulto",5,IF(Atletas!J100="Equipe 2 Adulto",6,""))))))))</f>
        <v/>
      </c>
      <c r="BK104" s="52" t="str">
        <f>IF(Atletas!K100="","",IF(Atletas!W100&lt;&gt;"",10000,0)+(IF(Atletas!B100="Feminino",1000,IF(Atletas!B100="Masculino",2000,""))+IF(Atletas!K100="Choylayfut A",1,IF(Atletas!K100="Hunggar A",2,IF(Atletas!K100="Wuzuquan A",3,IF(Atletas!K100="Wingchun A",4,IF(Atletas!K100="Outra Mão de Sul A",5,IF(Atletas!K100="Choylayfut B",6,IF(Atletas!K100="Hunggar B",7,IF(Atletas!K100="Wuzuquan B",8,IF(Atletas!K100="Wingchun B",9,IF(Atletas!K100="Outra Mão de Sul B",10,IF(Atletas!K100="Choylayfut C",11,IF(Atletas!K100="Hunggar C",12,IF(Atletas!K100="Wuzuquan C",13,IF(Atletas!K100="Wingchun C",14,IF(Atletas!K100="Outra Mão de Sul C",15,IF(Atletas!K100="Choylayfut D",16,IF(Atletas!K100="Hunggar D",17,IF(Atletas!K100="Wuzuquan D",18,IF(Atletas!K100="Wingchun D",19,IF(Atletas!K100="Outra Mão de Sul D",20,IF(Atletas!K100="Choylayfut E",21,IF(Atletas!K100="Hunggar E",22,IF(Atletas!K100="Wuzuquan E",23,IF(Atletas!K100="Wingchun E",24,IF(Atletas!K100="Outra Mão de Sul E",25,IF(Atletas!K100="Choylayfut F",26,IF(Atletas!K100="Hunggar F",27,IF(Atletas!K100="Wuzuquan F",28,IF(Atletas!K100="Wingchun F",29,IF(Atletas!K100="Outra Mão de Sul F",30,""))))))))))))))))))))))))))))))))</f>
        <v/>
      </c>
      <c r="BL104" s="52" t="str">
        <f>IF(Atletas!L100="","",IF(Atletas!W100&lt;&gt;"",10000,0)+(IF(Atletas!B100="Feminino",1000,IF(Atletas!B100="Masculino",2000,""))+(IF(Atletas!L100="Chaquan A",101,IF(Atletas!L100="Emeiquan A",102,IF(Atletas!L100="Fanziquan A",103,IF(Atletas!L100="Huaquan A",104,IF(Atletas!L100="Hongquan A",105,IF(Atletas!L100="Paochui A",106,IF(Atletas!L100="Piguaquan A",107,IF(Atletas!L100="Shaolinquan A",108,IF(Atletas!L100="Tanglangquan A",109,IF(Atletas!L100="Yinzhaophai A",110,IF(Atletas!L100="Tongbeiquan A",111,IF(Atletas!L100="Wudangquan A",112,IF(Atletas!L100="Outros Estilos A",113,IF(Atletas!L100="Chaquan B",114,IF(Atletas!L100="Emeiquan B",115,IF(Atletas!L100="Fanziquan B",116,IF(Atletas!L100="Huaquan B",117,IF(Atletas!L100="Hongquan B",118,IF(Atletas!L100="Paochui B",119,IF(Atletas!L100="Piguaquan B",120,IF(Atletas!L100="Shaolinquan B",121,IF(Atletas!L100="Tanglangquan B",122,IF(Atletas!L100="Yinzhaophai B",123,IF(Atletas!L100="Tongbeiquan B",124,IF(Atletas!L100="Wudangquan B",125,IF(Atletas!L100="Outros Estilos B",126,IF(Atletas!L100="Chaquan C",127,IF(Atletas!L100="Emeiquan C",128,IF(Atletas!L100="Fanziquan C",129,IF(Atletas!L100="Huaquan C",130,IF(Atletas!L100="Hongquan C",131,IF(Atletas!L100="Paochui C",132,IF(Atletas!L100="Piguaquan C",133,IF(Atletas!L100="Shaolinquan C",134,IF(Atletas!L100="Tanglangquan C",135,IF(Atletas!L100="Yinzhaophai C",136,IF(Atletas!L100="Tongbeiquan C",137,IF(Atletas!L100="Wudangquan C",138,IF(Atletas!L100="Outros Estilos C",139,0))))))))))))))))))))))))))))))))))))))))))</f>
        <v/>
      </c>
      <c r="BM104" s="52" t="str">
        <f>IF(Atletas!L100="","",IF(Atletas!W100&lt;&gt;"",10000,0)+(IF(Atletas!B100="Feminino",1000,IF(Atletas!B100="Masculino",2000,""))+(IF(Atletas!L100="Chaquan D",140,IF(Atletas!L100="Emeiquan D",141,IF(Atletas!L100="Fanziquan D",142,IF(Atletas!L100="Huaquan D",143,IF(Atletas!L100="Hongquan D",144,IF(Atletas!L100="Paochui D",145,IF(Atletas!L100="Piguaquan D",146,IF(Atletas!L100="Shaolinquan D",147,IF(Atletas!L100="Tanglangquan D",148,IF(Atletas!L100="Yinzhaophai D",149,IF(Atletas!L100="Tongbeiquan D",150,IF(Atletas!L100="Wudangquan D",151,IF(Atletas!L100="Outros Estilos D",152,IF(Atletas!L100="Chaquan E",153,IF(Atletas!L100="Emeiquan E",154,IF(Atletas!L100="Fanziquan E",155,IF(Atletas!L100="Huaquan E",156,IF(Atletas!L100="Hongquan E",157,IF(Atletas!L100="Paochui E",158,IF(Atletas!L100="Piguaquan E",159,IF(Atletas!L100="Shaolinquan E",160,IF(Atletas!L100="Tanglangquan E",161,IF(Atletas!L100="Yinzhaophai E",162,IF(Atletas!L100="Tongbeiquan E",163,IF(Atletas!L100="Wudangquan E",164,IF(Atletas!L100="Outros Estilos E",165,IF(Atletas!L100="Chaquan F",166,IF(Atletas!L100="Emeiquan F",167,IF(Atletas!L100="Fanziquan F",168,IF(Atletas!L100="Huaquan F",169,IF(Atletas!L100="Hongquan F",170,IF(Atletas!L100="Paochui F",171,IF(Atletas!L100="Piguaquan F",172,IF(Atletas!L100="Shaolinquan F",173,IF(Atletas!L100="Tanglangquan F",174,IF(Atletas!L100="Yinzhaophai F",175,IF(Atletas!L100="Tongbeiquan F",176,IF(Atletas!L100="Wudangquan F",177,IF(Atletas!L100="Outros Estilos F",178,0))))))))))))))))))))))))))))))))))))))))))</f>
        <v/>
      </c>
      <c r="BN104" s="52" t="str">
        <f>IF(Atletas!M100="","",IF(Atletas!W100&lt;&gt;"",10000,0)+(IF(Atletas!B100="Feminino",1000,IF(Atletas!B100="Masculino",2000,""))+(IF(Atletas!M100="Ditangquan A",201,IF(Atletas!M100="Houquan A",202,IF(Atletas!M100="Zuiquan A",203,IF(Atletas!M100="Ditangquan B",204,IF(Atletas!M100="Houquan B",205,IF(Atletas!M100="Zuiquan B",206,IF(Atletas!M100="Ditangquan C",207,IF(Atletas!M100="Houquan C",208,IF(Atletas!M100="Zuiquan C",209,IF(Atletas!M100="Ditangquan D",210,IF(Atletas!M100="Houquan D",211,IF(Atletas!M100="Zuiquan D",212,IF(Atletas!M100="Ditangquan E",213,IF(Atletas!M100="Houquan E",214,IF(Atletas!M100="Zuiquan E",215,IF(Atletas!M100="Ditangquan F",216,IF(Atletas!M100="Houquan F",217,IF(Atletas!M100="Zuiquan F",218,"")))))))))))))))))))))</f>
        <v/>
      </c>
      <c r="BO104" s="52" t="str">
        <f>IF(Atletas!N100="","",IF(Atletas!W100&lt;&gt;"",10000,0)+IF(Atletas!B100="Feminino",1000,IF(Atletas!B100="Masculino",2000,""))+IF(Atletas!N100="Yang A",301,IF(Atletas!N100="Chen A",30,IF(Atletas!N100="Sun A",303,IF(Atletas!N100="Wu A",304,IF(Atletas!N100="Wu-Hao A",305,IF(Atletas!N100="Outro Taijiquan A",306,IF(Atletas!N100="Yang B",307,IF(Atletas!N100="Chen B",308,IF(Atletas!N100="Sun B",309,IF(Atletas!N100="Wu B",310,IF(Atletas!N100="Wu-Hao B",311,IF(Atletas!N100="Outro Taijiquan B",312,IF(Atletas!N100="Yang C",313,IF(Atletas!N100="Chen C",314,IF(Atletas!N100="Sun C",315,IF(Atletas!N100="Wu C",316,IF(Atletas!N100="Wu-Hao C",317,IF(Atletas!N100="Outro Taijiquan C",318,IF(Atletas!N100="Yang D",319,IF(Atletas!N100="Chen D",320,IF(Atletas!N100="Sun D",321,IF(Atletas!N100="Wu D",322,IF(Atletas!N100="Wu-Hao D",323,IF(Atletas!N100="Outro Taijiquan D",324,IF(Atletas!N100="Yang E",325,IF(Atletas!N100="Chen E",326,IF(Atletas!N100="Sun E",327,IF(Atletas!N100="Wu E",328,IF(Atletas!N100="Wu-Hao E",329,IF(Atletas!N100="Outro Taijiquan E",330,IF(Atletas!N100="Yang F",331,IF(Atletas!N100="Chen F",332,IF(Atletas!N100="Sun F",333,IF(Atletas!N100="Wu F",334,IF(Atletas!N100="Wu-Hao F",335,IF(Atletas!N100="Outro Taijiquan F",336,"")))))))))))))))))))))))))))))))))))))</f>
        <v/>
      </c>
      <c r="BP104" s="52" t="str">
        <f>IF(Atletas!O100="","",IF(Atletas!W100&lt;&gt;"",10000,0)+IF(Atletas!B100="Feminino",1000,IF(Atletas!B100="Masculino",2000,""))+IF(OR(Atletas!O100="Yang 26 A",Atletas!O100="Yang 40 A"),401,IF(OR(Atletas!O100="Chen 25 A",Atletas!O100="Chen 36 A",Atletas!O100="Chen 56 A"),402,IF(Atletas!O100="Sun 73 A",403,IF(Atletas!O100="Wu 45 A",404,IF(Atletas!O100="Wu-Hao 46 A",405,IF(OR(Atletas!O100="Taijiquan 16 A",Atletas!O100="Taijiquan 24 A",Atletas!O100="Taijiquan 32 A",Atletas!O100="Taijiquan 42 A"),406,IF(OR(Atletas!O100="Yang 26 B",Atletas!O100="Yang 40 B"),407,IF(OR(Atletas!O100="Chen 25 B",Atletas!O100="Chen 36 B",Atletas!O100="Chen 56 B"),408,IF(Atletas!O100="Sun 73 B",409,IF(Atletas!O100="Wu 45 B",410,IF(Atletas!O100="Wu-Hao 46 B",411,IF(OR(Atletas!O100="Taijiquan 16 B",Atletas!O100="Taijiquan 24 B",Atletas!O100="Taijiquan 32 B",Atletas!O100="Taijiquan 42 B"),412,IF(OR(Atletas!O100="Yang 26 C",Atletas!O100="Yang 40 C"),413,IF(OR(Atletas!O100="Chen 25 C",Atletas!O100="Chen 36 C",Atletas!O100="Chen 56 C"),414,IF(Atletas!O100="Sun 73 C",415,IF(Atletas!O100="Wu 45 C",416,IF(Atletas!O100="Wu-Hao 46 C",417,IF(OR(Atletas!O100="Taijiquan 16 C",Atletas!O100="Taijiquan 24 C",Atletas!O100="Taijiquan 32 C",Atletas!O100="Taijiquan 42 C"),418,0)))))))))))))))))))</f>
        <v/>
      </c>
      <c r="BQ104" s="52" t="str">
        <f>IF(Atletas!O100="","",IF(Atletas!W100&lt;&gt;"",10000,0)+IF(Atletas!B100="Feminino",1000,IF(Atletas!B100="Masculino",2000,""))+IF(OR(Atletas!O100="Yang 26 D",Atletas!O100="Yang 40 D"),419,IF(OR(Atletas!O100="Chen 25 D",Atletas!O100="Chen 36 D",Atletas!O100="Chen 56 D"),420,IF(Atletas!O100="Sun 73 D",421,IF(Atletas!O100="Wu 45 D",422,IF(Atletas!O100="Wu-Hao 46 D",423,IF(OR(Atletas!O100="Taijiquan 16 D",Atletas!O100="Taijiquan 24 D",Atletas!O100="Taijiquan 32 D",Atletas!O100="Taijiquan 42 D"),424,IF(OR(Atletas!O100="Yang 26 E",Atletas!O100="Yang 40 E"),425,IF(OR(Atletas!O100="Chen 25 E",Atletas!O100="Chen 36 E",Atletas!O100="Chen 56 E"),426,IF(Atletas!O100="Sun 73 E",427,IF(Atletas!O100="Wu 45 E",428,IF(Atletas!O100="Wu-Hao 46 E",429,IF(OR(Atletas!O100="Taijiquan 16 E",Atletas!O100="Taijiquan 24 E",Atletas!O100="Taijiquan 32 E",Atletas!O100="Taijiquan 42 E"),430,IF(OR(Atletas!O100="Yang 26 F",Atletas!O100="Yang 40 F"),431,IF(OR(Atletas!O100="Chen 25 F",Atletas!O100="Chen 36 F",Atletas!O100="Chen 56 F"),432,IF(Atletas!O100="Sun 73 F",433,IF(Atletas!O100="Wu 45 F",434,IF(Atletas!O100="Wu-Hao 46 F",435,IF(OR(Atletas!O100="Taijiquan 16 F",Atletas!O100="Taijiquan 24 F",Atletas!O100="Taijiquan 32 F",Atletas!O100="Taijiquan 42 F"),436,0)))))))))))))))))))</f>
        <v/>
      </c>
      <c r="BR104" s="52" t="str">
        <f>IF(Atletas!P100="","",IF(Atletas!W100&lt;&gt;"",10000,0)+IF(Atletas!B100="Feminino",1000,IF(Atletas!B100="Masculino",2000,""))+IF(Atletas!P100="Xingyiquan A",501,IF(Atletas!P100="Baguazhang A",502,IF(Atletas!P100="Outro Estilo Interno A",503,IF(Atletas!P100="Xingyiquan B",504,IF(Atletas!P100="Baguazhang B",505,IF(Atletas!P100="Outro Estilo Interno B",506,IF(Atletas!P100="Xingyiquan C",507,IF(Atletas!P100="Baguazhang C",508,IF(Atletas!P100="Outro Estilo Interno C",509,IF(Atletas!P100="Xingyiquan D",510,IF(Atletas!P100="Baguazhang D",511,IF(Atletas!P100="Outro Estilo Interno D",512,IF(Atletas!P100="Xingyiquan E",513,IF(Atletas!P100="Baguazhang E",514,IF(Atletas!P100="Outro Estilo Interno E",515,IF(Atletas!P100="Xingyiquan F",516,IF(Atletas!P100="Baguazhang F",517,IF(Atletas!P100="Outro Estilo Interno F",518, "")))))))))))))))))))</f>
        <v/>
      </c>
      <c r="BS104" s="52" t="str">
        <f>IF(Atletas!Q100="","",IF(Atletas!W100&lt;&gt;"",10000,0)+IF(Atletas!B100="Feminino",1000,IF(Atletas!B100="Masculino",2000,""))+IF(Atletas!Q100="Dao A",601,IF(Atletas!Q100="Jian A",602,IF(Atletas!Q100="Bishou A",603,IF(Atletas!Q100="Shan A",604,IF(Atletas!Q100="Outra Arma Curta A",605,IF(Atletas!Q100="Dao B",606,IF(Atletas!Q100="Jian B",607,IF(Atletas!Q100="Bishou B",608,IF(Atletas!Q100="Shan B",609,IF(Atletas!Q100="Outra Arma Curta B",610,IF(Atletas!Q100="Dao C",611,IF(Atletas!Q100="Jian C",612,IF(Atletas!Q100="Bishou C",613,IF(Atletas!Q100="Shan C",614,IF(Atletas!Q100="Outra Arma Curta C",615,IF(Atletas!Q100="Dao D",616,IF(Atletas!Q100="Jian D",617,IF(Atletas!Q100="Bishou D",618,IF(Atletas!Q100="Shan D",619,IF(Atletas!Q100="Outra Arma Curta D",620,IF(Atletas!Q100="Dao E",621,IF(Atletas!Q100="Jian E",622,IF(Atletas!Q100="Bishou E",623,IF(Atletas!Q100="Shan E",624,IF(Atletas!Q100="Outra Arma Curta E",625,IF(Atletas!Q100="Dao F",626,IF(Atletas!Q100="Jian F",627,IF(Atletas!Q100="Bishou F",628,IF(Atletas!Q100="Shan F",629,IF(Atletas!Q100="Outra Arma Curta F",630, "")))))))))))))))))))))))))))))))</f>
        <v/>
      </c>
      <c r="BT104" s="52" t="str">
        <f>IF(Atletas!R100="","",IF(Atletas!W100&lt;&gt;"",10000,0)+IF(Atletas!B100="Feminino",1000,IF(Atletas!B100="Masculino",2000,""))+IF(Atletas!R100="Gun A",701,IF(Atletas!R100="Qiang A",702,IF(Atletas!R100="Pudao / Guandao A",703,IF(Atletas!R100="Outra Arma Longa A",704,IF(Atletas!R100="Gun B",705,IF(Atletas!R100="Qiang B",706,IF(Atletas!R100="Pudao / Guandao B",707,IF(Atletas!R100="Outra Arma Longa B",708,IF(Atletas!R100="Gun C",709,IF(Atletas!R100="Qiang C",710,IF(Atletas!R100="Pudao / Guandao C",711,IF(Atletas!R100="Outra Arma Longa C",712,IF(Atletas!R100="Gun D",713,IF(Atletas!R100="Qiang D",714,IF(Atletas!R100="Pudao / Guandao D",715,IF(Atletas!R100="Outra Arma Longa D",716,IF(Atletas!R100="Gun E",717,IF(Atletas!R100="Qiang E",718,IF(Atletas!R100="Pudao / Guandao E",719,IF(Atletas!R100="Outra Arma Longa E",720,IF(Atletas!R100="Gun F",721,IF(Atletas!R100="Qiang F",722,IF(Atletas!R100="Pudao / Guandao F",723,IF(Atletas!R100="Outra Arma Longa F",724,"")))))))))))))))))))))))))</f>
        <v/>
      </c>
      <c r="BU104" s="52" t="str">
        <f>IF(Atletas!S100="","",IF(Atletas!W100&lt;&gt;"",10000,0)+IF(Atletas!B100="Feminino",1000,IF(Atletas!B100="Masculino",2000,""))+IF(Atletas!S100="Arma Dupla A",801,IF(Atletas!S100="Arma Maleável A",802,IF(Atletas!S100="Arma Dupla B",803,IF(Atletas!S100="Arma Maleável B",804,IF(Atletas!S100="Arma Dupla C",805,IF(Atletas!S100="Arma Maleável C",806,IF(Atletas!S100="Arma Dupla D",807,IF(Atletas!S100="Arma Maleável D",808,IF(Atletas!S100="Arma Dupla E",809,IF(Atletas!S100="Arma Maleável E",810,IF(Atletas!S100="Arma Dupla F",811,IF(Atletas!S100="Arma Maleável F",812, "")))))))))))))</f>
        <v/>
      </c>
      <c r="BV104" s="52" t="str">
        <f>IF(Atletas!T100="","",IF(Atletas!W100&lt;&gt;"",10000,0)+IF(Atletas!B100="Feminino",1000,IF(Atletas!B100="Masculino",2000,""))+IF(Atletas!T100="Taijijian Yang A",901,IF(Atletas!T100="Taijijian Chen A",902,IF(Atletas!T100="Taijijian Sun A",903,IF(Atletas!T100="Taijijian Wu A",904,IF(Atletas!T100="Taijijian Wu-Hao A",905,IF(Atletas!T100="Taijijian 32 A",906,IF(Atletas!T100="Taijijian 42 A",907,IF(Atletas!T100="Taijijian Yang B",908,IF(Atletas!T100="Taijijian Chen B",909,IF(Atletas!T100="Taijijian Sun B",910,IF(Atletas!T100="Taijijian Wu B",911,IF(Atletas!T100="Taijijian Wu-Hao B",912,IF(Atletas!T100="Taijijian 32 B",913,IF(Atletas!T100="Taijijian 42 B",914,IF(Atletas!T100="Taijijian Yang C",915,IF(Atletas!T100="Taijijian Chen C",916,IF(Atletas!T100="Taijijian Sun C",917,IF(Atletas!T100="Taijijian Wu C",918,IF(Atletas!T100="Taijijian Wu-Hao C",919,IF(Atletas!T100="Taijijian 32 C",920,IF(Atletas!T100="Taijijian 42 C",921,IF(Atletas!T100="Taijijian Yang D",922,IF(Atletas!T100="Taijijian Chen D",923,IF(Atletas!T100="Taijijian Sun D",924,IF(Atletas!T100="Taijijian Wu D",925,IF(Atletas!T100="Taijijian Wu-Hao D",926,IF(Atletas!T100="Taijijian 32 D",927,IF(Atletas!T100="Taijijian 42 D",928,IF(Atletas!T100="Taijijian Yang E",929,IF(Atletas!T100="Taijijian Chen E",930,IF(Atletas!T100="Taijijian Sun E",931,IF(Atletas!T100="Taijijian Wu E",932,IF(Atletas!T100="Taijijian Wu-Hao E",933,IF(Atletas!T100="Taijijian 32 E",934,IF(Atletas!T100="Taijijian 42 E",935,IF(Atletas!T100="Taijijian Yang F",936,IF(Atletas!T100="Taijijian Chen F",937,IF(Atletas!T100="Taijijian Sun F",938,IF(Atletas!T100="Taijijian Wu F",939,IF(Atletas!T100="Taijijian Wu-Hao F",940,IF(Atletas!T100="Taijijian 32 F",941,IF(Atletas!T100="Taijijian 42 F",942,"")))))))))))))))))))))))))))))))))))))))))))</f>
        <v/>
      </c>
      <c r="BW104" s="52" t="str">
        <f>IF(Atletas!U100="","",IF(Atletas!W100&lt;&gt;"",10000,0)+IF(Atletas!B100="Feminino",1000,IF(Atletas!B100="Masculino",2000,""))+IF(Atletas!T100="Taijijian 42 F",942,IF(Atletas!U100="Taijidao A",943,IF(Atletas!U100="Taijishan A",944,IF(Atletas!U100="Taijiqiang A",945,IF(Atletas!U100="Taijidao B",946,IF(Atletas!U100="Taijishan B",947,IF(Atletas!U100="Taijiqiang B",948,IF(Atletas!U100="Taijidao C",949,IF(Atletas!U100="Taijishan C",950,IF(Atletas!U100="Taijiqiang C",951,IF(Atletas!U100="Taijidao D",952,IF(Atletas!U100="Taijishan D",953,IF(Atletas!U100="Taijiqiang D",954,IF(Atletas!U100="Taijidao E",955,IF(Atletas!U100="Taijishan E",956,IF(Atletas!U100="Taijiqiang E",957,IF(Atletas!U100="Taijidao F",958,IF(Atletas!U100="Taijishan F",959,IF(Atletas!U100="Taijiqiang F",960))))))))))))))))))))</f>
        <v/>
      </c>
      <c r="BX104" s="64" t="str">
        <f>IF(BY104&lt;&gt;"","Fanziquan F","")</f>
        <v/>
      </c>
      <c r="BY104" s="64" t="str">
        <f>IF(COUNTIF(BK:BW,1168)&gt;0,COUNTIF(BK:BW,1168),"")</f>
        <v/>
      </c>
      <c r="BZ104" s="64" t="str">
        <f>IF(CA104&lt;&gt;"","Fanziquan F","")</f>
        <v/>
      </c>
      <c r="CA104" s="64" t="str">
        <f>IF(COUNTIF(BK:BW,2168)&gt;0,COUNTIF(BK:BW,2168),"")</f>
        <v/>
      </c>
      <c r="CB104" s="64" t="str">
        <f>IF(CC104&lt;&gt;"","Fanziquan F","")</f>
        <v/>
      </c>
      <c r="CC104" s="64" t="str">
        <f>IF(COUNTIF(BK:BW,11168)&gt;0,COUNTIF(BK:BW,11168),"")</f>
        <v/>
      </c>
      <c r="CD104" s="64" t="str">
        <f>IF(CE104&lt;&gt;"","Fanziquan F","")</f>
        <v/>
      </c>
      <c r="CE104" s="64" t="str">
        <f>IF(COUNTIF(BK:BW,12168)&gt;0,COUNTIF(BK:BW,12168),"")</f>
        <v/>
      </c>
      <c r="CF104" s="52" t="str">
        <f xml:space="preserve"> IF(Atletas!V100="","",IF(Atletas!V100="Duilian de Mãos AB - Equipe 1",1,IF(Atletas!V100="Duilian de Mãos AB - Equipe 2",2,IF(Atletas!V100="Duilian de Armas AB - Equipe 1",3,IF(Atletas!V100="Duilian de Armas AB - Equipe 2",4,IF(Atletas!V100="Duilian de Tuishou - Equipe 1",5,IF(Atletas!V100="Duilian de Tuishou - Equipe 2",6,IF(Atletas!V100="Grupo Externo AB - Equipe 1",7,IF(Atletas!V100="Grupo Externo AB - Equipe 2",8,IF(Atletas!V100="Grupo Interno AB - Equipe 1",9,IF(Atletas!V100="Grupo Interno AB - Equipe 2",10,IF(Atletas!V100="Duilian de Mãos CD - Equipe 1",11,IF(Atletas!V100="Duilian de Mãos CD - Equipe 2",12,IF(Atletas!V100="Duilian de Armas CD - Equipe 1",13,IF(Atletas!V100="Duilian de Armas CD - Equipe 2",14,IF(Atletas!V100="Duilian de Tuishou - Equipe 1",15,IF(Atletas!V100="Duilian de Tuishou - Equipe 2",16,IF(Atletas!V100="Grupo Externo CDEF - Equipe 1",17,IF(Atletas!V100="Grupo Externo CDEF - Equipe 2",18,IF(Atletas!V100="Grupo Interno CDEF - Equipe 1",19,IF(Atletas!V100="Grupo Interno CDEF - Equipe 2",20,IF(Atletas!V100="Duilian de Mãos EF - Equipe 1",21,IF(Atletas!V100="Duilian de Mãos EF - Equipe 2",22,IF(Atletas!V100="Duilian de Armas EF - Equipe 1",23,IF(Atletas!V100="Duilian de Armas EF - Equipe 2",24,IF(Atletas!V100="Duilian de Tuishou - Equipe 1",25,IF(Atletas!V100="Duilian de Tuishou - Equipe 2",26,"")))))))))))))))))))))))))))</f>
        <v/>
      </c>
    </row>
    <row r="105" spans="2:84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 t="str">
        <f t="array" ref="V105">IFERROR(INDEX(BX$7:BX$336,SMALL(IF(BX$7:BX$336&lt;&gt;"",ROW(BX$7:BX$336)-ROW(BX$7)+1),ROWS(BX$7:BX104))),"")</f>
        <v/>
      </c>
      <c r="W105" s="4" t="str">
        <f t="array" ref="W105">IFERROR(INDEX(BY$7:BY$336,SMALL(IF(BY$7:BY$336&lt;&gt;"",ROW(BY$7:BY$336)-ROW(BY$7)+1),ROWS(BY$7:BY104))),"")</f>
        <v/>
      </c>
      <c r="X105" s="4" t="str">
        <f t="array" ref="X105">IFERROR(INDEX(BZ$7:BZ$336,SMALL(IF(BZ$7:BZ$336&lt;&gt;"",ROW(BZ$7:BZ$336)-ROW(BZ$7)+1),ROWS(BZ$7:BZ104))),"")</f>
        <v/>
      </c>
      <c r="Y105" s="4" t="str">
        <f t="array" ref="Y105">IFERROR(INDEX(CA$7:CA$336,SMALL(IF(CA$7:CA$336&lt;&gt;"",ROW(CA$7:CA$336)-ROW(CA$7)+1),ROWS(CA$7:CA104))),"")</f>
        <v/>
      </c>
      <c r="Z105" s="4" t="str">
        <f t="array" ref="Z105">IFERROR(INDEX(CB$7:CB$378,SMALL(IF(CB$7:CB$378&lt;&gt;"",ROW(CB$7:CB$378)-ROW(CB$7)+1),ROWS(CB$7:CB104))),"")</f>
        <v/>
      </c>
      <c r="AA105" s="4" t="str">
        <f t="array" ref="AA105">IFERROR(INDEX(CC$7:CC$378,SMALL(IF(CC$7:CC$378&lt;&gt;"",ROW(CC$7:CC$378)-ROW(CC$7)+1),ROWS(CC$7:CC104))),"")</f>
        <v/>
      </c>
      <c r="AB105" s="4" t="str">
        <f t="array" ref="AB105">IFERROR(INDEX(CD$7:CD$378,SMALL(IF(CD$7:CD$378&lt;&gt;"",ROW(CD$7:CD$378)-ROW(CD$7)+1),ROWS(CD$7:CD104))),"")</f>
        <v/>
      </c>
      <c r="AC105" s="4" t="str">
        <f t="array" ref="AC105">IFERROR(INDEX(CE$7:CE$378,SMALL(IF(CE$7:CE$378&lt;&gt;"",ROW(CE$7:CE$378)-ROW(CE$7)+1),ROWS(CE$7:CE104))),"")</f>
        <v/>
      </c>
      <c r="AD105" s="4"/>
      <c r="AE105" s="4"/>
      <c r="AF105" s="4"/>
      <c r="AG105" s="4"/>
      <c r="AH105" s="4"/>
      <c r="AI105" s="4"/>
      <c r="AJ105" s="46" t="str">
        <f>IF(Atletas!D101="","",IF(Atletas!B101="Feminino",100,IF(Atletas!B101="Masculino",200,""))+(IF(Atletas!D101="Infantil 39kg",1,IF(Atletas!D101="Infantil 42kg",2,IF(Atletas!D101="Infantil 45kg",3,IF(Atletas!D101="Infantil 48kg",4,IF(Atletas!D101="Infantil 52kg",5,IF(Atletas!D101="Infantil 56kg",6,IF(Atletas!D101="Infantil 60kg",7,IF(Atletas!D101="Juvenil 48kg",8,IF(Atletas!D101="Juvenil 52kg",9,IF(Atletas!D101="Juvenil 56kg",10,IF(Atletas!D101="Juvenil 60kg",11,IF(Atletas!D101="Juvenil 65kg",12,IF(Atletas!D101="Juvenil 70kg",13,IF(Atletas!D101="Juvenil 75kg",14,IF(Atletas!D101="Juvenil 80kg",15,IF(Atletas!D101="Adulto 48kg",16,IF(Atletas!D101="Adulto 52kg",17,IF(Atletas!D101="Adulto 56kg",18,IF(Atletas!D101="Adulto 60kg",19,IF(Atletas!D101="Adulto 65kg",20,IF(Atletas!D101="Adulto 70kg",21,IF(Atletas!D101="Adulto 75kg",22,IF(Atletas!D101="Adulto 80kg",23,IF(Atletas!D101="Adulto 85kg",24,IF(Atletas!D101="Adulto 90kg",25,IF(Atletas!D101="Adulto +90kg",26,""))))))))))))))))))))))))))))</f>
        <v/>
      </c>
      <c r="AO105" s="10" t="str">
        <f>IF(Atletas!E101="","",IF(Atletas!B101="Feminino",100,IF(Atletas!B101="Masculino",200,""))+(IF(Atletas!E101="Juvenil 44kg",1,IF(Atletas!E101="Juvenil 48kg",2,IF(Atletas!E101="Juvenil 52kg",3,IF(Atletas!E101="Juvenil 56kg",4,IF(Atletas!E101="Juvenil 60kg",5,IF(Atletas!E101="Juvenil 65kg",6,IF(Atletas!E101="Juvenil 70kg",7,IF(Atletas!E101="Juvenil 75kg",8,IF(Atletas!E101="Juvenil 82kg",9,IF(Atletas!E101="Juvenil 90kg",10,IF(Atletas!E101="Juvenil 100kg",11,IF(Atletas!E101="Adulto 48kg",12,IF(Atletas!E101="Adulto 52kg",13,IF(Atletas!E101="Adulto 56kg",14,IF(Atletas!E101="Adulto 60kg",15,IF(Atletas!E101="Adulto 65kg",16,IF(Atletas!E101="Adulto 70kg",17,IF(Atletas!E101="Adulto 75kg",18,IF(Atletas!E101="Adulto 82kg",19,IF(Atletas!E101="Adulto 90kg",20,IF(Atletas!E101="Adulto 100kg",21,IF(Atletas!E101="Adulto +100kg",22,""))))))))))))))))))))))))</f>
        <v/>
      </c>
      <c r="AT105" s="10" t="str">
        <f>IF(Atletas!F101="","",IF(Atletas!B101="Feminino",100,IF(Atletas!B101="Masculino",200,""))+(IF(Atletas!F101="Adulto 48kg",1,IF(Atletas!F101="Adulto 56kg",2,IF(Atletas!F101="Adulto 65kg",3,IF(Atletas!F101="Adulto 75kg",4,IF(Atletas!F101="Adulto +75kg",5,IF(Atletas!F101="Adulto 52kg",6,IF(Atletas!F101="Adulto 60kg",7,IF(Atletas!F101="Adulto 70kg",8,IF(Atletas!F101="Adulto 80kg",9,IF(Atletas!F101="Adulto 90kg",10,IF(Atletas!F101="Adulto +90kg",11,"")))))))))))))</f>
        <v/>
      </c>
      <c r="AY105" s="46" t="str">
        <f>IF(Atletas!G101="","",IF(Atletas!B101="Feminino",100,IF(Atletas!B101="Masculino",200,""))+(IF(Atletas!G101="Changquan Mirim",1,IF(Atletas!G101="Nanquan Mirim",2,IF(Atletas!G101="Taijiquan Mirim",3,IF(Atletas!G101="Changquan Grupo C",4,IF(Atletas!G101="Nanquan Grupo C",5,IF(Atletas!G101="Taijiquan Grupo C",6,IF(Atletas!G101="Changquan Grupo B",7,IF(Atletas!G101="Nanquan Grupo B",8,IF(Atletas!G101="Taijiquan Grupo B",9,IF(Atletas!G101="Changquan Grupo A",10,IF(Atletas!G101="Nanquan Grupo A",11,IF(Atletas!G101="Taijiquan Grupo A",12,IF(Atletas!G101="Changquan Opcional",13,IF(Atletas!G101="Nanquan Opcional",14,IF(Atletas!G101="Taijiquan Opcional",15,IF(Atletas!G101="Changquan Adulto",16,IF(Atletas!G101="Nanquan Adulto",17,IF(Atletas!G101="Taijiquan Adulto",18,""))))))))))))))))))))</f>
        <v/>
      </c>
      <c r="AZ105" s="46" t="str">
        <f>IF(Atletas!H101="","",IF(Atletas!B101="Feminino",100,IF(Atletas!B101="Masculino",200,""))+(IF(Atletas!H101="Daoshu Mirim",19,IF(Atletas!H101="Jianshu Mirim",20,IF(Atletas!H101="Nandao Mirim",21,IF(Atletas!H101="Taijijian Mirim",22,IF(Atletas!H101="Daoshu Grupo C",23,IF(Atletas!H101="Jianshu Grupo C",24,IF(Atletas!H101="Nandao Grupo C",25,IF(Atletas!H101="Taijijian Grupo C",26,IF(Atletas!H101="Daoshu Grupo B",27,IF(Atletas!H101="Jianshu Grupo B",28,IF(Atletas!H101="Nandao Grupo B",29,IF(Atletas!H101="Taijijian Grupo B",30,IF(Atletas!H101="Daoshu Grupo A",31,IF(Atletas!H101="Jianshu Grupo A",32,IF(Atletas!H101="Nandao Grupo A",33,IF(Atletas!H101="Taijijian Grupo A",34,IF(Atletas!H101="Daoshu Opcional",35,IF(Atletas!H101="Jianshu Opcional",36,IF(Atletas!H101="Nandao Opcional",37,IF(Atletas!H101="Taijijian Opcional",38,IF(Atletas!H101="Daoshu Adulto",39,IF(Atletas!H101="Jianshu Adulto",40,IF(Atletas!H101="Nandao Adulto",41,IF(Atletas!H101="Taijijian Adulto",42,""))))))))))))))))))))))))))</f>
        <v/>
      </c>
      <c r="BA105" s="46" t="str">
        <f>IF(Atletas!I101="","",IF(Atletas!B101="Feminino",100,IF(Atletas!B101="Masculino",200,""))+(IF(Atletas!I101="Gunshu Mirim",43,IF(Atletas!I101="Qiangshu Mirim",44,IF(Atletas!I101="Nangun Mirim",45,IF(Atletas!I101="Gunshu Grupo C",46,IF(Atletas!I101="Qiangshu Grupo C",47,IF(Atletas!I101="Nangun Grupo C",48,IF(Atletas!I101="Gunshu Grupo B",49,IF(Atletas!I101="Qiangshu Grupo B",50,IF(Atletas!I101="Nangun Grupo B",51,IF(Atletas!I101="Gunshu Grupo A",52,IF(Atletas!I101="Qiangshu Grupo A",53,IF(Atletas!I101="Nangun Grupo A",54,IF(Atletas!I101="Gunshu Opcional",55,IF(Atletas!I101="Qiangshu Opcional",56,IF(Atletas!I101="Nangun Opcional",57,IF(Atletas!I101="Gunshu Adulto",58,IF(Atletas!I101="Qiangshu Adulto",59,IF(Atletas!I101="Nangun Adulto",60,""))))))))))))))))))))</f>
        <v/>
      </c>
      <c r="BF105" s="52" t="str">
        <f>IF(Atletas!J101="","",IF(Atletas!B101="Feminino",100,IF(Atletas!B101="Masculino",200,""))+(IF(Atletas!J101="Equipe 1 Grupo B",1,IF(Atletas!J101="Equipe 2 Grupo B",2,IF(Atletas!J101="Equipe 1 Grupo A",3,IF(Atletas!J101="Equipe 2 Grupo A",4,IF(Atletas!J101="Equipe 1 Adulto",5,IF(Atletas!J101="Equipe 2 Adulto",6,""))))))))</f>
        <v/>
      </c>
      <c r="BK105" s="52" t="str">
        <f>IF(Atletas!K101="","",IF(Atletas!W101&lt;&gt;"",10000,0)+(IF(Atletas!B101="Feminino",1000,IF(Atletas!B101="Masculino",2000,""))+IF(Atletas!K101="Choylayfut A",1,IF(Atletas!K101="Hunggar A",2,IF(Atletas!K101="Wuzuquan A",3,IF(Atletas!K101="Wingchun A",4,IF(Atletas!K101="Outra Mão de Sul A",5,IF(Atletas!K101="Choylayfut B",6,IF(Atletas!K101="Hunggar B",7,IF(Atletas!K101="Wuzuquan B",8,IF(Atletas!K101="Wingchun B",9,IF(Atletas!K101="Outra Mão de Sul B",10,IF(Atletas!K101="Choylayfut C",11,IF(Atletas!K101="Hunggar C",12,IF(Atletas!K101="Wuzuquan C",13,IF(Atletas!K101="Wingchun C",14,IF(Atletas!K101="Outra Mão de Sul C",15,IF(Atletas!K101="Choylayfut D",16,IF(Atletas!K101="Hunggar D",17,IF(Atletas!K101="Wuzuquan D",18,IF(Atletas!K101="Wingchun D",19,IF(Atletas!K101="Outra Mão de Sul D",20,IF(Atletas!K101="Choylayfut E",21,IF(Atletas!K101="Hunggar E",22,IF(Atletas!K101="Wuzuquan E",23,IF(Atletas!K101="Wingchun E",24,IF(Atletas!K101="Outra Mão de Sul E",25,IF(Atletas!K101="Choylayfut F",26,IF(Atletas!K101="Hunggar F",27,IF(Atletas!K101="Wuzuquan F",28,IF(Atletas!K101="Wingchun F",29,IF(Atletas!K101="Outra Mão de Sul F",30,""))))))))))))))))))))))))))))))))</f>
        <v/>
      </c>
      <c r="BL105" s="52" t="str">
        <f>IF(Atletas!L101="","",IF(Atletas!W101&lt;&gt;"",10000,0)+(IF(Atletas!B101="Feminino",1000,IF(Atletas!B101="Masculino",2000,""))+(IF(Atletas!L101="Chaquan A",101,IF(Atletas!L101="Emeiquan A",102,IF(Atletas!L101="Fanziquan A",103,IF(Atletas!L101="Huaquan A",104,IF(Atletas!L101="Hongquan A",105,IF(Atletas!L101="Paochui A",106,IF(Atletas!L101="Piguaquan A",107,IF(Atletas!L101="Shaolinquan A",108,IF(Atletas!L101="Tanglangquan A",109,IF(Atletas!L101="Yinzhaophai A",110,IF(Atletas!L101="Tongbeiquan A",111,IF(Atletas!L101="Wudangquan A",112,IF(Atletas!L101="Outros Estilos A",113,IF(Atletas!L101="Chaquan B",114,IF(Atletas!L101="Emeiquan B",115,IF(Atletas!L101="Fanziquan B",116,IF(Atletas!L101="Huaquan B",117,IF(Atletas!L101="Hongquan B",118,IF(Atletas!L101="Paochui B",119,IF(Atletas!L101="Piguaquan B",120,IF(Atletas!L101="Shaolinquan B",121,IF(Atletas!L101="Tanglangquan B",122,IF(Atletas!L101="Yinzhaophai B",123,IF(Atletas!L101="Tongbeiquan B",124,IF(Atletas!L101="Wudangquan B",125,IF(Atletas!L101="Outros Estilos B",126,IF(Atletas!L101="Chaquan C",127,IF(Atletas!L101="Emeiquan C",128,IF(Atletas!L101="Fanziquan C",129,IF(Atletas!L101="Huaquan C",130,IF(Atletas!L101="Hongquan C",131,IF(Atletas!L101="Paochui C",132,IF(Atletas!L101="Piguaquan C",133,IF(Atletas!L101="Shaolinquan C",134,IF(Atletas!L101="Tanglangquan C",135,IF(Atletas!L101="Yinzhaophai C",136,IF(Atletas!L101="Tongbeiquan C",137,IF(Atletas!L101="Wudangquan C",138,IF(Atletas!L101="Outros Estilos C",139,0))))))))))))))))))))))))))))))))))))))))))</f>
        <v/>
      </c>
      <c r="BM105" s="52" t="str">
        <f>IF(Atletas!L101="","",IF(Atletas!W101&lt;&gt;"",10000,0)+(IF(Atletas!B101="Feminino",1000,IF(Atletas!B101="Masculino",2000,""))+(IF(Atletas!L101="Chaquan D",140,IF(Atletas!L101="Emeiquan D",141,IF(Atletas!L101="Fanziquan D",142,IF(Atletas!L101="Huaquan D",143,IF(Atletas!L101="Hongquan D",144,IF(Atletas!L101="Paochui D",145,IF(Atletas!L101="Piguaquan D",146,IF(Atletas!L101="Shaolinquan D",147,IF(Atletas!L101="Tanglangquan D",148,IF(Atletas!L101="Yinzhaophai D",149,IF(Atletas!L101="Tongbeiquan D",150,IF(Atletas!L101="Wudangquan D",151,IF(Atletas!L101="Outros Estilos D",152,IF(Atletas!L101="Chaquan E",153,IF(Atletas!L101="Emeiquan E",154,IF(Atletas!L101="Fanziquan E",155,IF(Atletas!L101="Huaquan E",156,IF(Atletas!L101="Hongquan E",157,IF(Atletas!L101="Paochui E",158,IF(Atletas!L101="Piguaquan E",159,IF(Atletas!L101="Shaolinquan E",160,IF(Atletas!L101="Tanglangquan E",161,IF(Atletas!L101="Yinzhaophai E",162,IF(Atletas!L101="Tongbeiquan E",163,IF(Atletas!L101="Wudangquan E",164,IF(Atletas!L101="Outros Estilos E",165,IF(Atletas!L101="Chaquan F",166,IF(Atletas!L101="Emeiquan F",167,IF(Atletas!L101="Fanziquan F",168,IF(Atletas!L101="Huaquan F",169,IF(Atletas!L101="Hongquan F",170,IF(Atletas!L101="Paochui F",171,IF(Atletas!L101="Piguaquan F",172,IF(Atletas!L101="Shaolinquan F",173,IF(Atletas!L101="Tanglangquan F",174,IF(Atletas!L101="Yinzhaophai F",175,IF(Atletas!L101="Tongbeiquan F",176,IF(Atletas!L101="Wudangquan F",177,IF(Atletas!L101="Outros Estilos F",178,0))))))))))))))))))))))))))))))))))))))))))</f>
        <v/>
      </c>
      <c r="BN105" s="52" t="str">
        <f>IF(Atletas!M101="","",IF(Atletas!W101&lt;&gt;"",10000,0)+(IF(Atletas!B101="Feminino",1000,IF(Atletas!B101="Masculino",2000,""))+(IF(Atletas!M101="Ditangquan A",201,IF(Atletas!M101="Houquan A",202,IF(Atletas!M101="Zuiquan A",203,IF(Atletas!M101="Ditangquan B",204,IF(Atletas!M101="Houquan B",205,IF(Atletas!M101="Zuiquan B",206,IF(Atletas!M101="Ditangquan C",207,IF(Atletas!M101="Houquan C",208,IF(Atletas!M101="Zuiquan C",209,IF(Atletas!M101="Ditangquan D",210,IF(Atletas!M101="Houquan D",211,IF(Atletas!M101="Zuiquan D",212,IF(Atletas!M101="Ditangquan E",213,IF(Atletas!M101="Houquan E",214,IF(Atletas!M101="Zuiquan E",215,IF(Atletas!M101="Ditangquan F",216,IF(Atletas!M101="Houquan F",217,IF(Atletas!M101="Zuiquan F",218,"")))))))))))))))))))))</f>
        <v/>
      </c>
      <c r="BO105" s="52" t="str">
        <f>IF(Atletas!N101="","",IF(Atletas!W101&lt;&gt;"",10000,0)+IF(Atletas!B101="Feminino",1000,IF(Atletas!B101="Masculino",2000,""))+IF(Atletas!N101="Yang A",301,IF(Atletas!N101="Chen A",30,IF(Atletas!N101="Sun A",303,IF(Atletas!N101="Wu A",304,IF(Atletas!N101="Wu-Hao A",305,IF(Atletas!N101="Outro Taijiquan A",306,IF(Atletas!N101="Yang B",307,IF(Atletas!N101="Chen B",308,IF(Atletas!N101="Sun B",309,IF(Atletas!N101="Wu B",310,IF(Atletas!N101="Wu-Hao B",311,IF(Atletas!N101="Outro Taijiquan B",312,IF(Atletas!N101="Yang C",313,IF(Atletas!N101="Chen C",314,IF(Atletas!N101="Sun C",315,IF(Atletas!N101="Wu C",316,IF(Atletas!N101="Wu-Hao C",317,IF(Atletas!N101="Outro Taijiquan C",318,IF(Atletas!N101="Yang D",319,IF(Atletas!N101="Chen D",320,IF(Atletas!N101="Sun D",321,IF(Atletas!N101="Wu D",322,IF(Atletas!N101="Wu-Hao D",323,IF(Atletas!N101="Outro Taijiquan D",324,IF(Atletas!N101="Yang E",325,IF(Atletas!N101="Chen E",326,IF(Atletas!N101="Sun E",327,IF(Atletas!N101="Wu E",328,IF(Atletas!N101="Wu-Hao E",329,IF(Atletas!N101="Outro Taijiquan E",330,IF(Atletas!N101="Yang F",331,IF(Atletas!N101="Chen F",332,IF(Atletas!N101="Sun F",333,IF(Atletas!N101="Wu F",334,IF(Atletas!N101="Wu-Hao F",335,IF(Atletas!N101="Outro Taijiquan F",336,"")))))))))))))))))))))))))))))))))))))</f>
        <v/>
      </c>
      <c r="BP105" s="52" t="str">
        <f>IF(Atletas!O101="","",IF(Atletas!W101&lt;&gt;"",10000,0)+IF(Atletas!B101="Feminino",1000,IF(Atletas!B101="Masculino",2000,""))+IF(OR(Atletas!O101="Yang 26 A",Atletas!O101="Yang 40 A"),401,IF(OR(Atletas!O101="Chen 25 A",Atletas!O101="Chen 36 A",Atletas!O101="Chen 56 A"),402,IF(Atletas!O101="Sun 73 A",403,IF(Atletas!O101="Wu 45 A",404,IF(Atletas!O101="Wu-Hao 46 A",405,IF(OR(Atletas!O101="Taijiquan 16 A",Atletas!O101="Taijiquan 24 A",Atletas!O101="Taijiquan 32 A",Atletas!O101="Taijiquan 42 A"),406,IF(OR(Atletas!O101="Yang 26 B",Atletas!O101="Yang 40 B"),407,IF(OR(Atletas!O101="Chen 25 B",Atletas!O101="Chen 36 B",Atletas!O101="Chen 56 B"),408,IF(Atletas!O101="Sun 73 B",409,IF(Atletas!O101="Wu 45 B",410,IF(Atletas!O101="Wu-Hao 46 B",411,IF(OR(Atletas!O101="Taijiquan 16 B",Atletas!O101="Taijiquan 24 B",Atletas!O101="Taijiquan 32 B",Atletas!O101="Taijiquan 42 B"),412,IF(OR(Atletas!O101="Yang 26 C",Atletas!O101="Yang 40 C"),413,IF(OR(Atletas!O101="Chen 25 C",Atletas!O101="Chen 36 C",Atletas!O101="Chen 56 C"),414,IF(Atletas!O101="Sun 73 C",415,IF(Atletas!O101="Wu 45 C",416,IF(Atletas!O101="Wu-Hao 46 C",417,IF(OR(Atletas!O101="Taijiquan 16 C",Atletas!O101="Taijiquan 24 C",Atletas!O101="Taijiquan 32 C",Atletas!O101="Taijiquan 42 C"),418,0)))))))))))))))))))</f>
        <v/>
      </c>
      <c r="BQ105" s="52" t="str">
        <f>IF(Atletas!O101="","",IF(Atletas!W101&lt;&gt;"",10000,0)+IF(Atletas!B101="Feminino",1000,IF(Atletas!B101="Masculino",2000,""))+IF(OR(Atletas!O101="Yang 26 D",Atletas!O101="Yang 40 D"),419,IF(OR(Atletas!O101="Chen 25 D",Atletas!O101="Chen 36 D",Atletas!O101="Chen 56 D"),420,IF(Atletas!O101="Sun 73 D",421,IF(Atletas!O101="Wu 45 D",422,IF(Atletas!O101="Wu-Hao 46 D",423,IF(OR(Atletas!O101="Taijiquan 16 D",Atletas!O101="Taijiquan 24 D",Atletas!O101="Taijiquan 32 D",Atletas!O101="Taijiquan 42 D"),424,IF(OR(Atletas!O101="Yang 26 E",Atletas!O101="Yang 40 E"),425,IF(OR(Atletas!O101="Chen 25 E",Atletas!O101="Chen 36 E",Atletas!O101="Chen 56 E"),426,IF(Atletas!O101="Sun 73 E",427,IF(Atletas!O101="Wu 45 E",428,IF(Atletas!O101="Wu-Hao 46 E",429,IF(OR(Atletas!O101="Taijiquan 16 E",Atletas!O101="Taijiquan 24 E",Atletas!O101="Taijiquan 32 E",Atletas!O101="Taijiquan 42 E"),430,IF(OR(Atletas!O101="Yang 26 F",Atletas!O101="Yang 40 F"),431,IF(OR(Atletas!O101="Chen 25 F",Atletas!O101="Chen 36 F",Atletas!O101="Chen 56 F"),432,IF(Atletas!O101="Sun 73 F",433,IF(Atletas!O101="Wu 45 F",434,IF(Atletas!O101="Wu-Hao 46 F",435,IF(OR(Atletas!O101="Taijiquan 16 F",Atletas!O101="Taijiquan 24 F",Atletas!O101="Taijiquan 32 F",Atletas!O101="Taijiquan 42 F"),436,0)))))))))))))))))))</f>
        <v/>
      </c>
      <c r="BR105" s="52" t="str">
        <f>IF(Atletas!P101="","",IF(Atletas!W101&lt;&gt;"",10000,0)+IF(Atletas!B101="Feminino",1000,IF(Atletas!B101="Masculino",2000,""))+IF(Atletas!P101="Xingyiquan A",501,IF(Atletas!P101="Baguazhang A",502,IF(Atletas!P101="Outro Estilo Interno A",503,IF(Atletas!P101="Xingyiquan B",504,IF(Atletas!P101="Baguazhang B",505,IF(Atletas!P101="Outro Estilo Interno B",506,IF(Atletas!P101="Xingyiquan C",507,IF(Atletas!P101="Baguazhang C",508,IF(Atletas!P101="Outro Estilo Interno C",509,IF(Atletas!P101="Xingyiquan D",510,IF(Atletas!P101="Baguazhang D",511,IF(Atletas!P101="Outro Estilo Interno D",512,IF(Atletas!P101="Xingyiquan E",513,IF(Atletas!P101="Baguazhang E",514,IF(Atletas!P101="Outro Estilo Interno E",515,IF(Atletas!P101="Xingyiquan F",516,IF(Atletas!P101="Baguazhang F",517,IF(Atletas!P101="Outro Estilo Interno F",518, "")))))))))))))))))))</f>
        <v/>
      </c>
      <c r="BS105" s="52" t="str">
        <f>IF(Atletas!Q101="","",IF(Atletas!W101&lt;&gt;"",10000,0)+IF(Atletas!B101="Feminino",1000,IF(Atletas!B101="Masculino",2000,""))+IF(Atletas!Q101="Dao A",601,IF(Atletas!Q101="Jian A",602,IF(Atletas!Q101="Bishou A",603,IF(Atletas!Q101="Shan A",604,IF(Atletas!Q101="Outra Arma Curta A",605,IF(Atletas!Q101="Dao B",606,IF(Atletas!Q101="Jian B",607,IF(Atletas!Q101="Bishou B",608,IF(Atletas!Q101="Shan B",609,IF(Atletas!Q101="Outra Arma Curta B",610,IF(Atletas!Q101="Dao C",611,IF(Atletas!Q101="Jian C",612,IF(Atletas!Q101="Bishou C",613,IF(Atletas!Q101="Shan C",614,IF(Atletas!Q101="Outra Arma Curta C",615,IF(Atletas!Q101="Dao D",616,IF(Atletas!Q101="Jian D",617,IF(Atletas!Q101="Bishou D",618,IF(Atletas!Q101="Shan D",619,IF(Atletas!Q101="Outra Arma Curta D",620,IF(Atletas!Q101="Dao E",621,IF(Atletas!Q101="Jian E",622,IF(Atletas!Q101="Bishou E",623,IF(Atletas!Q101="Shan E",624,IF(Atletas!Q101="Outra Arma Curta E",625,IF(Atletas!Q101="Dao F",626,IF(Atletas!Q101="Jian F",627,IF(Atletas!Q101="Bishou F",628,IF(Atletas!Q101="Shan F",629,IF(Atletas!Q101="Outra Arma Curta F",630, "")))))))))))))))))))))))))))))))</f>
        <v/>
      </c>
      <c r="BT105" s="52" t="str">
        <f>IF(Atletas!R101="","",IF(Atletas!W101&lt;&gt;"",10000,0)+IF(Atletas!B101="Feminino",1000,IF(Atletas!B101="Masculino",2000,""))+IF(Atletas!R101="Gun A",701,IF(Atletas!R101="Qiang A",702,IF(Atletas!R101="Pudao / Guandao A",703,IF(Atletas!R101="Outra Arma Longa A",704,IF(Atletas!R101="Gun B",705,IF(Atletas!R101="Qiang B",706,IF(Atletas!R101="Pudao / Guandao B",707,IF(Atletas!R101="Outra Arma Longa B",708,IF(Atletas!R101="Gun C",709,IF(Atletas!R101="Qiang C",710,IF(Atletas!R101="Pudao / Guandao C",711,IF(Atletas!R101="Outra Arma Longa C",712,IF(Atletas!R101="Gun D",713,IF(Atletas!R101="Qiang D",714,IF(Atletas!R101="Pudao / Guandao D",715,IF(Atletas!R101="Outra Arma Longa D",716,IF(Atletas!R101="Gun E",717,IF(Atletas!R101="Qiang E",718,IF(Atletas!R101="Pudao / Guandao E",719,IF(Atletas!R101="Outra Arma Longa E",720,IF(Atletas!R101="Gun F",721,IF(Atletas!R101="Qiang F",722,IF(Atletas!R101="Pudao / Guandao F",723,IF(Atletas!R101="Outra Arma Longa F",724,"")))))))))))))))))))))))))</f>
        <v/>
      </c>
      <c r="BU105" s="52" t="str">
        <f>IF(Atletas!S101="","",IF(Atletas!W101&lt;&gt;"",10000,0)+IF(Atletas!B101="Feminino",1000,IF(Atletas!B101="Masculino",2000,""))+IF(Atletas!S101="Arma Dupla A",801,IF(Atletas!S101="Arma Maleável A",802,IF(Atletas!S101="Arma Dupla B",803,IF(Atletas!S101="Arma Maleável B",804,IF(Atletas!S101="Arma Dupla C",805,IF(Atletas!S101="Arma Maleável C",806,IF(Atletas!S101="Arma Dupla D",807,IF(Atletas!S101="Arma Maleável D",808,IF(Atletas!S101="Arma Dupla E",809,IF(Atletas!S101="Arma Maleável E",810,IF(Atletas!S101="Arma Dupla F",811,IF(Atletas!S101="Arma Maleável F",812, "")))))))))))))</f>
        <v/>
      </c>
      <c r="BV105" s="52" t="str">
        <f>IF(Atletas!T101="","",IF(Atletas!W101&lt;&gt;"",10000,0)+IF(Atletas!B101="Feminino",1000,IF(Atletas!B101="Masculino",2000,""))+IF(Atletas!T101="Taijijian Yang A",901,IF(Atletas!T101="Taijijian Chen A",902,IF(Atletas!T101="Taijijian Sun A",903,IF(Atletas!T101="Taijijian Wu A",904,IF(Atletas!T101="Taijijian Wu-Hao A",905,IF(Atletas!T101="Taijijian 32 A",906,IF(Atletas!T101="Taijijian 42 A",907,IF(Atletas!T101="Taijijian Yang B",908,IF(Atletas!T101="Taijijian Chen B",909,IF(Atletas!T101="Taijijian Sun B",910,IF(Atletas!T101="Taijijian Wu B",911,IF(Atletas!T101="Taijijian Wu-Hao B",912,IF(Atletas!T101="Taijijian 32 B",913,IF(Atletas!T101="Taijijian 42 B",914,IF(Atletas!T101="Taijijian Yang C",915,IF(Atletas!T101="Taijijian Chen C",916,IF(Atletas!T101="Taijijian Sun C",917,IF(Atletas!T101="Taijijian Wu C",918,IF(Atletas!T101="Taijijian Wu-Hao C",919,IF(Atletas!T101="Taijijian 32 C",920,IF(Atletas!T101="Taijijian 42 C",921,IF(Atletas!T101="Taijijian Yang D",922,IF(Atletas!T101="Taijijian Chen D",923,IF(Atletas!T101="Taijijian Sun D",924,IF(Atletas!T101="Taijijian Wu D",925,IF(Atletas!T101="Taijijian Wu-Hao D",926,IF(Atletas!T101="Taijijian 32 D",927,IF(Atletas!T101="Taijijian 42 D",928,IF(Atletas!T101="Taijijian Yang E",929,IF(Atletas!T101="Taijijian Chen E",930,IF(Atletas!T101="Taijijian Sun E",931,IF(Atletas!T101="Taijijian Wu E",932,IF(Atletas!T101="Taijijian Wu-Hao E",933,IF(Atletas!T101="Taijijian 32 E",934,IF(Atletas!T101="Taijijian 42 E",935,IF(Atletas!T101="Taijijian Yang F",936,IF(Atletas!T101="Taijijian Chen F",937,IF(Atletas!T101="Taijijian Sun F",938,IF(Atletas!T101="Taijijian Wu F",939,IF(Atletas!T101="Taijijian Wu-Hao F",940,IF(Atletas!T101="Taijijian 32 F",941,IF(Atletas!T101="Taijijian 42 F",942,"")))))))))))))))))))))))))))))))))))))))))))</f>
        <v/>
      </c>
      <c r="BW105" s="52" t="str">
        <f>IF(Atletas!U101="","",IF(Atletas!W101&lt;&gt;"",10000,0)+IF(Atletas!B101="Feminino",1000,IF(Atletas!B101="Masculino",2000,""))+IF(Atletas!T101="Taijijian 42 F",942,IF(Atletas!U101="Taijidao A",943,IF(Atletas!U101="Taijishan A",944,IF(Atletas!U101="Taijiqiang A",945,IF(Atletas!U101="Taijidao B",946,IF(Atletas!U101="Taijishan B",947,IF(Atletas!U101="Taijiqiang B",948,IF(Atletas!U101="Taijidao C",949,IF(Atletas!U101="Taijishan C",950,IF(Atletas!U101="Taijiqiang C",951,IF(Atletas!U101="Taijidao D",952,IF(Atletas!U101="Taijishan D",953,IF(Atletas!U101="Taijiqiang D",954,IF(Atletas!U101="Taijidao E",955,IF(Atletas!U101="Taijishan E",956,IF(Atletas!U101="Taijiqiang E",957,IF(Atletas!U101="Taijidao F",958,IF(Atletas!U101="Taijishan F",959,IF(Atletas!U101="Taijiqiang F",960))))))))))))))))))))</f>
        <v/>
      </c>
      <c r="BX105" s="64" t="str">
        <f>IF(BY105&lt;&gt;"","Huaquan F","")</f>
        <v/>
      </c>
      <c r="BY105" s="64" t="str">
        <f>IF(COUNTIF(BK:BW,1169)&gt;0,COUNTIF(BK:BW,1169),"")</f>
        <v/>
      </c>
      <c r="BZ105" s="64" t="str">
        <f>IF(CA105&lt;&gt;"","Huaquan F","")</f>
        <v/>
      </c>
      <c r="CA105" s="64" t="str">
        <f>IF(COUNTIF(BK:BW,2169)&gt;0,COUNTIF(BK:BW,2169),"")</f>
        <v/>
      </c>
      <c r="CB105" s="64" t="str">
        <f>IF(CC105&lt;&gt;"","Huaquan F","")</f>
        <v/>
      </c>
      <c r="CC105" s="64" t="str">
        <f>IF(COUNTIF(BK:BW,11169)&gt;0,COUNTIF(BK:BW,11169),"")</f>
        <v/>
      </c>
      <c r="CD105" s="64" t="str">
        <f>IF(CE105&lt;&gt;"","Huaquan F","")</f>
        <v/>
      </c>
      <c r="CE105" s="64" t="str">
        <f>IF(COUNTIF(BK:BW,12169)&gt;0,COUNTIF(BK:BW,12169),"")</f>
        <v/>
      </c>
      <c r="CF105" s="52" t="str">
        <f xml:space="preserve"> IF(Atletas!V101="","",IF(Atletas!V101="Duilian de Mãos AB - Equipe 1",1,IF(Atletas!V101="Duilian de Mãos AB - Equipe 2",2,IF(Atletas!V101="Duilian de Armas AB - Equipe 1",3,IF(Atletas!V101="Duilian de Armas AB - Equipe 2",4,IF(Atletas!V101="Duilian de Tuishou - Equipe 1",5,IF(Atletas!V101="Duilian de Tuishou - Equipe 2",6,IF(Atletas!V101="Grupo Externo AB - Equipe 1",7,IF(Atletas!V101="Grupo Externo AB - Equipe 2",8,IF(Atletas!V101="Grupo Interno AB - Equipe 1",9,IF(Atletas!V101="Grupo Interno AB - Equipe 2",10,IF(Atletas!V101="Duilian de Mãos CD - Equipe 1",11,IF(Atletas!V101="Duilian de Mãos CD - Equipe 2",12,IF(Atletas!V101="Duilian de Armas CD - Equipe 1",13,IF(Atletas!V101="Duilian de Armas CD - Equipe 2",14,IF(Atletas!V101="Duilian de Tuishou - Equipe 1",15,IF(Atletas!V101="Duilian de Tuishou - Equipe 2",16,IF(Atletas!V101="Grupo Externo CDEF - Equipe 1",17,IF(Atletas!V101="Grupo Externo CDEF - Equipe 2",18,IF(Atletas!V101="Grupo Interno CDEF - Equipe 1",19,IF(Atletas!V101="Grupo Interno CDEF - Equipe 2",20,IF(Atletas!V101="Duilian de Mãos EF - Equipe 1",21,IF(Atletas!V101="Duilian de Mãos EF - Equipe 2",22,IF(Atletas!V101="Duilian de Armas EF - Equipe 1",23,IF(Atletas!V101="Duilian de Armas EF - Equipe 2",24,IF(Atletas!V101="Duilian de Tuishou - Equipe 1",25,IF(Atletas!V101="Duilian de Tuishou - Equipe 2",26,"")))))))))))))))))))))))))))</f>
        <v/>
      </c>
    </row>
    <row r="106" spans="2:84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 t="str">
        <f t="array" ref="V106">IFERROR(INDEX(BX$7:BX$336,SMALL(IF(BX$7:BX$336&lt;&gt;"",ROW(BX$7:BX$336)-ROW(BX$7)+1),ROWS(BX$7:BX105))),"")</f>
        <v/>
      </c>
      <c r="W106" s="4" t="str">
        <f t="array" ref="W106">IFERROR(INDEX(BY$7:BY$336,SMALL(IF(BY$7:BY$336&lt;&gt;"",ROW(BY$7:BY$336)-ROW(BY$7)+1),ROWS(BY$7:BY105))),"")</f>
        <v/>
      </c>
      <c r="X106" s="4" t="str">
        <f t="array" ref="X106">IFERROR(INDEX(BZ$7:BZ$336,SMALL(IF(BZ$7:BZ$336&lt;&gt;"",ROW(BZ$7:BZ$336)-ROW(BZ$7)+1),ROWS(BZ$7:BZ105))),"")</f>
        <v/>
      </c>
      <c r="Y106" s="4" t="str">
        <f t="array" ref="Y106">IFERROR(INDEX(CA$7:CA$336,SMALL(IF(CA$7:CA$336&lt;&gt;"",ROW(CA$7:CA$336)-ROW(CA$7)+1),ROWS(CA$7:CA105))),"")</f>
        <v/>
      </c>
      <c r="Z106" s="4" t="str">
        <f t="array" ref="Z106">IFERROR(INDEX(CB$7:CB$378,SMALL(IF(CB$7:CB$378&lt;&gt;"",ROW(CB$7:CB$378)-ROW(CB$7)+1),ROWS(CB$7:CB105))),"")</f>
        <v/>
      </c>
      <c r="AA106" s="4" t="str">
        <f t="array" ref="AA106">IFERROR(INDEX(CC$7:CC$378,SMALL(IF(CC$7:CC$378&lt;&gt;"",ROW(CC$7:CC$378)-ROW(CC$7)+1),ROWS(CC$7:CC105))),"")</f>
        <v/>
      </c>
      <c r="AB106" s="4" t="str">
        <f t="array" ref="AB106">IFERROR(INDEX(CD$7:CD$378,SMALL(IF(CD$7:CD$378&lt;&gt;"",ROW(CD$7:CD$378)-ROW(CD$7)+1),ROWS(CD$7:CD105))),"")</f>
        <v/>
      </c>
      <c r="AC106" s="4" t="str">
        <f t="array" ref="AC106">IFERROR(INDEX(CE$7:CE$378,SMALL(IF(CE$7:CE$378&lt;&gt;"",ROW(CE$7:CE$378)-ROW(CE$7)+1),ROWS(CE$7:CE105))),"")</f>
        <v/>
      </c>
      <c r="AD106" s="4"/>
      <c r="AE106" s="4"/>
      <c r="AF106" s="4"/>
      <c r="AG106" s="4"/>
      <c r="AH106" s="4"/>
      <c r="AI106" s="4"/>
      <c r="AJ106" s="46" t="str">
        <f>IF(Atletas!D102="","",IF(Atletas!B102="Feminino",100,IF(Atletas!B102="Masculino",200,""))+(IF(Atletas!D102="Infantil 39kg",1,IF(Atletas!D102="Infantil 42kg",2,IF(Atletas!D102="Infantil 45kg",3,IF(Atletas!D102="Infantil 48kg",4,IF(Atletas!D102="Infantil 52kg",5,IF(Atletas!D102="Infantil 56kg",6,IF(Atletas!D102="Infantil 60kg",7,IF(Atletas!D102="Juvenil 48kg",8,IF(Atletas!D102="Juvenil 52kg",9,IF(Atletas!D102="Juvenil 56kg",10,IF(Atletas!D102="Juvenil 60kg",11,IF(Atletas!D102="Juvenil 65kg",12,IF(Atletas!D102="Juvenil 70kg",13,IF(Atletas!D102="Juvenil 75kg",14,IF(Atletas!D102="Juvenil 80kg",15,IF(Atletas!D102="Adulto 48kg",16,IF(Atletas!D102="Adulto 52kg",17,IF(Atletas!D102="Adulto 56kg",18,IF(Atletas!D102="Adulto 60kg",19,IF(Atletas!D102="Adulto 65kg",20,IF(Atletas!D102="Adulto 70kg",21,IF(Atletas!D102="Adulto 75kg",22,IF(Atletas!D102="Adulto 80kg",23,IF(Atletas!D102="Adulto 85kg",24,IF(Atletas!D102="Adulto 90kg",25,IF(Atletas!D102="Adulto +90kg",26,""))))))))))))))))))))))))))))</f>
        <v/>
      </c>
      <c r="AO106" s="10" t="str">
        <f>IF(Atletas!E102="","",IF(Atletas!B102="Feminino",100,IF(Atletas!B102="Masculino",200,""))+(IF(Atletas!E102="Juvenil 44kg",1,IF(Atletas!E102="Juvenil 48kg",2,IF(Atletas!E102="Juvenil 52kg",3,IF(Atletas!E102="Juvenil 56kg",4,IF(Atletas!E102="Juvenil 60kg",5,IF(Atletas!E102="Juvenil 65kg",6,IF(Atletas!E102="Juvenil 70kg",7,IF(Atletas!E102="Juvenil 75kg",8,IF(Atletas!E102="Juvenil 82kg",9,IF(Atletas!E102="Juvenil 90kg",10,IF(Atletas!E102="Juvenil 100kg",11,IF(Atletas!E102="Adulto 48kg",12,IF(Atletas!E102="Adulto 52kg",13,IF(Atletas!E102="Adulto 56kg",14,IF(Atletas!E102="Adulto 60kg",15,IF(Atletas!E102="Adulto 65kg",16,IF(Atletas!E102="Adulto 70kg",17,IF(Atletas!E102="Adulto 75kg",18,IF(Atletas!E102="Adulto 82kg",19,IF(Atletas!E102="Adulto 90kg",20,IF(Atletas!E102="Adulto 100kg",21,IF(Atletas!E102="Adulto +100kg",22,""))))))))))))))))))))))))</f>
        <v/>
      </c>
      <c r="AT106" s="10" t="str">
        <f>IF(Atletas!F102="","",IF(Atletas!B102="Feminino",100,IF(Atletas!B102="Masculino",200,""))+(IF(Atletas!F102="Adulto 48kg",1,IF(Atletas!F102="Adulto 56kg",2,IF(Atletas!F102="Adulto 65kg",3,IF(Atletas!F102="Adulto 75kg",4,IF(Atletas!F102="Adulto +75kg",5,IF(Atletas!F102="Adulto 52kg",6,IF(Atletas!F102="Adulto 60kg",7,IF(Atletas!F102="Adulto 70kg",8,IF(Atletas!F102="Adulto 80kg",9,IF(Atletas!F102="Adulto 90kg",10,IF(Atletas!F102="Adulto +90kg",11,"")))))))))))))</f>
        <v/>
      </c>
      <c r="AY106" s="46" t="str">
        <f>IF(Atletas!G102="","",IF(Atletas!B102="Feminino",100,IF(Atletas!B102="Masculino",200,""))+(IF(Atletas!G102="Changquan Mirim",1,IF(Atletas!G102="Nanquan Mirim",2,IF(Atletas!G102="Taijiquan Mirim",3,IF(Atletas!G102="Changquan Grupo C",4,IF(Atletas!G102="Nanquan Grupo C",5,IF(Atletas!G102="Taijiquan Grupo C",6,IF(Atletas!G102="Changquan Grupo B",7,IF(Atletas!G102="Nanquan Grupo B",8,IF(Atletas!G102="Taijiquan Grupo B",9,IF(Atletas!G102="Changquan Grupo A",10,IF(Atletas!G102="Nanquan Grupo A",11,IF(Atletas!G102="Taijiquan Grupo A",12,IF(Atletas!G102="Changquan Opcional",13,IF(Atletas!G102="Nanquan Opcional",14,IF(Atletas!G102="Taijiquan Opcional",15,IF(Atletas!G102="Changquan Adulto",16,IF(Atletas!G102="Nanquan Adulto",17,IF(Atletas!G102="Taijiquan Adulto",18,""))))))))))))))))))))</f>
        <v/>
      </c>
      <c r="AZ106" s="46" t="str">
        <f>IF(Atletas!H102="","",IF(Atletas!B102="Feminino",100,IF(Atletas!B102="Masculino",200,""))+(IF(Atletas!H102="Daoshu Mirim",19,IF(Atletas!H102="Jianshu Mirim",20,IF(Atletas!H102="Nandao Mirim",21,IF(Atletas!H102="Taijijian Mirim",22,IF(Atletas!H102="Daoshu Grupo C",23,IF(Atletas!H102="Jianshu Grupo C",24,IF(Atletas!H102="Nandao Grupo C",25,IF(Atletas!H102="Taijijian Grupo C",26,IF(Atletas!H102="Daoshu Grupo B",27,IF(Atletas!H102="Jianshu Grupo B",28,IF(Atletas!H102="Nandao Grupo B",29,IF(Atletas!H102="Taijijian Grupo B",30,IF(Atletas!H102="Daoshu Grupo A",31,IF(Atletas!H102="Jianshu Grupo A",32,IF(Atletas!H102="Nandao Grupo A",33,IF(Atletas!H102="Taijijian Grupo A",34,IF(Atletas!H102="Daoshu Opcional",35,IF(Atletas!H102="Jianshu Opcional",36,IF(Atletas!H102="Nandao Opcional",37,IF(Atletas!H102="Taijijian Opcional",38,IF(Atletas!H102="Daoshu Adulto",39,IF(Atletas!H102="Jianshu Adulto",40,IF(Atletas!H102="Nandao Adulto",41,IF(Atletas!H102="Taijijian Adulto",42,""))))))))))))))))))))))))))</f>
        <v/>
      </c>
      <c r="BA106" s="46" t="str">
        <f>IF(Atletas!I102="","",IF(Atletas!B102="Feminino",100,IF(Atletas!B102="Masculino",200,""))+(IF(Atletas!I102="Gunshu Mirim",43,IF(Atletas!I102="Qiangshu Mirim",44,IF(Atletas!I102="Nangun Mirim",45,IF(Atletas!I102="Gunshu Grupo C",46,IF(Atletas!I102="Qiangshu Grupo C",47,IF(Atletas!I102="Nangun Grupo C",48,IF(Atletas!I102="Gunshu Grupo B",49,IF(Atletas!I102="Qiangshu Grupo B",50,IF(Atletas!I102="Nangun Grupo B",51,IF(Atletas!I102="Gunshu Grupo A",52,IF(Atletas!I102="Qiangshu Grupo A",53,IF(Atletas!I102="Nangun Grupo A",54,IF(Atletas!I102="Gunshu Opcional",55,IF(Atletas!I102="Qiangshu Opcional",56,IF(Atletas!I102="Nangun Opcional",57,IF(Atletas!I102="Gunshu Adulto",58,IF(Atletas!I102="Qiangshu Adulto",59,IF(Atletas!I102="Nangun Adulto",60,""))))))))))))))))))))</f>
        <v/>
      </c>
      <c r="BF106" s="52" t="str">
        <f>IF(Atletas!J102="","",IF(Atletas!B102="Feminino",100,IF(Atletas!B102="Masculino",200,""))+(IF(Atletas!J102="Equipe 1 Grupo B",1,IF(Atletas!J102="Equipe 2 Grupo B",2,IF(Atletas!J102="Equipe 1 Grupo A",3,IF(Atletas!J102="Equipe 2 Grupo A",4,IF(Atletas!J102="Equipe 1 Adulto",5,IF(Atletas!J102="Equipe 2 Adulto",6,""))))))))</f>
        <v/>
      </c>
      <c r="BK106" s="52" t="str">
        <f>IF(Atletas!K102="","",IF(Atletas!W102&lt;&gt;"",10000,0)+(IF(Atletas!B102="Feminino",1000,IF(Atletas!B102="Masculino",2000,""))+IF(Atletas!K102="Choylayfut A",1,IF(Atletas!K102="Hunggar A",2,IF(Atletas!K102="Wuzuquan A",3,IF(Atletas!K102="Wingchun A",4,IF(Atletas!K102="Outra Mão de Sul A",5,IF(Atletas!K102="Choylayfut B",6,IF(Atletas!K102="Hunggar B",7,IF(Atletas!K102="Wuzuquan B",8,IF(Atletas!K102="Wingchun B",9,IF(Atletas!K102="Outra Mão de Sul B",10,IF(Atletas!K102="Choylayfut C",11,IF(Atletas!K102="Hunggar C",12,IF(Atletas!K102="Wuzuquan C",13,IF(Atletas!K102="Wingchun C",14,IF(Atletas!K102="Outra Mão de Sul C",15,IF(Atletas!K102="Choylayfut D",16,IF(Atletas!K102="Hunggar D",17,IF(Atletas!K102="Wuzuquan D",18,IF(Atletas!K102="Wingchun D",19,IF(Atletas!K102="Outra Mão de Sul D",20,IF(Atletas!K102="Choylayfut E",21,IF(Atletas!K102="Hunggar E",22,IF(Atletas!K102="Wuzuquan E",23,IF(Atletas!K102="Wingchun E",24,IF(Atletas!K102="Outra Mão de Sul E",25,IF(Atletas!K102="Choylayfut F",26,IF(Atletas!K102="Hunggar F",27,IF(Atletas!K102="Wuzuquan F",28,IF(Atletas!K102="Wingchun F",29,IF(Atletas!K102="Outra Mão de Sul F",30,""))))))))))))))))))))))))))))))))</f>
        <v/>
      </c>
      <c r="BL106" s="52" t="str">
        <f>IF(Atletas!L102="","",IF(Atletas!W102&lt;&gt;"",10000,0)+(IF(Atletas!B102="Feminino",1000,IF(Atletas!B102="Masculino",2000,""))+(IF(Atletas!L102="Chaquan A",101,IF(Atletas!L102="Emeiquan A",102,IF(Atletas!L102="Fanziquan A",103,IF(Atletas!L102="Huaquan A",104,IF(Atletas!L102="Hongquan A",105,IF(Atletas!L102="Paochui A",106,IF(Atletas!L102="Piguaquan A",107,IF(Atletas!L102="Shaolinquan A",108,IF(Atletas!L102="Tanglangquan A",109,IF(Atletas!L102="Yinzhaophai A",110,IF(Atletas!L102="Tongbeiquan A",111,IF(Atletas!L102="Wudangquan A",112,IF(Atletas!L102="Outros Estilos A",113,IF(Atletas!L102="Chaquan B",114,IF(Atletas!L102="Emeiquan B",115,IF(Atletas!L102="Fanziquan B",116,IF(Atletas!L102="Huaquan B",117,IF(Atletas!L102="Hongquan B",118,IF(Atletas!L102="Paochui B",119,IF(Atletas!L102="Piguaquan B",120,IF(Atletas!L102="Shaolinquan B",121,IF(Atletas!L102="Tanglangquan B",122,IF(Atletas!L102="Yinzhaophai B",123,IF(Atletas!L102="Tongbeiquan B",124,IF(Atletas!L102="Wudangquan B",125,IF(Atletas!L102="Outros Estilos B",126,IF(Atletas!L102="Chaquan C",127,IF(Atletas!L102="Emeiquan C",128,IF(Atletas!L102="Fanziquan C",129,IF(Atletas!L102="Huaquan C",130,IF(Atletas!L102="Hongquan C",131,IF(Atletas!L102="Paochui C",132,IF(Atletas!L102="Piguaquan C",133,IF(Atletas!L102="Shaolinquan C",134,IF(Atletas!L102="Tanglangquan C",135,IF(Atletas!L102="Yinzhaophai C",136,IF(Atletas!L102="Tongbeiquan C",137,IF(Atletas!L102="Wudangquan C",138,IF(Atletas!L102="Outros Estilos C",139,0))))))))))))))))))))))))))))))))))))))))))</f>
        <v/>
      </c>
      <c r="BM106" s="52" t="str">
        <f>IF(Atletas!L102="","",IF(Atletas!W102&lt;&gt;"",10000,0)+(IF(Atletas!B102="Feminino",1000,IF(Atletas!B102="Masculino",2000,""))+(IF(Atletas!L102="Chaquan D",140,IF(Atletas!L102="Emeiquan D",141,IF(Atletas!L102="Fanziquan D",142,IF(Atletas!L102="Huaquan D",143,IF(Atletas!L102="Hongquan D",144,IF(Atletas!L102="Paochui D",145,IF(Atletas!L102="Piguaquan D",146,IF(Atletas!L102="Shaolinquan D",147,IF(Atletas!L102="Tanglangquan D",148,IF(Atletas!L102="Yinzhaophai D",149,IF(Atletas!L102="Tongbeiquan D",150,IF(Atletas!L102="Wudangquan D",151,IF(Atletas!L102="Outros Estilos D",152,IF(Atletas!L102="Chaquan E",153,IF(Atletas!L102="Emeiquan E",154,IF(Atletas!L102="Fanziquan E",155,IF(Atletas!L102="Huaquan E",156,IF(Atletas!L102="Hongquan E",157,IF(Atletas!L102="Paochui E",158,IF(Atletas!L102="Piguaquan E",159,IF(Atletas!L102="Shaolinquan E",160,IF(Atletas!L102="Tanglangquan E",161,IF(Atletas!L102="Yinzhaophai E",162,IF(Atletas!L102="Tongbeiquan E",163,IF(Atletas!L102="Wudangquan E",164,IF(Atletas!L102="Outros Estilos E",165,IF(Atletas!L102="Chaquan F",166,IF(Atletas!L102="Emeiquan F",167,IF(Atletas!L102="Fanziquan F",168,IF(Atletas!L102="Huaquan F",169,IF(Atletas!L102="Hongquan F",170,IF(Atletas!L102="Paochui F",171,IF(Atletas!L102="Piguaquan F",172,IF(Atletas!L102="Shaolinquan F",173,IF(Atletas!L102="Tanglangquan F",174,IF(Atletas!L102="Yinzhaophai F",175,IF(Atletas!L102="Tongbeiquan F",176,IF(Atletas!L102="Wudangquan F",177,IF(Atletas!L102="Outros Estilos F",178,0))))))))))))))))))))))))))))))))))))))))))</f>
        <v/>
      </c>
      <c r="BN106" s="52" t="str">
        <f>IF(Atletas!M102="","",IF(Atletas!W102&lt;&gt;"",10000,0)+(IF(Atletas!B102="Feminino",1000,IF(Atletas!B102="Masculino",2000,""))+(IF(Atletas!M102="Ditangquan A",201,IF(Atletas!M102="Houquan A",202,IF(Atletas!M102="Zuiquan A",203,IF(Atletas!M102="Ditangquan B",204,IF(Atletas!M102="Houquan B",205,IF(Atletas!M102="Zuiquan B",206,IF(Atletas!M102="Ditangquan C",207,IF(Atletas!M102="Houquan C",208,IF(Atletas!M102="Zuiquan C",209,IF(Atletas!M102="Ditangquan D",210,IF(Atletas!M102="Houquan D",211,IF(Atletas!M102="Zuiquan D",212,IF(Atletas!M102="Ditangquan E",213,IF(Atletas!M102="Houquan E",214,IF(Atletas!M102="Zuiquan E",215,IF(Atletas!M102="Ditangquan F",216,IF(Atletas!M102="Houquan F",217,IF(Atletas!M102="Zuiquan F",218,"")))))))))))))))))))))</f>
        <v/>
      </c>
      <c r="BO106" s="52" t="str">
        <f>IF(Atletas!N102="","",IF(Atletas!W102&lt;&gt;"",10000,0)+IF(Atletas!B102="Feminino",1000,IF(Atletas!B102="Masculino",2000,""))+IF(Atletas!N102="Yang A",301,IF(Atletas!N102="Chen A",30,IF(Atletas!N102="Sun A",303,IF(Atletas!N102="Wu A",304,IF(Atletas!N102="Wu-Hao A",305,IF(Atletas!N102="Outro Taijiquan A",306,IF(Atletas!N102="Yang B",307,IF(Atletas!N102="Chen B",308,IF(Atletas!N102="Sun B",309,IF(Atletas!N102="Wu B",310,IF(Atletas!N102="Wu-Hao B",311,IF(Atletas!N102="Outro Taijiquan B",312,IF(Atletas!N102="Yang C",313,IF(Atletas!N102="Chen C",314,IF(Atletas!N102="Sun C",315,IF(Atletas!N102="Wu C",316,IF(Atletas!N102="Wu-Hao C",317,IF(Atletas!N102="Outro Taijiquan C",318,IF(Atletas!N102="Yang D",319,IF(Atletas!N102="Chen D",320,IF(Atletas!N102="Sun D",321,IF(Atletas!N102="Wu D",322,IF(Atletas!N102="Wu-Hao D",323,IF(Atletas!N102="Outro Taijiquan D",324,IF(Atletas!N102="Yang E",325,IF(Atletas!N102="Chen E",326,IF(Atletas!N102="Sun E",327,IF(Atletas!N102="Wu E",328,IF(Atletas!N102="Wu-Hao E",329,IF(Atletas!N102="Outro Taijiquan E",330,IF(Atletas!N102="Yang F",331,IF(Atletas!N102="Chen F",332,IF(Atletas!N102="Sun F",333,IF(Atletas!N102="Wu F",334,IF(Atletas!N102="Wu-Hao F",335,IF(Atletas!N102="Outro Taijiquan F",336,"")))))))))))))))))))))))))))))))))))))</f>
        <v/>
      </c>
      <c r="BP106" s="52" t="str">
        <f>IF(Atletas!O102="","",IF(Atletas!W102&lt;&gt;"",10000,0)+IF(Atletas!B102="Feminino",1000,IF(Atletas!B102="Masculino",2000,""))+IF(OR(Atletas!O102="Yang 26 A",Atletas!O102="Yang 40 A"),401,IF(OR(Atletas!O102="Chen 25 A",Atletas!O102="Chen 36 A",Atletas!O102="Chen 56 A"),402,IF(Atletas!O102="Sun 73 A",403,IF(Atletas!O102="Wu 45 A",404,IF(Atletas!O102="Wu-Hao 46 A",405,IF(OR(Atletas!O102="Taijiquan 16 A",Atletas!O102="Taijiquan 24 A",Atletas!O102="Taijiquan 32 A",Atletas!O102="Taijiquan 42 A"),406,IF(OR(Atletas!O102="Yang 26 B",Atletas!O102="Yang 40 B"),407,IF(OR(Atletas!O102="Chen 25 B",Atletas!O102="Chen 36 B",Atletas!O102="Chen 56 B"),408,IF(Atletas!O102="Sun 73 B",409,IF(Atletas!O102="Wu 45 B",410,IF(Atletas!O102="Wu-Hao 46 B",411,IF(OR(Atletas!O102="Taijiquan 16 B",Atletas!O102="Taijiquan 24 B",Atletas!O102="Taijiquan 32 B",Atletas!O102="Taijiquan 42 B"),412,IF(OR(Atletas!O102="Yang 26 C",Atletas!O102="Yang 40 C"),413,IF(OR(Atletas!O102="Chen 25 C",Atletas!O102="Chen 36 C",Atletas!O102="Chen 56 C"),414,IF(Atletas!O102="Sun 73 C",415,IF(Atletas!O102="Wu 45 C",416,IF(Atletas!O102="Wu-Hao 46 C",417,IF(OR(Atletas!O102="Taijiquan 16 C",Atletas!O102="Taijiquan 24 C",Atletas!O102="Taijiquan 32 C",Atletas!O102="Taijiquan 42 C"),418,0)))))))))))))))))))</f>
        <v/>
      </c>
      <c r="BQ106" s="52" t="str">
        <f>IF(Atletas!O102="","",IF(Atletas!W102&lt;&gt;"",10000,0)+IF(Atletas!B102="Feminino",1000,IF(Atletas!B102="Masculino",2000,""))+IF(OR(Atletas!O102="Yang 26 D",Atletas!O102="Yang 40 D"),419,IF(OR(Atletas!O102="Chen 25 D",Atletas!O102="Chen 36 D",Atletas!O102="Chen 56 D"),420,IF(Atletas!O102="Sun 73 D",421,IF(Atletas!O102="Wu 45 D",422,IF(Atletas!O102="Wu-Hao 46 D",423,IF(OR(Atletas!O102="Taijiquan 16 D",Atletas!O102="Taijiquan 24 D",Atletas!O102="Taijiquan 32 D",Atletas!O102="Taijiquan 42 D"),424,IF(OR(Atletas!O102="Yang 26 E",Atletas!O102="Yang 40 E"),425,IF(OR(Atletas!O102="Chen 25 E",Atletas!O102="Chen 36 E",Atletas!O102="Chen 56 E"),426,IF(Atletas!O102="Sun 73 E",427,IF(Atletas!O102="Wu 45 E",428,IF(Atletas!O102="Wu-Hao 46 E",429,IF(OR(Atletas!O102="Taijiquan 16 E",Atletas!O102="Taijiquan 24 E",Atletas!O102="Taijiquan 32 E",Atletas!O102="Taijiquan 42 E"),430,IF(OR(Atletas!O102="Yang 26 F",Atletas!O102="Yang 40 F"),431,IF(OR(Atletas!O102="Chen 25 F",Atletas!O102="Chen 36 F",Atletas!O102="Chen 56 F"),432,IF(Atletas!O102="Sun 73 F",433,IF(Atletas!O102="Wu 45 F",434,IF(Atletas!O102="Wu-Hao 46 F",435,IF(OR(Atletas!O102="Taijiquan 16 F",Atletas!O102="Taijiquan 24 F",Atletas!O102="Taijiquan 32 F",Atletas!O102="Taijiquan 42 F"),436,0)))))))))))))))))))</f>
        <v/>
      </c>
      <c r="BR106" s="52" t="str">
        <f>IF(Atletas!P102="","",IF(Atletas!W102&lt;&gt;"",10000,0)+IF(Atletas!B102="Feminino",1000,IF(Atletas!B102="Masculino",2000,""))+IF(Atletas!P102="Xingyiquan A",501,IF(Atletas!P102="Baguazhang A",502,IF(Atletas!P102="Outro Estilo Interno A",503,IF(Atletas!P102="Xingyiquan B",504,IF(Atletas!P102="Baguazhang B",505,IF(Atletas!P102="Outro Estilo Interno B",506,IF(Atletas!P102="Xingyiquan C",507,IF(Atletas!P102="Baguazhang C",508,IF(Atletas!P102="Outro Estilo Interno C",509,IF(Atletas!P102="Xingyiquan D",510,IF(Atletas!P102="Baguazhang D",511,IF(Atletas!P102="Outro Estilo Interno D",512,IF(Atletas!P102="Xingyiquan E",513,IF(Atletas!P102="Baguazhang E",514,IF(Atletas!P102="Outro Estilo Interno E",515,IF(Atletas!P102="Xingyiquan F",516,IF(Atletas!P102="Baguazhang F",517,IF(Atletas!P102="Outro Estilo Interno F",518, "")))))))))))))))))))</f>
        <v/>
      </c>
      <c r="BS106" s="52" t="str">
        <f>IF(Atletas!Q102="","",IF(Atletas!W102&lt;&gt;"",10000,0)+IF(Atletas!B102="Feminino",1000,IF(Atletas!B102="Masculino",2000,""))+IF(Atletas!Q102="Dao A",601,IF(Atletas!Q102="Jian A",602,IF(Atletas!Q102="Bishou A",603,IF(Atletas!Q102="Shan A",604,IF(Atletas!Q102="Outra Arma Curta A",605,IF(Atletas!Q102="Dao B",606,IF(Atletas!Q102="Jian B",607,IF(Atletas!Q102="Bishou B",608,IF(Atletas!Q102="Shan B",609,IF(Atletas!Q102="Outra Arma Curta B",610,IF(Atletas!Q102="Dao C",611,IF(Atletas!Q102="Jian C",612,IF(Atletas!Q102="Bishou C",613,IF(Atletas!Q102="Shan C",614,IF(Atletas!Q102="Outra Arma Curta C",615,IF(Atletas!Q102="Dao D",616,IF(Atletas!Q102="Jian D",617,IF(Atletas!Q102="Bishou D",618,IF(Atletas!Q102="Shan D",619,IF(Atletas!Q102="Outra Arma Curta D",620,IF(Atletas!Q102="Dao E",621,IF(Atletas!Q102="Jian E",622,IF(Atletas!Q102="Bishou E",623,IF(Atletas!Q102="Shan E",624,IF(Atletas!Q102="Outra Arma Curta E",625,IF(Atletas!Q102="Dao F",626,IF(Atletas!Q102="Jian F",627,IF(Atletas!Q102="Bishou F",628,IF(Atletas!Q102="Shan F",629,IF(Atletas!Q102="Outra Arma Curta F",630, "")))))))))))))))))))))))))))))))</f>
        <v/>
      </c>
      <c r="BT106" s="52" t="str">
        <f>IF(Atletas!R102="","",IF(Atletas!W102&lt;&gt;"",10000,0)+IF(Atletas!B102="Feminino",1000,IF(Atletas!B102="Masculino",2000,""))+IF(Atletas!R102="Gun A",701,IF(Atletas!R102="Qiang A",702,IF(Atletas!R102="Pudao / Guandao A",703,IF(Atletas!R102="Outra Arma Longa A",704,IF(Atletas!R102="Gun B",705,IF(Atletas!R102="Qiang B",706,IF(Atletas!R102="Pudao / Guandao B",707,IF(Atletas!R102="Outra Arma Longa B",708,IF(Atletas!R102="Gun C",709,IF(Atletas!R102="Qiang C",710,IF(Atletas!R102="Pudao / Guandao C",711,IF(Atletas!R102="Outra Arma Longa C",712,IF(Atletas!R102="Gun D",713,IF(Atletas!R102="Qiang D",714,IF(Atletas!R102="Pudao / Guandao D",715,IF(Atletas!R102="Outra Arma Longa D",716,IF(Atletas!R102="Gun E",717,IF(Atletas!R102="Qiang E",718,IF(Atletas!R102="Pudao / Guandao E",719,IF(Atletas!R102="Outra Arma Longa E",720,IF(Atletas!R102="Gun F",721,IF(Atletas!R102="Qiang F",722,IF(Atletas!R102="Pudao / Guandao F",723,IF(Atletas!R102="Outra Arma Longa F",724,"")))))))))))))))))))))))))</f>
        <v/>
      </c>
      <c r="BU106" s="52" t="str">
        <f>IF(Atletas!S102="","",IF(Atletas!W102&lt;&gt;"",10000,0)+IF(Atletas!B102="Feminino",1000,IF(Atletas!B102="Masculino",2000,""))+IF(Atletas!S102="Arma Dupla A",801,IF(Atletas!S102="Arma Maleável A",802,IF(Atletas!S102="Arma Dupla B",803,IF(Atletas!S102="Arma Maleável B",804,IF(Atletas!S102="Arma Dupla C",805,IF(Atletas!S102="Arma Maleável C",806,IF(Atletas!S102="Arma Dupla D",807,IF(Atletas!S102="Arma Maleável D",808,IF(Atletas!S102="Arma Dupla E",809,IF(Atletas!S102="Arma Maleável E",810,IF(Atletas!S102="Arma Dupla F",811,IF(Atletas!S102="Arma Maleável F",812, "")))))))))))))</f>
        <v/>
      </c>
      <c r="BV106" s="52" t="str">
        <f>IF(Atletas!T102="","",IF(Atletas!W102&lt;&gt;"",10000,0)+IF(Atletas!B102="Feminino",1000,IF(Atletas!B102="Masculino",2000,""))+IF(Atletas!T102="Taijijian Yang A",901,IF(Atletas!T102="Taijijian Chen A",902,IF(Atletas!T102="Taijijian Sun A",903,IF(Atletas!T102="Taijijian Wu A",904,IF(Atletas!T102="Taijijian Wu-Hao A",905,IF(Atletas!T102="Taijijian 32 A",906,IF(Atletas!T102="Taijijian 42 A",907,IF(Atletas!T102="Taijijian Yang B",908,IF(Atletas!T102="Taijijian Chen B",909,IF(Atletas!T102="Taijijian Sun B",910,IF(Atletas!T102="Taijijian Wu B",911,IF(Atletas!T102="Taijijian Wu-Hao B",912,IF(Atletas!T102="Taijijian 32 B",913,IF(Atletas!T102="Taijijian 42 B",914,IF(Atletas!T102="Taijijian Yang C",915,IF(Atletas!T102="Taijijian Chen C",916,IF(Atletas!T102="Taijijian Sun C",917,IF(Atletas!T102="Taijijian Wu C",918,IF(Atletas!T102="Taijijian Wu-Hao C",919,IF(Atletas!T102="Taijijian 32 C",920,IF(Atletas!T102="Taijijian 42 C",921,IF(Atletas!T102="Taijijian Yang D",922,IF(Atletas!T102="Taijijian Chen D",923,IF(Atletas!T102="Taijijian Sun D",924,IF(Atletas!T102="Taijijian Wu D",925,IF(Atletas!T102="Taijijian Wu-Hao D",926,IF(Atletas!T102="Taijijian 32 D",927,IF(Atletas!T102="Taijijian 42 D",928,IF(Atletas!T102="Taijijian Yang E",929,IF(Atletas!T102="Taijijian Chen E",930,IF(Atletas!T102="Taijijian Sun E",931,IF(Atletas!T102="Taijijian Wu E",932,IF(Atletas!T102="Taijijian Wu-Hao E",933,IF(Atletas!T102="Taijijian 32 E",934,IF(Atletas!T102="Taijijian 42 E",935,IF(Atletas!T102="Taijijian Yang F",936,IF(Atletas!T102="Taijijian Chen F",937,IF(Atletas!T102="Taijijian Sun F",938,IF(Atletas!T102="Taijijian Wu F",939,IF(Atletas!T102="Taijijian Wu-Hao F",940,IF(Atletas!T102="Taijijian 32 F",941,IF(Atletas!T102="Taijijian 42 F",942,"")))))))))))))))))))))))))))))))))))))))))))</f>
        <v/>
      </c>
      <c r="BW106" s="52" t="str">
        <f>IF(Atletas!U102="","",IF(Atletas!W102&lt;&gt;"",10000,0)+IF(Atletas!B102="Feminino",1000,IF(Atletas!B102="Masculino",2000,""))+IF(Atletas!T102="Taijijian 42 F",942,IF(Atletas!U102="Taijidao A",943,IF(Atletas!U102="Taijishan A",944,IF(Atletas!U102="Taijiqiang A",945,IF(Atletas!U102="Taijidao B",946,IF(Atletas!U102="Taijishan B",947,IF(Atletas!U102="Taijiqiang B",948,IF(Atletas!U102="Taijidao C",949,IF(Atletas!U102="Taijishan C",950,IF(Atletas!U102="Taijiqiang C",951,IF(Atletas!U102="Taijidao D",952,IF(Atletas!U102="Taijishan D",953,IF(Atletas!U102="Taijiqiang D",954,IF(Atletas!U102="Taijidao E",955,IF(Atletas!U102="Taijishan E",956,IF(Atletas!U102="Taijiqiang E",957,IF(Atletas!U102="Taijidao F",958,IF(Atletas!U102="Taijishan F",959,IF(Atletas!U102="Taijiqiang F",960))))))))))))))))))))</f>
        <v/>
      </c>
      <c r="BX106" s="64" t="str">
        <f>IF(BY106&lt;&gt;"","Hongquan F","")</f>
        <v/>
      </c>
      <c r="BY106" s="64" t="str">
        <f>IF(COUNTIF(BK:BW,1170)&gt;0,COUNTIF(BK:BW,1170),"")</f>
        <v/>
      </c>
      <c r="BZ106" s="64" t="str">
        <f>IF(CA106&lt;&gt;"","Hongquan F","")</f>
        <v/>
      </c>
      <c r="CA106" s="64" t="str">
        <f>IF(COUNTIF(BK:BW,2170)&gt;0,COUNTIF(BK:BW,2170),"")</f>
        <v/>
      </c>
      <c r="CB106" s="64" t="str">
        <f>IF(CC106&lt;&gt;"","Hongquan F","")</f>
        <v/>
      </c>
      <c r="CC106" s="64" t="str">
        <f>IF(COUNTIF(BK:BW,11170)&gt;0,COUNTIF(BK:BW,11170),"")</f>
        <v/>
      </c>
      <c r="CD106" s="64" t="str">
        <f>IF(CE106&lt;&gt;"","Hongquan F","")</f>
        <v/>
      </c>
      <c r="CE106" s="64" t="str">
        <f>IF(COUNTIF(BK:BW,12170)&gt;0,COUNTIF(BK:BW,12170),"")</f>
        <v/>
      </c>
      <c r="CF106" s="52" t="str">
        <f xml:space="preserve"> IF(Atletas!V102="","",IF(Atletas!V102="Duilian de Mãos AB - Equipe 1",1,IF(Atletas!V102="Duilian de Mãos AB - Equipe 2",2,IF(Atletas!V102="Duilian de Armas AB - Equipe 1",3,IF(Atletas!V102="Duilian de Armas AB - Equipe 2",4,IF(Atletas!V102="Duilian de Tuishou - Equipe 1",5,IF(Atletas!V102="Duilian de Tuishou - Equipe 2",6,IF(Atletas!V102="Grupo Externo AB - Equipe 1",7,IF(Atletas!V102="Grupo Externo AB - Equipe 2",8,IF(Atletas!V102="Grupo Interno AB - Equipe 1",9,IF(Atletas!V102="Grupo Interno AB - Equipe 2",10,IF(Atletas!V102="Duilian de Mãos CD - Equipe 1",11,IF(Atletas!V102="Duilian de Mãos CD - Equipe 2",12,IF(Atletas!V102="Duilian de Armas CD - Equipe 1",13,IF(Atletas!V102="Duilian de Armas CD - Equipe 2",14,IF(Atletas!V102="Duilian de Tuishou - Equipe 1",15,IF(Atletas!V102="Duilian de Tuishou - Equipe 2",16,IF(Atletas!V102="Grupo Externo CDEF - Equipe 1",17,IF(Atletas!V102="Grupo Externo CDEF - Equipe 2",18,IF(Atletas!V102="Grupo Interno CDEF - Equipe 1",19,IF(Atletas!V102="Grupo Interno CDEF - Equipe 2",20,IF(Atletas!V102="Duilian de Mãos EF - Equipe 1",21,IF(Atletas!V102="Duilian de Mãos EF - Equipe 2",22,IF(Atletas!V102="Duilian de Armas EF - Equipe 1",23,IF(Atletas!V102="Duilian de Armas EF - Equipe 2",24,IF(Atletas!V102="Duilian de Tuishou - Equipe 1",25,IF(Atletas!V102="Duilian de Tuishou - Equipe 2",26,"")))))))))))))))))))))))))))</f>
        <v/>
      </c>
    </row>
    <row r="107" spans="2:84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 t="str">
        <f t="array" ref="V107">IFERROR(INDEX(BX$7:BX$336,SMALL(IF(BX$7:BX$336&lt;&gt;"",ROW(BX$7:BX$336)-ROW(BX$7)+1),ROWS(BX$7:BX106))),"")</f>
        <v/>
      </c>
      <c r="W107" s="4" t="str">
        <f t="array" ref="W107">IFERROR(INDEX(BY$7:BY$336,SMALL(IF(BY$7:BY$336&lt;&gt;"",ROW(BY$7:BY$336)-ROW(BY$7)+1),ROWS(BY$7:BY106))),"")</f>
        <v/>
      </c>
      <c r="X107" s="4" t="str">
        <f t="array" ref="X107">IFERROR(INDEX(BZ$7:BZ$336,SMALL(IF(BZ$7:BZ$336&lt;&gt;"",ROW(BZ$7:BZ$336)-ROW(BZ$7)+1),ROWS(BZ$7:BZ106))),"")</f>
        <v/>
      </c>
      <c r="Y107" s="4" t="str">
        <f t="array" ref="Y107">IFERROR(INDEX(CA$7:CA$336,SMALL(IF(CA$7:CA$336&lt;&gt;"",ROW(CA$7:CA$336)-ROW(CA$7)+1),ROWS(CA$7:CA106))),"")</f>
        <v/>
      </c>
      <c r="Z107" s="4" t="str">
        <f t="array" ref="Z107">IFERROR(INDEX(CB$7:CB$378,SMALL(IF(CB$7:CB$378&lt;&gt;"",ROW(CB$7:CB$378)-ROW(CB$7)+1),ROWS(CB$7:CB106))),"")</f>
        <v/>
      </c>
      <c r="AA107" s="4" t="str">
        <f t="array" ref="AA107">IFERROR(INDEX(CC$7:CC$378,SMALL(IF(CC$7:CC$378&lt;&gt;"",ROW(CC$7:CC$378)-ROW(CC$7)+1),ROWS(CC$7:CC106))),"")</f>
        <v/>
      </c>
      <c r="AB107" s="4" t="str">
        <f t="array" ref="AB107">IFERROR(INDEX(CD$7:CD$378,SMALL(IF(CD$7:CD$378&lt;&gt;"",ROW(CD$7:CD$378)-ROW(CD$7)+1),ROWS(CD$7:CD106))),"")</f>
        <v/>
      </c>
      <c r="AC107" s="4" t="str">
        <f t="array" ref="AC107">IFERROR(INDEX(CE$7:CE$378,SMALL(IF(CE$7:CE$378&lt;&gt;"",ROW(CE$7:CE$378)-ROW(CE$7)+1),ROWS(CE$7:CE106))),"")</f>
        <v/>
      </c>
      <c r="AD107" s="4"/>
      <c r="AE107" s="4"/>
      <c r="AF107" s="4"/>
      <c r="AG107" s="4"/>
      <c r="AH107" s="4"/>
      <c r="AI107" s="4"/>
      <c r="AJ107" s="46" t="str">
        <f>IF(Atletas!D103="","",IF(Atletas!B103="Feminino",100,IF(Atletas!B103="Masculino",200,""))+(IF(Atletas!D103="Infantil 39kg",1,IF(Atletas!D103="Infantil 42kg",2,IF(Atletas!D103="Infantil 45kg",3,IF(Atletas!D103="Infantil 48kg",4,IF(Atletas!D103="Infantil 52kg",5,IF(Atletas!D103="Infantil 56kg",6,IF(Atletas!D103="Infantil 60kg",7,IF(Atletas!D103="Juvenil 48kg",8,IF(Atletas!D103="Juvenil 52kg",9,IF(Atletas!D103="Juvenil 56kg",10,IF(Atletas!D103="Juvenil 60kg",11,IF(Atletas!D103="Juvenil 65kg",12,IF(Atletas!D103="Juvenil 70kg",13,IF(Atletas!D103="Juvenil 75kg",14,IF(Atletas!D103="Juvenil 80kg",15,IF(Atletas!D103="Adulto 48kg",16,IF(Atletas!D103="Adulto 52kg",17,IF(Atletas!D103="Adulto 56kg",18,IF(Atletas!D103="Adulto 60kg",19,IF(Atletas!D103="Adulto 65kg",20,IF(Atletas!D103="Adulto 70kg",21,IF(Atletas!D103="Adulto 75kg",22,IF(Atletas!D103="Adulto 80kg",23,IF(Atletas!D103="Adulto 85kg",24,IF(Atletas!D103="Adulto 90kg",25,IF(Atletas!D103="Adulto +90kg",26,""))))))))))))))))))))))))))))</f>
        <v/>
      </c>
      <c r="AO107" s="10" t="str">
        <f>IF(Atletas!E103="","",IF(Atletas!B103="Feminino",100,IF(Atletas!B103="Masculino",200,""))+(IF(Atletas!E103="Juvenil 44kg",1,IF(Atletas!E103="Juvenil 48kg",2,IF(Atletas!E103="Juvenil 52kg",3,IF(Atletas!E103="Juvenil 56kg",4,IF(Atletas!E103="Juvenil 60kg",5,IF(Atletas!E103="Juvenil 65kg",6,IF(Atletas!E103="Juvenil 70kg",7,IF(Atletas!E103="Juvenil 75kg",8,IF(Atletas!E103="Juvenil 82kg",9,IF(Atletas!E103="Juvenil 90kg",10,IF(Atletas!E103="Juvenil 100kg",11,IF(Atletas!E103="Adulto 48kg",12,IF(Atletas!E103="Adulto 52kg",13,IF(Atletas!E103="Adulto 56kg",14,IF(Atletas!E103="Adulto 60kg",15,IF(Atletas!E103="Adulto 65kg",16,IF(Atletas!E103="Adulto 70kg",17,IF(Atletas!E103="Adulto 75kg",18,IF(Atletas!E103="Adulto 82kg",19,IF(Atletas!E103="Adulto 90kg",20,IF(Atletas!E103="Adulto 100kg",21,IF(Atletas!E103="Adulto +100kg",22,""))))))))))))))))))))))))</f>
        <v/>
      </c>
      <c r="AT107" s="10" t="str">
        <f>IF(Atletas!F103="","",IF(Atletas!B103="Feminino",100,IF(Atletas!B103="Masculino",200,""))+(IF(Atletas!F103="Adulto 48kg",1,IF(Atletas!F103="Adulto 56kg",2,IF(Atletas!F103="Adulto 65kg",3,IF(Atletas!F103="Adulto 75kg",4,IF(Atletas!F103="Adulto +75kg",5,IF(Atletas!F103="Adulto 52kg",6,IF(Atletas!F103="Adulto 60kg",7,IF(Atletas!F103="Adulto 70kg",8,IF(Atletas!F103="Adulto 80kg",9,IF(Atletas!F103="Adulto 90kg",10,IF(Atletas!F103="Adulto +90kg",11,"")))))))))))))</f>
        <v/>
      </c>
      <c r="AY107" s="46" t="str">
        <f>IF(Atletas!G103="","",IF(Atletas!B103="Feminino",100,IF(Atletas!B103="Masculino",200,""))+(IF(Atletas!G103="Changquan Mirim",1,IF(Atletas!G103="Nanquan Mirim",2,IF(Atletas!G103="Taijiquan Mirim",3,IF(Atletas!G103="Changquan Grupo C",4,IF(Atletas!G103="Nanquan Grupo C",5,IF(Atletas!G103="Taijiquan Grupo C",6,IF(Atletas!G103="Changquan Grupo B",7,IF(Atletas!G103="Nanquan Grupo B",8,IF(Atletas!G103="Taijiquan Grupo B",9,IF(Atletas!G103="Changquan Grupo A",10,IF(Atletas!G103="Nanquan Grupo A",11,IF(Atletas!G103="Taijiquan Grupo A",12,IF(Atletas!G103="Changquan Opcional",13,IF(Atletas!G103="Nanquan Opcional",14,IF(Atletas!G103="Taijiquan Opcional",15,IF(Atletas!G103="Changquan Adulto",16,IF(Atletas!G103="Nanquan Adulto",17,IF(Atletas!G103="Taijiquan Adulto",18,""))))))))))))))))))))</f>
        <v/>
      </c>
      <c r="AZ107" s="46" t="str">
        <f>IF(Atletas!H103="","",IF(Atletas!B103="Feminino",100,IF(Atletas!B103="Masculino",200,""))+(IF(Atletas!H103="Daoshu Mirim",19,IF(Atletas!H103="Jianshu Mirim",20,IF(Atletas!H103="Nandao Mirim",21,IF(Atletas!H103="Taijijian Mirim",22,IF(Atletas!H103="Daoshu Grupo C",23,IF(Atletas!H103="Jianshu Grupo C",24,IF(Atletas!H103="Nandao Grupo C",25,IF(Atletas!H103="Taijijian Grupo C",26,IF(Atletas!H103="Daoshu Grupo B",27,IF(Atletas!H103="Jianshu Grupo B",28,IF(Atletas!H103="Nandao Grupo B",29,IF(Atletas!H103="Taijijian Grupo B",30,IF(Atletas!H103="Daoshu Grupo A",31,IF(Atletas!H103="Jianshu Grupo A",32,IF(Atletas!H103="Nandao Grupo A",33,IF(Atletas!H103="Taijijian Grupo A",34,IF(Atletas!H103="Daoshu Opcional",35,IF(Atletas!H103="Jianshu Opcional",36,IF(Atletas!H103="Nandao Opcional",37,IF(Atletas!H103="Taijijian Opcional",38,IF(Atletas!H103="Daoshu Adulto",39,IF(Atletas!H103="Jianshu Adulto",40,IF(Atletas!H103="Nandao Adulto",41,IF(Atletas!H103="Taijijian Adulto",42,""))))))))))))))))))))))))))</f>
        <v/>
      </c>
      <c r="BA107" s="46" t="str">
        <f>IF(Atletas!I103="","",IF(Atletas!B103="Feminino",100,IF(Atletas!B103="Masculino",200,""))+(IF(Atletas!I103="Gunshu Mirim",43,IF(Atletas!I103="Qiangshu Mirim",44,IF(Atletas!I103="Nangun Mirim",45,IF(Atletas!I103="Gunshu Grupo C",46,IF(Atletas!I103="Qiangshu Grupo C",47,IF(Atletas!I103="Nangun Grupo C",48,IF(Atletas!I103="Gunshu Grupo B",49,IF(Atletas!I103="Qiangshu Grupo B",50,IF(Atletas!I103="Nangun Grupo B",51,IF(Atletas!I103="Gunshu Grupo A",52,IF(Atletas!I103="Qiangshu Grupo A",53,IF(Atletas!I103="Nangun Grupo A",54,IF(Atletas!I103="Gunshu Opcional",55,IF(Atletas!I103="Qiangshu Opcional",56,IF(Atletas!I103="Nangun Opcional",57,IF(Atletas!I103="Gunshu Adulto",58,IF(Atletas!I103="Qiangshu Adulto",59,IF(Atletas!I103="Nangun Adulto",60,""))))))))))))))))))))</f>
        <v/>
      </c>
      <c r="BF107" s="52" t="str">
        <f>IF(Atletas!J103="","",IF(Atletas!B103="Feminino",100,IF(Atletas!B103="Masculino",200,""))+(IF(Atletas!J103="Equipe 1 Grupo B",1,IF(Atletas!J103="Equipe 2 Grupo B",2,IF(Atletas!J103="Equipe 1 Grupo A",3,IF(Atletas!J103="Equipe 2 Grupo A",4,IF(Atletas!J103="Equipe 1 Adulto",5,IF(Atletas!J103="Equipe 2 Adulto",6,""))))))))</f>
        <v/>
      </c>
      <c r="BK107" s="52" t="str">
        <f>IF(Atletas!K103="","",IF(Atletas!W103&lt;&gt;"",10000,0)+(IF(Atletas!B103="Feminino",1000,IF(Atletas!B103="Masculino",2000,""))+IF(Atletas!K103="Choylayfut A",1,IF(Atletas!K103="Hunggar A",2,IF(Atletas!K103="Wuzuquan A",3,IF(Atletas!K103="Wingchun A",4,IF(Atletas!K103="Outra Mão de Sul A",5,IF(Atletas!K103="Choylayfut B",6,IF(Atletas!K103="Hunggar B",7,IF(Atletas!K103="Wuzuquan B",8,IF(Atletas!K103="Wingchun B",9,IF(Atletas!K103="Outra Mão de Sul B",10,IF(Atletas!K103="Choylayfut C",11,IF(Atletas!K103="Hunggar C",12,IF(Atletas!K103="Wuzuquan C",13,IF(Atletas!K103="Wingchun C",14,IF(Atletas!K103="Outra Mão de Sul C",15,IF(Atletas!K103="Choylayfut D",16,IF(Atletas!K103="Hunggar D",17,IF(Atletas!K103="Wuzuquan D",18,IF(Atletas!K103="Wingchun D",19,IF(Atletas!K103="Outra Mão de Sul D",20,IF(Atletas!K103="Choylayfut E",21,IF(Atletas!K103="Hunggar E",22,IF(Atletas!K103="Wuzuquan E",23,IF(Atletas!K103="Wingchun E",24,IF(Atletas!K103="Outra Mão de Sul E",25,IF(Atletas!K103="Choylayfut F",26,IF(Atletas!K103="Hunggar F",27,IF(Atletas!K103="Wuzuquan F",28,IF(Atletas!K103="Wingchun F",29,IF(Atletas!K103="Outra Mão de Sul F",30,""))))))))))))))))))))))))))))))))</f>
        <v/>
      </c>
      <c r="BL107" s="52" t="str">
        <f>IF(Atletas!L103="","",IF(Atletas!W103&lt;&gt;"",10000,0)+(IF(Atletas!B103="Feminino",1000,IF(Atletas!B103="Masculino",2000,""))+(IF(Atletas!L103="Chaquan A",101,IF(Atletas!L103="Emeiquan A",102,IF(Atletas!L103="Fanziquan A",103,IF(Atletas!L103="Huaquan A",104,IF(Atletas!L103="Hongquan A",105,IF(Atletas!L103="Paochui A",106,IF(Atletas!L103="Piguaquan A",107,IF(Atletas!L103="Shaolinquan A",108,IF(Atletas!L103="Tanglangquan A",109,IF(Atletas!L103="Yinzhaophai A",110,IF(Atletas!L103="Tongbeiquan A",111,IF(Atletas!L103="Wudangquan A",112,IF(Atletas!L103="Outros Estilos A",113,IF(Atletas!L103="Chaquan B",114,IF(Atletas!L103="Emeiquan B",115,IF(Atletas!L103="Fanziquan B",116,IF(Atletas!L103="Huaquan B",117,IF(Atletas!L103="Hongquan B",118,IF(Atletas!L103="Paochui B",119,IF(Atletas!L103="Piguaquan B",120,IF(Atletas!L103="Shaolinquan B",121,IF(Atletas!L103="Tanglangquan B",122,IF(Atletas!L103="Yinzhaophai B",123,IF(Atletas!L103="Tongbeiquan B",124,IF(Atletas!L103="Wudangquan B",125,IF(Atletas!L103="Outros Estilos B",126,IF(Atletas!L103="Chaquan C",127,IF(Atletas!L103="Emeiquan C",128,IF(Atletas!L103="Fanziquan C",129,IF(Atletas!L103="Huaquan C",130,IF(Atletas!L103="Hongquan C",131,IF(Atletas!L103="Paochui C",132,IF(Atletas!L103="Piguaquan C",133,IF(Atletas!L103="Shaolinquan C",134,IF(Atletas!L103="Tanglangquan C",135,IF(Atletas!L103="Yinzhaophai C",136,IF(Atletas!L103="Tongbeiquan C",137,IF(Atletas!L103="Wudangquan C",138,IF(Atletas!L103="Outros Estilos C",139,0))))))))))))))))))))))))))))))))))))))))))</f>
        <v/>
      </c>
      <c r="BM107" s="52" t="str">
        <f>IF(Atletas!L103="","",IF(Atletas!W103&lt;&gt;"",10000,0)+(IF(Atletas!B103="Feminino",1000,IF(Atletas!B103="Masculino",2000,""))+(IF(Atletas!L103="Chaquan D",140,IF(Atletas!L103="Emeiquan D",141,IF(Atletas!L103="Fanziquan D",142,IF(Atletas!L103="Huaquan D",143,IF(Atletas!L103="Hongquan D",144,IF(Atletas!L103="Paochui D",145,IF(Atletas!L103="Piguaquan D",146,IF(Atletas!L103="Shaolinquan D",147,IF(Atletas!L103="Tanglangquan D",148,IF(Atletas!L103="Yinzhaophai D",149,IF(Atletas!L103="Tongbeiquan D",150,IF(Atletas!L103="Wudangquan D",151,IF(Atletas!L103="Outros Estilos D",152,IF(Atletas!L103="Chaquan E",153,IF(Atletas!L103="Emeiquan E",154,IF(Atletas!L103="Fanziquan E",155,IF(Atletas!L103="Huaquan E",156,IF(Atletas!L103="Hongquan E",157,IF(Atletas!L103="Paochui E",158,IF(Atletas!L103="Piguaquan E",159,IF(Atletas!L103="Shaolinquan E",160,IF(Atletas!L103="Tanglangquan E",161,IF(Atletas!L103="Yinzhaophai E",162,IF(Atletas!L103="Tongbeiquan E",163,IF(Atletas!L103="Wudangquan E",164,IF(Atletas!L103="Outros Estilos E",165,IF(Atletas!L103="Chaquan F",166,IF(Atletas!L103="Emeiquan F",167,IF(Atletas!L103="Fanziquan F",168,IF(Atletas!L103="Huaquan F",169,IF(Atletas!L103="Hongquan F",170,IF(Atletas!L103="Paochui F",171,IF(Atletas!L103="Piguaquan F",172,IF(Atletas!L103="Shaolinquan F",173,IF(Atletas!L103="Tanglangquan F",174,IF(Atletas!L103="Yinzhaophai F",175,IF(Atletas!L103="Tongbeiquan F",176,IF(Atletas!L103="Wudangquan F",177,IF(Atletas!L103="Outros Estilos F",178,0))))))))))))))))))))))))))))))))))))))))))</f>
        <v/>
      </c>
      <c r="BN107" s="52" t="str">
        <f>IF(Atletas!M103="","",IF(Atletas!W103&lt;&gt;"",10000,0)+(IF(Atletas!B103="Feminino",1000,IF(Atletas!B103="Masculino",2000,""))+(IF(Atletas!M103="Ditangquan A",201,IF(Atletas!M103="Houquan A",202,IF(Atletas!M103="Zuiquan A",203,IF(Atletas!M103="Ditangquan B",204,IF(Atletas!M103="Houquan B",205,IF(Atletas!M103="Zuiquan B",206,IF(Atletas!M103="Ditangquan C",207,IF(Atletas!M103="Houquan C",208,IF(Atletas!M103="Zuiquan C",209,IF(Atletas!M103="Ditangquan D",210,IF(Atletas!M103="Houquan D",211,IF(Atletas!M103="Zuiquan D",212,IF(Atletas!M103="Ditangquan E",213,IF(Atletas!M103="Houquan E",214,IF(Atletas!M103="Zuiquan E",215,IF(Atletas!M103="Ditangquan F",216,IF(Atletas!M103="Houquan F",217,IF(Atletas!M103="Zuiquan F",218,"")))))))))))))))))))))</f>
        <v/>
      </c>
      <c r="BO107" s="52" t="str">
        <f>IF(Atletas!N103="","",IF(Atletas!W103&lt;&gt;"",10000,0)+IF(Atletas!B103="Feminino",1000,IF(Atletas!B103="Masculino",2000,""))+IF(Atletas!N103="Yang A",301,IF(Atletas!N103="Chen A",30,IF(Atletas!N103="Sun A",303,IF(Atletas!N103="Wu A",304,IF(Atletas!N103="Wu-Hao A",305,IF(Atletas!N103="Outro Taijiquan A",306,IF(Atletas!N103="Yang B",307,IF(Atletas!N103="Chen B",308,IF(Atletas!N103="Sun B",309,IF(Atletas!N103="Wu B",310,IF(Atletas!N103="Wu-Hao B",311,IF(Atletas!N103="Outro Taijiquan B",312,IF(Atletas!N103="Yang C",313,IF(Atletas!N103="Chen C",314,IF(Atletas!N103="Sun C",315,IF(Atletas!N103="Wu C",316,IF(Atletas!N103="Wu-Hao C",317,IF(Atletas!N103="Outro Taijiquan C",318,IF(Atletas!N103="Yang D",319,IF(Atletas!N103="Chen D",320,IF(Atletas!N103="Sun D",321,IF(Atletas!N103="Wu D",322,IF(Atletas!N103="Wu-Hao D",323,IF(Atletas!N103="Outro Taijiquan D",324,IF(Atletas!N103="Yang E",325,IF(Atletas!N103="Chen E",326,IF(Atletas!N103="Sun E",327,IF(Atletas!N103="Wu E",328,IF(Atletas!N103="Wu-Hao E",329,IF(Atletas!N103="Outro Taijiquan E",330,IF(Atletas!N103="Yang F",331,IF(Atletas!N103="Chen F",332,IF(Atletas!N103="Sun F",333,IF(Atletas!N103="Wu F",334,IF(Atletas!N103="Wu-Hao F",335,IF(Atletas!N103="Outro Taijiquan F",336,"")))))))))))))))))))))))))))))))))))))</f>
        <v/>
      </c>
      <c r="BP107" s="52" t="str">
        <f>IF(Atletas!O103="","",IF(Atletas!W103&lt;&gt;"",10000,0)+IF(Atletas!B103="Feminino",1000,IF(Atletas!B103="Masculino",2000,""))+IF(OR(Atletas!O103="Yang 26 A",Atletas!O103="Yang 40 A"),401,IF(OR(Atletas!O103="Chen 25 A",Atletas!O103="Chen 36 A",Atletas!O103="Chen 56 A"),402,IF(Atletas!O103="Sun 73 A",403,IF(Atletas!O103="Wu 45 A",404,IF(Atletas!O103="Wu-Hao 46 A",405,IF(OR(Atletas!O103="Taijiquan 16 A",Atletas!O103="Taijiquan 24 A",Atletas!O103="Taijiquan 32 A",Atletas!O103="Taijiquan 42 A"),406,IF(OR(Atletas!O103="Yang 26 B",Atletas!O103="Yang 40 B"),407,IF(OR(Atletas!O103="Chen 25 B",Atletas!O103="Chen 36 B",Atletas!O103="Chen 56 B"),408,IF(Atletas!O103="Sun 73 B",409,IF(Atletas!O103="Wu 45 B",410,IF(Atletas!O103="Wu-Hao 46 B",411,IF(OR(Atletas!O103="Taijiquan 16 B",Atletas!O103="Taijiquan 24 B",Atletas!O103="Taijiquan 32 B",Atletas!O103="Taijiquan 42 B"),412,IF(OR(Atletas!O103="Yang 26 C",Atletas!O103="Yang 40 C"),413,IF(OR(Atletas!O103="Chen 25 C",Atletas!O103="Chen 36 C",Atletas!O103="Chen 56 C"),414,IF(Atletas!O103="Sun 73 C",415,IF(Atletas!O103="Wu 45 C",416,IF(Atletas!O103="Wu-Hao 46 C",417,IF(OR(Atletas!O103="Taijiquan 16 C",Atletas!O103="Taijiquan 24 C",Atletas!O103="Taijiquan 32 C",Atletas!O103="Taijiquan 42 C"),418,0)))))))))))))))))))</f>
        <v/>
      </c>
      <c r="BQ107" s="52" t="str">
        <f>IF(Atletas!O103="","",IF(Atletas!W103&lt;&gt;"",10000,0)+IF(Atletas!B103="Feminino",1000,IF(Atletas!B103="Masculino",2000,""))+IF(OR(Atletas!O103="Yang 26 D",Atletas!O103="Yang 40 D"),419,IF(OR(Atletas!O103="Chen 25 D",Atletas!O103="Chen 36 D",Atletas!O103="Chen 56 D"),420,IF(Atletas!O103="Sun 73 D",421,IF(Atletas!O103="Wu 45 D",422,IF(Atletas!O103="Wu-Hao 46 D",423,IF(OR(Atletas!O103="Taijiquan 16 D",Atletas!O103="Taijiquan 24 D",Atletas!O103="Taijiquan 32 D",Atletas!O103="Taijiquan 42 D"),424,IF(OR(Atletas!O103="Yang 26 E",Atletas!O103="Yang 40 E"),425,IF(OR(Atletas!O103="Chen 25 E",Atletas!O103="Chen 36 E",Atletas!O103="Chen 56 E"),426,IF(Atletas!O103="Sun 73 E",427,IF(Atletas!O103="Wu 45 E",428,IF(Atletas!O103="Wu-Hao 46 E",429,IF(OR(Atletas!O103="Taijiquan 16 E",Atletas!O103="Taijiquan 24 E",Atletas!O103="Taijiquan 32 E",Atletas!O103="Taijiquan 42 E"),430,IF(OR(Atletas!O103="Yang 26 F",Atletas!O103="Yang 40 F"),431,IF(OR(Atletas!O103="Chen 25 F",Atletas!O103="Chen 36 F",Atletas!O103="Chen 56 F"),432,IF(Atletas!O103="Sun 73 F",433,IF(Atletas!O103="Wu 45 F",434,IF(Atletas!O103="Wu-Hao 46 F",435,IF(OR(Atletas!O103="Taijiquan 16 F",Atletas!O103="Taijiquan 24 F",Atletas!O103="Taijiquan 32 F",Atletas!O103="Taijiquan 42 F"),436,0)))))))))))))))))))</f>
        <v/>
      </c>
      <c r="BR107" s="52" t="str">
        <f>IF(Atletas!P103="","",IF(Atletas!W103&lt;&gt;"",10000,0)+IF(Atletas!B103="Feminino",1000,IF(Atletas!B103="Masculino",2000,""))+IF(Atletas!P103="Xingyiquan A",501,IF(Atletas!P103="Baguazhang A",502,IF(Atletas!P103="Outro Estilo Interno A",503,IF(Atletas!P103="Xingyiquan B",504,IF(Atletas!P103="Baguazhang B",505,IF(Atletas!P103="Outro Estilo Interno B",506,IF(Atletas!P103="Xingyiquan C",507,IF(Atletas!P103="Baguazhang C",508,IF(Atletas!P103="Outro Estilo Interno C",509,IF(Atletas!P103="Xingyiquan D",510,IF(Atletas!P103="Baguazhang D",511,IF(Atletas!P103="Outro Estilo Interno D",512,IF(Atletas!P103="Xingyiquan E",513,IF(Atletas!P103="Baguazhang E",514,IF(Atletas!P103="Outro Estilo Interno E",515,IF(Atletas!P103="Xingyiquan F",516,IF(Atletas!P103="Baguazhang F",517,IF(Atletas!P103="Outro Estilo Interno F",518, "")))))))))))))))))))</f>
        <v/>
      </c>
      <c r="BS107" s="52" t="str">
        <f>IF(Atletas!Q103="","",IF(Atletas!W103&lt;&gt;"",10000,0)+IF(Atletas!B103="Feminino",1000,IF(Atletas!B103="Masculino",2000,""))+IF(Atletas!Q103="Dao A",601,IF(Atletas!Q103="Jian A",602,IF(Atletas!Q103="Bishou A",603,IF(Atletas!Q103="Shan A",604,IF(Atletas!Q103="Outra Arma Curta A",605,IF(Atletas!Q103="Dao B",606,IF(Atletas!Q103="Jian B",607,IF(Atletas!Q103="Bishou B",608,IF(Atletas!Q103="Shan B",609,IF(Atletas!Q103="Outra Arma Curta B",610,IF(Atletas!Q103="Dao C",611,IF(Atletas!Q103="Jian C",612,IF(Atletas!Q103="Bishou C",613,IF(Atletas!Q103="Shan C",614,IF(Atletas!Q103="Outra Arma Curta C",615,IF(Atletas!Q103="Dao D",616,IF(Atletas!Q103="Jian D",617,IF(Atletas!Q103="Bishou D",618,IF(Atletas!Q103="Shan D",619,IF(Atletas!Q103="Outra Arma Curta D",620,IF(Atletas!Q103="Dao E",621,IF(Atletas!Q103="Jian E",622,IF(Atletas!Q103="Bishou E",623,IF(Atletas!Q103="Shan E",624,IF(Atletas!Q103="Outra Arma Curta E",625,IF(Atletas!Q103="Dao F",626,IF(Atletas!Q103="Jian F",627,IF(Atletas!Q103="Bishou F",628,IF(Atletas!Q103="Shan F",629,IF(Atletas!Q103="Outra Arma Curta F",630, "")))))))))))))))))))))))))))))))</f>
        <v/>
      </c>
      <c r="BT107" s="52" t="str">
        <f>IF(Atletas!R103="","",IF(Atletas!W103&lt;&gt;"",10000,0)+IF(Atletas!B103="Feminino",1000,IF(Atletas!B103="Masculino",2000,""))+IF(Atletas!R103="Gun A",701,IF(Atletas!R103="Qiang A",702,IF(Atletas!R103="Pudao / Guandao A",703,IF(Atletas!R103="Outra Arma Longa A",704,IF(Atletas!R103="Gun B",705,IF(Atletas!R103="Qiang B",706,IF(Atletas!R103="Pudao / Guandao B",707,IF(Atletas!R103="Outra Arma Longa B",708,IF(Atletas!R103="Gun C",709,IF(Atletas!R103="Qiang C",710,IF(Atletas!R103="Pudao / Guandao C",711,IF(Atletas!R103="Outra Arma Longa C",712,IF(Atletas!R103="Gun D",713,IF(Atletas!R103="Qiang D",714,IF(Atletas!R103="Pudao / Guandao D",715,IF(Atletas!R103="Outra Arma Longa D",716,IF(Atletas!R103="Gun E",717,IF(Atletas!R103="Qiang E",718,IF(Atletas!R103="Pudao / Guandao E",719,IF(Atletas!R103="Outra Arma Longa E",720,IF(Atletas!R103="Gun F",721,IF(Atletas!R103="Qiang F",722,IF(Atletas!R103="Pudao / Guandao F",723,IF(Atletas!R103="Outra Arma Longa F",724,"")))))))))))))))))))))))))</f>
        <v/>
      </c>
      <c r="BU107" s="52" t="str">
        <f>IF(Atletas!S103="","",IF(Atletas!W103&lt;&gt;"",10000,0)+IF(Atletas!B103="Feminino",1000,IF(Atletas!B103="Masculino",2000,""))+IF(Atletas!S103="Arma Dupla A",801,IF(Atletas!S103="Arma Maleável A",802,IF(Atletas!S103="Arma Dupla B",803,IF(Atletas!S103="Arma Maleável B",804,IF(Atletas!S103="Arma Dupla C",805,IF(Atletas!S103="Arma Maleável C",806,IF(Atletas!S103="Arma Dupla D",807,IF(Atletas!S103="Arma Maleável D",808,IF(Atletas!S103="Arma Dupla E",809,IF(Atletas!S103="Arma Maleável E",810,IF(Atletas!S103="Arma Dupla F",811,IF(Atletas!S103="Arma Maleável F",812, "")))))))))))))</f>
        <v/>
      </c>
      <c r="BV107" s="52" t="str">
        <f>IF(Atletas!T103="","",IF(Atletas!W103&lt;&gt;"",10000,0)+IF(Atletas!B103="Feminino",1000,IF(Atletas!B103="Masculino",2000,""))+IF(Atletas!T103="Taijijian Yang A",901,IF(Atletas!T103="Taijijian Chen A",902,IF(Atletas!T103="Taijijian Sun A",903,IF(Atletas!T103="Taijijian Wu A",904,IF(Atletas!T103="Taijijian Wu-Hao A",905,IF(Atletas!T103="Taijijian 32 A",906,IF(Atletas!T103="Taijijian 42 A",907,IF(Atletas!T103="Taijijian Yang B",908,IF(Atletas!T103="Taijijian Chen B",909,IF(Atletas!T103="Taijijian Sun B",910,IF(Atletas!T103="Taijijian Wu B",911,IF(Atletas!T103="Taijijian Wu-Hao B",912,IF(Atletas!T103="Taijijian 32 B",913,IF(Atletas!T103="Taijijian 42 B",914,IF(Atletas!T103="Taijijian Yang C",915,IF(Atletas!T103="Taijijian Chen C",916,IF(Atletas!T103="Taijijian Sun C",917,IF(Atletas!T103="Taijijian Wu C",918,IF(Atletas!T103="Taijijian Wu-Hao C",919,IF(Atletas!T103="Taijijian 32 C",920,IF(Atletas!T103="Taijijian 42 C",921,IF(Atletas!T103="Taijijian Yang D",922,IF(Atletas!T103="Taijijian Chen D",923,IF(Atletas!T103="Taijijian Sun D",924,IF(Atletas!T103="Taijijian Wu D",925,IF(Atletas!T103="Taijijian Wu-Hao D",926,IF(Atletas!T103="Taijijian 32 D",927,IF(Atletas!T103="Taijijian 42 D",928,IF(Atletas!T103="Taijijian Yang E",929,IF(Atletas!T103="Taijijian Chen E",930,IF(Atletas!T103="Taijijian Sun E",931,IF(Atletas!T103="Taijijian Wu E",932,IF(Atletas!T103="Taijijian Wu-Hao E",933,IF(Atletas!T103="Taijijian 32 E",934,IF(Atletas!T103="Taijijian 42 E",935,IF(Atletas!T103="Taijijian Yang F",936,IF(Atletas!T103="Taijijian Chen F",937,IF(Atletas!T103="Taijijian Sun F",938,IF(Atletas!T103="Taijijian Wu F",939,IF(Atletas!T103="Taijijian Wu-Hao F",940,IF(Atletas!T103="Taijijian 32 F",941,IF(Atletas!T103="Taijijian 42 F",942,"")))))))))))))))))))))))))))))))))))))))))))</f>
        <v/>
      </c>
      <c r="BW107" s="52" t="str">
        <f>IF(Atletas!U103="","",IF(Atletas!W103&lt;&gt;"",10000,0)+IF(Atletas!B103="Feminino",1000,IF(Atletas!B103="Masculino",2000,""))+IF(Atletas!T103="Taijijian 42 F",942,IF(Atletas!U103="Taijidao A",943,IF(Atletas!U103="Taijishan A",944,IF(Atletas!U103="Taijiqiang A",945,IF(Atletas!U103="Taijidao B",946,IF(Atletas!U103="Taijishan B",947,IF(Atletas!U103="Taijiqiang B",948,IF(Atletas!U103="Taijidao C",949,IF(Atletas!U103="Taijishan C",950,IF(Atletas!U103="Taijiqiang C",951,IF(Atletas!U103="Taijidao D",952,IF(Atletas!U103="Taijishan D",953,IF(Atletas!U103="Taijiqiang D",954,IF(Atletas!U103="Taijidao E",955,IF(Atletas!U103="Taijishan E",956,IF(Atletas!U103="Taijiqiang E",957,IF(Atletas!U103="Taijidao F",958,IF(Atletas!U103="Taijishan F",959,IF(Atletas!U103="Taijiqiang F",960))))))))))))))))))))</f>
        <v/>
      </c>
      <c r="BX107" s="64" t="str">
        <f>IF(BY107&lt;&gt;"","Paochui F","")</f>
        <v/>
      </c>
      <c r="BY107" s="64" t="str">
        <f>IF(COUNTIF(BK:BW,1171)&gt;0,COUNTIF(BK:BW,1171),"")</f>
        <v/>
      </c>
      <c r="BZ107" s="64" t="str">
        <f>IF(CA107&lt;&gt;"","Paochui F","")</f>
        <v/>
      </c>
      <c r="CA107" s="64" t="str">
        <f>IF(COUNTIF(BK:BW,2171)&gt;0,COUNTIF(BK:BW,2171),"")</f>
        <v/>
      </c>
      <c r="CB107" s="64" t="str">
        <f>IF(CC107&lt;&gt;"","Paochui F","")</f>
        <v/>
      </c>
      <c r="CC107" s="64" t="str">
        <f>IF(COUNTIF(BK:BW,11171)&gt;0,COUNTIF(BK:BW,11171),"")</f>
        <v/>
      </c>
      <c r="CD107" s="64" t="str">
        <f>IF(CE107&lt;&gt;"","Paochui F","")</f>
        <v/>
      </c>
      <c r="CE107" s="64" t="str">
        <f>IF(COUNTIF(BK:BW,12171)&gt;0,COUNTIF(BK:BW,12171),"")</f>
        <v/>
      </c>
      <c r="CF107" s="52" t="str">
        <f xml:space="preserve"> IF(Atletas!V103="","",IF(Atletas!V103="Duilian de Mãos AB - Equipe 1",1,IF(Atletas!V103="Duilian de Mãos AB - Equipe 2",2,IF(Atletas!V103="Duilian de Armas AB - Equipe 1",3,IF(Atletas!V103="Duilian de Armas AB - Equipe 2",4,IF(Atletas!V103="Duilian de Tuishou - Equipe 1",5,IF(Atletas!V103="Duilian de Tuishou - Equipe 2",6,IF(Atletas!V103="Grupo Externo AB - Equipe 1",7,IF(Atletas!V103="Grupo Externo AB - Equipe 2",8,IF(Atletas!V103="Grupo Interno AB - Equipe 1",9,IF(Atletas!V103="Grupo Interno AB - Equipe 2",10,IF(Atletas!V103="Duilian de Mãos CD - Equipe 1",11,IF(Atletas!V103="Duilian de Mãos CD - Equipe 2",12,IF(Atletas!V103="Duilian de Armas CD - Equipe 1",13,IF(Atletas!V103="Duilian de Armas CD - Equipe 2",14,IF(Atletas!V103="Duilian de Tuishou - Equipe 1",15,IF(Atletas!V103="Duilian de Tuishou - Equipe 2",16,IF(Atletas!V103="Grupo Externo CDEF - Equipe 1",17,IF(Atletas!V103="Grupo Externo CDEF - Equipe 2",18,IF(Atletas!V103="Grupo Interno CDEF - Equipe 1",19,IF(Atletas!V103="Grupo Interno CDEF - Equipe 2",20,IF(Atletas!V103="Duilian de Mãos EF - Equipe 1",21,IF(Atletas!V103="Duilian de Mãos EF - Equipe 2",22,IF(Atletas!V103="Duilian de Armas EF - Equipe 1",23,IF(Atletas!V103="Duilian de Armas EF - Equipe 2",24,IF(Atletas!V103="Duilian de Tuishou - Equipe 1",25,IF(Atletas!V103="Duilian de Tuishou - Equipe 2",26,"")))))))))))))))))))))))))))</f>
        <v/>
      </c>
    </row>
    <row r="108" spans="2:84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 t="str">
        <f t="array" ref="V108">IFERROR(INDEX(BX$7:BX$336,SMALL(IF(BX$7:BX$336&lt;&gt;"",ROW(BX$7:BX$336)-ROW(BX$7)+1),ROWS(BX$7:BX107))),"")</f>
        <v/>
      </c>
      <c r="W108" s="4" t="str">
        <f t="array" ref="W108">IFERROR(INDEX(BY$7:BY$336,SMALL(IF(BY$7:BY$336&lt;&gt;"",ROW(BY$7:BY$336)-ROW(BY$7)+1),ROWS(BY$7:BY107))),"")</f>
        <v/>
      </c>
      <c r="X108" s="4" t="str">
        <f t="array" ref="X108">IFERROR(INDEX(BZ$7:BZ$336,SMALL(IF(BZ$7:BZ$336&lt;&gt;"",ROW(BZ$7:BZ$336)-ROW(BZ$7)+1),ROWS(BZ$7:BZ107))),"")</f>
        <v/>
      </c>
      <c r="Y108" s="4" t="str">
        <f t="array" ref="Y108">IFERROR(INDEX(CA$7:CA$336,SMALL(IF(CA$7:CA$336&lt;&gt;"",ROW(CA$7:CA$336)-ROW(CA$7)+1),ROWS(CA$7:CA107))),"")</f>
        <v/>
      </c>
      <c r="Z108" s="4" t="str">
        <f t="array" ref="Z108">IFERROR(INDEX(CB$7:CB$378,SMALL(IF(CB$7:CB$378&lt;&gt;"",ROW(CB$7:CB$378)-ROW(CB$7)+1),ROWS(CB$7:CB107))),"")</f>
        <v/>
      </c>
      <c r="AA108" s="4" t="str">
        <f t="array" ref="AA108">IFERROR(INDEX(CC$7:CC$378,SMALL(IF(CC$7:CC$378&lt;&gt;"",ROW(CC$7:CC$378)-ROW(CC$7)+1),ROWS(CC$7:CC107))),"")</f>
        <v/>
      </c>
      <c r="AB108" s="4" t="str">
        <f t="array" ref="AB108">IFERROR(INDEX(CD$7:CD$378,SMALL(IF(CD$7:CD$378&lt;&gt;"",ROW(CD$7:CD$378)-ROW(CD$7)+1),ROWS(CD$7:CD107))),"")</f>
        <v/>
      </c>
      <c r="AC108" s="4" t="str">
        <f t="array" ref="AC108">IFERROR(INDEX(CE$7:CE$378,SMALL(IF(CE$7:CE$378&lt;&gt;"",ROW(CE$7:CE$378)-ROW(CE$7)+1),ROWS(CE$7:CE107))),"")</f>
        <v/>
      </c>
      <c r="AD108" s="4"/>
      <c r="AE108" s="4"/>
      <c r="AF108" s="4"/>
      <c r="AG108" s="4"/>
      <c r="AH108" s="4"/>
      <c r="AI108" s="4"/>
      <c r="AJ108" s="46" t="str">
        <f>IF(Atletas!D104="","",IF(Atletas!B104="Feminino",100,IF(Atletas!B104="Masculino",200,""))+(IF(Atletas!D104="Infantil 39kg",1,IF(Atletas!D104="Infantil 42kg",2,IF(Atletas!D104="Infantil 45kg",3,IF(Atletas!D104="Infantil 48kg",4,IF(Atletas!D104="Infantil 52kg",5,IF(Atletas!D104="Infantil 56kg",6,IF(Atletas!D104="Infantil 60kg",7,IF(Atletas!D104="Juvenil 48kg",8,IF(Atletas!D104="Juvenil 52kg",9,IF(Atletas!D104="Juvenil 56kg",10,IF(Atletas!D104="Juvenil 60kg",11,IF(Atletas!D104="Juvenil 65kg",12,IF(Atletas!D104="Juvenil 70kg",13,IF(Atletas!D104="Juvenil 75kg",14,IF(Atletas!D104="Juvenil 80kg",15,IF(Atletas!D104="Adulto 48kg",16,IF(Atletas!D104="Adulto 52kg",17,IF(Atletas!D104="Adulto 56kg",18,IF(Atletas!D104="Adulto 60kg",19,IF(Atletas!D104="Adulto 65kg",20,IF(Atletas!D104="Adulto 70kg",21,IF(Atletas!D104="Adulto 75kg",22,IF(Atletas!D104="Adulto 80kg",23,IF(Atletas!D104="Adulto 85kg",24,IF(Atletas!D104="Adulto 90kg",25,IF(Atletas!D104="Adulto +90kg",26,""))))))))))))))))))))))))))))</f>
        <v/>
      </c>
      <c r="AO108" s="10" t="str">
        <f>IF(Atletas!E104="","",IF(Atletas!B104="Feminino",100,IF(Atletas!B104="Masculino",200,""))+(IF(Atletas!E104="Juvenil 44kg",1,IF(Atletas!E104="Juvenil 48kg",2,IF(Atletas!E104="Juvenil 52kg",3,IF(Atletas!E104="Juvenil 56kg",4,IF(Atletas!E104="Juvenil 60kg",5,IF(Atletas!E104="Juvenil 65kg",6,IF(Atletas!E104="Juvenil 70kg",7,IF(Atletas!E104="Juvenil 75kg",8,IF(Atletas!E104="Juvenil 82kg",9,IF(Atletas!E104="Juvenil 90kg",10,IF(Atletas!E104="Juvenil 100kg",11,IF(Atletas!E104="Adulto 48kg",12,IF(Atletas!E104="Adulto 52kg",13,IF(Atletas!E104="Adulto 56kg",14,IF(Atletas!E104="Adulto 60kg",15,IF(Atletas!E104="Adulto 65kg",16,IF(Atletas!E104="Adulto 70kg",17,IF(Atletas!E104="Adulto 75kg",18,IF(Atletas!E104="Adulto 82kg",19,IF(Atletas!E104="Adulto 90kg",20,IF(Atletas!E104="Adulto 100kg",21,IF(Atletas!E104="Adulto +100kg",22,""))))))))))))))))))))))))</f>
        <v/>
      </c>
      <c r="AT108" s="10" t="str">
        <f>IF(Atletas!F104="","",IF(Atletas!B104="Feminino",100,IF(Atletas!B104="Masculino",200,""))+(IF(Atletas!F104="Adulto 48kg",1,IF(Atletas!F104="Adulto 56kg",2,IF(Atletas!F104="Adulto 65kg",3,IF(Atletas!F104="Adulto 75kg",4,IF(Atletas!F104="Adulto +75kg",5,IF(Atletas!F104="Adulto 52kg",6,IF(Atletas!F104="Adulto 60kg",7,IF(Atletas!F104="Adulto 70kg",8,IF(Atletas!F104="Adulto 80kg",9,IF(Atletas!F104="Adulto 90kg",10,IF(Atletas!F104="Adulto +90kg",11,"")))))))))))))</f>
        <v/>
      </c>
      <c r="AY108" s="46" t="str">
        <f>IF(Atletas!G104="","",IF(Atletas!B104="Feminino",100,IF(Atletas!B104="Masculino",200,""))+(IF(Atletas!G104="Changquan Mirim",1,IF(Atletas!G104="Nanquan Mirim",2,IF(Atletas!G104="Taijiquan Mirim",3,IF(Atletas!G104="Changquan Grupo C",4,IF(Atletas!G104="Nanquan Grupo C",5,IF(Atletas!G104="Taijiquan Grupo C",6,IF(Atletas!G104="Changquan Grupo B",7,IF(Atletas!G104="Nanquan Grupo B",8,IF(Atletas!G104="Taijiquan Grupo B",9,IF(Atletas!G104="Changquan Grupo A",10,IF(Atletas!G104="Nanquan Grupo A",11,IF(Atletas!G104="Taijiquan Grupo A",12,IF(Atletas!G104="Changquan Opcional",13,IF(Atletas!G104="Nanquan Opcional",14,IF(Atletas!G104="Taijiquan Opcional",15,IF(Atletas!G104="Changquan Adulto",16,IF(Atletas!G104="Nanquan Adulto",17,IF(Atletas!G104="Taijiquan Adulto",18,""))))))))))))))))))))</f>
        <v/>
      </c>
      <c r="AZ108" s="46" t="str">
        <f>IF(Atletas!H104="","",IF(Atletas!B104="Feminino",100,IF(Atletas!B104="Masculino",200,""))+(IF(Atletas!H104="Daoshu Mirim",19,IF(Atletas!H104="Jianshu Mirim",20,IF(Atletas!H104="Nandao Mirim",21,IF(Atletas!H104="Taijijian Mirim",22,IF(Atletas!H104="Daoshu Grupo C",23,IF(Atletas!H104="Jianshu Grupo C",24,IF(Atletas!H104="Nandao Grupo C",25,IF(Atletas!H104="Taijijian Grupo C",26,IF(Atletas!H104="Daoshu Grupo B",27,IF(Atletas!H104="Jianshu Grupo B",28,IF(Atletas!H104="Nandao Grupo B",29,IF(Atletas!H104="Taijijian Grupo B",30,IF(Atletas!H104="Daoshu Grupo A",31,IF(Atletas!H104="Jianshu Grupo A",32,IF(Atletas!H104="Nandao Grupo A",33,IF(Atletas!H104="Taijijian Grupo A",34,IF(Atletas!H104="Daoshu Opcional",35,IF(Atletas!H104="Jianshu Opcional",36,IF(Atletas!H104="Nandao Opcional",37,IF(Atletas!H104="Taijijian Opcional",38,IF(Atletas!H104="Daoshu Adulto",39,IF(Atletas!H104="Jianshu Adulto",40,IF(Atletas!H104="Nandao Adulto",41,IF(Atletas!H104="Taijijian Adulto",42,""))))))))))))))))))))))))))</f>
        <v/>
      </c>
      <c r="BA108" s="46" t="str">
        <f>IF(Atletas!I104="","",IF(Atletas!B104="Feminino",100,IF(Atletas!B104="Masculino",200,""))+(IF(Atletas!I104="Gunshu Mirim",43,IF(Atletas!I104="Qiangshu Mirim",44,IF(Atletas!I104="Nangun Mirim",45,IF(Atletas!I104="Gunshu Grupo C",46,IF(Atletas!I104="Qiangshu Grupo C",47,IF(Atletas!I104="Nangun Grupo C",48,IF(Atletas!I104="Gunshu Grupo B",49,IF(Atletas!I104="Qiangshu Grupo B",50,IF(Atletas!I104="Nangun Grupo B",51,IF(Atletas!I104="Gunshu Grupo A",52,IF(Atletas!I104="Qiangshu Grupo A",53,IF(Atletas!I104="Nangun Grupo A",54,IF(Atletas!I104="Gunshu Opcional",55,IF(Atletas!I104="Qiangshu Opcional",56,IF(Atletas!I104="Nangun Opcional",57,IF(Atletas!I104="Gunshu Adulto",58,IF(Atletas!I104="Qiangshu Adulto",59,IF(Atletas!I104="Nangun Adulto",60,""))))))))))))))))))))</f>
        <v/>
      </c>
      <c r="BF108" s="52" t="str">
        <f>IF(Atletas!J104="","",IF(Atletas!B104="Feminino",100,IF(Atletas!B104="Masculino",200,""))+(IF(Atletas!J104="Equipe 1 Grupo B",1,IF(Atletas!J104="Equipe 2 Grupo B",2,IF(Atletas!J104="Equipe 1 Grupo A",3,IF(Atletas!J104="Equipe 2 Grupo A",4,IF(Atletas!J104="Equipe 1 Adulto",5,IF(Atletas!J104="Equipe 2 Adulto",6,""))))))))</f>
        <v/>
      </c>
      <c r="BK108" s="52" t="str">
        <f>IF(Atletas!K104="","",IF(Atletas!W104&lt;&gt;"",10000,0)+(IF(Atletas!B104="Feminino",1000,IF(Atletas!B104="Masculino",2000,""))+IF(Atletas!K104="Choylayfut A",1,IF(Atletas!K104="Hunggar A",2,IF(Atletas!K104="Wuzuquan A",3,IF(Atletas!K104="Wingchun A",4,IF(Atletas!K104="Outra Mão de Sul A",5,IF(Atletas!K104="Choylayfut B",6,IF(Atletas!K104="Hunggar B",7,IF(Atletas!K104="Wuzuquan B",8,IF(Atletas!K104="Wingchun B",9,IF(Atletas!K104="Outra Mão de Sul B",10,IF(Atletas!K104="Choylayfut C",11,IF(Atletas!K104="Hunggar C",12,IF(Atletas!K104="Wuzuquan C",13,IF(Atletas!K104="Wingchun C",14,IF(Atletas!K104="Outra Mão de Sul C",15,IF(Atletas!K104="Choylayfut D",16,IF(Atletas!K104="Hunggar D",17,IF(Atletas!K104="Wuzuquan D",18,IF(Atletas!K104="Wingchun D",19,IF(Atletas!K104="Outra Mão de Sul D",20,IF(Atletas!K104="Choylayfut E",21,IF(Atletas!K104="Hunggar E",22,IF(Atletas!K104="Wuzuquan E",23,IF(Atletas!K104="Wingchun E",24,IF(Atletas!K104="Outra Mão de Sul E",25,IF(Atletas!K104="Choylayfut F",26,IF(Atletas!K104="Hunggar F",27,IF(Atletas!K104="Wuzuquan F",28,IF(Atletas!K104="Wingchun F",29,IF(Atletas!K104="Outra Mão de Sul F",30,""))))))))))))))))))))))))))))))))</f>
        <v/>
      </c>
      <c r="BL108" s="52" t="str">
        <f>IF(Atletas!L104="","",IF(Atletas!W104&lt;&gt;"",10000,0)+(IF(Atletas!B104="Feminino",1000,IF(Atletas!B104="Masculino",2000,""))+(IF(Atletas!L104="Chaquan A",101,IF(Atletas!L104="Emeiquan A",102,IF(Atletas!L104="Fanziquan A",103,IF(Atletas!L104="Huaquan A",104,IF(Atletas!L104="Hongquan A",105,IF(Atletas!L104="Paochui A",106,IF(Atletas!L104="Piguaquan A",107,IF(Atletas!L104="Shaolinquan A",108,IF(Atletas!L104="Tanglangquan A",109,IF(Atletas!L104="Yinzhaophai A",110,IF(Atletas!L104="Tongbeiquan A",111,IF(Atletas!L104="Wudangquan A",112,IF(Atletas!L104="Outros Estilos A",113,IF(Atletas!L104="Chaquan B",114,IF(Atletas!L104="Emeiquan B",115,IF(Atletas!L104="Fanziquan B",116,IF(Atletas!L104="Huaquan B",117,IF(Atletas!L104="Hongquan B",118,IF(Atletas!L104="Paochui B",119,IF(Atletas!L104="Piguaquan B",120,IF(Atletas!L104="Shaolinquan B",121,IF(Atletas!L104="Tanglangquan B",122,IF(Atletas!L104="Yinzhaophai B",123,IF(Atletas!L104="Tongbeiquan B",124,IF(Atletas!L104="Wudangquan B",125,IF(Atletas!L104="Outros Estilos B",126,IF(Atletas!L104="Chaquan C",127,IF(Atletas!L104="Emeiquan C",128,IF(Atletas!L104="Fanziquan C",129,IF(Atletas!L104="Huaquan C",130,IF(Atletas!L104="Hongquan C",131,IF(Atletas!L104="Paochui C",132,IF(Atletas!L104="Piguaquan C",133,IF(Atletas!L104="Shaolinquan C",134,IF(Atletas!L104="Tanglangquan C",135,IF(Atletas!L104="Yinzhaophai C",136,IF(Atletas!L104="Tongbeiquan C",137,IF(Atletas!L104="Wudangquan C",138,IF(Atletas!L104="Outros Estilos C",139,0))))))))))))))))))))))))))))))))))))))))))</f>
        <v/>
      </c>
      <c r="BM108" s="52" t="str">
        <f>IF(Atletas!L104="","",IF(Atletas!W104&lt;&gt;"",10000,0)+(IF(Atletas!B104="Feminino",1000,IF(Atletas!B104="Masculino",2000,""))+(IF(Atletas!L104="Chaquan D",140,IF(Atletas!L104="Emeiquan D",141,IF(Atletas!L104="Fanziquan D",142,IF(Atletas!L104="Huaquan D",143,IF(Atletas!L104="Hongquan D",144,IF(Atletas!L104="Paochui D",145,IF(Atletas!L104="Piguaquan D",146,IF(Atletas!L104="Shaolinquan D",147,IF(Atletas!L104="Tanglangquan D",148,IF(Atletas!L104="Yinzhaophai D",149,IF(Atletas!L104="Tongbeiquan D",150,IF(Atletas!L104="Wudangquan D",151,IF(Atletas!L104="Outros Estilos D",152,IF(Atletas!L104="Chaquan E",153,IF(Atletas!L104="Emeiquan E",154,IF(Atletas!L104="Fanziquan E",155,IF(Atletas!L104="Huaquan E",156,IF(Atletas!L104="Hongquan E",157,IF(Atletas!L104="Paochui E",158,IF(Atletas!L104="Piguaquan E",159,IF(Atletas!L104="Shaolinquan E",160,IF(Atletas!L104="Tanglangquan E",161,IF(Atletas!L104="Yinzhaophai E",162,IF(Atletas!L104="Tongbeiquan E",163,IF(Atletas!L104="Wudangquan E",164,IF(Atletas!L104="Outros Estilos E",165,IF(Atletas!L104="Chaquan F",166,IF(Atletas!L104="Emeiquan F",167,IF(Atletas!L104="Fanziquan F",168,IF(Atletas!L104="Huaquan F",169,IF(Atletas!L104="Hongquan F",170,IF(Atletas!L104="Paochui F",171,IF(Atletas!L104="Piguaquan F",172,IF(Atletas!L104="Shaolinquan F",173,IF(Atletas!L104="Tanglangquan F",174,IF(Atletas!L104="Yinzhaophai F",175,IF(Atletas!L104="Tongbeiquan F",176,IF(Atletas!L104="Wudangquan F",177,IF(Atletas!L104="Outros Estilos F",178,0))))))))))))))))))))))))))))))))))))))))))</f>
        <v/>
      </c>
      <c r="BN108" s="52" t="str">
        <f>IF(Atletas!M104="","",IF(Atletas!W104&lt;&gt;"",10000,0)+(IF(Atletas!B104="Feminino",1000,IF(Atletas!B104="Masculino",2000,""))+(IF(Atletas!M104="Ditangquan A",201,IF(Atletas!M104="Houquan A",202,IF(Atletas!M104="Zuiquan A",203,IF(Atletas!M104="Ditangquan B",204,IF(Atletas!M104="Houquan B",205,IF(Atletas!M104="Zuiquan B",206,IF(Atletas!M104="Ditangquan C",207,IF(Atletas!M104="Houquan C",208,IF(Atletas!M104="Zuiquan C",209,IF(Atletas!M104="Ditangquan D",210,IF(Atletas!M104="Houquan D",211,IF(Atletas!M104="Zuiquan D",212,IF(Atletas!M104="Ditangquan E",213,IF(Atletas!M104="Houquan E",214,IF(Atletas!M104="Zuiquan E",215,IF(Atletas!M104="Ditangquan F",216,IF(Atletas!M104="Houquan F",217,IF(Atletas!M104="Zuiquan F",218,"")))))))))))))))))))))</f>
        <v/>
      </c>
      <c r="BO108" s="52" t="str">
        <f>IF(Atletas!N104="","",IF(Atletas!W104&lt;&gt;"",10000,0)+IF(Atletas!B104="Feminino",1000,IF(Atletas!B104="Masculino",2000,""))+IF(Atletas!N104="Yang A",301,IF(Atletas!N104="Chen A",30,IF(Atletas!N104="Sun A",303,IF(Atletas!N104="Wu A",304,IF(Atletas!N104="Wu-Hao A",305,IF(Atletas!N104="Outro Taijiquan A",306,IF(Atletas!N104="Yang B",307,IF(Atletas!N104="Chen B",308,IF(Atletas!N104="Sun B",309,IF(Atletas!N104="Wu B",310,IF(Atletas!N104="Wu-Hao B",311,IF(Atletas!N104="Outro Taijiquan B",312,IF(Atletas!N104="Yang C",313,IF(Atletas!N104="Chen C",314,IF(Atletas!N104="Sun C",315,IF(Atletas!N104="Wu C",316,IF(Atletas!N104="Wu-Hao C",317,IF(Atletas!N104="Outro Taijiquan C",318,IF(Atletas!N104="Yang D",319,IF(Atletas!N104="Chen D",320,IF(Atletas!N104="Sun D",321,IF(Atletas!N104="Wu D",322,IF(Atletas!N104="Wu-Hao D",323,IF(Atletas!N104="Outro Taijiquan D",324,IF(Atletas!N104="Yang E",325,IF(Atletas!N104="Chen E",326,IF(Atletas!N104="Sun E",327,IF(Atletas!N104="Wu E",328,IF(Atletas!N104="Wu-Hao E",329,IF(Atletas!N104="Outro Taijiquan E",330,IF(Atletas!N104="Yang F",331,IF(Atletas!N104="Chen F",332,IF(Atletas!N104="Sun F",333,IF(Atletas!N104="Wu F",334,IF(Atletas!N104="Wu-Hao F",335,IF(Atletas!N104="Outro Taijiquan F",336,"")))))))))))))))))))))))))))))))))))))</f>
        <v/>
      </c>
      <c r="BP108" s="52" t="str">
        <f>IF(Atletas!O104="","",IF(Atletas!W104&lt;&gt;"",10000,0)+IF(Atletas!B104="Feminino",1000,IF(Atletas!B104="Masculino",2000,""))+IF(OR(Atletas!O104="Yang 26 A",Atletas!O104="Yang 40 A"),401,IF(OR(Atletas!O104="Chen 25 A",Atletas!O104="Chen 36 A",Atletas!O104="Chen 56 A"),402,IF(Atletas!O104="Sun 73 A",403,IF(Atletas!O104="Wu 45 A",404,IF(Atletas!O104="Wu-Hao 46 A",405,IF(OR(Atletas!O104="Taijiquan 16 A",Atletas!O104="Taijiquan 24 A",Atletas!O104="Taijiquan 32 A",Atletas!O104="Taijiquan 42 A"),406,IF(OR(Atletas!O104="Yang 26 B",Atletas!O104="Yang 40 B"),407,IF(OR(Atletas!O104="Chen 25 B",Atletas!O104="Chen 36 B",Atletas!O104="Chen 56 B"),408,IF(Atletas!O104="Sun 73 B",409,IF(Atletas!O104="Wu 45 B",410,IF(Atletas!O104="Wu-Hao 46 B",411,IF(OR(Atletas!O104="Taijiquan 16 B",Atletas!O104="Taijiquan 24 B",Atletas!O104="Taijiquan 32 B",Atletas!O104="Taijiquan 42 B"),412,IF(OR(Atletas!O104="Yang 26 C",Atletas!O104="Yang 40 C"),413,IF(OR(Atletas!O104="Chen 25 C",Atletas!O104="Chen 36 C",Atletas!O104="Chen 56 C"),414,IF(Atletas!O104="Sun 73 C",415,IF(Atletas!O104="Wu 45 C",416,IF(Atletas!O104="Wu-Hao 46 C",417,IF(OR(Atletas!O104="Taijiquan 16 C",Atletas!O104="Taijiquan 24 C",Atletas!O104="Taijiquan 32 C",Atletas!O104="Taijiquan 42 C"),418,0)))))))))))))))))))</f>
        <v/>
      </c>
      <c r="BQ108" s="52" t="str">
        <f>IF(Atletas!O104="","",IF(Atletas!W104&lt;&gt;"",10000,0)+IF(Atletas!B104="Feminino",1000,IF(Atletas!B104="Masculino",2000,""))+IF(OR(Atletas!O104="Yang 26 D",Atletas!O104="Yang 40 D"),419,IF(OR(Atletas!O104="Chen 25 D",Atletas!O104="Chen 36 D",Atletas!O104="Chen 56 D"),420,IF(Atletas!O104="Sun 73 D",421,IF(Atletas!O104="Wu 45 D",422,IF(Atletas!O104="Wu-Hao 46 D",423,IF(OR(Atletas!O104="Taijiquan 16 D",Atletas!O104="Taijiquan 24 D",Atletas!O104="Taijiquan 32 D",Atletas!O104="Taijiquan 42 D"),424,IF(OR(Atletas!O104="Yang 26 E",Atletas!O104="Yang 40 E"),425,IF(OR(Atletas!O104="Chen 25 E",Atletas!O104="Chen 36 E",Atletas!O104="Chen 56 E"),426,IF(Atletas!O104="Sun 73 E",427,IF(Atletas!O104="Wu 45 E",428,IF(Atletas!O104="Wu-Hao 46 E",429,IF(OR(Atletas!O104="Taijiquan 16 E",Atletas!O104="Taijiquan 24 E",Atletas!O104="Taijiquan 32 E",Atletas!O104="Taijiquan 42 E"),430,IF(OR(Atletas!O104="Yang 26 F",Atletas!O104="Yang 40 F"),431,IF(OR(Atletas!O104="Chen 25 F",Atletas!O104="Chen 36 F",Atletas!O104="Chen 56 F"),432,IF(Atletas!O104="Sun 73 F",433,IF(Atletas!O104="Wu 45 F",434,IF(Atletas!O104="Wu-Hao 46 F",435,IF(OR(Atletas!O104="Taijiquan 16 F",Atletas!O104="Taijiquan 24 F",Atletas!O104="Taijiquan 32 F",Atletas!O104="Taijiquan 42 F"),436,0)))))))))))))))))))</f>
        <v/>
      </c>
      <c r="BR108" s="52" t="str">
        <f>IF(Atletas!P104="","",IF(Atletas!W104&lt;&gt;"",10000,0)+IF(Atletas!B104="Feminino",1000,IF(Atletas!B104="Masculino",2000,""))+IF(Atletas!P104="Xingyiquan A",501,IF(Atletas!P104="Baguazhang A",502,IF(Atletas!P104="Outro Estilo Interno A",503,IF(Atletas!P104="Xingyiquan B",504,IF(Atletas!P104="Baguazhang B",505,IF(Atletas!P104="Outro Estilo Interno B",506,IF(Atletas!P104="Xingyiquan C",507,IF(Atletas!P104="Baguazhang C",508,IF(Atletas!P104="Outro Estilo Interno C",509,IF(Atletas!P104="Xingyiquan D",510,IF(Atletas!P104="Baguazhang D",511,IF(Atletas!P104="Outro Estilo Interno D",512,IF(Atletas!P104="Xingyiquan E",513,IF(Atletas!P104="Baguazhang E",514,IF(Atletas!P104="Outro Estilo Interno E",515,IF(Atletas!P104="Xingyiquan F",516,IF(Atletas!P104="Baguazhang F",517,IF(Atletas!P104="Outro Estilo Interno F",518, "")))))))))))))))))))</f>
        <v/>
      </c>
      <c r="BS108" s="52" t="str">
        <f>IF(Atletas!Q104="","",IF(Atletas!W104&lt;&gt;"",10000,0)+IF(Atletas!B104="Feminino",1000,IF(Atletas!B104="Masculino",2000,""))+IF(Atletas!Q104="Dao A",601,IF(Atletas!Q104="Jian A",602,IF(Atletas!Q104="Bishou A",603,IF(Atletas!Q104="Shan A",604,IF(Atletas!Q104="Outra Arma Curta A",605,IF(Atletas!Q104="Dao B",606,IF(Atletas!Q104="Jian B",607,IF(Atletas!Q104="Bishou B",608,IF(Atletas!Q104="Shan B",609,IF(Atletas!Q104="Outra Arma Curta B",610,IF(Atletas!Q104="Dao C",611,IF(Atletas!Q104="Jian C",612,IF(Atletas!Q104="Bishou C",613,IF(Atletas!Q104="Shan C",614,IF(Atletas!Q104="Outra Arma Curta C",615,IF(Atletas!Q104="Dao D",616,IF(Atletas!Q104="Jian D",617,IF(Atletas!Q104="Bishou D",618,IF(Atletas!Q104="Shan D",619,IF(Atletas!Q104="Outra Arma Curta D",620,IF(Atletas!Q104="Dao E",621,IF(Atletas!Q104="Jian E",622,IF(Atletas!Q104="Bishou E",623,IF(Atletas!Q104="Shan E",624,IF(Atletas!Q104="Outra Arma Curta E",625,IF(Atletas!Q104="Dao F",626,IF(Atletas!Q104="Jian F",627,IF(Atletas!Q104="Bishou F",628,IF(Atletas!Q104="Shan F",629,IF(Atletas!Q104="Outra Arma Curta F",630, "")))))))))))))))))))))))))))))))</f>
        <v/>
      </c>
      <c r="BT108" s="52" t="str">
        <f>IF(Atletas!R104="","",IF(Atletas!W104&lt;&gt;"",10000,0)+IF(Atletas!B104="Feminino",1000,IF(Atletas!B104="Masculino",2000,""))+IF(Atletas!R104="Gun A",701,IF(Atletas!R104="Qiang A",702,IF(Atletas!R104="Pudao / Guandao A",703,IF(Atletas!R104="Outra Arma Longa A",704,IF(Atletas!R104="Gun B",705,IF(Atletas!R104="Qiang B",706,IF(Atletas!R104="Pudao / Guandao B",707,IF(Atletas!R104="Outra Arma Longa B",708,IF(Atletas!R104="Gun C",709,IF(Atletas!R104="Qiang C",710,IF(Atletas!R104="Pudao / Guandao C",711,IF(Atletas!R104="Outra Arma Longa C",712,IF(Atletas!R104="Gun D",713,IF(Atletas!R104="Qiang D",714,IF(Atletas!R104="Pudao / Guandao D",715,IF(Atletas!R104="Outra Arma Longa D",716,IF(Atletas!R104="Gun E",717,IF(Atletas!R104="Qiang E",718,IF(Atletas!R104="Pudao / Guandao E",719,IF(Atletas!R104="Outra Arma Longa E",720,IF(Atletas!R104="Gun F",721,IF(Atletas!R104="Qiang F",722,IF(Atletas!R104="Pudao / Guandao F",723,IF(Atletas!R104="Outra Arma Longa F",724,"")))))))))))))))))))))))))</f>
        <v/>
      </c>
      <c r="BU108" s="52" t="str">
        <f>IF(Atletas!S104="","",IF(Atletas!W104&lt;&gt;"",10000,0)+IF(Atletas!B104="Feminino",1000,IF(Atletas!B104="Masculino",2000,""))+IF(Atletas!S104="Arma Dupla A",801,IF(Atletas!S104="Arma Maleável A",802,IF(Atletas!S104="Arma Dupla B",803,IF(Atletas!S104="Arma Maleável B",804,IF(Atletas!S104="Arma Dupla C",805,IF(Atletas!S104="Arma Maleável C",806,IF(Atletas!S104="Arma Dupla D",807,IF(Atletas!S104="Arma Maleável D",808,IF(Atletas!S104="Arma Dupla E",809,IF(Atletas!S104="Arma Maleável E",810,IF(Atletas!S104="Arma Dupla F",811,IF(Atletas!S104="Arma Maleável F",812, "")))))))))))))</f>
        <v/>
      </c>
      <c r="BV108" s="52" t="str">
        <f>IF(Atletas!T104="","",IF(Atletas!W104&lt;&gt;"",10000,0)+IF(Atletas!B104="Feminino",1000,IF(Atletas!B104="Masculino",2000,""))+IF(Atletas!T104="Taijijian Yang A",901,IF(Atletas!T104="Taijijian Chen A",902,IF(Atletas!T104="Taijijian Sun A",903,IF(Atletas!T104="Taijijian Wu A",904,IF(Atletas!T104="Taijijian Wu-Hao A",905,IF(Atletas!T104="Taijijian 32 A",906,IF(Atletas!T104="Taijijian 42 A",907,IF(Atletas!T104="Taijijian Yang B",908,IF(Atletas!T104="Taijijian Chen B",909,IF(Atletas!T104="Taijijian Sun B",910,IF(Atletas!T104="Taijijian Wu B",911,IF(Atletas!T104="Taijijian Wu-Hao B",912,IF(Atletas!T104="Taijijian 32 B",913,IF(Atletas!T104="Taijijian 42 B",914,IF(Atletas!T104="Taijijian Yang C",915,IF(Atletas!T104="Taijijian Chen C",916,IF(Atletas!T104="Taijijian Sun C",917,IF(Atletas!T104="Taijijian Wu C",918,IF(Atletas!T104="Taijijian Wu-Hao C",919,IF(Atletas!T104="Taijijian 32 C",920,IF(Atletas!T104="Taijijian 42 C",921,IF(Atletas!T104="Taijijian Yang D",922,IF(Atletas!T104="Taijijian Chen D",923,IF(Atletas!T104="Taijijian Sun D",924,IF(Atletas!T104="Taijijian Wu D",925,IF(Atletas!T104="Taijijian Wu-Hao D",926,IF(Atletas!T104="Taijijian 32 D",927,IF(Atletas!T104="Taijijian 42 D",928,IF(Atletas!T104="Taijijian Yang E",929,IF(Atletas!T104="Taijijian Chen E",930,IF(Atletas!T104="Taijijian Sun E",931,IF(Atletas!T104="Taijijian Wu E",932,IF(Atletas!T104="Taijijian Wu-Hao E",933,IF(Atletas!T104="Taijijian 32 E",934,IF(Atletas!T104="Taijijian 42 E",935,IF(Atletas!T104="Taijijian Yang F",936,IF(Atletas!T104="Taijijian Chen F",937,IF(Atletas!T104="Taijijian Sun F",938,IF(Atletas!T104="Taijijian Wu F",939,IF(Atletas!T104="Taijijian Wu-Hao F",940,IF(Atletas!T104="Taijijian 32 F",941,IF(Atletas!T104="Taijijian 42 F",942,"")))))))))))))))))))))))))))))))))))))))))))</f>
        <v/>
      </c>
      <c r="BW108" s="52" t="str">
        <f>IF(Atletas!U104="","",IF(Atletas!W104&lt;&gt;"",10000,0)+IF(Atletas!B104="Feminino",1000,IF(Atletas!B104="Masculino",2000,""))+IF(Atletas!T104="Taijijian 42 F",942,IF(Atletas!U104="Taijidao A",943,IF(Atletas!U104="Taijishan A",944,IF(Atletas!U104="Taijiqiang A",945,IF(Atletas!U104="Taijidao B",946,IF(Atletas!U104="Taijishan B",947,IF(Atletas!U104="Taijiqiang B",948,IF(Atletas!U104="Taijidao C",949,IF(Atletas!U104="Taijishan C",950,IF(Atletas!U104="Taijiqiang C",951,IF(Atletas!U104="Taijidao D",952,IF(Atletas!U104="Taijishan D",953,IF(Atletas!U104="Taijiqiang D",954,IF(Atletas!U104="Taijidao E",955,IF(Atletas!U104="Taijishan E",956,IF(Atletas!U104="Taijiqiang E",957,IF(Atletas!U104="Taijidao F",958,IF(Atletas!U104="Taijishan F",959,IF(Atletas!U104="Taijiqiang F",960))))))))))))))))))))</f>
        <v/>
      </c>
      <c r="BX108" s="64" t="str">
        <f>IF(BY108&lt;&gt;"","Piguaquan F","")</f>
        <v/>
      </c>
      <c r="BY108" s="64" t="str">
        <f>IF(COUNTIF(BK:BW,1172)&gt;0,COUNTIF(BK:BW,1172),"")</f>
        <v/>
      </c>
      <c r="BZ108" s="64" t="str">
        <f>IF(CA108&lt;&gt;"","Piguaquan F","")</f>
        <v/>
      </c>
      <c r="CA108" s="64" t="str">
        <f>IF(COUNTIF(BK:BW,2172)&gt;0,COUNTIF(BK:BW,2172),"")</f>
        <v/>
      </c>
      <c r="CB108" s="64" t="str">
        <f>IF(CC108&lt;&gt;"","Piguaquan F","")</f>
        <v/>
      </c>
      <c r="CC108" s="64" t="str">
        <f>IF(COUNTIF(BK:BW,11172)&gt;0,COUNTIF(BK:BW,11172),"")</f>
        <v/>
      </c>
      <c r="CD108" s="64" t="str">
        <f>IF(CE108&lt;&gt;"","Piguaquan F","")</f>
        <v/>
      </c>
      <c r="CE108" s="64" t="str">
        <f>IF(COUNTIF(BK:BW,12172)&gt;0,COUNTIF(BK:BW,12172),"")</f>
        <v/>
      </c>
      <c r="CF108" s="52" t="str">
        <f xml:space="preserve"> IF(Atletas!V104="","",IF(Atletas!V104="Duilian de Mãos AB - Equipe 1",1,IF(Atletas!V104="Duilian de Mãos AB - Equipe 2",2,IF(Atletas!V104="Duilian de Armas AB - Equipe 1",3,IF(Atletas!V104="Duilian de Armas AB - Equipe 2",4,IF(Atletas!V104="Duilian de Tuishou - Equipe 1",5,IF(Atletas!V104="Duilian de Tuishou - Equipe 2",6,IF(Atletas!V104="Grupo Externo AB - Equipe 1",7,IF(Atletas!V104="Grupo Externo AB - Equipe 2",8,IF(Atletas!V104="Grupo Interno AB - Equipe 1",9,IF(Atletas!V104="Grupo Interno AB - Equipe 2",10,IF(Atletas!V104="Duilian de Mãos CD - Equipe 1",11,IF(Atletas!V104="Duilian de Mãos CD - Equipe 2",12,IF(Atletas!V104="Duilian de Armas CD - Equipe 1",13,IF(Atletas!V104="Duilian de Armas CD - Equipe 2",14,IF(Atletas!V104="Duilian de Tuishou - Equipe 1",15,IF(Atletas!V104="Duilian de Tuishou - Equipe 2",16,IF(Atletas!V104="Grupo Externo CDEF - Equipe 1",17,IF(Atletas!V104="Grupo Externo CDEF - Equipe 2",18,IF(Atletas!V104="Grupo Interno CDEF - Equipe 1",19,IF(Atletas!V104="Grupo Interno CDEF - Equipe 2",20,IF(Atletas!V104="Duilian de Mãos EF - Equipe 1",21,IF(Atletas!V104="Duilian de Mãos EF - Equipe 2",22,IF(Atletas!V104="Duilian de Armas EF - Equipe 1",23,IF(Atletas!V104="Duilian de Armas EF - Equipe 2",24,IF(Atletas!V104="Duilian de Tuishou - Equipe 1",25,IF(Atletas!V104="Duilian de Tuishou - Equipe 2",26,"")))))))))))))))))))))))))))</f>
        <v/>
      </c>
    </row>
    <row r="109" spans="2:84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 t="str">
        <f t="array" ref="V109">IFERROR(INDEX(BX$7:BX$336,SMALL(IF(BX$7:BX$336&lt;&gt;"",ROW(BX$7:BX$336)-ROW(BX$7)+1),ROWS(BX$7:BX108))),"")</f>
        <v/>
      </c>
      <c r="W109" s="4" t="str">
        <f t="array" ref="W109">IFERROR(INDEX(BY$7:BY$336,SMALL(IF(BY$7:BY$336&lt;&gt;"",ROW(BY$7:BY$336)-ROW(BY$7)+1),ROWS(BY$7:BY108))),"")</f>
        <v/>
      </c>
      <c r="X109" s="4" t="str">
        <f t="array" ref="X109">IFERROR(INDEX(BZ$7:BZ$336,SMALL(IF(BZ$7:BZ$336&lt;&gt;"",ROW(BZ$7:BZ$336)-ROW(BZ$7)+1),ROWS(BZ$7:BZ108))),"")</f>
        <v/>
      </c>
      <c r="Y109" s="4" t="str">
        <f t="array" ref="Y109">IFERROR(INDEX(CA$7:CA$336,SMALL(IF(CA$7:CA$336&lt;&gt;"",ROW(CA$7:CA$336)-ROW(CA$7)+1),ROWS(CA$7:CA108))),"")</f>
        <v/>
      </c>
      <c r="Z109" s="4" t="str">
        <f t="array" ref="Z109">IFERROR(INDEX(CB$7:CB$378,SMALL(IF(CB$7:CB$378&lt;&gt;"",ROW(CB$7:CB$378)-ROW(CB$7)+1),ROWS(CB$7:CB108))),"")</f>
        <v/>
      </c>
      <c r="AA109" s="4" t="str">
        <f t="array" ref="AA109">IFERROR(INDEX(CC$7:CC$378,SMALL(IF(CC$7:CC$378&lt;&gt;"",ROW(CC$7:CC$378)-ROW(CC$7)+1),ROWS(CC$7:CC108))),"")</f>
        <v/>
      </c>
      <c r="AB109" s="4" t="str">
        <f t="array" ref="AB109">IFERROR(INDEX(CD$7:CD$378,SMALL(IF(CD$7:CD$378&lt;&gt;"",ROW(CD$7:CD$378)-ROW(CD$7)+1),ROWS(CD$7:CD108))),"")</f>
        <v/>
      </c>
      <c r="AC109" s="4" t="str">
        <f t="array" ref="AC109">IFERROR(INDEX(CE$7:CE$378,SMALL(IF(CE$7:CE$378&lt;&gt;"",ROW(CE$7:CE$378)-ROW(CE$7)+1),ROWS(CE$7:CE108))),"")</f>
        <v/>
      </c>
      <c r="AD109" s="4"/>
      <c r="AE109" s="4"/>
      <c r="AF109" s="4"/>
      <c r="AG109" s="4"/>
      <c r="AH109" s="4"/>
      <c r="AI109" s="4"/>
      <c r="AJ109" s="46" t="str">
        <f>IF(Atletas!D105="","",IF(Atletas!B105="Feminino",100,IF(Atletas!B105="Masculino",200,""))+(IF(Atletas!D105="Infantil 39kg",1,IF(Atletas!D105="Infantil 42kg",2,IF(Atletas!D105="Infantil 45kg",3,IF(Atletas!D105="Infantil 48kg",4,IF(Atletas!D105="Infantil 52kg",5,IF(Atletas!D105="Infantil 56kg",6,IF(Atletas!D105="Infantil 60kg",7,IF(Atletas!D105="Juvenil 48kg",8,IF(Atletas!D105="Juvenil 52kg",9,IF(Atletas!D105="Juvenil 56kg",10,IF(Atletas!D105="Juvenil 60kg",11,IF(Atletas!D105="Juvenil 65kg",12,IF(Atletas!D105="Juvenil 70kg",13,IF(Atletas!D105="Juvenil 75kg",14,IF(Atletas!D105="Juvenil 80kg",15,IF(Atletas!D105="Adulto 48kg",16,IF(Atletas!D105="Adulto 52kg",17,IF(Atletas!D105="Adulto 56kg",18,IF(Atletas!D105="Adulto 60kg",19,IF(Atletas!D105="Adulto 65kg",20,IF(Atletas!D105="Adulto 70kg",21,IF(Atletas!D105="Adulto 75kg",22,IF(Atletas!D105="Adulto 80kg",23,IF(Atletas!D105="Adulto 85kg",24,IF(Atletas!D105="Adulto 90kg",25,IF(Atletas!D105="Adulto +90kg",26,""))))))))))))))))))))))))))))</f>
        <v/>
      </c>
      <c r="AO109" s="10" t="str">
        <f>IF(Atletas!E105="","",IF(Atletas!B105="Feminino",100,IF(Atletas!B105="Masculino",200,""))+(IF(Atletas!E105="Juvenil 44kg",1,IF(Atletas!E105="Juvenil 48kg",2,IF(Atletas!E105="Juvenil 52kg",3,IF(Atletas!E105="Juvenil 56kg",4,IF(Atletas!E105="Juvenil 60kg",5,IF(Atletas!E105="Juvenil 65kg",6,IF(Atletas!E105="Juvenil 70kg",7,IF(Atletas!E105="Juvenil 75kg",8,IF(Atletas!E105="Juvenil 82kg",9,IF(Atletas!E105="Juvenil 90kg",10,IF(Atletas!E105="Juvenil 100kg",11,IF(Atletas!E105="Adulto 48kg",12,IF(Atletas!E105="Adulto 52kg",13,IF(Atletas!E105="Adulto 56kg",14,IF(Atletas!E105="Adulto 60kg",15,IF(Atletas!E105="Adulto 65kg",16,IF(Atletas!E105="Adulto 70kg",17,IF(Atletas!E105="Adulto 75kg",18,IF(Atletas!E105="Adulto 82kg",19,IF(Atletas!E105="Adulto 90kg",20,IF(Atletas!E105="Adulto 100kg",21,IF(Atletas!E105="Adulto +100kg",22,""))))))))))))))))))))))))</f>
        <v/>
      </c>
      <c r="AT109" s="10" t="str">
        <f>IF(Atletas!F105="","",IF(Atletas!B105="Feminino",100,IF(Atletas!B105="Masculino",200,""))+(IF(Atletas!F105="Adulto 48kg",1,IF(Atletas!F105="Adulto 56kg",2,IF(Atletas!F105="Adulto 65kg",3,IF(Atletas!F105="Adulto 75kg",4,IF(Atletas!F105="Adulto +75kg",5,IF(Atletas!F105="Adulto 52kg",6,IF(Atletas!F105="Adulto 60kg",7,IF(Atletas!F105="Adulto 70kg",8,IF(Atletas!F105="Adulto 80kg",9,IF(Atletas!F105="Adulto 90kg",10,IF(Atletas!F105="Adulto +90kg",11,"")))))))))))))</f>
        <v/>
      </c>
      <c r="AY109" s="46" t="str">
        <f>IF(Atletas!G105="","",IF(Atletas!B105="Feminino",100,IF(Atletas!B105="Masculino",200,""))+(IF(Atletas!G105="Changquan Mirim",1,IF(Atletas!G105="Nanquan Mirim",2,IF(Atletas!G105="Taijiquan Mirim",3,IF(Atletas!G105="Changquan Grupo C",4,IF(Atletas!G105="Nanquan Grupo C",5,IF(Atletas!G105="Taijiquan Grupo C",6,IF(Atletas!G105="Changquan Grupo B",7,IF(Atletas!G105="Nanquan Grupo B",8,IF(Atletas!G105="Taijiquan Grupo B",9,IF(Atletas!G105="Changquan Grupo A",10,IF(Atletas!G105="Nanquan Grupo A",11,IF(Atletas!G105="Taijiquan Grupo A",12,IF(Atletas!G105="Changquan Opcional",13,IF(Atletas!G105="Nanquan Opcional",14,IF(Atletas!G105="Taijiquan Opcional",15,IF(Atletas!G105="Changquan Adulto",16,IF(Atletas!G105="Nanquan Adulto",17,IF(Atletas!G105="Taijiquan Adulto",18,""))))))))))))))))))))</f>
        <v/>
      </c>
      <c r="AZ109" s="46" t="str">
        <f>IF(Atletas!H105="","",IF(Atletas!B105="Feminino",100,IF(Atletas!B105="Masculino",200,""))+(IF(Atletas!H105="Daoshu Mirim",19,IF(Atletas!H105="Jianshu Mirim",20,IF(Atletas!H105="Nandao Mirim",21,IF(Atletas!H105="Taijijian Mirim",22,IF(Atletas!H105="Daoshu Grupo C",23,IF(Atletas!H105="Jianshu Grupo C",24,IF(Atletas!H105="Nandao Grupo C",25,IF(Atletas!H105="Taijijian Grupo C",26,IF(Atletas!H105="Daoshu Grupo B",27,IF(Atletas!H105="Jianshu Grupo B",28,IF(Atletas!H105="Nandao Grupo B",29,IF(Atletas!H105="Taijijian Grupo B",30,IF(Atletas!H105="Daoshu Grupo A",31,IF(Atletas!H105="Jianshu Grupo A",32,IF(Atletas!H105="Nandao Grupo A",33,IF(Atletas!H105="Taijijian Grupo A",34,IF(Atletas!H105="Daoshu Opcional",35,IF(Atletas!H105="Jianshu Opcional",36,IF(Atletas!H105="Nandao Opcional",37,IF(Atletas!H105="Taijijian Opcional",38,IF(Atletas!H105="Daoshu Adulto",39,IF(Atletas!H105="Jianshu Adulto",40,IF(Atletas!H105="Nandao Adulto",41,IF(Atletas!H105="Taijijian Adulto",42,""))))))))))))))))))))))))))</f>
        <v/>
      </c>
      <c r="BA109" s="46" t="str">
        <f>IF(Atletas!I105="","",IF(Atletas!B105="Feminino",100,IF(Atletas!B105="Masculino",200,""))+(IF(Atletas!I105="Gunshu Mirim",43,IF(Atletas!I105="Qiangshu Mirim",44,IF(Atletas!I105="Nangun Mirim",45,IF(Atletas!I105="Gunshu Grupo C",46,IF(Atletas!I105="Qiangshu Grupo C",47,IF(Atletas!I105="Nangun Grupo C",48,IF(Atletas!I105="Gunshu Grupo B",49,IF(Atletas!I105="Qiangshu Grupo B",50,IF(Atletas!I105="Nangun Grupo B",51,IF(Atletas!I105="Gunshu Grupo A",52,IF(Atletas!I105="Qiangshu Grupo A",53,IF(Atletas!I105="Nangun Grupo A",54,IF(Atletas!I105="Gunshu Opcional",55,IF(Atletas!I105="Qiangshu Opcional",56,IF(Atletas!I105="Nangun Opcional",57,IF(Atletas!I105="Gunshu Adulto",58,IF(Atletas!I105="Qiangshu Adulto",59,IF(Atletas!I105="Nangun Adulto",60,""))))))))))))))))))))</f>
        <v/>
      </c>
      <c r="BF109" s="52" t="str">
        <f>IF(Atletas!J105="","",IF(Atletas!B105="Feminino",100,IF(Atletas!B105="Masculino",200,""))+(IF(Atletas!J105="Equipe 1 Grupo B",1,IF(Atletas!J105="Equipe 2 Grupo B",2,IF(Atletas!J105="Equipe 1 Grupo A",3,IF(Atletas!J105="Equipe 2 Grupo A",4,IF(Atletas!J105="Equipe 1 Adulto",5,IF(Atletas!J105="Equipe 2 Adulto",6,""))))))))</f>
        <v/>
      </c>
      <c r="BK109" s="52" t="str">
        <f>IF(Atletas!K105="","",IF(Atletas!W105&lt;&gt;"",10000,0)+(IF(Atletas!B105="Feminino",1000,IF(Atletas!B105="Masculino",2000,""))+IF(Atletas!K105="Choylayfut A",1,IF(Atletas!K105="Hunggar A",2,IF(Atletas!K105="Wuzuquan A",3,IF(Atletas!K105="Wingchun A",4,IF(Atletas!K105="Outra Mão de Sul A",5,IF(Atletas!K105="Choylayfut B",6,IF(Atletas!K105="Hunggar B",7,IF(Atletas!K105="Wuzuquan B",8,IF(Atletas!K105="Wingchun B",9,IF(Atletas!K105="Outra Mão de Sul B",10,IF(Atletas!K105="Choylayfut C",11,IF(Atletas!K105="Hunggar C",12,IF(Atletas!K105="Wuzuquan C",13,IF(Atletas!K105="Wingchun C",14,IF(Atletas!K105="Outra Mão de Sul C",15,IF(Atletas!K105="Choylayfut D",16,IF(Atletas!K105="Hunggar D",17,IF(Atletas!K105="Wuzuquan D",18,IF(Atletas!K105="Wingchun D",19,IF(Atletas!K105="Outra Mão de Sul D",20,IF(Atletas!K105="Choylayfut E",21,IF(Atletas!K105="Hunggar E",22,IF(Atletas!K105="Wuzuquan E",23,IF(Atletas!K105="Wingchun E",24,IF(Atletas!K105="Outra Mão de Sul E",25,IF(Atletas!K105="Choylayfut F",26,IF(Atletas!K105="Hunggar F",27,IF(Atletas!K105="Wuzuquan F",28,IF(Atletas!K105="Wingchun F",29,IF(Atletas!K105="Outra Mão de Sul F",30,""))))))))))))))))))))))))))))))))</f>
        <v/>
      </c>
      <c r="BL109" s="52" t="str">
        <f>IF(Atletas!L105="","",IF(Atletas!W105&lt;&gt;"",10000,0)+(IF(Atletas!B105="Feminino",1000,IF(Atletas!B105="Masculino",2000,""))+(IF(Atletas!L105="Chaquan A",101,IF(Atletas!L105="Emeiquan A",102,IF(Atletas!L105="Fanziquan A",103,IF(Atletas!L105="Huaquan A",104,IF(Atletas!L105="Hongquan A",105,IF(Atletas!L105="Paochui A",106,IF(Atletas!L105="Piguaquan A",107,IF(Atletas!L105="Shaolinquan A",108,IF(Atletas!L105="Tanglangquan A",109,IF(Atletas!L105="Yinzhaophai A",110,IF(Atletas!L105="Tongbeiquan A",111,IF(Atletas!L105="Wudangquan A",112,IF(Atletas!L105="Outros Estilos A",113,IF(Atletas!L105="Chaquan B",114,IF(Atletas!L105="Emeiquan B",115,IF(Atletas!L105="Fanziquan B",116,IF(Atletas!L105="Huaquan B",117,IF(Atletas!L105="Hongquan B",118,IF(Atletas!L105="Paochui B",119,IF(Atletas!L105="Piguaquan B",120,IF(Atletas!L105="Shaolinquan B",121,IF(Atletas!L105="Tanglangquan B",122,IF(Atletas!L105="Yinzhaophai B",123,IF(Atletas!L105="Tongbeiquan B",124,IF(Atletas!L105="Wudangquan B",125,IF(Atletas!L105="Outros Estilos B",126,IF(Atletas!L105="Chaquan C",127,IF(Atletas!L105="Emeiquan C",128,IF(Atletas!L105="Fanziquan C",129,IF(Atletas!L105="Huaquan C",130,IF(Atletas!L105="Hongquan C",131,IF(Atletas!L105="Paochui C",132,IF(Atletas!L105="Piguaquan C",133,IF(Atletas!L105="Shaolinquan C",134,IF(Atletas!L105="Tanglangquan C",135,IF(Atletas!L105="Yinzhaophai C",136,IF(Atletas!L105="Tongbeiquan C",137,IF(Atletas!L105="Wudangquan C",138,IF(Atletas!L105="Outros Estilos C",139,0))))))))))))))))))))))))))))))))))))))))))</f>
        <v/>
      </c>
      <c r="BM109" s="52" t="str">
        <f>IF(Atletas!L105="","",IF(Atletas!W105&lt;&gt;"",10000,0)+(IF(Atletas!B105="Feminino",1000,IF(Atletas!B105="Masculino",2000,""))+(IF(Atletas!L105="Chaquan D",140,IF(Atletas!L105="Emeiquan D",141,IF(Atletas!L105="Fanziquan D",142,IF(Atletas!L105="Huaquan D",143,IF(Atletas!L105="Hongquan D",144,IF(Atletas!L105="Paochui D",145,IF(Atletas!L105="Piguaquan D",146,IF(Atletas!L105="Shaolinquan D",147,IF(Atletas!L105="Tanglangquan D",148,IF(Atletas!L105="Yinzhaophai D",149,IF(Atletas!L105="Tongbeiquan D",150,IF(Atletas!L105="Wudangquan D",151,IF(Atletas!L105="Outros Estilos D",152,IF(Atletas!L105="Chaquan E",153,IF(Atletas!L105="Emeiquan E",154,IF(Atletas!L105="Fanziquan E",155,IF(Atletas!L105="Huaquan E",156,IF(Atletas!L105="Hongquan E",157,IF(Atletas!L105="Paochui E",158,IF(Atletas!L105="Piguaquan E",159,IF(Atletas!L105="Shaolinquan E",160,IF(Atletas!L105="Tanglangquan E",161,IF(Atletas!L105="Yinzhaophai E",162,IF(Atletas!L105="Tongbeiquan E",163,IF(Atletas!L105="Wudangquan E",164,IF(Atletas!L105="Outros Estilos E",165,IF(Atletas!L105="Chaquan F",166,IF(Atletas!L105="Emeiquan F",167,IF(Atletas!L105="Fanziquan F",168,IF(Atletas!L105="Huaquan F",169,IF(Atletas!L105="Hongquan F",170,IF(Atletas!L105="Paochui F",171,IF(Atletas!L105="Piguaquan F",172,IF(Atletas!L105="Shaolinquan F",173,IF(Atletas!L105="Tanglangquan F",174,IF(Atletas!L105="Yinzhaophai F",175,IF(Atletas!L105="Tongbeiquan F",176,IF(Atletas!L105="Wudangquan F",177,IF(Atletas!L105="Outros Estilos F",178,0))))))))))))))))))))))))))))))))))))))))))</f>
        <v/>
      </c>
      <c r="BN109" s="52" t="str">
        <f>IF(Atletas!M105="","",IF(Atletas!W105&lt;&gt;"",10000,0)+(IF(Atletas!B105="Feminino",1000,IF(Atletas!B105="Masculino",2000,""))+(IF(Atletas!M105="Ditangquan A",201,IF(Atletas!M105="Houquan A",202,IF(Atletas!M105="Zuiquan A",203,IF(Atletas!M105="Ditangquan B",204,IF(Atletas!M105="Houquan B",205,IF(Atletas!M105="Zuiquan B",206,IF(Atletas!M105="Ditangquan C",207,IF(Atletas!M105="Houquan C",208,IF(Atletas!M105="Zuiquan C",209,IF(Atletas!M105="Ditangquan D",210,IF(Atletas!M105="Houquan D",211,IF(Atletas!M105="Zuiquan D",212,IF(Atletas!M105="Ditangquan E",213,IF(Atletas!M105="Houquan E",214,IF(Atletas!M105="Zuiquan E",215,IF(Atletas!M105="Ditangquan F",216,IF(Atletas!M105="Houquan F",217,IF(Atletas!M105="Zuiquan F",218,"")))))))))))))))))))))</f>
        <v/>
      </c>
      <c r="BO109" s="52" t="str">
        <f>IF(Atletas!N105="","",IF(Atletas!W105&lt;&gt;"",10000,0)+IF(Atletas!B105="Feminino",1000,IF(Atletas!B105="Masculino",2000,""))+IF(Atletas!N105="Yang A",301,IF(Atletas!N105="Chen A",30,IF(Atletas!N105="Sun A",303,IF(Atletas!N105="Wu A",304,IF(Atletas!N105="Wu-Hao A",305,IF(Atletas!N105="Outro Taijiquan A",306,IF(Atletas!N105="Yang B",307,IF(Atletas!N105="Chen B",308,IF(Atletas!N105="Sun B",309,IF(Atletas!N105="Wu B",310,IF(Atletas!N105="Wu-Hao B",311,IF(Atletas!N105="Outro Taijiquan B",312,IF(Atletas!N105="Yang C",313,IF(Atletas!N105="Chen C",314,IF(Atletas!N105="Sun C",315,IF(Atletas!N105="Wu C",316,IF(Atletas!N105="Wu-Hao C",317,IF(Atletas!N105="Outro Taijiquan C",318,IF(Atletas!N105="Yang D",319,IF(Atletas!N105="Chen D",320,IF(Atletas!N105="Sun D",321,IF(Atletas!N105="Wu D",322,IF(Atletas!N105="Wu-Hao D",323,IF(Atletas!N105="Outro Taijiquan D",324,IF(Atletas!N105="Yang E",325,IF(Atletas!N105="Chen E",326,IF(Atletas!N105="Sun E",327,IF(Atletas!N105="Wu E",328,IF(Atletas!N105="Wu-Hao E",329,IF(Atletas!N105="Outro Taijiquan E",330,IF(Atletas!N105="Yang F",331,IF(Atletas!N105="Chen F",332,IF(Atletas!N105="Sun F",333,IF(Atletas!N105="Wu F",334,IF(Atletas!N105="Wu-Hao F",335,IF(Atletas!N105="Outro Taijiquan F",336,"")))))))))))))))))))))))))))))))))))))</f>
        <v/>
      </c>
      <c r="BP109" s="52" t="str">
        <f>IF(Atletas!O105="","",IF(Atletas!W105&lt;&gt;"",10000,0)+IF(Atletas!B105="Feminino",1000,IF(Atletas!B105="Masculino",2000,""))+IF(OR(Atletas!O105="Yang 26 A",Atletas!O105="Yang 40 A"),401,IF(OR(Atletas!O105="Chen 25 A",Atletas!O105="Chen 36 A",Atletas!O105="Chen 56 A"),402,IF(Atletas!O105="Sun 73 A",403,IF(Atletas!O105="Wu 45 A",404,IF(Atletas!O105="Wu-Hao 46 A",405,IF(OR(Atletas!O105="Taijiquan 16 A",Atletas!O105="Taijiquan 24 A",Atletas!O105="Taijiquan 32 A",Atletas!O105="Taijiquan 42 A"),406,IF(OR(Atletas!O105="Yang 26 B",Atletas!O105="Yang 40 B"),407,IF(OR(Atletas!O105="Chen 25 B",Atletas!O105="Chen 36 B",Atletas!O105="Chen 56 B"),408,IF(Atletas!O105="Sun 73 B",409,IF(Atletas!O105="Wu 45 B",410,IF(Atletas!O105="Wu-Hao 46 B",411,IF(OR(Atletas!O105="Taijiquan 16 B",Atletas!O105="Taijiquan 24 B",Atletas!O105="Taijiquan 32 B",Atletas!O105="Taijiquan 42 B"),412,IF(OR(Atletas!O105="Yang 26 C",Atletas!O105="Yang 40 C"),413,IF(OR(Atletas!O105="Chen 25 C",Atletas!O105="Chen 36 C",Atletas!O105="Chen 56 C"),414,IF(Atletas!O105="Sun 73 C",415,IF(Atletas!O105="Wu 45 C",416,IF(Atletas!O105="Wu-Hao 46 C",417,IF(OR(Atletas!O105="Taijiquan 16 C",Atletas!O105="Taijiquan 24 C",Atletas!O105="Taijiquan 32 C",Atletas!O105="Taijiquan 42 C"),418,0)))))))))))))))))))</f>
        <v/>
      </c>
      <c r="BQ109" s="52" t="str">
        <f>IF(Atletas!O105="","",IF(Atletas!W105&lt;&gt;"",10000,0)+IF(Atletas!B105="Feminino",1000,IF(Atletas!B105="Masculino",2000,""))+IF(OR(Atletas!O105="Yang 26 D",Atletas!O105="Yang 40 D"),419,IF(OR(Atletas!O105="Chen 25 D",Atletas!O105="Chen 36 D",Atletas!O105="Chen 56 D"),420,IF(Atletas!O105="Sun 73 D",421,IF(Atletas!O105="Wu 45 D",422,IF(Atletas!O105="Wu-Hao 46 D",423,IF(OR(Atletas!O105="Taijiquan 16 D",Atletas!O105="Taijiquan 24 D",Atletas!O105="Taijiquan 32 D",Atletas!O105="Taijiquan 42 D"),424,IF(OR(Atletas!O105="Yang 26 E",Atletas!O105="Yang 40 E"),425,IF(OR(Atletas!O105="Chen 25 E",Atletas!O105="Chen 36 E",Atletas!O105="Chen 56 E"),426,IF(Atletas!O105="Sun 73 E",427,IF(Atletas!O105="Wu 45 E",428,IF(Atletas!O105="Wu-Hao 46 E",429,IF(OR(Atletas!O105="Taijiquan 16 E",Atletas!O105="Taijiquan 24 E",Atletas!O105="Taijiquan 32 E",Atletas!O105="Taijiquan 42 E"),430,IF(OR(Atletas!O105="Yang 26 F",Atletas!O105="Yang 40 F"),431,IF(OR(Atletas!O105="Chen 25 F",Atletas!O105="Chen 36 F",Atletas!O105="Chen 56 F"),432,IF(Atletas!O105="Sun 73 F",433,IF(Atletas!O105="Wu 45 F",434,IF(Atletas!O105="Wu-Hao 46 F",435,IF(OR(Atletas!O105="Taijiquan 16 F",Atletas!O105="Taijiquan 24 F",Atletas!O105="Taijiquan 32 F",Atletas!O105="Taijiquan 42 F"),436,0)))))))))))))))))))</f>
        <v/>
      </c>
      <c r="BR109" s="52" t="str">
        <f>IF(Atletas!P105="","",IF(Atletas!W105&lt;&gt;"",10000,0)+IF(Atletas!B105="Feminino",1000,IF(Atletas!B105="Masculino",2000,""))+IF(Atletas!P105="Xingyiquan A",501,IF(Atletas!P105="Baguazhang A",502,IF(Atletas!P105="Outro Estilo Interno A",503,IF(Atletas!P105="Xingyiquan B",504,IF(Atletas!P105="Baguazhang B",505,IF(Atletas!P105="Outro Estilo Interno B",506,IF(Atletas!P105="Xingyiquan C",507,IF(Atletas!P105="Baguazhang C",508,IF(Atletas!P105="Outro Estilo Interno C",509,IF(Atletas!P105="Xingyiquan D",510,IF(Atletas!P105="Baguazhang D",511,IF(Atletas!P105="Outro Estilo Interno D",512,IF(Atletas!P105="Xingyiquan E",513,IF(Atletas!P105="Baguazhang E",514,IF(Atletas!P105="Outro Estilo Interno E",515,IF(Atletas!P105="Xingyiquan F",516,IF(Atletas!P105="Baguazhang F",517,IF(Atletas!P105="Outro Estilo Interno F",518, "")))))))))))))))))))</f>
        <v/>
      </c>
      <c r="BS109" s="52" t="str">
        <f>IF(Atletas!Q105="","",IF(Atletas!W105&lt;&gt;"",10000,0)+IF(Atletas!B105="Feminino",1000,IF(Atletas!B105="Masculino",2000,""))+IF(Atletas!Q105="Dao A",601,IF(Atletas!Q105="Jian A",602,IF(Atletas!Q105="Bishou A",603,IF(Atletas!Q105="Shan A",604,IF(Atletas!Q105="Outra Arma Curta A",605,IF(Atletas!Q105="Dao B",606,IF(Atletas!Q105="Jian B",607,IF(Atletas!Q105="Bishou B",608,IF(Atletas!Q105="Shan B",609,IF(Atletas!Q105="Outra Arma Curta B",610,IF(Atletas!Q105="Dao C",611,IF(Atletas!Q105="Jian C",612,IF(Atletas!Q105="Bishou C",613,IF(Atletas!Q105="Shan C",614,IF(Atletas!Q105="Outra Arma Curta C",615,IF(Atletas!Q105="Dao D",616,IF(Atletas!Q105="Jian D",617,IF(Atletas!Q105="Bishou D",618,IF(Atletas!Q105="Shan D",619,IF(Atletas!Q105="Outra Arma Curta D",620,IF(Atletas!Q105="Dao E",621,IF(Atletas!Q105="Jian E",622,IF(Atletas!Q105="Bishou E",623,IF(Atletas!Q105="Shan E",624,IF(Atletas!Q105="Outra Arma Curta E",625,IF(Atletas!Q105="Dao F",626,IF(Atletas!Q105="Jian F",627,IF(Atletas!Q105="Bishou F",628,IF(Atletas!Q105="Shan F",629,IF(Atletas!Q105="Outra Arma Curta F",630, "")))))))))))))))))))))))))))))))</f>
        <v/>
      </c>
      <c r="BT109" s="52" t="str">
        <f>IF(Atletas!R105="","",IF(Atletas!W105&lt;&gt;"",10000,0)+IF(Atletas!B105="Feminino",1000,IF(Atletas!B105="Masculino",2000,""))+IF(Atletas!R105="Gun A",701,IF(Atletas!R105="Qiang A",702,IF(Atletas!R105="Pudao / Guandao A",703,IF(Atletas!R105="Outra Arma Longa A",704,IF(Atletas!R105="Gun B",705,IF(Atletas!R105="Qiang B",706,IF(Atletas!R105="Pudao / Guandao B",707,IF(Atletas!R105="Outra Arma Longa B",708,IF(Atletas!R105="Gun C",709,IF(Atletas!R105="Qiang C",710,IF(Atletas!R105="Pudao / Guandao C",711,IF(Atletas!R105="Outra Arma Longa C",712,IF(Atletas!R105="Gun D",713,IF(Atletas!R105="Qiang D",714,IF(Atletas!R105="Pudao / Guandao D",715,IF(Atletas!R105="Outra Arma Longa D",716,IF(Atletas!R105="Gun E",717,IF(Atletas!R105="Qiang E",718,IF(Atletas!R105="Pudao / Guandao E",719,IF(Atletas!R105="Outra Arma Longa E",720,IF(Atletas!R105="Gun F",721,IF(Atletas!R105="Qiang F",722,IF(Atletas!R105="Pudao / Guandao F",723,IF(Atletas!R105="Outra Arma Longa F",724,"")))))))))))))))))))))))))</f>
        <v/>
      </c>
      <c r="BU109" s="52" t="str">
        <f>IF(Atletas!S105="","",IF(Atletas!W105&lt;&gt;"",10000,0)+IF(Atletas!B105="Feminino",1000,IF(Atletas!B105="Masculino",2000,""))+IF(Atletas!S105="Arma Dupla A",801,IF(Atletas!S105="Arma Maleável A",802,IF(Atletas!S105="Arma Dupla B",803,IF(Atletas!S105="Arma Maleável B",804,IF(Atletas!S105="Arma Dupla C",805,IF(Atletas!S105="Arma Maleável C",806,IF(Atletas!S105="Arma Dupla D",807,IF(Atletas!S105="Arma Maleável D",808,IF(Atletas!S105="Arma Dupla E",809,IF(Atletas!S105="Arma Maleável E",810,IF(Atletas!S105="Arma Dupla F",811,IF(Atletas!S105="Arma Maleável F",812, "")))))))))))))</f>
        <v/>
      </c>
      <c r="BV109" s="52" t="str">
        <f>IF(Atletas!T105="","",IF(Atletas!W105&lt;&gt;"",10000,0)+IF(Atletas!B105="Feminino",1000,IF(Atletas!B105="Masculino",2000,""))+IF(Atletas!T105="Taijijian Yang A",901,IF(Atletas!T105="Taijijian Chen A",902,IF(Atletas!T105="Taijijian Sun A",903,IF(Atletas!T105="Taijijian Wu A",904,IF(Atletas!T105="Taijijian Wu-Hao A",905,IF(Atletas!T105="Taijijian 32 A",906,IF(Atletas!T105="Taijijian 42 A",907,IF(Atletas!T105="Taijijian Yang B",908,IF(Atletas!T105="Taijijian Chen B",909,IF(Atletas!T105="Taijijian Sun B",910,IF(Atletas!T105="Taijijian Wu B",911,IF(Atletas!T105="Taijijian Wu-Hao B",912,IF(Atletas!T105="Taijijian 32 B",913,IF(Atletas!T105="Taijijian 42 B",914,IF(Atletas!T105="Taijijian Yang C",915,IF(Atletas!T105="Taijijian Chen C",916,IF(Atletas!T105="Taijijian Sun C",917,IF(Atletas!T105="Taijijian Wu C",918,IF(Atletas!T105="Taijijian Wu-Hao C",919,IF(Atletas!T105="Taijijian 32 C",920,IF(Atletas!T105="Taijijian 42 C",921,IF(Atletas!T105="Taijijian Yang D",922,IF(Atletas!T105="Taijijian Chen D",923,IF(Atletas!T105="Taijijian Sun D",924,IF(Atletas!T105="Taijijian Wu D",925,IF(Atletas!T105="Taijijian Wu-Hao D",926,IF(Atletas!T105="Taijijian 32 D",927,IF(Atletas!T105="Taijijian 42 D",928,IF(Atletas!T105="Taijijian Yang E",929,IF(Atletas!T105="Taijijian Chen E",930,IF(Atletas!T105="Taijijian Sun E",931,IF(Atletas!T105="Taijijian Wu E",932,IF(Atletas!T105="Taijijian Wu-Hao E",933,IF(Atletas!T105="Taijijian 32 E",934,IF(Atletas!T105="Taijijian 42 E",935,IF(Atletas!T105="Taijijian Yang F",936,IF(Atletas!T105="Taijijian Chen F",937,IF(Atletas!T105="Taijijian Sun F",938,IF(Atletas!T105="Taijijian Wu F",939,IF(Atletas!T105="Taijijian Wu-Hao F",940,IF(Atletas!T105="Taijijian 32 F",941,IF(Atletas!T105="Taijijian 42 F",942,"")))))))))))))))))))))))))))))))))))))))))))</f>
        <v/>
      </c>
      <c r="BW109" s="52" t="str">
        <f>IF(Atletas!U105="","",IF(Atletas!W105&lt;&gt;"",10000,0)+IF(Atletas!B105="Feminino",1000,IF(Atletas!B105="Masculino",2000,""))+IF(Atletas!T105="Taijijian 42 F",942,IF(Atletas!U105="Taijidao A",943,IF(Atletas!U105="Taijishan A",944,IF(Atletas!U105="Taijiqiang A",945,IF(Atletas!U105="Taijidao B",946,IF(Atletas!U105="Taijishan B",947,IF(Atletas!U105="Taijiqiang B",948,IF(Atletas!U105="Taijidao C",949,IF(Atletas!U105="Taijishan C",950,IF(Atletas!U105="Taijiqiang C",951,IF(Atletas!U105="Taijidao D",952,IF(Atletas!U105="Taijishan D",953,IF(Atletas!U105="Taijiqiang D",954,IF(Atletas!U105="Taijidao E",955,IF(Atletas!U105="Taijishan E",956,IF(Atletas!U105="Taijiqiang E",957,IF(Atletas!U105="Taijidao F",958,IF(Atletas!U105="Taijishan F",959,IF(Atletas!U105="Taijiqiang F",960))))))))))))))))))))</f>
        <v/>
      </c>
      <c r="BX109" s="64" t="str">
        <f>IF(BY109&lt;&gt;"","Shaolinquan F","")</f>
        <v/>
      </c>
      <c r="BY109" s="64" t="str">
        <f>IF(COUNTIF(BK:BW,1173)&gt;0,COUNTIF(BK:BW,1173),"")</f>
        <v/>
      </c>
      <c r="BZ109" s="64" t="str">
        <f>IF(CA109&lt;&gt;"","Shaolinquan F","")</f>
        <v/>
      </c>
      <c r="CA109" s="64" t="str">
        <f>IF(COUNTIF(BK:BW,2173)&gt;0,COUNTIF(BK:BW,2173),"")</f>
        <v/>
      </c>
      <c r="CB109" s="64" t="str">
        <f>IF(CC109&lt;&gt;"","Shaolinquan F","")</f>
        <v/>
      </c>
      <c r="CC109" s="64" t="str">
        <f>IF(COUNTIF(BK:BW,11173)&gt;0,COUNTIF(BK:BW,11173),"")</f>
        <v/>
      </c>
      <c r="CD109" s="64" t="str">
        <f>IF(CE109&lt;&gt;"","Shaolinquan F","")</f>
        <v/>
      </c>
      <c r="CE109" s="64" t="str">
        <f>IF(COUNTIF(BK:BW,12173)&gt;0,COUNTIF(BK:BW,12173),"")</f>
        <v/>
      </c>
      <c r="CF109" s="52" t="str">
        <f xml:space="preserve"> IF(Atletas!V105="","",IF(Atletas!V105="Duilian de Mãos AB - Equipe 1",1,IF(Atletas!V105="Duilian de Mãos AB - Equipe 2",2,IF(Atletas!V105="Duilian de Armas AB - Equipe 1",3,IF(Atletas!V105="Duilian de Armas AB - Equipe 2",4,IF(Atletas!V105="Duilian de Tuishou - Equipe 1",5,IF(Atletas!V105="Duilian de Tuishou - Equipe 2",6,IF(Atletas!V105="Grupo Externo AB - Equipe 1",7,IF(Atletas!V105="Grupo Externo AB - Equipe 2",8,IF(Atletas!V105="Grupo Interno AB - Equipe 1",9,IF(Atletas!V105="Grupo Interno AB - Equipe 2",10,IF(Atletas!V105="Duilian de Mãos CD - Equipe 1",11,IF(Atletas!V105="Duilian de Mãos CD - Equipe 2",12,IF(Atletas!V105="Duilian de Armas CD - Equipe 1",13,IF(Atletas!V105="Duilian de Armas CD - Equipe 2",14,IF(Atletas!V105="Duilian de Tuishou - Equipe 1",15,IF(Atletas!V105="Duilian de Tuishou - Equipe 2",16,IF(Atletas!V105="Grupo Externo CDEF - Equipe 1",17,IF(Atletas!V105="Grupo Externo CDEF - Equipe 2",18,IF(Atletas!V105="Grupo Interno CDEF - Equipe 1",19,IF(Atletas!V105="Grupo Interno CDEF - Equipe 2",20,IF(Atletas!V105="Duilian de Mãos EF - Equipe 1",21,IF(Atletas!V105="Duilian de Mãos EF - Equipe 2",22,IF(Atletas!V105="Duilian de Armas EF - Equipe 1",23,IF(Atletas!V105="Duilian de Armas EF - Equipe 2",24,IF(Atletas!V105="Duilian de Tuishou - Equipe 1",25,IF(Atletas!V105="Duilian de Tuishou - Equipe 2",26,"")))))))))))))))))))))))))))</f>
        <v/>
      </c>
    </row>
    <row r="110" spans="2:84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 t="str">
        <f t="array" ref="V110">IFERROR(INDEX(BX$7:BX$336,SMALL(IF(BX$7:BX$336&lt;&gt;"",ROW(BX$7:BX$336)-ROW(BX$7)+1),ROWS(BX$7:BX109))),"")</f>
        <v/>
      </c>
      <c r="W110" s="4" t="str">
        <f t="array" ref="W110">IFERROR(INDEX(BY$7:BY$336,SMALL(IF(BY$7:BY$336&lt;&gt;"",ROW(BY$7:BY$336)-ROW(BY$7)+1),ROWS(BY$7:BY109))),"")</f>
        <v/>
      </c>
      <c r="X110" s="4" t="str">
        <f t="array" ref="X110">IFERROR(INDEX(BZ$7:BZ$336,SMALL(IF(BZ$7:BZ$336&lt;&gt;"",ROW(BZ$7:BZ$336)-ROW(BZ$7)+1),ROWS(BZ$7:BZ109))),"")</f>
        <v/>
      </c>
      <c r="Y110" s="4" t="str">
        <f t="array" ref="Y110">IFERROR(INDEX(CA$7:CA$336,SMALL(IF(CA$7:CA$336&lt;&gt;"",ROW(CA$7:CA$336)-ROW(CA$7)+1),ROWS(CA$7:CA109))),"")</f>
        <v/>
      </c>
      <c r="Z110" s="4" t="str">
        <f t="array" ref="Z110">IFERROR(INDEX(CB$7:CB$378,SMALL(IF(CB$7:CB$378&lt;&gt;"",ROW(CB$7:CB$378)-ROW(CB$7)+1),ROWS(CB$7:CB109))),"")</f>
        <v/>
      </c>
      <c r="AA110" s="4" t="str">
        <f t="array" ref="AA110">IFERROR(INDEX(CC$7:CC$378,SMALL(IF(CC$7:CC$378&lt;&gt;"",ROW(CC$7:CC$378)-ROW(CC$7)+1),ROWS(CC$7:CC109))),"")</f>
        <v/>
      </c>
      <c r="AB110" s="4" t="str">
        <f t="array" ref="AB110">IFERROR(INDEX(CD$7:CD$378,SMALL(IF(CD$7:CD$378&lt;&gt;"",ROW(CD$7:CD$378)-ROW(CD$7)+1),ROWS(CD$7:CD109))),"")</f>
        <v/>
      </c>
      <c r="AC110" s="4" t="str">
        <f t="array" ref="AC110">IFERROR(INDEX(CE$7:CE$378,SMALL(IF(CE$7:CE$378&lt;&gt;"",ROW(CE$7:CE$378)-ROW(CE$7)+1),ROWS(CE$7:CE109))),"")</f>
        <v/>
      </c>
      <c r="AD110" s="4"/>
      <c r="AE110" s="4"/>
      <c r="AF110" s="4"/>
      <c r="AG110" s="4"/>
      <c r="AH110" s="4"/>
      <c r="AI110" s="4"/>
      <c r="AJ110" s="46" t="str">
        <f>IF(Atletas!D106="","",IF(Atletas!B106="Feminino",100,IF(Atletas!B106="Masculino",200,""))+(IF(Atletas!D106="Infantil 39kg",1,IF(Atletas!D106="Infantil 42kg",2,IF(Atletas!D106="Infantil 45kg",3,IF(Atletas!D106="Infantil 48kg",4,IF(Atletas!D106="Infantil 52kg",5,IF(Atletas!D106="Infantil 56kg",6,IF(Atletas!D106="Infantil 60kg",7,IF(Atletas!D106="Juvenil 48kg",8,IF(Atletas!D106="Juvenil 52kg",9,IF(Atletas!D106="Juvenil 56kg",10,IF(Atletas!D106="Juvenil 60kg",11,IF(Atletas!D106="Juvenil 65kg",12,IF(Atletas!D106="Juvenil 70kg",13,IF(Atletas!D106="Juvenil 75kg",14,IF(Atletas!D106="Juvenil 80kg",15,IF(Atletas!D106="Adulto 48kg",16,IF(Atletas!D106="Adulto 52kg",17,IF(Atletas!D106="Adulto 56kg",18,IF(Atletas!D106="Adulto 60kg",19,IF(Atletas!D106="Adulto 65kg",20,IF(Atletas!D106="Adulto 70kg",21,IF(Atletas!D106="Adulto 75kg",22,IF(Atletas!D106="Adulto 80kg",23,IF(Atletas!D106="Adulto 85kg",24,IF(Atletas!D106="Adulto 90kg",25,IF(Atletas!D106="Adulto +90kg",26,""))))))))))))))))))))))))))))</f>
        <v/>
      </c>
      <c r="AO110" s="10" t="str">
        <f>IF(Atletas!E106="","",IF(Atletas!B106="Feminino",100,IF(Atletas!B106="Masculino",200,""))+(IF(Atletas!E106="Juvenil 44kg",1,IF(Atletas!E106="Juvenil 48kg",2,IF(Atletas!E106="Juvenil 52kg",3,IF(Atletas!E106="Juvenil 56kg",4,IF(Atletas!E106="Juvenil 60kg",5,IF(Atletas!E106="Juvenil 65kg",6,IF(Atletas!E106="Juvenil 70kg",7,IF(Atletas!E106="Juvenil 75kg",8,IF(Atletas!E106="Juvenil 82kg",9,IF(Atletas!E106="Juvenil 90kg",10,IF(Atletas!E106="Juvenil 100kg",11,IF(Atletas!E106="Adulto 48kg",12,IF(Atletas!E106="Adulto 52kg",13,IF(Atletas!E106="Adulto 56kg",14,IF(Atletas!E106="Adulto 60kg",15,IF(Atletas!E106="Adulto 65kg",16,IF(Atletas!E106="Adulto 70kg",17,IF(Atletas!E106="Adulto 75kg",18,IF(Atletas!E106="Adulto 82kg",19,IF(Atletas!E106="Adulto 90kg",20,IF(Atletas!E106="Adulto 100kg",21,IF(Atletas!E106="Adulto +100kg",22,""))))))))))))))))))))))))</f>
        <v/>
      </c>
      <c r="AT110" s="10" t="str">
        <f>IF(Atletas!F106="","",IF(Atletas!B106="Feminino",100,IF(Atletas!B106="Masculino",200,""))+(IF(Atletas!F106="Adulto 48kg",1,IF(Atletas!F106="Adulto 56kg",2,IF(Atletas!F106="Adulto 65kg",3,IF(Atletas!F106="Adulto 75kg",4,IF(Atletas!F106="Adulto +75kg",5,IF(Atletas!F106="Adulto 52kg",6,IF(Atletas!F106="Adulto 60kg",7,IF(Atletas!F106="Adulto 70kg",8,IF(Atletas!F106="Adulto 80kg",9,IF(Atletas!F106="Adulto 90kg",10,IF(Atletas!F106="Adulto +90kg",11,"")))))))))))))</f>
        <v/>
      </c>
      <c r="AY110" s="46" t="str">
        <f>IF(Atletas!G106="","",IF(Atletas!B106="Feminino",100,IF(Atletas!B106="Masculino",200,""))+(IF(Atletas!G106="Changquan Mirim",1,IF(Atletas!G106="Nanquan Mirim",2,IF(Atletas!G106="Taijiquan Mirim",3,IF(Atletas!G106="Changquan Grupo C",4,IF(Atletas!G106="Nanquan Grupo C",5,IF(Atletas!G106="Taijiquan Grupo C",6,IF(Atletas!G106="Changquan Grupo B",7,IF(Atletas!G106="Nanquan Grupo B",8,IF(Atletas!G106="Taijiquan Grupo B",9,IF(Atletas!G106="Changquan Grupo A",10,IF(Atletas!G106="Nanquan Grupo A",11,IF(Atletas!G106="Taijiquan Grupo A",12,IF(Atletas!G106="Changquan Opcional",13,IF(Atletas!G106="Nanquan Opcional",14,IF(Atletas!G106="Taijiquan Opcional",15,IF(Atletas!G106="Changquan Adulto",16,IF(Atletas!G106="Nanquan Adulto",17,IF(Atletas!G106="Taijiquan Adulto",18,""))))))))))))))))))))</f>
        <v/>
      </c>
      <c r="AZ110" s="46" t="str">
        <f>IF(Atletas!H106="","",IF(Atletas!B106="Feminino",100,IF(Atletas!B106="Masculino",200,""))+(IF(Atletas!H106="Daoshu Mirim",19,IF(Atletas!H106="Jianshu Mirim",20,IF(Atletas!H106="Nandao Mirim",21,IF(Atletas!H106="Taijijian Mirim",22,IF(Atletas!H106="Daoshu Grupo C",23,IF(Atletas!H106="Jianshu Grupo C",24,IF(Atletas!H106="Nandao Grupo C",25,IF(Atletas!H106="Taijijian Grupo C",26,IF(Atletas!H106="Daoshu Grupo B",27,IF(Atletas!H106="Jianshu Grupo B",28,IF(Atletas!H106="Nandao Grupo B",29,IF(Atletas!H106="Taijijian Grupo B",30,IF(Atletas!H106="Daoshu Grupo A",31,IF(Atletas!H106="Jianshu Grupo A",32,IF(Atletas!H106="Nandao Grupo A",33,IF(Atletas!H106="Taijijian Grupo A",34,IF(Atletas!H106="Daoshu Opcional",35,IF(Atletas!H106="Jianshu Opcional",36,IF(Atletas!H106="Nandao Opcional",37,IF(Atletas!H106="Taijijian Opcional",38,IF(Atletas!H106="Daoshu Adulto",39,IF(Atletas!H106="Jianshu Adulto",40,IF(Atletas!H106="Nandao Adulto",41,IF(Atletas!H106="Taijijian Adulto",42,""))))))))))))))))))))))))))</f>
        <v/>
      </c>
      <c r="BA110" s="46" t="str">
        <f>IF(Atletas!I106="","",IF(Atletas!B106="Feminino",100,IF(Atletas!B106="Masculino",200,""))+(IF(Atletas!I106="Gunshu Mirim",43,IF(Atletas!I106="Qiangshu Mirim",44,IF(Atletas!I106="Nangun Mirim",45,IF(Atletas!I106="Gunshu Grupo C",46,IF(Atletas!I106="Qiangshu Grupo C",47,IF(Atletas!I106="Nangun Grupo C",48,IF(Atletas!I106="Gunshu Grupo B",49,IF(Atletas!I106="Qiangshu Grupo B",50,IF(Atletas!I106="Nangun Grupo B",51,IF(Atletas!I106="Gunshu Grupo A",52,IF(Atletas!I106="Qiangshu Grupo A",53,IF(Atletas!I106="Nangun Grupo A",54,IF(Atletas!I106="Gunshu Opcional",55,IF(Atletas!I106="Qiangshu Opcional",56,IF(Atletas!I106="Nangun Opcional",57,IF(Atletas!I106="Gunshu Adulto",58,IF(Atletas!I106="Qiangshu Adulto",59,IF(Atletas!I106="Nangun Adulto",60,""))))))))))))))))))))</f>
        <v/>
      </c>
      <c r="BF110" s="52" t="str">
        <f>IF(Atletas!J106="","",IF(Atletas!B106="Feminino",100,IF(Atletas!B106="Masculino",200,""))+(IF(Atletas!J106="Equipe 1 Grupo B",1,IF(Atletas!J106="Equipe 2 Grupo B",2,IF(Atletas!J106="Equipe 1 Grupo A",3,IF(Atletas!J106="Equipe 2 Grupo A",4,IF(Atletas!J106="Equipe 1 Adulto",5,IF(Atletas!J106="Equipe 2 Adulto",6,""))))))))</f>
        <v/>
      </c>
      <c r="BK110" s="52" t="str">
        <f>IF(Atletas!K106="","",IF(Atletas!W106&lt;&gt;"",10000,0)+(IF(Atletas!B106="Feminino",1000,IF(Atletas!B106="Masculino",2000,""))+IF(Atletas!K106="Choylayfut A",1,IF(Atletas!K106="Hunggar A",2,IF(Atletas!K106="Wuzuquan A",3,IF(Atletas!K106="Wingchun A",4,IF(Atletas!K106="Outra Mão de Sul A",5,IF(Atletas!K106="Choylayfut B",6,IF(Atletas!K106="Hunggar B",7,IF(Atletas!K106="Wuzuquan B",8,IF(Atletas!K106="Wingchun B",9,IF(Atletas!K106="Outra Mão de Sul B",10,IF(Atletas!K106="Choylayfut C",11,IF(Atletas!K106="Hunggar C",12,IF(Atletas!K106="Wuzuquan C",13,IF(Atletas!K106="Wingchun C",14,IF(Atletas!K106="Outra Mão de Sul C",15,IF(Atletas!K106="Choylayfut D",16,IF(Atletas!K106="Hunggar D",17,IF(Atletas!K106="Wuzuquan D",18,IF(Atletas!K106="Wingchun D",19,IF(Atletas!K106="Outra Mão de Sul D",20,IF(Atletas!K106="Choylayfut E",21,IF(Atletas!K106="Hunggar E",22,IF(Atletas!K106="Wuzuquan E",23,IF(Atletas!K106="Wingchun E",24,IF(Atletas!K106="Outra Mão de Sul E",25,IF(Atletas!K106="Choylayfut F",26,IF(Atletas!K106="Hunggar F",27,IF(Atletas!K106="Wuzuquan F",28,IF(Atletas!K106="Wingchun F",29,IF(Atletas!K106="Outra Mão de Sul F",30,""))))))))))))))))))))))))))))))))</f>
        <v/>
      </c>
      <c r="BL110" s="52" t="str">
        <f>IF(Atletas!L106="","",IF(Atletas!W106&lt;&gt;"",10000,0)+(IF(Atletas!B106="Feminino",1000,IF(Atletas!B106="Masculino",2000,""))+(IF(Atletas!L106="Chaquan A",101,IF(Atletas!L106="Emeiquan A",102,IF(Atletas!L106="Fanziquan A",103,IF(Atletas!L106="Huaquan A",104,IF(Atletas!L106="Hongquan A",105,IF(Atletas!L106="Paochui A",106,IF(Atletas!L106="Piguaquan A",107,IF(Atletas!L106="Shaolinquan A",108,IF(Atletas!L106="Tanglangquan A",109,IF(Atletas!L106="Yinzhaophai A",110,IF(Atletas!L106="Tongbeiquan A",111,IF(Atletas!L106="Wudangquan A",112,IF(Atletas!L106="Outros Estilos A",113,IF(Atletas!L106="Chaquan B",114,IF(Atletas!L106="Emeiquan B",115,IF(Atletas!L106="Fanziquan B",116,IF(Atletas!L106="Huaquan B",117,IF(Atletas!L106="Hongquan B",118,IF(Atletas!L106="Paochui B",119,IF(Atletas!L106="Piguaquan B",120,IF(Atletas!L106="Shaolinquan B",121,IF(Atletas!L106="Tanglangquan B",122,IF(Atletas!L106="Yinzhaophai B",123,IF(Atletas!L106="Tongbeiquan B",124,IF(Atletas!L106="Wudangquan B",125,IF(Atletas!L106="Outros Estilos B",126,IF(Atletas!L106="Chaquan C",127,IF(Atletas!L106="Emeiquan C",128,IF(Atletas!L106="Fanziquan C",129,IF(Atletas!L106="Huaquan C",130,IF(Atletas!L106="Hongquan C",131,IF(Atletas!L106="Paochui C",132,IF(Atletas!L106="Piguaquan C",133,IF(Atletas!L106="Shaolinquan C",134,IF(Atletas!L106="Tanglangquan C",135,IF(Atletas!L106="Yinzhaophai C",136,IF(Atletas!L106="Tongbeiquan C",137,IF(Atletas!L106="Wudangquan C",138,IF(Atletas!L106="Outros Estilos C",139,0))))))))))))))))))))))))))))))))))))))))))</f>
        <v/>
      </c>
      <c r="BM110" s="52" t="str">
        <f>IF(Atletas!L106="","",IF(Atletas!W106&lt;&gt;"",10000,0)+(IF(Atletas!B106="Feminino",1000,IF(Atletas!B106="Masculino",2000,""))+(IF(Atletas!L106="Chaquan D",140,IF(Atletas!L106="Emeiquan D",141,IF(Atletas!L106="Fanziquan D",142,IF(Atletas!L106="Huaquan D",143,IF(Atletas!L106="Hongquan D",144,IF(Atletas!L106="Paochui D",145,IF(Atletas!L106="Piguaquan D",146,IF(Atletas!L106="Shaolinquan D",147,IF(Atletas!L106="Tanglangquan D",148,IF(Atletas!L106="Yinzhaophai D",149,IF(Atletas!L106="Tongbeiquan D",150,IF(Atletas!L106="Wudangquan D",151,IF(Atletas!L106="Outros Estilos D",152,IF(Atletas!L106="Chaquan E",153,IF(Atletas!L106="Emeiquan E",154,IF(Atletas!L106="Fanziquan E",155,IF(Atletas!L106="Huaquan E",156,IF(Atletas!L106="Hongquan E",157,IF(Atletas!L106="Paochui E",158,IF(Atletas!L106="Piguaquan E",159,IF(Atletas!L106="Shaolinquan E",160,IF(Atletas!L106="Tanglangquan E",161,IF(Atletas!L106="Yinzhaophai E",162,IF(Atletas!L106="Tongbeiquan E",163,IF(Atletas!L106="Wudangquan E",164,IF(Atletas!L106="Outros Estilos E",165,IF(Atletas!L106="Chaquan F",166,IF(Atletas!L106="Emeiquan F",167,IF(Atletas!L106="Fanziquan F",168,IF(Atletas!L106="Huaquan F",169,IF(Atletas!L106="Hongquan F",170,IF(Atletas!L106="Paochui F",171,IF(Atletas!L106="Piguaquan F",172,IF(Atletas!L106="Shaolinquan F",173,IF(Atletas!L106="Tanglangquan F",174,IF(Atletas!L106="Yinzhaophai F",175,IF(Atletas!L106="Tongbeiquan F",176,IF(Atletas!L106="Wudangquan F",177,IF(Atletas!L106="Outros Estilos F",178,0))))))))))))))))))))))))))))))))))))))))))</f>
        <v/>
      </c>
      <c r="BN110" s="52" t="str">
        <f>IF(Atletas!M106="","",IF(Atletas!W106&lt;&gt;"",10000,0)+(IF(Atletas!B106="Feminino",1000,IF(Atletas!B106="Masculino",2000,""))+(IF(Atletas!M106="Ditangquan A",201,IF(Atletas!M106="Houquan A",202,IF(Atletas!M106="Zuiquan A",203,IF(Atletas!M106="Ditangquan B",204,IF(Atletas!M106="Houquan B",205,IF(Atletas!M106="Zuiquan B",206,IF(Atletas!M106="Ditangquan C",207,IF(Atletas!M106="Houquan C",208,IF(Atletas!M106="Zuiquan C",209,IF(Atletas!M106="Ditangquan D",210,IF(Atletas!M106="Houquan D",211,IF(Atletas!M106="Zuiquan D",212,IF(Atletas!M106="Ditangquan E",213,IF(Atletas!M106="Houquan E",214,IF(Atletas!M106="Zuiquan E",215,IF(Atletas!M106="Ditangquan F",216,IF(Atletas!M106="Houquan F",217,IF(Atletas!M106="Zuiquan F",218,"")))))))))))))))))))))</f>
        <v/>
      </c>
      <c r="BO110" s="52" t="str">
        <f>IF(Atletas!N106="","",IF(Atletas!W106&lt;&gt;"",10000,0)+IF(Atletas!B106="Feminino",1000,IF(Atletas!B106="Masculino",2000,""))+IF(Atletas!N106="Yang A",301,IF(Atletas!N106="Chen A",30,IF(Atletas!N106="Sun A",303,IF(Atletas!N106="Wu A",304,IF(Atletas!N106="Wu-Hao A",305,IF(Atletas!N106="Outro Taijiquan A",306,IF(Atletas!N106="Yang B",307,IF(Atletas!N106="Chen B",308,IF(Atletas!N106="Sun B",309,IF(Atletas!N106="Wu B",310,IF(Atletas!N106="Wu-Hao B",311,IF(Atletas!N106="Outro Taijiquan B",312,IF(Atletas!N106="Yang C",313,IF(Atletas!N106="Chen C",314,IF(Atletas!N106="Sun C",315,IF(Atletas!N106="Wu C",316,IF(Atletas!N106="Wu-Hao C",317,IF(Atletas!N106="Outro Taijiquan C",318,IF(Atletas!N106="Yang D",319,IF(Atletas!N106="Chen D",320,IF(Atletas!N106="Sun D",321,IF(Atletas!N106="Wu D",322,IF(Atletas!N106="Wu-Hao D",323,IF(Atletas!N106="Outro Taijiquan D",324,IF(Atletas!N106="Yang E",325,IF(Atletas!N106="Chen E",326,IF(Atletas!N106="Sun E",327,IF(Atletas!N106="Wu E",328,IF(Atletas!N106="Wu-Hao E",329,IF(Atletas!N106="Outro Taijiquan E",330,IF(Atletas!N106="Yang F",331,IF(Atletas!N106="Chen F",332,IF(Atletas!N106="Sun F",333,IF(Atletas!N106="Wu F",334,IF(Atletas!N106="Wu-Hao F",335,IF(Atletas!N106="Outro Taijiquan F",336,"")))))))))))))))))))))))))))))))))))))</f>
        <v/>
      </c>
      <c r="BP110" s="52" t="str">
        <f>IF(Atletas!O106="","",IF(Atletas!W106&lt;&gt;"",10000,0)+IF(Atletas!B106="Feminino",1000,IF(Atletas!B106="Masculino",2000,""))+IF(OR(Atletas!O106="Yang 26 A",Atletas!O106="Yang 40 A"),401,IF(OR(Atletas!O106="Chen 25 A",Atletas!O106="Chen 36 A",Atletas!O106="Chen 56 A"),402,IF(Atletas!O106="Sun 73 A",403,IF(Atletas!O106="Wu 45 A",404,IF(Atletas!O106="Wu-Hao 46 A",405,IF(OR(Atletas!O106="Taijiquan 16 A",Atletas!O106="Taijiquan 24 A",Atletas!O106="Taijiquan 32 A",Atletas!O106="Taijiquan 42 A"),406,IF(OR(Atletas!O106="Yang 26 B",Atletas!O106="Yang 40 B"),407,IF(OR(Atletas!O106="Chen 25 B",Atletas!O106="Chen 36 B",Atletas!O106="Chen 56 B"),408,IF(Atletas!O106="Sun 73 B",409,IF(Atletas!O106="Wu 45 B",410,IF(Atletas!O106="Wu-Hao 46 B",411,IF(OR(Atletas!O106="Taijiquan 16 B",Atletas!O106="Taijiquan 24 B",Atletas!O106="Taijiquan 32 B",Atletas!O106="Taijiquan 42 B"),412,IF(OR(Atletas!O106="Yang 26 C",Atletas!O106="Yang 40 C"),413,IF(OR(Atletas!O106="Chen 25 C",Atletas!O106="Chen 36 C",Atletas!O106="Chen 56 C"),414,IF(Atletas!O106="Sun 73 C",415,IF(Atletas!O106="Wu 45 C",416,IF(Atletas!O106="Wu-Hao 46 C",417,IF(OR(Atletas!O106="Taijiquan 16 C",Atletas!O106="Taijiquan 24 C",Atletas!O106="Taijiquan 32 C",Atletas!O106="Taijiquan 42 C"),418,0)))))))))))))))))))</f>
        <v/>
      </c>
      <c r="BQ110" s="52" t="str">
        <f>IF(Atletas!O106="","",IF(Atletas!W106&lt;&gt;"",10000,0)+IF(Atletas!B106="Feminino",1000,IF(Atletas!B106="Masculino",2000,""))+IF(OR(Atletas!O106="Yang 26 D",Atletas!O106="Yang 40 D"),419,IF(OR(Atletas!O106="Chen 25 D",Atletas!O106="Chen 36 D",Atletas!O106="Chen 56 D"),420,IF(Atletas!O106="Sun 73 D",421,IF(Atletas!O106="Wu 45 D",422,IF(Atletas!O106="Wu-Hao 46 D",423,IF(OR(Atletas!O106="Taijiquan 16 D",Atletas!O106="Taijiquan 24 D",Atletas!O106="Taijiquan 32 D",Atletas!O106="Taijiquan 42 D"),424,IF(OR(Atletas!O106="Yang 26 E",Atletas!O106="Yang 40 E"),425,IF(OR(Atletas!O106="Chen 25 E",Atletas!O106="Chen 36 E",Atletas!O106="Chen 56 E"),426,IF(Atletas!O106="Sun 73 E",427,IF(Atletas!O106="Wu 45 E",428,IF(Atletas!O106="Wu-Hao 46 E",429,IF(OR(Atletas!O106="Taijiquan 16 E",Atletas!O106="Taijiquan 24 E",Atletas!O106="Taijiquan 32 E",Atletas!O106="Taijiquan 42 E"),430,IF(OR(Atletas!O106="Yang 26 F",Atletas!O106="Yang 40 F"),431,IF(OR(Atletas!O106="Chen 25 F",Atletas!O106="Chen 36 F",Atletas!O106="Chen 56 F"),432,IF(Atletas!O106="Sun 73 F",433,IF(Atletas!O106="Wu 45 F",434,IF(Atletas!O106="Wu-Hao 46 F",435,IF(OR(Atletas!O106="Taijiquan 16 F",Atletas!O106="Taijiquan 24 F",Atletas!O106="Taijiquan 32 F",Atletas!O106="Taijiquan 42 F"),436,0)))))))))))))))))))</f>
        <v/>
      </c>
      <c r="BR110" s="52" t="str">
        <f>IF(Atletas!P106="","",IF(Atletas!W106&lt;&gt;"",10000,0)+IF(Atletas!B106="Feminino",1000,IF(Atletas!B106="Masculino",2000,""))+IF(Atletas!P106="Xingyiquan A",501,IF(Atletas!P106="Baguazhang A",502,IF(Atletas!P106="Outro Estilo Interno A",503,IF(Atletas!P106="Xingyiquan B",504,IF(Atletas!P106="Baguazhang B",505,IF(Atletas!P106="Outro Estilo Interno B",506,IF(Atletas!P106="Xingyiquan C",507,IF(Atletas!P106="Baguazhang C",508,IF(Atletas!P106="Outro Estilo Interno C",509,IF(Atletas!P106="Xingyiquan D",510,IF(Atletas!P106="Baguazhang D",511,IF(Atletas!P106="Outro Estilo Interno D",512,IF(Atletas!P106="Xingyiquan E",513,IF(Atletas!P106="Baguazhang E",514,IF(Atletas!P106="Outro Estilo Interno E",515,IF(Atletas!P106="Xingyiquan F",516,IF(Atletas!P106="Baguazhang F",517,IF(Atletas!P106="Outro Estilo Interno F",518, "")))))))))))))))))))</f>
        <v/>
      </c>
      <c r="BS110" s="52" t="str">
        <f>IF(Atletas!Q106="","",IF(Atletas!W106&lt;&gt;"",10000,0)+IF(Atletas!B106="Feminino",1000,IF(Atletas!B106="Masculino",2000,""))+IF(Atletas!Q106="Dao A",601,IF(Atletas!Q106="Jian A",602,IF(Atletas!Q106="Bishou A",603,IF(Atletas!Q106="Shan A",604,IF(Atletas!Q106="Outra Arma Curta A",605,IF(Atletas!Q106="Dao B",606,IF(Atletas!Q106="Jian B",607,IF(Atletas!Q106="Bishou B",608,IF(Atletas!Q106="Shan B",609,IF(Atletas!Q106="Outra Arma Curta B",610,IF(Atletas!Q106="Dao C",611,IF(Atletas!Q106="Jian C",612,IF(Atletas!Q106="Bishou C",613,IF(Atletas!Q106="Shan C",614,IF(Atletas!Q106="Outra Arma Curta C",615,IF(Atletas!Q106="Dao D",616,IF(Atletas!Q106="Jian D",617,IF(Atletas!Q106="Bishou D",618,IF(Atletas!Q106="Shan D",619,IF(Atletas!Q106="Outra Arma Curta D",620,IF(Atletas!Q106="Dao E",621,IF(Atletas!Q106="Jian E",622,IF(Atletas!Q106="Bishou E",623,IF(Atletas!Q106="Shan E",624,IF(Atletas!Q106="Outra Arma Curta E",625,IF(Atletas!Q106="Dao F",626,IF(Atletas!Q106="Jian F",627,IF(Atletas!Q106="Bishou F",628,IF(Atletas!Q106="Shan F",629,IF(Atletas!Q106="Outra Arma Curta F",630, "")))))))))))))))))))))))))))))))</f>
        <v/>
      </c>
      <c r="BT110" s="52" t="str">
        <f>IF(Atletas!R106="","",IF(Atletas!W106&lt;&gt;"",10000,0)+IF(Atletas!B106="Feminino",1000,IF(Atletas!B106="Masculino",2000,""))+IF(Atletas!R106="Gun A",701,IF(Atletas!R106="Qiang A",702,IF(Atletas!R106="Pudao / Guandao A",703,IF(Atletas!R106="Outra Arma Longa A",704,IF(Atletas!R106="Gun B",705,IF(Atletas!R106="Qiang B",706,IF(Atletas!R106="Pudao / Guandao B",707,IF(Atletas!R106="Outra Arma Longa B",708,IF(Atletas!R106="Gun C",709,IF(Atletas!R106="Qiang C",710,IF(Atletas!R106="Pudao / Guandao C",711,IF(Atletas!R106="Outra Arma Longa C",712,IF(Atletas!R106="Gun D",713,IF(Atletas!R106="Qiang D",714,IF(Atletas!R106="Pudao / Guandao D",715,IF(Atletas!R106="Outra Arma Longa D",716,IF(Atletas!R106="Gun E",717,IF(Atletas!R106="Qiang E",718,IF(Atletas!R106="Pudao / Guandao E",719,IF(Atletas!R106="Outra Arma Longa E",720,IF(Atletas!R106="Gun F",721,IF(Atletas!R106="Qiang F",722,IF(Atletas!R106="Pudao / Guandao F",723,IF(Atletas!R106="Outra Arma Longa F",724,"")))))))))))))))))))))))))</f>
        <v/>
      </c>
      <c r="BU110" s="52" t="str">
        <f>IF(Atletas!S106="","",IF(Atletas!W106&lt;&gt;"",10000,0)+IF(Atletas!B106="Feminino",1000,IF(Atletas!B106="Masculino",2000,""))+IF(Atletas!S106="Arma Dupla A",801,IF(Atletas!S106="Arma Maleável A",802,IF(Atletas!S106="Arma Dupla B",803,IF(Atletas!S106="Arma Maleável B",804,IF(Atletas!S106="Arma Dupla C",805,IF(Atletas!S106="Arma Maleável C",806,IF(Atletas!S106="Arma Dupla D",807,IF(Atletas!S106="Arma Maleável D",808,IF(Atletas!S106="Arma Dupla E",809,IF(Atletas!S106="Arma Maleável E",810,IF(Atletas!S106="Arma Dupla F",811,IF(Atletas!S106="Arma Maleável F",812, "")))))))))))))</f>
        <v/>
      </c>
      <c r="BV110" s="52" t="str">
        <f>IF(Atletas!T106="","",IF(Atletas!W106&lt;&gt;"",10000,0)+IF(Atletas!B106="Feminino",1000,IF(Atletas!B106="Masculino",2000,""))+IF(Atletas!T106="Taijijian Yang A",901,IF(Atletas!T106="Taijijian Chen A",902,IF(Atletas!T106="Taijijian Sun A",903,IF(Atletas!T106="Taijijian Wu A",904,IF(Atletas!T106="Taijijian Wu-Hao A",905,IF(Atletas!T106="Taijijian 32 A",906,IF(Atletas!T106="Taijijian 42 A",907,IF(Atletas!T106="Taijijian Yang B",908,IF(Atletas!T106="Taijijian Chen B",909,IF(Atletas!T106="Taijijian Sun B",910,IF(Atletas!T106="Taijijian Wu B",911,IF(Atletas!T106="Taijijian Wu-Hao B",912,IF(Atletas!T106="Taijijian 32 B",913,IF(Atletas!T106="Taijijian 42 B",914,IF(Atletas!T106="Taijijian Yang C",915,IF(Atletas!T106="Taijijian Chen C",916,IF(Atletas!T106="Taijijian Sun C",917,IF(Atletas!T106="Taijijian Wu C",918,IF(Atletas!T106="Taijijian Wu-Hao C",919,IF(Atletas!T106="Taijijian 32 C",920,IF(Atletas!T106="Taijijian 42 C",921,IF(Atletas!T106="Taijijian Yang D",922,IF(Atletas!T106="Taijijian Chen D",923,IF(Atletas!T106="Taijijian Sun D",924,IF(Atletas!T106="Taijijian Wu D",925,IF(Atletas!T106="Taijijian Wu-Hao D",926,IF(Atletas!T106="Taijijian 32 D",927,IF(Atletas!T106="Taijijian 42 D",928,IF(Atletas!T106="Taijijian Yang E",929,IF(Atletas!T106="Taijijian Chen E",930,IF(Atletas!T106="Taijijian Sun E",931,IF(Atletas!T106="Taijijian Wu E",932,IF(Atletas!T106="Taijijian Wu-Hao E",933,IF(Atletas!T106="Taijijian 32 E",934,IF(Atletas!T106="Taijijian 42 E",935,IF(Atletas!T106="Taijijian Yang F",936,IF(Atletas!T106="Taijijian Chen F",937,IF(Atletas!T106="Taijijian Sun F",938,IF(Atletas!T106="Taijijian Wu F",939,IF(Atletas!T106="Taijijian Wu-Hao F",940,IF(Atletas!T106="Taijijian 32 F",941,IF(Atletas!T106="Taijijian 42 F",942,"")))))))))))))))))))))))))))))))))))))))))))</f>
        <v/>
      </c>
      <c r="BW110" s="52" t="str">
        <f>IF(Atletas!U106="","",IF(Atletas!W106&lt;&gt;"",10000,0)+IF(Atletas!B106="Feminino",1000,IF(Atletas!B106="Masculino",2000,""))+IF(Atletas!T106="Taijijian 42 F",942,IF(Atletas!U106="Taijidao A",943,IF(Atletas!U106="Taijishan A",944,IF(Atletas!U106="Taijiqiang A",945,IF(Atletas!U106="Taijidao B",946,IF(Atletas!U106="Taijishan B",947,IF(Atletas!U106="Taijiqiang B",948,IF(Atletas!U106="Taijidao C",949,IF(Atletas!U106="Taijishan C",950,IF(Atletas!U106="Taijiqiang C",951,IF(Atletas!U106="Taijidao D",952,IF(Atletas!U106="Taijishan D",953,IF(Atletas!U106="Taijiqiang D",954,IF(Atletas!U106="Taijidao E",955,IF(Atletas!U106="Taijishan E",956,IF(Atletas!U106="Taijiqiang E",957,IF(Atletas!U106="Taijidao F",958,IF(Atletas!U106="Taijishan F",959,IF(Atletas!U106="Taijiqiang F",960))))))))))))))))))))</f>
        <v/>
      </c>
      <c r="BX110" s="64" t="str">
        <f>IF(BY110&lt;&gt;"","Tanglangquan F","")</f>
        <v/>
      </c>
      <c r="BY110" s="64" t="str">
        <f>IF(COUNTIF(BK:BW,1174)&gt;0,COUNTIF(BK:BW,1174),"")</f>
        <v/>
      </c>
      <c r="BZ110" s="64" t="str">
        <f>IF(CA110&lt;&gt;"","Tanglangquan F","")</f>
        <v/>
      </c>
      <c r="CA110" s="64" t="str">
        <f>IF(COUNTIF(BK:BW,2174)&gt;0,COUNTIF(BK:BW,2174),"")</f>
        <v/>
      </c>
      <c r="CB110" s="64" t="str">
        <f>IF(CC110&lt;&gt;"","Tanglangquan F","")</f>
        <v/>
      </c>
      <c r="CC110" s="64" t="str">
        <f>IF(COUNTIF(BK:BW,11174)&gt;0,COUNTIF(BK:BW,11174),"")</f>
        <v/>
      </c>
      <c r="CD110" s="64" t="str">
        <f>IF(CE110&lt;&gt;"","Tanglangquan F","")</f>
        <v/>
      </c>
      <c r="CE110" s="64" t="str">
        <f>IF(COUNTIF(BK:BW,12174)&gt;0,COUNTIF(BK:BW,12174),"")</f>
        <v/>
      </c>
      <c r="CF110" s="52" t="str">
        <f xml:space="preserve"> IF(Atletas!V106="","",IF(Atletas!V106="Duilian de Mãos AB - Equipe 1",1,IF(Atletas!V106="Duilian de Mãos AB - Equipe 2",2,IF(Atletas!V106="Duilian de Armas AB - Equipe 1",3,IF(Atletas!V106="Duilian de Armas AB - Equipe 2",4,IF(Atletas!V106="Duilian de Tuishou - Equipe 1",5,IF(Atletas!V106="Duilian de Tuishou - Equipe 2",6,IF(Atletas!V106="Grupo Externo AB - Equipe 1",7,IF(Atletas!V106="Grupo Externo AB - Equipe 2",8,IF(Atletas!V106="Grupo Interno AB - Equipe 1",9,IF(Atletas!V106="Grupo Interno AB - Equipe 2",10,IF(Atletas!V106="Duilian de Mãos CD - Equipe 1",11,IF(Atletas!V106="Duilian de Mãos CD - Equipe 2",12,IF(Atletas!V106="Duilian de Armas CD - Equipe 1",13,IF(Atletas!V106="Duilian de Armas CD - Equipe 2",14,IF(Atletas!V106="Duilian de Tuishou - Equipe 1",15,IF(Atletas!V106="Duilian de Tuishou - Equipe 2",16,IF(Atletas!V106="Grupo Externo CDEF - Equipe 1",17,IF(Atletas!V106="Grupo Externo CDEF - Equipe 2",18,IF(Atletas!V106="Grupo Interno CDEF - Equipe 1",19,IF(Atletas!V106="Grupo Interno CDEF - Equipe 2",20,IF(Atletas!V106="Duilian de Mãos EF - Equipe 1",21,IF(Atletas!V106="Duilian de Mãos EF - Equipe 2",22,IF(Atletas!V106="Duilian de Armas EF - Equipe 1",23,IF(Atletas!V106="Duilian de Armas EF - Equipe 2",24,IF(Atletas!V106="Duilian de Tuishou - Equipe 1",25,IF(Atletas!V106="Duilian de Tuishou - Equipe 2",26,"")))))))))))))))))))))))))))</f>
        <v/>
      </c>
    </row>
    <row r="111" spans="2:84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 t="str">
        <f t="array" ref="V111">IFERROR(INDEX(BX$7:BX$336,SMALL(IF(BX$7:BX$336&lt;&gt;"",ROW(BX$7:BX$336)-ROW(BX$7)+1),ROWS(BX$7:BX110))),"")</f>
        <v/>
      </c>
      <c r="W111" s="4" t="str">
        <f t="array" ref="W111">IFERROR(INDEX(BY$7:BY$336,SMALL(IF(BY$7:BY$336&lt;&gt;"",ROW(BY$7:BY$336)-ROW(BY$7)+1),ROWS(BY$7:BY110))),"")</f>
        <v/>
      </c>
      <c r="X111" s="4" t="str">
        <f t="array" ref="X111">IFERROR(INDEX(BZ$7:BZ$336,SMALL(IF(BZ$7:BZ$336&lt;&gt;"",ROW(BZ$7:BZ$336)-ROW(BZ$7)+1),ROWS(BZ$7:BZ110))),"")</f>
        <v/>
      </c>
      <c r="Y111" s="4" t="str">
        <f t="array" ref="Y111">IFERROR(INDEX(CA$7:CA$336,SMALL(IF(CA$7:CA$336&lt;&gt;"",ROW(CA$7:CA$336)-ROW(CA$7)+1),ROWS(CA$7:CA110))),"")</f>
        <v/>
      </c>
      <c r="Z111" s="4" t="str">
        <f t="array" ref="Z111">IFERROR(INDEX(CB$7:CB$378,SMALL(IF(CB$7:CB$378&lt;&gt;"",ROW(CB$7:CB$378)-ROW(CB$7)+1),ROWS(CB$7:CB110))),"")</f>
        <v/>
      </c>
      <c r="AA111" s="4" t="str">
        <f t="array" ref="AA111">IFERROR(INDEX(CC$7:CC$378,SMALL(IF(CC$7:CC$378&lt;&gt;"",ROW(CC$7:CC$378)-ROW(CC$7)+1),ROWS(CC$7:CC110))),"")</f>
        <v/>
      </c>
      <c r="AB111" s="4" t="str">
        <f t="array" ref="AB111">IFERROR(INDEX(CD$7:CD$378,SMALL(IF(CD$7:CD$378&lt;&gt;"",ROW(CD$7:CD$378)-ROW(CD$7)+1),ROWS(CD$7:CD110))),"")</f>
        <v/>
      </c>
      <c r="AC111" s="4" t="str">
        <f t="array" ref="AC111">IFERROR(INDEX(CE$7:CE$378,SMALL(IF(CE$7:CE$378&lt;&gt;"",ROW(CE$7:CE$378)-ROW(CE$7)+1),ROWS(CE$7:CE110))),"")</f>
        <v/>
      </c>
      <c r="AD111" s="4"/>
      <c r="AE111" s="4"/>
      <c r="AF111" s="4"/>
      <c r="AG111" s="4"/>
      <c r="AH111" s="4"/>
      <c r="AI111" s="4"/>
      <c r="AJ111" s="46" t="str">
        <f>IF(Atletas!D107="","",IF(Atletas!B107="Feminino",100,IF(Atletas!B107="Masculino",200,""))+(IF(Atletas!D107="Infantil 39kg",1,IF(Atletas!D107="Infantil 42kg",2,IF(Atletas!D107="Infantil 45kg",3,IF(Atletas!D107="Infantil 48kg",4,IF(Atletas!D107="Infantil 52kg",5,IF(Atletas!D107="Infantil 56kg",6,IF(Atletas!D107="Infantil 60kg",7,IF(Atletas!D107="Juvenil 48kg",8,IF(Atletas!D107="Juvenil 52kg",9,IF(Atletas!D107="Juvenil 56kg",10,IF(Atletas!D107="Juvenil 60kg",11,IF(Atletas!D107="Juvenil 65kg",12,IF(Atletas!D107="Juvenil 70kg",13,IF(Atletas!D107="Juvenil 75kg",14,IF(Atletas!D107="Juvenil 80kg",15,IF(Atletas!D107="Adulto 48kg",16,IF(Atletas!D107="Adulto 52kg",17,IF(Atletas!D107="Adulto 56kg",18,IF(Atletas!D107="Adulto 60kg",19,IF(Atletas!D107="Adulto 65kg",20,IF(Atletas!D107="Adulto 70kg",21,IF(Atletas!D107="Adulto 75kg",22,IF(Atletas!D107="Adulto 80kg",23,IF(Atletas!D107="Adulto 85kg",24,IF(Atletas!D107="Adulto 90kg",25,IF(Atletas!D107="Adulto +90kg",26,""))))))))))))))))))))))))))))</f>
        <v/>
      </c>
      <c r="AO111" s="10" t="str">
        <f>IF(Atletas!E107="","",IF(Atletas!B107="Feminino",100,IF(Atletas!B107="Masculino",200,""))+(IF(Atletas!E107="Juvenil 44kg",1,IF(Atletas!E107="Juvenil 48kg",2,IF(Atletas!E107="Juvenil 52kg",3,IF(Atletas!E107="Juvenil 56kg",4,IF(Atletas!E107="Juvenil 60kg",5,IF(Atletas!E107="Juvenil 65kg",6,IF(Atletas!E107="Juvenil 70kg",7,IF(Atletas!E107="Juvenil 75kg",8,IF(Atletas!E107="Juvenil 82kg",9,IF(Atletas!E107="Juvenil 90kg",10,IF(Atletas!E107="Juvenil 100kg",11,IF(Atletas!E107="Adulto 48kg",12,IF(Atletas!E107="Adulto 52kg",13,IF(Atletas!E107="Adulto 56kg",14,IF(Atletas!E107="Adulto 60kg",15,IF(Atletas!E107="Adulto 65kg",16,IF(Atletas!E107="Adulto 70kg",17,IF(Atletas!E107="Adulto 75kg",18,IF(Atletas!E107="Adulto 82kg",19,IF(Atletas!E107="Adulto 90kg",20,IF(Atletas!E107="Adulto 100kg",21,IF(Atletas!E107="Adulto +100kg",22,""))))))))))))))))))))))))</f>
        <v/>
      </c>
      <c r="AT111" s="10" t="str">
        <f>IF(Atletas!F107="","",IF(Atletas!B107="Feminino",100,IF(Atletas!B107="Masculino",200,""))+(IF(Atletas!F107="Adulto 48kg",1,IF(Atletas!F107="Adulto 56kg",2,IF(Atletas!F107="Adulto 65kg",3,IF(Atletas!F107="Adulto 75kg",4,IF(Atletas!F107="Adulto +75kg",5,IF(Atletas!F107="Adulto 52kg",6,IF(Atletas!F107="Adulto 60kg",7,IF(Atletas!F107="Adulto 70kg",8,IF(Atletas!F107="Adulto 80kg",9,IF(Atletas!F107="Adulto 90kg",10,IF(Atletas!F107="Adulto +90kg",11,"")))))))))))))</f>
        <v/>
      </c>
      <c r="AY111" s="46" t="str">
        <f>IF(Atletas!G107="","",IF(Atletas!B107="Feminino",100,IF(Atletas!B107="Masculino",200,""))+(IF(Atletas!G107="Changquan Mirim",1,IF(Atletas!G107="Nanquan Mirim",2,IF(Atletas!G107="Taijiquan Mirim",3,IF(Atletas!G107="Changquan Grupo C",4,IF(Atletas!G107="Nanquan Grupo C",5,IF(Atletas!G107="Taijiquan Grupo C",6,IF(Atletas!G107="Changquan Grupo B",7,IF(Atletas!G107="Nanquan Grupo B",8,IF(Atletas!G107="Taijiquan Grupo B",9,IF(Atletas!G107="Changquan Grupo A",10,IF(Atletas!G107="Nanquan Grupo A",11,IF(Atletas!G107="Taijiquan Grupo A",12,IF(Atletas!G107="Changquan Opcional",13,IF(Atletas!G107="Nanquan Opcional",14,IF(Atletas!G107="Taijiquan Opcional",15,IF(Atletas!G107="Changquan Adulto",16,IF(Atletas!G107="Nanquan Adulto",17,IF(Atletas!G107="Taijiquan Adulto",18,""))))))))))))))))))))</f>
        <v/>
      </c>
      <c r="AZ111" s="46" t="str">
        <f>IF(Atletas!H107="","",IF(Atletas!B107="Feminino",100,IF(Atletas!B107="Masculino",200,""))+(IF(Atletas!H107="Daoshu Mirim",19,IF(Atletas!H107="Jianshu Mirim",20,IF(Atletas!H107="Nandao Mirim",21,IF(Atletas!H107="Taijijian Mirim",22,IF(Atletas!H107="Daoshu Grupo C",23,IF(Atletas!H107="Jianshu Grupo C",24,IF(Atletas!H107="Nandao Grupo C",25,IF(Atletas!H107="Taijijian Grupo C",26,IF(Atletas!H107="Daoshu Grupo B",27,IF(Atletas!H107="Jianshu Grupo B",28,IF(Atletas!H107="Nandao Grupo B",29,IF(Atletas!H107="Taijijian Grupo B",30,IF(Atletas!H107="Daoshu Grupo A",31,IF(Atletas!H107="Jianshu Grupo A",32,IF(Atletas!H107="Nandao Grupo A",33,IF(Atletas!H107="Taijijian Grupo A",34,IF(Atletas!H107="Daoshu Opcional",35,IF(Atletas!H107="Jianshu Opcional",36,IF(Atletas!H107="Nandao Opcional",37,IF(Atletas!H107="Taijijian Opcional",38,IF(Atletas!H107="Daoshu Adulto",39,IF(Atletas!H107="Jianshu Adulto",40,IF(Atletas!H107="Nandao Adulto",41,IF(Atletas!H107="Taijijian Adulto",42,""))))))))))))))))))))))))))</f>
        <v/>
      </c>
      <c r="BA111" s="46" t="str">
        <f>IF(Atletas!I107="","",IF(Atletas!B107="Feminino",100,IF(Atletas!B107="Masculino",200,""))+(IF(Atletas!I107="Gunshu Mirim",43,IF(Atletas!I107="Qiangshu Mirim",44,IF(Atletas!I107="Nangun Mirim",45,IF(Atletas!I107="Gunshu Grupo C",46,IF(Atletas!I107="Qiangshu Grupo C",47,IF(Atletas!I107="Nangun Grupo C",48,IF(Atletas!I107="Gunshu Grupo B",49,IF(Atletas!I107="Qiangshu Grupo B",50,IF(Atletas!I107="Nangun Grupo B",51,IF(Atletas!I107="Gunshu Grupo A",52,IF(Atletas!I107="Qiangshu Grupo A",53,IF(Atletas!I107="Nangun Grupo A",54,IF(Atletas!I107="Gunshu Opcional",55,IF(Atletas!I107="Qiangshu Opcional",56,IF(Atletas!I107="Nangun Opcional",57,IF(Atletas!I107="Gunshu Adulto",58,IF(Atletas!I107="Qiangshu Adulto",59,IF(Atletas!I107="Nangun Adulto",60,""))))))))))))))))))))</f>
        <v/>
      </c>
      <c r="BF111" s="52" t="str">
        <f>IF(Atletas!J107="","",IF(Atletas!B107="Feminino",100,IF(Atletas!B107="Masculino",200,""))+(IF(Atletas!J107="Equipe 1 Grupo B",1,IF(Atletas!J107="Equipe 2 Grupo B",2,IF(Atletas!J107="Equipe 1 Grupo A",3,IF(Atletas!J107="Equipe 2 Grupo A",4,IF(Atletas!J107="Equipe 1 Adulto",5,IF(Atletas!J107="Equipe 2 Adulto",6,""))))))))</f>
        <v/>
      </c>
      <c r="BK111" s="52" t="str">
        <f>IF(Atletas!K107="","",IF(Atletas!W107&lt;&gt;"",10000,0)+(IF(Atletas!B107="Feminino",1000,IF(Atletas!B107="Masculino",2000,""))+IF(Atletas!K107="Choylayfut A",1,IF(Atletas!K107="Hunggar A",2,IF(Atletas!K107="Wuzuquan A",3,IF(Atletas!K107="Wingchun A",4,IF(Atletas!K107="Outra Mão de Sul A",5,IF(Atletas!K107="Choylayfut B",6,IF(Atletas!K107="Hunggar B",7,IF(Atletas!K107="Wuzuquan B",8,IF(Atletas!K107="Wingchun B",9,IF(Atletas!K107="Outra Mão de Sul B",10,IF(Atletas!K107="Choylayfut C",11,IF(Atletas!K107="Hunggar C",12,IF(Atletas!K107="Wuzuquan C",13,IF(Atletas!K107="Wingchun C",14,IF(Atletas!K107="Outra Mão de Sul C",15,IF(Atletas!K107="Choylayfut D",16,IF(Atletas!K107="Hunggar D",17,IF(Atletas!K107="Wuzuquan D",18,IF(Atletas!K107="Wingchun D",19,IF(Atletas!K107="Outra Mão de Sul D",20,IF(Atletas!K107="Choylayfut E",21,IF(Atletas!K107="Hunggar E",22,IF(Atletas!K107="Wuzuquan E",23,IF(Atletas!K107="Wingchun E",24,IF(Atletas!K107="Outra Mão de Sul E",25,IF(Atletas!K107="Choylayfut F",26,IF(Atletas!K107="Hunggar F",27,IF(Atletas!K107="Wuzuquan F",28,IF(Atletas!K107="Wingchun F",29,IF(Atletas!K107="Outra Mão de Sul F",30,""))))))))))))))))))))))))))))))))</f>
        <v/>
      </c>
      <c r="BL111" s="52" t="str">
        <f>IF(Atletas!L107="","",IF(Atletas!W107&lt;&gt;"",10000,0)+(IF(Atletas!B107="Feminino",1000,IF(Atletas!B107="Masculino",2000,""))+(IF(Atletas!L107="Chaquan A",101,IF(Atletas!L107="Emeiquan A",102,IF(Atletas!L107="Fanziquan A",103,IF(Atletas!L107="Huaquan A",104,IF(Atletas!L107="Hongquan A",105,IF(Atletas!L107="Paochui A",106,IF(Atletas!L107="Piguaquan A",107,IF(Atletas!L107="Shaolinquan A",108,IF(Atletas!L107="Tanglangquan A",109,IF(Atletas!L107="Yinzhaophai A",110,IF(Atletas!L107="Tongbeiquan A",111,IF(Atletas!L107="Wudangquan A",112,IF(Atletas!L107="Outros Estilos A",113,IF(Atletas!L107="Chaquan B",114,IF(Atletas!L107="Emeiquan B",115,IF(Atletas!L107="Fanziquan B",116,IF(Atletas!L107="Huaquan B",117,IF(Atletas!L107="Hongquan B",118,IF(Atletas!L107="Paochui B",119,IF(Atletas!L107="Piguaquan B",120,IF(Atletas!L107="Shaolinquan B",121,IF(Atletas!L107="Tanglangquan B",122,IF(Atletas!L107="Yinzhaophai B",123,IF(Atletas!L107="Tongbeiquan B",124,IF(Atletas!L107="Wudangquan B",125,IF(Atletas!L107="Outros Estilos B",126,IF(Atletas!L107="Chaquan C",127,IF(Atletas!L107="Emeiquan C",128,IF(Atletas!L107="Fanziquan C",129,IF(Atletas!L107="Huaquan C",130,IF(Atletas!L107="Hongquan C",131,IF(Atletas!L107="Paochui C",132,IF(Atletas!L107="Piguaquan C",133,IF(Atletas!L107="Shaolinquan C",134,IF(Atletas!L107="Tanglangquan C",135,IF(Atletas!L107="Yinzhaophai C",136,IF(Atletas!L107="Tongbeiquan C",137,IF(Atletas!L107="Wudangquan C",138,IF(Atletas!L107="Outros Estilos C",139,0))))))))))))))))))))))))))))))))))))))))))</f>
        <v/>
      </c>
      <c r="BM111" s="52" t="str">
        <f>IF(Atletas!L107="","",IF(Atletas!W107&lt;&gt;"",10000,0)+(IF(Atletas!B107="Feminino",1000,IF(Atletas!B107="Masculino",2000,""))+(IF(Atletas!L107="Chaquan D",140,IF(Atletas!L107="Emeiquan D",141,IF(Atletas!L107="Fanziquan D",142,IF(Atletas!L107="Huaquan D",143,IF(Atletas!L107="Hongquan D",144,IF(Atletas!L107="Paochui D",145,IF(Atletas!L107="Piguaquan D",146,IF(Atletas!L107="Shaolinquan D",147,IF(Atletas!L107="Tanglangquan D",148,IF(Atletas!L107="Yinzhaophai D",149,IF(Atletas!L107="Tongbeiquan D",150,IF(Atletas!L107="Wudangquan D",151,IF(Atletas!L107="Outros Estilos D",152,IF(Atletas!L107="Chaquan E",153,IF(Atletas!L107="Emeiquan E",154,IF(Atletas!L107="Fanziquan E",155,IF(Atletas!L107="Huaquan E",156,IF(Atletas!L107="Hongquan E",157,IF(Atletas!L107="Paochui E",158,IF(Atletas!L107="Piguaquan E",159,IF(Atletas!L107="Shaolinquan E",160,IF(Atletas!L107="Tanglangquan E",161,IF(Atletas!L107="Yinzhaophai E",162,IF(Atletas!L107="Tongbeiquan E",163,IF(Atletas!L107="Wudangquan E",164,IF(Atletas!L107="Outros Estilos E",165,IF(Atletas!L107="Chaquan F",166,IF(Atletas!L107="Emeiquan F",167,IF(Atletas!L107="Fanziquan F",168,IF(Atletas!L107="Huaquan F",169,IF(Atletas!L107="Hongquan F",170,IF(Atletas!L107="Paochui F",171,IF(Atletas!L107="Piguaquan F",172,IF(Atletas!L107="Shaolinquan F",173,IF(Atletas!L107="Tanglangquan F",174,IF(Atletas!L107="Yinzhaophai F",175,IF(Atletas!L107="Tongbeiquan F",176,IF(Atletas!L107="Wudangquan F",177,IF(Atletas!L107="Outros Estilos F",178,0))))))))))))))))))))))))))))))))))))))))))</f>
        <v/>
      </c>
      <c r="BN111" s="52" t="str">
        <f>IF(Atletas!M107="","",IF(Atletas!W107&lt;&gt;"",10000,0)+(IF(Atletas!B107="Feminino",1000,IF(Atletas!B107="Masculino",2000,""))+(IF(Atletas!M107="Ditangquan A",201,IF(Atletas!M107="Houquan A",202,IF(Atletas!M107="Zuiquan A",203,IF(Atletas!M107="Ditangquan B",204,IF(Atletas!M107="Houquan B",205,IF(Atletas!M107="Zuiquan B",206,IF(Atletas!M107="Ditangquan C",207,IF(Atletas!M107="Houquan C",208,IF(Atletas!M107="Zuiquan C",209,IF(Atletas!M107="Ditangquan D",210,IF(Atletas!M107="Houquan D",211,IF(Atletas!M107="Zuiquan D",212,IF(Atletas!M107="Ditangquan E",213,IF(Atletas!M107="Houquan E",214,IF(Atletas!M107="Zuiquan E",215,IF(Atletas!M107="Ditangquan F",216,IF(Atletas!M107="Houquan F",217,IF(Atletas!M107="Zuiquan F",218,"")))))))))))))))))))))</f>
        <v/>
      </c>
      <c r="BO111" s="52" t="str">
        <f>IF(Atletas!N107="","",IF(Atletas!W107&lt;&gt;"",10000,0)+IF(Atletas!B107="Feminino",1000,IF(Atletas!B107="Masculino",2000,""))+IF(Atletas!N107="Yang A",301,IF(Atletas!N107="Chen A",30,IF(Atletas!N107="Sun A",303,IF(Atletas!N107="Wu A",304,IF(Atletas!N107="Wu-Hao A",305,IF(Atletas!N107="Outro Taijiquan A",306,IF(Atletas!N107="Yang B",307,IF(Atletas!N107="Chen B",308,IF(Atletas!N107="Sun B",309,IF(Atletas!N107="Wu B",310,IF(Atletas!N107="Wu-Hao B",311,IF(Atletas!N107="Outro Taijiquan B",312,IF(Atletas!N107="Yang C",313,IF(Atletas!N107="Chen C",314,IF(Atletas!N107="Sun C",315,IF(Atletas!N107="Wu C",316,IF(Atletas!N107="Wu-Hao C",317,IF(Atletas!N107="Outro Taijiquan C",318,IF(Atletas!N107="Yang D",319,IF(Atletas!N107="Chen D",320,IF(Atletas!N107="Sun D",321,IF(Atletas!N107="Wu D",322,IF(Atletas!N107="Wu-Hao D",323,IF(Atletas!N107="Outro Taijiquan D",324,IF(Atletas!N107="Yang E",325,IF(Atletas!N107="Chen E",326,IF(Atletas!N107="Sun E",327,IF(Atletas!N107="Wu E",328,IF(Atletas!N107="Wu-Hao E",329,IF(Atletas!N107="Outro Taijiquan E",330,IF(Atletas!N107="Yang F",331,IF(Atletas!N107="Chen F",332,IF(Atletas!N107="Sun F",333,IF(Atletas!N107="Wu F",334,IF(Atletas!N107="Wu-Hao F",335,IF(Atletas!N107="Outro Taijiquan F",336,"")))))))))))))))))))))))))))))))))))))</f>
        <v/>
      </c>
      <c r="BP111" s="52" t="str">
        <f>IF(Atletas!O107="","",IF(Atletas!W107&lt;&gt;"",10000,0)+IF(Atletas!B107="Feminino",1000,IF(Atletas!B107="Masculino",2000,""))+IF(OR(Atletas!O107="Yang 26 A",Atletas!O107="Yang 40 A"),401,IF(OR(Atletas!O107="Chen 25 A",Atletas!O107="Chen 36 A",Atletas!O107="Chen 56 A"),402,IF(Atletas!O107="Sun 73 A",403,IF(Atletas!O107="Wu 45 A",404,IF(Atletas!O107="Wu-Hao 46 A",405,IF(OR(Atletas!O107="Taijiquan 16 A",Atletas!O107="Taijiquan 24 A",Atletas!O107="Taijiquan 32 A",Atletas!O107="Taijiquan 42 A"),406,IF(OR(Atletas!O107="Yang 26 B",Atletas!O107="Yang 40 B"),407,IF(OR(Atletas!O107="Chen 25 B",Atletas!O107="Chen 36 B",Atletas!O107="Chen 56 B"),408,IF(Atletas!O107="Sun 73 B",409,IF(Atletas!O107="Wu 45 B",410,IF(Atletas!O107="Wu-Hao 46 B",411,IF(OR(Atletas!O107="Taijiquan 16 B",Atletas!O107="Taijiquan 24 B",Atletas!O107="Taijiquan 32 B",Atletas!O107="Taijiquan 42 B"),412,IF(OR(Atletas!O107="Yang 26 C",Atletas!O107="Yang 40 C"),413,IF(OR(Atletas!O107="Chen 25 C",Atletas!O107="Chen 36 C",Atletas!O107="Chen 56 C"),414,IF(Atletas!O107="Sun 73 C",415,IF(Atletas!O107="Wu 45 C",416,IF(Atletas!O107="Wu-Hao 46 C",417,IF(OR(Atletas!O107="Taijiquan 16 C",Atletas!O107="Taijiquan 24 C",Atletas!O107="Taijiquan 32 C",Atletas!O107="Taijiquan 42 C"),418,0)))))))))))))))))))</f>
        <v/>
      </c>
      <c r="BQ111" s="52" t="str">
        <f>IF(Atletas!O107="","",IF(Atletas!W107&lt;&gt;"",10000,0)+IF(Atletas!B107="Feminino",1000,IF(Atletas!B107="Masculino",2000,""))+IF(OR(Atletas!O107="Yang 26 D",Atletas!O107="Yang 40 D"),419,IF(OR(Atletas!O107="Chen 25 D",Atletas!O107="Chen 36 D",Atletas!O107="Chen 56 D"),420,IF(Atletas!O107="Sun 73 D",421,IF(Atletas!O107="Wu 45 D",422,IF(Atletas!O107="Wu-Hao 46 D",423,IF(OR(Atletas!O107="Taijiquan 16 D",Atletas!O107="Taijiquan 24 D",Atletas!O107="Taijiquan 32 D",Atletas!O107="Taijiquan 42 D"),424,IF(OR(Atletas!O107="Yang 26 E",Atletas!O107="Yang 40 E"),425,IF(OR(Atletas!O107="Chen 25 E",Atletas!O107="Chen 36 E",Atletas!O107="Chen 56 E"),426,IF(Atletas!O107="Sun 73 E",427,IF(Atletas!O107="Wu 45 E",428,IF(Atletas!O107="Wu-Hao 46 E",429,IF(OR(Atletas!O107="Taijiquan 16 E",Atletas!O107="Taijiquan 24 E",Atletas!O107="Taijiquan 32 E",Atletas!O107="Taijiquan 42 E"),430,IF(OR(Atletas!O107="Yang 26 F",Atletas!O107="Yang 40 F"),431,IF(OR(Atletas!O107="Chen 25 F",Atletas!O107="Chen 36 F",Atletas!O107="Chen 56 F"),432,IF(Atletas!O107="Sun 73 F",433,IF(Atletas!O107="Wu 45 F",434,IF(Atletas!O107="Wu-Hao 46 F",435,IF(OR(Atletas!O107="Taijiquan 16 F",Atletas!O107="Taijiquan 24 F",Atletas!O107="Taijiquan 32 F",Atletas!O107="Taijiquan 42 F"),436,0)))))))))))))))))))</f>
        <v/>
      </c>
      <c r="BR111" s="52" t="str">
        <f>IF(Atletas!P107="","",IF(Atletas!W107&lt;&gt;"",10000,0)+IF(Atletas!B107="Feminino",1000,IF(Atletas!B107="Masculino",2000,""))+IF(Atletas!P107="Xingyiquan A",501,IF(Atletas!P107="Baguazhang A",502,IF(Atletas!P107="Outro Estilo Interno A",503,IF(Atletas!P107="Xingyiquan B",504,IF(Atletas!P107="Baguazhang B",505,IF(Atletas!P107="Outro Estilo Interno B",506,IF(Atletas!P107="Xingyiquan C",507,IF(Atletas!P107="Baguazhang C",508,IF(Atletas!P107="Outro Estilo Interno C",509,IF(Atletas!P107="Xingyiquan D",510,IF(Atletas!P107="Baguazhang D",511,IF(Atletas!P107="Outro Estilo Interno D",512,IF(Atletas!P107="Xingyiquan E",513,IF(Atletas!P107="Baguazhang E",514,IF(Atletas!P107="Outro Estilo Interno E",515,IF(Atletas!P107="Xingyiquan F",516,IF(Atletas!P107="Baguazhang F",517,IF(Atletas!P107="Outro Estilo Interno F",518, "")))))))))))))))))))</f>
        <v/>
      </c>
      <c r="BS111" s="52" t="str">
        <f>IF(Atletas!Q107="","",IF(Atletas!W107&lt;&gt;"",10000,0)+IF(Atletas!B107="Feminino",1000,IF(Atletas!B107="Masculino",2000,""))+IF(Atletas!Q107="Dao A",601,IF(Atletas!Q107="Jian A",602,IF(Atletas!Q107="Bishou A",603,IF(Atletas!Q107="Shan A",604,IF(Atletas!Q107="Outra Arma Curta A",605,IF(Atletas!Q107="Dao B",606,IF(Atletas!Q107="Jian B",607,IF(Atletas!Q107="Bishou B",608,IF(Atletas!Q107="Shan B",609,IF(Atletas!Q107="Outra Arma Curta B",610,IF(Atletas!Q107="Dao C",611,IF(Atletas!Q107="Jian C",612,IF(Atletas!Q107="Bishou C",613,IF(Atletas!Q107="Shan C",614,IF(Atletas!Q107="Outra Arma Curta C",615,IF(Atletas!Q107="Dao D",616,IF(Atletas!Q107="Jian D",617,IF(Atletas!Q107="Bishou D",618,IF(Atletas!Q107="Shan D",619,IF(Atletas!Q107="Outra Arma Curta D",620,IF(Atletas!Q107="Dao E",621,IF(Atletas!Q107="Jian E",622,IF(Atletas!Q107="Bishou E",623,IF(Atletas!Q107="Shan E",624,IF(Atletas!Q107="Outra Arma Curta E",625,IF(Atletas!Q107="Dao F",626,IF(Atletas!Q107="Jian F",627,IF(Atletas!Q107="Bishou F",628,IF(Atletas!Q107="Shan F",629,IF(Atletas!Q107="Outra Arma Curta F",630, "")))))))))))))))))))))))))))))))</f>
        <v/>
      </c>
      <c r="BT111" s="52" t="str">
        <f>IF(Atletas!R107="","",IF(Atletas!W107&lt;&gt;"",10000,0)+IF(Atletas!B107="Feminino",1000,IF(Atletas!B107="Masculino",2000,""))+IF(Atletas!R107="Gun A",701,IF(Atletas!R107="Qiang A",702,IF(Atletas!R107="Pudao / Guandao A",703,IF(Atletas!R107="Outra Arma Longa A",704,IF(Atletas!R107="Gun B",705,IF(Atletas!R107="Qiang B",706,IF(Atletas!R107="Pudao / Guandao B",707,IF(Atletas!R107="Outra Arma Longa B",708,IF(Atletas!R107="Gun C",709,IF(Atletas!R107="Qiang C",710,IF(Atletas!R107="Pudao / Guandao C",711,IF(Atletas!R107="Outra Arma Longa C",712,IF(Atletas!R107="Gun D",713,IF(Atletas!R107="Qiang D",714,IF(Atletas!R107="Pudao / Guandao D",715,IF(Atletas!R107="Outra Arma Longa D",716,IF(Atletas!R107="Gun E",717,IF(Atletas!R107="Qiang E",718,IF(Atletas!R107="Pudao / Guandao E",719,IF(Atletas!R107="Outra Arma Longa E",720,IF(Atletas!R107="Gun F",721,IF(Atletas!R107="Qiang F",722,IF(Atletas!R107="Pudao / Guandao F",723,IF(Atletas!R107="Outra Arma Longa F",724,"")))))))))))))))))))))))))</f>
        <v/>
      </c>
      <c r="BU111" s="52" t="str">
        <f>IF(Atletas!S107="","",IF(Atletas!W107&lt;&gt;"",10000,0)+IF(Atletas!B107="Feminino",1000,IF(Atletas!B107="Masculino",2000,""))+IF(Atletas!S107="Arma Dupla A",801,IF(Atletas!S107="Arma Maleável A",802,IF(Atletas!S107="Arma Dupla B",803,IF(Atletas!S107="Arma Maleável B",804,IF(Atletas!S107="Arma Dupla C",805,IF(Atletas!S107="Arma Maleável C",806,IF(Atletas!S107="Arma Dupla D",807,IF(Atletas!S107="Arma Maleável D",808,IF(Atletas!S107="Arma Dupla E",809,IF(Atletas!S107="Arma Maleável E",810,IF(Atletas!S107="Arma Dupla F",811,IF(Atletas!S107="Arma Maleável F",812, "")))))))))))))</f>
        <v/>
      </c>
      <c r="BV111" s="52" t="str">
        <f>IF(Atletas!T107="","",IF(Atletas!W107&lt;&gt;"",10000,0)+IF(Atletas!B107="Feminino",1000,IF(Atletas!B107="Masculino",2000,""))+IF(Atletas!T107="Taijijian Yang A",901,IF(Atletas!T107="Taijijian Chen A",902,IF(Atletas!T107="Taijijian Sun A",903,IF(Atletas!T107="Taijijian Wu A",904,IF(Atletas!T107="Taijijian Wu-Hao A",905,IF(Atletas!T107="Taijijian 32 A",906,IF(Atletas!T107="Taijijian 42 A",907,IF(Atletas!T107="Taijijian Yang B",908,IF(Atletas!T107="Taijijian Chen B",909,IF(Atletas!T107="Taijijian Sun B",910,IF(Atletas!T107="Taijijian Wu B",911,IF(Atletas!T107="Taijijian Wu-Hao B",912,IF(Atletas!T107="Taijijian 32 B",913,IF(Atletas!T107="Taijijian 42 B",914,IF(Atletas!T107="Taijijian Yang C",915,IF(Atletas!T107="Taijijian Chen C",916,IF(Atletas!T107="Taijijian Sun C",917,IF(Atletas!T107="Taijijian Wu C",918,IF(Atletas!T107="Taijijian Wu-Hao C",919,IF(Atletas!T107="Taijijian 32 C",920,IF(Atletas!T107="Taijijian 42 C",921,IF(Atletas!T107="Taijijian Yang D",922,IF(Atletas!T107="Taijijian Chen D",923,IF(Atletas!T107="Taijijian Sun D",924,IF(Atletas!T107="Taijijian Wu D",925,IF(Atletas!T107="Taijijian Wu-Hao D",926,IF(Atletas!T107="Taijijian 32 D",927,IF(Atletas!T107="Taijijian 42 D",928,IF(Atletas!T107="Taijijian Yang E",929,IF(Atletas!T107="Taijijian Chen E",930,IF(Atletas!T107="Taijijian Sun E",931,IF(Atletas!T107="Taijijian Wu E",932,IF(Atletas!T107="Taijijian Wu-Hao E",933,IF(Atletas!T107="Taijijian 32 E",934,IF(Atletas!T107="Taijijian 42 E",935,IF(Atletas!T107="Taijijian Yang F",936,IF(Atletas!T107="Taijijian Chen F",937,IF(Atletas!T107="Taijijian Sun F",938,IF(Atletas!T107="Taijijian Wu F",939,IF(Atletas!T107="Taijijian Wu-Hao F",940,IF(Atletas!T107="Taijijian 32 F",941,IF(Atletas!T107="Taijijian 42 F",942,"")))))))))))))))))))))))))))))))))))))))))))</f>
        <v/>
      </c>
      <c r="BW111" s="52" t="str">
        <f>IF(Atletas!U107="","",IF(Atletas!W107&lt;&gt;"",10000,0)+IF(Atletas!B107="Feminino",1000,IF(Atletas!B107="Masculino",2000,""))+IF(Atletas!T107="Taijijian 42 F",942,IF(Atletas!U107="Taijidao A",943,IF(Atletas!U107="Taijishan A",944,IF(Atletas!U107="Taijiqiang A",945,IF(Atletas!U107="Taijidao B",946,IF(Atletas!U107="Taijishan B",947,IF(Atletas!U107="Taijiqiang B",948,IF(Atletas!U107="Taijidao C",949,IF(Atletas!U107="Taijishan C",950,IF(Atletas!U107="Taijiqiang C",951,IF(Atletas!U107="Taijidao D",952,IF(Atletas!U107="Taijishan D",953,IF(Atletas!U107="Taijiqiang D",954,IF(Atletas!U107="Taijidao E",955,IF(Atletas!U107="Taijishan E",956,IF(Atletas!U107="Taijiqiang E",957,IF(Atletas!U107="Taijidao F",958,IF(Atletas!U107="Taijishan F",959,IF(Atletas!U107="Taijiqiang F",960))))))))))))))))))))</f>
        <v/>
      </c>
      <c r="BX111" s="64" t="str">
        <f>IF(BY111&lt;&gt;"","Yinzhaophai F","")</f>
        <v/>
      </c>
      <c r="BY111" s="64" t="str">
        <f>IF(COUNTIF(BK:BW,1175)&gt;0,COUNTIF(BK:BW,1175),"")</f>
        <v/>
      </c>
      <c r="BZ111" s="64" t="str">
        <f>IF(CA111&lt;&gt;"","Yinzhaophai F","")</f>
        <v/>
      </c>
      <c r="CA111" s="64" t="str">
        <f>IF(COUNTIF(BK:BW,2175)&gt;0,COUNTIF(BK:BW,2175),"")</f>
        <v/>
      </c>
      <c r="CB111" s="64" t="str">
        <f>IF(CC111&lt;&gt;"","Yinzhaophai F","")</f>
        <v/>
      </c>
      <c r="CC111" s="64" t="str">
        <f>IF(COUNTIF(BK:BW,11175)&gt;0,COUNTIF(BK:BW,11175),"")</f>
        <v/>
      </c>
      <c r="CD111" s="64" t="str">
        <f>IF(CE111&lt;&gt;"","Yinzhaophai F","")</f>
        <v/>
      </c>
      <c r="CE111" s="64" t="str">
        <f>IF(COUNTIF(BK:BW,12175)&gt;0,COUNTIF(BK:BW,12175),"")</f>
        <v/>
      </c>
      <c r="CF111" s="52" t="str">
        <f xml:space="preserve"> IF(Atletas!V107="","",IF(Atletas!V107="Duilian de Mãos AB - Equipe 1",1,IF(Atletas!V107="Duilian de Mãos AB - Equipe 2",2,IF(Atletas!V107="Duilian de Armas AB - Equipe 1",3,IF(Atletas!V107="Duilian de Armas AB - Equipe 2",4,IF(Atletas!V107="Duilian de Tuishou - Equipe 1",5,IF(Atletas!V107="Duilian de Tuishou - Equipe 2",6,IF(Atletas!V107="Grupo Externo AB - Equipe 1",7,IF(Atletas!V107="Grupo Externo AB - Equipe 2",8,IF(Atletas!V107="Grupo Interno AB - Equipe 1",9,IF(Atletas!V107="Grupo Interno AB - Equipe 2",10,IF(Atletas!V107="Duilian de Mãos CD - Equipe 1",11,IF(Atletas!V107="Duilian de Mãos CD - Equipe 2",12,IF(Atletas!V107="Duilian de Armas CD - Equipe 1",13,IF(Atletas!V107="Duilian de Armas CD - Equipe 2",14,IF(Atletas!V107="Duilian de Tuishou - Equipe 1",15,IF(Atletas!V107="Duilian de Tuishou - Equipe 2",16,IF(Atletas!V107="Grupo Externo CDEF - Equipe 1",17,IF(Atletas!V107="Grupo Externo CDEF - Equipe 2",18,IF(Atletas!V107="Grupo Interno CDEF - Equipe 1",19,IF(Atletas!V107="Grupo Interno CDEF - Equipe 2",20,IF(Atletas!V107="Duilian de Mãos EF - Equipe 1",21,IF(Atletas!V107="Duilian de Mãos EF - Equipe 2",22,IF(Atletas!V107="Duilian de Armas EF - Equipe 1",23,IF(Atletas!V107="Duilian de Armas EF - Equipe 2",24,IF(Atletas!V107="Duilian de Tuishou - Equipe 1",25,IF(Atletas!V107="Duilian de Tuishou - Equipe 2",26,"")))))))))))))))))))))))))))</f>
        <v/>
      </c>
    </row>
    <row r="112" spans="2:84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 t="str">
        <f t="array" ref="V112">IFERROR(INDEX(BX$7:BX$336,SMALL(IF(BX$7:BX$336&lt;&gt;"",ROW(BX$7:BX$336)-ROW(BX$7)+1),ROWS(BX$7:BX111))),"")</f>
        <v/>
      </c>
      <c r="W112" s="4" t="str">
        <f t="array" ref="W112">IFERROR(INDEX(BY$7:BY$336,SMALL(IF(BY$7:BY$336&lt;&gt;"",ROW(BY$7:BY$336)-ROW(BY$7)+1),ROWS(BY$7:BY111))),"")</f>
        <v/>
      </c>
      <c r="X112" s="4" t="str">
        <f t="array" ref="X112">IFERROR(INDEX(BZ$7:BZ$336,SMALL(IF(BZ$7:BZ$336&lt;&gt;"",ROW(BZ$7:BZ$336)-ROW(BZ$7)+1),ROWS(BZ$7:BZ111))),"")</f>
        <v/>
      </c>
      <c r="Y112" s="4" t="str">
        <f t="array" ref="Y112">IFERROR(INDEX(CA$7:CA$336,SMALL(IF(CA$7:CA$336&lt;&gt;"",ROW(CA$7:CA$336)-ROW(CA$7)+1),ROWS(CA$7:CA111))),"")</f>
        <v/>
      </c>
      <c r="Z112" s="4" t="str">
        <f t="array" ref="Z112">IFERROR(INDEX(CB$7:CB$378,SMALL(IF(CB$7:CB$378&lt;&gt;"",ROW(CB$7:CB$378)-ROW(CB$7)+1),ROWS(CB$7:CB111))),"")</f>
        <v/>
      </c>
      <c r="AA112" s="4" t="str">
        <f t="array" ref="AA112">IFERROR(INDEX(CC$7:CC$378,SMALL(IF(CC$7:CC$378&lt;&gt;"",ROW(CC$7:CC$378)-ROW(CC$7)+1),ROWS(CC$7:CC111))),"")</f>
        <v/>
      </c>
      <c r="AB112" s="4" t="str">
        <f t="array" ref="AB112">IFERROR(INDEX(CD$7:CD$378,SMALL(IF(CD$7:CD$378&lt;&gt;"",ROW(CD$7:CD$378)-ROW(CD$7)+1),ROWS(CD$7:CD111))),"")</f>
        <v/>
      </c>
      <c r="AC112" s="4" t="str">
        <f t="array" ref="AC112">IFERROR(INDEX(CE$7:CE$378,SMALL(IF(CE$7:CE$378&lt;&gt;"",ROW(CE$7:CE$378)-ROW(CE$7)+1),ROWS(CE$7:CE111))),"")</f>
        <v/>
      </c>
      <c r="AD112" s="4"/>
      <c r="AE112" s="4"/>
      <c r="AF112" s="4"/>
      <c r="AG112" s="4"/>
      <c r="AH112" s="4"/>
      <c r="AI112" s="4"/>
      <c r="AJ112" s="46" t="str">
        <f>IF(Atletas!D108="","",IF(Atletas!B108="Feminino",100,IF(Atletas!B108="Masculino",200,""))+(IF(Atletas!D108="Infantil 39kg",1,IF(Atletas!D108="Infantil 42kg",2,IF(Atletas!D108="Infantil 45kg",3,IF(Atletas!D108="Infantil 48kg",4,IF(Atletas!D108="Infantil 52kg",5,IF(Atletas!D108="Infantil 56kg",6,IF(Atletas!D108="Infantil 60kg",7,IF(Atletas!D108="Juvenil 48kg",8,IF(Atletas!D108="Juvenil 52kg",9,IF(Atletas!D108="Juvenil 56kg",10,IF(Atletas!D108="Juvenil 60kg",11,IF(Atletas!D108="Juvenil 65kg",12,IF(Atletas!D108="Juvenil 70kg",13,IF(Atletas!D108="Juvenil 75kg",14,IF(Atletas!D108="Juvenil 80kg",15,IF(Atletas!D108="Adulto 48kg",16,IF(Atletas!D108="Adulto 52kg",17,IF(Atletas!D108="Adulto 56kg",18,IF(Atletas!D108="Adulto 60kg",19,IF(Atletas!D108="Adulto 65kg",20,IF(Atletas!D108="Adulto 70kg",21,IF(Atletas!D108="Adulto 75kg",22,IF(Atletas!D108="Adulto 80kg",23,IF(Atletas!D108="Adulto 85kg",24,IF(Atletas!D108="Adulto 90kg",25,IF(Atletas!D108="Adulto +90kg",26,""))))))))))))))))))))))))))))</f>
        <v/>
      </c>
      <c r="AO112" s="10" t="str">
        <f>IF(Atletas!E108="","",IF(Atletas!B108="Feminino",100,IF(Atletas!B108="Masculino",200,""))+(IF(Atletas!E108="Juvenil 44kg",1,IF(Atletas!E108="Juvenil 48kg",2,IF(Atletas!E108="Juvenil 52kg",3,IF(Atletas!E108="Juvenil 56kg",4,IF(Atletas!E108="Juvenil 60kg",5,IF(Atletas!E108="Juvenil 65kg",6,IF(Atletas!E108="Juvenil 70kg",7,IF(Atletas!E108="Juvenil 75kg",8,IF(Atletas!E108="Juvenil 82kg",9,IF(Atletas!E108="Juvenil 90kg",10,IF(Atletas!E108="Juvenil 100kg",11,IF(Atletas!E108="Adulto 48kg",12,IF(Atletas!E108="Adulto 52kg",13,IF(Atletas!E108="Adulto 56kg",14,IF(Atletas!E108="Adulto 60kg",15,IF(Atletas!E108="Adulto 65kg",16,IF(Atletas!E108="Adulto 70kg",17,IF(Atletas!E108="Adulto 75kg",18,IF(Atletas!E108="Adulto 82kg",19,IF(Atletas!E108="Adulto 90kg",20,IF(Atletas!E108="Adulto 100kg",21,IF(Atletas!E108="Adulto +100kg",22,""))))))))))))))))))))))))</f>
        <v/>
      </c>
      <c r="AT112" s="10" t="str">
        <f>IF(Atletas!F108="","",IF(Atletas!B108="Feminino",100,IF(Atletas!B108="Masculino",200,""))+(IF(Atletas!F108="Adulto 48kg",1,IF(Atletas!F108="Adulto 56kg",2,IF(Atletas!F108="Adulto 65kg",3,IF(Atletas!F108="Adulto 75kg",4,IF(Atletas!F108="Adulto +75kg",5,IF(Atletas!F108="Adulto 52kg",6,IF(Atletas!F108="Adulto 60kg",7,IF(Atletas!F108="Adulto 70kg",8,IF(Atletas!F108="Adulto 80kg",9,IF(Atletas!F108="Adulto 90kg",10,IF(Atletas!F108="Adulto +90kg",11,"")))))))))))))</f>
        <v/>
      </c>
      <c r="AY112" s="46" t="str">
        <f>IF(Atletas!G108="","",IF(Atletas!B108="Feminino",100,IF(Atletas!B108="Masculino",200,""))+(IF(Atletas!G108="Changquan Mirim",1,IF(Atletas!G108="Nanquan Mirim",2,IF(Atletas!G108="Taijiquan Mirim",3,IF(Atletas!G108="Changquan Grupo C",4,IF(Atletas!G108="Nanquan Grupo C",5,IF(Atletas!G108="Taijiquan Grupo C",6,IF(Atletas!G108="Changquan Grupo B",7,IF(Atletas!G108="Nanquan Grupo B",8,IF(Atletas!G108="Taijiquan Grupo B",9,IF(Atletas!G108="Changquan Grupo A",10,IF(Atletas!G108="Nanquan Grupo A",11,IF(Atletas!G108="Taijiquan Grupo A",12,IF(Atletas!G108="Changquan Opcional",13,IF(Atletas!G108="Nanquan Opcional",14,IF(Atletas!G108="Taijiquan Opcional",15,IF(Atletas!G108="Changquan Adulto",16,IF(Atletas!G108="Nanquan Adulto",17,IF(Atletas!G108="Taijiquan Adulto",18,""))))))))))))))))))))</f>
        <v/>
      </c>
      <c r="AZ112" s="46" t="str">
        <f>IF(Atletas!H108="","",IF(Atletas!B108="Feminino",100,IF(Atletas!B108="Masculino",200,""))+(IF(Atletas!H108="Daoshu Mirim",19,IF(Atletas!H108="Jianshu Mirim",20,IF(Atletas!H108="Nandao Mirim",21,IF(Atletas!H108="Taijijian Mirim",22,IF(Atletas!H108="Daoshu Grupo C",23,IF(Atletas!H108="Jianshu Grupo C",24,IF(Atletas!H108="Nandao Grupo C",25,IF(Atletas!H108="Taijijian Grupo C",26,IF(Atletas!H108="Daoshu Grupo B",27,IF(Atletas!H108="Jianshu Grupo B",28,IF(Atletas!H108="Nandao Grupo B",29,IF(Atletas!H108="Taijijian Grupo B",30,IF(Atletas!H108="Daoshu Grupo A",31,IF(Atletas!H108="Jianshu Grupo A",32,IF(Atletas!H108="Nandao Grupo A",33,IF(Atletas!H108="Taijijian Grupo A",34,IF(Atletas!H108="Daoshu Opcional",35,IF(Atletas!H108="Jianshu Opcional",36,IF(Atletas!H108="Nandao Opcional",37,IF(Atletas!H108="Taijijian Opcional",38,IF(Atletas!H108="Daoshu Adulto",39,IF(Atletas!H108="Jianshu Adulto",40,IF(Atletas!H108="Nandao Adulto",41,IF(Atletas!H108="Taijijian Adulto",42,""))))))))))))))))))))))))))</f>
        <v/>
      </c>
      <c r="BA112" s="46" t="str">
        <f>IF(Atletas!I108="","",IF(Atletas!B108="Feminino",100,IF(Atletas!B108="Masculino",200,""))+(IF(Atletas!I108="Gunshu Mirim",43,IF(Atletas!I108="Qiangshu Mirim",44,IF(Atletas!I108="Nangun Mirim",45,IF(Atletas!I108="Gunshu Grupo C",46,IF(Atletas!I108="Qiangshu Grupo C",47,IF(Atletas!I108="Nangun Grupo C",48,IF(Atletas!I108="Gunshu Grupo B",49,IF(Atletas!I108="Qiangshu Grupo B",50,IF(Atletas!I108="Nangun Grupo B",51,IF(Atletas!I108="Gunshu Grupo A",52,IF(Atletas!I108="Qiangshu Grupo A",53,IF(Atletas!I108="Nangun Grupo A",54,IF(Atletas!I108="Gunshu Opcional",55,IF(Atletas!I108="Qiangshu Opcional",56,IF(Atletas!I108="Nangun Opcional",57,IF(Atletas!I108="Gunshu Adulto",58,IF(Atletas!I108="Qiangshu Adulto",59,IF(Atletas!I108="Nangun Adulto",60,""))))))))))))))))))))</f>
        <v/>
      </c>
      <c r="BF112" s="52" t="str">
        <f>IF(Atletas!J108="","",IF(Atletas!B108="Feminino",100,IF(Atletas!B108="Masculino",200,""))+(IF(Atletas!J108="Equipe 1 Grupo B",1,IF(Atletas!J108="Equipe 2 Grupo B",2,IF(Atletas!J108="Equipe 1 Grupo A",3,IF(Atletas!J108="Equipe 2 Grupo A",4,IF(Atletas!J108="Equipe 1 Adulto",5,IF(Atletas!J108="Equipe 2 Adulto",6,""))))))))</f>
        <v/>
      </c>
      <c r="BK112" s="52" t="str">
        <f>IF(Atletas!K108="","",IF(Atletas!W108&lt;&gt;"",10000,0)+(IF(Atletas!B108="Feminino",1000,IF(Atletas!B108="Masculino",2000,""))+IF(Atletas!K108="Choylayfut A",1,IF(Atletas!K108="Hunggar A",2,IF(Atletas!K108="Wuzuquan A",3,IF(Atletas!K108="Wingchun A",4,IF(Atletas!K108="Outra Mão de Sul A",5,IF(Atletas!K108="Choylayfut B",6,IF(Atletas!K108="Hunggar B",7,IF(Atletas!K108="Wuzuquan B",8,IF(Atletas!K108="Wingchun B",9,IF(Atletas!K108="Outra Mão de Sul B",10,IF(Atletas!K108="Choylayfut C",11,IF(Atletas!K108="Hunggar C",12,IF(Atletas!K108="Wuzuquan C",13,IF(Atletas!K108="Wingchun C",14,IF(Atletas!K108="Outra Mão de Sul C",15,IF(Atletas!K108="Choylayfut D",16,IF(Atletas!K108="Hunggar D",17,IF(Atletas!K108="Wuzuquan D",18,IF(Atletas!K108="Wingchun D",19,IF(Atletas!K108="Outra Mão de Sul D",20,IF(Atletas!K108="Choylayfut E",21,IF(Atletas!K108="Hunggar E",22,IF(Atletas!K108="Wuzuquan E",23,IF(Atletas!K108="Wingchun E",24,IF(Atletas!K108="Outra Mão de Sul E",25,IF(Atletas!K108="Choylayfut F",26,IF(Atletas!K108="Hunggar F",27,IF(Atletas!K108="Wuzuquan F",28,IF(Atletas!K108="Wingchun F",29,IF(Atletas!K108="Outra Mão de Sul F",30,""))))))))))))))))))))))))))))))))</f>
        <v/>
      </c>
      <c r="BL112" s="52" t="str">
        <f>IF(Atletas!L108="","",IF(Atletas!W108&lt;&gt;"",10000,0)+(IF(Atletas!B108="Feminino",1000,IF(Atletas!B108="Masculino",2000,""))+(IF(Atletas!L108="Chaquan A",101,IF(Atletas!L108="Emeiquan A",102,IF(Atletas!L108="Fanziquan A",103,IF(Atletas!L108="Huaquan A",104,IF(Atletas!L108="Hongquan A",105,IF(Atletas!L108="Paochui A",106,IF(Atletas!L108="Piguaquan A",107,IF(Atletas!L108="Shaolinquan A",108,IF(Atletas!L108="Tanglangquan A",109,IF(Atletas!L108="Yinzhaophai A",110,IF(Atletas!L108="Tongbeiquan A",111,IF(Atletas!L108="Wudangquan A",112,IF(Atletas!L108="Outros Estilos A",113,IF(Atletas!L108="Chaquan B",114,IF(Atletas!L108="Emeiquan B",115,IF(Atletas!L108="Fanziquan B",116,IF(Atletas!L108="Huaquan B",117,IF(Atletas!L108="Hongquan B",118,IF(Atletas!L108="Paochui B",119,IF(Atletas!L108="Piguaquan B",120,IF(Atletas!L108="Shaolinquan B",121,IF(Atletas!L108="Tanglangquan B",122,IF(Atletas!L108="Yinzhaophai B",123,IF(Atletas!L108="Tongbeiquan B",124,IF(Atletas!L108="Wudangquan B",125,IF(Atletas!L108="Outros Estilos B",126,IF(Atletas!L108="Chaquan C",127,IF(Atletas!L108="Emeiquan C",128,IF(Atletas!L108="Fanziquan C",129,IF(Atletas!L108="Huaquan C",130,IF(Atletas!L108="Hongquan C",131,IF(Atletas!L108="Paochui C",132,IF(Atletas!L108="Piguaquan C",133,IF(Atletas!L108="Shaolinquan C",134,IF(Atletas!L108="Tanglangquan C",135,IF(Atletas!L108="Yinzhaophai C",136,IF(Atletas!L108="Tongbeiquan C",137,IF(Atletas!L108="Wudangquan C",138,IF(Atletas!L108="Outros Estilos C",139,0))))))))))))))))))))))))))))))))))))))))))</f>
        <v/>
      </c>
      <c r="BM112" s="52" t="str">
        <f>IF(Atletas!L108="","",IF(Atletas!W108&lt;&gt;"",10000,0)+(IF(Atletas!B108="Feminino",1000,IF(Atletas!B108="Masculino",2000,""))+(IF(Atletas!L108="Chaquan D",140,IF(Atletas!L108="Emeiquan D",141,IF(Atletas!L108="Fanziquan D",142,IF(Atletas!L108="Huaquan D",143,IF(Atletas!L108="Hongquan D",144,IF(Atletas!L108="Paochui D",145,IF(Atletas!L108="Piguaquan D",146,IF(Atletas!L108="Shaolinquan D",147,IF(Atletas!L108="Tanglangquan D",148,IF(Atletas!L108="Yinzhaophai D",149,IF(Atletas!L108="Tongbeiquan D",150,IF(Atletas!L108="Wudangquan D",151,IF(Atletas!L108="Outros Estilos D",152,IF(Atletas!L108="Chaquan E",153,IF(Atletas!L108="Emeiquan E",154,IF(Atletas!L108="Fanziquan E",155,IF(Atletas!L108="Huaquan E",156,IF(Atletas!L108="Hongquan E",157,IF(Atletas!L108="Paochui E",158,IF(Atletas!L108="Piguaquan E",159,IF(Atletas!L108="Shaolinquan E",160,IF(Atletas!L108="Tanglangquan E",161,IF(Atletas!L108="Yinzhaophai E",162,IF(Atletas!L108="Tongbeiquan E",163,IF(Atletas!L108="Wudangquan E",164,IF(Atletas!L108="Outros Estilos E",165,IF(Atletas!L108="Chaquan F",166,IF(Atletas!L108="Emeiquan F",167,IF(Atletas!L108="Fanziquan F",168,IF(Atletas!L108="Huaquan F",169,IF(Atletas!L108="Hongquan F",170,IF(Atletas!L108="Paochui F",171,IF(Atletas!L108="Piguaquan F",172,IF(Atletas!L108="Shaolinquan F",173,IF(Atletas!L108="Tanglangquan F",174,IF(Atletas!L108="Yinzhaophai F",175,IF(Atletas!L108="Tongbeiquan F",176,IF(Atletas!L108="Wudangquan F",177,IF(Atletas!L108="Outros Estilos F",178,0))))))))))))))))))))))))))))))))))))))))))</f>
        <v/>
      </c>
      <c r="BN112" s="52" t="str">
        <f>IF(Atletas!M108="","",IF(Atletas!W108&lt;&gt;"",10000,0)+(IF(Atletas!B108="Feminino",1000,IF(Atletas!B108="Masculino",2000,""))+(IF(Atletas!M108="Ditangquan A",201,IF(Atletas!M108="Houquan A",202,IF(Atletas!M108="Zuiquan A",203,IF(Atletas!M108="Ditangquan B",204,IF(Atletas!M108="Houquan B",205,IF(Atletas!M108="Zuiquan B",206,IF(Atletas!M108="Ditangquan C",207,IF(Atletas!M108="Houquan C",208,IF(Atletas!M108="Zuiquan C",209,IF(Atletas!M108="Ditangquan D",210,IF(Atletas!M108="Houquan D",211,IF(Atletas!M108="Zuiquan D",212,IF(Atletas!M108="Ditangquan E",213,IF(Atletas!M108="Houquan E",214,IF(Atletas!M108="Zuiquan E",215,IF(Atletas!M108="Ditangquan F",216,IF(Atletas!M108="Houquan F",217,IF(Atletas!M108="Zuiquan F",218,"")))))))))))))))))))))</f>
        <v/>
      </c>
      <c r="BO112" s="52" t="str">
        <f>IF(Atletas!N108="","",IF(Atletas!W108&lt;&gt;"",10000,0)+IF(Atletas!B108="Feminino",1000,IF(Atletas!B108="Masculino",2000,""))+IF(Atletas!N108="Yang A",301,IF(Atletas!N108="Chen A",30,IF(Atletas!N108="Sun A",303,IF(Atletas!N108="Wu A",304,IF(Atletas!N108="Wu-Hao A",305,IF(Atletas!N108="Outro Taijiquan A",306,IF(Atletas!N108="Yang B",307,IF(Atletas!N108="Chen B",308,IF(Atletas!N108="Sun B",309,IF(Atletas!N108="Wu B",310,IF(Atletas!N108="Wu-Hao B",311,IF(Atletas!N108="Outro Taijiquan B",312,IF(Atletas!N108="Yang C",313,IF(Atletas!N108="Chen C",314,IF(Atletas!N108="Sun C",315,IF(Atletas!N108="Wu C",316,IF(Atletas!N108="Wu-Hao C",317,IF(Atletas!N108="Outro Taijiquan C",318,IF(Atletas!N108="Yang D",319,IF(Atletas!N108="Chen D",320,IF(Atletas!N108="Sun D",321,IF(Atletas!N108="Wu D",322,IF(Atletas!N108="Wu-Hao D",323,IF(Atletas!N108="Outro Taijiquan D",324,IF(Atletas!N108="Yang E",325,IF(Atletas!N108="Chen E",326,IF(Atletas!N108="Sun E",327,IF(Atletas!N108="Wu E",328,IF(Atletas!N108="Wu-Hao E",329,IF(Atletas!N108="Outro Taijiquan E",330,IF(Atletas!N108="Yang F",331,IF(Atletas!N108="Chen F",332,IF(Atletas!N108="Sun F",333,IF(Atletas!N108="Wu F",334,IF(Atletas!N108="Wu-Hao F",335,IF(Atletas!N108="Outro Taijiquan F",336,"")))))))))))))))))))))))))))))))))))))</f>
        <v/>
      </c>
      <c r="BP112" s="52" t="str">
        <f>IF(Atletas!O108="","",IF(Atletas!W108&lt;&gt;"",10000,0)+IF(Atletas!B108="Feminino",1000,IF(Atletas!B108="Masculino",2000,""))+IF(OR(Atletas!O108="Yang 26 A",Atletas!O108="Yang 40 A"),401,IF(OR(Atletas!O108="Chen 25 A",Atletas!O108="Chen 36 A",Atletas!O108="Chen 56 A"),402,IF(Atletas!O108="Sun 73 A",403,IF(Atletas!O108="Wu 45 A",404,IF(Atletas!O108="Wu-Hao 46 A",405,IF(OR(Atletas!O108="Taijiquan 16 A",Atletas!O108="Taijiquan 24 A",Atletas!O108="Taijiquan 32 A",Atletas!O108="Taijiquan 42 A"),406,IF(OR(Atletas!O108="Yang 26 B",Atletas!O108="Yang 40 B"),407,IF(OR(Atletas!O108="Chen 25 B",Atletas!O108="Chen 36 B",Atletas!O108="Chen 56 B"),408,IF(Atletas!O108="Sun 73 B",409,IF(Atletas!O108="Wu 45 B",410,IF(Atletas!O108="Wu-Hao 46 B",411,IF(OR(Atletas!O108="Taijiquan 16 B",Atletas!O108="Taijiquan 24 B",Atletas!O108="Taijiquan 32 B",Atletas!O108="Taijiquan 42 B"),412,IF(OR(Atletas!O108="Yang 26 C",Atletas!O108="Yang 40 C"),413,IF(OR(Atletas!O108="Chen 25 C",Atletas!O108="Chen 36 C",Atletas!O108="Chen 56 C"),414,IF(Atletas!O108="Sun 73 C",415,IF(Atletas!O108="Wu 45 C",416,IF(Atletas!O108="Wu-Hao 46 C",417,IF(OR(Atletas!O108="Taijiquan 16 C",Atletas!O108="Taijiquan 24 C",Atletas!O108="Taijiquan 32 C",Atletas!O108="Taijiquan 42 C"),418,0)))))))))))))))))))</f>
        <v/>
      </c>
      <c r="BQ112" s="52" t="str">
        <f>IF(Atletas!O108="","",IF(Atletas!W108&lt;&gt;"",10000,0)+IF(Atletas!B108="Feminino",1000,IF(Atletas!B108="Masculino",2000,""))+IF(OR(Atletas!O108="Yang 26 D",Atletas!O108="Yang 40 D"),419,IF(OR(Atletas!O108="Chen 25 D",Atletas!O108="Chen 36 D",Atletas!O108="Chen 56 D"),420,IF(Atletas!O108="Sun 73 D",421,IF(Atletas!O108="Wu 45 D",422,IF(Atletas!O108="Wu-Hao 46 D",423,IF(OR(Atletas!O108="Taijiquan 16 D",Atletas!O108="Taijiquan 24 D",Atletas!O108="Taijiquan 32 D",Atletas!O108="Taijiquan 42 D"),424,IF(OR(Atletas!O108="Yang 26 E",Atletas!O108="Yang 40 E"),425,IF(OR(Atletas!O108="Chen 25 E",Atletas!O108="Chen 36 E",Atletas!O108="Chen 56 E"),426,IF(Atletas!O108="Sun 73 E",427,IF(Atletas!O108="Wu 45 E",428,IF(Atletas!O108="Wu-Hao 46 E",429,IF(OR(Atletas!O108="Taijiquan 16 E",Atletas!O108="Taijiquan 24 E",Atletas!O108="Taijiquan 32 E",Atletas!O108="Taijiquan 42 E"),430,IF(OR(Atletas!O108="Yang 26 F",Atletas!O108="Yang 40 F"),431,IF(OR(Atletas!O108="Chen 25 F",Atletas!O108="Chen 36 F",Atletas!O108="Chen 56 F"),432,IF(Atletas!O108="Sun 73 F",433,IF(Atletas!O108="Wu 45 F",434,IF(Atletas!O108="Wu-Hao 46 F",435,IF(OR(Atletas!O108="Taijiquan 16 F",Atletas!O108="Taijiquan 24 F",Atletas!O108="Taijiquan 32 F",Atletas!O108="Taijiquan 42 F"),436,0)))))))))))))))))))</f>
        <v/>
      </c>
      <c r="BR112" s="52" t="str">
        <f>IF(Atletas!P108="","",IF(Atletas!W108&lt;&gt;"",10000,0)+IF(Atletas!B108="Feminino",1000,IF(Atletas!B108="Masculino",2000,""))+IF(Atletas!P108="Xingyiquan A",501,IF(Atletas!P108="Baguazhang A",502,IF(Atletas!P108="Outro Estilo Interno A",503,IF(Atletas!P108="Xingyiquan B",504,IF(Atletas!P108="Baguazhang B",505,IF(Atletas!P108="Outro Estilo Interno B",506,IF(Atletas!P108="Xingyiquan C",507,IF(Atletas!P108="Baguazhang C",508,IF(Atletas!P108="Outro Estilo Interno C",509,IF(Atletas!P108="Xingyiquan D",510,IF(Atletas!P108="Baguazhang D",511,IF(Atletas!P108="Outro Estilo Interno D",512,IF(Atletas!P108="Xingyiquan E",513,IF(Atletas!P108="Baguazhang E",514,IF(Atletas!P108="Outro Estilo Interno E",515,IF(Atletas!P108="Xingyiquan F",516,IF(Atletas!P108="Baguazhang F",517,IF(Atletas!P108="Outro Estilo Interno F",518, "")))))))))))))))))))</f>
        <v/>
      </c>
      <c r="BS112" s="52" t="str">
        <f>IF(Atletas!Q108="","",IF(Atletas!W108&lt;&gt;"",10000,0)+IF(Atletas!B108="Feminino",1000,IF(Atletas!B108="Masculino",2000,""))+IF(Atletas!Q108="Dao A",601,IF(Atletas!Q108="Jian A",602,IF(Atletas!Q108="Bishou A",603,IF(Atletas!Q108="Shan A",604,IF(Atletas!Q108="Outra Arma Curta A",605,IF(Atletas!Q108="Dao B",606,IF(Atletas!Q108="Jian B",607,IF(Atletas!Q108="Bishou B",608,IF(Atletas!Q108="Shan B",609,IF(Atletas!Q108="Outra Arma Curta B",610,IF(Atletas!Q108="Dao C",611,IF(Atletas!Q108="Jian C",612,IF(Atletas!Q108="Bishou C",613,IF(Atletas!Q108="Shan C",614,IF(Atletas!Q108="Outra Arma Curta C",615,IF(Atletas!Q108="Dao D",616,IF(Atletas!Q108="Jian D",617,IF(Atletas!Q108="Bishou D",618,IF(Atletas!Q108="Shan D",619,IF(Atletas!Q108="Outra Arma Curta D",620,IF(Atletas!Q108="Dao E",621,IF(Atletas!Q108="Jian E",622,IF(Atletas!Q108="Bishou E",623,IF(Atletas!Q108="Shan E",624,IF(Atletas!Q108="Outra Arma Curta E",625,IF(Atletas!Q108="Dao F",626,IF(Atletas!Q108="Jian F",627,IF(Atletas!Q108="Bishou F",628,IF(Atletas!Q108="Shan F",629,IF(Atletas!Q108="Outra Arma Curta F",630, "")))))))))))))))))))))))))))))))</f>
        <v/>
      </c>
      <c r="BT112" s="52" t="str">
        <f>IF(Atletas!R108="","",IF(Atletas!W108&lt;&gt;"",10000,0)+IF(Atletas!B108="Feminino",1000,IF(Atletas!B108="Masculino",2000,""))+IF(Atletas!R108="Gun A",701,IF(Atletas!R108="Qiang A",702,IF(Atletas!R108="Pudao / Guandao A",703,IF(Atletas!R108="Outra Arma Longa A",704,IF(Atletas!R108="Gun B",705,IF(Atletas!R108="Qiang B",706,IF(Atletas!R108="Pudao / Guandao B",707,IF(Atletas!R108="Outra Arma Longa B",708,IF(Atletas!R108="Gun C",709,IF(Atletas!R108="Qiang C",710,IF(Atletas!R108="Pudao / Guandao C",711,IF(Atletas!R108="Outra Arma Longa C",712,IF(Atletas!R108="Gun D",713,IF(Atletas!R108="Qiang D",714,IF(Atletas!R108="Pudao / Guandao D",715,IF(Atletas!R108="Outra Arma Longa D",716,IF(Atletas!R108="Gun E",717,IF(Atletas!R108="Qiang E",718,IF(Atletas!R108="Pudao / Guandao E",719,IF(Atletas!R108="Outra Arma Longa E",720,IF(Atletas!R108="Gun F",721,IF(Atletas!R108="Qiang F",722,IF(Atletas!R108="Pudao / Guandao F",723,IF(Atletas!R108="Outra Arma Longa F",724,"")))))))))))))))))))))))))</f>
        <v/>
      </c>
      <c r="BU112" s="52" t="str">
        <f>IF(Atletas!S108="","",IF(Atletas!W108&lt;&gt;"",10000,0)+IF(Atletas!B108="Feminino",1000,IF(Atletas!B108="Masculino",2000,""))+IF(Atletas!S108="Arma Dupla A",801,IF(Atletas!S108="Arma Maleável A",802,IF(Atletas!S108="Arma Dupla B",803,IF(Atletas!S108="Arma Maleável B",804,IF(Atletas!S108="Arma Dupla C",805,IF(Atletas!S108="Arma Maleável C",806,IF(Atletas!S108="Arma Dupla D",807,IF(Atletas!S108="Arma Maleável D",808,IF(Atletas!S108="Arma Dupla E",809,IF(Atletas!S108="Arma Maleável E",810,IF(Atletas!S108="Arma Dupla F",811,IF(Atletas!S108="Arma Maleável F",812, "")))))))))))))</f>
        <v/>
      </c>
      <c r="BV112" s="52" t="str">
        <f>IF(Atletas!T108="","",IF(Atletas!W108&lt;&gt;"",10000,0)+IF(Atletas!B108="Feminino",1000,IF(Atletas!B108="Masculino",2000,""))+IF(Atletas!T108="Taijijian Yang A",901,IF(Atletas!T108="Taijijian Chen A",902,IF(Atletas!T108="Taijijian Sun A",903,IF(Atletas!T108="Taijijian Wu A",904,IF(Atletas!T108="Taijijian Wu-Hao A",905,IF(Atletas!T108="Taijijian 32 A",906,IF(Atletas!T108="Taijijian 42 A",907,IF(Atletas!T108="Taijijian Yang B",908,IF(Atletas!T108="Taijijian Chen B",909,IF(Atletas!T108="Taijijian Sun B",910,IF(Atletas!T108="Taijijian Wu B",911,IF(Atletas!T108="Taijijian Wu-Hao B",912,IF(Atletas!T108="Taijijian 32 B",913,IF(Atletas!T108="Taijijian 42 B",914,IF(Atletas!T108="Taijijian Yang C",915,IF(Atletas!T108="Taijijian Chen C",916,IF(Atletas!T108="Taijijian Sun C",917,IF(Atletas!T108="Taijijian Wu C",918,IF(Atletas!T108="Taijijian Wu-Hao C",919,IF(Atletas!T108="Taijijian 32 C",920,IF(Atletas!T108="Taijijian 42 C",921,IF(Atletas!T108="Taijijian Yang D",922,IF(Atletas!T108="Taijijian Chen D",923,IF(Atletas!T108="Taijijian Sun D",924,IF(Atletas!T108="Taijijian Wu D",925,IF(Atletas!T108="Taijijian Wu-Hao D",926,IF(Atletas!T108="Taijijian 32 D",927,IF(Atletas!T108="Taijijian 42 D",928,IF(Atletas!T108="Taijijian Yang E",929,IF(Atletas!T108="Taijijian Chen E",930,IF(Atletas!T108="Taijijian Sun E",931,IF(Atletas!T108="Taijijian Wu E",932,IF(Atletas!T108="Taijijian Wu-Hao E",933,IF(Atletas!T108="Taijijian 32 E",934,IF(Atletas!T108="Taijijian 42 E",935,IF(Atletas!T108="Taijijian Yang F",936,IF(Atletas!T108="Taijijian Chen F",937,IF(Atletas!T108="Taijijian Sun F",938,IF(Atletas!T108="Taijijian Wu F",939,IF(Atletas!T108="Taijijian Wu-Hao F",940,IF(Atletas!T108="Taijijian 32 F",941,IF(Atletas!T108="Taijijian 42 F",942,"")))))))))))))))))))))))))))))))))))))))))))</f>
        <v/>
      </c>
      <c r="BW112" s="52" t="str">
        <f>IF(Atletas!U108="","",IF(Atletas!W108&lt;&gt;"",10000,0)+IF(Atletas!B108="Feminino",1000,IF(Atletas!B108="Masculino",2000,""))+IF(Atletas!T108="Taijijian 42 F",942,IF(Atletas!U108="Taijidao A",943,IF(Atletas!U108="Taijishan A",944,IF(Atletas!U108="Taijiqiang A",945,IF(Atletas!U108="Taijidao B",946,IF(Atletas!U108="Taijishan B",947,IF(Atletas!U108="Taijiqiang B",948,IF(Atletas!U108="Taijidao C",949,IF(Atletas!U108="Taijishan C",950,IF(Atletas!U108="Taijiqiang C",951,IF(Atletas!U108="Taijidao D",952,IF(Atletas!U108="Taijishan D",953,IF(Atletas!U108="Taijiqiang D",954,IF(Atletas!U108="Taijidao E",955,IF(Atletas!U108="Taijishan E",956,IF(Atletas!U108="Taijiqiang E",957,IF(Atletas!U108="Taijidao F",958,IF(Atletas!U108="Taijishan F",959,IF(Atletas!U108="Taijiqiang F",960))))))))))))))))))))</f>
        <v/>
      </c>
      <c r="BX112" s="64" t="str">
        <f>IF(BY112&lt;&gt;"","Tongbeiquan F","")</f>
        <v/>
      </c>
      <c r="BY112" s="64" t="str">
        <f>IF(COUNTIF(BK:BW,1176)&gt;0,COUNTIF(BK:BW,1176),"")</f>
        <v/>
      </c>
      <c r="BZ112" s="64" t="str">
        <f>IF(CA112&lt;&gt;"","Tongbeiquan F","")</f>
        <v/>
      </c>
      <c r="CA112" s="64" t="str">
        <f>IF(COUNTIF(BK:BW,2176)&gt;0,COUNTIF(BK:BW,2176),"")</f>
        <v/>
      </c>
      <c r="CB112" s="64" t="str">
        <f>IF(CC112&lt;&gt;"","Tongbeiquan F","")</f>
        <v/>
      </c>
      <c r="CC112" s="64" t="str">
        <f>IF(COUNTIF(BK:BW,11176)&gt;0,COUNTIF(BK:BW,11176),"")</f>
        <v/>
      </c>
      <c r="CD112" s="64" t="str">
        <f>IF(CE112&lt;&gt;"","Tongbeiquan F","")</f>
        <v/>
      </c>
      <c r="CE112" s="64" t="str">
        <f>IF(COUNTIF(BK:BW,12176)&gt;0,COUNTIF(BK:BW,12176),"")</f>
        <v/>
      </c>
      <c r="CF112" s="52" t="str">
        <f xml:space="preserve"> IF(Atletas!V108="","",IF(Atletas!V108="Duilian de Mãos AB - Equipe 1",1,IF(Atletas!V108="Duilian de Mãos AB - Equipe 2",2,IF(Atletas!V108="Duilian de Armas AB - Equipe 1",3,IF(Atletas!V108="Duilian de Armas AB - Equipe 2",4,IF(Atletas!V108="Duilian de Tuishou - Equipe 1",5,IF(Atletas!V108="Duilian de Tuishou - Equipe 2",6,IF(Atletas!V108="Grupo Externo AB - Equipe 1",7,IF(Atletas!V108="Grupo Externo AB - Equipe 2",8,IF(Atletas!V108="Grupo Interno AB - Equipe 1",9,IF(Atletas!V108="Grupo Interno AB - Equipe 2",10,IF(Atletas!V108="Duilian de Mãos CD - Equipe 1",11,IF(Atletas!V108="Duilian de Mãos CD - Equipe 2",12,IF(Atletas!V108="Duilian de Armas CD - Equipe 1",13,IF(Atletas!V108="Duilian de Armas CD - Equipe 2",14,IF(Atletas!V108="Duilian de Tuishou - Equipe 1",15,IF(Atletas!V108="Duilian de Tuishou - Equipe 2",16,IF(Atletas!V108="Grupo Externo CDEF - Equipe 1",17,IF(Atletas!V108="Grupo Externo CDEF - Equipe 2",18,IF(Atletas!V108="Grupo Interno CDEF - Equipe 1",19,IF(Atletas!V108="Grupo Interno CDEF - Equipe 2",20,IF(Atletas!V108="Duilian de Mãos EF - Equipe 1",21,IF(Atletas!V108="Duilian de Mãos EF - Equipe 2",22,IF(Atletas!V108="Duilian de Armas EF - Equipe 1",23,IF(Atletas!V108="Duilian de Armas EF - Equipe 2",24,IF(Atletas!V108="Duilian de Tuishou - Equipe 1",25,IF(Atletas!V108="Duilian de Tuishou - Equipe 2",26,"")))))))))))))))))))))))))))</f>
        <v/>
      </c>
    </row>
    <row r="113" spans="2:84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 t="str">
        <f t="array" ref="V113">IFERROR(INDEX(BX$7:BX$336,SMALL(IF(BX$7:BX$336&lt;&gt;"",ROW(BX$7:BX$336)-ROW(BX$7)+1),ROWS(BX$7:BX112))),"")</f>
        <v/>
      </c>
      <c r="W113" s="4" t="str">
        <f t="array" ref="W113">IFERROR(INDEX(BY$7:BY$336,SMALL(IF(BY$7:BY$336&lt;&gt;"",ROW(BY$7:BY$336)-ROW(BY$7)+1),ROWS(BY$7:BY112))),"")</f>
        <v/>
      </c>
      <c r="X113" s="4" t="str">
        <f t="array" ref="X113">IFERROR(INDEX(BZ$7:BZ$336,SMALL(IF(BZ$7:BZ$336&lt;&gt;"",ROW(BZ$7:BZ$336)-ROW(BZ$7)+1),ROWS(BZ$7:BZ112))),"")</f>
        <v/>
      </c>
      <c r="Y113" s="4" t="str">
        <f t="array" ref="Y113">IFERROR(INDEX(CA$7:CA$336,SMALL(IF(CA$7:CA$336&lt;&gt;"",ROW(CA$7:CA$336)-ROW(CA$7)+1),ROWS(CA$7:CA112))),"")</f>
        <v/>
      </c>
      <c r="Z113" s="4" t="str">
        <f t="array" ref="Z113">IFERROR(INDEX(CB$7:CB$378,SMALL(IF(CB$7:CB$378&lt;&gt;"",ROW(CB$7:CB$378)-ROW(CB$7)+1),ROWS(CB$7:CB112))),"")</f>
        <v/>
      </c>
      <c r="AA113" s="4" t="str">
        <f t="array" ref="AA113">IFERROR(INDEX(CC$7:CC$378,SMALL(IF(CC$7:CC$378&lt;&gt;"",ROW(CC$7:CC$378)-ROW(CC$7)+1),ROWS(CC$7:CC112))),"")</f>
        <v/>
      </c>
      <c r="AB113" s="4" t="str">
        <f t="array" ref="AB113">IFERROR(INDEX(CD$7:CD$378,SMALL(IF(CD$7:CD$378&lt;&gt;"",ROW(CD$7:CD$378)-ROW(CD$7)+1),ROWS(CD$7:CD112))),"")</f>
        <v/>
      </c>
      <c r="AC113" s="4" t="str">
        <f t="array" ref="AC113">IFERROR(INDEX(CE$7:CE$378,SMALL(IF(CE$7:CE$378&lt;&gt;"",ROW(CE$7:CE$378)-ROW(CE$7)+1),ROWS(CE$7:CE112))),"")</f>
        <v/>
      </c>
      <c r="AD113" s="4"/>
      <c r="AE113" s="4"/>
      <c r="AF113" s="4"/>
      <c r="AG113" s="4"/>
      <c r="AH113" s="4"/>
      <c r="AI113" s="4"/>
      <c r="AJ113" s="46" t="str">
        <f>IF(Atletas!D109="","",IF(Atletas!B109="Feminino",100,IF(Atletas!B109="Masculino",200,""))+(IF(Atletas!D109="Infantil 39kg",1,IF(Atletas!D109="Infantil 42kg",2,IF(Atletas!D109="Infantil 45kg",3,IF(Atletas!D109="Infantil 48kg",4,IF(Atletas!D109="Infantil 52kg",5,IF(Atletas!D109="Infantil 56kg",6,IF(Atletas!D109="Infantil 60kg",7,IF(Atletas!D109="Juvenil 48kg",8,IF(Atletas!D109="Juvenil 52kg",9,IF(Atletas!D109="Juvenil 56kg",10,IF(Atletas!D109="Juvenil 60kg",11,IF(Atletas!D109="Juvenil 65kg",12,IF(Atletas!D109="Juvenil 70kg",13,IF(Atletas!D109="Juvenil 75kg",14,IF(Atletas!D109="Juvenil 80kg",15,IF(Atletas!D109="Adulto 48kg",16,IF(Atletas!D109="Adulto 52kg",17,IF(Atletas!D109="Adulto 56kg",18,IF(Atletas!D109="Adulto 60kg",19,IF(Atletas!D109="Adulto 65kg",20,IF(Atletas!D109="Adulto 70kg",21,IF(Atletas!D109="Adulto 75kg",22,IF(Atletas!D109="Adulto 80kg",23,IF(Atletas!D109="Adulto 85kg",24,IF(Atletas!D109="Adulto 90kg",25,IF(Atletas!D109="Adulto +90kg",26,""))))))))))))))))))))))))))))</f>
        <v/>
      </c>
      <c r="AO113" s="10" t="str">
        <f>IF(Atletas!E109="","",IF(Atletas!B109="Feminino",100,IF(Atletas!B109="Masculino",200,""))+(IF(Atletas!E109="Juvenil 44kg",1,IF(Atletas!E109="Juvenil 48kg",2,IF(Atletas!E109="Juvenil 52kg",3,IF(Atletas!E109="Juvenil 56kg",4,IF(Atletas!E109="Juvenil 60kg",5,IF(Atletas!E109="Juvenil 65kg",6,IF(Atletas!E109="Juvenil 70kg",7,IF(Atletas!E109="Juvenil 75kg",8,IF(Atletas!E109="Juvenil 82kg",9,IF(Atletas!E109="Juvenil 90kg",10,IF(Atletas!E109="Juvenil 100kg",11,IF(Atletas!E109="Adulto 48kg",12,IF(Atletas!E109="Adulto 52kg",13,IF(Atletas!E109="Adulto 56kg",14,IF(Atletas!E109="Adulto 60kg",15,IF(Atletas!E109="Adulto 65kg",16,IF(Atletas!E109="Adulto 70kg",17,IF(Atletas!E109="Adulto 75kg",18,IF(Atletas!E109="Adulto 82kg",19,IF(Atletas!E109="Adulto 90kg",20,IF(Atletas!E109="Adulto 100kg",21,IF(Atletas!E109="Adulto +100kg",22,""))))))))))))))))))))))))</f>
        <v/>
      </c>
      <c r="AT113" s="10" t="str">
        <f>IF(Atletas!F109="","",IF(Atletas!B109="Feminino",100,IF(Atletas!B109="Masculino",200,""))+(IF(Atletas!F109="Adulto 48kg",1,IF(Atletas!F109="Adulto 56kg",2,IF(Atletas!F109="Adulto 65kg",3,IF(Atletas!F109="Adulto 75kg",4,IF(Atletas!F109="Adulto +75kg",5,IF(Atletas!F109="Adulto 52kg",6,IF(Atletas!F109="Adulto 60kg",7,IF(Atletas!F109="Adulto 70kg",8,IF(Atletas!F109="Adulto 80kg",9,IF(Atletas!F109="Adulto 90kg",10,IF(Atletas!F109="Adulto +90kg",11,"")))))))))))))</f>
        <v/>
      </c>
      <c r="AY113" s="46" t="str">
        <f>IF(Atletas!G109="","",IF(Atletas!B109="Feminino",100,IF(Atletas!B109="Masculino",200,""))+(IF(Atletas!G109="Changquan Mirim",1,IF(Atletas!G109="Nanquan Mirim",2,IF(Atletas!G109="Taijiquan Mirim",3,IF(Atletas!G109="Changquan Grupo C",4,IF(Atletas!G109="Nanquan Grupo C",5,IF(Atletas!G109="Taijiquan Grupo C",6,IF(Atletas!G109="Changquan Grupo B",7,IF(Atletas!G109="Nanquan Grupo B",8,IF(Atletas!G109="Taijiquan Grupo B",9,IF(Atletas!G109="Changquan Grupo A",10,IF(Atletas!G109="Nanquan Grupo A",11,IF(Atletas!G109="Taijiquan Grupo A",12,IF(Atletas!G109="Changquan Opcional",13,IF(Atletas!G109="Nanquan Opcional",14,IF(Atletas!G109="Taijiquan Opcional",15,IF(Atletas!G109="Changquan Adulto",16,IF(Atletas!G109="Nanquan Adulto",17,IF(Atletas!G109="Taijiquan Adulto",18,""))))))))))))))))))))</f>
        <v/>
      </c>
      <c r="AZ113" s="46" t="str">
        <f>IF(Atletas!H109="","",IF(Atletas!B109="Feminino",100,IF(Atletas!B109="Masculino",200,""))+(IF(Atletas!H109="Daoshu Mirim",19,IF(Atletas!H109="Jianshu Mirim",20,IF(Atletas!H109="Nandao Mirim",21,IF(Atletas!H109="Taijijian Mirim",22,IF(Atletas!H109="Daoshu Grupo C",23,IF(Atletas!H109="Jianshu Grupo C",24,IF(Atletas!H109="Nandao Grupo C",25,IF(Atletas!H109="Taijijian Grupo C",26,IF(Atletas!H109="Daoshu Grupo B",27,IF(Atletas!H109="Jianshu Grupo B",28,IF(Atletas!H109="Nandao Grupo B",29,IF(Atletas!H109="Taijijian Grupo B",30,IF(Atletas!H109="Daoshu Grupo A",31,IF(Atletas!H109="Jianshu Grupo A",32,IF(Atletas!H109="Nandao Grupo A",33,IF(Atletas!H109="Taijijian Grupo A",34,IF(Atletas!H109="Daoshu Opcional",35,IF(Atletas!H109="Jianshu Opcional",36,IF(Atletas!H109="Nandao Opcional",37,IF(Atletas!H109="Taijijian Opcional",38,IF(Atletas!H109="Daoshu Adulto",39,IF(Atletas!H109="Jianshu Adulto",40,IF(Atletas!H109="Nandao Adulto",41,IF(Atletas!H109="Taijijian Adulto",42,""))))))))))))))))))))))))))</f>
        <v/>
      </c>
      <c r="BA113" s="46" t="str">
        <f>IF(Atletas!I109="","",IF(Atletas!B109="Feminino",100,IF(Atletas!B109="Masculino",200,""))+(IF(Atletas!I109="Gunshu Mirim",43,IF(Atletas!I109="Qiangshu Mirim",44,IF(Atletas!I109="Nangun Mirim",45,IF(Atletas!I109="Gunshu Grupo C",46,IF(Atletas!I109="Qiangshu Grupo C",47,IF(Atletas!I109="Nangun Grupo C",48,IF(Atletas!I109="Gunshu Grupo B",49,IF(Atletas!I109="Qiangshu Grupo B",50,IF(Atletas!I109="Nangun Grupo B",51,IF(Atletas!I109="Gunshu Grupo A",52,IF(Atletas!I109="Qiangshu Grupo A",53,IF(Atletas!I109="Nangun Grupo A",54,IF(Atletas!I109="Gunshu Opcional",55,IF(Atletas!I109="Qiangshu Opcional",56,IF(Atletas!I109="Nangun Opcional",57,IF(Atletas!I109="Gunshu Adulto",58,IF(Atletas!I109="Qiangshu Adulto",59,IF(Atletas!I109="Nangun Adulto",60,""))))))))))))))))))))</f>
        <v/>
      </c>
      <c r="BF113" s="52" t="str">
        <f>IF(Atletas!J109="","",IF(Atletas!B109="Feminino",100,IF(Atletas!B109="Masculino",200,""))+(IF(Atletas!J109="Equipe 1 Grupo B",1,IF(Atletas!J109="Equipe 2 Grupo B",2,IF(Atletas!J109="Equipe 1 Grupo A",3,IF(Atletas!J109="Equipe 2 Grupo A",4,IF(Atletas!J109="Equipe 1 Adulto",5,IF(Atletas!J109="Equipe 2 Adulto",6,""))))))))</f>
        <v/>
      </c>
      <c r="BK113" s="52" t="str">
        <f>IF(Atletas!K109="","",IF(Atletas!W109&lt;&gt;"",10000,0)+(IF(Atletas!B109="Feminino",1000,IF(Atletas!B109="Masculino",2000,""))+IF(Atletas!K109="Choylayfut A",1,IF(Atletas!K109="Hunggar A",2,IF(Atletas!K109="Wuzuquan A",3,IF(Atletas!K109="Wingchun A",4,IF(Atletas!K109="Outra Mão de Sul A",5,IF(Atletas!K109="Choylayfut B",6,IF(Atletas!K109="Hunggar B",7,IF(Atletas!K109="Wuzuquan B",8,IF(Atletas!K109="Wingchun B",9,IF(Atletas!K109="Outra Mão de Sul B",10,IF(Atletas!K109="Choylayfut C",11,IF(Atletas!K109="Hunggar C",12,IF(Atletas!K109="Wuzuquan C",13,IF(Atletas!K109="Wingchun C",14,IF(Atletas!K109="Outra Mão de Sul C",15,IF(Atletas!K109="Choylayfut D",16,IF(Atletas!K109="Hunggar D",17,IF(Atletas!K109="Wuzuquan D",18,IF(Atletas!K109="Wingchun D",19,IF(Atletas!K109="Outra Mão de Sul D",20,IF(Atletas!K109="Choylayfut E",21,IF(Atletas!K109="Hunggar E",22,IF(Atletas!K109="Wuzuquan E",23,IF(Atletas!K109="Wingchun E",24,IF(Atletas!K109="Outra Mão de Sul E",25,IF(Atletas!K109="Choylayfut F",26,IF(Atletas!K109="Hunggar F",27,IF(Atletas!K109="Wuzuquan F",28,IF(Atletas!K109="Wingchun F",29,IF(Atletas!K109="Outra Mão de Sul F",30,""))))))))))))))))))))))))))))))))</f>
        <v/>
      </c>
      <c r="BL113" s="52" t="str">
        <f>IF(Atletas!L109="","",IF(Atletas!W109&lt;&gt;"",10000,0)+(IF(Atletas!B109="Feminino",1000,IF(Atletas!B109="Masculino",2000,""))+(IF(Atletas!L109="Chaquan A",101,IF(Atletas!L109="Emeiquan A",102,IF(Atletas!L109="Fanziquan A",103,IF(Atletas!L109="Huaquan A",104,IF(Atletas!L109="Hongquan A",105,IF(Atletas!L109="Paochui A",106,IF(Atletas!L109="Piguaquan A",107,IF(Atletas!L109="Shaolinquan A",108,IF(Atletas!L109="Tanglangquan A",109,IF(Atletas!L109="Yinzhaophai A",110,IF(Atletas!L109="Tongbeiquan A",111,IF(Atletas!L109="Wudangquan A",112,IF(Atletas!L109="Outros Estilos A",113,IF(Atletas!L109="Chaquan B",114,IF(Atletas!L109="Emeiquan B",115,IF(Atletas!L109="Fanziquan B",116,IF(Atletas!L109="Huaquan B",117,IF(Atletas!L109="Hongquan B",118,IF(Atletas!L109="Paochui B",119,IF(Atletas!L109="Piguaquan B",120,IF(Atletas!L109="Shaolinquan B",121,IF(Atletas!L109="Tanglangquan B",122,IF(Atletas!L109="Yinzhaophai B",123,IF(Atletas!L109="Tongbeiquan B",124,IF(Atletas!L109="Wudangquan B",125,IF(Atletas!L109="Outros Estilos B",126,IF(Atletas!L109="Chaquan C",127,IF(Atletas!L109="Emeiquan C",128,IF(Atletas!L109="Fanziquan C",129,IF(Atletas!L109="Huaquan C",130,IF(Atletas!L109="Hongquan C",131,IF(Atletas!L109="Paochui C",132,IF(Atletas!L109="Piguaquan C",133,IF(Atletas!L109="Shaolinquan C",134,IF(Atletas!L109="Tanglangquan C",135,IF(Atletas!L109="Yinzhaophai C",136,IF(Atletas!L109="Tongbeiquan C",137,IF(Atletas!L109="Wudangquan C",138,IF(Atletas!L109="Outros Estilos C",139,0))))))))))))))))))))))))))))))))))))))))))</f>
        <v/>
      </c>
      <c r="BM113" s="52" t="str">
        <f>IF(Atletas!L109="","",IF(Atletas!W109&lt;&gt;"",10000,0)+(IF(Atletas!B109="Feminino",1000,IF(Atletas!B109="Masculino",2000,""))+(IF(Atletas!L109="Chaquan D",140,IF(Atletas!L109="Emeiquan D",141,IF(Atletas!L109="Fanziquan D",142,IF(Atletas!L109="Huaquan D",143,IF(Atletas!L109="Hongquan D",144,IF(Atletas!L109="Paochui D",145,IF(Atletas!L109="Piguaquan D",146,IF(Atletas!L109="Shaolinquan D",147,IF(Atletas!L109="Tanglangquan D",148,IF(Atletas!L109="Yinzhaophai D",149,IF(Atletas!L109="Tongbeiquan D",150,IF(Atletas!L109="Wudangquan D",151,IF(Atletas!L109="Outros Estilos D",152,IF(Atletas!L109="Chaquan E",153,IF(Atletas!L109="Emeiquan E",154,IF(Atletas!L109="Fanziquan E",155,IF(Atletas!L109="Huaquan E",156,IF(Atletas!L109="Hongquan E",157,IF(Atletas!L109="Paochui E",158,IF(Atletas!L109="Piguaquan E",159,IF(Atletas!L109="Shaolinquan E",160,IF(Atletas!L109="Tanglangquan E",161,IF(Atletas!L109="Yinzhaophai E",162,IF(Atletas!L109="Tongbeiquan E",163,IF(Atletas!L109="Wudangquan E",164,IF(Atletas!L109="Outros Estilos E",165,IF(Atletas!L109="Chaquan F",166,IF(Atletas!L109="Emeiquan F",167,IF(Atletas!L109="Fanziquan F",168,IF(Atletas!L109="Huaquan F",169,IF(Atletas!L109="Hongquan F",170,IF(Atletas!L109="Paochui F",171,IF(Atletas!L109="Piguaquan F",172,IF(Atletas!L109="Shaolinquan F",173,IF(Atletas!L109="Tanglangquan F",174,IF(Atletas!L109="Yinzhaophai F",175,IF(Atletas!L109="Tongbeiquan F",176,IF(Atletas!L109="Wudangquan F",177,IF(Atletas!L109="Outros Estilos F",178,0))))))))))))))))))))))))))))))))))))))))))</f>
        <v/>
      </c>
      <c r="BN113" s="52" t="str">
        <f>IF(Atletas!M109="","",IF(Atletas!W109&lt;&gt;"",10000,0)+(IF(Atletas!B109="Feminino",1000,IF(Atletas!B109="Masculino",2000,""))+(IF(Atletas!M109="Ditangquan A",201,IF(Atletas!M109="Houquan A",202,IF(Atletas!M109="Zuiquan A",203,IF(Atletas!M109="Ditangquan B",204,IF(Atletas!M109="Houquan B",205,IF(Atletas!M109="Zuiquan B",206,IF(Atletas!M109="Ditangquan C",207,IF(Atletas!M109="Houquan C",208,IF(Atletas!M109="Zuiquan C",209,IF(Atletas!M109="Ditangquan D",210,IF(Atletas!M109="Houquan D",211,IF(Atletas!M109="Zuiquan D",212,IF(Atletas!M109="Ditangquan E",213,IF(Atletas!M109="Houquan E",214,IF(Atletas!M109="Zuiquan E",215,IF(Atletas!M109="Ditangquan F",216,IF(Atletas!M109="Houquan F",217,IF(Atletas!M109="Zuiquan F",218,"")))))))))))))))))))))</f>
        <v/>
      </c>
      <c r="BO113" s="52" t="str">
        <f>IF(Atletas!N109="","",IF(Atletas!W109&lt;&gt;"",10000,0)+IF(Atletas!B109="Feminino",1000,IF(Atletas!B109="Masculino",2000,""))+IF(Atletas!N109="Yang A",301,IF(Atletas!N109="Chen A",30,IF(Atletas!N109="Sun A",303,IF(Atletas!N109="Wu A",304,IF(Atletas!N109="Wu-Hao A",305,IF(Atletas!N109="Outro Taijiquan A",306,IF(Atletas!N109="Yang B",307,IF(Atletas!N109="Chen B",308,IF(Atletas!N109="Sun B",309,IF(Atletas!N109="Wu B",310,IF(Atletas!N109="Wu-Hao B",311,IF(Atletas!N109="Outro Taijiquan B",312,IF(Atletas!N109="Yang C",313,IF(Atletas!N109="Chen C",314,IF(Atletas!N109="Sun C",315,IF(Atletas!N109="Wu C",316,IF(Atletas!N109="Wu-Hao C",317,IF(Atletas!N109="Outro Taijiquan C",318,IF(Atletas!N109="Yang D",319,IF(Atletas!N109="Chen D",320,IF(Atletas!N109="Sun D",321,IF(Atletas!N109="Wu D",322,IF(Atletas!N109="Wu-Hao D",323,IF(Atletas!N109="Outro Taijiquan D",324,IF(Atletas!N109="Yang E",325,IF(Atletas!N109="Chen E",326,IF(Atletas!N109="Sun E",327,IF(Atletas!N109="Wu E",328,IF(Atletas!N109="Wu-Hao E",329,IF(Atletas!N109="Outro Taijiquan E",330,IF(Atletas!N109="Yang F",331,IF(Atletas!N109="Chen F",332,IF(Atletas!N109="Sun F",333,IF(Atletas!N109="Wu F",334,IF(Atletas!N109="Wu-Hao F",335,IF(Atletas!N109="Outro Taijiquan F",336,"")))))))))))))))))))))))))))))))))))))</f>
        <v/>
      </c>
      <c r="BP113" s="52" t="str">
        <f>IF(Atletas!O109="","",IF(Atletas!W109&lt;&gt;"",10000,0)+IF(Atletas!B109="Feminino",1000,IF(Atletas!B109="Masculino",2000,""))+IF(OR(Atletas!O109="Yang 26 A",Atletas!O109="Yang 40 A"),401,IF(OR(Atletas!O109="Chen 25 A",Atletas!O109="Chen 36 A",Atletas!O109="Chen 56 A"),402,IF(Atletas!O109="Sun 73 A",403,IF(Atletas!O109="Wu 45 A",404,IF(Atletas!O109="Wu-Hao 46 A",405,IF(OR(Atletas!O109="Taijiquan 16 A",Atletas!O109="Taijiquan 24 A",Atletas!O109="Taijiquan 32 A",Atletas!O109="Taijiquan 42 A"),406,IF(OR(Atletas!O109="Yang 26 B",Atletas!O109="Yang 40 B"),407,IF(OR(Atletas!O109="Chen 25 B",Atletas!O109="Chen 36 B",Atletas!O109="Chen 56 B"),408,IF(Atletas!O109="Sun 73 B",409,IF(Atletas!O109="Wu 45 B",410,IF(Atletas!O109="Wu-Hao 46 B",411,IF(OR(Atletas!O109="Taijiquan 16 B",Atletas!O109="Taijiquan 24 B",Atletas!O109="Taijiquan 32 B",Atletas!O109="Taijiquan 42 B"),412,IF(OR(Atletas!O109="Yang 26 C",Atletas!O109="Yang 40 C"),413,IF(OR(Atletas!O109="Chen 25 C",Atletas!O109="Chen 36 C",Atletas!O109="Chen 56 C"),414,IF(Atletas!O109="Sun 73 C",415,IF(Atletas!O109="Wu 45 C",416,IF(Atletas!O109="Wu-Hao 46 C",417,IF(OR(Atletas!O109="Taijiquan 16 C",Atletas!O109="Taijiquan 24 C",Atletas!O109="Taijiquan 32 C",Atletas!O109="Taijiquan 42 C"),418,0)))))))))))))))))))</f>
        <v/>
      </c>
      <c r="BQ113" s="52" t="str">
        <f>IF(Atletas!O109="","",IF(Atletas!W109&lt;&gt;"",10000,0)+IF(Atletas!B109="Feminino",1000,IF(Atletas!B109="Masculino",2000,""))+IF(OR(Atletas!O109="Yang 26 D",Atletas!O109="Yang 40 D"),419,IF(OR(Atletas!O109="Chen 25 D",Atletas!O109="Chen 36 D",Atletas!O109="Chen 56 D"),420,IF(Atletas!O109="Sun 73 D",421,IF(Atletas!O109="Wu 45 D",422,IF(Atletas!O109="Wu-Hao 46 D",423,IF(OR(Atletas!O109="Taijiquan 16 D",Atletas!O109="Taijiquan 24 D",Atletas!O109="Taijiquan 32 D",Atletas!O109="Taijiquan 42 D"),424,IF(OR(Atletas!O109="Yang 26 E",Atletas!O109="Yang 40 E"),425,IF(OR(Atletas!O109="Chen 25 E",Atletas!O109="Chen 36 E",Atletas!O109="Chen 56 E"),426,IF(Atletas!O109="Sun 73 E",427,IF(Atletas!O109="Wu 45 E",428,IF(Atletas!O109="Wu-Hao 46 E",429,IF(OR(Atletas!O109="Taijiquan 16 E",Atletas!O109="Taijiquan 24 E",Atletas!O109="Taijiquan 32 E",Atletas!O109="Taijiquan 42 E"),430,IF(OR(Atletas!O109="Yang 26 F",Atletas!O109="Yang 40 F"),431,IF(OR(Atletas!O109="Chen 25 F",Atletas!O109="Chen 36 F",Atletas!O109="Chen 56 F"),432,IF(Atletas!O109="Sun 73 F",433,IF(Atletas!O109="Wu 45 F",434,IF(Atletas!O109="Wu-Hao 46 F",435,IF(OR(Atletas!O109="Taijiquan 16 F",Atletas!O109="Taijiquan 24 F",Atletas!O109="Taijiquan 32 F",Atletas!O109="Taijiquan 42 F"),436,0)))))))))))))))))))</f>
        <v/>
      </c>
      <c r="BR113" s="52" t="str">
        <f>IF(Atletas!P109="","",IF(Atletas!W109&lt;&gt;"",10000,0)+IF(Atletas!B109="Feminino",1000,IF(Atletas!B109="Masculino",2000,""))+IF(Atletas!P109="Xingyiquan A",501,IF(Atletas!P109="Baguazhang A",502,IF(Atletas!P109="Outro Estilo Interno A",503,IF(Atletas!P109="Xingyiquan B",504,IF(Atletas!P109="Baguazhang B",505,IF(Atletas!P109="Outro Estilo Interno B",506,IF(Atletas!P109="Xingyiquan C",507,IF(Atletas!P109="Baguazhang C",508,IF(Atletas!P109="Outro Estilo Interno C",509,IF(Atletas!P109="Xingyiquan D",510,IF(Atletas!P109="Baguazhang D",511,IF(Atletas!P109="Outro Estilo Interno D",512,IF(Atletas!P109="Xingyiquan E",513,IF(Atletas!P109="Baguazhang E",514,IF(Atletas!P109="Outro Estilo Interno E",515,IF(Atletas!P109="Xingyiquan F",516,IF(Atletas!P109="Baguazhang F",517,IF(Atletas!P109="Outro Estilo Interno F",518, "")))))))))))))))))))</f>
        <v/>
      </c>
      <c r="BS113" s="52" t="str">
        <f>IF(Atletas!Q109="","",IF(Atletas!W109&lt;&gt;"",10000,0)+IF(Atletas!B109="Feminino",1000,IF(Atletas!B109="Masculino",2000,""))+IF(Atletas!Q109="Dao A",601,IF(Atletas!Q109="Jian A",602,IF(Atletas!Q109="Bishou A",603,IF(Atletas!Q109="Shan A",604,IF(Atletas!Q109="Outra Arma Curta A",605,IF(Atletas!Q109="Dao B",606,IF(Atletas!Q109="Jian B",607,IF(Atletas!Q109="Bishou B",608,IF(Atletas!Q109="Shan B",609,IF(Atletas!Q109="Outra Arma Curta B",610,IF(Atletas!Q109="Dao C",611,IF(Atletas!Q109="Jian C",612,IF(Atletas!Q109="Bishou C",613,IF(Atletas!Q109="Shan C",614,IF(Atletas!Q109="Outra Arma Curta C",615,IF(Atletas!Q109="Dao D",616,IF(Atletas!Q109="Jian D",617,IF(Atletas!Q109="Bishou D",618,IF(Atletas!Q109="Shan D",619,IF(Atletas!Q109="Outra Arma Curta D",620,IF(Atletas!Q109="Dao E",621,IF(Atletas!Q109="Jian E",622,IF(Atletas!Q109="Bishou E",623,IF(Atletas!Q109="Shan E",624,IF(Atletas!Q109="Outra Arma Curta E",625,IF(Atletas!Q109="Dao F",626,IF(Atletas!Q109="Jian F",627,IF(Atletas!Q109="Bishou F",628,IF(Atletas!Q109="Shan F",629,IF(Atletas!Q109="Outra Arma Curta F",630, "")))))))))))))))))))))))))))))))</f>
        <v/>
      </c>
      <c r="BT113" s="52" t="str">
        <f>IF(Atletas!R109="","",IF(Atletas!W109&lt;&gt;"",10000,0)+IF(Atletas!B109="Feminino",1000,IF(Atletas!B109="Masculino",2000,""))+IF(Atletas!R109="Gun A",701,IF(Atletas!R109="Qiang A",702,IF(Atletas!R109="Pudao / Guandao A",703,IF(Atletas!R109="Outra Arma Longa A",704,IF(Atletas!R109="Gun B",705,IF(Atletas!R109="Qiang B",706,IF(Atletas!R109="Pudao / Guandao B",707,IF(Atletas!R109="Outra Arma Longa B",708,IF(Atletas!R109="Gun C",709,IF(Atletas!R109="Qiang C",710,IF(Atletas!R109="Pudao / Guandao C",711,IF(Atletas!R109="Outra Arma Longa C",712,IF(Atletas!R109="Gun D",713,IF(Atletas!R109="Qiang D",714,IF(Atletas!R109="Pudao / Guandao D",715,IF(Atletas!R109="Outra Arma Longa D",716,IF(Atletas!R109="Gun E",717,IF(Atletas!R109="Qiang E",718,IF(Atletas!R109="Pudao / Guandao E",719,IF(Atletas!R109="Outra Arma Longa E",720,IF(Atletas!R109="Gun F",721,IF(Atletas!R109="Qiang F",722,IF(Atletas!R109="Pudao / Guandao F",723,IF(Atletas!R109="Outra Arma Longa F",724,"")))))))))))))))))))))))))</f>
        <v/>
      </c>
      <c r="BU113" s="52" t="str">
        <f>IF(Atletas!S109="","",IF(Atletas!W109&lt;&gt;"",10000,0)+IF(Atletas!B109="Feminino",1000,IF(Atletas!B109="Masculino",2000,""))+IF(Atletas!S109="Arma Dupla A",801,IF(Atletas!S109="Arma Maleável A",802,IF(Atletas!S109="Arma Dupla B",803,IF(Atletas!S109="Arma Maleável B",804,IF(Atletas!S109="Arma Dupla C",805,IF(Atletas!S109="Arma Maleável C",806,IF(Atletas!S109="Arma Dupla D",807,IF(Atletas!S109="Arma Maleável D",808,IF(Atletas!S109="Arma Dupla E",809,IF(Atletas!S109="Arma Maleável E",810,IF(Atletas!S109="Arma Dupla F",811,IF(Atletas!S109="Arma Maleável F",812, "")))))))))))))</f>
        <v/>
      </c>
      <c r="BV113" s="52" t="str">
        <f>IF(Atletas!T109="","",IF(Atletas!W109&lt;&gt;"",10000,0)+IF(Atletas!B109="Feminino",1000,IF(Atletas!B109="Masculino",2000,""))+IF(Atletas!T109="Taijijian Yang A",901,IF(Atletas!T109="Taijijian Chen A",902,IF(Atletas!T109="Taijijian Sun A",903,IF(Atletas!T109="Taijijian Wu A",904,IF(Atletas!T109="Taijijian Wu-Hao A",905,IF(Atletas!T109="Taijijian 32 A",906,IF(Atletas!T109="Taijijian 42 A",907,IF(Atletas!T109="Taijijian Yang B",908,IF(Atletas!T109="Taijijian Chen B",909,IF(Atletas!T109="Taijijian Sun B",910,IF(Atletas!T109="Taijijian Wu B",911,IF(Atletas!T109="Taijijian Wu-Hao B",912,IF(Atletas!T109="Taijijian 32 B",913,IF(Atletas!T109="Taijijian 42 B",914,IF(Atletas!T109="Taijijian Yang C",915,IF(Atletas!T109="Taijijian Chen C",916,IF(Atletas!T109="Taijijian Sun C",917,IF(Atletas!T109="Taijijian Wu C",918,IF(Atletas!T109="Taijijian Wu-Hao C",919,IF(Atletas!T109="Taijijian 32 C",920,IF(Atletas!T109="Taijijian 42 C",921,IF(Atletas!T109="Taijijian Yang D",922,IF(Atletas!T109="Taijijian Chen D",923,IF(Atletas!T109="Taijijian Sun D",924,IF(Atletas!T109="Taijijian Wu D",925,IF(Atletas!T109="Taijijian Wu-Hao D",926,IF(Atletas!T109="Taijijian 32 D",927,IF(Atletas!T109="Taijijian 42 D",928,IF(Atletas!T109="Taijijian Yang E",929,IF(Atletas!T109="Taijijian Chen E",930,IF(Atletas!T109="Taijijian Sun E",931,IF(Atletas!T109="Taijijian Wu E",932,IF(Atletas!T109="Taijijian Wu-Hao E",933,IF(Atletas!T109="Taijijian 32 E",934,IF(Atletas!T109="Taijijian 42 E",935,IF(Atletas!T109="Taijijian Yang F",936,IF(Atletas!T109="Taijijian Chen F",937,IF(Atletas!T109="Taijijian Sun F",938,IF(Atletas!T109="Taijijian Wu F",939,IF(Atletas!T109="Taijijian Wu-Hao F",940,IF(Atletas!T109="Taijijian 32 F",941,IF(Atletas!T109="Taijijian 42 F",942,"")))))))))))))))))))))))))))))))))))))))))))</f>
        <v/>
      </c>
      <c r="BW113" s="52" t="str">
        <f>IF(Atletas!U109="","",IF(Atletas!W109&lt;&gt;"",10000,0)+IF(Atletas!B109="Feminino",1000,IF(Atletas!B109="Masculino",2000,""))+IF(Atletas!T109="Taijijian 42 F",942,IF(Atletas!U109="Taijidao A",943,IF(Atletas!U109="Taijishan A",944,IF(Atletas!U109="Taijiqiang A",945,IF(Atletas!U109="Taijidao B",946,IF(Atletas!U109="Taijishan B",947,IF(Atletas!U109="Taijiqiang B",948,IF(Atletas!U109="Taijidao C",949,IF(Atletas!U109="Taijishan C",950,IF(Atletas!U109="Taijiqiang C",951,IF(Atletas!U109="Taijidao D",952,IF(Atletas!U109="Taijishan D",953,IF(Atletas!U109="Taijiqiang D",954,IF(Atletas!U109="Taijidao E",955,IF(Atletas!U109="Taijishan E",956,IF(Atletas!U109="Taijiqiang E",957,IF(Atletas!U109="Taijidao F",958,IF(Atletas!U109="Taijishan F",959,IF(Atletas!U109="Taijiqiang F",960))))))))))))))))))))</f>
        <v/>
      </c>
      <c r="BX113" s="64" t="str">
        <f>IF(BY113&lt;&gt;"","Wudangquan F","")</f>
        <v/>
      </c>
      <c r="BY113" s="64" t="str">
        <f>IF(COUNTIF(BK:BW,1177)&gt;0,COUNTIF(BK:BW,1177),"")</f>
        <v/>
      </c>
      <c r="BZ113" s="64" t="str">
        <f>IF(CA113&lt;&gt;"","Wudangquan F","")</f>
        <v/>
      </c>
      <c r="CA113" s="64" t="str">
        <f>IF(COUNTIF(BK:BW,2177)&gt;0,COUNTIF(BK:BW,2177),"")</f>
        <v/>
      </c>
      <c r="CB113" s="64" t="str">
        <f>IF(CC113&lt;&gt;"","Wudangquan F","")</f>
        <v/>
      </c>
      <c r="CC113" s="64" t="str">
        <f>IF(COUNTIF(BK:BW,11177)&gt;0,COUNTIF(BK:BW,11177),"")</f>
        <v/>
      </c>
      <c r="CD113" s="64" t="str">
        <f>IF(CE113&lt;&gt;"","Wudangquan F","")</f>
        <v/>
      </c>
      <c r="CE113" s="64" t="str">
        <f>IF(COUNTIF(BK:BW,12177)&gt;0,COUNTIF(BK:BW,12177),"")</f>
        <v/>
      </c>
      <c r="CF113" s="52" t="str">
        <f xml:space="preserve"> IF(Atletas!V109="","",IF(Atletas!V109="Duilian de Mãos AB - Equipe 1",1,IF(Atletas!V109="Duilian de Mãos AB - Equipe 2",2,IF(Atletas!V109="Duilian de Armas AB - Equipe 1",3,IF(Atletas!V109="Duilian de Armas AB - Equipe 2",4,IF(Atletas!V109="Duilian de Tuishou - Equipe 1",5,IF(Atletas!V109="Duilian de Tuishou - Equipe 2",6,IF(Atletas!V109="Grupo Externo AB - Equipe 1",7,IF(Atletas!V109="Grupo Externo AB - Equipe 2",8,IF(Atletas!V109="Grupo Interno AB - Equipe 1",9,IF(Atletas!V109="Grupo Interno AB - Equipe 2",10,IF(Atletas!V109="Duilian de Mãos CD - Equipe 1",11,IF(Atletas!V109="Duilian de Mãos CD - Equipe 2",12,IF(Atletas!V109="Duilian de Armas CD - Equipe 1",13,IF(Atletas!V109="Duilian de Armas CD - Equipe 2",14,IF(Atletas!V109="Duilian de Tuishou - Equipe 1",15,IF(Atletas!V109="Duilian de Tuishou - Equipe 2",16,IF(Atletas!V109="Grupo Externo CDEF - Equipe 1",17,IF(Atletas!V109="Grupo Externo CDEF - Equipe 2",18,IF(Atletas!V109="Grupo Interno CDEF - Equipe 1",19,IF(Atletas!V109="Grupo Interno CDEF - Equipe 2",20,IF(Atletas!V109="Duilian de Mãos EF - Equipe 1",21,IF(Atletas!V109="Duilian de Mãos EF - Equipe 2",22,IF(Atletas!V109="Duilian de Armas EF - Equipe 1",23,IF(Atletas!V109="Duilian de Armas EF - Equipe 2",24,IF(Atletas!V109="Duilian de Tuishou - Equipe 1",25,IF(Atletas!V109="Duilian de Tuishou - Equipe 2",26,"")))))))))))))))))))))))))))</f>
        <v/>
      </c>
    </row>
    <row r="114" spans="2:84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 t="str">
        <f t="array" ref="V114">IFERROR(INDEX(BX$7:BX$336,SMALL(IF(BX$7:BX$336&lt;&gt;"",ROW(BX$7:BX$336)-ROW(BX$7)+1),ROWS(BX$7:BX113))),"")</f>
        <v/>
      </c>
      <c r="W114" s="4" t="str">
        <f t="array" ref="W114">IFERROR(INDEX(BY$7:BY$336,SMALL(IF(BY$7:BY$336&lt;&gt;"",ROW(BY$7:BY$336)-ROW(BY$7)+1),ROWS(BY$7:BY113))),"")</f>
        <v/>
      </c>
      <c r="X114" s="4" t="str">
        <f t="array" ref="X114">IFERROR(INDEX(BZ$7:BZ$336,SMALL(IF(BZ$7:BZ$336&lt;&gt;"",ROW(BZ$7:BZ$336)-ROW(BZ$7)+1),ROWS(BZ$7:BZ113))),"")</f>
        <v/>
      </c>
      <c r="Y114" s="4" t="str">
        <f t="array" ref="Y114">IFERROR(INDEX(CA$7:CA$336,SMALL(IF(CA$7:CA$336&lt;&gt;"",ROW(CA$7:CA$336)-ROW(CA$7)+1),ROWS(CA$7:CA113))),"")</f>
        <v/>
      </c>
      <c r="Z114" s="4" t="str">
        <f t="array" ref="Z114">IFERROR(INDEX(CB$7:CB$378,SMALL(IF(CB$7:CB$378&lt;&gt;"",ROW(CB$7:CB$378)-ROW(CB$7)+1),ROWS(CB$7:CB113))),"")</f>
        <v/>
      </c>
      <c r="AA114" s="4" t="str">
        <f t="array" ref="AA114">IFERROR(INDEX(CC$7:CC$378,SMALL(IF(CC$7:CC$378&lt;&gt;"",ROW(CC$7:CC$378)-ROW(CC$7)+1),ROWS(CC$7:CC113))),"")</f>
        <v/>
      </c>
      <c r="AB114" s="4" t="str">
        <f t="array" ref="AB114">IFERROR(INDEX(CD$7:CD$378,SMALL(IF(CD$7:CD$378&lt;&gt;"",ROW(CD$7:CD$378)-ROW(CD$7)+1),ROWS(CD$7:CD113))),"")</f>
        <v/>
      </c>
      <c r="AC114" s="4" t="str">
        <f t="array" ref="AC114">IFERROR(INDEX(CE$7:CE$378,SMALL(IF(CE$7:CE$378&lt;&gt;"",ROW(CE$7:CE$378)-ROW(CE$7)+1),ROWS(CE$7:CE113))),"")</f>
        <v/>
      </c>
      <c r="AD114" s="4"/>
      <c r="AE114" s="4"/>
      <c r="AF114" s="4"/>
      <c r="AG114" s="4"/>
      <c r="AH114" s="4"/>
      <c r="AI114" s="4"/>
      <c r="AJ114" s="46" t="str">
        <f>IF(Atletas!D110="","",IF(Atletas!B110="Feminino",100,IF(Atletas!B110="Masculino",200,""))+(IF(Atletas!D110="Infantil 39kg",1,IF(Atletas!D110="Infantil 42kg",2,IF(Atletas!D110="Infantil 45kg",3,IF(Atletas!D110="Infantil 48kg",4,IF(Atletas!D110="Infantil 52kg",5,IF(Atletas!D110="Infantil 56kg",6,IF(Atletas!D110="Infantil 60kg",7,IF(Atletas!D110="Juvenil 48kg",8,IF(Atletas!D110="Juvenil 52kg",9,IF(Atletas!D110="Juvenil 56kg",10,IF(Atletas!D110="Juvenil 60kg",11,IF(Atletas!D110="Juvenil 65kg",12,IF(Atletas!D110="Juvenil 70kg",13,IF(Atletas!D110="Juvenil 75kg",14,IF(Atletas!D110="Juvenil 80kg",15,IF(Atletas!D110="Adulto 48kg",16,IF(Atletas!D110="Adulto 52kg",17,IF(Atletas!D110="Adulto 56kg",18,IF(Atletas!D110="Adulto 60kg",19,IF(Atletas!D110="Adulto 65kg",20,IF(Atletas!D110="Adulto 70kg",21,IF(Atletas!D110="Adulto 75kg",22,IF(Atletas!D110="Adulto 80kg",23,IF(Atletas!D110="Adulto 85kg",24,IF(Atletas!D110="Adulto 90kg",25,IF(Atletas!D110="Adulto +90kg",26,""))))))))))))))))))))))))))))</f>
        <v/>
      </c>
      <c r="AO114" s="10" t="str">
        <f>IF(Atletas!E110="","",IF(Atletas!B110="Feminino",100,IF(Atletas!B110="Masculino",200,""))+(IF(Atletas!E110="Juvenil 44kg",1,IF(Atletas!E110="Juvenil 48kg",2,IF(Atletas!E110="Juvenil 52kg",3,IF(Atletas!E110="Juvenil 56kg",4,IF(Atletas!E110="Juvenil 60kg",5,IF(Atletas!E110="Juvenil 65kg",6,IF(Atletas!E110="Juvenil 70kg",7,IF(Atletas!E110="Juvenil 75kg",8,IF(Atletas!E110="Juvenil 82kg",9,IF(Atletas!E110="Juvenil 90kg",10,IF(Atletas!E110="Juvenil 100kg",11,IF(Atletas!E110="Adulto 48kg",12,IF(Atletas!E110="Adulto 52kg",13,IF(Atletas!E110="Adulto 56kg",14,IF(Atletas!E110="Adulto 60kg",15,IF(Atletas!E110="Adulto 65kg",16,IF(Atletas!E110="Adulto 70kg",17,IF(Atletas!E110="Adulto 75kg",18,IF(Atletas!E110="Adulto 82kg",19,IF(Atletas!E110="Adulto 90kg",20,IF(Atletas!E110="Adulto 100kg",21,IF(Atletas!E110="Adulto +100kg",22,""))))))))))))))))))))))))</f>
        <v/>
      </c>
      <c r="AT114" s="10" t="str">
        <f>IF(Atletas!F110="","",IF(Atletas!B110="Feminino",100,IF(Atletas!B110="Masculino",200,""))+(IF(Atletas!F110="Adulto 48kg",1,IF(Atletas!F110="Adulto 56kg",2,IF(Atletas!F110="Adulto 65kg",3,IF(Atletas!F110="Adulto 75kg",4,IF(Atletas!F110="Adulto +75kg",5,IF(Atletas!F110="Adulto 52kg",6,IF(Atletas!F110="Adulto 60kg",7,IF(Atletas!F110="Adulto 70kg",8,IF(Atletas!F110="Adulto 80kg",9,IF(Atletas!F110="Adulto 90kg",10,IF(Atletas!F110="Adulto +90kg",11,"")))))))))))))</f>
        <v/>
      </c>
      <c r="AY114" s="46" t="str">
        <f>IF(Atletas!G110="","",IF(Atletas!B110="Feminino",100,IF(Atletas!B110="Masculino",200,""))+(IF(Atletas!G110="Changquan Mirim",1,IF(Atletas!G110="Nanquan Mirim",2,IF(Atletas!G110="Taijiquan Mirim",3,IF(Atletas!G110="Changquan Grupo C",4,IF(Atletas!G110="Nanquan Grupo C",5,IF(Atletas!G110="Taijiquan Grupo C",6,IF(Atletas!G110="Changquan Grupo B",7,IF(Atletas!G110="Nanquan Grupo B",8,IF(Atletas!G110="Taijiquan Grupo B",9,IF(Atletas!G110="Changquan Grupo A",10,IF(Atletas!G110="Nanquan Grupo A",11,IF(Atletas!G110="Taijiquan Grupo A",12,IF(Atletas!G110="Changquan Opcional",13,IF(Atletas!G110="Nanquan Opcional",14,IF(Atletas!G110="Taijiquan Opcional",15,IF(Atletas!G110="Changquan Adulto",16,IF(Atletas!G110="Nanquan Adulto",17,IF(Atletas!G110="Taijiquan Adulto",18,""))))))))))))))))))))</f>
        <v/>
      </c>
      <c r="AZ114" s="46" t="str">
        <f>IF(Atletas!H110="","",IF(Atletas!B110="Feminino",100,IF(Atletas!B110="Masculino",200,""))+(IF(Atletas!H110="Daoshu Mirim",19,IF(Atletas!H110="Jianshu Mirim",20,IF(Atletas!H110="Nandao Mirim",21,IF(Atletas!H110="Taijijian Mirim",22,IF(Atletas!H110="Daoshu Grupo C",23,IF(Atletas!H110="Jianshu Grupo C",24,IF(Atletas!H110="Nandao Grupo C",25,IF(Atletas!H110="Taijijian Grupo C",26,IF(Atletas!H110="Daoshu Grupo B",27,IF(Atletas!H110="Jianshu Grupo B",28,IF(Atletas!H110="Nandao Grupo B",29,IF(Atletas!H110="Taijijian Grupo B",30,IF(Atletas!H110="Daoshu Grupo A",31,IF(Atletas!H110="Jianshu Grupo A",32,IF(Atletas!H110="Nandao Grupo A",33,IF(Atletas!H110="Taijijian Grupo A",34,IF(Atletas!H110="Daoshu Opcional",35,IF(Atletas!H110="Jianshu Opcional",36,IF(Atletas!H110="Nandao Opcional",37,IF(Atletas!H110="Taijijian Opcional",38,IF(Atletas!H110="Daoshu Adulto",39,IF(Atletas!H110="Jianshu Adulto",40,IF(Atletas!H110="Nandao Adulto",41,IF(Atletas!H110="Taijijian Adulto",42,""))))))))))))))))))))))))))</f>
        <v/>
      </c>
      <c r="BA114" s="46" t="str">
        <f>IF(Atletas!I110="","",IF(Atletas!B110="Feminino",100,IF(Atletas!B110="Masculino",200,""))+(IF(Atletas!I110="Gunshu Mirim",43,IF(Atletas!I110="Qiangshu Mirim",44,IF(Atletas!I110="Nangun Mirim",45,IF(Atletas!I110="Gunshu Grupo C",46,IF(Atletas!I110="Qiangshu Grupo C",47,IF(Atletas!I110="Nangun Grupo C",48,IF(Atletas!I110="Gunshu Grupo B",49,IF(Atletas!I110="Qiangshu Grupo B",50,IF(Atletas!I110="Nangun Grupo B",51,IF(Atletas!I110="Gunshu Grupo A",52,IF(Atletas!I110="Qiangshu Grupo A",53,IF(Atletas!I110="Nangun Grupo A",54,IF(Atletas!I110="Gunshu Opcional",55,IF(Atletas!I110="Qiangshu Opcional",56,IF(Atletas!I110="Nangun Opcional",57,IF(Atletas!I110="Gunshu Adulto",58,IF(Atletas!I110="Qiangshu Adulto",59,IF(Atletas!I110="Nangun Adulto",60,""))))))))))))))))))))</f>
        <v/>
      </c>
      <c r="BF114" s="52" t="str">
        <f>IF(Atletas!J110="","",IF(Atletas!B110="Feminino",100,IF(Atletas!B110="Masculino",200,""))+(IF(Atletas!J110="Equipe 1 Grupo B",1,IF(Atletas!J110="Equipe 2 Grupo B",2,IF(Atletas!J110="Equipe 1 Grupo A",3,IF(Atletas!J110="Equipe 2 Grupo A",4,IF(Atletas!J110="Equipe 1 Adulto",5,IF(Atletas!J110="Equipe 2 Adulto",6,""))))))))</f>
        <v/>
      </c>
      <c r="BK114" s="52" t="str">
        <f>IF(Atletas!K110="","",IF(Atletas!W110&lt;&gt;"",10000,0)+(IF(Atletas!B110="Feminino",1000,IF(Atletas!B110="Masculino",2000,""))+IF(Atletas!K110="Choylayfut A",1,IF(Atletas!K110="Hunggar A",2,IF(Atletas!K110="Wuzuquan A",3,IF(Atletas!K110="Wingchun A",4,IF(Atletas!K110="Outra Mão de Sul A",5,IF(Atletas!K110="Choylayfut B",6,IF(Atletas!K110="Hunggar B",7,IF(Atletas!K110="Wuzuquan B",8,IF(Atletas!K110="Wingchun B",9,IF(Atletas!K110="Outra Mão de Sul B",10,IF(Atletas!K110="Choylayfut C",11,IF(Atletas!K110="Hunggar C",12,IF(Atletas!K110="Wuzuquan C",13,IF(Atletas!K110="Wingchun C",14,IF(Atletas!K110="Outra Mão de Sul C",15,IF(Atletas!K110="Choylayfut D",16,IF(Atletas!K110="Hunggar D",17,IF(Atletas!K110="Wuzuquan D",18,IF(Atletas!K110="Wingchun D",19,IF(Atletas!K110="Outra Mão de Sul D",20,IF(Atletas!K110="Choylayfut E",21,IF(Atletas!K110="Hunggar E",22,IF(Atletas!K110="Wuzuquan E",23,IF(Atletas!K110="Wingchun E",24,IF(Atletas!K110="Outra Mão de Sul E",25,IF(Atletas!K110="Choylayfut F",26,IF(Atletas!K110="Hunggar F",27,IF(Atletas!K110="Wuzuquan F",28,IF(Atletas!K110="Wingchun F",29,IF(Atletas!K110="Outra Mão de Sul F",30,""))))))))))))))))))))))))))))))))</f>
        <v/>
      </c>
      <c r="BL114" s="52" t="str">
        <f>IF(Atletas!L110="","",IF(Atletas!W110&lt;&gt;"",10000,0)+(IF(Atletas!B110="Feminino",1000,IF(Atletas!B110="Masculino",2000,""))+(IF(Atletas!L110="Chaquan A",101,IF(Atletas!L110="Emeiquan A",102,IF(Atletas!L110="Fanziquan A",103,IF(Atletas!L110="Huaquan A",104,IF(Atletas!L110="Hongquan A",105,IF(Atletas!L110="Paochui A",106,IF(Atletas!L110="Piguaquan A",107,IF(Atletas!L110="Shaolinquan A",108,IF(Atletas!L110="Tanglangquan A",109,IF(Atletas!L110="Yinzhaophai A",110,IF(Atletas!L110="Tongbeiquan A",111,IF(Atletas!L110="Wudangquan A",112,IF(Atletas!L110="Outros Estilos A",113,IF(Atletas!L110="Chaquan B",114,IF(Atletas!L110="Emeiquan B",115,IF(Atletas!L110="Fanziquan B",116,IF(Atletas!L110="Huaquan B",117,IF(Atletas!L110="Hongquan B",118,IF(Atletas!L110="Paochui B",119,IF(Atletas!L110="Piguaquan B",120,IF(Atletas!L110="Shaolinquan B",121,IF(Atletas!L110="Tanglangquan B",122,IF(Atletas!L110="Yinzhaophai B",123,IF(Atletas!L110="Tongbeiquan B",124,IF(Atletas!L110="Wudangquan B",125,IF(Atletas!L110="Outros Estilos B",126,IF(Atletas!L110="Chaquan C",127,IF(Atletas!L110="Emeiquan C",128,IF(Atletas!L110="Fanziquan C",129,IF(Atletas!L110="Huaquan C",130,IF(Atletas!L110="Hongquan C",131,IF(Atletas!L110="Paochui C",132,IF(Atletas!L110="Piguaquan C",133,IF(Atletas!L110="Shaolinquan C",134,IF(Atletas!L110="Tanglangquan C",135,IF(Atletas!L110="Yinzhaophai C",136,IF(Atletas!L110="Tongbeiquan C",137,IF(Atletas!L110="Wudangquan C",138,IF(Atletas!L110="Outros Estilos C",139,0))))))))))))))))))))))))))))))))))))))))))</f>
        <v/>
      </c>
      <c r="BM114" s="52" t="str">
        <f>IF(Atletas!L110="","",IF(Atletas!W110&lt;&gt;"",10000,0)+(IF(Atletas!B110="Feminino",1000,IF(Atletas!B110="Masculino",2000,""))+(IF(Atletas!L110="Chaquan D",140,IF(Atletas!L110="Emeiquan D",141,IF(Atletas!L110="Fanziquan D",142,IF(Atletas!L110="Huaquan D",143,IF(Atletas!L110="Hongquan D",144,IF(Atletas!L110="Paochui D",145,IF(Atletas!L110="Piguaquan D",146,IF(Atletas!L110="Shaolinquan D",147,IF(Atletas!L110="Tanglangquan D",148,IF(Atletas!L110="Yinzhaophai D",149,IF(Atletas!L110="Tongbeiquan D",150,IF(Atletas!L110="Wudangquan D",151,IF(Atletas!L110="Outros Estilos D",152,IF(Atletas!L110="Chaquan E",153,IF(Atletas!L110="Emeiquan E",154,IF(Atletas!L110="Fanziquan E",155,IF(Atletas!L110="Huaquan E",156,IF(Atletas!L110="Hongquan E",157,IF(Atletas!L110="Paochui E",158,IF(Atletas!L110="Piguaquan E",159,IF(Atletas!L110="Shaolinquan E",160,IF(Atletas!L110="Tanglangquan E",161,IF(Atletas!L110="Yinzhaophai E",162,IF(Atletas!L110="Tongbeiquan E",163,IF(Atletas!L110="Wudangquan E",164,IF(Atletas!L110="Outros Estilos E",165,IF(Atletas!L110="Chaquan F",166,IF(Atletas!L110="Emeiquan F",167,IF(Atletas!L110="Fanziquan F",168,IF(Atletas!L110="Huaquan F",169,IF(Atletas!L110="Hongquan F",170,IF(Atletas!L110="Paochui F",171,IF(Atletas!L110="Piguaquan F",172,IF(Atletas!L110="Shaolinquan F",173,IF(Atletas!L110="Tanglangquan F",174,IF(Atletas!L110="Yinzhaophai F",175,IF(Atletas!L110="Tongbeiquan F",176,IF(Atletas!L110="Wudangquan F",177,IF(Atletas!L110="Outros Estilos F",178,0))))))))))))))))))))))))))))))))))))))))))</f>
        <v/>
      </c>
      <c r="BN114" s="52" t="str">
        <f>IF(Atletas!M110="","",IF(Atletas!W110&lt;&gt;"",10000,0)+(IF(Atletas!B110="Feminino",1000,IF(Atletas!B110="Masculino",2000,""))+(IF(Atletas!M110="Ditangquan A",201,IF(Atletas!M110="Houquan A",202,IF(Atletas!M110="Zuiquan A",203,IF(Atletas!M110="Ditangquan B",204,IF(Atletas!M110="Houquan B",205,IF(Atletas!M110="Zuiquan B",206,IF(Atletas!M110="Ditangquan C",207,IF(Atletas!M110="Houquan C",208,IF(Atletas!M110="Zuiquan C",209,IF(Atletas!M110="Ditangquan D",210,IF(Atletas!M110="Houquan D",211,IF(Atletas!M110="Zuiquan D",212,IF(Atletas!M110="Ditangquan E",213,IF(Atletas!M110="Houquan E",214,IF(Atletas!M110="Zuiquan E",215,IF(Atletas!M110="Ditangquan F",216,IF(Atletas!M110="Houquan F",217,IF(Atletas!M110="Zuiquan F",218,"")))))))))))))))))))))</f>
        <v/>
      </c>
      <c r="BO114" s="52" t="str">
        <f>IF(Atletas!N110="","",IF(Atletas!W110&lt;&gt;"",10000,0)+IF(Atletas!B110="Feminino",1000,IF(Atletas!B110="Masculino",2000,""))+IF(Atletas!N110="Yang A",301,IF(Atletas!N110="Chen A",30,IF(Atletas!N110="Sun A",303,IF(Atletas!N110="Wu A",304,IF(Atletas!N110="Wu-Hao A",305,IF(Atletas!N110="Outro Taijiquan A",306,IF(Atletas!N110="Yang B",307,IF(Atletas!N110="Chen B",308,IF(Atletas!N110="Sun B",309,IF(Atletas!N110="Wu B",310,IF(Atletas!N110="Wu-Hao B",311,IF(Atletas!N110="Outro Taijiquan B",312,IF(Atletas!N110="Yang C",313,IF(Atletas!N110="Chen C",314,IF(Atletas!N110="Sun C",315,IF(Atletas!N110="Wu C",316,IF(Atletas!N110="Wu-Hao C",317,IF(Atletas!N110="Outro Taijiquan C",318,IF(Atletas!N110="Yang D",319,IF(Atletas!N110="Chen D",320,IF(Atletas!N110="Sun D",321,IF(Atletas!N110="Wu D",322,IF(Atletas!N110="Wu-Hao D",323,IF(Atletas!N110="Outro Taijiquan D",324,IF(Atletas!N110="Yang E",325,IF(Atletas!N110="Chen E",326,IF(Atletas!N110="Sun E",327,IF(Atletas!N110="Wu E",328,IF(Atletas!N110="Wu-Hao E",329,IF(Atletas!N110="Outro Taijiquan E",330,IF(Atletas!N110="Yang F",331,IF(Atletas!N110="Chen F",332,IF(Atletas!N110="Sun F",333,IF(Atletas!N110="Wu F",334,IF(Atletas!N110="Wu-Hao F",335,IF(Atletas!N110="Outro Taijiquan F",336,"")))))))))))))))))))))))))))))))))))))</f>
        <v/>
      </c>
      <c r="BP114" s="52" t="str">
        <f>IF(Atletas!O110="","",IF(Atletas!W110&lt;&gt;"",10000,0)+IF(Atletas!B110="Feminino",1000,IF(Atletas!B110="Masculino",2000,""))+IF(OR(Atletas!O110="Yang 26 A",Atletas!O110="Yang 40 A"),401,IF(OR(Atletas!O110="Chen 25 A",Atletas!O110="Chen 36 A",Atletas!O110="Chen 56 A"),402,IF(Atletas!O110="Sun 73 A",403,IF(Atletas!O110="Wu 45 A",404,IF(Atletas!O110="Wu-Hao 46 A",405,IF(OR(Atletas!O110="Taijiquan 16 A",Atletas!O110="Taijiquan 24 A",Atletas!O110="Taijiquan 32 A",Atletas!O110="Taijiquan 42 A"),406,IF(OR(Atletas!O110="Yang 26 B",Atletas!O110="Yang 40 B"),407,IF(OR(Atletas!O110="Chen 25 B",Atletas!O110="Chen 36 B",Atletas!O110="Chen 56 B"),408,IF(Atletas!O110="Sun 73 B",409,IF(Atletas!O110="Wu 45 B",410,IF(Atletas!O110="Wu-Hao 46 B",411,IF(OR(Atletas!O110="Taijiquan 16 B",Atletas!O110="Taijiquan 24 B",Atletas!O110="Taijiquan 32 B",Atletas!O110="Taijiquan 42 B"),412,IF(OR(Atletas!O110="Yang 26 C",Atletas!O110="Yang 40 C"),413,IF(OR(Atletas!O110="Chen 25 C",Atletas!O110="Chen 36 C",Atletas!O110="Chen 56 C"),414,IF(Atletas!O110="Sun 73 C",415,IF(Atletas!O110="Wu 45 C",416,IF(Atletas!O110="Wu-Hao 46 C",417,IF(OR(Atletas!O110="Taijiquan 16 C",Atletas!O110="Taijiquan 24 C",Atletas!O110="Taijiquan 32 C",Atletas!O110="Taijiquan 42 C"),418,0)))))))))))))))))))</f>
        <v/>
      </c>
      <c r="BQ114" s="52" t="str">
        <f>IF(Atletas!O110="","",IF(Atletas!W110&lt;&gt;"",10000,0)+IF(Atletas!B110="Feminino",1000,IF(Atletas!B110="Masculino",2000,""))+IF(OR(Atletas!O110="Yang 26 D",Atletas!O110="Yang 40 D"),419,IF(OR(Atletas!O110="Chen 25 D",Atletas!O110="Chen 36 D",Atletas!O110="Chen 56 D"),420,IF(Atletas!O110="Sun 73 D",421,IF(Atletas!O110="Wu 45 D",422,IF(Atletas!O110="Wu-Hao 46 D",423,IF(OR(Atletas!O110="Taijiquan 16 D",Atletas!O110="Taijiquan 24 D",Atletas!O110="Taijiquan 32 D",Atletas!O110="Taijiquan 42 D"),424,IF(OR(Atletas!O110="Yang 26 E",Atletas!O110="Yang 40 E"),425,IF(OR(Atletas!O110="Chen 25 E",Atletas!O110="Chen 36 E",Atletas!O110="Chen 56 E"),426,IF(Atletas!O110="Sun 73 E",427,IF(Atletas!O110="Wu 45 E",428,IF(Atletas!O110="Wu-Hao 46 E",429,IF(OR(Atletas!O110="Taijiquan 16 E",Atletas!O110="Taijiquan 24 E",Atletas!O110="Taijiquan 32 E",Atletas!O110="Taijiquan 42 E"),430,IF(OR(Atletas!O110="Yang 26 F",Atletas!O110="Yang 40 F"),431,IF(OR(Atletas!O110="Chen 25 F",Atletas!O110="Chen 36 F",Atletas!O110="Chen 56 F"),432,IF(Atletas!O110="Sun 73 F",433,IF(Atletas!O110="Wu 45 F",434,IF(Atletas!O110="Wu-Hao 46 F",435,IF(OR(Atletas!O110="Taijiquan 16 F",Atletas!O110="Taijiquan 24 F",Atletas!O110="Taijiquan 32 F",Atletas!O110="Taijiquan 42 F"),436,0)))))))))))))))))))</f>
        <v/>
      </c>
      <c r="BR114" s="52" t="str">
        <f>IF(Atletas!P110="","",IF(Atletas!W110&lt;&gt;"",10000,0)+IF(Atletas!B110="Feminino",1000,IF(Atletas!B110="Masculino",2000,""))+IF(Atletas!P110="Xingyiquan A",501,IF(Atletas!P110="Baguazhang A",502,IF(Atletas!P110="Outro Estilo Interno A",503,IF(Atletas!P110="Xingyiquan B",504,IF(Atletas!P110="Baguazhang B",505,IF(Atletas!P110="Outro Estilo Interno B",506,IF(Atletas!P110="Xingyiquan C",507,IF(Atletas!P110="Baguazhang C",508,IF(Atletas!P110="Outro Estilo Interno C",509,IF(Atletas!P110="Xingyiquan D",510,IF(Atletas!P110="Baguazhang D",511,IF(Atletas!P110="Outro Estilo Interno D",512,IF(Atletas!P110="Xingyiquan E",513,IF(Atletas!P110="Baguazhang E",514,IF(Atletas!P110="Outro Estilo Interno E",515,IF(Atletas!P110="Xingyiquan F",516,IF(Atletas!P110="Baguazhang F",517,IF(Atletas!P110="Outro Estilo Interno F",518, "")))))))))))))))))))</f>
        <v/>
      </c>
      <c r="BS114" s="52" t="str">
        <f>IF(Atletas!Q110="","",IF(Atletas!W110&lt;&gt;"",10000,0)+IF(Atletas!B110="Feminino",1000,IF(Atletas!B110="Masculino",2000,""))+IF(Atletas!Q110="Dao A",601,IF(Atletas!Q110="Jian A",602,IF(Atletas!Q110="Bishou A",603,IF(Atletas!Q110="Shan A",604,IF(Atletas!Q110="Outra Arma Curta A",605,IF(Atletas!Q110="Dao B",606,IF(Atletas!Q110="Jian B",607,IF(Atletas!Q110="Bishou B",608,IF(Atletas!Q110="Shan B",609,IF(Atletas!Q110="Outra Arma Curta B",610,IF(Atletas!Q110="Dao C",611,IF(Atletas!Q110="Jian C",612,IF(Atletas!Q110="Bishou C",613,IF(Atletas!Q110="Shan C",614,IF(Atletas!Q110="Outra Arma Curta C",615,IF(Atletas!Q110="Dao D",616,IF(Atletas!Q110="Jian D",617,IF(Atletas!Q110="Bishou D",618,IF(Atletas!Q110="Shan D",619,IF(Atletas!Q110="Outra Arma Curta D",620,IF(Atletas!Q110="Dao E",621,IF(Atletas!Q110="Jian E",622,IF(Atletas!Q110="Bishou E",623,IF(Atletas!Q110="Shan E",624,IF(Atletas!Q110="Outra Arma Curta E",625,IF(Atletas!Q110="Dao F",626,IF(Atletas!Q110="Jian F",627,IF(Atletas!Q110="Bishou F",628,IF(Atletas!Q110="Shan F",629,IF(Atletas!Q110="Outra Arma Curta F",630, "")))))))))))))))))))))))))))))))</f>
        <v/>
      </c>
      <c r="BT114" s="52" t="str">
        <f>IF(Atletas!R110="","",IF(Atletas!W110&lt;&gt;"",10000,0)+IF(Atletas!B110="Feminino",1000,IF(Atletas!B110="Masculino",2000,""))+IF(Atletas!R110="Gun A",701,IF(Atletas!R110="Qiang A",702,IF(Atletas!R110="Pudao / Guandao A",703,IF(Atletas!R110="Outra Arma Longa A",704,IF(Atletas!R110="Gun B",705,IF(Atletas!R110="Qiang B",706,IF(Atletas!R110="Pudao / Guandao B",707,IF(Atletas!R110="Outra Arma Longa B",708,IF(Atletas!R110="Gun C",709,IF(Atletas!R110="Qiang C",710,IF(Atletas!R110="Pudao / Guandao C",711,IF(Atletas!R110="Outra Arma Longa C",712,IF(Atletas!R110="Gun D",713,IF(Atletas!R110="Qiang D",714,IF(Atletas!R110="Pudao / Guandao D",715,IF(Atletas!R110="Outra Arma Longa D",716,IF(Atletas!R110="Gun E",717,IF(Atletas!R110="Qiang E",718,IF(Atletas!R110="Pudao / Guandao E",719,IF(Atletas!R110="Outra Arma Longa E",720,IF(Atletas!R110="Gun F",721,IF(Atletas!R110="Qiang F",722,IF(Atletas!R110="Pudao / Guandao F",723,IF(Atletas!R110="Outra Arma Longa F",724,"")))))))))))))))))))))))))</f>
        <v/>
      </c>
      <c r="BU114" s="52" t="str">
        <f>IF(Atletas!S110="","",IF(Atletas!W110&lt;&gt;"",10000,0)+IF(Atletas!B110="Feminino",1000,IF(Atletas!B110="Masculino",2000,""))+IF(Atletas!S110="Arma Dupla A",801,IF(Atletas!S110="Arma Maleável A",802,IF(Atletas!S110="Arma Dupla B",803,IF(Atletas!S110="Arma Maleável B",804,IF(Atletas!S110="Arma Dupla C",805,IF(Atletas!S110="Arma Maleável C",806,IF(Atletas!S110="Arma Dupla D",807,IF(Atletas!S110="Arma Maleável D",808,IF(Atletas!S110="Arma Dupla E",809,IF(Atletas!S110="Arma Maleável E",810,IF(Atletas!S110="Arma Dupla F",811,IF(Atletas!S110="Arma Maleável F",812, "")))))))))))))</f>
        <v/>
      </c>
      <c r="BV114" s="52" t="str">
        <f>IF(Atletas!T110="","",IF(Atletas!W110&lt;&gt;"",10000,0)+IF(Atletas!B110="Feminino",1000,IF(Atletas!B110="Masculino",2000,""))+IF(Atletas!T110="Taijijian Yang A",901,IF(Atletas!T110="Taijijian Chen A",902,IF(Atletas!T110="Taijijian Sun A",903,IF(Atletas!T110="Taijijian Wu A",904,IF(Atletas!T110="Taijijian Wu-Hao A",905,IF(Atletas!T110="Taijijian 32 A",906,IF(Atletas!T110="Taijijian 42 A",907,IF(Atletas!T110="Taijijian Yang B",908,IF(Atletas!T110="Taijijian Chen B",909,IF(Atletas!T110="Taijijian Sun B",910,IF(Atletas!T110="Taijijian Wu B",911,IF(Atletas!T110="Taijijian Wu-Hao B",912,IF(Atletas!T110="Taijijian 32 B",913,IF(Atletas!T110="Taijijian 42 B",914,IF(Atletas!T110="Taijijian Yang C",915,IF(Atletas!T110="Taijijian Chen C",916,IF(Atletas!T110="Taijijian Sun C",917,IF(Atletas!T110="Taijijian Wu C",918,IF(Atletas!T110="Taijijian Wu-Hao C",919,IF(Atletas!T110="Taijijian 32 C",920,IF(Atletas!T110="Taijijian 42 C",921,IF(Atletas!T110="Taijijian Yang D",922,IF(Atletas!T110="Taijijian Chen D",923,IF(Atletas!T110="Taijijian Sun D",924,IF(Atletas!T110="Taijijian Wu D",925,IF(Atletas!T110="Taijijian Wu-Hao D",926,IF(Atletas!T110="Taijijian 32 D",927,IF(Atletas!T110="Taijijian 42 D",928,IF(Atletas!T110="Taijijian Yang E",929,IF(Atletas!T110="Taijijian Chen E",930,IF(Atletas!T110="Taijijian Sun E",931,IF(Atletas!T110="Taijijian Wu E",932,IF(Atletas!T110="Taijijian Wu-Hao E",933,IF(Atletas!T110="Taijijian 32 E",934,IF(Atletas!T110="Taijijian 42 E",935,IF(Atletas!T110="Taijijian Yang F",936,IF(Atletas!T110="Taijijian Chen F",937,IF(Atletas!T110="Taijijian Sun F",938,IF(Atletas!T110="Taijijian Wu F",939,IF(Atletas!T110="Taijijian Wu-Hao F",940,IF(Atletas!T110="Taijijian 32 F",941,IF(Atletas!T110="Taijijian 42 F",942,"")))))))))))))))))))))))))))))))))))))))))))</f>
        <v/>
      </c>
      <c r="BW114" s="52" t="str">
        <f>IF(Atletas!U110="","",IF(Atletas!W110&lt;&gt;"",10000,0)+IF(Atletas!B110="Feminino",1000,IF(Atletas!B110="Masculino",2000,""))+IF(Atletas!T110="Taijijian 42 F",942,IF(Atletas!U110="Taijidao A",943,IF(Atletas!U110="Taijishan A",944,IF(Atletas!U110="Taijiqiang A",945,IF(Atletas!U110="Taijidao B",946,IF(Atletas!U110="Taijishan B",947,IF(Atletas!U110="Taijiqiang B",948,IF(Atletas!U110="Taijidao C",949,IF(Atletas!U110="Taijishan C",950,IF(Atletas!U110="Taijiqiang C",951,IF(Atletas!U110="Taijidao D",952,IF(Atletas!U110="Taijishan D",953,IF(Atletas!U110="Taijiqiang D",954,IF(Atletas!U110="Taijidao E",955,IF(Atletas!U110="Taijishan E",956,IF(Atletas!U110="Taijiqiang E",957,IF(Atletas!U110="Taijidao F",958,IF(Atletas!U110="Taijishan F",959,IF(Atletas!U110="Taijiqiang F",960))))))))))))))))))))</f>
        <v/>
      </c>
      <c r="BX114" s="64" t="str">
        <f>IF(BY114&lt;&gt;"","Outros Estilos F","")</f>
        <v/>
      </c>
      <c r="BY114" s="64" t="str">
        <f>IF(COUNTIF(BK:BW,1178)&gt;0,COUNTIF(BK:BW,1178),"")</f>
        <v/>
      </c>
      <c r="BZ114" s="64" t="str">
        <f>IF(CA114&lt;&gt;"","Outros Estilos F","")</f>
        <v/>
      </c>
      <c r="CA114" s="64" t="str">
        <f>IF(COUNTIF(BK:BW,2178)&gt;0,COUNTIF(BK:BW,2178),"")</f>
        <v/>
      </c>
      <c r="CB114" s="64" t="str">
        <f>IF(CC114&lt;&gt;"","Outros Estilos F","")</f>
        <v/>
      </c>
      <c r="CC114" s="64" t="str">
        <f>IF(COUNTIF(BK:BW,11178)&gt;0,COUNTIF(BK:BW,11178),"")</f>
        <v/>
      </c>
      <c r="CD114" s="64" t="str">
        <f>IF(CE114&lt;&gt;"","Outros Estilos F","")</f>
        <v/>
      </c>
      <c r="CE114" s="64" t="str">
        <f>IF(COUNTIF(BK:BW,12178)&gt;0,COUNTIF(BK:BW,12178),"")</f>
        <v/>
      </c>
      <c r="CF114" s="52" t="str">
        <f xml:space="preserve"> IF(Atletas!V110="","",IF(Atletas!V110="Duilian de Mãos AB - Equipe 1",1,IF(Atletas!V110="Duilian de Mãos AB - Equipe 2",2,IF(Atletas!V110="Duilian de Armas AB - Equipe 1",3,IF(Atletas!V110="Duilian de Armas AB - Equipe 2",4,IF(Atletas!V110="Duilian de Tuishou - Equipe 1",5,IF(Atletas!V110="Duilian de Tuishou - Equipe 2",6,IF(Atletas!V110="Grupo Externo AB - Equipe 1",7,IF(Atletas!V110="Grupo Externo AB - Equipe 2",8,IF(Atletas!V110="Grupo Interno AB - Equipe 1",9,IF(Atletas!V110="Grupo Interno AB - Equipe 2",10,IF(Atletas!V110="Duilian de Mãos CD - Equipe 1",11,IF(Atletas!V110="Duilian de Mãos CD - Equipe 2",12,IF(Atletas!V110="Duilian de Armas CD - Equipe 1",13,IF(Atletas!V110="Duilian de Armas CD - Equipe 2",14,IF(Atletas!V110="Duilian de Tuishou - Equipe 1",15,IF(Atletas!V110="Duilian de Tuishou - Equipe 2",16,IF(Atletas!V110="Grupo Externo CDEF - Equipe 1",17,IF(Atletas!V110="Grupo Externo CDEF - Equipe 2",18,IF(Atletas!V110="Grupo Interno CDEF - Equipe 1",19,IF(Atletas!V110="Grupo Interno CDEF - Equipe 2",20,IF(Atletas!V110="Duilian de Mãos EF - Equipe 1",21,IF(Atletas!V110="Duilian de Mãos EF - Equipe 2",22,IF(Atletas!V110="Duilian de Armas EF - Equipe 1",23,IF(Atletas!V110="Duilian de Armas EF - Equipe 2",24,IF(Atletas!V110="Duilian de Tuishou - Equipe 1",25,IF(Atletas!V110="Duilian de Tuishou - Equipe 2",26,"")))))))))))))))))))))))))))</f>
        <v/>
      </c>
    </row>
    <row r="115" spans="2:84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 t="str">
        <f t="array" ref="V115">IFERROR(INDEX(BX$7:BX$336,SMALL(IF(BX$7:BX$336&lt;&gt;"",ROW(BX$7:BX$336)-ROW(BX$7)+1),ROWS(BX$7:BX114))),"")</f>
        <v/>
      </c>
      <c r="W115" s="4" t="str">
        <f t="array" ref="W115">IFERROR(INDEX(BY$7:BY$336,SMALL(IF(BY$7:BY$336&lt;&gt;"",ROW(BY$7:BY$336)-ROW(BY$7)+1),ROWS(BY$7:BY114))),"")</f>
        <v/>
      </c>
      <c r="X115" s="4" t="str">
        <f t="array" ref="X115">IFERROR(INDEX(BZ$7:BZ$336,SMALL(IF(BZ$7:BZ$336&lt;&gt;"",ROW(BZ$7:BZ$336)-ROW(BZ$7)+1),ROWS(BZ$7:BZ114))),"")</f>
        <v/>
      </c>
      <c r="Y115" s="4" t="str">
        <f t="array" ref="Y115">IFERROR(INDEX(CA$7:CA$336,SMALL(IF(CA$7:CA$336&lt;&gt;"",ROW(CA$7:CA$336)-ROW(CA$7)+1),ROWS(CA$7:CA114))),"")</f>
        <v/>
      </c>
      <c r="Z115" s="4" t="str">
        <f t="array" ref="Z115">IFERROR(INDEX(CB$7:CB$378,SMALL(IF(CB$7:CB$378&lt;&gt;"",ROW(CB$7:CB$378)-ROW(CB$7)+1),ROWS(CB$7:CB114))),"")</f>
        <v/>
      </c>
      <c r="AA115" s="4" t="str">
        <f t="array" ref="AA115">IFERROR(INDEX(CC$7:CC$378,SMALL(IF(CC$7:CC$378&lt;&gt;"",ROW(CC$7:CC$378)-ROW(CC$7)+1),ROWS(CC$7:CC114))),"")</f>
        <v/>
      </c>
      <c r="AB115" s="4" t="str">
        <f t="array" ref="AB115">IFERROR(INDEX(CD$7:CD$378,SMALL(IF(CD$7:CD$378&lt;&gt;"",ROW(CD$7:CD$378)-ROW(CD$7)+1),ROWS(CD$7:CD114))),"")</f>
        <v/>
      </c>
      <c r="AC115" s="4" t="str">
        <f t="array" ref="AC115">IFERROR(INDEX(CE$7:CE$378,SMALL(IF(CE$7:CE$378&lt;&gt;"",ROW(CE$7:CE$378)-ROW(CE$7)+1),ROWS(CE$7:CE114))),"")</f>
        <v/>
      </c>
      <c r="AD115" s="4"/>
      <c r="AE115" s="4"/>
      <c r="AF115" s="4"/>
      <c r="AG115" s="4"/>
      <c r="AH115" s="4"/>
      <c r="AI115" s="4"/>
      <c r="AJ115" s="46" t="str">
        <f>IF(Atletas!D111="","",IF(Atletas!B111="Feminino",100,IF(Atletas!B111="Masculino",200,""))+(IF(Atletas!D111="Infantil 39kg",1,IF(Atletas!D111="Infantil 42kg",2,IF(Atletas!D111="Infantil 45kg",3,IF(Atletas!D111="Infantil 48kg",4,IF(Atletas!D111="Infantil 52kg",5,IF(Atletas!D111="Infantil 56kg",6,IF(Atletas!D111="Infantil 60kg",7,IF(Atletas!D111="Juvenil 48kg",8,IF(Atletas!D111="Juvenil 52kg",9,IF(Atletas!D111="Juvenil 56kg",10,IF(Atletas!D111="Juvenil 60kg",11,IF(Atletas!D111="Juvenil 65kg",12,IF(Atletas!D111="Juvenil 70kg",13,IF(Atletas!D111="Juvenil 75kg",14,IF(Atletas!D111="Juvenil 80kg",15,IF(Atletas!D111="Adulto 48kg",16,IF(Atletas!D111="Adulto 52kg",17,IF(Atletas!D111="Adulto 56kg",18,IF(Atletas!D111="Adulto 60kg",19,IF(Atletas!D111="Adulto 65kg",20,IF(Atletas!D111="Adulto 70kg",21,IF(Atletas!D111="Adulto 75kg",22,IF(Atletas!D111="Adulto 80kg",23,IF(Atletas!D111="Adulto 85kg",24,IF(Atletas!D111="Adulto 90kg",25,IF(Atletas!D111="Adulto +90kg",26,""))))))))))))))))))))))))))))</f>
        <v/>
      </c>
      <c r="AO115" s="10" t="str">
        <f>IF(Atletas!E111="","",IF(Atletas!B111="Feminino",100,IF(Atletas!B111="Masculino",200,""))+(IF(Atletas!E111="Juvenil 44kg",1,IF(Atletas!E111="Juvenil 48kg",2,IF(Atletas!E111="Juvenil 52kg",3,IF(Atletas!E111="Juvenil 56kg",4,IF(Atletas!E111="Juvenil 60kg",5,IF(Atletas!E111="Juvenil 65kg",6,IF(Atletas!E111="Juvenil 70kg",7,IF(Atletas!E111="Juvenil 75kg",8,IF(Atletas!E111="Juvenil 82kg",9,IF(Atletas!E111="Juvenil 90kg",10,IF(Atletas!E111="Juvenil 100kg",11,IF(Atletas!E111="Adulto 48kg",12,IF(Atletas!E111="Adulto 52kg",13,IF(Atletas!E111="Adulto 56kg",14,IF(Atletas!E111="Adulto 60kg",15,IF(Atletas!E111="Adulto 65kg",16,IF(Atletas!E111="Adulto 70kg",17,IF(Atletas!E111="Adulto 75kg",18,IF(Atletas!E111="Adulto 82kg",19,IF(Atletas!E111="Adulto 90kg",20,IF(Atletas!E111="Adulto 100kg",21,IF(Atletas!E111="Adulto +100kg",22,""))))))))))))))))))))))))</f>
        <v/>
      </c>
      <c r="AT115" s="10" t="str">
        <f>IF(Atletas!F111="","",IF(Atletas!B111="Feminino",100,IF(Atletas!B111="Masculino",200,""))+(IF(Atletas!F111="Adulto 48kg",1,IF(Atletas!F111="Adulto 56kg",2,IF(Atletas!F111="Adulto 65kg",3,IF(Atletas!F111="Adulto 75kg",4,IF(Atletas!F111="Adulto +75kg",5,IF(Atletas!F111="Adulto 52kg",6,IF(Atletas!F111="Adulto 60kg",7,IF(Atletas!F111="Adulto 70kg",8,IF(Atletas!F111="Adulto 80kg",9,IF(Atletas!F111="Adulto 90kg",10,IF(Atletas!F111="Adulto +90kg",11,"")))))))))))))</f>
        <v/>
      </c>
      <c r="AY115" s="46" t="str">
        <f>IF(Atletas!G111="","",IF(Atletas!B111="Feminino",100,IF(Atletas!B111="Masculino",200,""))+(IF(Atletas!G111="Changquan Mirim",1,IF(Atletas!G111="Nanquan Mirim",2,IF(Atletas!G111="Taijiquan Mirim",3,IF(Atletas!G111="Changquan Grupo C",4,IF(Atletas!G111="Nanquan Grupo C",5,IF(Atletas!G111="Taijiquan Grupo C",6,IF(Atletas!G111="Changquan Grupo B",7,IF(Atletas!G111="Nanquan Grupo B",8,IF(Atletas!G111="Taijiquan Grupo B",9,IF(Atletas!G111="Changquan Grupo A",10,IF(Atletas!G111="Nanquan Grupo A",11,IF(Atletas!G111="Taijiquan Grupo A",12,IF(Atletas!G111="Changquan Opcional",13,IF(Atletas!G111="Nanquan Opcional",14,IF(Atletas!G111="Taijiquan Opcional",15,IF(Atletas!G111="Changquan Adulto",16,IF(Atletas!G111="Nanquan Adulto",17,IF(Atletas!G111="Taijiquan Adulto",18,""))))))))))))))))))))</f>
        <v/>
      </c>
      <c r="AZ115" s="46" t="str">
        <f>IF(Atletas!H111="","",IF(Atletas!B111="Feminino",100,IF(Atletas!B111="Masculino",200,""))+(IF(Atletas!H111="Daoshu Mirim",19,IF(Atletas!H111="Jianshu Mirim",20,IF(Atletas!H111="Nandao Mirim",21,IF(Atletas!H111="Taijijian Mirim",22,IF(Atletas!H111="Daoshu Grupo C",23,IF(Atletas!H111="Jianshu Grupo C",24,IF(Atletas!H111="Nandao Grupo C",25,IF(Atletas!H111="Taijijian Grupo C",26,IF(Atletas!H111="Daoshu Grupo B",27,IF(Atletas!H111="Jianshu Grupo B",28,IF(Atletas!H111="Nandao Grupo B",29,IF(Atletas!H111="Taijijian Grupo B",30,IF(Atletas!H111="Daoshu Grupo A",31,IF(Atletas!H111="Jianshu Grupo A",32,IF(Atletas!H111="Nandao Grupo A",33,IF(Atletas!H111="Taijijian Grupo A",34,IF(Atletas!H111="Daoshu Opcional",35,IF(Atletas!H111="Jianshu Opcional",36,IF(Atletas!H111="Nandao Opcional",37,IF(Atletas!H111="Taijijian Opcional",38,IF(Atletas!H111="Daoshu Adulto",39,IF(Atletas!H111="Jianshu Adulto",40,IF(Atletas!H111="Nandao Adulto",41,IF(Atletas!H111="Taijijian Adulto",42,""))))))))))))))))))))))))))</f>
        <v/>
      </c>
      <c r="BA115" s="46" t="str">
        <f>IF(Atletas!I111="","",IF(Atletas!B111="Feminino",100,IF(Atletas!B111="Masculino",200,""))+(IF(Atletas!I111="Gunshu Mirim",43,IF(Atletas!I111="Qiangshu Mirim",44,IF(Atletas!I111="Nangun Mirim",45,IF(Atletas!I111="Gunshu Grupo C",46,IF(Atletas!I111="Qiangshu Grupo C",47,IF(Atletas!I111="Nangun Grupo C",48,IF(Atletas!I111="Gunshu Grupo B",49,IF(Atletas!I111="Qiangshu Grupo B",50,IF(Atletas!I111="Nangun Grupo B",51,IF(Atletas!I111="Gunshu Grupo A",52,IF(Atletas!I111="Qiangshu Grupo A",53,IF(Atletas!I111="Nangun Grupo A",54,IF(Atletas!I111="Gunshu Opcional",55,IF(Atletas!I111="Qiangshu Opcional",56,IF(Atletas!I111="Nangun Opcional",57,IF(Atletas!I111="Gunshu Adulto",58,IF(Atletas!I111="Qiangshu Adulto",59,IF(Atletas!I111="Nangun Adulto",60,""))))))))))))))))))))</f>
        <v/>
      </c>
      <c r="BF115" s="52" t="str">
        <f>IF(Atletas!J111="","",IF(Atletas!B111="Feminino",100,IF(Atletas!B111="Masculino",200,""))+(IF(Atletas!J111="Equipe 1 Grupo B",1,IF(Atletas!J111="Equipe 2 Grupo B",2,IF(Atletas!J111="Equipe 1 Grupo A",3,IF(Atletas!J111="Equipe 2 Grupo A",4,IF(Atletas!J111="Equipe 1 Adulto",5,IF(Atletas!J111="Equipe 2 Adulto",6,""))))))))</f>
        <v/>
      </c>
      <c r="BK115" s="52" t="str">
        <f>IF(Atletas!K111="","",IF(Atletas!W111&lt;&gt;"",10000,0)+(IF(Atletas!B111="Feminino",1000,IF(Atletas!B111="Masculino",2000,""))+IF(Atletas!K111="Choylayfut A",1,IF(Atletas!K111="Hunggar A",2,IF(Atletas!K111="Wuzuquan A",3,IF(Atletas!K111="Wingchun A",4,IF(Atletas!K111="Outra Mão de Sul A",5,IF(Atletas!K111="Choylayfut B",6,IF(Atletas!K111="Hunggar B",7,IF(Atletas!K111="Wuzuquan B",8,IF(Atletas!K111="Wingchun B",9,IF(Atletas!K111="Outra Mão de Sul B",10,IF(Atletas!K111="Choylayfut C",11,IF(Atletas!K111="Hunggar C",12,IF(Atletas!K111="Wuzuquan C",13,IF(Atletas!K111="Wingchun C",14,IF(Atletas!K111="Outra Mão de Sul C",15,IF(Atletas!K111="Choylayfut D",16,IF(Atletas!K111="Hunggar D",17,IF(Atletas!K111="Wuzuquan D",18,IF(Atletas!K111="Wingchun D",19,IF(Atletas!K111="Outra Mão de Sul D",20,IF(Atletas!K111="Choylayfut E",21,IF(Atletas!K111="Hunggar E",22,IF(Atletas!K111="Wuzuquan E",23,IF(Atletas!K111="Wingchun E",24,IF(Atletas!K111="Outra Mão de Sul E",25,IF(Atletas!K111="Choylayfut F",26,IF(Atletas!K111="Hunggar F",27,IF(Atletas!K111="Wuzuquan F",28,IF(Atletas!K111="Wingchun F",29,IF(Atletas!K111="Outra Mão de Sul F",30,""))))))))))))))))))))))))))))))))</f>
        <v/>
      </c>
      <c r="BL115" s="52" t="str">
        <f>IF(Atletas!L111="","",IF(Atletas!W111&lt;&gt;"",10000,0)+(IF(Atletas!B111="Feminino",1000,IF(Atletas!B111="Masculino",2000,""))+(IF(Atletas!L111="Chaquan A",101,IF(Atletas!L111="Emeiquan A",102,IF(Atletas!L111="Fanziquan A",103,IF(Atletas!L111="Huaquan A",104,IF(Atletas!L111="Hongquan A",105,IF(Atletas!L111="Paochui A",106,IF(Atletas!L111="Piguaquan A",107,IF(Atletas!L111="Shaolinquan A",108,IF(Atletas!L111="Tanglangquan A",109,IF(Atletas!L111="Yinzhaophai A",110,IF(Atletas!L111="Tongbeiquan A",111,IF(Atletas!L111="Wudangquan A",112,IF(Atletas!L111="Outros Estilos A",113,IF(Atletas!L111="Chaquan B",114,IF(Atletas!L111="Emeiquan B",115,IF(Atletas!L111="Fanziquan B",116,IF(Atletas!L111="Huaquan B",117,IF(Atletas!L111="Hongquan B",118,IF(Atletas!L111="Paochui B",119,IF(Atletas!L111="Piguaquan B",120,IF(Atletas!L111="Shaolinquan B",121,IF(Atletas!L111="Tanglangquan B",122,IF(Atletas!L111="Yinzhaophai B",123,IF(Atletas!L111="Tongbeiquan B",124,IF(Atletas!L111="Wudangquan B",125,IF(Atletas!L111="Outros Estilos B",126,IF(Atletas!L111="Chaquan C",127,IF(Atletas!L111="Emeiquan C",128,IF(Atletas!L111="Fanziquan C",129,IF(Atletas!L111="Huaquan C",130,IF(Atletas!L111="Hongquan C",131,IF(Atletas!L111="Paochui C",132,IF(Atletas!L111="Piguaquan C",133,IF(Atletas!L111="Shaolinquan C",134,IF(Atletas!L111="Tanglangquan C",135,IF(Atletas!L111="Yinzhaophai C",136,IF(Atletas!L111="Tongbeiquan C",137,IF(Atletas!L111="Wudangquan C",138,IF(Atletas!L111="Outros Estilos C",139,0))))))))))))))))))))))))))))))))))))))))))</f>
        <v/>
      </c>
      <c r="BM115" s="52" t="str">
        <f>IF(Atletas!L111="","",IF(Atletas!W111&lt;&gt;"",10000,0)+(IF(Atletas!B111="Feminino",1000,IF(Atletas!B111="Masculino",2000,""))+(IF(Atletas!L111="Chaquan D",140,IF(Atletas!L111="Emeiquan D",141,IF(Atletas!L111="Fanziquan D",142,IF(Atletas!L111="Huaquan D",143,IF(Atletas!L111="Hongquan D",144,IF(Atletas!L111="Paochui D",145,IF(Atletas!L111="Piguaquan D",146,IF(Atletas!L111="Shaolinquan D",147,IF(Atletas!L111="Tanglangquan D",148,IF(Atletas!L111="Yinzhaophai D",149,IF(Atletas!L111="Tongbeiquan D",150,IF(Atletas!L111="Wudangquan D",151,IF(Atletas!L111="Outros Estilos D",152,IF(Atletas!L111="Chaquan E",153,IF(Atletas!L111="Emeiquan E",154,IF(Atletas!L111="Fanziquan E",155,IF(Atletas!L111="Huaquan E",156,IF(Atletas!L111="Hongquan E",157,IF(Atletas!L111="Paochui E",158,IF(Atletas!L111="Piguaquan E",159,IF(Atletas!L111="Shaolinquan E",160,IF(Atletas!L111="Tanglangquan E",161,IF(Atletas!L111="Yinzhaophai E",162,IF(Atletas!L111="Tongbeiquan E",163,IF(Atletas!L111="Wudangquan E",164,IF(Atletas!L111="Outros Estilos E",165,IF(Atletas!L111="Chaquan F",166,IF(Atletas!L111="Emeiquan F",167,IF(Atletas!L111="Fanziquan F",168,IF(Atletas!L111="Huaquan F",169,IF(Atletas!L111="Hongquan F",170,IF(Atletas!L111="Paochui F",171,IF(Atletas!L111="Piguaquan F",172,IF(Atletas!L111="Shaolinquan F",173,IF(Atletas!L111="Tanglangquan F",174,IF(Atletas!L111="Yinzhaophai F",175,IF(Atletas!L111="Tongbeiquan F",176,IF(Atletas!L111="Wudangquan F",177,IF(Atletas!L111="Outros Estilos F",178,0))))))))))))))))))))))))))))))))))))))))))</f>
        <v/>
      </c>
      <c r="BN115" s="52" t="str">
        <f>IF(Atletas!M111="","",IF(Atletas!W111&lt;&gt;"",10000,0)+(IF(Atletas!B111="Feminino",1000,IF(Atletas!B111="Masculino",2000,""))+(IF(Atletas!M111="Ditangquan A",201,IF(Atletas!M111="Houquan A",202,IF(Atletas!M111="Zuiquan A",203,IF(Atletas!M111="Ditangquan B",204,IF(Atletas!M111="Houquan B",205,IF(Atletas!M111="Zuiquan B",206,IF(Atletas!M111="Ditangquan C",207,IF(Atletas!M111="Houquan C",208,IF(Atletas!M111="Zuiquan C",209,IF(Atletas!M111="Ditangquan D",210,IF(Atletas!M111="Houquan D",211,IF(Atletas!M111="Zuiquan D",212,IF(Atletas!M111="Ditangquan E",213,IF(Atletas!M111="Houquan E",214,IF(Atletas!M111="Zuiquan E",215,IF(Atletas!M111="Ditangquan F",216,IF(Atletas!M111="Houquan F",217,IF(Atletas!M111="Zuiquan F",218,"")))))))))))))))))))))</f>
        <v/>
      </c>
      <c r="BO115" s="52" t="str">
        <f>IF(Atletas!N111="","",IF(Atletas!W111&lt;&gt;"",10000,0)+IF(Atletas!B111="Feminino",1000,IF(Atletas!B111="Masculino",2000,""))+IF(Atletas!N111="Yang A",301,IF(Atletas!N111="Chen A",30,IF(Atletas!N111="Sun A",303,IF(Atletas!N111="Wu A",304,IF(Atletas!N111="Wu-Hao A",305,IF(Atletas!N111="Outro Taijiquan A",306,IF(Atletas!N111="Yang B",307,IF(Atletas!N111="Chen B",308,IF(Atletas!N111="Sun B",309,IF(Atletas!N111="Wu B",310,IF(Atletas!N111="Wu-Hao B",311,IF(Atletas!N111="Outro Taijiquan B",312,IF(Atletas!N111="Yang C",313,IF(Atletas!N111="Chen C",314,IF(Atletas!N111="Sun C",315,IF(Atletas!N111="Wu C",316,IF(Atletas!N111="Wu-Hao C",317,IF(Atletas!N111="Outro Taijiquan C",318,IF(Atletas!N111="Yang D",319,IF(Atletas!N111="Chen D",320,IF(Atletas!N111="Sun D",321,IF(Atletas!N111="Wu D",322,IF(Atletas!N111="Wu-Hao D",323,IF(Atletas!N111="Outro Taijiquan D",324,IF(Atletas!N111="Yang E",325,IF(Atletas!N111="Chen E",326,IF(Atletas!N111="Sun E",327,IF(Atletas!N111="Wu E",328,IF(Atletas!N111="Wu-Hao E",329,IF(Atletas!N111="Outro Taijiquan E",330,IF(Atletas!N111="Yang F",331,IF(Atletas!N111="Chen F",332,IF(Atletas!N111="Sun F",333,IF(Atletas!N111="Wu F",334,IF(Atletas!N111="Wu-Hao F",335,IF(Atletas!N111="Outro Taijiquan F",336,"")))))))))))))))))))))))))))))))))))))</f>
        <v/>
      </c>
      <c r="BP115" s="52" t="str">
        <f>IF(Atletas!O111="","",IF(Atletas!W111&lt;&gt;"",10000,0)+IF(Atletas!B111="Feminino",1000,IF(Atletas!B111="Masculino",2000,""))+IF(OR(Atletas!O111="Yang 26 A",Atletas!O111="Yang 40 A"),401,IF(OR(Atletas!O111="Chen 25 A",Atletas!O111="Chen 36 A",Atletas!O111="Chen 56 A"),402,IF(Atletas!O111="Sun 73 A",403,IF(Atletas!O111="Wu 45 A",404,IF(Atletas!O111="Wu-Hao 46 A",405,IF(OR(Atletas!O111="Taijiquan 16 A",Atletas!O111="Taijiquan 24 A",Atletas!O111="Taijiquan 32 A",Atletas!O111="Taijiquan 42 A"),406,IF(OR(Atletas!O111="Yang 26 B",Atletas!O111="Yang 40 B"),407,IF(OR(Atletas!O111="Chen 25 B",Atletas!O111="Chen 36 B",Atletas!O111="Chen 56 B"),408,IF(Atletas!O111="Sun 73 B",409,IF(Atletas!O111="Wu 45 B",410,IF(Atletas!O111="Wu-Hao 46 B",411,IF(OR(Atletas!O111="Taijiquan 16 B",Atletas!O111="Taijiquan 24 B",Atletas!O111="Taijiquan 32 B",Atletas!O111="Taijiquan 42 B"),412,IF(OR(Atletas!O111="Yang 26 C",Atletas!O111="Yang 40 C"),413,IF(OR(Atletas!O111="Chen 25 C",Atletas!O111="Chen 36 C",Atletas!O111="Chen 56 C"),414,IF(Atletas!O111="Sun 73 C",415,IF(Atletas!O111="Wu 45 C",416,IF(Atletas!O111="Wu-Hao 46 C",417,IF(OR(Atletas!O111="Taijiquan 16 C",Atletas!O111="Taijiquan 24 C",Atletas!O111="Taijiquan 32 C",Atletas!O111="Taijiquan 42 C"),418,0)))))))))))))))))))</f>
        <v/>
      </c>
      <c r="BQ115" s="52" t="str">
        <f>IF(Atletas!O111="","",IF(Atletas!W111&lt;&gt;"",10000,0)+IF(Atletas!B111="Feminino",1000,IF(Atletas!B111="Masculino",2000,""))+IF(OR(Atletas!O111="Yang 26 D",Atletas!O111="Yang 40 D"),419,IF(OR(Atletas!O111="Chen 25 D",Atletas!O111="Chen 36 D",Atletas!O111="Chen 56 D"),420,IF(Atletas!O111="Sun 73 D",421,IF(Atletas!O111="Wu 45 D",422,IF(Atletas!O111="Wu-Hao 46 D",423,IF(OR(Atletas!O111="Taijiquan 16 D",Atletas!O111="Taijiquan 24 D",Atletas!O111="Taijiquan 32 D",Atletas!O111="Taijiquan 42 D"),424,IF(OR(Atletas!O111="Yang 26 E",Atletas!O111="Yang 40 E"),425,IF(OR(Atletas!O111="Chen 25 E",Atletas!O111="Chen 36 E",Atletas!O111="Chen 56 E"),426,IF(Atletas!O111="Sun 73 E",427,IF(Atletas!O111="Wu 45 E",428,IF(Atletas!O111="Wu-Hao 46 E",429,IF(OR(Atletas!O111="Taijiquan 16 E",Atletas!O111="Taijiquan 24 E",Atletas!O111="Taijiquan 32 E",Atletas!O111="Taijiquan 42 E"),430,IF(OR(Atletas!O111="Yang 26 F",Atletas!O111="Yang 40 F"),431,IF(OR(Atletas!O111="Chen 25 F",Atletas!O111="Chen 36 F",Atletas!O111="Chen 56 F"),432,IF(Atletas!O111="Sun 73 F",433,IF(Atletas!O111="Wu 45 F",434,IF(Atletas!O111="Wu-Hao 46 F",435,IF(OR(Atletas!O111="Taijiquan 16 F",Atletas!O111="Taijiquan 24 F",Atletas!O111="Taijiquan 32 F",Atletas!O111="Taijiquan 42 F"),436,0)))))))))))))))))))</f>
        <v/>
      </c>
      <c r="BR115" s="52" t="str">
        <f>IF(Atletas!P111="","",IF(Atletas!W111&lt;&gt;"",10000,0)+IF(Atletas!B111="Feminino",1000,IF(Atletas!B111="Masculino",2000,""))+IF(Atletas!P111="Xingyiquan A",501,IF(Atletas!P111="Baguazhang A",502,IF(Atletas!P111="Outro Estilo Interno A",503,IF(Atletas!P111="Xingyiquan B",504,IF(Atletas!P111="Baguazhang B",505,IF(Atletas!P111="Outro Estilo Interno B",506,IF(Atletas!P111="Xingyiquan C",507,IF(Atletas!P111="Baguazhang C",508,IF(Atletas!P111="Outro Estilo Interno C",509,IF(Atletas!P111="Xingyiquan D",510,IF(Atletas!P111="Baguazhang D",511,IF(Atletas!P111="Outro Estilo Interno D",512,IF(Atletas!P111="Xingyiquan E",513,IF(Atletas!P111="Baguazhang E",514,IF(Atletas!P111="Outro Estilo Interno E",515,IF(Atletas!P111="Xingyiquan F",516,IF(Atletas!P111="Baguazhang F",517,IF(Atletas!P111="Outro Estilo Interno F",518, "")))))))))))))))))))</f>
        <v/>
      </c>
      <c r="BS115" s="52" t="str">
        <f>IF(Atletas!Q111="","",IF(Atletas!W111&lt;&gt;"",10000,0)+IF(Atletas!B111="Feminino",1000,IF(Atletas!B111="Masculino",2000,""))+IF(Atletas!Q111="Dao A",601,IF(Atletas!Q111="Jian A",602,IF(Atletas!Q111="Bishou A",603,IF(Atletas!Q111="Shan A",604,IF(Atletas!Q111="Outra Arma Curta A",605,IF(Atletas!Q111="Dao B",606,IF(Atletas!Q111="Jian B",607,IF(Atletas!Q111="Bishou B",608,IF(Atletas!Q111="Shan B",609,IF(Atletas!Q111="Outra Arma Curta B",610,IF(Atletas!Q111="Dao C",611,IF(Atletas!Q111="Jian C",612,IF(Atletas!Q111="Bishou C",613,IF(Atletas!Q111="Shan C",614,IF(Atletas!Q111="Outra Arma Curta C",615,IF(Atletas!Q111="Dao D",616,IF(Atletas!Q111="Jian D",617,IF(Atletas!Q111="Bishou D",618,IF(Atletas!Q111="Shan D",619,IF(Atletas!Q111="Outra Arma Curta D",620,IF(Atletas!Q111="Dao E",621,IF(Atletas!Q111="Jian E",622,IF(Atletas!Q111="Bishou E",623,IF(Atletas!Q111="Shan E",624,IF(Atletas!Q111="Outra Arma Curta E",625,IF(Atletas!Q111="Dao F",626,IF(Atletas!Q111="Jian F",627,IF(Atletas!Q111="Bishou F",628,IF(Atletas!Q111="Shan F",629,IF(Atletas!Q111="Outra Arma Curta F",630, "")))))))))))))))))))))))))))))))</f>
        <v/>
      </c>
      <c r="BT115" s="52" t="str">
        <f>IF(Atletas!R111="","",IF(Atletas!W111&lt;&gt;"",10000,0)+IF(Atletas!B111="Feminino",1000,IF(Atletas!B111="Masculino",2000,""))+IF(Atletas!R111="Gun A",701,IF(Atletas!R111="Qiang A",702,IF(Atletas!R111="Pudao / Guandao A",703,IF(Atletas!R111="Outra Arma Longa A",704,IF(Atletas!R111="Gun B",705,IF(Atletas!R111="Qiang B",706,IF(Atletas!R111="Pudao / Guandao B",707,IF(Atletas!R111="Outra Arma Longa B",708,IF(Atletas!R111="Gun C",709,IF(Atletas!R111="Qiang C",710,IF(Atletas!R111="Pudao / Guandao C",711,IF(Atletas!R111="Outra Arma Longa C",712,IF(Atletas!R111="Gun D",713,IF(Atletas!R111="Qiang D",714,IF(Atletas!R111="Pudao / Guandao D",715,IF(Atletas!R111="Outra Arma Longa D",716,IF(Atletas!R111="Gun E",717,IF(Atletas!R111="Qiang E",718,IF(Atletas!R111="Pudao / Guandao E",719,IF(Atletas!R111="Outra Arma Longa E",720,IF(Atletas!R111="Gun F",721,IF(Atletas!R111="Qiang F",722,IF(Atletas!R111="Pudao / Guandao F",723,IF(Atletas!R111="Outra Arma Longa F",724,"")))))))))))))))))))))))))</f>
        <v/>
      </c>
      <c r="BU115" s="52" t="str">
        <f>IF(Atletas!S111="","",IF(Atletas!W111&lt;&gt;"",10000,0)+IF(Atletas!B111="Feminino",1000,IF(Atletas!B111="Masculino",2000,""))+IF(Atletas!S111="Arma Dupla A",801,IF(Atletas!S111="Arma Maleável A",802,IF(Atletas!S111="Arma Dupla B",803,IF(Atletas!S111="Arma Maleável B",804,IF(Atletas!S111="Arma Dupla C",805,IF(Atletas!S111="Arma Maleável C",806,IF(Atletas!S111="Arma Dupla D",807,IF(Atletas!S111="Arma Maleável D",808,IF(Atletas!S111="Arma Dupla E",809,IF(Atletas!S111="Arma Maleável E",810,IF(Atletas!S111="Arma Dupla F",811,IF(Atletas!S111="Arma Maleável F",812, "")))))))))))))</f>
        <v/>
      </c>
      <c r="BV115" s="52" t="str">
        <f>IF(Atletas!T111="","",IF(Atletas!W111&lt;&gt;"",10000,0)+IF(Atletas!B111="Feminino",1000,IF(Atletas!B111="Masculino",2000,""))+IF(Atletas!T111="Taijijian Yang A",901,IF(Atletas!T111="Taijijian Chen A",902,IF(Atletas!T111="Taijijian Sun A",903,IF(Atletas!T111="Taijijian Wu A",904,IF(Atletas!T111="Taijijian Wu-Hao A",905,IF(Atletas!T111="Taijijian 32 A",906,IF(Atletas!T111="Taijijian 42 A",907,IF(Atletas!T111="Taijijian Yang B",908,IF(Atletas!T111="Taijijian Chen B",909,IF(Atletas!T111="Taijijian Sun B",910,IF(Atletas!T111="Taijijian Wu B",911,IF(Atletas!T111="Taijijian Wu-Hao B",912,IF(Atletas!T111="Taijijian 32 B",913,IF(Atletas!T111="Taijijian 42 B",914,IF(Atletas!T111="Taijijian Yang C",915,IF(Atletas!T111="Taijijian Chen C",916,IF(Atletas!T111="Taijijian Sun C",917,IF(Atletas!T111="Taijijian Wu C",918,IF(Atletas!T111="Taijijian Wu-Hao C",919,IF(Atletas!T111="Taijijian 32 C",920,IF(Atletas!T111="Taijijian 42 C",921,IF(Atletas!T111="Taijijian Yang D",922,IF(Atletas!T111="Taijijian Chen D",923,IF(Atletas!T111="Taijijian Sun D",924,IF(Atletas!T111="Taijijian Wu D",925,IF(Atletas!T111="Taijijian Wu-Hao D",926,IF(Atletas!T111="Taijijian 32 D",927,IF(Atletas!T111="Taijijian 42 D",928,IF(Atletas!T111="Taijijian Yang E",929,IF(Atletas!T111="Taijijian Chen E",930,IF(Atletas!T111="Taijijian Sun E",931,IF(Atletas!T111="Taijijian Wu E",932,IF(Atletas!T111="Taijijian Wu-Hao E",933,IF(Atletas!T111="Taijijian 32 E",934,IF(Atletas!T111="Taijijian 42 E",935,IF(Atletas!T111="Taijijian Yang F",936,IF(Atletas!T111="Taijijian Chen F",937,IF(Atletas!T111="Taijijian Sun F",938,IF(Atletas!T111="Taijijian Wu F",939,IF(Atletas!T111="Taijijian Wu-Hao F",940,IF(Atletas!T111="Taijijian 32 F",941,IF(Atletas!T111="Taijijian 42 F",942,"")))))))))))))))))))))))))))))))))))))))))))</f>
        <v/>
      </c>
      <c r="BW115" s="52" t="str">
        <f>IF(Atletas!U111="","",IF(Atletas!W111&lt;&gt;"",10000,0)+IF(Atletas!B111="Feminino",1000,IF(Atletas!B111="Masculino",2000,""))+IF(Atletas!T111="Taijijian 42 F",942,IF(Atletas!U111="Taijidao A",943,IF(Atletas!U111="Taijishan A",944,IF(Atletas!U111="Taijiqiang A",945,IF(Atletas!U111="Taijidao B",946,IF(Atletas!U111="Taijishan B",947,IF(Atletas!U111="Taijiqiang B",948,IF(Atletas!U111="Taijidao C",949,IF(Atletas!U111="Taijishan C",950,IF(Atletas!U111="Taijiqiang C",951,IF(Atletas!U111="Taijidao D",952,IF(Atletas!U111="Taijishan D",953,IF(Atletas!U111="Taijiqiang D",954,IF(Atletas!U111="Taijidao E",955,IF(Atletas!U111="Taijishan E",956,IF(Atletas!U111="Taijiqiang E",957,IF(Atletas!U111="Taijidao F",958,IF(Atletas!U111="Taijishan F",959,IF(Atletas!U111="Taijiqiang F",960))))))))))))))))))))</f>
        <v/>
      </c>
      <c r="BX115" s="72" t="str">
        <f>IF(BY115&lt;&gt;"","Ditangquan A","")</f>
        <v/>
      </c>
      <c r="BY115" s="72" t="str">
        <f>IF(COUNTIF(BK:BW,1201)&gt;0,COUNTIF(BK:BW,1201),"")</f>
        <v/>
      </c>
      <c r="BZ115" s="72" t="str">
        <f>IF(CA115&lt;&gt;"","Ditangquan A","")</f>
        <v/>
      </c>
      <c r="CA115" s="72" t="str">
        <f>IF(COUNTIF(BK:BW,2201)&gt;0,COUNTIF(BK:BW,2201),"")</f>
        <v/>
      </c>
      <c r="CB115" s="72" t="str">
        <f>IF(CC115&lt;&gt;"","Ditangquan A","")</f>
        <v/>
      </c>
      <c r="CC115" s="64" t="str">
        <f>IF(COUNTIF(BK:BW,11201)&gt;0,COUNTIF(BK:BW,11201),"")</f>
        <v/>
      </c>
      <c r="CD115" s="64" t="str">
        <f>IF(CE115&lt;&gt;"","Ditangquan A","")</f>
        <v/>
      </c>
      <c r="CE115" s="64" t="str">
        <f>IF(COUNTIF(BK:BW,12201)&gt;0,COUNTIF(BK:BW,12201),"")</f>
        <v/>
      </c>
      <c r="CF115" s="52" t="str">
        <f xml:space="preserve"> IF(Atletas!V111="","",IF(Atletas!V111="Duilian de Mãos AB - Equipe 1",1,IF(Atletas!V111="Duilian de Mãos AB - Equipe 2",2,IF(Atletas!V111="Duilian de Armas AB - Equipe 1",3,IF(Atletas!V111="Duilian de Armas AB - Equipe 2",4,IF(Atletas!V111="Duilian de Tuishou - Equipe 1",5,IF(Atletas!V111="Duilian de Tuishou - Equipe 2",6,IF(Atletas!V111="Grupo Externo AB - Equipe 1",7,IF(Atletas!V111="Grupo Externo AB - Equipe 2",8,IF(Atletas!V111="Grupo Interno AB - Equipe 1",9,IF(Atletas!V111="Grupo Interno AB - Equipe 2",10,IF(Atletas!V111="Duilian de Mãos CD - Equipe 1",11,IF(Atletas!V111="Duilian de Mãos CD - Equipe 2",12,IF(Atletas!V111="Duilian de Armas CD - Equipe 1",13,IF(Atletas!V111="Duilian de Armas CD - Equipe 2",14,IF(Atletas!V111="Duilian de Tuishou - Equipe 1",15,IF(Atletas!V111="Duilian de Tuishou - Equipe 2",16,IF(Atletas!V111="Grupo Externo CDEF - Equipe 1",17,IF(Atletas!V111="Grupo Externo CDEF - Equipe 2",18,IF(Atletas!V111="Grupo Interno CDEF - Equipe 1",19,IF(Atletas!V111="Grupo Interno CDEF - Equipe 2",20,IF(Atletas!V111="Duilian de Mãos EF - Equipe 1",21,IF(Atletas!V111="Duilian de Mãos EF - Equipe 2",22,IF(Atletas!V111="Duilian de Armas EF - Equipe 1",23,IF(Atletas!V111="Duilian de Armas EF - Equipe 2",24,IF(Atletas!V111="Duilian de Tuishou - Equipe 1",25,IF(Atletas!V111="Duilian de Tuishou - Equipe 2",26,"")))))))))))))))))))))))))))</f>
        <v/>
      </c>
    </row>
    <row r="116" spans="2:84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 t="str">
        <f t="array" ref="V116">IFERROR(INDEX(BX$7:BX$336,SMALL(IF(BX$7:BX$336&lt;&gt;"",ROW(BX$7:BX$336)-ROW(BX$7)+1),ROWS(BX$7:BX115))),"")</f>
        <v/>
      </c>
      <c r="W116" s="4" t="str">
        <f t="array" ref="W116">IFERROR(INDEX(BY$7:BY$336,SMALL(IF(BY$7:BY$336&lt;&gt;"",ROW(BY$7:BY$336)-ROW(BY$7)+1),ROWS(BY$7:BY115))),"")</f>
        <v/>
      </c>
      <c r="X116" s="4" t="str">
        <f t="array" ref="X116">IFERROR(INDEX(BZ$7:BZ$336,SMALL(IF(BZ$7:BZ$336&lt;&gt;"",ROW(BZ$7:BZ$336)-ROW(BZ$7)+1),ROWS(BZ$7:BZ115))),"")</f>
        <v/>
      </c>
      <c r="Y116" s="4" t="str">
        <f t="array" ref="Y116">IFERROR(INDEX(CA$7:CA$336,SMALL(IF(CA$7:CA$336&lt;&gt;"",ROW(CA$7:CA$336)-ROW(CA$7)+1),ROWS(CA$7:CA115))),"")</f>
        <v/>
      </c>
      <c r="Z116" s="4" t="str">
        <f t="array" ref="Z116">IFERROR(INDEX(CB$7:CB$378,SMALL(IF(CB$7:CB$378&lt;&gt;"",ROW(CB$7:CB$378)-ROW(CB$7)+1),ROWS(CB$7:CB115))),"")</f>
        <v/>
      </c>
      <c r="AA116" s="4" t="str">
        <f t="array" ref="AA116">IFERROR(INDEX(CC$7:CC$378,SMALL(IF(CC$7:CC$378&lt;&gt;"",ROW(CC$7:CC$378)-ROW(CC$7)+1),ROWS(CC$7:CC115))),"")</f>
        <v/>
      </c>
      <c r="AB116" s="4" t="str">
        <f t="array" ref="AB116">IFERROR(INDEX(CD$7:CD$378,SMALL(IF(CD$7:CD$378&lt;&gt;"",ROW(CD$7:CD$378)-ROW(CD$7)+1),ROWS(CD$7:CD115))),"")</f>
        <v/>
      </c>
      <c r="AC116" s="4" t="str">
        <f t="array" ref="AC116">IFERROR(INDEX(CE$7:CE$378,SMALL(IF(CE$7:CE$378&lt;&gt;"",ROW(CE$7:CE$378)-ROW(CE$7)+1),ROWS(CE$7:CE115))),"")</f>
        <v/>
      </c>
      <c r="AD116" s="4"/>
      <c r="AE116" s="4"/>
      <c r="AF116" s="4"/>
      <c r="AG116" s="4"/>
      <c r="AH116" s="4"/>
      <c r="AI116" s="4"/>
      <c r="AJ116" s="46" t="str">
        <f>IF(Atletas!D112="","",IF(Atletas!B112="Feminino",100,IF(Atletas!B112="Masculino",200,""))+(IF(Atletas!D112="Infantil 39kg",1,IF(Atletas!D112="Infantil 42kg",2,IF(Atletas!D112="Infantil 45kg",3,IF(Atletas!D112="Infantil 48kg",4,IF(Atletas!D112="Infantil 52kg",5,IF(Atletas!D112="Infantil 56kg",6,IF(Atletas!D112="Infantil 60kg",7,IF(Atletas!D112="Juvenil 48kg",8,IF(Atletas!D112="Juvenil 52kg",9,IF(Atletas!D112="Juvenil 56kg",10,IF(Atletas!D112="Juvenil 60kg",11,IF(Atletas!D112="Juvenil 65kg",12,IF(Atletas!D112="Juvenil 70kg",13,IF(Atletas!D112="Juvenil 75kg",14,IF(Atletas!D112="Juvenil 80kg",15,IF(Atletas!D112="Adulto 48kg",16,IF(Atletas!D112="Adulto 52kg",17,IF(Atletas!D112="Adulto 56kg",18,IF(Atletas!D112="Adulto 60kg",19,IF(Atletas!D112="Adulto 65kg",20,IF(Atletas!D112="Adulto 70kg",21,IF(Atletas!D112="Adulto 75kg",22,IF(Atletas!D112="Adulto 80kg",23,IF(Atletas!D112="Adulto 85kg",24,IF(Atletas!D112="Adulto 90kg",25,IF(Atletas!D112="Adulto +90kg",26,""))))))))))))))))))))))))))))</f>
        <v/>
      </c>
      <c r="AO116" s="10" t="str">
        <f>IF(Atletas!E112="","",IF(Atletas!B112="Feminino",100,IF(Atletas!B112="Masculino",200,""))+(IF(Atletas!E112="Juvenil 44kg",1,IF(Atletas!E112="Juvenil 48kg",2,IF(Atletas!E112="Juvenil 52kg",3,IF(Atletas!E112="Juvenil 56kg",4,IF(Atletas!E112="Juvenil 60kg",5,IF(Atletas!E112="Juvenil 65kg",6,IF(Atletas!E112="Juvenil 70kg",7,IF(Atletas!E112="Juvenil 75kg",8,IF(Atletas!E112="Juvenil 82kg",9,IF(Atletas!E112="Juvenil 90kg",10,IF(Atletas!E112="Juvenil 100kg",11,IF(Atletas!E112="Adulto 48kg",12,IF(Atletas!E112="Adulto 52kg",13,IF(Atletas!E112="Adulto 56kg",14,IF(Atletas!E112="Adulto 60kg",15,IF(Atletas!E112="Adulto 65kg",16,IF(Atletas!E112="Adulto 70kg",17,IF(Atletas!E112="Adulto 75kg",18,IF(Atletas!E112="Adulto 82kg",19,IF(Atletas!E112="Adulto 90kg",20,IF(Atletas!E112="Adulto 100kg",21,IF(Atletas!E112="Adulto +100kg",22,""))))))))))))))))))))))))</f>
        <v/>
      </c>
      <c r="AT116" s="10" t="str">
        <f>IF(Atletas!F112="","",IF(Atletas!B112="Feminino",100,IF(Atletas!B112="Masculino",200,""))+(IF(Atletas!F112="Adulto 48kg",1,IF(Atletas!F112="Adulto 56kg",2,IF(Atletas!F112="Adulto 65kg",3,IF(Atletas!F112="Adulto 75kg",4,IF(Atletas!F112="Adulto +75kg",5,IF(Atletas!F112="Adulto 52kg",6,IF(Atletas!F112="Adulto 60kg",7,IF(Atletas!F112="Adulto 70kg",8,IF(Atletas!F112="Adulto 80kg",9,IF(Atletas!F112="Adulto 90kg",10,IF(Atletas!F112="Adulto +90kg",11,"")))))))))))))</f>
        <v/>
      </c>
      <c r="AY116" s="46" t="str">
        <f>IF(Atletas!G112="","",IF(Atletas!B112="Feminino",100,IF(Atletas!B112="Masculino",200,""))+(IF(Atletas!G112="Changquan Mirim",1,IF(Atletas!G112="Nanquan Mirim",2,IF(Atletas!G112="Taijiquan Mirim",3,IF(Atletas!G112="Changquan Grupo C",4,IF(Atletas!G112="Nanquan Grupo C",5,IF(Atletas!G112="Taijiquan Grupo C",6,IF(Atletas!G112="Changquan Grupo B",7,IF(Atletas!G112="Nanquan Grupo B",8,IF(Atletas!G112="Taijiquan Grupo B",9,IF(Atletas!G112="Changquan Grupo A",10,IF(Atletas!G112="Nanquan Grupo A",11,IF(Atletas!G112="Taijiquan Grupo A",12,IF(Atletas!G112="Changquan Opcional",13,IF(Atletas!G112="Nanquan Opcional",14,IF(Atletas!G112="Taijiquan Opcional",15,IF(Atletas!G112="Changquan Adulto",16,IF(Atletas!G112="Nanquan Adulto",17,IF(Atletas!G112="Taijiquan Adulto",18,""))))))))))))))))))))</f>
        <v/>
      </c>
      <c r="AZ116" s="46" t="str">
        <f>IF(Atletas!H112="","",IF(Atletas!B112="Feminino",100,IF(Atletas!B112="Masculino",200,""))+(IF(Atletas!H112="Daoshu Mirim",19,IF(Atletas!H112="Jianshu Mirim",20,IF(Atletas!H112="Nandao Mirim",21,IF(Atletas!H112="Taijijian Mirim",22,IF(Atletas!H112="Daoshu Grupo C",23,IF(Atletas!H112="Jianshu Grupo C",24,IF(Atletas!H112="Nandao Grupo C",25,IF(Atletas!H112="Taijijian Grupo C",26,IF(Atletas!H112="Daoshu Grupo B",27,IF(Atletas!H112="Jianshu Grupo B",28,IF(Atletas!H112="Nandao Grupo B",29,IF(Atletas!H112="Taijijian Grupo B",30,IF(Atletas!H112="Daoshu Grupo A",31,IF(Atletas!H112="Jianshu Grupo A",32,IF(Atletas!H112="Nandao Grupo A",33,IF(Atletas!H112="Taijijian Grupo A",34,IF(Atletas!H112="Daoshu Opcional",35,IF(Atletas!H112="Jianshu Opcional",36,IF(Atletas!H112="Nandao Opcional",37,IF(Atletas!H112="Taijijian Opcional",38,IF(Atletas!H112="Daoshu Adulto",39,IF(Atletas!H112="Jianshu Adulto",40,IF(Atletas!H112="Nandao Adulto",41,IF(Atletas!H112="Taijijian Adulto",42,""))))))))))))))))))))))))))</f>
        <v/>
      </c>
      <c r="BA116" s="46" t="str">
        <f>IF(Atletas!I112="","",IF(Atletas!B112="Feminino",100,IF(Atletas!B112="Masculino",200,""))+(IF(Atletas!I112="Gunshu Mirim",43,IF(Atletas!I112="Qiangshu Mirim",44,IF(Atletas!I112="Nangun Mirim",45,IF(Atletas!I112="Gunshu Grupo C",46,IF(Atletas!I112="Qiangshu Grupo C",47,IF(Atletas!I112="Nangun Grupo C",48,IF(Atletas!I112="Gunshu Grupo B",49,IF(Atletas!I112="Qiangshu Grupo B",50,IF(Atletas!I112="Nangun Grupo B",51,IF(Atletas!I112="Gunshu Grupo A",52,IF(Atletas!I112="Qiangshu Grupo A",53,IF(Atletas!I112="Nangun Grupo A",54,IF(Atletas!I112="Gunshu Opcional",55,IF(Atletas!I112="Qiangshu Opcional",56,IF(Atletas!I112="Nangun Opcional",57,IF(Atletas!I112="Gunshu Adulto",58,IF(Atletas!I112="Qiangshu Adulto",59,IF(Atletas!I112="Nangun Adulto",60,""))))))))))))))))))))</f>
        <v/>
      </c>
      <c r="BF116" s="52" t="str">
        <f>IF(Atletas!J112="","",IF(Atletas!B112="Feminino",100,IF(Atletas!B112="Masculino",200,""))+(IF(Atletas!J112="Equipe 1 Grupo B",1,IF(Atletas!J112="Equipe 2 Grupo B",2,IF(Atletas!J112="Equipe 1 Grupo A",3,IF(Atletas!J112="Equipe 2 Grupo A",4,IF(Atletas!J112="Equipe 1 Adulto",5,IF(Atletas!J112="Equipe 2 Adulto",6,""))))))))</f>
        <v/>
      </c>
      <c r="BK116" s="52" t="str">
        <f>IF(Atletas!K112="","",IF(Atletas!W112&lt;&gt;"",10000,0)+(IF(Atletas!B112="Feminino",1000,IF(Atletas!B112="Masculino",2000,""))+IF(Atletas!K112="Choylayfut A",1,IF(Atletas!K112="Hunggar A",2,IF(Atletas!K112="Wuzuquan A",3,IF(Atletas!K112="Wingchun A",4,IF(Atletas!K112="Outra Mão de Sul A",5,IF(Atletas!K112="Choylayfut B",6,IF(Atletas!K112="Hunggar B",7,IF(Atletas!K112="Wuzuquan B",8,IF(Atletas!K112="Wingchun B",9,IF(Atletas!K112="Outra Mão de Sul B",10,IF(Atletas!K112="Choylayfut C",11,IF(Atletas!K112="Hunggar C",12,IF(Atletas!K112="Wuzuquan C",13,IF(Atletas!K112="Wingchun C",14,IF(Atletas!K112="Outra Mão de Sul C",15,IF(Atletas!K112="Choylayfut D",16,IF(Atletas!K112="Hunggar D",17,IF(Atletas!K112="Wuzuquan D",18,IF(Atletas!K112="Wingchun D",19,IF(Atletas!K112="Outra Mão de Sul D",20,IF(Atletas!K112="Choylayfut E",21,IF(Atletas!K112="Hunggar E",22,IF(Atletas!K112="Wuzuquan E",23,IF(Atletas!K112="Wingchun E",24,IF(Atletas!K112="Outra Mão de Sul E",25,IF(Atletas!K112="Choylayfut F",26,IF(Atletas!K112="Hunggar F",27,IF(Atletas!K112="Wuzuquan F",28,IF(Atletas!K112="Wingchun F",29,IF(Atletas!K112="Outra Mão de Sul F",30,""))))))))))))))))))))))))))))))))</f>
        <v/>
      </c>
      <c r="BL116" s="52" t="str">
        <f>IF(Atletas!L112="","",IF(Atletas!W112&lt;&gt;"",10000,0)+(IF(Atletas!B112="Feminino",1000,IF(Atletas!B112="Masculino",2000,""))+(IF(Atletas!L112="Chaquan A",101,IF(Atletas!L112="Emeiquan A",102,IF(Atletas!L112="Fanziquan A",103,IF(Atletas!L112="Huaquan A",104,IF(Atletas!L112="Hongquan A",105,IF(Atletas!L112="Paochui A",106,IF(Atletas!L112="Piguaquan A",107,IF(Atletas!L112="Shaolinquan A",108,IF(Atletas!L112="Tanglangquan A",109,IF(Atletas!L112="Yinzhaophai A",110,IF(Atletas!L112="Tongbeiquan A",111,IF(Atletas!L112="Wudangquan A",112,IF(Atletas!L112="Outros Estilos A",113,IF(Atletas!L112="Chaquan B",114,IF(Atletas!L112="Emeiquan B",115,IF(Atletas!L112="Fanziquan B",116,IF(Atletas!L112="Huaquan B",117,IF(Atletas!L112="Hongquan B",118,IF(Atletas!L112="Paochui B",119,IF(Atletas!L112="Piguaquan B",120,IF(Atletas!L112="Shaolinquan B",121,IF(Atletas!L112="Tanglangquan B",122,IF(Atletas!L112="Yinzhaophai B",123,IF(Atletas!L112="Tongbeiquan B",124,IF(Atletas!L112="Wudangquan B",125,IF(Atletas!L112="Outros Estilos B",126,IF(Atletas!L112="Chaquan C",127,IF(Atletas!L112="Emeiquan C",128,IF(Atletas!L112="Fanziquan C",129,IF(Atletas!L112="Huaquan C",130,IF(Atletas!L112="Hongquan C",131,IF(Atletas!L112="Paochui C",132,IF(Atletas!L112="Piguaquan C",133,IF(Atletas!L112="Shaolinquan C",134,IF(Atletas!L112="Tanglangquan C",135,IF(Atletas!L112="Yinzhaophai C",136,IF(Atletas!L112="Tongbeiquan C",137,IF(Atletas!L112="Wudangquan C",138,IF(Atletas!L112="Outros Estilos C",139,0))))))))))))))))))))))))))))))))))))))))))</f>
        <v/>
      </c>
      <c r="BM116" s="52" t="str">
        <f>IF(Atletas!L112="","",IF(Atletas!W112&lt;&gt;"",10000,0)+(IF(Atletas!B112="Feminino",1000,IF(Atletas!B112="Masculino",2000,""))+(IF(Atletas!L112="Chaquan D",140,IF(Atletas!L112="Emeiquan D",141,IF(Atletas!L112="Fanziquan D",142,IF(Atletas!L112="Huaquan D",143,IF(Atletas!L112="Hongquan D",144,IF(Atletas!L112="Paochui D",145,IF(Atletas!L112="Piguaquan D",146,IF(Atletas!L112="Shaolinquan D",147,IF(Atletas!L112="Tanglangquan D",148,IF(Atletas!L112="Yinzhaophai D",149,IF(Atletas!L112="Tongbeiquan D",150,IF(Atletas!L112="Wudangquan D",151,IF(Atletas!L112="Outros Estilos D",152,IF(Atletas!L112="Chaquan E",153,IF(Atletas!L112="Emeiquan E",154,IF(Atletas!L112="Fanziquan E",155,IF(Atletas!L112="Huaquan E",156,IF(Atletas!L112="Hongquan E",157,IF(Atletas!L112="Paochui E",158,IF(Atletas!L112="Piguaquan E",159,IF(Atletas!L112="Shaolinquan E",160,IF(Atletas!L112="Tanglangquan E",161,IF(Atletas!L112="Yinzhaophai E",162,IF(Atletas!L112="Tongbeiquan E",163,IF(Atletas!L112="Wudangquan E",164,IF(Atletas!L112="Outros Estilos E",165,IF(Atletas!L112="Chaquan F",166,IF(Atletas!L112="Emeiquan F",167,IF(Atletas!L112="Fanziquan F",168,IF(Atletas!L112="Huaquan F",169,IF(Atletas!L112="Hongquan F",170,IF(Atletas!L112="Paochui F",171,IF(Atletas!L112="Piguaquan F",172,IF(Atletas!L112="Shaolinquan F",173,IF(Atletas!L112="Tanglangquan F",174,IF(Atletas!L112="Yinzhaophai F",175,IF(Atletas!L112="Tongbeiquan F",176,IF(Atletas!L112="Wudangquan F",177,IF(Atletas!L112="Outros Estilos F",178,0))))))))))))))))))))))))))))))))))))))))))</f>
        <v/>
      </c>
      <c r="BN116" s="52" t="str">
        <f>IF(Atletas!M112="","",IF(Atletas!W112&lt;&gt;"",10000,0)+(IF(Atletas!B112="Feminino",1000,IF(Atletas!B112="Masculino",2000,""))+(IF(Atletas!M112="Ditangquan A",201,IF(Atletas!M112="Houquan A",202,IF(Atletas!M112="Zuiquan A",203,IF(Atletas!M112="Ditangquan B",204,IF(Atletas!M112="Houquan B",205,IF(Atletas!M112="Zuiquan B",206,IF(Atletas!M112="Ditangquan C",207,IF(Atletas!M112="Houquan C",208,IF(Atletas!M112="Zuiquan C",209,IF(Atletas!M112="Ditangquan D",210,IF(Atletas!M112="Houquan D",211,IF(Atletas!M112="Zuiquan D",212,IF(Atletas!M112="Ditangquan E",213,IF(Atletas!M112="Houquan E",214,IF(Atletas!M112="Zuiquan E",215,IF(Atletas!M112="Ditangquan F",216,IF(Atletas!M112="Houquan F",217,IF(Atletas!M112="Zuiquan F",218,"")))))))))))))))))))))</f>
        <v/>
      </c>
      <c r="BO116" s="52" t="str">
        <f>IF(Atletas!N112="","",IF(Atletas!W112&lt;&gt;"",10000,0)+IF(Atletas!B112="Feminino",1000,IF(Atletas!B112="Masculino",2000,""))+IF(Atletas!N112="Yang A",301,IF(Atletas!N112="Chen A",30,IF(Atletas!N112="Sun A",303,IF(Atletas!N112="Wu A",304,IF(Atletas!N112="Wu-Hao A",305,IF(Atletas!N112="Outro Taijiquan A",306,IF(Atletas!N112="Yang B",307,IF(Atletas!N112="Chen B",308,IF(Atletas!N112="Sun B",309,IF(Atletas!N112="Wu B",310,IF(Atletas!N112="Wu-Hao B",311,IF(Atletas!N112="Outro Taijiquan B",312,IF(Atletas!N112="Yang C",313,IF(Atletas!N112="Chen C",314,IF(Atletas!N112="Sun C",315,IF(Atletas!N112="Wu C",316,IF(Atletas!N112="Wu-Hao C",317,IF(Atletas!N112="Outro Taijiquan C",318,IF(Atletas!N112="Yang D",319,IF(Atletas!N112="Chen D",320,IF(Atletas!N112="Sun D",321,IF(Atletas!N112="Wu D",322,IF(Atletas!N112="Wu-Hao D",323,IF(Atletas!N112="Outro Taijiquan D",324,IF(Atletas!N112="Yang E",325,IF(Atletas!N112="Chen E",326,IF(Atletas!N112="Sun E",327,IF(Atletas!N112="Wu E",328,IF(Atletas!N112="Wu-Hao E",329,IF(Atletas!N112="Outro Taijiquan E",330,IF(Atletas!N112="Yang F",331,IF(Atletas!N112="Chen F",332,IF(Atletas!N112="Sun F",333,IF(Atletas!N112="Wu F",334,IF(Atletas!N112="Wu-Hao F",335,IF(Atletas!N112="Outro Taijiquan F",336,"")))))))))))))))))))))))))))))))))))))</f>
        <v/>
      </c>
      <c r="BP116" s="52" t="str">
        <f>IF(Atletas!O112="","",IF(Atletas!W112&lt;&gt;"",10000,0)+IF(Atletas!B112="Feminino",1000,IF(Atletas!B112="Masculino",2000,""))+IF(OR(Atletas!O112="Yang 26 A",Atletas!O112="Yang 40 A"),401,IF(OR(Atletas!O112="Chen 25 A",Atletas!O112="Chen 36 A",Atletas!O112="Chen 56 A"),402,IF(Atletas!O112="Sun 73 A",403,IF(Atletas!O112="Wu 45 A",404,IF(Atletas!O112="Wu-Hao 46 A",405,IF(OR(Atletas!O112="Taijiquan 16 A",Atletas!O112="Taijiquan 24 A",Atletas!O112="Taijiquan 32 A",Atletas!O112="Taijiquan 42 A"),406,IF(OR(Atletas!O112="Yang 26 B",Atletas!O112="Yang 40 B"),407,IF(OR(Atletas!O112="Chen 25 B",Atletas!O112="Chen 36 B",Atletas!O112="Chen 56 B"),408,IF(Atletas!O112="Sun 73 B",409,IF(Atletas!O112="Wu 45 B",410,IF(Atletas!O112="Wu-Hao 46 B",411,IF(OR(Atletas!O112="Taijiquan 16 B",Atletas!O112="Taijiquan 24 B",Atletas!O112="Taijiquan 32 B",Atletas!O112="Taijiquan 42 B"),412,IF(OR(Atletas!O112="Yang 26 C",Atletas!O112="Yang 40 C"),413,IF(OR(Atletas!O112="Chen 25 C",Atletas!O112="Chen 36 C",Atletas!O112="Chen 56 C"),414,IF(Atletas!O112="Sun 73 C",415,IF(Atletas!O112="Wu 45 C",416,IF(Atletas!O112="Wu-Hao 46 C",417,IF(OR(Atletas!O112="Taijiquan 16 C",Atletas!O112="Taijiquan 24 C",Atletas!O112="Taijiquan 32 C",Atletas!O112="Taijiquan 42 C"),418,0)))))))))))))))))))</f>
        <v/>
      </c>
      <c r="BQ116" s="52" t="str">
        <f>IF(Atletas!O112="","",IF(Atletas!W112&lt;&gt;"",10000,0)+IF(Atletas!B112="Feminino",1000,IF(Atletas!B112="Masculino",2000,""))+IF(OR(Atletas!O112="Yang 26 D",Atletas!O112="Yang 40 D"),419,IF(OR(Atletas!O112="Chen 25 D",Atletas!O112="Chen 36 D",Atletas!O112="Chen 56 D"),420,IF(Atletas!O112="Sun 73 D",421,IF(Atletas!O112="Wu 45 D",422,IF(Atletas!O112="Wu-Hao 46 D",423,IF(OR(Atletas!O112="Taijiquan 16 D",Atletas!O112="Taijiquan 24 D",Atletas!O112="Taijiquan 32 D",Atletas!O112="Taijiquan 42 D"),424,IF(OR(Atletas!O112="Yang 26 E",Atletas!O112="Yang 40 E"),425,IF(OR(Atletas!O112="Chen 25 E",Atletas!O112="Chen 36 E",Atletas!O112="Chen 56 E"),426,IF(Atletas!O112="Sun 73 E",427,IF(Atletas!O112="Wu 45 E",428,IF(Atletas!O112="Wu-Hao 46 E",429,IF(OR(Atletas!O112="Taijiquan 16 E",Atletas!O112="Taijiquan 24 E",Atletas!O112="Taijiquan 32 E",Atletas!O112="Taijiquan 42 E"),430,IF(OR(Atletas!O112="Yang 26 F",Atletas!O112="Yang 40 F"),431,IF(OR(Atletas!O112="Chen 25 F",Atletas!O112="Chen 36 F",Atletas!O112="Chen 56 F"),432,IF(Atletas!O112="Sun 73 F",433,IF(Atletas!O112="Wu 45 F",434,IF(Atletas!O112="Wu-Hao 46 F",435,IF(OR(Atletas!O112="Taijiquan 16 F",Atletas!O112="Taijiquan 24 F",Atletas!O112="Taijiquan 32 F",Atletas!O112="Taijiquan 42 F"),436,0)))))))))))))))))))</f>
        <v/>
      </c>
      <c r="BR116" s="52" t="str">
        <f>IF(Atletas!P112="","",IF(Atletas!W112&lt;&gt;"",10000,0)+IF(Atletas!B112="Feminino",1000,IF(Atletas!B112="Masculino",2000,""))+IF(Atletas!P112="Xingyiquan A",501,IF(Atletas!P112="Baguazhang A",502,IF(Atletas!P112="Outro Estilo Interno A",503,IF(Atletas!P112="Xingyiquan B",504,IF(Atletas!P112="Baguazhang B",505,IF(Atletas!P112="Outro Estilo Interno B",506,IF(Atletas!P112="Xingyiquan C",507,IF(Atletas!P112="Baguazhang C",508,IF(Atletas!P112="Outro Estilo Interno C",509,IF(Atletas!P112="Xingyiquan D",510,IF(Atletas!P112="Baguazhang D",511,IF(Atletas!P112="Outro Estilo Interno D",512,IF(Atletas!P112="Xingyiquan E",513,IF(Atletas!P112="Baguazhang E",514,IF(Atletas!P112="Outro Estilo Interno E",515,IF(Atletas!P112="Xingyiquan F",516,IF(Atletas!P112="Baguazhang F",517,IF(Atletas!P112="Outro Estilo Interno F",518, "")))))))))))))))))))</f>
        <v/>
      </c>
      <c r="BS116" s="52" t="str">
        <f>IF(Atletas!Q112="","",IF(Atletas!W112&lt;&gt;"",10000,0)+IF(Atletas!B112="Feminino",1000,IF(Atletas!B112="Masculino",2000,""))+IF(Atletas!Q112="Dao A",601,IF(Atletas!Q112="Jian A",602,IF(Atletas!Q112="Bishou A",603,IF(Atletas!Q112="Shan A",604,IF(Atletas!Q112="Outra Arma Curta A",605,IF(Atletas!Q112="Dao B",606,IF(Atletas!Q112="Jian B",607,IF(Atletas!Q112="Bishou B",608,IF(Atletas!Q112="Shan B",609,IF(Atletas!Q112="Outra Arma Curta B",610,IF(Atletas!Q112="Dao C",611,IF(Atletas!Q112="Jian C",612,IF(Atletas!Q112="Bishou C",613,IF(Atletas!Q112="Shan C",614,IF(Atletas!Q112="Outra Arma Curta C",615,IF(Atletas!Q112="Dao D",616,IF(Atletas!Q112="Jian D",617,IF(Atletas!Q112="Bishou D",618,IF(Atletas!Q112="Shan D",619,IF(Atletas!Q112="Outra Arma Curta D",620,IF(Atletas!Q112="Dao E",621,IF(Atletas!Q112="Jian E",622,IF(Atletas!Q112="Bishou E",623,IF(Atletas!Q112="Shan E",624,IF(Atletas!Q112="Outra Arma Curta E",625,IF(Atletas!Q112="Dao F",626,IF(Atletas!Q112="Jian F",627,IF(Atletas!Q112="Bishou F",628,IF(Atletas!Q112="Shan F",629,IF(Atletas!Q112="Outra Arma Curta F",630, "")))))))))))))))))))))))))))))))</f>
        <v/>
      </c>
      <c r="BT116" s="52" t="str">
        <f>IF(Atletas!R112="","",IF(Atletas!W112&lt;&gt;"",10000,0)+IF(Atletas!B112="Feminino",1000,IF(Atletas!B112="Masculino",2000,""))+IF(Atletas!R112="Gun A",701,IF(Atletas!R112="Qiang A",702,IF(Atletas!R112="Pudao / Guandao A",703,IF(Atletas!R112="Outra Arma Longa A",704,IF(Atletas!R112="Gun B",705,IF(Atletas!R112="Qiang B",706,IF(Atletas!R112="Pudao / Guandao B",707,IF(Atletas!R112="Outra Arma Longa B",708,IF(Atletas!R112="Gun C",709,IF(Atletas!R112="Qiang C",710,IF(Atletas!R112="Pudao / Guandao C",711,IF(Atletas!R112="Outra Arma Longa C",712,IF(Atletas!R112="Gun D",713,IF(Atletas!R112="Qiang D",714,IF(Atletas!R112="Pudao / Guandao D",715,IF(Atletas!R112="Outra Arma Longa D",716,IF(Atletas!R112="Gun E",717,IF(Atletas!R112="Qiang E",718,IF(Atletas!R112="Pudao / Guandao E",719,IF(Atletas!R112="Outra Arma Longa E",720,IF(Atletas!R112="Gun F",721,IF(Atletas!R112="Qiang F",722,IF(Atletas!R112="Pudao / Guandao F",723,IF(Atletas!R112="Outra Arma Longa F",724,"")))))))))))))))))))))))))</f>
        <v/>
      </c>
      <c r="BU116" s="52" t="str">
        <f>IF(Atletas!S112="","",IF(Atletas!W112&lt;&gt;"",10000,0)+IF(Atletas!B112="Feminino",1000,IF(Atletas!B112="Masculino",2000,""))+IF(Atletas!S112="Arma Dupla A",801,IF(Atletas!S112="Arma Maleável A",802,IF(Atletas!S112="Arma Dupla B",803,IF(Atletas!S112="Arma Maleável B",804,IF(Atletas!S112="Arma Dupla C",805,IF(Atletas!S112="Arma Maleável C",806,IF(Atletas!S112="Arma Dupla D",807,IF(Atletas!S112="Arma Maleável D",808,IF(Atletas!S112="Arma Dupla E",809,IF(Atletas!S112="Arma Maleável E",810,IF(Atletas!S112="Arma Dupla F",811,IF(Atletas!S112="Arma Maleável F",812, "")))))))))))))</f>
        <v/>
      </c>
      <c r="BV116" s="52" t="str">
        <f>IF(Atletas!T112="","",IF(Atletas!W112&lt;&gt;"",10000,0)+IF(Atletas!B112="Feminino",1000,IF(Atletas!B112="Masculino",2000,""))+IF(Atletas!T112="Taijijian Yang A",901,IF(Atletas!T112="Taijijian Chen A",902,IF(Atletas!T112="Taijijian Sun A",903,IF(Atletas!T112="Taijijian Wu A",904,IF(Atletas!T112="Taijijian Wu-Hao A",905,IF(Atletas!T112="Taijijian 32 A",906,IF(Atletas!T112="Taijijian 42 A",907,IF(Atletas!T112="Taijijian Yang B",908,IF(Atletas!T112="Taijijian Chen B",909,IF(Atletas!T112="Taijijian Sun B",910,IF(Atletas!T112="Taijijian Wu B",911,IF(Atletas!T112="Taijijian Wu-Hao B",912,IF(Atletas!T112="Taijijian 32 B",913,IF(Atletas!T112="Taijijian 42 B",914,IF(Atletas!T112="Taijijian Yang C",915,IF(Atletas!T112="Taijijian Chen C",916,IF(Atletas!T112="Taijijian Sun C",917,IF(Atletas!T112="Taijijian Wu C",918,IF(Atletas!T112="Taijijian Wu-Hao C",919,IF(Atletas!T112="Taijijian 32 C",920,IF(Atletas!T112="Taijijian 42 C",921,IF(Atletas!T112="Taijijian Yang D",922,IF(Atletas!T112="Taijijian Chen D",923,IF(Atletas!T112="Taijijian Sun D",924,IF(Atletas!T112="Taijijian Wu D",925,IF(Atletas!T112="Taijijian Wu-Hao D",926,IF(Atletas!T112="Taijijian 32 D",927,IF(Atletas!T112="Taijijian 42 D",928,IF(Atletas!T112="Taijijian Yang E",929,IF(Atletas!T112="Taijijian Chen E",930,IF(Atletas!T112="Taijijian Sun E",931,IF(Atletas!T112="Taijijian Wu E",932,IF(Atletas!T112="Taijijian Wu-Hao E",933,IF(Atletas!T112="Taijijian 32 E",934,IF(Atletas!T112="Taijijian 42 E",935,IF(Atletas!T112="Taijijian Yang F",936,IF(Atletas!T112="Taijijian Chen F",937,IF(Atletas!T112="Taijijian Sun F",938,IF(Atletas!T112="Taijijian Wu F",939,IF(Atletas!T112="Taijijian Wu-Hao F",940,IF(Atletas!T112="Taijijian 32 F",941,IF(Atletas!T112="Taijijian 42 F",942,"")))))))))))))))))))))))))))))))))))))))))))</f>
        <v/>
      </c>
      <c r="BW116" s="52" t="str">
        <f>IF(Atletas!U112="","",IF(Atletas!W112&lt;&gt;"",10000,0)+IF(Atletas!B112="Feminino",1000,IF(Atletas!B112="Masculino",2000,""))+IF(Atletas!T112="Taijijian 42 F",942,IF(Atletas!U112="Taijidao A",943,IF(Atletas!U112="Taijishan A",944,IF(Atletas!U112="Taijiqiang A",945,IF(Atletas!U112="Taijidao B",946,IF(Atletas!U112="Taijishan B",947,IF(Atletas!U112="Taijiqiang B",948,IF(Atletas!U112="Taijidao C",949,IF(Atletas!U112="Taijishan C",950,IF(Atletas!U112="Taijiqiang C",951,IF(Atletas!U112="Taijidao D",952,IF(Atletas!U112="Taijishan D",953,IF(Atletas!U112="Taijiqiang D",954,IF(Atletas!U112="Taijidao E",955,IF(Atletas!U112="Taijishan E",956,IF(Atletas!U112="Taijiqiang E",957,IF(Atletas!U112="Taijidao F",958,IF(Atletas!U112="Taijishan F",959,IF(Atletas!U112="Taijiqiang F",960))))))))))))))))))))</f>
        <v/>
      </c>
      <c r="BX116" s="72" t="str">
        <f>IF(BY116&lt;&gt;"","Houquan A","")</f>
        <v/>
      </c>
      <c r="BY116" s="72" t="str">
        <f>IF(COUNTIF(BK:BW,1202)&gt;0,COUNTIF(BK:BW,1202),"")</f>
        <v/>
      </c>
      <c r="BZ116" s="72" t="str">
        <f>IF(CA116&lt;&gt;"","Houquan A","")</f>
        <v/>
      </c>
      <c r="CA116" s="72" t="str">
        <f>IF(COUNTIF(BK:BW,2202)&gt;0,COUNTIF(BK:BW,2202),"")</f>
        <v/>
      </c>
      <c r="CB116" s="72" t="str">
        <f>IF(CC116&lt;&gt;"","Houquan A","")</f>
        <v/>
      </c>
      <c r="CC116" s="64" t="str">
        <f>IF(COUNTIF(BK:BW,11202)&gt;0,COUNTIF(BK:BW,11202),"")</f>
        <v/>
      </c>
      <c r="CD116" s="64" t="str">
        <f>IF(CE116&lt;&gt;"","Houquan A","")</f>
        <v/>
      </c>
      <c r="CE116" s="64" t="str">
        <f>IF(COUNTIF(BK:BW,12202)&gt;0,COUNTIF(BK:BW,12202),"")</f>
        <v/>
      </c>
      <c r="CF116" s="52" t="str">
        <f xml:space="preserve"> IF(Atletas!V112="","",IF(Atletas!V112="Duilian de Mãos AB - Equipe 1",1,IF(Atletas!V112="Duilian de Mãos AB - Equipe 2",2,IF(Atletas!V112="Duilian de Armas AB - Equipe 1",3,IF(Atletas!V112="Duilian de Armas AB - Equipe 2",4,IF(Atletas!V112="Duilian de Tuishou - Equipe 1",5,IF(Atletas!V112="Duilian de Tuishou - Equipe 2",6,IF(Atletas!V112="Grupo Externo AB - Equipe 1",7,IF(Atletas!V112="Grupo Externo AB - Equipe 2",8,IF(Atletas!V112="Grupo Interno AB - Equipe 1",9,IF(Atletas!V112="Grupo Interno AB - Equipe 2",10,IF(Atletas!V112="Duilian de Mãos CD - Equipe 1",11,IF(Atletas!V112="Duilian de Mãos CD - Equipe 2",12,IF(Atletas!V112="Duilian de Armas CD - Equipe 1",13,IF(Atletas!V112="Duilian de Armas CD - Equipe 2",14,IF(Atletas!V112="Duilian de Tuishou - Equipe 1",15,IF(Atletas!V112="Duilian de Tuishou - Equipe 2",16,IF(Atletas!V112="Grupo Externo CDEF - Equipe 1",17,IF(Atletas!V112="Grupo Externo CDEF - Equipe 2",18,IF(Atletas!V112="Grupo Interno CDEF - Equipe 1",19,IF(Atletas!V112="Grupo Interno CDEF - Equipe 2",20,IF(Atletas!V112="Duilian de Mãos EF - Equipe 1",21,IF(Atletas!V112="Duilian de Mãos EF - Equipe 2",22,IF(Atletas!V112="Duilian de Armas EF - Equipe 1",23,IF(Atletas!V112="Duilian de Armas EF - Equipe 2",24,IF(Atletas!V112="Duilian de Tuishou - Equipe 1",25,IF(Atletas!V112="Duilian de Tuishou - Equipe 2",26,"")))))))))))))))))))))))))))</f>
        <v/>
      </c>
    </row>
    <row r="117" spans="2:84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 t="str">
        <f t="array" ref="V117">IFERROR(INDEX(BX$7:BX$336,SMALL(IF(BX$7:BX$336&lt;&gt;"",ROW(BX$7:BX$336)-ROW(BX$7)+1),ROWS(BX$7:BX116))),"")</f>
        <v/>
      </c>
      <c r="W117" s="4" t="str">
        <f t="array" ref="W117">IFERROR(INDEX(BY$7:BY$336,SMALL(IF(BY$7:BY$336&lt;&gt;"",ROW(BY$7:BY$336)-ROW(BY$7)+1),ROWS(BY$7:BY116))),"")</f>
        <v/>
      </c>
      <c r="X117" s="4" t="str">
        <f t="array" ref="X117">IFERROR(INDEX(BZ$7:BZ$336,SMALL(IF(BZ$7:BZ$336&lt;&gt;"",ROW(BZ$7:BZ$336)-ROW(BZ$7)+1),ROWS(BZ$7:BZ116))),"")</f>
        <v/>
      </c>
      <c r="Y117" s="4" t="str">
        <f t="array" ref="Y117">IFERROR(INDEX(CA$7:CA$336,SMALL(IF(CA$7:CA$336&lt;&gt;"",ROW(CA$7:CA$336)-ROW(CA$7)+1),ROWS(CA$7:CA116))),"")</f>
        <v/>
      </c>
      <c r="Z117" s="4" t="str">
        <f t="array" ref="Z117">IFERROR(INDEX(CB$7:CB$378,SMALL(IF(CB$7:CB$378&lt;&gt;"",ROW(CB$7:CB$378)-ROW(CB$7)+1),ROWS(CB$7:CB116))),"")</f>
        <v/>
      </c>
      <c r="AA117" s="4" t="str">
        <f t="array" ref="AA117">IFERROR(INDEX(CC$7:CC$378,SMALL(IF(CC$7:CC$378&lt;&gt;"",ROW(CC$7:CC$378)-ROW(CC$7)+1),ROWS(CC$7:CC116))),"")</f>
        <v/>
      </c>
      <c r="AB117" s="4" t="str">
        <f t="array" ref="AB117">IFERROR(INDEX(CD$7:CD$378,SMALL(IF(CD$7:CD$378&lt;&gt;"",ROW(CD$7:CD$378)-ROW(CD$7)+1),ROWS(CD$7:CD116))),"")</f>
        <v/>
      </c>
      <c r="AC117" s="4" t="str">
        <f t="array" ref="AC117">IFERROR(INDEX(CE$7:CE$378,SMALL(IF(CE$7:CE$378&lt;&gt;"",ROW(CE$7:CE$378)-ROW(CE$7)+1),ROWS(CE$7:CE116))),"")</f>
        <v/>
      </c>
      <c r="AD117" s="4"/>
      <c r="AE117" s="4"/>
      <c r="AF117" s="4"/>
      <c r="AG117" s="4"/>
      <c r="AH117" s="4"/>
      <c r="AI117" s="4"/>
      <c r="AJ117" s="46" t="str">
        <f>IF(Atletas!D113="","",IF(Atletas!B113="Feminino",100,IF(Atletas!B113="Masculino",200,""))+(IF(Atletas!D113="Infantil 39kg",1,IF(Atletas!D113="Infantil 42kg",2,IF(Atletas!D113="Infantil 45kg",3,IF(Atletas!D113="Infantil 48kg",4,IF(Atletas!D113="Infantil 52kg",5,IF(Atletas!D113="Infantil 56kg",6,IF(Atletas!D113="Infantil 60kg",7,IF(Atletas!D113="Juvenil 48kg",8,IF(Atletas!D113="Juvenil 52kg",9,IF(Atletas!D113="Juvenil 56kg",10,IF(Atletas!D113="Juvenil 60kg",11,IF(Atletas!D113="Juvenil 65kg",12,IF(Atletas!D113="Juvenil 70kg",13,IF(Atletas!D113="Juvenil 75kg",14,IF(Atletas!D113="Juvenil 80kg",15,IF(Atletas!D113="Adulto 48kg",16,IF(Atletas!D113="Adulto 52kg",17,IF(Atletas!D113="Adulto 56kg",18,IF(Atletas!D113="Adulto 60kg",19,IF(Atletas!D113="Adulto 65kg",20,IF(Atletas!D113="Adulto 70kg",21,IF(Atletas!D113="Adulto 75kg",22,IF(Atletas!D113="Adulto 80kg",23,IF(Atletas!D113="Adulto 85kg",24,IF(Atletas!D113="Adulto 90kg",25,IF(Atletas!D113="Adulto +90kg",26,""))))))))))))))))))))))))))))</f>
        <v/>
      </c>
      <c r="AO117" s="10" t="str">
        <f>IF(Atletas!E113="","",IF(Atletas!B113="Feminino",100,IF(Atletas!B113="Masculino",200,""))+(IF(Atletas!E113="Juvenil 44kg",1,IF(Atletas!E113="Juvenil 48kg",2,IF(Atletas!E113="Juvenil 52kg",3,IF(Atletas!E113="Juvenil 56kg",4,IF(Atletas!E113="Juvenil 60kg",5,IF(Atletas!E113="Juvenil 65kg",6,IF(Atletas!E113="Juvenil 70kg",7,IF(Atletas!E113="Juvenil 75kg",8,IF(Atletas!E113="Juvenil 82kg",9,IF(Atletas!E113="Juvenil 90kg",10,IF(Atletas!E113="Juvenil 100kg",11,IF(Atletas!E113="Adulto 48kg",12,IF(Atletas!E113="Adulto 52kg",13,IF(Atletas!E113="Adulto 56kg",14,IF(Atletas!E113="Adulto 60kg",15,IF(Atletas!E113="Adulto 65kg",16,IF(Atletas!E113="Adulto 70kg",17,IF(Atletas!E113="Adulto 75kg",18,IF(Atletas!E113="Adulto 82kg",19,IF(Atletas!E113="Adulto 90kg",20,IF(Atletas!E113="Adulto 100kg",21,IF(Atletas!E113="Adulto +100kg",22,""))))))))))))))))))))))))</f>
        <v/>
      </c>
      <c r="AT117" s="10" t="str">
        <f>IF(Atletas!F113="","",IF(Atletas!B113="Feminino",100,IF(Atletas!B113="Masculino",200,""))+(IF(Atletas!F113="Adulto 48kg",1,IF(Atletas!F113="Adulto 56kg",2,IF(Atletas!F113="Adulto 65kg",3,IF(Atletas!F113="Adulto 75kg",4,IF(Atletas!F113="Adulto +75kg",5,IF(Atletas!F113="Adulto 52kg",6,IF(Atletas!F113="Adulto 60kg",7,IF(Atletas!F113="Adulto 70kg",8,IF(Atletas!F113="Adulto 80kg",9,IF(Atletas!F113="Adulto 90kg",10,IF(Atletas!F113="Adulto +90kg",11,"")))))))))))))</f>
        <v/>
      </c>
      <c r="AY117" s="46" t="str">
        <f>IF(Atletas!G113="","",IF(Atletas!B113="Feminino",100,IF(Atletas!B113="Masculino",200,""))+(IF(Atletas!G113="Changquan Mirim",1,IF(Atletas!G113="Nanquan Mirim",2,IF(Atletas!G113="Taijiquan Mirim",3,IF(Atletas!G113="Changquan Grupo C",4,IF(Atletas!G113="Nanquan Grupo C",5,IF(Atletas!G113="Taijiquan Grupo C",6,IF(Atletas!G113="Changquan Grupo B",7,IF(Atletas!G113="Nanquan Grupo B",8,IF(Atletas!G113="Taijiquan Grupo B",9,IF(Atletas!G113="Changquan Grupo A",10,IF(Atletas!G113="Nanquan Grupo A",11,IF(Atletas!G113="Taijiquan Grupo A",12,IF(Atletas!G113="Changquan Opcional",13,IF(Atletas!G113="Nanquan Opcional",14,IF(Atletas!G113="Taijiquan Opcional",15,IF(Atletas!G113="Changquan Adulto",16,IF(Atletas!G113="Nanquan Adulto",17,IF(Atletas!G113="Taijiquan Adulto",18,""))))))))))))))))))))</f>
        <v/>
      </c>
      <c r="AZ117" s="46" t="str">
        <f>IF(Atletas!H113="","",IF(Atletas!B113="Feminino",100,IF(Atletas!B113="Masculino",200,""))+(IF(Atletas!H113="Daoshu Mirim",19,IF(Atletas!H113="Jianshu Mirim",20,IF(Atletas!H113="Nandao Mirim",21,IF(Atletas!H113="Taijijian Mirim",22,IF(Atletas!H113="Daoshu Grupo C",23,IF(Atletas!H113="Jianshu Grupo C",24,IF(Atletas!H113="Nandao Grupo C",25,IF(Atletas!H113="Taijijian Grupo C",26,IF(Atletas!H113="Daoshu Grupo B",27,IF(Atletas!H113="Jianshu Grupo B",28,IF(Atletas!H113="Nandao Grupo B",29,IF(Atletas!H113="Taijijian Grupo B",30,IF(Atletas!H113="Daoshu Grupo A",31,IF(Atletas!H113="Jianshu Grupo A",32,IF(Atletas!H113="Nandao Grupo A",33,IF(Atletas!H113="Taijijian Grupo A",34,IF(Atletas!H113="Daoshu Opcional",35,IF(Atletas!H113="Jianshu Opcional",36,IF(Atletas!H113="Nandao Opcional",37,IF(Atletas!H113="Taijijian Opcional",38,IF(Atletas!H113="Daoshu Adulto",39,IF(Atletas!H113="Jianshu Adulto",40,IF(Atletas!H113="Nandao Adulto",41,IF(Atletas!H113="Taijijian Adulto",42,""))))))))))))))))))))))))))</f>
        <v/>
      </c>
      <c r="BA117" s="46" t="str">
        <f>IF(Atletas!I113="","",IF(Atletas!B113="Feminino",100,IF(Atletas!B113="Masculino",200,""))+(IF(Atletas!I113="Gunshu Mirim",43,IF(Atletas!I113="Qiangshu Mirim",44,IF(Atletas!I113="Nangun Mirim",45,IF(Atletas!I113="Gunshu Grupo C",46,IF(Atletas!I113="Qiangshu Grupo C",47,IF(Atletas!I113="Nangun Grupo C",48,IF(Atletas!I113="Gunshu Grupo B",49,IF(Atletas!I113="Qiangshu Grupo B",50,IF(Atletas!I113="Nangun Grupo B",51,IF(Atletas!I113="Gunshu Grupo A",52,IF(Atletas!I113="Qiangshu Grupo A",53,IF(Atletas!I113="Nangun Grupo A",54,IF(Atletas!I113="Gunshu Opcional",55,IF(Atletas!I113="Qiangshu Opcional",56,IF(Atletas!I113="Nangun Opcional",57,IF(Atletas!I113="Gunshu Adulto",58,IF(Atletas!I113="Qiangshu Adulto",59,IF(Atletas!I113="Nangun Adulto",60,""))))))))))))))))))))</f>
        <v/>
      </c>
      <c r="BF117" s="52" t="str">
        <f>IF(Atletas!J113="","",IF(Atletas!B113="Feminino",100,IF(Atletas!B113="Masculino",200,""))+(IF(Atletas!J113="Equipe 1 Grupo B",1,IF(Atletas!J113="Equipe 2 Grupo B",2,IF(Atletas!J113="Equipe 1 Grupo A",3,IF(Atletas!J113="Equipe 2 Grupo A",4,IF(Atletas!J113="Equipe 1 Adulto",5,IF(Atletas!J113="Equipe 2 Adulto",6,""))))))))</f>
        <v/>
      </c>
      <c r="BK117" s="52" t="str">
        <f>IF(Atletas!K113="","",IF(Atletas!W113&lt;&gt;"",10000,0)+(IF(Atletas!B113="Feminino",1000,IF(Atletas!B113="Masculino",2000,""))+IF(Atletas!K113="Choylayfut A",1,IF(Atletas!K113="Hunggar A",2,IF(Atletas!K113="Wuzuquan A",3,IF(Atletas!K113="Wingchun A",4,IF(Atletas!K113="Outra Mão de Sul A",5,IF(Atletas!K113="Choylayfut B",6,IF(Atletas!K113="Hunggar B",7,IF(Atletas!K113="Wuzuquan B",8,IF(Atletas!K113="Wingchun B",9,IF(Atletas!K113="Outra Mão de Sul B",10,IF(Atletas!K113="Choylayfut C",11,IF(Atletas!K113="Hunggar C",12,IF(Atletas!K113="Wuzuquan C",13,IF(Atletas!K113="Wingchun C",14,IF(Atletas!K113="Outra Mão de Sul C",15,IF(Atletas!K113="Choylayfut D",16,IF(Atletas!K113="Hunggar D",17,IF(Atletas!K113="Wuzuquan D",18,IF(Atletas!K113="Wingchun D",19,IF(Atletas!K113="Outra Mão de Sul D",20,IF(Atletas!K113="Choylayfut E",21,IF(Atletas!K113="Hunggar E",22,IF(Atletas!K113="Wuzuquan E",23,IF(Atletas!K113="Wingchun E",24,IF(Atletas!K113="Outra Mão de Sul E",25,IF(Atletas!K113="Choylayfut F",26,IF(Atletas!K113="Hunggar F",27,IF(Atletas!K113="Wuzuquan F",28,IF(Atletas!K113="Wingchun F",29,IF(Atletas!K113="Outra Mão de Sul F",30,""))))))))))))))))))))))))))))))))</f>
        <v/>
      </c>
      <c r="BL117" s="52" t="str">
        <f>IF(Atletas!L113="","",IF(Atletas!W113&lt;&gt;"",10000,0)+(IF(Atletas!B113="Feminino",1000,IF(Atletas!B113="Masculino",2000,""))+(IF(Atletas!L113="Chaquan A",101,IF(Atletas!L113="Emeiquan A",102,IF(Atletas!L113="Fanziquan A",103,IF(Atletas!L113="Huaquan A",104,IF(Atletas!L113="Hongquan A",105,IF(Atletas!L113="Paochui A",106,IF(Atletas!L113="Piguaquan A",107,IF(Atletas!L113="Shaolinquan A",108,IF(Atletas!L113="Tanglangquan A",109,IF(Atletas!L113="Yinzhaophai A",110,IF(Atletas!L113="Tongbeiquan A",111,IF(Atletas!L113="Wudangquan A",112,IF(Atletas!L113="Outros Estilos A",113,IF(Atletas!L113="Chaquan B",114,IF(Atletas!L113="Emeiquan B",115,IF(Atletas!L113="Fanziquan B",116,IF(Atletas!L113="Huaquan B",117,IF(Atletas!L113="Hongquan B",118,IF(Atletas!L113="Paochui B",119,IF(Atletas!L113="Piguaquan B",120,IF(Atletas!L113="Shaolinquan B",121,IF(Atletas!L113="Tanglangquan B",122,IF(Atletas!L113="Yinzhaophai B",123,IF(Atletas!L113="Tongbeiquan B",124,IF(Atletas!L113="Wudangquan B",125,IF(Atletas!L113="Outros Estilos B",126,IF(Atletas!L113="Chaquan C",127,IF(Atletas!L113="Emeiquan C",128,IF(Atletas!L113="Fanziquan C",129,IF(Atletas!L113="Huaquan C",130,IF(Atletas!L113="Hongquan C",131,IF(Atletas!L113="Paochui C",132,IF(Atletas!L113="Piguaquan C",133,IF(Atletas!L113="Shaolinquan C",134,IF(Atletas!L113="Tanglangquan C",135,IF(Atletas!L113="Yinzhaophai C",136,IF(Atletas!L113="Tongbeiquan C",137,IF(Atletas!L113="Wudangquan C",138,IF(Atletas!L113="Outros Estilos C",139,0))))))))))))))))))))))))))))))))))))))))))</f>
        <v/>
      </c>
      <c r="BM117" s="52" t="str">
        <f>IF(Atletas!L113="","",IF(Atletas!W113&lt;&gt;"",10000,0)+(IF(Atletas!B113="Feminino",1000,IF(Atletas!B113="Masculino",2000,""))+(IF(Atletas!L113="Chaquan D",140,IF(Atletas!L113="Emeiquan D",141,IF(Atletas!L113="Fanziquan D",142,IF(Atletas!L113="Huaquan D",143,IF(Atletas!L113="Hongquan D",144,IF(Atletas!L113="Paochui D",145,IF(Atletas!L113="Piguaquan D",146,IF(Atletas!L113="Shaolinquan D",147,IF(Atletas!L113="Tanglangquan D",148,IF(Atletas!L113="Yinzhaophai D",149,IF(Atletas!L113="Tongbeiquan D",150,IF(Atletas!L113="Wudangquan D",151,IF(Atletas!L113="Outros Estilos D",152,IF(Atletas!L113="Chaquan E",153,IF(Atletas!L113="Emeiquan E",154,IF(Atletas!L113="Fanziquan E",155,IF(Atletas!L113="Huaquan E",156,IF(Atletas!L113="Hongquan E",157,IF(Atletas!L113="Paochui E",158,IF(Atletas!L113="Piguaquan E",159,IF(Atletas!L113="Shaolinquan E",160,IF(Atletas!L113="Tanglangquan E",161,IF(Atletas!L113="Yinzhaophai E",162,IF(Atletas!L113="Tongbeiquan E",163,IF(Atletas!L113="Wudangquan E",164,IF(Atletas!L113="Outros Estilos E",165,IF(Atletas!L113="Chaquan F",166,IF(Atletas!L113="Emeiquan F",167,IF(Atletas!L113="Fanziquan F",168,IF(Atletas!L113="Huaquan F",169,IF(Atletas!L113="Hongquan F",170,IF(Atletas!L113="Paochui F",171,IF(Atletas!L113="Piguaquan F",172,IF(Atletas!L113="Shaolinquan F",173,IF(Atletas!L113="Tanglangquan F",174,IF(Atletas!L113="Yinzhaophai F",175,IF(Atletas!L113="Tongbeiquan F",176,IF(Atletas!L113="Wudangquan F",177,IF(Atletas!L113="Outros Estilos F",178,0))))))))))))))))))))))))))))))))))))))))))</f>
        <v/>
      </c>
      <c r="BN117" s="52" t="str">
        <f>IF(Atletas!M113="","",IF(Atletas!W113&lt;&gt;"",10000,0)+(IF(Atletas!B113="Feminino",1000,IF(Atletas!B113="Masculino",2000,""))+(IF(Atletas!M113="Ditangquan A",201,IF(Atletas!M113="Houquan A",202,IF(Atletas!M113="Zuiquan A",203,IF(Atletas!M113="Ditangquan B",204,IF(Atletas!M113="Houquan B",205,IF(Atletas!M113="Zuiquan B",206,IF(Atletas!M113="Ditangquan C",207,IF(Atletas!M113="Houquan C",208,IF(Atletas!M113="Zuiquan C",209,IF(Atletas!M113="Ditangquan D",210,IF(Atletas!M113="Houquan D",211,IF(Atletas!M113="Zuiquan D",212,IF(Atletas!M113="Ditangquan E",213,IF(Atletas!M113="Houquan E",214,IF(Atletas!M113="Zuiquan E",215,IF(Atletas!M113="Ditangquan F",216,IF(Atletas!M113="Houquan F",217,IF(Atletas!M113="Zuiquan F",218,"")))))))))))))))))))))</f>
        <v/>
      </c>
      <c r="BO117" s="52" t="str">
        <f>IF(Atletas!N113="","",IF(Atletas!W113&lt;&gt;"",10000,0)+IF(Atletas!B113="Feminino",1000,IF(Atletas!B113="Masculino",2000,""))+IF(Atletas!N113="Yang A",301,IF(Atletas!N113="Chen A",30,IF(Atletas!N113="Sun A",303,IF(Atletas!N113="Wu A",304,IF(Atletas!N113="Wu-Hao A",305,IF(Atletas!N113="Outro Taijiquan A",306,IF(Atletas!N113="Yang B",307,IF(Atletas!N113="Chen B",308,IF(Atletas!N113="Sun B",309,IF(Atletas!N113="Wu B",310,IF(Atletas!N113="Wu-Hao B",311,IF(Atletas!N113="Outro Taijiquan B",312,IF(Atletas!N113="Yang C",313,IF(Atletas!N113="Chen C",314,IF(Atletas!N113="Sun C",315,IF(Atletas!N113="Wu C",316,IF(Atletas!N113="Wu-Hao C",317,IF(Atletas!N113="Outro Taijiquan C",318,IF(Atletas!N113="Yang D",319,IF(Atletas!N113="Chen D",320,IF(Atletas!N113="Sun D",321,IF(Atletas!N113="Wu D",322,IF(Atletas!N113="Wu-Hao D",323,IF(Atletas!N113="Outro Taijiquan D",324,IF(Atletas!N113="Yang E",325,IF(Atletas!N113="Chen E",326,IF(Atletas!N113="Sun E",327,IF(Atletas!N113="Wu E",328,IF(Atletas!N113="Wu-Hao E",329,IF(Atletas!N113="Outro Taijiquan E",330,IF(Atletas!N113="Yang F",331,IF(Atletas!N113="Chen F",332,IF(Atletas!N113="Sun F",333,IF(Atletas!N113="Wu F",334,IF(Atletas!N113="Wu-Hao F",335,IF(Atletas!N113="Outro Taijiquan F",336,"")))))))))))))))))))))))))))))))))))))</f>
        <v/>
      </c>
      <c r="BP117" s="52" t="str">
        <f>IF(Atletas!O113="","",IF(Atletas!W113&lt;&gt;"",10000,0)+IF(Atletas!B113="Feminino",1000,IF(Atletas!B113="Masculino",2000,""))+IF(OR(Atletas!O113="Yang 26 A",Atletas!O113="Yang 40 A"),401,IF(OR(Atletas!O113="Chen 25 A",Atletas!O113="Chen 36 A",Atletas!O113="Chen 56 A"),402,IF(Atletas!O113="Sun 73 A",403,IF(Atletas!O113="Wu 45 A",404,IF(Atletas!O113="Wu-Hao 46 A",405,IF(OR(Atletas!O113="Taijiquan 16 A",Atletas!O113="Taijiquan 24 A",Atletas!O113="Taijiquan 32 A",Atletas!O113="Taijiquan 42 A"),406,IF(OR(Atletas!O113="Yang 26 B",Atletas!O113="Yang 40 B"),407,IF(OR(Atletas!O113="Chen 25 B",Atletas!O113="Chen 36 B",Atletas!O113="Chen 56 B"),408,IF(Atletas!O113="Sun 73 B",409,IF(Atletas!O113="Wu 45 B",410,IF(Atletas!O113="Wu-Hao 46 B",411,IF(OR(Atletas!O113="Taijiquan 16 B",Atletas!O113="Taijiquan 24 B",Atletas!O113="Taijiquan 32 B",Atletas!O113="Taijiquan 42 B"),412,IF(OR(Atletas!O113="Yang 26 C",Atletas!O113="Yang 40 C"),413,IF(OR(Atletas!O113="Chen 25 C",Atletas!O113="Chen 36 C",Atletas!O113="Chen 56 C"),414,IF(Atletas!O113="Sun 73 C",415,IF(Atletas!O113="Wu 45 C",416,IF(Atletas!O113="Wu-Hao 46 C",417,IF(OR(Atletas!O113="Taijiquan 16 C",Atletas!O113="Taijiquan 24 C",Atletas!O113="Taijiquan 32 C",Atletas!O113="Taijiquan 42 C"),418,0)))))))))))))))))))</f>
        <v/>
      </c>
      <c r="BQ117" s="52" t="str">
        <f>IF(Atletas!O113="","",IF(Atletas!W113&lt;&gt;"",10000,0)+IF(Atletas!B113="Feminino",1000,IF(Atletas!B113="Masculino",2000,""))+IF(OR(Atletas!O113="Yang 26 D",Atletas!O113="Yang 40 D"),419,IF(OR(Atletas!O113="Chen 25 D",Atletas!O113="Chen 36 D",Atletas!O113="Chen 56 D"),420,IF(Atletas!O113="Sun 73 D",421,IF(Atletas!O113="Wu 45 D",422,IF(Atletas!O113="Wu-Hao 46 D",423,IF(OR(Atletas!O113="Taijiquan 16 D",Atletas!O113="Taijiquan 24 D",Atletas!O113="Taijiquan 32 D",Atletas!O113="Taijiquan 42 D"),424,IF(OR(Atletas!O113="Yang 26 E",Atletas!O113="Yang 40 E"),425,IF(OR(Atletas!O113="Chen 25 E",Atletas!O113="Chen 36 E",Atletas!O113="Chen 56 E"),426,IF(Atletas!O113="Sun 73 E",427,IF(Atletas!O113="Wu 45 E",428,IF(Atletas!O113="Wu-Hao 46 E",429,IF(OR(Atletas!O113="Taijiquan 16 E",Atletas!O113="Taijiquan 24 E",Atletas!O113="Taijiquan 32 E",Atletas!O113="Taijiquan 42 E"),430,IF(OR(Atletas!O113="Yang 26 F",Atletas!O113="Yang 40 F"),431,IF(OR(Atletas!O113="Chen 25 F",Atletas!O113="Chen 36 F",Atletas!O113="Chen 56 F"),432,IF(Atletas!O113="Sun 73 F",433,IF(Atletas!O113="Wu 45 F",434,IF(Atletas!O113="Wu-Hao 46 F",435,IF(OR(Atletas!O113="Taijiquan 16 F",Atletas!O113="Taijiquan 24 F",Atletas!O113="Taijiquan 32 F",Atletas!O113="Taijiquan 42 F"),436,0)))))))))))))))))))</f>
        <v/>
      </c>
      <c r="BR117" s="52" t="str">
        <f>IF(Atletas!P113="","",IF(Atletas!W113&lt;&gt;"",10000,0)+IF(Atletas!B113="Feminino",1000,IF(Atletas!B113="Masculino",2000,""))+IF(Atletas!P113="Xingyiquan A",501,IF(Atletas!P113="Baguazhang A",502,IF(Atletas!P113="Outro Estilo Interno A",503,IF(Atletas!P113="Xingyiquan B",504,IF(Atletas!P113="Baguazhang B",505,IF(Atletas!P113="Outro Estilo Interno B",506,IF(Atletas!P113="Xingyiquan C",507,IF(Atletas!P113="Baguazhang C",508,IF(Atletas!P113="Outro Estilo Interno C",509,IF(Atletas!P113="Xingyiquan D",510,IF(Atletas!P113="Baguazhang D",511,IF(Atletas!P113="Outro Estilo Interno D",512,IF(Atletas!P113="Xingyiquan E",513,IF(Atletas!P113="Baguazhang E",514,IF(Atletas!P113="Outro Estilo Interno E",515,IF(Atletas!P113="Xingyiquan F",516,IF(Atletas!P113="Baguazhang F",517,IF(Atletas!P113="Outro Estilo Interno F",518, "")))))))))))))))))))</f>
        <v/>
      </c>
      <c r="BS117" s="52" t="str">
        <f>IF(Atletas!Q113="","",IF(Atletas!W113&lt;&gt;"",10000,0)+IF(Atletas!B113="Feminino",1000,IF(Atletas!B113="Masculino",2000,""))+IF(Atletas!Q113="Dao A",601,IF(Atletas!Q113="Jian A",602,IF(Atletas!Q113="Bishou A",603,IF(Atletas!Q113="Shan A",604,IF(Atletas!Q113="Outra Arma Curta A",605,IF(Atletas!Q113="Dao B",606,IF(Atletas!Q113="Jian B",607,IF(Atletas!Q113="Bishou B",608,IF(Atletas!Q113="Shan B",609,IF(Atletas!Q113="Outra Arma Curta B",610,IF(Atletas!Q113="Dao C",611,IF(Atletas!Q113="Jian C",612,IF(Atletas!Q113="Bishou C",613,IF(Atletas!Q113="Shan C",614,IF(Atletas!Q113="Outra Arma Curta C",615,IF(Atletas!Q113="Dao D",616,IF(Atletas!Q113="Jian D",617,IF(Atletas!Q113="Bishou D",618,IF(Atletas!Q113="Shan D",619,IF(Atletas!Q113="Outra Arma Curta D",620,IF(Atletas!Q113="Dao E",621,IF(Atletas!Q113="Jian E",622,IF(Atletas!Q113="Bishou E",623,IF(Atletas!Q113="Shan E",624,IF(Atletas!Q113="Outra Arma Curta E",625,IF(Atletas!Q113="Dao F",626,IF(Atletas!Q113="Jian F",627,IF(Atletas!Q113="Bishou F",628,IF(Atletas!Q113="Shan F",629,IF(Atletas!Q113="Outra Arma Curta F",630, "")))))))))))))))))))))))))))))))</f>
        <v/>
      </c>
      <c r="BT117" s="52" t="str">
        <f>IF(Atletas!R113="","",IF(Atletas!W113&lt;&gt;"",10000,0)+IF(Atletas!B113="Feminino",1000,IF(Atletas!B113="Masculino",2000,""))+IF(Atletas!R113="Gun A",701,IF(Atletas!R113="Qiang A",702,IF(Atletas!R113="Pudao / Guandao A",703,IF(Atletas!R113="Outra Arma Longa A",704,IF(Atletas!R113="Gun B",705,IF(Atletas!R113="Qiang B",706,IF(Atletas!R113="Pudao / Guandao B",707,IF(Atletas!R113="Outra Arma Longa B",708,IF(Atletas!R113="Gun C",709,IF(Atletas!R113="Qiang C",710,IF(Atletas!R113="Pudao / Guandao C",711,IF(Atletas!R113="Outra Arma Longa C",712,IF(Atletas!R113="Gun D",713,IF(Atletas!R113="Qiang D",714,IF(Atletas!R113="Pudao / Guandao D",715,IF(Atletas!R113="Outra Arma Longa D",716,IF(Atletas!R113="Gun E",717,IF(Atletas!R113="Qiang E",718,IF(Atletas!R113="Pudao / Guandao E",719,IF(Atletas!R113="Outra Arma Longa E",720,IF(Atletas!R113="Gun F",721,IF(Atletas!R113="Qiang F",722,IF(Atletas!R113="Pudao / Guandao F",723,IF(Atletas!R113="Outra Arma Longa F",724,"")))))))))))))))))))))))))</f>
        <v/>
      </c>
      <c r="BU117" s="52" t="str">
        <f>IF(Atletas!S113="","",IF(Atletas!W113&lt;&gt;"",10000,0)+IF(Atletas!B113="Feminino",1000,IF(Atletas!B113="Masculino",2000,""))+IF(Atletas!S113="Arma Dupla A",801,IF(Atletas!S113="Arma Maleável A",802,IF(Atletas!S113="Arma Dupla B",803,IF(Atletas!S113="Arma Maleável B",804,IF(Atletas!S113="Arma Dupla C",805,IF(Atletas!S113="Arma Maleável C",806,IF(Atletas!S113="Arma Dupla D",807,IF(Atletas!S113="Arma Maleável D",808,IF(Atletas!S113="Arma Dupla E",809,IF(Atletas!S113="Arma Maleável E",810,IF(Atletas!S113="Arma Dupla F",811,IF(Atletas!S113="Arma Maleável F",812, "")))))))))))))</f>
        <v/>
      </c>
      <c r="BV117" s="52" t="str">
        <f>IF(Atletas!T113="","",IF(Atletas!W113&lt;&gt;"",10000,0)+IF(Atletas!B113="Feminino",1000,IF(Atletas!B113="Masculino",2000,""))+IF(Atletas!T113="Taijijian Yang A",901,IF(Atletas!T113="Taijijian Chen A",902,IF(Atletas!T113="Taijijian Sun A",903,IF(Atletas!T113="Taijijian Wu A",904,IF(Atletas!T113="Taijijian Wu-Hao A",905,IF(Atletas!T113="Taijijian 32 A",906,IF(Atletas!T113="Taijijian 42 A",907,IF(Atletas!T113="Taijijian Yang B",908,IF(Atletas!T113="Taijijian Chen B",909,IF(Atletas!T113="Taijijian Sun B",910,IF(Atletas!T113="Taijijian Wu B",911,IF(Atletas!T113="Taijijian Wu-Hao B",912,IF(Atletas!T113="Taijijian 32 B",913,IF(Atletas!T113="Taijijian 42 B",914,IF(Atletas!T113="Taijijian Yang C",915,IF(Atletas!T113="Taijijian Chen C",916,IF(Atletas!T113="Taijijian Sun C",917,IF(Atletas!T113="Taijijian Wu C",918,IF(Atletas!T113="Taijijian Wu-Hao C",919,IF(Atletas!T113="Taijijian 32 C",920,IF(Atletas!T113="Taijijian 42 C",921,IF(Atletas!T113="Taijijian Yang D",922,IF(Atletas!T113="Taijijian Chen D",923,IF(Atletas!T113="Taijijian Sun D",924,IF(Atletas!T113="Taijijian Wu D",925,IF(Atletas!T113="Taijijian Wu-Hao D",926,IF(Atletas!T113="Taijijian 32 D",927,IF(Atletas!T113="Taijijian 42 D",928,IF(Atletas!T113="Taijijian Yang E",929,IF(Atletas!T113="Taijijian Chen E",930,IF(Atletas!T113="Taijijian Sun E",931,IF(Atletas!T113="Taijijian Wu E",932,IF(Atletas!T113="Taijijian Wu-Hao E",933,IF(Atletas!T113="Taijijian 32 E",934,IF(Atletas!T113="Taijijian 42 E",935,IF(Atletas!T113="Taijijian Yang F",936,IF(Atletas!T113="Taijijian Chen F",937,IF(Atletas!T113="Taijijian Sun F",938,IF(Atletas!T113="Taijijian Wu F",939,IF(Atletas!T113="Taijijian Wu-Hao F",940,IF(Atletas!T113="Taijijian 32 F",941,IF(Atletas!T113="Taijijian 42 F",942,"")))))))))))))))))))))))))))))))))))))))))))</f>
        <v/>
      </c>
      <c r="BW117" s="52" t="str">
        <f>IF(Atletas!U113="","",IF(Atletas!W113&lt;&gt;"",10000,0)+IF(Atletas!B113="Feminino",1000,IF(Atletas!B113="Masculino",2000,""))+IF(Atletas!T113="Taijijian 42 F",942,IF(Atletas!U113="Taijidao A",943,IF(Atletas!U113="Taijishan A",944,IF(Atletas!U113="Taijiqiang A",945,IF(Atletas!U113="Taijidao B",946,IF(Atletas!U113="Taijishan B",947,IF(Atletas!U113="Taijiqiang B",948,IF(Atletas!U113="Taijidao C",949,IF(Atletas!U113="Taijishan C",950,IF(Atletas!U113="Taijiqiang C",951,IF(Atletas!U113="Taijidao D",952,IF(Atletas!U113="Taijishan D",953,IF(Atletas!U113="Taijiqiang D",954,IF(Atletas!U113="Taijidao E",955,IF(Atletas!U113="Taijishan E",956,IF(Atletas!U113="Taijiqiang E",957,IF(Atletas!U113="Taijidao F",958,IF(Atletas!U113="Taijishan F",959,IF(Atletas!U113="Taijiqiang F",960))))))))))))))))))))</f>
        <v/>
      </c>
      <c r="BX117" s="72" t="str">
        <f>IF(BY117&lt;&gt;"","Zuiquan A","")</f>
        <v/>
      </c>
      <c r="BY117" s="72" t="str">
        <f>IF(COUNTIF(BK:BW,1203)&gt;0,COUNTIF(BK:BW,1203),"")</f>
        <v/>
      </c>
      <c r="BZ117" s="72" t="str">
        <f>IF(CA117&lt;&gt;"","Zuiquan A","")</f>
        <v/>
      </c>
      <c r="CA117" s="72" t="str">
        <f>IF(COUNTIF(BK:BW,2203)&gt;0,COUNTIF(BK:BW,2203),"")</f>
        <v/>
      </c>
      <c r="CB117" s="72" t="str">
        <f>IF(CC117&lt;&gt;"","Zuiquan A","")</f>
        <v/>
      </c>
      <c r="CC117" s="64" t="str">
        <f>IF(COUNTIF(BK:BW,11203)&gt;0,COUNTIF(BK:BW,11203),"")</f>
        <v/>
      </c>
      <c r="CD117" s="64" t="str">
        <f>IF(CE117&lt;&gt;"","Zuiquan A","")</f>
        <v/>
      </c>
      <c r="CE117" s="64" t="str">
        <f>IF(COUNTIF(BK:BW,12203)&gt;0,COUNTIF(BK:BW,12203),"")</f>
        <v/>
      </c>
      <c r="CF117" s="52" t="str">
        <f xml:space="preserve"> IF(Atletas!V113="","",IF(Atletas!V113="Duilian de Mãos AB - Equipe 1",1,IF(Atletas!V113="Duilian de Mãos AB - Equipe 2",2,IF(Atletas!V113="Duilian de Armas AB - Equipe 1",3,IF(Atletas!V113="Duilian de Armas AB - Equipe 2",4,IF(Atletas!V113="Duilian de Tuishou - Equipe 1",5,IF(Atletas!V113="Duilian de Tuishou - Equipe 2",6,IF(Atletas!V113="Grupo Externo AB - Equipe 1",7,IF(Atletas!V113="Grupo Externo AB - Equipe 2",8,IF(Atletas!V113="Grupo Interno AB - Equipe 1",9,IF(Atletas!V113="Grupo Interno AB - Equipe 2",10,IF(Atletas!V113="Duilian de Mãos CD - Equipe 1",11,IF(Atletas!V113="Duilian de Mãos CD - Equipe 2",12,IF(Atletas!V113="Duilian de Armas CD - Equipe 1",13,IF(Atletas!V113="Duilian de Armas CD - Equipe 2",14,IF(Atletas!V113="Duilian de Tuishou - Equipe 1",15,IF(Atletas!V113="Duilian de Tuishou - Equipe 2",16,IF(Atletas!V113="Grupo Externo CDEF - Equipe 1",17,IF(Atletas!V113="Grupo Externo CDEF - Equipe 2",18,IF(Atletas!V113="Grupo Interno CDEF - Equipe 1",19,IF(Atletas!V113="Grupo Interno CDEF - Equipe 2",20,IF(Atletas!V113="Duilian de Mãos EF - Equipe 1",21,IF(Atletas!V113="Duilian de Mãos EF - Equipe 2",22,IF(Atletas!V113="Duilian de Armas EF - Equipe 1",23,IF(Atletas!V113="Duilian de Armas EF - Equipe 2",24,IF(Atletas!V113="Duilian de Tuishou - Equipe 1",25,IF(Atletas!V113="Duilian de Tuishou - Equipe 2",26,"")))))))))))))))))))))))))))</f>
        <v/>
      </c>
    </row>
    <row r="118" spans="2:84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 t="str">
        <f t="array" ref="V118">IFERROR(INDEX(BX$7:BX$336,SMALL(IF(BX$7:BX$336&lt;&gt;"",ROW(BX$7:BX$336)-ROW(BX$7)+1),ROWS(BX$7:BX117))),"")</f>
        <v/>
      </c>
      <c r="W118" s="4" t="str">
        <f t="array" ref="W118">IFERROR(INDEX(BY$7:BY$336,SMALL(IF(BY$7:BY$336&lt;&gt;"",ROW(BY$7:BY$336)-ROW(BY$7)+1),ROWS(BY$7:BY117))),"")</f>
        <v/>
      </c>
      <c r="X118" s="4" t="str">
        <f t="array" ref="X118">IFERROR(INDEX(BZ$7:BZ$336,SMALL(IF(BZ$7:BZ$336&lt;&gt;"",ROW(BZ$7:BZ$336)-ROW(BZ$7)+1),ROWS(BZ$7:BZ117))),"")</f>
        <v/>
      </c>
      <c r="Y118" s="4" t="str">
        <f t="array" ref="Y118">IFERROR(INDEX(CA$7:CA$336,SMALL(IF(CA$7:CA$336&lt;&gt;"",ROW(CA$7:CA$336)-ROW(CA$7)+1),ROWS(CA$7:CA117))),"")</f>
        <v/>
      </c>
      <c r="Z118" s="4" t="str">
        <f t="array" ref="Z118">IFERROR(INDEX(CB$7:CB$378,SMALL(IF(CB$7:CB$378&lt;&gt;"",ROW(CB$7:CB$378)-ROW(CB$7)+1),ROWS(CB$7:CB117))),"")</f>
        <v/>
      </c>
      <c r="AA118" s="4" t="str">
        <f t="array" ref="AA118">IFERROR(INDEX(CC$7:CC$378,SMALL(IF(CC$7:CC$378&lt;&gt;"",ROW(CC$7:CC$378)-ROW(CC$7)+1),ROWS(CC$7:CC117))),"")</f>
        <v/>
      </c>
      <c r="AB118" s="4" t="str">
        <f t="array" ref="AB118">IFERROR(INDEX(CD$7:CD$378,SMALL(IF(CD$7:CD$378&lt;&gt;"",ROW(CD$7:CD$378)-ROW(CD$7)+1),ROWS(CD$7:CD117))),"")</f>
        <v/>
      </c>
      <c r="AC118" s="4" t="str">
        <f t="array" ref="AC118">IFERROR(INDEX(CE$7:CE$378,SMALL(IF(CE$7:CE$378&lt;&gt;"",ROW(CE$7:CE$378)-ROW(CE$7)+1),ROWS(CE$7:CE117))),"")</f>
        <v/>
      </c>
      <c r="AD118" s="4"/>
      <c r="AE118" s="4"/>
      <c r="AF118" s="4"/>
      <c r="AG118" s="4"/>
      <c r="AH118" s="4"/>
      <c r="AI118" s="4"/>
      <c r="AJ118" s="46" t="str">
        <f>IF(Atletas!D114="","",IF(Atletas!B114="Feminino",100,IF(Atletas!B114="Masculino",200,""))+(IF(Atletas!D114="Infantil 39kg",1,IF(Atletas!D114="Infantil 42kg",2,IF(Atletas!D114="Infantil 45kg",3,IF(Atletas!D114="Infantil 48kg",4,IF(Atletas!D114="Infantil 52kg",5,IF(Atletas!D114="Infantil 56kg",6,IF(Atletas!D114="Infantil 60kg",7,IF(Atletas!D114="Juvenil 48kg",8,IF(Atletas!D114="Juvenil 52kg",9,IF(Atletas!D114="Juvenil 56kg",10,IF(Atletas!D114="Juvenil 60kg",11,IF(Atletas!D114="Juvenil 65kg",12,IF(Atletas!D114="Juvenil 70kg",13,IF(Atletas!D114="Juvenil 75kg",14,IF(Atletas!D114="Juvenil 80kg",15,IF(Atletas!D114="Adulto 48kg",16,IF(Atletas!D114="Adulto 52kg",17,IF(Atletas!D114="Adulto 56kg",18,IF(Atletas!D114="Adulto 60kg",19,IF(Atletas!D114="Adulto 65kg",20,IF(Atletas!D114="Adulto 70kg",21,IF(Atletas!D114="Adulto 75kg",22,IF(Atletas!D114="Adulto 80kg",23,IF(Atletas!D114="Adulto 85kg",24,IF(Atletas!D114="Adulto 90kg",25,IF(Atletas!D114="Adulto +90kg",26,""))))))))))))))))))))))))))))</f>
        <v/>
      </c>
      <c r="AO118" s="10" t="str">
        <f>IF(Atletas!E114="","",IF(Atletas!B114="Feminino",100,IF(Atletas!B114="Masculino",200,""))+(IF(Atletas!E114="Juvenil 44kg",1,IF(Atletas!E114="Juvenil 48kg",2,IF(Atletas!E114="Juvenil 52kg",3,IF(Atletas!E114="Juvenil 56kg",4,IF(Atletas!E114="Juvenil 60kg",5,IF(Atletas!E114="Juvenil 65kg",6,IF(Atletas!E114="Juvenil 70kg",7,IF(Atletas!E114="Juvenil 75kg",8,IF(Atletas!E114="Juvenil 82kg",9,IF(Atletas!E114="Juvenil 90kg",10,IF(Atletas!E114="Juvenil 100kg",11,IF(Atletas!E114="Adulto 48kg",12,IF(Atletas!E114="Adulto 52kg",13,IF(Atletas!E114="Adulto 56kg",14,IF(Atletas!E114="Adulto 60kg",15,IF(Atletas!E114="Adulto 65kg",16,IF(Atletas!E114="Adulto 70kg",17,IF(Atletas!E114="Adulto 75kg",18,IF(Atletas!E114="Adulto 82kg",19,IF(Atletas!E114="Adulto 90kg",20,IF(Atletas!E114="Adulto 100kg",21,IF(Atletas!E114="Adulto +100kg",22,""))))))))))))))))))))))))</f>
        <v/>
      </c>
      <c r="AT118" s="10" t="str">
        <f>IF(Atletas!F114="","",IF(Atletas!B114="Feminino",100,IF(Atletas!B114="Masculino",200,""))+(IF(Atletas!F114="Adulto 48kg",1,IF(Atletas!F114="Adulto 56kg",2,IF(Atletas!F114="Adulto 65kg",3,IF(Atletas!F114="Adulto 75kg",4,IF(Atletas!F114="Adulto +75kg",5,IF(Atletas!F114="Adulto 52kg",6,IF(Atletas!F114="Adulto 60kg",7,IF(Atletas!F114="Adulto 70kg",8,IF(Atletas!F114="Adulto 80kg",9,IF(Atletas!F114="Adulto 90kg",10,IF(Atletas!F114="Adulto +90kg",11,"")))))))))))))</f>
        <v/>
      </c>
      <c r="AY118" s="46" t="str">
        <f>IF(Atletas!G114="","",IF(Atletas!B114="Feminino",100,IF(Atletas!B114="Masculino",200,""))+(IF(Atletas!G114="Changquan Mirim",1,IF(Atletas!G114="Nanquan Mirim",2,IF(Atletas!G114="Taijiquan Mirim",3,IF(Atletas!G114="Changquan Grupo C",4,IF(Atletas!G114="Nanquan Grupo C",5,IF(Atletas!G114="Taijiquan Grupo C",6,IF(Atletas!G114="Changquan Grupo B",7,IF(Atletas!G114="Nanquan Grupo B",8,IF(Atletas!G114="Taijiquan Grupo B",9,IF(Atletas!G114="Changquan Grupo A",10,IF(Atletas!G114="Nanquan Grupo A",11,IF(Atletas!G114="Taijiquan Grupo A",12,IF(Atletas!G114="Changquan Opcional",13,IF(Atletas!G114="Nanquan Opcional",14,IF(Atletas!G114="Taijiquan Opcional",15,IF(Atletas!G114="Changquan Adulto",16,IF(Atletas!G114="Nanquan Adulto",17,IF(Atletas!G114="Taijiquan Adulto",18,""))))))))))))))))))))</f>
        <v/>
      </c>
      <c r="AZ118" s="46" t="str">
        <f>IF(Atletas!H114="","",IF(Atletas!B114="Feminino",100,IF(Atletas!B114="Masculino",200,""))+(IF(Atletas!H114="Daoshu Mirim",19,IF(Atletas!H114="Jianshu Mirim",20,IF(Atletas!H114="Nandao Mirim",21,IF(Atletas!H114="Taijijian Mirim",22,IF(Atletas!H114="Daoshu Grupo C",23,IF(Atletas!H114="Jianshu Grupo C",24,IF(Atletas!H114="Nandao Grupo C",25,IF(Atletas!H114="Taijijian Grupo C",26,IF(Atletas!H114="Daoshu Grupo B",27,IF(Atletas!H114="Jianshu Grupo B",28,IF(Atletas!H114="Nandao Grupo B",29,IF(Atletas!H114="Taijijian Grupo B",30,IF(Atletas!H114="Daoshu Grupo A",31,IF(Atletas!H114="Jianshu Grupo A",32,IF(Atletas!H114="Nandao Grupo A",33,IF(Atletas!H114="Taijijian Grupo A",34,IF(Atletas!H114="Daoshu Opcional",35,IF(Atletas!H114="Jianshu Opcional",36,IF(Atletas!H114="Nandao Opcional",37,IF(Atletas!H114="Taijijian Opcional",38,IF(Atletas!H114="Daoshu Adulto",39,IF(Atletas!H114="Jianshu Adulto",40,IF(Atletas!H114="Nandao Adulto",41,IF(Atletas!H114="Taijijian Adulto",42,""))))))))))))))))))))))))))</f>
        <v/>
      </c>
      <c r="BA118" s="46" t="str">
        <f>IF(Atletas!I114="","",IF(Atletas!B114="Feminino",100,IF(Atletas!B114="Masculino",200,""))+(IF(Atletas!I114="Gunshu Mirim",43,IF(Atletas!I114="Qiangshu Mirim",44,IF(Atletas!I114="Nangun Mirim",45,IF(Atletas!I114="Gunshu Grupo C",46,IF(Atletas!I114="Qiangshu Grupo C",47,IF(Atletas!I114="Nangun Grupo C",48,IF(Atletas!I114="Gunshu Grupo B",49,IF(Atletas!I114="Qiangshu Grupo B",50,IF(Atletas!I114="Nangun Grupo B",51,IF(Atletas!I114="Gunshu Grupo A",52,IF(Atletas!I114="Qiangshu Grupo A",53,IF(Atletas!I114="Nangun Grupo A",54,IF(Atletas!I114="Gunshu Opcional",55,IF(Atletas!I114="Qiangshu Opcional",56,IF(Atletas!I114="Nangun Opcional",57,IF(Atletas!I114="Gunshu Adulto",58,IF(Atletas!I114="Qiangshu Adulto",59,IF(Atletas!I114="Nangun Adulto",60,""))))))))))))))))))))</f>
        <v/>
      </c>
      <c r="BF118" s="52" t="str">
        <f>IF(Atletas!J114="","",IF(Atletas!B114="Feminino",100,IF(Atletas!B114="Masculino",200,""))+(IF(Atletas!J114="Equipe 1 Grupo B",1,IF(Atletas!J114="Equipe 2 Grupo B",2,IF(Atletas!J114="Equipe 1 Grupo A",3,IF(Atletas!J114="Equipe 2 Grupo A",4,IF(Atletas!J114="Equipe 1 Adulto",5,IF(Atletas!J114="Equipe 2 Adulto",6,""))))))))</f>
        <v/>
      </c>
      <c r="BK118" s="52" t="str">
        <f>IF(Atletas!K114="","",IF(Atletas!W114&lt;&gt;"",10000,0)+(IF(Atletas!B114="Feminino",1000,IF(Atletas!B114="Masculino",2000,""))+IF(Atletas!K114="Choylayfut A",1,IF(Atletas!K114="Hunggar A",2,IF(Atletas!K114="Wuzuquan A",3,IF(Atletas!K114="Wingchun A",4,IF(Atletas!K114="Outra Mão de Sul A",5,IF(Atletas!K114="Choylayfut B",6,IF(Atletas!K114="Hunggar B",7,IF(Atletas!K114="Wuzuquan B",8,IF(Atletas!K114="Wingchun B",9,IF(Atletas!K114="Outra Mão de Sul B",10,IF(Atletas!K114="Choylayfut C",11,IF(Atletas!K114="Hunggar C",12,IF(Atletas!K114="Wuzuquan C",13,IF(Atletas!K114="Wingchun C",14,IF(Atletas!K114="Outra Mão de Sul C",15,IF(Atletas!K114="Choylayfut D",16,IF(Atletas!K114="Hunggar D",17,IF(Atletas!K114="Wuzuquan D",18,IF(Atletas!K114="Wingchun D",19,IF(Atletas!K114="Outra Mão de Sul D",20,IF(Atletas!K114="Choylayfut E",21,IF(Atletas!K114="Hunggar E",22,IF(Atletas!K114="Wuzuquan E",23,IF(Atletas!K114="Wingchun E",24,IF(Atletas!K114="Outra Mão de Sul E",25,IF(Atletas!K114="Choylayfut F",26,IF(Atletas!K114="Hunggar F",27,IF(Atletas!K114="Wuzuquan F",28,IF(Atletas!K114="Wingchun F",29,IF(Atletas!K114="Outra Mão de Sul F",30,""))))))))))))))))))))))))))))))))</f>
        <v/>
      </c>
      <c r="BL118" s="52" t="str">
        <f>IF(Atletas!L114="","",IF(Atletas!W114&lt;&gt;"",10000,0)+(IF(Atletas!B114="Feminino",1000,IF(Atletas!B114="Masculino",2000,""))+(IF(Atletas!L114="Chaquan A",101,IF(Atletas!L114="Emeiquan A",102,IF(Atletas!L114="Fanziquan A",103,IF(Atletas!L114="Huaquan A",104,IF(Atletas!L114="Hongquan A",105,IF(Atletas!L114="Paochui A",106,IF(Atletas!L114="Piguaquan A",107,IF(Atletas!L114="Shaolinquan A",108,IF(Atletas!L114="Tanglangquan A",109,IF(Atletas!L114="Yinzhaophai A",110,IF(Atletas!L114="Tongbeiquan A",111,IF(Atletas!L114="Wudangquan A",112,IF(Atletas!L114="Outros Estilos A",113,IF(Atletas!L114="Chaquan B",114,IF(Atletas!L114="Emeiquan B",115,IF(Atletas!L114="Fanziquan B",116,IF(Atletas!L114="Huaquan B",117,IF(Atletas!L114="Hongquan B",118,IF(Atletas!L114="Paochui B",119,IF(Atletas!L114="Piguaquan B",120,IF(Atletas!L114="Shaolinquan B",121,IF(Atletas!L114="Tanglangquan B",122,IF(Atletas!L114="Yinzhaophai B",123,IF(Atletas!L114="Tongbeiquan B",124,IF(Atletas!L114="Wudangquan B",125,IF(Atletas!L114="Outros Estilos B",126,IF(Atletas!L114="Chaquan C",127,IF(Atletas!L114="Emeiquan C",128,IF(Atletas!L114="Fanziquan C",129,IF(Atletas!L114="Huaquan C",130,IF(Atletas!L114="Hongquan C",131,IF(Atletas!L114="Paochui C",132,IF(Atletas!L114="Piguaquan C",133,IF(Atletas!L114="Shaolinquan C",134,IF(Atletas!L114="Tanglangquan C",135,IF(Atletas!L114="Yinzhaophai C",136,IF(Atletas!L114="Tongbeiquan C",137,IF(Atletas!L114="Wudangquan C",138,IF(Atletas!L114="Outros Estilos C",139,0))))))))))))))))))))))))))))))))))))))))))</f>
        <v/>
      </c>
      <c r="BM118" s="52" t="str">
        <f>IF(Atletas!L114="","",IF(Atletas!W114&lt;&gt;"",10000,0)+(IF(Atletas!B114="Feminino",1000,IF(Atletas!B114="Masculino",2000,""))+(IF(Atletas!L114="Chaquan D",140,IF(Atletas!L114="Emeiquan D",141,IF(Atletas!L114="Fanziquan D",142,IF(Atletas!L114="Huaquan D",143,IF(Atletas!L114="Hongquan D",144,IF(Atletas!L114="Paochui D",145,IF(Atletas!L114="Piguaquan D",146,IF(Atletas!L114="Shaolinquan D",147,IF(Atletas!L114="Tanglangquan D",148,IF(Atletas!L114="Yinzhaophai D",149,IF(Atletas!L114="Tongbeiquan D",150,IF(Atletas!L114="Wudangquan D",151,IF(Atletas!L114="Outros Estilos D",152,IF(Atletas!L114="Chaquan E",153,IF(Atletas!L114="Emeiquan E",154,IF(Atletas!L114="Fanziquan E",155,IF(Atletas!L114="Huaquan E",156,IF(Atletas!L114="Hongquan E",157,IF(Atletas!L114="Paochui E",158,IF(Atletas!L114="Piguaquan E",159,IF(Atletas!L114="Shaolinquan E",160,IF(Atletas!L114="Tanglangquan E",161,IF(Atletas!L114="Yinzhaophai E",162,IF(Atletas!L114="Tongbeiquan E",163,IF(Atletas!L114="Wudangquan E",164,IF(Atletas!L114="Outros Estilos E",165,IF(Atletas!L114="Chaquan F",166,IF(Atletas!L114="Emeiquan F",167,IF(Atletas!L114="Fanziquan F",168,IF(Atletas!L114="Huaquan F",169,IF(Atletas!L114="Hongquan F",170,IF(Atletas!L114="Paochui F",171,IF(Atletas!L114="Piguaquan F",172,IF(Atletas!L114="Shaolinquan F",173,IF(Atletas!L114="Tanglangquan F",174,IF(Atletas!L114="Yinzhaophai F",175,IF(Atletas!L114="Tongbeiquan F",176,IF(Atletas!L114="Wudangquan F",177,IF(Atletas!L114="Outros Estilos F",178,0))))))))))))))))))))))))))))))))))))))))))</f>
        <v/>
      </c>
      <c r="BN118" s="52" t="str">
        <f>IF(Atletas!M114="","",IF(Atletas!W114&lt;&gt;"",10000,0)+(IF(Atletas!B114="Feminino",1000,IF(Atletas!B114="Masculino",2000,""))+(IF(Atletas!M114="Ditangquan A",201,IF(Atletas!M114="Houquan A",202,IF(Atletas!M114="Zuiquan A",203,IF(Atletas!M114="Ditangquan B",204,IF(Atletas!M114="Houquan B",205,IF(Atletas!M114="Zuiquan B",206,IF(Atletas!M114="Ditangquan C",207,IF(Atletas!M114="Houquan C",208,IF(Atletas!M114="Zuiquan C",209,IF(Atletas!M114="Ditangquan D",210,IF(Atletas!M114="Houquan D",211,IF(Atletas!M114="Zuiquan D",212,IF(Atletas!M114="Ditangquan E",213,IF(Atletas!M114="Houquan E",214,IF(Atletas!M114="Zuiquan E",215,IF(Atletas!M114="Ditangquan F",216,IF(Atletas!M114="Houquan F",217,IF(Atletas!M114="Zuiquan F",218,"")))))))))))))))))))))</f>
        <v/>
      </c>
      <c r="BO118" s="52" t="str">
        <f>IF(Atletas!N114="","",IF(Atletas!W114&lt;&gt;"",10000,0)+IF(Atletas!B114="Feminino",1000,IF(Atletas!B114="Masculino",2000,""))+IF(Atletas!N114="Yang A",301,IF(Atletas!N114="Chen A",30,IF(Atletas!N114="Sun A",303,IF(Atletas!N114="Wu A",304,IF(Atletas!N114="Wu-Hao A",305,IF(Atletas!N114="Outro Taijiquan A",306,IF(Atletas!N114="Yang B",307,IF(Atletas!N114="Chen B",308,IF(Atletas!N114="Sun B",309,IF(Atletas!N114="Wu B",310,IF(Atletas!N114="Wu-Hao B",311,IF(Atletas!N114="Outro Taijiquan B",312,IF(Atletas!N114="Yang C",313,IF(Atletas!N114="Chen C",314,IF(Atletas!N114="Sun C",315,IF(Atletas!N114="Wu C",316,IF(Atletas!N114="Wu-Hao C",317,IF(Atletas!N114="Outro Taijiquan C",318,IF(Atletas!N114="Yang D",319,IF(Atletas!N114="Chen D",320,IF(Atletas!N114="Sun D",321,IF(Atletas!N114="Wu D",322,IF(Atletas!N114="Wu-Hao D",323,IF(Atletas!N114="Outro Taijiquan D",324,IF(Atletas!N114="Yang E",325,IF(Atletas!N114="Chen E",326,IF(Atletas!N114="Sun E",327,IF(Atletas!N114="Wu E",328,IF(Atletas!N114="Wu-Hao E",329,IF(Atletas!N114="Outro Taijiquan E",330,IF(Atletas!N114="Yang F",331,IF(Atletas!N114="Chen F",332,IF(Atletas!N114="Sun F",333,IF(Atletas!N114="Wu F",334,IF(Atletas!N114="Wu-Hao F",335,IF(Atletas!N114="Outro Taijiquan F",336,"")))))))))))))))))))))))))))))))))))))</f>
        <v/>
      </c>
      <c r="BP118" s="52" t="str">
        <f>IF(Atletas!O114="","",IF(Atletas!W114&lt;&gt;"",10000,0)+IF(Atletas!B114="Feminino",1000,IF(Atletas!B114="Masculino",2000,""))+IF(OR(Atletas!O114="Yang 26 A",Atletas!O114="Yang 40 A"),401,IF(OR(Atletas!O114="Chen 25 A",Atletas!O114="Chen 36 A",Atletas!O114="Chen 56 A"),402,IF(Atletas!O114="Sun 73 A",403,IF(Atletas!O114="Wu 45 A",404,IF(Atletas!O114="Wu-Hao 46 A",405,IF(OR(Atletas!O114="Taijiquan 16 A",Atletas!O114="Taijiquan 24 A",Atletas!O114="Taijiquan 32 A",Atletas!O114="Taijiquan 42 A"),406,IF(OR(Atletas!O114="Yang 26 B",Atletas!O114="Yang 40 B"),407,IF(OR(Atletas!O114="Chen 25 B",Atletas!O114="Chen 36 B",Atletas!O114="Chen 56 B"),408,IF(Atletas!O114="Sun 73 B",409,IF(Atletas!O114="Wu 45 B",410,IF(Atletas!O114="Wu-Hao 46 B",411,IF(OR(Atletas!O114="Taijiquan 16 B",Atletas!O114="Taijiquan 24 B",Atletas!O114="Taijiquan 32 B",Atletas!O114="Taijiquan 42 B"),412,IF(OR(Atletas!O114="Yang 26 C",Atletas!O114="Yang 40 C"),413,IF(OR(Atletas!O114="Chen 25 C",Atletas!O114="Chen 36 C",Atletas!O114="Chen 56 C"),414,IF(Atletas!O114="Sun 73 C",415,IF(Atletas!O114="Wu 45 C",416,IF(Atletas!O114="Wu-Hao 46 C",417,IF(OR(Atletas!O114="Taijiquan 16 C",Atletas!O114="Taijiquan 24 C",Atletas!O114="Taijiquan 32 C",Atletas!O114="Taijiquan 42 C"),418,0)))))))))))))))))))</f>
        <v/>
      </c>
      <c r="BQ118" s="52" t="str">
        <f>IF(Atletas!O114="","",IF(Atletas!W114&lt;&gt;"",10000,0)+IF(Atletas!B114="Feminino",1000,IF(Atletas!B114="Masculino",2000,""))+IF(OR(Atletas!O114="Yang 26 D",Atletas!O114="Yang 40 D"),419,IF(OR(Atletas!O114="Chen 25 D",Atletas!O114="Chen 36 D",Atletas!O114="Chen 56 D"),420,IF(Atletas!O114="Sun 73 D",421,IF(Atletas!O114="Wu 45 D",422,IF(Atletas!O114="Wu-Hao 46 D",423,IF(OR(Atletas!O114="Taijiquan 16 D",Atletas!O114="Taijiquan 24 D",Atletas!O114="Taijiquan 32 D",Atletas!O114="Taijiquan 42 D"),424,IF(OR(Atletas!O114="Yang 26 E",Atletas!O114="Yang 40 E"),425,IF(OR(Atletas!O114="Chen 25 E",Atletas!O114="Chen 36 E",Atletas!O114="Chen 56 E"),426,IF(Atletas!O114="Sun 73 E",427,IF(Atletas!O114="Wu 45 E",428,IF(Atletas!O114="Wu-Hao 46 E",429,IF(OR(Atletas!O114="Taijiquan 16 E",Atletas!O114="Taijiquan 24 E",Atletas!O114="Taijiquan 32 E",Atletas!O114="Taijiquan 42 E"),430,IF(OR(Atletas!O114="Yang 26 F",Atletas!O114="Yang 40 F"),431,IF(OR(Atletas!O114="Chen 25 F",Atletas!O114="Chen 36 F",Atletas!O114="Chen 56 F"),432,IF(Atletas!O114="Sun 73 F",433,IF(Atletas!O114="Wu 45 F",434,IF(Atletas!O114="Wu-Hao 46 F",435,IF(OR(Atletas!O114="Taijiquan 16 F",Atletas!O114="Taijiquan 24 F",Atletas!O114="Taijiquan 32 F",Atletas!O114="Taijiquan 42 F"),436,0)))))))))))))))))))</f>
        <v/>
      </c>
      <c r="BR118" s="52" t="str">
        <f>IF(Atletas!P114="","",IF(Atletas!W114&lt;&gt;"",10000,0)+IF(Atletas!B114="Feminino",1000,IF(Atletas!B114="Masculino",2000,""))+IF(Atletas!P114="Xingyiquan A",501,IF(Atletas!P114="Baguazhang A",502,IF(Atletas!P114="Outro Estilo Interno A",503,IF(Atletas!P114="Xingyiquan B",504,IF(Atletas!P114="Baguazhang B",505,IF(Atletas!P114="Outro Estilo Interno B",506,IF(Atletas!P114="Xingyiquan C",507,IF(Atletas!P114="Baguazhang C",508,IF(Atletas!P114="Outro Estilo Interno C",509,IF(Atletas!P114="Xingyiquan D",510,IF(Atletas!P114="Baguazhang D",511,IF(Atletas!P114="Outro Estilo Interno D",512,IF(Atletas!P114="Xingyiquan E",513,IF(Atletas!P114="Baguazhang E",514,IF(Atletas!P114="Outro Estilo Interno E",515,IF(Atletas!P114="Xingyiquan F",516,IF(Atletas!P114="Baguazhang F",517,IF(Atletas!P114="Outro Estilo Interno F",518, "")))))))))))))))))))</f>
        <v/>
      </c>
      <c r="BS118" s="52" t="str">
        <f>IF(Atletas!Q114="","",IF(Atletas!W114&lt;&gt;"",10000,0)+IF(Atletas!B114="Feminino",1000,IF(Atletas!B114="Masculino",2000,""))+IF(Atletas!Q114="Dao A",601,IF(Atletas!Q114="Jian A",602,IF(Atletas!Q114="Bishou A",603,IF(Atletas!Q114="Shan A",604,IF(Atletas!Q114="Outra Arma Curta A",605,IF(Atletas!Q114="Dao B",606,IF(Atletas!Q114="Jian B",607,IF(Atletas!Q114="Bishou B",608,IF(Atletas!Q114="Shan B",609,IF(Atletas!Q114="Outra Arma Curta B",610,IF(Atletas!Q114="Dao C",611,IF(Atletas!Q114="Jian C",612,IF(Atletas!Q114="Bishou C",613,IF(Atletas!Q114="Shan C",614,IF(Atletas!Q114="Outra Arma Curta C",615,IF(Atletas!Q114="Dao D",616,IF(Atletas!Q114="Jian D",617,IF(Atletas!Q114="Bishou D",618,IF(Atletas!Q114="Shan D",619,IF(Atletas!Q114="Outra Arma Curta D",620,IF(Atletas!Q114="Dao E",621,IF(Atletas!Q114="Jian E",622,IF(Atletas!Q114="Bishou E",623,IF(Atletas!Q114="Shan E",624,IF(Atletas!Q114="Outra Arma Curta E",625,IF(Atletas!Q114="Dao F",626,IF(Atletas!Q114="Jian F",627,IF(Atletas!Q114="Bishou F",628,IF(Atletas!Q114="Shan F",629,IF(Atletas!Q114="Outra Arma Curta F",630, "")))))))))))))))))))))))))))))))</f>
        <v/>
      </c>
      <c r="BT118" s="52" t="str">
        <f>IF(Atletas!R114="","",IF(Atletas!W114&lt;&gt;"",10000,0)+IF(Atletas!B114="Feminino",1000,IF(Atletas!B114="Masculino",2000,""))+IF(Atletas!R114="Gun A",701,IF(Atletas!R114="Qiang A",702,IF(Atletas!R114="Pudao / Guandao A",703,IF(Atletas!R114="Outra Arma Longa A",704,IF(Atletas!R114="Gun B",705,IF(Atletas!R114="Qiang B",706,IF(Atletas!R114="Pudao / Guandao B",707,IF(Atletas!R114="Outra Arma Longa B",708,IF(Atletas!R114="Gun C",709,IF(Atletas!R114="Qiang C",710,IF(Atletas!R114="Pudao / Guandao C",711,IF(Atletas!R114="Outra Arma Longa C",712,IF(Atletas!R114="Gun D",713,IF(Atletas!R114="Qiang D",714,IF(Atletas!R114="Pudao / Guandao D",715,IF(Atletas!R114="Outra Arma Longa D",716,IF(Atletas!R114="Gun E",717,IF(Atletas!R114="Qiang E",718,IF(Atletas!R114="Pudao / Guandao E",719,IF(Atletas!R114="Outra Arma Longa E",720,IF(Atletas!R114="Gun F",721,IF(Atletas!R114="Qiang F",722,IF(Atletas!R114="Pudao / Guandao F",723,IF(Atletas!R114="Outra Arma Longa F",724,"")))))))))))))))))))))))))</f>
        <v/>
      </c>
      <c r="BU118" s="52" t="str">
        <f>IF(Atletas!S114="","",IF(Atletas!W114&lt;&gt;"",10000,0)+IF(Atletas!B114="Feminino",1000,IF(Atletas!B114="Masculino",2000,""))+IF(Atletas!S114="Arma Dupla A",801,IF(Atletas!S114="Arma Maleável A",802,IF(Atletas!S114="Arma Dupla B",803,IF(Atletas!S114="Arma Maleável B",804,IF(Atletas!S114="Arma Dupla C",805,IF(Atletas!S114="Arma Maleável C",806,IF(Atletas!S114="Arma Dupla D",807,IF(Atletas!S114="Arma Maleável D",808,IF(Atletas!S114="Arma Dupla E",809,IF(Atletas!S114="Arma Maleável E",810,IF(Atletas!S114="Arma Dupla F",811,IF(Atletas!S114="Arma Maleável F",812, "")))))))))))))</f>
        <v/>
      </c>
      <c r="BV118" s="52" t="str">
        <f>IF(Atletas!T114="","",IF(Atletas!W114&lt;&gt;"",10000,0)+IF(Atletas!B114="Feminino",1000,IF(Atletas!B114="Masculino",2000,""))+IF(Atletas!T114="Taijijian Yang A",901,IF(Atletas!T114="Taijijian Chen A",902,IF(Atletas!T114="Taijijian Sun A",903,IF(Atletas!T114="Taijijian Wu A",904,IF(Atletas!T114="Taijijian Wu-Hao A",905,IF(Atletas!T114="Taijijian 32 A",906,IF(Atletas!T114="Taijijian 42 A",907,IF(Atletas!T114="Taijijian Yang B",908,IF(Atletas!T114="Taijijian Chen B",909,IF(Atletas!T114="Taijijian Sun B",910,IF(Atletas!T114="Taijijian Wu B",911,IF(Atletas!T114="Taijijian Wu-Hao B",912,IF(Atletas!T114="Taijijian 32 B",913,IF(Atletas!T114="Taijijian 42 B",914,IF(Atletas!T114="Taijijian Yang C",915,IF(Atletas!T114="Taijijian Chen C",916,IF(Atletas!T114="Taijijian Sun C",917,IF(Atletas!T114="Taijijian Wu C",918,IF(Atletas!T114="Taijijian Wu-Hao C",919,IF(Atletas!T114="Taijijian 32 C",920,IF(Atletas!T114="Taijijian 42 C",921,IF(Atletas!T114="Taijijian Yang D",922,IF(Atletas!T114="Taijijian Chen D",923,IF(Atletas!T114="Taijijian Sun D",924,IF(Atletas!T114="Taijijian Wu D",925,IF(Atletas!T114="Taijijian Wu-Hao D",926,IF(Atletas!T114="Taijijian 32 D",927,IF(Atletas!T114="Taijijian 42 D",928,IF(Atletas!T114="Taijijian Yang E",929,IF(Atletas!T114="Taijijian Chen E",930,IF(Atletas!T114="Taijijian Sun E",931,IF(Atletas!T114="Taijijian Wu E",932,IF(Atletas!T114="Taijijian Wu-Hao E",933,IF(Atletas!T114="Taijijian 32 E",934,IF(Atletas!T114="Taijijian 42 E",935,IF(Atletas!T114="Taijijian Yang F",936,IF(Atletas!T114="Taijijian Chen F",937,IF(Atletas!T114="Taijijian Sun F",938,IF(Atletas!T114="Taijijian Wu F",939,IF(Atletas!T114="Taijijian Wu-Hao F",940,IF(Atletas!T114="Taijijian 32 F",941,IF(Atletas!T114="Taijijian 42 F",942,"")))))))))))))))))))))))))))))))))))))))))))</f>
        <v/>
      </c>
      <c r="BW118" s="52" t="str">
        <f>IF(Atletas!U114="","",IF(Atletas!W114&lt;&gt;"",10000,0)+IF(Atletas!B114="Feminino",1000,IF(Atletas!B114="Masculino",2000,""))+IF(Atletas!T114="Taijijian 42 F",942,IF(Atletas!U114="Taijidao A",943,IF(Atletas!U114="Taijishan A",944,IF(Atletas!U114="Taijiqiang A",945,IF(Atletas!U114="Taijidao B",946,IF(Atletas!U114="Taijishan B",947,IF(Atletas!U114="Taijiqiang B",948,IF(Atletas!U114="Taijidao C",949,IF(Atletas!U114="Taijishan C",950,IF(Atletas!U114="Taijiqiang C",951,IF(Atletas!U114="Taijidao D",952,IF(Atletas!U114="Taijishan D",953,IF(Atletas!U114="Taijiqiang D",954,IF(Atletas!U114="Taijidao E",955,IF(Atletas!U114="Taijishan E",956,IF(Atletas!U114="Taijiqiang E",957,IF(Atletas!U114="Taijidao F",958,IF(Atletas!U114="Taijishan F",959,IF(Atletas!U114="Taijiqiang F",960))))))))))))))))))))</f>
        <v/>
      </c>
      <c r="BX118" s="72" t="str">
        <f>IF(BY118&lt;&gt;"","Ditangquan B","")</f>
        <v/>
      </c>
      <c r="BY118" s="72" t="str">
        <f>IF(COUNTIF(BK:BW,1204)&gt;0,COUNTIF(BK:BW,1204),"")</f>
        <v/>
      </c>
      <c r="BZ118" s="72" t="str">
        <f>IF(CA118&lt;&gt;"","Ditangquan B","")</f>
        <v/>
      </c>
      <c r="CA118" s="72" t="str">
        <f>IF(COUNTIF(BK:BW,2204)&gt;0,COUNTIF(BK:BW,2204),"")</f>
        <v/>
      </c>
      <c r="CB118" s="72" t="str">
        <f>IF(CC118&lt;&gt;"","Ditangquan B","")</f>
        <v/>
      </c>
      <c r="CC118" s="64" t="str">
        <f>IF(COUNTIF(BK:BW,11204)&gt;0,COUNTIF(BK:BW,11204),"")</f>
        <v/>
      </c>
      <c r="CD118" s="64" t="str">
        <f>IF(CE118&lt;&gt;"","Ditangquan B","")</f>
        <v/>
      </c>
      <c r="CE118" s="64" t="str">
        <f>IF(COUNTIF(BK:BW,12204)&gt;0,COUNTIF(BK:BW,12204),"")</f>
        <v/>
      </c>
      <c r="CF118" s="52" t="str">
        <f xml:space="preserve"> IF(Atletas!V114="","",IF(Atletas!V114="Duilian de Mãos AB - Equipe 1",1,IF(Atletas!V114="Duilian de Mãos AB - Equipe 2",2,IF(Atletas!V114="Duilian de Armas AB - Equipe 1",3,IF(Atletas!V114="Duilian de Armas AB - Equipe 2",4,IF(Atletas!V114="Duilian de Tuishou - Equipe 1",5,IF(Atletas!V114="Duilian de Tuishou - Equipe 2",6,IF(Atletas!V114="Grupo Externo AB - Equipe 1",7,IF(Atletas!V114="Grupo Externo AB - Equipe 2",8,IF(Atletas!V114="Grupo Interno AB - Equipe 1",9,IF(Atletas!V114="Grupo Interno AB - Equipe 2",10,IF(Atletas!V114="Duilian de Mãos CD - Equipe 1",11,IF(Atletas!V114="Duilian de Mãos CD - Equipe 2",12,IF(Atletas!V114="Duilian de Armas CD - Equipe 1",13,IF(Atletas!V114="Duilian de Armas CD - Equipe 2",14,IF(Atletas!V114="Duilian de Tuishou - Equipe 1",15,IF(Atletas!V114="Duilian de Tuishou - Equipe 2",16,IF(Atletas!V114="Grupo Externo CDEF - Equipe 1",17,IF(Atletas!V114="Grupo Externo CDEF - Equipe 2",18,IF(Atletas!V114="Grupo Interno CDEF - Equipe 1",19,IF(Atletas!V114="Grupo Interno CDEF - Equipe 2",20,IF(Atletas!V114="Duilian de Mãos EF - Equipe 1",21,IF(Atletas!V114="Duilian de Mãos EF - Equipe 2",22,IF(Atletas!V114="Duilian de Armas EF - Equipe 1",23,IF(Atletas!V114="Duilian de Armas EF - Equipe 2",24,IF(Atletas!V114="Duilian de Tuishou - Equipe 1",25,IF(Atletas!V114="Duilian de Tuishou - Equipe 2",26,"")))))))))))))))))))))))))))</f>
        <v/>
      </c>
    </row>
    <row r="119" spans="2:84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 t="str">
        <f t="array" ref="V119">IFERROR(INDEX(BX$7:BX$336,SMALL(IF(BX$7:BX$336&lt;&gt;"",ROW(BX$7:BX$336)-ROW(BX$7)+1),ROWS(BX$7:BX118))),"")</f>
        <v/>
      </c>
      <c r="W119" s="4" t="str">
        <f t="array" ref="W119">IFERROR(INDEX(BY$7:BY$336,SMALL(IF(BY$7:BY$336&lt;&gt;"",ROW(BY$7:BY$336)-ROW(BY$7)+1),ROWS(BY$7:BY118))),"")</f>
        <v/>
      </c>
      <c r="X119" s="4" t="str">
        <f t="array" ref="X119">IFERROR(INDEX(BZ$7:BZ$336,SMALL(IF(BZ$7:BZ$336&lt;&gt;"",ROW(BZ$7:BZ$336)-ROW(BZ$7)+1),ROWS(BZ$7:BZ118))),"")</f>
        <v/>
      </c>
      <c r="Y119" s="4" t="str">
        <f t="array" ref="Y119">IFERROR(INDEX(CA$7:CA$336,SMALL(IF(CA$7:CA$336&lt;&gt;"",ROW(CA$7:CA$336)-ROW(CA$7)+1),ROWS(CA$7:CA118))),"")</f>
        <v/>
      </c>
      <c r="Z119" s="4" t="str">
        <f t="array" ref="Z119">IFERROR(INDEX(CB$7:CB$378,SMALL(IF(CB$7:CB$378&lt;&gt;"",ROW(CB$7:CB$378)-ROW(CB$7)+1),ROWS(CB$7:CB118))),"")</f>
        <v/>
      </c>
      <c r="AA119" s="4" t="str">
        <f t="array" ref="AA119">IFERROR(INDEX(CC$7:CC$378,SMALL(IF(CC$7:CC$378&lt;&gt;"",ROW(CC$7:CC$378)-ROW(CC$7)+1),ROWS(CC$7:CC118))),"")</f>
        <v/>
      </c>
      <c r="AB119" s="4" t="str">
        <f t="array" ref="AB119">IFERROR(INDEX(CD$7:CD$378,SMALL(IF(CD$7:CD$378&lt;&gt;"",ROW(CD$7:CD$378)-ROW(CD$7)+1),ROWS(CD$7:CD118))),"")</f>
        <v/>
      </c>
      <c r="AC119" s="4" t="str">
        <f t="array" ref="AC119">IFERROR(INDEX(CE$7:CE$378,SMALL(IF(CE$7:CE$378&lt;&gt;"",ROW(CE$7:CE$378)-ROW(CE$7)+1),ROWS(CE$7:CE118))),"")</f>
        <v/>
      </c>
      <c r="AD119" s="4"/>
      <c r="AE119" s="4"/>
      <c r="AF119" s="4"/>
      <c r="AG119" s="4"/>
      <c r="AH119" s="4"/>
      <c r="AI119" s="4"/>
      <c r="AJ119" s="46" t="str">
        <f>IF(Atletas!D115="","",IF(Atletas!B115="Feminino",100,IF(Atletas!B115="Masculino",200,""))+(IF(Atletas!D115="Infantil 39kg",1,IF(Atletas!D115="Infantil 42kg",2,IF(Atletas!D115="Infantil 45kg",3,IF(Atletas!D115="Infantil 48kg",4,IF(Atletas!D115="Infantil 52kg",5,IF(Atletas!D115="Infantil 56kg",6,IF(Atletas!D115="Infantil 60kg",7,IF(Atletas!D115="Juvenil 48kg",8,IF(Atletas!D115="Juvenil 52kg",9,IF(Atletas!D115="Juvenil 56kg",10,IF(Atletas!D115="Juvenil 60kg",11,IF(Atletas!D115="Juvenil 65kg",12,IF(Atletas!D115="Juvenil 70kg",13,IF(Atletas!D115="Juvenil 75kg",14,IF(Atletas!D115="Juvenil 80kg",15,IF(Atletas!D115="Adulto 48kg",16,IF(Atletas!D115="Adulto 52kg",17,IF(Atletas!D115="Adulto 56kg",18,IF(Atletas!D115="Adulto 60kg",19,IF(Atletas!D115="Adulto 65kg",20,IF(Atletas!D115="Adulto 70kg",21,IF(Atletas!D115="Adulto 75kg",22,IF(Atletas!D115="Adulto 80kg",23,IF(Atletas!D115="Adulto 85kg",24,IF(Atletas!D115="Adulto 90kg",25,IF(Atletas!D115="Adulto +90kg",26,""))))))))))))))))))))))))))))</f>
        <v/>
      </c>
      <c r="AO119" s="10" t="str">
        <f>IF(Atletas!E115="","",IF(Atletas!B115="Feminino",100,IF(Atletas!B115="Masculino",200,""))+(IF(Atletas!E115="Juvenil 44kg",1,IF(Atletas!E115="Juvenil 48kg",2,IF(Atletas!E115="Juvenil 52kg",3,IF(Atletas!E115="Juvenil 56kg",4,IF(Atletas!E115="Juvenil 60kg",5,IF(Atletas!E115="Juvenil 65kg",6,IF(Atletas!E115="Juvenil 70kg",7,IF(Atletas!E115="Juvenil 75kg",8,IF(Atletas!E115="Juvenil 82kg",9,IF(Atletas!E115="Juvenil 90kg",10,IF(Atletas!E115="Juvenil 100kg",11,IF(Atletas!E115="Adulto 48kg",12,IF(Atletas!E115="Adulto 52kg",13,IF(Atletas!E115="Adulto 56kg",14,IF(Atletas!E115="Adulto 60kg",15,IF(Atletas!E115="Adulto 65kg",16,IF(Atletas!E115="Adulto 70kg",17,IF(Atletas!E115="Adulto 75kg",18,IF(Atletas!E115="Adulto 82kg",19,IF(Atletas!E115="Adulto 90kg",20,IF(Atletas!E115="Adulto 100kg",21,IF(Atletas!E115="Adulto +100kg",22,""))))))))))))))))))))))))</f>
        <v/>
      </c>
      <c r="AT119" s="10" t="str">
        <f>IF(Atletas!F115="","",IF(Atletas!B115="Feminino",100,IF(Atletas!B115="Masculino",200,""))+(IF(Atletas!F115="Adulto 48kg",1,IF(Atletas!F115="Adulto 56kg",2,IF(Atletas!F115="Adulto 65kg",3,IF(Atletas!F115="Adulto 75kg",4,IF(Atletas!F115="Adulto +75kg",5,IF(Atletas!F115="Adulto 52kg",6,IF(Atletas!F115="Adulto 60kg",7,IF(Atletas!F115="Adulto 70kg",8,IF(Atletas!F115="Adulto 80kg",9,IF(Atletas!F115="Adulto 90kg",10,IF(Atletas!F115="Adulto +90kg",11,"")))))))))))))</f>
        <v/>
      </c>
      <c r="AY119" s="46" t="str">
        <f>IF(Atletas!G115="","",IF(Atletas!B115="Feminino",100,IF(Atletas!B115="Masculino",200,""))+(IF(Atletas!G115="Changquan Mirim",1,IF(Atletas!G115="Nanquan Mirim",2,IF(Atletas!G115="Taijiquan Mirim",3,IF(Atletas!G115="Changquan Grupo C",4,IF(Atletas!G115="Nanquan Grupo C",5,IF(Atletas!G115="Taijiquan Grupo C",6,IF(Atletas!G115="Changquan Grupo B",7,IF(Atletas!G115="Nanquan Grupo B",8,IF(Atletas!G115="Taijiquan Grupo B",9,IF(Atletas!G115="Changquan Grupo A",10,IF(Atletas!G115="Nanquan Grupo A",11,IF(Atletas!G115="Taijiquan Grupo A",12,IF(Atletas!G115="Changquan Opcional",13,IF(Atletas!G115="Nanquan Opcional",14,IF(Atletas!G115="Taijiquan Opcional",15,IF(Atletas!G115="Changquan Adulto",16,IF(Atletas!G115="Nanquan Adulto",17,IF(Atletas!G115="Taijiquan Adulto",18,""))))))))))))))))))))</f>
        <v/>
      </c>
      <c r="AZ119" s="46" t="str">
        <f>IF(Atletas!H115="","",IF(Atletas!B115="Feminino",100,IF(Atletas!B115="Masculino",200,""))+(IF(Atletas!H115="Daoshu Mirim",19,IF(Atletas!H115="Jianshu Mirim",20,IF(Atletas!H115="Nandao Mirim",21,IF(Atletas!H115="Taijijian Mirim",22,IF(Atletas!H115="Daoshu Grupo C",23,IF(Atletas!H115="Jianshu Grupo C",24,IF(Atletas!H115="Nandao Grupo C",25,IF(Atletas!H115="Taijijian Grupo C",26,IF(Atletas!H115="Daoshu Grupo B",27,IF(Atletas!H115="Jianshu Grupo B",28,IF(Atletas!H115="Nandao Grupo B",29,IF(Atletas!H115="Taijijian Grupo B",30,IF(Atletas!H115="Daoshu Grupo A",31,IF(Atletas!H115="Jianshu Grupo A",32,IF(Atletas!H115="Nandao Grupo A",33,IF(Atletas!H115="Taijijian Grupo A",34,IF(Atletas!H115="Daoshu Opcional",35,IF(Atletas!H115="Jianshu Opcional",36,IF(Atletas!H115="Nandao Opcional",37,IF(Atletas!H115="Taijijian Opcional",38,IF(Atletas!H115="Daoshu Adulto",39,IF(Atletas!H115="Jianshu Adulto",40,IF(Atletas!H115="Nandao Adulto",41,IF(Atletas!H115="Taijijian Adulto",42,""))))))))))))))))))))))))))</f>
        <v/>
      </c>
      <c r="BA119" s="46" t="str">
        <f>IF(Atletas!I115="","",IF(Atletas!B115="Feminino",100,IF(Atletas!B115="Masculino",200,""))+(IF(Atletas!I115="Gunshu Mirim",43,IF(Atletas!I115="Qiangshu Mirim",44,IF(Atletas!I115="Nangun Mirim",45,IF(Atletas!I115="Gunshu Grupo C",46,IF(Atletas!I115="Qiangshu Grupo C",47,IF(Atletas!I115="Nangun Grupo C",48,IF(Atletas!I115="Gunshu Grupo B",49,IF(Atletas!I115="Qiangshu Grupo B",50,IF(Atletas!I115="Nangun Grupo B",51,IF(Atletas!I115="Gunshu Grupo A",52,IF(Atletas!I115="Qiangshu Grupo A",53,IF(Atletas!I115="Nangun Grupo A",54,IF(Atletas!I115="Gunshu Opcional",55,IF(Atletas!I115="Qiangshu Opcional",56,IF(Atletas!I115="Nangun Opcional",57,IF(Atletas!I115="Gunshu Adulto",58,IF(Atletas!I115="Qiangshu Adulto",59,IF(Atletas!I115="Nangun Adulto",60,""))))))))))))))))))))</f>
        <v/>
      </c>
      <c r="BF119" s="52" t="str">
        <f>IF(Atletas!J115="","",IF(Atletas!B115="Feminino",100,IF(Atletas!B115="Masculino",200,""))+(IF(Atletas!J115="Equipe 1 Grupo B",1,IF(Atletas!J115="Equipe 2 Grupo B",2,IF(Atletas!J115="Equipe 1 Grupo A",3,IF(Atletas!J115="Equipe 2 Grupo A",4,IF(Atletas!J115="Equipe 1 Adulto",5,IF(Atletas!J115="Equipe 2 Adulto",6,""))))))))</f>
        <v/>
      </c>
      <c r="BK119" s="52" t="str">
        <f>IF(Atletas!K115="","",IF(Atletas!W115&lt;&gt;"",10000,0)+(IF(Atletas!B115="Feminino",1000,IF(Atletas!B115="Masculino",2000,""))+IF(Atletas!K115="Choylayfut A",1,IF(Atletas!K115="Hunggar A",2,IF(Atletas!K115="Wuzuquan A",3,IF(Atletas!K115="Wingchun A",4,IF(Atletas!K115="Outra Mão de Sul A",5,IF(Atletas!K115="Choylayfut B",6,IF(Atletas!K115="Hunggar B",7,IF(Atletas!K115="Wuzuquan B",8,IF(Atletas!K115="Wingchun B",9,IF(Atletas!K115="Outra Mão de Sul B",10,IF(Atletas!K115="Choylayfut C",11,IF(Atletas!K115="Hunggar C",12,IF(Atletas!K115="Wuzuquan C",13,IF(Atletas!K115="Wingchun C",14,IF(Atletas!K115="Outra Mão de Sul C",15,IF(Atletas!K115="Choylayfut D",16,IF(Atletas!K115="Hunggar D",17,IF(Atletas!K115="Wuzuquan D",18,IF(Atletas!K115="Wingchun D",19,IF(Atletas!K115="Outra Mão de Sul D",20,IF(Atletas!K115="Choylayfut E",21,IF(Atletas!K115="Hunggar E",22,IF(Atletas!K115="Wuzuquan E",23,IF(Atletas!K115="Wingchun E",24,IF(Atletas!K115="Outra Mão de Sul E",25,IF(Atletas!K115="Choylayfut F",26,IF(Atletas!K115="Hunggar F",27,IF(Atletas!K115="Wuzuquan F",28,IF(Atletas!K115="Wingchun F",29,IF(Atletas!K115="Outra Mão de Sul F",30,""))))))))))))))))))))))))))))))))</f>
        <v/>
      </c>
      <c r="BL119" s="52" t="str">
        <f>IF(Atletas!L115="","",IF(Atletas!W115&lt;&gt;"",10000,0)+(IF(Atletas!B115="Feminino",1000,IF(Atletas!B115="Masculino",2000,""))+(IF(Atletas!L115="Chaquan A",101,IF(Atletas!L115="Emeiquan A",102,IF(Atletas!L115="Fanziquan A",103,IF(Atletas!L115="Huaquan A",104,IF(Atletas!L115="Hongquan A",105,IF(Atletas!L115="Paochui A",106,IF(Atletas!L115="Piguaquan A",107,IF(Atletas!L115="Shaolinquan A",108,IF(Atletas!L115="Tanglangquan A",109,IF(Atletas!L115="Yinzhaophai A",110,IF(Atletas!L115="Tongbeiquan A",111,IF(Atletas!L115="Wudangquan A",112,IF(Atletas!L115="Outros Estilos A",113,IF(Atletas!L115="Chaquan B",114,IF(Atletas!L115="Emeiquan B",115,IF(Atletas!L115="Fanziquan B",116,IF(Atletas!L115="Huaquan B",117,IF(Atletas!L115="Hongquan B",118,IF(Atletas!L115="Paochui B",119,IF(Atletas!L115="Piguaquan B",120,IF(Atletas!L115="Shaolinquan B",121,IF(Atletas!L115="Tanglangquan B",122,IF(Atletas!L115="Yinzhaophai B",123,IF(Atletas!L115="Tongbeiquan B",124,IF(Atletas!L115="Wudangquan B",125,IF(Atletas!L115="Outros Estilos B",126,IF(Atletas!L115="Chaquan C",127,IF(Atletas!L115="Emeiquan C",128,IF(Atletas!L115="Fanziquan C",129,IF(Atletas!L115="Huaquan C",130,IF(Atletas!L115="Hongquan C",131,IF(Atletas!L115="Paochui C",132,IF(Atletas!L115="Piguaquan C",133,IF(Atletas!L115="Shaolinquan C",134,IF(Atletas!L115="Tanglangquan C",135,IF(Atletas!L115="Yinzhaophai C",136,IF(Atletas!L115="Tongbeiquan C",137,IF(Atletas!L115="Wudangquan C",138,IF(Atletas!L115="Outros Estilos C",139,0))))))))))))))))))))))))))))))))))))))))))</f>
        <v/>
      </c>
      <c r="BM119" s="52" t="str">
        <f>IF(Atletas!L115="","",IF(Atletas!W115&lt;&gt;"",10000,0)+(IF(Atletas!B115="Feminino",1000,IF(Atletas!B115="Masculino",2000,""))+(IF(Atletas!L115="Chaquan D",140,IF(Atletas!L115="Emeiquan D",141,IF(Atletas!L115="Fanziquan D",142,IF(Atletas!L115="Huaquan D",143,IF(Atletas!L115="Hongquan D",144,IF(Atletas!L115="Paochui D",145,IF(Atletas!L115="Piguaquan D",146,IF(Atletas!L115="Shaolinquan D",147,IF(Atletas!L115="Tanglangquan D",148,IF(Atletas!L115="Yinzhaophai D",149,IF(Atletas!L115="Tongbeiquan D",150,IF(Atletas!L115="Wudangquan D",151,IF(Atletas!L115="Outros Estilos D",152,IF(Atletas!L115="Chaquan E",153,IF(Atletas!L115="Emeiquan E",154,IF(Atletas!L115="Fanziquan E",155,IF(Atletas!L115="Huaquan E",156,IF(Atletas!L115="Hongquan E",157,IF(Atletas!L115="Paochui E",158,IF(Atletas!L115="Piguaquan E",159,IF(Atletas!L115="Shaolinquan E",160,IF(Atletas!L115="Tanglangquan E",161,IF(Atletas!L115="Yinzhaophai E",162,IF(Atletas!L115="Tongbeiquan E",163,IF(Atletas!L115="Wudangquan E",164,IF(Atletas!L115="Outros Estilos E",165,IF(Atletas!L115="Chaquan F",166,IF(Atletas!L115="Emeiquan F",167,IF(Atletas!L115="Fanziquan F",168,IF(Atletas!L115="Huaquan F",169,IF(Atletas!L115="Hongquan F",170,IF(Atletas!L115="Paochui F",171,IF(Atletas!L115="Piguaquan F",172,IF(Atletas!L115="Shaolinquan F",173,IF(Atletas!L115="Tanglangquan F",174,IF(Atletas!L115="Yinzhaophai F",175,IF(Atletas!L115="Tongbeiquan F",176,IF(Atletas!L115="Wudangquan F",177,IF(Atletas!L115="Outros Estilos F",178,0))))))))))))))))))))))))))))))))))))))))))</f>
        <v/>
      </c>
      <c r="BN119" s="52" t="str">
        <f>IF(Atletas!M115="","",IF(Atletas!W115&lt;&gt;"",10000,0)+(IF(Atletas!B115="Feminino",1000,IF(Atletas!B115="Masculino",2000,""))+(IF(Atletas!M115="Ditangquan A",201,IF(Atletas!M115="Houquan A",202,IF(Atletas!M115="Zuiquan A",203,IF(Atletas!M115="Ditangquan B",204,IF(Atletas!M115="Houquan B",205,IF(Atletas!M115="Zuiquan B",206,IF(Atletas!M115="Ditangquan C",207,IF(Atletas!M115="Houquan C",208,IF(Atletas!M115="Zuiquan C",209,IF(Atletas!M115="Ditangquan D",210,IF(Atletas!M115="Houquan D",211,IF(Atletas!M115="Zuiquan D",212,IF(Atletas!M115="Ditangquan E",213,IF(Atletas!M115="Houquan E",214,IF(Atletas!M115="Zuiquan E",215,IF(Atletas!M115="Ditangquan F",216,IF(Atletas!M115="Houquan F",217,IF(Atletas!M115="Zuiquan F",218,"")))))))))))))))))))))</f>
        <v/>
      </c>
      <c r="BO119" s="52" t="str">
        <f>IF(Atletas!N115="","",IF(Atletas!W115&lt;&gt;"",10000,0)+IF(Atletas!B115="Feminino",1000,IF(Atletas!B115="Masculino",2000,""))+IF(Atletas!N115="Yang A",301,IF(Atletas!N115="Chen A",30,IF(Atletas!N115="Sun A",303,IF(Atletas!N115="Wu A",304,IF(Atletas!N115="Wu-Hao A",305,IF(Atletas!N115="Outro Taijiquan A",306,IF(Atletas!N115="Yang B",307,IF(Atletas!N115="Chen B",308,IF(Atletas!N115="Sun B",309,IF(Atletas!N115="Wu B",310,IF(Atletas!N115="Wu-Hao B",311,IF(Atletas!N115="Outro Taijiquan B",312,IF(Atletas!N115="Yang C",313,IF(Atletas!N115="Chen C",314,IF(Atletas!N115="Sun C",315,IF(Atletas!N115="Wu C",316,IF(Atletas!N115="Wu-Hao C",317,IF(Atletas!N115="Outro Taijiquan C",318,IF(Atletas!N115="Yang D",319,IF(Atletas!N115="Chen D",320,IF(Atletas!N115="Sun D",321,IF(Atletas!N115="Wu D",322,IF(Atletas!N115="Wu-Hao D",323,IF(Atletas!N115="Outro Taijiquan D",324,IF(Atletas!N115="Yang E",325,IF(Atletas!N115="Chen E",326,IF(Atletas!N115="Sun E",327,IF(Atletas!N115="Wu E",328,IF(Atletas!N115="Wu-Hao E",329,IF(Atletas!N115="Outro Taijiquan E",330,IF(Atletas!N115="Yang F",331,IF(Atletas!N115="Chen F",332,IF(Atletas!N115="Sun F",333,IF(Atletas!N115="Wu F",334,IF(Atletas!N115="Wu-Hao F",335,IF(Atletas!N115="Outro Taijiquan F",336,"")))))))))))))))))))))))))))))))))))))</f>
        <v/>
      </c>
      <c r="BP119" s="52" t="str">
        <f>IF(Atletas!O115="","",IF(Atletas!W115&lt;&gt;"",10000,0)+IF(Atletas!B115="Feminino",1000,IF(Atletas!B115="Masculino",2000,""))+IF(OR(Atletas!O115="Yang 26 A",Atletas!O115="Yang 40 A"),401,IF(OR(Atletas!O115="Chen 25 A",Atletas!O115="Chen 36 A",Atletas!O115="Chen 56 A"),402,IF(Atletas!O115="Sun 73 A",403,IF(Atletas!O115="Wu 45 A",404,IF(Atletas!O115="Wu-Hao 46 A",405,IF(OR(Atletas!O115="Taijiquan 16 A",Atletas!O115="Taijiquan 24 A",Atletas!O115="Taijiquan 32 A",Atletas!O115="Taijiquan 42 A"),406,IF(OR(Atletas!O115="Yang 26 B",Atletas!O115="Yang 40 B"),407,IF(OR(Atletas!O115="Chen 25 B",Atletas!O115="Chen 36 B",Atletas!O115="Chen 56 B"),408,IF(Atletas!O115="Sun 73 B",409,IF(Atletas!O115="Wu 45 B",410,IF(Atletas!O115="Wu-Hao 46 B",411,IF(OR(Atletas!O115="Taijiquan 16 B",Atletas!O115="Taijiquan 24 B",Atletas!O115="Taijiquan 32 B",Atletas!O115="Taijiquan 42 B"),412,IF(OR(Atletas!O115="Yang 26 C",Atletas!O115="Yang 40 C"),413,IF(OR(Atletas!O115="Chen 25 C",Atletas!O115="Chen 36 C",Atletas!O115="Chen 56 C"),414,IF(Atletas!O115="Sun 73 C",415,IF(Atletas!O115="Wu 45 C",416,IF(Atletas!O115="Wu-Hao 46 C",417,IF(OR(Atletas!O115="Taijiquan 16 C",Atletas!O115="Taijiquan 24 C",Atletas!O115="Taijiquan 32 C",Atletas!O115="Taijiquan 42 C"),418,0)))))))))))))))))))</f>
        <v/>
      </c>
      <c r="BQ119" s="52" t="str">
        <f>IF(Atletas!O115="","",IF(Atletas!W115&lt;&gt;"",10000,0)+IF(Atletas!B115="Feminino",1000,IF(Atletas!B115="Masculino",2000,""))+IF(OR(Atletas!O115="Yang 26 D",Atletas!O115="Yang 40 D"),419,IF(OR(Atletas!O115="Chen 25 D",Atletas!O115="Chen 36 D",Atletas!O115="Chen 56 D"),420,IF(Atletas!O115="Sun 73 D",421,IF(Atletas!O115="Wu 45 D",422,IF(Atletas!O115="Wu-Hao 46 D",423,IF(OR(Atletas!O115="Taijiquan 16 D",Atletas!O115="Taijiquan 24 D",Atletas!O115="Taijiquan 32 D",Atletas!O115="Taijiquan 42 D"),424,IF(OR(Atletas!O115="Yang 26 E",Atletas!O115="Yang 40 E"),425,IF(OR(Atletas!O115="Chen 25 E",Atletas!O115="Chen 36 E",Atletas!O115="Chen 56 E"),426,IF(Atletas!O115="Sun 73 E",427,IF(Atletas!O115="Wu 45 E",428,IF(Atletas!O115="Wu-Hao 46 E",429,IF(OR(Atletas!O115="Taijiquan 16 E",Atletas!O115="Taijiquan 24 E",Atletas!O115="Taijiquan 32 E",Atletas!O115="Taijiquan 42 E"),430,IF(OR(Atletas!O115="Yang 26 F",Atletas!O115="Yang 40 F"),431,IF(OR(Atletas!O115="Chen 25 F",Atletas!O115="Chen 36 F",Atletas!O115="Chen 56 F"),432,IF(Atletas!O115="Sun 73 F",433,IF(Atletas!O115="Wu 45 F",434,IF(Atletas!O115="Wu-Hao 46 F",435,IF(OR(Atletas!O115="Taijiquan 16 F",Atletas!O115="Taijiquan 24 F",Atletas!O115="Taijiquan 32 F",Atletas!O115="Taijiquan 42 F"),436,0)))))))))))))))))))</f>
        <v/>
      </c>
      <c r="BR119" s="52" t="str">
        <f>IF(Atletas!P115="","",IF(Atletas!W115&lt;&gt;"",10000,0)+IF(Atletas!B115="Feminino",1000,IF(Atletas!B115="Masculino",2000,""))+IF(Atletas!P115="Xingyiquan A",501,IF(Atletas!P115="Baguazhang A",502,IF(Atletas!P115="Outro Estilo Interno A",503,IF(Atletas!P115="Xingyiquan B",504,IF(Atletas!P115="Baguazhang B",505,IF(Atletas!P115="Outro Estilo Interno B",506,IF(Atletas!P115="Xingyiquan C",507,IF(Atletas!P115="Baguazhang C",508,IF(Atletas!P115="Outro Estilo Interno C",509,IF(Atletas!P115="Xingyiquan D",510,IF(Atletas!P115="Baguazhang D",511,IF(Atletas!P115="Outro Estilo Interno D",512,IF(Atletas!P115="Xingyiquan E",513,IF(Atletas!P115="Baguazhang E",514,IF(Atletas!P115="Outro Estilo Interno E",515,IF(Atletas!P115="Xingyiquan F",516,IF(Atletas!P115="Baguazhang F",517,IF(Atletas!P115="Outro Estilo Interno F",518, "")))))))))))))))))))</f>
        <v/>
      </c>
      <c r="BS119" s="52" t="str">
        <f>IF(Atletas!Q115="","",IF(Atletas!W115&lt;&gt;"",10000,0)+IF(Atletas!B115="Feminino",1000,IF(Atletas!B115="Masculino",2000,""))+IF(Atletas!Q115="Dao A",601,IF(Atletas!Q115="Jian A",602,IF(Atletas!Q115="Bishou A",603,IF(Atletas!Q115="Shan A",604,IF(Atletas!Q115="Outra Arma Curta A",605,IF(Atletas!Q115="Dao B",606,IF(Atletas!Q115="Jian B",607,IF(Atletas!Q115="Bishou B",608,IF(Atletas!Q115="Shan B",609,IF(Atletas!Q115="Outra Arma Curta B",610,IF(Atletas!Q115="Dao C",611,IF(Atletas!Q115="Jian C",612,IF(Atletas!Q115="Bishou C",613,IF(Atletas!Q115="Shan C",614,IF(Atletas!Q115="Outra Arma Curta C",615,IF(Atletas!Q115="Dao D",616,IF(Atletas!Q115="Jian D",617,IF(Atletas!Q115="Bishou D",618,IF(Atletas!Q115="Shan D",619,IF(Atletas!Q115="Outra Arma Curta D",620,IF(Atletas!Q115="Dao E",621,IF(Atletas!Q115="Jian E",622,IF(Atletas!Q115="Bishou E",623,IF(Atletas!Q115="Shan E",624,IF(Atletas!Q115="Outra Arma Curta E",625,IF(Atletas!Q115="Dao F",626,IF(Atletas!Q115="Jian F",627,IF(Atletas!Q115="Bishou F",628,IF(Atletas!Q115="Shan F",629,IF(Atletas!Q115="Outra Arma Curta F",630, "")))))))))))))))))))))))))))))))</f>
        <v/>
      </c>
      <c r="BT119" s="52" t="str">
        <f>IF(Atletas!R115="","",IF(Atletas!W115&lt;&gt;"",10000,0)+IF(Atletas!B115="Feminino",1000,IF(Atletas!B115="Masculino",2000,""))+IF(Atletas!R115="Gun A",701,IF(Atletas!R115="Qiang A",702,IF(Atletas!R115="Pudao / Guandao A",703,IF(Atletas!R115="Outra Arma Longa A",704,IF(Atletas!R115="Gun B",705,IF(Atletas!R115="Qiang B",706,IF(Atletas!R115="Pudao / Guandao B",707,IF(Atletas!R115="Outra Arma Longa B",708,IF(Atletas!R115="Gun C",709,IF(Atletas!R115="Qiang C",710,IF(Atletas!R115="Pudao / Guandao C",711,IF(Atletas!R115="Outra Arma Longa C",712,IF(Atletas!R115="Gun D",713,IF(Atletas!R115="Qiang D",714,IF(Atletas!R115="Pudao / Guandao D",715,IF(Atletas!R115="Outra Arma Longa D",716,IF(Atletas!R115="Gun E",717,IF(Atletas!R115="Qiang E",718,IF(Atletas!R115="Pudao / Guandao E",719,IF(Atletas!R115="Outra Arma Longa E",720,IF(Atletas!R115="Gun F",721,IF(Atletas!R115="Qiang F",722,IF(Atletas!R115="Pudao / Guandao F",723,IF(Atletas!R115="Outra Arma Longa F",724,"")))))))))))))))))))))))))</f>
        <v/>
      </c>
      <c r="BU119" s="52" t="str">
        <f>IF(Atletas!S115="","",IF(Atletas!W115&lt;&gt;"",10000,0)+IF(Atletas!B115="Feminino",1000,IF(Atletas!B115="Masculino",2000,""))+IF(Atletas!S115="Arma Dupla A",801,IF(Atletas!S115="Arma Maleável A",802,IF(Atletas!S115="Arma Dupla B",803,IF(Atletas!S115="Arma Maleável B",804,IF(Atletas!S115="Arma Dupla C",805,IF(Atletas!S115="Arma Maleável C",806,IF(Atletas!S115="Arma Dupla D",807,IF(Atletas!S115="Arma Maleável D",808,IF(Atletas!S115="Arma Dupla E",809,IF(Atletas!S115="Arma Maleável E",810,IF(Atletas!S115="Arma Dupla F",811,IF(Atletas!S115="Arma Maleável F",812, "")))))))))))))</f>
        <v/>
      </c>
      <c r="BV119" s="52" t="str">
        <f>IF(Atletas!T115="","",IF(Atletas!W115&lt;&gt;"",10000,0)+IF(Atletas!B115="Feminino",1000,IF(Atletas!B115="Masculino",2000,""))+IF(Atletas!T115="Taijijian Yang A",901,IF(Atletas!T115="Taijijian Chen A",902,IF(Atletas!T115="Taijijian Sun A",903,IF(Atletas!T115="Taijijian Wu A",904,IF(Atletas!T115="Taijijian Wu-Hao A",905,IF(Atletas!T115="Taijijian 32 A",906,IF(Atletas!T115="Taijijian 42 A",907,IF(Atletas!T115="Taijijian Yang B",908,IF(Atletas!T115="Taijijian Chen B",909,IF(Atletas!T115="Taijijian Sun B",910,IF(Atletas!T115="Taijijian Wu B",911,IF(Atletas!T115="Taijijian Wu-Hao B",912,IF(Atletas!T115="Taijijian 32 B",913,IF(Atletas!T115="Taijijian 42 B",914,IF(Atletas!T115="Taijijian Yang C",915,IF(Atletas!T115="Taijijian Chen C",916,IF(Atletas!T115="Taijijian Sun C",917,IF(Atletas!T115="Taijijian Wu C",918,IF(Atletas!T115="Taijijian Wu-Hao C",919,IF(Atletas!T115="Taijijian 32 C",920,IF(Atletas!T115="Taijijian 42 C",921,IF(Atletas!T115="Taijijian Yang D",922,IF(Atletas!T115="Taijijian Chen D",923,IF(Atletas!T115="Taijijian Sun D",924,IF(Atletas!T115="Taijijian Wu D",925,IF(Atletas!T115="Taijijian Wu-Hao D",926,IF(Atletas!T115="Taijijian 32 D",927,IF(Atletas!T115="Taijijian 42 D",928,IF(Atletas!T115="Taijijian Yang E",929,IF(Atletas!T115="Taijijian Chen E",930,IF(Atletas!T115="Taijijian Sun E",931,IF(Atletas!T115="Taijijian Wu E",932,IF(Atletas!T115="Taijijian Wu-Hao E",933,IF(Atletas!T115="Taijijian 32 E",934,IF(Atletas!T115="Taijijian 42 E",935,IF(Atletas!T115="Taijijian Yang F",936,IF(Atletas!T115="Taijijian Chen F",937,IF(Atletas!T115="Taijijian Sun F",938,IF(Atletas!T115="Taijijian Wu F",939,IF(Atletas!T115="Taijijian Wu-Hao F",940,IF(Atletas!T115="Taijijian 32 F",941,IF(Atletas!T115="Taijijian 42 F",942,"")))))))))))))))))))))))))))))))))))))))))))</f>
        <v/>
      </c>
      <c r="BW119" s="52" t="str">
        <f>IF(Atletas!U115="","",IF(Atletas!W115&lt;&gt;"",10000,0)+IF(Atletas!B115="Feminino",1000,IF(Atletas!B115="Masculino",2000,""))+IF(Atletas!T115="Taijijian 42 F",942,IF(Atletas!U115="Taijidao A",943,IF(Atletas!U115="Taijishan A",944,IF(Atletas!U115="Taijiqiang A",945,IF(Atletas!U115="Taijidao B",946,IF(Atletas!U115="Taijishan B",947,IF(Atletas!U115="Taijiqiang B",948,IF(Atletas!U115="Taijidao C",949,IF(Atletas!U115="Taijishan C",950,IF(Atletas!U115="Taijiqiang C",951,IF(Atletas!U115="Taijidao D",952,IF(Atletas!U115="Taijishan D",953,IF(Atletas!U115="Taijiqiang D",954,IF(Atletas!U115="Taijidao E",955,IF(Atletas!U115="Taijishan E",956,IF(Atletas!U115="Taijiqiang E",957,IF(Atletas!U115="Taijidao F",958,IF(Atletas!U115="Taijishan F",959,IF(Atletas!U115="Taijiqiang F",960))))))))))))))))))))</f>
        <v/>
      </c>
      <c r="BX119" s="72" t="str">
        <f>IF(BY119&lt;&gt;"","Houquan B","")</f>
        <v/>
      </c>
      <c r="BY119" s="72" t="str">
        <f>IF(COUNTIF(BK:BW,1205)&gt;0,COUNTIF(BK:BW,1205),"")</f>
        <v/>
      </c>
      <c r="BZ119" s="72" t="str">
        <f>IF(CA119&lt;&gt;"","Houquan B","")</f>
        <v/>
      </c>
      <c r="CA119" s="72" t="str">
        <f>IF(COUNTIF(BK:BW,2205)&gt;0,COUNTIF(BK:BW,2205),"")</f>
        <v/>
      </c>
      <c r="CB119" s="72" t="str">
        <f>IF(CC119&lt;&gt;"","Houquan B","")</f>
        <v/>
      </c>
      <c r="CC119" s="64" t="str">
        <f>IF(COUNTIF(BK:BW,11205)&gt;0,COUNTIF(BK:BW,11205),"")</f>
        <v/>
      </c>
      <c r="CD119" s="64" t="str">
        <f>IF(CE119&lt;&gt;"","Houquan B","")</f>
        <v/>
      </c>
      <c r="CE119" s="64" t="str">
        <f>IF(COUNTIF(BK:BW,12205)&gt;0,COUNTIF(BK:BW,12205),"")</f>
        <v/>
      </c>
      <c r="CF119" s="52" t="str">
        <f xml:space="preserve"> IF(Atletas!V115="","",IF(Atletas!V115="Duilian de Mãos AB - Equipe 1",1,IF(Atletas!V115="Duilian de Mãos AB - Equipe 2",2,IF(Atletas!V115="Duilian de Armas AB - Equipe 1",3,IF(Atletas!V115="Duilian de Armas AB - Equipe 2",4,IF(Atletas!V115="Duilian de Tuishou - Equipe 1",5,IF(Atletas!V115="Duilian de Tuishou - Equipe 2",6,IF(Atletas!V115="Grupo Externo AB - Equipe 1",7,IF(Atletas!V115="Grupo Externo AB - Equipe 2",8,IF(Atletas!V115="Grupo Interno AB - Equipe 1",9,IF(Atletas!V115="Grupo Interno AB - Equipe 2",10,IF(Atletas!V115="Duilian de Mãos CD - Equipe 1",11,IF(Atletas!V115="Duilian de Mãos CD - Equipe 2",12,IF(Atletas!V115="Duilian de Armas CD - Equipe 1",13,IF(Atletas!V115="Duilian de Armas CD - Equipe 2",14,IF(Atletas!V115="Duilian de Tuishou - Equipe 1",15,IF(Atletas!V115="Duilian de Tuishou - Equipe 2",16,IF(Atletas!V115="Grupo Externo CDEF - Equipe 1",17,IF(Atletas!V115="Grupo Externo CDEF - Equipe 2",18,IF(Atletas!V115="Grupo Interno CDEF - Equipe 1",19,IF(Atletas!V115="Grupo Interno CDEF - Equipe 2",20,IF(Atletas!V115="Duilian de Mãos EF - Equipe 1",21,IF(Atletas!V115="Duilian de Mãos EF - Equipe 2",22,IF(Atletas!V115="Duilian de Armas EF - Equipe 1",23,IF(Atletas!V115="Duilian de Armas EF - Equipe 2",24,IF(Atletas!V115="Duilian de Tuishou - Equipe 1",25,IF(Atletas!V115="Duilian de Tuishou - Equipe 2",26,"")))))))))))))))))))))))))))</f>
        <v/>
      </c>
    </row>
    <row r="120" spans="2:84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 t="str">
        <f t="array" ref="V120">IFERROR(INDEX(BX$7:BX$336,SMALL(IF(BX$7:BX$336&lt;&gt;"",ROW(BX$7:BX$336)-ROW(BX$7)+1),ROWS(BX$7:BX119))),"")</f>
        <v/>
      </c>
      <c r="W120" s="4" t="str">
        <f t="array" ref="W120">IFERROR(INDEX(BY$7:BY$336,SMALL(IF(BY$7:BY$336&lt;&gt;"",ROW(BY$7:BY$336)-ROW(BY$7)+1),ROWS(BY$7:BY119))),"")</f>
        <v/>
      </c>
      <c r="X120" s="4" t="str">
        <f t="array" ref="X120">IFERROR(INDEX(BZ$7:BZ$336,SMALL(IF(BZ$7:BZ$336&lt;&gt;"",ROW(BZ$7:BZ$336)-ROW(BZ$7)+1),ROWS(BZ$7:BZ119))),"")</f>
        <v/>
      </c>
      <c r="Y120" s="4" t="str">
        <f t="array" ref="Y120">IFERROR(INDEX(CA$7:CA$336,SMALL(IF(CA$7:CA$336&lt;&gt;"",ROW(CA$7:CA$336)-ROW(CA$7)+1),ROWS(CA$7:CA119))),"")</f>
        <v/>
      </c>
      <c r="Z120" s="4" t="str">
        <f t="array" ref="Z120">IFERROR(INDEX(CB$7:CB$378,SMALL(IF(CB$7:CB$378&lt;&gt;"",ROW(CB$7:CB$378)-ROW(CB$7)+1),ROWS(CB$7:CB119))),"")</f>
        <v/>
      </c>
      <c r="AA120" s="4" t="str">
        <f t="array" ref="AA120">IFERROR(INDEX(CC$7:CC$378,SMALL(IF(CC$7:CC$378&lt;&gt;"",ROW(CC$7:CC$378)-ROW(CC$7)+1),ROWS(CC$7:CC119))),"")</f>
        <v/>
      </c>
      <c r="AB120" s="4" t="str">
        <f t="array" ref="AB120">IFERROR(INDEX(CD$7:CD$378,SMALL(IF(CD$7:CD$378&lt;&gt;"",ROW(CD$7:CD$378)-ROW(CD$7)+1),ROWS(CD$7:CD119))),"")</f>
        <v/>
      </c>
      <c r="AC120" s="4" t="str">
        <f t="array" ref="AC120">IFERROR(INDEX(CE$7:CE$378,SMALL(IF(CE$7:CE$378&lt;&gt;"",ROW(CE$7:CE$378)-ROW(CE$7)+1),ROWS(CE$7:CE119))),"")</f>
        <v/>
      </c>
      <c r="AD120" s="4"/>
      <c r="AE120" s="4"/>
      <c r="AF120" s="4"/>
      <c r="AG120" s="4"/>
      <c r="AH120" s="4"/>
      <c r="AI120" s="4"/>
      <c r="AJ120" s="46" t="str">
        <f>IF(Atletas!D116="","",IF(Atletas!B116="Feminino",100,IF(Atletas!B116="Masculino",200,""))+(IF(Atletas!D116="Infantil 39kg",1,IF(Atletas!D116="Infantil 42kg",2,IF(Atletas!D116="Infantil 45kg",3,IF(Atletas!D116="Infantil 48kg",4,IF(Atletas!D116="Infantil 52kg",5,IF(Atletas!D116="Infantil 56kg",6,IF(Atletas!D116="Infantil 60kg",7,IF(Atletas!D116="Juvenil 48kg",8,IF(Atletas!D116="Juvenil 52kg",9,IF(Atletas!D116="Juvenil 56kg",10,IF(Atletas!D116="Juvenil 60kg",11,IF(Atletas!D116="Juvenil 65kg",12,IF(Atletas!D116="Juvenil 70kg",13,IF(Atletas!D116="Juvenil 75kg",14,IF(Atletas!D116="Juvenil 80kg",15,IF(Atletas!D116="Adulto 48kg",16,IF(Atletas!D116="Adulto 52kg",17,IF(Atletas!D116="Adulto 56kg",18,IF(Atletas!D116="Adulto 60kg",19,IF(Atletas!D116="Adulto 65kg",20,IF(Atletas!D116="Adulto 70kg",21,IF(Atletas!D116="Adulto 75kg",22,IF(Atletas!D116="Adulto 80kg",23,IF(Atletas!D116="Adulto 85kg",24,IF(Atletas!D116="Adulto 90kg",25,IF(Atletas!D116="Adulto +90kg",26,""))))))))))))))))))))))))))))</f>
        <v/>
      </c>
      <c r="AO120" s="10" t="str">
        <f>IF(Atletas!E116="","",IF(Atletas!B116="Feminino",100,IF(Atletas!B116="Masculino",200,""))+(IF(Atletas!E116="Juvenil 44kg",1,IF(Atletas!E116="Juvenil 48kg",2,IF(Atletas!E116="Juvenil 52kg",3,IF(Atletas!E116="Juvenil 56kg",4,IF(Atletas!E116="Juvenil 60kg",5,IF(Atletas!E116="Juvenil 65kg",6,IF(Atletas!E116="Juvenil 70kg",7,IF(Atletas!E116="Juvenil 75kg",8,IF(Atletas!E116="Juvenil 82kg",9,IF(Atletas!E116="Juvenil 90kg",10,IF(Atletas!E116="Juvenil 100kg",11,IF(Atletas!E116="Adulto 48kg",12,IF(Atletas!E116="Adulto 52kg",13,IF(Atletas!E116="Adulto 56kg",14,IF(Atletas!E116="Adulto 60kg",15,IF(Atletas!E116="Adulto 65kg",16,IF(Atletas!E116="Adulto 70kg",17,IF(Atletas!E116="Adulto 75kg",18,IF(Atletas!E116="Adulto 82kg",19,IF(Atletas!E116="Adulto 90kg",20,IF(Atletas!E116="Adulto 100kg",21,IF(Atletas!E116="Adulto +100kg",22,""))))))))))))))))))))))))</f>
        <v/>
      </c>
      <c r="AT120" s="10" t="str">
        <f>IF(Atletas!F116="","",IF(Atletas!B116="Feminino",100,IF(Atletas!B116="Masculino",200,""))+(IF(Atletas!F116="Adulto 48kg",1,IF(Atletas!F116="Adulto 56kg",2,IF(Atletas!F116="Adulto 65kg",3,IF(Atletas!F116="Adulto 75kg",4,IF(Atletas!F116="Adulto +75kg",5,IF(Atletas!F116="Adulto 52kg",6,IF(Atletas!F116="Adulto 60kg",7,IF(Atletas!F116="Adulto 70kg",8,IF(Atletas!F116="Adulto 80kg",9,IF(Atletas!F116="Adulto 90kg",10,IF(Atletas!F116="Adulto +90kg",11,"")))))))))))))</f>
        <v/>
      </c>
      <c r="AY120" s="46" t="str">
        <f>IF(Atletas!G116="","",IF(Atletas!B116="Feminino",100,IF(Atletas!B116="Masculino",200,""))+(IF(Atletas!G116="Changquan Mirim",1,IF(Atletas!G116="Nanquan Mirim",2,IF(Atletas!G116="Taijiquan Mirim",3,IF(Atletas!G116="Changquan Grupo C",4,IF(Atletas!G116="Nanquan Grupo C",5,IF(Atletas!G116="Taijiquan Grupo C",6,IF(Atletas!G116="Changquan Grupo B",7,IF(Atletas!G116="Nanquan Grupo B",8,IF(Atletas!G116="Taijiquan Grupo B",9,IF(Atletas!G116="Changquan Grupo A",10,IF(Atletas!G116="Nanquan Grupo A",11,IF(Atletas!G116="Taijiquan Grupo A",12,IF(Atletas!G116="Changquan Opcional",13,IF(Atletas!G116="Nanquan Opcional",14,IF(Atletas!G116="Taijiquan Opcional",15,IF(Atletas!G116="Changquan Adulto",16,IF(Atletas!G116="Nanquan Adulto",17,IF(Atletas!G116="Taijiquan Adulto",18,""))))))))))))))))))))</f>
        <v/>
      </c>
      <c r="AZ120" s="46" t="str">
        <f>IF(Atletas!H116="","",IF(Atletas!B116="Feminino",100,IF(Atletas!B116="Masculino",200,""))+(IF(Atletas!H116="Daoshu Mirim",19,IF(Atletas!H116="Jianshu Mirim",20,IF(Atletas!H116="Nandao Mirim",21,IF(Atletas!H116="Taijijian Mirim",22,IF(Atletas!H116="Daoshu Grupo C",23,IF(Atletas!H116="Jianshu Grupo C",24,IF(Atletas!H116="Nandao Grupo C",25,IF(Atletas!H116="Taijijian Grupo C",26,IF(Atletas!H116="Daoshu Grupo B",27,IF(Atletas!H116="Jianshu Grupo B",28,IF(Atletas!H116="Nandao Grupo B",29,IF(Atletas!H116="Taijijian Grupo B",30,IF(Atletas!H116="Daoshu Grupo A",31,IF(Atletas!H116="Jianshu Grupo A",32,IF(Atletas!H116="Nandao Grupo A",33,IF(Atletas!H116="Taijijian Grupo A",34,IF(Atletas!H116="Daoshu Opcional",35,IF(Atletas!H116="Jianshu Opcional",36,IF(Atletas!H116="Nandao Opcional",37,IF(Atletas!H116="Taijijian Opcional",38,IF(Atletas!H116="Daoshu Adulto",39,IF(Atletas!H116="Jianshu Adulto",40,IF(Atletas!H116="Nandao Adulto",41,IF(Atletas!H116="Taijijian Adulto",42,""))))))))))))))))))))))))))</f>
        <v/>
      </c>
      <c r="BA120" s="46" t="str">
        <f>IF(Atletas!I116="","",IF(Atletas!B116="Feminino",100,IF(Atletas!B116="Masculino",200,""))+(IF(Atletas!I116="Gunshu Mirim",43,IF(Atletas!I116="Qiangshu Mirim",44,IF(Atletas!I116="Nangun Mirim",45,IF(Atletas!I116="Gunshu Grupo C",46,IF(Atletas!I116="Qiangshu Grupo C",47,IF(Atletas!I116="Nangun Grupo C",48,IF(Atletas!I116="Gunshu Grupo B",49,IF(Atletas!I116="Qiangshu Grupo B",50,IF(Atletas!I116="Nangun Grupo B",51,IF(Atletas!I116="Gunshu Grupo A",52,IF(Atletas!I116="Qiangshu Grupo A",53,IF(Atletas!I116="Nangun Grupo A",54,IF(Atletas!I116="Gunshu Opcional",55,IF(Atletas!I116="Qiangshu Opcional",56,IF(Atletas!I116="Nangun Opcional",57,IF(Atletas!I116="Gunshu Adulto",58,IF(Atletas!I116="Qiangshu Adulto",59,IF(Atletas!I116="Nangun Adulto",60,""))))))))))))))))))))</f>
        <v/>
      </c>
      <c r="BF120" s="52" t="str">
        <f>IF(Atletas!J116="","",IF(Atletas!B116="Feminino",100,IF(Atletas!B116="Masculino",200,""))+(IF(Atletas!J116="Equipe 1 Grupo B",1,IF(Atletas!J116="Equipe 2 Grupo B",2,IF(Atletas!J116="Equipe 1 Grupo A",3,IF(Atletas!J116="Equipe 2 Grupo A",4,IF(Atletas!J116="Equipe 1 Adulto",5,IF(Atletas!J116="Equipe 2 Adulto",6,""))))))))</f>
        <v/>
      </c>
      <c r="BK120" s="52" t="str">
        <f>IF(Atletas!K116="","",IF(Atletas!W116&lt;&gt;"",10000,0)+(IF(Atletas!B116="Feminino",1000,IF(Atletas!B116="Masculino",2000,""))+IF(Atletas!K116="Choylayfut A",1,IF(Atletas!K116="Hunggar A",2,IF(Atletas!K116="Wuzuquan A",3,IF(Atletas!K116="Wingchun A",4,IF(Atletas!K116="Outra Mão de Sul A",5,IF(Atletas!K116="Choylayfut B",6,IF(Atletas!K116="Hunggar B",7,IF(Atletas!K116="Wuzuquan B",8,IF(Atletas!K116="Wingchun B",9,IF(Atletas!K116="Outra Mão de Sul B",10,IF(Atletas!K116="Choylayfut C",11,IF(Atletas!K116="Hunggar C",12,IF(Atletas!K116="Wuzuquan C",13,IF(Atletas!K116="Wingchun C",14,IF(Atletas!K116="Outra Mão de Sul C",15,IF(Atletas!K116="Choylayfut D",16,IF(Atletas!K116="Hunggar D",17,IF(Atletas!K116="Wuzuquan D",18,IF(Atletas!K116="Wingchun D",19,IF(Atletas!K116="Outra Mão de Sul D",20,IF(Atletas!K116="Choylayfut E",21,IF(Atletas!K116="Hunggar E",22,IF(Atletas!K116="Wuzuquan E",23,IF(Atletas!K116="Wingchun E",24,IF(Atletas!K116="Outra Mão de Sul E",25,IF(Atletas!K116="Choylayfut F",26,IF(Atletas!K116="Hunggar F",27,IF(Atletas!K116="Wuzuquan F",28,IF(Atletas!K116="Wingchun F",29,IF(Atletas!K116="Outra Mão de Sul F",30,""))))))))))))))))))))))))))))))))</f>
        <v/>
      </c>
      <c r="BL120" s="52" t="str">
        <f>IF(Atletas!L116="","",IF(Atletas!W116&lt;&gt;"",10000,0)+(IF(Atletas!B116="Feminino",1000,IF(Atletas!B116="Masculino",2000,""))+(IF(Atletas!L116="Chaquan A",101,IF(Atletas!L116="Emeiquan A",102,IF(Atletas!L116="Fanziquan A",103,IF(Atletas!L116="Huaquan A",104,IF(Atletas!L116="Hongquan A",105,IF(Atletas!L116="Paochui A",106,IF(Atletas!L116="Piguaquan A",107,IF(Atletas!L116="Shaolinquan A",108,IF(Atletas!L116="Tanglangquan A",109,IF(Atletas!L116="Yinzhaophai A",110,IF(Atletas!L116="Tongbeiquan A",111,IF(Atletas!L116="Wudangquan A",112,IF(Atletas!L116="Outros Estilos A",113,IF(Atletas!L116="Chaquan B",114,IF(Atletas!L116="Emeiquan B",115,IF(Atletas!L116="Fanziquan B",116,IF(Atletas!L116="Huaquan B",117,IF(Atletas!L116="Hongquan B",118,IF(Atletas!L116="Paochui B",119,IF(Atletas!L116="Piguaquan B",120,IF(Atletas!L116="Shaolinquan B",121,IF(Atletas!L116="Tanglangquan B",122,IF(Atletas!L116="Yinzhaophai B",123,IF(Atletas!L116="Tongbeiquan B",124,IF(Atletas!L116="Wudangquan B",125,IF(Atletas!L116="Outros Estilos B",126,IF(Atletas!L116="Chaquan C",127,IF(Atletas!L116="Emeiquan C",128,IF(Atletas!L116="Fanziquan C",129,IF(Atletas!L116="Huaquan C",130,IF(Atletas!L116="Hongquan C",131,IF(Atletas!L116="Paochui C",132,IF(Atletas!L116="Piguaquan C",133,IF(Atletas!L116="Shaolinquan C",134,IF(Atletas!L116="Tanglangquan C",135,IF(Atletas!L116="Yinzhaophai C",136,IF(Atletas!L116="Tongbeiquan C",137,IF(Atletas!L116="Wudangquan C",138,IF(Atletas!L116="Outros Estilos C",139,0))))))))))))))))))))))))))))))))))))))))))</f>
        <v/>
      </c>
      <c r="BM120" s="52" t="str">
        <f>IF(Atletas!L116="","",IF(Atletas!W116&lt;&gt;"",10000,0)+(IF(Atletas!B116="Feminino",1000,IF(Atletas!B116="Masculino",2000,""))+(IF(Atletas!L116="Chaquan D",140,IF(Atletas!L116="Emeiquan D",141,IF(Atletas!L116="Fanziquan D",142,IF(Atletas!L116="Huaquan D",143,IF(Atletas!L116="Hongquan D",144,IF(Atletas!L116="Paochui D",145,IF(Atletas!L116="Piguaquan D",146,IF(Atletas!L116="Shaolinquan D",147,IF(Atletas!L116="Tanglangquan D",148,IF(Atletas!L116="Yinzhaophai D",149,IF(Atletas!L116="Tongbeiquan D",150,IF(Atletas!L116="Wudangquan D",151,IF(Atletas!L116="Outros Estilos D",152,IF(Atletas!L116="Chaquan E",153,IF(Atletas!L116="Emeiquan E",154,IF(Atletas!L116="Fanziquan E",155,IF(Atletas!L116="Huaquan E",156,IF(Atletas!L116="Hongquan E",157,IF(Atletas!L116="Paochui E",158,IF(Atletas!L116="Piguaquan E",159,IF(Atletas!L116="Shaolinquan E",160,IF(Atletas!L116="Tanglangquan E",161,IF(Atletas!L116="Yinzhaophai E",162,IF(Atletas!L116="Tongbeiquan E",163,IF(Atletas!L116="Wudangquan E",164,IF(Atletas!L116="Outros Estilos E",165,IF(Atletas!L116="Chaquan F",166,IF(Atletas!L116="Emeiquan F",167,IF(Atletas!L116="Fanziquan F",168,IF(Atletas!L116="Huaquan F",169,IF(Atletas!L116="Hongquan F",170,IF(Atletas!L116="Paochui F",171,IF(Atletas!L116="Piguaquan F",172,IF(Atletas!L116="Shaolinquan F",173,IF(Atletas!L116="Tanglangquan F",174,IF(Atletas!L116="Yinzhaophai F",175,IF(Atletas!L116="Tongbeiquan F",176,IF(Atletas!L116="Wudangquan F",177,IF(Atletas!L116="Outros Estilos F",178,0))))))))))))))))))))))))))))))))))))))))))</f>
        <v/>
      </c>
      <c r="BN120" s="52" t="str">
        <f>IF(Atletas!M116="","",IF(Atletas!W116&lt;&gt;"",10000,0)+(IF(Atletas!B116="Feminino",1000,IF(Atletas!B116="Masculino",2000,""))+(IF(Atletas!M116="Ditangquan A",201,IF(Atletas!M116="Houquan A",202,IF(Atletas!M116="Zuiquan A",203,IF(Atletas!M116="Ditangquan B",204,IF(Atletas!M116="Houquan B",205,IF(Atletas!M116="Zuiquan B",206,IF(Atletas!M116="Ditangquan C",207,IF(Atletas!M116="Houquan C",208,IF(Atletas!M116="Zuiquan C",209,IF(Atletas!M116="Ditangquan D",210,IF(Atletas!M116="Houquan D",211,IF(Atletas!M116="Zuiquan D",212,IF(Atletas!M116="Ditangquan E",213,IF(Atletas!M116="Houquan E",214,IF(Atletas!M116="Zuiquan E",215,IF(Atletas!M116="Ditangquan F",216,IF(Atletas!M116="Houquan F",217,IF(Atletas!M116="Zuiquan F",218,"")))))))))))))))))))))</f>
        <v/>
      </c>
      <c r="BO120" s="52" t="str">
        <f>IF(Atletas!N116="","",IF(Atletas!W116&lt;&gt;"",10000,0)+IF(Atletas!B116="Feminino",1000,IF(Atletas!B116="Masculino",2000,""))+IF(Atletas!N116="Yang A",301,IF(Atletas!N116="Chen A",30,IF(Atletas!N116="Sun A",303,IF(Atletas!N116="Wu A",304,IF(Atletas!N116="Wu-Hao A",305,IF(Atletas!N116="Outro Taijiquan A",306,IF(Atletas!N116="Yang B",307,IF(Atletas!N116="Chen B",308,IF(Atletas!N116="Sun B",309,IF(Atletas!N116="Wu B",310,IF(Atletas!N116="Wu-Hao B",311,IF(Atletas!N116="Outro Taijiquan B",312,IF(Atletas!N116="Yang C",313,IF(Atletas!N116="Chen C",314,IF(Atletas!N116="Sun C",315,IF(Atletas!N116="Wu C",316,IF(Atletas!N116="Wu-Hao C",317,IF(Atletas!N116="Outro Taijiquan C",318,IF(Atletas!N116="Yang D",319,IF(Atletas!N116="Chen D",320,IF(Atletas!N116="Sun D",321,IF(Atletas!N116="Wu D",322,IF(Atletas!N116="Wu-Hao D",323,IF(Atletas!N116="Outro Taijiquan D",324,IF(Atletas!N116="Yang E",325,IF(Atletas!N116="Chen E",326,IF(Atletas!N116="Sun E",327,IF(Atletas!N116="Wu E",328,IF(Atletas!N116="Wu-Hao E",329,IF(Atletas!N116="Outro Taijiquan E",330,IF(Atletas!N116="Yang F",331,IF(Atletas!N116="Chen F",332,IF(Atletas!N116="Sun F",333,IF(Atletas!N116="Wu F",334,IF(Atletas!N116="Wu-Hao F",335,IF(Atletas!N116="Outro Taijiquan F",336,"")))))))))))))))))))))))))))))))))))))</f>
        <v/>
      </c>
      <c r="BP120" s="52" t="str">
        <f>IF(Atletas!O116="","",IF(Atletas!W116&lt;&gt;"",10000,0)+IF(Atletas!B116="Feminino",1000,IF(Atletas!B116="Masculino",2000,""))+IF(OR(Atletas!O116="Yang 26 A",Atletas!O116="Yang 40 A"),401,IF(OR(Atletas!O116="Chen 25 A",Atletas!O116="Chen 36 A",Atletas!O116="Chen 56 A"),402,IF(Atletas!O116="Sun 73 A",403,IF(Atletas!O116="Wu 45 A",404,IF(Atletas!O116="Wu-Hao 46 A",405,IF(OR(Atletas!O116="Taijiquan 16 A",Atletas!O116="Taijiquan 24 A",Atletas!O116="Taijiquan 32 A",Atletas!O116="Taijiquan 42 A"),406,IF(OR(Atletas!O116="Yang 26 B",Atletas!O116="Yang 40 B"),407,IF(OR(Atletas!O116="Chen 25 B",Atletas!O116="Chen 36 B",Atletas!O116="Chen 56 B"),408,IF(Atletas!O116="Sun 73 B",409,IF(Atletas!O116="Wu 45 B",410,IF(Atletas!O116="Wu-Hao 46 B",411,IF(OR(Atletas!O116="Taijiquan 16 B",Atletas!O116="Taijiquan 24 B",Atletas!O116="Taijiquan 32 B",Atletas!O116="Taijiquan 42 B"),412,IF(OR(Atletas!O116="Yang 26 C",Atletas!O116="Yang 40 C"),413,IF(OR(Atletas!O116="Chen 25 C",Atletas!O116="Chen 36 C",Atletas!O116="Chen 56 C"),414,IF(Atletas!O116="Sun 73 C",415,IF(Atletas!O116="Wu 45 C",416,IF(Atletas!O116="Wu-Hao 46 C",417,IF(OR(Atletas!O116="Taijiquan 16 C",Atletas!O116="Taijiquan 24 C",Atletas!O116="Taijiquan 32 C",Atletas!O116="Taijiquan 42 C"),418,0)))))))))))))))))))</f>
        <v/>
      </c>
      <c r="BQ120" s="52" t="str">
        <f>IF(Atletas!O116="","",IF(Atletas!W116&lt;&gt;"",10000,0)+IF(Atletas!B116="Feminino",1000,IF(Atletas!B116="Masculino",2000,""))+IF(OR(Atletas!O116="Yang 26 D",Atletas!O116="Yang 40 D"),419,IF(OR(Atletas!O116="Chen 25 D",Atletas!O116="Chen 36 D",Atletas!O116="Chen 56 D"),420,IF(Atletas!O116="Sun 73 D",421,IF(Atletas!O116="Wu 45 D",422,IF(Atletas!O116="Wu-Hao 46 D",423,IF(OR(Atletas!O116="Taijiquan 16 D",Atletas!O116="Taijiquan 24 D",Atletas!O116="Taijiquan 32 D",Atletas!O116="Taijiquan 42 D"),424,IF(OR(Atletas!O116="Yang 26 E",Atletas!O116="Yang 40 E"),425,IF(OR(Atletas!O116="Chen 25 E",Atletas!O116="Chen 36 E",Atletas!O116="Chen 56 E"),426,IF(Atletas!O116="Sun 73 E",427,IF(Atletas!O116="Wu 45 E",428,IF(Atletas!O116="Wu-Hao 46 E",429,IF(OR(Atletas!O116="Taijiquan 16 E",Atletas!O116="Taijiquan 24 E",Atletas!O116="Taijiquan 32 E",Atletas!O116="Taijiquan 42 E"),430,IF(OR(Atletas!O116="Yang 26 F",Atletas!O116="Yang 40 F"),431,IF(OR(Atletas!O116="Chen 25 F",Atletas!O116="Chen 36 F",Atletas!O116="Chen 56 F"),432,IF(Atletas!O116="Sun 73 F",433,IF(Atletas!O116="Wu 45 F",434,IF(Atletas!O116="Wu-Hao 46 F",435,IF(OR(Atletas!O116="Taijiquan 16 F",Atletas!O116="Taijiquan 24 F",Atletas!O116="Taijiquan 32 F",Atletas!O116="Taijiquan 42 F"),436,0)))))))))))))))))))</f>
        <v/>
      </c>
      <c r="BR120" s="52" t="str">
        <f>IF(Atletas!P116="","",IF(Atletas!W116&lt;&gt;"",10000,0)+IF(Atletas!B116="Feminino",1000,IF(Atletas!B116="Masculino",2000,""))+IF(Atletas!P116="Xingyiquan A",501,IF(Atletas!P116="Baguazhang A",502,IF(Atletas!P116="Outro Estilo Interno A",503,IF(Atletas!P116="Xingyiquan B",504,IF(Atletas!P116="Baguazhang B",505,IF(Atletas!P116="Outro Estilo Interno B",506,IF(Atletas!P116="Xingyiquan C",507,IF(Atletas!P116="Baguazhang C",508,IF(Atletas!P116="Outro Estilo Interno C",509,IF(Atletas!P116="Xingyiquan D",510,IF(Atletas!P116="Baguazhang D",511,IF(Atletas!P116="Outro Estilo Interno D",512,IF(Atletas!P116="Xingyiquan E",513,IF(Atletas!P116="Baguazhang E",514,IF(Atletas!P116="Outro Estilo Interno E",515,IF(Atletas!P116="Xingyiquan F",516,IF(Atletas!P116="Baguazhang F",517,IF(Atletas!P116="Outro Estilo Interno F",518, "")))))))))))))))))))</f>
        <v/>
      </c>
      <c r="BS120" s="52" t="str">
        <f>IF(Atletas!Q116="","",IF(Atletas!W116&lt;&gt;"",10000,0)+IF(Atletas!B116="Feminino",1000,IF(Atletas!B116="Masculino",2000,""))+IF(Atletas!Q116="Dao A",601,IF(Atletas!Q116="Jian A",602,IF(Atletas!Q116="Bishou A",603,IF(Atletas!Q116="Shan A",604,IF(Atletas!Q116="Outra Arma Curta A",605,IF(Atletas!Q116="Dao B",606,IF(Atletas!Q116="Jian B",607,IF(Atletas!Q116="Bishou B",608,IF(Atletas!Q116="Shan B",609,IF(Atletas!Q116="Outra Arma Curta B",610,IF(Atletas!Q116="Dao C",611,IF(Atletas!Q116="Jian C",612,IF(Atletas!Q116="Bishou C",613,IF(Atletas!Q116="Shan C",614,IF(Atletas!Q116="Outra Arma Curta C",615,IF(Atletas!Q116="Dao D",616,IF(Atletas!Q116="Jian D",617,IF(Atletas!Q116="Bishou D",618,IF(Atletas!Q116="Shan D",619,IF(Atletas!Q116="Outra Arma Curta D",620,IF(Atletas!Q116="Dao E",621,IF(Atletas!Q116="Jian E",622,IF(Atletas!Q116="Bishou E",623,IF(Atletas!Q116="Shan E",624,IF(Atletas!Q116="Outra Arma Curta E",625,IF(Atletas!Q116="Dao F",626,IF(Atletas!Q116="Jian F",627,IF(Atletas!Q116="Bishou F",628,IF(Atletas!Q116="Shan F",629,IF(Atletas!Q116="Outra Arma Curta F",630, "")))))))))))))))))))))))))))))))</f>
        <v/>
      </c>
      <c r="BT120" s="52" t="str">
        <f>IF(Atletas!R116="","",IF(Atletas!W116&lt;&gt;"",10000,0)+IF(Atletas!B116="Feminino",1000,IF(Atletas!B116="Masculino",2000,""))+IF(Atletas!R116="Gun A",701,IF(Atletas!R116="Qiang A",702,IF(Atletas!R116="Pudao / Guandao A",703,IF(Atletas!R116="Outra Arma Longa A",704,IF(Atletas!R116="Gun B",705,IF(Atletas!R116="Qiang B",706,IF(Atletas!R116="Pudao / Guandao B",707,IF(Atletas!R116="Outra Arma Longa B",708,IF(Atletas!R116="Gun C",709,IF(Atletas!R116="Qiang C",710,IF(Atletas!R116="Pudao / Guandao C",711,IF(Atletas!R116="Outra Arma Longa C",712,IF(Atletas!R116="Gun D",713,IF(Atletas!R116="Qiang D",714,IF(Atletas!R116="Pudao / Guandao D",715,IF(Atletas!R116="Outra Arma Longa D",716,IF(Atletas!R116="Gun E",717,IF(Atletas!R116="Qiang E",718,IF(Atletas!R116="Pudao / Guandao E",719,IF(Atletas!R116="Outra Arma Longa E",720,IF(Atletas!R116="Gun F",721,IF(Atletas!R116="Qiang F",722,IF(Atletas!R116="Pudao / Guandao F",723,IF(Atletas!R116="Outra Arma Longa F",724,"")))))))))))))))))))))))))</f>
        <v/>
      </c>
      <c r="BU120" s="52" t="str">
        <f>IF(Atletas!S116="","",IF(Atletas!W116&lt;&gt;"",10000,0)+IF(Atletas!B116="Feminino",1000,IF(Atletas!B116="Masculino",2000,""))+IF(Atletas!S116="Arma Dupla A",801,IF(Atletas!S116="Arma Maleável A",802,IF(Atletas!S116="Arma Dupla B",803,IF(Atletas!S116="Arma Maleável B",804,IF(Atletas!S116="Arma Dupla C",805,IF(Atletas!S116="Arma Maleável C",806,IF(Atletas!S116="Arma Dupla D",807,IF(Atletas!S116="Arma Maleável D",808,IF(Atletas!S116="Arma Dupla E",809,IF(Atletas!S116="Arma Maleável E",810,IF(Atletas!S116="Arma Dupla F",811,IF(Atletas!S116="Arma Maleável F",812, "")))))))))))))</f>
        <v/>
      </c>
      <c r="BV120" s="52" t="str">
        <f>IF(Atletas!T116="","",IF(Atletas!W116&lt;&gt;"",10000,0)+IF(Atletas!B116="Feminino",1000,IF(Atletas!B116="Masculino",2000,""))+IF(Atletas!T116="Taijijian Yang A",901,IF(Atletas!T116="Taijijian Chen A",902,IF(Atletas!T116="Taijijian Sun A",903,IF(Atletas!T116="Taijijian Wu A",904,IF(Atletas!T116="Taijijian Wu-Hao A",905,IF(Atletas!T116="Taijijian 32 A",906,IF(Atletas!T116="Taijijian 42 A",907,IF(Atletas!T116="Taijijian Yang B",908,IF(Atletas!T116="Taijijian Chen B",909,IF(Atletas!T116="Taijijian Sun B",910,IF(Atletas!T116="Taijijian Wu B",911,IF(Atletas!T116="Taijijian Wu-Hao B",912,IF(Atletas!T116="Taijijian 32 B",913,IF(Atletas!T116="Taijijian 42 B",914,IF(Atletas!T116="Taijijian Yang C",915,IF(Atletas!T116="Taijijian Chen C",916,IF(Atletas!T116="Taijijian Sun C",917,IF(Atletas!T116="Taijijian Wu C",918,IF(Atletas!T116="Taijijian Wu-Hao C",919,IF(Atletas!T116="Taijijian 32 C",920,IF(Atletas!T116="Taijijian 42 C",921,IF(Atletas!T116="Taijijian Yang D",922,IF(Atletas!T116="Taijijian Chen D",923,IF(Atletas!T116="Taijijian Sun D",924,IF(Atletas!T116="Taijijian Wu D",925,IF(Atletas!T116="Taijijian Wu-Hao D",926,IF(Atletas!T116="Taijijian 32 D",927,IF(Atletas!T116="Taijijian 42 D",928,IF(Atletas!T116="Taijijian Yang E",929,IF(Atletas!T116="Taijijian Chen E",930,IF(Atletas!T116="Taijijian Sun E",931,IF(Atletas!T116="Taijijian Wu E",932,IF(Atletas!T116="Taijijian Wu-Hao E",933,IF(Atletas!T116="Taijijian 32 E",934,IF(Atletas!T116="Taijijian 42 E",935,IF(Atletas!T116="Taijijian Yang F",936,IF(Atletas!T116="Taijijian Chen F",937,IF(Atletas!T116="Taijijian Sun F",938,IF(Atletas!T116="Taijijian Wu F",939,IF(Atletas!T116="Taijijian Wu-Hao F",940,IF(Atletas!T116="Taijijian 32 F",941,IF(Atletas!T116="Taijijian 42 F",942,"")))))))))))))))))))))))))))))))))))))))))))</f>
        <v/>
      </c>
      <c r="BW120" s="52" t="str">
        <f>IF(Atletas!U116="","",IF(Atletas!W116&lt;&gt;"",10000,0)+IF(Atletas!B116="Feminino",1000,IF(Atletas!B116="Masculino",2000,""))+IF(Atletas!T116="Taijijian 42 F",942,IF(Atletas!U116="Taijidao A",943,IF(Atletas!U116="Taijishan A",944,IF(Atletas!U116="Taijiqiang A",945,IF(Atletas!U116="Taijidao B",946,IF(Atletas!U116="Taijishan B",947,IF(Atletas!U116="Taijiqiang B",948,IF(Atletas!U116="Taijidao C",949,IF(Atletas!U116="Taijishan C",950,IF(Atletas!U116="Taijiqiang C",951,IF(Atletas!U116="Taijidao D",952,IF(Atletas!U116="Taijishan D",953,IF(Atletas!U116="Taijiqiang D",954,IF(Atletas!U116="Taijidao E",955,IF(Atletas!U116="Taijishan E",956,IF(Atletas!U116="Taijiqiang E",957,IF(Atletas!U116="Taijidao F",958,IF(Atletas!U116="Taijishan F",959,IF(Atletas!U116="Taijiqiang F",960))))))))))))))))))))</f>
        <v/>
      </c>
      <c r="BX120" s="72" t="str">
        <f>IF(BY120&lt;&gt;"","Zuiquan B","")</f>
        <v/>
      </c>
      <c r="BY120" s="72" t="str">
        <f>IF(COUNTIF(BK:BW,1206)&gt;0,COUNTIF(BK:BW,1206),"")</f>
        <v/>
      </c>
      <c r="BZ120" s="72" t="str">
        <f>IF(CA120&lt;&gt;"","Zuiquan B","")</f>
        <v/>
      </c>
      <c r="CA120" s="72" t="str">
        <f>IF(COUNTIF(BK:BW,2206)&gt;0,COUNTIF(BK:BW,2206),"")</f>
        <v/>
      </c>
      <c r="CB120" s="72" t="str">
        <f>IF(CC120&lt;&gt;"","Zuiquan B","")</f>
        <v/>
      </c>
      <c r="CC120" s="64" t="str">
        <f>IF(COUNTIF(BK:BW,11206)&gt;0,COUNTIF(BK:BW,11206),"")</f>
        <v/>
      </c>
      <c r="CD120" s="64" t="str">
        <f>IF(CE120&lt;&gt;"","Zuiquan B","")</f>
        <v/>
      </c>
      <c r="CE120" s="64" t="str">
        <f>IF(COUNTIF(BK:BW,12206)&gt;0,COUNTIF(BK:BW,12206),"")</f>
        <v/>
      </c>
      <c r="CF120" s="52" t="str">
        <f xml:space="preserve"> IF(Atletas!V116="","",IF(Atletas!V116="Duilian de Mãos AB - Equipe 1",1,IF(Atletas!V116="Duilian de Mãos AB - Equipe 2",2,IF(Atletas!V116="Duilian de Armas AB - Equipe 1",3,IF(Atletas!V116="Duilian de Armas AB - Equipe 2",4,IF(Atletas!V116="Duilian de Tuishou - Equipe 1",5,IF(Atletas!V116="Duilian de Tuishou - Equipe 2",6,IF(Atletas!V116="Grupo Externo AB - Equipe 1",7,IF(Atletas!V116="Grupo Externo AB - Equipe 2",8,IF(Atletas!V116="Grupo Interno AB - Equipe 1",9,IF(Atletas!V116="Grupo Interno AB - Equipe 2",10,IF(Atletas!V116="Duilian de Mãos CD - Equipe 1",11,IF(Atletas!V116="Duilian de Mãos CD - Equipe 2",12,IF(Atletas!V116="Duilian de Armas CD - Equipe 1",13,IF(Atletas!V116="Duilian de Armas CD - Equipe 2",14,IF(Atletas!V116="Duilian de Tuishou - Equipe 1",15,IF(Atletas!V116="Duilian de Tuishou - Equipe 2",16,IF(Atletas!V116="Grupo Externo CDEF - Equipe 1",17,IF(Atletas!V116="Grupo Externo CDEF - Equipe 2",18,IF(Atletas!V116="Grupo Interno CDEF - Equipe 1",19,IF(Atletas!V116="Grupo Interno CDEF - Equipe 2",20,IF(Atletas!V116="Duilian de Mãos EF - Equipe 1",21,IF(Atletas!V116="Duilian de Mãos EF - Equipe 2",22,IF(Atletas!V116="Duilian de Armas EF - Equipe 1",23,IF(Atletas!V116="Duilian de Armas EF - Equipe 2",24,IF(Atletas!V116="Duilian de Tuishou - Equipe 1",25,IF(Atletas!V116="Duilian de Tuishou - Equipe 2",26,"")))))))))))))))))))))))))))</f>
        <v/>
      </c>
    </row>
    <row r="121" spans="2:84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 t="str">
        <f t="array" ref="V121">IFERROR(INDEX(BX$7:BX$336,SMALL(IF(BX$7:BX$336&lt;&gt;"",ROW(BX$7:BX$336)-ROW(BX$7)+1),ROWS(BX$7:BX120))),"")</f>
        <v/>
      </c>
      <c r="W121" s="4" t="str">
        <f t="array" ref="W121">IFERROR(INDEX(BY$7:BY$336,SMALL(IF(BY$7:BY$336&lt;&gt;"",ROW(BY$7:BY$336)-ROW(BY$7)+1),ROWS(BY$7:BY120))),"")</f>
        <v/>
      </c>
      <c r="X121" s="4" t="str">
        <f t="array" ref="X121">IFERROR(INDEX(BZ$7:BZ$336,SMALL(IF(BZ$7:BZ$336&lt;&gt;"",ROW(BZ$7:BZ$336)-ROW(BZ$7)+1),ROWS(BZ$7:BZ120))),"")</f>
        <v/>
      </c>
      <c r="Y121" s="4" t="str">
        <f t="array" ref="Y121">IFERROR(INDEX(CA$7:CA$336,SMALL(IF(CA$7:CA$336&lt;&gt;"",ROW(CA$7:CA$336)-ROW(CA$7)+1),ROWS(CA$7:CA120))),"")</f>
        <v/>
      </c>
      <c r="Z121" s="4" t="str">
        <f t="array" ref="Z121">IFERROR(INDEX(CB$7:CB$378,SMALL(IF(CB$7:CB$378&lt;&gt;"",ROW(CB$7:CB$378)-ROW(CB$7)+1),ROWS(CB$7:CB120))),"")</f>
        <v/>
      </c>
      <c r="AA121" s="4" t="str">
        <f t="array" ref="AA121">IFERROR(INDEX(CC$7:CC$378,SMALL(IF(CC$7:CC$378&lt;&gt;"",ROW(CC$7:CC$378)-ROW(CC$7)+1),ROWS(CC$7:CC120))),"")</f>
        <v/>
      </c>
      <c r="AB121" s="4" t="str">
        <f t="array" ref="AB121">IFERROR(INDEX(CD$7:CD$378,SMALL(IF(CD$7:CD$378&lt;&gt;"",ROW(CD$7:CD$378)-ROW(CD$7)+1),ROWS(CD$7:CD120))),"")</f>
        <v/>
      </c>
      <c r="AC121" s="4" t="str">
        <f t="array" ref="AC121">IFERROR(INDEX(CE$7:CE$378,SMALL(IF(CE$7:CE$378&lt;&gt;"",ROW(CE$7:CE$378)-ROW(CE$7)+1),ROWS(CE$7:CE120))),"")</f>
        <v/>
      </c>
      <c r="AD121" s="4"/>
      <c r="AE121" s="4"/>
      <c r="AF121" s="4"/>
      <c r="AG121" s="4"/>
      <c r="AH121" s="4"/>
      <c r="AI121" s="4"/>
      <c r="AJ121" s="46" t="str">
        <f>IF(Atletas!D117="","",IF(Atletas!B117="Feminino",100,IF(Atletas!B117="Masculino",200,""))+(IF(Atletas!D117="Infantil 39kg",1,IF(Atletas!D117="Infantil 42kg",2,IF(Atletas!D117="Infantil 45kg",3,IF(Atletas!D117="Infantil 48kg",4,IF(Atletas!D117="Infantil 52kg",5,IF(Atletas!D117="Infantil 56kg",6,IF(Atletas!D117="Infantil 60kg",7,IF(Atletas!D117="Juvenil 48kg",8,IF(Atletas!D117="Juvenil 52kg",9,IF(Atletas!D117="Juvenil 56kg",10,IF(Atletas!D117="Juvenil 60kg",11,IF(Atletas!D117="Juvenil 65kg",12,IF(Atletas!D117="Juvenil 70kg",13,IF(Atletas!D117="Juvenil 75kg",14,IF(Atletas!D117="Juvenil 80kg",15,IF(Atletas!D117="Adulto 48kg",16,IF(Atletas!D117="Adulto 52kg",17,IF(Atletas!D117="Adulto 56kg",18,IF(Atletas!D117="Adulto 60kg",19,IF(Atletas!D117="Adulto 65kg",20,IF(Atletas!D117="Adulto 70kg",21,IF(Atletas!D117="Adulto 75kg",22,IF(Atletas!D117="Adulto 80kg",23,IF(Atletas!D117="Adulto 85kg",24,IF(Atletas!D117="Adulto 90kg",25,IF(Atletas!D117="Adulto +90kg",26,""))))))))))))))))))))))))))))</f>
        <v/>
      </c>
      <c r="AO121" s="10" t="str">
        <f>IF(Atletas!E117="","",IF(Atletas!B117="Feminino",100,IF(Atletas!B117="Masculino",200,""))+(IF(Atletas!E117="Juvenil 44kg",1,IF(Atletas!E117="Juvenil 48kg",2,IF(Atletas!E117="Juvenil 52kg",3,IF(Atletas!E117="Juvenil 56kg",4,IF(Atletas!E117="Juvenil 60kg",5,IF(Atletas!E117="Juvenil 65kg",6,IF(Atletas!E117="Juvenil 70kg",7,IF(Atletas!E117="Juvenil 75kg",8,IF(Atletas!E117="Juvenil 82kg",9,IF(Atletas!E117="Juvenil 90kg",10,IF(Atletas!E117="Juvenil 100kg",11,IF(Atletas!E117="Adulto 48kg",12,IF(Atletas!E117="Adulto 52kg",13,IF(Atletas!E117="Adulto 56kg",14,IF(Atletas!E117="Adulto 60kg",15,IF(Atletas!E117="Adulto 65kg",16,IF(Atletas!E117="Adulto 70kg",17,IF(Atletas!E117="Adulto 75kg",18,IF(Atletas!E117="Adulto 82kg",19,IF(Atletas!E117="Adulto 90kg",20,IF(Atletas!E117="Adulto 100kg",21,IF(Atletas!E117="Adulto +100kg",22,""))))))))))))))))))))))))</f>
        <v/>
      </c>
      <c r="AT121" s="10" t="str">
        <f>IF(Atletas!F117="","",IF(Atletas!B117="Feminino",100,IF(Atletas!B117="Masculino",200,""))+(IF(Atletas!F117="Adulto 48kg",1,IF(Atletas!F117="Adulto 56kg",2,IF(Atletas!F117="Adulto 65kg",3,IF(Atletas!F117="Adulto 75kg",4,IF(Atletas!F117="Adulto +75kg",5,IF(Atletas!F117="Adulto 52kg",6,IF(Atletas!F117="Adulto 60kg",7,IF(Atletas!F117="Adulto 70kg",8,IF(Atletas!F117="Adulto 80kg",9,IF(Atletas!F117="Adulto 90kg",10,IF(Atletas!F117="Adulto +90kg",11,"")))))))))))))</f>
        <v/>
      </c>
      <c r="AY121" s="46" t="str">
        <f>IF(Atletas!G117="","",IF(Atletas!B117="Feminino",100,IF(Atletas!B117="Masculino",200,""))+(IF(Atletas!G117="Changquan Mirim",1,IF(Atletas!G117="Nanquan Mirim",2,IF(Atletas!G117="Taijiquan Mirim",3,IF(Atletas!G117="Changquan Grupo C",4,IF(Atletas!G117="Nanquan Grupo C",5,IF(Atletas!G117="Taijiquan Grupo C",6,IF(Atletas!G117="Changquan Grupo B",7,IF(Atletas!G117="Nanquan Grupo B",8,IF(Atletas!G117="Taijiquan Grupo B",9,IF(Atletas!G117="Changquan Grupo A",10,IF(Atletas!G117="Nanquan Grupo A",11,IF(Atletas!G117="Taijiquan Grupo A",12,IF(Atletas!G117="Changquan Opcional",13,IF(Atletas!G117="Nanquan Opcional",14,IF(Atletas!G117="Taijiquan Opcional",15,IF(Atletas!G117="Changquan Adulto",16,IF(Atletas!G117="Nanquan Adulto",17,IF(Atletas!G117="Taijiquan Adulto",18,""))))))))))))))))))))</f>
        <v/>
      </c>
      <c r="AZ121" s="46" t="str">
        <f>IF(Atletas!H117="","",IF(Atletas!B117="Feminino",100,IF(Atletas!B117="Masculino",200,""))+(IF(Atletas!H117="Daoshu Mirim",19,IF(Atletas!H117="Jianshu Mirim",20,IF(Atletas!H117="Nandao Mirim",21,IF(Atletas!H117="Taijijian Mirim",22,IF(Atletas!H117="Daoshu Grupo C",23,IF(Atletas!H117="Jianshu Grupo C",24,IF(Atletas!H117="Nandao Grupo C",25,IF(Atletas!H117="Taijijian Grupo C",26,IF(Atletas!H117="Daoshu Grupo B",27,IF(Atletas!H117="Jianshu Grupo B",28,IF(Atletas!H117="Nandao Grupo B",29,IF(Atletas!H117="Taijijian Grupo B",30,IF(Atletas!H117="Daoshu Grupo A",31,IF(Atletas!H117="Jianshu Grupo A",32,IF(Atletas!H117="Nandao Grupo A",33,IF(Atletas!H117="Taijijian Grupo A",34,IF(Atletas!H117="Daoshu Opcional",35,IF(Atletas!H117="Jianshu Opcional",36,IF(Atletas!H117="Nandao Opcional",37,IF(Atletas!H117="Taijijian Opcional",38,IF(Atletas!H117="Daoshu Adulto",39,IF(Atletas!H117="Jianshu Adulto",40,IF(Atletas!H117="Nandao Adulto",41,IF(Atletas!H117="Taijijian Adulto",42,""))))))))))))))))))))))))))</f>
        <v/>
      </c>
      <c r="BA121" s="46" t="str">
        <f>IF(Atletas!I117="","",IF(Atletas!B117="Feminino",100,IF(Atletas!B117="Masculino",200,""))+(IF(Atletas!I117="Gunshu Mirim",43,IF(Atletas!I117="Qiangshu Mirim",44,IF(Atletas!I117="Nangun Mirim",45,IF(Atletas!I117="Gunshu Grupo C",46,IF(Atletas!I117="Qiangshu Grupo C",47,IF(Atletas!I117="Nangun Grupo C",48,IF(Atletas!I117="Gunshu Grupo B",49,IF(Atletas!I117="Qiangshu Grupo B",50,IF(Atletas!I117="Nangun Grupo B",51,IF(Atletas!I117="Gunshu Grupo A",52,IF(Atletas!I117="Qiangshu Grupo A",53,IF(Atletas!I117="Nangun Grupo A",54,IF(Atletas!I117="Gunshu Opcional",55,IF(Atletas!I117="Qiangshu Opcional",56,IF(Atletas!I117="Nangun Opcional",57,IF(Atletas!I117="Gunshu Adulto",58,IF(Atletas!I117="Qiangshu Adulto",59,IF(Atletas!I117="Nangun Adulto",60,""))))))))))))))))))))</f>
        <v/>
      </c>
      <c r="BF121" s="52" t="str">
        <f>IF(Atletas!J117="","",IF(Atletas!B117="Feminino",100,IF(Atletas!B117="Masculino",200,""))+(IF(Atletas!J117="Equipe 1 Grupo B",1,IF(Atletas!J117="Equipe 2 Grupo B",2,IF(Atletas!J117="Equipe 1 Grupo A",3,IF(Atletas!J117="Equipe 2 Grupo A",4,IF(Atletas!J117="Equipe 1 Adulto",5,IF(Atletas!J117="Equipe 2 Adulto",6,""))))))))</f>
        <v/>
      </c>
      <c r="BK121" s="52" t="str">
        <f>IF(Atletas!K117="","",IF(Atletas!W117&lt;&gt;"",10000,0)+(IF(Atletas!B117="Feminino",1000,IF(Atletas!B117="Masculino",2000,""))+IF(Atletas!K117="Choylayfut A",1,IF(Atletas!K117="Hunggar A",2,IF(Atletas!K117="Wuzuquan A",3,IF(Atletas!K117="Wingchun A",4,IF(Atletas!K117="Outra Mão de Sul A",5,IF(Atletas!K117="Choylayfut B",6,IF(Atletas!K117="Hunggar B",7,IF(Atletas!K117="Wuzuquan B",8,IF(Atletas!K117="Wingchun B",9,IF(Atletas!K117="Outra Mão de Sul B",10,IF(Atletas!K117="Choylayfut C",11,IF(Atletas!K117="Hunggar C",12,IF(Atletas!K117="Wuzuquan C",13,IF(Atletas!K117="Wingchun C",14,IF(Atletas!K117="Outra Mão de Sul C",15,IF(Atletas!K117="Choylayfut D",16,IF(Atletas!K117="Hunggar D",17,IF(Atletas!K117="Wuzuquan D",18,IF(Atletas!K117="Wingchun D",19,IF(Atletas!K117="Outra Mão de Sul D",20,IF(Atletas!K117="Choylayfut E",21,IF(Atletas!K117="Hunggar E",22,IF(Atletas!K117="Wuzuquan E",23,IF(Atletas!K117="Wingchun E",24,IF(Atletas!K117="Outra Mão de Sul E",25,IF(Atletas!K117="Choylayfut F",26,IF(Atletas!K117="Hunggar F",27,IF(Atletas!K117="Wuzuquan F",28,IF(Atletas!K117="Wingchun F",29,IF(Atletas!K117="Outra Mão de Sul F",30,""))))))))))))))))))))))))))))))))</f>
        <v/>
      </c>
      <c r="BL121" s="52" t="str">
        <f>IF(Atletas!L117="","",IF(Atletas!W117&lt;&gt;"",10000,0)+(IF(Atletas!B117="Feminino",1000,IF(Atletas!B117="Masculino",2000,""))+(IF(Atletas!L117="Chaquan A",101,IF(Atletas!L117="Emeiquan A",102,IF(Atletas!L117="Fanziquan A",103,IF(Atletas!L117="Huaquan A",104,IF(Atletas!L117="Hongquan A",105,IF(Atletas!L117="Paochui A",106,IF(Atletas!L117="Piguaquan A",107,IF(Atletas!L117="Shaolinquan A",108,IF(Atletas!L117="Tanglangquan A",109,IF(Atletas!L117="Yinzhaophai A",110,IF(Atletas!L117="Tongbeiquan A",111,IF(Atletas!L117="Wudangquan A",112,IF(Atletas!L117="Outros Estilos A",113,IF(Atletas!L117="Chaquan B",114,IF(Atletas!L117="Emeiquan B",115,IF(Atletas!L117="Fanziquan B",116,IF(Atletas!L117="Huaquan B",117,IF(Atletas!L117="Hongquan B",118,IF(Atletas!L117="Paochui B",119,IF(Atletas!L117="Piguaquan B",120,IF(Atletas!L117="Shaolinquan B",121,IF(Atletas!L117="Tanglangquan B",122,IF(Atletas!L117="Yinzhaophai B",123,IF(Atletas!L117="Tongbeiquan B",124,IF(Atletas!L117="Wudangquan B",125,IF(Atletas!L117="Outros Estilos B",126,IF(Atletas!L117="Chaquan C",127,IF(Atletas!L117="Emeiquan C",128,IF(Atletas!L117="Fanziquan C",129,IF(Atletas!L117="Huaquan C",130,IF(Atletas!L117="Hongquan C",131,IF(Atletas!L117="Paochui C",132,IF(Atletas!L117="Piguaquan C",133,IF(Atletas!L117="Shaolinquan C",134,IF(Atletas!L117="Tanglangquan C",135,IF(Atletas!L117="Yinzhaophai C",136,IF(Atletas!L117="Tongbeiquan C",137,IF(Atletas!L117="Wudangquan C",138,IF(Atletas!L117="Outros Estilos C",139,0))))))))))))))))))))))))))))))))))))))))))</f>
        <v/>
      </c>
      <c r="BM121" s="52" t="str">
        <f>IF(Atletas!L117="","",IF(Atletas!W117&lt;&gt;"",10000,0)+(IF(Atletas!B117="Feminino",1000,IF(Atletas!B117="Masculino",2000,""))+(IF(Atletas!L117="Chaquan D",140,IF(Atletas!L117="Emeiquan D",141,IF(Atletas!L117="Fanziquan D",142,IF(Atletas!L117="Huaquan D",143,IF(Atletas!L117="Hongquan D",144,IF(Atletas!L117="Paochui D",145,IF(Atletas!L117="Piguaquan D",146,IF(Atletas!L117="Shaolinquan D",147,IF(Atletas!L117="Tanglangquan D",148,IF(Atletas!L117="Yinzhaophai D",149,IF(Atletas!L117="Tongbeiquan D",150,IF(Atletas!L117="Wudangquan D",151,IF(Atletas!L117="Outros Estilos D",152,IF(Atletas!L117="Chaquan E",153,IF(Atletas!L117="Emeiquan E",154,IF(Atletas!L117="Fanziquan E",155,IF(Atletas!L117="Huaquan E",156,IF(Atletas!L117="Hongquan E",157,IF(Atletas!L117="Paochui E",158,IF(Atletas!L117="Piguaquan E",159,IF(Atletas!L117="Shaolinquan E",160,IF(Atletas!L117="Tanglangquan E",161,IF(Atletas!L117="Yinzhaophai E",162,IF(Atletas!L117="Tongbeiquan E",163,IF(Atletas!L117="Wudangquan E",164,IF(Atletas!L117="Outros Estilos E",165,IF(Atletas!L117="Chaquan F",166,IF(Atletas!L117="Emeiquan F",167,IF(Atletas!L117="Fanziquan F",168,IF(Atletas!L117="Huaquan F",169,IF(Atletas!L117="Hongquan F",170,IF(Atletas!L117="Paochui F",171,IF(Atletas!L117="Piguaquan F",172,IF(Atletas!L117="Shaolinquan F",173,IF(Atletas!L117="Tanglangquan F",174,IF(Atletas!L117="Yinzhaophai F",175,IF(Atletas!L117="Tongbeiquan F",176,IF(Atletas!L117="Wudangquan F",177,IF(Atletas!L117="Outros Estilos F",178,0))))))))))))))))))))))))))))))))))))))))))</f>
        <v/>
      </c>
      <c r="BN121" s="52" t="str">
        <f>IF(Atletas!M117="","",IF(Atletas!W117&lt;&gt;"",10000,0)+(IF(Atletas!B117="Feminino",1000,IF(Atletas!B117="Masculino",2000,""))+(IF(Atletas!M117="Ditangquan A",201,IF(Atletas!M117="Houquan A",202,IF(Atletas!M117="Zuiquan A",203,IF(Atletas!M117="Ditangquan B",204,IF(Atletas!M117="Houquan B",205,IF(Atletas!M117="Zuiquan B",206,IF(Atletas!M117="Ditangquan C",207,IF(Atletas!M117="Houquan C",208,IF(Atletas!M117="Zuiquan C",209,IF(Atletas!M117="Ditangquan D",210,IF(Atletas!M117="Houquan D",211,IF(Atletas!M117="Zuiquan D",212,IF(Atletas!M117="Ditangquan E",213,IF(Atletas!M117="Houquan E",214,IF(Atletas!M117="Zuiquan E",215,IF(Atletas!M117="Ditangquan F",216,IF(Atletas!M117="Houquan F",217,IF(Atletas!M117="Zuiquan F",218,"")))))))))))))))))))))</f>
        <v/>
      </c>
      <c r="BO121" s="52" t="str">
        <f>IF(Atletas!N117="","",IF(Atletas!W117&lt;&gt;"",10000,0)+IF(Atletas!B117="Feminino",1000,IF(Atletas!B117="Masculino",2000,""))+IF(Atletas!N117="Yang A",301,IF(Atletas!N117="Chen A",30,IF(Atletas!N117="Sun A",303,IF(Atletas!N117="Wu A",304,IF(Atletas!N117="Wu-Hao A",305,IF(Atletas!N117="Outro Taijiquan A",306,IF(Atletas!N117="Yang B",307,IF(Atletas!N117="Chen B",308,IF(Atletas!N117="Sun B",309,IF(Atletas!N117="Wu B",310,IF(Atletas!N117="Wu-Hao B",311,IF(Atletas!N117="Outro Taijiquan B",312,IF(Atletas!N117="Yang C",313,IF(Atletas!N117="Chen C",314,IF(Atletas!N117="Sun C",315,IF(Atletas!N117="Wu C",316,IF(Atletas!N117="Wu-Hao C",317,IF(Atletas!N117="Outro Taijiquan C",318,IF(Atletas!N117="Yang D",319,IF(Atletas!N117="Chen D",320,IF(Atletas!N117="Sun D",321,IF(Atletas!N117="Wu D",322,IF(Atletas!N117="Wu-Hao D",323,IF(Atletas!N117="Outro Taijiquan D",324,IF(Atletas!N117="Yang E",325,IF(Atletas!N117="Chen E",326,IF(Atletas!N117="Sun E",327,IF(Atletas!N117="Wu E",328,IF(Atletas!N117="Wu-Hao E",329,IF(Atletas!N117="Outro Taijiquan E",330,IF(Atletas!N117="Yang F",331,IF(Atletas!N117="Chen F",332,IF(Atletas!N117="Sun F",333,IF(Atletas!N117="Wu F",334,IF(Atletas!N117="Wu-Hao F",335,IF(Atletas!N117="Outro Taijiquan F",336,"")))))))))))))))))))))))))))))))))))))</f>
        <v/>
      </c>
      <c r="BP121" s="52" t="str">
        <f>IF(Atletas!O117="","",IF(Atletas!W117&lt;&gt;"",10000,0)+IF(Atletas!B117="Feminino",1000,IF(Atletas!B117="Masculino",2000,""))+IF(OR(Atletas!O117="Yang 26 A",Atletas!O117="Yang 40 A"),401,IF(OR(Atletas!O117="Chen 25 A",Atletas!O117="Chen 36 A",Atletas!O117="Chen 56 A"),402,IF(Atletas!O117="Sun 73 A",403,IF(Atletas!O117="Wu 45 A",404,IF(Atletas!O117="Wu-Hao 46 A",405,IF(OR(Atletas!O117="Taijiquan 16 A",Atletas!O117="Taijiquan 24 A",Atletas!O117="Taijiquan 32 A",Atletas!O117="Taijiquan 42 A"),406,IF(OR(Atletas!O117="Yang 26 B",Atletas!O117="Yang 40 B"),407,IF(OR(Atletas!O117="Chen 25 B",Atletas!O117="Chen 36 B",Atletas!O117="Chen 56 B"),408,IF(Atletas!O117="Sun 73 B",409,IF(Atletas!O117="Wu 45 B",410,IF(Atletas!O117="Wu-Hao 46 B",411,IF(OR(Atletas!O117="Taijiquan 16 B",Atletas!O117="Taijiquan 24 B",Atletas!O117="Taijiquan 32 B",Atletas!O117="Taijiquan 42 B"),412,IF(OR(Atletas!O117="Yang 26 C",Atletas!O117="Yang 40 C"),413,IF(OR(Atletas!O117="Chen 25 C",Atletas!O117="Chen 36 C",Atletas!O117="Chen 56 C"),414,IF(Atletas!O117="Sun 73 C",415,IF(Atletas!O117="Wu 45 C",416,IF(Atletas!O117="Wu-Hao 46 C",417,IF(OR(Atletas!O117="Taijiquan 16 C",Atletas!O117="Taijiquan 24 C",Atletas!O117="Taijiquan 32 C",Atletas!O117="Taijiquan 42 C"),418,0)))))))))))))))))))</f>
        <v/>
      </c>
      <c r="BQ121" s="52" t="str">
        <f>IF(Atletas!O117="","",IF(Atletas!W117&lt;&gt;"",10000,0)+IF(Atletas!B117="Feminino",1000,IF(Atletas!B117="Masculino",2000,""))+IF(OR(Atletas!O117="Yang 26 D",Atletas!O117="Yang 40 D"),419,IF(OR(Atletas!O117="Chen 25 D",Atletas!O117="Chen 36 D",Atletas!O117="Chen 56 D"),420,IF(Atletas!O117="Sun 73 D",421,IF(Atletas!O117="Wu 45 D",422,IF(Atletas!O117="Wu-Hao 46 D",423,IF(OR(Atletas!O117="Taijiquan 16 D",Atletas!O117="Taijiquan 24 D",Atletas!O117="Taijiquan 32 D",Atletas!O117="Taijiquan 42 D"),424,IF(OR(Atletas!O117="Yang 26 E",Atletas!O117="Yang 40 E"),425,IF(OR(Atletas!O117="Chen 25 E",Atletas!O117="Chen 36 E",Atletas!O117="Chen 56 E"),426,IF(Atletas!O117="Sun 73 E",427,IF(Atletas!O117="Wu 45 E",428,IF(Atletas!O117="Wu-Hao 46 E",429,IF(OR(Atletas!O117="Taijiquan 16 E",Atletas!O117="Taijiquan 24 E",Atletas!O117="Taijiquan 32 E",Atletas!O117="Taijiquan 42 E"),430,IF(OR(Atletas!O117="Yang 26 F",Atletas!O117="Yang 40 F"),431,IF(OR(Atletas!O117="Chen 25 F",Atletas!O117="Chen 36 F",Atletas!O117="Chen 56 F"),432,IF(Atletas!O117="Sun 73 F",433,IF(Atletas!O117="Wu 45 F",434,IF(Atletas!O117="Wu-Hao 46 F",435,IF(OR(Atletas!O117="Taijiquan 16 F",Atletas!O117="Taijiquan 24 F",Atletas!O117="Taijiquan 32 F",Atletas!O117="Taijiquan 42 F"),436,0)))))))))))))))))))</f>
        <v/>
      </c>
      <c r="BR121" s="52" t="str">
        <f>IF(Atletas!P117="","",IF(Atletas!W117&lt;&gt;"",10000,0)+IF(Atletas!B117="Feminino",1000,IF(Atletas!B117="Masculino",2000,""))+IF(Atletas!P117="Xingyiquan A",501,IF(Atletas!P117="Baguazhang A",502,IF(Atletas!P117="Outro Estilo Interno A",503,IF(Atletas!P117="Xingyiquan B",504,IF(Atletas!P117="Baguazhang B",505,IF(Atletas!P117="Outro Estilo Interno B",506,IF(Atletas!P117="Xingyiquan C",507,IF(Atletas!P117="Baguazhang C",508,IF(Atletas!P117="Outro Estilo Interno C",509,IF(Atletas!P117="Xingyiquan D",510,IF(Atletas!P117="Baguazhang D",511,IF(Atletas!P117="Outro Estilo Interno D",512,IF(Atletas!P117="Xingyiquan E",513,IF(Atletas!P117="Baguazhang E",514,IF(Atletas!P117="Outro Estilo Interno E",515,IF(Atletas!P117="Xingyiquan F",516,IF(Atletas!P117="Baguazhang F",517,IF(Atletas!P117="Outro Estilo Interno F",518, "")))))))))))))))))))</f>
        <v/>
      </c>
      <c r="BS121" s="52" t="str">
        <f>IF(Atletas!Q117="","",IF(Atletas!W117&lt;&gt;"",10000,0)+IF(Atletas!B117="Feminino",1000,IF(Atletas!B117="Masculino",2000,""))+IF(Atletas!Q117="Dao A",601,IF(Atletas!Q117="Jian A",602,IF(Atletas!Q117="Bishou A",603,IF(Atletas!Q117="Shan A",604,IF(Atletas!Q117="Outra Arma Curta A",605,IF(Atletas!Q117="Dao B",606,IF(Atletas!Q117="Jian B",607,IF(Atletas!Q117="Bishou B",608,IF(Atletas!Q117="Shan B",609,IF(Atletas!Q117="Outra Arma Curta B",610,IF(Atletas!Q117="Dao C",611,IF(Atletas!Q117="Jian C",612,IF(Atletas!Q117="Bishou C",613,IF(Atletas!Q117="Shan C",614,IF(Atletas!Q117="Outra Arma Curta C",615,IF(Atletas!Q117="Dao D",616,IF(Atletas!Q117="Jian D",617,IF(Atletas!Q117="Bishou D",618,IF(Atletas!Q117="Shan D",619,IF(Atletas!Q117="Outra Arma Curta D",620,IF(Atletas!Q117="Dao E",621,IF(Atletas!Q117="Jian E",622,IF(Atletas!Q117="Bishou E",623,IF(Atletas!Q117="Shan E",624,IF(Atletas!Q117="Outra Arma Curta E",625,IF(Atletas!Q117="Dao F",626,IF(Atletas!Q117="Jian F",627,IF(Atletas!Q117="Bishou F",628,IF(Atletas!Q117="Shan F",629,IF(Atletas!Q117="Outra Arma Curta F",630, "")))))))))))))))))))))))))))))))</f>
        <v/>
      </c>
      <c r="BT121" s="52" t="str">
        <f>IF(Atletas!R117="","",IF(Atletas!W117&lt;&gt;"",10000,0)+IF(Atletas!B117="Feminino",1000,IF(Atletas!B117="Masculino",2000,""))+IF(Atletas!R117="Gun A",701,IF(Atletas!R117="Qiang A",702,IF(Atletas!R117="Pudao / Guandao A",703,IF(Atletas!R117="Outra Arma Longa A",704,IF(Atletas!R117="Gun B",705,IF(Atletas!R117="Qiang B",706,IF(Atletas!R117="Pudao / Guandao B",707,IF(Atletas!R117="Outra Arma Longa B",708,IF(Atletas!R117="Gun C",709,IF(Atletas!R117="Qiang C",710,IF(Atletas!R117="Pudao / Guandao C",711,IF(Atletas!R117="Outra Arma Longa C",712,IF(Atletas!R117="Gun D",713,IF(Atletas!R117="Qiang D",714,IF(Atletas!R117="Pudao / Guandao D",715,IF(Atletas!R117="Outra Arma Longa D",716,IF(Atletas!R117="Gun E",717,IF(Atletas!R117="Qiang E",718,IF(Atletas!R117="Pudao / Guandao E",719,IF(Atletas!R117="Outra Arma Longa E",720,IF(Atletas!R117="Gun F",721,IF(Atletas!R117="Qiang F",722,IF(Atletas!R117="Pudao / Guandao F",723,IF(Atletas!R117="Outra Arma Longa F",724,"")))))))))))))))))))))))))</f>
        <v/>
      </c>
      <c r="BU121" s="52" t="str">
        <f>IF(Atletas!S117="","",IF(Atletas!W117&lt;&gt;"",10000,0)+IF(Atletas!B117="Feminino",1000,IF(Atletas!B117="Masculino",2000,""))+IF(Atletas!S117="Arma Dupla A",801,IF(Atletas!S117="Arma Maleável A",802,IF(Atletas!S117="Arma Dupla B",803,IF(Atletas!S117="Arma Maleável B",804,IF(Atletas!S117="Arma Dupla C",805,IF(Atletas!S117="Arma Maleável C",806,IF(Atletas!S117="Arma Dupla D",807,IF(Atletas!S117="Arma Maleável D",808,IF(Atletas!S117="Arma Dupla E",809,IF(Atletas!S117="Arma Maleável E",810,IF(Atletas!S117="Arma Dupla F",811,IF(Atletas!S117="Arma Maleável F",812, "")))))))))))))</f>
        <v/>
      </c>
      <c r="BV121" s="52" t="str">
        <f>IF(Atletas!T117="","",IF(Atletas!W117&lt;&gt;"",10000,0)+IF(Atletas!B117="Feminino",1000,IF(Atletas!B117="Masculino",2000,""))+IF(Atletas!T117="Taijijian Yang A",901,IF(Atletas!T117="Taijijian Chen A",902,IF(Atletas!T117="Taijijian Sun A",903,IF(Atletas!T117="Taijijian Wu A",904,IF(Atletas!T117="Taijijian Wu-Hao A",905,IF(Atletas!T117="Taijijian 32 A",906,IF(Atletas!T117="Taijijian 42 A",907,IF(Atletas!T117="Taijijian Yang B",908,IF(Atletas!T117="Taijijian Chen B",909,IF(Atletas!T117="Taijijian Sun B",910,IF(Atletas!T117="Taijijian Wu B",911,IF(Atletas!T117="Taijijian Wu-Hao B",912,IF(Atletas!T117="Taijijian 32 B",913,IF(Atletas!T117="Taijijian 42 B",914,IF(Atletas!T117="Taijijian Yang C",915,IF(Atletas!T117="Taijijian Chen C",916,IF(Atletas!T117="Taijijian Sun C",917,IF(Atletas!T117="Taijijian Wu C",918,IF(Atletas!T117="Taijijian Wu-Hao C",919,IF(Atletas!T117="Taijijian 32 C",920,IF(Atletas!T117="Taijijian 42 C",921,IF(Atletas!T117="Taijijian Yang D",922,IF(Atletas!T117="Taijijian Chen D",923,IF(Atletas!T117="Taijijian Sun D",924,IF(Atletas!T117="Taijijian Wu D",925,IF(Atletas!T117="Taijijian Wu-Hao D",926,IF(Atletas!T117="Taijijian 32 D",927,IF(Atletas!T117="Taijijian 42 D",928,IF(Atletas!T117="Taijijian Yang E",929,IF(Atletas!T117="Taijijian Chen E",930,IF(Atletas!T117="Taijijian Sun E",931,IF(Atletas!T117="Taijijian Wu E",932,IF(Atletas!T117="Taijijian Wu-Hao E",933,IF(Atletas!T117="Taijijian 32 E",934,IF(Atletas!T117="Taijijian 42 E",935,IF(Atletas!T117="Taijijian Yang F",936,IF(Atletas!T117="Taijijian Chen F",937,IF(Atletas!T117="Taijijian Sun F",938,IF(Atletas!T117="Taijijian Wu F",939,IF(Atletas!T117="Taijijian Wu-Hao F",940,IF(Atletas!T117="Taijijian 32 F",941,IF(Atletas!T117="Taijijian 42 F",942,"")))))))))))))))))))))))))))))))))))))))))))</f>
        <v/>
      </c>
      <c r="BW121" s="52" t="str">
        <f>IF(Atletas!U117="","",IF(Atletas!W117&lt;&gt;"",10000,0)+IF(Atletas!B117="Feminino",1000,IF(Atletas!B117="Masculino",2000,""))+IF(Atletas!T117="Taijijian 42 F",942,IF(Atletas!U117="Taijidao A",943,IF(Atletas!U117="Taijishan A",944,IF(Atletas!U117="Taijiqiang A",945,IF(Atletas!U117="Taijidao B",946,IF(Atletas!U117="Taijishan B",947,IF(Atletas!U117="Taijiqiang B",948,IF(Atletas!U117="Taijidao C",949,IF(Atletas!U117="Taijishan C",950,IF(Atletas!U117="Taijiqiang C",951,IF(Atletas!U117="Taijidao D",952,IF(Atletas!U117="Taijishan D",953,IF(Atletas!U117="Taijiqiang D",954,IF(Atletas!U117="Taijidao E",955,IF(Atletas!U117="Taijishan E",956,IF(Atletas!U117="Taijiqiang E",957,IF(Atletas!U117="Taijidao F",958,IF(Atletas!U117="Taijishan F",959,IF(Atletas!U117="Taijiqiang F",960))))))))))))))))))))</f>
        <v/>
      </c>
      <c r="BX121" s="72" t="str">
        <f>IF(BY121&lt;&gt;"","Ditangquan C","")</f>
        <v/>
      </c>
      <c r="BY121" s="72" t="str">
        <f>IF(COUNTIF(BK:BW,1207)&gt;0,COUNTIF(BK:BW,1207),"")</f>
        <v/>
      </c>
      <c r="BZ121" s="72" t="str">
        <f>IF(CA121&lt;&gt;"","Ditangquan C","")</f>
        <v/>
      </c>
      <c r="CA121" s="72" t="str">
        <f>IF(COUNTIF(BK:BW,2207)&gt;0,COUNTIF(BK:BW,2207),"")</f>
        <v/>
      </c>
      <c r="CB121" s="72" t="str">
        <f>IF(CC121&lt;&gt;"","Ditangquan C","")</f>
        <v/>
      </c>
      <c r="CC121" s="64" t="str">
        <f>IF(COUNTIF(BK:BW,11207)&gt;0,COUNTIF(BK:BW,11207),"")</f>
        <v/>
      </c>
      <c r="CD121" s="64" t="str">
        <f>IF(CE121&lt;&gt;"","Ditangquan C","")</f>
        <v/>
      </c>
      <c r="CE121" s="64" t="str">
        <f>IF(COUNTIF(BK:BW,12207)&gt;0,COUNTIF(BK:BW,12207),"")</f>
        <v/>
      </c>
      <c r="CF121" s="52" t="str">
        <f xml:space="preserve"> IF(Atletas!V117="","",IF(Atletas!V117="Duilian de Mãos AB - Equipe 1",1,IF(Atletas!V117="Duilian de Mãos AB - Equipe 2",2,IF(Atletas!V117="Duilian de Armas AB - Equipe 1",3,IF(Atletas!V117="Duilian de Armas AB - Equipe 2",4,IF(Atletas!V117="Duilian de Tuishou - Equipe 1",5,IF(Atletas!V117="Duilian de Tuishou - Equipe 2",6,IF(Atletas!V117="Grupo Externo AB - Equipe 1",7,IF(Atletas!V117="Grupo Externo AB - Equipe 2",8,IF(Atletas!V117="Grupo Interno AB - Equipe 1",9,IF(Atletas!V117="Grupo Interno AB - Equipe 2",10,IF(Atletas!V117="Duilian de Mãos CD - Equipe 1",11,IF(Atletas!V117="Duilian de Mãos CD - Equipe 2",12,IF(Atletas!V117="Duilian de Armas CD - Equipe 1",13,IF(Atletas!V117="Duilian de Armas CD - Equipe 2",14,IF(Atletas!V117="Duilian de Tuishou - Equipe 1",15,IF(Atletas!V117="Duilian de Tuishou - Equipe 2",16,IF(Atletas!V117="Grupo Externo CDEF - Equipe 1",17,IF(Atletas!V117="Grupo Externo CDEF - Equipe 2",18,IF(Atletas!V117="Grupo Interno CDEF - Equipe 1",19,IF(Atletas!V117="Grupo Interno CDEF - Equipe 2",20,IF(Atletas!V117="Duilian de Mãos EF - Equipe 1",21,IF(Atletas!V117="Duilian de Mãos EF - Equipe 2",22,IF(Atletas!V117="Duilian de Armas EF - Equipe 1",23,IF(Atletas!V117="Duilian de Armas EF - Equipe 2",24,IF(Atletas!V117="Duilian de Tuishou - Equipe 1",25,IF(Atletas!V117="Duilian de Tuishou - Equipe 2",26,"")))))))))))))))))))))))))))</f>
        <v/>
      </c>
    </row>
    <row r="122" spans="2:84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 t="str">
        <f t="array" ref="V122">IFERROR(INDEX(BX$7:BX$336,SMALL(IF(BX$7:BX$336&lt;&gt;"",ROW(BX$7:BX$336)-ROW(BX$7)+1),ROWS(BX$7:BX121))),"")</f>
        <v/>
      </c>
      <c r="W122" s="4" t="str">
        <f t="array" ref="W122">IFERROR(INDEX(BY$7:BY$336,SMALL(IF(BY$7:BY$336&lt;&gt;"",ROW(BY$7:BY$336)-ROW(BY$7)+1),ROWS(BY$7:BY121))),"")</f>
        <v/>
      </c>
      <c r="X122" s="4" t="str">
        <f t="array" ref="X122">IFERROR(INDEX(BZ$7:BZ$336,SMALL(IF(BZ$7:BZ$336&lt;&gt;"",ROW(BZ$7:BZ$336)-ROW(BZ$7)+1),ROWS(BZ$7:BZ121))),"")</f>
        <v/>
      </c>
      <c r="Y122" s="4" t="str">
        <f t="array" ref="Y122">IFERROR(INDEX(CA$7:CA$336,SMALL(IF(CA$7:CA$336&lt;&gt;"",ROW(CA$7:CA$336)-ROW(CA$7)+1),ROWS(CA$7:CA121))),"")</f>
        <v/>
      </c>
      <c r="Z122" s="4" t="str">
        <f t="array" ref="Z122">IFERROR(INDEX(CB$7:CB$378,SMALL(IF(CB$7:CB$378&lt;&gt;"",ROW(CB$7:CB$378)-ROW(CB$7)+1),ROWS(CB$7:CB121))),"")</f>
        <v/>
      </c>
      <c r="AA122" s="4" t="str">
        <f t="array" ref="AA122">IFERROR(INDEX(CC$7:CC$378,SMALL(IF(CC$7:CC$378&lt;&gt;"",ROW(CC$7:CC$378)-ROW(CC$7)+1),ROWS(CC$7:CC121))),"")</f>
        <v/>
      </c>
      <c r="AB122" s="4" t="str">
        <f t="array" ref="AB122">IFERROR(INDEX(CD$7:CD$378,SMALL(IF(CD$7:CD$378&lt;&gt;"",ROW(CD$7:CD$378)-ROW(CD$7)+1),ROWS(CD$7:CD121))),"")</f>
        <v/>
      </c>
      <c r="AC122" s="4" t="str">
        <f t="array" ref="AC122">IFERROR(INDEX(CE$7:CE$378,SMALL(IF(CE$7:CE$378&lt;&gt;"",ROW(CE$7:CE$378)-ROW(CE$7)+1),ROWS(CE$7:CE121))),"")</f>
        <v/>
      </c>
      <c r="AD122" s="4"/>
      <c r="AE122" s="4"/>
      <c r="AF122" s="4"/>
      <c r="AG122" s="4"/>
      <c r="AH122" s="4"/>
      <c r="AI122" s="4"/>
      <c r="AJ122" s="46" t="str">
        <f>IF(Atletas!D118="","",IF(Atletas!B118="Feminino",100,IF(Atletas!B118="Masculino",200,""))+(IF(Atletas!D118="Infantil 39kg",1,IF(Atletas!D118="Infantil 42kg",2,IF(Atletas!D118="Infantil 45kg",3,IF(Atletas!D118="Infantil 48kg",4,IF(Atletas!D118="Infantil 52kg",5,IF(Atletas!D118="Infantil 56kg",6,IF(Atletas!D118="Infantil 60kg",7,IF(Atletas!D118="Juvenil 48kg",8,IF(Atletas!D118="Juvenil 52kg",9,IF(Atletas!D118="Juvenil 56kg",10,IF(Atletas!D118="Juvenil 60kg",11,IF(Atletas!D118="Juvenil 65kg",12,IF(Atletas!D118="Juvenil 70kg",13,IF(Atletas!D118="Juvenil 75kg",14,IF(Atletas!D118="Juvenil 80kg",15,IF(Atletas!D118="Adulto 48kg",16,IF(Atletas!D118="Adulto 52kg",17,IF(Atletas!D118="Adulto 56kg",18,IF(Atletas!D118="Adulto 60kg",19,IF(Atletas!D118="Adulto 65kg",20,IF(Atletas!D118="Adulto 70kg",21,IF(Atletas!D118="Adulto 75kg",22,IF(Atletas!D118="Adulto 80kg",23,IF(Atletas!D118="Adulto 85kg",24,IF(Atletas!D118="Adulto 90kg",25,IF(Atletas!D118="Adulto +90kg",26,""))))))))))))))))))))))))))))</f>
        <v/>
      </c>
      <c r="AO122" s="10" t="str">
        <f>IF(Atletas!E118="","",IF(Atletas!B118="Feminino",100,IF(Atletas!B118="Masculino",200,""))+(IF(Atletas!E118="Juvenil 44kg",1,IF(Atletas!E118="Juvenil 48kg",2,IF(Atletas!E118="Juvenil 52kg",3,IF(Atletas!E118="Juvenil 56kg",4,IF(Atletas!E118="Juvenil 60kg",5,IF(Atletas!E118="Juvenil 65kg",6,IF(Atletas!E118="Juvenil 70kg",7,IF(Atletas!E118="Juvenil 75kg",8,IF(Atletas!E118="Juvenil 82kg",9,IF(Atletas!E118="Juvenil 90kg",10,IF(Atletas!E118="Juvenil 100kg",11,IF(Atletas!E118="Adulto 48kg",12,IF(Atletas!E118="Adulto 52kg",13,IF(Atletas!E118="Adulto 56kg",14,IF(Atletas!E118="Adulto 60kg",15,IF(Atletas!E118="Adulto 65kg",16,IF(Atletas!E118="Adulto 70kg",17,IF(Atletas!E118="Adulto 75kg",18,IF(Atletas!E118="Adulto 82kg",19,IF(Atletas!E118="Adulto 90kg",20,IF(Atletas!E118="Adulto 100kg",21,IF(Atletas!E118="Adulto +100kg",22,""))))))))))))))))))))))))</f>
        <v/>
      </c>
      <c r="AT122" s="10" t="str">
        <f>IF(Atletas!F118="","",IF(Atletas!B118="Feminino",100,IF(Atletas!B118="Masculino",200,""))+(IF(Atletas!F118="Adulto 48kg",1,IF(Atletas!F118="Adulto 56kg",2,IF(Atletas!F118="Adulto 65kg",3,IF(Atletas!F118="Adulto 75kg",4,IF(Atletas!F118="Adulto +75kg",5,IF(Atletas!F118="Adulto 52kg",6,IF(Atletas!F118="Adulto 60kg",7,IF(Atletas!F118="Adulto 70kg",8,IF(Atletas!F118="Adulto 80kg",9,IF(Atletas!F118="Adulto 90kg",10,IF(Atletas!F118="Adulto +90kg",11,"")))))))))))))</f>
        <v/>
      </c>
      <c r="AY122" s="46" t="str">
        <f>IF(Atletas!G118="","",IF(Atletas!B118="Feminino",100,IF(Atletas!B118="Masculino",200,""))+(IF(Atletas!G118="Changquan Mirim",1,IF(Atletas!G118="Nanquan Mirim",2,IF(Atletas!G118="Taijiquan Mirim",3,IF(Atletas!G118="Changquan Grupo C",4,IF(Atletas!G118="Nanquan Grupo C",5,IF(Atletas!G118="Taijiquan Grupo C",6,IF(Atletas!G118="Changquan Grupo B",7,IF(Atletas!G118="Nanquan Grupo B",8,IF(Atletas!G118="Taijiquan Grupo B",9,IF(Atletas!G118="Changquan Grupo A",10,IF(Atletas!G118="Nanquan Grupo A",11,IF(Atletas!G118="Taijiquan Grupo A",12,IF(Atletas!G118="Changquan Opcional",13,IF(Atletas!G118="Nanquan Opcional",14,IF(Atletas!G118="Taijiquan Opcional",15,IF(Atletas!G118="Changquan Adulto",16,IF(Atletas!G118="Nanquan Adulto",17,IF(Atletas!G118="Taijiquan Adulto",18,""))))))))))))))))))))</f>
        <v/>
      </c>
      <c r="AZ122" s="46" t="str">
        <f>IF(Atletas!H118="","",IF(Atletas!B118="Feminino",100,IF(Atletas!B118="Masculino",200,""))+(IF(Atletas!H118="Daoshu Mirim",19,IF(Atletas!H118="Jianshu Mirim",20,IF(Atletas!H118="Nandao Mirim",21,IF(Atletas!H118="Taijijian Mirim",22,IF(Atletas!H118="Daoshu Grupo C",23,IF(Atletas!H118="Jianshu Grupo C",24,IF(Atletas!H118="Nandao Grupo C",25,IF(Atletas!H118="Taijijian Grupo C",26,IF(Atletas!H118="Daoshu Grupo B",27,IF(Atletas!H118="Jianshu Grupo B",28,IF(Atletas!H118="Nandao Grupo B",29,IF(Atletas!H118="Taijijian Grupo B",30,IF(Atletas!H118="Daoshu Grupo A",31,IF(Atletas!H118="Jianshu Grupo A",32,IF(Atletas!H118="Nandao Grupo A",33,IF(Atletas!H118="Taijijian Grupo A",34,IF(Atletas!H118="Daoshu Opcional",35,IF(Atletas!H118="Jianshu Opcional",36,IF(Atletas!H118="Nandao Opcional",37,IF(Atletas!H118="Taijijian Opcional",38,IF(Atletas!H118="Daoshu Adulto",39,IF(Atletas!H118="Jianshu Adulto",40,IF(Atletas!H118="Nandao Adulto",41,IF(Atletas!H118="Taijijian Adulto",42,""))))))))))))))))))))))))))</f>
        <v/>
      </c>
      <c r="BA122" s="46" t="str">
        <f>IF(Atletas!I118="","",IF(Atletas!B118="Feminino",100,IF(Atletas!B118="Masculino",200,""))+(IF(Atletas!I118="Gunshu Mirim",43,IF(Atletas!I118="Qiangshu Mirim",44,IF(Atletas!I118="Nangun Mirim",45,IF(Atletas!I118="Gunshu Grupo C",46,IF(Atletas!I118="Qiangshu Grupo C",47,IF(Atletas!I118="Nangun Grupo C",48,IF(Atletas!I118="Gunshu Grupo B",49,IF(Atletas!I118="Qiangshu Grupo B",50,IF(Atletas!I118="Nangun Grupo B",51,IF(Atletas!I118="Gunshu Grupo A",52,IF(Atletas!I118="Qiangshu Grupo A",53,IF(Atletas!I118="Nangun Grupo A",54,IF(Atletas!I118="Gunshu Opcional",55,IF(Atletas!I118="Qiangshu Opcional",56,IF(Atletas!I118="Nangun Opcional",57,IF(Atletas!I118="Gunshu Adulto",58,IF(Atletas!I118="Qiangshu Adulto",59,IF(Atletas!I118="Nangun Adulto",60,""))))))))))))))))))))</f>
        <v/>
      </c>
      <c r="BF122" s="52" t="str">
        <f>IF(Atletas!J118="","",IF(Atletas!B118="Feminino",100,IF(Atletas!B118="Masculino",200,""))+(IF(Atletas!J118="Equipe 1 Grupo B",1,IF(Atletas!J118="Equipe 2 Grupo B",2,IF(Atletas!J118="Equipe 1 Grupo A",3,IF(Atletas!J118="Equipe 2 Grupo A",4,IF(Atletas!J118="Equipe 1 Adulto",5,IF(Atletas!J118="Equipe 2 Adulto",6,""))))))))</f>
        <v/>
      </c>
      <c r="BK122" s="52" t="str">
        <f>IF(Atletas!K118="","",IF(Atletas!W118&lt;&gt;"",10000,0)+(IF(Atletas!B118="Feminino",1000,IF(Atletas!B118="Masculino",2000,""))+IF(Atletas!K118="Choylayfut A",1,IF(Atletas!K118="Hunggar A",2,IF(Atletas!K118="Wuzuquan A",3,IF(Atletas!K118="Wingchun A",4,IF(Atletas!K118="Outra Mão de Sul A",5,IF(Atletas!K118="Choylayfut B",6,IF(Atletas!K118="Hunggar B",7,IF(Atletas!K118="Wuzuquan B",8,IF(Atletas!K118="Wingchun B",9,IF(Atletas!K118="Outra Mão de Sul B",10,IF(Atletas!K118="Choylayfut C",11,IF(Atletas!K118="Hunggar C",12,IF(Atletas!K118="Wuzuquan C",13,IF(Atletas!K118="Wingchun C",14,IF(Atletas!K118="Outra Mão de Sul C",15,IF(Atletas!K118="Choylayfut D",16,IF(Atletas!K118="Hunggar D",17,IF(Atletas!K118="Wuzuquan D",18,IF(Atletas!K118="Wingchun D",19,IF(Atletas!K118="Outra Mão de Sul D",20,IF(Atletas!K118="Choylayfut E",21,IF(Atletas!K118="Hunggar E",22,IF(Atletas!K118="Wuzuquan E",23,IF(Atletas!K118="Wingchun E",24,IF(Atletas!K118="Outra Mão de Sul E",25,IF(Atletas!K118="Choylayfut F",26,IF(Atletas!K118="Hunggar F",27,IF(Atletas!K118="Wuzuquan F",28,IF(Atletas!K118="Wingchun F",29,IF(Atletas!K118="Outra Mão de Sul F",30,""))))))))))))))))))))))))))))))))</f>
        <v/>
      </c>
      <c r="BL122" s="52" t="str">
        <f>IF(Atletas!L118="","",IF(Atletas!W118&lt;&gt;"",10000,0)+(IF(Atletas!B118="Feminino",1000,IF(Atletas!B118="Masculino",2000,""))+(IF(Atletas!L118="Chaquan A",101,IF(Atletas!L118="Emeiquan A",102,IF(Atletas!L118="Fanziquan A",103,IF(Atletas!L118="Huaquan A",104,IF(Atletas!L118="Hongquan A",105,IF(Atletas!L118="Paochui A",106,IF(Atletas!L118="Piguaquan A",107,IF(Atletas!L118="Shaolinquan A",108,IF(Atletas!L118="Tanglangquan A",109,IF(Atletas!L118="Yinzhaophai A",110,IF(Atletas!L118="Tongbeiquan A",111,IF(Atletas!L118="Wudangquan A",112,IF(Atletas!L118="Outros Estilos A",113,IF(Atletas!L118="Chaquan B",114,IF(Atletas!L118="Emeiquan B",115,IF(Atletas!L118="Fanziquan B",116,IF(Atletas!L118="Huaquan B",117,IF(Atletas!L118="Hongquan B",118,IF(Atletas!L118="Paochui B",119,IF(Atletas!L118="Piguaquan B",120,IF(Atletas!L118="Shaolinquan B",121,IF(Atletas!L118="Tanglangquan B",122,IF(Atletas!L118="Yinzhaophai B",123,IF(Atletas!L118="Tongbeiquan B",124,IF(Atletas!L118="Wudangquan B",125,IF(Atletas!L118="Outros Estilos B",126,IF(Atletas!L118="Chaquan C",127,IF(Atletas!L118="Emeiquan C",128,IF(Atletas!L118="Fanziquan C",129,IF(Atletas!L118="Huaquan C",130,IF(Atletas!L118="Hongquan C",131,IF(Atletas!L118="Paochui C",132,IF(Atletas!L118="Piguaquan C",133,IF(Atletas!L118="Shaolinquan C",134,IF(Atletas!L118="Tanglangquan C",135,IF(Atletas!L118="Yinzhaophai C",136,IF(Atletas!L118="Tongbeiquan C",137,IF(Atletas!L118="Wudangquan C",138,IF(Atletas!L118="Outros Estilos C",139,0))))))))))))))))))))))))))))))))))))))))))</f>
        <v/>
      </c>
      <c r="BM122" s="52" t="str">
        <f>IF(Atletas!L118="","",IF(Atletas!W118&lt;&gt;"",10000,0)+(IF(Atletas!B118="Feminino",1000,IF(Atletas!B118="Masculino",2000,""))+(IF(Atletas!L118="Chaquan D",140,IF(Atletas!L118="Emeiquan D",141,IF(Atletas!L118="Fanziquan D",142,IF(Atletas!L118="Huaquan D",143,IF(Atletas!L118="Hongquan D",144,IF(Atletas!L118="Paochui D",145,IF(Atletas!L118="Piguaquan D",146,IF(Atletas!L118="Shaolinquan D",147,IF(Atletas!L118="Tanglangquan D",148,IF(Atletas!L118="Yinzhaophai D",149,IF(Atletas!L118="Tongbeiquan D",150,IF(Atletas!L118="Wudangquan D",151,IF(Atletas!L118="Outros Estilos D",152,IF(Atletas!L118="Chaquan E",153,IF(Atletas!L118="Emeiquan E",154,IF(Atletas!L118="Fanziquan E",155,IF(Atletas!L118="Huaquan E",156,IF(Atletas!L118="Hongquan E",157,IF(Atletas!L118="Paochui E",158,IF(Atletas!L118="Piguaquan E",159,IF(Atletas!L118="Shaolinquan E",160,IF(Atletas!L118="Tanglangquan E",161,IF(Atletas!L118="Yinzhaophai E",162,IF(Atletas!L118="Tongbeiquan E",163,IF(Atletas!L118="Wudangquan E",164,IF(Atletas!L118="Outros Estilos E",165,IF(Atletas!L118="Chaquan F",166,IF(Atletas!L118="Emeiquan F",167,IF(Atletas!L118="Fanziquan F",168,IF(Atletas!L118="Huaquan F",169,IF(Atletas!L118="Hongquan F",170,IF(Atletas!L118="Paochui F",171,IF(Atletas!L118="Piguaquan F",172,IF(Atletas!L118="Shaolinquan F",173,IF(Atletas!L118="Tanglangquan F",174,IF(Atletas!L118="Yinzhaophai F",175,IF(Atletas!L118="Tongbeiquan F",176,IF(Atletas!L118="Wudangquan F",177,IF(Atletas!L118="Outros Estilos F",178,0))))))))))))))))))))))))))))))))))))))))))</f>
        <v/>
      </c>
      <c r="BN122" s="52" t="str">
        <f>IF(Atletas!M118="","",IF(Atletas!W118&lt;&gt;"",10000,0)+(IF(Atletas!B118="Feminino",1000,IF(Atletas!B118="Masculino",2000,""))+(IF(Atletas!M118="Ditangquan A",201,IF(Atletas!M118="Houquan A",202,IF(Atletas!M118="Zuiquan A",203,IF(Atletas!M118="Ditangquan B",204,IF(Atletas!M118="Houquan B",205,IF(Atletas!M118="Zuiquan B",206,IF(Atletas!M118="Ditangquan C",207,IF(Atletas!M118="Houquan C",208,IF(Atletas!M118="Zuiquan C",209,IF(Atletas!M118="Ditangquan D",210,IF(Atletas!M118="Houquan D",211,IF(Atletas!M118="Zuiquan D",212,IF(Atletas!M118="Ditangquan E",213,IF(Atletas!M118="Houquan E",214,IF(Atletas!M118="Zuiquan E",215,IF(Atletas!M118="Ditangquan F",216,IF(Atletas!M118="Houquan F",217,IF(Atletas!M118="Zuiquan F",218,"")))))))))))))))))))))</f>
        <v/>
      </c>
      <c r="BO122" s="52" t="str">
        <f>IF(Atletas!N118="","",IF(Atletas!W118&lt;&gt;"",10000,0)+IF(Atletas!B118="Feminino",1000,IF(Atletas!B118="Masculino",2000,""))+IF(Atletas!N118="Yang A",301,IF(Atletas!N118="Chen A",30,IF(Atletas!N118="Sun A",303,IF(Atletas!N118="Wu A",304,IF(Atletas!N118="Wu-Hao A",305,IF(Atletas!N118="Outro Taijiquan A",306,IF(Atletas!N118="Yang B",307,IF(Atletas!N118="Chen B",308,IF(Atletas!N118="Sun B",309,IF(Atletas!N118="Wu B",310,IF(Atletas!N118="Wu-Hao B",311,IF(Atletas!N118="Outro Taijiquan B",312,IF(Atletas!N118="Yang C",313,IF(Atletas!N118="Chen C",314,IF(Atletas!N118="Sun C",315,IF(Atletas!N118="Wu C",316,IF(Atletas!N118="Wu-Hao C",317,IF(Atletas!N118="Outro Taijiquan C",318,IF(Atletas!N118="Yang D",319,IF(Atletas!N118="Chen D",320,IF(Atletas!N118="Sun D",321,IF(Atletas!N118="Wu D",322,IF(Atletas!N118="Wu-Hao D",323,IF(Atletas!N118="Outro Taijiquan D",324,IF(Atletas!N118="Yang E",325,IF(Atletas!N118="Chen E",326,IF(Atletas!N118="Sun E",327,IF(Atletas!N118="Wu E",328,IF(Atletas!N118="Wu-Hao E",329,IF(Atletas!N118="Outro Taijiquan E",330,IF(Atletas!N118="Yang F",331,IF(Atletas!N118="Chen F",332,IF(Atletas!N118="Sun F",333,IF(Atletas!N118="Wu F",334,IF(Atletas!N118="Wu-Hao F",335,IF(Atletas!N118="Outro Taijiquan F",336,"")))))))))))))))))))))))))))))))))))))</f>
        <v/>
      </c>
      <c r="BP122" s="52" t="str">
        <f>IF(Atletas!O118="","",IF(Atletas!W118&lt;&gt;"",10000,0)+IF(Atletas!B118="Feminino",1000,IF(Atletas!B118="Masculino",2000,""))+IF(OR(Atletas!O118="Yang 26 A",Atletas!O118="Yang 40 A"),401,IF(OR(Atletas!O118="Chen 25 A",Atletas!O118="Chen 36 A",Atletas!O118="Chen 56 A"),402,IF(Atletas!O118="Sun 73 A",403,IF(Atletas!O118="Wu 45 A",404,IF(Atletas!O118="Wu-Hao 46 A",405,IF(OR(Atletas!O118="Taijiquan 16 A",Atletas!O118="Taijiquan 24 A",Atletas!O118="Taijiquan 32 A",Atletas!O118="Taijiquan 42 A"),406,IF(OR(Atletas!O118="Yang 26 B",Atletas!O118="Yang 40 B"),407,IF(OR(Atletas!O118="Chen 25 B",Atletas!O118="Chen 36 B",Atletas!O118="Chen 56 B"),408,IF(Atletas!O118="Sun 73 B",409,IF(Atletas!O118="Wu 45 B",410,IF(Atletas!O118="Wu-Hao 46 B",411,IF(OR(Atletas!O118="Taijiquan 16 B",Atletas!O118="Taijiquan 24 B",Atletas!O118="Taijiquan 32 B",Atletas!O118="Taijiquan 42 B"),412,IF(OR(Atletas!O118="Yang 26 C",Atletas!O118="Yang 40 C"),413,IF(OR(Atletas!O118="Chen 25 C",Atletas!O118="Chen 36 C",Atletas!O118="Chen 56 C"),414,IF(Atletas!O118="Sun 73 C",415,IF(Atletas!O118="Wu 45 C",416,IF(Atletas!O118="Wu-Hao 46 C",417,IF(OR(Atletas!O118="Taijiquan 16 C",Atletas!O118="Taijiquan 24 C",Atletas!O118="Taijiquan 32 C",Atletas!O118="Taijiquan 42 C"),418,0)))))))))))))))))))</f>
        <v/>
      </c>
      <c r="BQ122" s="52" t="str">
        <f>IF(Atletas!O118="","",IF(Atletas!W118&lt;&gt;"",10000,0)+IF(Atletas!B118="Feminino",1000,IF(Atletas!B118="Masculino",2000,""))+IF(OR(Atletas!O118="Yang 26 D",Atletas!O118="Yang 40 D"),419,IF(OR(Atletas!O118="Chen 25 D",Atletas!O118="Chen 36 D",Atletas!O118="Chen 56 D"),420,IF(Atletas!O118="Sun 73 D",421,IF(Atletas!O118="Wu 45 D",422,IF(Atletas!O118="Wu-Hao 46 D",423,IF(OR(Atletas!O118="Taijiquan 16 D",Atletas!O118="Taijiquan 24 D",Atletas!O118="Taijiquan 32 D",Atletas!O118="Taijiquan 42 D"),424,IF(OR(Atletas!O118="Yang 26 E",Atletas!O118="Yang 40 E"),425,IF(OR(Atletas!O118="Chen 25 E",Atletas!O118="Chen 36 E",Atletas!O118="Chen 56 E"),426,IF(Atletas!O118="Sun 73 E",427,IF(Atletas!O118="Wu 45 E",428,IF(Atletas!O118="Wu-Hao 46 E",429,IF(OR(Atletas!O118="Taijiquan 16 E",Atletas!O118="Taijiquan 24 E",Atletas!O118="Taijiquan 32 E",Atletas!O118="Taijiquan 42 E"),430,IF(OR(Atletas!O118="Yang 26 F",Atletas!O118="Yang 40 F"),431,IF(OR(Atletas!O118="Chen 25 F",Atletas!O118="Chen 36 F",Atletas!O118="Chen 56 F"),432,IF(Atletas!O118="Sun 73 F",433,IF(Atletas!O118="Wu 45 F",434,IF(Atletas!O118="Wu-Hao 46 F",435,IF(OR(Atletas!O118="Taijiquan 16 F",Atletas!O118="Taijiquan 24 F",Atletas!O118="Taijiquan 32 F",Atletas!O118="Taijiquan 42 F"),436,0)))))))))))))))))))</f>
        <v/>
      </c>
      <c r="BR122" s="52" t="str">
        <f>IF(Atletas!P118="","",IF(Atletas!W118&lt;&gt;"",10000,0)+IF(Atletas!B118="Feminino",1000,IF(Atletas!B118="Masculino",2000,""))+IF(Atletas!P118="Xingyiquan A",501,IF(Atletas!P118="Baguazhang A",502,IF(Atletas!P118="Outro Estilo Interno A",503,IF(Atletas!P118="Xingyiquan B",504,IF(Atletas!P118="Baguazhang B",505,IF(Atletas!P118="Outro Estilo Interno B",506,IF(Atletas!P118="Xingyiquan C",507,IF(Atletas!P118="Baguazhang C",508,IF(Atletas!P118="Outro Estilo Interno C",509,IF(Atletas!P118="Xingyiquan D",510,IF(Atletas!P118="Baguazhang D",511,IF(Atletas!P118="Outro Estilo Interno D",512,IF(Atletas!P118="Xingyiquan E",513,IF(Atletas!P118="Baguazhang E",514,IF(Atletas!P118="Outro Estilo Interno E",515,IF(Atletas!P118="Xingyiquan F",516,IF(Atletas!P118="Baguazhang F",517,IF(Atletas!P118="Outro Estilo Interno F",518, "")))))))))))))))))))</f>
        <v/>
      </c>
      <c r="BS122" s="52" t="str">
        <f>IF(Atletas!Q118="","",IF(Atletas!W118&lt;&gt;"",10000,0)+IF(Atletas!B118="Feminino",1000,IF(Atletas!B118="Masculino",2000,""))+IF(Atletas!Q118="Dao A",601,IF(Atletas!Q118="Jian A",602,IF(Atletas!Q118="Bishou A",603,IF(Atletas!Q118="Shan A",604,IF(Atletas!Q118="Outra Arma Curta A",605,IF(Atletas!Q118="Dao B",606,IF(Atletas!Q118="Jian B",607,IF(Atletas!Q118="Bishou B",608,IF(Atletas!Q118="Shan B",609,IF(Atletas!Q118="Outra Arma Curta B",610,IF(Atletas!Q118="Dao C",611,IF(Atletas!Q118="Jian C",612,IF(Atletas!Q118="Bishou C",613,IF(Atletas!Q118="Shan C",614,IF(Atletas!Q118="Outra Arma Curta C",615,IF(Atletas!Q118="Dao D",616,IF(Atletas!Q118="Jian D",617,IF(Atletas!Q118="Bishou D",618,IF(Atletas!Q118="Shan D",619,IF(Atletas!Q118="Outra Arma Curta D",620,IF(Atletas!Q118="Dao E",621,IF(Atletas!Q118="Jian E",622,IF(Atletas!Q118="Bishou E",623,IF(Atletas!Q118="Shan E",624,IF(Atletas!Q118="Outra Arma Curta E",625,IF(Atletas!Q118="Dao F",626,IF(Atletas!Q118="Jian F",627,IF(Atletas!Q118="Bishou F",628,IF(Atletas!Q118="Shan F",629,IF(Atletas!Q118="Outra Arma Curta F",630, "")))))))))))))))))))))))))))))))</f>
        <v/>
      </c>
      <c r="BT122" s="52" t="str">
        <f>IF(Atletas!R118="","",IF(Atletas!W118&lt;&gt;"",10000,0)+IF(Atletas!B118="Feminino",1000,IF(Atletas!B118="Masculino",2000,""))+IF(Atletas!R118="Gun A",701,IF(Atletas!R118="Qiang A",702,IF(Atletas!R118="Pudao / Guandao A",703,IF(Atletas!R118="Outra Arma Longa A",704,IF(Atletas!R118="Gun B",705,IF(Atletas!R118="Qiang B",706,IF(Atletas!R118="Pudao / Guandao B",707,IF(Atletas!R118="Outra Arma Longa B",708,IF(Atletas!R118="Gun C",709,IF(Atletas!R118="Qiang C",710,IF(Atletas!R118="Pudao / Guandao C",711,IF(Atletas!R118="Outra Arma Longa C",712,IF(Atletas!R118="Gun D",713,IF(Atletas!R118="Qiang D",714,IF(Atletas!R118="Pudao / Guandao D",715,IF(Atletas!R118="Outra Arma Longa D",716,IF(Atletas!R118="Gun E",717,IF(Atletas!R118="Qiang E",718,IF(Atletas!R118="Pudao / Guandao E",719,IF(Atletas!R118="Outra Arma Longa E",720,IF(Atletas!R118="Gun F",721,IF(Atletas!R118="Qiang F",722,IF(Atletas!R118="Pudao / Guandao F",723,IF(Atletas!R118="Outra Arma Longa F",724,"")))))))))))))))))))))))))</f>
        <v/>
      </c>
      <c r="BU122" s="52" t="str">
        <f>IF(Atletas!S118="","",IF(Atletas!W118&lt;&gt;"",10000,0)+IF(Atletas!B118="Feminino",1000,IF(Atletas!B118="Masculino",2000,""))+IF(Atletas!S118="Arma Dupla A",801,IF(Atletas!S118="Arma Maleável A",802,IF(Atletas!S118="Arma Dupla B",803,IF(Atletas!S118="Arma Maleável B",804,IF(Atletas!S118="Arma Dupla C",805,IF(Atletas!S118="Arma Maleável C",806,IF(Atletas!S118="Arma Dupla D",807,IF(Atletas!S118="Arma Maleável D",808,IF(Atletas!S118="Arma Dupla E",809,IF(Atletas!S118="Arma Maleável E",810,IF(Atletas!S118="Arma Dupla F",811,IF(Atletas!S118="Arma Maleável F",812, "")))))))))))))</f>
        <v/>
      </c>
      <c r="BV122" s="52" t="str">
        <f>IF(Atletas!T118="","",IF(Atletas!W118&lt;&gt;"",10000,0)+IF(Atletas!B118="Feminino",1000,IF(Atletas!B118="Masculino",2000,""))+IF(Atletas!T118="Taijijian Yang A",901,IF(Atletas!T118="Taijijian Chen A",902,IF(Atletas!T118="Taijijian Sun A",903,IF(Atletas!T118="Taijijian Wu A",904,IF(Atletas!T118="Taijijian Wu-Hao A",905,IF(Atletas!T118="Taijijian 32 A",906,IF(Atletas!T118="Taijijian 42 A",907,IF(Atletas!T118="Taijijian Yang B",908,IF(Atletas!T118="Taijijian Chen B",909,IF(Atletas!T118="Taijijian Sun B",910,IF(Atletas!T118="Taijijian Wu B",911,IF(Atletas!T118="Taijijian Wu-Hao B",912,IF(Atletas!T118="Taijijian 32 B",913,IF(Atletas!T118="Taijijian 42 B",914,IF(Atletas!T118="Taijijian Yang C",915,IF(Atletas!T118="Taijijian Chen C",916,IF(Atletas!T118="Taijijian Sun C",917,IF(Atletas!T118="Taijijian Wu C",918,IF(Atletas!T118="Taijijian Wu-Hao C",919,IF(Atletas!T118="Taijijian 32 C",920,IF(Atletas!T118="Taijijian 42 C",921,IF(Atletas!T118="Taijijian Yang D",922,IF(Atletas!T118="Taijijian Chen D",923,IF(Atletas!T118="Taijijian Sun D",924,IF(Atletas!T118="Taijijian Wu D",925,IF(Atletas!T118="Taijijian Wu-Hao D",926,IF(Atletas!T118="Taijijian 32 D",927,IF(Atletas!T118="Taijijian 42 D",928,IF(Atletas!T118="Taijijian Yang E",929,IF(Atletas!T118="Taijijian Chen E",930,IF(Atletas!T118="Taijijian Sun E",931,IF(Atletas!T118="Taijijian Wu E",932,IF(Atletas!T118="Taijijian Wu-Hao E",933,IF(Atletas!T118="Taijijian 32 E",934,IF(Atletas!T118="Taijijian 42 E",935,IF(Atletas!T118="Taijijian Yang F",936,IF(Atletas!T118="Taijijian Chen F",937,IF(Atletas!T118="Taijijian Sun F",938,IF(Atletas!T118="Taijijian Wu F",939,IF(Atletas!T118="Taijijian Wu-Hao F",940,IF(Atletas!T118="Taijijian 32 F",941,IF(Atletas!T118="Taijijian 42 F",942,"")))))))))))))))))))))))))))))))))))))))))))</f>
        <v/>
      </c>
      <c r="BW122" s="52" t="str">
        <f>IF(Atletas!U118="","",IF(Atletas!W118&lt;&gt;"",10000,0)+IF(Atletas!B118="Feminino",1000,IF(Atletas!B118="Masculino",2000,""))+IF(Atletas!T118="Taijijian 42 F",942,IF(Atletas!U118="Taijidao A",943,IF(Atletas!U118="Taijishan A",944,IF(Atletas!U118="Taijiqiang A",945,IF(Atletas!U118="Taijidao B",946,IF(Atletas!U118="Taijishan B",947,IF(Atletas!U118="Taijiqiang B",948,IF(Atletas!U118="Taijidao C",949,IF(Atletas!U118="Taijishan C",950,IF(Atletas!U118="Taijiqiang C",951,IF(Atletas!U118="Taijidao D",952,IF(Atletas!U118="Taijishan D",953,IF(Atletas!U118="Taijiqiang D",954,IF(Atletas!U118="Taijidao E",955,IF(Atletas!U118="Taijishan E",956,IF(Atletas!U118="Taijiqiang E",957,IF(Atletas!U118="Taijidao F",958,IF(Atletas!U118="Taijishan F",959,IF(Atletas!U118="Taijiqiang F",960))))))))))))))))))))</f>
        <v/>
      </c>
      <c r="BX122" s="72" t="str">
        <f>IF(BY122&lt;&gt;"","Houquan C","")</f>
        <v/>
      </c>
      <c r="BY122" s="72" t="str">
        <f>IF(COUNTIF(BK:BW,1208)&gt;0,COUNTIF(BK:BW,1208),"")</f>
        <v/>
      </c>
      <c r="BZ122" s="72" t="str">
        <f>IF(CA122&lt;&gt;"","Houquan C","")</f>
        <v/>
      </c>
      <c r="CA122" s="72" t="str">
        <f>IF(COUNTIF(BK:BW,2208)&gt;0,COUNTIF(BK:BW,2208),"")</f>
        <v/>
      </c>
      <c r="CB122" s="72" t="str">
        <f>IF(CC122&lt;&gt;"","Houquan C","")</f>
        <v/>
      </c>
      <c r="CC122" s="64" t="str">
        <f>IF(COUNTIF(BK:BW,11208)&gt;0,COUNTIF(BK:BW,11208),"")</f>
        <v/>
      </c>
      <c r="CD122" s="64" t="str">
        <f>IF(CE122&lt;&gt;"","Houquan C","")</f>
        <v/>
      </c>
      <c r="CE122" s="64" t="str">
        <f>IF(COUNTIF(BK:BW,12208)&gt;0,COUNTIF(BK:BW,12208),"")</f>
        <v/>
      </c>
      <c r="CF122" s="52" t="str">
        <f xml:space="preserve"> IF(Atletas!V118="","",IF(Atletas!V118="Duilian de Mãos AB - Equipe 1",1,IF(Atletas!V118="Duilian de Mãos AB - Equipe 2",2,IF(Atletas!V118="Duilian de Armas AB - Equipe 1",3,IF(Atletas!V118="Duilian de Armas AB - Equipe 2",4,IF(Atletas!V118="Duilian de Tuishou - Equipe 1",5,IF(Atletas!V118="Duilian de Tuishou - Equipe 2",6,IF(Atletas!V118="Grupo Externo AB - Equipe 1",7,IF(Atletas!V118="Grupo Externo AB - Equipe 2",8,IF(Atletas!V118="Grupo Interno AB - Equipe 1",9,IF(Atletas!V118="Grupo Interno AB - Equipe 2",10,IF(Atletas!V118="Duilian de Mãos CD - Equipe 1",11,IF(Atletas!V118="Duilian de Mãos CD - Equipe 2",12,IF(Atletas!V118="Duilian de Armas CD - Equipe 1",13,IF(Atletas!V118="Duilian de Armas CD - Equipe 2",14,IF(Atletas!V118="Duilian de Tuishou - Equipe 1",15,IF(Atletas!V118="Duilian de Tuishou - Equipe 2",16,IF(Atletas!V118="Grupo Externo CDEF - Equipe 1",17,IF(Atletas!V118="Grupo Externo CDEF - Equipe 2",18,IF(Atletas!V118="Grupo Interno CDEF - Equipe 1",19,IF(Atletas!V118="Grupo Interno CDEF - Equipe 2",20,IF(Atletas!V118="Duilian de Mãos EF - Equipe 1",21,IF(Atletas!V118="Duilian de Mãos EF - Equipe 2",22,IF(Atletas!V118="Duilian de Armas EF - Equipe 1",23,IF(Atletas!V118="Duilian de Armas EF - Equipe 2",24,IF(Atletas!V118="Duilian de Tuishou - Equipe 1",25,IF(Atletas!V118="Duilian de Tuishou - Equipe 2",26,"")))))))))))))))))))))))))))</f>
        <v/>
      </c>
    </row>
    <row r="123" spans="2:84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 t="str">
        <f t="array" ref="V123">IFERROR(INDEX(BX$7:BX$336,SMALL(IF(BX$7:BX$336&lt;&gt;"",ROW(BX$7:BX$336)-ROW(BX$7)+1),ROWS(BX$7:BX122))),"")</f>
        <v/>
      </c>
      <c r="W123" s="4" t="str">
        <f t="array" ref="W123">IFERROR(INDEX(BY$7:BY$336,SMALL(IF(BY$7:BY$336&lt;&gt;"",ROW(BY$7:BY$336)-ROW(BY$7)+1),ROWS(BY$7:BY122))),"")</f>
        <v/>
      </c>
      <c r="X123" s="4" t="str">
        <f t="array" ref="X123">IFERROR(INDEX(BZ$7:BZ$336,SMALL(IF(BZ$7:BZ$336&lt;&gt;"",ROW(BZ$7:BZ$336)-ROW(BZ$7)+1),ROWS(BZ$7:BZ122))),"")</f>
        <v/>
      </c>
      <c r="Y123" s="4" t="str">
        <f t="array" ref="Y123">IFERROR(INDEX(CA$7:CA$336,SMALL(IF(CA$7:CA$336&lt;&gt;"",ROW(CA$7:CA$336)-ROW(CA$7)+1),ROWS(CA$7:CA122))),"")</f>
        <v/>
      </c>
      <c r="Z123" s="4" t="str">
        <f t="array" ref="Z123">IFERROR(INDEX(CB$7:CB$378,SMALL(IF(CB$7:CB$378&lt;&gt;"",ROW(CB$7:CB$378)-ROW(CB$7)+1),ROWS(CB$7:CB122))),"")</f>
        <v/>
      </c>
      <c r="AA123" s="4" t="str">
        <f t="array" ref="AA123">IFERROR(INDEX(CC$7:CC$378,SMALL(IF(CC$7:CC$378&lt;&gt;"",ROW(CC$7:CC$378)-ROW(CC$7)+1),ROWS(CC$7:CC122))),"")</f>
        <v/>
      </c>
      <c r="AB123" s="4" t="str">
        <f t="array" ref="AB123">IFERROR(INDEX(CD$7:CD$378,SMALL(IF(CD$7:CD$378&lt;&gt;"",ROW(CD$7:CD$378)-ROW(CD$7)+1),ROWS(CD$7:CD122))),"")</f>
        <v/>
      </c>
      <c r="AC123" s="4" t="str">
        <f t="array" ref="AC123">IFERROR(INDEX(CE$7:CE$378,SMALL(IF(CE$7:CE$378&lt;&gt;"",ROW(CE$7:CE$378)-ROW(CE$7)+1),ROWS(CE$7:CE122))),"")</f>
        <v/>
      </c>
      <c r="AD123" s="4"/>
      <c r="AE123" s="4"/>
      <c r="AF123" s="4"/>
      <c r="AG123" s="4"/>
      <c r="AH123" s="4"/>
      <c r="AI123" s="4"/>
      <c r="AJ123" s="46" t="str">
        <f>IF(Atletas!D119="","",IF(Atletas!B119="Feminino",100,IF(Atletas!B119="Masculino",200,""))+(IF(Atletas!D119="Infantil 39kg",1,IF(Atletas!D119="Infantil 42kg",2,IF(Atletas!D119="Infantil 45kg",3,IF(Atletas!D119="Infantil 48kg",4,IF(Atletas!D119="Infantil 52kg",5,IF(Atletas!D119="Infantil 56kg",6,IF(Atletas!D119="Infantil 60kg",7,IF(Atletas!D119="Juvenil 48kg",8,IF(Atletas!D119="Juvenil 52kg",9,IF(Atletas!D119="Juvenil 56kg",10,IF(Atletas!D119="Juvenil 60kg",11,IF(Atletas!D119="Juvenil 65kg",12,IF(Atletas!D119="Juvenil 70kg",13,IF(Atletas!D119="Juvenil 75kg",14,IF(Atletas!D119="Juvenil 80kg",15,IF(Atletas!D119="Adulto 48kg",16,IF(Atletas!D119="Adulto 52kg",17,IF(Atletas!D119="Adulto 56kg",18,IF(Atletas!D119="Adulto 60kg",19,IF(Atletas!D119="Adulto 65kg",20,IF(Atletas!D119="Adulto 70kg",21,IF(Atletas!D119="Adulto 75kg",22,IF(Atletas!D119="Adulto 80kg",23,IF(Atletas!D119="Adulto 85kg",24,IF(Atletas!D119="Adulto 90kg",25,IF(Atletas!D119="Adulto +90kg",26,""))))))))))))))))))))))))))))</f>
        <v/>
      </c>
      <c r="AO123" s="10" t="str">
        <f>IF(Atletas!E119="","",IF(Atletas!B119="Feminino",100,IF(Atletas!B119="Masculino",200,""))+(IF(Atletas!E119="Juvenil 44kg",1,IF(Atletas!E119="Juvenil 48kg",2,IF(Atletas!E119="Juvenil 52kg",3,IF(Atletas!E119="Juvenil 56kg",4,IF(Atletas!E119="Juvenil 60kg",5,IF(Atletas!E119="Juvenil 65kg",6,IF(Atletas!E119="Juvenil 70kg",7,IF(Atletas!E119="Juvenil 75kg",8,IF(Atletas!E119="Juvenil 82kg",9,IF(Atletas!E119="Juvenil 90kg",10,IF(Atletas!E119="Juvenil 100kg",11,IF(Atletas!E119="Adulto 48kg",12,IF(Atletas!E119="Adulto 52kg",13,IF(Atletas!E119="Adulto 56kg",14,IF(Atletas!E119="Adulto 60kg",15,IF(Atletas!E119="Adulto 65kg",16,IF(Atletas!E119="Adulto 70kg",17,IF(Atletas!E119="Adulto 75kg",18,IF(Atletas!E119="Adulto 82kg",19,IF(Atletas!E119="Adulto 90kg",20,IF(Atletas!E119="Adulto 100kg",21,IF(Atletas!E119="Adulto +100kg",22,""))))))))))))))))))))))))</f>
        <v/>
      </c>
      <c r="AT123" s="10" t="str">
        <f>IF(Atletas!F119="","",IF(Atletas!B119="Feminino",100,IF(Atletas!B119="Masculino",200,""))+(IF(Atletas!F119="Adulto 48kg",1,IF(Atletas!F119="Adulto 56kg",2,IF(Atletas!F119="Adulto 65kg",3,IF(Atletas!F119="Adulto 75kg",4,IF(Atletas!F119="Adulto +75kg",5,IF(Atletas!F119="Adulto 52kg",6,IF(Atletas!F119="Adulto 60kg",7,IF(Atletas!F119="Adulto 70kg",8,IF(Atletas!F119="Adulto 80kg",9,IF(Atletas!F119="Adulto 90kg",10,IF(Atletas!F119="Adulto +90kg",11,"")))))))))))))</f>
        <v/>
      </c>
      <c r="AY123" s="46" t="str">
        <f>IF(Atletas!G119="","",IF(Atletas!B119="Feminino",100,IF(Atletas!B119="Masculino",200,""))+(IF(Atletas!G119="Changquan Mirim",1,IF(Atletas!G119="Nanquan Mirim",2,IF(Atletas!G119="Taijiquan Mirim",3,IF(Atletas!G119="Changquan Grupo C",4,IF(Atletas!G119="Nanquan Grupo C",5,IF(Atletas!G119="Taijiquan Grupo C",6,IF(Atletas!G119="Changquan Grupo B",7,IF(Atletas!G119="Nanquan Grupo B",8,IF(Atletas!G119="Taijiquan Grupo B",9,IF(Atletas!G119="Changquan Grupo A",10,IF(Atletas!G119="Nanquan Grupo A",11,IF(Atletas!G119="Taijiquan Grupo A",12,IF(Atletas!G119="Changquan Opcional",13,IF(Atletas!G119="Nanquan Opcional",14,IF(Atletas!G119="Taijiquan Opcional",15,IF(Atletas!G119="Changquan Adulto",16,IF(Atletas!G119="Nanquan Adulto",17,IF(Atletas!G119="Taijiquan Adulto",18,""))))))))))))))))))))</f>
        <v/>
      </c>
      <c r="AZ123" s="46" t="str">
        <f>IF(Atletas!H119="","",IF(Atletas!B119="Feminino",100,IF(Atletas!B119="Masculino",200,""))+(IF(Atletas!H119="Daoshu Mirim",19,IF(Atletas!H119="Jianshu Mirim",20,IF(Atletas!H119="Nandao Mirim",21,IF(Atletas!H119="Taijijian Mirim",22,IF(Atletas!H119="Daoshu Grupo C",23,IF(Atletas!H119="Jianshu Grupo C",24,IF(Atletas!H119="Nandao Grupo C",25,IF(Atletas!H119="Taijijian Grupo C",26,IF(Atletas!H119="Daoshu Grupo B",27,IF(Atletas!H119="Jianshu Grupo B",28,IF(Atletas!H119="Nandao Grupo B",29,IF(Atletas!H119="Taijijian Grupo B",30,IF(Atletas!H119="Daoshu Grupo A",31,IF(Atletas!H119="Jianshu Grupo A",32,IF(Atletas!H119="Nandao Grupo A",33,IF(Atletas!H119="Taijijian Grupo A",34,IF(Atletas!H119="Daoshu Opcional",35,IF(Atletas!H119="Jianshu Opcional",36,IF(Atletas!H119="Nandao Opcional",37,IF(Atletas!H119="Taijijian Opcional",38,IF(Atletas!H119="Daoshu Adulto",39,IF(Atletas!H119="Jianshu Adulto",40,IF(Atletas!H119="Nandao Adulto",41,IF(Atletas!H119="Taijijian Adulto",42,""))))))))))))))))))))))))))</f>
        <v/>
      </c>
      <c r="BA123" s="46" t="str">
        <f>IF(Atletas!I119="","",IF(Atletas!B119="Feminino",100,IF(Atletas!B119="Masculino",200,""))+(IF(Atletas!I119="Gunshu Mirim",43,IF(Atletas!I119="Qiangshu Mirim",44,IF(Atletas!I119="Nangun Mirim",45,IF(Atletas!I119="Gunshu Grupo C",46,IF(Atletas!I119="Qiangshu Grupo C",47,IF(Atletas!I119="Nangun Grupo C",48,IF(Atletas!I119="Gunshu Grupo B",49,IF(Atletas!I119="Qiangshu Grupo B",50,IF(Atletas!I119="Nangun Grupo B",51,IF(Atletas!I119="Gunshu Grupo A",52,IF(Atletas!I119="Qiangshu Grupo A",53,IF(Atletas!I119="Nangun Grupo A",54,IF(Atletas!I119="Gunshu Opcional",55,IF(Atletas!I119="Qiangshu Opcional",56,IF(Atletas!I119="Nangun Opcional",57,IF(Atletas!I119="Gunshu Adulto",58,IF(Atletas!I119="Qiangshu Adulto",59,IF(Atletas!I119="Nangun Adulto",60,""))))))))))))))))))))</f>
        <v/>
      </c>
      <c r="BF123" s="52" t="str">
        <f>IF(Atletas!J119="","",IF(Atletas!B119="Feminino",100,IF(Atletas!B119="Masculino",200,""))+(IF(Atletas!J119="Equipe 1 Grupo B",1,IF(Atletas!J119="Equipe 2 Grupo B",2,IF(Atletas!J119="Equipe 1 Grupo A",3,IF(Atletas!J119="Equipe 2 Grupo A",4,IF(Atletas!J119="Equipe 1 Adulto",5,IF(Atletas!J119="Equipe 2 Adulto",6,""))))))))</f>
        <v/>
      </c>
      <c r="BK123" s="52" t="str">
        <f>IF(Atletas!K119="","",IF(Atletas!W119&lt;&gt;"",10000,0)+(IF(Atletas!B119="Feminino",1000,IF(Atletas!B119="Masculino",2000,""))+IF(Atletas!K119="Choylayfut A",1,IF(Atletas!K119="Hunggar A",2,IF(Atletas!K119="Wuzuquan A",3,IF(Atletas!K119="Wingchun A",4,IF(Atletas!K119="Outra Mão de Sul A",5,IF(Atletas!K119="Choylayfut B",6,IF(Atletas!K119="Hunggar B",7,IF(Atletas!K119="Wuzuquan B",8,IF(Atletas!K119="Wingchun B",9,IF(Atletas!K119="Outra Mão de Sul B",10,IF(Atletas!K119="Choylayfut C",11,IF(Atletas!K119="Hunggar C",12,IF(Atletas!K119="Wuzuquan C",13,IF(Atletas!K119="Wingchun C",14,IF(Atletas!K119="Outra Mão de Sul C",15,IF(Atletas!K119="Choylayfut D",16,IF(Atletas!K119="Hunggar D",17,IF(Atletas!K119="Wuzuquan D",18,IF(Atletas!K119="Wingchun D",19,IF(Atletas!K119="Outra Mão de Sul D",20,IF(Atletas!K119="Choylayfut E",21,IF(Atletas!K119="Hunggar E",22,IF(Atletas!K119="Wuzuquan E",23,IF(Atletas!K119="Wingchun E",24,IF(Atletas!K119="Outra Mão de Sul E",25,IF(Atletas!K119="Choylayfut F",26,IF(Atletas!K119="Hunggar F",27,IF(Atletas!K119="Wuzuquan F",28,IF(Atletas!K119="Wingchun F",29,IF(Atletas!K119="Outra Mão de Sul F",30,""))))))))))))))))))))))))))))))))</f>
        <v/>
      </c>
      <c r="BL123" s="52" t="str">
        <f>IF(Atletas!L119="","",IF(Atletas!W119&lt;&gt;"",10000,0)+(IF(Atletas!B119="Feminino",1000,IF(Atletas!B119="Masculino",2000,""))+(IF(Atletas!L119="Chaquan A",101,IF(Atletas!L119="Emeiquan A",102,IF(Atletas!L119="Fanziquan A",103,IF(Atletas!L119="Huaquan A",104,IF(Atletas!L119="Hongquan A",105,IF(Atletas!L119="Paochui A",106,IF(Atletas!L119="Piguaquan A",107,IF(Atletas!L119="Shaolinquan A",108,IF(Atletas!L119="Tanglangquan A",109,IF(Atletas!L119="Yinzhaophai A",110,IF(Atletas!L119="Tongbeiquan A",111,IF(Atletas!L119="Wudangquan A",112,IF(Atletas!L119="Outros Estilos A",113,IF(Atletas!L119="Chaquan B",114,IF(Atletas!L119="Emeiquan B",115,IF(Atletas!L119="Fanziquan B",116,IF(Atletas!L119="Huaquan B",117,IF(Atletas!L119="Hongquan B",118,IF(Atletas!L119="Paochui B",119,IF(Atletas!L119="Piguaquan B",120,IF(Atletas!L119="Shaolinquan B",121,IF(Atletas!L119="Tanglangquan B",122,IF(Atletas!L119="Yinzhaophai B",123,IF(Atletas!L119="Tongbeiquan B",124,IF(Atletas!L119="Wudangquan B",125,IF(Atletas!L119="Outros Estilos B",126,IF(Atletas!L119="Chaquan C",127,IF(Atletas!L119="Emeiquan C",128,IF(Atletas!L119="Fanziquan C",129,IF(Atletas!L119="Huaquan C",130,IF(Atletas!L119="Hongquan C",131,IF(Atletas!L119="Paochui C",132,IF(Atletas!L119="Piguaquan C",133,IF(Atletas!L119="Shaolinquan C",134,IF(Atletas!L119="Tanglangquan C",135,IF(Atletas!L119="Yinzhaophai C",136,IF(Atletas!L119="Tongbeiquan C",137,IF(Atletas!L119="Wudangquan C",138,IF(Atletas!L119="Outros Estilos C",139,0))))))))))))))))))))))))))))))))))))))))))</f>
        <v/>
      </c>
      <c r="BM123" s="52" t="str">
        <f>IF(Atletas!L119="","",IF(Atletas!W119&lt;&gt;"",10000,0)+(IF(Atletas!B119="Feminino",1000,IF(Atletas!B119="Masculino",2000,""))+(IF(Atletas!L119="Chaquan D",140,IF(Atletas!L119="Emeiquan D",141,IF(Atletas!L119="Fanziquan D",142,IF(Atletas!L119="Huaquan D",143,IF(Atletas!L119="Hongquan D",144,IF(Atletas!L119="Paochui D",145,IF(Atletas!L119="Piguaquan D",146,IF(Atletas!L119="Shaolinquan D",147,IF(Atletas!L119="Tanglangquan D",148,IF(Atletas!L119="Yinzhaophai D",149,IF(Atletas!L119="Tongbeiquan D",150,IF(Atletas!L119="Wudangquan D",151,IF(Atletas!L119="Outros Estilos D",152,IF(Atletas!L119="Chaquan E",153,IF(Atletas!L119="Emeiquan E",154,IF(Atletas!L119="Fanziquan E",155,IF(Atletas!L119="Huaquan E",156,IF(Atletas!L119="Hongquan E",157,IF(Atletas!L119="Paochui E",158,IF(Atletas!L119="Piguaquan E",159,IF(Atletas!L119="Shaolinquan E",160,IF(Atletas!L119="Tanglangquan E",161,IF(Atletas!L119="Yinzhaophai E",162,IF(Atletas!L119="Tongbeiquan E",163,IF(Atletas!L119="Wudangquan E",164,IF(Atletas!L119="Outros Estilos E",165,IF(Atletas!L119="Chaquan F",166,IF(Atletas!L119="Emeiquan F",167,IF(Atletas!L119="Fanziquan F",168,IF(Atletas!L119="Huaquan F",169,IF(Atletas!L119="Hongquan F",170,IF(Atletas!L119="Paochui F",171,IF(Atletas!L119="Piguaquan F",172,IF(Atletas!L119="Shaolinquan F",173,IF(Atletas!L119="Tanglangquan F",174,IF(Atletas!L119="Yinzhaophai F",175,IF(Atletas!L119="Tongbeiquan F",176,IF(Atletas!L119="Wudangquan F",177,IF(Atletas!L119="Outros Estilos F",178,0))))))))))))))))))))))))))))))))))))))))))</f>
        <v/>
      </c>
      <c r="BN123" s="52" t="str">
        <f>IF(Atletas!M119="","",IF(Atletas!W119&lt;&gt;"",10000,0)+(IF(Atletas!B119="Feminino",1000,IF(Atletas!B119="Masculino",2000,""))+(IF(Atletas!M119="Ditangquan A",201,IF(Atletas!M119="Houquan A",202,IF(Atletas!M119="Zuiquan A",203,IF(Atletas!M119="Ditangquan B",204,IF(Atletas!M119="Houquan B",205,IF(Atletas!M119="Zuiquan B",206,IF(Atletas!M119="Ditangquan C",207,IF(Atletas!M119="Houquan C",208,IF(Atletas!M119="Zuiquan C",209,IF(Atletas!M119="Ditangquan D",210,IF(Atletas!M119="Houquan D",211,IF(Atletas!M119="Zuiquan D",212,IF(Atletas!M119="Ditangquan E",213,IF(Atletas!M119="Houquan E",214,IF(Atletas!M119="Zuiquan E",215,IF(Atletas!M119="Ditangquan F",216,IF(Atletas!M119="Houquan F",217,IF(Atletas!M119="Zuiquan F",218,"")))))))))))))))))))))</f>
        <v/>
      </c>
      <c r="BO123" s="52" t="str">
        <f>IF(Atletas!N119="","",IF(Atletas!W119&lt;&gt;"",10000,0)+IF(Atletas!B119="Feminino",1000,IF(Atletas!B119="Masculino",2000,""))+IF(Atletas!N119="Yang A",301,IF(Atletas!N119="Chen A",30,IF(Atletas!N119="Sun A",303,IF(Atletas!N119="Wu A",304,IF(Atletas!N119="Wu-Hao A",305,IF(Atletas!N119="Outro Taijiquan A",306,IF(Atletas!N119="Yang B",307,IF(Atletas!N119="Chen B",308,IF(Atletas!N119="Sun B",309,IF(Atletas!N119="Wu B",310,IF(Atletas!N119="Wu-Hao B",311,IF(Atletas!N119="Outro Taijiquan B",312,IF(Atletas!N119="Yang C",313,IF(Atletas!N119="Chen C",314,IF(Atletas!N119="Sun C",315,IF(Atletas!N119="Wu C",316,IF(Atletas!N119="Wu-Hao C",317,IF(Atletas!N119="Outro Taijiquan C",318,IF(Atletas!N119="Yang D",319,IF(Atletas!N119="Chen D",320,IF(Atletas!N119="Sun D",321,IF(Atletas!N119="Wu D",322,IF(Atletas!N119="Wu-Hao D",323,IF(Atletas!N119="Outro Taijiquan D",324,IF(Atletas!N119="Yang E",325,IF(Atletas!N119="Chen E",326,IF(Atletas!N119="Sun E",327,IF(Atletas!N119="Wu E",328,IF(Atletas!N119="Wu-Hao E",329,IF(Atletas!N119="Outro Taijiquan E",330,IF(Atletas!N119="Yang F",331,IF(Atletas!N119="Chen F",332,IF(Atletas!N119="Sun F",333,IF(Atletas!N119="Wu F",334,IF(Atletas!N119="Wu-Hao F",335,IF(Atletas!N119="Outro Taijiquan F",336,"")))))))))))))))))))))))))))))))))))))</f>
        <v/>
      </c>
      <c r="BP123" s="52" t="str">
        <f>IF(Atletas!O119="","",IF(Atletas!W119&lt;&gt;"",10000,0)+IF(Atletas!B119="Feminino",1000,IF(Atletas!B119="Masculino",2000,""))+IF(OR(Atletas!O119="Yang 26 A",Atletas!O119="Yang 40 A"),401,IF(OR(Atletas!O119="Chen 25 A",Atletas!O119="Chen 36 A",Atletas!O119="Chen 56 A"),402,IF(Atletas!O119="Sun 73 A",403,IF(Atletas!O119="Wu 45 A",404,IF(Atletas!O119="Wu-Hao 46 A",405,IF(OR(Atletas!O119="Taijiquan 16 A",Atletas!O119="Taijiquan 24 A",Atletas!O119="Taijiquan 32 A",Atletas!O119="Taijiquan 42 A"),406,IF(OR(Atletas!O119="Yang 26 B",Atletas!O119="Yang 40 B"),407,IF(OR(Atletas!O119="Chen 25 B",Atletas!O119="Chen 36 B",Atletas!O119="Chen 56 B"),408,IF(Atletas!O119="Sun 73 B",409,IF(Atletas!O119="Wu 45 B",410,IF(Atletas!O119="Wu-Hao 46 B",411,IF(OR(Atletas!O119="Taijiquan 16 B",Atletas!O119="Taijiquan 24 B",Atletas!O119="Taijiquan 32 B",Atletas!O119="Taijiquan 42 B"),412,IF(OR(Atletas!O119="Yang 26 C",Atletas!O119="Yang 40 C"),413,IF(OR(Atletas!O119="Chen 25 C",Atletas!O119="Chen 36 C",Atletas!O119="Chen 56 C"),414,IF(Atletas!O119="Sun 73 C",415,IF(Atletas!O119="Wu 45 C",416,IF(Atletas!O119="Wu-Hao 46 C",417,IF(OR(Atletas!O119="Taijiquan 16 C",Atletas!O119="Taijiquan 24 C",Atletas!O119="Taijiquan 32 C",Atletas!O119="Taijiquan 42 C"),418,0)))))))))))))))))))</f>
        <v/>
      </c>
      <c r="BQ123" s="52" t="str">
        <f>IF(Atletas!O119="","",IF(Atletas!W119&lt;&gt;"",10000,0)+IF(Atletas!B119="Feminino",1000,IF(Atletas!B119="Masculino",2000,""))+IF(OR(Atletas!O119="Yang 26 D",Atletas!O119="Yang 40 D"),419,IF(OR(Atletas!O119="Chen 25 D",Atletas!O119="Chen 36 D",Atletas!O119="Chen 56 D"),420,IF(Atletas!O119="Sun 73 D",421,IF(Atletas!O119="Wu 45 D",422,IF(Atletas!O119="Wu-Hao 46 D",423,IF(OR(Atletas!O119="Taijiquan 16 D",Atletas!O119="Taijiquan 24 D",Atletas!O119="Taijiquan 32 D",Atletas!O119="Taijiquan 42 D"),424,IF(OR(Atletas!O119="Yang 26 E",Atletas!O119="Yang 40 E"),425,IF(OR(Atletas!O119="Chen 25 E",Atletas!O119="Chen 36 E",Atletas!O119="Chen 56 E"),426,IF(Atletas!O119="Sun 73 E",427,IF(Atletas!O119="Wu 45 E",428,IF(Atletas!O119="Wu-Hao 46 E",429,IF(OR(Atletas!O119="Taijiquan 16 E",Atletas!O119="Taijiquan 24 E",Atletas!O119="Taijiquan 32 E",Atletas!O119="Taijiquan 42 E"),430,IF(OR(Atletas!O119="Yang 26 F",Atletas!O119="Yang 40 F"),431,IF(OR(Atletas!O119="Chen 25 F",Atletas!O119="Chen 36 F",Atletas!O119="Chen 56 F"),432,IF(Atletas!O119="Sun 73 F",433,IF(Atletas!O119="Wu 45 F",434,IF(Atletas!O119="Wu-Hao 46 F",435,IF(OR(Atletas!O119="Taijiquan 16 F",Atletas!O119="Taijiquan 24 F",Atletas!O119="Taijiquan 32 F",Atletas!O119="Taijiquan 42 F"),436,0)))))))))))))))))))</f>
        <v/>
      </c>
      <c r="BR123" s="52" t="str">
        <f>IF(Atletas!P119="","",IF(Atletas!W119&lt;&gt;"",10000,0)+IF(Atletas!B119="Feminino",1000,IF(Atletas!B119="Masculino",2000,""))+IF(Atletas!P119="Xingyiquan A",501,IF(Atletas!P119="Baguazhang A",502,IF(Atletas!P119="Outro Estilo Interno A",503,IF(Atletas!P119="Xingyiquan B",504,IF(Atletas!P119="Baguazhang B",505,IF(Atletas!P119="Outro Estilo Interno B",506,IF(Atletas!P119="Xingyiquan C",507,IF(Atletas!P119="Baguazhang C",508,IF(Atletas!P119="Outro Estilo Interno C",509,IF(Atletas!P119="Xingyiquan D",510,IF(Atletas!P119="Baguazhang D",511,IF(Atletas!P119="Outro Estilo Interno D",512,IF(Atletas!P119="Xingyiquan E",513,IF(Atletas!P119="Baguazhang E",514,IF(Atletas!P119="Outro Estilo Interno E",515,IF(Atletas!P119="Xingyiquan F",516,IF(Atletas!P119="Baguazhang F",517,IF(Atletas!P119="Outro Estilo Interno F",518, "")))))))))))))))))))</f>
        <v/>
      </c>
      <c r="BS123" s="52" t="str">
        <f>IF(Atletas!Q119="","",IF(Atletas!W119&lt;&gt;"",10000,0)+IF(Atletas!B119="Feminino",1000,IF(Atletas!B119="Masculino",2000,""))+IF(Atletas!Q119="Dao A",601,IF(Atletas!Q119="Jian A",602,IF(Atletas!Q119="Bishou A",603,IF(Atletas!Q119="Shan A",604,IF(Atletas!Q119="Outra Arma Curta A",605,IF(Atletas!Q119="Dao B",606,IF(Atletas!Q119="Jian B",607,IF(Atletas!Q119="Bishou B",608,IF(Atletas!Q119="Shan B",609,IF(Atletas!Q119="Outra Arma Curta B",610,IF(Atletas!Q119="Dao C",611,IF(Atletas!Q119="Jian C",612,IF(Atletas!Q119="Bishou C",613,IF(Atletas!Q119="Shan C",614,IF(Atletas!Q119="Outra Arma Curta C",615,IF(Atletas!Q119="Dao D",616,IF(Atletas!Q119="Jian D",617,IF(Atletas!Q119="Bishou D",618,IF(Atletas!Q119="Shan D",619,IF(Atletas!Q119="Outra Arma Curta D",620,IF(Atletas!Q119="Dao E",621,IF(Atletas!Q119="Jian E",622,IF(Atletas!Q119="Bishou E",623,IF(Atletas!Q119="Shan E",624,IF(Atletas!Q119="Outra Arma Curta E",625,IF(Atletas!Q119="Dao F",626,IF(Atletas!Q119="Jian F",627,IF(Atletas!Q119="Bishou F",628,IF(Atletas!Q119="Shan F",629,IF(Atletas!Q119="Outra Arma Curta F",630, "")))))))))))))))))))))))))))))))</f>
        <v/>
      </c>
      <c r="BT123" s="52" t="str">
        <f>IF(Atletas!R119="","",IF(Atletas!W119&lt;&gt;"",10000,0)+IF(Atletas!B119="Feminino",1000,IF(Atletas!B119="Masculino",2000,""))+IF(Atletas!R119="Gun A",701,IF(Atletas!R119="Qiang A",702,IF(Atletas!R119="Pudao / Guandao A",703,IF(Atletas!R119="Outra Arma Longa A",704,IF(Atletas!R119="Gun B",705,IF(Atletas!R119="Qiang B",706,IF(Atletas!R119="Pudao / Guandao B",707,IF(Atletas!R119="Outra Arma Longa B",708,IF(Atletas!R119="Gun C",709,IF(Atletas!R119="Qiang C",710,IF(Atletas!R119="Pudao / Guandao C",711,IF(Atletas!R119="Outra Arma Longa C",712,IF(Atletas!R119="Gun D",713,IF(Atletas!R119="Qiang D",714,IF(Atletas!R119="Pudao / Guandao D",715,IF(Atletas!R119="Outra Arma Longa D",716,IF(Atletas!R119="Gun E",717,IF(Atletas!R119="Qiang E",718,IF(Atletas!R119="Pudao / Guandao E",719,IF(Atletas!R119="Outra Arma Longa E",720,IF(Atletas!R119="Gun F",721,IF(Atletas!R119="Qiang F",722,IF(Atletas!R119="Pudao / Guandao F",723,IF(Atletas!R119="Outra Arma Longa F",724,"")))))))))))))))))))))))))</f>
        <v/>
      </c>
      <c r="BU123" s="52" t="str">
        <f>IF(Atletas!S119="","",IF(Atletas!W119&lt;&gt;"",10000,0)+IF(Atletas!B119="Feminino",1000,IF(Atletas!B119="Masculino",2000,""))+IF(Atletas!S119="Arma Dupla A",801,IF(Atletas!S119="Arma Maleável A",802,IF(Atletas!S119="Arma Dupla B",803,IF(Atletas!S119="Arma Maleável B",804,IF(Atletas!S119="Arma Dupla C",805,IF(Atletas!S119="Arma Maleável C",806,IF(Atletas!S119="Arma Dupla D",807,IF(Atletas!S119="Arma Maleável D",808,IF(Atletas!S119="Arma Dupla E",809,IF(Atletas!S119="Arma Maleável E",810,IF(Atletas!S119="Arma Dupla F",811,IF(Atletas!S119="Arma Maleável F",812, "")))))))))))))</f>
        <v/>
      </c>
      <c r="BV123" s="52" t="str">
        <f>IF(Atletas!T119="","",IF(Atletas!W119&lt;&gt;"",10000,0)+IF(Atletas!B119="Feminino",1000,IF(Atletas!B119="Masculino",2000,""))+IF(Atletas!T119="Taijijian Yang A",901,IF(Atletas!T119="Taijijian Chen A",902,IF(Atletas!T119="Taijijian Sun A",903,IF(Atletas!T119="Taijijian Wu A",904,IF(Atletas!T119="Taijijian Wu-Hao A",905,IF(Atletas!T119="Taijijian 32 A",906,IF(Atletas!T119="Taijijian 42 A",907,IF(Atletas!T119="Taijijian Yang B",908,IF(Atletas!T119="Taijijian Chen B",909,IF(Atletas!T119="Taijijian Sun B",910,IF(Atletas!T119="Taijijian Wu B",911,IF(Atletas!T119="Taijijian Wu-Hao B",912,IF(Atletas!T119="Taijijian 32 B",913,IF(Atletas!T119="Taijijian 42 B",914,IF(Atletas!T119="Taijijian Yang C",915,IF(Atletas!T119="Taijijian Chen C",916,IF(Atletas!T119="Taijijian Sun C",917,IF(Atletas!T119="Taijijian Wu C",918,IF(Atletas!T119="Taijijian Wu-Hao C",919,IF(Atletas!T119="Taijijian 32 C",920,IF(Atletas!T119="Taijijian 42 C",921,IF(Atletas!T119="Taijijian Yang D",922,IF(Atletas!T119="Taijijian Chen D",923,IF(Atletas!T119="Taijijian Sun D",924,IF(Atletas!T119="Taijijian Wu D",925,IF(Atletas!T119="Taijijian Wu-Hao D",926,IF(Atletas!T119="Taijijian 32 D",927,IF(Atletas!T119="Taijijian 42 D",928,IF(Atletas!T119="Taijijian Yang E",929,IF(Atletas!T119="Taijijian Chen E",930,IF(Atletas!T119="Taijijian Sun E",931,IF(Atletas!T119="Taijijian Wu E",932,IF(Atletas!T119="Taijijian Wu-Hao E",933,IF(Atletas!T119="Taijijian 32 E",934,IF(Atletas!T119="Taijijian 42 E",935,IF(Atletas!T119="Taijijian Yang F",936,IF(Atletas!T119="Taijijian Chen F",937,IF(Atletas!T119="Taijijian Sun F",938,IF(Atletas!T119="Taijijian Wu F",939,IF(Atletas!T119="Taijijian Wu-Hao F",940,IF(Atletas!T119="Taijijian 32 F",941,IF(Atletas!T119="Taijijian 42 F",942,"")))))))))))))))))))))))))))))))))))))))))))</f>
        <v/>
      </c>
      <c r="BW123" s="52" t="str">
        <f>IF(Atletas!U119="","",IF(Atletas!W119&lt;&gt;"",10000,0)+IF(Atletas!B119="Feminino",1000,IF(Atletas!B119="Masculino",2000,""))+IF(Atletas!T119="Taijijian 42 F",942,IF(Atletas!U119="Taijidao A",943,IF(Atletas!U119="Taijishan A",944,IF(Atletas!U119="Taijiqiang A",945,IF(Atletas!U119="Taijidao B",946,IF(Atletas!U119="Taijishan B",947,IF(Atletas!U119="Taijiqiang B",948,IF(Atletas!U119="Taijidao C",949,IF(Atletas!U119="Taijishan C",950,IF(Atletas!U119="Taijiqiang C",951,IF(Atletas!U119="Taijidao D",952,IF(Atletas!U119="Taijishan D",953,IF(Atletas!U119="Taijiqiang D",954,IF(Atletas!U119="Taijidao E",955,IF(Atletas!U119="Taijishan E",956,IF(Atletas!U119="Taijiqiang E",957,IF(Atletas!U119="Taijidao F",958,IF(Atletas!U119="Taijishan F",959,IF(Atletas!U119="Taijiqiang F",960))))))))))))))))))))</f>
        <v/>
      </c>
      <c r="BX123" s="72" t="str">
        <f>IF(BY123&lt;&gt;"","Zuiquan C","")</f>
        <v/>
      </c>
      <c r="BY123" s="72" t="str">
        <f>IF(COUNTIF(BK:BW,1209)&gt;0,COUNTIF(BK:BW,1209),"")</f>
        <v/>
      </c>
      <c r="BZ123" s="72" t="str">
        <f>IF(CA123&lt;&gt;"","Zuiquan C","")</f>
        <v/>
      </c>
      <c r="CA123" s="72" t="str">
        <f>IF(COUNTIF(BK:BW,2209)&gt;0,COUNTIF(BK:BW,2209),"")</f>
        <v/>
      </c>
      <c r="CB123" s="72" t="str">
        <f>IF(CC123&lt;&gt;"","Zuiquan C","")</f>
        <v/>
      </c>
      <c r="CC123" s="64" t="str">
        <f>IF(COUNTIF(BK:BW,11209)&gt;0,COUNTIF(BK:BW,11209),"")</f>
        <v/>
      </c>
      <c r="CD123" s="64" t="str">
        <f>IF(CE123&lt;&gt;"","Zuiquan C","")</f>
        <v/>
      </c>
      <c r="CE123" s="64" t="str">
        <f>IF(COUNTIF(BK:BW,12209)&gt;0,COUNTIF(BK:BW,12209),"")</f>
        <v/>
      </c>
      <c r="CF123" s="52" t="str">
        <f xml:space="preserve"> IF(Atletas!V119="","",IF(Atletas!V119="Duilian de Mãos AB - Equipe 1",1,IF(Atletas!V119="Duilian de Mãos AB - Equipe 2",2,IF(Atletas!V119="Duilian de Armas AB - Equipe 1",3,IF(Atletas!V119="Duilian de Armas AB - Equipe 2",4,IF(Atletas!V119="Duilian de Tuishou - Equipe 1",5,IF(Atletas!V119="Duilian de Tuishou - Equipe 2",6,IF(Atletas!V119="Grupo Externo AB - Equipe 1",7,IF(Atletas!V119="Grupo Externo AB - Equipe 2",8,IF(Atletas!V119="Grupo Interno AB - Equipe 1",9,IF(Atletas!V119="Grupo Interno AB - Equipe 2",10,IF(Atletas!V119="Duilian de Mãos CD - Equipe 1",11,IF(Atletas!V119="Duilian de Mãos CD - Equipe 2",12,IF(Atletas!V119="Duilian de Armas CD - Equipe 1",13,IF(Atletas!V119="Duilian de Armas CD - Equipe 2",14,IF(Atletas!V119="Duilian de Tuishou - Equipe 1",15,IF(Atletas!V119="Duilian de Tuishou - Equipe 2",16,IF(Atletas!V119="Grupo Externo CDEF - Equipe 1",17,IF(Atletas!V119="Grupo Externo CDEF - Equipe 2",18,IF(Atletas!V119="Grupo Interno CDEF - Equipe 1",19,IF(Atletas!V119="Grupo Interno CDEF - Equipe 2",20,IF(Atletas!V119="Duilian de Mãos EF - Equipe 1",21,IF(Atletas!V119="Duilian de Mãos EF - Equipe 2",22,IF(Atletas!V119="Duilian de Armas EF - Equipe 1",23,IF(Atletas!V119="Duilian de Armas EF - Equipe 2",24,IF(Atletas!V119="Duilian de Tuishou - Equipe 1",25,IF(Atletas!V119="Duilian de Tuishou - Equipe 2",26,"")))))))))))))))))))))))))))</f>
        <v/>
      </c>
    </row>
    <row r="124" spans="2:84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 t="str">
        <f t="array" ref="V124">IFERROR(INDEX(BX$7:BX$336,SMALL(IF(BX$7:BX$336&lt;&gt;"",ROW(BX$7:BX$336)-ROW(BX$7)+1),ROWS(BX$7:BX123))),"")</f>
        <v/>
      </c>
      <c r="W124" s="4" t="str">
        <f t="array" ref="W124">IFERROR(INDEX(BY$7:BY$336,SMALL(IF(BY$7:BY$336&lt;&gt;"",ROW(BY$7:BY$336)-ROW(BY$7)+1),ROWS(BY$7:BY123))),"")</f>
        <v/>
      </c>
      <c r="X124" s="4" t="str">
        <f t="array" ref="X124">IFERROR(INDEX(BZ$7:BZ$336,SMALL(IF(BZ$7:BZ$336&lt;&gt;"",ROW(BZ$7:BZ$336)-ROW(BZ$7)+1),ROWS(BZ$7:BZ123))),"")</f>
        <v/>
      </c>
      <c r="Y124" s="4" t="str">
        <f t="array" ref="Y124">IFERROR(INDEX(CA$7:CA$336,SMALL(IF(CA$7:CA$336&lt;&gt;"",ROW(CA$7:CA$336)-ROW(CA$7)+1),ROWS(CA$7:CA123))),"")</f>
        <v/>
      </c>
      <c r="Z124" s="4" t="str">
        <f t="array" ref="Z124">IFERROR(INDEX(CB$7:CB$378,SMALL(IF(CB$7:CB$378&lt;&gt;"",ROW(CB$7:CB$378)-ROW(CB$7)+1),ROWS(CB$7:CB123))),"")</f>
        <v/>
      </c>
      <c r="AA124" s="4" t="str">
        <f t="array" ref="AA124">IFERROR(INDEX(CC$7:CC$378,SMALL(IF(CC$7:CC$378&lt;&gt;"",ROW(CC$7:CC$378)-ROW(CC$7)+1),ROWS(CC$7:CC123))),"")</f>
        <v/>
      </c>
      <c r="AB124" s="4" t="str">
        <f t="array" ref="AB124">IFERROR(INDEX(CD$7:CD$378,SMALL(IF(CD$7:CD$378&lt;&gt;"",ROW(CD$7:CD$378)-ROW(CD$7)+1),ROWS(CD$7:CD123))),"")</f>
        <v/>
      </c>
      <c r="AC124" s="4" t="str">
        <f t="array" ref="AC124">IFERROR(INDEX(CE$7:CE$378,SMALL(IF(CE$7:CE$378&lt;&gt;"",ROW(CE$7:CE$378)-ROW(CE$7)+1),ROWS(CE$7:CE123))),"")</f>
        <v/>
      </c>
      <c r="AD124" s="4"/>
      <c r="AE124" s="4"/>
      <c r="AF124" s="4"/>
      <c r="AG124" s="4"/>
      <c r="AH124" s="4"/>
      <c r="AI124" s="4"/>
      <c r="AJ124" s="46" t="str">
        <f>IF(Atletas!D120="","",IF(Atletas!B120="Feminino",100,IF(Atletas!B120="Masculino",200,""))+(IF(Atletas!D120="Infantil 39kg",1,IF(Atletas!D120="Infantil 42kg",2,IF(Atletas!D120="Infantil 45kg",3,IF(Atletas!D120="Infantil 48kg",4,IF(Atletas!D120="Infantil 52kg",5,IF(Atletas!D120="Infantil 56kg",6,IF(Atletas!D120="Infantil 60kg",7,IF(Atletas!D120="Juvenil 48kg",8,IF(Atletas!D120="Juvenil 52kg",9,IF(Atletas!D120="Juvenil 56kg",10,IF(Atletas!D120="Juvenil 60kg",11,IF(Atletas!D120="Juvenil 65kg",12,IF(Atletas!D120="Juvenil 70kg",13,IF(Atletas!D120="Juvenil 75kg",14,IF(Atletas!D120="Juvenil 80kg",15,IF(Atletas!D120="Adulto 48kg",16,IF(Atletas!D120="Adulto 52kg",17,IF(Atletas!D120="Adulto 56kg",18,IF(Atletas!D120="Adulto 60kg",19,IF(Atletas!D120="Adulto 65kg",20,IF(Atletas!D120="Adulto 70kg",21,IF(Atletas!D120="Adulto 75kg",22,IF(Atletas!D120="Adulto 80kg",23,IF(Atletas!D120="Adulto 85kg",24,IF(Atletas!D120="Adulto 90kg",25,IF(Atletas!D120="Adulto +90kg",26,""))))))))))))))))))))))))))))</f>
        <v/>
      </c>
      <c r="AO124" s="10" t="str">
        <f>IF(Atletas!E120="","",IF(Atletas!B120="Feminino",100,IF(Atletas!B120="Masculino",200,""))+(IF(Atletas!E120="Juvenil 44kg",1,IF(Atletas!E120="Juvenil 48kg",2,IF(Atletas!E120="Juvenil 52kg",3,IF(Atletas!E120="Juvenil 56kg",4,IF(Atletas!E120="Juvenil 60kg",5,IF(Atletas!E120="Juvenil 65kg",6,IF(Atletas!E120="Juvenil 70kg",7,IF(Atletas!E120="Juvenil 75kg",8,IF(Atletas!E120="Juvenil 82kg",9,IF(Atletas!E120="Juvenil 90kg",10,IF(Atletas!E120="Juvenil 100kg",11,IF(Atletas!E120="Adulto 48kg",12,IF(Atletas!E120="Adulto 52kg",13,IF(Atletas!E120="Adulto 56kg",14,IF(Atletas!E120="Adulto 60kg",15,IF(Atletas!E120="Adulto 65kg",16,IF(Atletas!E120="Adulto 70kg",17,IF(Atletas!E120="Adulto 75kg",18,IF(Atletas!E120="Adulto 82kg",19,IF(Atletas!E120="Adulto 90kg",20,IF(Atletas!E120="Adulto 100kg",21,IF(Atletas!E120="Adulto +100kg",22,""))))))))))))))))))))))))</f>
        <v/>
      </c>
      <c r="AT124" s="10" t="str">
        <f>IF(Atletas!F120="","",IF(Atletas!B120="Feminino",100,IF(Atletas!B120="Masculino",200,""))+(IF(Atletas!F120="Adulto 48kg",1,IF(Atletas!F120="Adulto 56kg",2,IF(Atletas!F120="Adulto 65kg",3,IF(Atletas!F120="Adulto 75kg",4,IF(Atletas!F120="Adulto +75kg",5,IF(Atletas!F120="Adulto 52kg",6,IF(Atletas!F120="Adulto 60kg",7,IF(Atletas!F120="Adulto 70kg",8,IF(Atletas!F120="Adulto 80kg",9,IF(Atletas!F120="Adulto 90kg",10,IF(Atletas!F120="Adulto +90kg",11,"")))))))))))))</f>
        <v/>
      </c>
      <c r="AY124" s="46" t="str">
        <f>IF(Atletas!G120="","",IF(Atletas!B120="Feminino",100,IF(Atletas!B120="Masculino",200,""))+(IF(Atletas!G120="Changquan Mirim",1,IF(Atletas!G120="Nanquan Mirim",2,IF(Atletas!G120="Taijiquan Mirim",3,IF(Atletas!G120="Changquan Grupo C",4,IF(Atletas!G120="Nanquan Grupo C",5,IF(Atletas!G120="Taijiquan Grupo C",6,IF(Atletas!G120="Changquan Grupo B",7,IF(Atletas!G120="Nanquan Grupo B",8,IF(Atletas!G120="Taijiquan Grupo B",9,IF(Atletas!G120="Changquan Grupo A",10,IF(Atletas!G120="Nanquan Grupo A",11,IF(Atletas!G120="Taijiquan Grupo A",12,IF(Atletas!G120="Changquan Opcional",13,IF(Atletas!G120="Nanquan Opcional",14,IF(Atletas!G120="Taijiquan Opcional",15,IF(Atletas!G120="Changquan Adulto",16,IF(Atletas!G120="Nanquan Adulto",17,IF(Atletas!G120="Taijiquan Adulto",18,""))))))))))))))))))))</f>
        <v/>
      </c>
      <c r="AZ124" s="46" t="str">
        <f>IF(Atletas!H120="","",IF(Atletas!B120="Feminino",100,IF(Atletas!B120="Masculino",200,""))+(IF(Atletas!H120="Daoshu Mirim",19,IF(Atletas!H120="Jianshu Mirim",20,IF(Atletas!H120="Nandao Mirim",21,IF(Atletas!H120="Taijijian Mirim",22,IF(Atletas!H120="Daoshu Grupo C",23,IF(Atletas!H120="Jianshu Grupo C",24,IF(Atletas!H120="Nandao Grupo C",25,IF(Atletas!H120="Taijijian Grupo C",26,IF(Atletas!H120="Daoshu Grupo B",27,IF(Atletas!H120="Jianshu Grupo B",28,IF(Atletas!H120="Nandao Grupo B",29,IF(Atletas!H120="Taijijian Grupo B",30,IF(Atletas!H120="Daoshu Grupo A",31,IF(Atletas!H120="Jianshu Grupo A",32,IF(Atletas!H120="Nandao Grupo A",33,IF(Atletas!H120="Taijijian Grupo A",34,IF(Atletas!H120="Daoshu Opcional",35,IF(Atletas!H120="Jianshu Opcional",36,IF(Atletas!H120="Nandao Opcional",37,IF(Atletas!H120="Taijijian Opcional",38,IF(Atletas!H120="Daoshu Adulto",39,IF(Atletas!H120="Jianshu Adulto",40,IF(Atletas!H120="Nandao Adulto",41,IF(Atletas!H120="Taijijian Adulto",42,""))))))))))))))))))))))))))</f>
        <v/>
      </c>
      <c r="BA124" s="46" t="str">
        <f>IF(Atletas!I120="","",IF(Atletas!B120="Feminino",100,IF(Atletas!B120="Masculino",200,""))+(IF(Atletas!I120="Gunshu Mirim",43,IF(Atletas!I120="Qiangshu Mirim",44,IF(Atletas!I120="Nangun Mirim",45,IF(Atletas!I120="Gunshu Grupo C",46,IF(Atletas!I120="Qiangshu Grupo C",47,IF(Atletas!I120="Nangun Grupo C",48,IF(Atletas!I120="Gunshu Grupo B",49,IF(Atletas!I120="Qiangshu Grupo B",50,IF(Atletas!I120="Nangun Grupo B",51,IF(Atletas!I120="Gunshu Grupo A",52,IF(Atletas!I120="Qiangshu Grupo A",53,IF(Atletas!I120="Nangun Grupo A",54,IF(Atletas!I120="Gunshu Opcional",55,IF(Atletas!I120="Qiangshu Opcional",56,IF(Atletas!I120="Nangun Opcional",57,IF(Atletas!I120="Gunshu Adulto",58,IF(Atletas!I120="Qiangshu Adulto",59,IF(Atletas!I120="Nangun Adulto",60,""))))))))))))))))))))</f>
        <v/>
      </c>
      <c r="BF124" s="52" t="str">
        <f>IF(Atletas!J120="","",IF(Atletas!B120="Feminino",100,IF(Atletas!B120="Masculino",200,""))+(IF(Atletas!J120="Equipe 1 Grupo B",1,IF(Atletas!J120="Equipe 2 Grupo B",2,IF(Atletas!J120="Equipe 1 Grupo A",3,IF(Atletas!J120="Equipe 2 Grupo A",4,IF(Atletas!J120="Equipe 1 Adulto",5,IF(Atletas!J120="Equipe 2 Adulto",6,""))))))))</f>
        <v/>
      </c>
      <c r="BK124" s="52" t="str">
        <f>IF(Atletas!K120="","",IF(Atletas!W120&lt;&gt;"",10000,0)+(IF(Atletas!B120="Feminino",1000,IF(Atletas!B120="Masculino",2000,""))+IF(Atletas!K120="Choylayfut A",1,IF(Atletas!K120="Hunggar A",2,IF(Atletas!K120="Wuzuquan A",3,IF(Atletas!K120="Wingchun A",4,IF(Atletas!K120="Outra Mão de Sul A",5,IF(Atletas!K120="Choylayfut B",6,IF(Atletas!K120="Hunggar B",7,IF(Atletas!K120="Wuzuquan B",8,IF(Atletas!K120="Wingchun B",9,IF(Atletas!K120="Outra Mão de Sul B",10,IF(Atletas!K120="Choylayfut C",11,IF(Atletas!K120="Hunggar C",12,IF(Atletas!K120="Wuzuquan C",13,IF(Atletas!K120="Wingchun C",14,IF(Atletas!K120="Outra Mão de Sul C",15,IF(Atletas!K120="Choylayfut D",16,IF(Atletas!K120="Hunggar D",17,IF(Atletas!K120="Wuzuquan D",18,IF(Atletas!K120="Wingchun D",19,IF(Atletas!K120="Outra Mão de Sul D",20,IF(Atletas!K120="Choylayfut E",21,IF(Atletas!K120="Hunggar E",22,IF(Atletas!K120="Wuzuquan E",23,IF(Atletas!K120="Wingchun E",24,IF(Atletas!K120="Outra Mão de Sul E",25,IF(Atletas!K120="Choylayfut F",26,IF(Atletas!K120="Hunggar F",27,IF(Atletas!K120="Wuzuquan F",28,IF(Atletas!K120="Wingchun F",29,IF(Atletas!K120="Outra Mão de Sul F",30,""))))))))))))))))))))))))))))))))</f>
        <v/>
      </c>
      <c r="BL124" s="52" t="str">
        <f>IF(Atletas!L120="","",IF(Atletas!W120&lt;&gt;"",10000,0)+(IF(Atletas!B120="Feminino",1000,IF(Atletas!B120="Masculino",2000,""))+(IF(Atletas!L120="Chaquan A",101,IF(Atletas!L120="Emeiquan A",102,IF(Atletas!L120="Fanziquan A",103,IF(Atletas!L120="Huaquan A",104,IF(Atletas!L120="Hongquan A",105,IF(Atletas!L120="Paochui A",106,IF(Atletas!L120="Piguaquan A",107,IF(Atletas!L120="Shaolinquan A",108,IF(Atletas!L120="Tanglangquan A",109,IF(Atletas!L120="Yinzhaophai A",110,IF(Atletas!L120="Tongbeiquan A",111,IF(Atletas!L120="Wudangquan A",112,IF(Atletas!L120="Outros Estilos A",113,IF(Atletas!L120="Chaquan B",114,IF(Atletas!L120="Emeiquan B",115,IF(Atletas!L120="Fanziquan B",116,IF(Atletas!L120="Huaquan B",117,IF(Atletas!L120="Hongquan B",118,IF(Atletas!L120="Paochui B",119,IF(Atletas!L120="Piguaquan B",120,IF(Atletas!L120="Shaolinquan B",121,IF(Atletas!L120="Tanglangquan B",122,IF(Atletas!L120="Yinzhaophai B",123,IF(Atletas!L120="Tongbeiquan B",124,IF(Atletas!L120="Wudangquan B",125,IF(Atletas!L120="Outros Estilos B",126,IF(Atletas!L120="Chaquan C",127,IF(Atletas!L120="Emeiquan C",128,IF(Atletas!L120="Fanziquan C",129,IF(Atletas!L120="Huaquan C",130,IF(Atletas!L120="Hongquan C",131,IF(Atletas!L120="Paochui C",132,IF(Atletas!L120="Piguaquan C",133,IF(Atletas!L120="Shaolinquan C",134,IF(Atletas!L120="Tanglangquan C",135,IF(Atletas!L120="Yinzhaophai C",136,IF(Atletas!L120="Tongbeiquan C",137,IF(Atletas!L120="Wudangquan C",138,IF(Atletas!L120="Outros Estilos C",139,0))))))))))))))))))))))))))))))))))))))))))</f>
        <v/>
      </c>
      <c r="BM124" s="52" t="str">
        <f>IF(Atletas!L120="","",IF(Atletas!W120&lt;&gt;"",10000,0)+(IF(Atletas!B120="Feminino",1000,IF(Atletas!B120="Masculino",2000,""))+(IF(Atletas!L120="Chaquan D",140,IF(Atletas!L120="Emeiquan D",141,IF(Atletas!L120="Fanziquan D",142,IF(Atletas!L120="Huaquan D",143,IF(Atletas!L120="Hongquan D",144,IF(Atletas!L120="Paochui D",145,IF(Atletas!L120="Piguaquan D",146,IF(Atletas!L120="Shaolinquan D",147,IF(Atletas!L120="Tanglangquan D",148,IF(Atletas!L120="Yinzhaophai D",149,IF(Atletas!L120="Tongbeiquan D",150,IF(Atletas!L120="Wudangquan D",151,IF(Atletas!L120="Outros Estilos D",152,IF(Atletas!L120="Chaquan E",153,IF(Atletas!L120="Emeiquan E",154,IF(Atletas!L120="Fanziquan E",155,IF(Atletas!L120="Huaquan E",156,IF(Atletas!L120="Hongquan E",157,IF(Atletas!L120="Paochui E",158,IF(Atletas!L120="Piguaquan E",159,IF(Atletas!L120="Shaolinquan E",160,IF(Atletas!L120="Tanglangquan E",161,IF(Atletas!L120="Yinzhaophai E",162,IF(Atletas!L120="Tongbeiquan E",163,IF(Atletas!L120="Wudangquan E",164,IF(Atletas!L120="Outros Estilos E",165,IF(Atletas!L120="Chaquan F",166,IF(Atletas!L120="Emeiquan F",167,IF(Atletas!L120="Fanziquan F",168,IF(Atletas!L120="Huaquan F",169,IF(Atletas!L120="Hongquan F",170,IF(Atletas!L120="Paochui F",171,IF(Atletas!L120="Piguaquan F",172,IF(Atletas!L120="Shaolinquan F",173,IF(Atletas!L120="Tanglangquan F",174,IF(Atletas!L120="Yinzhaophai F",175,IF(Atletas!L120="Tongbeiquan F",176,IF(Atletas!L120="Wudangquan F",177,IF(Atletas!L120="Outros Estilos F",178,0))))))))))))))))))))))))))))))))))))))))))</f>
        <v/>
      </c>
      <c r="BN124" s="52" t="str">
        <f>IF(Atletas!M120="","",IF(Atletas!W120&lt;&gt;"",10000,0)+(IF(Atletas!B120="Feminino",1000,IF(Atletas!B120="Masculino",2000,""))+(IF(Atletas!M120="Ditangquan A",201,IF(Atletas!M120="Houquan A",202,IF(Atletas!M120="Zuiquan A",203,IF(Atletas!M120="Ditangquan B",204,IF(Atletas!M120="Houquan B",205,IF(Atletas!M120="Zuiquan B",206,IF(Atletas!M120="Ditangquan C",207,IF(Atletas!M120="Houquan C",208,IF(Atletas!M120="Zuiquan C",209,IF(Atletas!M120="Ditangquan D",210,IF(Atletas!M120="Houquan D",211,IF(Atletas!M120="Zuiquan D",212,IF(Atletas!M120="Ditangquan E",213,IF(Atletas!M120="Houquan E",214,IF(Atletas!M120="Zuiquan E",215,IF(Atletas!M120="Ditangquan F",216,IF(Atletas!M120="Houquan F",217,IF(Atletas!M120="Zuiquan F",218,"")))))))))))))))))))))</f>
        <v/>
      </c>
      <c r="BO124" s="52" t="str">
        <f>IF(Atletas!N120="","",IF(Atletas!W120&lt;&gt;"",10000,0)+IF(Atletas!B120="Feminino",1000,IF(Atletas!B120="Masculino",2000,""))+IF(Atletas!N120="Yang A",301,IF(Atletas!N120="Chen A",30,IF(Atletas!N120="Sun A",303,IF(Atletas!N120="Wu A",304,IF(Atletas!N120="Wu-Hao A",305,IF(Atletas!N120="Outro Taijiquan A",306,IF(Atletas!N120="Yang B",307,IF(Atletas!N120="Chen B",308,IF(Atletas!N120="Sun B",309,IF(Atletas!N120="Wu B",310,IF(Atletas!N120="Wu-Hao B",311,IF(Atletas!N120="Outro Taijiquan B",312,IF(Atletas!N120="Yang C",313,IF(Atletas!N120="Chen C",314,IF(Atletas!N120="Sun C",315,IF(Atletas!N120="Wu C",316,IF(Atletas!N120="Wu-Hao C",317,IF(Atletas!N120="Outro Taijiquan C",318,IF(Atletas!N120="Yang D",319,IF(Atletas!N120="Chen D",320,IF(Atletas!N120="Sun D",321,IF(Atletas!N120="Wu D",322,IF(Atletas!N120="Wu-Hao D",323,IF(Atletas!N120="Outro Taijiquan D",324,IF(Atletas!N120="Yang E",325,IF(Atletas!N120="Chen E",326,IF(Atletas!N120="Sun E",327,IF(Atletas!N120="Wu E",328,IF(Atletas!N120="Wu-Hao E",329,IF(Atletas!N120="Outro Taijiquan E",330,IF(Atletas!N120="Yang F",331,IF(Atletas!N120="Chen F",332,IF(Atletas!N120="Sun F",333,IF(Atletas!N120="Wu F",334,IF(Atletas!N120="Wu-Hao F",335,IF(Atletas!N120="Outro Taijiquan F",336,"")))))))))))))))))))))))))))))))))))))</f>
        <v/>
      </c>
      <c r="BP124" s="52" t="str">
        <f>IF(Atletas!O120="","",IF(Atletas!W120&lt;&gt;"",10000,0)+IF(Atletas!B120="Feminino",1000,IF(Atletas!B120="Masculino",2000,""))+IF(OR(Atletas!O120="Yang 26 A",Atletas!O120="Yang 40 A"),401,IF(OR(Atletas!O120="Chen 25 A",Atletas!O120="Chen 36 A",Atletas!O120="Chen 56 A"),402,IF(Atletas!O120="Sun 73 A",403,IF(Atletas!O120="Wu 45 A",404,IF(Atletas!O120="Wu-Hao 46 A",405,IF(OR(Atletas!O120="Taijiquan 16 A",Atletas!O120="Taijiquan 24 A",Atletas!O120="Taijiquan 32 A",Atletas!O120="Taijiquan 42 A"),406,IF(OR(Atletas!O120="Yang 26 B",Atletas!O120="Yang 40 B"),407,IF(OR(Atletas!O120="Chen 25 B",Atletas!O120="Chen 36 B",Atletas!O120="Chen 56 B"),408,IF(Atletas!O120="Sun 73 B",409,IF(Atletas!O120="Wu 45 B",410,IF(Atletas!O120="Wu-Hao 46 B",411,IF(OR(Atletas!O120="Taijiquan 16 B",Atletas!O120="Taijiquan 24 B",Atletas!O120="Taijiquan 32 B",Atletas!O120="Taijiquan 42 B"),412,IF(OR(Atletas!O120="Yang 26 C",Atletas!O120="Yang 40 C"),413,IF(OR(Atletas!O120="Chen 25 C",Atletas!O120="Chen 36 C",Atletas!O120="Chen 56 C"),414,IF(Atletas!O120="Sun 73 C",415,IF(Atletas!O120="Wu 45 C",416,IF(Atletas!O120="Wu-Hao 46 C",417,IF(OR(Atletas!O120="Taijiquan 16 C",Atletas!O120="Taijiquan 24 C",Atletas!O120="Taijiquan 32 C",Atletas!O120="Taijiquan 42 C"),418,0)))))))))))))))))))</f>
        <v/>
      </c>
      <c r="BQ124" s="52" t="str">
        <f>IF(Atletas!O120="","",IF(Atletas!W120&lt;&gt;"",10000,0)+IF(Atletas!B120="Feminino",1000,IF(Atletas!B120="Masculino",2000,""))+IF(OR(Atletas!O120="Yang 26 D",Atletas!O120="Yang 40 D"),419,IF(OR(Atletas!O120="Chen 25 D",Atletas!O120="Chen 36 D",Atletas!O120="Chen 56 D"),420,IF(Atletas!O120="Sun 73 D",421,IF(Atletas!O120="Wu 45 D",422,IF(Atletas!O120="Wu-Hao 46 D",423,IF(OR(Atletas!O120="Taijiquan 16 D",Atletas!O120="Taijiquan 24 D",Atletas!O120="Taijiquan 32 D",Atletas!O120="Taijiquan 42 D"),424,IF(OR(Atletas!O120="Yang 26 E",Atletas!O120="Yang 40 E"),425,IF(OR(Atletas!O120="Chen 25 E",Atletas!O120="Chen 36 E",Atletas!O120="Chen 56 E"),426,IF(Atletas!O120="Sun 73 E",427,IF(Atletas!O120="Wu 45 E",428,IF(Atletas!O120="Wu-Hao 46 E",429,IF(OR(Atletas!O120="Taijiquan 16 E",Atletas!O120="Taijiquan 24 E",Atletas!O120="Taijiquan 32 E",Atletas!O120="Taijiquan 42 E"),430,IF(OR(Atletas!O120="Yang 26 F",Atletas!O120="Yang 40 F"),431,IF(OR(Atletas!O120="Chen 25 F",Atletas!O120="Chen 36 F",Atletas!O120="Chen 56 F"),432,IF(Atletas!O120="Sun 73 F",433,IF(Atletas!O120="Wu 45 F",434,IF(Atletas!O120="Wu-Hao 46 F",435,IF(OR(Atletas!O120="Taijiquan 16 F",Atletas!O120="Taijiquan 24 F",Atletas!O120="Taijiquan 32 F",Atletas!O120="Taijiquan 42 F"),436,0)))))))))))))))))))</f>
        <v/>
      </c>
      <c r="BR124" s="52" t="str">
        <f>IF(Atletas!P120="","",IF(Atletas!W120&lt;&gt;"",10000,0)+IF(Atletas!B120="Feminino",1000,IF(Atletas!B120="Masculino",2000,""))+IF(Atletas!P120="Xingyiquan A",501,IF(Atletas!P120="Baguazhang A",502,IF(Atletas!P120="Outro Estilo Interno A",503,IF(Atletas!P120="Xingyiquan B",504,IF(Atletas!P120="Baguazhang B",505,IF(Atletas!P120="Outro Estilo Interno B",506,IF(Atletas!P120="Xingyiquan C",507,IF(Atletas!P120="Baguazhang C",508,IF(Atletas!P120="Outro Estilo Interno C",509,IF(Atletas!P120="Xingyiquan D",510,IF(Atletas!P120="Baguazhang D",511,IF(Atletas!P120="Outro Estilo Interno D",512,IF(Atletas!P120="Xingyiquan E",513,IF(Atletas!P120="Baguazhang E",514,IF(Atletas!P120="Outro Estilo Interno E",515,IF(Atletas!P120="Xingyiquan F",516,IF(Atletas!P120="Baguazhang F",517,IF(Atletas!P120="Outro Estilo Interno F",518, "")))))))))))))))))))</f>
        <v/>
      </c>
      <c r="BS124" s="52" t="str">
        <f>IF(Atletas!Q120="","",IF(Atletas!W120&lt;&gt;"",10000,0)+IF(Atletas!B120="Feminino",1000,IF(Atletas!B120="Masculino",2000,""))+IF(Atletas!Q120="Dao A",601,IF(Atletas!Q120="Jian A",602,IF(Atletas!Q120="Bishou A",603,IF(Atletas!Q120="Shan A",604,IF(Atletas!Q120="Outra Arma Curta A",605,IF(Atletas!Q120="Dao B",606,IF(Atletas!Q120="Jian B",607,IF(Atletas!Q120="Bishou B",608,IF(Atletas!Q120="Shan B",609,IF(Atletas!Q120="Outra Arma Curta B",610,IF(Atletas!Q120="Dao C",611,IF(Atletas!Q120="Jian C",612,IF(Atletas!Q120="Bishou C",613,IF(Atletas!Q120="Shan C",614,IF(Atletas!Q120="Outra Arma Curta C",615,IF(Atletas!Q120="Dao D",616,IF(Atletas!Q120="Jian D",617,IF(Atletas!Q120="Bishou D",618,IF(Atletas!Q120="Shan D",619,IF(Atletas!Q120="Outra Arma Curta D",620,IF(Atletas!Q120="Dao E",621,IF(Atletas!Q120="Jian E",622,IF(Atletas!Q120="Bishou E",623,IF(Atletas!Q120="Shan E",624,IF(Atletas!Q120="Outra Arma Curta E",625,IF(Atletas!Q120="Dao F",626,IF(Atletas!Q120="Jian F",627,IF(Atletas!Q120="Bishou F",628,IF(Atletas!Q120="Shan F",629,IF(Atletas!Q120="Outra Arma Curta F",630, "")))))))))))))))))))))))))))))))</f>
        <v/>
      </c>
      <c r="BT124" s="52" t="str">
        <f>IF(Atletas!R120="","",IF(Atletas!W120&lt;&gt;"",10000,0)+IF(Atletas!B120="Feminino",1000,IF(Atletas!B120="Masculino",2000,""))+IF(Atletas!R120="Gun A",701,IF(Atletas!R120="Qiang A",702,IF(Atletas!R120="Pudao / Guandao A",703,IF(Atletas!R120="Outra Arma Longa A",704,IF(Atletas!R120="Gun B",705,IF(Atletas!R120="Qiang B",706,IF(Atletas!R120="Pudao / Guandao B",707,IF(Atletas!R120="Outra Arma Longa B",708,IF(Atletas!R120="Gun C",709,IF(Atletas!R120="Qiang C",710,IF(Atletas!R120="Pudao / Guandao C",711,IF(Atletas!R120="Outra Arma Longa C",712,IF(Atletas!R120="Gun D",713,IF(Atletas!R120="Qiang D",714,IF(Atletas!R120="Pudao / Guandao D",715,IF(Atletas!R120="Outra Arma Longa D",716,IF(Atletas!R120="Gun E",717,IF(Atletas!R120="Qiang E",718,IF(Atletas!R120="Pudao / Guandao E",719,IF(Atletas!R120="Outra Arma Longa E",720,IF(Atletas!R120="Gun F",721,IF(Atletas!R120="Qiang F",722,IF(Atletas!R120="Pudao / Guandao F",723,IF(Atletas!R120="Outra Arma Longa F",724,"")))))))))))))))))))))))))</f>
        <v/>
      </c>
      <c r="BU124" s="52" t="str">
        <f>IF(Atletas!S120="","",IF(Atletas!W120&lt;&gt;"",10000,0)+IF(Atletas!B120="Feminino",1000,IF(Atletas!B120="Masculino",2000,""))+IF(Atletas!S120="Arma Dupla A",801,IF(Atletas!S120="Arma Maleável A",802,IF(Atletas!S120="Arma Dupla B",803,IF(Atletas!S120="Arma Maleável B",804,IF(Atletas!S120="Arma Dupla C",805,IF(Atletas!S120="Arma Maleável C",806,IF(Atletas!S120="Arma Dupla D",807,IF(Atletas!S120="Arma Maleável D",808,IF(Atletas!S120="Arma Dupla E",809,IF(Atletas!S120="Arma Maleável E",810,IF(Atletas!S120="Arma Dupla F",811,IF(Atletas!S120="Arma Maleável F",812, "")))))))))))))</f>
        <v/>
      </c>
      <c r="BV124" s="52" t="str">
        <f>IF(Atletas!T120="","",IF(Atletas!W120&lt;&gt;"",10000,0)+IF(Atletas!B120="Feminino",1000,IF(Atletas!B120="Masculino",2000,""))+IF(Atletas!T120="Taijijian Yang A",901,IF(Atletas!T120="Taijijian Chen A",902,IF(Atletas!T120="Taijijian Sun A",903,IF(Atletas!T120="Taijijian Wu A",904,IF(Atletas!T120="Taijijian Wu-Hao A",905,IF(Atletas!T120="Taijijian 32 A",906,IF(Atletas!T120="Taijijian 42 A",907,IF(Atletas!T120="Taijijian Yang B",908,IF(Atletas!T120="Taijijian Chen B",909,IF(Atletas!T120="Taijijian Sun B",910,IF(Atletas!T120="Taijijian Wu B",911,IF(Atletas!T120="Taijijian Wu-Hao B",912,IF(Atletas!T120="Taijijian 32 B",913,IF(Atletas!T120="Taijijian 42 B",914,IF(Atletas!T120="Taijijian Yang C",915,IF(Atletas!T120="Taijijian Chen C",916,IF(Atletas!T120="Taijijian Sun C",917,IF(Atletas!T120="Taijijian Wu C",918,IF(Atletas!T120="Taijijian Wu-Hao C",919,IF(Atletas!T120="Taijijian 32 C",920,IF(Atletas!T120="Taijijian 42 C",921,IF(Atletas!T120="Taijijian Yang D",922,IF(Atletas!T120="Taijijian Chen D",923,IF(Atletas!T120="Taijijian Sun D",924,IF(Atletas!T120="Taijijian Wu D",925,IF(Atletas!T120="Taijijian Wu-Hao D",926,IF(Atletas!T120="Taijijian 32 D",927,IF(Atletas!T120="Taijijian 42 D",928,IF(Atletas!T120="Taijijian Yang E",929,IF(Atletas!T120="Taijijian Chen E",930,IF(Atletas!T120="Taijijian Sun E",931,IF(Atletas!T120="Taijijian Wu E",932,IF(Atletas!T120="Taijijian Wu-Hao E",933,IF(Atletas!T120="Taijijian 32 E",934,IF(Atletas!T120="Taijijian 42 E",935,IF(Atletas!T120="Taijijian Yang F",936,IF(Atletas!T120="Taijijian Chen F",937,IF(Atletas!T120="Taijijian Sun F",938,IF(Atletas!T120="Taijijian Wu F",939,IF(Atletas!T120="Taijijian Wu-Hao F",940,IF(Atletas!T120="Taijijian 32 F",941,IF(Atletas!T120="Taijijian 42 F",942,"")))))))))))))))))))))))))))))))))))))))))))</f>
        <v/>
      </c>
      <c r="BW124" s="52" t="str">
        <f>IF(Atletas!U120="","",IF(Atletas!W120&lt;&gt;"",10000,0)+IF(Atletas!B120="Feminino",1000,IF(Atletas!B120="Masculino",2000,""))+IF(Atletas!T120="Taijijian 42 F",942,IF(Atletas!U120="Taijidao A",943,IF(Atletas!U120="Taijishan A",944,IF(Atletas!U120="Taijiqiang A",945,IF(Atletas!U120="Taijidao B",946,IF(Atletas!U120="Taijishan B",947,IF(Atletas!U120="Taijiqiang B",948,IF(Atletas!U120="Taijidao C",949,IF(Atletas!U120="Taijishan C",950,IF(Atletas!U120="Taijiqiang C",951,IF(Atletas!U120="Taijidao D",952,IF(Atletas!U120="Taijishan D",953,IF(Atletas!U120="Taijiqiang D",954,IF(Atletas!U120="Taijidao E",955,IF(Atletas!U120="Taijishan E",956,IF(Atletas!U120="Taijiqiang E",957,IF(Atletas!U120="Taijidao F",958,IF(Atletas!U120="Taijishan F",959,IF(Atletas!U120="Taijiqiang F",960))))))))))))))))))))</f>
        <v/>
      </c>
      <c r="BX124" s="72" t="str">
        <f>IF(BY124&lt;&gt;"","Ditangquan D","")</f>
        <v/>
      </c>
      <c r="BY124" s="72" t="str">
        <f>IF(COUNTIF(BK:BW,1210)&gt;0,COUNTIF(BK:BW,1210),"")</f>
        <v/>
      </c>
      <c r="BZ124" s="72" t="str">
        <f>IF(CA124&lt;&gt;"","Ditangquan D","")</f>
        <v/>
      </c>
      <c r="CA124" s="72" t="str">
        <f>IF(COUNTIF(BK:BW,2210)&gt;0,COUNTIF(BK:BW,2210),"")</f>
        <v/>
      </c>
      <c r="CB124" s="72" t="str">
        <f>IF(CC124&lt;&gt;"","Ditangquan D","")</f>
        <v/>
      </c>
      <c r="CC124" s="64" t="str">
        <f>IF(COUNTIF(BK:BW,11210)&gt;0,COUNTIF(BK:BW,11210),"")</f>
        <v/>
      </c>
      <c r="CD124" s="64" t="str">
        <f>IF(CE124&lt;&gt;"","Ditangquan D","")</f>
        <v/>
      </c>
      <c r="CE124" s="64" t="str">
        <f>IF(COUNTIF(BK:BW,12210)&gt;0,COUNTIF(BK:BW,12210),"")</f>
        <v/>
      </c>
      <c r="CF124" s="52" t="str">
        <f xml:space="preserve"> IF(Atletas!V120="","",IF(Atletas!V120="Duilian de Mãos AB - Equipe 1",1,IF(Atletas!V120="Duilian de Mãos AB - Equipe 2",2,IF(Atletas!V120="Duilian de Armas AB - Equipe 1",3,IF(Atletas!V120="Duilian de Armas AB - Equipe 2",4,IF(Atletas!V120="Duilian de Tuishou - Equipe 1",5,IF(Atletas!V120="Duilian de Tuishou - Equipe 2",6,IF(Atletas!V120="Grupo Externo AB - Equipe 1",7,IF(Atletas!V120="Grupo Externo AB - Equipe 2",8,IF(Atletas!V120="Grupo Interno AB - Equipe 1",9,IF(Atletas!V120="Grupo Interno AB - Equipe 2",10,IF(Atletas!V120="Duilian de Mãos CD - Equipe 1",11,IF(Atletas!V120="Duilian de Mãos CD - Equipe 2",12,IF(Atletas!V120="Duilian de Armas CD - Equipe 1",13,IF(Atletas!V120="Duilian de Armas CD - Equipe 2",14,IF(Atletas!V120="Duilian de Tuishou - Equipe 1",15,IF(Atletas!V120="Duilian de Tuishou - Equipe 2",16,IF(Atletas!V120="Grupo Externo CDEF - Equipe 1",17,IF(Atletas!V120="Grupo Externo CDEF - Equipe 2",18,IF(Atletas!V120="Grupo Interno CDEF - Equipe 1",19,IF(Atletas!V120="Grupo Interno CDEF - Equipe 2",20,IF(Atletas!V120="Duilian de Mãos EF - Equipe 1",21,IF(Atletas!V120="Duilian de Mãos EF - Equipe 2",22,IF(Atletas!V120="Duilian de Armas EF - Equipe 1",23,IF(Atletas!V120="Duilian de Armas EF - Equipe 2",24,IF(Atletas!V120="Duilian de Tuishou - Equipe 1",25,IF(Atletas!V120="Duilian de Tuishou - Equipe 2",26,"")))))))))))))))))))))))))))</f>
        <v/>
      </c>
    </row>
    <row r="125" spans="2:84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 t="str">
        <f t="array" ref="V125">IFERROR(INDEX(BX$7:BX$336,SMALL(IF(BX$7:BX$336&lt;&gt;"",ROW(BX$7:BX$336)-ROW(BX$7)+1),ROWS(BX$7:BX124))),"")</f>
        <v/>
      </c>
      <c r="W125" s="4" t="str">
        <f t="array" ref="W125">IFERROR(INDEX(BY$7:BY$336,SMALL(IF(BY$7:BY$336&lt;&gt;"",ROW(BY$7:BY$336)-ROW(BY$7)+1),ROWS(BY$7:BY124))),"")</f>
        <v/>
      </c>
      <c r="X125" s="4" t="str">
        <f t="array" ref="X125">IFERROR(INDEX(BZ$7:BZ$336,SMALL(IF(BZ$7:BZ$336&lt;&gt;"",ROW(BZ$7:BZ$336)-ROW(BZ$7)+1),ROWS(BZ$7:BZ124))),"")</f>
        <v/>
      </c>
      <c r="Y125" s="4" t="str">
        <f t="array" ref="Y125">IFERROR(INDEX(CA$7:CA$336,SMALL(IF(CA$7:CA$336&lt;&gt;"",ROW(CA$7:CA$336)-ROW(CA$7)+1),ROWS(CA$7:CA124))),"")</f>
        <v/>
      </c>
      <c r="Z125" s="4" t="str">
        <f t="array" ref="Z125">IFERROR(INDEX(CB$7:CB$378,SMALL(IF(CB$7:CB$378&lt;&gt;"",ROW(CB$7:CB$378)-ROW(CB$7)+1),ROWS(CB$7:CB124))),"")</f>
        <v/>
      </c>
      <c r="AA125" s="4" t="str">
        <f t="array" ref="AA125">IFERROR(INDEX(CC$7:CC$378,SMALL(IF(CC$7:CC$378&lt;&gt;"",ROW(CC$7:CC$378)-ROW(CC$7)+1),ROWS(CC$7:CC124))),"")</f>
        <v/>
      </c>
      <c r="AB125" s="4" t="str">
        <f t="array" ref="AB125">IFERROR(INDEX(CD$7:CD$378,SMALL(IF(CD$7:CD$378&lt;&gt;"",ROW(CD$7:CD$378)-ROW(CD$7)+1),ROWS(CD$7:CD124))),"")</f>
        <v/>
      </c>
      <c r="AC125" s="4" t="str">
        <f t="array" ref="AC125">IFERROR(INDEX(CE$7:CE$378,SMALL(IF(CE$7:CE$378&lt;&gt;"",ROW(CE$7:CE$378)-ROW(CE$7)+1),ROWS(CE$7:CE124))),"")</f>
        <v/>
      </c>
      <c r="AD125" s="4"/>
      <c r="AE125" s="4"/>
      <c r="AF125" s="4"/>
      <c r="AG125" s="4"/>
      <c r="AH125" s="4"/>
      <c r="AI125" s="4"/>
      <c r="AJ125" s="46" t="str">
        <f>IF(Atletas!D121="","",IF(Atletas!B121="Feminino",100,IF(Atletas!B121="Masculino",200,""))+(IF(Atletas!D121="Infantil 39kg",1,IF(Atletas!D121="Infantil 42kg",2,IF(Atletas!D121="Infantil 45kg",3,IF(Atletas!D121="Infantil 48kg",4,IF(Atletas!D121="Infantil 52kg",5,IF(Atletas!D121="Infantil 56kg",6,IF(Atletas!D121="Infantil 60kg",7,IF(Atletas!D121="Juvenil 48kg",8,IF(Atletas!D121="Juvenil 52kg",9,IF(Atletas!D121="Juvenil 56kg",10,IF(Atletas!D121="Juvenil 60kg",11,IF(Atletas!D121="Juvenil 65kg",12,IF(Atletas!D121="Juvenil 70kg",13,IF(Atletas!D121="Juvenil 75kg",14,IF(Atletas!D121="Juvenil 80kg",15,IF(Atletas!D121="Adulto 48kg",16,IF(Atletas!D121="Adulto 52kg",17,IF(Atletas!D121="Adulto 56kg",18,IF(Atletas!D121="Adulto 60kg",19,IF(Atletas!D121="Adulto 65kg",20,IF(Atletas!D121="Adulto 70kg",21,IF(Atletas!D121="Adulto 75kg",22,IF(Atletas!D121="Adulto 80kg",23,IF(Atletas!D121="Adulto 85kg",24,IF(Atletas!D121="Adulto 90kg",25,IF(Atletas!D121="Adulto +90kg",26,""))))))))))))))))))))))))))))</f>
        <v/>
      </c>
      <c r="AO125" s="10" t="str">
        <f>IF(Atletas!E121="","",IF(Atletas!B121="Feminino",100,IF(Atletas!B121="Masculino",200,""))+(IF(Atletas!E121="Juvenil 44kg",1,IF(Atletas!E121="Juvenil 48kg",2,IF(Atletas!E121="Juvenil 52kg",3,IF(Atletas!E121="Juvenil 56kg",4,IF(Atletas!E121="Juvenil 60kg",5,IF(Atletas!E121="Juvenil 65kg",6,IF(Atletas!E121="Juvenil 70kg",7,IF(Atletas!E121="Juvenil 75kg",8,IF(Atletas!E121="Juvenil 82kg",9,IF(Atletas!E121="Juvenil 90kg",10,IF(Atletas!E121="Juvenil 100kg",11,IF(Atletas!E121="Adulto 48kg",12,IF(Atletas!E121="Adulto 52kg",13,IF(Atletas!E121="Adulto 56kg",14,IF(Atletas!E121="Adulto 60kg",15,IF(Atletas!E121="Adulto 65kg",16,IF(Atletas!E121="Adulto 70kg",17,IF(Atletas!E121="Adulto 75kg",18,IF(Atletas!E121="Adulto 82kg",19,IF(Atletas!E121="Adulto 90kg",20,IF(Atletas!E121="Adulto 100kg",21,IF(Atletas!E121="Adulto +100kg",22,""))))))))))))))))))))))))</f>
        <v/>
      </c>
      <c r="AT125" s="10" t="str">
        <f>IF(Atletas!F121="","",IF(Atletas!B121="Feminino",100,IF(Atletas!B121="Masculino",200,""))+(IF(Atletas!F121="Adulto 48kg",1,IF(Atletas!F121="Adulto 56kg",2,IF(Atletas!F121="Adulto 65kg",3,IF(Atletas!F121="Adulto 75kg",4,IF(Atletas!F121="Adulto +75kg",5,IF(Atletas!F121="Adulto 52kg",6,IF(Atletas!F121="Adulto 60kg",7,IF(Atletas!F121="Adulto 70kg",8,IF(Atletas!F121="Adulto 80kg",9,IF(Atletas!F121="Adulto 90kg",10,IF(Atletas!F121="Adulto +90kg",11,"")))))))))))))</f>
        <v/>
      </c>
      <c r="AY125" s="46" t="str">
        <f>IF(Atletas!G121="","",IF(Atletas!B121="Feminino",100,IF(Atletas!B121="Masculino",200,""))+(IF(Atletas!G121="Changquan Mirim",1,IF(Atletas!G121="Nanquan Mirim",2,IF(Atletas!G121="Taijiquan Mirim",3,IF(Atletas!G121="Changquan Grupo C",4,IF(Atletas!G121="Nanquan Grupo C",5,IF(Atletas!G121="Taijiquan Grupo C",6,IF(Atletas!G121="Changquan Grupo B",7,IF(Atletas!G121="Nanquan Grupo B",8,IF(Atletas!G121="Taijiquan Grupo B",9,IF(Atletas!G121="Changquan Grupo A",10,IF(Atletas!G121="Nanquan Grupo A",11,IF(Atletas!G121="Taijiquan Grupo A",12,IF(Atletas!G121="Changquan Opcional",13,IF(Atletas!G121="Nanquan Opcional",14,IF(Atletas!G121="Taijiquan Opcional",15,IF(Atletas!G121="Changquan Adulto",16,IF(Atletas!G121="Nanquan Adulto",17,IF(Atletas!G121="Taijiquan Adulto",18,""))))))))))))))))))))</f>
        <v/>
      </c>
      <c r="AZ125" s="46" t="str">
        <f>IF(Atletas!H121="","",IF(Atletas!B121="Feminino",100,IF(Atletas!B121="Masculino",200,""))+(IF(Atletas!H121="Daoshu Mirim",19,IF(Atletas!H121="Jianshu Mirim",20,IF(Atletas!H121="Nandao Mirim",21,IF(Atletas!H121="Taijijian Mirim",22,IF(Atletas!H121="Daoshu Grupo C",23,IF(Atletas!H121="Jianshu Grupo C",24,IF(Atletas!H121="Nandao Grupo C",25,IF(Atletas!H121="Taijijian Grupo C",26,IF(Atletas!H121="Daoshu Grupo B",27,IF(Atletas!H121="Jianshu Grupo B",28,IF(Atletas!H121="Nandao Grupo B",29,IF(Atletas!H121="Taijijian Grupo B",30,IF(Atletas!H121="Daoshu Grupo A",31,IF(Atletas!H121="Jianshu Grupo A",32,IF(Atletas!H121="Nandao Grupo A",33,IF(Atletas!H121="Taijijian Grupo A",34,IF(Atletas!H121="Daoshu Opcional",35,IF(Atletas!H121="Jianshu Opcional",36,IF(Atletas!H121="Nandao Opcional",37,IF(Atletas!H121="Taijijian Opcional",38,IF(Atletas!H121="Daoshu Adulto",39,IF(Atletas!H121="Jianshu Adulto",40,IF(Atletas!H121="Nandao Adulto",41,IF(Atletas!H121="Taijijian Adulto",42,""))))))))))))))))))))))))))</f>
        <v/>
      </c>
      <c r="BA125" s="46" t="str">
        <f>IF(Atletas!I121="","",IF(Atletas!B121="Feminino",100,IF(Atletas!B121="Masculino",200,""))+(IF(Atletas!I121="Gunshu Mirim",43,IF(Atletas!I121="Qiangshu Mirim",44,IF(Atletas!I121="Nangun Mirim",45,IF(Atletas!I121="Gunshu Grupo C",46,IF(Atletas!I121="Qiangshu Grupo C",47,IF(Atletas!I121="Nangun Grupo C",48,IF(Atletas!I121="Gunshu Grupo B",49,IF(Atletas!I121="Qiangshu Grupo B",50,IF(Atletas!I121="Nangun Grupo B",51,IF(Atletas!I121="Gunshu Grupo A",52,IF(Atletas!I121="Qiangshu Grupo A",53,IF(Atletas!I121="Nangun Grupo A",54,IF(Atletas!I121="Gunshu Opcional",55,IF(Atletas!I121="Qiangshu Opcional",56,IF(Atletas!I121="Nangun Opcional",57,IF(Atletas!I121="Gunshu Adulto",58,IF(Atletas!I121="Qiangshu Adulto",59,IF(Atletas!I121="Nangun Adulto",60,""))))))))))))))))))))</f>
        <v/>
      </c>
      <c r="BF125" s="52" t="str">
        <f>IF(Atletas!J121="","",IF(Atletas!B121="Feminino",100,IF(Atletas!B121="Masculino",200,""))+(IF(Atletas!J121="Equipe 1 Grupo B",1,IF(Atletas!J121="Equipe 2 Grupo B",2,IF(Atletas!J121="Equipe 1 Grupo A",3,IF(Atletas!J121="Equipe 2 Grupo A",4,IF(Atletas!J121="Equipe 1 Adulto",5,IF(Atletas!J121="Equipe 2 Adulto",6,""))))))))</f>
        <v/>
      </c>
      <c r="BK125" s="52" t="str">
        <f>IF(Atletas!K121="","",IF(Atletas!W121&lt;&gt;"",10000,0)+(IF(Atletas!B121="Feminino",1000,IF(Atletas!B121="Masculino",2000,""))+IF(Atletas!K121="Choylayfut A",1,IF(Atletas!K121="Hunggar A",2,IF(Atletas!K121="Wuzuquan A",3,IF(Atletas!K121="Wingchun A",4,IF(Atletas!K121="Outra Mão de Sul A",5,IF(Atletas!K121="Choylayfut B",6,IF(Atletas!K121="Hunggar B",7,IF(Atletas!K121="Wuzuquan B",8,IF(Atletas!K121="Wingchun B",9,IF(Atletas!K121="Outra Mão de Sul B",10,IF(Atletas!K121="Choylayfut C",11,IF(Atletas!K121="Hunggar C",12,IF(Atletas!K121="Wuzuquan C",13,IF(Atletas!K121="Wingchun C",14,IF(Atletas!K121="Outra Mão de Sul C",15,IF(Atletas!K121="Choylayfut D",16,IF(Atletas!K121="Hunggar D",17,IF(Atletas!K121="Wuzuquan D",18,IF(Atletas!K121="Wingchun D",19,IF(Atletas!K121="Outra Mão de Sul D",20,IF(Atletas!K121="Choylayfut E",21,IF(Atletas!K121="Hunggar E",22,IF(Atletas!K121="Wuzuquan E",23,IF(Atletas!K121="Wingchun E",24,IF(Atletas!K121="Outra Mão de Sul E",25,IF(Atletas!K121="Choylayfut F",26,IF(Atletas!K121="Hunggar F",27,IF(Atletas!K121="Wuzuquan F",28,IF(Atletas!K121="Wingchun F",29,IF(Atletas!K121="Outra Mão de Sul F",30,""))))))))))))))))))))))))))))))))</f>
        <v/>
      </c>
      <c r="BL125" s="52" t="str">
        <f>IF(Atletas!L121="","",IF(Atletas!W121&lt;&gt;"",10000,0)+(IF(Atletas!B121="Feminino",1000,IF(Atletas!B121="Masculino",2000,""))+(IF(Atletas!L121="Chaquan A",101,IF(Atletas!L121="Emeiquan A",102,IF(Atletas!L121="Fanziquan A",103,IF(Atletas!L121="Huaquan A",104,IF(Atletas!L121="Hongquan A",105,IF(Atletas!L121="Paochui A",106,IF(Atletas!L121="Piguaquan A",107,IF(Atletas!L121="Shaolinquan A",108,IF(Atletas!L121="Tanglangquan A",109,IF(Atletas!L121="Yinzhaophai A",110,IF(Atletas!L121="Tongbeiquan A",111,IF(Atletas!L121="Wudangquan A",112,IF(Atletas!L121="Outros Estilos A",113,IF(Atletas!L121="Chaquan B",114,IF(Atletas!L121="Emeiquan B",115,IF(Atletas!L121="Fanziquan B",116,IF(Atletas!L121="Huaquan B",117,IF(Atletas!L121="Hongquan B",118,IF(Atletas!L121="Paochui B",119,IF(Atletas!L121="Piguaquan B",120,IF(Atletas!L121="Shaolinquan B",121,IF(Atletas!L121="Tanglangquan B",122,IF(Atletas!L121="Yinzhaophai B",123,IF(Atletas!L121="Tongbeiquan B",124,IF(Atletas!L121="Wudangquan B",125,IF(Atletas!L121="Outros Estilos B",126,IF(Atletas!L121="Chaquan C",127,IF(Atletas!L121="Emeiquan C",128,IF(Atletas!L121="Fanziquan C",129,IF(Atletas!L121="Huaquan C",130,IF(Atletas!L121="Hongquan C",131,IF(Atletas!L121="Paochui C",132,IF(Atletas!L121="Piguaquan C",133,IF(Atletas!L121="Shaolinquan C",134,IF(Atletas!L121="Tanglangquan C",135,IF(Atletas!L121="Yinzhaophai C",136,IF(Atletas!L121="Tongbeiquan C",137,IF(Atletas!L121="Wudangquan C",138,IF(Atletas!L121="Outros Estilos C",139,0))))))))))))))))))))))))))))))))))))))))))</f>
        <v/>
      </c>
      <c r="BM125" s="52" t="str">
        <f>IF(Atletas!L121="","",IF(Atletas!W121&lt;&gt;"",10000,0)+(IF(Atletas!B121="Feminino",1000,IF(Atletas!B121="Masculino",2000,""))+(IF(Atletas!L121="Chaquan D",140,IF(Atletas!L121="Emeiquan D",141,IF(Atletas!L121="Fanziquan D",142,IF(Atletas!L121="Huaquan D",143,IF(Atletas!L121="Hongquan D",144,IF(Atletas!L121="Paochui D",145,IF(Atletas!L121="Piguaquan D",146,IF(Atletas!L121="Shaolinquan D",147,IF(Atletas!L121="Tanglangquan D",148,IF(Atletas!L121="Yinzhaophai D",149,IF(Atletas!L121="Tongbeiquan D",150,IF(Atletas!L121="Wudangquan D",151,IF(Atletas!L121="Outros Estilos D",152,IF(Atletas!L121="Chaquan E",153,IF(Atletas!L121="Emeiquan E",154,IF(Atletas!L121="Fanziquan E",155,IF(Atletas!L121="Huaquan E",156,IF(Atletas!L121="Hongquan E",157,IF(Atletas!L121="Paochui E",158,IF(Atletas!L121="Piguaquan E",159,IF(Atletas!L121="Shaolinquan E",160,IF(Atletas!L121="Tanglangquan E",161,IF(Atletas!L121="Yinzhaophai E",162,IF(Atletas!L121="Tongbeiquan E",163,IF(Atletas!L121="Wudangquan E",164,IF(Atletas!L121="Outros Estilos E",165,IF(Atletas!L121="Chaquan F",166,IF(Atletas!L121="Emeiquan F",167,IF(Atletas!L121="Fanziquan F",168,IF(Atletas!L121="Huaquan F",169,IF(Atletas!L121="Hongquan F",170,IF(Atletas!L121="Paochui F",171,IF(Atletas!L121="Piguaquan F",172,IF(Atletas!L121="Shaolinquan F",173,IF(Atletas!L121="Tanglangquan F",174,IF(Atletas!L121="Yinzhaophai F",175,IF(Atletas!L121="Tongbeiquan F",176,IF(Atletas!L121="Wudangquan F",177,IF(Atletas!L121="Outros Estilos F",178,0))))))))))))))))))))))))))))))))))))))))))</f>
        <v/>
      </c>
      <c r="BN125" s="52" t="str">
        <f>IF(Atletas!M121="","",IF(Atletas!W121&lt;&gt;"",10000,0)+(IF(Atletas!B121="Feminino",1000,IF(Atletas!B121="Masculino",2000,""))+(IF(Atletas!M121="Ditangquan A",201,IF(Atletas!M121="Houquan A",202,IF(Atletas!M121="Zuiquan A",203,IF(Atletas!M121="Ditangquan B",204,IF(Atletas!M121="Houquan B",205,IF(Atletas!M121="Zuiquan B",206,IF(Atletas!M121="Ditangquan C",207,IF(Atletas!M121="Houquan C",208,IF(Atletas!M121="Zuiquan C",209,IF(Atletas!M121="Ditangquan D",210,IF(Atletas!M121="Houquan D",211,IF(Atletas!M121="Zuiquan D",212,IF(Atletas!M121="Ditangquan E",213,IF(Atletas!M121="Houquan E",214,IF(Atletas!M121="Zuiquan E",215,IF(Atletas!M121="Ditangquan F",216,IF(Atletas!M121="Houquan F",217,IF(Atletas!M121="Zuiquan F",218,"")))))))))))))))))))))</f>
        <v/>
      </c>
      <c r="BO125" s="52" t="str">
        <f>IF(Atletas!N121="","",IF(Atletas!W121&lt;&gt;"",10000,0)+IF(Atletas!B121="Feminino",1000,IF(Atletas!B121="Masculino",2000,""))+IF(Atletas!N121="Yang A",301,IF(Atletas!N121="Chen A",30,IF(Atletas!N121="Sun A",303,IF(Atletas!N121="Wu A",304,IF(Atletas!N121="Wu-Hao A",305,IF(Atletas!N121="Outro Taijiquan A",306,IF(Atletas!N121="Yang B",307,IF(Atletas!N121="Chen B",308,IF(Atletas!N121="Sun B",309,IF(Atletas!N121="Wu B",310,IF(Atletas!N121="Wu-Hao B",311,IF(Atletas!N121="Outro Taijiquan B",312,IF(Atletas!N121="Yang C",313,IF(Atletas!N121="Chen C",314,IF(Atletas!N121="Sun C",315,IF(Atletas!N121="Wu C",316,IF(Atletas!N121="Wu-Hao C",317,IF(Atletas!N121="Outro Taijiquan C",318,IF(Atletas!N121="Yang D",319,IF(Atletas!N121="Chen D",320,IF(Atletas!N121="Sun D",321,IF(Atletas!N121="Wu D",322,IF(Atletas!N121="Wu-Hao D",323,IF(Atletas!N121="Outro Taijiquan D",324,IF(Atletas!N121="Yang E",325,IF(Atletas!N121="Chen E",326,IF(Atletas!N121="Sun E",327,IF(Atletas!N121="Wu E",328,IF(Atletas!N121="Wu-Hao E",329,IF(Atletas!N121="Outro Taijiquan E",330,IF(Atletas!N121="Yang F",331,IF(Atletas!N121="Chen F",332,IF(Atletas!N121="Sun F",333,IF(Atletas!N121="Wu F",334,IF(Atletas!N121="Wu-Hao F",335,IF(Atletas!N121="Outro Taijiquan F",336,"")))))))))))))))))))))))))))))))))))))</f>
        <v/>
      </c>
      <c r="BP125" s="52" t="str">
        <f>IF(Atletas!O121="","",IF(Atletas!W121&lt;&gt;"",10000,0)+IF(Atletas!B121="Feminino",1000,IF(Atletas!B121="Masculino",2000,""))+IF(OR(Atletas!O121="Yang 26 A",Atletas!O121="Yang 40 A"),401,IF(OR(Atletas!O121="Chen 25 A",Atletas!O121="Chen 36 A",Atletas!O121="Chen 56 A"),402,IF(Atletas!O121="Sun 73 A",403,IF(Atletas!O121="Wu 45 A",404,IF(Atletas!O121="Wu-Hao 46 A",405,IF(OR(Atletas!O121="Taijiquan 16 A",Atletas!O121="Taijiquan 24 A",Atletas!O121="Taijiquan 32 A",Atletas!O121="Taijiquan 42 A"),406,IF(OR(Atletas!O121="Yang 26 B",Atletas!O121="Yang 40 B"),407,IF(OR(Atletas!O121="Chen 25 B",Atletas!O121="Chen 36 B",Atletas!O121="Chen 56 B"),408,IF(Atletas!O121="Sun 73 B",409,IF(Atletas!O121="Wu 45 B",410,IF(Atletas!O121="Wu-Hao 46 B",411,IF(OR(Atletas!O121="Taijiquan 16 B",Atletas!O121="Taijiquan 24 B",Atletas!O121="Taijiquan 32 B",Atletas!O121="Taijiquan 42 B"),412,IF(OR(Atletas!O121="Yang 26 C",Atletas!O121="Yang 40 C"),413,IF(OR(Atletas!O121="Chen 25 C",Atletas!O121="Chen 36 C",Atletas!O121="Chen 56 C"),414,IF(Atletas!O121="Sun 73 C",415,IF(Atletas!O121="Wu 45 C",416,IF(Atletas!O121="Wu-Hao 46 C",417,IF(OR(Atletas!O121="Taijiquan 16 C",Atletas!O121="Taijiquan 24 C",Atletas!O121="Taijiquan 32 C",Atletas!O121="Taijiquan 42 C"),418,0)))))))))))))))))))</f>
        <v/>
      </c>
      <c r="BQ125" s="52" t="str">
        <f>IF(Atletas!O121="","",IF(Atletas!W121&lt;&gt;"",10000,0)+IF(Atletas!B121="Feminino",1000,IF(Atletas!B121="Masculino",2000,""))+IF(OR(Atletas!O121="Yang 26 D",Atletas!O121="Yang 40 D"),419,IF(OR(Atletas!O121="Chen 25 D",Atletas!O121="Chen 36 D",Atletas!O121="Chen 56 D"),420,IF(Atletas!O121="Sun 73 D",421,IF(Atletas!O121="Wu 45 D",422,IF(Atletas!O121="Wu-Hao 46 D",423,IF(OR(Atletas!O121="Taijiquan 16 D",Atletas!O121="Taijiquan 24 D",Atletas!O121="Taijiquan 32 D",Atletas!O121="Taijiquan 42 D"),424,IF(OR(Atletas!O121="Yang 26 E",Atletas!O121="Yang 40 E"),425,IF(OR(Atletas!O121="Chen 25 E",Atletas!O121="Chen 36 E",Atletas!O121="Chen 56 E"),426,IF(Atletas!O121="Sun 73 E",427,IF(Atletas!O121="Wu 45 E",428,IF(Atletas!O121="Wu-Hao 46 E",429,IF(OR(Atletas!O121="Taijiquan 16 E",Atletas!O121="Taijiquan 24 E",Atletas!O121="Taijiquan 32 E",Atletas!O121="Taijiquan 42 E"),430,IF(OR(Atletas!O121="Yang 26 F",Atletas!O121="Yang 40 F"),431,IF(OR(Atletas!O121="Chen 25 F",Atletas!O121="Chen 36 F",Atletas!O121="Chen 56 F"),432,IF(Atletas!O121="Sun 73 F",433,IF(Atletas!O121="Wu 45 F",434,IF(Atletas!O121="Wu-Hao 46 F",435,IF(OR(Atletas!O121="Taijiquan 16 F",Atletas!O121="Taijiquan 24 F",Atletas!O121="Taijiquan 32 F",Atletas!O121="Taijiquan 42 F"),436,0)))))))))))))))))))</f>
        <v/>
      </c>
      <c r="BR125" s="52" t="str">
        <f>IF(Atletas!P121="","",IF(Atletas!W121&lt;&gt;"",10000,0)+IF(Atletas!B121="Feminino",1000,IF(Atletas!B121="Masculino",2000,""))+IF(Atletas!P121="Xingyiquan A",501,IF(Atletas!P121="Baguazhang A",502,IF(Atletas!P121="Outro Estilo Interno A",503,IF(Atletas!P121="Xingyiquan B",504,IF(Atletas!P121="Baguazhang B",505,IF(Atletas!P121="Outro Estilo Interno B",506,IF(Atletas!P121="Xingyiquan C",507,IF(Atletas!P121="Baguazhang C",508,IF(Atletas!P121="Outro Estilo Interno C",509,IF(Atletas!P121="Xingyiquan D",510,IF(Atletas!P121="Baguazhang D",511,IF(Atletas!P121="Outro Estilo Interno D",512,IF(Atletas!P121="Xingyiquan E",513,IF(Atletas!P121="Baguazhang E",514,IF(Atletas!P121="Outro Estilo Interno E",515,IF(Atletas!P121="Xingyiquan F",516,IF(Atletas!P121="Baguazhang F",517,IF(Atletas!P121="Outro Estilo Interno F",518, "")))))))))))))))))))</f>
        <v/>
      </c>
      <c r="BS125" s="52" t="str">
        <f>IF(Atletas!Q121="","",IF(Atletas!W121&lt;&gt;"",10000,0)+IF(Atletas!B121="Feminino",1000,IF(Atletas!B121="Masculino",2000,""))+IF(Atletas!Q121="Dao A",601,IF(Atletas!Q121="Jian A",602,IF(Atletas!Q121="Bishou A",603,IF(Atletas!Q121="Shan A",604,IF(Atletas!Q121="Outra Arma Curta A",605,IF(Atletas!Q121="Dao B",606,IF(Atletas!Q121="Jian B",607,IF(Atletas!Q121="Bishou B",608,IF(Atletas!Q121="Shan B",609,IF(Atletas!Q121="Outra Arma Curta B",610,IF(Atletas!Q121="Dao C",611,IF(Atletas!Q121="Jian C",612,IF(Atletas!Q121="Bishou C",613,IF(Atletas!Q121="Shan C",614,IF(Atletas!Q121="Outra Arma Curta C",615,IF(Atletas!Q121="Dao D",616,IF(Atletas!Q121="Jian D",617,IF(Atletas!Q121="Bishou D",618,IF(Atletas!Q121="Shan D",619,IF(Atletas!Q121="Outra Arma Curta D",620,IF(Atletas!Q121="Dao E",621,IF(Atletas!Q121="Jian E",622,IF(Atletas!Q121="Bishou E",623,IF(Atletas!Q121="Shan E",624,IF(Atletas!Q121="Outra Arma Curta E",625,IF(Atletas!Q121="Dao F",626,IF(Atletas!Q121="Jian F",627,IF(Atletas!Q121="Bishou F",628,IF(Atletas!Q121="Shan F",629,IF(Atletas!Q121="Outra Arma Curta F",630, "")))))))))))))))))))))))))))))))</f>
        <v/>
      </c>
      <c r="BT125" s="52" t="str">
        <f>IF(Atletas!R121="","",IF(Atletas!W121&lt;&gt;"",10000,0)+IF(Atletas!B121="Feminino",1000,IF(Atletas!B121="Masculino",2000,""))+IF(Atletas!R121="Gun A",701,IF(Atletas!R121="Qiang A",702,IF(Atletas!R121="Pudao / Guandao A",703,IF(Atletas!R121="Outra Arma Longa A",704,IF(Atletas!R121="Gun B",705,IF(Atletas!R121="Qiang B",706,IF(Atletas!R121="Pudao / Guandao B",707,IF(Atletas!R121="Outra Arma Longa B",708,IF(Atletas!R121="Gun C",709,IF(Atletas!R121="Qiang C",710,IF(Atletas!R121="Pudao / Guandao C",711,IF(Atletas!R121="Outra Arma Longa C",712,IF(Atletas!R121="Gun D",713,IF(Atletas!R121="Qiang D",714,IF(Atletas!R121="Pudao / Guandao D",715,IF(Atletas!R121="Outra Arma Longa D",716,IF(Atletas!R121="Gun E",717,IF(Atletas!R121="Qiang E",718,IF(Atletas!R121="Pudao / Guandao E",719,IF(Atletas!R121="Outra Arma Longa E",720,IF(Atletas!R121="Gun F",721,IF(Atletas!R121="Qiang F",722,IF(Atletas!R121="Pudao / Guandao F",723,IF(Atletas!R121="Outra Arma Longa F",724,"")))))))))))))))))))))))))</f>
        <v/>
      </c>
      <c r="BU125" s="52" t="str">
        <f>IF(Atletas!S121="","",IF(Atletas!W121&lt;&gt;"",10000,0)+IF(Atletas!B121="Feminino",1000,IF(Atletas!B121="Masculino",2000,""))+IF(Atletas!S121="Arma Dupla A",801,IF(Atletas!S121="Arma Maleável A",802,IF(Atletas!S121="Arma Dupla B",803,IF(Atletas!S121="Arma Maleável B",804,IF(Atletas!S121="Arma Dupla C",805,IF(Atletas!S121="Arma Maleável C",806,IF(Atletas!S121="Arma Dupla D",807,IF(Atletas!S121="Arma Maleável D",808,IF(Atletas!S121="Arma Dupla E",809,IF(Atletas!S121="Arma Maleável E",810,IF(Atletas!S121="Arma Dupla F",811,IF(Atletas!S121="Arma Maleável F",812, "")))))))))))))</f>
        <v/>
      </c>
      <c r="BV125" s="52" t="str">
        <f>IF(Atletas!T121="","",IF(Atletas!W121&lt;&gt;"",10000,0)+IF(Atletas!B121="Feminino",1000,IF(Atletas!B121="Masculino",2000,""))+IF(Atletas!T121="Taijijian Yang A",901,IF(Atletas!T121="Taijijian Chen A",902,IF(Atletas!T121="Taijijian Sun A",903,IF(Atletas!T121="Taijijian Wu A",904,IF(Atletas!T121="Taijijian Wu-Hao A",905,IF(Atletas!T121="Taijijian 32 A",906,IF(Atletas!T121="Taijijian 42 A",907,IF(Atletas!T121="Taijijian Yang B",908,IF(Atletas!T121="Taijijian Chen B",909,IF(Atletas!T121="Taijijian Sun B",910,IF(Atletas!T121="Taijijian Wu B",911,IF(Atletas!T121="Taijijian Wu-Hao B",912,IF(Atletas!T121="Taijijian 32 B",913,IF(Atletas!T121="Taijijian 42 B",914,IF(Atletas!T121="Taijijian Yang C",915,IF(Atletas!T121="Taijijian Chen C",916,IF(Atletas!T121="Taijijian Sun C",917,IF(Atletas!T121="Taijijian Wu C",918,IF(Atletas!T121="Taijijian Wu-Hao C",919,IF(Atletas!T121="Taijijian 32 C",920,IF(Atletas!T121="Taijijian 42 C",921,IF(Atletas!T121="Taijijian Yang D",922,IF(Atletas!T121="Taijijian Chen D",923,IF(Atletas!T121="Taijijian Sun D",924,IF(Atletas!T121="Taijijian Wu D",925,IF(Atletas!T121="Taijijian Wu-Hao D",926,IF(Atletas!T121="Taijijian 32 D",927,IF(Atletas!T121="Taijijian 42 D",928,IF(Atletas!T121="Taijijian Yang E",929,IF(Atletas!T121="Taijijian Chen E",930,IF(Atletas!T121="Taijijian Sun E",931,IF(Atletas!T121="Taijijian Wu E",932,IF(Atletas!T121="Taijijian Wu-Hao E",933,IF(Atletas!T121="Taijijian 32 E",934,IF(Atletas!T121="Taijijian 42 E",935,IF(Atletas!T121="Taijijian Yang F",936,IF(Atletas!T121="Taijijian Chen F",937,IF(Atletas!T121="Taijijian Sun F",938,IF(Atletas!T121="Taijijian Wu F",939,IF(Atletas!T121="Taijijian Wu-Hao F",940,IF(Atletas!T121="Taijijian 32 F",941,IF(Atletas!T121="Taijijian 42 F",942,"")))))))))))))))))))))))))))))))))))))))))))</f>
        <v/>
      </c>
      <c r="BW125" s="52" t="str">
        <f>IF(Atletas!U121="","",IF(Atletas!W121&lt;&gt;"",10000,0)+IF(Atletas!B121="Feminino",1000,IF(Atletas!B121="Masculino",2000,""))+IF(Atletas!T121="Taijijian 42 F",942,IF(Atletas!U121="Taijidao A",943,IF(Atletas!U121="Taijishan A",944,IF(Atletas!U121="Taijiqiang A",945,IF(Atletas!U121="Taijidao B",946,IF(Atletas!U121="Taijishan B",947,IF(Atletas!U121="Taijiqiang B",948,IF(Atletas!U121="Taijidao C",949,IF(Atletas!U121="Taijishan C",950,IF(Atletas!U121="Taijiqiang C",951,IF(Atletas!U121="Taijidao D",952,IF(Atletas!U121="Taijishan D",953,IF(Atletas!U121="Taijiqiang D",954,IF(Atletas!U121="Taijidao E",955,IF(Atletas!U121="Taijishan E",956,IF(Atletas!U121="Taijiqiang E",957,IF(Atletas!U121="Taijidao F",958,IF(Atletas!U121="Taijishan F",959,IF(Atletas!U121="Taijiqiang F",960))))))))))))))))))))</f>
        <v/>
      </c>
      <c r="BX125" s="72" t="str">
        <f>IF(BY125&lt;&gt;"","Houquan D","")</f>
        <v/>
      </c>
      <c r="BY125" s="72" t="str">
        <f>IF(COUNTIF(BK:BW,1211)&gt;0,COUNTIF(BK:BW,1211),"")</f>
        <v/>
      </c>
      <c r="BZ125" s="72" t="str">
        <f>IF(CA125&lt;&gt;"","Houquan D","")</f>
        <v/>
      </c>
      <c r="CA125" s="72" t="str">
        <f>IF(COUNTIF(BK:BW,2211)&gt;0,COUNTIF(BK:BW,2211),"")</f>
        <v/>
      </c>
      <c r="CB125" s="72" t="str">
        <f>IF(CC125&lt;&gt;"","Houquan D","")</f>
        <v/>
      </c>
      <c r="CC125" s="64" t="str">
        <f>IF(COUNTIF(BK:BW,11211)&gt;0,COUNTIF(BK:BW,11211),"")</f>
        <v/>
      </c>
      <c r="CD125" s="64" t="str">
        <f>IF(CE125&lt;&gt;"","Houquan D","")</f>
        <v/>
      </c>
      <c r="CE125" s="64" t="str">
        <f>IF(COUNTIF(BK:BW,12211)&gt;0,COUNTIF(BK:BW,12211),"")</f>
        <v/>
      </c>
      <c r="CF125" s="52" t="str">
        <f xml:space="preserve"> IF(Atletas!V121="","",IF(Atletas!V121="Duilian de Mãos AB - Equipe 1",1,IF(Atletas!V121="Duilian de Mãos AB - Equipe 2",2,IF(Atletas!V121="Duilian de Armas AB - Equipe 1",3,IF(Atletas!V121="Duilian de Armas AB - Equipe 2",4,IF(Atletas!V121="Duilian de Tuishou - Equipe 1",5,IF(Atletas!V121="Duilian de Tuishou - Equipe 2",6,IF(Atletas!V121="Grupo Externo AB - Equipe 1",7,IF(Atletas!V121="Grupo Externo AB - Equipe 2",8,IF(Atletas!V121="Grupo Interno AB - Equipe 1",9,IF(Atletas!V121="Grupo Interno AB - Equipe 2",10,IF(Atletas!V121="Duilian de Mãos CD - Equipe 1",11,IF(Atletas!V121="Duilian de Mãos CD - Equipe 2",12,IF(Atletas!V121="Duilian de Armas CD - Equipe 1",13,IF(Atletas!V121="Duilian de Armas CD - Equipe 2",14,IF(Atletas!V121="Duilian de Tuishou - Equipe 1",15,IF(Atletas!V121="Duilian de Tuishou - Equipe 2",16,IF(Atletas!V121="Grupo Externo CDEF - Equipe 1",17,IF(Atletas!V121="Grupo Externo CDEF - Equipe 2",18,IF(Atletas!V121="Grupo Interno CDEF - Equipe 1",19,IF(Atletas!V121="Grupo Interno CDEF - Equipe 2",20,IF(Atletas!V121="Duilian de Mãos EF - Equipe 1",21,IF(Atletas!V121="Duilian de Mãos EF - Equipe 2",22,IF(Atletas!V121="Duilian de Armas EF - Equipe 1",23,IF(Atletas!V121="Duilian de Armas EF - Equipe 2",24,IF(Atletas!V121="Duilian de Tuishou - Equipe 1",25,IF(Atletas!V121="Duilian de Tuishou - Equipe 2",26,"")))))))))))))))))))))))))))</f>
        <v/>
      </c>
    </row>
    <row r="126" spans="2:84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 t="str">
        <f t="array" ref="V126">IFERROR(INDEX(BX$7:BX$336,SMALL(IF(BX$7:BX$336&lt;&gt;"",ROW(BX$7:BX$336)-ROW(BX$7)+1),ROWS(BX$7:BX125))),"")</f>
        <v/>
      </c>
      <c r="W126" s="4" t="str">
        <f t="array" ref="W126">IFERROR(INDEX(BY$7:BY$336,SMALL(IF(BY$7:BY$336&lt;&gt;"",ROW(BY$7:BY$336)-ROW(BY$7)+1),ROWS(BY$7:BY125))),"")</f>
        <v/>
      </c>
      <c r="X126" s="4" t="str">
        <f t="array" ref="X126">IFERROR(INDEX(BZ$7:BZ$336,SMALL(IF(BZ$7:BZ$336&lt;&gt;"",ROW(BZ$7:BZ$336)-ROW(BZ$7)+1),ROWS(BZ$7:BZ125))),"")</f>
        <v/>
      </c>
      <c r="Y126" s="4" t="str">
        <f t="array" ref="Y126">IFERROR(INDEX(CA$7:CA$336,SMALL(IF(CA$7:CA$336&lt;&gt;"",ROW(CA$7:CA$336)-ROW(CA$7)+1),ROWS(CA$7:CA125))),"")</f>
        <v/>
      </c>
      <c r="Z126" s="4" t="str">
        <f t="array" ref="Z126">IFERROR(INDEX(CB$7:CB$378,SMALL(IF(CB$7:CB$378&lt;&gt;"",ROW(CB$7:CB$378)-ROW(CB$7)+1),ROWS(CB$7:CB125))),"")</f>
        <v/>
      </c>
      <c r="AA126" s="4" t="str">
        <f t="array" ref="AA126">IFERROR(INDEX(CC$7:CC$378,SMALL(IF(CC$7:CC$378&lt;&gt;"",ROW(CC$7:CC$378)-ROW(CC$7)+1),ROWS(CC$7:CC125))),"")</f>
        <v/>
      </c>
      <c r="AB126" s="4" t="str">
        <f t="array" ref="AB126">IFERROR(INDEX(CD$7:CD$378,SMALL(IF(CD$7:CD$378&lt;&gt;"",ROW(CD$7:CD$378)-ROW(CD$7)+1),ROWS(CD$7:CD125))),"")</f>
        <v/>
      </c>
      <c r="AC126" s="4" t="str">
        <f t="array" ref="AC126">IFERROR(INDEX(CE$7:CE$378,SMALL(IF(CE$7:CE$378&lt;&gt;"",ROW(CE$7:CE$378)-ROW(CE$7)+1),ROWS(CE$7:CE125))),"")</f>
        <v/>
      </c>
      <c r="AD126" s="4"/>
      <c r="AE126" s="4"/>
      <c r="AF126" s="4"/>
      <c r="AG126" s="4"/>
      <c r="AH126" s="4"/>
      <c r="AI126" s="4"/>
      <c r="AJ126" s="46" t="str">
        <f>IF(Atletas!D122="","",IF(Atletas!B122="Feminino",100,IF(Atletas!B122="Masculino",200,""))+(IF(Atletas!D122="Infantil 39kg",1,IF(Atletas!D122="Infantil 42kg",2,IF(Atletas!D122="Infantil 45kg",3,IF(Atletas!D122="Infantil 48kg",4,IF(Atletas!D122="Infantil 52kg",5,IF(Atletas!D122="Infantil 56kg",6,IF(Atletas!D122="Infantil 60kg",7,IF(Atletas!D122="Juvenil 48kg",8,IF(Atletas!D122="Juvenil 52kg",9,IF(Atletas!D122="Juvenil 56kg",10,IF(Atletas!D122="Juvenil 60kg",11,IF(Atletas!D122="Juvenil 65kg",12,IF(Atletas!D122="Juvenil 70kg",13,IF(Atletas!D122="Juvenil 75kg",14,IF(Atletas!D122="Juvenil 80kg",15,IF(Atletas!D122="Adulto 48kg",16,IF(Atletas!D122="Adulto 52kg",17,IF(Atletas!D122="Adulto 56kg",18,IF(Atletas!D122="Adulto 60kg",19,IF(Atletas!D122="Adulto 65kg",20,IF(Atletas!D122="Adulto 70kg",21,IF(Atletas!D122="Adulto 75kg",22,IF(Atletas!D122="Adulto 80kg",23,IF(Atletas!D122="Adulto 85kg",24,IF(Atletas!D122="Adulto 90kg",25,IF(Atletas!D122="Adulto +90kg",26,""))))))))))))))))))))))))))))</f>
        <v/>
      </c>
      <c r="AO126" s="10" t="str">
        <f>IF(Atletas!E122="","",IF(Atletas!B122="Feminino",100,IF(Atletas!B122="Masculino",200,""))+(IF(Atletas!E122="Juvenil 44kg",1,IF(Atletas!E122="Juvenil 48kg",2,IF(Atletas!E122="Juvenil 52kg",3,IF(Atletas!E122="Juvenil 56kg",4,IF(Atletas!E122="Juvenil 60kg",5,IF(Atletas!E122="Juvenil 65kg",6,IF(Atletas!E122="Juvenil 70kg",7,IF(Atletas!E122="Juvenil 75kg",8,IF(Atletas!E122="Juvenil 82kg",9,IF(Atletas!E122="Juvenil 90kg",10,IF(Atletas!E122="Juvenil 100kg",11,IF(Atletas!E122="Adulto 48kg",12,IF(Atletas!E122="Adulto 52kg",13,IF(Atletas!E122="Adulto 56kg",14,IF(Atletas!E122="Adulto 60kg",15,IF(Atletas!E122="Adulto 65kg",16,IF(Atletas!E122="Adulto 70kg",17,IF(Atletas!E122="Adulto 75kg",18,IF(Atletas!E122="Adulto 82kg",19,IF(Atletas!E122="Adulto 90kg",20,IF(Atletas!E122="Adulto 100kg",21,IF(Atletas!E122="Adulto +100kg",22,""))))))))))))))))))))))))</f>
        <v/>
      </c>
      <c r="AT126" s="10" t="str">
        <f>IF(Atletas!F122="","",IF(Atletas!B122="Feminino",100,IF(Atletas!B122="Masculino",200,""))+(IF(Atletas!F122="Adulto 48kg",1,IF(Atletas!F122="Adulto 56kg",2,IF(Atletas!F122="Adulto 65kg",3,IF(Atletas!F122="Adulto 75kg",4,IF(Atletas!F122="Adulto +75kg",5,IF(Atletas!F122="Adulto 52kg",6,IF(Atletas!F122="Adulto 60kg",7,IF(Atletas!F122="Adulto 70kg",8,IF(Atletas!F122="Adulto 80kg",9,IF(Atletas!F122="Adulto 90kg",10,IF(Atletas!F122="Adulto +90kg",11,"")))))))))))))</f>
        <v/>
      </c>
      <c r="AY126" s="46" t="str">
        <f>IF(Atletas!G122="","",IF(Atletas!B122="Feminino",100,IF(Atletas!B122="Masculino",200,""))+(IF(Atletas!G122="Changquan Mirim",1,IF(Atletas!G122="Nanquan Mirim",2,IF(Atletas!G122="Taijiquan Mirim",3,IF(Atletas!G122="Changquan Grupo C",4,IF(Atletas!G122="Nanquan Grupo C",5,IF(Atletas!G122="Taijiquan Grupo C",6,IF(Atletas!G122="Changquan Grupo B",7,IF(Atletas!G122="Nanquan Grupo B",8,IF(Atletas!G122="Taijiquan Grupo B",9,IF(Atletas!G122="Changquan Grupo A",10,IF(Atletas!G122="Nanquan Grupo A",11,IF(Atletas!G122="Taijiquan Grupo A",12,IF(Atletas!G122="Changquan Opcional",13,IF(Atletas!G122="Nanquan Opcional",14,IF(Atletas!G122="Taijiquan Opcional",15,IF(Atletas!G122="Changquan Adulto",16,IF(Atletas!G122="Nanquan Adulto",17,IF(Atletas!G122="Taijiquan Adulto",18,""))))))))))))))))))))</f>
        <v/>
      </c>
      <c r="AZ126" s="46" t="str">
        <f>IF(Atletas!H122="","",IF(Atletas!B122="Feminino",100,IF(Atletas!B122="Masculino",200,""))+(IF(Atletas!H122="Daoshu Mirim",19,IF(Atletas!H122="Jianshu Mirim",20,IF(Atletas!H122="Nandao Mirim",21,IF(Atletas!H122="Taijijian Mirim",22,IF(Atletas!H122="Daoshu Grupo C",23,IF(Atletas!H122="Jianshu Grupo C",24,IF(Atletas!H122="Nandao Grupo C",25,IF(Atletas!H122="Taijijian Grupo C",26,IF(Atletas!H122="Daoshu Grupo B",27,IF(Atletas!H122="Jianshu Grupo B",28,IF(Atletas!H122="Nandao Grupo B",29,IF(Atletas!H122="Taijijian Grupo B",30,IF(Atletas!H122="Daoshu Grupo A",31,IF(Atletas!H122="Jianshu Grupo A",32,IF(Atletas!H122="Nandao Grupo A",33,IF(Atletas!H122="Taijijian Grupo A",34,IF(Atletas!H122="Daoshu Opcional",35,IF(Atletas!H122="Jianshu Opcional",36,IF(Atletas!H122="Nandao Opcional",37,IF(Atletas!H122="Taijijian Opcional",38,IF(Atletas!H122="Daoshu Adulto",39,IF(Atletas!H122="Jianshu Adulto",40,IF(Atletas!H122="Nandao Adulto",41,IF(Atletas!H122="Taijijian Adulto",42,""))))))))))))))))))))))))))</f>
        <v/>
      </c>
      <c r="BA126" s="46" t="str">
        <f>IF(Atletas!I122="","",IF(Atletas!B122="Feminino",100,IF(Atletas!B122="Masculino",200,""))+(IF(Atletas!I122="Gunshu Mirim",43,IF(Atletas!I122="Qiangshu Mirim",44,IF(Atletas!I122="Nangun Mirim",45,IF(Atletas!I122="Gunshu Grupo C",46,IF(Atletas!I122="Qiangshu Grupo C",47,IF(Atletas!I122="Nangun Grupo C",48,IF(Atletas!I122="Gunshu Grupo B",49,IF(Atletas!I122="Qiangshu Grupo B",50,IF(Atletas!I122="Nangun Grupo B",51,IF(Atletas!I122="Gunshu Grupo A",52,IF(Atletas!I122="Qiangshu Grupo A",53,IF(Atletas!I122="Nangun Grupo A",54,IF(Atletas!I122="Gunshu Opcional",55,IF(Atletas!I122="Qiangshu Opcional",56,IF(Atletas!I122="Nangun Opcional",57,IF(Atletas!I122="Gunshu Adulto",58,IF(Atletas!I122="Qiangshu Adulto",59,IF(Atletas!I122="Nangun Adulto",60,""))))))))))))))))))))</f>
        <v/>
      </c>
      <c r="BF126" s="52" t="str">
        <f>IF(Atletas!J122="","",IF(Atletas!B122="Feminino",100,IF(Atletas!B122="Masculino",200,""))+(IF(Atletas!J122="Equipe 1 Grupo B",1,IF(Atletas!J122="Equipe 2 Grupo B",2,IF(Atletas!J122="Equipe 1 Grupo A",3,IF(Atletas!J122="Equipe 2 Grupo A",4,IF(Atletas!J122="Equipe 1 Adulto",5,IF(Atletas!J122="Equipe 2 Adulto",6,""))))))))</f>
        <v/>
      </c>
      <c r="BK126" s="52" t="str">
        <f>IF(Atletas!K122="","",IF(Atletas!W122&lt;&gt;"",10000,0)+(IF(Atletas!B122="Feminino",1000,IF(Atletas!B122="Masculino",2000,""))+IF(Atletas!K122="Choylayfut A",1,IF(Atletas!K122="Hunggar A",2,IF(Atletas!K122="Wuzuquan A",3,IF(Atletas!K122="Wingchun A",4,IF(Atletas!K122="Outra Mão de Sul A",5,IF(Atletas!K122="Choylayfut B",6,IF(Atletas!K122="Hunggar B",7,IF(Atletas!K122="Wuzuquan B",8,IF(Atletas!K122="Wingchun B",9,IF(Atletas!K122="Outra Mão de Sul B",10,IF(Atletas!K122="Choylayfut C",11,IF(Atletas!K122="Hunggar C",12,IF(Atletas!K122="Wuzuquan C",13,IF(Atletas!K122="Wingchun C",14,IF(Atletas!K122="Outra Mão de Sul C",15,IF(Atletas!K122="Choylayfut D",16,IF(Atletas!K122="Hunggar D",17,IF(Atletas!K122="Wuzuquan D",18,IF(Atletas!K122="Wingchun D",19,IF(Atletas!K122="Outra Mão de Sul D",20,IF(Atletas!K122="Choylayfut E",21,IF(Atletas!K122="Hunggar E",22,IF(Atletas!K122="Wuzuquan E",23,IF(Atletas!K122="Wingchun E",24,IF(Atletas!K122="Outra Mão de Sul E",25,IF(Atletas!K122="Choylayfut F",26,IF(Atletas!K122="Hunggar F",27,IF(Atletas!K122="Wuzuquan F",28,IF(Atletas!K122="Wingchun F",29,IF(Atletas!K122="Outra Mão de Sul F",30,""))))))))))))))))))))))))))))))))</f>
        <v/>
      </c>
      <c r="BL126" s="52" t="str">
        <f>IF(Atletas!L122="","",IF(Atletas!W122&lt;&gt;"",10000,0)+(IF(Atletas!B122="Feminino",1000,IF(Atletas!B122="Masculino",2000,""))+(IF(Atletas!L122="Chaquan A",101,IF(Atletas!L122="Emeiquan A",102,IF(Atletas!L122="Fanziquan A",103,IF(Atletas!L122="Huaquan A",104,IF(Atletas!L122="Hongquan A",105,IF(Atletas!L122="Paochui A",106,IF(Atletas!L122="Piguaquan A",107,IF(Atletas!L122="Shaolinquan A",108,IF(Atletas!L122="Tanglangquan A",109,IF(Atletas!L122="Yinzhaophai A",110,IF(Atletas!L122="Tongbeiquan A",111,IF(Atletas!L122="Wudangquan A",112,IF(Atletas!L122="Outros Estilos A",113,IF(Atletas!L122="Chaquan B",114,IF(Atletas!L122="Emeiquan B",115,IF(Atletas!L122="Fanziquan B",116,IF(Atletas!L122="Huaquan B",117,IF(Atletas!L122="Hongquan B",118,IF(Atletas!L122="Paochui B",119,IF(Atletas!L122="Piguaquan B",120,IF(Atletas!L122="Shaolinquan B",121,IF(Atletas!L122="Tanglangquan B",122,IF(Atletas!L122="Yinzhaophai B",123,IF(Atletas!L122="Tongbeiquan B",124,IF(Atletas!L122="Wudangquan B",125,IF(Atletas!L122="Outros Estilos B",126,IF(Atletas!L122="Chaquan C",127,IF(Atletas!L122="Emeiquan C",128,IF(Atletas!L122="Fanziquan C",129,IF(Atletas!L122="Huaquan C",130,IF(Atletas!L122="Hongquan C",131,IF(Atletas!L122="Paochui C",132,IF(Atletas!L122="Piguaquan C",133,IF(Atletas!L122="Shaolinquan C",134,IF(Atletas!L122="Tanglangquan C",135,IF(Atletas!L122="Yinzhaophai C",136,IF(Atletas!L122="Tongbeiquan C",137,IF(Atletas!L122="Wudangquan C",138,IF(Atletas!L122="Outros Estilos C",139,0))))))))))))))))))))))))))))))))))))))))))</f>
        <v/>
      </c>
      <c r="BM126" s="52" t="str">
        <f>IF(Atletas!L122="","",IF(Atletas!W122&lt;&gt;"",10000,0)+(IF(Atletas!B122="Feminino",1000,IF(Atletas!B122="Masculino",2000,""))+(IF(Atletas!L122="Chaquan D",140,IF(Atletas!L122="Emeiquan D",141,IF(Atletas!L122="Fanziquan D",142,IF(Atletas!L122="Huaquan D",143,IF(Atletas!L122="Hongquan D",144,IF(Atletas!L122="Paochui D",145,IF(Atletas!L122="Piguaquan D",146,IF(Atletas!L122="Shaolinquan D",147,IF(Atletas!L122="Tanglangquan D",148,IF(Atletas!L122="Yinzhaophai D",149,IF(Atletas!L122="Tongbeiquan D",150,IF(Atletas!L122="Wudangquan D",151,IF(Atletas!L122="Outros Estilos D",152,IF(Atletas!L122="Chaquan E",153,IF(Atletas!L122="Emeiquan E",154,IF(Atletas!L122="Fanziquan E",155,IF(Atletas!L122="Huaquan E",156,IF(Atletas!L122="Hongquan E",157,IF(Atletas!L122="Paochui E",158,IF(Atletas!L122="Piguaquan E",159,IF(Atletas!L122="Shaolinquan E",160,IF(Atletas!L122="Tanglangquan E",161,IF(Atletas!L122="Yinzhaophai E",162,IF(Atletas!L122="Tongbeiquan E",163,IF(Atletas!L122="Wudangquan E",164,IF(Atletas!L122="Outros Estilos E",165,IF(Atletas!L122="Chaquan F",166,IF(Atletas!L122="Emeiquan F",167,IF(Atletas!L122="Fanziquan F",168,IF(Atletas!L122="Huaquan F",169,IF(Atletas!L122="Hongquan F",170,IF(Atletas!L122="Paochui F",171,IF(Atletas!L122="Piguaquan F",172,IF(Atletas!L122="Shaolinquan F",173,IF(Atletas!L122="Tanglangquan F",174,IF(Atletas!L122="Yinzhaophai F",175,IF(Atletas!L122="Tongbeiquan F",176,IF(Atletas!L122="Wudangquan F",177,IF(Atletas!L122="Outros Estilos F",178,0))))))))))))))))))))))))))))))))))))))))))</f>
        <v/>
      </c>
      <c r="BN126" s="52" t="str">
        <f>IF(Atletas!M122="","",IF(Atletas!W122&lt;&gt;"",10000,0)+(IF(Atletas!B122="Feminino",1000,IF(Atletas!B122="Masculino",2000,""))+(IF(Atletas!M122="Ditangquan A",201,IF(Atletas!M122="Houquan A",202,IF(Atletas!M122="Zuiquan A",203,IF(Atletas!M122="Ditangquan B",204,IF(Atletas!M122="Houquan B",205,IF(Atletas!M122="Zuiquan B",206,IF(Atletas!M122="Ditangquan C",207,IF(Atletas!M122="Houquan C",208,IF(Atletas!M122="Zuiquan C",209,IF(Atletas!M122="Ditangquan D",210,IF(Atletas!M122="Houquan D",211,IF(Atletas!M122="Zuiquan D",212,IF(Atletas!M122="Ditangquan E",213,IF(Atletas!M122="Houquan E",214,IF(Atletas!M122="Zuiquan E",215,IF(Atletas!M122="Ditangquan F",216,IF(Atletas!M122="Houquan F",217,IF(Atletas!M122="Zuiquan F",218,"")))))))))))))))))))))</f>
        <v/>
      </c>
      <c r="BO126" s="52" t="str">
        <f>IF(Atletas!N122="","",IF(Atletas!W122&lt;&gt;"",10000,0)+IF(Atletas!B122="Feminino",1000,IF(Atletas!B122="Masculino",2000,""))+IF(Atletas!N122="Yang A",301,IF(Atletas!N122="Chen A",30,IF(Atletas!N122="Sun A",303,IF(Atletas!N122="Wu A",304,IF(Atletas!N122="Wu-Hao A",305,IF(Atletas!N122="Outro Taijiquan A",306,IF(Atletas!N122="Yang B",307,IF(Atletas!N122="Chen B",308,IF(Atletas!N122="Sun B",309,IF(Atletas!N122="Wu B",310,IF(Atletas!N122="Wu-Hao B",311,IF(Atletas!N122="Outro Taijiquan B",312,IF(Atletas!N122="Yang C",313,IF(Atletas!N122="Chen C",314,IF(Atletas!N122="Sun C",315,IF(Atletas!N122="Wu C",316,IF(Atletas!N122="Wu-Hao C",317,IF(Atletas!N122="Outro Taijiquan C",318,IF(Atletas!N122="Yang D",319,IF(Atletas!N122="Chen D",320,IF(Atletas!N122="Sun D",321,IF(Atletas!N122="Wu D",322,IF(Atletas!N122="Wu-Hao D",323,IF(Atletas!N122="Outro Taijiquan D",324,IF(Atletas!N122="Yang E",325,IF(Atletas!N122="Chen E",326,IF(Atletas!N122="Sun E",327,IF(Atletas!N122="Wu E",328,IF(Atletas!N122="Wu-Hao E",329,IF(Atletas!N122="Outro Taijiquan E",330,IF(Atletas!N122="Yang F",331,IF(Atletas!N122="Chen F",332,IF(Atletas!N122="Sun F",333,IF(Atletas!N122="Wu F",334,IF(Atletas!N122="Wu-Hao F",335,IF(Atletas!N122="Outro Taijiquan F",336,"")))))))))))))))))))))))))))))))))))))</f>
        <v/>
      </c>
      <c r="BP126" s="52" t="str">
        <f>IF(Atletas!O122="","",IF(Atletas!W122&lt;&gt;"",10000,0)+IF(Atletas!B122="Feminino",1000,IF(Atletas!B122="Masculino",2000,""))+IF(OR(Atletas!O122="Yang 26 A",Atletas!O122="Yang 40 A"),401,IF(OR(Atletas!O122="Chen 25 A",Atletas!O122="Chen 36 A",Atletas!O122="Chen 56 A"),402,IF(Atletas!O122="Sun 73 A",403,IF(Atletas!O122="Wu 45 A",404,IF(Atletas!O122="Wu-Hao 46 A",405,IF(OR(Atletas!O122="Taijiquan 16 A",Atletas!O122="Taijiquan 24 A",Atletas!O122="Taijiquan 32 A",Atletas!O122="Taijiquan 42 A"),406,IF(OR(Atletas!O122="Yang 26 B",Atletas!O122="Yang 40 B"),407,IF(OR(Atletas!O122="Chen 25 B",Atletas!O122="Chen 36 B",Atletas!O122="Chen 56 B"),408,IF(Atletas!O122="Sun 73 B",409,IF(Atletas!O122="Wu 45 B",410,IF(Atletas!O122="Wu-Hao 46 B",411,IF(OR(Atletas!O122="Taijiquan 16 B",Atletas!O122="Taijiquan 24 B",Atletas!O122="Taijiquan 32 B",Atletas!O122="Taijiquan 42 B"),412,IF(OR(Atletas!O122="Yang 26 C",Atletas!O122="Yang 40 C"),413,IF(OR(Atletas!O122="Chen 25 C",Atletas!O122="Chen 36 C",Atletas!O122="Chen 56 C"),414,IF(Atletas!O122="Sun 73 C",415,IF(Atletas!O122="Wu 45 C",416,IF(Atletas!O122="Wu-Hao 46 C",417,IF(OR(Atletas!O122="Taijiquan 16 C",Atletas!O122="Taijiquan 24 C",Atletas!O122="Taijiquan 32 C",Atletas!O122="Taijiquan 42 C"),418,0)))))))))))))))))))</f>
        <v/>
      </c>
      <c r="BQ126" s="52" t="str">
        <f>IF(Atletas!O122="","",IF(Atletas!W122&lt;&gt;"",10000,0)+IF(Atletas!B122="Feminino",1000,IF(Atletas!B122="Masculino",2000,""))+IF(OR(Atletas!O122="Yang 26 D",Atletas!O122="Yang 40 D"),419,IF(OR(Atletas!O122="Chen 25 D",Atletas!O122="Chen 36 D",Atletas!O122="Chen 56 D"),420,IF(Atletas!O122="Sun 73 D",421,IF(Atletas!O122="Wu 45 D",422,IF(Atletas!O122="Wu-Hao 46 D",423,IF(OR(Atletas!O122="Taijiquan 16 D",Atletas!O122="Taijiquan 24 D",Atletas!O122="Taijiquan 32 D",Atletas!O122="Taijiquan 42 D"),424,IF(OR(Atletas!O122="Yang 26 E",Atletas!O122="Yang 40 E"),425,IF(OR(Atletas!O122="Chen 25 E",Atletas!O122="Chen 36 E",Atletas!O122="Chen 56 E"),426,IF(Atletas!O122="Sun 73 E",427,IF(Atletas!O122="Wu 45 E",428,IF(Atletas!O122="Wu-Hao 46 E",429,IF(OR(Atletas!O122="Taijiquan 16 E",Atletas!O122="Taijiquan 24 E",Atletas!O122="Taijiquan 32 E",Atletas!O122="Taijiquan 42 E"),430,IF(OR(Atletas!O122="Yang 26 F",Atletas!O122="Yang 40 F"),431,IF(OR(Atletas!O122="Chen 25 F",Atletas!O122="Chen 36 F",Atletas!O122="Chen 56 F"),432,IF(Atletas!O122="Sun 73 F",433,IF(Atletas!O122="Wu 45 F",434,IF(Atletas!O122="Wu-Hao 46 F",435,IF(OR(Atletas!O122="Taijiquan 16 F",Atletas!O122="Taijiquan 24 F",Atletas!O122="Taijiquan 32 F",Atletas!O122="Taijiquan 42 F"),436,0)))))))))))))))))))</f>
        <v/>
      </c>
      <c r="BR126" s="52" t="str">
        <f>IF(Atletas!P122="","",IF(Atletas!W122&lt;&gt;"",10000,0)+IF(Atletas!B122="Feminino",1000,IF(Atletas!B122="Masculino",2000,""))+IF(Atletas!P122="Xingyiquan A",501,IF(Atletas!P122="Baguazhang A",502,IF(Atletas!P122="Outro Estilo Interno A",503,IF(Atletas!P122="Xingyiquan B",504,IF(Atletas!P122="Baguazhang B",505,IF(Atletas!P122="Outro Estilo Interno B",506,IF(Atletas!P122="Xingyiquan C",507,IF(Atletas!P122="Baguazhang C",508,IF(Atletas!P122="Outro Estilo Interno C",509,IF(Atletas!P122="Xingyiquan D",510,IF(Atletas!P122="Baguazhang D",511,IF(Atletas!P122="Outro Estilo Interno D",512,IF(Atletas!P122="Xingyiquan E",513,IF(Atletas!P122="Baguazhang E",514,IF(Atletas!P122="Outro Estilo Interno E",515,IF(Atletas!P122="Xingyiquan F",516,IF(Atletas!P122="Baguazhang F",517,IF(Atletas!P122="Outro Estilo Interno F",518, "")))))))))))))))))))</f>
        <v/>
      </c>
      <c r="BS126" s="52" t="str">
        <f>IF(Atletas!Q122="","",IF(Atletas!W122&lt;&gt;"",10000,0)+IF(Atletas!B122="Feminino",1000,IF(Atletas!B122="Masculino",2000,""))+IF(Atletas!Q122="Dao A",601,IF(Atletas!Q122="Jian A",602,IF(Atletas!Q122="Bishou A",603,IF(Atletas!Q122="Shan A",604,IF(Atletas!Q122="Outra Arma Curta A",605,IF(Atletas!Q122="Dao B",606,IF(Atletas!Q122="Jian B",607,IF(Atletas!Q122="Bishou B",608,IF(Atletas!Q122="Shan B",609,IF(Atletas!Q122="Outra Arma Curta B",610,IF(Atletas!Q122="Dao C",611,IF(Atletas!Q122="Jian C",612,IF(Atletas!Q122="Bishou C",613,IF(Atletas!Q122="Shan C",614,IF(Atletas!Q122="Outra Arma Curta C",615,IF(Atletas!Q122="Dao D",616,IF(Atletas!Q122="Jian D",617,IF(Atletas!Q122="Bishou D",618,IF(Atletas!Q122="Shan D",619,IF(Atletas!Q122="Outra Arma Curta D",620,IF(Atletas!Q122="Dao E",621,IF(Atletas!Q122="Jian E",622,IF(Atletas!Q122="Bishou E",623,IF(Atletas!Q122="Shan E",624,IF(Atletas!Q122="Outra Arma Curta E",625,IF(Atletas!Q122="Dao F",626,IF(Atletas!Q122="Jian F",627,IF(Atletas!Q122="Bishou F",628,IF(Atletas!Q122="Shan F",629,IF(Atletas!Q122="Outra Arma Curta F",630, "")))))))))))))))))))))))))))))))</f>
        <v/>
      </c>
      <c r="BT126" s="52" t="str">
        <f>IF(Atletas!R122="","",IF(Atletas!W122&lt;&gt;"",10000,0)+IF(Atletas!B122="Feminino",1000,IF(Atletas!B122="Masculino",2000,""))+IF(Atletas!R122="Gun A",701,IF(Atletas!R122="Qiang A",702,IF(Atletas!R122="Pudao / Guandao A",703,IF(Atletas!R122="Outra Arma Longa A",704,IF(Atletas!R122="Gun B",705,IF(Atletas!R122="Qiang B",706,IF(Atletas!R122="Pudao / Guandao B",707,IF(Atletas!R122="Outra Arma Longa B",708,IF(Atletas!R122="Gun C",709,IF(Atletas!R122="Qiang C",710,IF(Atletas!R122="Pudao / Guandao C",711,IF(Atletas!R122="Outra Arma Longa C",712,IF(Atletas!R122="Gun D",713,IF(Atletas!R122="Qiang D",714,IF(Atletas!R122="Pudao / Guandao D",715,IF(Atletas!R122="Outra Arma Longa D",716,IF(Atletas!R122="Gun E",717,IF(Atletas!R122="Qiang E",718,IF(Atletas!R122="Pudao / Guandao E",719,IF(Atletas!R122="Outra Arma Longa E",720,IF(Atletas!R122="Gun F",721,IF(Atletas!R122="Qiang F",722,IF(Atletas!R122="Pudao / Guandao F",723,IF(Atletas!R122="Outra Arma Longa F",724,"")))))))))))))))))))))))))</f>
        <v/>
      </c>
      <c r="BU126" s="52" t="str">
        <f>IF(Atletas!S122="","",IF(Atletas!W122&lt;&gt;"",10000,0)+IF(Atletas!B122="Feminino",1000,IF(Atletas!B122="Masculino",2000,""))+IF(Atletas!S122="Arma Dupla A",801,IF(Atletas!S122="Arma Maleável A",802,IF(Atletas!S122="Arma Dupla B",803,IF(Atletas!S122="Arma Maleável B",804,IF(Atletas!S122="Arma Dupla C",805,IF(Atletas!S122="Arma Maleável C",806,IF(Atletas!S122="Arma Dupla D",807,IF(Atletas!S122="Arma Maleável D",808,IF(Atletas!S122="Arma Dupla E",809,IF(Atletas!S122="Arma Maleável E",810,IF(Atletas!S122="Arma Dupla F",811,IF(Atletas!S122="Arma Maleável F",812, "")))))))))))))</f>
        <v/>
      </c>
      <c r="BV126" s="52" t="str">
        <f>IF(Atletas!T122="","",IF(Atletas!W122&lt;&gt;"",10000,0)+IF(Atletas!B122="Feminino",1000,IF(Atletas!B122="Masculino",2000,""))+IF(Atletas!T122="Taijijian Yang A",901,IF(Atletas!T122="Taijijian Chen A",902,IF(Atletas!T122="Taijijian Sun A",903,IF(Atletas!T122="Taijijian Wu A",904,IF(Atletas!T122="Taijijian Wu-Hao A",905,IF(Atletas!T122="Taijijian 32 A",906,IF(Atletas!T122="Taijijian 42 A",907,IF(Atletas!T122="Taijijian Yang B",908,IF(Atletas!T122="Taijijian Chen B",909,IF(Atletas!T122="Taijijian Sun B",910,IF(Atletas!T122="Taijijian Wu B",911,IF(Atletas!T122="Taijijian Wu-Hao B",912,IF(Atletas!T122="Taijijian 32 B",913,IF(Atletas!T122="Taijijian 42 B",914,IF(Atletas!T122="Taijijian Yang C",915,IF(Atletas!T122="Taijijian Chen C",916,IF(Atletas!T122="Taijijian Sun C",917,IF(Atletas!T122="Taijijian Wu C",918,IF(Atletas!T122="Taijijian Wu-Hao C",919,IF(Atletas!T122="Taijijian 32 C",920,IF(Atletas!T122="Taijijian 42 C",921,IF(Atletas!T122="Taijijian Yang D",922,IF(Atletas!T122="Taijijian Chen D",923,IF(Atletas!T122="Taijijian Sun D",924,IF(Atletas!T122="Taijijian Wu D",925,IF(Atletas!T122="Taijijian Wu-Hao D",926,IF(Atletas!T122="Taijijian 32 D",927,IF(Atletas!T122="Taijijian 42 D",928,IF(Atletas!T122="Taijijian Yang E",929,IF(Atletas!T122="Taijijian Chen E",930,IF(Atletas!T122="Taijijian Sun E",931,IF(Atletas!T122="Taijijian Wu E",932,IF(Atletas!T122="Taijijian Wu-Hao E",933,IF(Atletas!T122="Taijijian 32 E",934,IF(Atletas!T122="Taijijian 42 E",935,IF(Atletas!T122="Taijijian Yang F",936,IF(Atletas!T122="Taijijian Chen F",937,IF(Atletas!T122="Taijijian Sun F",938,IF(Atletas!T122="Taijijian Wu F",939,IF(Atletas!T122="Taijijian Wu-Hao F",940,IF(Atletas!T122="Taijijian 32 F",941,IF(Atletas!T122="Taijijian 42 F",942,"")))))))))))))))))))))))))))))))))))))))))))</f>
        <v/>
      </c>
      <c r="BW126" s="52" t="str">
        <f>IF(Atletas!U122="","",IF(Atletas!W122&lt;&gt;"",10000,0)+IF(Atletas!B122="Feminino",1000,IF(Atletas!B122="Masculino",2000,""))+IF(Atletas!T122="Taijijian 42 F",942,IF(Atletas!U122="Taijidao A",943,IF(Atletas!U122="Taijishan A",944,IF(Atletas!U122="Taijiqiang A",945,IF(Atletas!U122="Taijidao B",946,IF(Atletas!U122="Taijishan B",947,IF(Atletas!U122="Taijiqiang B",948,IF(Atletas!U122="Taijidao C",949,IF(Atletas!U122="Taijishan C",950,IF(Atletas!U122="Taijiqiang C",951,IF(Atletas!U122="Taijidao D",952,IF(Atletas!U122="Taijishan D",953,IF(Atletas!U122="Taijiqiang D",954,IF(Atletas!U122="Taijidao E",955,IF(Atletas!U122="Taijishan E",956,IF(Atletas!U122="Taijiqiang E",957,IF(Atletas!U122="Taijidao F",958,IF(Atletas!U122="Taijishan F",959,IF(Atletas!U122="Taijiqiang F",960))))))))))))))))))))</f>
        <v/>
      </c>
      <c r="BX126" s="72" t="str">
        <f>IF(BY126&lt;&gt;"","Zuiquan D","")</f>
        <v/>
      </c>
      <c r="BY126" s="72" t="str">
        <f>IF(COUNTIF(BK:BW,1212)&gt;0,COUNTIF(BK:BW,1212),"")</f>
        <v/>
      </c>
      <c r="BZ126" s="72" t="str">
        <f>IF(CA126&lt;&gt;"","Zuiquan D","")</f>
        <v/>
      </c>
      <c r="CA126" s="72" t="str">
        <f>IF(COUNTIF(BK:BW,2212)&gt;0,COUNTIF(BK:BW,2212),"")</f>
        <v/>
      </c>
      <c r="CB126" s="72" t="str">
        <f>IF(CC126&lt;&gt;"","Zuiquan D","")</f>
        <v/>
      </c>
      <c r="CC126" s="64" t="str">
        <f>IF(COUNTIF(BK:BW,11212)&gt;0,COUNTIF(BK:BW,11212),"")</f>
        <v/>
      </c>
      <c r="CD126" s="64" t="str">
        <f>IF(CE126&lt;&gt;"","Zuiquan D","")</f>
        <v/>
      </c>
      <c r="CE126" s="64" t="str">
        <f>IF(COUNTIF(BK:BW,12212)&gt;0,COUNTIF(BK:BW,12212),"")</f>
        <v/>
      </c>
      <c r="CF126" s="52" t="str">
        <f xml:space="preserve"> IF(Atletas!V122="","",IF(Atletas!V122="Duilian de Mãos AB - Equipe 1",1,IF(Atletas!V122="Duilian de Mãos AB - Equipe 2",2,IF(Atletas!V122="Duilian de Armas AB - Equipe 1",3,IF(Atletas!V122="Duilian de Armas AB - Equipe 2",4,IF(Atletas!V122="Duilian de Tuishou - Equipe 1",5,IF(Atletas!V122="Duilian de Tuishou - Equipe 2",6,IF(Atletas!V122="Grupo Externo AB - Equipe 1",7,IF(Atletas!V122="Grupo Externo AB - Equipe 2",8,IF(Atletas!V122="Grupo Interno AB - Equipe 1",9,IF(Atletas!V122="Grupo Interno AB - Equipe 2",10,IF(Atletas!V122="Duilian de Mãos CD - Equipe 1",11,IF(Atletas!V122="Duilian de Mãos CD - Equipe 2",12,IF(Atletas!V122="Duilian de Armas CD - Equipe 1",13,IF(Atletas!V122="Duilian de Armas CD - Equipe 2",14,IF(Atletas!V122="Duilian de Tuishou - Equipe 1",15,IF(Atletas!V122="Duilian de Tuishou - Equipe 2",16,IF(Atletas!V122="Grupo Externo CDEF - Equipe 1",17,IF(Atletas!V122="Grupo Externo CDEF - Equipe 2",18,IF(Atletas!V122="Grupo Interno CDEF - Equipe 1",19,IF(Atletas!V122="Grupo Interno CDEF - Equipe 2",20,IF(Atletas!V122="Duilian de Mãos EF - Equipe 1",21,IF(Atletas!V122="Duilian de Mãos EF - Equipe 2",22,IF(Atletas!V122="Duilian de Armas EF - Equipe 1",23,IF(Atletas!V122="Duilian de Armas EF - Equipe 2",24,IF(Atletas!V122="Duilian de Tuishou - Equipe 1",25,IF(Atletas!V122="Duilian de Tuishou - Equipe 2",26,"")))))))))))))))))))))))))))</f>
        <v/>
      </c>
    </row>
    <row r="127" spans="2:84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 t="str">
        <f t="array" ref="V127">IFERROR(INDEX(BX$7:BX$336,SMALL(IF(BX$7:BX$336&lt;&gt;"",ROW(BX$7:BX$336)-ROW(BX$7)+1),ROWS(BX$7:BX126))),"")</f>
        <v/>
      </c>
      <c r="W127" s="4" t="str">
        <f t="array" ref="W127">IFERROR(INDEX(BY$7:BY$336,SMALL(IF(BY$7:BY$336&lt;&gt;"",ROW(BY$7:BY$336)-ROW(BY$7)+1),ROWS(BY$7:BY126))),"")</f>
        <v/>
      </c>
      <c r="X127" s="4" t="str">
        <f t="array" ref="X127">IFERROR(INDEX(BZ$7:BZ$336,SMALL(IF(BZ$7:BZ$336&lt;&gt;"",ROW(BZ$7:BZ$336)-ROW(BZ$7)+1),ROWS(BZ$7:BZ126))),"")</f>
        <v/>
      </c>
      <c r="Y127" s="4" t="str">
        <f t="array" ref="Y127">IFERROR(INDEX(CA$7:CA$336,SMALL(IF(CA$7:CA$336&lt;&gt;"",ROW(CA$7:CA$336)-ROW(CA$7)+1),ROWS(CA$7:CA126))),"")</f>
        <v/>
      </c>
      <c r="Z127" s="4" t="str">
        <f t="array" ref="Z127">IFERROR(INDEX(CB$7:CB$378,SMALL(IF(CB$7:CB$378&lt;&gt;"",ROW(CB$7:CB$378)-ROW(CB$7)+1),ROWS(CB$7:CB126))),"")</f>
        <v/>
      </c>
      <c r="AA127" s="4" t="str">
        <f t="array" ref="AA127">IFERROR(INDEX(CC$7:CC$378,SMALL(IF(CC$7:CC$378&lt;&gt;"",ROW(CC$7:CC$378)-ROW(CC$7)+1),ROWS(CC$7:CC126))),"")</f>
        <v/>
      </c>
      <c r="AB127" s="4" t="str">
        <f t="array" ref="AB127">IFERROR(INDEX(CD$7:CD$378,SMALL(IF(CD$7:CD$378&lt;&gt;"",ROW(CD$7:CD$378)-ROW(CD$7)+1),ROWS(CD$7:CD126))),"")</f>
        <v/>
      </c>
      <c r="AC127" s="4" t="str">
        <f t="array" ref="AC127">IFERROR(INDEX(CE$7:CE$378,SMALL(IF(CE$7:CE$378&lt;&gt;"",ROW(CE$7:CE$378)-ROW(CE$7)+1),ROWS(CE$7:CE126))),"")</f>
        <v/>
      </c>
      <c r="AD127" s="4"/>
      <c r="AE127" s="4"/>
      <c r="AF127" s="4"/>
      <c r="AG127" s="4"/>
      <c r="AH127" s="4"/>
      <c r="AI127" s="4"/>
      <c r="AJ127" s="46" t="str">
        <f>IF(Atletas!D123="","",IF(Atletas!B123="Feminino",100,IF(Atletas!B123="Masculino",200,""))+(IF(Atletas!D123="Infantil 39kg",1,IF(Atletas!D123="Infantil 42kg",2,IF(Atletas!D123="Infantil 45kg",3,IF(Atletas!D123="Infantil 48kg",4,IF(Atletas!D123="Infantil 52kg",5,IF(Atletas!D123="Infantil 56kg",6,IF(Atletas!D123="Infantil 60kg",7,IF(Atletas!D123="Juvenil 48kg",8,IF(Atletas!D123="Juvenil 52kg",9,IF(Atletas!D123="Juvenil 56kg",10,IF(Atletas!D123="Juvenil 60kg",11,IF(Atletas!D123="Juvenil 65kg",12,IF(Atletas!D123="Juvenil 70kg",13,IF(Atletas!D123="Juvenil 75kg",14,IF(Atletas!D123="Juvenil 80kg",15,IF(Atletas!D123="Adulto 48kg",16,IF(Atletas!D123="Adulto 52kg",17,IF(Atletas!D123="Adulto 56kg",18,IF(Atletas!D123="Adulto 60kg",19,IF(Atletas!D123="Adulto 65kg",20,IF(Atletas!D123="Adulto 70kg",21,IF(Atletas!D123="Adulto 75kg",22,IF(Atletas!D123="Adulto 80kg",23,IF(Atletas!D123="Adulto 85kg",24,IF(Atletas!D123="Adulto 90kg",25,IF(Atletas!D123="Adulto +90kg",26,""))))))))))))))))))))))))))))</f>
        <v/>
      </c>
      <c r="AO127" s="10" t="str">
        <f>IF(Atletas!E123="","",IF(Atletas!B123="Feminino",100,IF(Atletas!B123="Masculino",200,""))+(IF(Atletas!E123="Juvenil 44kg",1,IF(Atletas!E123="Juvenil 48kg",2,IF(Atletas!E123="Juvenil 52kg",3,IF(Atletas!E123="Juvenil 56kg",4,IF(Atletas!E123="Juvenil 60kg",5,IF(Atletas!E123="Juvenil 65kg",6,IF(Atletas!E123="Juvenil 70kg",7,IF(Atletas!E123="Juvenil 75kg",8,IF(Atletas!E123="Juvenil 82kg",9,IF(Atletas!E123="Juvenil 90kg",10,IF(Atletas!E123="Juvenil 100kg",11,IF(Atletas!E123="Adulto 48kg",12,IF(Atletas!E123="Adulto 52kg",13,IF(Atletas!E123="Adulto 56kg",14,IF(Atletas!E123="Adulto 60kg",15,IF(Atletas!E123="Adulto 65kg",16,IF(Atletas!E123="Adulto 70kg",17,IF(Atletas!E123="Adulto 75kg",18,IF(Atletas!E123="Adulto 82kg",19,IF(Atletas!E123="Adulto 90kg",20,IF(Atletas!E123="Adulto 100kg",21,IF(Atletas!E123="Adulto +100kg",22,""))))))))))))))))))))))))</f>
        <v/>
      </c>
      <c r="AT127" s="10" t="str">
        <f>IF(Atletas!F123="","",IF(Atletas!B123="Feminino",100,IF(Atletas!B123="Masculino",200,""))+(IF(Atletas!F123="Adulto 48kg",1,IF(Atletas!F123="Adulto 56kg",2,IF(Atletas!F123="Adulto 65kg",3,IF(Atletas!F123="Adulto 75kg",4,IF(Atletas!F123="Adulto +75kg",5,IF(Atletas!F123="Adulto 52kg",6,IF(Atletas!F123="Adulto 60kg",7,IF(Atletas!F123="Adulto 70kg",8,IF(Atletas!F123="Adulto 80kg",9,IF(Atletas!F123="Adulto 90kg",10,IF(Atletas!F123="Adulto +90kg",11,"")))))))))))))</f>
        <v/>
      </c>
      <c r="AY127" s="46" t="str">
        <f>IF(Atletas!G123="","",IF(Atletas!B123="Feminino",100,IF(Atletas!B123="Masculino",200,""))+(IF(Atletas!G123="Changquan Mirim",1,IF(Atletas!G123="Nanquan Mirim",2,IF(Atletas!G123="Taijiquan Mirim",3,IF(Atletas!G123="Changquan Grupo C",4,IF(Atletas!G123="Nanquan Grupo C",5,IF(Atletas!G123="Taijiquan Grupo C",6,IF(Atletas!G123="Changquan Grupo B",7,IF(Atletas!G123="Nanquan Grupo B",8,IF(Atletas!G123="Taijiquan Grupo B",9,IF(Atletas!G123="Changquan Grupo A",10,IF(Atletas!G123="Nanquan Grupo A",11,IF(Atletas!G123="Taijiquan Grupo A",12,IF(Atletas!G123="Changquan Opcional",13,IF(Atletas!G123="Nanquan Opcional",14,IF(Atletas!G123="Taijiquan Opcional",15,IF(Atletas!G123="Changquan Adulto",16,IF(Atletas!G123="Nanquan Adulto",17,IF(Atletas!G123="Taijiquan Adulto",18,""))))))))))))))))))))</f>
        <v/>
      </c>
      <c r="AZ127" s="46" t="str">
        <f>IF(Atletas!H123="","",IF(Atletas!B123="Feminino",100,IF(Atletas!B123="Masculino",200,""))+(IF(Atletas!H123="Daoshu Mirim",19,IF(Atletas!H123="Jianshu Mirim",20,IF(Atletas!H123="Nandao Mirim",21,IF(Atletas!H123="Taijijian Mirim",22,IF(Atletas!H123="Daoshu Grupo C",23,IF(Atletas!H123="Jianshu Grupo C",24,IF(Atletas!H123="Nandao Grupo C",25,IF(Atletas!H123="Taijijian Grupo C",26,IF(Atletas!H123="Daoshu Grupo B",27,IF(Atletas!H123="Jianshu Grupo B",28,IF(Atletas!H123="Nandao Grupo B",29,IF(Atletas!H123="Taijijian Grupo B",30,IF(Atletas!H123="Daoshu Grupo A",31,IF(Atletas!H123="Jianshu Grupo A",32,IF(Atletas!H123="Nandao Grupo A",33,IF(Atletas!H123="Taijijian Grupo A",34,IF(Atletas!H123="Daoshu Opcional",35,IF(Atletas!H123="Jianshu Opcional",36,IF(Atletas!H123="Nandao Opcional",37,IF(Atletas!H123="Taijijian Opcional",38,IF(Atletas!H123="Daoshu Adulto",39,IF(Atletas!H123="Jianshu Adulto",40,IF(Atletas!H123="Nandao Adulto",41,IF(Atletas!H123="Taijijian Adulto",42,""))))))))))))))))))))))))))</f>
        <v/>
      </c>
      <c r="BA127" s="46" t="str">
        <f>IF(Atletas!I123="","",IF(Atletas!B123="Feminino",100,IF(Atletas!B123="Masculino",200,""))+(IF(Atletas!I123="Gunshu Mirim",43,IF(Atletas!I123="Qiangshu Mirim",44,IF(Atletas!I123="Nangun Mirim",45,IF(Atletas!I123="Gunshu Grupo C",46,IF(Atletas!I123="Qiangshu Grupo C",47,IF(Atletas!I123="Nangun Grupo C",48,IF(Atletas!I123="Gunshu Grupo B",49,IF(Atletas!I123="Qiangshu Grupo B",50,IF(Atletas!I123="Nangun Grupo B",51,IF(Atletas!I123="Gunshu Grupo A",52,IF(Atletas!I123="Qiangshu Grupo A",53,IF(Atletas!I123="Nangun Grupo A",54,IF(Atletas!I123="Gunshu Opcional",55,IF(Atletas!I123="Qiangshu Opcional",56,IF(Atletas!I123="Nangun Opcional",57,IF(Atletas!I123="Gunshu Adulto",58,IF(Atletas!I123="Qiangshu Adulto",59,IF(Atletas!I123="Nangun Adulto",60,""))))))))))))))))))))</f>
        <v/>
      </c>
      <c r="BF127" s="52" t="str">
        <f>IF(Atletas!J123="","",IF(Atletas!B123="Feminino",100,IF(Atletas!B123="Masculino",200,""))+(IF(Atletas!J123="Equipe 1 Grupo B",1,IF(Atletas!J123="Equipe 2 Grupo B",2,IF(Atletas!J123="Equipe 1 Grupo A",3,IF(Atletas!J123="Equipe 2 Grupo A",4,IF(Atletas!J123="Equipe 1 Adulto",5,IF(Atletas!J123="Equipe 2 Adulto",6,""))))))))</f>
        <v/>
      </c>
      <c r="BK127" s="52" t="str">
        <f>IF(Atletas!K123="","",IF(Atletas!W123&lt;&gt;"",10000,0)+(IF(Atletas!B123="Feminino",1000,IF(Atletas!B123="Masculino",2000,""))+IF(Atletas!K123="Choylayfut A",1,IF(Atletas!K123="Hunggar A",2,IF(Atletas!K123="Wuzuquan A",3,IF(Atletas!K123="Wingchun A",4,IF(Atletas!K123="Outra Mão de Sul A",5,IF(Atletas!K123="Choylayfut B",6,IF(Atletas!K123="Hunggar B",7,IF(Atletas!K123="Wuzuquan B",8,IF(Atletas!K123="Wingchun B",9,IF(Atletas!K123="Outra Mão de Sul B",10,IF(Atletas!K123="Choylayfut C",11,IF(Atletas!K123="Hunggar C",12,IF(Atletas!K123="Wuzuquan C",13,IF(Atletas!K123="Wingchun C",14,IF(Atletas!K123="Outra Mão de Sul C",15,IF(Atletas!K123="Choylayfut D",16,IF(Atletas!K123="Hunggar D",17,IF(Atletas!K123="Wuzuquan D",18,IF(Atletas!K123="Wingchun D",19,IF(Atletas!K123="Outra Mão de Sul D",20,IF(Atletas!K123="Choylayfut E",21,IF(Atletas!K123="Hunggar E",22,IF(Atletas!K123="Wuzuquan E",23,IF(Atletas!K123="Wingchun E",24,IF(Atletas!K123="Outra Mão de Sul E",25,IF(Atletas!K123="Choylayfut F",26,IF(Atletas!K123="Hunggar F",27,IF(Atletas!K123="Wuzuquan F",28,IF(Atletas!K123="Wingchun F",29,IF(Atletas!K123="Outra Mão de Sul F",30,""))))))))))))))))))))))))))))))))</f>
        <v/>
      </c>
      <c r="BL127" s="52" t="str">
        <f>IF(Atletas!L123="","",IF(Atletas!W123&lt;&gt;"",10000,0)+(IF(Atletas!B123="Feminino",1000,IF(Atletas!B123="Masculino",2000,""))+(IF(Atletas!L123="Chaquan A",101,IF(Atletas!L123="Emeiquan A",102,IF(Atletas!L123="Fanziquan A",103,IF(Atletas!L123="Huaquan A",104,IF(Atletas!L123="Hongquan A",105,IF(Atletas!L123="Paochui A",106,IF(Atletas!L123="Piguaquan A",107,IF(Atletas!L123="Shaolinquan A",108,IF(Atletas!L123="Tanglangquan A",109,IF(Atletas!L123="Yinzhaophai A",110,IF(Atletas!L123="Tongbeiquan A",111,IF(Atletas!L123="Wudangquan A",112,IF(Atletas!L123="Outros Estilos A",113,IF(Atletas!L123="Chaquan B",114,IF(Atletas!L123="Emeiquan B",115,IF(Atletas!L123="Fanziquan B",116,IF(Atletas!L123="Huaquan B",117,IF(Atletas!L123="Hongquan B",118,IF(Atletas!L123="Paochui B",119,IF(Atletas!L123="Piguaquan B",120,IF(Atletas!L123="Shaolinquan B",121,IF(Atletas!L123="Tanglangquan B",122,IF(Atletas!L123="Yinzhaophai B",123,IF(Atletas!L123="Tongbeiquan B",124,IF(Atletas!L123="Wudangquan B",125,IF(Atletas!L123="Outros Estilos B",126,IF(Atletas!L123="Chaquan C",127,IF(Atletas!L123="Emeiquan C",128,IF(Atletas!L123="Fanziquan C",129,IF(Atletas!L123="Huaquan C",130,IF(Atletas!L123="Hongquan C",131,IF(Atletas!L123="Paochui C",132,IF(Atletas!L123="Piguaquan C",133,IF(Atletas!L123="Shaolinquan C",134,IF(Atletas!L123="Tanglangquan C",135,IF(Atletas!L123="Yinzhaophai C",136,IF(Atletas!L123="Tongbeiquan C",137,IF(Atletas!L123="Wudangquan C",138,IF(Atletas!L123="Outros Estilos C",139,0))))))))))))))))))))))))))))))))))))))))))</f>
        <v/>
      </c>
      <c r="BM127" s="52" t="str">
        <f>IF(Atletas!L123="","",IF(Atletas!W123&lt;&gt;"",10000,0)+(IF(Atletas!B123="Feminino",1000,IF(Atletas!B123="Masculino",2000,""))+(IF(Atletas!L123="Chaquan D",140,IF(Atletas!L123="Emeiquan D",141,IF(Atletas!L123="Fanziquan D",142,IF(Atletas!L123="Huaquan D",143,IF(Atletas!L123="Hongquan D",144,IF(Atletas!L123="Paochui D",145,IF(Atletas!L123="Piguaquan D",146,IF(Atletas!L123="Shaolinquan D",147,IF(Atletas!L123="Tanglangquan D",148,IF(Atletas!L123="Yinzhaophai D",149,IF(Atletas!L123="Tongbeiquan D",150,IF(Atletas!L123="Wudangquan D",151,IF(Atletas!L123="Outros Estilos D",152,IF(Atletas!L123="Chaquan E",153,IF(Atletas!L123="Emeiquan E",154,IF(Atletas!L123="Fanziquan E",155,IF(Atletas!L123="Huaquan E",156,IF(Atletas!L123="Hongquan E",157,IF(Atletas!L123="Paochui E",158,IF(Atletas!L123="Piguaquan E",159,IF(Atletas!L123="Shaolinquan E",160,IF(Atletas!L123="Tanglangquan E",161,IF(Atletas!L123="Yinzhaophai E",162,IF(Atletas!L123="Tongbeiquan E",163,IF(Atletas!L123="Wudangquan E",164,IF(Atletas!L123="Outros Estilos E",165,IF(Atletas!L123="Chaquan F",166,IF(Atletas!L123="Emeiquan F",167,IF(Atletas!L123="Fanziquan F",168,IF(Atletas!L123="Huaquan F",169,IF(Atletas!L123="Hongquan F",170,IF(Atletas!L123="Paochui F",171,IF(Atletas!L123="Piguaquan F",172,IF(Atletas!L123="Shaolinquan F",173,IF(Atletas!L123="Tanglangquan F",174,IF(Atletas!L123="Yinzhaophai F",175,IF(Atletas!L123="Tongbeiquan F",176,IF(Atletas!L123="Wudangquan F",177,IF(Atletas!L123="Outros Estilos F",178,0))))))))))))))))))))))))))))))))))))))))))</f>
        <v/>
      </c>
      <c r="BN127" s="52" t="str">
        <f>IF(Atletas!M123="","",IF(Atletas!W123&lt;&gt;"",10000,0)+(IF(Atletas!B123="Feminino",1000,IF(Atletas!B123="Masculino",2000,""))+(IF(Atletas!M123="Ditangquan A",201,IF(Atletas!M123="Houquan A",202,IF(Atletas!M123="Zuiquan A",203,IF(Atletas!M123="Ditangquan B",204,IF(Atletas!M123="Houquan B",205,IF(Atletas!M123="Zuiquan B",206,IF(Atletas!M123="Ditangquan C",207,IF(Atletas!M123="Houquan C",208,IF(Atletas!M123="Zuiquan C",209,IF(Atletas!M123="Ditangquan D",210,IF(Atletas!M123="Houquan D",211,IF(Atletas!M123="Zuiquan D",212,IF(Atletas!M123="Ditangquan E",213,IF(Atletas!M123="Houquan E",214,IF(Atletas!M123="Zuiquan E",215,IF(Atletas!M123="Ditangquan F",216,IF(Atletas!M123="Houquan F",217,IF(Atletas!M123="Zuiquan F",218,"")))))))))))))))))))))</f>
        <v/>
      </c>
      <c r="BO127" s="52" t="str">
        <f>IF(Atletas!N123="","",IF(Atletas!W123&lt;&gt;"",10000,0)+IF(Atletas!B123="Feminino",1000,IF(Atletas!B123="Masculino",2000,""))+IF(Atletas!N123="Yang A",301,IF(Atletas!N123="Chen A",30,IF(Atletas!N123="Sun A",303,IF(Atletas!N123="Wu A",304,IF(Atletas!N123="Wu-Hao A",305,IF(Atletas!N123="Outro Taijiquan A",306,IF(Atletas!N123="Yang B",307,IF(Atletas!N123="Chen B",308,IF(Atletas!N123="Sun B",309,IF(Atletas!N123="Wu B",310,IF(Atletas!N123="Wu-Hao B",311,IF(Atletas!N123="Outro Taijiquan B",312,IF(Atletas!N123="Yang C",313,IF(Atletas!N123="Chen C",314,IF(Atletas!N123="Sun C",315,IF(Atletas!N123="Wu C",316,IF(Atletas!N123="Wu-Hao C",317,IF(Atletas!N123="Outro Taijiquan C",318,IF(Atletas!N123="Yang D",319,IF(Atletas!N123="Chen D",320,IF(Atletas!N123="Sun D",321,IF(Atletas!N123="Wu D",322,IF(Atletas!N123="Wu-Hao D",323,IF(Atletas!N123="Outro Taijiquan D",324,IF(Atletas!N123="Yang E",325,IF(Atletas!N123="Chen E",326,IF(Atletas!N123="Sun E",327,IF(Atletas!N123="Wu E",328,IF(Atletas!N123="Wu-Hao E",329,IF(Atletas!N123="Outro Taijiquan E",330,IF(Atletas!N123="Yang F",331,IF(Atletas!N123="Chen F",332,IF(Atletas!N123="Sun F",333,IF(Atletas!N123="Wu F",334,IF(Atletas!N123="Wu-Hao F",335,IF(Atletas!N123="Outro Taijiquan F",336,"")))))))))))))))))))))))))))))))))))))</f>
        <v/>
      </c>
      <c r="BP127" s="52" t="str">
        <f>IF(Atletas!O123="","",IF(Atletas!W123&lt;&gt;"",10000,0)+IF(Atletas!B123="Feminino",1000,IF(Atletas!B123="Masculino",2000,""))+IF(OR(Atletas!O123="Yang 26 A",Atletas!O123="Yang 40 A"),401,IF(OR(Atletas!O123="Chen 25 A",Atletas!O123="Chen 36 A",Atletas!O123="Chen 56 A"),402,IF(Atletas!O123="Sun 73 A",403,IF(Atletas!O123="Wu 45 A",404,IF(Atletas!O123="Wu-Hao 46 A",405,IF(OR(Atletas!O123="Taijiquan 16 A",Atletas!O123="Taijiquan 24 A",Atletas!O123="Taijiquan 32 A",Atletas!O123="Taijiquan 42 A"),406,IF(OR(Atletas!O123="Yang 26 B",Atletas!O123="Yang 40 B"),407,IF(OR(Atletas!O123="Chen 25 B",Atletas!O123="Chen 36 B",Atletas!O123="Chen 56 B"),408,IF(Atletas!O123="Sun 73 B",409,IF(Atletas!O123="Wu 45 B",410,IF(Atletas!O123="Wu-Hao 46 B",411,IF(OR(Atletas!O123="Taijiquan 16 B",Atletas!O123="Taijiquan 24 B",Atletas!O123="Taijiquan 32 B",Atletas!O123="Taijiquan 42 B"),412,IF(OR(Atletas!O123="Yang 26 C",Atletas!O123="Yang 40 C"),413,IF(OR(Atletas!O123="Chen 25 C",Atletas!O123="Chen 36 C",Atletas!O123="Chen 56 C"),414,IF(Atletas!O123="Sun 73 C",415,IF(Atletas!O123="Wu 45 C",416,IF(Atletas!O123="Wu-Hao 46 C",417,IF(OR(Atletas!O123="Taijiquan 16 C",Atletas!O123="Taijiquan 24 C",Atletas!O123="Taijiquan 32 C",Atletas!O123="Taijiquan 42 C"),418,0)))))))))))))))))))</f>
        <v/>
      </c>
      <c r="BQ127" s="52" t="str">
        <f>IF(Atletas!O123="","",IF(Atletas!W123&lt;&gt;"",10000,0)+IF(Atletas!B123="Feminino",1000,IF(Atletas!B123="Masculino",2000,""))+IF(OR(Atletas!O123="Yang 26 D",Atletas!O123="Yang 40 D"),419,IF(OR(Atletas!O123="Chen 25 D",Atletas!O123="Chen 36 D",Atletas!O123="Chen 56 D"),420,IF(Atletas!O123="Sun 73 D",421,IF(Atletas!O123="Wu 45 D",422,IF(Atletas!O123="Wu-Hao 46 D",423,IF(OR(Atletas!O123="Taijiquan 16 D",Atletas!O123="Taijiquan 24 D",Atletas!O123="Taijiquan 32 D",Atletas!O123="Taijiquan 42 D"),424,IF(OR(Atletas!O123="Yang 26 E",Atletas!O123="Yang 40 E"),425,IF(OR(Atletas!O123="Chen 25 E",Atletas!O123="Chen 36 E",Atletas!O123="Chen 56 E"),426,IF(Atletas!O123="Sun 73 E",427,IF(Atletas!O123="Wu 45 E",428,IF(Atletas!O123="Wu-Hao 46 E",429,IF(OR(Atletas!O123="Taijiquan 16 E",Atletas!O123="Taijiquan 24 E",Atletas!O123="Taijiquan 32 E",Atletas!O123="Taijiquan 42 E"),430,IF(OR(Atletas!O123="Yang 26 F",Atletas!O123="Yang 40 F"),431,IF(OR(Atletas!O123="Chen 25 F",Atletas!O123="Chen 36 F",Atletas!O123="Chen 56 F"),432,IF(Atletas!O123="Sun 73 F",433,IF(Atletas!O123="Wu 45 F",434,IF(Atletas!O123="Wu-Hao 46 F",435,IF(OR(Atletas!O123="Taijiquan 16 F",Atletas!O123="Taijiquan 24 F",Atletas!O123="Taijiquan 32 F",Atletas!O123="Taijiquan 42 F"),436,0)))))))))))))))))))</f>
        <v/>
      </c>
      <c r="BR127" s="52" t="str">
        <f>IF(Atletas!P123="","",IF(Atletas!W123&lt;&gt;"",10000,0)+IF(Atletas!B123="Feminino",1000,IF(Atletas!B123="Masculino",2000,""))+IF(Atletas!P123="Xingyiquan A",501,IF(Atletas!P123="Baguazhang A",502,IF(Atletas!P123="Outro Estilo Interno A",503,IF(Atletas!P123="Xingyiquan B",504,IF(Atletas!P123="Baguazhang B",505,IF(Atletas!P123="Outro Estilo Interno B",506,IF(Atletas!P123="Xingyiquan C",507,IF(Atletas!P123="Baguazhang C",508,IF(Atletas!P123="Outro Estilo Interno C",509,IF(Atletas!P123="Xingyiquan D",510,IF(Atletas!P123="Baguazhang D",511,IF(Atletas!P123="Outro Estilo Interno D",512,IF(Atletas!P123="Xingyiquan E",513,IF(Atletas!P123="Baguazhang E",514,IF(Atletas!P123="Outro Estilo Interno E",515,IF(Atletas!P123="Xingyiquan F",516,IF(Atletas!P123="Baguazhang F",517,IF(Atletas!P123="Outro Estilo Interno F",518, "")))))))))))))))))))</f>
        <v/>
      </c>
      <c r="BS127" s="52" t="str">
        <f>IF(Atletas!Q123="","",IF(Atletas!W123&lt;&gt;"",10000,0)+IF(Atletas!B123="Feminino",1000,IF(Atletas!B123="Masculino",2000,""))+IF(Atletas!Q123="Dao A",601,IF(Atletas!Q123="Jian A",602,IF(Atletas!Q123="Bishou A",603,IF(Atletas!Q123="Shan A",604,IF(Atletas!Q123="Outra Arma Curta A",605,IF(Atletas!Q123="Dao B",606,IF(Atletas!Q123="Jian B",607,IF(Atletas!Q123="Bishou B",608,IF(Atletas!Q123="Shan B",609,IF(Atletas!Q123="Outra Arma Curta B",610,IF(Atletas!Q123="Dao C",611,IF(Atletas!Q123="Jian C",612,IF(Atletas!Q123="Bishou C",613,IF(Atletas!Q123="Shan C",614,IF(Atletas!Q123="Outra Arma Curta C",615,IF(Atletas!Q123="Dao D",616,IF(Atletas!Q123="Jian D",617,IF(Atletas!Q123="Bishou D",618,IF(Atletas!Q123="Shan D",619,IF(Atletas!Q123="Outra Arma Curta D",620,IF(Atletas!Q123="Dao E",621,IF(Atletas!Q123="Jian E",622,IF(Atletas!Q123="Bishou E",623,IF(Atletas!Q123="Shan E",624,IF(Atletas!Q123="Outra Arma Curta E",625,IF(Atletas!Q123="Dao F",626,IF(Atletas!Q123="Jian F",627,IF(Atletas!Q123="Bishou F",628,IF(Atletas!Q123="Shan F",629,IF(Atletas!Q123="Outra Arma Curta F",630, "")))))))))))))))))))))))))))))))</f>
        <v/>
      </c>
      <c r="BT127" s="52" t="str">
        <f>IF(Atletas!R123="","",IF(Atletas!W123&lt;&gt;"",10000,0)+IF(Atletas!B123="Feminino",1000,IF(Atletas!B123="Masculino",2000,""))+IF(Atletas!R123="Gun A",701,IF(Atletas!R123="Qiang A",702,IF(Atletas!R123="Pudao / Guandao A",703,IF(Atletas!R123="Outra Arma Longa A",704,IF(Atletas!R123="Gun B",705,IF(Atletas!R123="Qiang B",706,IF(Atletas!R123="Pudao / Guandao B",707,IF(Atletas!R123="Outra Arma Longa B",708,IF(Atletas!R123="Gun C",709,IF(Atletas!R123="Qiang C",710,IF(Atletas!R123="Pudao / Guandao C",711,IF(Atletas!R123="Outra Arma Longa C",712,IF(Atletas!R123="Gun D",713,IF(Atletas!R123="Qiang D",714,IF(Atletas!R123="Pudao / Guandao D",715,IF(Atletas!R123="Outra Arma Longa D",716,IF(Atletas!R123="Gun E",717,IF(Atletas!R123="Qiang E",718,IF(Atletas!R123="Pudao / Guandao E",719,IF(Atletas!R123="Outra Arma Longa E",720,IF(Atletas!R123="Gun F",721,IF(Atletas!R123="Qiang F",722,IF(Atletas!R123="Pudao / Guandao F",723,IF(Atletas!R123="Outra Arma Longa F",724,"")))))))))))))))))))))))))</f>
        <v/>
      </c>
      <c r="BU127" s="52" t="str">
        <f>IF(Atletas!S123="","",IF(Atletas!W123&lt;&gt;"",10000,0)+IF(Atletas!B123="Feminino",1000,IF(Atletas!B123="Masculino",2000,""))+IF(Atletas!S123="Arma Dupla A",801,IF(Atletas!S123="Arma Maleável A",802,IF(Atletas!S123="Arma Dupla B",803,IF(Atletas!S123="Arma Maleável B",804,IF(Atletas!S123="Arma Dupla C",805,IF(Atletas!S123="Arma Maleável C",806,IF(Atletas!S123="Arma Dupla D",807,IF(Atletas!S123="Arma Maleável D",808,IF(Atletas!S123="Arma Dupla E",809,IF(Atletas!S123="Arma Maleável E",810,IF(Atletas!S123="Arma Dupla F",811,IF(Atletas!S123="Arma Maleável F",812, "")))))))))))))</f>
        <v/>
      </c>
      <c r="BV127" s="52" t="str">
        <f>IF(Atletas!T123="","",IF(Atletas!W123&lt;&gt;"",10000,0)+IF(Atletas!B123="Feminino",1000,IF(Atletas!B123="Masculino",2000,""))+IF(Atletas!T123="Taijijian Yang A",901,IF(Atletas!T123="Taijijian Chen A",902,IF(Atletas!T123="Taijijian Sun A",903,IF(Atletas!T123="Taijijian Wu A",904,IF(Atletas!T123="Taijijian Wu-Hao A",905,IF(Atletas!T123="Taijijian 32 A",906,IF(Atletas!T123="Taijijian 42 A",907,IF(Atletas!T123="Taijijian Yang B",908,IF(Atletas!T123="Taijijian Chen B",909,IF(Atletas!T123="Taijijian Sun B",910,IF(Atletas!T123="Taijijian Wu B",911,IF(Atletas!T123="Taijijian Wu-Hao B",912,IF(Atletas!T123="Taijijian 32 B",913,IF(Atletas!T123="Taijijian 42 B",914,IF(Atletas!T123="Taijijian Yang C",915,IF(Atletas!T123="Taijijian Chen C",916,IF(Atletas!T123="Taijijian Sun C",917,IF(Atletas!T123="Taijijian Wu C",918,IF(Atletas!T123="Taijijian Wu-Hao C",919,IF(Atletas!T123="Taijijian 32 C",920,IF(Atletas!T123="Taijijian 42 C",921,IF(Atletas!T123="Taijijian Yang D",922,IF(Atletas!T123="Taijijian Chen D",923,IF(Atletas!T123="Taijijian Sun D",924,IF(Atletas!T123="Taijijian Wu D",925,IF(Atletas!T123="Taijijian Wu-Hao D",926,IF(Atletas!T123="Taijijian 32 D",927,IF(Atletas!T123="Taijijian 42 D",928,IF(Atletas!T123="Taijijian Yang E",929,IF(Atletas!T123="Taijijian Chen E",930,IF(Atletas!T123="Taijijian Sun E",931,IF(Atletas!T123="Taijijian Wu E",932,IF(Atletas!T123="Taijijian Wu-Hao E",933,IF(Atletas!T123="Taijijian 32 E",934,IF(Atletas!T123="Taijijian 42 E",935,IF(Atletas!T123="Taijijian Yang F",936,IF(Atletas!T123="Taijijian Chen F",937,IF(Atletas!T123="Taijijian Sun F",938,IF(Atletas!T123="Taijijian Wu F",939,IF(Atletas!T123="Taijijian Wu-Hao F",940,IF(Atletas!T123="Taijijian 32 F",941,IF(Atletas!T123="Taijijian 42 F",942,"")))))))))))))))))))))))))))))))))))))))))))</f>
        <v/>
      </c>
      <c r="BW127" s="52" t="str">
        <f>IF(Atletas!U123="","",IF(Atletas!W123&lt;&gt;"",10000,0)+IF(Atletas!B123="Feminino",1000,IF(Atletas!B123="Masculino",2000,""))+IF(Atletas!T123="Taijijian 42 F",942,IF(Atletas!U123="Taijidao A",943,IF(Atletas!U123="Taijishan A",944,IF(Atletas!U123="Taijiqiang A",945,IF(Atletas!U123="Taijidao B",946,IF(Atletas!U123="Taijishan B",947,IF(Atletas!U123="Taijiqiang B",948,IF(Atletas!U123="Taijidao C",949,IF(Atletas!U123="Taijishan C",950,IF(Atletas!U123="Taijiqiang C",951,IF(Atletas!U123="Taijidao D",952,IF(Atletas!U123="Taijishan D",953,IF(Atletas!U123="Taijiqiang D",954,IF(Atletas!U123="Taijidao E",955,IF(Atletas!U123="Taijishan E",956,IF(Atletas!U123="Taijiqiang E",957,IF(Atletas!U123="Taijidao F",958,IF(Atletas!U123="Taijishan F",959,IF(Atletas!U123="Taijiqiang F",960))))))))))))))))))))</f>
        <v/>
      </c>
      <c r="BX127" s="72" t="str">
        <f>IF(BY127&lt;&gt;"","Ditangquan E","")</f>
        <v/>
      </c>
      <c r="BY127" s="72" t="str">
        <f>IF(COUNTIF(BK:BW,1213)&gt;0,COUNTIF(BK:BW,1213),"")</f>
        <v/>
      </c>
      <c r="BZ127" s="72" t="str">
        <f>IF(CA127&lt;&gt;"","Ditangquan E","")</f>
        <v/>
      </c>
      <c r="CA127" s="72" t="str">
        <f>IF(COUNTIF(BK:BW,2213)&gt;0,COUNTIF(BK:BW,2213),"")</f>
        <v/>
      </c>
      <c r="CB127" s="72" t="str">
        <f>IF(CC127&lt;&gt;"","Ditangquan E","")</f>
        <v/>
      </c>
      <c r="CC127" s="64" t="str">
        <f>IF(COUNTIF(BK:BW,11213)&gt;0,COUNTIF(BK:BW,11213),"")</f>
        <v/>
      </c>
      <c r="CD127" s="64" t="str">
        <f>IF(CE127&lt;&gt;"","Ditangquan E","")</f>
        <v/>
      </c>
      <c r="CE127" s="64" t="str">
        <f>IF(COUNTIF(BK:BW,12213)&gt;0,COUNTIF(BK:BW,12213),"")</f>
        <v/>
      </c>
      <c r="CF127" s="52" t="str">
        <f xml:space="preserve"> IF(Atletas!V123="","",IF(Atletas!V123="Duilian de Mãos AB - Equipe 1",1,IF(Atletas!V123="Duilian de Mãos AB - Equipe 2",2,IF(Atletas!V123="Duilian de Armas AB - Equipe 1",3,IF(Atletas!V123="Duilian de Armas AB - Equipe 2",4,IF(Atletas!V123="Duilian de Tuishou - Equipe 1",5,IF(Atletas!V123="Duilian de Tuishou - Equipe 2",6,IF(Atletas!V123="Grupo Externo AB - Equipe 1",7,IF(Atletas!V123="Grupo Externo AB - Equipe 2",8,IF(Atletas!V123="Grupo Interno AB - Equipe 1",9,IF(Atletas!V123="Grupo Interno AB - Equipe 2",10,IF(Atletas!V123="Duilian de Mãos CD - Equipe 1",11,IF(Atletas!V123="Duilian de Mãos CD - Equipe 2",12,IF(Atletas!V123="Duilian de Armas CD - Equipe 1",13,IF(Atletas!V123="Duilian de Armas CD - Equipe 2",14,IF(Atletas!V123="Duilian de Tuishou - Equipe 1",15,IF(Atletas!V123="Duilian de Tuishou - Equipe 2",16,IF(Atletas!V123="Grupo Externo CDEF - Equipe 1",17,IF(Atletas!V123="Grupo Externo CDEF - Equipe 2",18,IF(Atletas!V123="Grupo Interno CDEF - Equipe 1",19,IF(Atletas!V123="Grupo Interno CDEF - Equipe 2",20,IF(Atletas!V123="Duilian de Mãos EF - Equipe 1",21,IF(Atletas!V123="Duilian de Mãos EF - Equipe 2",22,IF(Atletas!V123="Duilian de Armas EF - Equipe 1",23,IF(Atletas!V123="Duilian de Armas EF - Equipe 2",24,IF(Atletas!V123="Duilian de Tuishou - Equipe 1",25,IF(Atletas!V123="Duilian de Tuishou - Equipe 2",26,"")))))))))))))))))))))))))))</f>
        <v/>
      </c>
    </row>
    <row r="128" spans="2:84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 t="str">
        <f t="array" ref="V128">IFERROR(INDEX(BX$7:BX$336,SMALL(IF(BX$7:BX$336&lt;&gt;"",ROW(BX$7:BX$336)-ROW(BX$7)+1),ROWS(BX$7:BX127))),"")</f>
        <v/>
      </c>
      <c r="W128" s="4" t="str">
        <f t="array" ref="W128">IFERROR(INDEX(BY$7:BY$336,SMALL(IF(BY$7:BY$336&lt;&gt;"",ROW(BY$7:BY$336)-ROW(BY$7)+1),ROWS(BY$7:BY127))),"")</f>
        <v/>
      </c>
      <c r="X128" s="4" t="str">
        <f t="array" ref="X128">IFERROR(INDEX(BZ$7:BZ$336,SMALL(IF(BZ$7:BZ$336&lt;&gt;"",ROW(BZ$7:BZ$336)-ROW(BZ$7)+1),ROWS(BZ$7:BZ127))),"")</f>
        <v/>
      </c>
      <c r="Y128" s="4" t="str">
        <f t="array" ref="Y128">IFERROR(INDEX(CA$7:CA$336,SMALL(IF(CA$7:CA$336&lt;&gt;"",ROW(CA$7:CA$336)-ROW(CA$7)+1),ROWS(CA$7:CA127))),"")</f>
        <v/>
      </c>
      <c r="Z128" s="4" t="str">
        <f t="array" ref="Z128">IFERROR(INDEX(CB$7:CB$378,SMALL(IF(CB$7:CB$378&lt;&gt;"",ROW(CB$7:CB$378)-ROW(CB$7)+1),ROWS(CB$7:CB127))),"")</f>
        <v/>
      </c>
      <c r="AA128" s="4" t="str">
        <f t="array" ref="AA128">IFERROR(INDEX(CC$7:CC$378,SMALL(IF(CC$7:CC$378&lt;&gt;"",ROW(CC$7:CC$378)-ROW(CC$7)+1),ROWS(CC$7:CC127))),"")</f>
        <v/>
      </c>
      <c r="AB128" s="4" t="str">
        <f t="array" ref="AB128">IFERROR(INDEX(CD$7:CD$378,SMALL(IF(CD$7:CD$378&lt;&gt;"",ROW(CD$7:CD$378)-ROW(CD$7)+1),ROWS(CD$7:CD127))),"")</f>
        <v/>
      </c>
      <c r="AC128" s="4" t="str">
        <f t="array" ref="AC128">IFERROR(INDEX(CE$7:CE$378,SMALL(IF(CE$7:CE$378&lt;&gt;"",ROW(CE$7:CE$378)-ROW(CE$7)+1),ROWS(CE$7:CE127))),"")</f>
        <v/>
      </c>
      <c r="AD128" s="4"/>
      <c r="AE128" s="4"/>
      <c r="AF128" s="4"/>
      <c r="AG128" s="4"/>
      <c r="AH128" s="4"/>
      <c r="AI128" s="4"/>
      <c r="AJ128" s="46" t="str">
        <f>IF(Atletas!D124="","",IF(Atletas!B124="Feminino",100,IF(Atletas!B124="Masculino",200,""))+(IF(Atletas!D124="Infantil 39kg",1,IF(Atletas!D124="Infantil 42kg",2,IF(Atletas!D124="Infantil 45kg",3,IF(Atletas!D124="Infantil 48kg",4,IF(Atletas!D124="Infantil 52kg",5,IF(Atletas!D124="Infantil 56kg",6,IF(Atletas!D124="Infantil 60kg",7,IF(Atletas!D124="Juvenil 48kg",8,IF(Atletas!D124="Juvenil 52kg",9,IF(Atletas!D124="Juvenil 56kg",10,IF(Atletas!D124="Juvenil 60kg",11,IF(Atletas!D124="Juvenil 65kg",12,IF(Atletas!D124="Juvenil 70kg",13,IF(Atletas!D124="Juvenil 75kg",14,IF(Atletas!D124="Juvenil 80kg",15,IF(Atletas!D124="Adulto 48kg",16,IF(Atletas!D124="Adulto 52kg",17,IF(Atletas!D124="Adulto 56kg",18,IF(Atletas!D124="Adulto 60kg",19,IF(Atletas!D124="Adulto 65kg",20,IF(Atletas!D124="Adulto 70kg",21,IF(Atletas!D124="Adulto 75kg",22,IF(Atletas!D124="Adulto 80kg",23,IF(Atletas!D124="Adulto 85kg",24,IF(Atletas!D124="Adulto 90kg",25,IF(Atletas!D124="Adulto +90kg",26,""))))))))))))))))))))))))))))</f>
        <v/>
      </c>
      <c r="AO128" s="10" t="str">
        <f>IF(Atletas!E124="","",IF(Atletas!B124="Feminino",100,IF(Atletas!B124="Masculino",200,""))+(IF(Atletas!E124="Juvenil 44kg",1,IF(Atletas!E124="Juvenil 48kg",2,IF(Atletas!E124="Juvenil 52kg",3,IF(Atletas!E124="Juvenil 56kg",4,IF(Atletas!E124="Juvenil 60kg",5,IF(Atletas!E124="Juvenil 65kg",6,IF(Atletas!E124="Juvenil 70kg",7,IF(Atletas!E124="Juvenil 75kg",8,IF(Atletas!E124="Juvenil 82kg",9,IF(Atletas!E124="Juvenil 90kg",10,IF(Atletas!E124="Juvenil 100kg",11,IF(Atletas!E124="Adulto 48kg",12,IF(Atletas!E124="Adulto 52kg",13,IF(Atletas!E124="Adulto 56kg",14,IF(Atletas!E124="Adulto 60kg",15,IF(Atletas!E124="Adulto 65kg",16,IF(Atletas!E124="Adulto 70kg",17,IF(Atletas!E124="Adulto 75kg",18,IF(Atletas!E124="Adulto 82kg",19,IF(Atletas!E124="Adulto 90kg",20,IF(Atletas!E124="Adulto 100kg",21,IF(Atletas!E124="Adulto +100kg",22,""))))))))))))))))))))))))</f>
        <v/>
      </c>
      <c r="AT128" s="10" t="str">
        <f>IF(Atletas!F124="","",IF(Atletas!B124="Feminino",100,IF(Atletas!B124="Masculino",200,""))+(IF(Atletas!F124="Adulto 48kg",1,IF(Atletas!F124="Adulto 56kg",2,IF(Atletas!F124="Adulto 65kg",3,IF(Atletas!F124="Adulto 75kg",4,IF(Atletas!F124="Adulto +75kg",5,IF(Atletas!F124="Adulto 52kg",6,IF(Atletas!F124="Adulto 60kg",7,IF(Atletas!F124="Adulto 70kg",8,IF(Atletas!F124="Adulto 80kg",9,IF(Atletas!F124="Adulto 90kg",10,IF(Atletas!F124="Adulto +90kg",11,"")))))))))))))</f>
        <v/>
      </c>
      <c r="AY128" s="46" t="str">
        <f>IF(Atletas!G124="","",IF(Atletas!B124="Feminino",100,IF(Atletas!B124="Masculino",200,""))+(IF(Atletas!G124="Changquan Mirim",1,IF(Atletas!G124="Nanquan Mirim",2,IF(Atletas!G124="Taijiquan Mirim",3,IF(Atletas!G124="Changquan Grupo C",4,IF(Atletas!G124="Nanquan Grupo C",5,IF(Atletas!G124="Taijiquan Grupo C",6,IF(Atletas!G124="Changquan Grupo B",7,IF(Atletas!G124="Nanquan Grupo B",8,IF(Atletas!G124="Taijiquan Grupo B",9,IF(Atletas!G124="Changquan Grupo A",10,IF(Atletas!G124="Nanquan Grupo A",11,IF(Atletas!G124="Taijiquan Grupo A",12,IF(Atletas!G124="Changquan Opcional",13,IF(Atletas!G124="Nanquan Opcional",14,IF(Atletas!G124="Taijiquan Opcional",15,IF(Atletas!G124="Changquan Adulto",16,IF(Atletas!G124="Nanquan Adulto",17,IF(Atletas!G124="Taijiquan Adulto",18,""))))))))))))))))))))</f>
        <v/>
      </c>
      <c r="AZ128" s="46" t="str">
        <f>IF(Atletas!H124="","",IF(Atletas!B124="Feminino",100,IF(Atletas!B124="Masculino",200,""))+(IF(Atletas!H124="Daoshu Mirim",19,IF(Atletas!H124="Jianshu Mirim",20,IF(Atletas!H124="Nandao Mirim",21,IF(Atletas!H124="Taijijian Mirim",22,IF(Atletas!H124="Daoshu Grupo C",23,IF(Atletas!H124="Jianshu Grupo C",24,IF(Atletas!H124="Nandao Grupo C",25,IF(Atletas!H124="Taijijian Grupo C",26,IF(Atletas!H124="Daoshu Grupo B",27,IF(Atletas!H124="Jianshu Grupo B",28,IF(Atletas!H124="Nandao Grupo B",29,IF(Atletas!H124="Taijijian Grupo B",30,IF(Atletas!H124="Daoshu Grupo A",31,IF(Atletas!H124="Jianshu Grupo A",32,IF(Atletas!H124="Nandao Grupo A",33,IF(Atletas!H124="Taijijian Grupo A",34,IF(Atletas!H124="Daoshu Opcional",35,IF(Atletas!H124="Jianshu Opcional",36,IF(Atletas!H124="Nandao Opcional",37,IF(Atletas!H124="Taijijian Opcional",38,IF(Atletas!H124="Daoshu Adulto",39,IF(Atletas!H124="Jianshu Adulto",40,IF(Atletas!H124="Nandao Adulto",41,IF(Atletas!H124="Taijijian Adulto",42,""))))))))))))))))))))))))))</f>
        <v/>
      </c>
      <c r="BA128" s="46" t="str">
        <f>IF(Atletas!I124="","",IF(Atletas!B124="Feminino",100,IF(Atletas!B124="Masculino",200,""))+(IF(Atletas!I124="Gunshu Mirim",43,IF(Atletas!I124="Qiangshu Mirim",44,IF(Atletas!I124="Nangun Mirim",45,IF(Atletas!I124="Gunshu Grupo C",46,IF(Atletas!I124="Qiangshu Grupo C",47,IF(Atletas!I124="Nangun Grupo C",48,IF(Atletas!I124="Gunshu Grupo B",49,IF(Atletas!I124="Qiangshu Grupo B",50,IF(Atletas!I124="Nangun Grupo B",51,IF(Atletas!I124="Gunshu Grupo A",52,IF(Atletas!I124="Qiangshu Grupo A",53,IF(Atletas!I124="Nangun Grupo A",54,IF(Atletas!I124="Gunshu Opcional",55,IF(Atletas!I124="Qiangshu Opcional",56,IF(Atletas!I124="Nangun Opcional",57,IF(Atletas!I124="Gunshu Adulto",58,IF(Atletas!I124="Qiangshu Adulto",59,IF(Atletas!I124="Nangun Adulto",60,""))))))))))))))))))))</f>
        <v/>
      </c>
      <c r="BF128" s="52" t="str">
        <f>IF(Atletas!J124="","",IF(Atletas!B124="Feminino",100,IF(Atletas!B124="Masculino",200,""))+(IF(Atletas!J124="Equipe 1 Grupo B",1,IF(Atletas!J124="Equipe 2 Grupo B",2,IF(Atletas!J124="Equipe 1 Grupo A",3,IF(Atletas!J124="Equipe 2 Grupo A",4,IF(Atletas!J124="Equipe 1 Adulto",5,IF(Atletas!J124="Equipe 2 Adulto",6,""))))))))</f>
        <v/>
      </c>
      <c r="BK128" s="52" t="str">
        <f>IF(Atletas!K124="","",IF(Atletas!W124&lt;&gt;"",10000,0)+(IF(Atletas!B124="Feminino",1000,IF(Atletas!B124="Masculino",2000,""))+IF(Atletas!K124="Choylayfut A",1,IF(Atletas!K124="Hunggar A",2,IF(Atletas!K124="Wuzuquan A",3,IF(Atletas!K124="Wingchun A",4,IF(Atletas!K124="Outra Mão de Sul A",5,IF(Atletas!K124="Choylayfut B",6,IF(Atletas!K124="Hunggar B",7,IF(Atletas!K124="Wuzuquan B",8,IF(Atletas!K124="Wingchun B",9,IF(Atletas!K124="Outra Mão de Sul B",10,IF(Atletas!K124="Choylayfut C",11,IF(Atletas!K124="Hunggar C",12,IF(Atletas!K124="Wuzuquan C",13,IF(Atletas!K124="Wingchun C",14,IF(Atletas!K124="Outra Mão de Sul C",15,IF(Atletas!K124="Choylayfut D",16,IF(Atletas!K124="Hunggar D",17,IF(Atletas!K124="Wuzuquan D",18,IF(Atletas!K124="Wingchun D",19,IF(Atletas!K124="Outra Mão de Sul D",20,IF(Atletas!K124="Choylayfut E",21,IF(Atletas!K124="Hunggar E",22,IF(Atletas!K124="Wuzuquan E",23,IF(Atletas!K124="Wingchun E",24,IF(Atletas!K124="Outra Mão de Sul E",25,IF(Atletas!K124="Choylayfut F",26,IF(Atletas!K124="Hunggar F",27,IF(Atletas!K124="Wuzuquan F",28,IF(Atletas!K124="Wingchun F",29,IF(Atletas!K124="Outra Mão de Sul F",30,""))))))))))))))))))))))))))))))))</f>
        <v/>
      </c>
      <c r="BL128" s="52" t="str">
        <f>IF(Atletas!L124="","",IF(Atletas!W124&lt;&gt;"",10000,0)+(IF(Atletas!B124="Feminino",1000,IF(Atletas!B124="Masculino",2000,""))+(IF(Atletas!L124="Chaquan A",101,IF(Atletas!L124="Emeiquan A",102,IF(Atletas!L124="Fanziquan A",103,IF(Atletas!L124="Huaquan A",104,IF(Atletas!L124="Hongquan A",105,IF(Atletas!L124="Paochui A",106,IF(Atletas!L124="Piguaquan A",107,IF(Atletas!L124="Shaolinquan A",108,IF(Atletas!L124="Tanglangquan A",109,IF(Atletas!L124="Yinzhaophai A",110,IF(Atletas!L124="Tongbeiquan A",111,IF(Atletas!L124="Wudangquan A",112,IF(Atletas!L124="Outros Estilos A",113,IF(Atletas!L124="Chaquan B",114,IF(Atletas!L124="Emeiquan B",115,IF(Atletas!L124="Fanziquan B",116,IF(Atletas!L124="Huaquan B",117,IF(Atletas!L124="Hongquan B",118,IF(Atletas!L124="Paochui B",119,IF(Atletas!L124="Piguaquan B",120,IF(Atletas!L124="Shaolinquan B",121,IF(Atletas!L124="Tanglangquan B",122,IF(Atletas!L124="Yinzhaophai B",123,IF(Atletas!L124="Tongbeiquan B",124,IF(Atletas!L124="Wudangquan B",125,IF(Atletas!L124="Outros Estilos B",126,IF(Atletas!L124="Chaquan C",127,IF(Atletas!L124="Emeiquan C",128,IF(Atletas!L124="Fanziquan C",129,IF(Atletas!L124="Huaquan C",130,IF(Atletas!L124="Hongquan C",131,IF(Atletas!L124="Paochui C",132,IF(Atletas!L124="Piguaquan C",133,IF(Atletas!L124="Shaolinquan C",134,IF(Atletas!L124="Tanglangquan C",135,IF(Atletas!L124="Yinzhaophai C",136,IF(Atletas!L124="Tongbeiquan C",137,IF(Atletas!L124="Wudangquan C",138,IF(Atletas!L124="Outros Estilos C",139,0))))))))))))))))))))))))))))))))))))))))))</f>
        <v/>
      </c>
      <c r="BM128" s="52" t="str">
        <f>IF(Atletas!L124="","",IF(Atletas!W124&lt;&gt;"",10000,0)+(IF(Atletas!B124="Feminino",1000,IF(Atletas!B124="Masculino",2000,""))+(IF(Atletas!L124="Chaquan D",140,IF(Atletas!L124="Emeiquan D",141,IF(Atletas!L124="Fanziquan D",142,IF(Atletas!L124="Huaquan D",143,IF(Atletas!L124="Hongquan D",144,IF(Atletas!L124="Paochui D",145,IF(Atletas!L124="Piguaquan D",146,IF(Atletas!L124="Shaolinquan D",147,IF(Atletas!L124="Tanglangquan D",148,IF(Atletas!L124="Yinzhaophai D",149,IF(Atletas!L124="Tongbeiquan D",150,IF(Atletas!L124="Wudangquan D",151,IF(Atletas!L124="Outros Estilos D",152,IF(Atletas!L124="Chaquan E",153,IF(Atletas!L124="Emeiquan E",154,IF(Atletas!L124="Fanziquan E",155,IF(Atletas!L124="Huaquan E",156,IF(Atletas!L124="Hongquan E",157,IF(Atletas!L124="Paochui E",158,IF(Atletas!L124="Piguaquan E",159,IF(Atletas!L124="Shaolinquan E",160,IF(Atletas!L124="Tanglangquan E",161,IF(Atletas!L124="Yinzhaophai E",162,IF(Atletas!L124="Tongbeiquan E",163,IF(Atletas!L124="Wudangquan E",164,IF(Atletas!L124="Outros Estilos E",165,IF(Atletas!L124="Chaquan F",166,IF(Atletas!L124="Emeiquan F",167,IF(Atletas!L124="Fanziquan F",168,IF(Atletas!L124="Huaquan F",169,IF(Atletas!L124="Hongquan F",170,IF(Atletas!L124="Paochui F",171,IF(Atletas!L124="Piguaquan F",172,IF(Atletas!L124="Shaolinquan F",173,IF(Atletas!L124="Tanglangquan F",174,IF(Atletas!L124="Yinzhaophai F",175,IF(Atletas!L124="Tongbeiquan F",176,IF(Atletas!L124="Wudangquan F",177,IF(Atletas!L124="Outros Estilos F",178,0))))))))))))))))))))))))))))))))))))))))))</f>
        <v/>
      </c>
      <c r="BN128" s="52" t="str">
        <f>IF(Atletas!M124="","",IF(Atletas!W124&lt;&gt;"",10000,0)+(IF(Atletas!B124="Feminino",1000,IF(Atletas!B124="Masculino",2000,""))+(IF(Atletas!M124="Ditangquan A",201,IF(Atletas!M124="Houquan A",202,IF(Atletas!M124="Zuiquan A",203,IF(Atletas!M124="Ditangquan B",204,IF(Atletas!M124="Houquan B",205,IF(Atletas!M124="Zuiquan B",206,IF(Atletas!M124="Ditangquan C",207,IF(Atletas!M124="Houquan C",208,IF(Atletas!M124="Zuiquan C",209,IF(Atletas!M124="Ditangquan D",210,IF(Atletas!M124="Houquan D",211,IF(Atletas!M124="Zuiquan D",212,IF(Atletas!M124="Ditangquan E",213,IF(Atletas!M124="Houquan E",214,IF(Atletas!M124="Zuiquan E",215,IF(Atletas!M124="Ditangquan F",216,IF(Atletas!M124="Houquan F",217,IF(Atletas!M124="Zuiquan F",218,"")))))))))))))))))))))</f>
        <v/>
      </c>
      <c r="BO128" s="52" t="str">
        <f>IF(Atletas!N124="","",IF(Atletas!W124&lt;&gt;"",10000,0)+IF(Atletas!B124="Feminino",1000,IF(Atletas!B124="Masculino",2000,""))+IF(Atletas!N124="Yang A",301,IF(Atletas!N124="Chen A",30,IF(Atletas!N124="Sun A",303,IF(Atletas!N124="Wu A",304,IF(Atletas!N124="Wu-Hao A",305,IF(Atletas!N124="Outro Taijiquan A",306,IF(Atletas!N124="Yang B",307,IF(Atletas!N124="Chen B",308,IF(Atletas!N124="Sun B",309,IF(Atletas!N124="Wu B",310,IF(Atletas!N124="Wu-Hao B",311,IF(Atletas!N124="Outro Taijiquan B",312,IF(Atletas!N124="Yang C",313,IF(Atletas!N124="Chen C",314,IF(Atletas!N124="Sun C",315,IF(Atletas!N124="Wu C",316,IF(Atletas!N124="Wu-Hao C",317,IF(Atletas!N124="Outro Taijiquan C",318,IF(Atletas!N124="Yang D",319,IF(Atletas!N124="Chen D",320,IF(Atletas!N124="Sun D",321,IF(Atletas!N124="Wu D",322,IF(Atletas!N124="Wu-Hao D",323,IF(Atletas!N124="Outro Taijiquan D",324,IF(Atletas!N124="Yang E",325,IF(Atletas!N124="Chen E",326,IF(Atletas!N124="Sun E",327,IF(Atletas!N124="Wu E",328,IF(Atletas!N124="Wu-Hao E",329,IF(Atletas!N124="Outro Taijiquan E",330,IF(Atletas!N124="Yang F",331,IF(Atletas!N124="Chen F",332,IF(Atletas!N124="Sun F",333,IF(Atletas!N124="Wu F",334,IF(Atletas!N124="Wu-Hao F",335,IF(Atletas!N124="Outro Taijiquan F",336,"")))))))))))))))))))))))))))))))))))))</f>
        <v/>
      </c>
      <c r="BP128" s="52" t="str">
        <f>IF(Atletas!O124="","",IF(Atletas!W124&lt;&gt;"",10000,0)+IF(Atletas!B124="Feminino",1000,IF(Atletas!B124="Masculino",2000,""))+IF(OR(Atletas!O124="Yang 26 A",Atletas!O124="Yang 40 A"),401,IF(OR(Atletas!O124="Chen 25 A",Atletas!O124="Chen 36 A",Atletas!O124="Chen 56 A"),402,IF(Atletas!O124="Sun 73 A",403,IF(Atletas!O124="Wu 45 A",404,IF(Atletas!O124="Wu-Hao 46 A",405,IF(OR(Atletas!O124="Taijiquan 16 A",Atletas!O124="Taijiquan 24 A",Atletas!O124="Taijiquan 32 A",Atletas!O124="Taijiquan 42 A"),406,IF(OR(Atletas!O124="Yang 26 B",Atletas!O124="Yang 40 B"),407,IF(OR(Atletas!O124="Chen 25 B",Atletas!O124="Chen 36 B",Atletas!O124="Chen 56 B"),408,IF(Atletas!O124="Sun 73 B",409,IF(Atletas!O124="Wu 45 B",410,IF(Atletas!O124="Wu-Hao 46 B",411,IF(OR(Atletas!O124="Taijiquan 16 B",Atletas!O124="Taijiquan 24 B",Atletas!O124="Taijiquan 32 B",Atletas!O124="Taijiquan 42 B"),412,IF(OR(Atletas!O124="Yang 26 C",Atletas!O124="Yang 40 C"),413,IF(OR(Atletas!O124="Chen 25 C",Atletas!O124="Chen 36 C",Atletas!O124="Chen 56 C"),414,IF(Atletas!O124="Sun 73 C",415,IF(Atletas!O124="Wu 45 C",416,IF(Atletas!O124="Wu-Hao 46 C",417,IF(OR(Atletas!O124="Taijiquan 16 C",Atletas!O124="Taijiquan 24 C",Atletas!O124="Taijiquan 32 C",Atletas!O124="Taijiquan 42 C"),418,0)))))))))))))))))))</f>
        <v/>
      </c>
      <c r="BQ128" s="52" t="str">
        <f>IF(Atletas!O124="","",IF(Atletas!W124&lt;&gt;"",10000,0)+IF(Atletas!B124="Feminino",1000,IF(Atletas!B124="Masculino",2000,""))+IF(OR(Atletas!O124="Yang 26 D",Atletas!O124="Yang 40 D"),419,IF(OR(Atletas!O124="Chen 25 D",Atletas!O124="Chen 36 D",Atletas!O124="Chen 56 D"),420,IF(Atletas!O124="Sun 73 D",421,IF(Atletas!O124="Wu 45 D",422,IF(Atletas!O124="Wu-Hao 46 D",423,IF(OR(Atletas!O124="Taijiquan 16 D",Atletas!O124="Taijiquan 24 D",Atletas!O124="Taijiquan 32 D",Atletas!O124="Taijiquan 42 D"),424,IF(OR(Atletas!O124="Yang 26 E",Atletas!O124="Yang 40 E"),425,IF(OR(Atletas!O124="Chen 25 E",Atletas!O124="Chen 36 E",Atletas!O124="Chen 56 E"),426,IF(Atletas!O124="Sun 73 E",427,IF(Atletas!O124="Wu 45 E",428,IF(Atletas!O124="Wu-Hao 46 E",429,IF(OR(Atletas!O124="Taijiquan 16 E",Atletas!O124="Taijiquan 24 E",Atletas!O124="Taijiquan 32 E",Atletas!O124="Taijiquan 42 E"),430,IF(OR(Atletas!O124="Yang 26 F",Atletas!O124="Yang 40 F"),431,IF(OR(Atletas!O124="Chen 25 F",Atletas!O124="Chen 36 F",Atletas!O124="Chen 56 F"),432,IF(Atletas!O124="Sun 73 F",433,IF(Atletas!O124="Wu 45 F",434,IF(Atletas!O124="Wu-Hao 46 F",435,IF(OR(Atletas!O124="Taijiquan 16 F",Atletas!O124="Taijiquan 24 F",Atletas!O124="Taijiquan 32 F",Atletas!O124="Taijiquan 42 F"),436,0)))))))))))))))))))</f>
        <v/>
      </c>
      <c r="BR128" s="52" t="str">
        <f>IF(Atletas!P124="","",IF(Atletas!W124&lt;&gt;"",10000,0)+IF(Atletas!B124="Feminino",1000,IF(Atletas!B124="Masculino",2000,""))+IF(Atletas!P124="Xingyiquan A",501,IF(Atletas!P124="Baguazhang A",502,IF(Atletas!P124="Outro Estilo Interno A",503,IF(Atletas!P124="Xingyiquan B",504,IF(Atletas!P124="Baguazhang B",505,IF(Atletas!P124="Outro Estilo Interno B",506,IF(Atletas!P124="Xingyiquan C",507,IF(Atletas!P124="Baguazhang C",508,IF(Atletas!P124="Outro Estilo Interno C",509,IF(Atletas!P124="Xingyiquan D",510,IF(Atletas!P124="Baguazhang D",511,IF(Atletas!P124="Outro Estilo Interno D",512,IF(Atletas!P124="Xingyiquan E",513,IF(Atletas!P124="Baguazhang E",514,IF(Atletas!P124="Outro Estilo Interno E",515,IF(Atletas!P124="Xingyiquan F",516,IF(Atletas!P124="Baguazhang F",517,IF(Atletas!P124="Outro Estilo Interno F",518, "")))))))))))))))))))</f>
        <v/>
      </c>
      <c r="BS128" s="52" t="str">
        <f>IF(Atletas!Q124="","",IF(Atletas!W124&lt;&gt;"",10000,0)+IF(Atletas!B124="Feminino",1000,IF(Atletas!B124="Masculino",2000,""))+IF(Atletas!Q124="Dao A",601,IF(Atletas!Q124="Jian A",602,IF(Atletas!Q124="Bishou A",603,IF(Atletas!Q124="Shan A",604,IF(Atletas!Q124="Outra Arma Curta A",605,IF(Atletas!Q124="Dao B",606,IF(Atletas!Q124="Jian B",607,IF(Atletas!Q124="Bishou B",608,IF(Atletas!Q124="Shan B",609,IF(Atletas!Q124="Outra Arma Curta B",610,IF(Atletas!Q124="Dao C",611,IF(Atletas!Q124="Jian C",612,IF(Atletas!Q124="Bishou C",613,IF(Atletas!Q124="Shan C",614,IF(Atletas!Q124="Outra Arma Curta C",615,IF(Atletas!Q124="Dao D",616,IF(Atletas!Q124="Jian D",617,IF(Atletas!Q124="Bishou D",618,IF(Atletas!Q124="Shan D",619,IF(Atletas!Q124="Outra Arma Curta D",620,IF(Atletas!Q124="Dao E",621,IF(Atletas!Q124="Jian E",622,IF(Atletas!Q124="Bishou E",623,IF(Atletas!Q124="Shan E",624,IF(Atletas!Q124="Outra Arma Curta E",625,IF(Atletas!Q124="Dao F",626,IF(Atletas!Q124="Jian F",627,IF(Atletas!Q124="Bishou F",628,IF(Atletas!Q124="Shan F",629,IF(Atletas!Q124="Outra Arma Curta F",630, "")))))))))))))))))))))))))))))))</f>
        <v/>
      </c>
      <c r="BT128" s="52" t="str">
        <f>IF(Atletas!R124="","",IF(Atletas!W124&lt;&gt;"",10000,0)+IF(Atletas!B124="Feminino",1000,IF(Atletas!B124="Masculino",2000,""))+IF(Atletas!R124="Gun A",701,IF(Atletas!R124="Qiang A",702,IF(Atletas!R124="Pudao / Guandao A",703,IF(Atletas!R124="Outra Arma Longa A",704,IF(Atletas!R124="Gun B",705,IF(Atletas!R124="Qiang B",706,IF(Atletas!R124="Pudao / Guandao B",707,IF(Atletas!R124="Outra Arma Longa B",708,IF(Atletas!R124="Gun C",709,IF(Atletas!R124="Qiang C",710,IF(Atletas!R124="Pudao / Guandao C",711,IF(Atletas!R124="Outra Arma Longa C",712,IF(Atletas!R124="Gun D",713,IF(Atletas!R124="Qiang D",714,IF(Atletas!R124="Pudao / Guandao D",715,IF(Atletas!R124="Outra Arma Longa D",716,IF(Atletas!R124="Gun E",717,IF(Atletas!R124="Qiang E",718,IF(Atletas!R124="Pudao / Guandao E",719,IF(Atletas!R124="Outra Arma Longa E",720,IF(Atletas!R124="Gun F",721,IF(Atletas!R124="Qiang F",722,IF(Atletas!R124="Pudao / Guandao F",723,IF(Atletas!R124="Outra Arma Longa F",724,"")))))))))))))))))))))))))</f>
        <v/>
      </c>
      <c r="BU128" s="52" t="str">
        <f>IF(Atletas!S124="","",IF(Atletas!W124&lt;&gt;"",10000,0)+IF(Atletas!B124="Feminino",1000,IF(Atletas!B124="Masculino",2000,""))+IF(Atletas!S124="Arma Dupla A",801,IF(Atletas!S124="Arma Maleável A",802,IF(Atletas!S124="Arma Dupla B",803,IF(Atletas!S124="Arma Maleável B",804,IF(Atletas!S124="Arma Dupla C",805,IF(Atletas!S124="Arma Maleável C",806,IF(Atletas!S124="Arma Dupla D",807,IF(Atletas!S124="Arma Maleável D",808,IF(Atletas!S124="Arma Dupla E",809,IF(Atletas!S124="Arma Maleável E",810,IF(Atletas!S124="Arma Dupla F",811,IF(Atletas!S124="Arma Maleável F",812, "")))))))))))))</f>
        <v/>
      </c>
      <c r="BV128" s="52" t="str">
        <f>IF(Atletas!T124="","",IF(Atletas!W124&lt;&gt;"",10000,0)+IF(Atletas!B124="Feminino",1000,IF(Atletas!B124="Masculino",2000,""))+IF(Atletas!T124="Taijijian Yang A",901,IF(Atletas!T124="Taijijian Chen A",902,IF(Atletas!T124="Taijijian Sun A",903,IF(Atletas!T124="Taijijian Wu A",904,IF(Atletas!T124="Taijijian Wu-Hao A",905,IF(Atletas!T124="Taijijian 32 A",906,IF(Atletas!T124="Taijijian 42 A",907,IF(Atletas!T124="Taijijian Yang B",908,IF(Atletas!T124="Taijijian Chen B",909,IF(Atletas!T124="Taijijian Sun B",910,IF(Atletas!T124="Taijijian Wu B",911,IF(Atletas!T124="Taijijian Wu-Hao B",912,IF(Atletas!T124="Taijijian 32 B",913,IF(Atletas!T124="Taijijian 42 B",914,IF(Atletas!T124="Taijijian Yang C",915,IF(Atletas!T124="Taijijian Chen C",916,IF(Atletas!T124="Taijijian Sun C",917,IF(Atletas!T124="Taijijian Wu C",918,IF(Atletas!T124="Taijijian Wu-Hao C",919,IF(Atletas!T124="Taijijian 32 C",920,IF(Atletas!T124="Taijijian 42 C",921,IF(Atletas!T124="Taijijian Yang D",922,IF(Atletas!T124="Taijijian Chen D",923,IF(Atletas!T124="Taijijian Sun D",924,IF(Atletas!T124="Taijijian Wu D",925,IF(Atletas!T124="Taijijian Wu-Hao D",926,IF(Atletas!T124="Taijijian 32 D",927,IF(Atletas!T124="Taijijian 42 D",928,IF(Atletas!T124="Taijijian Yang E",929,IF(Atletas!T124="Taijijian Chen E",930,IF(Atletas!T124="Taijijian Sun E",931,IF(Atletas!T124="Taijijian Wu E",932,IF(Atletas!T124="Taijijian Wu-Hao E",933,IF(Atletas!T124="Taijijian 32 E",934,IF(Atletas!T124="Taijijian 42 E",935,IF(Atletas!T124="Taijijian Yang F",936,IF(Atletas!T124="Taijijian Chen F",937,IF(Atletas!T124="Taijijian Sun F",938,IF(Atletas!T124="Taijijian Wu F",939,IF(Atletas!T124="Taijijian Wu-Hao F",940,IF(Atletas!T124="Taijijian 32 F",941,IF(Atletas!T124="Taijijian 42 F",942,"")))))))))))))))))))))))))))))))))))))))))))</f>
        <v/>
      </c>
      <c r="BW128" s="52" t="str">
        <f>IF(Atletas!U124="","",IF(Atletas!W124&lt;&gt;"",10000,0)+IF(Atletas!B124="Feminino",1000,IF(Atletas!B124="Masculino",2000,""))+IF(Atletas!T124="Taijijian 42 F",942,IF(Atletas!U124="Taijidao A",943,IF(Atletas!U124="Taijishan A",944,IF(Atletas!U124="Taijiqiang A",945,IF(Atletas!U124="Taijidao B",946,IF(Atletas!U124="Taijishan B",947,IF(Atletas!U124="Taijiqiang B",948,IF(Atletas!U124="Taijidao C",949,IF(Atletas!U124="Taijishan C",950,IF(Atletas!U124="Taijiqiang C",951,IF(Atletas!U124="Taijidao D",952,IF(Atletas!U124="Taijishan D",953,IF(Atletas!U124="Taijiqiang D",954,IF(Atletas!U124="Taijidao E",955,IF(Atletas!U124="Taijishan E",956,IF(Atletas!U124="Taijiqiang E",957,IF(Atletas!U124="Taijidao F",958,IF(Atletas!U124="Taijishan F",959,IF(Atletas!U124="Taijiqiang F",960))))))))))))))))))))</f>
        <v/>
      </c>
      <c r="BX128" s="72" t="str">
        <f>IF(BY128&lt;&gt;"","Houquan E","")</f>
        <v/>
      </c>
      <c r="BY128" s="72" t="str">
        <f>IF(COUNTIF(BK:BW,1214)&gt;0,COUNTIF(BK:BW,1214),"")</f>
        <v/>
      </c>
      <c r="BZ128" s="72" t="str">
        <f>IF(CA128&lt;&gt;"","Houquan E","")</f>
        <v/>
      </c>
      <c r="CA128" s="72" t="str">
        <f>IF(COUNTIF(BK:BW,2214)&gt;0,COUNTIF(BK:BW,2214),"")</f>
        <v/>
      </c>
      <c r="CB128" s="72" t="str">
        <f>IF(CC128&lt;&gt;"","Houquan E","")</f>
        <v/>
      </c>
      <c r="CC128" s="64" t="str">
        <f>IF(COUNTIF(BK:BW,11214)&gt;0,COUNTIF(BK:BW,11214),"")</f>
        <v/>
      </c>
      <c r="CD128" s="64" t="str">
        <f>IF(CE128&lt;&gt;"","Houquan E","")</f>
        <v/>
      </c>
      <c r="CE128" s="64" t="str">
        <f>IF(COUNTIF(BK:BW,12214)&gt;0,COUNTIF(BK:BW,12214),"")</f>
        <v/>
      </c>
      <c r="CF128" s="52" t="str">
        <f xml:space="preserve"> IF(Atletas!V124="","",IF(Atletas!V124="Duilian de Mãos AB - Equipe 1",1,IF(Atletas!V124="Duilian de Mãos AB - Equipe 2",2,IF(Atletas!V124="Duilian de Armas AB - Equipe 1",3,IF(Atletas!V124="Duilian de Armas AB - Equipe 2",4,IF(Atletas!V124="Duilian de Tuishou - Equipe 1",5,IF(Atletas!V124="Duilian de Tuishou - Equipe 2",6,IF(Atletas!V124="Grupo Externo AB - Equipe 1",7,IF(Atletas!V124="Grupo Externo AB - Equipe 2",8,IF(Atletas!V124="Grupo Interno AB - Equipe 1",9,IF(Atletas!V124="Grupo Interno AB - Equipe 2",10,IF(Atletas!V124="Duilian de Mãos CD - Equipe 1",11,IF(Atletas!V124="Duilian de Mãos CD - Equipe 2",12,IF(Atletas!V124="Duilian de Armas CD - Equipe 1",13,IF(Atletas!V124="Duilian de Armas CD - Equipe 2",14,IF(Atletas!V124="Duilian de Tuishou - Equipe 1",15,IF(Atletas!V124="Duilian de Tuishou - Equipe 2",16,IF(Atletas!V124="Grupo Externo CDEF - Equipe 1",17,IF(Atletas!V124="Grupo Externo CDEF - Equipe 2",18,IF(Atletas!V124="Grupo Interno CDEF - Equipe 1",19,IF(Atletas!V124="Grupo Interno CDEF - Equipe 2",20,IF(Atletas!V124="Duilian de Mãos EF - Equipe 1",21,IF(Atletas!V124="Duilian de Mãos EF - Equipe 2",22,IF(Atletas!V124="Duilian de Armas EF - Equipe 1",23,IF(Atletas!V124="Duilian de Armas EF - Equipe 2",24,IF(Atletas!V124="Duilian de Tuishou - Equipe 1",25,IF(Atletas!V124="Duilian de Tuishou - Equipe 2",26,"")))))))))))))))))))))))))))</f>
        <v/>
      </c>
    </row>
    <row r="129" spans="2:84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 t="str">
        <f t="array" ref="V129">IFERROR(INDEX(BX$7:BX$336,SMALL(IF(BX$7:BX$336&lt;&gt;"",ROW(BX$7:BX$336)-ROW(BX$7)+1),ROWS(BX$7:BX128))),"")</f>
        <v/>
      </c>
      <c r="W129" s="4" t="str">
        <f t="array" ref="W129">IFERROR(INDEX(BY$7:BY$336,SMALL(IF(BY$7:BY$336&lt;&gt;"",ROW(BY$7:BY$336)-ROW(BY$7)+1),ROWS(BY$7:BY128))),"")</f>
        <v/>
      </c>
      <c r="X129" s="4" t="str">
        <f t="array" ref="X129">IFERROR(INDEX(BZ$7:BZ$336,SMALL(IF(BZ$7:BZ$336&lt;&gt;"",ROW(BZ$7:BZ$336)-ROW(BZ$7)+1),ROWS(BZ$7:BZ128))),"")</f>
        <v/>
      </c>
      <c r="Y129" s="4" t="str">
        <f t="array" ref="Y129">IFERROR(INDEX(CA$7:CA$336,SMALL(IF(CA$7:CA$336&lt;&gt;"",ROW(CA$7:CA$336)-ROW(CA$7)+1),ROWS(CA$7:CA128))),"")</f>
        <v/>
      </c>
      <c r="Z129" s="4" t="str">
        <f t="array" ref="Z129">IFERROR(INDEX(CB$7:CB$378,SMALL(IF(CB$7:CB$378&lt;&gt;"",ROW(CB$7:CB$378)-ROW(CB$7)+1),ROWS(CB$7:CB128))),"")</f>
        <v/>
      </c>
      <c r="AA129" s="4" t="str">
        <f t="array" ref="AA129">IFERROR(INDEX(CC$7:CC$378,SMALL(IF(CC$7:CC$378&lt;&gt;"",ROW(CC$7:CC$378)-ROW(CC$7)+1),ROWS(CC$7:CC128))),"")</f>
        <v/>
      </c>
      <c r="AB129" s="4" t="str">
        <f t="array" ref="AB129">IFERROR(INDEX(CD$7:CD$378,SMALL(IF(CD$7:CD$378&lt;&gt;"",ROW(CD$7:CD$378)-ROW(CD$7)+1),ROWS(CD$7:CD128))),"")</f>
        <v/>
      </c>
      <c r="AC129" s="4" t="str">
        <f t="array" ref="AC129">IFERROR(INDEX(CE$7:CE$378,SMALL(IF(CE$7:CE$378&lt;&gt;"",ROW(CE$7:CE$378)-ROW(CE$7)+1),ROWS(CE$7:CE128))),"")</f>
        <v/>
      </c>
      <c r="AD129" s="4"/>
      <c r="AE129" s="4"/>
      <c r="AF129" s="4"/>
      <c r="AG129" s="4"/>
      <c r="AH129" s="4"/>
      <c r="AI129" s="4"/>
      <c r="AJ129" s="46" t="str">
        <f>IF(Atletas!D125="","",IF(Atletas!B125="Feminino",100,IF(Atletas!B125="Masculino",200,""))+(IF(Atletas!D125="Infantil 39kg",1,IF(Atletas!D125="Infantil 42kg",2,IF(Atletas!D125="Infantil 45kg",3,IF(Atletas!D125="Infantil 48kg",4,IF(Atletas!D125="Infantil 52kg",5,IF(Atletas!D125="Infantil 56kg",6,IF(Atletas!D125="Infantil 60kg",7,IF(Atletas!D125="Juvenil 48kg",8,IF(Atletas!D125="Juvenil 52kg",9,IF(Atletas!D125="Juvenil 56kg",10,IF(Atletas!D125="Juvenil 60kg",11,IF(Atletas!D125="Juvenil 65kg",12,IF(Atletas!D125="Juvenil 70kg",13,IF(Atletas!D125="Juvenil 75kg",14,IF(Atletas!D125="Juvenil 80kg",15,IF(Atletas!D125="Adulto 48kg",16,IF(Atletas!D125="Adulto 52kg",17,IF(Atletas!D125="Adulto 56kg",18,IF(Atletas!D125="Adulto 60kg",19,IF(Atletas!D125="Adulto 65kg",20,IF(Atletas!D125="Adulto 70kg",21,IF(Atletas!D125="Adulto 75kg",22,IF(Atletas!D125="Adulto 80kg",23,IF(Atletas!D125="Adulto 85kg",24,IF(Atletas!D125="Adulto 90kg",25,IF(Atletas!D125="Adulto +90kg",26,""))))))))))))))))))))))))))))</f>
        <v/>
      </c>
      <c r="AO129" s="10" t="str">
        <f>IF(Atletas!E125="","",IF(Atletas!B125="Feminino",100,IF(Atletas!B125="Masculino",200,""))+(IF(Atletas!E125="Juvenil 44kg",1,IF(Atletas!E125="Juvenil 48kg",2,IF(Atletas!E125="Juvenil 52kg",3,IF(Atletas!E125="Juvenil 56kg",4,IF(Atletas!E125="Juvenil 60kg",5,IF(Atletas!E125="Juvenil 65kg",6,IF(Atletas!E125="Juvenil 70kg",7,IF(Atletas!E125="Juvenil 75kg",8,IF(Atletas!E125="Juvenil 82kg",9,IF(Atletas!E125="Juvenil 90kg",10,IF(Atletas!E125="Juvenil 100kg",11,IF(Atletas!E125="Adulto 48kg",12,IF(Atletas!E125="Adulto 52kg",13,IF(Atletas!E125="Adulto 56kg",14,IF(Atletas!E125="Adulto 60kg",15,IF(Atletas!E125="Adulto 65kg",16,IF(Atletas!E125="Adulto 70kg",17,IF(Atletas!E125="Adulto 75kg",18,IF(Atletas!E125="Adulto 82kg",19,IF(Atletas!E125="Adulto 90kg",20,IF(Atletas!E125="Adulto 100kg",21,IF(Atletas!E125="Adulto +100kg",22,""))))))))))))))))))))))))</f>
        <v/>
      </c>
      <c r="AT129" s="10" t="str">
        <f>IF(Atletas!F125="","",IF(Atletas!B125="Feminino",100,IF(Atletas!B125="Masculino",200,""))+(IF(Atletas!F125="Adulto 48kg",1,IF(Atletas!F125="Adulto 56kg",2,IF(Atletas!F125="Adulto 65kg",3,IF(Atletas!F125="Adulto 75kg",4,IF(Atletas!F125="Adulto +75kg",5,IF(Atletas!F125="Adulto 52kg",6,IF(Atletas!F125="Adulto 60kg",7,IF(Atletas!F125="Adulto 70kg",8,IF(Atletas!F125="Adulto 80kg",9,IF(Atletas!F125="Adulto 90kg",10,IF(Atletas!F125="Adulto +90kg",11,"")))))))))))))</f>
        <v/>
      </c>
      <c r="AY129" s="46" t="str">
        <f>IF(Atletas!G125="","",IF(Atletas!B125="Feminino",100,IF(Atletas!B125="Masculino",200,""))+(IF(Atletas!G125="Changquan Mirim",1,IF(Atletas!G125="Nanquan Mirim",2,IF(Atletas!G125="Taijiquan Mirim",3,IF(Atletas!G125="Changquan Grupo C",4,IF(Atletas!G125="Nanquan Grupo C",5,IF(Atletas!G125="Taijiquan Grupo C",6,IF(Atletas!G125="Changquan Grupo B",7,IF(Atletas!G125="Nanquan Grupo B",8,IF(Atletas!G125="Taijiquan Grupo B",9,IF(Atletas!G125="Changquan Grupo A",10,IF(Atletas!G125="Nanquan Grupo A",11,IF(Atletas!G125="Taijiquan Grupo A",12,IF(Atletas!G125="Changquan Opcional",13,IF(Atletas!G125="Nanquan Opcional",14,IF(Atletas!G125="Taijiquan Opcional",15,IF(Atletas!G125="Changquan Adulto",16,IF(Atletas!G125="Nanquan Adulto",17,IF(Atletas!G125="Taijiquan Adulto",18,""))))))))))))))))))))</f>
        <v/>
      </c>
      <c r="AZ129" s="46" t="str">
        <f>IF(Atletas!H125="","",IF(Atletas!B125="Feminino",100,IF(Atletas!B125="Masculino",200,""))+(IF(Atletas!H125="Daoshu Mirim",19,IF(Atletas!H125="Jianshu Mirim",20,IF(Atletas!H125="Nandao Mirim",21,IF(Atletas!H125="Taijijian Mirim",22,IF(Atletas!H125="Daoshu Grupo C",23,IF(Atletas!H125="Jianshu Grupo C",24,IF(Atletas!H125="Nandao Grupo C",25,IF(Atletas!H125="Taijijian Grupo C",26,IF(Atletas!H125="Daoshu Grupo B",27,IF(Atletas!H125="Jianshu Grupo B",28,IF(Atletas!H125="Nandao Grupo B",29,IF(Atletas!H125="Taijijian Grupo B",30,IF(Atletas!H125="Daoshu Grupo A",31,IF(Atletas!H125="Jianshu Grupo A",32,IF(Atletas!H125="Nandao Grupo A",33,IF(Atletas!H125="Taijijian Grupo A",34,IF(Atletas!H125="Daoshu Opcional",35,IF(Atletas!H125="Jianshu Opcional",36,IF(Atletas!H125="Nandao Opcional",37,IF(Atletas!H125="Taijijian Opcional",38,IF(Atletas!H125="Daoshu Adulto",39,IF(Atletas!H125="Jianshu Adulto",40,IF(Atletas!H125="Nandao Adulto",41,IF(Atletas!H125="Taijijian Adulto",42,""))))))))))))))))))))))))))</f>
        <v/>
      </c>
      <c r="BA129" s="46" t="str">
        <f>IF(Atletas!I125="","",IF(Atletas!B125="Feminino",100,IF(Atletas!B125="Masculino",200,""))+(IF(Atletas!I125="Gunshu Mirim",43,IF(Atletas!I125="Qiangshu Mirim",44,IF(Atletas!I125="Nangun Mirim",45,IF(Atletas!I125="Gunshu Grupo C",46,IF(Atletas!I125="Qiangshu Grupo C",47,IF(Atletas!I125="Nangun Grupo C",48,IF(Atletas!I125="Gunshu Grupo B",49,IF(Atletas!I125="Qiangshu Grupo B",50,IF(Atletas!I125="Nangun Grupo B",51,IF(Atletas!I125="Gunshu Grupo A",52,IF(Atletas!I125="Qiangshu Grupo A",53,IF(Atletas!I125="Nangun Grupo A",54,IF(Atletas!I125="Gunshu Opcional",55,IF(Atletas!I125="Qiangshu Opcional",56,IF(Atletas!I125="Nangun Opcional",57,IF(Atletas!I125="Gunshu Adulto",58,IF(Atletas!I125="Qiangshu Adulto",59,IF(Atletas!I125="Nangun Adulto",60,""))))))))))))))))))))</f>
        <v/>
      </c>
      <c r="BF129" s="52" t="str">
        <f>IF(Atletas!J125="","",IF(Atletas!B125="Feminino",100,IF(Atletas!B125="Masculino",200,""))+(IF(Atletas!J125="Equipe 1 Grupo B",1,IF(Atletas!J125="Equipe 2 Grupo B",2,IF(Atletas!J125="Equipe 1 Grupo A",3,IF(Atletas!J125="Equipe 2 Grupo A",4,IF(Atletas!J125="Equipe 1 Adulto",5,IF(Atletas!J125="Equipe 2 Adulto",6,""))))))))</f>
        <v/>
      </c>
      <c r="BK129" s="52" t="str">
        <f>IF(Atletas!K125="","",IF(Atletas!W125&lt;&gt;"",10000,0)+(IF(Atletas!B125="Feminino",1000,IF(Atletas!B125="Masculino",2000,""))+IF(Atletas!K125="Choylayfut A",1,IF(Atletas!K125="Hunggar A",2,IF(Atletas!K125="Wuzuquan A",3,IF(Atletas!K125="Wingchun A",4,IF(Atletas!K125="Outra Mão de Sul A",5,IF(Atletas!K125="Choylayfut B",6,IF(Atletas!K125="Hunggar B",7,IF(Atletas!K125="Wuzuquan B",8,IF(Atletas!K125="Wingchun B",9,IF(Atletas!K125="Outra Mão de Sul B",10,IF(Atletas!K125="Choylayfut C",11,IF(Atletas!K125="Hunggar C",12,IF(Atletas!K125="Wuzuquan C",13,IF(Atletas!K125="Wingchun C",14,IF(Atletas!K125="Outra Mão de Sul C",15,IF(Atletas!K125="Choylayfut D",16,IF(Atletas!K125="Hunggar D",17,IF(Atletas!K125="Wuzuquan D",18,IF(Atletas!K125="Wingchun D",19,IF(Atletas!K125="Outra Mão de Sul D",20,IF(Atletas!K125="Choylayfut E",21,IF(Atletas!K125="Hunggar E",22,IF(Atletas!K125="Wuzuquan E",23,IF(Atletas!K125="Wingchun E",24,IF(Atletas!K125="Outra Mão de Sul E",25,IF(Atletas!K125="Choylayfut F",26,IF(Atletas!K125="Hunggar F",27,IF(Atletas!K125="Wuzuquan F",28,IF(Atletas!K125="Wingchun F",29,IF(Atletas!K125="Outra Mão de Sul F",30,""))))))))))))))))))))))))))))))))</f>
        <v/>
      </c>
      <c r="BL129" s="52" t="str">
        <f>IF(Atletas!L125="","",IF(Atletas!W125&lt;&gt;"",10000,0)+(IF(Atletas!B125="Feminino",1000,IF(Atletas!B125="Masculino",2000,""))+(IF(Atletas!L125="Chaquan A",101,IF(Atletas!L125="Emeiquan A",102,IF(Atletas!L125="Fanziquan A",103,IF(Atletas!L125="Huaquan A",104,IF(Atletas!L125="Hongquan A",105,IF(Atletas!L125="Paochui A",106,IF(Atletas!L125="Piguaquan A",107,IF(Atletas!L125="Shaolinquan A",108,IF(Atletas!L125="Tanglangquan A",109,IF(Atletas!L125="Yinzhaophai A",110,IF(Atletas!L125="Tongbeiquan A",111,IF(Atletas!L125="Wudangquan A",112,IF(Atletas!L125="Outros Estilos A",113,IF(Atletas!L125="Chaquan B",114,IF(Atletas!L125="Emeiquan B",115,IF(Atletas!L125="Fanziquan B",116,IF(Atletas!L125="Huaquan B",117,IF(Atletas!L125="Hongquan B",118,IF(Atletas!L125="Paochui B",119,IF(Atletas!L125="Piguaquan B",120,IF(Atletas!L125="Shaolinquan B",121,IF(Atletas!L125="Tanglangquan B",122,IF(Atletas!L125="Yinzhaophai B",123,IF(Atletas!L125="Tongbeiquan B",124,IF(Atletas!L125="Wudangquan B",125,IF(Atletas!L125="Outros Estilos B",126,IF(Atletas!L125="Chaquan C",127,IF(Atletas!L125="Emeiquan C",128,IF(Atletas!L125="Fanziquan C",129,IF(Atletas!L125="Huaquan C",130,IF(Atletas!L125="Hongquan C",131,IF(Atletas!L125="Paochui C",132,IF(Atletas!L125="Piguaquan C",133,IF(Atletas!L125="Shaolinquan C",134,IF(Atletas!L125="Tanglangquan C",135,IF(Atletas!L125="Yinzhaophai C",136,IF(Atletas!L125="Tongbeiquan C",137,IF(Atletas!L125="Wudangquan C",138,IF(Atletas!L125="Outros Estilos C",139,0))))))))))))))))))))))))))))))))))))))))))</f>
        <v/>
      </c>
      <c r="BM129" s="52" t="str">
        <f>IF(Atletas!L125="","",IF(Atletas!W125&lt;&gt;"",10000,0)+(IF(Atletas!B125="Feminino",1000,IF(Atletas!B125="Masculino",2000,""))+(IF(Atletas!L125="Chaquan D",140,IF(Atletas!L125="Emeiquan D",141,IF(Atletas!L125="Fanziquan D",142,IF(Atletas!L125="Huaquan D",143,IF(Atletas!L125="Hongquan D",144,IF(Atletas!L125="Paochui D",145,IF(Atletas!L125="Piguaquan D",146,IF(Atletas!L125="Shaolinquan D",147,IF(Atletas!L125="Tanglangquan D",148,IF(Atletas!L125="Yinzhaophai D",149,IF(Atletas!L125="Tongbeiquan D",150,IF(Atletas!L125="Wudangquan D",151,IF(Atletas!L125="Outros Estilos D",152,IF(Atletas!L125="Chaquan E",153,IF(Atletas!L125="Emeiquan E",154,IF(Atletas!L125="Fanziquan E",155,IF(Atletas!L125="Huaquan E",156,IF(Atletas!L125="Hongquan E",157,IF(Atletas!L125="Paochui E",158,IF(Atletas!L125="Piguaquan E",159,IF(Atletas!L125="Shaolinquan E",160,IF(Atletas!L125="Tanglangquan E",161,IF(Atletas!L125="Yinzhaophai E",162,IF(Atletas!L125="Tongbeiquan E",163,IF(Atletas!L125="Wudangquan E",164,IF(Atletas!L125="Outros Estilos E",165,IF(Atletas!L125="Chaquan F",166,IF(Atletas!L125="Emeiquan F",167,IF(Atletas!L125="Fanziquan F",168,IF(Atletas!L125="Huaquan F",169,IF(Atletas!L125="Hongquan F",170,IF(Atletas!L125="Paochui F",171,IF(Atletas!L125="Piguaquan F",172,IF(Atletas!L125="Shaolinquan F",173,IF(Atletas!L125="Tanglangquan F",174,IF(Atletas!L125="Yinzhaophai F",175,IF(Atletas!L125="Tongbeiquan F",176,IF(Atletas!L125="Wudangquan F",177,IF(Atletas!L125="Outros Estilos F",178,0))))))))))))))))))))))))))))))))))))))))))</f>
        <v/>
      </c>
      <c r="BN129" s="52" t="str">
        <f>IF(Atletas!M125="","",IF(Atletas!W125&lt;&gt;"",10000,0)+(IF(Atletas!B125="Feminino",1000,IF(Atletas!B125="Masculino",2000,""))+(IF(Atletas!M125="Ditangquan A",201,IF(Atletas!M125="Houquan A",202,IF(Atletas!M125="Zuiquan A",203,IF(Atletas!M125="Ditangquan B",204,IF(Atletas!M125="Houquan B",205,IF(Atletas!M125="Zuiquan B",206,IF(Atletas!M125="Ditangquan C",207,IF(Atletas!M125="Houquan C",208,IF(Atletas!M125="Zuiquan C",209,IF(Atletas!M125="Ditangquan D",210,IF(Atletas!M125="Houquan D",211,IF(Atletas!M125="Zuiquan D",212,IF(Atletas!M125="Ditangquan E",213,IF(Atletas!M125="Houquan E",214,IF(Atletas!M125="Zuiquan E",215,IF(Atletas!M125="Ditangquan F",216,IF(Atletas!M125="Houquan F",217,IF(Atletas!M125="Zuiquan F",218,"")))))))))))))))))))))</f>
        <v/>
      </c>
      <c r="BO129" s="52" t="str">
        <f>IF(Atletas!N125="","",IF(Atletas!W125&lt;&gt;"",10000,0)+IF(Atletas!B125="Feminino",1000,IF(Atletas!B125="Masculino",2000,""))+IF(Atletas!N125="Yang A",301,IF(Atletas!N125="Chen A",30,IF(Atletas!N125="Sun A",303,IF(Atletas!N125="Wu A",304,IF(Atletas!N125="Wu-Hao A",305,IF(Atletas!N125="Outro Taijiquan A",306,IF(Atletas!N125="Yang B",307,IF(Atletas!N125="Chen B",308,IF(Atletas!N125="Sun B",309,IF(Atletas!N125="Wu B",310,IF(Atletas!N125="Wu-Hao B",311,IF(Atletas!N125="Outro Taijiquan B",312,IF(Atletas!N125="Yang C",313,IF(Atletas!N125="Chen C",314,IF(Atletas!N125="Sun C",315,IF(Atletas!N125="Wu C",316,IF(Atletas!N125="Wu-Hao C",317,IF(Atletas!N125="Outro Taijiquan C",318,IF(Atletas!N125="Yang D",319,IF(Atletas!N125="Chen D",320,IF(Atletas!N125="Sun D",321,IF(Atletas!N125="Wu D",322,IF(Atletas!N125="Wu-Hao D",323,IF(Atletas!N125="Outro Taijiquan D",324,IF(Atletas!N125="Yang E",325,IF(Atletas!N125="Chen E",326,IF(Atletas!N125="Sun E",327,IF(Atletas!N125="Wu E",328,IF(Atletas!N125="Wu-Hao E",329,IF(Atletas!N125="Outro Taijiquan E",330,IF(Atletas!N125="Yang F",331,IF(Atletas!N125="Chen F",332,IF(Atletas!N125="Sun F",333,IF(Atletas!N125="Wu F",334,IF(Atletas!N125="Wu-Hao F",335,IF(Atletas!N125="Outro Taijiquan F",336,"")))))))))))))))))))))))))))))))))))))</f>
        <v/>
      </c>
      <c r="BP129" s="52" t="str">
        <f>IF(Atletas!O125="","",IF(Atletas!W125&lt;&gt;"",10000,0)+IF(Atletas!B125="Feminino",1000,IF(Atletas!B125="Masculino",2000,""))+IF(OR(Atletas!O125="Yang 26 A",Atletas!O125="Yang 40 A"),401,IF(OR(Atletas!O125="Chen 25 A",Atletas!O125="Chen 36 A",Atletas!O125="Chen 56 A"),402,IF(Atletas!O125="Sun 73 A",403,IF(Atletas!O125="Wu 45 A",404,IF(Atletas!O125="Wu-Hao 46 A",405,IF(OR(Atletas!O125="Taijiquan 16 A",Atletas!O125="Taijiquan 24 A",Atletas!O125="Taijiquan 32 A",Atletas!O125="Taijiquan 42 A"),406,IF(OR(Atletas!O125="Yang 26 B",Atletas!O125="Yang 40 B"),407,IF(OR(Atletas!O125="Chen 25 B",Atletas!O125="Chen 36 B",Atletas!O125="Chen 56 B"),408,IF(Atletas!O125="Sun 73 B",409,IF(Atletas!O125="Wu 45 B",410,IF(Atletas!O125="Wu-Hao 46 B",411,IF(OR(Atletas!O125="Taijiquan 16 B",Atletas!O125="Taijiquan 24 B",Atletas!O125="Taijiquan 32 B",Atletas!O125="Taijiquan 42 B"),412,IF(OR(Atletas!O125="Yang 26 C",Atletas!O125="Yang 40 C"),413,IF(OR(Atletas!O125="Chen 25 C",Atletas!O125="Chen 36 C",Atletas!O125="Chen 56 C"),414,IF(Atletas!O125="Sun 73 C",415,IF(Atletas!O125="Wu 45 C",416,IF(Atletas!O125="Wu-Hao 46 C",417,IF(OR(Atletas!O125="Taijiquan 16 C",Atletas!O125="Taijiquan 24 C",Atletas!O125="Taijiquan 32 C",Atletas!O125="Taijiquan 42 C"),418,0)))))))))))))))))))</f>
        <v/>
      </c>
      <c r="BQ129" s="52" t="str">
        <f>IF(Atletas!O125="","",IF(Atletas!W125&lt;&gt;"",10000,0)+IF(Atletas!B125="Feminino",1000,IF(Atletas!B125="Masculino",2000,""))+IF(OR(Atletas!O125="Yang 26 D",Atletas!O125="Yang 40 D"),419,IF(OR(Atletas!O125="Chen 25 D",Atletas!O125="Chen 36 D",Atletas!O125="Chen 56 D"),420,IF(Atletas!O125="Sun 73 D",421,IF(Atletas!O125="Wu 45 D",422,IF(Atletas!O125="Wu-Hao 46 D",423,IF(OR(Atletas!O125="Taijiquan 16 D",Atletas!O125="Taijiquan 24 D",Atletas!O125="Taijiquan 32 D",Atletas!O125="Taijiquan 42 D"),424,IF(OR(Atletas!O125="Yang 26 E",Atletas!O125="Yang 40 E"),425,IF(OR(Atletas!O125="Chen 25 E",Atletas!O125="Chen 36 E",Atletas!O125="Chen 56 E"),426,IF(Atletas!O125="Sun 73 E",427,IF(Atletas!O125="Wu 45 E",428,IF(Atletas!O125="Wu-Hao 46 E",429,IF(OR(Atletas!O125="Taijiquan 16 E",Atletas!O125="Taijiquan 24 E",Atletas!O125="Taijiquan 32 E",Atletas!O125="Taijiquan 42 E"),430,IF(OR(Atletas!O125="Yang 26 F",Atletas!O125="Yang 40 F"),431,IF(OR(Atletas!O125="Chen 25 F",Atletas!O125="Chen 36 F",Atletas!O125="Chen 56 F"),432,IF(Atletas!O125="Sun 73 F",433,IF(Atletas!O125="Wu 45 F",434,IF(Atletas!O125="Wu-Hao 46 F",435,IF(OR(Atletas!O125="Taijiquan 16 F",Atletas!O125="Taijiquan 24 F",Atletas!O125="Taijiquan 32 F",Atletas!O125="Taijiquan 42 F"),436,0)))))))))))))))))))</f>
        <v/>
      </c>
      <c r="BR129" s="52" t="str">
        <f>IF(Atletas!P125="","",IF(Atletas!W125&lt;&gt;"",10000,0)+IF(Atletas!B125="Feminino",1000,IF(Atletas!B125="Masculino",2000,""))+IF(Atletas!P125="Xingyiquan A",501,IF(Atletas!P125="Baguazhang A",502,IF(Atletas!P125="Outro Estilo Interno A",503,IF(Atletas!P125="Xingyiquan B",504,IF(Atletas!P125="Baguazhang B",505,IF(Atletas!P125="Outro Estilo Interno B",506,IF(Atletas!P125="Xingyiquan C",507,IF(Atletas!P125="Baguazhang C",508,IF(Atletas!P125="Outro Estilo Interno C",509,IF(Atletas!P125="Xingyiquan D",510,IF(Atletas!P125="Baguazhang D",511,IF(Atletas!P125="Outro Estilo Interno D",512,IF(Atletas!P125="Xingyiquan E",513,IF(Atletas!P125="Baguazhang E",514,IF(Atletas!P125="Outro Estilo Interno E",515,IF(Atletas!P125="Xingyiquan F",516,IF(Atletas!P125="Baguazhang F",517,IF(Atletas!P125="Outro Estilo Interno F",518, "")))))))))))))))))))</f>
        <v/>
      </c>
      <c r="BS129" s="52" t="str">
        <f>IF(Atletas!Q125="","",IF(Atletas!W125&lt;&gt;"",10000,0)+IF(Atletas!B125="Feminino",1000,IF(Atletas!B125="Masculino",2000,""))+IF(Atletas!Q125="Dao A",601,IF(Atletas!Q125="Jian A",602,IF(Atletas!Q125="Bishou A",603,IF(Atletas!Q125="Shan A",604,IF(Atletas!Q125="Outra Arma Curta A",605,IF(Atletas!Q125="Dao B",606,IF(Atletas!Q125="Jian B",607,IF(Atletas!Q125="Bishou B",608,IF(Atletas!Q125="Shan B",609,IF(Atletas!Q125="Outra Arma Curta B",610,IF(Atletas!Q125="Dao C",611,IF(Atletas!Q125="Jian C",612,IF(Atletas!Q125="Bishou C",613,IF(Atletas!Q125="Shan C",614,IF(Atletas!Q125="Outra Arma Curta C",615,IF(Atletas!Q125="Dao D",616,IF(Atletas!Q125="Jian D",617,IF(Atletas!Q125="Bishou D",618,IF(Atletas!Q125="Shan D",619,IF(Atletas!Q125="Outra Arma Curta D",620,IF(Atletas!Q125="Dao E",621,IF(Atletas!Q125="Jian E",622,IF(Atletas!Q125="Bishou E",623,IF(Atletas!Q125="Shan E",624,IF(Atletas!Q125="Outra Arma Curta E",625,IF(Atletas!Q125="Dao F",626,IF(Atletas!Q125="Jian F",627,IF(Atletas!Q125="Bishou F",628,IF(Atletas!Q125="Shan F",629,IF(Atletas!Q125="Outra Arma Curta F",630, "")))))))))))))))))))))))))))))))</f>
        <v/>
      </c>
      <c r="BT129" s="52" t="str">
        <f>IF(Atletas!R125="","",IF(Atletas!W125&lt;&gt;"",10000,0)+IF(Atletas!B125="Feminino",1000,IF(Atletas!B125="Masculino",2000,""))+IF(Atletas!R125="Gun A",701,IF(Atletas!R125="Qiang A",702,IF(Atletas!R125="Pudao / Guandao A",703,IF(Atletas!R125="Outra Arma Longa A",704,IF(Atletas!R125="Gun B",705,IF(Atletas!R125="Qiang B",706,IF(Atletas!R125="Pudao / Guandao B",707,IF(Atletas!R125="Outra Arma Longa B",708,IF(Atletas!R125="Gun C",709,IF(Atletas!R125="Qiang C",710,IF(Atletas!R125="Pudao / Guandao C",711,IF(Atletas!R125="Outra Arma Longa C",712,IF(Atletas!R125="Gun D",713,IF(Atletas!R125="Qiang D",714,IF(Atletas!R125="Pudao / Guandao D",715,IF(Atletas!R125="Outra Arma Longa D",716,IF(Atletas!R125="Gun E",717,IF(Atletas!R125="Qiang E",718,IF(Atletas!R125="Pudao / Guandao E",719,IF(Atletas!R125="Outra Arma Longa E",720,IF(Atletas!R125="Gun F",721,IF(Atletas!R125="Qiang F",722,IF(Atletas!R125="Pudao / Guandao F",723,IF(Atletas!R125="Outra Arma Longa F",724,"")))))))))))))))))))))))))</f>
        <v/>
      </c>
      <c r="BU129" s="52" t="str">
        <f>IF(Atletas!S125="","",IF(Atletas!W125&lt;&gt;"",10000,0)+IF(Atletas!B125="Feminino",1000,IF(Atletas!B125="Masculino",2000,""))+IF(Atletas!S125="Arma Dupla A",801,IF(Atletas!S125="Arma Maleável A",802,IF(Atletas!S125="Arma Dupla B",803,IF(Atletas!S125="Arma Maleável B",804,IF(Atletas!S125="Arma Dupla C",805,IF(Atletas!S125="Arma Maleável C",806,IF(Atletas!S125="Arma Dupla D",807,IF(Atletas!S125="Arma Maleável D",808,IF(Atletas!S125="Arma Dupla E",809,IF(Atletas!S125="Arma Maleável E",810,IF(Atletas!S125="Arma Dupla F",811,IF(Atletas!S125="Arma Maleável F",812, "")))))))))))))</f>
        <v/>
      </c>
      <c r="BV129" s="52" t="str">
        <f>IF(Atletas!T125="","",IF(Atletas!W125&lt;&gt;"",10000,0)+IF(Atletas!B125="Feminino",1000,IF(Atletas!B125="Masculino",2000,""))+IF(Atletas!T125="Taijijian Yang A",901,IF(Atletas!T125="Taijijian Chen A",902,IF(Atletas!T125="Taijijian Sun A",903,IF(Atletas!T125="Taijijian Wu A",904,IF(Atletas!T125="Taijijian Wu-Hao A",905,IF(Atletas!T125="Taijijian 32 A",906,IF(Atletas!T125="Taijijian 42 A",907,IF(Atletas!T125="Taijijian Yang B",908,IF(Atletas!T125="Taijijian Chen B",909,IF(Atletas!T125="Taijijian Sun B",910,IF(Atletas!T125="Taijijian Wu B",911,IF(Atletas!T125="Taijijian Wu-Hao B",912,IF(Atletas!T125="Taijijian 32 B",913,IF(Atletas!T125="Taijijian 42 B",914,IF(Atletas!T125="Taijijian Yang C",915,IF(Atletas!T125="Taijijian Chen C",916,IF(Atletas!T125="Taijijian Sun C",917,IF(Atletas!T125="Taijijian Wu C",918,IF(Atletas!T125="Taijijian Wu-Hao C",919,IF(Atletas!T125="Taijijian 32 C",920,IF(Atletas!T125="Taijijian 42 C",921,IF(Atletas!T125="Taijijian Yang D",922,IF(Atletas!T125="Taijijian Chen D",923,IF(Atletas!T125="Taijijian Sun D",924,IF(Atletas!T125="Taijijian Wu D",925,IF(Atletas!T125="Taijijian Wu-Hao D",926,IF(Atletas!T125="Taijijian 32 D",927,IF(Atletas!T125="Taijijian 42 D",928,IF(Atletas!T125="Taijijian Yang E",929,IF(Atletas!T125="Taijijian Chen E",930,IF(Atletas!T125="Taijijian Sun E",931,IF(Atletas!T125="Taijijian Wu E",932,IF(Atletas!T125="Taijijian Wu-Hao E",933,IF(Atletas!T125="Taijijian 32 E",934,IF(Atletas!T125="Taijijian 42 E",935,IF(Atletas!T125="Taijijian Yang F",936,IF(Atletas!T125="Taijijian Chen F",937,IF(Atletas!T125="Taijijian Sun F",938,IF(Atletas!T125="Taijijian Wu F",939,IF(Atletas!T125="Taijijian Wu-Hao F",940,IF(Atletas!T125="Taijijian 32 F",941,IF(Atletas!T125="Taijijian 42 F",942,"")))))))))))))))))))))))))))))))))))))))))))</f>
        <v/>
      </c>
      <c r="BW129" s="52" t="str">
        <f>IF(Atletas!U125="","",IF(Atletas!W125&lt;&gt;"",10000,0)+IF(Atletas!B125="Feminino",1000,IF(Atletas!B125="Masculino",2000,""))+IF(Atletas!T125="Taijijian 42 F",942,IF(Atletas!U125="Taijidao A",943,IF(Atletas!U125="Taijishan A",944,IF(Atletas!U125="Taijiqiang A",945,IF(Atletas!U125="Taijidao B",946,IF(Atletas!U125="Taijishan B",947,IF(Atletas!U125="Taijiqiang B",948,IF(Atletas!U125="Taijidao C",949,IF(Atletas!U125="Taijishan C",950,IF(Atletas!U125="Taijiqiang C",951,IF(Atletas!U125="Taijidao D",952,IF(Atletas!U125="Taijishan D",953,IF(Atletas!U125="Taijiqiang D",954,IF(Atletas!U125="Taijidao E",955,IF(Atletas!U125="Taijishan E",956,IF(Atletas!U125="Taijiqiang E",957,IF(Atletas!U125="Taijidao F",958,IF(Atletas!U125="Taijishan F",959,IF(Atletas!U125="Taijiqiang F",960))))))))))))))))))))</f>
        <v/>
      </c>
      <c r="BX129" s="72" t="str">
        <f>IF(BY129&lt;&gt;"","Zuiquan E","")</f>
        <v/>
      </c>
      <c r="BY129" s="72" t="str">
        <f>IF(COUNTIF(BK:BW,1215)&gt;0,COUNTIF(BK:BW,1215),"")</f>
        <v/>
      </c>
      <c r="BZ129" s="72" t="str">
        <f>IF(CA129&lt;&gt;"","Zuiquan E","")</f>
        <v/>
      </c>
      <c r="CA129" s="72" t="str">
        <f>IF(COUNTIF(BK:BW,2215)&gt;0,COUNTIF(BK:BW,2215),"")</f>
        <v/>
      </c>
      <c r="CB129" s="72" t="str">
        <f>IF(CC129&lt;&gt;"","Zuiquan E","")</f>
        <v/>
      </c>
      <c r="CC129" s="64" t="str">
        <f>IF(COUNTIF(BK:BW,11215)&gt;0,COUNTIF(BK:BW,11215),"")</f>
        <v/>
      </c>
      <c r="CD129" s="64" t="str">
        <f>IF(CE129&lt;&gt;"","Zuiquan E","")</f>
        <v/>
      </c>
      <c r="CE129" s="64" t="str">
        <f>IF(COUNTIF(BK:BW,12215)&gt;0,COUNTIF(BK:BW,12215),"")</f>
        <v/>
      </c>
      <c r="CF129" s="52" t="str">
        <f xml:space="preserve"> IF(Atletas!V125="","",IF(Atletas!V125="Duilian de Mãos AB - Equipe 1",1,IF(Atletas!V125="Duilian de Mãos AB - Equipe 2",2,IF(Atletas!V125="Duilian de Armas AB - Equipe 1",3,IF(Atletas!V125="Duilian de Armas AB - Equipe 2",4,IF(Atletas!V125="Duilian de Tuishou - Equipe 1",5,IF(Atletas!V125="Duilian de Tuishou - Equipe 2",6,IF(Atletas!V125="Grupo Externo AB - Equipe 1",7,IF(Atletas!V125="Grupo Externo AB - Equipe 2",8,IF(Atletas!V125="Grupo Interno AB - Equipe 1",9,IF(Atletas!V125="Grupo Interno AB - Equipe 2",10,IF(Atletas!V125="Duilian de Mãos CD - Equipe 1",11,IF(Atletas!V125="Duilian de Mãos CD - Equipe 2",12,IF(Atletas!V125="Duilian de Armas CD - Equipe 1",13,IF(Atletas!V125="Duilian de Armas CD - Equipe 2",14,IF(Atletas!V125="Duilian de Tuishou - Equipe 1",15,IF(Atletas!V125="Duilian de Tuishou - Equipe 2",16,IF(Atletas!V125="Grupo Externo CDEF - Equipe 1",17,IF(Atletas!V125="Grupo Externo CDEF - Equipe 2",18,IF(Atletas!V125="Grupo Interno CDEF - Equipe 1",19,IF(Atletas!V125="Grupo Interno CDEF - Equipe 2",20,IF(Atletas!V125="Duilian de Mãos EF - Equipe 1",21,IF(Atletas!V125="Duilian de Mãos EF - Equipe 2",22,IF(Atletas!V125="Duilian de Armas EF - Equipe 1",23,IF(Atletas!V125="Duilian de Armas EF - Equipe 2",24,IF(Atletas!V125="Duilian de Tuishou - Equipe 1",25,IF(Atletas!V125="Duilian de Tuishou - Equipe 2",26,"")))))))))))))))))))))))))))</f>
        <v/>
      </c>
    </row>
    <row r="130" spans="2:84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 t="str">
        <f t="array" ref="V130">IFERROR(INDEX(BX$7:BX$336,SMALL(IF(BX$7:BX$336&lt;&gt;"",ROW(BX$7:BX$336)-ROW(BX$7)+1),ROWS(BX$7:BX129))),"")</f>
        <v/>
      </c>
      <c r="W130" s="4" t="str">
        <f t="array" ref="W130">IFERROR(INDEX(BY$7:BY$336,SMALL(IF(BY$7:BY$336&lt;&gt;"",ROW(BY$7:BY$336)-ROW(BY$7)+1),ROWS(BY$7:BY129))),"")</f>
        <v/>
      </c>
      <c r="X130" s="4" t="str">
        <f t="array" ref="X130">IFERROR(INDEX(BZ$7:BZ$336,SMALL(IF(BZ$7:BZ$336&lt;&gt;"",ROW(BZ$7:BZ$336)-ROW(BZ$7)+1),ROWS(BZ$7:BZ129))),"")</f>
        <v/>
      </c>
      <c r="Y130" s="4" t="str">
        <f t="array" ref="Y130">IFERROR(INDEX(CA$7:CA$336,SMALL(IF(CA$7:CA$336&lt;&gt;"",ROW(CA$7:CA$336)-ROW(CA$7)+1),ROWS(CA$7:CA129))),"")</f>
        <v/>
      </c>
      <c r="Z130" s="4" t="str">
        <f t="array" ref="Z130">IFERROR(INDEX(CB$7:CB$378,SMALL(IF(CB$7:CB$378&lt;&gt;"",ROW(CB$7:CB$378)-ROW(CB$7)+1),ROWS(CB$7:CB129))),"")</f>
        <v/>
      </c>
      <c r="AA130" s="4" t="str">
        <f t="array" ref="AA130">IFERROR(INDEX(CC$7:CC$378,SMALL(IF(CC$7:CC$378&lt;&gt;"",ROW(CC$7:CC$378)-ROW(CC$7)+1),ROWS(CC$7:CC129))),"")</f>
        <v/>
      </c>
      <c r="AB130" s="4" t="str">
        <f t="array" ref="AB130">IFERROR(INDEX(CD$7:CD$378,SMALL(IF(CD$7:CD$378&lt;&gt;"",ROW(CD$7:CD$378)-ROW(CD$7)+1),ROWS(CD$7:CD129))),"")</f>
        <v/>
      </c>
      <c r="AC130" s="4" t="str">
        <f t="array" ref="AC130">IFERROR(INDEX(CE$7:CE$378,SMALL(IF(CE$7:CE$378&lt;&gt;"",ROW(CE$7:CE$378)-ROW(CE$7)+1),ROWS(CE$7:CE129))),"")</f>
        <v/>
      </c>
      <c r="AD130" s="4"/>
      <c r="AE130" s="4"/>
      <c r="AF130" s="4"/>
      <c r="AG130" s="4"/>
      <c r="AH130" s="4"/>
      <c r="AI130" s="4"/>
      <c r="AJ130" s="46" t="str">
        <f>IF(Atletas!D126="","",IF(Atletas!B126="Feminino",100,IF(Atletas!B126="Masculino",200,""))+(IF(Atletas!D126="Infantil 39kg",1,IF(Atletas!D126="Infantil 42kg",2,IF(Atletas!D126="Infantil 45kg",3,IF(Atletas!D126="Infantil 48kg",4,IF(Atletas!D126="Infantil 52kg",5,IF(Atletas!D126="Infantil 56kg",6,IF(Atletas!D126="Infantil 60kg",7,IF(Atletas!D126="Juvenil 48kg",8,IF(Atletas!D126="Juvenil 52kg",9,IF(Atletas!D126="Juvenil 56kg",10,IF(Atletas!D126="Juvenil 60kg",11,IF(Atletas!D126="Juvenil 65kg",12,IF(Atletas!D126="Juvenil 70kg",13,IF(Atletas!D126="Juvenil 75kg",14,IF(Atletas!D126="Juvenil 80kg",15,IF(Atletas!D126="Adulto 48kg",16,IF(Atletas!D126="Adulto 52kg",17,IF(Atletas!D126="Adulto 56kg",18,IF(Atletas!D126="Adulto 60kg",19,IF(Atletas!D126="Adulto 65kg",20,IF(Atletas!D126="Adulto 70kg",21,IF(Atletas!D126="Adulto 75kg",22,IF(Atletas!D126="Adulto 80kg",23,IF(Atletas!D126="Adulto 85kg",24,IF(Atletas!D126="Adulto 90kg",25,IF(Atletas!D126="Adulto +90kg",26,""))))))))))))))))))))))))))))</f>
        <v/>
      </c>
      <c r="AO130" s="10" t="str">
        <f>IF(Atletas!E126="","",IF(Atletas!B126="Feminino",100,IF(Atletas!B126="Masculino",200,""))+(IF(Atletas!E126="Juvenil 44kg",1,IF(Atletas!E126="Juvenil 48kg",2,IF(Atletas!E126="Juvenil 52kg",3,IF(Atletas!E126="Juvenil 56kg",4,IF(Atletas!E126="Juvenil 60kg",5,IF(Atletas!E126="Juvenil 65kg",6,IF(Atletas!E126="Juvenil 70kg",7,IF(Atletas!E126="Juvenil 75kg",8,IF(Atletas!E126="Juvenil 82kg",9,IF(Atletas!E126="Juvenil 90kg",10,IF(Atletas!E126="Juvenil 100kg",11,IF(Atletas!E126="Adulto 48kg",12,IF(Atletas!E126="Adulto 52kg",13,IF(Atletas!E126="Adulto 56kg",14,IF(Atletas!E126="Adulto 60kg",15,IF(Atletas!E126="Adulto 65kg",16,IF(Atletas!E126="Adulto 70kg",17,IF(Atletas!E126="Adulto 75kg",18,IF(Atletas!E126="Adulto 82kg",19,IF(Atletas!E126="Adulto 90kg",20,IF(Atletas!E126="Adulto 100kg",21,IF(Atletas!E126="Adulto +100kg",22,""))))))))))))))))))))))))</f>
        <v/>
      </c>
      <c r="AT130" s="10" t="str">
        <f>IF(Atletas!F126="","",IF(Atletas!B126="Feminino",100,IF(Atletas!B126="Masculino",200,""))+(IF(Atletas!F126="Adulto 48kg",1,IF(Atletas!F126="Adulto 56kg",2,IF(Atletas!F126="Adulto 65kg",3,IF(Atletas!F126="Adulto 75kg",4,IF(Atletas!F126="Adulto +75kg",5,IF(Atletas!F126="Adulto 52kg",6,IF(Atletas!F126="Adulto 60kg",7,IF(Atletas!F126="Adulto 70kg",8,IF(Atletas!F126="Adulto 80kg",9,IF(Atletas!F126="Adulto 90kg",10,IF(Atletas!F126="Adulto +90kg",11,"")))))))))))))</f>
        <v/>
      </c>
      <c r="AY130" s="46" t="str">
        <f>IF(Atletas!G126="","",IF(Atletas!B126="Feminino",100,IF(Atletas!B126="Masculino",200,""))+(IF(Atletas!G126="Changquan Mirim",1,IF(Atletas!G126="Nanquan Mirim",2,IF(Atletas!G126="Taijiquan Mirim",3,IF(Atletas!G126="Changquan Grupo C",4,IF(Atletas!G126="Nanquan Grupo C",5,IF(Atletas!G126="Taijiquan Grupo C",6,IF(Atletas!G126="Changquan Grupo B",7,IF(Atletas!G126="Nanquan Grupo B",8,IF(Atletas!G126="Taijiquan Grupo B",9,IF(Atletas!G126="Changquan Grupo A",10,IF(Atletas!G126="Nanquan Grupo A",11,IF(Atletas!G126="Taijiquan Grupo A",12,IF(Atletas!G126="Changquan Opcional",13,IF(Atletas!G126="Nanquan Opcional",14,IF(Atletas!G126="Taijiquan Opcional",15,IF(Atletas!G126="Changquan Adulto",16,IF(Atletas!G126="Nanquan Adulto",17,IF(Atletas!G126="Taijiquan Adulto",18,""))))))))))))))))))))</f>
        <v/>
      </c>
      <c r="AZ130" s="46" t="str">
        <f>IF(Atletas!H126="","",IF(Atletas!B126="Feminino",100,IF(Atletas!B126="Masculino",200,""))+(IF(Atletas!H126="Daoshu Mirim",19,IF(Atletas!H126="Jianshu Mirim",20,IF(Atletas!H126="Nandao Mirim",21,IF(Atletas!H126="Taijijian Mirim",22,IF(Atletas!H126="Daoshu Grupo C",23,IF(Atletas!H126="Jianshu Grupo C",24,IF(Atletas!H126="Nandao Grupo C",25,IF(Atletas!H126="Taijijian Grupo C",26,IF(Atletas!H126="Daoshu Grupo B",27,IF(Atletas!H126="Jianshu Grupo B",28,IF(Atletas!H126="Nandao Grupo B",29,IF(Atletas!H126="Taijijian Grupo B",30,IF(Atletas!H126="Daoshu Grupo A",31,IF(Atletas!H126="Jianshu Grupo A",32,IF(Atletas!H126="Nandao Grupo A",33,IF(Atletas!H126="Taijijian Grupo A",34,IF(Atletas!H126="Daoshu Opcional",35,IF(Atletas!H126="Jianshu Opcional",36,IF(Atletas!H126="Nandao Opcional",37,IF(Atletas!H126="Taijijian Opcional",38,IF(Atletas!H126="Daoshu Adulto",39,IF(Atletas!H126="Jianshu Adulto",40,IF(Atletas!H126="Nandao Adulto",41,IF(Atletas!H126="Taijijian Adulto",42,""))))))))))))))))))))))))))</f>
        <v/>
      </c>
      <c r="BA130" s="46" t="str">
        <f>IF(Atletas!I126="","",IF(Atletas!B126="Feminino",100,IF(Atletas!B126="Masculino",200,""))+(IF(Atletas!I126="Gunshu Mirim",43,IF(Atletas!I126="Qiangshu Mirim",44,IF(Atletas!I126="Nangun Mirim",45,IF(Atletas!I126="Gunshu Grupo C",46,IF(Atletas!I126="Qiangshu Grupo C",47,IF(Atletas!I126="Nangun Grupo C",48,IF(Atletas!I126="Gunshu Grupo B",49,IF(Atletas!I126="Qiangshu Grupo B",50,IF(Atletas!I126="Nangun Grupo B",51,IF(Atletas!I126="Gunshu Grupo A",52,IF(Atletas!I126="Qiangshu Grupo A",53,IF(Atletas!I126="Nangun Grupo A",54,IF(Atletas!I126="Gunshu Opcional",55,IF(Atletas!I126="Qiangshu Opcional",56,IF(Atletas!I126="Nangun Opcional",57,IF(Atletas!I126="Gunshu Adulto",58,IF(Atletas!I126="Qiangshu Adulto",59,IF(Atletas!I126="Nangun Adulto",60,""))))))))))))))))))))</f>
        <v/>
      </c>
      <c r="BF130" s="52" t="str">
        <f>IF(Atletas!J126="","",IF(Atletas!B126="Feminino",100,IF(Atletas!B126="Masculino",200,""))+(IF(Atletas!J126="Equipe 1 Grupo B",1,IF(Atletas!J126="Equipe 2 Grupo B",2,IF(Atletas!J126="Equipe 1 Grupo A",3,IF(Atletas!J126="Equipe 2 Grupo A",4,IF(Atletas!J126="Equipe 1 Adulto",5,IF(Atletas!J126="Equipe 2 Adulto",6,""))))))))</f>
        <v/>
      </c>
      <c r="BK130" s="52" t="str">
        <f>IF(Atletas!K126="","",IF(Atletas!W126&lt;&gt;"",10000,0)+(IF(Atletas!B126="Feminino",1000,IF(Atletas!B126="Masculino",2000,""))+IF(Atletas!K126="Choylayfut A",1,IF(Atletas!K126="Hunggar A",2,IF(Atletas!K126="Wuzuquan A",3,IF(Atletas!K126="Wingchun A",4,IF(Atletas!K126="Outra Mão de Sul A",5,IF(Atletas!K126="Choylayfut B",6,IF(Atletas!K126="Hunggar B",7,IF(Atletas!K126="Wuzuquan B",8,IF(Atletas!K126="Wingchun B",9,IF(Atletas!K126="Outra Mão de Sul B",10,IF(Atletas!K126="Choylayfut C",11,IF(Atletas!K126="Hunggar C",12,IF(Atletas!K126="Wuzuquan C",13,IF(Atletas!K126="Wingchun C",14,IF(Atletas!K126="Outra Mão de Sul C",15,IF(Atletas!K126="Choylayfut D",16,IF(Atletas!K126="Hunggar D",17,IF(Atletas!K126="Wuzuquan D",18,IF(Atletas!K126="Wingchun D",19,IF(Atletas!K126="Outra Mão de Sul D",20,IF(Atletas!K126="Choylayfut E",21,IF(Atletas!K126="Hunggar E",22,IF(Atletas!K126="Wuzuquan E",23,IF(Atletas!K126="Wingchun E",24,IF(Atletas!K126="Outra Mão de Sul E",25,IF(Atletas!K126="Choylayfut F",26,IF(Atletas!K126="Hunggar F",27,IF(Atletas!K126="Wuzuquan F",28,IF(Atletas!K126="Wingchun F",29,IF(Atletas!K126="Outra Mão de Sul F",30,""))))))))))))))))))))))))))))))))</f>
        <v/>
      </c>
      <c r="BL130" s="52" t="str">
        <f>IF(Atletas!L126="","",IF(Atletas!W126&lt;&gt;"",10000,0)+(IF(Atletas!B126="Feminino",1000,IF(Atletas!B126="Masculino",2000,""))+(IF(Atletas!L126="Chaquan A",101,IF(Atletas!L126="Emeiquan A",102,IF(Atletas!L126="Fanziquan A",103,IF(Atletas!L126="Huaquan A",104,IF(Atletas!L126="Hongquan A",105,IF(Atletas!L126="Paochui A",106,IF(Atletas!L126="Piguaquan A",107,IF(Atletas!L126="Shaolinquan A",108,IF(Atletas!L126="Tanglangquan A",109,IF(Atletas!L126="Yinzhaophai A",110,IF(Atletas!L126="Tongbeiquan A",111,IF(Atletas!L126="Wudangquan A",112,IF(Atletas!L126="Outros Estilos A",113,IF(Atletas!L126="Chaquan B",114,IF(Atletas!L126="Emeiquan B",115,IF(Atletas!L126="Fanziquan B",116,IF(Atletas!L126="Huaquan B",117,IF(Atletas!L126="Hongquan B",118,IF(Atletas!L126="Paochui B",119,IF(Atletas!L126="Piguaquan B",120,IF(Atletas!L126="Shaolinquan B",121,IF(Atletas!L126="Tanglangquan B",122,IF(Atletas!L126="Yinzhaophai B",123,IF(Atletas!L126="Tongbeiquan B",124,IF(Atletas!L126="Wudangquan B",125,IF(Atletas!L126="Outros Estilos B",126,IF(Atletas!L126="Chaquan C",127,IF(Atletas!L126="Emeiquan C",128,IF(Atletas!L126="Fanziquan C",129,IF(Atletas!L126="Huaquan C",130,IF(Atletas!L126="Hongquan C",131,IF(Atletas!L126="Paochui C",132,IF(Atletas!L126="Piguaquan C",133,IF(Atletas!L126="Shaolinquan C",134,IF(Atletas!L126="Tanglangquan C",135,IF(Atletas!L126="Yinzhaophai C",136,IF(Atletas!L126="Tongbeiquan C",137,IF(Atletas!L126="Wudangquan C",138,IF(Atletas!L126="Outros Estilos C",139,0))))))))))))))))))))))))))))))))))))))))))</f>
        <v/>
      </c>
      <c r="BM130" s="52" t="str">
        <f>IF(Atletas!L126="","",IF(Atletas!W126&lt;&gt;"",10000,0)+(IF(Atletas!B126="Feminino",1000,IF(Atletas!B126="Masculino",2000,""))+(IF(Atletas!L126="Chaquan D",140,IF(Atletas!L126="Emeiquan D",141,IF(Atletas!L126="Fanziquan D",142,IF(Atletas!L126="Huaquan D",143,IF(Atletas!L126="Hongquan D",144,IF(Atletas!L126="Paochui D",145,IF(Atletas!L126="Piguaquan D",146,IF(Atletas!L126="Shaolinquan D",147,IF(Atletas!L126="Tanglangquan D",148,IF(Atletas!L126="Yinzhaophai D",149,IF(Atletas!L126="Tongbeiquan D",150,IF(Atletas!L126="Wudangquan D",151,IF(Atletas!L126="Outros Estilos D",152,IF(Atletas!L126="Chaquan E",153,IF(Atletas!L126="Emeiquan E",154,IF(Atletas!L126="Fanziquan E",155,IF(Atletas!L126="Huaquan E",156,IF(Atletas!L126="Hongquan E",157,IF(Atletas!L126="Paochui E",158,IF(Atletas!L126="Piguaquan E",159,IF(Atletas!L126="Shaolinquan E",160,IF(Atletas!L126="Tanglangquan E",161,IF(Atletas!L126="Yinzhaophai E",162,IF(Atletas!L126="Tongbeiquan E",163,IF(Atletas!L126="Wudangquan E",164,IF(Atletas!L126="Outros Estilos E",165,IF(Atletas!L126="Chaquan F",166,IF(Atletas!L126="Emeiquan F",167,IF(Atletas!L126="Fanziquan F",168,IF(Atletas!L126="Huaquan F",169,IF(Atletas!L126="Hongquan F",170,IF(Atletas!L126="Paochui F",171,IF(Atletas!L126="Piguaquan F",172,IF(Atletas!L126="Shaolinquan F",173,IF(Atletas!L126="Tanglangquan F",174,IF(Atletas!L126="Yinzhaophai F",175,IF(Atletas!L126="Tongbeiquan F",176,IF(Atletas!L126="Wudangquan F",177,IF(Atletas!L126="Outros Estilos F",178,0))))))))))))))))))))))))))))))))))))))))))</f>
        <v/>
      </c>
      <c r="BN130" s="52" t="str">
        <f>IF(Atletas!M126="","",IF(Atletas!W126&lt;&gt;"",10000,0)+(IF(Atletas!B126="Feminino",1000,IF(Atletas!B126="Masculino",2000,""))+(IF(Atletas!M126="Ditangquan A",201,IF(Atletas!M126="Houquan A",202,IF(Atletas!M126="Zuiquan A",203,IF(Atletas!M126="Ditangquan B",204,IF(Atletas!M126="Houquan B",205,IF(Atletas!M126="Zuiquan B",206,IF(Atletas!M126="Ditangquan C",207,IF(Atletas!M126="Houquan C",208,IF(Atletas!M126="Zuiquan C",209,IF(Atletas!M126="Ditangquan D",210,IF(Atletas!M126="Houquan D",211,IF(Atletas!M126="Zuiquan D",212,IF(Atletas!M126="Ditangquan E",213,IF(Atletas!M126="Houquan E",214,IF(Atletas!M126="Zuiquan E",215,IF(Atletas!M126="Ditangquan F",216,IF(Atletas!M126="Houquan F",217,IF(Atletas!M126="Zuiquan F",218,"")))))))))))))))))))))</f>
        <v/>
      </c>
      <c r="BO130" s="52" t="str">
        <f>IF(Atletas!N126="","",IF(Atletas!W126&lt;&gt;"",10000,0)+IF(Atletas!B126="Feminino",1000,IF(Atletas!B126="Masculino",2000,""))+IF(Atletas!N126="Yang A",301,IF(Atletas!N126="Chen A",30,IF(Atletas!N126="Sun A",303,IF(Atletas!N126="Wu A",304,IF(Atletas!N126="Wu-Hao A",305,IF(Atletas!N126="Outro Taijiquan A",306,IF(Atletas!N126="Yang B",307,IF(Atletas!N126="Chen B",308,IF(Atletas!N126="Sun B",309,IF(Atletas!N126="Wu B",310,IF(Atletas!N126="Wu-Hao B",311,IF(Atletas!N126="Outro Taijiquan B",312,IF(Atletas!N126="Yang C",313,IF(Atletas!N126="Chen C",314,IF(Atletas!N126="Sun C",315,IF(Atletas!N126="Wu C",316,IF(Atletas!N126="Wu-Hao C",317,IF(Atletas!N126="Outro Taijiquan C",318,IF(Atletas!N126="Yang D",319,IF(Atletas!N126="Chen D",320,IF(Atletas!N126="Sun D",321,IF(Atletas!N126="Wu D",322,IF(Atletas!N126="Wu-Hao D",323,IF(Atletas!N126="Outro Taijiquan D",324,IF(Atletas!N126="Yang E",325,IF(Atletas!N126="Chen E",326,IF(Atletas!N126="Sun E",327,IF(Atletas!N126="Wu E",328,IF(Atletas!N126="Wu-Hao E",329,IF(Atletas!N126="Outro Taijiquan E",330,IF(Atletas!N126="Yang F",331,IF(Atletas!N126="Chen F",332,IF(Atletas!N126="Sun F",333,IF(Atletas!N126="Wu F",334,IF(Atletas!N126="Wu-Hao F",335,IF(Atletas!N126="Outro Taijiquan F",336,"")))))))))))))))))))))))))))))))))))))</f>
        <v/>
      </c>
      <c r="BP130" s="52" t="str">
        <f>IF(Atletas!O126="","",IF(Atletas!W126&lt;&gt;"",10000,0)+IF(Atletas!B126="Feminino",1000,IF(Atletas!B126="Masculino",2000,""))+IF(OR(Atletas!O126="Yang 26 A",Atletas!O126="Yang 40 A"),401,IF(OR(Atletas!O126="Chen 25 A",Atletas!O126="Chen 36 A",Atletas!O126="Chen 56 A"),402,IF(Atletas!O126="Sun 73 A",403,IF(Atletas!O126="Wu 45 A",404,IF(Atletas!O126="Wu-Hao 46 A",405,IF(OR(Atletas!O126="Taijiquan 16 A",Atletas!O126="Taijiquan 24 A",Atletas!O126="Taijiquan 32 A",Atletas!O126="Taijiquan 42 A"),406,IF(OR(Atletas!O126="Yang 26 B",Atletas!O126="Yang 40 B"),407,IF(OR(Atletas!O126="Chen 25 B",Atletas!O126="Chen 36 B",Atletas!O126="Chen 56 B"),408,IF(Atletas!O126="Sun 73 B",409,IF(Atletas!O126="Wu 45 B",410,IF(Atletas!O126="Wu-Hao 46 B",411,IF(OR(Atletas!O126="Taijiquan 16 B",Atletas!O126="Taijiquan 24 B",Atletas!O126="Taijiquan 32 B",Atletas!O126="Taijiquan 42 B"),412,IF(OR(Atletas!O126="Yang 26 C",Atletas!O126="Yang 40 C"),413,IF(OR(Atletas!O126="Chen 25 C",Atletas!O126="Chen 36 C",Atletas!O126="Chen 56 C"),414,IF(Atletas!O126="Sun 73 C",415,IF(Atletas!O126="Wu 45 C",416,IF(Atletas!O126="Wu-Hao 46 C",417,IF(OR(Atletas!O126="Taijiquan 16 C",Atletas!O126="Taijiquan 24 C",Atletas!O126="Taijiquan 32 C",Atletas!O126="Taijiquan 42 C"),418,0)))))))))))))))))))</f>
        <v/>
      </c>
      <c r="BQ130" s="52" t="str">
        <f>IF(Atletas!O126="","",IF(Atletas!W126&lt;&gt;"",10000,0)+IF(Atletas!B126="Feminino",1000,IF(Atletas!B126="Masculino",2000,""))+IF(OR(Atletas!O126="Yang 26 D",Atletas!O126="Yang 40 D"),419,IF(OR(Atletas!O126="Chen 25 D",Atletas!O126="Chen 36 D",Atletas!O126="Chen 56 D"),420,IF(Atletas!O126="Sun 73 D",421,IF(Atletas!O126="Wu 45 D",422,IF(Atletas!O126="Wu-Hao 46 D",423,IF(OR(Atletas!O126="Taijiquan 16 D",Atletas!O126="Taijiquan 24 D",Atletas!O126="Taijiquan 32 D",Atletas!O126="Taijiquan 42 D"),424,IF(OR(Atletas!O126="Yang 26 E",Atletas!O126="Yang 40 E"),425,IF(OR(Atletas!O126="Chen 25 E",Atletas!O126="Chen 36 E",Atletas!O126="Chen 56 E"),426,IF(Atletas!O126="Sun 73 E",427,IF(Atletas!O126="Wu 45 E",428,IF(Atletas!O126="Wu-Hao 46 E",429,IF(OR(Atletas!O126="Taijiquan 16 E",Atletas!O126="Taijiquan 24 E",Atletas!O126="Taijiquan 32 E",Atletas!O126="Taijiquan 42 E"),430,IF(OR(Atletas!O126="Yang 26 F",Atletas!O126="Yang 40 F"),431,IF(OR(Atletas!O126="Chen 25 F",Atletas!O126="Chen 36 F",Atletas!O126="Chen 56 F"),432,IF(Atletas!O126="Sun 73 F",433,IF(Atletas!O126="Wu 45 F",434,IF(Atletas!O126="Wu-Hao 46 F",435,IF(OR(Atletas!O126="Taijiquan 16 F",Atletas!O126="Taijiquan 24 F",Atletas!O126="Taijiquan 32 F",Atletas!O126="Taijiquan 42 F"),436,0)))))))))))))))))))</f>
        <v/>
      </c>
      <c r="BR130" s="52" t="str">
        <f>IF(Atletas!P126="","",IF(Atletas!W126&lt;&gt;"",10000,0)+IF(Atletas!B126="Feminino",1000,IF(Atletas!B126="Masculino",2000,""))+IF(Atletas!P126="Xingyiquan A",501,IF(Atletas!P126="Baguazhang A",502,IF(Atletas!P126="Outro Estilo Interno A",503,IF(Atletas!P126="Xingyiquan B",504,IF(Atletas!P126="Baguazhang B",505,IF(Atletas!P126="Outro Estilo Interno B",506,IF(Atletas!P126="Xingyiquan C",507,IF(Atletas!P126="Baguazhang C",508,IF(Atletas!P126="Outro Estilo Interno C",509,IF(Atletas!P126="Xingyiquan D",510,IF(Atletas!P126="Baguazhang D",511,IF(Atletas!P126="Outro Estilo Interno D",512,IF(Atletas!P126="Xingyiquan E",513,IF(Atletas!P126="Baguazhang E",514,IF(Atletas!P126="Outro Estilo Interno E",515,IF(Atletas!P126="Xingyiquan F",516,IF(Atletas!P126="Baguazhang F",517,IF(Atletas!P126="Outro Estilo Interno F",518, "")))))))))))))))))))</f>
        <v/>
      </c>
      <c r="BS130" s="52" t="str">
        <f>IF(Atletas!Q126="","",IF(Atletas!W126&lt;&gt;"",10000,0)+IF(Atletas!B126="Feminino",1000,IF(Atletas!B126="Masculino",2000,""))+IF(Atletas!Q126="Dao A",601,IF(Atletas!Q126="Jian A",602,IF(Atletas!Q126="Bishou A",603,IF(Atletas!Q126="Shan A",604,IF(Atletas!Q126="Outra Arma Curta A",605,IF(Atletas!Q126="Dao B",606,IF(Atletas!Q126="Jian B",607,IF(Atletas!Q126="Bishou B",608,IF(Atletas!Q126="Shan B",609,IF(Atletas!Q126="Outra Arma Curta B",610,IF(Atletas!Q126="Dao C",611,IF(Atletas!Q126="Jian C",612,IF(Atletas!Q126="Bishou C",613,IF(Atletas!Q126="Shan C",614,IF(Atletas!Q126="Outra Arma Curta C",615,IF(Atletas!Q126="Dao D",616,IF(Atletas!Q126="Jian D",617,IF(Atletas!Q126="Bishou D",618,IF(Atletas!Q126="Shan D",619,IF(Atletas!Q126="Outra Arma Curta D",620,IF(Atletas!Q126="Dao E",621,IF(Atletas!Q126="Jian E",622,IF(Atletas!Q126="Bishou E",623,IF(Atletas!Q126="Shan E",624,IF(Atletas!Q126="Outra Arma Curta E",625,IF(Atletas!Q126="Dao F",626,IF(Atletas!Q126="Jian F",627,IF(Atletas!Q126="Bishou F",628,IF(Atletas!Q126="Shan F",629,IF(Atletas!Q126="Outra Arma Curta F",630, "")))))))))))))))))))))))))))))))</f>
        <v/>
      </c>
      <c r="BT130" s="52" t="str">
        <f>IF(Atletas!R126="","",IF(Atletas!W126&lt;&gt;"",10000,0)+IF(Atletas!B126="Feminino",1000,IF(Atletas!B126="Masculino",2000,""))+IF(Atletas!R126="Gun A",701,IF(Atletas!R126="Qiang A",702,IF(Atletas!R126="Pudao / Guandao A",703,IF(Atletas!R126="Outra Arma Longa A",704,IF(Atletas!R126="Gun B",705,IF(Atletas!R126="Qiang B",706,IF(Atletas!R126="Pudao / Guandao B",707,IF(Atletas!R126="Outra Arma Longa B",708,IF(Atletas!R126="Gun C",709,IF(Atletas!R126="Qiang C",710,IF(Atletas!R126="Pudao / Guandao C",711,IF(Atletas!R126="Outra Arma Longa C",712,IF(Atletas!R126="Gun D",713,IF(Atletas!R126="Qiang D",714,IF(Atletas!R126="Pudao / Guandao D",715,IF(Atletas!R126="Outra Arma Longa D",716,IF(Atletas!R126="Gun E",717,IF(Atletas!R126="Qiang E",718,IF(Atletas!R126="Pudao / Guandao E",719,IF(Atletas!R126="Outra Arma Longa E",720,IF(Atletas!R126="Gun F",721,IF(Atletas!R126="Qiang F",722,IF(Atletas!R126="Pudao / Guandao F",723,IF(Atletas!R126="Outra Arma Longa F",724,"")))))))))))))))))))))))))</f>
        <v/>
      </c>
      <c r="BU130" s="52" t="str">
        <f>IF(Atletas!S126="","",IF(Atletas!W126&lt;&gt;"",10000,0)+IF(Atletas!B126="Feminino",1000,IF(Atletas!B126="Masculino",2000,""))+IF(Atletas!S126="Arma Dupla A",801,IF(Atletas!S126="Arma Maleável A",802,IF(Atletas!S126="Arma Dupla B",803,IF(Atletas!S126="Arma Maleável B",804,IF(Atletas!S126="Arma Dupla C",805,IF(Atletas!S126="Arma Maleável C",806,IF(Atletas!S126="Arma Dupla D",807,IF(Atletas!S126="Arma Maleável D",808,IF(Atletas!S126="Arma Dupla E",809,IF(Atletas!S126="Arma Maleável E",810,IF(Atletas!S126="Arma Dupla F",811,IF(Atletas!S126="Arma Maleável F",812, "")))))))))))))</f>
        <v/>
      </c>
      <c r="BV130" s="52" t="str">
        <f>IF(Atletas!T126="","",IF(Atletas!W126&lt;&gt;"",10000,0)+IF(Atletas!B126="Feminino",1000,IF(Atletas!B126="Masculino",2000,""))+IF(Atletas!T126="Taijijian Yang A",901,IF(Atletas!T126="Taijijian Chen A",902,IF(Atletas!T126="Taijijian Sun A",903,IF(Atletas!T126="Taijijian Wu A",904,IF(Atletas!T126="Taijijian Wu-Hao A",905,IF(Atletas!T126="Taijijian 32 A",906,IF(Atletas!T126="Taijijian 42 A",907,IF(Atletas!T126="Taijijian Yang B",908,IF(Atletas!T126="Taijijian Chen B",909,IF(Atletas!T126="Taijijian Sun B",910,IF(Atletas!T126="Taijijian Wu B",911,IF(Atletas!T126="Taijijian Wu-Hao B",912,IF(Atletas!T126="Taijijian 32 B",913,IF(Atletas!T126="Taijijian 42 B",914,IF(Atletas!T126="Taijijian Yang C",915,IF(Atletas!T126="Taijijian Chen C",916,IF(Atletas!T126="Taijijian Sun C",917,IF(Atletas!T126="Taijijian Wu C",918,IF(Atletas!T126="Taijijian Wu-Hao C",919,IF(Atletas!T126="Taijijian 32 C",920,IF(Atletas!T126="Taijijian 42 C",921,IF(Atletas!T126="Taijijian Yang D",922,IF(Atletas!T126="Taijijian Chen D",923,IF(Atletas!T126="Taijijian Sun D",924,IF(Atletas!T126="Taijijian Wu D",925,IF(Atletas!T126="Taijijian Wu-Hao D",926,IF(Atletas!T126="Taijijian 32 D",927,IF(Atletas!T126="Taijijian 42 D",928,IF(Atletas!T126="Taijijian Yang E",929,IF(Atletas!T126="Taijijian Chen E",930,IF(Atletas!T126="Taijijian Sun E",931,IF(Atletas!T126="Taijijian Wu E",932,IF(Atletas!T126="Taijijian Wu-Hao E",933,IF(Atletas!T126="Taijijian 32 E",934,IF(Atletas!T126="Taijijian 42 E",935,IF(Atletas!T126="Taijijian Yang F",936,IF(Atletas!T126="Taijijian Chen F",937,IF(Atletas!T126="Taijijian Sun F",938,IF(Atletas!T126="Taijijian Wu F",939,IF(Atletas!T126="Taijijian Wu-Hao F",940,IF(Atletas!T126="Taijijian 32 F",941,IF(Atletas!T126="Taijijian 42 F",942,"")))))))))))))))))))))))))))))))))))))))))))</f>
        <v/>
      </c>
      <c r="BW130" s="52" t="str">
        <f>IF(Atletas!U126="","",IF(Atletas!W126&lt;&gt;"",10000,0)+IF(Atletas!B126="Feminino",1000,IF(Atletas!B126="Masculino",2000,""))+IF(Atletas!T126="Taijijian 42 F",942,IF(Atletas!U126="Taijidao A",943,IF(Atletas!U126="Taijishan A",944,IF(Atletas!U126="Taijiqiang A",945,IF(Atletas!U126="Taijidao B",946,IF(Atletas!U126="Taijishan B",947,IF(Atletas!U126="Taijiqiang B",948,IF(Atletas!U126="Taijidao C",949,IF(Atletas!U126="Taijishan C",950,IF(Atletas!U126="Taijiqiang C",951,IF(Atletas!U126="Taijidao D",952,IF(Atletas!U126="Taijishan D",953,IF(Atletas!U126="Taijiqiang D",954,IF(Atletas!U126="Taijidao E",955,IF(Atletas!U126="Taijishan E",956,IF(Atletas!U126="Taijiqiang E",957,IF(Atletas!U126="Taijidao F",958,IF(Atletas!U126="Taijishan F",959,IF(Atletas!U126="Taijiqiang F",960))))))))))))))))))))</f>
        <v/>
      </c>
      <c r="BX130" s="72" t="str">
        <f>IF(BY130&lt;&gt;"","Ditangquan F","")</f>
        <v/>
      </c>
      <c r="BY130" s="72" t="str">
        <f>IF(COUNTIF(BK:BW,1216)&gt;0,COUNTIF(BK:BW,1216),"")</f>
        <v/>
      </c>
      <c r="BZ130" s="72" t="str">
        <f>IF(CA130&lt;&gt;"","Ditangquan F","")</f>
        <v/>
      </c>
      <c r="CA130" s="72" t="str">
        <f>IF(COUNTIF(BK:BW,2216)&gt;0,COUNTIF(BK:BW,2216),"")</f>
        <v/>
      </c>
      <c r="CB130" s="72" t="str">
        <f>IF(CC130&lt;&gt;"","Ditangquan F","")</f>
        <v/>
      </c>
      <c r="CC130" s="64" t="str">
        <f>IF(COUNTIF(BK:BW,11216)&gt;0,COUNTIF(BK:BW,11216),"")</f>
        <v/>
      </c>
      <c r="CD130" s="64" t="str">
        <f>IF(CE130&lt;&gt;"","Ditangquan F","")</f>
        <v/>
      </c>
      <c r="CE130" s="64" t="str">
        <f>IF(COUNTIF(BK:BW,12216)&gt;0,COUNTIF(BK:BW,12216),"")</f>
        <v/>
      </c>
      <c r="CF130" s="52" t="str">
        <f xml:space="preserve"> IF(Atletas!V126="","",IF(Atletas!V126="Duilian de Mãos AB - Equipe 1",1,IF(Atletas!V126="Duilian de Mãos AB - Equipe 2",2,IF(Atletas!V126="Duilian de Armas AB - Equipe 1",3,IF(Atletas!V126="Duilian de Armas AB - Equipe 2",4,IF(Atletas!V126="Duilian de Tuishou - Equipe 1",5,IF(Atletas!V126="Duilian de Tuishou - Equipe 2",6,IF(Atletas!V126="Grupo Externo AB - Equipe 1",7,IF(Atletas!V126="Grupo Externo AB - Equipe 2",8,IF(Atletas!V126="Grupo Interno AB - Equipe 1",9,IF(Atletas!V126="Grupo Interno AB - Equipe 2",10,IF(Atletas!V126="Duilian de Mãos CD - Equipe 1",11,IF(Atletas!V126="Duilian de Mãos CD - Equipe 2",12,IF(Atletas!V126="Duilian de Armas CD - Equipe 1",13,IF(Atletas!V126="Duilian de Armas CD - Equipe 2",14,IF(Atletas!V126="Duilian de Tuishou - Equipe 1",15,IF(Atletas!V126="Duilian de Tuishou - Equipe 2",16,IF(Atletas!V126="Grupo Externo CDEF - Equipe 1",17,IF(Atletas!V126="Grupo Externo CDEF - Equipe 2",18,IF(Atletas!V126="Grupo Interno CDEF - Equipe 1",19,IF(Atletas!V126="Grupo Interno CDEF - Equipe 2",20,IF(Atletas!V126="Duilian de Mãos EF - Equipe 1",21,IF(Atletas!V126="Duilian de Mãos EF - Equipe 2",22,IF(Atletas!V126="Duilian de Armas EF - Equipe 1",23,IF(Atletas!V126="Duilian de Armas EF - Equipe 2",24,IF(Atletas!V126="Duilian de Tuishou - Equipe 1",25,IF(Atletas!V126="Duilian de Tuishou - Equipe 2",26,"")))))))))))))))))))))))))))</f>
        <v/>
      </c>
    </row>
    <row r="131" spans="2:84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 t="str">
        <f t="array" ref="V131">IFERROR(INDEX(BX$7:BX$336,SMALL(IF(BX$7:BX$336&lt;&gt;"",ROW(BX$7:BX$336)-ROW(BX$7)+1),ROWS(BX$7:BX130))),"")</f>
        <v/>
      </c>
      <c r="W131" s="4" t="str">
        <f t="array" ref="W131">IFERROR(INDEX(BY$7:BY$336,SMALL(IF(BY$7:BY$336&lt;&gt;"",ROW(BY$7:BY$336)-ROW(BY$7)+1),ROWS(BY$7:BY130))),"")</f>
        <v/>
      </c>
      <c r="X131" s="4" t="str">
        <f t="array" ref="X131">IFERROR(INDEX(BZ$7:BZ$336,SMALL(IF(BZ$7:BZ$336&lt;&gt;"",ROW(BZ$7:BZ$336)-ROW(BZ$7)+1),ROWS(BZ$7:BZ130))),"")</f>
        <v/>
      </c>
      <c r="Y131" s="4" t="str">
        <f t="array" ref="Y131">IFERROR(INDEX(CA$7:CA$336,SMALL(IF(CA$7:CA$336&lt;&gt;"",ROW(CA$7:CA$336)-ROW(CA$7)+1),ROWS(CA$7:CA130))),"")</f>
        <v/>
      </c>
      <c r="Z131" s="4" t="str">
        <f t="array" ref="Z131">IFERROR(INDEX(CB$7:CB$378,SMALL(IF(CB$7:CB$378&lt;&gt;"",ROW(CB$7:CB$378)-ROW(CB$7)+1),ROWS(CB$7:CB130))),"")</f>
        <v/>
      </c>
      <c r="AA131" s="4" t="str">
        <f t="array" ref="AA131">IFERROR(INDEX(CC$7:CC$378,SMALL(IF(CC$7:CC$378&lt;&gt;"",ROW(CC$7:CC$378)-ROW(CC$7)+1),ROWS(CC$7:CC130))),"")</f>
        <v/>
      </c>
      <c r="AB131" s="4" t="str">
        <f t="array" ref="AB131">IFERROR(INDEX(CD$7:CD$378,SMALL(IF(CD$7:CD$378&lt;&gt;"",ROW(CD$7:CD$378)-ROW(CD$7)+1),ROWS(CD$7:CD130))),"")</f>
        <v/>
      </c>
      <c r="AC131" s="4" t="str">
        <f t="array" ref="AC131">IFERROR(INDEX(CE$7:CE$378,SMALL(IF(CE$7:CE$378&lt;&gt;"",ROW(CE$7:CE$378)-ROW(CE$7)+1),ROWS(CE$7:CE130))),"")</f>
        <v/>
      </c>
      <c r="AD131" s="4"/>
      <c r="AE131" s="4"/>
      <c r="AF131" s="4"/>
      <c r="AG131" s="4"/>
      <c r="AH131" s="4"/>
      <c r="AI131" s="4"/>
      <c r="AJ131" s="46" t="str">
        <f>IF(Atletas!D127="","",IF(Atletas!B127="Feminino",100,IF(Atletas!B127="Masculino",200,""))+(IF(Atletas!D127="Infantil 39kg",1,IF(Atletas!D127="Infantil 42kg",2,IF(Atletas!D127="Infantil 45kg",3,IF(Atletas!D127="Infantil 48kg",4,IF(Atletas!D127="Infantil 52kg",5,IF(Atletas!D127="Infantil 56kg",6,IF(Atletas!D127="Infantil 60kg",7,IF(Atletas!D127="Juvenil 48kg",8,IF(Atletas!D127="Juvenil 52kg",9,IF(Atletas!D127="Juvenil 56kg",10,IF(Atletas!D127="Juvenil 60kg",11,IF(Atletas!D127="Juvenil 65kg",12,IF(Atletas!D127="Juvenil 70kg",13,IF(Atletas!D127="Juvenil 75kg",14,IF(Atletas!D127="Juvenil 80kg",15,IF(Atletas!D127="Adulto 48kg",16,IF(Atletas!D127="Adulto 52kg",17,IF(Atletas!D127="Adulto 56kg",18,IF(Atletas!D127="Adulto 60kg",19,IF(Atletas!D127="Adulto 65kg",20,IF(Atletas!D127="Adulto 70kg",21,IF(Atletas!D127="Adulto 75kg",22,IF(Atletas!D127="Adulto 80kg",23,IF(Atletas!D127="Adulto 85kg",24,IF(Atletas!D127="Adulto 90kg",25,IF(Atletas!D127="Adulto +90kg",26,""))))))))))))))))))))))))))))</f>
        <v/>
      </c>
      <c r="AO131" s="10" t="str">
        <f>IF(Atletas!E127="","",IF(Atletas!B127="Feminino",100,IF(Atletas!B127="Masculino",200,""))+(IF(Atletas!E127="Juvenil 44kg",1,IF(Atletas!E127="Juvenil 48kg",2,IF(Atletas!E127="Juvenil 52kg",3,IF(Atletas!E127="Juvenil 56kg",4,IF(Atletas!E127="Juvenil 60kg",5,IF(Atletas!E127="Juvenil 65kg",6,IF(Atletas!E127="Juvenil 70kg",7,IF(Atletas!E127="Juvenil 75kg",8,IF(Atletas!E127="Juvenil 82kg",9,IF(Atletas!E127="Juvenil 90kg",10,IF(Atletas!E127="Juvenil 100kg",11,IF(Atletas!E127="Adulto 48kg",12,IF(Atletas!E127="Adulto 52kg",13,IF(Atletas!E127="Adulto 56kg",14,IF(Atletas!E127="Adulto 60kg",15,IF(Atletas!E127="Adulto 65kg",16,IF(Atletas!E127="Adulto 70kg",17,IF(Atletas!E127="Adulto 75kg",18,IF(Atletas!E127="Adulto 82kg",19,IF(Atletas!E127="Adulto 90kg",20,IF(Atletas!E127="Adulto 100kg",21,IF(Atletas!E127="Adulto +100kg",22,""))))))))))))))))))))))))</f>
        <v/>
      </c>
      <c r="AT131" s="10" t="str">
        <f>IF(Atletas!F127="","",IF(Atletas!B127="Feminino",100,IF(Atletas!B127="Masculino",200,""))+(IF(Atletas!F127="Adulto 48kg",1,IF(Atletas!F127="Adulto 56kg",2,IF(Atletas!F127="Adulto 65kg",3,IF(Atletas!F127="Adulto 75kg",4,IF(Atletas!F127="Adulto +75kg",5,IF(Atletas!F127="Adulto 52kg",6,IF(Atletas!F127="Adulto 60kg",7,IF(Atletas!F127="Adulto 70kg",8,IF(Atletas!F127="Adulto 80kg",9,IF(Atletas!F127="Adulto 90kg",10,IF(Atletas!F127="Adulto +90kg",11,"")))))))))))))</f>
        <v/>
      </c>
      <c r="AY131" s="46" t="str">
        <f>IF(Atletas!G127="","",IF(Atletas!B127="Feminino",100,IF(Atletas!B127="Masculino",200,""))+(IF(Atletas!G127="Changquan Mirim",1,IF(Atletas!G127="Nanquan Mirim",2,IF(Atletas!G127="Taijiquan Mirim",3,IF(Atletas!G127="Changquan Grupo C",4,IF(Atletas!G127="Nanquan Grupo C",5,IF(Atletas!G127="Taijiquan Grupo C",6,IF(Atletas!G127="Changquan Grupo B",7,IF(Atletas!G127="Nanquan Grupo B",8,IF(Atletas!G127="Taijiquan Grupo B",9,IF(Atletas!G127="Changquan Grupo A",10,IF(Atletas!G127="Nanquan Grupo A",11,IF(Atletas!G127="Taijiquan Grupo A",12,IF(Atletas!G127="Changquan Opcional",13,IF(Atletas!G127="Nanquan Opcional",14,IF(Atletas!G127="Taijiquan Opcional",15,IF(Atletas!G127="Changquan Adulto",16,IF(Atletas!G127="Nanquan Adulto",17,IF(Atletas!G127="Taijiquan Adulto",18,""))))))))))))))))))))</f>
        <v/>
      </c>
      <c r="AZ131" s="46" t="str">
        <f>IF(Atletas!H127="","",IF(Atletas!B127="Feminino",100,IF(Atletas!B127="Masculino",200,""))+(IF(Atletas!H127="Daoshu Mirim",19,IF(Atletas!H127="Jianshu Mirim",20,IF(Atletas!H127="Nandao Mirim",21,IF(Atletas!H127="Taijijian Mirim",22,IF(Atletas!H127="Daoshu Grupo C",23,IF(Atletas!H127="Jianshu Grupo C",24,IF(Atletas!H127="Nandao Grupo C",25,IF(Atletas!H127="Taijijian Grupo C",26,IF(Atletas!H127="Daoshu Grupo B",27,IF(Atletas!H127="Jianshu Grupo B",28,IF(Atletas!H127="Nandao Grupo B",29,IF(Atletas!H127="Taijijian Grupo B",30,IF(Atletas!H127="Daoshu Grupo A",31,IF(Atletas!H127="Jianshu Grupo A",32,IF(Atletas!H127="Nandao Grupo A",33,IF(Atletas!H127="Taijijian Grupo A",34,IF(Atletas!H127="Daoshu Opcional",35,IF(Atletas!H127="Jianshu Opcional",36,IF(Atletas!H127="Nandao Opcional",37,IF(Atletas!H127="Taijijian Opcional",38,IF(Atletas!H127="Daoshu Adulto",39,IF(Atletas!H127="Jianshu Adulto",40,IF(Atletas!H127="Nandao Adulto",41,IF(Atletas!H127="Taijijian Adulto",42,""))))))))))))))))))))))))))</f>
        <v/>
      </c>
      <c r="BA131" s="46" t="str">
        <f>IF(Atletas!I127="","",IF(Atletas!B127="Feminino",100,IF(Atletas!B127="Masculino",200,""))+(IF(Atletas!I127="Gunshu Mirim",43,IF(Atletas!I127="Qiangshu Mirim",44,IF(Atletas!I127="Nangun Mirim",45,IF(Atletas!I127="Gunshu Grupo C",46,IF(Atletas!I127="Qiangshu Grupo C",47,IF(Atletas!I127="Nangun Grupo C",48,IF(Atletas!I127="Gunshu Grupo B",49,IF(Atletas!I127="Qiangshu Grupo B",50,IF(Atletas!I127="Nangun Grupo B",51,IF(Atletas!I127="Gunshu Grupo A",52,IF(Atletas!I127="Qiangshu Grupo A",53,IF(Atletas!I127="Nangun Grupo A",54,IF(Atletas!I127="Gunshu Opcional",55,IF(Atletas!I127="Qiangshu Opcional",56,IF(Atletas!I127="Nangun Opcional",57,IF(Atletas!I127="Gunshu Adulto",58,IF(Atletas!I127="Qiangshu Adulto",59,IF(Atletas!I127="Nangun Adulto",60,""))))))))))))))))))))</f>
        <v/>
      </c>
      <c r="BF131" s="52" t="str">
        <f>IF(Atletas!J127="","",IF(Atletas!B127="Feminino",100,IF(Atletas!B127="Masculino",200,""))+(IF(Atletas!J127="Equipe 1 Grupo B",1,IF(Atletas!J127="Equipe 2 Grupo B",2,IF(Atletas!J127="Equipe 1 Grupo A",3,IF(Atletas!J127="Equipe 2 Grupo A",4,IF(Atletas!J127="Equipe 1 Adulto",5,IF(Atletas!J127="Equipe 2 Adulto",6,""))))))))</f>
        <v/>
      </c>
      <c r="BK131" s="52" t="str">
        <f>IF(Atletas!K127="","",IF(Atletas!W127&lt;&gt;"",10000,0)+(IF(Atletas!B127="Feminino",1000,IF(Atletas!B127="Masculino",2000,""))+IF(Atletas!K127="Choylayfut A",1,IF(Atletas!K127="Hunggar A",2,IF(Atletas!K127="Wuzuquan A",3,IF(Atletas!K127="Wingchun A",4,IF(Atletas!K127="Outra Mão de Sul A",5,IF(Atletas!K127="Choylayfut B",6,IF(Atletas!K127="Hunggar B",7,IF(Atletas!K127="Wuzuquan B",8,IF(Atletas!K127="Wingchun B",9,IF(Atletas!K127="Outra Mão de Sul B",10,IF(Atletas!K127="Choylayfut C",11,IF(Atletas!K127="Hunggar C",12,IF(Atletas!K127="Wuzuquan C",13,IF(Atletas!K127="Wingchun C",14,IF(Atletas!K127="Outra Mão de Sul C",15,IF(Atletas!K127="Choylayfut D",16,IF(Atletas!K127="Hunggar D",17,IF(Atletas!K127="Wuzuquan D",18,IF(Atletas!K127="Wingchun D",19,IF(Atletas!K127="Outra Mão de Sul D",20,IF(Atletas!K127="Choylayfut E",21,IF(Atletas!K127="Hunggar E",22,IF(Atletas!K127="Wuzuquan E",23,IF(Atletas!K127="Wingchun E",24,IF(Atletas!K127="Outra Mão de Sul E",25,IF(Atletas!K127="Choylayfut F",26,IF(Atletas!K127="Hunggar F",27,IF(Atletas!K127="Wuzuquan F",28,IF(Atletas!K127="Wingchun F",29,IF(Atletas!K127="Outra Mão de Sul F",30,""))))))))))))))))))))))))))))))))</f>
        <v/>
      </c>
      <c r="BL131" s="52" t="str">
        <f>IF(Atletas!L127="","",IF(Atletas!W127&lt;&gt;"",10000,0)+(IF(Atletas!B127="Feminino",1000,IF(Atletas!B127="Masculino",2000,""))+(IF(Atletas!L127="Chaquan A",101,IF(Atletas!L127="Emeiquan A",102,IF(Atletas!L127="Fanziquan A",103,IF(Atletas!L127="Huaquan A",104,IF(Atletas!L127="Hongquan A",105,IF(Atletas!L127="Paochui A",106,IF(Atletas!L127="Piguaquan A",107,IF(Atletas!L127="Shaolinquan A",108,IF(Atletas!L127="Tanglangquan A",109,IF(Atletas!L127="Yinzhaophai A",110,IF(Atletas!L127="Tongbeiquan A",111,IF(Atletas!L127="Wudangquan A",112,IF(Atletas!L127="Outros Estilos A",113,IF(Atletas!L127="Chaquan B",114,IF(Atletas!L127="Emeiquan B",115,IF(Atletas!L127="Fanziquan B",116,IF(Atletas!L127="Huaquan B",117,IF(Atletas!L127="Hongquan B",118,IF(Atletas!L127="Paochui B",119,IF(Atletas!L127="Piguaquan B",120,IF(Atletas!L127="Shaolinquan B",121,IF(Atletas!L127="Tanglangquan B",122,IF(Atletas!L127="Yinzhaophai B",123,IF(Atletas!L127="Tongbeiquan B",124,IF(Atletas!L127="Wudangquan B",125,IF(Atletas!L127="Outros Estilos B",126,IF(Atletas!L127="Chaquan C",127,IF(Atletas!L127="Emeiquan C",128,IF(Atletas!L127="Fanziquan C",129,IF(Atletas!L127="Huaquan C",130,IF(Atletas!L127="Hongquan C",131,IF(Atletas!L127="Paochui C",132,IF(Atletas!L127="Piguaquan C",133,IF(Atletas!L127="Shaolinquan C",134,IF(Atletas!L127="Tanglangquan C",135,IF(Atletas!L127="Yinzhaophai C",136,IF(Atletas!L127="Tongbeiquan C",137,IF(Atletas!L127="Wudangquan C",138,IF(Atletas!L127="Outros Estilos C",139,0))))))))))))))))))))))))))))))))))))))))))</f>
        <v/>
      </c>
      <c r="BM131" s="52" t="str">
        <f>IF(Atletas!L127="","",IF(Atletas!W127&lt;&gt;"",10000,0)+(IF(Atletas!B127="Feminino",1000,IF(Atletas!B127="Masculino",2000,""))+(IF(Atletas!L127="Chaquan D",140,IF(Atletas!L127="Emeiquan D",141,IF(Atletas!L127="Fanziquan D",142,IF(Atletas!L127="Huaquan D",143,IF(Atletas!L127="Hongquan D",144,IF(Atletas!L127="Paochui D",145,IF(Atletas!L127="Piguaquan D",146,IF(Atletas!L127="Shaolinquan D",147,IF(Atletas!L127="Tanglangquan D",148,IF(Atletas!L127="Yinzhaophai D",149,IF(Atletas!L127="Tongbeiquan D",150,IF(Atletas!L127="Wudangquan D",151,IF(Atletas!L127="Outros Estilos D",152,IF(Atletas!L127="Chaquan E",153,IF(Atletas!L127="Emeiquan E",154,IF(Atletas!L127="Fanziquan E",155,IF(Atletas!L127="Huaquan E",156,IF(Atletas!L127="Hongquan E",157,IF(Atletas!L127="Paochui E",158,IF(Atletas!L127="Piguaquan E",159,IF(Atletas!L127="Shaolinquan E",160,IF(Atletas!L127="Tanglangquan E",161,IF(Atletas!L127="Yinzhaophai E",162,IF(Atletas!L127="Tongbeiquan E",163,IF(Atletas!L127="Wudangquan E",164,IF(Atletas!L127="Outros Estilos E",165,IF(Atletas!L127="Chaquan F",166,IF(Atletas!L127="Emeiquan F",167,IF(Atletas!L127="Fanziquan F",168,IF(Atletas!L127="Huaquan F",169,IF(Atletas!L127="Hongquan F",170,IF(Atletas!L127="Paochui F",171,IF(Atletas!L127="Piguaquan F",172,IF(Atletas!L127="Shaolinquan F",173,IF(Atletas!L127="Tanglangquan F",174,IF(Atletas!L127="Yinzhaophai F",175,IF(Atletas!L127="Tongbeiquan F",176,IF(Atletas!L127="Wudangquan F",177,IF(Atletas!L127="Outros Estilos F",178,0))))))))))))))))))))))))))))))))))))))))))</f>
        <v/>
      </c>
      <c r="BN131" s="52" t="str">
        <f>IF(Atletas!M127="","",IF(Atletas!W127&lt;&gt;"",10000,0)+(IF(Atletas!B127="Feminino",1000,IF(Atletas!B127="Masculino",2000,""))+(IF(Atletas!M127="Ditangquan A",201,IF(Atletas!M127="Houquan A",202,IF(Atletas!M127="Zuiquan A",203,IF(Atletas!M127="Ditangquan B",204,IF(Atletas!M127="Houquan B",205,IF(Atletas!M127="Zuiquan B",206,IF(Atletas!M127="Ditangquan C",207,IF(Atletas!M127="Houquan C",208,IF(Atletas!M127="Zuiquan C",209,IF(Atletas!M127="Ditangquan D",210,IF(Atletas!M127="Houquan D",211,IF(Atletas!M127="Zuiquan D",212,IF(Atletas!M127="Ditangquan E",213,IF(Atletas!M127="Houquan E",214,IF(Atletas!M127="Zuiquan E",215,IF(Atletas!M127="Ditangquan F",216,IF(Atletas!M127="Houquan F",217,IF(Atletas!M127="Zuiquan F",218,"")))))))))))))))))))))</f>
        <v/>
      </c>
      <c r="BO131" s="52" t="str">
        <f>IF(Atletas!N127="","",IF(Atletas!W127&lt;&gt;"",10000,0)+IF(Atletas!B127="Feminino",1000,IF(Atletas!B127="Masculino",2000,""))+IF(Atletas!N127="Yang A",301,IF(Atletas!N127="Chen A",30,IF(Atletas!N127="Sun A",303,IF(Atletas!N127="Wu A",304,IF(Atletas!N127="Wu-Hao A",305,IF(Atletas!N127="Outro Taijiquan A",306,IF(Atletas!N127="Yang B",307,IF(Atletas!N127="Chen B",308,IF(Atletas!N127="Sun B",309,IF(Atletas!N127="Wu B",310,IF(Atletas!N127="Wu-Hao B",311,IF(Atletas!N127="Outro Taijiquan B",312,IF(Atletas!N127="Yang C",313,IF(Atletas!N127="Chen C",314,IF(Atletas!N127="Sun C",315,IF(Atletas!N127="Wu C",316,IF(Atletas!N127="Wu-Hao C",317,IF(Atletas!N127="Outro Taijiquan C",318,IF(Atletas!N127="Yang D",319,IF(Atletas!N127="Chen D",320,IF(Atletas!N127="Sun D",321,IF(Atletas!N127="Wu D",322,IF(Atletas!N127="Wu-Hao D",323,IF(Atletas!N127="Outro Taijiquan D",324,IF(Atletas!N127="Yang E",325,IF(Atletas!N127="Chen E",326,IF(Atletas!N127="Sun E",327,IF(Atletas!N127="Wu E",328,IF(Atletas!N127="Wu-Hao E",329,IF(Atletas!N127="Outro Taijiquan E",330,IF(Atletas!N127="Yang F",331,IF(Atletas!N127="Chen F",332,IF(Atletas!N127="Sun F",333,IF(Atletas!N127="Wu F",334,IF(Atletas!N127="Wu-Hao F",335,IF(Atletas!N127="Outro Taijiquan F",336,"")))))))))))))))))))))))))))))))))))))</f>
        <v/>
      </c>
      <c r="BP131" s="52" t="str">
        <f>IF(Atletas!O127="","",IF(Atletas!W127&lt;&gt;"",10000,0)+IF(Atletas!B127="Feminino",1000,IF(Atletas!B127="Masculino",2000,""))+IF(OR(Atletas!O127="Yang 26 A",Atletas!O127="Yang 40 A"),401,IF(OR(Atletas!O127="Chen 25 A",Atletas!O127="Chen 36 A",Atletas!O127="Chen 56 A"),402,IF(Atletas!O127="Sun 73 A",403,IF(Atletas!O127="Wu 45 A",404,IF(Atletas!O127="Wu-Hao 46 A",405,IF(OR(Atletas!O127="Taijiquan 16 A",Atletas!O127="Taijiquan 24 A",Atletas!O127="Taijiquan 32 A",Atletas!O127="Taijiquan 42 A"),406,IF(OR(Atletas!O127="Yang 26 B",Atletas!O127="Yang 40 B"),407,IF(OR(Atletas!O127="Chen 25 B",Atletas!O127="Chen 36 B",Atletas!O127="Chen 56 B"),408,IF(Atletas!O127="Sun 73 B",409,IF(Atletas!O127="Wu 45 B",410,IF(Atletas!O127="Wu-Hao 46 B",411,IF(OR(Atletas!O127="Taijiquan 16 B",Atletas!O127="Taijiquan 24 B",Atletas!O127="Taijiquan 32 B",Atletas!O127="Taijiquan 42 B"),412,IF(OR(Atletas!O127="Yang 26 C",Atletas!O127="Yang 40 C"),413,IF(OR(Atletas!O127="Chen 25 C",Atletas!O127="Chen 36 C",Atletas!O127="Chen 56 C"),414,IF(Atletas!O127="Sun 73 C",415,IF(Atletas!O127="Wu 45 C",416,IF(Atletas!O127="Wu-Hao 46 C",417,IF(OR(Atletas!O127="Taijiquan 16 C",Atletas!O127="Taijiquan 24 C",Atletas!O127="Taijiquan 32 C",Atletas!O127="Taijiquan 42 C"),418,0)))))))))))))))))))</f>
        <v/>
      </c>
      <c r="BQ131" s="52" t="str">
        <f>IF(Atletas!O127="","",IF(Atletas!W127&lt;&gt;"",10000,0)+IF(Atletas!B127="Feminino",1000,IF(Atletas!B127="Masculino",2000,""))+IF(OR(Atletas!O127="Yang 26 D",Atletas!O127="Yang 40 D"),419,IF(OR(Atletas!O127="Chen 25 D",Atletas!O127="Chen 36 D",Atletas!O127="Chen 56 D"),420,IF(Atletas!O127="Sun 73 D",421,IF(Atletas!O127="Wu 45 D",422,IF(Atletas!O127="Wu-Hao 46 D",423,IF(OR(Atletas!O127="Taijiquan 16 D",Atletas!O127="Taijiquan 24 D",Atletas!O127="Taijiquan 32 D",Atletas!O127="Taijiquan 42 D"),424,IF(OR(Atletas!O127="Yang 26 E",Atletas!O127="Yang 40 E"),425,IF(OR(Atletas!O127="Chen 25 E",Atletas!O127="Chen 36 E",Atletas!O127="Chen 56 E"),426,IF(Atletas!O127="Sun 73 E",427,IF(Atletas!O127="Wu 45 E",428,IF(Atletas!O127="Wu-Hao 46 E",429,IF(OR(Atletas!O127="Taijiquan 16 E",Atletas!O127="Taijiquan 24 E",Atletas!O127="Taijiquan 32 E",Atletas!O127="Taijiquan 42 E"),430,IF(OR(Atletas!O127="Yang 26 F",Atletas!O127="Yang 40 F"),431,IF(OR(Atletas!O127="Chen 25 F",Atletas!O127="Chen 36 F",Atletas!O127="Chen 56 F"),432,IF(Atletas!O127="Sun 73 F",433,IF(Atletas!O127="Wu 45 F",434,IF(Atletas!O127="Wu-Hao 46 F",435,IF(OR(Atletas!O127="Taijiquan 16 F",Atletas!O127="Taijiquan 24 F",Atletas!O127="Taijiquan 32 F",Atletas!O127="Taijiquan 42 F"),436,0)))))))))))))))))))</f>
        <v/>
      </c>
      <c r="BR131" s="52" t="str">
        <f>IF(Atletas!P127="","",IF(Atletas!W127&lt;&gt;"",10000,0)+IF(Atletas!B127="Feminino",1000,IF(Atletas!B127="Masculino",2000,""))+IF(Atletas!P127="Xingyiquan A",501,IF(Atletas!P127="Baguazhang A",502,IF(Atletas!P127="Outro Estilo Interno A",503,IF(Atletas!P127="Xingyiquan B",504,IF(Atletas!P127="Baguazhang B",505,IF(Atletas!P127="Outro Estilo Interno B",506,IF(Atletas!P127="Xingyiquan C",507,IF(Atletas!P127="Baguazhang C",508,IF(Atletas!P127="Outro Estilo Interno C",509,IF(Atletas!P127="Xingyiquan D",510,IF(Atletas!P127="Baguazhang D",511,IF(Atletas!P127="Outro Estilo Interno D",512,IF(Atletas!P127="Xingyiquan E",513,IF(Atletas!P127="Baguazhang E",514,IF(Atletas!P127="Outro Estilo Interno E",515,IF(Atletas!P127="Xingyiquan F",516,IF(Atletas!P127="Baguazhang F",517,IF(Atletas!P127="Outro Estilo Interno F",518, "")))))))))))))))))))</f>
        <v/>
      </c>
      <c r="BS131" s="52" t="str">
        <f>IF(Atletas!Q127="","",IF(Atletas!W127&lt;&gt;"",10000,0)+IF(Atletas!B127="Feminino",1000,IF(Atletas!B127="Masculino",2000,""))+IF(Atletas!Q127="Dao A",601,IF(Atletas!Q127="Jian A",602,IF(Atletas!Q127="Bishou A",603,IF(Atletas!Q127="Shan A",604,IF(Atletas!Q127="Outra Arma Curta A",605,IF(Atletas!Q127="Dao B",606,IF(Atletas!Q127="Jian B",607,IF(Atletas!Q127="Bishou B",608,IF(Atletas!Q127="Shan B",609,IF(Atletas!Q127="Outra Arma Curta B",610,IF(Atletas!Q127="Dao C",611,IF(Atletas!Q127="Jian C",612,IF(Atletas!Q127="Bishou C",613,IF(Atletas!Q127="Shan C",614,IF(Atletas!Q127="Outra Arma Curta C",615,IF(Atletas!Q127="Dao D",616,IF(Atletas!Q127="Jian D",617,IF(Atletas!Q127="Bishou D",618,IF(Atletas!Q127="Shan D",619,IF(Atletas!Q127="Outra Arma Curta D",620,IF(Atletas!Q127="Dao E",621,IF(Atletas!Q127="Jian E",622,IF(Atletas!Q127="Bishou E",623,IF(Atletas!Q127="Shan E",624,IF(Atletas!Q127="Outra Arma Curta E",625,IF(Atletas!Q127="Dao F",626,IF(Atletas!Q127="Jian F",627,IF(Atletas!Q127="Bishou F",628,IF(Atletas!Q127="Shan F",629,IF(Atletas!Q127="Outra Arma Curta F",630, "")))))))))))))))))))))))))))))))</f>
        <v/>
      </c>
      <c r="BT131" s="52" t="str">
        <f>IF(Atletas!R127="","",IF(Atletas!W127&lt;&gt;"",10000,0)+IF(Atletas!B127="Feminino",1000,IF(Atletas!B127="Masculino",2000,""))+IF(Atletas!R127="Gun A",701,IF(Atletas!R127="Qiang A",702,IF(Atletas!R127="Pudao / Guandao A",703,IF(Atletas!R127="Outra Arma Longa A",704,IF(Atletas!R127="Gun B",705,IF(Atletas!R127="Qiang B",706,IF(Atletas!R127="Pudao / Guandao B",707,IF(Atletas!R127="Outra Arma Longa B",708,IF(Atletas!R127="Gun C",709,IF(Atletas!R127="Qiang C",710,IF(Atletas!R127="Pudao / Guandao C",711,IF(Atletas!R127="Outra Arma Longa C",712,IF(Atletas!R127="Gun D",713,IF(Atletas!R127="Qiang D",714,IF(Atletas!R127="Pudao / Guandao D",715,IF(Atletas!R127="Outra Arma Longa D",716,IF(Atletas!R127="Gun E",717,IF(Atletas!R127="Qiang E",718,IF(Atletas!R127="Pudao / Guandao E",719,IF(Atletas!R127="Outra Arma Longa E",720,IF(Atletas!R127="Gun F",721,IF(Atletas!R127="Qiang F",722,IF(Atletas!R127="Pudao / Guandao F",723,IF(Atletas!R127="Outra Arma Longa F",724,"")))))))))))))))))))))))))</f>
        <v/>
      </c>
      <c r="BU131" s="52" t="str">
        <f>IF(Atletas!S127="","",IF(Atletas!W127&lt;&gt;"",10000,0)+IF(Atletas!B127="Feminino",1000,IF(Atletas!B127="Masculino",2000,""))+IF(Atletas!S127="Arma Dupla A",801,IF(Atletas!S127="Arma Maleável A",802,IF(Atletas!S127="Arma Dupla B",803,IF(Atletas!S127="Arma Maleável B",804,IF(Atletas!S127="Arma Dupla C",805,IF(Atletas!S127="Arma Maleável C",806,IF(Atletas!S127="Arma Dupla D",807,IF(Atletas!S127="Arma Maleável D",808,IF(Atletas!S127="Arma Dupla E",809,IF(Atletas!S127="Arma Maleável E",810,IF(Atletas!S127="Arma Dupla F",811,IF(Atletas!S127="Arma Maleável F",812, "")))))))))))))</f>
        <v/>
      </c>
      <c r="BV131" s="52" t="str">
        <f>IF(Atletas!T127="","",IF(Atletas!W127&lt;&gt;"",10000,0)+IF(Atletas!B127="Feminino",1000,IF(Atletas!B127="Masculino",2000,""))+IF(Atletas!T127="Taijijian Yang A",901,IF(Atletas!T127="Taijijian Chen A",902,IF(Atletas!T127="Taijijian Sun A",903,IF(Atletas!T127="Taijijian Wu A",904,IF(Atletas!T127="Taijijian Wu-Hao A",905,IF(Atletas!T127="Taijijian 32 A",906,IF(Atletas!T127="Taijijian 42 A",907,IF(Atletas!T127="Taijijian Yang B",908,IF(Atletas!T127="Taijijian Chen B",909,IF(Atletas!T127="Taijijian Sun B",910,IF(Atletas!T127="Taijijian Wu B",911,IF(Atletas!T127="Taijijian Wu-Hao B",912,IF(Atletas!T127="Taijijian 32 B",913,IF(Atletas!T127="Taijijian 42 B",914,IF(Atletas!T127="Taijijian Yang C",915,IF(Atletas!T127="Taijijian Chen C",916,IF(Atletas!T127="Taijijian Sun C",917,IF(Atletas!T127="Taijijian Wu C",918,IF(Atletas!T127="Taijijian Wu-Hao C",919,IF(Atletas!T127="Taijijian 32 C",920,IF(Atletas!T127="Taijijian 42 C",921,IF(Atletas!T127="Taijijian Yang D",922,IF(Atletas!T127="Taijijian Chen D",923,IF(Atletas!T127="Taijijian Sun D",924,IF(Atletas!T127="Taijijian Wu D",925,IF(Atletas!T127="Taijijian Wu-Hao D",926,IF(Atletas!T127="Taijijian 32 D",927,IF(Atletas!T127="Taijijian 42 D",928,IF(Atletas!T127="Taijijian Yang E",929,IF(Atletas!T127="Taijijian Chen E",930,IF(Atletas!T127="Taijijian Sun E",931,IF(Atletas!T127="Taijijian Wu E",932,IF(Atletas!T127="Taijijian Wu-Hao E",933,IF(Atletas!T127="Taijijian 32 E",934,IF(Atletas!T127="Taijijian 42 E",935,IF(Atletas!T127="Taijijian Yang F",936,IF(Atletas!T127="Taijijian Chen F",937,IF(Atletas!T127="Taijijian Sun F",938,IF(Atletas!T127="Taijijian Wu F",939,IF(Atletas!T127="Taijijian Wu-Hao F",940,IF(Atletas!T127="Taijijian 32 F",941,IF(Atletas!T127="Taijijian 42 F",942,"")))))))))))))))))))))))))))))))))))))))))))</f>
        <v/>
      </c>
      <c r="BW131" s="52" t="str">
        <f>IF(Atletas!U127="","",IF(Atletas!W127&lt;&gt;"",10000,0)+IF(Atletas!B127="Feminino",1000,IF(Atletas!B127="Masculino",2000,""))+IF(Atletas!T127="Taijijian 42 F",942,IF(Atletas!U127="Taijidao A",943,IF(Atletas!U127="Taijishan A",944,IF(Atletas!U127="Taijiqiang A",945,IF(Atletas!U127="Taijidao B",946,IF(Atletas!U127="Taijishan B",947,IF(Atletas!U127="Taijiqiang B",948,IF(Atletas!U127="Taijidao C",949,IF(Atletas!U127="Taijishan C",950,IF(Atletas!U127="Taijiqiang C",951,IF(Atletas!U127="Taijidao D",952,IF(Atletas!U127="Taijishan D",953,IF(Atletas!U127="Taijiqiang D",954,IF(Atletas!U127="Taijidao E",955,IF(Atletas!U127="Taijishan E",956,IF(Atletas!U127="Taijiqiang E",957,IF(Atletas!U127="Taijidao F",958,IF(Atletas!U127="Taijishan F",959,IF(Atletas!U127="Taijiqiang F",960))))))))))))))))))))</f>
        <v/>
      </c>
      <c r="BX131" s="72" t="str">
        <f>IF(BY131&lt;&gt;"","Houquan F","")</f>
        <v/>
      </c>
      <c r="BY131" s="72" t="str">
        <f>IF(COUNTIF(BK:BW,1217)&gt;0,COUNTIF(BK:BW,1217),"")</f>
        <v/>
      </c>
      <c r="BZ131" s="72" t="str">
        <f>IF(CA131&lt;&gt;"","Houquan F","")</f>
        <v/>
      </c>
      <c r="CA131" s="72" t="str">
        <f>IF(COUNTIF(BK:BW,2217)&gt;0,COUNTIF(BK:BW,2217),"")</f>
        <v/>
      </c>
      <c r="CB131" s="72" t="str">
        <f>IF(CC131&lt;&gt;"","Houquan F","")</f>
        <v/>
      </c>
      <c r="CC131" s="64" t="str">
        <f>IF(COUNTIF(BK:BW,11217)&gt;0,COUNTIF(BK:BW,11217),"")</f>
        <v/>
      </c>
      <c r="CD131" s="64" t="str">
        <f>IF(CE131&lt;&gt;"","Houquan F","")</f>
        <v/>
      </c>
      <c r="CE131" s="64" t="str">
        <f>IF(COUNTIF(BK:BW,12217)&gt;0,COUNTIF(BK:BW,12217),"")</f>
        <v/>
      </c>
      <c r="CF131" s="52" t="str">
        <f xml:space="preserve"> IF(Atletas!V127="","",IF(Atletas!V127="Duilian de Mãos AB - Equipe 1",1,IF(Atletas!V127="Duilian de Mãos AB - Equipe 2",2,IF(Atletas!V127="Duilian de Armas AB - Equipe 1",3,IF(Atletas!V127="Duilian de Armas AB - Equipe 2",4,IF(Atletas!V127="Duilian de Tuishou - Equipe 1",5,IF(Atletas!V127="Duilian de Tuishou - Equipe 2",6,IF(Atletas!V127="Grupo Externo AB - Equipe 1",7,IF(Atletas!V127="Grupo Externo AB - Equipe 2",8,IF(Atletas!V127="Grupo Interno AB - Equipe 1",9,IF(Atletas!V127="Grupo Interno AB - Equipe 2",10,IF(Atletas!V127="Duilian de Mãos CD - Equipe 1",11,IF(Atletas!V127="Duilian de Mãos CD - Equipe 2",12,IF(Atletas!V127="Duilian de Armas CD - Equipe 1",13,IF(Atletas!V127="Duilian de Armas CD - Equipe 2",14,IF(Atletas!V127="Duilian de Tuishou - Equipe 1",15,IF(Atletas!V127="Duilian de Tuishou - Equipe 2",16,IF(Atletas!V127="Grupo Externo CDEF - Equipe 1",17,IF(Atletas!V127="Grupo Externo CDEF - Equipe 2",18,IF(Atletas!V127="Grupo Interno CDEF - Equipe 1",19,IF(Atletas!V127="Grupo Interno CDEF - Equipe 2",20,IF(Atletas!V127="Duilian de Mãos EF - Equipe 1",21,IF(Atletas!V127="Duilian de Mãos EF - Equipe 2",22,IF(Atletas!V127="Duilian de Armas EF - Equipe 1",23,IF(Atletas!V127="Duilian de Armas EF - Equipe 2",24,IF(Atletas!V127="Duilian de Tuishou - Equipe 1",25,IF(Atletas!V127="Duilian de Tuishou - Equipe 2",26,"")))))))))))))))))))))))))))</f>
        <v/>
      </c>
    </row>
    <row r="132" spans="2:84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 t="str">
        <f t="array" ref="V132">IFERROR(INDEX(BX$7:BX$336,SMALL(IF(BX$7:BX$336&lt;&gt;"",ROW(BX$7:BX$336)-ROW(BX$7)+1),ROWS(BX$7:BX131))),"")</f>
        <v/>
      </c>
      <c r="W132" s="4" t="str">
        <f t="array" ref="W132">IFERROR(INDEX(BY$7:BY$336,SMALL(IF(BY$7:BY$336&lt;&gt;"",ROW(BY$7:BY$336)-ROW(BY$7)+1),ROWS(BY$7:BY131))),"")</f>
        <v/>
      </c>
      <c r="X132" s="4" t="str">
        <f t="array" ref="X132">IFERROR(INDEX(BZ$7:BZ$336,SMALL(IF(BZ$7:BZ$336&lt;&gt;"",ROW(BZ$7:BZ$336)-ROW(BZ$7)+1),ROWS(BZ$7:BZ131))),"")</f>
        <v/>
      </c>
      <c r="Y132" s="4" t="str">
        <f t="array" ref="Y132">IFERROR(INDEX(CA$7:CA$336,SMALL(IF(CA$7:CA$336&lt;&gt;"",ROW(CA$7:CA$336)-ROW(CA$7)+1),ROWS(CA$7:CA131))),"")</f>
        <v/>
      </c>
      <c r="Z132" s="4" t="str">
        <f t="array" ref="Z132">IFERROR(INDEX(CB$7:CB$378,SMALL(IF(CB$7:CB$378&lt;&gt;"",ROW(CB$7:CB$378)-ROW(CB$7)+1),ROWS(CB$7:CB131))),"")</f>
        <v/>
      </c>
      <c r="AA132" s="4" t="str">
        <f t="array" ref="AA132">IFERROR(INDEX(CC$7:CC$378,SMALL(IF(CC$7:CC$378&lt;&gt;"",ROW(CC$7:CC$378)-ROW(CC$7)+1),ROWS(CC$7:CC131))),"")</f>
        <v/>
      </c>
      <c r="AB132" s="4" t="str">
        <f t="array" ref="AB132">IFERROR(INDEX(CD$7:CD$378,SMALL(IF(CD$7:CD$378&lt;&gt;"",ROW(CD$7:CD$378)-ROW(CD$7)+1),ROWS(CD$7:CD131))),"")</f>
        <v/>
      </c>
      <c r="AC132" s="4" t="str">
        <f t="array" ref="AC132">IFERROR(INDEX(CE$7:CE$378,SMALL(IF(CE$7:CE$378&lt;&gt;"",ROW(CE$7:CE$378)-ROW(CE$7)+1),ROWS(CE$7:CE131))),"")</f>
        <v/>
      </c>
      <c r="AD132" s="4"/>
      <c r="AE132" s="4"/>
      <c r="AF132" s="4"/>
      <c r="AG132" s="4"/>
      <c r="AH132" s="4"/>
      <c r="AI132" s="4"/>
      <c r="AJ132" s="46" t="str">
        <f>IF(Atletas!D128="","",IF(Atletas!B128="Feminino",100,IF(Atletas!B128="Masculino",200,""))+(IF(Atletas!D128="Infantil 39kg",1,IF(Atletas!D128="Infantil 42kg",2,IF(Atletas!D128="Infantil 45kg",3,IF(Atletas!D128="Infantil 48kg",4,IF(Atletas!D128="Infantil 52kg",5,IF(Atletas!D128="Infantil 56kg",6,IF(Atletas!D128="Infantil 60kg",7,IF(Atletas!D128="Juvenil 48kg",8,IF(Atletas!D128="Juvenil 52kg",9,IF(Atletas!D128="Juvenil 56kg",10,IF(Atletas!D128="Juvenil 60kg",11,IF(Atletas!D128="Juvenil 65kg",12,IF(Atletas!D128="Juvenil 70kg",13,IF(Atletas!D128="Juvenil 75kg",14,IF(Atletas!D128="Juvenil 80kg",15,IF(Atletas!D128="Adulto 48kg",16,IF(Atletas!D128="Adulto 52kg",17,IF(Atletas!D128="Adulto 56kg",18,IF(Atletas!D128="Adulto 60kg",19,IF(Atletas!D128="Adulto 65kg",20,IF(Atletas!D128="Adulto 70kg",21,IF(Atletas!D128="Adulto 75kg",22,IF(Atletas!D128="Adulto 80kg",23,IF(Atletas!D128="Adulto 85kg",24,IF(Atletas!D128="Adulto 90kg",25,IF(Atletas!D128="Adulto +90kg",26,""))))))))))))))))))))))))))))</f>
        <v/>
      </c>
      <c r="AO132" s="10" t="str">
        <f>IF(Atletas!E128="","",IF(Atletas!B128="Feminino",100,IF(Atletas!B128="Masculino",200,""))+(IF(Atletas!E128="Juvenil 44kg",1,IF(Atletas!E128="Juvenil 48kg",2,IF(Atletas!E128="Juvenil 52kg",3,IF(Atletas!E128="Juvenil 56kg",4,IF(Atletas!E128="Juvenil 60kg",5,IF(Atletas!E128="Juvenil 65kg",6,IF(Atletas!E128="Juvenil 70kg",7,IF(Atletas!E128="Juvenil 75kg",8,IF(Atletas!E128="Juvenil 82kg",9,IF(Atletas!E128="Juvenil 90kg",10,IF(Atletas!E128="Juvenil 100kg",11,IF(Atletas!E128="Adulto 48kg",12,IF(Atletas!E128="Adulto 52kg",13,IF(Atletas!E128="Adulto 56kg",14,IF(Atletas!E128="Adulto 60kg",15,IF(Atletas!E128="Adulto 65kg",16,IF(Atletas!E128="Adulto 70kg",17,IF(Atletas!E128="Adulto 75kg",18,IF(Atletas!E128="Adulto 82kg",19,IF(Atletas!E128="Adulto 90kg",20,IF(Atletas!E128="Adulto 100kg",21,IF(Atletas!E128="Adulto +100kg",22,""))))))))))))))))))))))))</f>
        <v/>
      </c>
      <c r="AT132" s="10" t="str">
        <f>IF(Atletas!F128="","",IF(Atletas!B128="Feminino",100,IF(Atletas!B128="Masculino",200,""))+(IF(Atletas!F128="Adulto 48kg",1,IF(Atletas!F128="Adulto 56kg",2,IF(Atletas!F128="Adulto 65kg",3,IF(Atletas!F128="Adulto 75kg",4,IF(Atletas!F128="Adulto +75kg",5,IF(Atletas!F128="Adulto 52kg",6,IF(Atletas!F128="Adulto 60kg",7,IF(Atletas!F128="Adulto 70kg",8,IF(Atletas!F128="Adulto 80kg",9,IF(Atletas!F128="Adulto 90kg",10,IF(Atletas!F128="Adulto +90kg",11,"")))))))))))))</f>
        <v/>
      </c>
      <c r="AY132" s="46" t="str">
        <f>IF(Atletas!G128="","",IF(Atletas!B128="Feminino",100,IF(Atletas!B128="Masculino",200,""))+(IF(Atletas!G128="Changquan Mirim",1,IF(Atletas!G128="Nanquan Mirim",2,IF(Atletas!G128="Taijiquan Mirim",3,IF(Atletas!G128="Changquan Grupo C",4,IF(Atletas!G128="Nanquan Grupo C",5,IF(Atletas!G128="Taijiquan Grupo C",6,IF(Atletas!G128="Changquan Grupo B",7,IF(Atletas!G128="Nanquan Grupo B",8,IF(Atletas!G128="Taijiquan Grupo B",9,IF(Atletas!G128="Changquan Grupo A",10,IF(Atletas!G128="Nanquan Grupo A",11,IF(Atletas!G128="Taijiquan Grupo A",12,IF(Atletas!G128="Changquan Opcional",13,IF(Atletas!G128="Nanquan Opcional",14,IF(Atletas!G128="Taijiquan Opcional",15,IF(Atletas!G128="Changquan Adulto",16,IF(Atletas!G128="Nanquan Adulto",17,IF(Atletas!G128="Taijiquan Adulto",18,""))))))))))))))))))))</f>
        <v/>
      </c>
      <c r="AZ132" s="46" t="str">
        <f>IF(Atletas!H128="","",IF(Atletas!B128="Feminino",100,IF(Atletas!B128="Masculino",200,""))+(IF(Atletas!H128="Daoshu Mirim",19,IF(Atletas!H128="Jianshu Mirim",20,IF(Atletas!H128="Nandao Mirim",21,IF(Atletas!H128="Taijijian Mirim",22,IF(Atletas!H128="Daoshu Grupo C",23,IF(Atletas!H128="Jianshu Grupo C",24,IF(Atletas!H128="Nandao Grupo C",25,IF(Atletas!H128="Taijijian Grupo C",26,IF(Atletas!H128="Daoshu Grupo B",27,IF(Atletas!H128="Jianshu Grupo B",28,IF(Atletas!H128="Nandao Grupo B",29,IF(Atletas!H128="Taijijian Grupo B",30,IF(Atletas!H128="Daoshu Grupo A",31,IF(Atletas!H128="Jianshu Grupo A",32,IF(Atletas!H128="Nandao Grupo A",33,IF(Atletas!H128="Taijijian Grupo A",34,IF(Atletas!H128="Daoshu Opcional",35,IF(Atletas!H128="Jianshu Opcional",36,IF(Atletas!H128="Nandao Opcional",37,IF(Atletas!H128="Taijijian Opcional",38,IF(Atletas!H128="Daoshu Adulto",39,IF(Atletas!H128="Jianshu Adulto",40,IF(Atletas!H128="Nandao Adulto",41,IF(Atletas!H128="Taijijian Adulto",42,""))))))))))))))))))))))))))</f>
        <v/>
      </c>
      <c r="BA132" s="46" t="str">
        <f>IF(Atletas!I128="","",IF(Atletas!B128="Feminino",100,IF(Atletas!B128="Masculino",200,""))+(IF(Atletas!I128="Gunshu Mirim",43,IF(Atletas!I128="Qiangshu Mirim",44,IF(Atletas!I128="Nangun Mirim",45,IF(Atletas!I128="Gunshu Grupo C",46,IF(Atletas!I128="Qiangshu Grupo C",47,IF(Atletas!I128="Nangun Grupo C",48,IF(Atletas!I128="Gunshu Grupo B",49,IF(Atletas!I128="Qiangshu Grupo B",50,IF(Atletas!I128="Nangun Grupo B",51,IF(Atletas!I128="Gunshu Grupo A",52,IF(Atletas!I128="Qiangshu Grupo A",53,IF(Atletas!I128="Nangun Grupo A",54,IF(Atletas!I128="Gunshu Opcional",55,IF(Atletas!I128="Qiangshu Opcional",56,IF(Atletas!I128="Nangun Opcional",57,IF(Atletas!I128="Gunshu Adulto",58,IF(Atletas!I128="Qiangshu Adulto",59,IF(Atletas!I128="Nangun Adulto",60,""))))))))))))))))))))</f>
        <v/>
      </c>
      <c r="BF132" s="52" t="str">
        <f>IF(Atletas!J128="","",IF(Atletas!B128="Feminino",100,IF(Atletas!B128="Masculino",200,""))+(IF(Atletas!J128="Equipe 1 Grupo B",1,IF(Atletas!J128="Equipe 2 Grupo B",2,IF(Atletas!J128="Equipe 1 Grupo A",3,IF(Atletas!J128="Equipe 2 Grupo A",4,IF(Atletas!J128="Equipe 1 Adulto",5,IF(Atletas!J128="Equipe 2 Adulto",6,""))))))))</f>
        <v/>
      </c>
      <c r="BK132" s="52" t="str">
        <f>IF(Atletas!K128="","",IF(Atletas!W128&lt;&gt;"",10000,0)+(IF(Atletas!B128="Feminino",1000,IF(Atletas!B128="Masculino",2000,""))+IF(Atletas!K128="Choylayfut A",1,IF(Atletas!K128="Hunggar A",2,IF(Atletas!K128="Wuzuquan A",3,IF(Atletas!K128="Wingchun A",4,IF(Atletas!K128="Outra Mão de Sul A",5,IF(Atletas!K128="Choylayfut B",6,IF(Atletas!K128="Hunggar B",7,IF(Atletas!K128="Wuzuquan B",8,IF(Atletas!K128="Wingchun B",9,IF(Atletas!K128="Outra Mão de Sul B",10,IF(Atletas!K128="Choylayfut C",11,IF(Atletas!K128="Hunggar C",12,IF(Atletas!K128="Wuzuquan C",13,IF(Atletas!K128="Wingchun C",14,IF(Atletas!K128="Outra Mão de Sul C",15,IF(Atletas!K128="Choylayfut D",16,IF(Atletas!K128="Hunggar D",17,IF(Atletas!K128="Wuzuquan D",18,IF(Atletas!K128="Wingchun D",19,IF(Atletas!K128="Outra Mão de Sul D",20,IF(Atletas!K128="Choylayfut E",21,IF(Atletas!K128="Hunggar E",22,IF(Atletas!K128="Wuzuquan E",23,IF(Atletas!K128="Wingchun E",24,IF(Atletas!K128="Outra Mão de Sul E",25,IF(Atletas!K128="Choylayfut F",26,IF(Atletas!K128="Hunggar F",27,IF(Atletas!K128="Wuzuquan F",28,IF(Atletas!K128="Wingchun F",29,IF(Atletas!K128="Outra Mão de Sul F",30,""))))))))))))))))))))))))))))))))</f>
        <v/>
      </c>
      <c r="BL132" s="52" t="str">
        <f>IF(Atletas!L128="","",IF(Atletas!W128&lt;&gt;"",10000,0)+(IF(Atletas!B128="Feminino",1000,IF(Atletas!B128="Masculino",2000,""))+(IF(Atletas!L128="Chaquan A",101,IF(Atletas!L128="Emeiquan A",102,IF(Atletas!L128="Fanziquan A",103,IF(Atletas!L128="Huaquan A",104,IF(Atletas!L128="Hongquan A",105,IF(Atletas!L128="Paochui A",106,IF(Atletas!L128="Piguaquan A",107,IF(Atletas!L128="Shaolinquan A",108,IF(Atletas!L128="Tanglangquan A",109,IF(Atletas!L128="Yinzhaophai A",110,IF(Atletas!L128="Tongbeiquan A",111,IF(Atletas!L128="Wudangquan A",112,IF(Atletas!L128="Outros Estilos A",113,IF(Atletas!L128="Chaquan B",114,IF(Atletas!L128="Emeiquan B",115,IF(Atletas!L128="Fanziquan B",116,IF(Atletas!L128="Huaquan B",117,IF(Atletas!L128="Hongquan B",118,IF(Atletas!L128="Paochui B",119,IF(Atletas!L128="Piguaquan B",120,IF(Atletas!L128="Shaolinquan B",121,IF(Atletas!L128="Tanglangquan B",122,IF(Atletas!L128="Yinzhaophai B",123,IF(Atletas!L128="Tongbeiquan B",124,IF(Atletas!L128="Wudangquan B",125,IF(Atletas!L128="Outros Estilos B",126,IF(Atletas!L128="Chaquan C",127,IF(Atletas!L128="Emeiquan C",128,IF(Atletas!L128="Fanziquan C",129,IF(Atletas!L128="Huaquan C",130,IF(Atletas!L128="Hongquan C",131,IF(Atletas!L128="Paochui C",132,IF(Atletas!L128="Piguaquan C",133,IF(Atletas!L128="Shaolinquan C",134,IF(Atletas!L128="Tanglangquan C",135,IF(Atletas!L128="Yinzhaophai C",136,IF(Atletas!L128="Tongbeiquan C",137,IF(Atletas!L128="Wudangquan C",138,IF(Atletas!L128="Outros Estilos C",139,0))))))))))))))))))))))))))))))))))))))))))</f>
        <v/>
      </c>
      <c r="BM132" s="52" t="str">
        <f>IF(Atletas!L128="","",IF(Atletas!W128&lt;&gt;"",10000,0)+(IF(Atletas!B128="Feminino",1000,IF(Atletas!B128="Masculino",2000,""))+(IF(Atletas!L128="Chaquan D",140,IF(Atletas!L128="Emeiquan D",141,IF(Atletas!L128="Fanziquan D",142,IF(Atletas!L128="Huaquan D",143,IF(Atletas!L128="Hongquan D",144,IF(Atletas!L128="Paochui D",145,IF(Atletas!L128="Piguaquan D",146,IF(Atletas!L128="Shaolinquan D",147,IF(Atletas!L128="Tanglangquan D",148,IF(Atletas!L128="Yinzhaophai D",149,IF(Atletas!L128="Tongbeiquan D",150,IF(Atletas!L128="Wudangquan D",151,IF(Atletas!L128="Outros Estilos D",152,IF(Atletas!L128="Chaquan E",153,IF(Atletas!L128="Emeiquan E",154,IF(Atletas!L128="Fanziquan E",155,IF(Atletas!L128="Huaquan E",156,IF(Atletas!L128="Hongquan E",157,IF(Atletas!L128="Paochui E",158,IF(Atletas!L128="Piguaquan E",159,IF(Atletas!L128="Shaolinquan E",160,IF(Atletas!L128="Tanglangquan E",161,IF(Atletas!L128="Yinzhaophai E",162,IF(Atletas!L128="Tongbeiquan E",163,IF(Atletas!L128="Wudangquan E",164,IF(Atletas!L128="Outros Estilos E",165,IF(Atletas!L128="Chaquan F",166,IF(Atletas!L128="Emeiquan F",167,IF(Atletas!L128="Fanziquan F",168,IF(Atletas!L128="Huaquan F",169,IF(Atletas!L128="Hongquan F",170,IF(Atletas!L128="Paochui F",171,IF(Atletas!L128="Piguaquan F",172,IF(Atletas!L128="Shaolinquan F",173,IF(Atletas!L128="Tanglangquan F",174,IF(Atletas!L128="Yinzhaophai F",175,IF(Atletas!L128="Tongbeiquan F",176,IF(Atletas!L128="Wudangquan F",177,IF(Atletas!L128="Outros Estilos F",178,0))))))))))))))))))))))))))))))))))))))))))</f>
        <v/>
      </c>
      <c r="BN132" s="52" t="str">
        <f>IF(Atletas!M128="","",IF(Atletas!W128&lt;&gt;"",10000,0)+(IF(Atletas!B128="Feminino",1000,IF(Atletas!B128="Masculino",2000,""))+(IF(Atletas!M128="Ditangquan A",201,IF(Atletas!M128="Houquan A",202,IF(Atletas!M128="Zuiquan A",203,IF(Atletas!M128="Ditangquan B",204,IF(Atletas!M128="Houquan B",205,IF(Atletas!M128="Zuiquan B",206,IF(Atletas!M128="Ditangquan C",207,IF(Atletas!M128="Houquan C",208,IF(Atletas!M128="Zuiquan C",209,IF(Atletas!M128="Ditangquan D",210,IF(Atletas!M128="Houquan D",211,IF(Atletas!M128="Zuiquan D",212,IF(Atletas!M128="Ditangquan E",213,IF(Atletas!M128="Houquan E",214,IF(Atletas!M128="Zuiquan E",215,IF(Atletas!M128="Ditangquan F",216,IF(Atletas!M128="Houquan F",217,IF(Atletas!M128="Zuiquan F",218,"")))))))))))))))))))))</f>
        <v/>
      </c>
      <c r="BO132" s="52" t="str">
        <f>IF(Atletas!N128="","",IF(Atletas!W128&lt;&gt;"",10000,0)+IF(Atletas!B128="Feminino",1000,IF(Atletas!B128="Masculino",2000,""))+IF(Atletas!N128="Yang A",301,IF(Atletas!N128="Chen A",30,IF(Atletas!N128="Sun A",303,IF(Atletas!N128="Wu A",304,IF(Atletas!N128="Wu-Hao A",305,IF(Atletas!N128="Outro Taijiquan A",306,IF(Atletas!N128="Yang B",307,IF(Atletas!N128="Chen B",308,IF(Atletas!N128="Sun B",309,IF(Atletas!N128="Wu B",310,IF(Atletas!N128="Wu-Hao B",311,IF(Atletas!N128="Outro Taijiquan B",312,IF(Atletas!N128="Yang C",313,IF(Atletas!N128="Chen C",314,IF(Atletas!N128="Sun C",315,IF(Atletas!N128="Wu C",316,IF(Atletas!N128="Wu-Hao C",317,IF(Atletas!N128="Outro Taijiquan C",318,IF(Atletas!N128="Yang D",319,IF(Atletas!N128="Chen D",320,IF(Atletas!N128="Sun D",321,IF(Atletas!N128="Wu D",322,IF(Atletas!N128="Wu-Hao D",323,IF(Atletas!N128="Outro Taijiquan D",324,IF(Atletas!N128="Yang E",325,IF(Atletas!N128="Chen E",326,IF(Atletas!N128="Sun E",327,IF(Atletas!N128="Wu E",328,IF(Atletas!N128="Wu-Hao E",329,IF(Atletas!N128="Outro Taijiquan E",330,IF(Atletas!N128="Yang F",331,IF(Atletas!N128="Chen F",332,IF(Atletas!N128="Sun F",333,IF(Atletas!N128="Wu F",334,IF(Atletas!N128="Wu-Hao F",335,IF(Atletas!N128="Outro Taijiquan F",336,"")))))))))))))))))))))))))))))))))))))</f>
        <v/>
      </c>
      <c r="BP132" s="52" t="str">
        <f>IF(Atletas!O128="","",IF(Atletas!W128&lt;&gt;"",10000,0)+IF(Atletas!B128="Feminino",1000,IF(Atletas!B128="Masculino",2000,""))+IF(OR(Atletas!O128="Yang 26 A",Atletas!O128="Yang 40 A"),401,IF(OR(Atletas!O128="Chen 25 A",Atletas!O128="Chen 36 A",Atletas!O128="Chen 56 A"),402,IF(Atletas!O128="Sun 73 A",403,IF(Atletas!O128="Wu 45 A",404,IF(Atletas!O128="Wu-Hao 46 A",405,IF(OR(Atletas!O128="Taijiquan 16 A",Atletas!O128="Taijiquan 24 A",Atletas!O128="Taijiquan 32 A",Atletas!O128="Taijiquan 42 A"),406,IF(OR(Atletas!O128="Yang 26 B",Atletas!O128="Yang 40 B"),407,IF(OR(Atletas!O128="Chen 25 B",Atletas!O128="Chen 36 B",Atletas!O128="Chen 56 B"),408,IF(Atletas!O128="Sun 73 B",409,IF(Atletas!O128="Wu 45 B",410,IF(Atletas!O128="Wu-Hao 46 B",411,IF(OR(Atletas!O128="Taijiquan 16 B",Atletas!O128="Taijiquan 24 B",Atletas!O128="Taijiquan 32 B",Atletas!O128="Taijiquan 42 B"),412,IF(OR(Atletas!O128="Yang 26 C",Atletas!O128="Yang 40 C"),413,IF(OR(Atletas!O128="Chen 25 C",Atletas!O128="Chen 36 C",Atletas!O128="Chen 56 C"),414,IF(Atletas!O128="Sun 73 C",415,IF(Atletas!O128="Wu 45 C",416,IF(Atletas!O128="Wu-Hao 46 C",417,IF(OR(Atletas!O128="Taijiquan 16 C",Atletas!O128="Taijiquan 24 C",Atletas!O128="Taijiquan 32 C",Atletas!O128="Taijiquan 42 C"),418,0)))))))))))))))))))</f>
        <v/>
      </c>
      <c r="BQ132" s="52" t="str">
        <f>IF(Atletas!O128="","",IF(Atletas!W128&lt;&gt;"",10000,0)+IF(Atletas!B128="Feminino",1000,IF(Atletas!B128="Masculino",2000,""))+IF(OR(Atletas!O128="Yang 26 D",Atletas!O128="Yang 40 D"),419,IF(OR(Atletas!O128="Chen 25 D",Atletas!O128="Chen 36 D",Atletas!O128="Chen 56 D"),420,IF(Atletas!O128="Sun 73 D",421,IF(Atletas!O128="Wu 45 D",422,IF(Atletas!O128="Wu-Hao 46 D",423,IF(OR(Atletas!O128="Taijiquan 16 D",Atletas!O128="Taijiquan 24 D",Atletas!O128="Taijiquan 32 D",Atletas!O128="Taijiquan 42 D"),424,IF(OR(Atletas!O128="Yang 26 E",Atletas!O128="Yang 40 E"),425,IF(OR(Atletas!O128="Chen 25 E",Atletas!O128="Chen 36 E",Atletas!O128="Chen 56 E"),426,IF(Atletas!O128="Sun 73 E",427,IF(Atletas!O128="Wu 45 E",428,IF(Atletas!O128="Wu-Hao 46 E",429,IF(OR(Atletas!O128="Taijiquan 16 E",Atletas!O128="Taijiquan 24 E",Atletas!O128="Taijiquan 32 E",Atletas!O128="Taijiquan 42 E"),430,IF(OR(Atletas!O128="Yang 26 F",Atletas!O128="Yang 40 F"),431,IF(OR(Atletas!O128="Chen 25 F",Atletas!O128="Chen 36 F",Atletas!O128="Chen 56 F"),432,IF(Atletas!O128="Sun 73 F",433,IF(Atletas!O128="Wu 45 F",434,IF(Atletas!O128="Wu-Hao 46 F",435,IF(OR(Atletas!O128="Taijiquan 16 F",Atletas!O128="Taijiquan 24 F",Atletas!O128="Taijiquan 32 F",Atletas!O128="Taijiquan 42 F"),436,0)))))))))))))))))))</f>
        <v/>
      </c>
      <c r="BR132" s="52" t="str">
        <f>IF(Atletas!P128="","",IF(Atletas!W128&lt;&gt;"",10000,0)+IF(Atletas!B128="Feminino",1000,IF(Atletas!B128="Masculino",2000,""))+IF(Atletas!P128="Xingyiquan A",501,IF(Atletas!P128="Baguazhang A",502,IF(Atletas!P128="Outro Estilo Interno A",503,IF(Atletas!P128="Xingyiquan B",504,IF(Atletas!P128="Baguazhang B",505,IF(Atletas!P128="Outro Estilo Interno B",506,IF(Atletas!P128="Xingyiquan C",507,IF(Atletas!P128="Baguazhang C",508,IF(Atletas!P128="Outro Estilo Interno C",509,IF(Atletas!P128="Xingyiquan D",510,IF(Atletas!P128="Baguazhang D",511,IF(Atletas!P128="Outro Estilo Interno D",512,IF(Atletas!P128="Xingyiquan E",513,IF(Atletas!P128="Baguazhang E",514,IF(Atletas!P128="Outro Estilo Interno E",515,IF(Atletas!P128="Xingyiquan F",516,IF(Atletas!P128="Baguazhang F",517,IF(Atletas!P128="Outro Estilo Interno F",518, "")))))))))))))))))))</f>
        <v/>
      </c>
      <c r="BS132" s="52" t="str">
        <f>IF(Atletas!Q128="","",IF(Atletas!W128&lt;&gt;"",10000,0)+IF(Atletas!B128="Feminino",1000,IF(Atletas!B128="Masculino",2000,""))+IF(Atletas!Q128="Dao A",601,IF(Atletas!Q128="Jian A",602,IF(Atletas!Q128="Bishou A",603,IF(Atletas!Q128="Shan A",604,IF(Atletas!Q128="Outra Arma Curta A",605,IF(Atletas!Q128="Dao B",606,IF(Atletas!Q128="Jian B",607,IF(Atletas!Q128="Bishou B",608,IF(Atletas!Q128="Shan B",609,IF(Atletas!Q128="Outra Arma Curta B",610,IF(Atletas!Q128="Dao C",611,IF(Atletas!Q128="Jian C",612,IF(Atletas!Q128="Bishou C",613,IF(Atletas!Q128="Shan C",614,IF(Atletas!Q128="Outra Arma Curta C",615,IF(Atletas!Q128="Dao D",616,IF(Atletas!Q128="Jian D",617,IF(Atletas!Q128="Bishou D",618,IF(Atletas!Q128="Shan D",619,IF(Atletas!Q128="Outra Arma Curta D",620,IF(Atletas!Q128="Dao E",621,IF(Atletas!Q128="Jian E",622,IF(Atletas!Q128="Bishou E",623,IF(Atletas!Q128="Shan E",624,IF(Atletas!Q128="Outra Arma Curta E",625,IF(Atletas!Q128="Dao F",626,IF(Atletas!Q128="Jian F",627,IF(Atletas!Q128="Bishou F",628,IF(Atletas!Q128="Shan F",629,IF(Atletas!Q128="Outra Arma Curta F",630, "")))))))))))))))))))))))))))))))</f>
        <v/>
      </c>
      <c r="BT132" s="52" t="str">
        <f>IF(Atletas!R128="","",IF(Atletas!W128&lt;&gt;"",10000,0)+IF(Atletas!B128="Feminino",1000,IF(Atletas!B128="Masculino",2000,""))+IF(Atletas!R128="Gun A",701,IF(Atletas!R128="Qiang A",702,IF(Atletas!R128="Pudao / Guandao A",703,IF(Atletas!R128="Outra Arma Longa A",704,IF(Atletas!R128="Gun B",705,IF(Atletas!R128="Qiang B",706,IF(Atletas!R128="Pudao / Guandao B",707,IF(Atletas!R128="Outra Arma Longa B",708,IF(Atletas!R128="Gun C",709,IF(Atletas!R128="Qiang C",710,IF(Atletas!R128="Pudao / Guandao C",711,IF(Atletas!R128="Outra Arma Longa C",712,IF(Atletas!R128="Gun D",713,IF(Atletas!R128="Qiang D",714,IF(Atletas!R128="Pudao / Guandao D",715,IF(Atletas!R128="Outra Arma Longa D",716,IF(Atletas!R128="Gun E",717,IF(Atletas!R128="Qiang E",718,IF(Atletas!R128="Pudao / Guandao E",719,IF(Atletas!R128="Outra Arma Longa E",720,IF(Atletas!R128="Gun F",721,IF(Atletas!R128="Qiang F",722,IF(Atletas!R128="Pudao / Guandao F",723,IF(Atletas!R128="Outra Arma Longa F",724,"")))))))))))))))))))))))))</f>
        <v/>
      </c>
      <c r="BU132" s="52" t="str">
        <f>IF(Atletas!S128="","",IF(Atletas!W128&lt;&gt;"",10000,0)+IF(Atletas!B128="Feminino",1000,IF(Atletas!B128="Masculino",2000,""))+IF(Atletas!S128="Arma Dupla A",801,IF(Atletas!S128="Arma Maleável A",802,IF(Atletas!S128="Arma Dupla B",803,IF(Atletas!S128="Arma Maleável B",804,IF(Atletas!S128="Arma Dupla C",805,IF(Atletas!S128="Arma Maleável C",806,IF(Atletas!S128="Arma Dupla D",807,IF(Atletas!S128="Arma Maleável D",808,IF(Atletas!S128="Arma Dupla E",809,IF(Atletas!S128="Arma Maleável E",810,IF(Atletas!S128="Arma Dupla F",811,IF(Atletas!S128="Arma Maleável F",812, "")))))))))))))</f>
        <v/>
      </c>
      <c r="BV132" s="52" t="str">
        <f>IF(Atletas!T128="","",IF(Atletas!W128&lt;&gt;"",10000,0)+IF(Atletas!B128="Feminino",1000,IF(Atletas!B128="Masculino",2000,""))+IF(Atletas!T128="Taijijian Yang A",901,IF(Atletas!T128="Taijijian Chen A",902,IF(Atletas!T128="Taijijian Sun A",903,IF(Atletas!T128="Taijijian Wu A",904,IF(Atletas!T128="Taijijian Wu-Hao A",905,IF(Atletas!T128="Taijijian 32 A",906,IF(Atletas!T128="Taijijian 42 A",907,IF(Atletas!T128="Taijijian Yang B",908,IF(Atletas!T128="Taijijian Chen B",909,IF(Atletas!T128="Taijijian Sun B",910,IF(Atletas!T128="Taijijian Wu B",911,IF(Atletas!T128="Taijijian Wu-Hao B",912,IF(Atletas!T128="Taijijian 32 B",913,IF(Atletas!T128="Taijijian 42 B",914,IF(Atletas!T128="Taijijian Yang C",915,IF(Atletas!T128="Taijijian Chen C",916,IF(Atletas!T128="Taijijian Sun C",917,IF(Atletas!T128="Taijijian Wu C",918,IF(Atletas!T128="Taijijian Wu-Hao C",919,IF(Atletas!T128="Taijijian 32 C",920,IF(Atletas!T128="Taijijian 42 C",921,IF(Atletas!T128="Taijijian Yang D",922,IF(Atletas!T128="Taijijian Chen D",923,IF(Atletas!T128="Taijijian Sun D",924,IF(Atletas!T128="Taijijian Wu D",925,IF(Atletas!T128="Taijijian Wu-Hao D",926,IF(Atletas!T128="Taijijian 32 D",927,IF(Atletas!T128="Taijijian 42 D",928,IF(Atletas!T128="Taijijian Yang E",929,IF(Atletas!T128="Taijijian Chen E",930,IF(Atletas!T128="Taijijian Sun E",931,IF(Atletas!T128="Taijijian Wu E",932,IF(Atletas!T128="Taijijian Wu-Hao E",933,IF(Atletas!T128="Taijijian 32 E",934,IF(Atletas!T128="Taijijian 42 E",935,IF(Atletas!T128="Taijijian Yang F",936,IF(Atletas!T128="Taijijian Chen F",937,IF(Atletas!T128="Taijijian Sun F",938,IF(Atletas!T128="Taijijian Wu F",939,IF(Atletas!T128="Taijijian Wu-Hao F",940,IF(Atletas!T128="Taijijian 32 F",941,IF(Atletas!T128="Taijijian 42 F",942,"")))))))))))))))))))))))))))))))))))))))))))</f>
        <v/>
      </c>
      <c r="BW132" s="52" t="str">
        <f>IF(Atletas!U128="","",IF(Atletas!W128&lt;&gt;"",10000,0)+IF(Atletas!B128="Feminino",1000,IF(Atletas!B128="Masculino",2000,""))+IF(Atletas!T128="Taijijian 42 F",942,IF(Atletas!U128="Taijidao A",943,IF(Atletas!U128="Taijishan A",944,IF(Atletas!U128="Taijiqiang A",945,IF(Atletas!U128="Taijidao B",946,IF(Atletas!U128="Taijishan B",947,IF(Atletas!U128="Taijiqiang B",948,IF(Atletas!U128="Taijidao C",949,IF(Atletas!U128="Taijishan C",950,IF(Atletas!U128="Taijiqiang C",951,IF(Atletas!U128="Taijidao D",952,IF(Atletas!U128="Taijishan D",953,IF(Atletas!U128="Taijiqiang D",954,IF(Atletas!U128="Taijidao E",955,IF(Atletas!U128="Taijishan E",956,IF(Atletas!U128="Taijiqiang E",957,IF(Atletas!U128="Taijidao F",958,IF(Atletas!U128="Taijishan F",959,IF(Atletas!U128="Taijiqiang F",960))))))))))))))))))))</f>
        <v/>
      </c>
      <c r="BX132" s="72" t="str">
        <f>IF(BY132&lt;&gt;"","Zuiquan F","")</f>
        <v/>
      </c>
      <c r="BY132" s="72" t="str">
        <f>IF(COUNTIF(BK:BW,1218)&gt;0,COUNTIF(BK:BW,1218),"")</f>
        <v/>
      </c>
      <c r="BZ132" s="72" t="str">
        <f>IF(CA132&lt;&gt;"","Zuiquan F","")</f>
        <v/>
      </c>
      <c r="CA132" s="72" t="str">
        <f>IF(COUNTIF(BK:BW,2218)&gt;0,COUNTIF(BK:BW,2218),"")</f>
        <v/>
      </c>
      <c r="CB132" s="72" t="str">
        <f>IF(CC132&lt;&gt;"","Zuiquan F","")</f>
        <v/>
      </c>
      <c r="CC132" s="64" t="str">
        <f>IF(COUNTIF(BK:BW,11218)&gt;0,COUNTIF(BK:BW,11218),"")</f>
        <v/>
      </c>
      <c r="CD132" s="64" t="str">
        <f>IF(CE132&lt;&gt;"","Zuiquan F","")</f>
        <v/>
      </c>
      <c r="CE132" s="64" t="str">
        <f>IF(COUNTIF(BK:BW,12218)&gt;0,COUNTIF(BK:BW,12218),"")</f>
        <v/>
      </c>
      <c r="CF132" s="52" t="str">
        <f xml:space="preserve"> IF(Atletas!V128="","",IF(Atletas!V128="Duilian de Mãos AB - Equipe 1",1,IF(Atletas!V128="Duilian de Mãos AB - Equipe 2",2,IF(Atletas!V128="Duilian de Armas AB - Equipe 1",3,IF(Atletas!V128="Duilian de Armas AB - Equipe 2",4,IF(Atletas!V128="Duilian de Tuishou - Equipe 1",5,IF(Atletas!V128="Duilian de Tuishou - Equipe 2",6,IF(Atletas!V128="Grupo Externo AB - Equipe 1",7,IF(Atletas!V128="Grupo Externo AB - Equipe 2",8,IF(Atletas!V128="Grupo Interno AB - Equipe 1",9,IF(Atletas!V128="Grupo Interno AB - Equipe 2",10,IF(Atletas!V128="Duilian de Mãos CD - Equipe 1",11,IF(Atletas!V128="Duilian de Mãos CD - Equipe 2",12,IF(Atletas!V128="Duilian de Armas CD - Equipe 1",13,IF(Atletas!V128="Duilian de Armas CD - Equipe 2",14,IF(Atletas!V128="Duilian de Tuishou - Equipe 1",15,IF(Atletas!V128="Duilian de Tuishou - Equipe 2",16,IF(Atletas!V128="Grupo Externo CDEF - Equipe 1",17,IF(Atletas!V128="Grupo Externo CDEF - Equipe 2",18,IF(Atletas!V128="Grupo Interno CDEF - Equipe 1",19,IF(Atletas!V128="Grupo Interno CDEF - Equipe 2",20,IF(Atletas!V128="Duilian de Mãos EF - Equipe 1",21,IF(Atletas!V128="Duilian de Mãos EF - Equipe 2",22,IF(Atletas!V128="Duilian de Armas EF - Equipe 1",23,IF(Atletas!V128="Duilian de Armas EF - Equipe 2",24,IF(Atletas!V128="Duilian de Tuishou - Equipe 1",25,IF(Atletas!V128="Duilian de Tuishou - Equipe 2",26,"")))))))))))))))))))))))))))</f>
        <v/>
      </c>
    </row>
    <row r="133" spans="2:84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 t="str">
        <f t="array" ref="V133">IFERROR(INDEX(BX$7:BX$336,SMALL(IF(BX$7:BX$336&lt;&gt;"",ROW(BX$7:BX$336)-ROW(BX$7)+1),ROWS(BX$7:BX132))),"")</f>
        <v/>
      </c>
      <c r="W133" s="4" t="str">
        <f t="array" ref="W133">IFERROR(INDEX(BY$7:BY$336,SMALL(IF(BY$7:BY$336&lt;&gt;"",ROW(BY$7:BY$336)-ROW(BY$7)+1),ROWS(BY$7:BY132))),"")</f>
        <v/>
      </c>
      <c r="X133" s="4" t="str">
        <f t="array" ref="X133">IFERROR(INDEX(BZ$7:BZ$336,SMALL(IF(BZ$7:BZ$336&lt;&gt;"",ROW(BZ$7:BZ$336)-ROW(BZ$7)+1),ROWS(BZ$7:BZ132))),"")</f>
        <v/>
      </c>
      <c r="Y133" s="4" t="str">
        <f t="array" ref="Y133">IFERROR(INDEX(CA$7:CA$336,SMALL(IF(CA$7:CA$336&lt;&gt;"",ROW(CA$7:CA$336)-ROW(CA$7)+1),ROWS(CA$7:CA132))),"")</f>
        <v/>
      </c>
      <c r="Z133" s="4" t="str">
        <f t="array" ref="Z133">IFERROR(INDEX(CB$7:CB$378,SMALL(IF(CB$7:CB$378&lt;&gt;"",ROW(CB$7:CB$378)-ROW(CB$7)+1),ROWS(CB$7:CB132))),"")</f>
        <v/>
      </c>
      <c r="AA133" s="4" t="str">
        <f t="array" ref="AA133">IFERROR(INDEX(CC$7:CC$378,SMALL(IF(CC$7:CC$378&lt;&gt;"",ROW(CC$7:CC$378)-ROW(CC$7)+1),ROWS(CC$7:CC132))),"")</f>
        <v/>
      </c>
      <c r="AB133" s="4" t="str">
        <f t="array" ref="AB133">IFERROR(INDEX(CD$7:CD$378,SMALL(IF(CD$7:CD$378&lt;&gt;"",ROW(CD$7:CD$378)-ROW(CD$7)+1),ROWS(CD$7:CD132))),"")</f>
        <v/>
      </c>
      <c r="AC133" s="4" t="str">
        <f t="array" ref="AC133">IFERROR(INDEX(CE$7:CE$378,SMALL(IF(CE$7:CE$378&lt;&gt;"",ROW(CE$7:CE$378)-ROW(CE$7)+1),ROWS(CE$7:CE132))),"")</f>
        <v/>
      </c>
      <c r="AD133" s="4"/>
      <c r="AE133" s="4"/>
      <c r="AF133" s="4"/>
      <c r="AG133" s="4"/>
      <c r="AH133" s="4"/>
      <c r="AI133" s="4"/>
      <c r="AJ133" s="46" t="str">
        <f>IF(Atletas!D129="","",IF(Atletas!B129="Feminino",100,IF(Atletas!B129="Masculino",200,""))+(IF(Atletas!D129="Infantil 39kg",1,IF(Atletas!D129="Infantil 42kg",2,IF(Atletas!D129="Infantil 45kg",3,IF(Atletas!D129="Infantil 48kg",4,IF(Atletas!D129="Infantil 52kg",5,IF(Atletas!D129="Infantil 56kg",6,IF(Atletas!D129="Infantil 60kg",7,IF(Atletas!D129="Juvenil 48kg",8,IF(Atletas!D129="Juvenil 52kg",9,IF(Atletas!D129="Juvenil 56kg",10,IF(Atletas!D129="Juvenil 60kg",11,IF(Atletas!D129="Juvenil 65kg",12,IF(Atletas!D129="Juvenil 70kg",13,IF(Atletas!D129="Juvenil 75kg",14,IF(Atletas!D129="Juvenil 80kg",15,IF(Atletas!D129="Adulto 48kg",16,IF(Atletas!D129="Adulto 52kg",17,IF(Atletas!D129="Adulto 56kg",18,IF(Atletas!D129="Adulto 60kg",19,IF(Atletas!D129="Adulto 65kg",20,IF(Atletas!D129="Adulto 70kg",21,IF(Atletas!D129="Adulto 75kg",22,IF(Atletas!D129="Adulto 80kg",23,IF(Atletas!D129="Adulto 85kg",24,IF(Atletas!D129="Adulto 90kg",25,IF(Atletas!D129="Adulto +90kg",26,""))))))))))))))))))))))))))))</f>
        <v/>
      </c>
      <c r="AO133" s="10" t="str">
        <f>IF(Atletas!E129="","",IF(Atletas!B129="Feminino",100,IF(Atletas!B129="Masculino",200,""))+(IF(Atletas!E129="Juvenil 44kg",1,IF(Atletas!E129="Juvenil 48kg",2,IF(Atletas!E129="Juvenil 52kg",3,IF(Atletas!E129="Juvenil 56kg",4,IF(Atletas!E129="Juvenil 60kg",5,IF(Atletas!E129="Juvenil 65kg",6,IF(Atletas!E129="Juvenil 70kg",7,IF(Atletas!E129="Juvenil 75kg",8,IF(Atletas!E129="Juvenil 82kg",9,IF(Atletas!E129="Juvenil 90kg",10,IF(Atletas!E129="Juvenil 100kg",11,IF(Atletas!E129="Adulto 48kg",12,IF(Atletas!E129="Adulto 52kg",13,IF(Atletas!E129="Adulto 56kg",14,IF(Atletas!E129="Adulto 60kg",15,IF(Atletas!E129="Adulto 65kg",16,IF(Atletas!E129="Adulto 70kg",17,IF(Atletas!E129="Adulto 75kg",18,IF(Atletas!E129="Adulto 82kg",19,IF(Atletas!E129="Adulto 90kg",20,IF(Atletas!E129="Adulto 100kg",21,IF(Atletas!E129="Adulto +100kg",22,""))))))))))))))))))))))))</f>
        <v/>
      </c>
      <c r="AT133" s="10" t="str">
        <f>IF(Atletas!F129="","",IF(Atletas!B129="Feminino",100,IF(Atletas!B129="Masculino",200,""))+(IF(Atletas!F129="Adulto 48kg",1,IF(Atletas!F129="Adulto 56kg",2,IF(Atletas!F129="Adulto 65kg",3,IF(Atletas!F129="Adulto 75kg",4,IF(Atletas!F129="Adulto +75kg",5,IF(Atletas!F129="Adulto 52kg",6,IF(Atletas!F129="Adulto 60kg",7,IF(Atletas!F129="Adulto 70kg",8,IF(Atletas!F129="Adulto 80kg",9,IF(Atletas!F129="Adulto 90kg",10,IF(Atletas!F129="Adulto +90kg",11,"")))))))))))))</f>
        <v/>
      </c>
      <c r="AY133" s="46" t="str">
        <f>IF(Atletas!G129="","",IF(Atletas!B129="Feminino",100,IF(Atletas!B129="Masculino",200,""))+(IF(Atletas!G129="Changquan Mirim",1,IF(Atletas!G129="Nanquan Mirim",2,IF(Atletas!G129="Taijiquan Mirim",3,IF(Atletas!G129="Changquan Grupo C",4,IF(Atletas!G129="Nanquan Grupo C",5,IF(Atletas!G129="Taijiquan Grupo C",6,IF(Atletas!G129="Changquan Grupo B",7,IF(Atletas!G129="Nanquan Grupo B",8,IF(Atletas!G129="Taijiquan Grupo B",9,IF(Atletas!G129="Changquan Grupo A",10,IF(Atletas!G129="Nanquan Grupo A",11,IF(Atletas!G129="Taijiquan Grupo A",12,IF(Atletas!G129="Changquan Opcional",13,IF(Atletas!G129="Nanquan Opcional",14,IF(Atletas!G129="Taijiquan Opcional",15,IF(Atletas!G129="Changquan Adulto",16,IF(Atletas!G129="Nanquan Adulto",17,IF(Atletas!G129="Taijiquan Adulto",18,""))))))))))))))))))))</f>
        <v/>
      </c>
      <c r="AZ133" s="46" t="str">
        <f>IF(Atletas!H129="","",IF(Atletas!B129="Feminino",100,IF(Atletas!B129="Masculino",200,""))+(IF(Atletas!H129="Daoshu Mirim",19,IF(Atletas!H129="Jianshu Mirim",20,IF(Atletas!H129="Nandao Mirim",21,IF(Atletas!H129="Taijijian Mirim",22,IF(Atletas!H129="Daoshu Grupo C",23,IF(Atletas!H129="Jianshu Grupo C",24,IF(Atletas!H129="Nandao Grupo C",25,IF(Atletas!H129="Taijijian Grupo C",26,IF(Atletas!H129="Daoshu Grupo B",27,IF(Atletas!H129="Jianshu Grupo B",28,IF(Atletas!H129="Nandao Grupo B",29,IF(Atletas!H129="Taijijian Grupo B",30,IF(Atletas!H129="Daoshu Grupo A",31,IF(Atletas!H129="Jianshu Grupo A",32,IF(Atletas!H129="Nandao Grupo A",33,IF(Atletas!H129="Taijijian Grupo A",34,IF(Atletas!H129="Daoshu Opcional",35,IF(Atletas!H129="Jianshu Opcional",36,IF(Atletas!H129="Nandao Opcional",37,IF(Atletas!H129="Taijijian Opcional",38,IF(Atletas!H129="Daoshu Adulto",39,IF(Atletas!H129="Jianshu Adulto",40,IF(Atletas!H129="Nandao Adulto",41,IF(Atletas!H129="Taijijian Adulto",42,""))))))))))))))))))))))))))</f>
        <v/>
      </c>
      <c r="BA133" s="46" t="str">
        <f>IF(Atletas!I129="","",IF(Atletas!B129="Feminino",100,IF(Atletas!B129="Masculino",200,""))+(IF(Atletas!I129="Gunshu Mirim",43,IF(Atletas!I129="Qiangshu Mirim",44,IF(Atletas!I129="Nangun Mirim",45,IF(Atletas!I129="Gunshu Grupo C",46,IF(Atletas!I129="Qiangshu Grupo C",47,IF(Atletas!I129="Nangun Grupo C",48,IF(Atletas!I129="Gunshu Grupo B",49,IF(Atletas!I129="Qiangshu Grupo B",50,IF(Atletas!I129="Nangun Grupo B",51,IF(Atletas!I129="Gunshu Grupo A",52,IF(Atletas!I129="Qiangshu Grupo A",53,IF(Atletas!I129="Nangun Grupo A",54,IF(Atletas!I129="Gunshu Opcional",55,IF(Atletas!I129="Qiangshu Opcional",56,IF(Atletas!I129="Nangun Opcional",57,IF(Atletas!I129="Gunshu Adulto",58,IF(Atletas!I129="Qiangshu Adulto",59,IF(Atletas!I129="Nangun Adulto",60,""))))))))))))))))))))</f>
        <v/>
      </c>
      <c r="BF133" s="52" t="str">
        <f>IF(Atletas!J129="","",IF(Atletas!B129="Feminino",100,IF(Atletas!B129="Masculino",200,""))+(IF(Atletas!J129="Equipe 1 Grupo B",1,IF(Atletas!J129="Equipe 2 Grupo B",2,IF(Atletas!J129="Equipe 1 Grupo A",3,IF(Atletas!J129="Equipe 2 Grupo A",4,IF(Atletas!J129="Equipe 1 Adulto",5,IF(Atletas!J129="Equipe 2 Adulto",6,""))))))))</f>
        <v/>
      </c>
      <c r="BK133" s="52" t="str">
        <f>IF(Atletas!K129="","",IF(Atletas!W129&lt;&gt;"",10000,0)+(IF(Atletas!B129="Feminino",1000,IF(Atletas!B129="Masculino",2000,""))+IF(Atletas!K129="Choylayfut A",1,IF(Atletas!K129="Hunggar A",2,IF(Atletas!K129="Wuzuquan A",3,IF(Atletas!K129="Wingchun A",4,IF(Atletas!K129="Outra Mão de Sul A",5,IF(Atletas!K129="Choylayfut B",6,IF(Atletas!K129="Hunggar B",7,IF(Atletas!K129="Wuzuquan B",8,IF(Atletas!K129="Wingchun B",9,IF(Atletas!K129="Outra Mão de Sul B",10,IF(Atletas!K129="Choylayfut C",11,IF(Atletas!K129="Hunggar C",12,IF(Atletas!K129="Wuzuquan C",13,IF(Atletas!K129="Wingchun C",14,IF(Atletas!K129="Outra Mão de Sul C",15,IF(Atletas!K129="Choylayfut D",16,IF(Atletas!K129="Hunggar D",17,IF(Atletas!K129="Wuzuquan D",18,IF(Atletas!K129="Wingchun D",19,IF(Atletas!K129="Outra Mão de Sul D",20,IF(Atletas!K129="Choylayfut E",21,IF(Atletas!K129="Hunggar E",22,IF(Atletas!K129="Wuzuquan E",23,IF(Atletas!K129="Wingchun E",24,IF(Atletas!K129="Outra Mão de Sul E",25,IF(Atletas!K129="Choylayfut F",26,IF(Atletas!K129="Hunggar F",27,IF(Atletas!K129="Wuzuquan F",28,IF(Atletas!K129="Wingchun F",29,IF(Atletas!K129="Outra Mão de Sul F",30,""))))))))))))))))))))))))))))))))</f>
        <v/>
      </c>
      <c r="BL133" s="52" t="str">
        <f>IF(Atletas!L129="","",IF(Atletas!W129&lt;&gt;"",10000,0)+(IF(Atletas!B129="Feminino",1000,IF(Atletas!B129="Masculino",2000,""))+(IF(Atletas!L129="Chaquan A",101,IF(Atletas!L129="Emeiquan A",102,IF(Atletas!L129="Fanziquan A",103,IF(Atletas!L129="Huaquan A",104,IF(Atletas!L129="Hongquan A",105,IF(Atletas!L129="Paochui A",106,IF(Atletas!L129="Piguaquan A",107,IF(Atletas!L129="Shaolinquan A",108,IF(Atletas!L129="Tanglangquan A",109,IF(Atletas!L129="Yinzhaophai A",110,IF(Atletas!L129="Tongbeiquan A",111,IF(Atletas!L129="Wudangquan A",112,IF(Atletas!L129="Outros Estilos A",113,IF(Atletas!L129="Chaquan B",114,IF(Atletas!L129="Emeiquan B",115,IF(Atletas!L129="Fanziquan B",116,IF(Atletas!L129="Huaquan B",117,IF(Atletas!L129="Hongquan B",118,IF(Atletas!L129="Paochui B",119,IF(Atletas!L129="Piguaquan B",120,IF(Atletas!L129="Shaolinquan B",121,IF(Atletas!L129="Tanglangquan B",122,IF(Atletas!L129="Yinzhaophai B",123,IF(Atletas!L129="Tongbeiquan B",124,IF(Atletas!L129="Wudangquan B",125,IF(Atletas!L129="Outros Estilos B",126,IF(Atletas!L129="Chaquan C",127,IF(Atletas!L129="Emeiquan C",128,IF(Atletas!L129="Fanziquan C",129,IF(Atletas!L129="Huaquan C",130,IF(Atletas!L129="Hongquan C",131,IF(Atletas!L129="Paochui C",132,IF(Atletas!L129="Piguaquan C",133,IF(Atletas!L129="Shaolinquan C",134,IF(Atletas!L129="Tanglangquan C",135,IF(Atletas!L129="Yinzhaophai C",136,IF(Atletas!L129="Tongbeiquan C",137,IF(Atletas!L129="Wudangquan C",138,IF(Atletas!L129="Outros Estilos C",139,0))))))))))))))))))))))))))))))))))))))))))</f>
        <v/>
      </c>
      <c r="BM133" s="52" t="str">
        <f>IF(Atletas!L129="","",IF(Atletas!W129&lt;&gt;"",10000,0)+(IF(Atletas!B129="Feminino",1000,IF(Atletas!B129="Masculino",2000,""))+(IF(Atletas!L129="Chaquan D",140,IF(Atletas!L129="Emeiquan D",141,IF(Atletas!L129="Fanziquan D",142,IF(Atletas!L129="Huaquan D",143,IF(Atletas!L129="Hongquan D",144,IF(Atletas!L129="Paochui D",145,IF(Atletas!L129="Piguaquan D",146,IF(Atletas!L129="Shaolinquan D",147,IF(Atletas!L129="Tanglangquan D",148,IF(Atletas!L129="Yinzhaophai D",149,IF(Atletas!L129="Tongbeiquan D",150,IF(Atletas!L129="Wudangquan D",151,IF(Atletas!L129="Outros Estilos D",152,IF(Atletas!L129="Chaquan E",153,IF(Atletas!L129="Emeiquan E",154,IF(Atletas!L129="Fanziquan E",155,IF(Atletas!L129="Huaquan E",156,IF(Atletas!L129="Hongquan E",157,IF(Atletas!L129="Paochui E",158,IF(Atletas!L129="Piguaquan E",159,IF(Atletas!L129="Shaolinquan E",160,IF(Atletas!L129="Tanglangquan E",161,IF(Atletas!L129="Yinzhaophai E",162,IF(Atletas!L129="Tongbeiquan E",163,IF(Atletas!L129="Wudangquan E",164,IF(Atletas!L129="Outros Estilos E",165,IF(Atletas!L129="Chaquan F",166,IF(Atletas!L129="Emeiquan F",167,IF(Atletas!L129="Fanziquan F",168,IF(Atletas!L129="Huaquan F",169,IF(Atletas!L129="Hongquan F",170,IF(Atletas!L129="Paochui F",171,IF(Atletas!L129="Piguaquan F",172,IF(Atletas!L129="Shaolinquan F",173,IF(Atletas!L129="Tanglangquan F",174,IF(Atletas!L129="Yinzhaophai F",175,IF(Atletas!L129="Tongbeiquan F",176,IF(Atletas!L129="Wudangquan F",177,IF(Atletas!L129="Outros Estilos F",178,0))))))))))))))))))))))))))))))))))))))))))</f>
        <v/>
      </c>
      <c r="BN133" s="52" t="str">
        <f>IF(Atletas!M129="","",IF(Atletas!W129&lt;&gt;"",10000,0)+(IF(Atletas!B129="Feminino",1000,IF(Atletas!B129="Masculino",2000,""))+(IF(Atletas!M129="Ditangquan A",201,IF(Atletas!M129="Houquan A",202,IF(Atletas!M129="Zuiquan A",203,IF(Atletas!M129="Ditangquan B",204,IF(Atletas!M129="Houquan B",205,IF(Atletas!M129="Zuiquan B",206,IF(Atletas!M129="Ditangquan C",207,IF(Atletas!M129="Houquan C",208,IF(Atletas!M129="Zuiquan C",209,IF(Atletas!M129="Ditangquan D",210,IF(Atletas!M129="Houquan D",211,IF(Atletas!M129="Zuiquan D",212,IF(Atletas!M129="Ditangquan E",213,IF(Atletas!M129="Houquan E",214,IF(Atletas!M129="Zuiquan E",215,IF(Atletas!M129="Ditangquan F",216,IF(Atletas!M129="Houquan F",217,IF(Atletas!M129="Zuiquan F",218,"")))))))))))))))))))))</f>
        <v/>
      </c>
      <c r="BO133" s="52" t="str">
        <f>IF(Atletas!N129="","",IF(Atletas!W129&lt;&gt;"",10000,0)+IF(Atletas!B129="Feminino",1000,IF(Atletas!B129="Masculino",2000,""))+IF(Atletas!N129="Yang A",301,IF(Atletas!N129="Chen A",30,IF(Atletas!N129="Sun A",303,IF(Atletas!N129="Wu A",304,IF(Atletas!N129="Wu-Hao A",305,IF(Atletas!N129="Outro Taijiquan A",306,IF(Atletas!N129="Yang B",307,IF(Atletas!N129="Chen B",308,IF(Atletas!N129="Sun B",309,IF(Atletas!N129="Wu B",310,IF(Atletas!N129="Wu-Hao B",311,IF(Atletas!N129="Outro Taijiquan B",312,IF(Atletas!N129="Yang C",313,IF(Atletas!N129="Chen C",314,IF(Atletas!N129="Sun C",315,IF(Atletas!N129="Wu C",316,IF(Atletas!N129="Wu-Hao C",317,IF(Atletas!N129="Outro Taijiquan C",318,IF(Atletas!N129="Yang D",319,IF(Atletas!N129="Chen D",320,IF(Atletas!N129="Sun D",321,IF(Atletas!N129="Wu D",322,IF(Atletas!N129="Wu-Hao D",323,IF(Atletas!N129="Outro Taijiquan D",324,IF(Atletas!N129="Yang E",325,IF(Atletas!N129="Chen E",326,IF(Atletas!N129="Sun E",327,IF(Atletas!N129="Wu E",328,IF(Atletas!N129="Wu-Hao E",329,IF(Atletas!N129="Outro Taijiquan E",330,IF(Atletas!N129="Yang F",331,IF(Atletas!N129="Chen F",332,IF(Atletas!N129="Sun F",333,IF(Atletas!N129="Wu F",334,IF(Atletas!N129="Wu-Hao F",335,IF(Atletas!N129="Outro Taijiquan F",336,"")))))))))))))))))))))))))))))))))))))</f>
        <v/>
      </c>
      <c r="BP133" s="52" t="str">
        <f>IF(Atletas!O129="","",IF(Atletas!W129&lt;&gt;"",10000,0)+IF(Atletas!B129="Feminino",1000,IF(Atletas!B129="Masculino",2000,""))+IF(OR(Atletas!O129="Yang 26 A",Atletas!O129="Yang 40 A"),401,IF(OR(Atletas!O129="Chen 25 A",Atletas!O129="Chen 36 A",Atletas!O129="Chen 56 A"),402,IF(Atletas!O129="Sun 73 A",403,IF(Atletas!O129="Wu 45 A",404,IF(Atletas!O129="Wu-Hao 46 A",405,IF(OR(Atletas!O129="Taijiquan 16 A",Atletas!O129="Taijiquan 24 A",Atletas!O129="Taijiquan 32 A",Atletas!O129="Taijiquan 42 A"),406,IF(OR(Atletas!O129="Yang 26 B",Atletas!O129="Yang 40 B"),407,IF(OR(Atletas!O129="Chen 25 B",Atletas!O129="Chen 36 B",Atletas!O129="Chen 56 B"),408,IF(Atletas!O129="Sun 73 B",409,IF(Atletas!O129="Wu 45 B",410,IF(Atletas!O129="Wu-Hao 46 B",411,IF(OR(Atletas!O129="Taijiquan 16 B",Atletas!O129="Taijiquan 24 B",Atletas!O129="Taijiquan 32 B",Atletas!O129="Taijiquan 42 B"),412,IF(OR(Atletas!O129="Yang 26 C",Atletas!O129="Yang 40 C"),413,IF(OR(Atletas!O129="Chen 25 C",Atletas!O129="Chen 36 C",Atletas!O129="Chen 56 C"),414,IF(Atletas!O129="Sun 73 C",415,IF(Atletas!O129="Wu 45 C",416,IF(Atletas!O129="Wu-Hao 46 C",417,IF(OR(Atletas!O129="Taijiquan 16 C",Atletas!O129="Taijiquan 24 C",Atletas!O129="Taijiquan 32 C",Atletas!O129="Taijiquan 42 C"),418,0)))))))))))))))))))</f>
        <v/>
      </c>
      <c r="BQ133" s="52" t="str">
        <f>IF(Atletas!O129="","",IF(Atletas!W129&lt;&gt;"",10000,0)+IF(Atletas!B129="Feminino",1000,IF(Atletas!B129="Masculino",2000,""))+IF(OR(Atletas!O129="Yang 26 D",Atletas!O129="Yang 40 D"),419,IF(OR(Atletas!O129="Chen 25 D",Atletas!O129="Chen 36 D",Atletas!O129="Chen 56 D"),420,IF(Atletas!O129="Sun 73 D",421,IF(Atletas!O129="Wu 45 D",422,IF(Atletas!O129="Wu-Hao 46 D",423,IF(OR(Atletas!O129="Taijiquan 16 D",Atletas!O129="Taijiquan 24 D",Atletas!O129="Taijiquan 32 D",Atletas!O129="Taijiquan 42 D"),424,IF(OR(Atletas!O129="Yang 26 E",Atletas!O129="Yang 40 E"),425,IF(OR(Atletas!O129="Chen 25 E",Atletas!O129="Chen 36 E",Atletas!O129="Chen 56 E"),426,IF(Atletas!O129="Sun 73 E",427,IF(Atletas!O129="Wu 45 E",428,IF(Atletas!O129="Wu-Hao 46 E",429,IF(OR(Atletas!O129="Taijiquan 16 E",Atletas!O129="Taijiquan 24 E",Atletas!O129="Taijiquan 32 E",Atletas!O129="Taijiquan 42 E"),430,IF(OR(Atletas!O129="Yang 26 F",Atletas!O129="Yang 40 F"),431,IF(OR(Atletas!O129="Chen 25 F",Atletas!O129="Chen 36 F",Atletas!O129="Chen 56 F"),432,IF(Atletas!O129="Sun 73 F",433,IF(Atletas!O129="Wu 45 F",434,IF(Atletas!O129="Wu-Hao 46 F",435,IF(OR(Atletas!O129="Taijiquan 16 F",Atletas!O129="Taijiquan 24 F",Atletas!O129="Taijiquan 32 F",Atletas!O129="Taijiquan 42 F"),436,0)))))))))))))))))))</f>
        <v/>
      </c>
      <c r="BR133" s="52" t="str">
        <f>IF(Atletas!P129="","",IF(Atletas!W129&lt;&gt;"",10000,0)+IF(Atletas!B129="Feminino",1000,IF(Atletas!B129="Masculino",2000,""))+IF(Atletas!P129="Xingyiquan A",501,IF(Atletas!P129="Baguazhang A",502,IF(Atletas!P129="Outro Estilo Interno A",503,IF(Atletas!P129="Xingyiquan B",504,IF(Atletas!P129="Baguazhang B",505,IF(Atletas!P129="Outro Estilo Interno B",506,IF(Atletas!P129="Xingyiquan C",507,IF(Atletas!P129="Baguazhang C",508,IF(Atletas!P129="Outro Estilo Interno C",509,IF(Atletas!P129="Xingyiquan D",510,IF(Atletas!P129="Baguazhang D",511,IF(Atletas!P129="Outro Estilo Interno D",512,IF(Atletas!P129="Xingyiquan E",513,IF(Atletas!P129="Baguazhang E",514,IF(Atletas!P129="Outro Estilo Interno E",515,IF(Atletas!P129="Xingyiquan F",516,IF(Atletas!P129="Baguazhang F",517,IF(Atletas!P129="Outro Estilo Interno F",518, "")))))))))))))))))))</f>
        <v/>
      </c>
      <c r="BS133" s="52" t="str">
        <f>IF(Atletas!Q129="","",IF(Atletas!W129&lt;&gt;"",10000,0)+IF(Atletas!B129="Feminino",1000,IF(Atletas!B129="Masculino",2000,""))+IF(Atletas!Q129="Dao A",601,IF(Atletas!Q129="Jian A",602,IF(Atletas!Q129="Bishou A",603,IF(Atletas!Q129="Shan A",604,IF(Atletas!Q129="Outra Arma Curta A",605,IF(Atletas!Q129="Dao B",606,IF(Atletas!Q129="Jian B",607,IF(Atletas!Q129="Bishou B",608,IF(Atletas!Q129="Shan B",609,IF(Atletas!Q129="Outra Arma Curta B",610,IF(Atletas!Q129="Dao C",611,IF(Atletas!Q129="Jian C",612,IF(Atletas!Q129="Bishou C",613,IF(Atletas!Q129="Shan C",614,IF(Atletas!Q129="Outra Arma Curta C",615,IF(Atletas!Q129="Dao D",616,IF(Atletas!Q129="Jian D",617,IF(Atletas!Q129="Bishou D",618,IF(Atletas!Q129="Shan D",619,IF(Atletas!Q129="Outra Arma Curta D",620,IF(Atletas!Q129="Dao E",621,IF(Atletas!Q129="Jian E",622,IF(Atletas!Q129="Bishou E",623,IF(Atletas!Q129="Shan E",624,IF(Atletas!Q129="Outra Arma Curta E",625,IF(Atletas!Q129="Dao F",626,IF(Atletas!Q129="Jian F",627,IF(Atletas!Q129="Bishou F",628,IF(Atletas!Q129="Shan F",629,IF(Atletas!Q129="Outra Arma Curta F",630, "")))))))))))))))))))))))))))))))</f>
        <v/>
      </c>
      <c r="BT133" s="52" t="str">
        <f>IF(Atletas!R129="","",IF(Atletas!W129&lt;&gt;"",10000,0)+IF(Atletas!B129="Feminino",1000,IF(Atletas!B129="Masculino",2000,""))+IF(Atletas!R129="Gun A",701,IF(Atletas!R129="Qiang A",702,IF(Atletas!R129="Pudao / Guandao A",703,IF(Atletas!R129="Outra Arma Longa A",704,IF(Atletas!R129="Gun B",705,IF(Atletas!R129="Qiang B",706,IF(Atletas!R129="Pudao / Guandao B",707,IF(Atletas!R129="Outra Arma Longa B",708,IF(Atletas!R129="Gun C",709,IF(Atletas!R129="Qiang C",710,IF(Atletas!R129="Pudao / Guandao C",711,IF(Atletas!R129="Outra Arma Longa C",712,IF(Atletas!R129="Gun D",713,IF(Atletas!R129="Qiang D",714,IF(Atletas!R129="Pudao / Guandao D",715,IF(Atletas!R129="Outra Arma Longa D",716,IF(Atletas!R129="Gun E",717,IF(Atletas!R129="Qiang E",718,IF(Atletas!R129="Pudao / Guandao E",719,IF(Atletas!R129="Outra Arma Longa E",720,IF(Atletas!R129="Gun F",721,IF(Atletas!R129="Qiang F",722,IF(Atletas!R129="Pudao / Guandao F",723,IF(Atletas!R129="Outra Arma Longa F",724,"")))))))))))))))))))))))))</f>
        <v/>
      </c>
      <c r="BU133" s="52" t="str">
        <f>IF(Atletas!S129="","",IF(Atletas!W129&lt;&gt;"",10000,0)+IF(Atletas!B129="Feminino",1000,IF(Atletas!B129="Masculino",2000,""))+IF(Atletas!S129="Arma Dupla A",801,IF(Atletas!S129="Arma Maleável A",802,IF(Atletas!S129="Arma Dupla B",803,IF(Atletas!S129="Arma Maleável B",804,IF(Atletas!S129="Arma Dupla C",805,IF(Atletas!S129="Arma Maleável C",806,IF(Atletas!S129="Arma Dupla D",807,IF(Atletas!S129="Arma Maleável D",808,IF(Atletas!S129="Arma Dupla E",809,IF(Atletas!S129="Arma Maleável E",810,IF(Atletas!S129="Arma Dupla F",811,IF(Atletas!S129="Arma Maleável F",812, "")))))))))))))</f>
        <v/>
      </c>
      <c r="BV133" s="52" t="str">
        <f>IF(Atletas!T129="","",IF(Atletas!W129&lt;&gt;"",10000,0)+IF(Atletas!B129="Feminino",1000,IF(Atletas!B129="Masculino",2000,""))+IF(Atletas!T129="Taijijian Yang A",901,IF(Atletas!T129="Taijijian Chen A",902,IF(Atletas!T129="Taijijian Sun A",903,IF(Atletas!T129="Taijijian Wu A",904,IF(Atletas!T129="Taijijian Wu-Hao A",905,IF(Atletas!T129="Taijijian 32 A",906,IF(Atletas!T129="Taijijian 42 A",907,IF(Atletas!T129="Taijijian Yang B",908,IF(Atletas!T129="Taijijian Chen B",909,IF(Atletas!T129="Taijijian Sun B",910,IF(Atletas!T129="Taijijian Wu B",911,IF(Atletas!T129="Taijijian Wu-Hao B",912,IF(Atletas!T129="Taijijian 32 B",913,IF(Atletas!T129="Taijijian 42 B",914,IF(Atletas!T129="Taijijian Yang C",915,IF(Atletas!T129="Taijijian Chen C",916,IF(Atletas!T129="Taijijian Sun C",917,IF(Atletas!T129="Taijijian Wu C",918,IF(Atletas!T129="Taijijian Wu-Hao C",919,IF(Atletas!T129="Taijijian 32 C",920,IF(Atletas!T129="Taijijian 42 C",921,IF(Atletas!T129="Taijijian Yang D",922,IF(Atletas!T129="Taijijian Chen D",923,IF(Atletas!T129="Taijijian Sun D",924,IF(Atletas!T129="Taijijian Wu D",925,IF(Atletas!T129="Taijijian Wu-Hao D",926,IF(Atletas!T129="Taijijian 32 D",927,IF(Atletas!T129="Taijijian 42 D",928,IF(Atletas!T129="Taijijian Yang E",929,IF(Atletas!T129="Taijijian Chen E",930,IF(Atletas!T129="Taijijian Sun E",931,IF(Atletas!T129="Taijijian Wu E",932,IF(Atletas!T129="Taijijian Wu-Hao E",933,IF(Atletas!T129="Taijijian 32 E",934,IF(Atletas!T129="Taijijian 42 E",935,IF(Atletas!T129="Taijijian Yang F",936,IF(Atletas!T129="Taijijian Chen F",937,IF(Atletas!T129="Taijijian Sun F",938,IF(Atletas!T129="Taijijian Wu F",939,IF(Atletas!T129="Taijijian Wu-Hao F",940,IF(Atletas!T129="Taijijian 32 F",941,IF(Atletas!T129="Taijijian 42 F",942,"")))))))))))))))))))))))))))))))))))))))))))</f>
        <v/>
      </c>
      <c r="BW133" s="52" t="str">
        <f>IF(Atletas!U129="","",IF(Atletas!W129&lt;&gt;"",10000,0)+IF(Atletas!B129="Feminino",1000,IF(Atletas!B129="Masculino",2000,""))+IF(Atletas!T129="Taijijian 42 F",942,IF(Atletas!U129="Taijidao A",943,IF(Atletas!U129="Taijishan A",944,IF(Atletas!U129="Taijiqiang A",945,IF(Atletas!U129="Taijidao B",946,IF(Atletas!U129="Taijishan B",947,IF(Atletas!U129="Taijiqiang B",948,IF(Atletas!U129="Taijidao C",949,IF(Atletas!U129="Taijishan C",950,IF(Atletas!U129="Taijiqiang C",951,IF(Atletas!U129="Taijidao D",952,IF(Atletas!U129="Taijishan D",953,IF(Atletas!U129="Taijiqiang D",954,IF(Atletas!U129="Taijidao E",955,IF(Atletas!U129="Taijishan E",956,IF(Atletas!U129="Taijiqiang E",957,IF(Atletas!U129="Taijidao F",958,IF(Atletas!U129="Taijishan F",959,IF(Atletas!U129="Taijiqiang F",960))))))))))))))))))))</f>
        <v/>
      </c>
      <c r="BX133" s="72" t="str">
        <f>IF(BY133&lt;&gt;"","TJQ Trad. Yang A","")</f>
        <v/>
      </c>
      <c r="BY133" s="72" t="str">
        <f>IF(COUNTIF(BK:BW,1301)&gt;0,COUNTIF(BK:BW,1301),"")</f>
        <v/>
      </c>
      <c r="BZ133" s="72" t="str">
        <f>IF(CA133&lt;&gt;"","TJQ Trad. Yang A","")</f>
        <v/>
      </c>
      <c r="CA133" s="72" t="str">
        <f>IF(COUNTIF(BK:BW,2301)&gt;0,COUNTIF(BK:BW,2301),"")</f>
        <v/>
      </c>
      <c r="CB133" s="72" t="str">
        <f>IF(CC133&lt;&gt;"","Yang A","")</f>
        <v/>
      </c>
      <c r="CC133" s="64" t="str">
        <f>IF(COUNTIF(BK:BW,11301)&gt;0,COUNTIF(BK:BW,11301),"")</f>
        <v/>
      </c>
      <c r="CD133" s="64" t="str">
        <f>IF(CE133&lt;&gt;"","Yang A","")</f>
        <v/>
      </c>
      <c r="CE133" s="64" t="str">
        <f>IF(COUNTIF(BK:BW,12301)&gt;0,COUNTIF(BK:BW,12301),"")</f>
        <v/>
      </c>
      <c r="CF133" s="52" t="str">
        <f xml:space="preserve"> IF(Atletas!V129="","",IF(Atletas!V129="Duilian de Mãos AB - Equipe 1",1,IF(Atletas!V129="Duilian de Mãos AB - Equipe 2",2,IF(Atletas!V129="Duilian de Armas AB - Equipe 1",3,IF(Atletas!V129="Duilian de Armas AB - Equipe 2",4,IF(Atletas!V129="Duilian de Tuishou - Equipe 1",5,IF(Atletas!V129="Duilian de Tuishou - Equipe 2",6,IF(Atletas!V129="Grupo Externo AB - Equipe 1",7,IF(Atletas!V129="Grupo Externo AB - Equipe 2",8,IF(Atletas!V129="Grupo Interno AB - Equipe 1",9,IF(Atletas!V129="Grupo Interno AB - Equipe 2",10,IF(Atletas!V129="Duilian de Mãos CD - Equipe 1",11,IF(Atletas!V129="Duilian de Mãos CD - Equipe 2",12,IF(Atletas!V129="Duilian de Armas CD - Equipe 1",13,IF(Atletas!V129="Duilian de Armas CD - Equipe 2",14,IF(Atletas!V129="Duilian de Tuishou - Equipe 1",15,IF(Atletas!V129="Duilian de Tuishou - Equipe 2",16,IF(Atletas!V129="Grupo Externo CDEF - Equipe 1",17,IF(Atletas!V129="Grupo Externo CDEF - Equipe 2",18,IF(Atletas!V129="Grupo Interno CDEF - Equipe 1",19,IF(Atletas!V129="Grupo Interno CDEF - Equipe 2",20,IF(Atletas!V129="Duilian de Mãos EF - Equipe 1",21,IF(Atletas!V129="Duilian de Mãos EF - Equipe 2",22,IF(Atletas!V129="Duilian de Armas EF - Equipe 1",23,IF(Atletas!V129="Duilian de Armas EF - Equipe 2",24,IF(Atletas!V129="Duilian de Tuishou - Equipe 1",25,IF(Atletas!V129="Duilian de Tuishou - Equipe 2",26,"")))))))))))))))))))))))))))</f>
        <v/>
      </c>
    </row>
    <row r="134" spans="2:84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 t="str">
        <f t="array" ref="V134">IFERROR(INDEX(BX$7:BX$336,SMALL(IF(BX$7:BX$336&lt;&gt;"",ROW(BX$7:BX$336)-ROW(BX$7)+1),ROWS(BX$7:BX133))),"")</f>
        <v/>
      </c>
      <c r="W134" s="4" t="str">
        <f t="array" ref="W134">IFERROR(INDEX(BY$7:BY$336,SMALL(IF(BY$7:BY$336&lt;&gt;"",ROW(BY$7:BY$336)-ROW(BY$7)+1),ROWS(BY$7:BY133))),"")</f>
        <v/>
      </c>
      <c r="X134" s="4" t="str">
        <f t="array" ref="X134">IFERROR(INDEX(BZ$7:BZ$336,SMALL(IF(BZ$7:BZ$336&lt;&gt;"",ROW(BZ$7:BZ$336)-ROW(BZ$7)+1),ROWS(BZ$7:BZ133))),"")</f>
        <v/>
      </c>
      <c r="Y134" s="4" t="str">
        <f t="array" ref="Y134">IFERROR(INDEX(CA$7:CA$336,SMALL(IF(CA$7:CA$336&lt;&gt;"",ROW(CA$7:CA$336)-ROW(CA$7)+1),ROWS(CA$7:CA133))),"")</f>
        <v/>
      </c>
      <c r="Z134" s="4" t="str">
        <f t="array" ref="Z134">IFERROR(INDEX(CB$7:CB$378,SMALL(IF(CB$7:CB$378&lt;&gt;"",ROW(CB$7:CB$378)-ROW(CB$7)+1),ROWS(CB$7:CB133))),"")</f>
        <v/>
      </c>
      <c r="AA134" s="4" t="str">
        <f t="array" ref="AA134">IFERROR(INDEX(CC$7:CC$378,SMALL(IF(CC$7:CC$378&lt;&gt;"",ROW(CC$7:CC$378)-ROW(CC$7)+1),ROWS(CC$7:CC133))),"")</f>
        <v/>
      </c>
      <c r="AB134" s="4" t="str">
        <f t="array" ref="AB134">IFERROR(INDEX(CD$7:CD$378,SMALL(IF(CD$7:CD$378&lt;&gt;"",ROW(CD$7:CD$378)-ROW(CD$7)+1),ROWS(CD$7:CD133))),"")</f>
        <v/>
      </c>
      <c r="AC134" s="4" t="str">
        <f t="array" ref="AC134">IFERROR(INDEX(CE$7:CE$378,SMALL(IF(CE$7:CE$378&lt;&gt;"",ROW(CE$7:CE$378)-ROW(CE$7)+1),ROWS(CE$7:CE133))),"")</f>
        <v/>
      </c>
      <c r="AD134" s="4"/>
      <c r="AE134" s="4"/>
      <c r="AF134" s="4"/>
      <c r="AG134" s="4"/>
      <c r="AH134" s="4"/>
      <c r="AI134" s="4"/>
      <c r="AJ134" s="46" t="str">
        <f>IF(Atletas!D130="","",IF(Atletas!B130="Feminino",100,IF(Atletas!B130="Masculino",200,""))+(IF(Atletas!D130="Infantil 39kg",1,IF(Atletas!D130="Infantil 42kg",2,IF(Atletas!D130="Infantil 45kg",3,IF(Atletas!D130="Infantil 48kg",4,IF(Atletas!D130="Infantil 52kg",5,IF(Atletas!D130="Infantil 56kg",6,IF(Atletas!D130="Infantil 60kg",7,IF(Atletas!D130="Juvenil 48kg",8,IF(Atletas!D130="Juvenil 52kg",9,IF(Atletas!D130="Juvenil 56kg",10,IF(Atletas!D130="Juvenil 60kg",11,IF(Atletas!D130="Juvenil 65kg",12,IF(Atletas!D130="Juvenil 70kg",13,IF(Atletas!D130="Juvenil 75kg",14,IF(Atletas!D130="Juvenil 80kg",15,IF(Atletas!D130="Adulto 48kg",16,IF(Atletas!D130="Adulto 52kg",17,IF(Atletas!D130="Adulto 56kg",18,IF(Atletas!D130="Adulto 60kg",19,IF(Atletas!D130="Adulto 65kg",20,IF(Atletas!D130="Adulto 70kg",21,IF(Atletas!D130="Adulto 75kg",22,IF(Atletas!D130="Adulto 80kg",23,IF(Atletas!D130="Adulto 85kg",24,IF(Atletas!D130="Adulto 90kg",25,IF(Atletas!D130="Adulto +90kg",26,""))))))))))))))))))))))))))))</f>
        <v/>
      </c>
      <c r="AO134" s="10" t="str">
        <f>IF(Atletas!E130="","",IF(Atletas!B130="Feminino",100,IF(Atletas!B130="Masculino",200,""))+(IF(Atletas!E130="Juvenil 44kg",1,IF(Atletas!E130="Juvenil 48kg",2,IF(Atletas!E130="Juvenil 52kg",3,IF(Atletas!E130="Juvenil 56kg",4,IF(Atletas!E130="Juvenil 60kg",5,IF(Atletas!E130="Juvenil 65kg",6,IF(Atletas!E130="Juvenil 70kg",7,IF(Atletas!E130="Juvenil 75kg",8,IF(Atletas!E130="Juvenil 82kg",9,IF(Atletas!E130="Juvenil 90kg",10,IF(Atletas!E130="Juvenil 100kg",11,IF(Atletas!E130="Adulto 48kg",12,IF(Atletas!E130="Adulto 52kg",13,IF(Atletas!E130="Adulto 56kg",14,IF(Atletas!E130="Adulto 60kg",15,IF(Atletas!E130="Adulto 65kg",16,IF(Atletas!E130="Adulto 70kg",17,IF(Atletas!E130="Adulto 75kg",18,IF(Atletas!E130="Adulto 82kg",19,IF(Atletas!E130="Adulto 90kg",20,IF(Atletas!E130="Adulto 100kg",21,IF(Atletas!E130="Adulto +100kg",22,""))))))))))))))))))))))))</f>
        <v/>
      </c>
      <c r="AT134" s="10" t="str">
        <f>IF(Atletas!F130="","",IF(Atletas!B130="Feminino",100,IF(Atletas!B130="Masculino",200,""))+(IF(Atletas!F130="Adulto 48kg",1,IF(Atletas!F130="Adulto 56kg",2,IF(Atletas!F130="Adulto 65kg",3,IF(Atletas!F130="Adulto 75kg",4,IF(Atletas!F130="Adulto +75kg",5,IF(Atletas!F130="Adulto 52kg",6,IF(Atletas!F130="Adulto 60kg",7,IF(Atletas!F130="Adulto 70kg",8,IF(Atletas!F130="Adulto 80kg",9,IF(Atletas!F130="Adulto 90kg",10,IF(Atletas!F130="Adulto +90kg",11,"")))))))))))))</f>
        <v/>
      </c>
      <c r="AY134" s="46" t="str">
        <f>IF(Atletas!G130="","",IF(Atletas!B130="Feminino",100,IF(Atletas!B130="Masculino",200,""))+(IF(Atletas!G130="Changquan Mirim",1,IF(Atletas!G130="Nanquan Mirim",2,IF(Atletas!G130="Taijiquan Mirim",3,IF(Atletas!G130="Changquan Grupo C",4,IF(Atletas!G130="Nanquan Grupo C",5,IF(Atletas!G130="Taijiquan Grupo C",6,IF(Atletas!G130="Changquan Grupo B",7,IF(Atletas!G130="Nanquan Grupo B",8,IF(Atletas!G130="Taijiquan Grupo B",9,IF(Atletas!G130="Changquan Grupo A",10,IF(Atletas!G130="Nanquan Grupo A",11,IF(Atletas!G130="Taijiquan Grupo A",12,IF(Atletas!G130="Changquan Opcional",13,IF(Atletas!G130="Nanquan Opcional",14,IF(Atletas!G130="Taijiquan Opcional",15,IF(Atletas!G130="Changquan Adulto",16,IF(Atletas!G130="Nanquan Adulto",17,IF(Atletas!G130="Taijiquan Adulto",18,""))))))))))))))))))))</f>
        <v/>
      </c>
      <c r="AZ134" s="46" t="str">
        <f>IF(Atletas!H130="","",IF(Atletas!B130="Feminino",100,IF(Atletas!B130="Masculino",200,""))+(IF(Atletas!H130="Daoshu Mirim",19,IF(Atletas!H130="Jianshu Mirim",20,IF(Atletas!H130="Nandao Mirim",21,IF(Atletas!H130="Taijijian Mirim",22,IF(Atletas!H130="Daoshu Grupo C",23,IF(Atletas!H130="Jianshu Grupo C",24,IF(Atletas!H130="Nandao Grupo C",25,IF(Atletas!H130="Taijijian Grupo C",26,IF(Atletas!H130="Daoshu Grupo B",27,IF(Atletas!H130="Jianshu Grupo B",28,IF(Atletas!H130="Nandao Grupo B",29,IF(Atletas!H130="Taijijian Grupo B",30,IF(Atletas!H130="Daoshu Grupo A",31,IF(Atletas!H130="Jianshu Grupo A",32,IF(Atletas!H130="Nandao Grupo A",33,IF(Atletas!H130="Taijijian Grupo A",34,IF(Atletas!H130="Daoshu Opcional",35,IF(Atletas!H130="Jianshu Opcional",36,IF(Atletas!H130="Nandao Opcional",37,IF(Atletas!H130="Taijijian Opcional",38,IF(Atletas!H130="Daoshu Adulto",39,IF(Atletas!H130="Jianshu Adulto",40,IF(Atletas!H130="Nandao Adulto",41,IF(Atletas!H130="Taijijian Adulto",42,""))))))))))))))))))))))))))</f>
        <v/>
      </c>
      <c r="BA134" s="46" t="str">
        <f>IF(Atletas!I130="","",IF(Atletas!B130="Feminino",100,IF(Atletas!B130="Masculino",200,""))+(IF(Atletas!I130="Gunshu Mirim",43,IF(Atletas!I130="Qiangshu Mirim",44,IF(Atletas!I130="Nangun Mirim",45,IF(Atletas!I130="Gunshu Grupo C",46,IF(Atletas!I130="Qiangshu Grupo C",47,IF(Atletas!I130="Nangun Grupo C",48,IF(Atletas!I130="Gunshu Grupo B",49,IF(Atletas!I130="Qiangshu Grupo B",50,IF(Atletas!I130="Nangun Grupo B",51,IF(Atletas!I130="Gunshu Grupo A",52,IF(Atletas!I130="Qiangshu Grupo A",53,IF(Atletas!I130="Nangun Grupo A",54,IF(Atletas!I130="Gunshu Opcional",55,IF(Atletas!I130="Qiangshu Opcional",56,IF(Atletas!I130="Nangun Opcional",57,IF(Atletas!I130="Gunshu Adulto",58,IF(Atletas!I130="Qiangshu Adulto",59,IF(Atletas!I130="Nangun Adulto",60,""))))))))))))))))))))</f>
        <v/>
      </c>
      <c r="BF134" s="52" t="str">
        <f>IF(Atletas!J130="","",IF(Atletas!B130="Feminino",100,IF(Atletas!B130="Masculino",200,""))+(IF(Atletas!J130="Equipe 1 Grupo B",1,IF(Atletas!J130="Equipe 2 Grupo B",2,IF(Atletas!J130="Equipe 1 Grupo A",3,IF(Atletas!J130="Equipe 2 Grupo A",4,IF(Atletas!J130="Equipe 1 Adulto",5,IF(Atletas!J130="Equipe 2 Adulto",6,""))))))))</f>
        <v/>
      </c>
      <c r="BK134" s="52" t="str">
        <f>IF(Atletas!K130="","",IF(Atletas!W130&lt;&gt;"",10000,0)+(IF(Atletas!B130="Feminino",1000,IF(Atletas!B130="Masculino",2000,""))+IF(Atletas!K130="Choylayfut A",1,IF(Atletas!K130="Hunggar A",2,IF(Atletas!K130="Wuzuquan A",3,IF(Atletas!K130="Wingchun A",4,IF(Atletas!K130="Outra Mão de Sul A",5,IF(Atletas!K130="Choylayfut B",6,IF(Atletas!K130="Hunggar B",7,IF(Atletas!K130="Wuzuquan B",8,IF(Atletas!K130="Wingchun B",9,IF(Atletas!K130="Outra Mão de Sul B",10,IF(Atletas!K130="Choylayfut C",11,IF(Atletas!K130="Hunggar C",12,IF(Atletas!K130="Wuzuquan C",13,IF(Atletas!K130="Wingchun C",14,IF(Atletas!K130="Outra Mão de Sul C",15,IF(Atletas!K130="Choylayfut D",16,IF(Atletas!K130="Hunggar D",17,IF(Atletas!K130="Wuzuquan D",18,IF(Atletas!K130="Wingchun D",19,IF(Atletas!K130="Outra Mão de Sul D",20,IF(Atletas!K130="Choylayfut E",21,IF(Atletas!K130="Hunggar E",22,IF(Atletas!K130="Wuzuquan E",23,IF(Atletas!K130="Wingchun E",24,IF(Atletas!K130="Outra Mão de Sul E",25,IF(Atletas!K130="Choylayfut F",26,IF(Atletas!K130="Hunggar F",27,IF(Atletas!K130="Wuzuquan F",28,IF(Atletas!K130="Wingchun F",29,IF(Atletas!K130="Outra Mão de Sul F",30,""))))))))))))))))))))))))))))))))</f>
        <v/>
      </c>
      <c r="BL134" s="52" t="str">
        <f>IF(Atletas!L130="","",IF(Atletas!W130&lt;&gt;"",10000,0)+(IF(Atletas!B130="Feminino",1000,IF(Atletas!B130="Masculino",2000,""))+(IF(Atletas!L130="Chaquan A",101,IF(Atletas!L130="Emeiquan A",102,IF(Atletas!L130="Fanziquan A",103,IF(Atletas!L130="Huaquan A",104,IF(Atletas!L130="Hongquan A",105,IF(Atletas!L130="Paochui A",106,IF(Atletas!L130="Piguaquan A",107,IF(Atletas!L130="Shaolinquan A",108,IF(Atletas!L130="Tanglangquan A",109,IF(Atletas!L130="Yinzhaophai A",110,IF(Atletas!L130="Tongbeiquan A",111,IF(Atletas!L130="Wudangquan A",112,IF(Atletas!L130="Outros Estilos A",113,IF(Atletas!L130="Chaquan B",114,IF(Atletas!L130="Emeiquan B",115,IF(Atletas!L130="Fanziquan B",116,IF(Atletas!L130="Huaquan B",117,IF(Atletas!L130="Hongquan B",118,IF(Atletas!L130="Paochui B",119,IF(Atletas!L130="Piguaquan B",120,IF(Atletas!L130="Shaolinquan B",121,IF(Atletas!L130="Tanglangquan B",122,IF(Atletas!L130="Yinzhaophai B",123,IF(Atletas!L130="Tongbeiquan B",124,IF(Atletas!L130="Wudangquan B",125,IF(Atletas!L130="Outros Estilos B",126,IF(Atletas!L130="Chaquan C",127,IF(Atletas!L130="Emeiquan C",128,IF(Atletas!L130="Fanziquan C",129,IF(Atletas!L130="Huaquan C",130,IF(Atletas!L130="Hongquan C",131,IF(Atletas!L130="Paochui C",132,IF(Atletas!L130="Piguaquan C",133,IF(Atletas!L130="Shaolinquan C",134,IF(Atletas!L130="Tanglangquan C",135,IF(Atletas!L130="Yinzhaophai C",136,IF(Atletas!L130="Tongbeiquan C",137,IF(Atletas!L130="Wudangquan C",138,IF(Atletas!L130="Outros Estilos C",139,0))))))))))))))))))))))))))))))))))))))))))</f>
        <v/>
      </c>
      <c r="BM134" s="52" t="str">
        <f>IF(Atletas!L130="","",IF(Atletas!W130&lt;&gt;"",10000,0)+(IF(Atletas!B130="Feminino",1000,IF(Atletas!B130="Masculino",2000,""))+(IF(Atletas!L130="Chaquan D",140,IF(Atletas!L130="Emeiquan D",141,IF(Atletas!L130="Fanziquan D",142,IF(Atletas!L130="Huaquan D",143,IF(Atletas!L130="Hongquan D",144,IF(Atletas!L130="Paochui D",145,IF(Atletas!L130="Piguaquan D",146,IF(Atletas!L130="Shaolinquan D",147,IF(Atletas!L130="Tanglangquan D",148,IF(Atletas!L130="Yinzhaophai D",149,IF(Atletas!L130="Tongbeiquan D",150,IF(Atletas!L130="Wudangquan D",151,IF(Atletas!L130="Outros Estilos D",152,IF(Atletas!L130="Chaquan E",153,IF(Atletas!L130="Emeiquan E",154,IF(Atletas!L130="Fanziquan E",155,IF(Atletas!L130="Huaquan E",156,IF(Atletas!L130="Hongquan E",157,IF(Atletas!L130="Paochui E",158,IF(Atletas!L130="Piguaquan E",159,IF(Atletas!L130="Shaolinquan E",160,IF(Atletas!L130="Tanglangquan E",161,IF(Atletas!L130="Yinzhaophai E",162,IF(Atletas!L130="Tongbeiquan E",163,IF(Atletas!L130="Wudangquan E",164,IF(Atletas!L130="Outros Estilos E",165,IF(Atletas!L130="Chaquan F",166,IF(Atletas!L130="Emeiquan F",167,IF(Atletas!L130="Fanziquan F",168,IF(Atletas!L130="Huaquan F",169,IF(Atletas!L130="Hongquan F",170,IF(Atletas!L130="Paochui F",171,IF(Atletas!L130="Piguaquan F",172,IF(Atletas!L130="Shaolinquan F",173,IF(Atletas!L130="Tanglangquan F",174,IF(Atletas!L130="Yinzhaophai F",175,IF(Atletas!L130="Tongbeiquan F",176,IF(Atletas!L130="Wudangquan F",177,IF(Atletas!L130="Outros Estilos F",178,0))))))))))))))))))))))))))))))))))))))))))</f>
        <v/>
      </c>
      <c r="BN134" s="52" t="str">
        <f>IF(Atletas!M130="","",IF(Atletas!W130&lt;&gt;"",10000,0)+(IF(Atletas!B130="Feminino",1000,IF(Atletas!B130="Masculino",2000,""))+(IF(Atletas!M130="Ditangquan A",201,IF(Atletas!M130="Houquan A",202,IF(Atletas!M130="Zuiquan A",203,IF(Atletas!M130="Ditangquan B",204,IF(Atletas!M130="Houquan B",205,IF(Atletas!M130="Zuiquan B",206,IF(Atletas!M130="Ditangquan C",207,IF(Atletas!M130="Houquan C",208,IF(Atletas!M130="Zuiquan C",209,IF(Atletas!M130="Ditangquan D",210,IF(Atletas!M130="Houquan D",211,IF(Atletas!M130="Zuiquan D",212,IF(Atletas!M130="Ditangquan E",213,IF(Atletas!M130="Houquan E",214,IF(Atletas!M130="Zuiquan E",215,IF(Atletas!M130="Ditangquan F",216,IF(Atletas!M130="Houquan F",217,IF(Atletas!M130="Zuiquan F",218,"")))))))))))))))))))))</f>
        <v/>
      </c>
      <c r="BO134" s="52" t="str">
        <f>IF(Atletas!N130="","",IF(Atletas!W130&lt;&gt;"",10000,0)+IF(Atletas!B130="Feminino",1000,IF(Atletas!B130="Masculino",2000,""))+IF(Atletas!N130="Yang A",301,IF(Atletas!N130="Chen A",30,IF(Atletas!N130="Sun A",303,IF(Atletas!N130="Wu A",304,IF(Atletas!N130="Wu-Hao A",305,IF(Atletas!N130="Outro Taijiquan A",306,IF(Atletas!N130="Yang B",307,IF(Atletas!N130="Chen B",308,IF(Atletas!N130="Sun B",309,IF(Atletas!N130="Wu B",310,IF(Atletas!N130="Wu-Hao B",311,IF(Atletas!N130="Outro Taijiquan B",312,IF(Atletas!N130="Yang C",313,IF(Atletas!N130="Chen C",314,IF(Atletas!N130="Sun C",315,IF(Atletas!N130="Wu C",316,IF(Atletas!N130="Wu-Hao C",317,IF(Atletas!N130="Outro Taijiquan C",318,IF(Atletas!N130="Yang D",319,IF(Atletas!N130="Chen D",320,IF(Atletas!N130="Sun D",321,IF(Atletas!N130="Wu D",322,IF(Atletas!N130="Wu-Hao D",323,IF(Atletas!N130="Outro Taijiquan D",324,IF(Atletas!N130="Yang E",325,IF(Atletas!N130="Chen E",326,IF(Atletas!N130="Sun E",327,IF(Atletas!N130="Wu E",328,IF(Atletas!N130="Wu-Hao E",329,IF(Atletas!N130="Outro Taijiquan E",330,IF(Atletas!N130="Yang F",331,IF(Atletas!N130="Chen F",332,IF(Atletas!N130="Sun F",333,IF(Atletas!N130="Wu F",334,IF(Atletas!N130="Wu-Hao F",335,IF(Atletas!N130="Outro Taijiquan F",336,"")))))))))))))))))))))))))))))))))))))</f>
        <v/>
      </c>
      <c r="BP134" s="52" t="str">
        <f>IF(Atletas!O130="","",IF(Atletas!W130&lt;&gt;"",10000,0)+IF(Atletas!B130="Feminino",1000,IF(Atletas!B130="Masculino",2000,""))+IF(OR(Atletas!O130="Yang 26 A",Atletas!O130="Yang 40 A"),401,IF(OR(Atletas!O130="Chen 25 A",Atletas!O130="Chen 36 A",Atletas!O130="Chen 56 A"),402,IF(Atletas!O130="Sun 73 A",403,IF(Atletas!O130="Wu 45 A",404,IF(Atletas!O130="Wu-Hao 46 A",405,IF(OR(Atletas!O130="Taijiquan 16 A",Atletas!O130="Taijiquan 24 A",Atletas!O130="Taijiquan 32 A",Atletas!O130="Taijiquan 42 A"),406,IF(OR(Atletas!O130="Yang 26 B",Atletas!O130="Yang 40 B"),407,IF(OR(Atletas!O130="Chen 25 B",Atletas!O130="Chen 36 B",Atletas!O130="Chen 56 B"),408,IF(Atletas!O130="Sun 73 B",409,IF(Atletas!O130="Wu 45 B",410,IF(Atletas!O130="Wu-Hao 46 B",411,IF(OR(Atletas!O130="Taijiquan 16 B",Atletas!O130="Taijiquan 24 B",Atletas!O130="Taijiquan 32 B",Atletas!O130="Taijiquan 42 B"),412,IF(OR(Atletas!O130="Yang 26 C",Atletas!O130="Yang 40 C"),413,IF(OR(Atletas!O130="Chen 25 C",Atletas!O130="Chen 36 C",Atletas!O130="Chen 56 C"),414,IF(Atletas!O130="Sun 73 C",415,IF(Atletas!O130="Wu 45 C",416,IF(Atletas!O130="Wu-Hao 46 C",417,IF(OR(Atletas!O130="Taijiquan 16 C",Atletas!O130="Taijiquan 24 C",Atletas!O130="Taijiquan 32 C",Atletas!O130="Taijiquan 42 C"),418,0)))))))))))))))))))</f>
        <v/>
      </c>
      <c r="BQ134" s="52" t="str">
        <f>IF(Atletas!O130="","",IF(Atletas!W130&lt;&gt;"",10000,0)+IF(Atletas!B130="Feminino",1000,IF(Atletas!B130="Masculino",2000,""))+IF(OR(Atletas!O130="Yang 26 D",Atletas!O130="Yang 40 D"),419,IF(OR(Atletas!O130="Chen 25 D",Atletas!O130="Chen 36 D",Atletas!O130="Chen 56 D"),420,IF(Atletas!O130="Sun 73 D",421,IF(Atletas!O130="Wu 45 D",422,IF(Atletas!O130="Wu-Hao 46 D",423,IF(OR(Atletas!O130="Taijiquan 16 D",Atletas!O130="Taijiquan 24 D",Atletas!O130="Taijiquan 32 D",Atletas!O130="Taijiquan 42 D"),424,IF(OR(Atletas!O130="Yang 26 E",Atletas!O130="Yang 40 E"),425,IF(OR(Atletas!O130="Chen 25 E",Atletas!O130="Chen 36 E",Atletas!O130="Chen 56 E"),426,IF(Atletas!O130="Sun 73 E",427,IF(Atletas!O130="Wu 45 E",428,IF(Atletas!O130="Wu-Hao 46 E",429,IF(OR(Atletas!O130="Taijiquan 16 E",Atletas!O130="Taijiquan 24 E",Atletas!O130="Taijiquan 32 E",Atletas!O130="Taijiquan 42 E"),430,IF(OR(Atletas!O130="Yang 26 F",Atletas!O130="Yang 40 F"),431,IF(OR(Atletas!O130="Chen 25 F",Atletas!O130="Chen 36 F",Atletas!O130="Chen 56 F"),432,IF(Atletas!O130="Sun 73 F",433,IF(Atletas!O130="Wu 45 F",434,IF(Atletas!O130="Wu-Hao 46 F",435,IF(OR(Atletas!O130="Taijiquan 16 F",Atletas!O130="Taijiquan 24 F",Atletas!O130="Taijiquan 32 F",Atletas!O130="Taijiquan 42 F"),436,0)))))))))))))))))))</f>
        <v/>
      </c>
      <c r="BR134" s="52" t="str">
        <f>IF(Atletas!P130="","",IF(Atletas!W130&lt;&gt;"",10000,0)+IF(Atletas!B130="Feminino",1000,IF(Atletas!B130="Masculino",2000,""))+IF(Atletas!P130="Xingyiquan A",501,IF(Atletas!P130="Baguazhang A",502,IF(Atletas!P130="Outro Estilo Interno A",503,IF(Atletas!P130="Xingyiquan B",504,IF(Atletas!P130="Baguazhang B",505,IF(Atletas!P130="Outro Estilo Interno B",506,IF(Atletas!P130="Xingyiquan C",507,IF(Atletas!P130="Baguazhang C",508,IF(Atletas!P130="Outro Estilo Interno C",509,IF(Atletas!P130="Xingyiquan D",510,IF(Atletas!P130="Baguazhang D",511,IF(Atletas!P130="Outro Estilo Interno D",512,IF(Atletas!P130="Xingyiquan E",513,IF(Atletas!P130="Baguazhang E",514,IF(Atletas!P130="Outro Estilo Interno E",515,IF(Atletas!P130="Xingyiquan F",516,IF(Atletas!P130="Baguazhang F",517,IF(Atletas!P130="Outro Estilo Interno F",518, "")))))))))))))))))))</f>
        <v/>
      </c>
      <c r="BS134" s="52" t="str">
        <f>IF(Atletas!Q130="","",IF(Atletas!W130&lt;&gt;"",10000,0)+IF(Atletas!B130="Feminino",1000,IF(Atletas!B130="Masculino",2000,""))+IF(Atletas!Q130="Dao A",601,IF(Atletas!Q130="Jian A",602,IF(Atletas!Q130="Bishou A",603,IF(Atletas!Q130="Shan A",604,IF(Atletas!Q130="Outra Arma Curta A",605,IF(Atletas!Q130="Dao B",606,IF(Atletas!Q130="Jian B",607,IF(Atletas!Q130="Bishou B",608,IF(Atletas!Q130="Shan B",609,IF(Atletas!Q130="Outra Arma Curta B",610,IF(Atletas!Q130="Dao C",611,IF(Atletas!Q130="Jian C",612,IF(Atletas!Q130="Bishou C",613,IF(Atletas!Q130="Shan C",614,IF(Atletas!Q130="Outra Arma Curta C",615,IF(Atletas!Q130="Dao D",616,IF(Atletas!Q130="Jian D",617,IF(Atletas!Q130="Bishou D",618,IF(Atletas!Q130="Shan D",619,IF(Atletas!Q130="Outra Arma Curta D",620,IF(Atletas!Q130="Dao E",621,IF(Atletas!Q130="Jian E",622,IF(Atletas!Q130="Bishou E",623,IF(Atletas!Q130="Shan E",624,IF(Atletas!Q130="Outra Arma Curta E",625,IF(Atletas!Q130="Dao F",626,IF(Atletas!Q130="Jian F",627,IF(Atletas!Q130="Bishou F",628,IF(Atletas!Q130="Shan F",629,IF(Atletas!Q130="Outra Arma Curta F",630, "")))))))))))))))))))))))))))))))</f>
        <v/>
      </c>
      <c r="BT134" s="52" t="str">
        <f>IF(Atletas!R130="","",IF(Atletas!W130&lt;&gt;"",10000,0)+IF(Atletas!B130="Feminino",1000,IF(Atletas!B130="Masculino",2000,""))+IF(Atletas!R130="Gun A",701,IF(Atletas!R130="Qiang A",702,IF(Atletas!R130="Pudao / Guandao A",703,IF(Atletas!R130="Outra Arma Longa A",704,IF(Atletas!R130="Gun B",705,IF(Atletas!R130="Qiang B",706,IF(Atletas!R130="Pudao / Guandao B",707,IF(Atletas!R130="Outra Arma Longa B",708,IF(Atletas!R130="Gun C",709,IF(Atletas!R130="Qiang C",710,IF(Atletas!R130="Pudao / Guandao C",711,IF(Atletas!R130="Outra Arma Longa C",712,IF(Atletas!R130="Gun D",713,IF(Atletas!R130="Qiang D",714,IF(Atletas!R130="Pudao / Guandao D",715,IF(Atletas!R130="Outra Arma Longa D",716,IF(Atletas!R130="Gun E",717,IF(Atletas!R130="Qiang E",718,IF(Atletas!R130="Pudao / Guandao E",719,IF(Atletas!R130="Outra Arma Longa E",720,IF(Atletas!R130="Gun F",721,IF(Atletas!R130="Qiang F",722,IF(Atletas!R130="Pudao / Guandao F",723,IF(Atletas!R130="Outra Arma Longa F",724,"")))))))))))))))))))))))))</f>
        <v/>
      </c>
      <c r="BU134" s="52" t="str">
        <f>IF(Atletas!S130="","",IF(Atletas!W130&lt;&gt;"",10000,0)+IF(Atletas!B130="Feminino",1000,IF(Atletas!B130="Masculino",2000,""))+IF(Atletas!S130="Arma Dupla A",801,IF(Atletas!S130="Arma Maleável A",802,IF(Atletas!S130="Arma Dupla B",803,IF(Atletas!S130="Arma Maleável B",804,IF(Atletas!S130="Arma Dupla C",805,IF(Atletas!S130="Arma Maleável C",806,IF(Atletas!S130="Arma Dupla D",807,IF(Atletas!S130="Arma Maleável D",808,IF(Atletas!S130="Arma Dupla E",809,IF(Atletas!S130="Arma Maleável E",810,IF(Atletas!S130="Arma Dupla F",811,IF(Atletas!S130="Arma Maleável F",812, "")))))))))))))</f>
        <v/>
      </c>
      <c r="BV134" s="52" t="str">
        <f>IF(Atletas!T130="","",IF(Atletas!W130&lt;&gt;"",10000,0)+IF(Atletas!B130="Feminino",1000,IF(Atletas!B130="Masculino",2000,""))+IF(Atletas!T130="Taijijian Yang A",901,IF(Atletas!T130="Taijijian Chen A",902,IF(Atletas!T130="Taijijian Sun A",903,IF(Atletas!T130="Taijijian Wu A",904,IF(Atletas!T130="Taijijian Wu-Hao A",905,IF(Atletas!T130="Taijijian 32 A",906,IF(Atletas!T130="Taijijian 42 A",907,IF(Atletas!T130="Taijijian Yang B",908,IF(Atletas!T130="Taijijian Chen B",909,IF(Atletas!T130="Taijijian Sun B",910,IF(Atletas!T130="Taijijian Wu B",911,IF(Atletas!T130="Taijijian Wu-Hao B",912,IF(Atletas!T130="Taijijian 32 B",913,IF(Atletas!T130="Taijijian 42 B",914,IF(Atletas!T130="Taijijian Yang C",915,IF(Atletas!T130="Taijijian Chen C",916,IF(Atletas!T130="Taijijian Sun C",917,IF(Atletas!T130="Taijijian Wu C",918,IF(Atletas!T130="Taijijian Wu-Hao C",919,IF(Atletas!T130="Taijijian 32 C",920,IF(Atletas!T130="Taijijian 42 C",921,IF(Atletas!T130="Taijijian Yang D",922,IF(Atletas!T130="Taijijian Chen D",923,IF(Atletas!T130="Taijijian Sun D",924,IF(Atletas!T130="Taijijian Wu D",925,IF(Atletas!T130="Taijijian Wu-Hao D",926,IF(Atletas!T130="Taijijian 32 D",927,IF(Atletas!T130="Taijijian 42 D",928,IF(Atletas!T130="Taijijian Yang E",929,IF(Atletas!T130="Taijijian Chen E",930,IF(Atletas!T130="Taijijian Sun E",931,IF(Atletas!T130="Taijijian Wu E",932,IF(Atletas!T130="Taijijian Wu-Hao E",933,IF(Atletas!T130="Taijijian 32 E",934,IF(Atletas!T130="Taijijian 42 E",935,IF(Atletas!T130="Taijijian Yang F",936,IF(Atletas!T130="Taijijian Chen F",937,IF(Atletas!T130="Taijijian Sun F",938,IF(Atletas!T130="Taijijian Wu F",939,IF(Atletas!T130="Taijijian Wu-Hao F",940,IF(Atletas!T130="Taijijian 32 F",941,IF(Atletas!T130="Taijijian 42 F",942,"")))))))))))))))))))))))))))))))))))))))))))</f>
        <v/>
      </c>
      <c r="BW134" s="52" t="str">
        <f>IF(Atletas!U130="","",IF(Atletas!W130&lt;&gt;"",10000,0)+IF(Atletas!B130="Feminino",1000,IF(Atletas!B130="Masculino",2000,""))+IF(Atletas!T130="Taijijian 42 F",942,IF(Atletas!U130="Taijidao A",943,IF(Atletas!U130="Taijishan A",944,IF(Atletas!U130="Taijiqiang A",945,IF(Atletas!U130="Taijidao B",946,IF(Atletas!U130="Taijishan B",947,IF(Atletas!U130="Taijiqiang B",948,IF(Atletas!U130="Taijidao C",949,IF(Atletas!U130="Taijishan C",950,IF(Atletas!U130="Taijiqiang C",951,IF(Atletas!U130="Taijidao D",952,IF(Atletas!U130="Taijishan D",953,IF(Atletas!U130="Taijiqiang D",954,IF(Atletas!U130="Taijidao E",955,IF(Atletas!U130="Taijishan E",956,IF(Atletas!U130="Taijiqiang E",957,IF(Atletas!U130="Taijidao F",958,IF(Atletas!U130="Taijishan F",959,IF(Atletas!U130="Taijiqiang F",960))))))))))))))))))))</f>
        <v/>
      </c>
      <c r="BX134" s="72" t="str">
        <f>IF(BY134&lt;&gt;"","TJQ Trad. Chen A","")</f>
        <v/>
      </c>
      <c r="BY134" s="72" t="str">
        <f>IF(COUNTIF(BK:BW,1302)&gt;0,COUNTIF(BK:BW,1302),"")</f>
        <v/>
      </c>
      <c r="BZ134" s="72" t="str">
        <f>IF(CA134&lt;&gt;"","TJQ Trad. Chen A","")</f>
        <v/>
      </c>
      <c r="CA134" s="72" t="str">
        <f>IF(COUNTIF(BK:BW,2302)&gt;0,COUNTIF(BK:BW,2302),"")</f>
        <v/>
      </c>
      <c r="CB134" s="72" t="str">
        <f>IF(CC134&lt;&gt;"","Chen A","")</f>
        <v/>
      </c>
      <c r="CC134" s="64" t="str">
        <f>IF(COUNTIF(BK:BW,11302)&gt;0,COUNTIF(BK:BW,11302),"")</f>
        <v/>
      </c>
      <c r="CD134" s="64" t="str">
        <f>IF(CE134&lt;&gt;"","Chen A","")</f>
        <v/>
      </c>
      <c r="CE134" s="64" t="str">
        <f>IF(COUNTIF(BK:BW,12302)&gt;0,COUNTIF(BK:BW,12302),"")</f>
        <v/>
      </c>
      <c r="CF134" s="52" t="str">
        <f xml:space="preserve"> IF(Atletas!V130="","",IF(Atletas!V130="Duilian de Mãos AB - Equipe 1",1,IF(Atletas!V130="Duilian de Mãos AB - Equipe 2",2,IF(Atletas!V130="Duilian de Armas AB - Equipe 1",3,IF(Atletas!V130="Duilian de Armas AB - Equipe 2",4,IF(Atletas!V130="Duilian de Tuishou - Equipe 1",5,IF(Atletas!V130="Duilian de Tuishou - Equipe 2",6,IF(Atletas!V130="Grupo Externo AB - Equipe 1",7,IF(Atletas!V130="Grupo Externo AB - Equipe 2",8,IF(Atletas!V130="Grupo Interno AB - Equipe 1",9,IF(Atletas!V130="Grupo Interno AB - Equipe 2",10,IF(Atletas!V130="Duilian de Mãos CD - Equipe 1",11,IF(Atletas!V130="Duilian de Mãos CD - Equipe 2",12,IF(Atletas!V130="Duilian de Armas CD - Equipe 1",13,IF(Atletas!V130="Duilian de Armas CD - Equipe 2",14,IF(Atletas!V130="Duilian de Tuishou - Equipe 1",15,IF(Atletas!V130="Duilian de Tuishou - Equipe 2",16,IF(Atletas!V130="Grupo Externo CDEF - Equipe 1",17,IF(Atletas!V130="Grupo Externo CDEF - Equipe 2",18,IF(Atletas!V130="Grupo Interno CDEF - Equipe 1",19,IF(Atletas!V130="Grupo Interno CDEF - Equipe 2",20,IF(Atletas!V130="Duilian de Mãos EF - Equipe 1",21,IF(Atletas!V130="Duilian de Mãos EF - Equipe 2",22,IF(Atletas!V130="Duilian de Armas EF - Equipe 1",23,IF(Atletas!V130="Duilian de Armas EF - Equipe 2",24,IF(Atletas!V130="Duilian de Tuishou - Equipe 1",25,IF(Atletas!V130="Duilian de Tuishou - Equipe 2",26,"")))))))))))))))))))))))))))</f>
        <v/>
      </c>
    </row>
    <row r="135" spans="2:84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 t="str">
        <f t="array" ref="V135">IFERROR(INDEX(BX$7:BX$336,SMALL(IF(BX$7:BX$336&lt;&gt;"",ROW(BX$7:BX$336)-ROW(BX$7)+1),ROWS(BX$7:BX134))),"")</f>
        <v/>
      </c>
      <c r="W135" s="4" t="str">
        <f t="array" ref="W135">IFERROR(INDEX(BY$7:BY$336,SMALL(IF(BY$7:BY$336&lt;&gt;"",ROW(BY$7:BY$336)-ROW(BY$7)+1),ROWS(BY$7:BY134))),"")</f>
        <v/>
      </c>
      <c r="X135" s="4" t="str">
        <f t="array" ref="X135">IFERROR(INDEX(BZ$7:BZ$336,SMALL(IF(BZ$7:BZ$336&lt;&gt;"",ROW(BZ$7:BZ$336)-ROW(BZ$7)+1),ROWS(BZ$7:BZ134))),"")</f>
        <v/>
      </c>
      <c r="Y135" s="4" t="str">
        <f t="array" ref="Y135">IFERROR(INDEX(CA$7:CA$336,SMALL(IF(CA$7:CA$336&lt;&gt;"",ROW(CA$7:CA$336)-ROW(CA$7)+1),ROWS(CA$7:CA134))),"")</f>
        <v/>
      </c>
      <c r="Z135" s="4" t="str">
        <f t="array" ref="Z135">IFERROR(INDEX(CB$7:CB$378,SMALL(IF(CB$7:CB$378&lt;&gt;"",ROW(CB$7:CB$378)-ROW(CB$7)+1),ROWS(CB$7:CB134))),"")</f>
        <v/>
      </c>
      <c r="AA135" s="4" t="str">
        <f t="array" ref="AA135">IFERROR(INDEX(CC$7:CC$378,SMALL(IF(CC$7:CC$378&lt;&gt;"",ROW(CC$7:CC$378)-ROW(CC$7)+1),ROWS(CC$7:CC134))),"")</f>
        <v/>
      </c>
      <c r="AB135" s="4" t="str">
        <f t="array" ref="AB135">IFERROR(INDEX(CD$7:CD$378,SMALL(IF(CD$7:CD$378&lt;&gt;"",ROW(CD$7:CD$378)-ROW(CD$7)+1),ROWS(CD$7:CD134))),"")</f>
        <v/>
      </c>
      <c r="AC135" s="4" t="str">
        <f t="array" ref="AC135">IFERROR(INDEX(CE$7:CE$378,SMALL(IF(CE$7:CE$378&lt;&gt;"",ROW(CE$7:CE$378)-ROW(CE$7)+1),ROWS(CE$7:CE134))),"")</f>
        <v/>
      </c>
      <c r="AD135" s="4"/>
      <c r="AE135" s="4"/>
      <c r="AF135" s="4"/>
      <c r="AG135" s="4"/>
      <c r="AH135" s="4"/>
      <c r="AI135" s="4"/>
      <c r="AJ135" s="46" t="str">
        <f>IF(Atletas!D131="","",IF(Atletas!B131="Feminino",100,IF(Atletas!B131="Masculino",200,""))+(IF(Atletas!D131="Infantil 39kg",1,IF(Atletas!D131="Infantil 42kg",2,IF(Atletas!D131="Infantil 45kg",3,IF(Atletas!D131="Infantil 48kg",4,IF(Atletas!D131="Infantil 52kg",5,IF(Atletas!D131="Infantil 56kg",6,IF(Atletas!D131="Infantil 60kg",7,IF(Atletas!D131="Juvenil 48kg",8,IF(Atletas!D131="Juvenil 52kg",9,IF(Atletas!D131="Juvenil 56kg",10,IF(Atletas!D131="Juvenil 60kg",11,IF(Atletas!D131="Juvenil 65kg",12,IF(Atletas!D131="Juvenil 70kg",13,IF(Atletas!D131="Juvenil 75kg",14,IF(Atletas!D131="Juvenil 80kg",15,IF(Atletas!D131="Adulto 48kg",16,IF(Atletas!D131="Adulto 52kg",17,IF(Atletas!D131="Adulto 56kg",18,IF(Atletas!D131="Adulto 60kg",19,IF(Atletas!D131="Adulto 65kg",20,IF(Atletas!D131="Adulto 70kg",21,IF(Atletas!D131="Adulto 75kg",22,IF(Atletas!D131="Adulto 80kg",23,IF(Atletas!D131="Adulto 85kg",24,IF(Atletas!D131="Adulto 90kg",25,IF(Atletas!D131="Adulto +90kg",26,""))))))))))))))))))))))))))))</f>
        <v/>
      </c>
      <c r="AO135" s="10" t="str">
        <f>IF(Atletas!E131="","",IF(Atletas!B131="Feminino",100,IF(Atletas!B131="Masculino",200,""))+(IF(Atletas!E131="Juvenil 44kg",1,IF(Atletas!E131="Juvenil 48kg",2,IF(Atletas!E131="Juvenil 52kg",3,IF(Atletas!E131="Juvenil 56kg",4,IF(Atletas!E131="Juvenil 60kg",5,IF(Atletas!E131="Juvenil 65kg",6,IF(Atletas!E131="Juvenil 70kg",7,IF(Atletas!E131="Juvenil 75kg",8,IF(Atletas!E131="Juvenil 82kg",9,IF(Atletas!E131="Juvenil 90kg",10,IF(Atletas!E131="Juvenil 100kg",11,IF(Atletas!E131="Adulto 48kg",12,IF(Atletas!E131="Adulto 52kg",13,IF(Atletas!E131="Adulto 56kg",14,IF(Atletas!E131="Adulto 60kg",15,IF(Atletas!E131="Adulto 65kg",16,IF(Atletas!E131="Adulto 70kg",17,IF(Atletas!E131="Adulto 75kg",18,IF(Atletas!E131="Adulto 82kg",19,IF(Atletas!E131="Adulto 90kg",20,IF(Atletas!E131="Adulto 100kg",21,IF(Atletas!E131="Adulto +100kg",22,""))))))))))))))))))))))))</f>
        <v/>
      </c>
      <c r="AT135" s="10" t="str">
        <f>IF(Atletas!F131="","",IF(Atletas!B131="Feminino",100,IF(Atletas!B131="Masculino",200,""))+(IF(Atletas!F131="Adulto 48kg",1,IF(Atletas!F131="Adulto 56kg",2,IF(Atletas!F131="Adulto 65kg",3,IF(Atletas!F131="Adulto 75kg",4,IF(Atletas!F131="Adulto +75kg",5,IF(Atletas!F131="Adulto 52kg",6,IF(Atletas!F131="Adulto 60kg",7,IF(Atletas!F131="Adulto 70kg",8,IF(Atletas!F131="Adulto 80kg",9,IF(Atletas!F131="Adulto 90kg",10,IF(Atletas!F131="Adulto +90kg",11,"")))))))))))))</f>
        <v/>
      </c>
      <c r="AY135" s="46" t="str">
        <f>IF(Atletas!G131="","",IF(Atletas!B131="Feminino",100,IF(Atletas!B131="Masculino",200,""))+(IF(Atletas!G131="Changquan Mirim",1,IF(Atletas!G131="Nanquan Mirim",2,IF(Atletas!G131="Taijiquan Mirim",3,IF(Atletas!G131="Changquan Grupo C",4,IF(Atletas!G131="Nanquan Grupo C",5,IF(Atletas!G131="Taijiquan Grupo C",6,IF(Atletas!G131="Changquan Grupo B",7,IF(Atletas!G131="Nanquan Grupo B",8,IF(Atletas!G131="Taijiquan Grupo B",9,IF(Atletas!G131="Changquan Grupo A",10,IF(Atletas!G131="Nanquan Grupo A",11,IF(Atletas!G131="Taijiquan Grupo A",12,IF(Atletas!G131="Changquan Opcional",13,IF(Atletas!G131="Nanquan Opcional",14,IF(Atletas!G131="Taijiquan Opcional",15,IF(Atletas!G131="Changquan Adulto",16,IF(Atletas!G131="Nanquan Adulto",17,IF(Atletas!G131="Taijiquan Adulto",18,""))))))))))))))))))))</f>
        <v/>
      </c>
      <c r="AZ135" s="46" t="str">
        <f>IF(Atletas!H131="","",IF(Atletas!B131="Feminino",100,IF(Atletas!B131="Masculino",200,""))+(IF(Atletas!H131="Daoshu Mirim",19,IF(Atletas!H131="Jianshu Mirim",20,IF(Atletas!H131="Nandao Mirim",21,IF(Atletas!H131="Taijijian Mirim",22,IF(Atletas!H131="Daoshu Grupo C",23,IF(Atletas!H131="Jianshu Grupo C",24,IF(Atletas!H131="Nandao Grupo C",25,IF(Atletas!H131="Taijijian Grupo C",26,IF(Atletas!H131="Daoshu Grupo B",27,IF(Atletas!H131="Jianshu Grupo B",28,IF(Atletas!H131="Nandao Grupo B",29,IF(Atletas!H131="Taijijian Grupo B",30,IF(Atletas!H131="Daoshu Grupo A",31,IF(Atletas!H131="Jianshu Grupo A",32,IF(Atletas!H131="Nandao Grupo A",33,IF(Atletas!H131="Taijijian Grupo A",34,IF(Atletas!H131="Daoshu Opcional",35,IF(Atletas!H131="Jianshu Opcional",36,IF(Atletas!H131="Nandao Opcional",37,IF(Atletas!H131="Taijijian Opcional",38,IF(Atletas!H131="Daoshu Adulto",39,IF(Atletas!H131="Jianshu Adulto",40,IF(Atletas!H131="Nandao Adulto",41,IF(Atletas!H131="Taijijian Adulto",42,""))))))))))))))))))))))))))</f>
        <v/>
      </c>
      <c r="BA135" s="46" t="str">
        <f>IF(Atletas!I131="","",IF(Atletas!B131="Feminino",100,IF(Atletas!B131="Masculino",200,""))+(IF(Atletas!I131="Gunshu Mirim",43,IF(Atletas!I131="Qiangshu Mirim",44,IF(Atletas!I131="Nangun Mirim",45,IF(Atletas!I131="Gunshu Grupo C",46,IF(Atletas!I131="Qiangshu Grupo C",47,IF(Atletas!I131="Nangun Grupo C",48,IF(Atletas!I131="Gunshu Grupo B",49,IF(Atletas!I131="Qiangshu Grupo B",50,IF(Atletas!I131="Nangun Grupo B",51,IF(Atletas!I131="Gunshu Grupo A",52,IF(Atletas!I131="Qiangshu Grupo A",53,IF(Atletas!I131="Nangun Grupo A",54,IF(Atletas!I131="Gunshu Opcional",55,IF(Atletas!I131="Qiangshu Opcional",56,IF(Atletas!I131="Nangun Opcional",57,IF(Atletas!I131="Gunshu Adulto",58,IF(Atletas!I131="Qiangshu Adulto",59,IF(Atletas!I131="Nangun Adulto",60,""))))))))))))))))))))</f>
        <v/>
      </c>
      <c r="BF135" s="52" t="str">
        <f>IF(Atletas!J131="","",IF(Atletas!B131="Feminino",100,IF(Atletas!B131="Masculino",200,""))+(IF(Atletas!J131="Equipe 1 Grupo B",1,IF(Atletas!J131="Equipe 2 Grupo B",2,IF(Atletas!J131="Equipe 1 Grupo A",3,IF(Atletas!J131="Equipe 2 Grupo A",4,IF(Atletas!J131="Equipe 1 Adulto",5,IF(Atletas!J131="Equipe 2 Adulto",6,""))))))))</f>
        <v/>
      </c>
      <c r="BK135" s="52" t="str">
        <f>IF(Atletas!K131="","",IF(Atletas!W131&lt;&gt;"",10000,0)+(IF(Atletas!B131="Feminino",1000,IF(Atletas!B131="Masculino",2000,""))+IF(Atletas!K131="Choylayfut A",1,IF(Atletas!K131="Hunggar A",2,IF(Atletas!K131="Wuzuquan A",3,IF(Atletas!K131="Wingchun A",4,IF(Atletas!K131="Outra Mão de Sul A",5,IF(Atletas!K131="Choylayfut B",6,IF(Atletas!K131="Hunggar B",7,IF(Atletas!K131="Wuzuquan B",8,IF(Atletas!K131="Wingchun B",9,IF(Atletas!K131="Outra Mão de Sul B",10,IF(Atletas!K131="Choylayfut C",11,IF(Atletas!K131="Hunggar C",12,IF(Atletas!K131="Wuzuquan C",13,IF(Atletas!K131="Wingchun C",14,IF(Atletas!K131="Outra Mão de Sul C",15,IF(Atletas!K131="Choylayfut D",16,IF(Atletas!K131="Hunggar D",17,IF(Atletas!K131="Wuzuquan D",18,IF(Atletas!K131="Wingchun D",19,IF(Atletas!K131="Outra Mão de Sul D",20,IF(Atletas!K131="Choylayfut E",21,IF(Atletas!K131="Hunggar E",22,IF(Atletas!K131="Wuzuquan E",23,IF(Atletas!K131="Wingchun E",24,IF(Atletas!K131="Outra Mão de Sul E",25,IF(Atletas!K131="Choylayfut F",26,IF(Atletas!K131="Hunggar F",27,IF(Atletas!K131="Wuzuquan F",28,IF(Atletas!K131="Wingchun F",29,IF(Atletas!K131="Outra Mão de Sul F",30,""))))))))))))))))))))))))))))))))</f>
        <v/>
      </c>
      <c r="BL135" s="52" t="str">
        <f>IF(Atletas!L131="","",IF(Atletas!W131&lt;&gt;"",10000,0)+(IF(Atletas!B131="Feminino",1000,IF(Atletas!B131="Masculino",2000,""))+(IF(Atletas!L131="Chaquan A",101,IF(Atletas!L131="Emeiquan A",102,IF(Atletas!L131="Fanziquan A",103,IF(Atletas!L131="Huaquan A",104,IF(Atletas!L131="Hongquan A",105,IF(Atletas!L131="Paochui A",106,IF(Atletas!L131="Piguaquan A",107,IF(Atletas!L131="Shaolinquan A",108,IF(Atletas!L131="Tanglangquan A",109,IF(Atletas!L131="Yinzhaophai A",110,IF(Atletas!L131="Tongbeiquan A",111,IF(Atletas!L131="Wudangquan A",112,IF(Atletas!L131="Outros Estilos A",113,IF(Atletas!L131="Chaquan B",114,IF(Atletas!L131="Emeiquan B",115,IF(Atletas!L131="Fanziquan B",116,IF(Atletas!L131="Huaquan B",117,IF(Atletas!L131="Hongquan B",118,IF(Atletas!L131="Paochui B",119,IF(Atletas!L131="Piguaquan B",120,IF(Atletas!L131="Shaolinquan B",121,IF(Atletas!L131="Tanglangquan B",122,IF(Atletas!L131="Yinzhaophai B",123,IF(Atletas!L131="Tongbeiquan B",124,IF(Atletas!L131="Wudangquan B",125,IF(Atletas!L131="Outros Estilos B",126,IF(Atletas!L131="Chaquan C",127,IF(Atletas!L131="Emeiquan C",128,IF(Atletas!L131="Fanziquan C",129,IF(Atletas!L131="Huaquan C",130,IF(Atletas!L131="Hongquan C",131,IF(Atletas!L131="Paochui C",132,IF(Atletas!L131="Piguaquan C",133,IF(Atletas!L131="Shaolinquan C",134,IF(Atletas!L131="Tanglangquan C",135,IF(Atletas!L131="Yinzhaophai C",136,IF(Atletas!L131="Tongbeiquan C",137,IF(Atletas!L131="Wudangquan C",138,IF(Atletas!L131="Outros Estilos C",139,0))))))))))))))))))))))))))))))))))))))))))</f>
        <v/>
      </c>
      <c r="BM135" s="52" t="str">
        <f>IF(Atletas!L131="","",IF(Atletas!W131&lt;&gt;"",10000,0)+(IF(Atletas!B131="Feminino",1000,IF(Atletas!B131="Masculino",2000,""))+(IF(Atletas!L131="Chaquan D",140,IF(Atletas!L131="Emeiquan D",141,IF(Atletas!L131="Fanziquan D",142,IF(Atletas!L131="Huaquan D",143,IF(Atletas!L131="Hongquan D",144,IF(Atletas!L131="Paochui D",145,IF(Atletas!L131="Piguaquan D",146,IF(Atletas!L131="Shaolinquan D",147,IF(Atletas!L131="Tanglangquan D",148,IF(Atletas!L131="Yinzhaophai D",149,IF(Atletas!L131="Tongbeiquan D",150,IF(Atletas!L131="Wudangquan D",151,IF(Atletas!L131="Outros Estilos D",152,IF(Atletas!L131="Chaquan E",153,IF(Atletas!L131="Emeiquan E",154,IF(Atletas!L131="Fanziquan E",155,IF(Atletas!L131="Huaquan E",156,IF(Atletas!L131="Hongquan E",157,IF(Atletas!L131="Paochui E",158,IF(Atletas!L131="Piguaquan E",159,IF(Atletas!L131="Shaolinquan E",160,IF(Atletas!L131="Tanglangquan E",161,IF(Atletas!L131="Yinzhaophai E",162,IF(Atletas!L131="Tongbeiquan E",163,IF(Atletas!L131="Wudangquan E",164,IF(Atletas!L131="Outros Estilos E",165,IF(Atletas!L131="Chaquan F",166,IF(Atletas!L131="Emeiquan F",167,IF(Atletas!L131="Fanziquan F",168,IF(Atletas!L131="Huaquan F",169,IF(Atletas!L131="Hongquan F",170,IF(Atletas!L131="Paochui F",171,IF(Atletas!L131="Piguaquan F",172,IF(Atletas!L131="Shaolinquan F",173,IF(Atletas!L131="Tanglangquan F",174,IF(Atletas!L131="Yinzhaophai F",175,IF(Atletas!L131="Tongbeiquan F",176,IF(Atletas!L131="Wudangquan F",177,IF(Atletas!L131="Outros Estilos F",178,0))))))))))))))))))))))))))))))))))))))))))</f>
        <v/>
      </c>
      <c r="BN135" s="52" t="str">
        <f>IF(Atletas!M131="","",IF(Atletas!W131&lt;&gt;"",10000,0)+(IF(Atletas!B131="Feminino",1000,IF(Atletas!B131="Masculino",2000,""))+(IF(Atletas!M131="Ditangquan A",201,IF(Atletas!M131="Houquan A",202,IF(Atletas!M131="Zuiquan A",203,IF(Atletas!M131="Ditangquan B",204,IF(Atletas!M131="Houquan B",205,IF(Atletas!M131="Zuiquan B",206,IF(Atletas!M131="Ditangquan C",207,IF(Atletas!M131="Houquan C",208,IF(Atletas!M131="Zuiquan C",209,IF(Atletas!M131="Ditangquan D",210,IF(Atletas!M131="Houquan D",211,IF(Atletas!M131="Zuiquan D",212,IF(Atletas!M131="Ditangquan E",213,IF(Atletas!M131="Houquan E",214,IF(Atletas!M131="Zuiquan E",215,IF(Atletas!M131="Ditangquan F",216,IF(Atletas!M131="Houquan F",217,IF(Atletas!M131="Zuiquan F",218,"")))))))))))))))))))))</f>
        <v/>
      </c>
      <c r="BO135" s="52" t="str">
        <f>IF(Atletas!N131="","",IF(Atletas!W131&lt;&gt;"",10000,0)+IF(Atletas!B131="Feminino",1000,IF(Atletas!B131="Masculino",2000,""))+IF(Atletas!N131="Yang A",301,IF(Atletas!N131="Chen A",30,IF(Atletas!N131="Sun A",303,IF(Atletas!N131="Wu A",304,IF(Atletas!N131="Wu-Hao A",305,IF(Atletas!N131="Outro Taijiquan A",306,IF(Atletas!N131="Yang B",307,IF(Atletas!N131="Chen B",308,IF(Atletas!N131="Sun B",309,IF(Atletas!N131="Wu B",310,IF(Atletas!N131="Wu-Hao B",311,IF(Atletas!N131="Outro Taijiquan B",312,IF(Atletas!N131="Yang C",313,IF(Atletas!N131="Chen C",314,IF(Atletas!N131="Sun C",315,IF(Atletas!N131="Wu C",316,IF(Atletas!N131="Wu-Hao C",317,IF(Atletas!N131="Outro Taijiquan C",318,IF(Atletas!N131="Yang D",319,IF(Atletas!N131="Chen D",320,IF(Atletas!N131="Sun D",321,IF(Atletas!N131="Wu D",322,IF(Atletas!N131="Wu-Hao D",323,IF(Atletas!N131="Outro Taijiquan D",324,IF(Atletas!N131="Yang E",325,IF(Atletas!N131="Chen E",326,IF(Atletas!N131="Sun E",327,IF(Atletas!N131="Wu E",328,IF(Atletas!N131="Wu-Hao E",329,IF(Atletas!N131="Outro Taijiquan E",330,IF(Atletas!N131="Yang F",331,IF(Atletas!N131="Chen F",332,IF(Atletas!N131="Sun F",333,IF(Atletas!N131="Wu F",334,IF(Atletas!N131="Wu-Hao F",335,IF(Atletas!N131="Outro Taijiquan F",336,"")))))))))))))))))))))))))))))))))))))</f>
        <v/>
      </c>
      <c r="BP135" s="52" t="str">
        <f>IF(Atletas!O131="","",IF(Atletas!W131&lt;&gt;"",10000,0)+IF(Atletas!B131="Feminino",1000,IF(Atletas!B131="Masculino",2000,""))+IF(OR(Atletas!O131="Yang 26 A",Atletas!O131="Yang 40 A"),401,IF(OR(Atletas!O131="Chen 25 A",Atletas!O131="Chen 36 A",Atletas!O131="Chen 56 A"),402,IF(Atletas!O131="Sun 73 A",403,IF(Atletas!O131="Wu 45 A",404,IF(Atletas!O131="Wu-Hao 46 A",405,IF(OR(Atletas!O131="Taijiquan 16 A",Atletas!O131="Taijiquan 24 A",Atletas!O131="Taijiquan 32 A",Atletas!O131="Taijiquan 42 A"),406,IF(OR(Atletas!O131="Yang 26 B",Atletas!O131="Yang 40 B"),407,IF(OR(Atletas!O131="Chen 25 B",Atletas!O131="Chen 36 B",Atletas!O131="Chen 56 B"),408,IF(Atletas!O131="Sun 73 B",409,IF(Atletas!O131="Wu 45 B",410,IF(Atletas!O131="Wu-Hao 46 B",411,IF(OR(Atletas!O131="Taijiquan 16 B",Atletas!O131="Taijiquan 24 B",Atletas!O131="Taijiquan 32 B",Atletas!O131="Taijiquan 42 B"),412,IF(OR(Atletas!O131="Yang 26 C",Atletas!O131="Yang 40 C"),413,IF(OR(Atletas!O131="Chen 25 C",Atletas!O131="Chen 36 C",Atletas!O131="Chen 56 C"),414,IF(Atletas!O131="Sun 73 C",415,IF(Atletas!O131="Wu 45 C",416,IF(Atletas!O131="Wu-Hao 46 C",417,IF(OR(Atletas!O131="Taijiquan 16 C",Atletas!O131="Taijiquan 24 C",Atletas!O131="Taijiquan 32 C",Atletas!O131="Taijiquan 42 C"),418,0)))))))))))))))))))</f>
        <v/>
      </c>
      <c r="BQ135" s="52" t="str">
        <f>IF(Atletas!O131="","",IF(Atletas!W131&lt;&gt;"",10000,0)+IF(Atletas!B131="Feminino",1000,IF(Atletas!B131="Masculino",2000,""))+IF(OR(Atletas!O131="Yang 26 D",Atletas!O131="Yang 40 D"),419,IF(OR(Atletas!O131="Chen 25 D",Atletas!O131="Chen 36 D",Atletas!O131="Chen 56 D"),420,IF(Atletas!O131="Sun 73 D",421,IF(Atletas!O131="Wu 45 D",422,IF(Atletas!O131="Wu-Hao 46 D",423,IF(OR(Atletas!O131="Taijiquan 16 D",Atletas!O131="Taijiquan 24 D",Atletas!O131="Taijiquan 32 D",Atletas!O131="Taijiquan 42 D"),424,IF(OR(Atletas!O131="Yang 26 E",Atletas!O131="Yang 40 E"),425,IF(OR(Atletas!O131="Chen 25 E",Atletas!O131="Chen 36 E",Atletas!O131="Chen 56 E"),426,IF(Atletas!O131="Sun 73 E",427,IF(Atletas!O131="Wu 45 E",428,IF(Atletas!O131="Wu-Hao 46 E",429,IF(OR(Atletas!O131="Taijiquan 16 E",Atletas!O131="Taijiquan 24 E",Atletas!O131="Taijiquan 32 E",Atletas!O131="Taijiquan 42 E"),430,IF(OR(Atletas!O131="Yang 26 F",Atletas!O131="Yang 40 F"),431,IF(OR(Atletas!O131="Chen 25 F",Atletas!O131="Chen 36 F",Atletas!O131="Chen 56 F"),432,IF(Atletas!O131="Sun 73 F",433,IF(Atletas!O131="Wu 45 F",434,IF(Atletas!O131="Wu-Hao 46 F",435,IF(OR(Atletas!O131="Taijiquan 16 F",Atletas!O131="Taijiquan 24 F",Atletas!O131="Taijiquan 32 F",Atletas!O131="Taijiquan 42 F"),436,0)))))))))))))))))))</f>
        <v/>
      </c>
      <c r="BR135" s="52" t="str">
        <f>IF(Atletas!P131="","",IF(Atletas!W131&lt;&gt;"",10000,0)+IF(Atletas!B131="Feminino",1000,IF(Atletas!B131="Masculino",2000,""))+IF(Atletas!P131="Xingyiquan A",501,IF(Atletas!P131="Baguazhang A",502,IF(Atletas!P131="Outro Estilo Interno A",503,IF(Atletas!P131="Xingyiquan B",504,IF(Atletas!P131="Baguazhang B",505,IF(Atletas!P131="Outro Estilo Interno B",506,IF(Atletas!P131="Xingyiquan C",507,IF(Atletas!P131="Baguazhang C",508,IF(Atletas!P131="Outro Estilo Interno C",509,IF(Atletas!P131="Xingyiquan D",510,IF(Atletas!P131="Baguazhang D",511,IF(Atletas!P131="Outro Estilo Interno D",512,IF(Atletas!P131="Xingyiquan E",513,IF(Atletas!P131="Baguazhang E",514,IF(Atletas!P131="Outro Estilo Interno E",515,IF(Atletas!P131="Xingyiquan F",516,IF(Atletas!P131="Baguazhang F",517,IF(Atletas!P131="Outro Estilo Interno F",518, "")))))))))))))))))))</f>
        <v/>
      </c>
      <c r="BS135" s="52" t="str">
        <f>IF(Atletas!Q131="","",IF(Atletas!W131&lt;&gt;"",10000,0)+IF(Atletas!B131="Feminino",1000,IF(Atletas!B131="Masculino",2000,""))+IF(Atletas!Q131="Dao A",601,IF(Atletas!Q131="Jian A",602,IF(Atletas!Q131="Bishou A",603,IF(Atletas!Q131="Shan A",604,IF(Atletas!Q131="Outra Arma Curta A",605,IF(Atletas!Q131="Dao B",606,IF(Atletas!Q131="Jian B",607,IF(Atletas!Q131="Bishou B",608,IF(Atletas!Q131="Shan B",609,IF(Atletas!Q131="Outra Arma Curta B",610,IF(Atletas!Q131="Dao C",611,IF(Atletas!Q131="Jian C",612,IF(Atletas!Q131="Bishou C",613,IF(Atletas!Q131="Shan C",614,IF(Atletas!Q131="Outra Arma Curta C",615,IF(Atletas!Q131="Dao D",616,IF(Atletas!Q131="Jian D",617,IF(Atletas!Q131="Bishou D",618,IF(Atletas!Q131="Shan D",619,IF(Atletas!Q131="Outra Arma Curta D",620,IF(Atletas!Q131="Dao E",621,IF(Atletas!Q131="Jian E",622,IF(Atletas!Q131="Bishou E",623,IF(Atletas!Q131="Shan E",624,IF(Atletas!Q131="Outra Arma Curta E",625,IF(Atletas!Q131="Dao F",626,IF(Atletas!Q131="Jian F",627,IF(Atletas!Q131="Bishou F",628,IF(Atletas!Q131="Shan F",629,IF(Atletas!Q131="Outra Arma Curta F",630, "")))))))))))))))))))))))))))))))</f>
        <v/>
      </c>
      <c r="BT135" s="52" t="str">
        <f>IF(Atletas!R131="","",IF(Atletas!W131&lt;&gt;"",10000,0)+IF(Atletas!B131="Feminino",1000,IF(Atletas!B131="Masculino",2000,""))+IF(Atletas!R131="Gun A",701,IF(Atletas!R131="Qiang A",702,IF(Atletas!R131="Pudao / Guandao A",703,IF(Atletas!R131="Outra Arma Longa A",704,IF(Atletas!R131="Gun B",705,IF(Atletas!R131="Qiang B",706,IF(Atletas!R131="Pudao / Guandao B",707,IF(Atletas!R131="Outra Arma Longa B",708,IF(Atletas!R131="Gun C",709,IF(Atletas!R131="Qiang C",710,IF(Atletas!R131="Pudao / Guandao C",711,IF(Atletas!R131="Outra Arma Longa C",712,IF(Atletas!R131="Gun D",713,IF(Atletas!R131="Qiang D",714,IF(Atletas!R131="Pudao / Guandao D",715,IF(Atletas!R131="Outra Arma Longa D",716,IF(Atletas!R131="Gun E",717,IF(Atletas!R131="Qiang E",718,IF(Atletas!R131="Pudao / Guandao E",719,IF(Atletas!R131="Outra Arma Longa E",720,IF(Atletas!R131="Gun F",721,IF(Atletas!R131="Qiang F",722,IF(Atletas!R131="Pudao / Guandao F",723,IF(Atletas!R131="Outra Arma Longa F",724,"")))))))))))))))))))))))))</f>
        <v/>
      </c>
      <c r="BU135" s="52" t="str">
        <f>IF(Atletas!S131="","",IF(Atletas!W131&lt;&gt;"",10000,0)+IF(Atletas!B131="Feminino",1000,IF(Atletas!B131="Masculino",2000,""))+IF(Atletas!S131="Arma Dupla A",801,IF(Atletas!S131="Arma Maleável A",802,IF(Atletas!S131="Arma Dupla B",803,IF(Atletas!S131="Arma Maleável B",804,IF(Atletas!S131="Arma Dupla C",805,IF(Atletas!S131="Arma Maleável C",806,IF(Atletas!S131="Arma Dupla D",807,IF(Atletas!S131="Arma Maleável D",808,IF(Atletas!S131="Arma Dupla E",809,IF(Atletas!S131="Arma Maleável E",810,IF(Atletas!S131="Arma Dupla F",811,IF(Atletas!S131="Arma Maleável F",812, "")))))))))))))</f>
        <v/>
      </c>
      <c r="BV135" s="52" t="str">
        <f>IF(Atletas!T131="","",IF(Atletas!W131&lt;&gt;"",10000,0)+IF(Atletas!B131="Feminino",1000,IF(Atletas!B131="Masculino",2000,""))+IF(Atletas!T131="Taijijian Yang A",901,IF(Atletas!T131="Taijijian Chen A",902,IF(Atletas!T131="Taijijian Sun A",903,IF(Atletas!T131="Taijijian Wu A",904,IF(Atletas!T131="Taijijian Wu-Hao A",905,IF(Atletas!T131="Taijijian 32 A",906,IF(Atletas!T131="Taijijian 42 A",907,IF(Atletas!T131="Taijijian Yang B",908,IF(Atletas!T131="Taijijian Chen B",909,IF(Atletas!T131="Taijijian Sun B",910,IF(Atletas!T131="Taijijian Wu B",911,IF(Atletas!T131="Taijijian Wu-Hao B",912,IF(Atletas!T131="Taijijian 32 B",913,IF(Atletas!T131="Taijijian 42 B",914,IF(Atletas!T131="Taijijian Yang C",915,IF(Atletas!T131="Taijijian Chen C",916,IF(Atletas!T131="Taijijian Sun C",917,IF(Atletas!T131="Taijijian Wu C",918,IF(Atletas!T131="Taijijian Wu-Hao C",919,IF(Atletas!T131="Taijijian 32 C",920,IF(Atletas!T131="Taijijian 42 C",921,IF(Atletas!T131="Taijijian Yang D",922,IF(Atletas!T131="Taijijian Chen D",923,IF(Atletas!T131="Taijijian Sun D",924,IF(Atletas!T131="Taijijian Wu D",925,IF(Atletas!T131="Taijijian Wu-Hao D",926,IF(Atletas!T131="Taijijian 32 D",927,IF(Atletas!T131="Taijijian 42 D",928,IF(Atletas!T131="Taijijian Yang E",929,IF(Atletas!T131="Taijijian Chen E",930,IF(Atletas!T131="Taijijian Sun E",931,IF(Atletas!T131="Taijijian Wu E",932,IF(Atletas!T131="Taijijian Wu-Hao E",933,IF(Atletas!T131="Taijijian 32 E",934,IF(Atletas!T131="Taijijian 42 E",935,IF(Atletas!T131="Taijijian Yang F",936,IF(Atletas!T131="Taijijian Chen F",937,IF(Atletas!T131="Taijijian Sun F",938,IF(Atletas!T131="Taijijian Wu F",939,IF(Atletas!T131="Taijijian Wu-Hao F",940,IF(Atletas!T131="Taijijian 32 F",941,IF(Atletas!T131="Taijijian 42 F",942,"")))))))))))))))))))))))))))))))))))))))))))</f>
        <v/>
      </c>
      <c r="BW135" s="52" t="str">
        <f>IF(Atletas!U131="","",IF(Atletas!W131&lt;&gt;"",10000,0)+IF(Atletas!B131="Feminino",1000,IF(Atletas!B131="Masculino",2000,""))+IF(Atletas!T131="Taijijian 42 F",942,IF(Atletas!U131="Taijidao A",943,IF(Atletas!U131="Taijishan A",944,IF(Atletas!U131="Taijiqiang A",945,IF(Atletas!U131="Taijidao B",946,IF(Atletas!U131="Taijishan B",947,IF(Atletas!U131="Taijiqiang B",948,IF(Atletas!U131="Taijidao C",949,IF(Atletas!U131="Taijishan C",950,IF(Atletas!U131="Taijiqiang C",951,IF(Atletas!U131="Taijidao D",952,IF(Atletas!U131="Taijishan D",953,IF(Atletas!U131="Taijiqiang D",954,IF(Atletas!U131="Taijidao E",955,IF(Atletas!U131="Taijishan E",956,IF(Atletas!U131="Taijiqiang E",957,IF(Atletas!U131="Taijidao F",958,IF(Atletas!U131="Taijishan F",959,IF(Atletas!U131="Taijiqiang F",960))))))))))))))))))))</f>
        <v/>
      </c>
      <c r="BX135" s="72" t="str">
        <f>IF(BY135&lt;&gt;"","TJQ Trad. Sun A","")</f>
        <v/>
      </c>
      <c r="BY135" s="72" t="str">
        <f>IF(COUNTIF(BK:BW,1303)&gt;0,COUNTIF(BK:BW,1303),"")</f>
        <v/>
      </c>
      <c r="BZ135" s="72" t="str">
        <f>IF(CA135&lt;&gt;"","TJQ Trad. Sun A","")</f>
        <v/>
      </c>
      <c r="CA135" s="72" t="str">
        <f>IF(COUNTIF(BK:BW,2303)&gt;0,COUNTIF(BK:BW,2303),"")</f>
        <v/>
      </c>
      <c r="CB135" s="72" t="str">
        <f>IF(CC135&lt;&gt;"","Sun A","")</f>
        <v/>
      </c>
      <c r="CC135" s="64" t="str">
        <f>IF(COUNTIF(BK:BW,11303)&gt;0,COUNTIF(BK:BW,11303),"")</f>
        <v/>
      </c>
      <c r="CD135" s="64" t="str">
        <f>IF(CE135&lt;&gt;"","Sun A","")</f>
        <v/>
      </c>
      <c r="CE135" s="64" t="str">
        <f>IF(COUNTIF(BK:BW,12303)&gt;0,COUNTIF(BK:BW,12303),"")</f>
        <v/>
      </c>
      <c r="CF135" s="52" t="str">
        <f xml:space="preserve"> IF(Atletas!V131="","",IF(Atletas!V131="Duilian de Mãos AB - Equipe 1",1,IF(Atletas!V131="Duilian de Mãos AB - Equipe 2",2,IF(Atletas!V131="Duilian de Armas AB - Equipe 1",3,IF(Atletas!V131="Duilian de Armas AB - Equipe 2",4,IF(Atletas!V131="Duilian de Tuishou - Equipe 1",5,IF(Atletas!V131="Duilian de Tuishou - Equipe 2",6,IF(Atletas!V131="Grupo Externo AB - Equipe 1",7,IF(Atletas!V131="Grupo Externo AB - Equipe 2",8,IF(Atletas!V131="Grupo Interno AB - Equipe 1",9,IF(Atletas!V131="Grupo Interno AB - Equipe 2",10,IF(Atletas!V131="Duilian de Mãos CD - Equipe 1",11,IF(Atletas!V131="Duilian de Mãos CD - Equipe 2",12,IF(Atletas!V131="Duilian de Armas CD - Equipe 1",13,IF(Atletas!V131="Duilian de Armas CD - Equipe 2",14,IF(Atletas!V131="Duilian de Tuishou - Equipe 1",15,IF(Atletas!V131="Duilian de Tuishou - Equipe 2",16,IF(Atletas!V131="Grupo Externo CDEF - Equipe 1",17,IF(Atletas!V131="Grupo Externo CDEF - Equipe 2",18,IF(Atletas!V131="Grupo Interno CDEF - Equipe 1",19,IF(Atletas!V131="Grupo Interno CDEF - Equipe 2",20,IF(Atletas!V131="Duilian de Mãos EF - Equipe 1",21,IF(Atletas!V131="Duilian de Mãos EF - Equipe 2",22,IF(Atletas!V131="Duilian de Armas EF - Equipe 1",23,IF(Atletas!V131="Duilian de Armas EF - Equipe 2",24,IF(Atletas!V131="Duilian de Tuishou - Equipe 1",25,IF(Atletas!V131="Duilian de Tuishou - Equipe 2",26,"")))))))))))))))))))))))))))</f>
        <v/>
      </c>
    </row>
    <row r="136" spans="2:84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 t="str">
        <f t="array" ref="V136">IFERROR(INDEX(BX$7:BX$336,SMALL(IF(BX$7:BX$336&lt;&gt;"",ROW(BX$7:BX$336)-ROW(BX$7)+1),ROWS(BX$7:BX135))),"")</f>
        <v/>
      </c>
      <c r="W136" s="4" t="str">
        <f t="array" ref="W136">IFERROR(INDEX(BY$7:BY$336,SMALL(IF(BY$7:BY$336&lt;&gt;"",ROW(BY$7:BY$336)-ROW(BY$7)+1),ROWS(BY$7:BY135))),"")</f>
        <v/>
      </c>
      <c r="X136" s="4" t="str">
        <f t="array" ref="X136">IFERROR(INDEX(BZ$7:BZ$336,SMALL(IF(BZ$7:BZ$336&lt;&gt;"",ROW(BZ$7:BZ$336)-ROW(BZ$7)+1),ROWS(BZ$7:BZ135))),"")</f>
        <v/>
      </c>
      <c r="Y136" s="4" t="str">
        <f t="array" ref="Y136">IFERROR(INDEX(CA$7:CA$336,SMALL(IF(CA$7:CA$336&lt;&gt;"",ROW(CA$7:CA$336)-ROW(CA$7)+1),ROWS(CA$7:CA135))),"")</f>
        <v/>
      </c>
      <c r="Z136" s="4" t="str">
        <f t="array" ref="Z136">IFERROR(INDEX(CB$7:CB$378,SMALL(IF(CB$7:CB$378&lt;&gt;"",ROW(CB$7:CB$378)-ROW(CB$7)+1),ROWS(CB$7:CB135))),"")</f>
        <v/>
      </c>
      <c r="AA136" s="4" t="str">
        <f t="array" ref="AA136">IFERROR(INDEX(CC$7:CC$378,SMALL(IF(CC$7:CC$378&lt;&gt;"",ROW(CC$7:CC$378)-ROW(CC$7)+1),ROWS(CC$7:CC135))),"")</f>
        <v/>
      </c>
      <c r="AB136" s="4" t="str">
        <f t="array" ref="AB136">IFERROR(INDEX(CD$7:CD$378,SMALL(IF(CD$7:CD$378&lt;&gt;"",ROW(CD$7:CD$378)-ROW(CD$7)+1),ROWS(CD$7:CD135))),"")</f>
        <v/>
      </c>
      <c r="AC136" s="4" t="str">
        <f t="array" ref="AC136">IFERROR(INDEX(CE$7:CE$378,SMALL(IF(CE$7:CE$378&lt;&gt;"",ROW(CE$7:CE$378)-ROW(CE$7)+1),ROWS(CE$7:CE135))),"")</f>
        <v/>
      </c>
      <c r="AD136" s="4"/>
      <c r="AE136" s="4"/>
      <c r="AF136" s="4"/>
      <c r="AG136" s="4"/>
      <c r="AH136" s="4"/>
      <c r="AI136" s="4"/>
      <c r="AJ136" s="46" t="str">
        <f>IF(Atletas!D132="","",IF(Atletas!B132="Feminino",100,IF(Atletas!B132="Masculino",200,""))+(IF(Atletas!D132="Infantil 39kg",1,IF(Atletas!D132="Infantil 42kg",2,IF(Atletas!D132="Infantil 45kg",3,IF(Atletas!D132="Infantil 48kg",4,IF(Atletas!D132="Infantil 52kg",5,IF(Atletas!D132="Infantil 56kg",6,IF(Atletas!D132="Infantil 60kg",7,IF(Atletas!D132="Juvenil 48kg",8,IF(Atletas!D132="Juvenil 52kg",9,IF(Atletas!D132="Juvenil 56kg",10,IF(Atletas!D132="Juvenil 60kg",11,IF(Atletas!D132="Juvenil 65kg",12,IF(Atletas!D132="Juvenil 70kg",13,IF(Atletas!D132="Juvenil 75kg",14,IF(Atletas!D132="Juvenil 80kg",15,IF(Atletas!D132="Adulto 48kg",16,IF(Atletas!D132="Adulto 52kg",17,IF(Atletas!D132="Adulto 56kg",18,IF(Atletas!D132="Adulto 60kg",19,IF(Atletas!D132="Adulto 65kg",20,IF(Atletas!D132="Adulto 70kg",21,IF(Atletas!D132="Adulto 75kg",22,IF(Atletas!D132="Adulto 80kg",23,IF(Atletas!D132="Adulto 85kg",24,IF(Atletas!D132="Adulto 90kg",25,IF(Atletas!D132="Adulto +90kg",26,""))))))))))))))))))))))))))))</f>
        <v/>
      </c>
      <c r="AO136" s="10" t="str">
        <f>IF(Atletas!E132="","",IF(Atletas!B132="Feminino",100,IF(Atletas!B132="Masculino",200,""))+(IF(Atletas!E132="Juvenil 44kg",1,IF(Atletas!E132="Juvenil 48kg",2,IF(Atletas!E132="Juvenil 52kg",3,IF(Atletas!E132="Juvenil 56kg",4,IF(Atletas!E132="Juvenil 60kg",5,IF(Atletas!E132="Juvenil 65kg",6,IF(Atletas!E132="Juvenil 70kg",7,IF(Atletas!E132="Juvenil 75kg",8,IF(Atletas!E132="Juvenil 82kg",9,IF(Atletas!E132="Juvenil 90kg",10,IF(Atletas!E132="Juvenil 100kg",11,IF(Atletas!E132="Adulto 48kg",12,IF(Atletas!E132="Adulto 52kg",13,IF(Atletas!E132="Adulto 56kg",14,IF(Atletas!E132="Adulto 60kg",15,IF(Atletas!E132="Adulto 65kg",16,IF(Atletas!E132="Adulto 70kg",17,IF(Atletas!E132="Adulto 75kg",18,IF(Atletas!E132="Adulto 82kg",19,IF(Atletas!E132="Adulto 90kg",20,IF(Atletas!E132="Adulto 100kg",21,IF(Atletas!E132="Adulto +100kg",22,""))))))))))))))))))))))))</f>
        <v/>
      </c>
      <c r="AT136" s="10" t="str">
        <f>IF(Atletas!F132="","",IF(Atletas!B132="Feminino",100,IF(Atletas!B132="Masculino",200,""))+(IF(Atletas!F132="Adulto 48kg",1,IF(Atletas!F132="Adulto 56kg",2,IF(Atletas!F132="Adulto 65kg",3,IF(Atletas!F132="Adulto 75kg",4,IF(Atletas!F132="Adulto +75kg",5,IF(Atletas!F132="Adulto 52kg",6,IF(Atletas!F132="Adulto 60kg",7,IF(Atletas!F132="Adulto 70kg",8,IF(Atletas!F132="Adulto 80kg",9,IF(Atletas!F132="Adulto 90kg",10,IF(Atletas!F132="Adulto +90kg",11,"")))))))))))))</f>
        <v/>
      </c>
      <c r="AY136" s="46" t="str">
        <f>IF(Atletas!G132="","",IF(Atletas!B132="Feminino",100,IF(Atletas!B132="Masculino",200,""))+(IF(Atletas!G132="Changquan Mirim",1,IF(Atletas!G132="Nanquan Mirim",2,IF(Atletas!G132="Taijiquan Mirim",3,IF(Atletas!G132="Changquan Grupo C",4,IF(Atletas!G132="Nanquan Grupo C",5,IF(Atletas!G132="Taijiquan Grupo C",6,IF(Atletas!G132="Changquan Grupo B",7,IF(Atletas!G132="Nanquan Grupo B",8,IF(Atletas!G132="Taijiquan Grupo B",9,IF(Atletas!G132="Changquan Grupo A",10,IF(Atletas!G132="Nanquan Grupo A",11,IF(Atletas!G132="Taijiquan Grupo A",12,IF(Atletas!G132="Changquan Opcional",13,IF(Atletas!G132="Nanquan Opcional",14,IF(Atletas!G132="Taijiquan Opcional",15,IF(Atletas!G132="Changquan Adulto",16,IF(Atletas!G132="Nanquan Adulto",17,IF(Atletas!G132="Taijiquan Adulto",18,""))))))))))))))))))))</f>
        <v/>
      </c>
      <c r="AZ136" s="46" t="str">
        <f>IF(Atletas!H132="","",IF(Atletas!B132="Feminino",100,IF(Atletas!B132="Masculino",200,""))+(IF(Atletas!H132="Daoshu Mirim",19,IF(Atletas!H132="Jianshu Mirim",20,IF(Atletas!H132="Nandao Mirim",21,IF(Atletas!H132="Taijijian Mirim",22,IF(Atletas!H132="Daoshu Grupo C",23,IF(Atletas!H132="Jianshu Grupo C",24,IF(Atletas!H132="Nandao Grupo C",25,IF(Atletas!H132="Taijijian Grupo C",26,IF(Atletas!H132="Daoshu Grupo B",27,IF(Atletas!H132="Jianshu Grupo B",28,IF(Atletas!H132="Nandao Grupo B",29,IF(Atletas!H132="Taijijian Grupo B",30,IF(Atletas!H132="Daoshu Grupo A",31,IF(Atletas!H132="Jianshu Grupo A",32,IF(Atletas!H132="Nandao Grupo A",33,IF(Atletas!H132="Taijijian Grupo A",34,IF(Atletas!H132="Daoshu Opcional",35,IF(Atletas!H132="Jianshu Opcional",36,IF(Atletas!H132="Nandao Opcional",37,IF(Atletas!H132="Taijijian Opcional",38,IF(Atletas!H132="Daoshu Adulto",39,IF(Atletas!H132="Jianshu Adulto",40,IF(Atletas!H132="Nandao Adulto",41,IF(Atletas!H132="Taijijian Adulto",42,""))))))))))))))))))))))))))</f>
        <v/>
      </c>
      <c r="BA136" s="46" t="str">
        <f>IF(Atletas!I132="","",IF(Atletas!B132="Feminino",100,IF(Atletas!B132="Masculino",200,""))+(IF(Atletas!I132="Gunshu Mirim",43,IF(Atletas!I132="Qiangshu Mirim",44,IF(Atletas!I132="Nangun Mirim",45,IF(Atletas!I132="Gunshu Grupo C",46,IF(Atletas!I132="Qiangshu Grupo C",47,IF(Atletas!I132="Nangun Grupo C",48,IF(Atletas!I132="Gunshu Grupo B",49,IF(Atletas!I132="Qiangshu Grupo B",50,IF(Atletas!I132="Nangun Grupo B",51,IF(Atletas!I132="Gunshu Grupo A",52,IF(Atletas!I132="Qiangshu Grupo A",53,IF(Atletas!I132="Nangun Grupo A",54,IF(Atletas!I132="Gunshu Opcional",55,IF(Atletas!I132="Qiangshu Opcional",56,IF(Atletas!I132="Nangun Opcional",57,IF(Atletas!I132="Gunshu Adulto",58,IF(Atletas!I132="Qiangshu Adulto",59,IF(Atletas!I132="Nangun Adulto",60,""))))))))))))))))))))</f>
        <v/>
      </c>
      <c r="BF136" s="52" t="str">
        <f>IF(Atletas!J132="","",IF(Atletas!B132="Feminino",100,IF(Atletas!B132="Masculino",200,""))+(IF(Atletas!J132="Equipe 1 Grupo B",1,IF(Atletas!J132="Equipe 2 Grupo B",2,IF(Atletas!J132="Equipe 1 Grupo A",3,IF(Atletas!J132="Equipe 2 Grupo A",4,IF(Atletas!J132="Equipe 1 Adulto",5,IF(Atletas!J132="Equipe 2 Adulto",6,""))))))))</f>
        <v/>
      </c>
      <c r="BK136" s="52" t="str">
        <f>IF(Atletas!K132="","",IF(Atletas!W132&lt;&gt;"",10000,0)+(IF(Atletas!B132="Feminino",1000,IF(Atletas!B132="Masculino",2000,""))+IF(Atletas!K132="Choylayfut A",1,IF(Atletas!K132="Hunggar A",2,IF(Atletas!K132="Wuzuquan A",3,IF(Atletas!K132="Wingchun A",4,IF(Atletas!K132="Outra Mão de Sul A",5,IF(Atletas!K132="Choylayfut B",6,IF(Atletas!K132="Hunggar B",7,IF(Atletas!K132="Wuzuquan B",8,IF(Atletas!K132="Wingchun B",9,IF(Atletas!K132="Outra Mão de Sul B",10,IF(Atletas!K132="Choylayfut C",11,IF(Atletas!K132="Hunggar C",12,IF(Atletas!K132="Wuzuquan C",13,IF(Atletas!K132="Wingchun C",14,IF(Atletas!K132="Outra Mão de Sul C",15,IF(Atletas!K132="Choylayfut D",16,IF(Atletas!K132="Hunggar D",17,IF(Atletas!K132="Wuzuquan D",18,IF(Atletas!K132="Wingchun D",19,IF(Atletas!K132="Outra Mão de Sul D",20,IF(Atletas!K132="Choylayfut E",21,IF(Atletas!K132="Hunggar E",22,IF(Atletas!K132="Wuzuquan E",23,IF(Atletas!K132="Wingchun E",24,IF(Atletas!K132="Outra Mão de Sul E",25,IF(Atletas!K132="Choylayfut F",26,IF(Atletas!K132="Hunggar F",27,IF(Atletas!K132="Wuzuquan F",28,IF(Atletas!K132="Wingchun F",29,IF(Atletas!K132="Outra Mão de Sul F",30,""))))))))))))))))))))))))))))))))</f>
        <v/>
      </c>
      <c r="BL136" s="52" t="str">
        <f>IF(Atletas!L132="","",IF(Atletas!W132&lt;&gt;"",10000,0)+(IF(Atletas!B132="Feminino",1000,IF(Atletas!B132="Masculino",2000,""))+(IF(Atletas!L132="Chaquan A",101,IF(Atletas!L132="Emeiquan A",102,IF(Atletas!L132="Fanziquan A",103,IF(Atletas!L132="Huaquan A",104,IF(Atletas!L132="Hongquan A",105,IF(Atletas!L132="Paochui A",106,IF(Atletas!L132="Piguaquan A",107,IF(Atletas!L132="Shaolinquan A",108,IF(Atletas!L132="Tanglangquan A",109,IF(Atletas!L132="Yinzhaophai A",110,IF(Atletas!L132="Tongbeiquan A",111,IF(Atletas!L132="Wudangquan A",112,IF(Atletas!L132="Outros Estilos A",113,IF(Atletas!L132="Chaquan B",114,IF(Atletas!L132="Emeiquan B",115,IF(Atletas!L132="Fanziquan B",116,IF(Atletas!L132="Huaquan B",117,IF(Atletas!L132="Hongquan B",118,IF(Atletas!L132="Paochui B",119,IF(Atletas!L132="Piguaquan B",120,IF(Atletas!L132="Shaolinquan B",121,IF(Atletas!L132="Tanglangquan B",122,IF(Atletas!L132="Yinzhaophai B",123,IF(Atletas!L132="Tongbeiquan B",124,IF(Atletas!L132="Wudangquan B",125,IF(Atletas!L132="Outros Estilos B",126,IF(Atletas!L132="Chaquan C",127,IF(Atletas!L132="Emeiquan C",128,IF(Atletas!L132="Fanziquan C",129,IF(Atletas!L132="Huaquan C",130,IF(Atletas!L132="Hongquan C",131,IF(Atletas!L132="Paochui C",132,IF(Atletas!L132="Piguaquan C",133,IF(Atletas!L132="Shaolinquan C",134,IF(Atletas!L132="Tanglangquan C",135,IF(Atletas!L132="Yinzhaophai C",136,IF(Atletas!L132="Tongbeiquan C",137,IF(Atletas!L132="Wudangquan C",138,IF(Atletas!L132="Outros Estilos C",139,0))))))))))))))))))))))))))))))))))))))))))</f>
        <v/>
      </c>
      <c r="BM136" s="52" t="str">
        <f>IF(Atletas!L132="","",IF(Atletas!W132&lt;&gt;"",10000,0)+(IF(Atletas!B132="Feminino",1000,IF(Atletas!B132="Masculino",2000,""))+(IF(Atletas!L132="Chaquan D",140,IF(Atletas!L132="Emeiquan D",141,IF(Atletas!L132="Fanziquan D",142,IF(Atletas!L132="Huaquan D",143,IF(Atletas!L132="Hongquan D",144,IF(Atletas!L132="Paochui D",145,IF(Atletas!L132="Piguaquan D",146,IF(Atletas!L132="Shaolinquan D",147,IF(Atletas!L132="Tanglangquan D",148,IF(Atletas!L132="Yinzhaophai D",149,IF(Atletas!L132="Tongbeiquan D",150,IF(Atletas!L132="Wudangquan D",151,IF(Atletas!L132="Outros Estilos D",152,IF(Atletas!L132="Chaquan E",153,IF(Atletas!L132="Emeiquan E",154,IF(Atletas!L132="Fanziquan E",155,IF(Atletas!L132="Huaquan E",156,IF(Atletas!L132="Hongquan E",157,IF(Atletas!L132="Paochui E",158,IF(Atletas!L132="Piguaquan E",159,IF(Atletas!L132="Shaolinquan E",160,IF(Atletas!L132="Tanglangquan E",161,IF(Atletas!L132="Yinzhaophai E",162,IF(Atletas!L132="Tongbeiquan E",163,IF(Atletas!L132="Wudangquan E",164,IF(Atletas!L132="Outros Estilos E",165,IF(Atletas!L132="Chaquan F",166,IF(Atletas!L132="Emeiquan F",167,IF(Atletas!L132="Fanziquan F",168,IF(Atletas!L132="Huaquan F",169,IF(Atletas!L132="Hongquan F",170,IF(Atletas!L132="Paochui F",171,IF(Atletas!L132="Piguaquan F",172,IF(Atletas!L132="Shaolinquan F",173,IF(Atletas!L132="Tanglangquan F",174,IF(Atletas!L132="Yinzhaophai F",175,IF(Atletas!L132="Tongbeiquan F",176,IF(Atletas!L132="Wudangquan F",177,IF(Atletas!L132="Outros Estilos F",178,0))))))))))))))))))))))))))))))))))))))))))</f>
        <v/>
      </c>
      <c r="BN136" s="52" t="str">
        <f>IF(Atletas!M132="","",IF(Atletas!W132&lt;&gt;"",10000,0)+(IF(Atletas!B132="Feminino",1000,IF(Atletas!B132="Masculino",2000,""))+(IF(Atletas!M132="Ditangquan A",201,IF(Atletas!M132="Houquan A",202,IF(Atletas!M132="Zuiquan A",203,IF(Atletas!M132="Ditangquan B",204,IF(Atletas!M132="Houquan B",205,IF(Atletas!M132="Zuiquan B",206,IF(Atletas!M132="Ditangquan C",207,IF(Atletas!M132="Houquan C",208,IF(Atletas!M132="Zuiquan C",209,IF(Atletas!M132="Ditangquan D",210,IF(Atletas!M132="Houquan D",211,IF(Atletas!M132="Zuiquan D",212,IF(Atletas!M132="Ditangquan E",213,IF(Atletas!M132="Houquan E",214,IF(Atletas!M132="Zuiquan E",215,IF(Atletas!M132="Ditangquan F",216,IF(Atletas!M132="Houquan F",217,IF(Atletas!M132="Zuiquan F",218,"")))))))))))))))))))))</f>
        <v/>
      </c>
      <c r="BO136" s="52" t="str">
        <f>IF(Atletas!N132="","",IF(Atletas!W132&lt;&gt;"",10000,0)+IF(Atletas!B132="Feminino",1000,IF(Atletas!B132="Masculino",2000,""))+IF(Atletas!N132="Yang A",301,IF(Atletas!N132="Chen A",30,IF(Atletas!N132="Sun A",303,IF(Atletas!N132="Wu A",304,IF(Atletas!N132="Wu-Hao A",305,IF(Atletas!N132="Outro Taijiquan A",306,IF(Atletas!N132="Yang B",307,IF(Atletas!N132="Chen B",308,IF(Atletas!N132="Sun B",309,IF(Atletas!N132="Wu B",310,IF(Atletas!N132="Wu-Hao B",311,IF(Atletas!N132="Outro Taijiquan B",312,IF(Atletas!N132="Yang C",313,IF(Atletas!N132="Chen C",314,IF(Atletas!N132="Sun C",315,IF(Atletas!N132="Wu C",316,IF(Atletas!N132="Wu-Hao C",317,IF(Atletas!N132="Outro Taijiquan C",318,IF(Atletas!N132="Yang D",319,IF(Atletas!N132="Chen D",320,IF(Atletas!N132="Sun D",321,IF(Atletas!N132="Wu D",322,IF(Atletas!N132="Wu-Hao D",323,IF(Atletas!N132="Outro Taijiquan D",324,IF(Atletas!N132="Yang E",325,IF(Atletas!N132="Chen E",326,IF(Atletas!N132="Sun E",327,IF(Atletas!N132="Wu E",328,IF(Atletas!N132="Wu-Hao E",329,IF(Atletas!N132="Outro Taijiquan E",330,IF(Atletas!N132="Yang F",331,IF(Atletas!N132="Chen F",332,IF(Atletas!N132="Sun F",333,IF(Atletas!N132="Wu F",334,IF(Atletas!N132="Wu-Hao F",335,IF(Atletas!N132="Outro Taijiquan F",336,"")))))))))))))))))))))))))))))))))))))</f>
        <v/>
      </c>
      <c r="BP136" s="52" t="str">
        <f>IF(Atletas!O132="","",IF(Atletas!W132&lt;&gt;"",10000,0)+IF(Atletas!B132="Feminino",1000,IF(Atletas!B132="Masculino",2000,""))+IF(OR(Atletas!O132="Yang 26 A",Atletas!O132="Yang 40 A"),401,IF(OR(Atletas!O132="Chen 25 A",Atletas!O132="Chen 36 A",Atletas!O132="Chen 56 A"),402,IF(Atletas!O132="Sun 73 A",403,IF(Atletas!O132="Wu 45 A",404,IF(Atletas!O132="Wu-Hao 46 A",405,IF(OR(Atletas!O132="Taijiquan 16 A",Atletas!O132="Taijiquan 24 A",Atletas!O132="Taijiquan 32 A",Atletas!O132="Taijiquan 42 A"),406,IF(OR(Atletas!O132="Yang 26 B",Atletas!O132="Yang 40 B"),407,IF(OR(Atletas!O132="Chen 25 B",Atletas!O132="Chen 36 B",Atletas!O132="Chen 56 B"),408,IF(Atletas!O132="Sun 73 B",409,IF(Atletas!O132="Wu 45 B",410,IF(Atletas!O132="Wu-Hao 46 B",411,IF(OR(Atletas!O132="Taijiquan 16 B",Atletas!O132="Taijiquan 24 B",Atletas!O132="Taijiquan 32 B",Atletas!O132="Taijiquan 42 B"),412,IF(OR(Atletas!O132="Yang 26 C",Atletas!O132="Yang 40 C"),413,IF(OR(Atletas!O132="Chen 25 C",Atletas!O132="Chen 36 C",Atletas!O132="Chen 56 C"),414,IF(Atletas!O132="Sun 73 C",415,IF(Atletas!O132="Wu 45 C",416,IF(Atletas!O132="Wu-Hao 46 C",417,IF(OR(Atletas!O132="Taijiquan 16 C",Atletas!O132="Taijiquan 24 C",Atletas!O132="Taijiquan 32 C",Atletas!O132="Taijiquan 42 C"),418,0)))))))))))))))))))</f>
        <v/>
      </c>
      <c r="BQ136" s="52" t="str">
        <f>IF(Atletas!O132="","",IF(Atletas!W132&lt;&gt;"",10000,0)+IF(Atletas!B132="Feminino",1000,IF(Atletas!B132="Masculino",2000,""))+IF(OR(Atletas!O132="Yang 26 D",Atletas!O132="Yang 40 D"),419,IF(OR(Atletas!O132="Chen 25 D",Atletas!O132="Chen 36 D",Atletas!O132="Chen 56 D"),420,IF(Atletas!O132="Sun 73 D",421,IF(Atletas!O132="Wu 45 D",422,IF(Atletas!O132="Wu-Hao 46 D",423,IF(OR(Atletas!O132="Taijiquan 16 D",Atletas!O132="Taijiquan 24 D",Atletas!O132="Taijiquan 32 D",Atletas!O132="Taijiquan 42 D"),424,IF(OR(Atletas!O132="Yang 26 E",Atletas!O132="Yang 40 E"),425,IF(OR(Atletas!O132="Chen 25 E",Atletas!O132="Chen 36 E",Atletas!O132="Chen 56 E"),426,IF(Atletas!O132="Sun 73 E",427,IF(Atletas!O132="Wu 45 E",428,IF(Atletas!O132="Wu-Hao 46 E",429,IF(OR(Atletas!O132="Taijiquan 16 E",Atletas!O132="Taijiquan 24 E",Atletas!O132="Taijiquan 32 E",Atletas!O132="Taijiquan 42 E"),430,IF(OR(Atletas!O132="Yang 26 F",Atletas!O132="Yang 40 F"),431,IF(OR(Atletas!O132="Chen 25 F",Atletas!O132="Chen 36 F",Atletas!O132="Chen 56 F"),432,IF(Atletas!O132="Sun 73 F",433,IF(Atletas!O132="Wu 45 F",434,IF(Atletas!O132="Wu-Hao 46 F",435,IF(OR(Atletas!O132="Taijiquan 16 F",Atletas!O132="Taijiquan 24 F",Atletas!O132="Taijiquan 32 F",Atletas!O132="Taijiquan 42 F"),436,0)))))))))))))))))))</f>
        <v/>
      </c>
      <c r="BR136" s="52" t="str">
        <f>IF(Atletas!P132="","",IF(Atletas!W132&lt;&gt;"",10000,0)+IF(Atletas!B132="Feminino",1000,IF(Atletas!B132="Masculino",2000,""))+IF(Atletas!P132="Xingyiquan A",501,IF(Atletas!P132="Baguazhang A",502,IF(Atletas!P132="Outro Estilo Interno A",503,IF(Atletas!P132="Xingyiquan B",504,IF(Atletas!P132="Baguazhang B",505,IF(Atletas!P132="Outro Estilo Interno B",506,IF(Atletas!P132="Xingyiquan C",507,IF(Atletas!P132="Baguazhang C",508,IF(Atletas!P132="Outro Estilo Interno C",509,IF(Atletas!P132="Xingyiquan D",510,IF(Atletas!P132="Baguazhang D",511,IF(Atletas!P132="Outro Estilo Interno D",512,IF(Atletas!P132="Xingyiquan E",513,IF(Atletas!P132="Baguazhang E",514,IF(Atletas!P132="Outro Estilo Interno E",515,IF(Atletas!P132="Xingyiquan F",516,IF(Atletas!P132="Baguazhang F",517,IF(Atletas!P132="Outro Estilo Interno F",518, "")))))))))))))))))))</f>
        <v/>
      </c>
      <c r="BS136" s="52" t="str">
        <f>IF(Atletas!Q132="","",IF(Atletas!W132&lt;&gt;"",10000,0)+IF(Atletas!B132="Feminino",1000,IF(Atletas!B132="Masculino",2000,""))+IF(Atletas!Q132="Dao A",601,IF(Atletas!Q132="Jian A",602,IF(Atletas!Q132="Bishou A",603,IF(Atletas!Q132="Shan A",604,IF(Atletas!Q132="Outra Arma Curta A",605,IF(Atletas!Q132="Dao B",606,IF(Atletas!Q132="Jian B",607,IF(Atletas!Q132="Bishou B",608,IF(Atletas!Q132="Shan B",609,IF(Atletas!Q132="Outra Arma Curta B",610,IF(Atletas!Q132="Dao C",611,IF(Atletas!Q132="Jian C",612,IF(Atletas!Q132="Bishou C",613,IF(Atletas!Q132="Shan C",614,IF(Atletas!Q132="Outra Arma Curta C",615,IF(Atletas!Q132="Dao D",616,IF(Atletas!Q132="Jian D",617,IF(Atletas!Q132="Bishou D",618,IF(Atletas!Q132="Shan D",619,IF(Atletas!Q132="Outra Arma Curta D",620,IF(Atletas!Q132="Dao E",621,IF(Atletas!Q132="Jian E",622,IF(Atletas!Q132="Bishou E",623,IF(Atletas!Q132="Shan E",624,IF(Atletas!Q132="Outra Arma Curta E",625,IF(Atletas!Q132="Dao F",626,IF(Atletas!Q132="Jian F",627,IF(Atletas!Q132="Bishou F",628,IF(Atletas!Q132="Shan F",629,IF(Atletas!Q132="Outra Arma Curta F",630, "")))))))))))))))))))))))))))))))</f>
        <v/>
      </c>
      <c r="BT136" s="52" t="str">
        <f>IF(Atletas!R132="","",IF(Atletas!W132&lt;&gt;"",10000,0)+IF(Atletas!B132="Feminino",1000,IF(Atletas!B132="Masculino",2000,""))+IF(Atletas!R132="Gun A",701,IF(Atletas!R132="Qiang A",702,IF(Atletas!R132="Pudao / Guandao A",703,IF(Atletas!R132="Outra Arma Longa A",704,IF(Atletas!R132="Gun B",705,IF(Atletas!R132="Qiang B",706,IF(Atletas!R132="Pudao / Guandao B",707,IF(Atletas!R132="Outra Arma Longa B",708,IF(Atletas!R132="Gun C",709,IF(Atletas!R132="Qiang C",710,IF(Atletas!R132="Pudao / Guandao C",711,IF(Atletas!R132="Outra Arma Longa C",712,IF(Atletas!R132="Gun D",713,IF(Atletas!R132="Qiang D",714,IF(Atletas!R132="Pudao / Guandao D",715,IF(Atletas!R132="Outra Arma Longa D",716,IF(Atletas!R132="Gun E",717,IF(Atletas!R132="Qiang E",718,IF(Atletas!R132="Pudao / Guandao E",719,IF(Atletas!R132="Outra Arma Longa E",720,IF(Atletas!R132="Gun F",721,IF(Atletas!R132="Qiang F",722,IF(Atletas!R132="Pudao / Guandao F",723,IF(Atletas!R132="Outra Arma Longa F",724,"")))))))))))))))))))))))))</f>
        <v/>
      </c>
      <c r="BU136" s="52" t="str">
        <f>IF(Atletas!S132="","",IF(Atletas!W132&lt;&gt;"",10000,0)+IF(Atletas!B132="Feminino",1000,IF(Atletas!B132="Masculino",2000,""))+IF(Atletas!S132="Arma Dupla A",801,IF(Atletas!S132="Arma Maleável A",802,IF(Atletas!S132="Arma Dupla B",803,IF(Atletas!S132="Arma Maleável B",804,IF(Atletas!S132="Arma Dupla C",805,IF(Atletas!S132="Arma Maleável C",806,IF(Atletas!S132="Arma Dupla D",807,IF(Atletas!S132="Arma Maleável D",808,IF(Atletas!S132="Arma Dupla E",809,IF(Atletas!S132="Arma Maleável E",810,IF(Atletas!S132="Arma Dupla F",811,IF(Atletas!S132="Arma Maleável F",812, "")))))))))))))</f>
        <v/>
      </c>
      <c r="BV136" s="52" t="str">
        <f>IF(Atletas!T132="","",IF(Atletas!W132&lt;&gt;"",10000,0)+IF(Atletas!B132="Feminino",1000,IF(Atletas!B132="Masculino",2000,""))+IF(Atletas!T132="Taijijian Yang A",901,IF(Atletas!T132="Taijijian Chen A",902,IF(Atletas!T132="Taijijian Sun A",903,IF(Atletas!T132="Taijijian Wu A",904,IF(Atletas!T132="Taijijian Wu-Hao A",905,IF(Atletas!T132="Taijijian 32 A",906,IF(Atletas!T132="Taijijian 42 A",907,IF(Atletas!T132="Taijijian Yang B",908,IF(Atletas!T132="Taijijian Chen B",909,IF(Atletas!T132="Taijijian Sun B",910,IF(Atletas!T132="Taijijian Wu B",911,IF(Atletas!T132="Taijijian Wu-Hao B",912,IF(Atletas!T132="Taijijian 32 B",913,IF(Atletas!T132="Taijijian 42 B",914,IF(Atletas!T132="Taijijian Yang C",915,IF(Atletas!T132="Taijijian Chen C",916,IF(Atletas!T132="Taijijian Sun C",917,IF(Atletas!T132="Taijijian Wu C",918,IF(Atletas!T132="Taijijian Wu-Hao C",919,IF(Atletas!T132="Taijijian 32 C",920,IF(Atletas!T132="Taijijian 42 C",921,IF(Atletas!T132="Taijijian Yang D",922,IF(Atletas!T132="Taijijian Chen D",923,IF(Atletas!T132="Taijijian Sun D",924,IF(Atletas!T132="Taijijian Wu D",925,IF(Atletas!T132="Taijijian Wu-Hao D",926,IF(Atletas!T132="Taijijian 32 D",927,IF(Atletas!T132="Taijijian 42 D",928,IF(Atletas!T132="Taijijian Yang E",929,IF(Atletas!T132="Taijijian Chen E",930,IF(Atletas!T132="Taijijian Sun E",931,IF(Atletas!T132="Taijijian Wu E",932,IF(Atletas!T132="Taijijian Wu-Hao E",933,IF(Atletas!T132="Taijijian 32 E",934,IF(Atletas!T132="Taijijian 42 E",935,IF(Atletas!T132="Taijijian Yang F",936,IF(Atletas!T132="Taijijian Chen F",937,IF(Atletas!T132="Taijijian Sun F",938,IF(Atletas!T132="Taijijian Wu F",939,IF(Atletas!T132="Taijijian Wu-Hao F",940,IF(Atletas!T132="Taijijian 32 F",941,IF(Atletas!T132="Taijijian 42 F",942,"")))))))))))))))))))))))))))))))))))))))))))</f>
        <v/>
      </c>
      <c r="BW136" s="52" t="str">
        <f>IF(Atletas!U132="","",IF(Atletas!W132&lt;&gt;"",10000,0)+IF(Atletas!B132="Feminino",1000,IF(Atletas!B132="Masculino",2000,""))+IF(Atletas!T132="Taijijian 42 F",942,IF(Atletas!U132="Taijidao A",943,IF(Atletas!U132="Taijishan A",944,IF(Atletas!U132="Taijiqiang A",945,IF(Atletas!U132="Taijidao B",946,IF(Atletas!U132="Taijishan B",947,IF(Atletas!U132="Taijiqiang B",948,IF(Atletas!U132="Taijidao C",949,IF(Atletas!U132="Taijishan C",950,IF(Atletas!U132="Taijiqiang C",951,IF(Atletas!U132="Taijidao D",952,IF(Atletas!U132="Taijishan D",953,IF(Atletas!U132="Taijiqiang D",954,IF(Atletas!U132="Taijidao E",955,IF(Atletas!U132="Taijishan E",956,IF(Atletas!U132="Taijiqiang E",957,IF(Atletas!U132="Taijidao F",958,IF(Atletas!U132="Taijishan F",959,IF(Atletas!U132="Taijiqiang F",960))))))))))))))))))))</f>
        <v/>
      </c>
      <c r="BX136" s="72" t="str">
        <f>IF(BY136&lt;&gt;"","TJQ Trad. Wu A","")</f>
        <v/>
      </c>
      <c r="BY136" s="72" t="str">
        <f>IF(COUNTIF(BK:BW,1304)&gt;0,COUNTIF(BK:BW,1304),"")</f>
        <v/>
      </c>
      <c r="BZ136" s="72" t="str">
        <f>IF(CA136&lt;&gt;"","TJQ Trad. Wu A","")</f>
        <v/>
      </c>
      <c r="CA136" s="72" t="str">
        <f>IF(COUNTIF(BK:BW,2304)&gt;0,COUNTIF(BK:BW,2304),"")</f>
        <v/>
      </c>
      <c r="CB136" s="72" t="str">
        <f>IF(CC136&lt;&gt;"","Wu A","")</f>
        <v/>
      </c>
      <c r="CC136" s="64" t="str">
        <f>IF(COUNTIF(BK:BW,11304)&gt;0,COUNTIF(BK:BW,11304),"")</f>
        <v/>
      </c>
      <c r="CD136" s="64" t="str">
        <f>IF(CE136&lt;&gt;"","Wu A","")</f>
        <v/>
      </c>
      <c r="CE136" s="64" t="str">
        <f>IF(COUNTIF(BK:BW,12304)&gt;0,COUNTIF(BK:BW,12304),"")</f>
        <v/>
      </c>
      <c r="CF136" s="52" t="str">
        <f xml:space="preserve"> IF(Atletas!V132="","",IF(Atletas!V132="Duilian de Mãos AB - Equipe 1",1,IF(Atletas!V132="Duilian de Mãos AB - Equipe 2",2,IF(Atletas!V132="Duilian de Armas AB - Equipe 1",3,IF(Atletas!V132="Duilian de Armas AB - Equipe 2",4,IF(Atletas!V132="Duilian de Tuishou - Equipe 1",5,IF(Atletas!V132="Duilian de Tuishou - Equipe 2",6,IF(Atletas!V132="Grupo Externo AB - Equipe 1",7,IF(Atletas!V132="Grupo Externo AB - Equipe 2",8,IF(Atletas!V132="Grupo Interno AB - Equipe 1",9,IF(Atletas!V132="Grupo Interno AB - Equipe 2",10,IF(Atletas!V132="Duilian de Mãos CD - Equipe 1",11,IF(Atletas!V132="Duilian de Mãos CD - Equipe 2",12,IF(Atletas!V132="Duilian de Armas CD - Equipe 1",13,IF(Atletas!V132="Duilian de Armas CD - Equipe 2",14,IF(Atletas!V132="Duilian de Tuishou - Equipe 1",15,IF(Atletas!V132="Duilian de Tuishou - Equipe 2",16,IF(Atletas!V132="Grupo Externo CDEF - Equipe 1",17,IF(Atletas!V132="Grupo Externo CDEF - Equipe 2",18,IF(Atletas!V132="Grupo Interno CDEF - Equipe 1",19,IF(Atletas!V132="Grupo Interno CDEF - Equipe 2",20,IF(Atletas!V132="Duilian de Mãos EF - Equipe 1",21,IF(Atletas!V132="Duilian de Mãos EF - Equipe 2",22,IF(Atletas!V132="Duilian de Armas EF - Equipe 1",23,IF(Atletas!V132="Duilian de Armas EF - Equipe 2",24,IF(Atletas!V132="Duilian de Tuishou - Equipe 1",25,IF(Atletas!V132="Duilian de Tuishou - Equipe 2",26,"")))))))))))))))))))))))))))</f>
        <v/>
      </c>
    </row>
    <row r="137" spans="2:84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 t="str">
        <f t="array" ref="V137">IFERROR(INDEX(BX$7:BX$336,SMALL(IF(BX$7:BX$336&lt;&gt;"",ROW(BX$7:BX$336)-ROW(BX$7)+1),ROWS(BX$7:BX136))),"")</f>
        <v/>
      </c>
      <c r="W137" s="4" t="str">
        <f t="array" ref="W137">IFERROR(INDEX(BY$7:BY$336,SMALL(IF(BY$7:BY$336&lt;&gt;"",ROW(BY$7:BY$336)-ROW(BY$7)+1),ROWS(BY$7:BY136))),"")</f>
        <v/>
      </c>
      <c r="X137" s="4" t="str">
        <f t="array" ref="X137">IFERROR(INDEX(BZ$7:BZ$336,SMALL(IF(BZ$7:BZ$336&lt;&gt;"",ROW(BZ$7:BZ$336)-ROW(BZ$7)+1),ROWS(BZ$7:BZ136))),"")</f>
        <v/>
      </c>
      <c r="Y137" s="4" t="str">
        <f t="array" ref="Y137">IFERROR(INDEX(CA$7:CA$336,SMALL(IF(CA$7:CA$336&lt;&gt;"",ROW(CA$7:CA$336)-ROW(CA$7)+1),ROWS(CA$7:CA136))),"")</f>
        <v/>
      </c>
      <c r="Z137" s="4" t="str">
        <f t="array" ref="Z137">IFERROR(INDEX(CB$7:CB$378,SMALL(IF(CB$7:CB$378&lt;&gt;"",ROW(CB$7:CB$378)-ROW(CB$7)+1),ROWS(CB$7:CB136))),"")</f>
        <v/>
      </c>
      <c r="AA137" s="4" t="str">
        <f t="array" ref="AA137">IFERROR(INDEX(CC$7:CC$378,SMALL(IF(CC$7:CC$378&lt;&gt;"",ROW(CC$7:CC$378)-ROW(CC$7)+1),ROWS(CC$7:CC136))),"")</f>
        <v/>
      </c>
      <c r="AB137" s="4" t="str">
        <f t="array" ref="AB137">IFERROR(INDEX(CD$7:CD$378,SMALL(IF(CD$7:CD$378&lt;&gt;"",ROW(CD$7:CD$378)-ROW(CD$7)+1),ROWS(CD$7:CD136))),"")</f>
        <v/>
      </c>
      <c r="AC137" s="4" t="str">
        <f t="array" ref="AC137">IFERROR(INDEX(CE$7:CE$378,SMALL(IF(CE$7:CE$378&lt;&gt;"",ROW(CE$7:CE$378)-ROW(CE$7)+1),ROWS(CE$7:CE136))),"")</f>
        <v/>
      </c>
      <c r="AD137" s="4"/>
      <c r="AE137" s="4"/>
      <c r="AF137" s="4"/>
      <c r="AG137" s="4"/>
      <c r="AH137" s="4"/>
      <c r="AI137" s="4"/>
      <c r="AJ137" s="46" t="str">
        <f>IF(Atletas!D133="","",IF(Atletas!B133="Feminino",100,IF(Atletas!B133="Masculino",200,""))+(IF(Atletas!D133="Infantil 39kg",1,IF(Atletas!D133="Infantil 42kg",2,IF(Atletas!D133="Infantil 45kg",3,IF(Atletas!D133="Infantil 48kg",4,IF(Atletas!D133="Infantil 52kg",5,IF(Atletas!D133="Infantil 56kg",6,IF(Atletas!D133="Infantil 60kg",7,IF(Atletas!D133="Juvenil 48kg",8,IF(Atletas!D133="Juvenil 52kg",9,IF(Atletas!D133="Juvenil 56kg",10,IF(Atletas!D133="Juvenil 60kg",11,IF(Atletas!D133="Juvenil 65kg",12,IF(Atletas!D133="Juvenil 70kg",13,IF(Atletas!D133="Juvenil 75kg",14,IF(Atletas!D133="Juvenil 80kg",15,IF(Atletas!D133="Adulto 48kg",16,IF(Atletas!D133="Adulto 52kg",17,IF(Atletas!D133="Adulto 56kg",18,IF(Atletas!D133="Adulto 60kg",19,IF(Atletas!D133="Adulto 65kg",20,IF(Atletas!D133="Adulto 70kg",21,IF(Atletas!D133="Adulto 75kg",22,IF(Atletas!D133="Adulto 80kg",23,IF(Atletas!D133="Adulto 85kg",24,IF(Atletas!D133="Adulto 90kg",25,IF(Atletas!D133="Adulto +90kg",26,""))))))))))))))))))))))))))))</f>
        <v/>
      </c>
      <c r="AO137" s="10" t="str">
        <f>IF(Atletas!E133="","",IF(Atletas!B133="Feminino",100,IF(Atletas!B133="Masculino",200,""))+(IF(Atletas!E133="Juvenil 44kg",1,IF(Atletas!E133="Juvenil 48kg",2,IF(Atletas!E133="Juvenil 52kg",3,IF(Atletas!E133="Juvenil 56kg",4,IF(Atletas!E133="Juvenil 60kg",5,IF(Atletas!E133="Juvenil 65kg",6,IF(Atletas!E133="Juvenil 70kg",7,IF(Atletas!E133="Juvenil 75kg",8,IF(Atletas!E133="Juvenil 82kg",9,IF(Atletas!E133="Juvenil 90kg",10,IF(Atletas!E133="Juvenil 100kg",11,IF(Atletas!E133="Adulto 48kg",12,IF(Atletas!E133="Adulto 52kg",13,IF(Atletas!E133="Adulto 56kg",14,IF(Atletas!E133="Adulto 60kg",15,IF(Atletas!E133="Adulto 65kg",16,IF(Atletas!E133="Adulto 70kg",17,IF(Atletas!E133="Adulto 75kg",18,IF(Atletas!E133="Adulto 82kg",19,IF(Atletas!E133="Adulto 90kg",20,IF(Atletas!E133="Adulto 100kg",21,IF(Atletas!E133="Adulto +100kg",22,""))))))))))))))))))))))))</f>
        <v/>
      </c>
      <c r="AT137" s="10" t="str">
        <f>IF(Atletas!F133="","",IF(Atletas!B133="Feminino",100,IF(Atletas!B133="Masculino",200,""))+(IF(Atletas!F133="Adulto 48kg",1,IF(Atletas!F133="Adulto 56kg",2,IF(Atletas!F133="Adulto 65kg",3,IF(Atletas!F133="Adulto 75kg",4,IF(Atletas!F133="Adulto +75kg",5,IF(Atletas!F133="Adulto 52kg",6,IF(Atletas!F133="Adulto 60kg",7,IF(Atletas!F133="Adulto 70kg",8,IF(Atletas!F133="Adulto 80kg",9,IF(Atletas!F133="Adulto 90kg",10,IF(Atletas!F133="Adulto +90kg",11,"")))))))))))))</f>
        <v/>
      </c>
      <c r="AY137" s="46" t="str">
        <f>IF(Atletas!G133="","",IF(Atletas!B133="Feminino",100,IF(Atletas!B133="Masculino",200,""))+(IF(Atletas!G133="Changquan Mirim",1,IF(Atletas!G133="Nanquan Mirim",2,IF(Atletas!G133="Taijiquan Mirim",3,IF(Atletas!G133="Changquan Grupo C",4,IF(Atletas!G133="Nanquan Grupo C",5,IF(Atletas!G133="Taijiquan Grupo C",6,IF(Atletas!G133="Changquan Grupo B",7,IF(Atletas!G133="Nanquan Grupo B",8,IF(Atletas!G133="Taijiquan Grupo B",9,IF(Atletas!G133="Changquan Grupo A",10,IF(Atletas!G133="Nanquan Grupo A",11,IF(Atletas!G133="Taijiquan Grupo A",12,IF(Atletas!G133="Changquan Opcional",13,IF(Atletas!G133="Nanquan Opcional",14,IF(Atletas!G133="Taijiquan Opcional",15,IF(Atletas!G133="Changquan Adulto",16,IF(Atletas!G133="Nanquan Adulto",17,IF(Atletas!G133="Taijiquan Adulto",18,""))))))))))))))))))))</f>
        <v/>
      </c>
      <c r="AZ137" s="46" t="str">
        <f>IF(Atletas!H133="","",IF(Atletas!B133="Feminino",100,IF(Atletas!B133="Masculino",200,""))+(IF(Atletas!H133="Daoshu Mirim",19,IF(Atletas!H133="Jianshu Mirim",20,IF(Atletas!H133="Nandao Mirim",21,IF(Atletas!H133="Taijijian Mirim",22,IF(Atletas!H133="Daoshu Grupo C",23,IF(Atletas!H133="Jianshu Grupo C",24,IF(Atletas!H133="Nandao Grupo C",25,IF(Atletas!H133="Taijijian Grupo C",26,IF(Atletas!H133="Daoshu Grupo B",27,IF(Atletas!H133="Jianshu Grupo B",28,IF(Atletas!H133="Nandao Grupo B",29,IF(Atletas!H133="Taijijian Grupo B",30,IF(Atletas!H133="Daoshu Grupo A",31,IF(Atletas!H133="Jianshu Grupo A",32,IF(Atletas!H133="Nandao Grupo A",33,IF(Atletas!H133="Taijijian Grupo A",34,IF(Atletas!H133="Daoshu Opcional",35,IF(Atletas!H133="Jianshu Opcional",36,IF(Atletas!H133="Nandao Opcional",37,IF(Atletas!H133="Taijijian Opcional",38,IF(Atletas!H133="Daoshu Adulto",39,IF(Atletas!H133="Jianshu Adulto",40,IF(Atletas!H133="Nandao Adulto",41,IF(Atletas!H133="Taijijian Adulto",42,""))))))))))))))))))))))))))</f>
        <v/>
      </c>
      <c r="BA137" s="46" t="str">
        <f>IF(Atletas!I133="","",IF(Atletas!B133="Feminino",100,IF(Atletas!B133="Masculino",200,""))+(IF(Atletas!I133="Gunshu Mirim",43,IF(Atletas!I133="Qiangshu Mirim",44,IF(Atletas!I133="Nangun Mirim",45,IF(Atletas!I133="Gunshu Grupo C",46,IF(Atletas!I133="Qiangshu Grupo C",47,IF(Atletas!I133="Nangun Grupo C",48,IF(Atletas!I133="Gunshu Grupo B",49,IF(Atletas!I133="Qiangshu Grupo B",50,IF(Atletas!I133="Nangun Grupo B",51,IF(Atletas!I133="Gunshu Grupo A",52,IF(Atletas!I133="Qiangshu Grupo A",53,IF(Atletas!I133="Nangun Grupo A",54,IF(Atletas!I133="Gunshu Opcional",55,IF(Atletas!I133="Qiangshu Opcional",56,IF(Atletas!I133="Nangun Opcional",57,IF(Atletas!I133="Gunshu Adulto",58,IF(Atletas!I133="Qiangshu Adulto",59,IF(Atletas!I133="Nangun Adulto",60,""))))))))))))))))))))</f>
        <v/>
      </c>
      <c r="BF137" s="52" t="str">
        <f>IF(Atletas!J133="","",IF(Atletas!B133="Feminino",100,IF(Atletas!B133="Masculino",200,""))+(IF(Atletas!J133="Equipe 1 Grupo B",1,IF(Atletas!J133="Equipe 2 Grupo B",2,IF(Atletas!J133="Equipe 1 Grupo A",3,IF(Atletas!J133="Equipe 2 Grupo A",4,IF(Atletas!J133="Equipe 1 Adulto",5,IF(Atletas!J133="Equipe 2 Adulto",6,""))))))))</f>
        <v/>
      </c>
      <c r="BK137" s="52" t="str">
        <f>IF(Atletas!K133="","",IF(Atletas!W133&lt;&gt;"",10000,0)+(IF(Atletas!B133="Feminino",1000,IF(Atletas!B133="Masculino",2000,""))+IF(Atletas!K133="Choylayfut A",1,IF(Atletas!K133="Hunggar A",2,IF(Atletas!K133="Wuzuquan A",3,IF(Atletas!K133="Wingchun A",4,IF(Atletas!K133="Outra Mão de Sul A",5,IF(Atletas!K133="Choylayfut B",6,IF(Atletas!K133="Hunggar B",7,IF(Atletas!K133="Wuzuquan B",8,IF(Atletas!K133="Wingchun B",9,IF(Atletas!K133="Outra Mão de Sul B",10,IF(Atletas!K133="Choylayfut C",11,IF(Atletas!K133="Hunggar C",12,IF(Atletas!K133="Wuzuquan C",13,IF(Atletas!K133="Wingchun C",14,IF(Atletas!K133="Outra Mão de Sul C",15,IF(Atletas!K133="Choylayfut D",16,IF(Atletas!K133="Hunggar D",17,IF(Atletas!K133="Wuzuquan D",18,IF(Atletas!K133="Wingchun D",19,IF(Atletas!K133="Outra Mão de Sul D",20,IF(Atletas!K133="Choylayfut E",21,IF(Atletas!K133="Hunggar E",22,IF(Atletas!K133="Wuzuquan E",23,IF(Atletas!K133="Wingchun E",24,IF(Atletas!K133="Outra Mão de Sul E",25,IF(Atletas!K133="Choylayfut F",26,IF(Atletas!K133="Hunggar F",27,IF(Atletas!K133="Wuzuquan F",28,IF(Atletas!K133="Wingchun F",29,IF(Atletas!K133="Outra Mão de Sul F",30,""))))))))))))))))))))))))))))))))</f>
        <v/>
      </c>
      <c r="BL137" s="52" t="str">
        <f>IF(Atletas!L133="","",IF(Atletas!W133&lt;&gt;"",10000,0)+(IF(Atletas!B133="Feminino",1000,IF(Atletas!B133="Masculino",2000,""))+(IF(Atletas!L133="Chaquan A",101,IF(Atletas!L133="Emeiquan A",102,IF(Atletas!L133="Fanziquan A",103,IF(Atletas!L133="Huaquan A",104,IF(Atletas!L133="Hongquan A",105,IF(Atletas!L133="Paochui A",106,IF(Atletas!L133="Piguaquan A",107,IF(Atletas!L133="Shaolinquan A",108,IF(Atletas!L133="Tanglangquan A",109,IF(Atletas!L133="Yinzhaophai A",110,IF(Atletas!L133="Tongbeiquan A",111,IF(Atletas!L133="Wudangquan A",112,IF(Atletas!L133="Outros Estilos A",113,IF(Atletas!L133="Chaquan B",114,IF(Atletas!L133="Emeiquan B",115,IF(Atletas!L133="Fanziquan B",116,IF(Atletas!L133="Huaquan B",117,IF(Atletas!L133="Hongquan B",118,IF(Atletas!L133="Paochui B",119,IF(Atletas!L133="Piguaquan B",120,IF(Atletas!L133="Shaolinquan B",121,IF(Atletas!L133="Tanglangquan B",122,IF(Atletas!L133="Yinzhaophai B",123,IF(Atletas!L133="Tongbeiquan B",124,IF(Atletas!L133="Wudangquan B",125,IF(Atletas!L133="Outros Estilos B",126,IF(Atletas!L133="Chaquan C",127,IF(Atletas!L133="Emeiquan C",128,IF(Atletas!L133="Fanziquan C",129,IF(Atletas!L133="Huaquan C",130,IF(Atletas!L133="Hongquan C",131,IF(Atletas!L133="Paochui C",132,IF(Atletas!L133="Piguaquan C",133,IF(Atletas!L133="Shaolinquan C",134,IF(Atletas!L133="Tanglangquan C",135,IF(Atletas!L133="Yinzhaophai C",136,IF(Atletas!L133="Tongbeiquan C",137,IF(Atletas!L133="Wudangquan C",138,IF(Atletas!L133="Outros Estilos C",139,0))))))))))))))))))))))))))))))))))))))))))</f>
        <v/>
      </c>
      <c r="BM137" s="52" t="str">
        <f>IF(Atletas!L133="","",IF(Atletas!W133&lt;&gt;"",10000,0)+(IF(Atletas!B133="Feminino",1000,IF(Atletas!B133="Masculino",2000,""))+(IF(Atletas!L133="Chaquan D",140,IF(Atletas!L133="Emeiquan D",141,IF(Atletas!L133="Fanziquan D",142,IF(Atletas!L133="Huaquan D",143,IF(Atletas!L133="Hongquan D",144,IF(Atletas!L133="Paochui D",145,IF(Atletas!L133="Piguaquan D",146,IF(Atletas!L133="Shaolinquan D",147,IF(Atletas!L133="Tanglangquan D",148,IF(Atletas!L133="Yinzhaophai D",149,IF(Atletas!L133="Tongbeiquan D",150,IF(Atletas!L133="Wudangquan D",151,IF(Atletas!L133="Outros Estilos D",152,IF(Atletas!L133="Chaquan E",153,IF(Atletas!L133="Emeiquan E",154,IF(Atletas!L133="Fanziquan E",155,IF(Atletas!L133="Huaquan E",156,IF(Atletas!L133="Hongquan E",157,IF(Atletas!L133="Paochui E",158,IF(Atletas!L133="Piguaquan E",159,IF(Atletas!L133="Shaolinquan E",160,IF(Atletas!L133="Tanglangquan E",161,IF(Atletas!L133="Yinzhaophai E",162,IF(Atletas!L133="Tongbeiquan E",163,IF(Atletas!L133="Wudangquan E",164,IF(Atletas!L133="Outros Estilos E",165,IF(Atletas!L133="Chaquan F",166,IF(Atletas!L133="Emeiquan F",167,IF(Atletas!L133="Fanziquan F",168,IF(Atletas!L133="Huaquan F",169,IF(Atletas!L133="Hongquan F",170,IF(Atletas!L133="Paochui F",171,IF(Atletas!L133="Piguaquan F",172,IF(Atletas!L133="Shaolinquan F",173,IF(Atletas!L133="Tanglangquan F",174,IF(Atletas!L133="Yinzhaophai F",175,IF(Atletas!L133="Tongbeiquan F",176,IF(Atletas!L133="Wudangquan F",177,IF(Atletas!L133="Outros Estilos F",178,0))))))))))))))))))))))))))))))))))))))))))</f>
        <v/>
      </c>
      <c r="BN137" s="52" t="str">
        <f>IF(Atletas!M133="","",IF(Atletas!W133&lt;&gt;"",10000,0)+(IF(Atletas!B133="Feminino",1000,IF(Atletas!B133="Masculino",2000,""))+(IF(Atletas!M133="Ditangquan A",201,IF(Atletas!M133="Houquan A",202,IF(Atletas!M133="Zuiquan A",203,IF(Atletas!M133="Ditangquan B",204,IF(Atletas!M133="Houquan B",205,IF(Atletas!M133="Zuiquan B",206,IF(Atletas!M133="Ditangquan C",207,IF(Atletas!M133="Houquan C",208,IF(Atletas!M133="Zuiquan C",209,IF(Atletas!M133="Ditangquan D",210,IF(Atletas!M133="Houquan D",211,IF(Atletas!M133="Zuiquan D",212,IF(Atletas!M133="Ditangquan E",213,IF(Atletas!M133="Houquan E",214,IF(Atletas!M133="Zuiquan E",215,IF(Atletas!M133="Ditangquan F",216,IF(Atletas!M133="Houquan F",217,IF(Atletas!M133="Zuiquan F",218,"")))))))))))))))))))))</f>
        <v/>
      </c>
      <c r="BO137" s="52" t="str">
        <f>IF(Atletas!N133="","",IF(Atletas!W133&lt;&gt;"",10000,0)+IF(Atletas!B133="Feminino",1000,IF(Atletas!B133="Masculino",2000,""))+IF(Atletas!N133="Yang A",301,IF(Atletas!N133="Chen A",30,IF(Atletas!N133="Sun A",303,IF(Atletas!N133="Wu A",304,IF(Atletas!N133="Wu-Hao A",305,IF(Atletas!N133="Outro Taijiquan A",306,IF(Atletas!N133="Yang B",307,IF(Atletas!N133="Chen B",308,IF(Atletas!N133="Sun B",309,IF(Atletas!N133="Wu B",310,IF(Atletas!N133="Wu-Hao B",311,IF(Atletas!N133="Outro Taijiquan B",312,IF(Atletas!N133="Yang C",313,IF(Atletas!N133="Chen C",314,IF(Atletas!N133="Sun C",315,IF(Atletas!N133="Wu C",316,IF(Atletas!N133="Wu-Hao C",317,IF(Atletas!N133="Outro Taijiquan C",318,IF(Atletas!N133="Yang D",319,IF(Atletas!N133="Chen D",320,IF(Atletas!N133="Sun D",321,IF(Atletas!N133="Wu D",322,IF(Atletas!N133="Wu-Hao D",323,IF(Atletas!N133="Outro Taijiquan D",324,IF(Atletas!N133="Yang E",325,IF(Atletas!N133="Chen E",326,IF(Atletas!N133="Sun E",327,IF(Atletas!N133="Wu E",328,IF(Atletas!N133="Wu-Hao E",329,IF(Atletas!N133="Outro Taijiquan E",330,IF(Atletas!N133="Yang F",331,IF(Atletas!N133="Chen F",332,IF(Atletas!N133="Sun F",333,IF(Atletas!N133="Wu F",334,IF(Atletas!N133="Wu-Hao F",335,IF(Atletas!N133="Outro Taijiquan F",336,"")))))))))))))))))))))))))))))))))))))</f>
        <v/>
      </c>
      <c r="BP137" s="52" t="str">
        <f>IF(Atletas!O133="","",IF(Atletas!W133&lt;&gt;"",10000,0)+IF(Atletas!B133="Feminino",1000,IF(Atletas!B133="Masculino",2000,""))+IF(OR(Atletas!O133="Yang 26 A",Atletas!O133="Yang 40 A"),401,IF(OR(Atletas!O133="Chen 25 A",Atletas!O133="Chen 36 A",Atletas!O133="Chen 56 A"),402,IF(Atletas!O133="Sun 73 A",403,IF(Atletas!O133="Wu 45 A",404,IF(Atletas!O133="Wu-Hao 46 A",405,IF(OR(Atletas!O133="Taijiquan 16 A",Atletas!O133="Taijiquan 24 A",Atletas!O133="Taijiquan 32 A",Atletas!O133="Taijiquan 42 A"),406,IF(OR(Atletas!O133="Yang 26 B",Atletas!O133="Yang 40 B"),407,IF(OR(Atletas!O133="Chen 25 B",Atletas!O133="Chen 36 B",Atletas!O133="Chen 56 B"),408,IF(Atletas!O133="Sun 73 B",409,IF(Atletas!O133="Wu 45 B",410,IF(Atletas!O133="Wu-Hao 46 B",411,IF(OR(Atletas!O133="Taijiquan 16 B",Atletas!O133="Taijiquan 24 B",Atletas!O133="Taijiquan 32 B",Atletas!O133="Taijiquan 42 B"),412,IF(OR(Atletas!O133="Yang 26 C",Atletas!O133="Yang 40 C"),413,IF(OR(Atletas!O133="Chen 25 C",Atletas!O133="Chen 36 C",Atletas!O133="Chen 56 C"),414,IF(Atletas!O133="Sun 73 C",415,IF(Atletas!O133="Wu 45 C",416,IF(Atletas!O133="Wu-Hao 46 C",417,IF(OR(Atletas!O133="Taijiquan 16 C",Atletas!O133="Taijiquan 24 C",Atletas!O133="Taijiquan 32 C",Atletas!O133="Taijiquan 42 C"),418,0)))))))))))))))))))</f>
        <v/>
      </c>
      <c r="BQ137" s="52" t="str">
        <f>IF(Atletas!O133="","",IF(Atletas!W133&lt;&gt;"",10000,0)+IF(Atletas!B133="Feminino",1000,IF(Atletas!B133="Masculino",2000,""))+IF(OR(Atletas!O133="Yang 26 D",Atletas!O133="Yang 40 D"),419,IF(OR(Atletas!O133="Chen 25 D",Atletas!O133="Chen 36 D",Atletas!O133="Chen 56 D"),420,IF(Atletas!O133="Sun 73 D",421,IF(Atletas!O133="Wu 45 D",422,IF(Atletas!O133="Wu-Hao 46 D",423,IF(OR(Atletas!O133="Taijiquan 16 D",Atletas!O133="Taijiquan 24 D",Atletas!O133="Taijiquan 32 D",Atletas!O133="Taijiquan 42 D"),424,IF(OR(Atletas!O133="Yang 26 E",Atletas!O133="Yang 40 E"),425,IF(OR(Atletas!O133="Chen 25 E",Atletas!O133="Chen 36 E",Atletas!O133="Chen 56 E"),426,IF(Atletas!O133="Sun 73 E",427,IF(Atletas!O133="Wu 45 E",428,IF(Atletas!O133="Wu-Hao 46 E",429,IF(OR(Atletas!O133="Taijiquan 16 E",Atletas!O133="Taijiquan 24 E",Atletas!O133="Taijiquan 32 E",Atletas!O133="Taijiquan 42 E"),430,IF(OR(Atletas!O133="Yang 26 F",Atletas!O133="Yang 40 F"),431,IF(OR(Atletas!O133="Chen 25 F",Atletas!O133="Chen 36 F",Atletas!O133="Chen 56 F"),432,IF(Atletas!O133="Sun 73 F",433,IF(Atletas!O133="Wu 45 F",434,IF(Atletas!O133="Wu-Hao 46 F",435,IF(OR(Atletas!O133="Taijiquan 16 F",Atletas!O133="Taijiquan 24 F",Atletas!O133="Taijiquan 32 F",Atletas!O133="Taijiquan 42 F"),436,0)))))))))))))))))))</f>
        <v/>
      </c>
      <c r="BR137" s="52" t="str">
        <f>IF(Atletas!P133="","",IF(Atletas!W133&lt;&gt;"",10000,0)+IF(Atletas!B133="Feminino",1000,IF(Atletas!B133="Masculino",2000,""))+IF(Atletas!P133="Xingyiquan A",501,IF(Atletas!P133="Baguazhang A",502,IF(Atletas!P133="Outro Estilo Interno A",503,IF(Atletas!P133="Xingyiquan B",504,IF(Atletas!P133="Baguazhang B",505,IF(Atletas!P133="Outro Estilo Interno B",506,IF(Atletas!P133="Xingyiquan C",507,IF(Atletas!P133="Baguazhang C",508,IF(Atletas!P133="Outro Estilo Interno C",509,IF(Atletas!P133="Xingyiquan D",510,IF(Atletas!P133="Baguazhang D",511,IF(Atletas!P133="Outro Estilo Interno D",512,IF(Atletas!P133="Xingyiquan E",513,IF(Atletas!P133="Baguazhang E",514,IF(Atletas!P133="Outro Estilo Interno E",515,IF(Atletas!P133="Xingyiquan F",516,IF(Atletas!P133="Baguazhang F",517,IF(Atletas!P133="Outro Estilo Interno F",518, "")))))))))))))))))))</f>
        <v/>
      </c>
      <c r="BS137" s="52" t="str">
        <f>IF(Atletas!Q133="","",IF(Atletas!W133&lt;&gt;"",10000,0)+IF(Atletas!B133="Feminino",1000,IF(Atletas!B133="Masculino",2000,""))+IF(Atletas!Q133="Dao A",601,IF(Atletas!Q133="Jian A",602,IF(Atletas!Q133="Bishou A",603,IF(Atletas!Q133="Shan A",604,IF(Atletas!Q133="Outra Arma Curta A",605,IF(Atletas!Q133="Dao B",606,IF(Atletas!Q133="Jian B",607,IF(Atletas!Q133="Bishou B",608,IF(Atletas!Q133="Shan B",609,IF(Atletas!Q133="Outra Arma Curta B",610,IF(Atletas!Q133="Dao C",611,IF(Atletas!Q133="Jian C",612,IF(Atletas!Q133="Bishou C",613,IF(Atletas!Q133="Shan C",614,IF(Atletas!Q133="Outra Arma Curta C",615,IF(Atletas!Q133="Dao D",616,IF(Atletas!Q133="Jian D",617,IF(Atletas!Q133="Bishou D",618,IF(Atletas!Q133="Shan D",619,IF(Atletas!Q133="Outra Arma Curta D",620,IF(Atletas!Q133="Dao E",621,IF(Atletas!Q133="Jian E",622,IF(Atletas!Q133="Bishou E",623,IF(Atletas!Q133="Shan E",624,IF(Atletas!Q133="Outra Arma Curta E",625,IF(Atletas!Q133="Dao F",626,IF(Atletas!Q133="Jian F",627,IF(Atletas!Q133="Bishou F",628,IF(Atletas!Q133="Shan F",629,IF(Atletas!Q133="Outra Arma Curta F",630, "")))))))))))))))))))))))))))))))</f>
        <v/>
      </c>
      <c r="BT137" s="52" t="str">
        <f>IF(Atletas!R133="","",IF(Atletas!W133&lt;&gt;"",10000,0)+IF(Atletas!B133="Feminino",1000,IF(Atletas!B133="Masculino",2000,""))+IF(Atletas!R133="Gun A",701,IF(Atletas!R133="Qiang A",702,IF(Atletas!R133="Pudao / Guandao A",703,IF(Atletas!R133="Outra Arma Longa A",704,IF(Atletas!R133="Gun B",705,IF(Atletas!R133="Qiang B",706,IF(Atletas!R133="Pudao / Guandao B",707,IF(Atletas!R133="Outra Arma Longa B",708,IF(Atletas!R133="Gun C",709,IF(Atletas!R133="Qiang C",710,IF(Atletas!R133="Pudao / Guandao C",711,IF(Atletas!R133="Outra Arma Longa C",712,IF(Atletas!R133="Gun D",713,IF(Atletas!R133="Qiang D",714,IF(Atletas!R133="Pudao / Guandao D",715,IF(Atletas!R133="Outra Arma Longa D",716,IF(Atletas!R133="Gun E",717,IF(Atletas!R133="Qiang E",718,IF(Atletas!R133="Pudao / Guandao E",719,IF(Atletas!R133="Outra Arma Longa E",720,IF(Atletas!R133="Gun F",721,IF(Atletas!R133="Qiang F",722,IF(Atletas!R133="Pudao / Guandao F",723,IF(Atletas!R133="Outra Arma Longa F",724,"")))))))))))))))))))))))))</f>
        <v/>
      </c>
      <c r="BU137" s="52" t="str">
        <f>IF(Atletas!S133="","",IF(Atletas!W133&lt;&gt;"",10000,0)+IF(Atletas!B133="Feminino",1000,IF(Atletas!B133="Masculino",2000,""))+IF(Atletas!S133="Arma Dupla A",801,IF(Atletas!S133="Arma Maleável A",802,IF(Atletas!S133="Arma Dupla B",803,IF(Atletas!S133="Arma Maleável B",804,IF(Atletas!S133="Arma Dupla C",805,IF(Atletas!S133="Arma Maleável C",806,IF(Atletas!S133="Arma Dupla D",807,IF(Atletas!S133="Arma Maleável D",808,IF(Atletas!S133="Arma Dupla E",809,IF(Atletas!S133="Arma Maleável E",810,IF(Atletas!S133="Arma Dupla F",811,IF(Atletas!S133="Arma Maleável F",812, "")))))))))))))</f>
        <v/>
      </c>
      <c r="BV137" s="52" t="str">
        <f>IF(Atletas!T133="","",IF(Atletas!W133&lt;&gt;"",10000,0)+IF(Atletas!B133="Feminino",1000,IF(Atletas!B133="Masculino",2000,""))+IF(Atletas!T133="Taijijian Yang A",901,IF(Atletas!T133="Taijijian Chen A",902,IF(Atletas!T133="Taijijian Sun A",903,IF(Atletas!T133="Taijijian Wu A",904,IF(Atletas!T133="Taijijian Wu-Hao A",905,IF(Atletas!T133="Taijijian 32 A",906,IF(Atletas!T133="Taijijian 42 A",907,IF(Atletas!T133="Taijijian Yang B",908,IF(Atletas!T133="Taijijian Chen B",909,IF(Atletas!T133="Taijijian Sun B",910,IF(Atletas!T133="Taijijian Wu B",911,IF(Atletas!T133="Taijijian Wu-Hao B",912,IF(Atletas!T133="Taijijian 32 B",913,IF(Atletas!T133="Taijijian 42 B",914,IF(Atletas!T133="Taijijian Yang C",915,IF(Atletas!T133="Taijijian Chen C",916,IF(Atletas!T133="Taijijian Sun C",917,IF(Atletas!T133="Taijijian Wu C",918,IF(Atletas!T133="Taijijian Wu-Hao C",919,IF(Atletas!T133="Taijijian 32 C",920,IF(Atletas!T133="Taijijian 42 C",921,IF(Atletas!T133="Taijijian Yang D",922,IF(Atletas!T133="Taijijian Chen D",923,IF(Atletas!T133="Taijijian Sun D",924,IF(Atletas!T133="Taijijian Wu D",925,IF(Atletas!T133="Taijijian Wu-Hao D",926,IF(Atletas!T133="Taijijian 32 D",927,IF(Atletas!T133="Taijijian 42 D",928,IF(Atletas!T133="Taijijian Yang E",929,IF(Atletas!T133="Taijijian Chen E",930,IF(Atletas!T133="Taijijian Sun E",931,IF(Atletas!T133="Taijijian Wu E",932,IF(Atletas!T133="Taijijian Wu-Hao E",933,IF(Atletas!T133="Taijijian 32 E",934,IF(Atletas!T133="Taijijian 42 E",935,IF(Atletas!T133="Taijijian Yang F",936,IF(Atletas!T133="Taijijian Chen F",937,IF(Atletas!T133="Taijijian Sun F",938,IF(Atletas!T133="Taijijian Wu F",939,IF(Atletas!T133="Taijijian Wu-Hao F",940,IF(Atletas!T133="Taijijian 32 F",941,IF(Atletas!T133="Taijijian 42 F",942,"")))))))))))))))))))))))))))))))))))))))))))</f>
        <v/>
      </c>
      <c r="BW137" s="52" t="str">
        <f>IF(Atletas!U133="","",IF(Atletas!W133&lt;&gt;"",10000,0)+IF(Atletas!B133="Feminino",1000,IF(Atletas!B133="Masculino",2000,""))+IF(Atletas!T133="Taijijian 42 F",942,IF(Atletas!U133="Taijidao A",943,IF(Atletas!U133="Taijishan A",944,IF(Atletas!U133="Taijiqiang A",945,IF(Atletas!U133="Taijidao B",946,IF(Atletas!U133="Taijishan B",947,IF(Atletas!U133="Taijiqiang B",948,IF(Atletas!U133="Taijidao C",949,IF(Atletas!U133="Taijishan C",950,IF(Atletas!U133="Taijiqiang C",951,IF(Atletas!U133="Taijidao D",952,IF(Atletas!U133="Taijishan D",953,IF(Atletas!U133="Taijiqiang D",954,IF(Atletas!U133="Taijidao E",955,IF(Atletas!U133="Taijishan E",956,IF(Atletas!U133="Taijiqiang E",957,IF(Atletas!U133="Taijidao F",958,IF(Atletas!U133="Taijishan F",959,IF(Atletas!U133="Taijiqiang F",960))))))))))))))))))))</f>
        <v/>
      </c>
      <c r="BX137" s="72" t="str">
        <f>IF(BY137&lt;&gt;"","TJQ Trad. Wu-Hao A","")</f>
        <v/>
      </c>
      <c r="BY137" s="72" t="str">
        <f>IF(COUNTIF(BK:BW,1305)&gt;0,COUNTIF(BK:BW,1305),"")</f>
        <v/>
      </c>
      <c r="BZ137" s="72" t="str">
        <f>IF(CA137&lt;&gt;"","TJQ Trad. Wu-Hao A","")</f>
        <v/>
      </c>
      <c r="CA137" s="72" t="str">
        <f>IF(COUNTIF(BK:BW,2305)&gt;0,COUNTIF(BK:BW,2305),"")</f>
        <v/>
      </c>
      <c r="CB137" s="72" t="str">
        <f>IF(CC137&lt;&gt;"","Wu-Hao A","")</f>
        <v/>
      </c>
      <c r="CC137" s="64" t="str">
        <f>IF(COUNTIF(BK:BW,11305)&gt;0,COUNTIF(BK:BW,11305),"")</f>
        <v/>
      </c>
      <c r="CD137" s="64" t="str">
        <f>IF(CE137&lt;&gt;"","Wu-Hao A","")</f>
        <v/>
      </c>
      <c r="CE137" s="64" t="str">
        <f>IF(COUNTIF(BK:BW,12305)&gt;0,COUNTIF(BK:BW,12305),"")</f>
        <v/>
      </c>
      <c r="CF137" s="52" t="str">
        <f xml:space="preserve"> IF(Atletas!V133="","",IF(Atletas!V133="Duilian de Mãos AB - Equipe 1",1,IF(Atletas!V133="Duilian de Mãos AB - Equipe 2",2,IF(Atletas!V133="Duilian de Armas AB - Equipe 1",3,IF(Atletas!V133="Duilian de Armas AB - Equipe 2",4,IF(Atletas!V133="Duilian de Tuishou - Equipe 1",5,IF(Atletas!V133="Duilian de Tuishou - Equipe 2",6,IF(Atletas!V133="Grupo Externo AB - Equipe 1",7,IF(Atletas!V133="Grupo Externo AB - Equipe 2",8,IF(Atletas!V133="Grupo Interno AB - Equipe 1",9,IF(Atletas!V133="Grupo Interno AB - Equipe 2",10,IF(Atletas!V133="Duilian de Mãos CD - Equipe 1",11,IF(Atletas!V133="Duilian de Mãos CD - Equipe 2",12,IF(Atletas!V133="Duilian de Armas CD - Equipe 1",13,IF(Atletas!V133="Duilian de Armas CD - Equipe 2",14,IF(Atletas!V133="Duilian de Tuishou - Equipe 1",15,IF(Atletas!V133="Duilian de Tuishou - Equipe 2",16,IF(Atletas!V133="Grupo Externo CDEF - Equipe 1",17,IF(Atletas!V133="Grupo Externo CDEF - Equipe 2",18,IF(Atletas!V133="Grupo Interno CDEF - Equipe 1",19,IF(Atletas!V133="Grupo Interno CDEF - Equipe 2",20,IF(Atletas!V133="Duilian de Mãos EF - Equipe 1",21,IF(Atletas!V133="Duilian de Mãos EF - Equipe 2",22,IF(Atletas!V133="Duilian de Armas EF - Equipe 1",23,IF(Atletas!V133="Duilian de Armas EF - Equipe 2",24,IF(Atletas!V133="Duilian de Tuishou - Equipe 1",25,IF(Atletas!V133="Duilian de Tuishou - Equipe 2",26,"")))))))))))))))))))))))))))</f>
        <v/>
      </c>
    </row>
    <row r="138" spans="2:84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 t="str">
        <f t="array" ref="V138">IFERROR(INDEX(BX$7:BX$336,SMALL(IF(BX$7:BX$336&lt;&gt;"",ROW(BX$7:BX$336)-ROW(BX$7)+1),ROWS(BX$7:BX137))),"")</f>
        <v/>
      </c>
      <c r="W138" s="4" t="str">
        <f t="array" ref="W138">IFERROR(INDEX(BY$7:BY$336,SMALL(IF(BY$7:BY$336&lt;&gt;"",ROW(BY$7:BY$336)-ROW(BY$7)+1),ROWS(BY$7:BY137))),"")</f>
        <v/>
      </c>
      <c r="X138" s="4" t="str">
        <f t="array" ref="X138">IFERROR(INDEX(BZ$7:BZ$336,SMALL(IF(BZ$7:BZ$336&lt;&gt;"",ROW(BZ$7:BZ$336)-ROW(BZ$7)+1),ROWS(BZ$7:BZ137))),"")</f>
        <v/>
      </c>
      <c r="Y138" s="4" t="str">
        <f t="array" ref="Y138">IFERROR(INDEX(CA$7:CA$336,SMALL(IF(CA$7:CA$336&lt;&gt;"",ROW(CA$7:CA$336)-ROW(CA$7)+1),ROWS(CA$7:CA137))),"")</f>
        <v/>
      </c>
      <c r="Z138" s="4" t="str">
        <f t="array" ref="Z138">IFERROR(INDEX(CB$7:CB$378,SMALL(IF(CB$7:CB$378&lt;&gt;"",ROW(CB$7:CB$378)-ROW(CB$7)+1),ROWS(CB$7:CB137))),"")</f>
        <v/>
      </c>
      <c r="AA138" s="4" t="str">
        <f t="array" ref="AA138">IFERROR(INDEX(CC$7:CC$378,SMALL(IF(CC$7:CC$378&lt;&gt;"",ROW(CC$7:CC$378)-ROW(CC$7)+1),ROWS(CC$7:CC137))),"")</f>
        <v/>
      </c>
      <c r="AB138" s="4" t="str">
        <f t="array" ref="AB138">IFERROR(INDEX(CD$7:CD$378,SMALL(IF(CD$7:CD$378&lt;&gt;"",ROW(CD$7:CD$378)-ROW(CD$7)+1),ROWS(CD$7:CD137))),"")</f>
        <v/>
      </c>
      <c r="AC138" s="4" t="str">
        <f t="array" ref="AC138">IFERROR(INDEX(CE$7:CE$378,SMALL(IF(CE$7:CE$378&lt;&gt;"",ROW(CE$7:CE$378)-ROW(CE$7)+1),ROWS(CE$7:CE137))),"")</f>
        <v/>
      </c>
      <c r="AD138" s="4"/>
      <c r="AE138" s="4"/>
      <c r="AF138" s="4"/>
      <c r="AG138" s="4"/>
      <c r="AH138" s="4"/>
      <c r="AI138" s="4"/>
      <c r="AJ138" s="46" t="str">
        <f>IF(Atletas!D134="","",IF(Atletas!B134="Feminino",100,IF(Atletas!B134="Masculino",200,""))+(IF(Atletas!D134="Infantil 39kg",1,IF(Atletas!D134="Infantil 42kg",2,IF(Atletas!D134="Infantil 45kg",3,IF(Atletas!D134="Infantil 48kg",4,IF(Atletas!D134="Infantil 52kg",5,IF(Atletas!D134="Infantil 56kg",6,IF(Atletas!D134="Infantil 60kg",7,IF(Atletas!D134="Juvenil 48kg",8,IF(Atletas!D134="Juvenil 52kg",9,IF(Atletas!D134="Juvenil 56kg",10,IF(Atletas!D134="Juvenil 60kg",11,IF(Atletas!D134="Juvenil 65kg",12,IF(Atletas!D134="Juvenil 70kg",13,IF(Atletas!D134="Juvenil 75kg",14,IF(Atletas!D134="Juvenil 80kg",15,IF(Atletas!D134="Adulto 48kg",16,IF(Atletas!D134="Adulto 52kg",17,IF(Atletas!D134="Adulto 56kg",18,IF(Atletas!D134="Adulto 60kg",19,IF(Atletas!D134="Adulto 65kg",20,IF(Atletas!D134="Adulto 70kg",21,IF(Atletas!D134="Adulto 75kg",22,IF(Atletas!D134="Adulto 80kg",23,IF(Atletas!D134="Adulto 85kg",24,IF(Atletas!D134="Adulto 90kg",25,IF(Atletas!D134="Adulto +90kg",26,""))))))))))))))))))))))))))))</f>
        <v/>
      </c>
      <c r="AO138" s="10" t="str">
        <f>IF(Atletas!E134="","",IF(Atletas!B134="Feminino",100,IF(Atletas!B134="Masculino",200,""))+(IF(Atletas!E134="Juvenil 44kg",1,IF(Atletas!E134="Juvenil 48kg",2,IF(Atletas!E134="Juvenil 52kg",3,IF(Atletas!E134="Juvenil 56kg",4,IF(Atletas!E134="Juvenil 60kg",5,IF(Atletas!E134="Juvenil 65kg",6,IF(Atletas!E134="Juvenil 70kg",7,IF(Atletas!E134="Juvenil 75kg",8,IF(Atletas!E134="Juvenil 82kg",9,IF(Atletas!E134="Juvenil 90kg",10,IF(Atletas!E134="Juvenil 100kg",11,IF(Atletas!E134="Adulto 48kg",12,IF(Atletas!E134="Adulto 52kg",13,IF(Atletas!E134="Adulto 56kg",14,IF(Atletas!E134="Adulto 60kg",15,IF(Atletas!E134="Adulto 65kg",16,IF(Atletas!E134="Adulto 70kg",17,IF(Atletas!E134="Adulto 75kg",18,IF(Atletas!E134="Adulto 82kg",19,IF(Atletas!E134="Adulto 90kg",20,IF(Atletas!E134="Adulto 100kg",21,IF(Atletas!E134="Adulto +100kg",22,""))))))))))))))))))))))))</f>
        <v/>
      </c>
      <c r="AT138" s="10" t="str">
        <f>IF(Atletas!F134="","",IF(Atletas!B134="Feminino",100,IF(Atletas!B134="Masculino",200,""))+(IF(Atletas!F134="Adulto 48kg",1,IF(Atletas!F134="Adulto 56kg",2,IF(Atletas!F134="Adulto 65kg",3,IF(Atletas!F134="Adulto 75kg",4,IF(Atletas!F134="Adulto +75kg",5,IF(Atletas!F134="Adulto 52kg",6,IF(Atletas!F134="Adulto 60kg",7,IF(Atletas!F134="Adulto 70kg",8,IF(Atletas!F134="Adulto 80kg",9,IF(Atletas!F134="Adulto 90kg",10,IF(Atletas!F134="Adulto +90kg",11,"")))))))))))))</f>
        <v/>
      </c>
      <c r="AY138" s="46" t="str">
        <f>IF(Atletas!G134="","",IF(Atletas!B134="Feminino",100,IF(Atletas!B134="Masculino",200,""))+(IF(Atletas!G134="Changquan Mirim",1,IF(Atletas!G134="Nanquan Mirim",2,IF(Atletas!G134="Taijiquan Mirim",3,IF(Atletas!G134="Changquan Grupo C",4,IF(Atletas!G134="Nanquan Grupo C",5,IF(Atletas!G134="Taijiquan Grupo C",6,IF(Atletas!G134="Changquan Grupo B",7,IF(Atletas!G134="Nanquan Grupo B",8,IF(Atletas!G134="Taijiquan Grupo B",9,IF(Atletas!G134="Changquan Grupo A",10,IF(Atletas!G134="Nanquan Grupo A",11,IF(Atletas!G134="Taijiquan Grupo A",12,IF(Atletas!G134="Changquan Opcional",13,IF(Atletas!G134="Nanquan Opcional",14,IF(Atletas!G134="Taijiquan Opcional",15,IF(Atletas!G134="Changquan Adulto",16,IF(Atletas!G134="Nanquan Adulto",17,IF(Atletas!G134="Taijiquan Adulto",18,""))))))))))))))))))))</f>
        <v/>
      </c>
      <c r="AZ138" s="46" t="str">
        <f>IF(Atletas!H134="","",IF(Atletas!B134="Feminino",100,IF(Atletas!B134="Masculino",200,""))+(IF(Atletas!H134="Daoshu Mirim",19,IF(Atletas!H134="Jianshu Mirim",20,IF(Atletas!H134="Nandao Mirim",21,IF(Atletas!H134="Taijijian Mirim",22,IF(Atletas!H134="Daoshu Grupo C",23,IF(Atletas!H134="Jianshu Grupo C",24,IF(Atletas!H134="Nandao Grupo C",25,IF(Atletas!H134="Taijijian Grupo C",26,IF(Atletas!H134="Daoshu Grupo B",27,IF(Atletas!H134="Jianshu Grupo B",28,IF(Atletas!H134="Nandao Grupo B",29,IF(Atletas!H134="Taijijian Grupo B",30,IF(Atletas!H134="Daoshu Grupo A",31,IF(Atletas!H134="Jianshu Grupo A",32,IF(Atletas!H134="Nandao Grupo A",33,IF(Atletas!H134="Taijijian Grupo A",34,IF(Atletas!H134="Daoshu Opcional",35,IF(Atletas!H134="Jianshu Opcional",36,IF(Atletas!H134="Nandao Opcional",37,IF(Atletas!H134="Taijijian Opcional",38,IF(Atletas!H134="Daoshu Adulto",39,IF(Atletas!H134="Jianshu Adulto",40,IF(Atletas!H134="Nandao Adulto",41,IF(Atletas!H134="Taijijian Adulto",42,""))))))))))))))))))))))))))</f>
        <v/>
      </c>
      <c r="BA138" s="46" t="str">
        <f>IF(Atletas!I134="","",IF(Atletas!B134="Feminino",100,IF(Atletas!B134="Masculino",200,""))+(IF(Atletas!I134="Gunshu Mirim",43,IF(Atletas!I134="Qiangshu Mirim",44,IF(Atletas!I134="Nangun Mirim",45,IF(Atletas!I134="Gunshu Grupo C",46,IF(Atletas!I134="Qiangshu Grupo C",47,IF(Atletas!I134="Nangun Grupo C",48,IF(Atletas!I134="Gunshu Grupo B",49,IF(Atletas!I134="Qiangshu Grupo B",50,IF(Atletas!I134="Nangun Grupo B",51,IF(Atletas!I134="Gunshu Grupo A",52,IF(Atletas!I134="Qiangshu Grupo A",53,IF(Atletas!I134="Nangun Grupo A",54,IF(Atletas!I134="Gunshu Opcional",55,IF(Atletas!I134="Qiangshu Opcional",56,IF(Atletas!I134="Nangun Opcional",57,IF(Atletas!I134="Gunshu Adulto",58,IF(Atletas!I134="Qiangshu Adulto",59,IF(Atletas!I134="Nangun Adulto",60,""))))))))))))))))))))</f>
        <v/>
      </c>
      <c r="BF138" s="52" t="str">
        <f>IF(Atletas!J134="","",IF(Atletas!B134="Feminino",100,IF(Atletas!B134="Masculino",200,""))+(IF(Atletas!J134="Equipe 1 Grupo B",1,IF(Atletas!J134="Equipe 2 Grupo B",2,IF(Atletas!J134="Equipe 1 Grupo A",3,IF(Atletas!J134="Equipe 2 Grupo A",4,IF(Atletas!J134="Equipe 1 Adulto",5,IF(Atletas!J134="Equipe 2 Adulto",6,""))))))))</f>
        <v/>
      </c>
      <c r="BK138" s="52" t="str">
        <f>IF(Atletas!K134="","",IF(Atletas!W134&lt;&gt;"",10000,0)+(IF(Atletas!B134="Feminino",1000,IF(Atletas!B134="Masculino",2000,""))+IF(Atletas!K134="Choylayfut A",1,IF(Atletas!K134="Hunggar A",2,IF(Atletas!K134="Wuzuquan A",3,IF(Atletas!K134="Wingchun A",4,IF(Atletas!K134="Outra Mão de Sul A",5,IF(Atletas!K134="Choylayfut B",6,IF(Atletas!K134="Hunggar B",7,IF(Atletas!K134="Wuzuquan B",8,IF(Atletas!K134="Wingchun B",9,IF(Atletas!K134="Outra Mão de Sul B",10,IF(Atletas!K134="Choylayfut C",11,IF(Atletas!K134="Hunggar C",12,IF(Atletas!K134="Wuzuquan C",13,IF(Atletas!K134="Wingchun C",14,IF(Atletas!K134="Outra Mão de Sul C",15,IF(Atletas!K134="Choylayfut D",16,IF(Atletas!K134="Hunggar D",17,IF(Atletas!K134="Wuzuquan D",18,IF(Atletas!K134="Wingchun D",19,IF(Atletas!K134="Outra Mão de Sul D",20,IF(Atletas!K134="Choylayfut E",21,IF(Atletas!K134="Hunggar E",22,IF(Atletas!K134="Wuzuquan E",23,IF(Atletas!K134="Wingchun E",24,IF(Atletas!K134="Outra Mão de Sul E",25,IF(Atletas!K134="Choylayfut F",26,IF(Atletas!K134="Hunggar F",27,IF(Atletas!K134="Wuzuquan F",28,IF(Atletas!K134="Wingchun F",29,IF(Atletas!K134="Outra Mão de Sul F",30,""))))))))))))))))))))))))))))))))</f>
        <v/>
      </c>
      <c r="BL138" s="52" t="str">
        <f>IF(Atletas!L134="","",IF(Atletas!W134&lt;&gt;"",10000,0)+(IF(Atletas!B134="Feminino",1000,IF(Atletas!B134="Masculino",2000,""))+(IF(Atletas!L134="Chaquan A",101,IF(Atletas!L134="Emeiquan A",102,IF(Atletas!L134="Fanziquan A",103,IF(Atletas!L134="Huaquan A",104,IF(Atletas!L134="Hongquan A",105,IF(Atletas!L134="Paochui A",106,IF(Atletas!L134="Piguaquan A",107,IF(Atletas!L134="Shaolinquan A",108,IF(Atletas!L134="Tanglangquan A",109,IF(Atletas!L134="Yinzhaophai A",110,IF(Atletas!L134="Tongbeiquan A",111,IF(Atletas!L134="Wudangquan A",112,IF(Atletas!L134="Outros Estilos A",113,IF(Atletas!L134="Chaquan B",114,IF(Atletas!L134="Emeiquan B",115,IF(Atletas!L134="Fanziquan B",116,IF(Atletas!L134="Huaquan B",117,IF(Atletas!L134="Hongquan B",118,IF(Atletas!L134="Paochui B",119,IF(Atletas!L134="Piguaquan B",120,IF(Atletas!L134="Shaolinquan B",121,IF(Atletas!L134="Tanglangquan B",122,IF(Atletas!L134="Yinzhaophai B",123,IF(Atletas!L134="Tongbeiquan B",124,IF(Atletas!L134="Wudangquan B",125,IF(Atletas!L134="Outros Estilos B",126,IF(Atletas!L134="Chaquan C",127,IF(Atletas!L134="Emeiquan C",128,IF(Atletas!L134="Fanziquan C",129,IF(Atletas!L134="Huaquan C",130,IF(Atletas!L134="Hongquan C",131,IF(Atletas!L134="Paochui C",132,IF(Atletas!L134="Piguaquan C",133,IF(Atletas!L134="Shaolinquan C",134,IF(Atletas!L134="Tanglangquan C",135,IF(Atletas!L134="Yinzhaophai C",136,IF(Atletas!L134="Tongbeiquan C",137,IF(Atletas!L134="Wudangquan C",138,IF(Atletas!L134="Outros Estilos C",139,0))))))))))))))))))))))))))))))))))))))))))</f>
        <v/>
      </c>
      <c r="BM138" s="52" t="str">
        <f>IF(Atletas!L134="","",IF(Atletas!W134&lt;&gt;"",10000,0)+(IF(Atletas!B134="Feminino",1000,IF(Atletas!B134="Masculino",2000,""))+(IF(Atletas!L134="Chaquan D",140,IF(Atletas!L134="Emeiquan D",141,IF(Atletas!L134="Fanziquan D",142,IF(Atletas!L134="Huaquan D",143,IF(Atletas!L134="Hongquan D",144,IF(Atletas!L134="Paochui D",145,IF(Atletas!L134="Piguaquan D",146,IF(Atletas!L134="Shaolinquan D",147,IF(Atletas!L134="Tanglangquan D",148,IF(Atletas!L134="Yinzhaophai D",149,IF(Atletas!L134="Tongbeiquan D",150,IF(Atletas!L134="Wudangquan D",151,IF(Atletas!L134="Outros Estilos D",152,IF(Atletas!L134="Chaquan E",153,IF(Atletas!L134="Emeiquan E",154,IF(Atletas!L134="Fanziquan E",155,IF(Atletas!L134="Huaquan E",156,IF(Atletas!L134="Hongquan E",157,IF(Atletas!L134="Paochui E",158,IF(Atletas!L134="Piguaquan E",159,IF(Atletas!L134="Shaolinquan E",160,IF(Atletas!L134="Tanglangquan E",161,IF(Atletas!L134="Yinzhaophai E",162,IF(Atletas!L134="Tongbeiquan E",163,IF(Atletas!L134="Wudangquan E",164,IF(Atletas!L134="Outros Estilos E",165,IF(Atletas!L134="Chaquan F",166,IF(Atletas!L134="Emeiquan F",167,IF(Atletas!L134="Fanziquan F",168,IF(Atletas!L134="Huaquan F",169,IF(Atletas!L134="Hongquan F",170,IF(Atletas!L134="Paochui F",171,IF(Atletas!L134="Piguaquan F",172,IF(Atletas!L134="Shaolinquan F",173,IF(Atletas!L134="Tanglangquan F",174,IF(Atletas!L134="Yinzhaophai F",175,IF(Atletas!L134="Tongbeiquan F",176,IF(Atletas!L134="Wudangquan F",177,IF(Atletas!L134="Outros Estilos F",178,0))))))))))))))))))))))))))))))))))))))))))</f>
        <v/>
      </c>
      <c r="BN138" s="52" t="str">
        <f>IF(Atletas!M134="","",IF(Atletas!W134&lt;&gt;"",10000,0)+(IF(Atletas!B134="Feminino",1000,IF(Atletas!B134="Masculino",2000,""))+(IF(Atletas!M134="Ditangquan A",201,IF(Atletas!M134="Houquan A",202,IF(Atletas!M134="Zuiquan A",203,IF(Atletas!M134="Ditangquan B",204,IF(Atletas!M134="Houquan B",205,IF(Atletas!M134="Zuiquan B",206,IF(Atletas!M134="Ditangquan C",207,IF(Atletas!M134="Houquan C",208,IF(Atletas!M134="Zuiquan C",209,IF(Atletas!M134="Ditangquan D",210,IF(Atletas!M134="Houquan D",211,IF(Atletas!M134="Zuiquan D",212,IF(Atletas!M134="Ditangquan E",213,IF(Atletas!M134="Houquan E",214,IF(Atletas!M134="Zuiquan E",215,IF(Atletas!M134="Ditangquan F",216,IF(Atletas!M134="Houquan F",217,IF(Atletas!M134="Zuiquan F",218,"")))))))))))))))))))))</f>
        <v/>
      </c>
      <c r="BO138" s="52" t="str">
        <f>IF(Atletas!N134="","",IF(Atletas!W134&lt;&gt;"",10000,0)+IF(Atletas!B134="Feminino",1000,IF(Atletas!B134="Masculino",2000,""))+IF(Atletas!N134="Yang A",301,IF(Atletas!N134="Chen A",30,IF(Atletas!N134="Sun A",303,IF(Atletas!N134="Wu A",304,IF(Atletas!N134="Wu-Hao A",305,IF(Atletas!N134="Outro Taijiquan A",306,IF(Atletas!N134="Yang B",307,IF(Atletas!N134="Chen B",308,IF(Atletas!N134="Sun B",309,IF(Atletas!N134="Wu B",310,IF(Atletas!N134="Wu-Hao B",311,IF(Atletas!N134="Outro Taijiquan B",312,IF(Atletas!N134="Yang C",313,IF(Atletas!N134="Chen C",314,IF(Atletas!N134="Sun C",315,IF(Atletas!N134="Wu C",316,IF(Atletas!N134="Wu-Hao C",317,IF(Atletas!N134="Outro Taijiquan C",318,IF(Atletas!N134="Yang D",319,IF(Atletas!N134="Chen D",320,IF(Atletas!N134="Sun D",321,IF(Atletas!N134="Wu D",322,IF(Atletas!N134="Wu-Hao D",323,IF(Atletas!N134="Outro Taijiquan D",324,IF(Atletas!N134="Yang E",325,IF(Atletas!N134="Chen E",326,IF(Atletas!N134="Sun E",327,IF(Atletas!N134="Wu E",328,IF(Atletas!N134="Wu-Hao E",329,IF(Atletas!N134="Outro Taijiquan E",330,IF(Atletas!N134="Yang F",331,IF(Atletas!N134="Chen F",332,IF(Atletas!N134="Sun F",333,IF(Atletas!N134="Wu F",334,IF(Atletas!N134="Wu-Hao F",335,IF(Atletas!N134="Outro Taijiquan F",336,"")))))))))))))))))))))))))))))))))))))</f>
        <v/>
      </c>
      <c r="BP138" s="52" t="str">
        <f>IF(Atletas!O134="","",IF(Atletas!W134&lt;&gt;"",10000,0)+IF(Atletas!B134="Feminino",1000,IF(Atletas!B134="Masculino",2000,""))+IF(OR(Atletas!O134="Yang 26 A",Atletas!O134="Yang 40 A"),401,IF(OR(Atletas!O134="Chen 25 A",Atletas!O134="Chen 36 A",Atletas!O134="Chen 56 A"),402,IF(Atletas!O134="Sun 73 A",403,IF(Atletas!O134="Wu 45 A",404,IF(Atletas!O134="Wu-Hao 46 A",405,IF(OR(Atletas!O134="Taijiquan 16 A",Atletas!O134="Taijiquan 24 A",Atletas!O134="Taijiquan 32 A",Atletas!O134="Taijiquan 42 A"),406,IF(OR(Atletas!O134="Yang 26 B",Atletas!O134="Yang 40 B"),407,IF(OR(Atletas!O134="Chen 25 B",Atletas!O134="Chen 36 B",Atletas!O134="Chen 56 B"),408,IF(Atletas!O134="Sun 73 B",409,IF(Atletas!O134="Wu 45 B",410,IF(Atletas!O134="Wu-Hao 46 B",411,IF(OR(Atletas!O134="Taijiquan 16 B",Atletas!O134="Taijiquan 24 B",Atletas!O134="Taijiquan 32 B",Atletas!O134="Taijiquan 42 B"),412,IF(OR(Atletas!O134="Yang 26 C",Atletas!O134="Yang 40 C"),413,IF(OR(Atletas!O134="Chen 25 C",Atletas!O134="Chen 36 C",Atletas!O134="Chen 56 C"),414,IF(Atletas!O134="Sun 73 C",415,IF(Atletas!O134="Wu 45 C",416,IF(Atletas!O134="Wu-Hao 46 C",417,IF(OR(Atletas!O134="Taijiquan 16 C",Atletas!O134="Taijiquan 24 C",Atletas!O134="Taijiquan 32 C",Atletas!O134="Taijiquan 42 C"),418,0)))))))))))))))))))</f>
        <v/>
      </c>
      <c r="BQ138" s="52" t="str">
        <f>IF(Atletas!O134="","",IF(Atletas!W134&lt;&gt;"",10000,0)+IF(Atletas!B134="Feminino",1000,IF(Atletas!B134="Masculino",2000,""))+IF(OR(Atletas!O134="Yang 26 D",Atletas!O134="Yang 40 D"),419,IF(OR(Atletas!O134="Chen 25 D",Atletas!O134="Chen 36 D",Atletas!O134="Chen 56 D"),420,IF(Atletas!O134="Sun 73 D",421,IF(Atletas!O134="Wu 45 D",422,IF(Atletas!O134="Wu-Hao 46 D",423,IF(OR(Atletas!O134="Taijiquan 16 D",Atletas!O134="Taijiquan 24 D",Atletas!O134="Taijiquan 32 D",Atletas!O134="Taijiquan 42 D"),424,IF(OR(Atletas!O134="Yang 26 E",Atletas!O134="Yang 40 E"),425,IF(OR(Atletas!O134="Chen 25 E",Atletas!O134="Chen 36 E",Atletas!O134="Chen 56 E"),426,IF(Atletas!O134="Sun 73 E",427,IF(Atletas!O134="Wu 45 E",428,IF(Atletas!O134="Wu-Hao 46 E",429,IF(OR(Atletas!O134="Taijiquan 16 E",Atletas!O134="Taijiquan 24 E",Atletas!O134="Taijiquan 32 E",Atletas!O134="Taijiquan 42 E"),430,IF(OR(Atletas!O134="Yang 26 F",Atletas!O134="Yang 40 F"),431,IF(OR(Atletas!O134="Chen 25 F",Atletas!O134="Chen 36 F",Atletas!O134="Chen 56 F"),432,IF(Atletas!O134="Sun 73 F",433,IF(Atletas!O134="Wu 45 F",434,IF(Atletas!O134="Wu-Hao 46 F",435,IF(OR(Atletas!O134="Taijiquan 16 F",Atletas!O134="Taijiquan 24 F",Atletas!O134="Taijiquan 32 F",Atletas!O134="Taijiquan 42 F"),436,0)))))))))))))))))))</f>
        <v/>
      </c>
      <c r="BR138" s="52" t="str">
        <f>IF(Atletas!P134="","",IF(Atletas!W134&lt;&gt;"",10000,0)+IF(Atletas!B134="Feminino",1000,IF(Atletas!B134="Masculino",2000,""))+IF(Atletas!P134="Xingyiquan A",501,IF(Atletas!P134="Baguazhang A",502,IF(Atletas!P134="Outro Estilo Interno A",503,IF(Atletas!P134="Xingyiquan B",504,IF(Atletas!P134="Baguazhang B",505,IF(Atletas!P134="Outro Estilo Interno B",506,IF(Atletas!P134="Xingyiquan C",507,IF(Atletas!P134="Baguazhang C",508,IF(Atletas!P134="Outro Estilo Interno C",509,IF(Atletas!P134="Xingyiquan D",510,IF(Atletas!P134="Baguazhang D",511,IF(Atletas!P134="Outro Estilo Interno D",512,IF(Atletas!P134="Xingyiquan E",513,IF(Atletas!P134="Baguazhang E",514,IF(Atletas!P134="Outro Estilo Interno E",515,IF(Atletas!P134="Xingyiquan F",516,IF(Atletas!P134="Baguazhang F",517,IF(Atletas!P134="Outro Estilo Interno F",518, "")))))))))))))))))))</f>
        <v/>
      </c>
      <c r="BS138" s="52" t="str">
        <f>IF(Atletas!Q134="","",IF(Atletas!W134&lt;&gt;"",10000,0)+IF(Atletas!B134="Feminino",1000,IF(Atletas!B134="Masculino",2000,""))+IF(Atletas!Q134="Dao A",601,IF(Atletas!Q134="Jian A",602,IF(Atletas!Q134="Bishou A",603,IF(Atletas!Q134="Shan A",604,IF(Atletas!Q134="Outra Arma Curta A",605,IF(Atletas!Q134="Dao B",606,IF(Atletas!Q134="Jian B",607,IF(Atletas!Q134="Bishou B",608,IF(Atletas!Q134="Shan B",609,IF(Atletas!Q134="Outra Arma Curta B",610,IF(Atletas!Q134="Dao C",611,IF(Atletas!Q134="Jian C",612,IF(Atletas!Q134="Bishou C",613,IF(Atletas!Q134="Shan C",614,IF(Atletas!Q134="Outra Arma Curta C",615,IF(Atletas!Q134="Dao D",616,IF(Atletas!Q134="Jian D",617,IF(Atletas!Q134="Bishou D",618,IF(Atletas!Q134="Shan D",619,IF(Atletas!Q134="Outra Arma Curta D",620,IF(Atletas!Q134="Dao E",621,IF(Atletas!Q134="Jian E",622,IF(Atletas!Q134="Bishou E",623,IF(Atletas!Q134="Shan E",624,IF(Atletas!Q134="Outra Arma Curta E",625,IF(Atletas!Q134="Dao F",626,IF(Atletas!Q134="Jian F",627,IF(Atletas!Q134="Bishou F",628,IF(Atletas!Q134="Shan F",629,IF(Atletas!Q134="Outra Arma Curta F",630, "")))))))))))))))))))))))))))))))</f>
        <v/>
      </c>
      <c r="BT138" s="52" t="str">
        <f>IF(Atletas!R134="","",IF(Atletas!W134&lt;&gt;"",10000,0)+IF(Atletas!B134="Feminino",1000,IF(Atletas!B134="Masculino",2000,""))+IF(Atletas!R134="Gun A",701,IF(Atletas!R134="Qiang A",702,IF(Atletas!R134="Pudao / Guandao A",703,IF(Atletas!R134="Outra Arma Longa A",704,IF(Atletas!R134="Gun B",705,IF(Atletas!R134="Qiang B",706,IF(Atletas!R134="Pudao / Guandao B",707,IF(Atletas!R134="Outra Arma Longa B",708,IF(Atletas!R134="Gun C",709,IF(Atletas!R134="Qiang C",710,IF(Atletas!R134="Pudao / Guandao C",711,IF(Atletas!R134="Outra Arma Longa C",712,IF(Atletas!R134="Gun D",713,IF(Atletas!R134="Qiang D",714,IF(Atletas!R134="Pudao / Guandao D",715,IF(Atletas!R134="Outra Arma Longa D",716,IF(Atletas!R134="Gun E",717,IF(Atletas!R134="Qiang E",718,IF(Atletas!R134="Pudao / Guandao E",719,IF(Atletas!R134="Outra Arma Longa E",720,IF(Atletas!R134="Gun F",721,IF(Atletas!R134="Qiang F",722,IF(Atletas!R134="Pudao / Guandao F",723,IF(Atletas!R134="Outra Arma Longa F",724,"")))))))))))))))))))))))))</f>
        <v/>
      </c>
      <c r="BU138" s="52" t="str">
        <f>IF(Atletas!S134="","",IF(Atletas!W134&lt;&gt;"",10000,0)+IF(Atletas!B134="Feminino",1000,IF(Atletas!B134="Masculino",2000,""))+IF(Atletas!S134="Arma Dupla A",801,IF(Atletas!S134="Arma Maleável A",802,IF(Atletas!S134="Arma Dupla B",803,IF(Atletas!S134="Arma Maleável B",804,IF(Atletas!S134="Arma Dupla C",805,IF(Atletas!S134="Arma Maleável C",806,IF(Atletas!S134="Arma Dupla D",807,IF(Atletas!S134="Arma Maleável D",808,IF(Atletas!S134="Arma Dupla E",809,IF(Atletas!S134="Arma Maleável E",810,IF(Atletas!S134="Arma Dupla F",811,IF(Atletas!S134="Arma Maleável F",812, "")))))))))))))</f>
        <v/>
      </c>
      <c r="BV138" s="52" t="str">
        <f>IF(Atletas!T134="","",IF(Atletas!W134&lt;&gt;"",10000,0)+IF(Atletas!B134="Feminino",1000,IF(Atletas!B134="Masculino",2000,""))+IF(Atletas!T134="Taijijian Yang A",901,IF(Atletas!T134="Taijijian Chen A",902,IF(Atletas!T134="Taijijian Sun A",903,IF(Atletas!T134="Taijijian Wu A",904,IF(Atletas!T134="Taijijian Wu-Hao A",905,IF(Atletas!T134="Taijijian 32 A",906,IF(Atletas!T134="Taijijian 42 A",907,IF(Atletas!T134="Taijijian Yang B",908,IF(Atletas!T134="Taijijian Chen B",909,IF(Atletas!T134="Taijijian Sun B",910,IF(Atletas!T134="Taijijian Wu B",911,IF(Atletas!T134="Taijijian Wu-Hao B",912,IF(Atletas!T134="Taijijian 32 B",913,IF(Atletas!T134="Taijijian 42 B",914,IF(Atletas!T134="Taijijian Yang C",915,IF(Atletas!T134="Taijijian Chen C",916,IF(Atletas!T134="Taijijian Sun C",917,IF(Atletas!T134="Taijijian Wu C",918,IF(Atletas!T134="Taijijian Wu-Hao C",919,IF(Atletas!T134="Taijijian 32 C",920,IF(Atletas!T134="Taijijian 42 C",921,IF(Atletas!T134="Taijijian Yang D",922,IF(Atletas!T134="Taijijian Chen D",923,IF(Atletas!T134="Taijijian Sun D",924,IF(Atletas!T134="Taijijian Wu D",925,IF(Atletas!T134="Taijijian Wu-Hao D",926,IF(Atletas!T134="Taijijian 32 D",927,IF(Atletas!T134="Taijijian 42 D",928,IF(Atletas!T134="Taijijian Yang E",929,IF(Atletas!T134="Taijijian Chen E",930,IF(Atletas!T134="Taijijian Sun E",931,IF(Atletas!T134="Taijijian Wu E",932,IF(Atletas!T134="Taijijian Wu-Hao E",933,IF(Atletas!T134="Taijijian 32 E",934,IF(Atletas!T134="Taijijian 42 E",935,IF(Atletas!T134="Taijijian Yang F",936,IF(Atletas!T134="Taijijian Chen F",937,IF(Atletas!T134="Taijijian Sun F",938,IF(Atletas!T134="Taijijian Wu F",939,IF(Atletas!T134="Taijijian Wu-Hao F",940,IF(Atletas!T134="Taijijian 32 F",941,IF(Atletas!T134="Taijijian 42 F",942,"")))))))))))))))))))))))))))))))))))))))))))</f>
        <v/>
      </c>
      <c r="BW138" s="52" t="str">
        <f>IF(Atletas!U134="","",IF(Atletas!W134&lt;&gt;"",10000,0)+IF(Atletas!B134="Feminino",1000,IF(Atletas!B134="Masculino",2000,""))+IF(Atletas!T134="Taijijian 42 F",942,IF(Atletas!U134="Taijidao A",943,IF(Atletas!U134="Taijishan A",944,IF(Atletas!U134="Taijiqiang A",945,IF(Atletas!U134="Taijidao B",946,IF(Atletas!U134="Taijishan B",947,IF(Atletas!U134="Taijiqiang B",948,IF(Atletas!U134="Taijidao C",949,IF(Atletas!U134="Taijishan C",950,IF(Atletas!U134="Taijiqiang C",951,IF(Atletas!U134="Taijidao D",952,IF(Atletas!U134="Taijishan D",953,IF(Atletas!U134="Taijiqiang D",954,IF(Atletas!U134="Taijidao E",955,IF(Atletas!U134="Taijishan E",956,IF(Atletas!U134="Taijiqiang E",957,IF(Atletas!U134="Taijidao F",958,IF(Atletas!U134="Taijishan F",959,IF(Atletas!U134="Taijiqiang F",960))))))))))))))))))))</f>
        <v/>
      </c>
      <c r="BX138" s="72" t="str">
        <f>IF(BY138&lt;&gt;"","Outro Taijiquan A","")</f>
        <v/>
      </c>
      <c r="BY138" s="72" t="str">
        <f>IF(COUNTIF(BK:BW,1306)&gt;0,COUNTIF(BK:BW,1306),"")</f>
        <v/>
      </c>
      <c r="BZ138" s="72" t="str">
        <f>IF(CA138&lt;&gt;"","Outro Taijiquan A","")</f>
        <v/>
      </c>
      <c r="CA138" s="72" t="str">
        <f>IF(COUNTIF(BK:BW,2306)&gt;0,COUNTIF(BK:BW,2306),"")</f>
        <v/>
      </c>
      <c r="CB138" s="72" t="str">
        <f>IF(CC138&lt;&gt;"","Outro Taijiquan A","")</f>
        <v/>
      </c>
      <c r="CC138" s="64" t="str">
        <f>IF(COUNTIF(BK:BW,11306)&gt;0,COUNTIF(BK:BW,11306),"")</f>
        <v/>
      </c>
      <c r="CD138" s="64" t="str">
        <f>IF(CE138&lt;&gt;"","Outro Taijiquan A","")</f>
        <v/>
      </c>
      <c r="CE138" s="64" t="str">
        <f>IF(COUNTIF(BK:BW,12306)&gt;0,COUNTIF(BK:BW,12306),"")</f>
        <v/>
      </c>
      <c r="CF138" s="52" t="str">
        <f xml:space="preserve"> IF(Atletas!V134="","",IF(Atletas!V134="Duilian de Mãos AB - Equipe 1",1,IF(Atletas!V134="Duilian de Mãos AB - Equipe 2",2,IF(Atletas!V134="Duilian de Armas AB - Equipe 1",3,IF(Atletas!V134="Duilian de Armas AB - Equipe 2",4,IF(Atletas!V134="Duilian de Tuishou - Equipe 1",5,IF(Atletas!V134="Duilian de Tuishou - Equipe 2",6,IF(Atletas!V134="Grupo Externo AB - Equipe 1",7,IF(Atletas!V134="Grupo Externo AB - Equipe 2",8,IF(Atletas!V134="Grupo Interno AB - Equipe 1",9,IF(Atletas!V134="Grupo Interno AB - Equipe 2",10,IF(Atletas!V134="Duilian de Mãos CD - Equipe 1",11,IF(Atletas!V134="Duilian de Mãos CD - Equipe 2",12,IF(Atletas!V134="Duilian de Armas CD - Equipe 1",13,IF(Atletas!V134="Duilian de Armas CD - Equipe 2",14,IF(Atletas!V134="Duilian de Tuishou - Equipe 1",15,IF(Atletas!V134="Duilian de Tuishou - Equipe 2",16,IF(Atletas!V134="Grupo Externo CDEF - Equipe 1",17,IF(Atletas!V134="Grupo Externo CDEF - Equipe 2",18,IF(Atletas!V134="Grupo Interno CDEF - Equipe 1",19,IF(Atletas!V134="Grupo Interno CDEF - Equipe 2",20,IF(Atletas!V134="Duilian de Mãos EF - Equipe 1",21,IF(Atletas!V134="Duilian de Mãos EF - Equipe 2",22,IF(Atletas!V134="Duilian de Armas EF - Equipe 1",23,IF(Atletas!V134="Duilian de Armas EF - Equipe 2",24,IF(Atletas!V134="Duilian de Tuishou - Equipe 1",25,IF(Atletas!V134="Duilian de Tuishou - Equipe 2",26,"")))))))))))))))))))))))))))</f>
        <v/>
      </c>
    </row>
    <row r="139" spans="2:84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 t="str">
        <f t="array" ref="V139">IFERROR(INDEX(BX$7:BX$336,SMALL(IF(BX$7:BX$336&lt;&gt;"",ROW(BX$7:BX$336)-ROW(BX$7)+1),ROWS(BX$7:BX138))),"")</f>
        <v/>
      </c>
      <c r="W139" s="4" t="str">
        <f t="array" ref="W139">IFERROR(INDEX(BY$7:BY$336,SMALL(IF(BY$7:BY$336&lt;&gt;"",ROW(BY$7:BY$336)-ROW(BY$7)+1),ROWS(BY$7:BY138))),"")</f>
        <v/>
      </c>
      <c r="X139" s="4" t="str">
        <f t="array" ref="X139">IFERROR(INDEX(BZ$7:BZ$336,SMALL(IF(BZ$7:BZ$336&lt;&gt;"",ROW(BZ$7:BZ$336)-ROW(BZ$7)+1),ROWS(BZ$7:BZ138))),"")</f>
        <v/>
      </c>
      <c r="Y139" s="4" t="str">
        <f t="array" ref="Y139">IFERROR(INDEX(CA$7:CA$336,SMALL(IF(CA$7:CA$336&lt;&gt;"",ROW(CA$7:CA$336)-ROW(CA$7)+1),ROWS(CA$7:CA138))),"")</f>
        <v/>
      </c>
      <c r="Z139" s="4" t="str">
        <f t="array" ref="Z139">IFERROR(INDEX(CB$7:CB$378,SMALL(IF(CB$7:CB$378&lt;&gt;"",ROW(CB$7:CB$378)-ROW(CB$7)+1),ROWS(CB$7:CB138))),"")</f>
        <v/>
      </c>
      <c r="AA139" s="4" t="str">
        <f t="array" ref="AA139">IFERROR(INDEX(CC$7:CC$378,SMALL(IF(CC$7:CC$378&lt;&gt;"",ROW(CC$7:CC$378)-ROW(CC$7)+1),ROWS(CC$7:CC138))),"")</f>
        <v/>
      </c>
      <c r="AB139" s="4" t="str">
        <f t="array" ref="AB139">IFERROR(INDEX(CD$7:CD$378,SMALL(IF(CD$7:CD$378&lt;&gt;"",ROW(CD$7:CD$378)-ROW(CD$7)+1),ROWS(CD$7:CD138))),"")</f>
        <v/>
      </c>
      <c r="AC139" s="4" t="str">
        <f t="array" ref="AC139">IFERROR(INDEX(CE$7:CE$378,SMALL(IF(CE$7:CE$378&lt;&gt;"",ROW(CE$7:CE$378)-ROW(CE$7)+1),ROWS(CE$7:CE138))),"")</f>
        <v/>
      </c>
      <c r="AD139" s="4"/>
      <c r="AE139" s="4"/>
      <c r="AF139" s="4"/>
      <c r="AG139" s="4"/>
      <c r="AH139" s="4"/>
      <c r="AI139" s="4"/>
      <c r="AJ139" s="46" t="str">
        <f>IF(Atletas!D135="","",IF(Atletas!B135="Feminino",100,IF(Atletas!B135="Masculino",200,""))+(IF(Atletas!D135="Infantil 39kg",1,IF(Atletas!D135="Infantil 42kg",2,IF(Atletas!D135="Infantil 45kg",3,IF(Atletas!D135="Infantil 48kg",4,IF(Atletas!D135="Infantil 52kg",5,IF(Atletas!D135="Infantil 56kg",6,IF(Atletas!D135="Infantil 60kg",7,IF(Atletas!D135="Juvenil 48kg",8,IF(Atletas!D135="Juvenil 52kg",9,IF(Atletas!D135="Juvenil 56kg",10,IF(Atletas!D135="Juvenil 60kg",11,IF(Atletas!D135="Juvenil 65kg",12,IF(Atletas!D135="Juvenil 70kg",13,IF(Atletas!D135="Juvenil 75kg",14,IF(Atletas!D135="Juvenil 80kg",15,IF(Atletas!D135="Adulto 48kg",16,IF(Atletas!D135="Adulto 52kg",17,IF(Atletas!D135="Adulto 56kg",18,IF(Atletas!D135="Adulto 60kg",19,IF(Atletas!D135="Adulto 65kg",20,IF(Atletas!D135="Adulto 70kg",21,IF(Atletas!D135="Adulto 75kg",22,IF(Atletas!D135="Adulto 80kg",23,IF(Atletas!D135="Adulto 85kg",24,IF(Atletas!D135="Adulto 90kg",25,IF(Atletas!D135="Adulto +90kg",26,""))))))))))))))))))))))))))))</f>
        <v/>
      </c>
      <c r="AO139" s="10" t="str">
        <f>IF(Atletas!E135="","",IF(Atletas!B135="Feminino",100,IF(Atletas!B135="Masculino",200,""))+(IF(Atletas!E135="Juvenil 44kg",1,IF(Atletas!E135="Juvenil 48kg",2,IF(Atletas!E135="Juvenil 52kg",3,IF(Atletas!E135="Juvenil 56kg",4,IF(Atletas!E135="Juvenil 60kg",5,IF(Atletas!E135="Juvenil 65kg",6,IF(Atletas!E135="Juvenil 70kg",7,IF(Atletas!E135="Juvenil 75kg",8,IF(Atletas!E135="Juvenil 82kg",9,IF(Atletas!E135="Juvenil 90kg",10,IF(Atletas!E135="Juvenil 100kg",11,IF(Atletas!E135="Adulto 48kg",12,IF(Atletas!E135="Adulto 52kg",13,IF(Atletas!E135="Adulto 56kg",14,IF(Atletas!E135="Adulto 60kg",15,IF(Atletas!E135="Adulto 65kg",16,IF(Atletas!E135="Adulto 70kg",17,IF(Atletas!E135="Adulto 75kg",18,IF(Atletas!E135="Adulto 82kg",19,IF(Atletas!E135="Adulto 90kg",20,IF(Atletas!E135="Adulto 100kg",21,IF(Atletas!E135="Adulto +100kg",22,""))))))))))))))))))))))))</f>
        <v/>
      </c>
      <c r="AT139" s="10" t="str">
        <f>IF(Atletas!F135="","",IF(Atletas!B135="Feminino",100,IF(Atletas!B135="Masculino",200,""))+(IF(Atletas!F135="Adulto 48kg",1,IF(Atletas!F135="Adulto 56kg",2,IF(Atletas!F135="Adulto 65kg",3,IF(Atletas!F135="Adulto 75kg",4,IF(Atletas!F135="Adulto +75kg",5,IF(Atletas!F135="Adulto 52kg",6,IF(Atletas!F135="Adulto 60kg",7,IF(Atletas!F135="Adulto 70kg",8,IF(Atletas!F135="Adulto 80kg",9,IF(Atletas!F135="Adulto 90kg",10,IF(Atletas!F135="Adulto +90kg",11,"")))))))))))))</f>
        <v/>
      </c>
      <c r="AY139" s="46" t="str">
        <f>IF(Atletas!G135="","",IF(Atletas!B135="Feminino",100,IF(Atletas!B135="Masculino",200,""))+(IF(Atletas!G135="Changquan Mirim",1,IF(Atletas!G135="Nanquan Mirim",2,IF(Atletas!G135="Taijiquan Mirim",3,IF(Atletas!G135="Changquan Grupo C",4,IF(Atletas!G135="Nanquan Grupo C",5,IF(Atletas!G135="Taijiquan Grupo C",6,IF(Atletas!G135="Changquan Grupo B",7,IF(Atletas!G135="Nanquan Grupo B",8,IF(Atletas!G135="Taijiquan Grupo B",9,IF(Atletas!G135="Changquan Grupo A",10,IF(Atletas!G135="Nanquan Grupo A",11,IF(Atletas!G135="Taijiquan Grupo A",12,IF(Atletas!G135="Changquan Opcional",13,IF(Atletas!G135="Nanquan Opcional",14,IF(Atletas!G135="Taijiquan Opcional",15,IF(Atletas!G135="Changquan Adulto",16,IF(Atletas!G135="Nanquan Adulto",17,IF(Atletas!G135="Taijiquan Adulto",18,""))))))))))))))))))))</f>
        <v/>
      </c>
      <c r="AZ139" s="46" t="str">
        <f>IF(Atletas!H135="","",IF(Atletas!B135="Feminino",100,IF(Atletas!B135="Masculino",200,""))+(IF(Atletas!H135="Daoshu Mirim",19,IF(Atletas!H135="Jianshu Mirim",20,IF(Atletas!H135="Nandao Mirim",21,IF(Atletas!H135="Taijijian Mirim",22,IF(Atletas!H135="Daoshu Grupo C",23,IF(Atletas!H135="Jianshu Grupo C",24,IF(Atletas!H135="Nandao Grupo C",25,IF(Atletas!H135="Taijijian Grupo C",26,IF(Atletas!H135="Daoshu Grupo B",27,IF(Atletas!H135="Jianshu Grupo B",28,IF(Atletas!H135="Nandao Grupo B",29,IF(Atletas!H135="Taijijian Grupo B",30,IF(Atletas!H135="Daoshu Grupo A",31,IF(Atletas!H135="Jianshu Grupo A",32,IF(Atletas!H135="Nandao Grupo A",33,IF(Atletas!H135="Taijijian Grupo A",34,IF(Atletas!H135="Daoshu Opcional",35,IF(Atletas!H135="Jianshu Opcional",36,IF(Atletas!H135="Nandao Opcional",37,IF(Atletas!H135="Taijijian Opcional",38,IF(Atletas!H135="Daoshu Adulto",39,IF(Atletas!H135="Jianshu Adulto",40,IF(Atletas!H135="Nandao Adulto",41,IF(Atletas!H135="Taijijian Adulto",42,""))))))))))))))))))))))))))</f>
        <v/>
      </c>
      <c r="BA139" s="46" t="str">
        <f>IF(Atletas!I135="","",IF(Atletas!B135="Feminino",100,IF(Atletas!B135="Masculino",200,""))+(IF(Atletas!I135="Gunshu Mirim",43,IF(Atletas!I135="Qiangshu Mirim",44,IF(Atletas!I135="Nangun Mirim",45,IF(Atletas!I135="Gunshu Grupo C",46,IF(Atletas!I135="Qiangshu Grupo C",47,IF(Atletas!I135="Nangun Grupo C",48,IF(Atletas!I135="Gunshu Grupo B",49,IF(Atletas!I135="Qiangshu Grupo B",50,IF(Atletas!I135="Nangun Grupo B",51,IF(Atletas!I135="Gunshu Grupo A",52,IF(Atletas!I135="Qiangshu Grupo A",53,IF(Atletas!I135="Nangun Grupo A",54,IF(Atletas!I135="Gunshu Opcional",55,IF(Atletas!I135="Qiangshu Opcional",56,IF(Atletas!I135="Nangun Opcional",57,IF(Atletas!I135="Gunshu Adulto",58,IF(Atletas!I135="Qiangshu Adulto",59,IF(Atletas!I135="Nangun Adulto",60,""))))))))))))))))))))</f>
        <v/>
      </c>
      <c r="BF139" s="52" t="str">
        <f>IF(Atletas!J135="","",IF(Atletas!B135="Feminino",100,IF(Atletas!B135="Masculino",200,""))+(IF(Atletas!J135="Equipe 1 Grupo B",1,IF(Atletas!J135="Equipe 2 Grupo B",2,IF(Atletas!J135="Equipe 1 Grupo A",3,IF(Atletas!J135="Equipe 2 Grupo A",4,IF(Atletas!J135="Equipe 1 Adulto",5,IF(Atletas!J135="Equipe 2 Adulto",6,""))))))))</f>
        <v/>
      </c>
      <c r="BK139" s="52" t="str">
        <f>IF(Atletas!K135="","",IF(Atletas!W135&lt;&gt;"",10000,0)+(IF(Atletas!B135="Feminino",1000,IF(Atletas!B135="Masculino",2000,""))+IF(Atletas!K135="Choylayfut A",1,IF(Atletas!K135="Hunggar A",2,IF(Atletas!K135="Wuzuquan A",3,IF(Atletas!K135="Wingchun A",4,IF(Atletas!K135="Outra Mão de Sul A",5,IF(Atletas!K135="Choylayfut B",6,IF(Atletas!K135="Hunggar B",7,IF(Atletas!K135="Wuzuquan B",8,IF(Atletas!K135="Wingchun B",9,IF(Atletas!K135="Outra Mão de Sul B",10,IF(Atletas!K135="Choylayfut C",11,IF(Atletas!K135="Hunggar C",12,IF(Atletas!K135="Wuzuquan C",13,IF(Atletas!K135="Wingchun C",14,IF(Atletas!K135="Outra Mão de Sul C",15,IF(Atletas!K135="Choylayfut D",16,IF(Atletas!K135="Hunggar D",17,IF(Atletas!K135="Wuzuquan D",18,IF(Atletas!K135="Wingchun D",19,IF(Atletas!K135="Outra Mão de Sul D",20,IF(Atletas!K135="Choylayfut E",21,IF(Atletas!K135="Hunggar E",22,IF(Atletas!K135="Wuzuquan E",23,IF(Atletas!K135="Wingchun E",24,IF(Atletas!K135="Outra Mão de Sul E",25,IF(Atletas!K135="Choylayfut F",26,IF(Atletas!K135="Hunggar F",27,IF(Atletas!K135="Wuzuquan F",28,IF(Atletas!K135="Wingchun F",29,IF(Atletas!K135="Outra Mão de Sul F",30,""))))))))))))))))))))))))))))))))</f>
        <v/>
      </c>
      <c r="BL139" s="52" t="str">
        <f>IF(Atletas!L135="","",IF(Atletas!W135&lt;&gt;"",10000,0)+(IF(Atletas!B135="Feminino",1000,IF(Atletas!B135="Masculino",2000,""))+(IF(Atletas!L135="Chaquan A",101,IF(Atletas!L135="Emeiquan A",102,IF(Atletas!L135="Fanziquan A",103,IF(Atletas!L135="Huaquan A",104,IF(Atletas!L135="Hongquan A",105,IF(Atletas!L135="Paochui A",106,IF(Atletas!L135="Piguaquan A",107,IF(Atletas!L135="Shaolinquan A",108,IF(Atletas!L135="Tanglangquan A",109,IF(Atletas!L135="Yinzhaophai A",110,IF(Atletas!L135="Tongbeiquan A",111,IF(Atletas!L135="Wudangquan A",112,IF(Atletas!L135="Outros Estilos A",113,IF(Atletas!L135="Chaquan B",114,IF(Atletas!L135="Emeiquan B",115,IF(Atletas!L135="Fanziquan B",116,IF(Atletas!L135="Huaquan B",117,IF(Atletas!L135="Hongquan B",118,IF(Atletas!L135="Paochui B",119,IF(Atletas!L135="Piguaquan B",120,IF(Atletas!L135="Shaolinquan B",121,IF(Atletas!L135="Tanglangquan B",122,IF(Atletas!L135="Yinzhaophai B",123,IF(Atletas!L135="Tongbeiquan B",124,IF(Atletas!L135="Wudangquan B",125,IF(Atletas!L135="Outros Estilos B",126,IF(Atletas!L135="Chaquan C",127,IF(Atletas!L135="Emeiquan C",128,IF(Atletas!L135="Fanziquan C",129,IF(Atletas!L135="Huaquan C",130,IF(Atletas!L135="Hongquan C",131,IF(Atletas!L135="Paochui C",132,IF(Atletas!L135="Piguaquan C",133,IF(Atletas!L135="Shaolinquan C",134,IF(Atletas!L135="Tanglangquan C",135,IF(Atletas!L135="Yinzhaophai C",136,IF(Atletas!L135="Tongbeiquan C",137,IF(Atletas!L135="Wudangquan C",138,IF(Atletas!L135="Outros Estilos C",139,0))))))))))))))))))))))))))))))))))))))))))</f>
        <v/>
      </c>
      <c r="BM139" s="52" t="str">
        <f>IF(Atletas!L135="","",IF(Atletas!W135&lt;&gt;"",10000,0)+(IF(Atletas!B135="Feminino",1000,IF(Atletas!B135="Masculino",2000,""))+(IF(Atletas!L135="Chaquan D",140,IF(Atletas!L135="Emeiquan D",141,IF(Atletas!L135="Fanziquan D",142,IF(Atletas!L135="Huaquan D",143,IF(Atletas!L135="Hongquan D",144,IF(Atletas!L135="Paochui D",145,IF(Atletas!L135="Piguaquan D",146,IF(Atletas!L135="Shaolinquan D",147,IF(Atletas!L135="Tanglangquan D",148,IF(Atletas!L135="Yinzhaophai D",149,IF(Atletas!L135="Tongbeiquan D",150,IF(Atletas!L135="Wudangquan D",151,IF(Atletas!L135="Outros Estilos D",152,IF(Atletas!L135="Chaquan E",153,IF(Atletas!L135="Emeiquan E",154,IF(Atletas!L135="Fanziquan E",155,IF(Atletas!L135="Huaquan E",156,IF(Atletas!L135="Hongquan E",157,IF(Atletas!L135="Paochui E",158,IF(Atletas!L135="Piguaquan E",159,IF(Atletas!L135="Shaolinquan E",160,IF(Atletas!L135="Tanglangquan E",161,IF(Atletas!L135="Yinzhaophai E",162,IF(Atletas!L135="Tongbeiquan E",163,IF(Atletas!L135="Wudangquan E",164,IF(Atletas!L135="Outros Estilos E",165,IF(Atletas!L135="Chaquan F",166,IF(Atletas!L135="Emeiquan F",167,IF(Atletas!L135="Fanziquan F",168,IF(Atletas!L135="Huaquan F",169,IF(Atletas!L135="Hongquan F",170,IF(Atletas!L135="Paochui F",171,IF(Atletas!L135="Piguaquan F",172,IF(Atletas!L135="Shaolinquan F",173,IF(Atletas!L135="Tanglangquan F",174,IF(Atletas!L135="Yinzhaophai F",175,IF(Atletas!L135="Tongbeiquan F",176,IF(Atletas!L135="Wudangquan F",177,IF(Atletas!L135="Outros Estilos F",178,0))))))))))))))))))))))))))))))))))))))))))</f>
        <v/>
      </c>
      <c r="BN139" s="52" t="str">
        <f>IF(Atletas!M135="","",IF(Atletas!W135&lt;&gt;"",10000,0)+(IF(Atletas!B135="Feminino",1000,IF(Atletas!B135="Masculino",2000,""))+(IF(Atletas!M135="Ditangquan A",201,IF(Atletas!M135="Houquan A",202,IF(Atletas!M135="Zuiquan A",203,IF(Atletas!M135="Ditangquan B",204,IF(Atletas!M135="Houquan B",205,IF(Atletas!M135="Zuiquan B",206,IF(Atletas!M135="Ditangquan C",207,IF(Atletas!M135="Houquan C",208,IF(Atletas!M135="Zuiquan C",209,IF(Atletas!M135="Ditangquan D",210,IF(Atletas!M135="Houquan D",211,IF(Atletas!M135="Zuiquan D",212,IF(Atletas!M135="Ditangquan E",213,IF(Atletas!M135="Houquan E",214,IF(Atletas!M135="Zuiquan E",215,IF(Atletas!M135="Ditangquan F",216,IF(Atletas!M135="Houquan F",217,IF(Atletas!M135="Zuiquan F",218,"")))))))))))))))))))))</f>
        <v/>
      </c>
      <c r="BO139" s="52" t="str">
        <f>IF(Atletas!N135="","",IF(Atletas!W135&lt;&gt;"",10000,0)+IF(Atletas!B135="Feminino",1000,IF(Atletas!B135="Masculino",2000,""))+IF(Atletas!N135="Yang A",301,IF(Atletas!N135="Chen A",30,IF(Atletas!N135="Sun A",303,IF(Atletas!N135="Wu A",304,IF(Atletas!N135="Wu-Hao A",305,IF(Atletas!N135="Outro Taijiquan A",306,IF(Atletas!N135="Yang B",307,IF(Atletas!N135="Chen B",308,IF(Atletas!N135="Sun B",309,IF(Atletas!N135="Wu B",310,IF(Atletas!N135="Wu-Hao B",311,IF(Atletas!N135="Outro Taijiquan B",312,IF(Atletas!N135="Yang C",313,IF(Atletas!N135="Chen C",314,IF(Atletas!N135="Sun C",315,IF(Atletas!N135="Wu C",316,IF(Atletas!N135="Wu-Hao C",317,IF(Atletas!N135="Outro Taijiquan C",318,IF(Atletas!N135="Yang D",319,IF(Atletas!N135="Chen D",320,IF(Atletas!N135="Sun D",321,IF(Atletas!N135="Wu D",322,IF(Atletas!N135="Wu-Hao D",323,IF(Atletas!N135="Outro Taijiquan D",324,IF(Atletas!N135="Yang E",325,IF(Atletas!N135="Chen E",326,IF(Atletas!N135="Sun E",327,IF(Atletas!N135="Wu E",328,IF(Atletas!N135="Wu-Hao E",329,IF(Atletas!N135="Outro Taijiquan E",330,IF(Atletas!N135="Yang F",331,IF(Atletas!N135="Chen F",332,IF(Atletas!N135="Sun F",333,IF(Atletas!N135="Wu F",334,IF(Atletas!N135="Wu-Hao F",335,IF(Atletas!N135="Outro Taijiquan F",336,"")))))))))))))))))))))))))))))))))))))</f>
        <v/>
      </c>
      <c r="BP139" s="52" t="str">
        <f>IF(Atletas!O135="","",IF(Atletas!W135&lt;&gt;"",10000,0)+IF(Atletas!B135="Feminino",1000,IF(Atletas!B135="Masculino",2000,""))+IF(OR(Atletas!O135="Yang 26 A",Atletas!O135="Yang 40 A"),401,IF(OR(Atletas!O135="Chen 25 A",Atletas!O135="Chen 36 A",Atletas!O135="Chen 56 A"),402,IF(Atletas!O135="Sun 73 A",403,IF(Atletas!O135="Wu 45 A",404,IF(Atletas!O135="Wu-Hao 46 A",405,IF(OR(Atletas!O135="Taijiquan 16 A",Atletas!O135="Taijiquan 24 A",Atletas!O135="Taijiquan 32 A",Atletas!O135="Taijiquan 42 A"),406,IF(OR(Atletas!O135="Yang 26 B",Atletas!O135="Yang 40 B"),407,IF(OR(Atletas!O135="Chen 25 B",Atletas!O135="Chen 36 B",Atletas!O135="Chen 56 B"),408,IF(Atletas!O135="Sun 73 B",409,IF(Atletas!O135="Wu 45 B",410,IF(Atletas!O135="Wu-Hao 46 B",411,IF(OR(Atletas!O135="Taijiquan 16 B",Atletas!O135="Taijiquan 24 B",Atletas!O135="Taijiquan 32 B",Atletas!O135="Taijiquan 42 B"),412,IF(OR(Atletas!O135="Yang 26 C",Atletas!O135="Yang 40 C"),413,IF(OR(Atletas!O135="Chen 25 C",Atletas!O135="Chen 36 C",Atletas!O135="Chen 56 C"),414,IF(Atletas!O135="Sun 73 C",415,IF(Atletas!O135="Wu 45 C",416,IF(Atletas!O135="Wu-Hao 46 C",417,IF(OR(Atletas!O135="Taijiquan 16 C",Atletas!O135="Taijiquan 24 C",Atletas!O135="Taijiquan 32 C",Atletas!O135="Taijiquan 42 C"),418,0)))))))))))))))))))</f>
        <v/>
      </c>
      <c r="BQ139" s="52" t="str">
        <f>IF(Atletas!O135="","",IF(Atletas!W135&lt;&gt;"",10000,0)+IF(Atletas!B135="Feminino",1000,IF(Atletas!B135="Masculino",2000,""))+IF(OR(Atletas!O135="Yang 26 D",Atletas!O135="Yang 40 D"),419,IF(OR(Atletas!O135="Chen 25 D",Atletas!O135="Chen 36 D",Atletas!O135="Chen 56 D"),420,IF(Atletas!O135="Sun 73 D",421,IF(Atletas!O135="Wu 45 D",422,IF(Atletas!O135="Wu-Hao 46 D",423,IF(OR(Atletas!O135="Taijiquan 16 D",Atletas!O135="Taijiquan 24 D",Atletas!O135="Taijiquan 32 D",Atletas!O135="Taijiquan 42 D"),424,IF(OR(Atletas!O135="Yang 26 E",Atletas!O135="Yang 40 E"),425,IF(OR(Atletas!O135="Chen 25 E",Atletas!O135="Chen 36 E",Atletas!O135="Chen 56 E"),426,IF(Atletas!O135="Sun 73 E",427,IF(Atletas!O135="Wu 45 E",428,IF(Atletas!O135="Wu-Hao 46 E",429,IF(OR(Atletas!O135="Taijiquan 16 E",Atletas!O135="Taijiquan 24 E",Atletas!O135="Taijiquan 32 E",Atletas!O135="Taijiquan 42 E"),430,IF(OR(Atletas!O135="Yang 26 F",Atletas!O135="Yang 40 F"),431,IF(OR(Atletas!O135="Chen 25 F",Atletas!O135="Chen 36 F",Atletas!O135="Chen 56 F"),432,IF(Atletas!O135="Sun 73 F",433,IF(Atletas!O135="Wu 45 F",434,IF(Atletas!O135="Wu-Hao 46 F",435,IF(OR(Atletas!O135="Taijiquan 16 F",Atletas!O135="Taijiquan 24 F",Atletas!O135="Taijiquan 32 F",Atletas!O135="Taijiquan 42 F"),436,0)))))))))))))))))))</f>
        <v/>
      </c>
      <c r="BR139" s="52" t="str">
        <f>IF(Atletas!P135="","",IF(Atletas!W135&lt;&gt;"",10000,0)+IF(Atletas!B135="Feminino",1000,IF(Atletas!B135="Masculino",2000,""))+IF(Atletas!P135="Xingyiquan A",501,IF(Atletas!P135="Baguazhang A",502,IF(Atletas!P135="Outro Estilo Interno A",503,IF(Atletas!P135="Xingyiquan B",504,IF(Atletas!P135="Baguazhang B",505,IF(Atletas!P135="Outro Estilo Interno B",506,IF(Atletas!P135="Xingyiquan C",507,IF(Atletas!P135="Baguazhang C",508,IF(Atletas!P135="Outro Estilo Interno C",509,IF(Atletas!P135="Xingyiquan D",510,IF(Atletas!P135="Baguazhang D",511,IF(Atletas!P135="Outro Estilo Interno D",512,IF(Atletas!P135="Xingyiquan E",513,IF(Atletas!P135="Baguazhang E",514,IF(Atletas!P135="Outro Estilo Interno E",515,IF(Atletas!P135="Xingyiquan F",516,IF(Atletas!P135="Baguazhang F",517,IF(Atletas!P135="Outro Estilo Interno F",518, "")))))))))))))))))))</f>
        <v/>
      </c>
      <c r="BS139" s="52" t="str">
        <f>IF(Atletas!Q135="","",IF(Atletas!W135&lt;&gt;"",10000,0)+IF(Atletas!B135="Feminino",1000,IF(Atletas!B135="Masculino",2000,""))+IF(Atletas!Q135="Dao A",601,IF(Atletas!Q135="Jian A",602,IF(Atletas!Q135="Bishou A",603,IF(Atletas!Q135="Shan A",604,IF(Atletas!Q135="Outra Arma Curta A",605,IF(Atletas!Q135="Dao B",606,IF(Atletas!Q135="Jian B",607,IF(Atletas!Q135="Bishou B",608,IF(Atletas!Q135="Shan B",609,IF(Atletas!Q135="Outra Arma Curta B",610,IF(Atletas!Q135="Dao C",611,IF(Atletas!Q135="Jian C",612,IF(Atletas!Q135="Bishou C",613,IF(Atletas!Q135="Shan C",614,IF(Atletas!Q135="Outra Arma Curta C",615,IF(Atletas!Q135="Dao D",616,IF(Atletas!Q135="Jian D",617,IF(Atletas!Q135="Bishou D",618,IF(Atletas!Q135="Shan D",619,IF(Atletas!Q135="Outra Arma Curta D",620,IF(Atletas!Q135="Dao E",621,IF(Atletas!Q135="Jian E",622,IF(Atletas!Q135="Bishou E",623,IF(Atletas!Q135="Shan E",624,IF(Atletas!Q135="Outra Arma Curta E",625,IF(Atletas!Q135="Dao F",626,IF(Atletas!Q135="Jian F",627,IF(Atletas!Q135="Bishou F",628,IF(Atletas!Q135="Shan F",629,IF(Atletas!Q135="Outra Arma Curta F",630, "")))))))))))))))))))))))))))))))</f>
        <v/>
      </c>
      <c r="BT139" s="52" t="str">
        <f>IF(Atletas!R135="","",IF(Atletas!W135&lt;&gt;"",10000,0)+IF(Atletas!B135="Feminino",1000,IF(Atletas!B135="Masculino",2000,""))+IF(Atletas!R135="Gun A",701,IF(Atletas!R135="Qiang A",702,IF(Atletas!R135="Pudao / Guandao A",703,IF(Atletas!R135="Outra Arma Longa A",704,IF(Atletas!R135="Gun B",705,IF(Atletas!R135="Qiang B",706,IF(Atletas!R135="Pudao / Guandao B",707,IF(Atletas!R135="Outra Arma Longa B",708,IF(Atletas!R135="Gun C",709,IF(Atletas!R135="Qiang C",710,IF(Atletas!R135="Pudao / Guandao C",711,IF(Atletas!R135="Outra Arma Longa C",712,IF(Atletas!R135="Gun D",713,IF(Atletas!R135="Qiang D",714,IF(Atletas!R135="Pudao / Guandao D",715,IF(Atletas!R135="Outra Arma Longa D",716,IF(Atletas!R135="Gun E",717,IF(Atletas!R135="Qiang E",718,IF(Atletas!R135="Pudao / Guandao E",719,IF(Atletas!R135="Outra Arma Longa E",720,IF(Atletas!R135="Gun F",721,IF(Atletas!R135="Qiang F",722,IF(Atletas!R135="Pudao / Guandao F",723,IF(Atletas!R135="Outra Arma Longa F",724,"")))))))))))))))))))))))))</f>
        <v/>
      </c>
      <c r="BU139" s="52" t="str">
        <f>IF(Atletas!S135="","",IF(Atletas!W135&lt;&gt;"",10000,0)+IF(Atletas!B135="Feminino",1000,IF(Atletas!B135="Masculino",2000,""))+IF(Atletas!S135="Arma Dupla A",801,IF(Atletas!S135="Arma Maleável A",802,IF(Atletas!S135="Arma Dupla B",803,IF(Atletas!S135="Arma Maleável B",804,IF(Atletas!S135="Arma Dupla C",805,IF(Atletas!S135="Arma Maleável C",806,IF(Atletas!S135="Arma Dupla D",807,IF(Atletas!S135="Arma Maleável D",808,IF(Atletas!S135="Arma Dupla E",809,IF(Atletas!S135="Arma Maleável E",810,IF(Atletas!S135="Arma Dupla F",811,IF(Atletas!S135="Arma Maleável F",812, "")))))))))))))</f>
        <v/>
      </c>
      <c r="BV139" s="52" t="str">
        <f>IF(Atletas!T135="","",IF(Atletas!W135&lt;&gt;"",10000,0)+IF(Atletas!B135="Feminino",1000,IF(Atletas!B135="Masculino",2000,""))+IF(Atletas!T135="Taijijian Yang A",901,IF(Atletas!T135="Taijijian Chen A",902,IF(Atletas!T135="Taijijian Sun A",903,IF(Atletas!T135="Taijijian Wu A",904,IF(Atletas!T135="Taijijian Wu-Hao A",905,IF(Atletas!T135="Taijijian 32 A",906,IF(Atletas!T135="Taijijian 42 A",907,IF(Atletas!T135="Taijijian Yang B",908,IF(Atletas!T135="Taijijian Chen B",909,IF(Atletas!T135="Taijijian Sun B",910,IF(Atletas!T135="Taijijian Wu B",911,IF(Atletas!T135="Taijijian Wu-Hao B",912,IF(Atletas!T135="Taijijian 32 B",913,IF(Atletas!T135="Taijijian 42 B",914,IF(Atletas!T135="Taijijian Yang C",915,IF(Atletas!T135="Taijijian Chen C",916,IF(Atletas!T135="Taijijian Sun C",917,IF(Atletas!T135="Taijijian Wu C",918,IF(Atletas!T135="Taijijian Wu-Hao C",919,IF(Atletas!T135="Taijijian 32 C",920,IF(Atletas!T135="Taijijian 42 C",921,IF(Atletas!T135="Taijijian Yang D",922,IF(Atletas!T135="Taijijian Chen D",923,IF(Atletas!T135="Taijijian Sun D",924,IF(Atletas!T135="Taijijian Wu D",925,IF(Atletas!T135="Taijijian Wu-Hao D",926,IF(Atletas!T135="Taijijian 32 D",927,IF(Atletas!T135="Taijijian 42 D",928,IF(Atletas!T135="Taijijian Yang E",929,IF(Atletas!T135="Taijijian Chen E",930,IF(Atletas!T135="Taijijian Sun E",931,IF(Atletas!T135="Taijijian Wu E",932,IF(Atletas!T135="Taijijian Wu-Hao E",933,IF(Atletas!T135="Taijijian 32 E",934,IF(Atletas!T135="Taijijian 42 E",935,IF(Atletas!T135="Taijijian Yang F",936,IF(Atletas!T135="Taijijian Chen F",937,IF(Atletas!T135="Taijijian Sun F",938,IF(Atletas!T135="Taijijian Wu F",939,IF(Atletas!T135="Taijijian Wu-Hao F",940,IF(Atletas!T135="Taijijian 32 F",941,IF(Atletas!T135="Taijijian 42 F",942,"")))))))))))))))))))))))))))))))))))))))))))</f>
        <v/>
      </c>
      <c r="BW139" s="52" t="str">
        <f>IF(Atletas!U135="","",IF(Atletas!W135&lt;&gt;"",10000,0)+IF(Atletas!B135="Feminino",1000,IF(Atletas!B135="Masculino",2000,""))+IF(Atletas!T135="Taijijian 42 F",942,IF(Atletas!U135="Taijidao A",943,IF(Atletas!U135="Taijishan A",944,IF(Atletas!U135="Taijiqiang A",945,IF(Atletas!U135="Taijidao B",946,IF(Atletas!U135="Taijishan B",947,IF(Atletas!U135="Taijiqiang B",948,IF(Atletas!U135="Taijidao C",949,IF(Atletas!U135="Taijishan C",950,IF(Atletas!U135="Taijiqiang C",951,IF(Atletas!U135="Taijidao D",952,IF(Atletas!U135="Taijishan D",953,IF(Atletas!U135="Taijiqiang D",954,IF(Atletas!U135="Taijidao E",955,IF(Atletas!U135="Taijishan E",956,IF(Atletas!U135="Taijiqiang E",957,IF(Atletas!U135="Taijidao F",958,IF(Atletas!U135="Taijishan F",959,IF(Atletas!U135="Taijiqiang F",960))))))))))))))))))))</f>
        <v/>
      </c>
      <c r="BX139" s="72" t="str">
        <f>IF(BY139&lt;&gt;"","TJQ Trad. Yang B","")</f>
        <v/>
      </c>
      <c r="BY139" s="72" t="str">
        <f>IF(COUNTIF(BK:BW,1307)&gt;0,COUNTIF(BK:BW,1307),"")</f>
        <v/>
      </c>
      <c r="BZ139" s="72" t="str">
        <f>IF(CA139&lt;&gt;"","TJQ Trad. Yang B","")</f>
        <v/>
      </c>
      <c r="CA139" s="72" t="str">
        <f>IF(COUNTIF(BK:BW,2307)&gt;0,COUNTIF(BK:BW,2307),"")</f>
        <v/>
      </c>
      <c r="CB139" s="72" t="str">
        <f>IF(CC139&lt;&gt;"","Yang B","")</f>
        <v/>
      </c>
      <c r="CC139" s="64" t="str">
        <f>IF(COUNTIF(BK:BW,11307)&gt;0,COUNTIF(BK:BW,11307),"")</f>
        <v/>
      </c>
      <c r="CD139" s="64" t="str">
        <f>IF(CE139&lt;&gt;"","Yang B","")</f>
        <v/>
      </c>
      <c r="CE139" s="64" t="str">
        <f>IF(COUNTIF(BK:BW,12307)&gt;0,COUNTIF(BK:BW,12307),"")</f>
        <v/>
      </c>
      <c r="CF139" s="52" t="str">
        <f xml:space="preserve"> IF(Atletas!V135="","",IF(Atletas!V135="Duilian de Mãos AB - Equipe 1",1,IF(Atletas!V135="Duilian de Mãos AB - Equipe 2",2,IF(Atletas!V135="Duilian de Armas AB - Equipe 1",3,IF(Atletas!V135="Duilian de Armas AB - Equipe 2",4,IF(Atletas!V135="Duilian de Tuishou - Equipe 1",5,IF(Atletas!V135="Duilian de Tuishou - Equipe 2",6,IF(Atletas!V135="Grupo Externo AB - Equipe 1",7,IF(Atletas!V135="Grupo Externo AB - Equipe 2",8,IF(Atletas!V135="Grupo Interno AB - Equipe 1",9,IF(Atletas!V135="Grupo Interno AB - Equipe 2",10,IF(Atletas!V135="Duilian de Mãos CD - Equipe 1",11,IF(Atletas!V135="Duilian de Mãos CD - Equipe 2",12,IF(Atletas!V135="Duilian de Armas CD - Equipe 1",13,IF(Atletas!V135="Duilian de Armas CD - Equipe 2",14,IF(Atletas!V135="Duilian de Tuishou - Equipe 1",15,IF(Atletas!V135="Duilian de Tuishou - Equipe 2",16,IF(Atletas!V135="Grupo Externo CDEF - Equipe 1",17,IF(Atletas!V135="Grupo Externo CDEF - Equipe 2",18,IF(Atletas!V135="Grupo Interno CDEF - Equipe 1",19,IF(Atletas!V135="Grupo Interno CDEF - Equipe 2",20,IF(Atletas!V135="Duilian de Mãos EF - Equipe 1",21,IF(Atletas!V135="Duilian de Mãos EF - Equipe 2",22,IF(Atletas!V135="Duilian de Armas EF - Equipe 1",23,IF(Atletas!V135="Duilian de Armas EF - Equipe 2",24,IF(Atletas!V135="Duilian de Tuishou - Equipe 1",25,IF(Atletas!V135="Duilian de Tuishou - Equipe 2",26,"")))))))))))))))))))))))))))</f>
        <v/>
      </c>
    </row>
    <row r="140" spans="2:84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 t="str">
        <f t="array" ref="V140">IFERROR(INDEX(BX$7:BX$336,SMALL(IF(BX$7:BX$336&lt;&gt;"",ROW(BX$7:BX$336)-ROW(BX$7)+1),ROWS(BX$7:BX139))),"")</f>
        <v/>
      </c>
      <c r="W140" s="4" t="str">
        <f t="array" ref="W140">IFERROR(INDEX(BY$7:BY$336,SMALL(IF(BY$7:BY$336&lt;&gt;"",ROW(BY$7:BY$336)-ROW(BY$7)+1),ROWS(BY$7:BY139))),"")</f>
        <v/>
      </c>
      <c r="X140" s="4" t="str">
        <f t="array" ref="X140">IFERROR(INDEX(BZ$7:BZ$336,SMALL(IF(BZ$7:BZ$336&lt;&gt;"",ROW(BZ$7:BZ$336)-ROW(BZ$7)+1),ROWS(BZ$7:BZ139))),"")</f>
        <v/>
      </c>
      <c r="Y140" s="4" t="str">
        <f t="array" ref="Y140">IFERROR(INDEX(CA$7:CA$336,SMALL(IF(CA$7:CA$336&lt;&gt;"",ROW(CA$7:CA$336)-ROW(CA$7)+1),ROWS(CA$7:CA139))),"")</f>
        <v/>
      </c>
      <c r="Z140" s="4" t="str">
        <f t="array" ref="Z140">IFERROR(INDEX(CB$7:CB$378,SMALL(IF(CB$7:CB$378&lt;&gt;"",ROW(CB$7:CB$378)-ROW(CB$7)+1),ROWS(CB$7:CB139))),"")</f>
        <v/>
      </c>
      <c r="AA140" s="4" t="str">
        <f t="array" ref="AA140">IFERROR(INDEX(CC$7:CC$378,SMALL(IF(CC$7:CC$378&lt;&gt;"",ROW(CC$7:CC$378)-ROW(CC$7)+1),ROWS(CC$7:CC139))),"")</f>
        <v/>
      </c>
      <c r="AB140" s="4" t="str">
        <f t="array" ref="AB140">IFERROR(INDEX(CD$7:CD$378,SMALL(IF(CD$7:CD$378&lt;&gt;"",ROW(CD$7:CD$378)-ROW(CD$7)+1),ROWS(CD$7:CD139))),"")</f>
        <v/>
      </c>
      <c r="AC140" s="4" t="str">
        <f t="array" ref="AC140">IFERROR(INDEX(CE$7:CE$378,SMALL(IF(CE$7:CE$378&lt;&gt;"",ROW(CE$7:CE$378)-ROW(CE$7)+1),ROWS(CE$7:CE139))),"")</f>
        <v/>
      </c>
      <c r="AD140" s="4"/>
      <c r="AE140" s="4"/>
      <c r="AF140" s="4"/>
      <c r="AG140" s="4"/>
      <c r="AH140" s="4"/>
      <c r="AI140" s="4"/>
      <c r="AJ140" s="46" t="str">
        <f>IF(Atletas!D136="","",IF(Atletas!B136="Feminino",100,IF(Atletas!B136="Masculino",200,""))+(IF(Atletas!D136="Infantil 39kg",1,IF(Atletas!D136="Infantil 42kg",2,IF(Atletas!D136="Infantil 45kg",3,IF(Atletas!D136="Infantil 48kg",4,IF(Atletas!D136="Infantil 52kg",5,IF(Atletas!D136="Infantil 56kg",6,IF(Atletas!D136="Infantil 60kg",7,IF(Atletas!D136="Juvenil 48kg",8,IF(Atletas!D136="Juvenil 52kg",9,IF(Atletas!D136="Juvenil 56kg",10,IF(Atletas!D136="Juvenil 60kg",11,IF(Atletas!D136="Juvenil 65kg",12,IF(Atletas!D136="Juvenil 70kg",13,IF(Atletas!D136="Juvenil 75kg",14,IF(Atletas!D136="Juvenil 80kg",15,IF(Atletas!D136="Adulto 48kg",16,IF(Atletas!D136="Adulto 52kg",17,IF(Atletas!D136="Adulto 56kg",18,IF(Atletas!D136="Adulto 60kg",19,IF(Atletas!D136="Adulto 65kg",20,IF(Atletas!D136="Adulto 70kg",21,IF(Atletas!D136="Adulto 75kg",22,IF(Atletas!D136="Adulto 80kg",23,IF(Atletas!D136="Adulto 85kg",24,IF(Atletas!D136="Adulto 90kg",25,IF(Atletas!D136="Adulto +90kg",26,""))))))))))))))))))))))))))))</f>
        <v/>
      </c>
      <c r="AO140" s="10" t="str">
        <f>IF(Atletas!E136="","",IF(Atletas!B136="Feminino",100,IF(Atletas!B136="Masculino",200,""))+(IF(Atletas!E136="Juvenil 44kg",1,IF(Atletas!E136="Juvenil 48kg",2,IF(Atletas!E136="Juvenil 52kg",3,IF(Atletas!E136="Juvenil 56kg",4,IF(Atletas!E136="Juvenil 60kg",5,IF(Atletas!E136="Juvenil 65kg",6,IF(Atletas!E136="Juvenil 70kg",7,IF(Atletas!E136="Juvenil 75kg",8,IF(Atletas!E136="Juvenil 82kg",9,IF(Atletas!E136="Juvenil 90kg",10,IF(Atletas!E136="Juvenil 100kg",11,IF(Atletas!E136="Adulto 48kg",12,IF(Atletas!E136="Adulto 52kg",13,IF(Atletas!E136="Adulto 56kg",14,IF(Atletas!E136="Adulto 60kg",15,IF(Atletas!E136="Adulto 65kg",16,IF(Atletas!E136="Adulto 70kg",17,IF(Atletas!E136="Adulto 75kg",18,IF(Atletas!E136="Adulto 82kg",19,IF(Atletas!E136="Adulto 90kg",20,IF(Atletas!E136="Adulto 100kg",21,IF(Atletas!E136="Adulto +100kg",22,""))))))))))))))))))))))))</f>
        <v/>
      </c>
      <c r="AT140" s="10" t="str">
        <f>IF(Atletas!F136="","",IF(Atletas!B136="Feminino",100,IF(Atletas!B136="Masculino",200,""))+(IF(Atletas!F136="Adulto 48kg",1,IF(Atletas!F136="Adulto 56kg",2,IF(Atletas!F136="Adulto 65kg",3,IF(Atletas!F136="Adulto 75kg",4,IF(Atletas!F136="Adulto +75kg",5,IF(Atletas!F136="Adulto 52kg",6,IF(Atletas!F136="Adulto 60kg",7,IF(Atletas!F136="Adulto 70kg",8,IF(Atletas!F136="Adulto 80kg",9,IF(Atletas!F136="Adulto 90kg",10,IF(Atletas!F136="Adulto +90kg",11,"")))))))))))))</f>
        <v/>
      </c>
      <c r="AY140" s="46" t="str">
        <f>IF(Atletas!G136="","",IF(Atletas!B136="Feminino",100,IF(Atletas!B136="Masculino",200,""))+(IF(Atletas!G136="Changquan Mirim",1,IF(Atletas!G136="Nanquan Mirim",2,IF(Atletas!G136="Taijiquan Mirim",3,IF(Atletas!G136="Changquan Grupo C",4,IF(Atletas!G136="Nanquan Grupo C",5,IF(Atletas!G136="Taijiquan Grupo C",6,IF(Atletas!G136="Changquan Grupo B",7,IF(Atletas!G136="Nanquan Grupo B",8,IF(Atletas!G136="Taijiquan Grupo B",9,IF(Atletas!G136="Changquan Grupo A",10,IF(Atletas!G136="Nanquan Grupo A",11,IF(Atletas!G136="Taijiquan Grupo A",12,IF(Atletas!G136="Changquan Opcional",13,IF(Atletas!G136="Nanquan Opcional",14,IF(Atletas!G136="Taijiquan Opcional",15,IF(Atletas!G136="Changquan Adulto",16,IF(Atletas!G136="Nanquan Adulto",17,IF(Atletas!G136="Taijiquan Adulto",18,""))))))))))))))))))))</f>
        <v/>
      </c>
      <c r="AZ140" s="46" t="str">
        <f>IF(Atletas!H136="","",IF(Atletas!B136="Feminino",100,IF(Atletas!B136="Masculino",200,""))+(IF(Atletas!H136="Daoshu Mirim",19,IF(Atletas!H136="Jianshu Mirim",20,IF(Atletas!H136="Nandao Mirim",21,IF(Atletas!H136="Taijijian Mirim",22,IF(Atletas!H136="Daoshu Grupo C",23,IF(Atletas!H136="Jianshu Grupo C",24,IF(Atletas!H136="Nandao Grupo C",25,IF(Atletas!H136="Taijijian Grupo C",26,IF(Atletas!H136="Daoshu Grupo B",27,IF(Atletas!H136="Jianshu Grupo B",28,IF(Atletas!H136="Nandao Grupo B",29,IF(Atletas!H136="Taijijian Grupo B",30,IF(Atletas!H136="Daoshu Grupo A",31,IF(Atletas!H136="Jianshu Grupo A",32,IF(Atletas!H136="Nandao Grupo A",33,IF(Atletas!H136="Taijijian Grupo A",34,IF(Atletas!H136="Daoshu Opcional",35,IF(Atletas!H136="Jianshu Opcional",36,IF(Atletas!H136="Nandao Opcional",37,IF(Atletas!H136="Taijijian Opcional",38,IF(Atletas!H136="Daoshu Adulto",39,IF(Atletas!H136="Jianshu Adulto",40,IF(Atletas!H136="Nandao Adulto",41,IF(Atletas!H136="Taijijian Adulto",42,""))))))))))))))))))))))))))</f>
        <v/>
      </c>
      <c r="BA140" s="46" t="str">
        <f>IF(Atletas!I136="","",IF(Atletas!B136="Feminino",100,IF(Atletas!B136="Masculino",200,""))+(IF(Atletas!I136="Gunshu Mirim",43,IF(Atletas!I136="Qiangshu Mirim",44,IF(Atletas!I136="Nangun Mirim",45,IF(Atletas!I136="Gunshu Grupo C",46,IF(Atletas!I136="Qiangshu Grupo C",47,IF(Atletas!I136="Nangun Grupo C",48,IF(Atletas!I136="Gunshu Grupo B",49,IF(Atletas!I136="Qiangshu Grupo B",50,IF(Atletas!I136="Nangun Grupo B",51,IF(Atletas!I136="Gunshu Grupo A",52,IF(Atletas!I136="Qiangshu Grupo A",53,IF(Atletas!I136="Nangun Grupo A",54,IF(Atletas!I136="Gunshu Opcional",55,IF(Atletas!I136="Qiangshu Opcional",56,IF(Atletas!I136="Nangun Opcional",57,IF(Atletas!I136="Gunshu Adulto",58,IF(Atletas!I136="Qiangshu Adulto",59,IF(Atletas!I136="Nangun Adulto",60,""))))))))))))))))))))</f>
        <v/>
      </c>
      <c r="BF140" s="52" t="str">
        <f>IF(Atletas!J136="","",IF(Atletas!B136="Feminino",100,IF(Atletas!B136="Masculino",200,""))+(IF(Atletas!J136="Equipe 1 Grupo B",1,IF(Atletas!J136="Equipe 2 Grupo B",2,IF(Atletas!J136="Equipe 1 Grupo A",3,IF(Atletas!J136="Equipe 2 Grupo A",4,IF(Atletas!J136="Equipe 1 Adulto",5,IF(Atletas!J136="Equipe 2 Adulto",6,""))))))))</f>
        <v/>
      </c>
      <c r="BK140" s="52" t="str">
        <f>IF(Atletas!K136="","",IF(Atletas!W136&lt;&gt;"",10000,0)+(IF(Atletas!B136="Feminino",1000,IF(Atletas!B136="Masculino",2000,""))+IF(Atletas!K136="Choylayfut A",1,IF(Atletas!K136="Hunggar A",2,IF(Atletas!K136="Wuzuquan A",3,IF(Atletas!K136="Wingchun A",4,IF(Atletas!K136="Outra Mão de Sul A",5,IF(Atletas!K136="Choylayfut B",6,IF(Atletas!K136="Hunggar B",7,IF(Atletas!K136="Wuzuquan B",8,IF(Atletas!K136="Wingchun B",9,IF(Atletas!K136="Outra Mão de Sul B",10,IF(Atletas!K136="Choylayfut C",11,IF(Atletas!K136="Hunggar C",12,IF(Atletas!K136="Wuzuquan C",13,IF(Atletas!K136="Wingchun C",14,IF(Atletas!K136="Outra Mão de Sul C",15,IF(Atletas!K136="Choylayfut D",16,IF(Atletas!K136="Hunggar D",17,IF(Atletas!K136="Wuzuquan D",18,IF(Atletas!K136="Wingchun D",19,IF(Atletas!K136="Outra Mão de Sul D",20,IF(Atletas!K136="Choylayfut E",21,IF(Atletas!K136="Hunggar E",22,IF(Atletas!K136="Wuzuquan E",23,IF(Atletas!K136="Wingchun E",24,IF(Atletas!K136="Outra Mão de Sul E",25,IF(Atletas!K136="Choylayfut F",26,IF(Atletas!K136="Hunggar F",27,IF(Atletas!K136="Wuzuquan F",28,IF(Atletas!K136="Wingchun F",29,IF(Atletas!K136="Outra Mão de Sul F",30,""))))))))))))))))))))))))))))))))</f>
        <v/>
      </c>
      <c r="BL140" s="52" t="str">
        <f>IF(Atletas!L136="","",IF(Atletas!W136&lt;&gt;"",10000,0)+(IF(Atletas!B136="Feminino",1000,IF(Atletas!B136="Masculino",2000,""))+(IF(Atletas!L136="Chaquan A",101,IF(Atletas!L136="Emeiquan A",102,IF(Atletas!L136="Fanziquan A",103,IF(Atletas!L136="Huaquan A",104,IF(Atletas!L136="Hongquan A",105,IF(Atletas!L136="Paochui A",106,IF(Atletas!L136="Piguaquan A",107,IF(Atletas!L136="Shaolinquan A",108,IF(Atletas!L136="Tanglangquan A",109,IF(Atletas!L136="Yinzhaophai A",110,IF(Atletas!L136="Tongbeiquan A",111,IF(Atletas!L136="Wudangquan A",112,IF(Atletas!L136="Outros Estilos A",113,IF(Atletas!L136="Chaquan B",114,IF(Atletas!L136="Emeiquan B",115,IF(Atletas!L136="Fanziquan B",116,IF(Atletas!L136="Huaquan B",117,IF(Atletas!L136="Hongquan B",118,IF(Atletas!L136="Paochui B",119,IF(Atletas!L136="Piguaquan B",120,IF(Atletas!L136="Shaolinquan B",121,IF(Atletas!L136="Tanglangquan B",122,IF(Atletas!L136="Yinzhaophai B",123,IF(Atletas!L136="Tongbeiquan B",124,IF(Atletas!L136="Wudangquan B",125,IF(Atletas!L136="Outros Estilos B",126,IF(Atletas!L136="Chaquan C",127,IF(Atletas!L136="Emeiquan C",128,IF(Atletas!L136="Fanziquan C",129,IF(Atletas!L136="Huaquan C",130,IF(Atletas!L136="Hongquan C",131,IF(Atletas!L136="Paochui C",132,IF(Atletas!L136="Piguaquan C",133,IF(Atletas!L136="Shaolinquan C",134,IF(Atletas!L136="Tanglangquan C",135,IF(Atletas!L136="Yinzhaophai C",136,IF(Atletas!L136="Tongbeiquan C",137,IF(Atletas!L136="Wudangquan C",138,IF(Atletas!L136="Outros Estilos C",139,0))))))))))))))))))))))))))))))))))))))))))</f>
        <v/>
      </c>
      <c r="BM140" s="52" t="str">
        <f>IF(Atletas!L136="","",IF(Atletas!W136&lt;&gt;"",10000,0)+(IF(Atletas!B136="Feminino",1000,IF(Atletas!B136="Masculino",2000,""))+(IF(Atletas!L136="Chaquan D",140,IF(Atletas!L136="Emeiquan D",141,IF(Atletas!L136="Fanziquan D",142,IF(Atletas!L136="Huaquan D",143,IF(Atletas!L136="Hongquan D",144,IF(Atletas!L136="Paochui D",145,IF(Atletas!L136="Piguaquan D",146,IF(Atletas!L136="Shaolinquan D",147,IF(Atletas!L136="Tanglangquan D",148,IF(Atletas!L136="Yinzhaophai D",149,IF(Atletas!L136="Tongbeiquan D",150,IF(Atletas!L136="Wudangquan D",151,IF(Atletas!L136="Outros Estilos D",152,IF(Atletas!L136="Chaquan E",153,IF(Atletas!L136="Emeiquan E",154,IF(Atletas!L136="Fanziquan E",155,IF(Atletas!L136="Huaquan E",156,IF(Atletas!L136="Hongquan E",157,IF(Atletas!L136="Paochui E",158,IF(Atletas!L136="Piguaquan E",159,IF(Atletas!L136="Shaolinquan E",160,IF(Atletas!L136="Tanglangquan E",161,IF(Atletas!L136="Yinzhaophai E",162,IF(Atletas!L136="Tongbeiquan E",163,IF(Atletas!L136="Wudangquan E",164,IF(Atletas!L136="Outros Estilos E",165,IF(Atletas!L136="Chaquan F",166,IF(Atletas!L136="Emeiquan F",167,IF(Atletas!L136="Fanziquan F",168,IF(Atletas!L136="Huaquan F",169,IF(Atletas!L136="Hongquan F",170,IF(Atletas!L136="Paochui F",171,IF(Atletas!L136="Piguaquan F",172,IF(Atletas!L136="Shaolinquan F",173,IF(Atletas!L136="Tanglangquan F",174,IF(Atletas!L136="Yinzhaophai F",175,IF(Atletas!L136="Tongbeiquan F",176,IF(Atletas!L136="Wudangquan F",177,IF(Atletas!L136="Outros Estilos F",178,0))))))))))))))))))))))))))))))))))))))))))</f>
        <v/>
      </c>
      <c r="BN140" s="52" t="str">
        <f>IF(Atletas!M136="","",IF(Atletas!W136&lt;&gt;"",10000,0)+(IF(Atletas!B136="Feminino",1000,IF(Atletas!B136="Masculino",2000,""))+(IF(Atletas!M136="Ditangquan A",201,IF(Atletas!M136="Houquan A",202,IF(Atletas!M136="Zuiquan A",203,IF(Atletas!M136="Ditangquan B",204,IF(Atletas!M136="Houquan B",205,IF(Atletas!M136="Zuiquan B",206,IF(Atletas!M136="Ditangquan C",207,IF(Atletas!M136="Houquan C",208,IF(Atletas!M136="Zuiquan C",209,IF(Atletas!M136="Ditangquan D",210,IF(Atletas!M136="Houquan D",211,IF(Atletas!M136="Zuiquan D",212,IF(Atletas!M136="Ditangquan E",213,IF(Atletas!M136="Houquan E",214,IF(Atletas!M136="Zuiquan E",215,IF(Atletas!M136="Ditangquan F",216,IF(Atletas!M136="Houquan F",217,IF(Atletas!M136="Zuiquan F",218,"")))))))))))))))))))))</f>
        <v/>
      </c>
      <c r="BO140" s="52" t="str">
        <f>IF(Atletas!N136="","",IF(Atletas!W136&lt;&gt;"",10000,0)+IF(Atletas!B136="Feminino",1000,IF(Atletas!B136="Masculino",2000,""))+IF(Atletas!N136="Yang A",301,IF(Atletas!N136="Chen A",30,IF(Atletas!N136="Sun A",303,IF(Atletas!N136="Wu A",304,IF(Atletas!N136="Wu-Hao A",305,IF(Atletas!N136="Outro Taijiquan A",306,IF(Atletas!N136="Yang B",307,IF(Atletas!N136="Chen B",308,IF(Atletas!N136="Sun B",309,IF(Atletas!N136="Wu B",310,IF(Atletas!N136="Wu-Hao B",311,IF(Atletas!N136="Outro Taijiquan B",312,IF(Atletas!N136="Yang C",313,IF(Atletas!N136="Chen C",314,IF(Atletas!N136="Sun C",315,IF(Atletas!N136="Wu C",316,IF(Atletas!N136="Wu-Hao C",317,IF(Atletas!N136="Outro Taijiquan C",318,IF(Atletas!N136="Yang D",319,IF(Atletas!N136="Chen D",320,IF(Atletas!N136="Sun D",321,IF(Atletas!N136="Wu D",322,IF(Atletas!N136="Wu-Hao D",323,IF(Atletas!N136="Outro Taijiquan D",324,IF(Atletas!N136="Yang E",325,IF(Atletas!N136="Chen E",326,IF(Atletas!N136="Sun E",327,IF(Atletas!N136="Wu E",328,IF(Atletas!N136="Wu-Hao E",329,IF(Atletas!N136="Outro Taijiquan E",330,IF(Atletas!N136="Yang F",331,IF(Atletas!N136="Chen F",332,IF(Atletas!N136="Sun F",333,IF(Atletas!N136="Wu F",334,IF(Atletas!N136="Wu-Hao F",335,IF(Atletas!N136="Outro Taijiquan F",336,"")))))))))))))))))))))))))))))))))))))</f>
        <v/>
      </c>
      <c r="BP140" s="52" t="str">
        <f>IF(Atletas!O136="","",IF(Atletas!W136&lt;&gt;"",10000,0)+IF(Atletas!B136="Feminino",1000,IF(Atletas!B136="Masculino",2000,""))+IF(OR(Atletas!O136="Yang 26 A",Atletas!O136="Yang 40 A"),401,IF(OR(Atletas!O136="Chen 25 A",Atletas!O136="Chen 36 A",Atletas!O136="Chen 56 A"),402,IF(Atletas!O136="Sun 73 A",403,IF(Atletas!O136="Wu 45 A",404,IF(Atletas!O136="Wu-Hao 46 A",405,IF(OR(Atletas!O136="Taijiquan 16 A",Atletas!O136="Taijiquan 24 A",Atletas!O136="Taijiquan 32 A",Atletas!O136="Taijiquan 42 A"),406,IF(OR(Atletas!O136="Yang 26 B",Atletas!O136="Yang 40 B"),407,IF(OR(Atletas!O136="Chen 25 B",Atletas!O136="Chen 36 B",Atletas!O136="Chen 56 B"),408,IF(Atletas!O136="Sun 73 B",409,IF(Atletas!O136="Wu 45 B",410,IF(Atletas!O136="Wu-Hao 46 B",411,IF(OR(Atletas!O136="Taijiquan 16 B",Atletas!O136="Taijiquan 24 B",Atletas!O136="Taijiquan 32 B",Atletas!O136="Taijiquan 42 B"),412,IF(OR(Atletas!O136="Yang 26 C",Atletas!O136="Yang 40 C"),413,IF(OR(Atletas!O136="Chen 25 C",Atletas!O136="Chen 36 C",Atletas!O136="Chen 56 C"),414,IF(Atletas!O136="Sun 73 C",415,IF(Atletas!O136="Wu 45 C",416,IF(Atletas!O136="Wu-Hao 46 C",417,IF(OR(Atletas!O136="Taijiquan 16 C",Atletas!O136="Taijiquan 24 C",Atletas!O136="Taijiquan 32 C",Atletas!O136="Taijiquan 42 C"),418,0)))))))))))))))))))</f>
        <v/>
      </c>
      <c r="BQ140" s="52" t="str">
        <f>IF(Atletas!O136="","",IF(Atletas!W136&lt;&gt;"",10000,0)+IF(Atletas!B136="Feminino",1000,IF(Atletas!B136="Masculino",2000,""))+IF(OR(Atletas!O136="Yang 26 D",Atletas!O136="Yang 40 D"),419,IF(OR(Atletas!O136="Chen 25 D",Atletas!O136="Chen 36 D",Atletas!O136="Chen 56 D"),420,IF(Atletas!O136="Sun 73 D",421,IF(Atletas!O136="Wu 45 D",422,IF(Atletas!O136="Wu-Hao 46 D",423,IF(OR(Atletas!O136="Taijiquan 16 D",Atletas!O136="Taijiquan 24 D",Atletas!O136="Taijiquan 32 D",Atletas!O136="Taijiquan 42 D"),424,IF(OR(Atletas!O136="Yang 26 E",Atletas!O136="Yang 40 E"),425,IF(OR(Atletas!O136="Chen 25 E",Atletas!O136="Chen 36 E",Atletas!O136="Chen 56 E"),426,IF(Atletas!O136="Sun 73 E",427,IF(Atletas!O136="Wu 45 E",428,IF(Atletas!O136="Wu-Hao 46 E",429,IF(OR(Atletas!O136="Taijiquan 16 E",Atletas!O136="Taijiquan 24 E",Atletas!O136="Taijiquan 32 E",Atletas!O136="Taijiquan 42 E"),430,IF(OR(Atletas!O136="Yang 26 F",Atletas!O136="Yang 40 F"),431,IF(OR(Atletas!O136="Chen 25 F",Atletas!O136="Chen 36 F",Atletas!O136="Chen 56 F"),432,IF(Atletas!O136="Sun 73 F",433,IF(Atletas!O136="Wu 45 F",434,IF(Atletas!O136="Wu-Hao 46 F",435,IF(OR(Atletas!O136="Taijiquan 16 F",Atletas!O136="Taijiquan 24 F",Atletas!O136="Taijiquan 32 F",Atletas!O136="Taijiquan 42 F"),436,0)))))))))))))))))))</f>
        <v/>
      </c>
      <c r="BR140" s="52" t="str">
        <f>IF(Atletas!P136="","",IF(Atletas!W136&lt;&gt;"",10000,0)+IF(Atletas!B136="Feminino",1000,IF(Atletas!B136="Masculino",2000,""))+IF(Atletas!P136="Xingyiquan A",501,IF(Atletas!P136="Baguazhang A",502,IF(Atletas!P136="Outro Estilo Interno A",503,IF(Atletas!P136="Xingyiquan B",504,IF(Atletas!P136="Baguazhang B",505,IF(Atletas!P136="Outro Estilo Interno B",506,IF(Atletas!P136="Xingyiquan C",507,IF(Atletas!P136="Baguazhang C",508,IF(Atletas!P136="Outro Estilo Interno C",509,IF(Atletas!P136="Xingyiquan D",510,IF(Atletas!P136="Baguazhang D",511,IF(Atletas!P136="Outro Estilo Interno D",512,IF(Atletas!P136="Xingyiquan E",513,IF(Atletas!P136="Baguazhang E",514,IF(Atletas!P136="Outro Estilo Interno E",515,IF(Atletas!P136="Xingyiquan F",516,IF(Atletas!P136="Baguazhang F",517,IF(Atletas!P136="Outro Estilo Interno F",518, "")))))))))))))))))))</f>
        <v/>
      </c>
      <c r="BS140" s="52" t="str">
        <f>IF(Atletas!Q136="","",IF(Atletas!W136&lt;&gt;"",10000,0)+IF(Atletas!B136="Feminino",1000,IF(Atletas!B136="Masculino",2000,""))+IF(Atletas!Q136="Dao A",601,IF(Atletas!Q136="Jian A",602,IF(Atletas!Q136="Bishou A",603,IF(Atletas!Q136="Shan A",604,IF(Atletas!Q136="Outra Arma Curta A",605,IF(Atletas!Q136="Dao B",606,IF(Atletas!Q136="Jian B",607,IF(Atletas!Q136="Bishou B",608,IF(Atletas!Q136="Shan B",609,IF(Atletas!Q136="Outra Arma Curta B",610,IF(Atletas!Q136="Dao C",611,IF(Atletas!Q136="Jian C",612,IF(Atletas!Q136="Bishou C",613,IF(Atletas!Q136="Shan C",614,IF(Atletas!Q136="Outra Arma Curta C",615,IF(Atletas!Q136="Dao D",616,IF(Atletas!Q136="Jian D",617,IF(Atletas!Q136="Bishou D",618,IF(Atletas!Q136="Shan D",619,IF(Atletas!Q136="Outra Arma Curta D",620,IF(Atletas!Q136="Dao E",621,IF(Atletas!Q136="Jian E",622,IF(Atletas!Q136="Bishou E",623,IF(Atletas!Q136="Shan E",624,IF(Atletas!Q136="Outra Arma Curta E",625,IF(Atletas!Q136="Dao F",626,IF(Atletas!Q136="Jian F",627,IF(Atletas!Q136="Bishou F",628,IF(Atletas!Q136="Shan F",629,IF(Atletas!Q136="Outra Arma Curta F",630, "")))))))))))))))))))))))))))))))</f>
        <v/>
      </c>
      <c r="BT140" s="52" t="str">
        <f>IF(Atletas!R136="","",IF(Atletas!W136&lt;&gt;"",10000,0)+IF(Atletas!B136="Feminino",1000,IF(Atletas!B136="Masculino",2000,""))+IF(Atletas!R136="Gun A",701,IF(Atletas!R136="Qiang A",702,IF(Atletas!R136="Pudao / Guandao A",703,IF(Atletas!R136="Outra Arma Longa A",704,IF(Atletas!R136="Gun B",705,IF(Atletas!R136="Qiang B",706,IF(Atletas!R136="Pudao / Guandao B",707,IF(Atletas!R136="Outra Arma Longa B",708,IF(Atletas!R136="Gun C",709,IF(Atletas!R136="Qiang C",710,IF(Atletas!R136="Pudao / Guandao C",711,IF(Atletas!R136="Outra Arma Longa C",712,IF(Atletas!R136="Gun D",713,IF(Atletas!R136="Qiang D",714,IF(Atletas!R136="Pudao / Guandao D",715,IF(Atletas!R136="Outra Arma Longa D",716,IF(Atletas!R136="Gun E",717,IF(Atletas!R136="Qiang E",718,IF(Atletas!R136="Pudao / Guandao E",719,IF(Atletas!R136="Outra Arma Longa E",720,IF(Atletas!R136="Gun F",721,IF(Atletas!R136="Qiang F",722,IF(Atletas!R136="Pudao / Guandao F",723,IF(Atletas!R136="Outra Arma Longa F",724,"")))))))))))))))))))))))))</f>
        <v/>
      </c>
      <c r="BU140" s="52" t="str">
        <f>IF(Atletas!S136="","",IF(Atletas!W136&lt;&gt;"",10000,0)+IF(Atletas!B136="Feminino",1000,IF(Atletas!B136="Masculino",2000,""))+IF(Atletas!S136="Arma Dupla A",801,IF(Atletas!S136="Arma Maleável A",802,IF(Atletas!S136="Arma Dupla B",803,IF(Atletas!S136="Arma Maleável B",804,IF(Atletas!S136="Arma Dupla C",805,IF(Atletas!S136="Arma Maleável C",806,IF(Atletas!S136="Arma Dupla D",807,IF(Atletas!S136="Arma Maleável D",808,IF(Atletas!S136="Arma Dupla E",809,IF(Atletas!S136="Arma Maleável E",810,IF(Atletas!S136="Arma Dupla F",811,IF(Atletas!S136="Arma Maleável F",812, "")))))))))))))</f>
        <v/>
      </c>
      <c r="BV140" s="52" t="str">
        <f>IF(Atletas!T136="","",IF(Atletas!W136&lt;&gt;"",10000,0)+IF(Atletas!B136="Feminino",1000,IF(Atletas!B136="Masculino",2000,""))+IF(Atletas!T136="Taijijian Yang A",901,IF(Atletas!T136="Taijijian Chen A",902,IF(Atletas!T136="Taijijian Sun A",903,IF(Atletas!T136="Taijijian Wu A",904,IF(Atletas!T136="Taijijian Wu-Hao A",905,IF(Atletas!T136="Taijijian 32 A",906,IF(Atletas!T136="Taijijian 42 A",907,IF(Atletas!T136="Taijijian Yang B",908,IF(Atletas!T136="Taijijian Chen B",909,IF(Atletas!T136="Taijijian Sun B",910,IF(Atletas!T136="Taijijian Wu B",911,IF(Atletas!T136="Taijijian Wu-Hao B",912,IF(Atletas!T136="Taijijian 32 B",913,IF(Atletas!T136="Taijijian 42 B",914,IF(Atletas!T136="Taijijian Yang C",915,IF(Atletas!T136="Taijijian Chen C",916,IF(Atletas!T136="Taijijian Sun C",917,IF(Atletas!T136="Taijijian Wu C",918,IF(Atletas!T136="Taijijian Wu-Hao C",919,IF(Atletas!T136="Taijijian 32 C",920,IF(Atletas!T136="Taijijian 42 C",921,IF(Atletas!T136="Taijijian Yang D",922,IF(Atletas!T136="Taijijian Chen D",923,IF(Atletas!T136="Taijijian Sun D",924,IF(Atletas!T136="Taijijian Wu D",925,IF(Atletas!T136="Taijijian Wu-Hao D",926,IF(Atletas!T136="Taijijian 32 D",927,IF(Atletas!T136="Taijijian 42 D",928,IF(Atletas!T136="Taijijian Yang E",929,IF(Atletas!T136="Taijijian Chen E",930,IF(Atletas!T136="Taijijian Sun E",931,IF(Atletas!T136="Taijijian Wu E",932,IF(Atletas!T136="Taijijian Wu-Hao E",933,IF(Atletas!T136="Taijijian 32 E",934,IF(Atletas!T136="Taijijian 42 E",935,IF(Atletas!T136="Taijijian Yang F",936,IF(Atletas!T136="Taijijian Chen F",937,IF(Atletas!T136="Taijijian Sun F",938,IF(Atletas!T136="Taijijian Wu F",939,IF(Atletas!T136="Taijijian Wu-Hao F",940,IF(Atletas!T136="Taijijian 32 F",941,IF(Atletas!T136="Taijijian 42 F",942,"")))))))))))))))))))))))))))))))))))))))))))</f>
        <v/>
      </c>
      <c r="BW140" s="52" t="str">
        <f>IF(Atletas!U136="","",IF(Atletas!W136&lt;&gt;"",10000,0)+IF(Atletas!B136="Feminino",1000,IF(Atletas!B136="Masculino",2000,""))+IF(Atletas!T136="Taijijian 42 F",942,IF(Atletas!U136="Taijidao A",943,IF(Atletas!U136="Taijishan A",944,IF(Atletas!U136="Taijiqiang A",945,IF(Atletas!U136="Taijidao B",946,IF(Atletas!U136="Taijishan B",947,IF(Atletas!U136="Taijiqiang B",948,IF(Atletas!U136="Taijidao C",949,IF(Atletas!U136="Taijishan C",950,IF(Atletas!U136="Taijiqiang C",951,IF(Atletas!U136="Taijidao D",952,IF(Atletas!U136="Taijishan D",953,IF(Atletas!U136="Taijiqiang D",954,IF(Atletas!U136="Taijidao E",955,IF(Atletas!U136="Taijishan E",956,IF(Atletas!U136="Taijiqiang E",957,IF(Atletas!U136="Taijidao F",958,IF(Atletas!U136="Taijishan F",959,IF(Atletas!U136="Taijiqiang F",960))))))))))))))))))))</f>
        <v/>
      </c>
      <c r="BX140" s="72" t="str">
        <f>IF(BY140&lt;&gt;"","TJQ Trad. Chen B","")</f>
        <v/>
      </c>
      <c r="BY140" s="72" t="str">
        <f>IF(COUNTIF(BK:BW,1308)&gt;0,COUNTIF(BK:BW,1308),"")</f>
        <v/>
      </c>
      <c r="BZ140" s="72" t="str">
        <f>IF(CA140&lt;&gt;"","TJQ Trad. Chen B","")</f>
        <v/>
      </c>
      <c r="CA140" s="72" t="str">
        <f>IF(COUNTIF(BK:BW,2308)&gt;0,COUNTIF(BK:BW,2308),"")</f>
        <v/>
      </c>
      <c r="CB140" s="72" t="str">
        <f>IF(CC140&lt;&gt;"","Chen B","")</f>
        <v/>
      </c>
      <c r="CC140" s="64" t="str">
        <f>IF(COUNTIF(BK:BW,11308)&gt;0,COUNTIF(BK:BW,11308),"")</f>
        <v/>
      </c>
      <c r="CD140" s="64" t="str">
        <f>IF(CE140&lt;&gt;"","Chen B","")</f>
        <v/>
      </c>
      <c r="CE140" s="64" t="str">
        <f>IF(COUNTIF(BK:BW,12308)&gt;0,COUNTIF(BK:BW,12308),"")</f>
        <v/>
      </c>
      <c r="CF140" s="52" t="str">
        <f xml:space="preserve"> IF(Atletas!V136="","",IF(Atletas!V136="Duilian de Mãos AB - Equipe 1",1,IF(Atletas!V136="Duilian de Mãos AB - Equipe 2",2,IF(Atletas!V136="Duilian de Armas AB - Equipe 1",3,IF(Atletas!V136="Duilian de Armas AB - Equipe 2",4,IF(Atletas!V136="Duilian de Tuishou - Equipe 1",5,IF(Atletas!V136="Duilian de Tuishou - Equipe 2",6,IF(Atletas!V136="Grupo Externo AB - Equipe 1",7,IF(Atletas!V136="Grupo Externo AB - Equipe 2",8,IF(Atletas!V136="Grupo Interno AB - Equipe 1",9,IF(Atletas!V136="Grupo Interno AB - Equipe 2",10,IF(Atletas!V136="Duilian de Mãos CD - Equipe 1",11,IF(Atletas!V136="Duilian de Mãos CD - Equipe 2",12,IF(Atletas!V136="Duilian de Armas CD - Equipe 1",13,IF(Atletas!V136="Duilian de Armas CD - Equipe 2",14,IF(Atletas!V136="Duilian de Tuishou - Equipe 1",15,IF(Atletas!V136="Duilian de Tuishou - Equipe 2",16,IF(Atletas!V136="Grupo Externo CDEF - Equipe 1",17,IF(Atletas!V136="Grupo Externo CDEF - Equipe 2",18,IF(Atletas!V136="Grupo Interno CDEF - Equipe 1",19,IF(Atletas!V136="Grupo Interno CDEF - Equipe 2",20,IF(Atletas!V136="Duilian de Mãos EF - Equipe 1",21,IF(Atletas!V136="Duilian de Mãos EF - Equipe 2",22,IF(Atletas!V136="Duilian de Armas EF - Equipe 1",23,IF(Atletas!V136="Duilian de Armas EF - Equipe 2",24,IF(Atletas!V136="Duilian de Tuishou - Equipe 1",25,IF(Atletas!V136="Duilian de Tuishou - Equipe 2",26,"")))))))))))))))))))))))))))</f>
        <v/>
      </c>
    </row>
    <row r="141" spans="2:84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 t="str">
        <f t="array" ref="V141">IFERROR(INDEX(BX$7:BX$336,SMALL(IF(BX$7:BX$336&lt;&gt;"",ROW(BX$7:BX$336)-ROW(BX$7)+1),ROWS(BX$7:BX140))),"")</f>
        <v/>
      </c>
      <c r="W141" s="4" t="str">
        <f t="array" ref="W141">IFERROR(INDEX(BY$7:BY$336,SMALL(IF(BY$7:BY$336&lt;&gt;"",ROW(BY$7:BY$336)-ROW(BY$7)+1),ROWS(BY$7:BY140))),"")</f>
        <v/>
      </c>
      <c r="X141" s="4" t="str">
        <f t="array" ref="X141">IFERROR(INDEX(BZ$7:BZ$336,SMALL(IF(BZ$7:BZ$336&lt;&gt;"",ROW(BZ$7:BZ$336)-ROW(BZ$7)+1),ROWS(BZ$7:BZ140))),"")</f>
        <v/>
      </c>
      <c r="Y141" s="4" t="str">
        <f t="array" ref="Y141">IFERROR(INDEX(CA$7:CA$336,SMALL(IF(CA$7:CA$336&lt;&gt;"",ROW(CA$7:CA$336)-ROW(CA$7)+1),ROWS(CA$7:CA140))),"")</f>
        <v/>
      </c>
      <c r="Z141" s="4" t="str">
        <f t="array" ref="Z141">IFERROR(INDEX(CB$7:CB$378,SMALL(IF(CB$7:CB$378&lt;&gt;"",ROW(CB$7:CB$378)-ROW(CB$7)+1),ROWS(CB$7:CB140))),"")</f>
        <v/>
      </c>
      <c r="AA141" s="4" t="str">
        <f t="array" ref="AA141">IFERROR(INDEX(CC$7:CC$378,SMALL(IF(CC$7:CC$378&lt;&gt;"",ROW(CC$7:CC$378)-ROW(CC$7)+1),ROWS(CC$7:CC140))),"")</f>
        <v/>
      </c>
      <c r="AB141" s="4" t="str">
        <f t="array" ref="AB141">IFERROR(INDEX(CD$7:CD$378,SMALL(IF(CD$7:CD$378&lt;&gt;"",ROW(CD$7:CD$378)-ROW(CD$7)+1),ROWS(CD$7:CD140))),"")</f>
        <v/>
      </c>
      <c r="AC141" s="4" t="str">
        <f t="array" ref="AC141">IFERROR(INDEX(CE$7:CE$378,SMALL(IF(CE$7:CE$378&lt;&gt;"",ROW(CE$7:CE$378)-ROW(CE$7)+1),ROWS(CE$7:CE140))),"")</f>
        <v/>
      </c>
      <c r="AD141" s="4"/>
      <c r="AE141" s="4"/>
      <c r="AF141" s="4"/>
      <c r="AG141" s="4"/>
      <c r="AH141" s="4"/>
      <c r="AI141" s="4"/>
      <c r="AJ141" s="46" t="str">
        <f>IF(Atletas!D137="","",IF(Atletas!B137="Feminino",100,IF(Atletas!B137="Masculino",200,""))+(IF(Atletas!D137="Infantil 39kg",1,IF(Atletas!D137="Infantil 42kg",2,IF(Atletas!D137="Infantil 45kg",3,IF(Atletas!D137="Infantil 48kg",4,IF(Atletas!D137="Infantil 52kg",5,IF(Atletas!D137="Infantil 56kg",6,IF(Atletas!D137="Infantil 60kg",7,IF(Atletas!D137="Juvenil 48kg",8,IF(Atletas!D137="Juvenil 52kg",9,IF(Atletas!D137="Juvenil 56kg",10,IF(Atletas!D137="Juvenil 60kg",11,IF(Atletas!D137="Juvenil 65kg",12,IF(Atletas!D137="Juvenil 70kg",13,IF(Atletas!D137="Juvenil 75kg",14,IF(Atletas!D137="Juvenil 80kg",15,IF(Atletas!D137="Adulto 48kg",16,IF(Atletas!D137="Adulto 52kg",17,IF(Atletas!D137="Adulto 56kg",18,IF(Atletas!D137="Adulto 60kg",19,IF(Atletas!D137="Adulto 65kg",20,IF(Atletas!D137="Adulto 70kg",21,IF(Atletas!D137="Adulto 75kg",22,IF(Atletas!D137="Adulto 80kg",23,IF(Atletas!D137="Adulto 85kg",24,IF(Atletas!D137="Adulto 90kg",25,IF(Atletas!D137="Adulto +90kg",26,""))))))))))))))))))))))))))))</f>
        <v/>
      </c>
      <c r="AO141" s="10" t="str">
        <f>IF(Atletas!E137="","",IF(Atletas!B137="Feminino",100,IF(Atletas!B137="Masculino",200,""))+(IF(Atletas!E137="Juvenil 44kg",1,IF(Atletas!E137="Juvenil 48kg",2,IF(Atletas!E137="Juvenil 52kg",3,IF(Atletas!E137="Juvenil 56kg",4,IF(Atletas!E137="Juvenil 60kg",5,IF(Atletas!E137="Juvenil 65kg",6,IF(Atletas!E137="Juvenil 70kg",7,IF(Atletas!E137="Juvenil 75kg",8,IF(Atletas!E137="Juvenil 82kg",9,IF(Atletas!E137="Juvenil 90kg",10,IF(Atletas!E137="Juvenil 100kg",11,IF(Atletas!E137="Adulto 48kg",12,IF(Atletas!E137="Adulto 52kg",13,IF(Atletas!E137="Adulto 56kg",14,IF(Atletas!E137="Adulto 60kg",15,IF(Atletas!E137="Adulto 65kg",16,IF(Atletas!E137="Adulto 70kg",17,IF(Atletas!E137="Adulto 75kg",18,IF(Atletas!E137="Adulto 82kg",19,IF(Atletas!E137="Adulto 90kg",20,IF(Atletas!E137="Adulto 100kg",21,IF(Atletas!E137="Adulto +100kg",22,""))))))))))))))))))))))))</f>
        <v/>
      </c>
      <c r="AT141" s="10" t="str">
        <f>IF(Atletas!F137="","",IF(Atletas!B137="Feminino",100,IF(Atletas!B137="Masculino",200,""))+(IF(Atletas!F137="Adulto 48kg",1,IF(Atletas!F137="Adulto 56kg",2,IF(Atletas!F137="Adulto 65kg",3,IF(Atletas!F137="Adulto 75kg",4,IF(Atletas!F137="Adulto +75kg",5,IF(Atletas!F137="Adulto 52kg",6,IF(Atletas!F137="Adulto 60kg",7,IF(Atletas!F137="Adulto 70kg",8,IF(Atletas!F137="Adulto 80kg",9,IF(Atletas!F137="Adulto 90kg",10,IF(Atletas!F137="Adulto +90kg",11,"")))))))))))))</f>
        <v/>
      </c>
      <c r="AY141" s="46" t="str">
        <f>IF(Atletas!G137="","",IF(Atletas!B137="Feminino",100,IF(Atletas!B137="Masculino",200,""))+(IF(Atletas!G137="Changquan Mirim",1,IF(Atletas!G137="Nanquan Mirim",2,IF(Atletas!G137="Taijiquan Mirim",3,IF(Atletas!G137="Changquan Grupo C",4,IF(Atletas!G137="Nanquan Grupo C",5,IF(Atletas!G137="Taijiquan Grupo C",6,IF(Atletas!G137="Changquan Grupo B",7,IF(Atletas!G137="Nanquan Grupo B",8,IF(Atletas!G137="Taijiquan Grupo B",9,IF(Atletas!G137="Changquan Grupo A",10,IF(Atletas!G137="Nanquan Grupo A",11,IF(Atletas!G137="Taijiquan Grupo A",12,IF(Atletas!G137="Changquan Opcional",13,IF(Atletas!G137="Nanquan Opcional",14,IF(Atletas!G137="Taijiquan Opcional",15,IF(Atletas!G137="Changquan Adulto",16,IF(Atletas!G137="Nanquan Adulto",17,IF(Atletas!G137="Taijiquan Adulto",18,""))))))))))))))))))))</f>
        <v/>
      </c>
      <c r="AZ141" s="46" t="str">
        <f>IF(Atletas!H137="","",IF(Atletas!B137="Feminino",100,IF(Atletas!B137="Masculino",200,""))+(IF(Atletas!H137="Daoshu Mirim",19,IF(Atletas!H137="Jianshu Mirim",20,IF(Atletas!H137="Nandao Mirim",21,IF(Atletas!H137="Taijijian Mirim",22,IF(Atletas!H137="Daoshu Grupo C",23,IF(Atletas!H137="Jianshu Grupo C",24,IF(Atletas!H137="Nandao Grupo C",25,IF(Atletas!H137="Taijijian Grupo C",26,IF(Atletas!H137="Daoshu Grupo B",27,IF(Atletas!H137="Jianshu Grupo B",28,IF(Atletas!H137="Nandao Grupo B",29,IF(Atletas!H137="Taijijian Grupo B",30,IF(Atletas!H137="Daoshu Grupo A",31,IF(Atletas!H137="Jianshu Grupo A",32,IF(Atletas!H137="Nandao Grupo A",33,IF(Atletas!H137="Taijijian Grupo A",34,IF(Atletas!H137="Daoshu Opcional",35,IF(Atletas!H137="Jianshu Opcional",36,IF(Atletas!H137="Nandao Opcional",37,IF(Atletas!H137="Taijijian Opcional",38,IF(Atletas!H137="Daoshu Adulto",39,IF(Atletas!H137="Jianshu Adulto",40,IF(Atletas!H137="Nandao Adulto",41,IF(Atletas!H137="Taijijian Adulto",42,""))))))))))))))))))))))))))</f>
        <v/>
      </c>
      <c r="BA141" s="46" t="str">
        <f>IF(Atletas!I137="","",IF(Atletas!B137="Feminino",100,IF(Atletas!B137="Masculino",200,""))+(IF(Atletas!I137="Gunshu Mirim",43,IF(Atletas!I137="Qiangshu Mirim",44,IF(Atletas!I137="Nangun Mirim",45,IF(Atletas!I137="Gunshu Grupo C",46,IF(Atletas!I137="Qiangshu Grupo C",47,IF(Atletas!I137="Nangun Grupo C",48,IF(Atletas!I137="Gunshu Grupo B",49,IF(Atletas!I137="Qiangshu Grupo B",50,IF(Atletas!I137="Nangun Grupo B",51,IF(Atletas!I137="Gunshu Grupo A",52,IF(Atletas!I137="Qiangshu Grupo A",53,IF(Atletas!I137="Nangun Grupo A",54,IF(Atletas!I137="Gunshu Opcional",55,IF(Atletas!I137="Qiangshu Opcional",56,IF(Atletas!I137="Nangun Opcional",57,IF(Atletas!I137="Gunshu Adulto",58,IF(Atletas!I137="Qiangshu Adulto",59,IF(Atletas!I137="Nangun Adulto",60,""))))))))))))))))))))</f>
        <v/>
      </c>
      <c r="BF141" s="52" t="str">
        <f>IF(Atletas!J137="","",IF(Atletas!B137="Feminino",100,IF(Atletas!B137="Masculino",200,""))+(IF(Atletas!J137="Equipe 1 Grupo B",1,IF(Atletas!J137="Equipe 2 Grupo B",2,IF(Atletas!J137="Equipe 1 Grupo A",3,IF(Atletas!J137="Equipe 2 Grupo A",4,IF(Atletas!J137="Equipe 1 Adulto",5,IF(Atletas!J137="Equipe 2 Adulto",6,""))))))))</f>
        <v/>
      </c>
      <c r="BK141" s="52" t="str">
        <f>IF(Atletas!K137="","",IF(Atletas!W137&lt;&gt;"",10000,0)+(IF(Atletas!B137="Feminino",1000,IF(Atletas!B137="Masculino",2000,""))+IF(Atletas!K137="Choylayfut A",1,IF(Atletas!K137="Hunggar A",2,IF(Atletas!K137="Wuzuquan A",3,IF(Atletas!K137="Wingchun A",4,IF(Atletas!K137="Outra Mão de Sul A",5,IF(Atletas!K137="Choylayfut B",6,IF(Atletas!K137="Hunggar B",7,IF(Atletas!K137="Wuzuquan B",8,IF(Atletas!K137="Wingchun B",9,IF(Atletas!K137="Outra Mão de Sul B",10,IF(Atletas!K137="Choylayfut C",11,IF(Atletas!K137="Hunggar C",12,IF(Atletas!K137="Wuzuquan C",13,IF(Atletas!K137="Wingchun C",14,IF(Atletas!K137="Outra Mão de Sul C",15,IF(Atletas!K137="Choylayfut D",16,IF(Atletas!K137="Hunggar D",17,IF(Atletas!K137="Wuzuquan D",18,IF(Atletas!K137="Wingchun D",19,IF(Atletas!K137="Outra Mão de Sul D",20,IF(Atletas!K137="Choylayfut E",21,IF(Atletas!K137="Hunggar E",22,IF(Atletas!K137="Wuzuquan E",23,IF(Atletas!K137="Wingchun E",24,IF(Atletas!K137="Outra Mão de Sul E",25,IF(Atletas!K137="Choylayfut F",26,IF(Atletas!K137="Hunggar F",27,IF(Atletas!K137="Wuzuquan F",28,IF(Atletas!K137="Wingchun F",29,IF(Atletas!K137="Outra Mão de Sul F",30,""))))))))))))))))))))))))))))))))</f>
        <v/>
      </c>
      <c r="BL141" s="52" t="str">
        <f>IF(Atletas!L137="","",IF(Atletas!W137&lt;&gt;"",10000,0)+(IF(Atletas!B137="Feminino",1000,IF(Atletas!B137="Masculino",2000,""))+(IF(Atletas!L137="Chaquan A",101,IF(Atletas!L137="Emeiquan A",102,IF(Atletas!L137="Fanziquan A",103,IF(Atletas!L137="Huaquan A",104,IF(Atletas!L137="Hongquan A",105,IF(Atletas!L137="Paochui A",106,IF(Atletas!L137="Piguaquan A",107,IF(Atletas!L137="Shaolinquan A",108,IF(Atletas!L137="Tanglangquan A",109,IF(Atletas!L137="Yinzhaophai A",110,IF(Atletas!L137="Tongbeiquan A",111,IF(Atletas!L137="Wudangquan A",112,IF(Atletas!L137="Outros Estilos A",113,IF(Atletas!L137="Chaquan B",114,IF(Atletas!L137="Emeiquan B",115,IF(Atletas!L137="Fanziquan B",116,IF(Atletas!L137="Huaquan B",117,IF(Atletas!L137="Hongquan B",118,IF(Atletas!L137="Paochui B",119,IF(Atletas!L137="Piguaquan B",120,IF(Atletas!L137="Shaolinquan B",121,IF(Atletas!L137="Tanglangquan B",122,IF(Atletas!L137="Yinzhaophai B",123,IF(Atletas!L137="Tongbeiquan B",124,IF(Atletas!L137="Wudangquan B",125,IF(Atletas!L137="Outros Estilos B",126,IF(Atletas!L137="Chaquan C",127,IF(Atletas!L137="Emeiquan C",128,IF(Atletas!L137="Fanziquan C",129,IF(Atletas!L137="Huaquan C",130,IF(Atletas!L137="Hongquan C",131,IF(Atletas!L137="Paochui C",132,IF(Atletas!L137="Piguaquan C",133,IF(Atletas!L137="Shaolinquan C",134,IF(Atletas!L137="Tanglangquan C",135,IF(Atletas!L137="Yinzhaophai C",136,IF(Atletas!L137="Tongbeiquan C",137,IF(Atletas!L137="Wudangquan C",138,IF(Atletas!L137="Outros Estilos C",139,0))))))))))))))))))))))))))))))))))))))))))</f>
        <v/>
      </c>
      <c r="BM141" s="52" t="str">
        <f>IF(Atletas!L137="","",IF(Atletas!W137&lt;&gt;"",10000,0)+(IF(Atletas!B137="Feminino",1000,IF(Atletas!B137="Masculino",2000,""))+(IF(Atletas!L137="Chaquan D",140,IF(Atletas!L137="Emeiquan D",141,IF(Atletas!L137="Fanziquan D",142,IF(Atletas!L137="Huaquan D",143,IF(Atletas!L137="Hongquan D",144,IF(Atletas!L137="Paochui D",145,IF(Atletas!L137="Piguaquan D",146,IF(Atletas!L137="Shaolinquan D",147,IF(Atletas!L137="Tanglangquan D",148,IF(Atletas!L137="Yinzhaophai D",149,IF(Atletas!L137="Tongbeiquan D",150,IF(Atletas!L137="Wudangquan D",151,IF(Atletas!L137="Outros Estilos D",152,IF(Atletas!L137="Chaquan E",153,IF(Atletas!L137="Emeiquan E",154,IF(Atletas!L137="Fanziquan E",155,IF(Atletas!L137="Huaquan E",156,IF(Atletas!L137="Hongquan E",157,IF(Atletas!L137="Paochui E",158,IF(Atletas!L137="Piguaquan E",159,IF(Atletas!L137="Shaolinquan E",160,IF(Atletas!L137="Tanglangquan E",161,IF(Atletas!L137="Yinzhaophai E",162,IF(Atletas!L137="Tongbeiquan E",163,IF(Atletas!L137="Wudangquan E",164,IF(Atletas!L137="Outros Estilos E",165,IF(Atletas!L137="Chaquan F",166,IF(Atletas!L137="Emeiquan F",167,IF(Atletas!L137="Fanziquan F",168,IF(Atletas!L137="Huaquan F",169,IF(Atletas!L137="Hongquan F",170,IF(Atletas!L137="Paochui F",171,IF(Atletas!L137="Piguaquan F",172,IF(Atletas!L137="Shaolinquan F",173,IF(Atletas!L137="Tanglangquan F",174,IF(Atletas!L137="Yinzhaophai F",175,IF(Atletas!L137="Tongbeiquan F",176,IF(Atletas!L137="Wudangquan F",177,IF(Atletas!L137="Outros Estilos F",178,0))))))))))))))))))))))))))))))))))))))))))</f>
        <v/>
      </c>
      <c r="BN141" s="52" t="str">
        <f>IF(Atletas!M137="","",IF(Atletas!W137&lt;&gt;"",10000,0)+(IF(Atletas!B137="Feminino",1000,IF(Atletas!B137="Masculino",2000,""))+(IF(Atletas!M137="Ditangquan A",201,IF(Atletas!M137="Houquan A",202,IF(Atletas!M137="Zuiquan A",203,IF(Atletas!M137="Ditangquan B",204,IF(Atletas!M137="Houquan B",205,IF(Atletas!M137="Zuiquan B",206,IF(Atletas!M137="Ditangquan C",207,IF(Atletas!M137="Houquan C",208,IF(Atletas!M137="Zuiquan C",209,IF(Atletas!M137="Ditangquan D",210,IF(Atletas!M137="Houquan D",211,IF(Atletas!M137="Zuiquan D",212,IF(Atletas!M137="Ditangquan E",213,IF(Atletas!M137="Houquan E",214,IF(Atletas!M137="Zuiquan E",215,IF(Atletas!M137="Ditangquan F",216,IF(Atletas!M137="Houquan F",217,IF(Atletas!M137="Zuiquan F",218,"")))))))))))))))))))))</f>
        <v/>
      </c>
      <c r="BO141" s="52" t="str">
        <f>IF(Atletas!N137="","",IF(Atletas!W137&lt;&gt;"",10000,0)+IF(Atletas!B137="Feminino",1000,IF(Atletas!B137="Masculino",2000,""))+IF(Atletas!N137="Yang A",301,IF(Atletas!N137="Chen A",30,IF(Atletas!N137="Sun A",303,IF(Atletas!N137="Wu A",304,IF(Atletas!N137="Wu-Hao A",305,IF(Atletas!N137="Outro Taijiquan A",306,IF(Atletas!N137="Yang B",307,IF(Atletas!N137="Chen B",308,IF(Atletas!N137="Sun B",309,IF(Atletas!N137="Wu B",310,IF(Atletas!N137="Wu-Hao B",311,IF(Atletas!N137="Outro Taijiquan B",312,IF(Atletas!N137="Yang C",313,IF(Atletas!N137="Chen C",314,IF(Atletas!N137="Sun C",315,IF(Atletas!N137="Wu C",316,IF(Atletas!N137="Wu-Hao C",317,IF(Atletas!N137="Outro Taijiquan C",318,IF(Atletas!N137="Yang D",319,IF(Atletas!N137="Chen D",320,IF(Atletas!N137="Sun D",321,IF(Atletas!N137="Wu D",322,IF(Atletas!N137="Wu-Hao D",323,IF(Atletas!N137="Outro Taijiquan D",324,IF(Atletas!N137="Yang E",325,IF(Atletas!N137="Chen E",326,IF(Atletas!N137="Sun E",327,IF(Atletas!N137="Wu E",328,IF(Atletas!N137="Wu-Hao E",329,IF(Atletas!N137="Outro Taijiquan E",330,IF(Atletas!N137="Yang F",331,IF(Atletas!N137="Chen F",332,IF(Atletas!N137="Sun F",333,IF(Atletas!N137="Wu F",334,IF(Atletas!N137="Wu-Hao F",335,IF(Atletas!N137="Outro Taijiquan F",336,"")))))))))))))))))))))))))))))))))))))</f>
        <v/>
      </c>
      <c r="BP141" s="52" t="str">
        <f>IF(Atletas!O137="","",IF(Atletas!W137&lt;&gt;"",10000,0)+IF(Atletas!B137="Feminino",1000,IF(Atletas!B137="Masculino",2000,""))+IF(OR(Atletas!O137="Yang 26 A",Atletas!O137="Yang 40 A"),401,IF(OR(Atletas!O137="Chen 25 A",Atletas!O137="Chen 36 A",Atletas!O137="Chen 56 A"),402,IF(Atletas!O137="Sun 73 A",403,IF(Atletas!O137="Wu 45 A",404,IF(Atletas!O137="Wu-Hao 46 A",405,IF(OR(Atletas!O137="Taijiquan 16 A",Atletas!O137="Taijiquan 24 A",Atletas!O137="Taijiquan 32 A",Atletas!O137="Taijiquan 42 A"),406,IF(OR(Atletas!O137="Yang 26 B",Atletas!O137="Yang 40 B"),407,IF(OR(Atletas!O137="Chen 25 B",Atletas!O137="Chen 36 B",Atletas!O137="Chen 56 B"),408,IF(Atletas!O137="Sun 73 B",409,IF(Atletas!O137="Wu 45 B",410,IF(Atletas!O137="Wu-Hao 46 B",411,IF(OR(Atletas!O137="Taijiquan 16 B",Atletas!O137="Taijiquan 24 B",Atletas!O137="Taijiquan 32 B",Atletas!O137="Taijiquan 42 B"),412,IF(OR(Atletas!O137="Yang 26 C",Atletas!O137="Yang 40 C"),413,IF(OR(Atletas!O137="Chen 25 C",Atletas!O137="Chen 36 C",Atletas!O137="Chen 56 C"),414,IF(Atletas!O137="Sun 73 C",415,IF(Atletas!O137="Wu 45 C",416,IF(Atletas!O137="Wu-Hao 46 C",417,IF(OR(Atletas!O137="Taijiquan 16 C",Atletas!O137="Taijiquan 24 C",Atletas!O137="Taijiquan 32 C",Atletas!O137="Taijiquan 42 C"),418,0)))))))))))))))))))</f>
        <v/>
      </c>
      <c r="BQ141" s="52" t="str">
        <f>IF(Atletas!O137="","",IF(Atletas!W137&lt;&gt;"",10000,0)+IF(Atletas!B137="Feminino",1000,IF(Atletas!B137="Masculino",2000,""))+IF(OR(Atletas!O137="Yang 26 D",Atletas!O137="Yang 40 D"),419,IF(OR(Atletas!O137="Chen 25 D",Atletas!O137="Chen 36 D",Atletas!O137="Chen 56 D"),420,IF(Atletas!O137="Sun 73 D",421,IF(Atletas!O137="Wu 45 D",422,IF(Atletas!O137="Wu-Hao 46 D",423,IF(OR(Atletas!O137="Taijiquan 16 D",Atletas!O137="Taijiquan 24 D",Atletas!O137="Taijiquan 32 D",Atletas!O137="Taijiquan 42 D"),424,IF(OR(Atletas!O137="Yang 26 E",Atletas!O137="Yang 40 E"),425,IF(OR(Atletas!O137="Chen 25 E",Atletas!O137="Chen 36 E",Atletas!O137="Chen 56 E"),426,IF(Atletas!O137="Sun 73 E",427,IF(Atletas!O137="Wu 45 E",428,IF(Atletas!O137="Wu-Hao 46 E",429,IF(OR(Atletas!O137="Taijiquan 16 E",Atletas!O137="Taijiquan 24 E",Atletas!O137="Taijiquan 32 E",Atletas!O137="Taijiquan 42 E"),430,IF(OR(Atletas!O137="Yang 26 F",Atletas!O137="Yang 40 F"),431,IF(OR(Atletas!O137="Chen 25 F",Atletas!O137="Chen 36 F",Atletas!O137="Chen 56 F"),432,IF(Atletas!O137="Sun 73 F",433,IF(Atletas!O137="Wu 45 F",434,IF(Atletas!O137="Wu-Hao 46 F",435,IF(OR(Atletas!O137="Taijiquan 16 F",Atletas!O137="Taijiquan 24 F",Atletas!O137="Taijiquan 32 F",Atletas!O137="Taijiquan 42 F"),436,0)))))))))))))))))))</f>
        <v/>
      </c>
      <c r="BR141" s="52" t="str">
        <f>IF(Atletas!P137="","",IF(Atletas!W137&lt;&gt;"",10000,0)+IF(Atletas!B137="Feminino",1000,IF(Atletas!B137="Masculino",2000,""))+IF(Atletas!P137="Xingyiquan A",501,IF(Atletas!P137="Baguazhang A",502,IF(Atletas!P137="Outro Estilo Interno A",503,IF(Atletas!P137="Xingyiquan B",504,IF(Atletas!P137="Baguazhang B",505,IF(Atletas!P137="Outro Estilo Interno B",506,IF(Atletas!P137="Xingyiquan C",507,IF(Atletas!P137="Baguazhang C",508,IF(Atletas!P137="Outro Estilo Interno C",509,IF(Atletas!P137="Xingyiquan D",510,IF(Atletas!P137="Baguazhang D",511,IF(Atletas!P137="Outro Estilo Interno D",512,IF(Atletas!P137="Xingyiquan E",513,IF(Atletas!P137="Baguazhang E",514,IF(Atletas!P137="Outro Estilo Interno E",515,IF(Atletas!P137="Xingyiquan F",516,IF(Atletas!P137="Baguazhang F",517,IF(Atletas!P137="Outro Estilo Interno F",518, "")))))))))))))))))))</f>
        <v/>
      </c>
      <c r="BS141" s="52" t="str">
        <f>IF(Atletas!Q137="","",IF(Atletas!W137&lt;&gt;"",10000,0)+IF(Atletas!B137="Feminino",1000,IF(Atletas!B137="Masculino",2000,""))+IF(Atletas!Q137="Dao A",601,IF(Atletas!Q137="Jian A",602,IF(Atletas!Q137="Bishou A",603,IF(Atletas!Q137="Shan A",604,IF(Atletas!Q137="Outra Arma Curta A",605,IF(Atletas!Q137="Dao B",606,IF(Atletas!Q137="Jian B",607,IF(Atletas!Q137="Bishou B",608,IF(Atletas!Q137="Shan B",609,IF(Atletas!Q137="Outra Arma Curta B",610,IF(Atletas!Q137="Dao C",611,IF(Atletas!Q137="Jian C",612,IF(Atletas!Q137="Bishou C",613,IF(Atletas!Q137="Shan C",614,IF(Atletas!Q137="Outra Arma Curta C",615,IF(Atletas!Q137="Dao D",616,IF(Atletas!Q137="Jian D",617,IF(Atletas!Q137="Bishou D",618,IF(Atletas!Q137="Shan D",619,IF(Atletas!Q137="Outra Arma Curta D",620,IF(Atletas!Q137="Dao E",621,IF(Atletas!Q137="Jian E",622,IF(Atletas!Q137="Bishou E",623,IF(Atletas!Q137="Shan E",624,IF(Atletas!Q137="Outra Arma Curta E",625,IF(Atletas!Q137="Dao F",626,IF(Atletas!Q137="Jian F",627,IF(Atletas!Q137="Bishou F",628,IF(Atletas!Q137="Shan F",629,IF(Atletas!Q137="Outra Arma Curta F",630, "")))))))))))))))))))))))))))))))</f>
        <v/>
      </c>
      <c r="BT141" s="52" t="str">
        <f>IF(Atletas!R137="","",IF(Atletas!W137&lt;&gt;"",10000,0)+IF(Atletas!B137="Feminino",1000,IF(Atletas!B137="Masculino",2000,""))+IF(Atletas!R137="Gun A",701,IF(Atletas!R137="Qiang A",702,IF(Atletas!R137="Pudao / Guandao A",703,IF(Atletas!R137="Outra Arma Longa A",704,IF(Atletas!R137="Gun B",705,IF(Atletas!R137="Qiang B",706,IF(Atletas!R137="Pudao / Guandao B",707,IF(Atletas!R137="Outra Arma Longa B",708,IF(Atletas!R137="Gun C",709,IF(Atletas!R137="Qiang C",710,IF(Atletas!R137="Pudao / Guandao C",711,IF(Atletas!R137="Outra Arma Longa C",712,IF(Atletas!R137="Gun D",713,IF(Atletas!R137="Qiang D",714,IF(Atletas!R137="Pudao / Guandao D",715,IF(Atletas!R137="Outra Arma Longa D",716,IF(Atletas!R137="Gun E",717,IF(Atletas!R137="Qiang E",718,IF(Atletas!R137="Pudao / Guandao E",719,IF(Atletas!R137="Outra Arma Longa E",720,IF(Atletas!R137="Gun F",721,IF(Atletas!R137="Qiang F",722,IF(Atletas!R137="Pudao / Guandao F",723,IF(Atletas!R137="Outra Arma Longa F",724,"")))))))))))))))))))))))))</f>
        <v/>
      </c>
      <c r="BU141" s="52" t="str">
        <f>IF(Atletas!S137="","",IF(Atletas!W137&lt;&gt;"",10000,0)+IF(Atletas!B137="Feminino",1000,IF(Atletas!B137="Masculino",2000,""))+IF(Atletas!S137="Arma Dupla A",801,IF(Atletas!S137="Arma Maleável A",802,IF(Atletas!S137="Arma Dupla B",803,IF(Atletas!S137="Arma Maleável B",804,IF(Atletas!S137="Arma Dupla C",805,IF(Atletas!S137="Arma Maleável C",806,IF(Atletas!S137="Arma Dupla D",807,IF(Atletas!S137="Arma Maleável D",808,IF(Atletas!S137="Arma Dupla E",809,IF(Atletas!S137="Arma Maleável E",810,IF(Atletas!S137="Arma Dupla F",811,IF(Atletas!S137="Arma Maleável F",812, "")))))))))))))</f>
        <v/>
      </c>
      <c r="BV141" s="52" t="str">
        <f>IF(Atletas!T137="","",IF(Atletas!W137&lt;&gt;"",10000,0)+IF(Atletas!B137="Feminino",1000,IF(Atletas!B137="Masculino",2000,""))+IF(Atletas!T137="Taijijian Yang A",901,IF(Atletas!T137="Taijijian Chen A",902,IF(Atletas!T137="Taijijian Sun A",903,IF(Atletas!T137="Taijijian Wu A",904,IF(Atletas!T137="Taijijian Wu-Hao A",905,IF(Atletas!T137="Taijijian 32 A",906,IF(Atletas!T137="Taijijian 42 A",907,IF(Atletas!T137="Taijijian Yang B",908,IF(Atletas!T137="Taijijian Chen B",909,IF(Atletas!T137="Taijijian Sun B",910,IF(Atletas!T137="Taijijian Wu B",911,IF(Atletas!T137="Taijijian Wu-Hao B",912,IF(Atletas!T137="Taijijian 32 B",913,IF(Atletas!T137="Taijijian 42 B",914,IF(Atletas!T137="Taijijian Yang C",915,IF(Atletas!T137="Taijijian Chen C",916,IF(Atletas!T137="Taijijian Sun C",917,IF(Atletas!T137="Taijijian Wu C",918,IF(Atletas!T137="Taijijian Wu-Hao C",919,IF(Atletas!T137="Taijijian 32 C",920,IF(Atletas!T137="Taijijian 42 C",921,IF(Atletas!T137="Taijijian Yang D",922,IF(Atletas!T137="Taijijian Chen D",923,IF(Atletas!T137="Taijijian Sun D",924,IF(Atletas!T137="Taijijian Wu D",925,IF(Atletas!T137="Taijijian Wu-Hao D",926,IF(Atletas!T137="Taijijian 32 D",927,IF(Atletas!T137="Taijijian 42 D",928,IF(Atletas!T137="Taijijian Yang E",929,IF(Atletas!T137="Taijijian Chen E",930,IF(Atletas!T137="Taijijian Sun E",931,IF(Atletas!T137="Taijijian Wu E",932,IF(Atletas!T137="Taijijian Wu-Hao E",933,IF(Atletas!T137="Taijijian 32 E",934,IF(Atletas!T137="Taijijian 42 E",935,IF(Atletas!T137="Taijijian Yang F",936,IF(Atletas!T137="Taijijian Chen F",937,IF(Atletas!T137="Taijijian Sun F",938,IF(Atletas!T137="Taijijian Wu F",939,IF(Atletas!T137="Taijijian Wu-Hao F",940,IF(Atletas!T137="Taijijian 32 F",941,IF(Atletas!T137="Taijijian 42 F",942,"")))))))))))))))))))))))))))))))))))))))))))</f>
        <v/>
      </c>
      <c r="BW141" s="52" t="str">
        <f>IF(Atletas!U137="","",IF(Atletas!W137&lt;&gt;"",10000,0)+IF(Atletas!B137="Feminino",1000,IF(Atletas!B137="Masculino",2000,""))+IF(Atletas!T137="Taijijian 42 F",942,IF(Atletas!U137="Taijidao A",943,IF(Atletas!U137="Taijishan A",944,IF(Atletas!U137="Taijiqiang A",945,IF(Atletas!U137="Taijidao B",946,IF(Atletas!U137="Taijishan B",947,IF(Atletas!U137="Taijiqiang B",948,IF(Atletas!U137="Taijidao C",949,IF(Atletas!U137="Taijishan C",950,IF(Atletas!U137="Taijiqiang C",951,IF(Atletas!U137="Taijidao D",952,IF(Atletas!U137="Taijishan D",953,IF(Atletas!U137="Taijiqiang D",954,IF(Atletas!U137="Taijidao E",955,IF(Atletas!U137="Taijishan E",956,IF(Atletas!U137="Taijiqiang E",957,IF(Atletas!U137="Taijidao F",958,IF(Atletas!U137="Taijishan F",959,IF(Atletas!U137="Taijiqiang F",960))))))))))))))))))))</f>
        <v/>
      </c>
      <c r="BX141" s="72" t="str">
        <f>IF(BY141&lt;&gt;"","TJQ Trad. Sun B","")</f>
        <v/>
      </c>
      <c r="BY141" s="72" t="str">
        <f>IF(COUNTIF(BK:BW,1309)&gt;0,COUNTIF(BK:BW,1309),"")</f>
        <v/>
      </c>
      <c r="BZ141" s="72" t="str">
        <f>IF(CA141&lt;&gt;"","TJQ Trad. Sun B","")</f>
        <v/>
      </c>
      <c r="CA141" s="72" t="str">
        <f>IF(COUNTIF(BK:BW,2309)&gt;0,COUNTIF(BK:BW,2309),"")</f>
        <v/>
      </c>
      <c r="CB141" s="72" t="str">
        <f>IF(CC141&lt;&gt;"","Sun B","")</f>
        <v/>
      </c>
      <c r="CC141" s="64" t="str">
        <f>IF(COUNTIF(BK:BW,11309)&gt;0,COUNTIF(BK:BW,11309),"")</f>
        <v/>
      </c>
      <c r="CD141" s="64" t="str">
        <f>IF(CE141&lt;&gt;"","Sun B","")</f>
        <v/>
      </c>
      <c r="CE141" s="64" t="str">
        <f>IF(COUNTIF(BK:BW,12309)&gt;0,COUNTIF(BK:BW,12309),"")</f>
        <v/>
      </c>
      <c r="CF141" s="52" t="str">
        <f xml:space="preserve"> IF(Atletas!V137="","",IF(Atletas!V137="Duilian de Mãos AB - Equipe 1",1,IF(Atletas!V137="Duilian de Mãos AB - Equipe 2",2,IF(Atletas!V137="Duilian de Armas AB - Equipe 1",3,IF(Atletas!V137="Duilian de Armas AB - Equipe 2",4,IF(Atletas!V137="Duilian de Tuishou - Equipe 1",5,IF(Atletas!V137="Duilian de Tuishou - Equipe 2",6,IF(Atletas!V137="Grupo Externo AB - Equipe 1",7,IF(Atletas!V137="Grupo Externo AB - Equipe 2",8,IF(Atletas!V137="Grupo Interno AB - Equipe 1",9,IF(Atletas!V137="Grupo Interno AB - Equipe 2",10,IF(Atletas!V137="Duilian de Mãos CD - Equipe 1",11,IF(Atletas!V137="Duilian de Mãos CD - Equipe 2",12,IF(Atletas!V137="Duilian de Armas CD - Equipe 1",13,IF(Atletas!V137="Duilian de Armas CD - Equipe 2",14,IF(Atletas!V137="Duilian de Tuishou - Equipe 1",15,IF(Atletas!V137="Duilian de Tuishou - Equipe 2",16,IF(Atletas!V137="Grupo Externo CDEF - Equipe 1",17,IF(Atletas!V137="Grupo Externo CDEF - Equipe 2",18,IF(Atletas!V137="Grupo Interno CDEF - Equipe 1",19,IF(Atletas!V137="Grupo Interno CDEF - Equipe 2",20,IF(Atletas!V137="Duilian de Mãos EF - Equipe 1",21,IF(Atletas!V137="Duilian de Mãos EF - Equipe 2",22,IF(Atletas!V137="Duilian de Armas EF - Equipe 1",23,IF(Atletas!V137="Duilian de Armas EF - Equipe 2",24,IF(Atletas!V137="Duilian de Tuishou - Equipe 1",25,IF(Atletas!V137="Duilian de Tuishou - Equipe 2",26,"")))))))))))))))))))))))))))</f>
        <v/>
      </c>
    </row>
    <row r="142" spans="2:84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 t="str">
        <f t="array" ref="V142">IFERROR(INDEX(BX$7:BX$336,SMALL(IF(BX$7:BX$336&lt;&gt;"",ROW(BX$7:BX$336)-ROW(BX$7)+1),ROWS(BX$7:BX141))),"")</f>
        <v/>
      </c>
      <c r="W142" s="4" t="str">
        <f t="array" ref="W142">IFERROR(INDEX(BY$7:BY$336,SMALL(IF(BY$7:BY$336&lt;&gt;"",ROW(BY$7:BY$336)-ROW(BY$7)+1),ROWS(BY$7:BY141))),"")</f>
        <v/>
      </c>
      <c r="X142" s="4" t="str">
        <f t="array" ref="X142">IFERROR(INDEX(BZ$7:BZ$336,SMALL(IF(BZ$7:BZ$336&lt;&gt;"",ROW(BZ$7:BZ$336)-ROW(BZ$7)+1),ROWS(BZ$7:BZ141))),"")</f>
        <v/>
      </c>
      <c r="Y142" s="4" t="str">
        <f t="array" ref="Y142">IFERROR(INDEX(CA$7:CA$336,SMALL(IF(CA$7:CA$336&lt;&gt;"",ROW(CA$7:CA$336)-ROW(CA$7)+1),ROWS(CA$7:CA141))),"")</f>
        <v/>
      </c>
      <c r="Z142" s="4" t="str">
        <f t="array" ref="Z142">IFERROR(INDEX(CB$7:CB$378,SMALL(IF(CB$7:CB$378&lt;&gt;"",ROW(CB$7:CB$378)-ROW(CB$7)+1),ROWS(CB$7:CB141))),"")</f>
        <v/>
      </c>
      <c r="AA142" s="4" t="str">
        <f t="array" ref="AA142">IFERROR(INDEX(CC$7:CC$378,SMALL(IF(CC$7:CC$378&lt;&gt;"",ROW(CC$7:CC$378)-ROW(CC$7)+1),ROWS(CC$7:CC141))),"")</f>
        <v/>
      </c>
      <c r="AB142" s="4" t="str">
        <f t="array" ref="AB142">IFERROR(INDEX(CD$7:CD$378,SMALL(IF(CD$7:CD$378&lt;&gt;"",ROW(CD$7:CD$378)-ROW(CD$7)+1),ROWS(CD$7:CD141))),"")</f>
        <v/>
      </c>
      <c r="AC142" s="4" t="str">
        <f t="array" ref="AC142">IFERROR(INDEX(CE$7:CE$378,SMALL(IF(CE$7:CE$378&lt;&gt;"",ROW(CE$7:CE$378)-ROW(CE$7)+1),ROWS(CE$7:CE141))),"")</f>
        <v/>
      </c>
      <c r="AD142" s="4"/>
      <c r="AE142" s="4"/>
      <c r="AF142" s="4"/>
      <c r="AG142" s="4"/>
      <c r="AH142" s="4"/>
      <c r="AI142" s="4"/>
      <c r="AJ142" s="46" t="str">
        <f>IF(Atletas!D138="","",IF(Atletas!B138="Feminino",100,IF(Atletas!B138="Masculino",200,""))+(IF(Atletas!D138="Infantil 39kg",1,IF(Atletas!D138="Infantil 42kg",2,IF(Atletas!D138="Infantil 45kg",3,IF(Atletas!D138="Infantil 48kg",4,IF(Atletas!D138="Infantil 52kg",5,IF(Atletas!D138="Infantil 56kg",6,IF(Atletas!D138="Infantil 60kg",7,IF(Atletas!D138="Juvenil 48kg",8,IF(Atletas!D138="Juvenil 52kg",9,IF(Atletas!D138="Juvenil 56kg",10,IF(Atletas!D138="Juvenil 60kg",11,IF(Atletas!D138="Juvenil 65kg",12,IF(Atletas!D138="Juvenil 70kg",13,IF(Atletas!D138="Juvenil 75kg",14,IF(Atletas!D138="Juvenil 80kg",15,IF(Atletas!D138="Adulto 48kg",16,IF(Atletas!D138="Adulto 52kg",17,IF(Atletas!D138="Adulto 56kg",18,IF(Atletas!D138="Adulto 60kg",19,IF(Atletas!D138="Adulto 65kg",20,IF(Atletas!D138="Adulto 70kg",21,IF(Atletas!D138="Adulto 75kg",22,IF(Atletas!D138="Adulto 80kg",23,IF(Atletas!D138="Adulto 85kg",24,IF(Atletas!D138="Adulto 90kg",25,IF(Atletas!D138="Adulto +90kg",26,""))))))))))))))))))))))))))))</f>
        <v/>
      </c>
      <c r="AO142" s="10" t="str">
        <f>IF(Atletas!E138="","",IF(Atletas!B138="Feminino",100,IF(Atletas!B138="Masculino",200,""))+(IF(Atletas!E138="Juvenil 44kg",1,IF(Atletas!E138="Juvenil 48kg",2,IF(Atletas!E138="Juvenil 52kg",3,IF(Atletas!E138="Juvenil 56kg",4,IF(Atletas!E138="Juvenil 60kg",5,IF(Atletas!E138="Juvenil 65kg",6,IF(Atletas!E138="Juvenil 70kg",7,IF(Atletas!E138="Juvenil 75kg",8,IF(Atletas!E138="Juvenil 82kg",9,IF(Atletas!E138="Juvenil 90kg",10,IF(Atletas!E138="Juvenil 100kg",11,IF(Atletas!E138="Adulto 48kg",12,IF(Atletas!E138="Adulto 52kg",13,IF(Atletas!E138="Adulto 56kg",14,IF(Atletas!E138="Adulto 60kg",15,IF(Atletas!E138="Adulto 65kg",16,IF(Atletas!E138="Adulto 70kg",17,IF(Atletas!E138="Adulto 75kg",18,IF(Atletas!E138="Adulto 82kg",19,IF(Atletas!E138="Adulto 90kg",20,IF(Atletas!E138="Adulto 100kg",21,IF(Atletas!E138="Adulto +100kg",22,""))))))))))))))))))))))))</f>
        <v/>
      </c>
      <c r="AT142" s="10" t="str">
        <f>IF(Atletas!F138="","",IF(Atletas!B138="Feminino",100,IF(Atletas!B138="Masculino",200,""))+(IF(Atletas!F138="Adulto 48kg",1,IF(Atletas!F138="Adulto 56kg",2,IF(Atletas!F138="Adulto 65kg",3,IF(Atletas!F138="Adulto 75kg",4,IF(Atletas!F138="Adulto +75kg",5,IF(Atletas!F138="Adulto 52kg",6,IF(Atletas!F138="Adulto 60kg",7,IF(Atletas!F138="Adulto 70kg",8,IF(Atletas!F138="Adulto 80kg",9,IF(Atletas!F138="Adulto 90kg",10,IF(Atletas!F138="Adulto +90kg",11,"")))))))))))))</f>
        <v/>
      </c>
      <c r="AY142" s="46" t="str">
        <f>IF(Atletas!G138="","",IF(Atletas!B138="Feminino",100,IF(Atletas!B138="Masculino",200,""))+(IF(Atletas!G138="Changquan Mirim",1,IF(Atletas!G138="Nanquan Mirim",2,IF(Atletas!G138="Taijiquan Mirim",3,IF(Atletas!G138="Changquan Grupo C",4,IF(Atletas!G138="Nanquan Grupo C",5,IF(Atletas!G138="Taijiquan Grupo C",6,IF(Atletas!G138="Changquan Grupo B",7,IF(Atletas!G138="Nanquan Grupo B",8,IF(Atletas!G138="Taijiquan Grupo B",9,IF(Atletas!G138="Changquan Grupo A",10,IF(Atletas!G138="Nanquan Grupo A",11,IF(Atletas!G138="Taijiquan Grupo A",12,IF(Atletas!G138="Changquan Opcional",13,IF(Atletas!G138="Nanquan Opcional",14,IF(Atletas!G138="Taijiquan Opcional",15,IF(Atletas!G138="Changquan Adulto",16,IF(Atletas!G138="Nanquan Adulto",17,IF(Atletas!G138="Taijiquan Adulto",18,""))))))))))))))))))))</f>
        <v/>
      </c>
      <c r="AZ142" s="46" t="str">
        <f>IF(Atletas!H138="","",IF(Atletas!B138="Feminino",100,IF(Atletas!B138="Masculino",200,""))+(IF(Atletas!H138="Daoshu Mirim",19,IF(Atletas!H138="Jianshu Mirim",20,IF(Atletas!H138="Nandao Mirim",21,IF(Atletas!H138="Taijijian Mirim",22,IF(Atletas!H138="Daoshu Grupo C",23,IF(Atletas!H138="Jianshu Grupo C",24,IF(Atletas!H138="Nandao Grupo C",25,IF(Atletas!H138="Taijijian Grupo C",26,IF(Atletas!H138="Daoshu Grupo B",27,IF(Atletas!H138="Jianshu Grupo B",28,IF(Atletas!H138="Nandao Grupo B",29,IF(Atletas!H138="Taijijian Grupo B",30,IF(Atletas!H138="Daoshu Grupo A",31,IF(Atletas!H138="Jianshu Grupo A",32,IF(Atletas!H138="Nandao Grupo A",33,IF(Atletas!H138="Taijijian Grupo A",34,IF(Atletas!H138="Daoshu Opcional",35,IF(Atletas!H138="Jianshu Opcional",36,IF(Atletas!H138="Nandao Opcional",37,IF(Atletas!H138="Taijijian Opcional",38,IF(Atletas!H138="Daoshu Adulto",39,IF(Atletas!H138="Jianshu Adulto",40,IF(Atletas!H138="Nandao Adulto",41,IF(Atletas!H138="Taijijian Adulto",42,""))))))))))))))))))))))))))</f>
        <v/>
      </c>
      <c r="BA142" s="46" t="str">
        <f>IF(Atletas!I138="","",IF(Atletas!B138="Feminino",100,IF(Atletas!B138="Masculino",200,""))+(IF(Atletas!I138="Gunshu Mirim",43,IF(Atletas!I138="Qiangshu Mirim",44,IF(Atletas!I138="Nangun Mirim",45,IF(Atletas!I138="Gunshu Grupo C",46,IF(Atletas!I138="Qiangshu Grupo C",47,IF(Atletas!I138="Nangun Grupo C",48,IF(Atletas!I138="Gunshu Grupo B",49,IF(Atletas!I138="Qiangshu Grupo B",50,IF(Atletas!I138="Nangun Grupo B",51,IF(Atletas!I138="Gunshu Grupo A",52,IF(Atletas!I138="Qiangshu Grupo A",53,IF(Atletas!I138="Nangun Grupo A",54,IF(Atletas!I138="Gunshu Opcional",55,IF(Atletas!I138="Qiangshu Opcional",56,IF(Atletas!I138="Nangun Opcional",57,IF(Atletas!I138="Gunshu Adulto",58,IF(Atletas!I138="Qiangshu Adulto",59,IF(Atletas!I138="Nangun Adulto",60,""))))))))))))))))))))</f>
        <v/>
      </c>
      <c r="BF142" s="52" t="str">
        <f>IF(Atletas!J138="","",IF(Atletas!B138="Feminino",100,IF(Atletas!B138="Masculino",200,""))+(IF(Atletas!J138="Equipe 1 Grupo B",1,IF(Atletas!J138="Equipe 2 Grupo B",2,IF(Atletas!J138="Equipe 1 Grupo A",3,IF(Atletas!J138="Equipe 2 Grupo A",4,IF(Atletas!J138="Equipe 1 Adulto",5,IF(Atletas!J138="Equipe 2 Adulto",6,""))))))))</f>
        <v/>
      </c>
      <c r="BK142" s="52" t="str">
        <f>IF(Atletas!K138="","",IF(Atletas!W138&lt;&gt;"",10000,0)+(IF(Atletas!B138="Feminino",1000,IF(Atletas!B138="Masculino",2000,""))+IF(Atletas!K138="Choylayfut A",1,IF(Atletas!K138="Hunggar A",2,IF(Atletas!K138="Wuzuquan A",3,IF(Atletas!K138="Wingchun A",4,IF(Atletas!K138="Outra Mão de Sul A",5,IF(Atletas!K138="Choylayfut B",6,IF(Atletas!K138="Hunggar B",7,IF(Atletas!K138="Wuzuquan B",8,IF(Atletas!K138="Wingchun B",9,IF(Atletas!K138="Outra Mão de Sul B",10,IF(Atletas!K138="Choylayfut C",11,IF(Atletas!K138="Hunggar C",12,IF(Atletas!K138="Wuzuquan C",13,IF(Atletas!K138="Wingchun C",14,IF(Atletas!K138="Outra Mão de Sul C",15,IF(Atletas!K138="Choylayfut D",16,IF(Atletas!K138="Hunggar D",17,IF(Atletas!K138="Wuzuquan D",18,IF(Atletas!K138="Wingchun D",19,IF(Atletas!K138="Outra Mão de Sul D",20,IF(Atletas!K138="Choylayfut E",21,IF(Atletas!K138="Hunggar E",22,IF(Atletas!K138="Wuzuquan E",23,IF(Atletas!K138="Wingchun E",24,IF(Atletas!K138="Outra Mão de Sul E",25,IF(Atletas!K138="Choylayfut F",26,IF(Atletas!K138="Hunggar F",27,IF(Atletas!K138="Wuzuquan F",28,IF(Atletas!K138="Wingchun F",29,IF(Atletas!K138="Outra Mão de Sul F",30,""))))))))))))))))))))))))))))))))</f>
        <v/>
      </c>
      <c r="BL142" s="52" t="str">
        <f>IF(Atletas!L138="","",IF(Atletas!W138&lt;&gt;"",10000,0)+(IF(Atletas!B138="Feminino",1000,IF(Atletas!B138="Masculino",2000,""))+(IF(Atletas!L138="Chaquan A",101,IF(Atletas!L138="Emeiquan A",102,IF(Atletas!L138="Fanziquan A",103,IF(Atletas!L138="Huaquan A",104,IF(Atletas!L138="Hongquan A",105,IF(Atletas!L138="Paochui A",106,IF(Atletas!L138="Piguaquan A",107,IF(Atletas!L138="Shaolinquan A",108,IF(Atletas!L138="Tanglangquan A",109,IF(Atletas!L138="Yinzhaophai A",110,IF(Atletas!L138="Tongbeiquan A",111,IF(Atletas!L138="Wudangquan A",112,IF(Atletas!L138="Outros Estilos A",113,IF(Atletas!L138="Chaquan B",114,IF(Atletas!L138="Emeiquan B",115,IF(Atletas!L138="Fanziquan B",116,IF(Atletas!L138="Huaquan B",117,IF(Atletas!L138="Hongquan B",118,IF(Atletas!L138="Paochui B",119,IF(Atletas!L138="Piguaquan B",120,IF(Atletas!L138="Shaolinquan B",121,IF(Atletas!L138="Tanglangquan B",122,IF(Atletas!L138="Yinzhaophai B",123,IF(Atletas!L138="Tongbeiquan B",124,IF(Atletas!L138="Wudangquan B",125,IF(Atletas!L138="Outros Estilos B",126,IF(Atletas!L138="Chaquan C",127,IF(Atletas!L138="Emeiquan C",128,IF(Atletas!L138="Fanziquan C",129,IF(Atletas!L138="Huaquan C",130,IF(Atletas!L138="Hongquan C",131,IF(Atletas!L138="Paochui C",132,IF(Atletas!L138="Piguaquan C",133,IF(Atletas!L138="Shaolinquan C",134,IF(Atletas!L138="Tanglangquan C",135,IF(Atletas!L138="Yinzhaophai C",136,IF(Atletas!L138="Tongbeiquan C",137,IF(Atletas!L138="Wudangquan C",138,IF(Atletas!L138="Outros Estilos C",139,0))))))))))))))))))))))))))))))))))))))))))</f>
        <v/>
      </c>
      <c r="BM142" s="52" t="str">
        <f>IF(Atletas!L138="","",IF(Atletas!W138&lt;&gt;"",10000,0)+(IF(Atletas!B138="Feminino",1000,IF(Atletas!B138="Masculino",2000,""))+(IF(Atletas!L138="Chaquan D",140,IF(Atletas!L138="Emeiquan D",141,IF(Atletas!L138="Fanziquan D",142,IF(Atletas!L138="Huaquan D",143,IF(Atletas!L138="Hongquan D",144,IF(Atletas!L138="Paochui D",145,IF(Atletas!L138="Piguaquan D",146,IF(Atletas!L138="Shaolinquan D",147,IF(Atletas!L138="Tanglangquan D",148,IF(Atletas!L138="Yinzhaophai D",149,IF(Atletas!L138="Tongbeiquan D",150,IF(Atletas!L138="Wudangquan D",151,IF(Atletas!L138="Outros Estilos D",152,IF(Atletas!L138="Chaquan E",153,IF(Atletas!L138="Emeiquan E",154,IF(Atletas!L138="Fanziquan E",155,IF(Atletas!L138="Huaquan E",156,IF(Atletas!L138="Hongquan E",157,IF(Atletas!L138="Paochui E",158,IF(Atletas!L138="Piguaquan E",159,IF(Atletas!L138="Shaolinquan E",160,IF(Atletas!L138="Tanglangquan E",161,IF(Atletas!L138="Yinzhaophai E",162,IF(Atletas!L138="Tongbeiquan E",163,IF(Atletas!L138="Wudangquan E",164,IF(Atletas!L138="Outros Estilos E",165,IF(Atletas!L138="Chaquan F",166,IF(Atletas!L138="Emeiquan F",167,IF(Atletas!L138="Fanziquan F",168,IF(Atletas!L138="Huaquan F",169,IF(Atletas!L138="Hongquan F",170,IF(Atletas!L138="Paochui F",171,IF(Atletas!L138="Piguaquan F",172,IF(Atletas!L138="Shaolinquan F",173,IF(Atletas!L138="Tanglangquan F",174,IF(Atletas!L138="Yinzhaophai F",175,IF(Atletas!L138="Tongbeiquan F",176,IF(Atletas!L138="Wudangquan F",177,IF(Atletas!L138="Outros Estilos F",178,0))))))))))))))))))))))))))))))))))))))))))</f>
        <v/>
      </c>
      <c r="BN142" s="52" t="str">
        <f>IF(Atletas!M138="","",IF(Atletas!W138&lt;&gt;"",10000,0)+(IF(Atletas!B138="Feminino",1000,IF(Atletas!B138="Masculino",2000,""))+(IF(Atletas!M138="Ditangquan A",201,IF(Atletas!M138="Houquan A",202,IF(Atletas!M138="Zuiquan A",203,IF(Atletas!M138="Ditangquan B",204,IF(Atletas!M138="Houquan B",205,IF(Atletas!M138="Zuiquan B",206,IF(Atletas!M138="Ditangquan C",207,IF(Atletas!M138="Houquan C",208,IF(Atletas!M138="Zuiquan C",209,IF(Atletas!M138="Ditangquan D",210,IF(Atletas!M138="Houquan D",211,IF(Atletas!M138="Zuiquan D",212,IF(Atletas!M138="Ditangquan E",213,IF(Atletas!M138="Houquan E",214,IF(Atletas!M138="Zuiquan E",215,IF(Atletas!M138="Ditangquan F",216,IF(Atletas!M138="Houquan F",217,IF(Atletas!M138="Zuiquan F",218,"")))))))))))))))))))))</f>
        <v/>
      </c>
      <c r="BO142" s="52" t="str">
        <f>IF(Atletas!N138="","",IF(Atletas!W138&lt;&gt;"",10000,0)+IF(Atletas!B138="Feminino",1000,IF(Atletas!B138="Masculino",2000,""))+IF(Atletas!N138="Yang A",301,IF(Atletas!N138="Chen A",30,IF(Atletas!N138="Sun A",303,IF(Atletas!N138="Wu A",304,IF(Atletas!N138="Wu-Hao A",305,IF(Atletas!N138="Outro Taijiquan A",306,IF(Atletas!N138="Yang B",307,IF(Atletas!N138="Chen B",308,IF(Atletas!N138="Sun B",309,IF(Atletas!N138="Wu B",310,IF(Atletas!N138="Wu-Hao B",311,IF(Atletas!N138="Outro Taijiquan B",312,IF(Atletas!N138="Yang C",313,IF(Atletas!N138="Chen C",314,IF(Atletas!N138="Sun C",315,IF(Atletas!N138="Wu C",316,IF(Atletas!N138="Wu-Hao C",317,IF(Atletas!N138="Outro Taijiquan C",318,IF(Atletas!N138="Yang D",319,IF(Atletas!N138="Chen D",320,IF(Atletas!N138="Sun D",321,IF(Atletas!N138="Wu D",322,IF(Atletas!N138="Wu-Hao D",323,IF(Atletas!N138="Outro Taijiquan D",324,IF(Atletas!N138="Yang E",325,IF(Atletas!N138="Chen E",326,IF(Atletas!N138="Sun E",327,IF(Atletas!N138="Wu E",328,IF(Atletas!N138="Wu-Hao E",329,IF(Atletas!N138="Outro Taijiquan E",330,IF(Atletas!N138="Yang F",331,IF(Atletas!N138="Chen F",332,IF(Atletas!N138="Sun F",333,IF(Atletas!N138="Wu F",334,IF(Atletas!N138="Wu-Hao F",335,IF(Atletas!N138="Outro Taijiquan F",336,"")))))))))))))))))))))))))))))))))))))</f>
        <v/>
      </c>
      <c r="BP142" s="52" t="str">
        <f>IF(Atletas!O138="","",IF(Atletas!W138&lt;&gt;"",10000,0)+IF(Atletas!B138="Feminino",1000,IF(Atletas!B138="Masculino",2000,""))+IF(OR(Atletas!O138="Yang 26 A",Atletas!O138="Yang 40 A"),401,IF(OR(Atletas!O138="Chen 25 A",Atletas!O138="Chen 36 A",Atletas!O138="Chen 56 A"),402,IF(Atletas!O138="Sun 73 A",403,IF(Atletas!O138="Wu 45 A",404,IF(Atletas!O138="Wu-Hao 46 A",405,IF(OR(Atletas!O138="Taijiquan 16 A",Atletas!O138="Taijiquan 24 A",Atletas!O138="Taijiquan 32 A",Atletas!O138="Taijiquan 42 A"),406,IF(OR(Atletas!O138="Yang 26 B",Atletas!O138="Yang 40 B"),407,IF(OR(Atletas!O138="Chen 25 B",Atletas!O138="Chen 36 B",Atletas!O138="Chen 56 B"),408,IF(Atletas!O138="Sun 73 B",409,IF(Atletas!O138="Wu 45 B",410,IF(Atletas!O138="Wu-Hao 46 B",411,IF(OR(Atletas!O138="Taijiquan 16 B",Atletas!O138="Taijiquan 24 B",Atletas!O138="Taijiquan 32 B",Atletas!O138="Taijiquan 42 B"),412,IF(OR(Atletas!O138="Yang 26 C",Atletas!O138="Yang 40 C"),413,IF(OR(Atletas!O138="Chen 25 C",Atletas!O138="Chen 36 C",Atletas!O138="Chen 56 C"),414,IF(Atletas!O138="Sun 73 C",415,IF(Atletas!O138="Wu 45 C",416,IF(Atletas!O138="Wu-Hao 46 C",417,IF(OR(Atletas!O138="Taijiquan 16 C",Atletas!O138="Taijiquan 24 C",Atletas!O138="Taijiquan 32 C",Atletas!O138="Taijiquan 42 C"),418,0)))))))))))))))))))</f>
        <v/>
      </c>
      <c r="BQ142" s="52" t="str">
        <f>IF(Atletas!O138="","",IF(Atletas!W138&lt;&gt;"",10000,0)+IF(Atletas!B138="Feminino",1000,IF(Atletas!B138="Masculino",2000,""))+IF(OR(Atletas!O138="Yang 26 D",Atletas!O138="Yang 40 D"),419,IF(OR(Atletas!O138="Chen 25 D",Atletas!O138="Chen 36 D",Atletas!O138="Chen 56 D"),420,IF(Atletas!O138="Sun 73 D",421,IF(Atletas!O138="Wu 45 D",422,IF(Atletas!O138="Wu-Hao 46 D",423,IF(OR(Atletas!O138="Taijiquan 16 D",Atletas!O138="Taijiquan 24 D",Atletas!O138="Taijiquan 32 D",Atletas!O138="Taijiquan 42 D"),424,IF(OR(Atletas!O138="Yang 26 E",Atletas!O138="Yang 40 E"),425,IF(OR(Atletas!O138="Chen 25 E",Atletas!O138="Chen 36 E",Atletas!O138="Chen 56 E"),426,IF(Atletas!O138="Sun 73 E",427,IF(Atletas!O138="Wu 45 E",428,IF(Atletas!O138="Wu-Hao 46 E",429,IF(OR(Atletas!O138="Taijiquan 16 E",Atletas!O138="Taijiquan 24 E",Atletas!O138="Taijiquan 32 E",Atletas!O138="Taijiquan 42 E"),430,IF(OR(Atletas!O138="Yang 26 F",Atletas!O138="Yang 40 F"),431,IF(OR(Atletas!O138="Chen 25 F",Atletas!O138="Chen 36 F",Atletas!O138="Chen 56 F"),432,IF(Atletas!O138="Sun 73 F",433,IF(Atletas!O138="Wu 45 F",434,IF(Atletas!O138="Wu-Hao 46 F",435,IF(OR(Atletas!O138="Taijiquan 16 F",Atletas!O138="Taijiquan 24 F",Atletas!O138="Taijiquan 32 F",Atletas!O138="Taijiquan 42 F"),436,0)))))))))))))))))))</f>
        <v/>
      </c>
      <c r="BR142" s="52" t="str">
        <f>IF(Atletas!P138="","",IF(Atletas!W138&lt;&gt;"",10000,0)+IF(Atletas!B138="Feminino",1000,IF(Atletas!B138="Masculino",2000,""))+IF(Atletas!P138="Xingyiquan A",501,IF(Atletas!P138="Baguazhang A",502,IF(Atletas!P138="Outro Estilo Interno A",503,IF(Atletas!P138="Xingyiquan B",504,IF(Atletas!P138="Baguazhang B",505,IF(Atletas!P138="Outro Estilo Interno B",506,IF(Atletas!P138="Xingyiquan C",507,IF(Atletas!P138="Baguazhang C",508,IF(Atletas!P138="Outro Estilo Interno C",509,IF(Atletas!P138="Xingyiquan D",510,IF(Atletas!P138="Baguazhang D",511,IF(Atletas!P138="Outro Estilo Interno D",512,IF(Atletas!P138="Xingyiquan E",513,IF(Atletas!P138="Baguazhang E",514,IF(Atletas!P138="Outro Estilo Interno E",515,IF(Atletas!P138="Xingyiquan F",516,IF(Atletas!P138="Baguazhang F",517,IF(Atletas!P138="Outro Estilo Interno F",518, "")))))))))))))))))))</f>
        <v/>
      </c>
      <c r="BS142" s="52" t="str">
        <f>IF(Atletas!Q138="","",IF(Atletas!W138&lt;&gt;"",10000,0)+IF(Atletas!B138="Feminino",1000,IF(Atletas!B138="Masculino",2000,""))+IF(Atletas!Q138="Dao A",601,IF(Atletas!Q138="Jian A",602,IF(Atletas!Q138="Bishou A",603,IF(Atletas!Q138="Shan A",604,IF(Atletas!Q138="Outra Arma Curta A",605,IF(Atletas!Q138="Dao B",606,IF(Atletas!Q138="Jian B",607,IF(Atletas!Q138="Bishou B",608,IF(Atletas!Q138="Shan B",609,IF(Atletas!Q138="Outra Arma Curta B",610,IF(Atletas!Q138="Dao C",611,IF(Atletas!Q138="Jian C",612,IF(Atletas!Q138="Bishou C",613,IF(Atletas!Q138="Shan C",614,IF(Atletas!Q138="Outra Arma Curta C",615,IF(Atletas!Q138="Dao D",616,IF(Atletas!Q138="Jian D",617,IF(Atletas!Q138="Bishou D",618,IF(Atletas!Q138="Shan D",619,IF(Atletas!Q138="Outra Arma Curta D",620,IF(Atletas!Q138="Dao E",621,IF(Atletas!Q138="Jian E",622,IF(Atletas!Q138="Bishou E",623,IF(Atletas!Q138="Shan E",624,IF(Atletas!Q138="Outra Arma Curta E",625,IF(Atletas!Q138="Dao F",626,IF(Atletas!Q138="Jian F",627,IF(Atletas!Q138="Bishou F",628,IF(Atletas!Q138="Shan F",629,IF(Atletas!Q138="Outra Arma Curta F",630, "")))))))))))))))))))))))))))))))</f>
        <v/>
      </c>
      <c r="BT142" s="52" t="str">
        <f>IF(Atletas!R138="","",IF(Atletas!W138&lt;&gt;"",10000,0)+IF(Atletas!B138="Feminino",1000,IF(Atletas!B138="Masculino",2000,""))+IF(Atletas!R138="Gun A",701,IF(Atletas!R138="Qiang A",702,IF(Atletas!R138="Pudao / Guandao A",703,IF(Atletas!R138="Outra Arma Longa A",704,IF(Atletas!R138="Gun B",705,IF(Atletas!R138="Qiang B",706,IF(Atletas!R138="Pudao / Guandao B",707,IF(Atletas!R138="Outra Arma Longa B",708,IF(Atletas!R138="Gun C",709,IF(Atletas!R138="Qiang C",710,IF(Atletas!R138="Pudao / Guandao C",711,IF(Atletas!R138="Outra Arma Longa C",712,IF(Atletas!R138="Gun D",713,IF(Atletas!R138="Qiang D",714,IF(Atletas!R138="Pudao / Guandao D",715,IF(Atletas!R138="Outra Arma Longa D",716,IF(Atletas!R138="Gun E",717,IF(Atletas!R138="Qiang E",718,IF(Atletas!R138="Pudao / Guandao E",719,IF(Atletas!R138="Outra Arma Longa E",720,IF(Atletas!R138="Gun F",721,IF(Atletas!R138="Qiang F",722,IF(Atletas!R138="Pudao / Guandao F",723,IF(Atletas!R138="Outra Arma Longa F",724,"")))))))))))))))))))))))))</f>
        <v/>
      </c>
      <c r="BU142" s="52" t="str">
        <f>IF(Atletas!S138="","",IF(Atletas!W138&lt;&gt;"",10000,0)+IF(Atletas!B138="Feminino",1000,IF(Atletas!B138="Masculino",2000,""))+IF(Atletas!S138="Arma Dupla A",801,IF(Atletas!S138="Arma Maleável A",802,IF(Atletas!S138="Arma Dupla B",803,IF(Atletas!S138="Arma Maleável B",804,IF(Atletas!S138="Arma Dupla C",805,IF(Atletas!S138="Arma Maleável C",806,IF(Atletas!S138="Arma Dupla D",807,IF(Atletas!S138="Arma Maleável D",808,IF(Atletas!S138="Arma Dupla E",809,IF(Atletas!S138="Arma Maleável E",810,IF(Atletas!S138="Arma Dupla F",811,IF(Atletas!S138="Arma Maleável F",812, "")))))))))))))</f>
        <v/>
      </c>
      <c r="BV142" s="52" t="str">
        <f>IF(Atletas!T138="","",IF(Atletas!W138&lt;&gt;"",10000,0)+IF(Atletas!B138="Feminino",1000,IF(Atletas!B138="Masculino",2000,""))+IF(Atletas!T138="Taijijian Yang A",901,IF(Atletas!T138="Taijijian Chen A",902,IF(Atletas!T138="Taijijian Sun A",903,IF(Atletas!T138="Taijijian Wu A",904,IF(Atletas!T138="Taijijian Wu-Hao A",905,IF(Atletas!T138="Taijijian 32 A",906,IF(Atletas!T138="Taijijian 42 A",907,IF(Atletas!T138="Taijijian Yang B",908,IF(Atletas!T138="Taijijian Chen B",909,IF(Atletas!T138="Taijijian Sun B",910,IF(Atletas!T138="Taijijian Wu B",911,IF(Atletas!T138="Taijijian Wu-Hao B",912,IF(Atletas!T138="Taijijian 32 B",913,IF(Atletas!T138="Taijijian 42 B",914,IF(Atletas!T138="Taijijian Yang C",915,IF(Atletas!T138="Taijijian Chen C",916,IF(Atletas!T138="Taijijian Sun C",917,IF(Atletas!T138="Taijijian Wu C",918,IF(Atletas!T138="Taijijian Wu-Hao C",919,IF(Atletas!T138="Taijijian 32 C",920,IF(Atletas!T138="Taijijian 42 C",921,IF(Atletas!T138="Taijijian Yang D",922,IF(Atletas!T138="Taijijian Chen D",923,IF(Atletas!T138="Taijijian Sun D",924,IF(Atletas!T138="Taijijian Wu D",925,IF(Atletas!T138="Taijijian Wu-Hao D",926,IF(Atletas!T138="Taijijian 32 D",927,IF(Atletas!T138="Taijijian 42 D",928,IF(Atletas!T138="Taijijian Yang E",929,IF(Atletas!T138="Taijijian Chen E",930,IF(Atletas!T138="Taijijian Sun E",931,IF(Atletas!T138="Taijijian Wu E",932,IF(Atletas!T138="Taijijian Wu-Hao E",933,IF(Atletas!T138="Taijijian 32 E",934,IF(Atletas!T138="Taijijian 42 E",935,IF(Atletas!T138="Taijijian Yang F",936,IF(Atletas!T138="Taijijian Chen F",937,IF(Atletas!T138="Taijijian Sun F",938,IF(Atletas!T138="Taijijian Wu F",939,IF(Atletas!T138="Taijijian Wu-Hao F",940,IF(Atletas!T138="Taijijian 32 F",941,IF(Atletas!T138="Taijijian 42 F",942,"")))))))))))))))))))))))))))))))))))))))))))</f>
        <v/>
      </c>
      <c r="BW142" s="52" t="str">
        <f>IF(Atletas!U138="","",IF(Atletas!W138&lt;&gt;"",10000,0)+IF(Atletas!B138="Feminino",1000,IF(Atletas!B138="Masculino",2000,""))+IF(Atletas!T138="Taijijian 42 F",942,IF(Atletas!U138="Taijidao A",943,IF(Atletas!U138="Taijishan A",944,IF(Atletas!U138="Taijiqiang A",945,IF(Atletas!U138="Taijidao B",946,IF(Atletas!U138="Taijishan B",947,IF(Atletas!U138="Taijiqiang B",948,IF(Atletas!U138="Taijidao C",949,IF(Atletas!U138="Taijishan C",950,IF(Atletas!U138="Taijiqiang C",951,IF(Atletas!U138="Taijidao D",952,IF(Atletas!U138="Taijishan D",953,IF(Atletas!U138="Taijiqiang D",954,IF(Atletas!U138="Taijidao E",955,IF(Atletas!U138="Taijishan E",956,IF(Atletas!U138="Taijiqiang E",957,IF(Atletas!U138="Taijidao F",958,IF(Atletas!U138="Taijishan F",959,IF(Atletas!U138="Taijiqiang F",960))))))))))))))))))))</f>
        <v/>
      </c>
      <c r="BX142" s="72" t="str">
        <f>IF(BY142&lt;&gt;"","TJQ Trad. Wu B","")</f>
        <v/>
      </c>
      <c r="BY142" s="72" t="str">
        <f>IF(COUNTIF(BK:BW,1310)&gt;0,COUNTIF(BK:BW,1310),"")</f>
        <v/>
      </c>
      <c r="BZ142" s="72" t="str">
        <f>IF(CA142&lt;&gt;"","TJQ Trad. Wu B","")</f>
        <v/>
      </c>
      <c r="CA142" s="72" t="str">
        <f>IF(COUNTIF(BK:BW,2310)&gt;0,COUNTIF(BK:BW,2310),"")</f>
        <v/>
      </c>
      <c r="CB142" s="72" t="str">
        <f>IF(CC142&lt;&gt;"","Wu B","")</f>
        <v/>
      </c>
      <c r="CC142" s="64" t="str">
        <f>IF(COUNTIF(BK:BW,11310)&gt;0,COUNTIF(BK:BW,11310),"")</f>
        <v/>
      </c>
      <c r="CD142" s="64" t="str">
        <f>IF(CE142&lt;&gt;"","Wu B","")</f>
        <v/>
      </c>
      <c r="CE142" s="64" t="str">
        <f>IF(COUNTIF(BK:BW,12310)&gt;0,COUNTIF(BK:BW,12310),"")</f>
        <v/>
      </c>
      <c r="CF142" s="52" t="str">
        <f xml:space="preserve"> IF(Atletas!V138="","",IF(Atletas!V138="Duilian de Mãos AB - Equipe 1",1,IF(Atletas!V138="Duilian de Mãos AB - Equipe 2",2,IF(Atletas!V138="Duilian de Armas AB - Equipe 1",3,IF(Atletas!V138="Duilian de Armas AB - Equipe 2",4,IF(Atletas!V138="Duilian de Tuishou - Equipe 1",5,IF(Atletas!V138="Duilian de Tuishou - Equipe 2",6,IF(Atletas!V138="Grupo Externo AB - Equipe 1",7,IF(Atletas!V138="Grupo Externo AB - Equipe 2",8,IF(Atletas!V138="Grupo Interno AB - Equipe 1",9,IF(Atletas!V138="Grupo Interno AB - Equipe 2",10,IF(Atletas!V138="Duilian de Mãos CD - Equipe 1",11,IF(Atletas!V138="Duilian de Mãos CD - Equipe 2",12,IF(Atletas!V138="Duilian de Armas CD - Equipe 1",13,IF(Atletas!V138="Duilian de Armas CD - Equipe 2",14,IF(Atletas!V138="Duilian de Tuishou - Equipe 1",15,IF(Atletas!V138="Duilian de Tuishou - Equipe 2",16,IF(Atletas!V138="Grupo Externo CDEF - Equipe 1",17,IF(Atletas!V138="Grupo Externo CDEF - Equipe 2",18,IF(Atletas!V138="Grupo Interno CDEF - Equipe 1",19,IF(Atletas!V138="Grupo Interno CDEF - Equipe 2",20,IF(Atletas!V138="Duilian de Mãos EF - Equipe 1",21,IF(Atletas!V138="Duilian de Mãos EF - Equipe 2",22,IF(Atletas!V138="Duilian de Armas EF - Equipe 1",23,IF(Atletas!V138="Duilian de Armas EF - Equipe 2",24,IF(Atletas!V138="Duilian de Tuishou - Equipe 1",25,IF(Atletas!V138="Duilian de Tuishou - Equipe 2",26,"")))))))))))))))))))))))))))</f>
        <v/>
      </c>
    </row>
    <row r="143" spans="2:84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 t="str">
        <f t="array" ref="V143">IFERROR(INDEX(BX$7:BX$336,SMALL(IF(BX$7:BX$336&lt;&gt;"",ROW(BX$7:BX$336)-ROW(BX$7)+1),ROWS(BX$7:BX142))),"")</f>
        <v/>
      </c>
      <c r="W143" s="4" t="str">
        <f t="array" ref="W143">IFERROR(INDEX(BY$7:BY$336,SMALL(IF(BY$7:BY$336&lt;&gt;"",ROW(BY$7:BY$336)-ROW(BY$7)+1),ROWS(BY$7:BY142))),"")</f>
        <v/>
      </c>
      <c r="X143" s="4" t="str">
        <f t="array" ref="X143">IFERROR(INDEX(BZ$7:BZ$336,SMALL(IF(BZ$7:BZ$336&lt;&gt;"",ROW(BZ$7:BZ$336)-ROW(BZ$7)+1),ROWS(BZ$7:BZ142))),"")</f>
        <v/>
      </c>
      <c r="Y143" s="4" t="str">
        <f t="array" ref="Y143">IFERROR(INDEX(CA$7:CA$336,SMALL(IF(CA$7:CA$336&lt;&gt;"",ROW(CA$7:CA$336)-ROW(CA$7)+1),ROWS(CA$7:CA142))),"")</f>
        <v/>
      </c>
      <c r="Z143" s="4" t="str">
        <f t="array" ref="Z143">IFERROR(INDEX(CB$7:CB$378,SMALL(IF(CB$7:CB$378&lt;&gt;"",ROW(CB$7:CB$378)-ROW(CB$7)+1),ROWS(CB$7:CB142))),"")</f>
        <v/>
      </c>
      <c r="AA143" s="4" t="str">
        <f t="array" ref="AA143">IFERROR(INDEX(CC$7:CC$378,SMALL(IF(CC$7:CC$378&lt;&gt;"",ROW(CC$7:CC$378)-ROW(CC$7)+1),ROWS(CC$7:CC142))),"")</f>
        <v/>
      </c>
      <c r="AB143" s="4" t="str">
        <f t="array" ref="AB143">IFERROR(INDEX(CD$7:CD$378,SMALL(IF(CD$7:CD$378&lt;&gt;"",ROW(CD$7:CD$378)-ROW(CD$7)+1),ROWS(CD$7:CD142))),"")</f>
        <v/>
      </c>
      <c r="AC143" s="4" t="str">
        <f t="array" ref="AC143">IFERROR(INDEX(CE$7:CE$378,SMALL(IF(CE$7:CE$378&lt;&gt;"",ROW(CE$7:CE$378)-ROW(CE$7)+1),ROWS(CE$7:CE142))),"")</f>
        <v/>
      </c>
      <c r="AD143" s="4"/>
      <c r="AE143" s="4"/>
      <c r="AF143" s="4"/>
      <c r="AG143" s="4"/>
      <c r="AH143" s="4"/>
      <c r="AI143" s="4"/>
      <c r="AJ143" s="46" t="str">
        <f>IF(Atletas!D139="","",IF(Atletas!B139="Feminino",100,IF(Atletas!B139="Masculino",200,""))+(IF(Atletas!D139="Infantil 39kg",1,IF(Atletas!D139="Infantil 42kg",2,IF(Atletas!D139="Infantil 45kg",3,IF(Atletas!D139="Infantil 48kg",4,IF(Atletas!D139="Infantil 52kg",5,IF(Atletas!D139="Infantil 56kg",6,IF(Atletas!D139="Infantil 60kg",7,IF(Atletas!D139="Juvenil 48kg",8,IF(Atletas!D139="Juvenil 52kg",9,IF(Atletas!D139="Juvenil 56kg",10,IF(Atletas!D139="Juvenil 60kg",11,IF(Atletas!D139="Juvenil 65kg",12,IF(Atletas!D139="Juvenil 70kg",13,IF(Atletas!D139="Juvenil 75kg",14,IF(Atletas!D139="Juvenil 80kg",15,IF(Atletas!D139="Adulto 48kg",16,IF(Atletas!D139="Adulto 52kg",17,IF(Atletas!D139="Adulto 56kg",18,IF(Atletas!D139="Adulto 60kg",19,IF(Atletas!D139="Adulto 65kg",20,IF(Atletas!D139="Adulto 70kg",21,IF(Atletas!D139="Adulto 75kg",22,IF(Atletas!D139="Adulto 80kg",23,IF(Atletas!D139="Adulto 85kg",24,IF(Atletas!D139="Adulto 90kg",25,IF(Atletas!D139="Adulto +90kg",26,""))))))))))))))))))))))))))))</f>
        <v/>
      </c>
      <c r="AO143" s="10" t="str">
        <f>IF(Atletas!E139="","",IF(Atletas!B139="Feminino",100,IF(Atletas!B139="Masculino",200,""))+(IF(Atletas!E139="Juvenil 44kg",1,IF(Atletas!E139="Juvenil 48kg",2,IF(Atletas!E139="Juvenil 52kg",3,IF(Atletas!E139="Juvenil 56kg",4,IF(Atletas!E139="Juvenil 60kg",5,IF(Atletas!E139="Juvenil 65kg",6,IF(Atletas!E139="Juvenil 70kg",7,IF(Atletas!E139="Juvenil 75kg",8,IF(Atletas!E139="Juvenil 82kg",9,IF(Atletas!E139="Juvenil 90kg",10,IF(Atletas!E139="Juvenil 100kg",11,IF(Atletas!E139="Adulto 48kg",12,IF(Atletas!E139="Adulto 52kg",13,IF(Atletas!E139="Adulto 56kg",14,IF(Atletas!E139="Adulto 60kg",15,IF(Atletas!E139="Adulto 65kg",16,IF(Atletas!E139="Adulto 70kg",17,IF(Atletas!E139="Adulto 75kg",18,IF(Atletas!E139="Adulto 82kg",19,IF(Atletas!E139="Adulto 90kg",20,IF(Atletas!E139="Adulto 100kg",21,IF(Atletas!E139="Adulto +100kg",22,""))))))))))))))))))))))))</f>
        <v/>
      </c>
      <c r="AT143" s="10" t="str">
        <f>IF(Atletas!F139="","",IF(Atletas!B139="Feminino",100,IF(Atletas!B139="Masculino",200,""))+(IF(Atletas!F139="Adulto 48kg",1,IF(Atletas!F139="Adulto 56kg",2,IF(Atletas!F139="Adulto 65kg",3,IF(Atletas!F139="Adulto 75kg",4,IF(Atletas!F139="Adulto +75kg",5,IF(Atletas!F139="Adulto 52kg",6,IF(Atletas!F139="Adulto 60kg",7,IF(Atletas!F139="Adulto 70kg",8,IF(Atletas!F139="Adulto 80kg",9,IF(Atletas!F139="Adulto 90kg",10,IF(Atletas!F139="Adulto +90kg",11,"")))))))))))))</f>
        <v/>
      </c>
      <c r="AY143" s="46" t="str">
        <f>IF(Atletas!G139="","",IF(Atletas!B139="Feminino",100,IF(Atletas!B139="Masculino",200,""))+(IF(Atletas!G139="Changquan Mirim",1,IF(Atletas!G139="Nanquan Mirim",2,IF(Atletas!G139="Taijiquan Mirim",3,IF(Atletas!G139="Changquan Grupo C",4,IF(Atletas!G139="Nanquan Grupo C",5,IF(Atletas!G139="Taijiquan Grupo C",6,IF(Atletas!G139="Changquan Grupo B",7,IF(Atletas!G139="Nanquan Grupo B",8,IF(Atletas!G139="Taijiquan Grupo B",9,IF(Atletas!G139="Changquan Grupo A",10,IF(Atletas!G139="Nanquan Grupo A",11,IF(Atletas!G139="Taijiquan Grupo A",12,IF(Atletas!G139="Changquan Opcional",13,IF(Atletas!G139="Nanquan Opcional",14,IF(Atletas!G139="Taijiquan Opcional",15,IF(Atletas!G139="Changquan Adulto",16,IF(Atletas!G139="Nanquan Adulto",17,IF(Atletas!G139="Taijiquan Adulto",18,""))))))))))))))))))))</f>
        <v/>
      </c>
      <c r="AZ143" s="46" t="str">
        <f>IF(Atletas!H139="","",IF(Atletas!B139="Feminino",100,IF(Atletas!B139="Masculino",200,""))+(IF(Atletas!H139="Daoshu Mirim",19,IF(Atletas!H139="Jianshu Mirim",20,IF(Atletas!H139="Nandao Mirim",21,IF(Atletas!H139="Taijijian Mirim",22,IF(Atletas!H139="Daoshu Grupo C",23,IF(Atletas!H139="Jianshu Grupo C",24,IF(Atletas!H139="Nandao Grupo C",25,IF(Atletas!H139="Taijijian Grupo C",26,IF(Atletas!H139="Daoshu Grupo B",27,IF(Atletas!H139="Jianshu Grupo B",28,IF(Atletas!H139="Nandao Grupo B",29,IF(Atletas!H139="Taijijian Grupo B",30,IF(Atletas!H139="Daoshu Grupo A",31,IF(Atletas!H139="Jianshu Grupo A",32,IF(Atletas!H139="Nandao Grupo A",33,IF(Atletas!H139="Taijijian Grupo A",34,IF(Atletas!H139="Daoshu Opcional",35,IF(Atletas!H139="Jianshu Opcional",36,IF(Atletas!H139="Nandao Opcional",37,IF(Atletas!H139="Taijijian Opcional",38,IF(Atletas!H139="Daoshu Adulto",39,IF(Atletas!H139="Jianshu Adulto",40,IF(Atletas!H139="Nandao Adulto",41,IF(Atletas!H139="Taijijian Adulto",42,""))))))))))))))))))))))))))</f>
        <v/>
      </c>
      <c r="BA143" s="46" t="str">
        <f>IF(Atletas!I139="","",IF(Atletas!B139="Feminino",100,IF(Atletas!B139="Masculino",200,""))+(IF(Atletas!I139="Gunshu Mirim",43,IF(Atletas!I139="Qiangshu Mirim",44,IF(Atletas!I139="Nangun Mirim",45,IF(Atletas!I139="Gunshu Grupo C",46,IF(Atletas!I139="Qiangshu Grupo C",47,IF(Atletas!I139="Nangun Grupo C",48,IF(Atletas!I139="Gunshu Grupo B",49,IF(Atletas!I139="Qiangshu Grupo B",50,IF(Atletas!I139="Nangun Grupo B",51,IF(Atletas!I139="Gunshu Grupo A",52,IF(Atletas!I139="Qiangshu Grupo A",53,IF(Atletas!I139="Nangun Grupo A",54,IF(Atletas!I139="Gunshu Opcional",55,IF(Atletas!I139="Qiangshu Opcional",56,IF(Atletas!I139="Nangun Opcional",57,IF(Atletas!I139="Gunshu Adulto",58,IF(Atletas!I139="Qiangshu Adulto",59,IF(Atletas!I139="Nangun Adulto",60,""))))))))))))))))))))</f>
        <v/>
      </c>
      <c r="BF143" s="52" t="str">
        <f>IF(Atletas!J139="","",IF(Atletas!B139="Feminino",100,IF(Atletas!B139="Masculino",200,""))+(IF(Atletas!J139="Equipe 1 Grupo B",1,IF(Atletas!J139="Equipe 2 Grupo B",2,IF(Atletas!J139="Equipe 1 Grupo A",3,IF(Atletas!J139="Equipe 2 Grupo A",4,IF(Atletas!J139="Equipe 1 Adulto",5,IF(Atletas!J139="Equipe 2 Adulto",6,""))))))))</f>
        <v/>
      </c>
      <c r="BK143" s="52" t="str">
        <f>IF(Atletas!K139="","",IF(Atletas!W139&lt;&gt;"",10000,0)+(IF(Atletas!B139="Feminino",1000,IF(Atletas!B139="Masculino",2000,""))+IF(Atletas!K139="Choylayfut A",1,IF(Atletas!K139="Hunggar A",2,IF(Atletas!K139="Wuzuquan A",3,IF(Atletas!K139="Wingchun A",4,IF(Atletas!K139="Outra Mão de Sul A",5,IF(Atletas!K139="Choylayfut B",6,IF(Atletas!K139="Hunggar B",7,IF(Atletas!K139="Wuzuquan B",8,IF(Atletas!K139="Wingchun B",9,IF(Atletas!K139="Outra Mão de Sul B",10,IF(Atletas!K139="Choylayfut C",11,IF(Atletas!K139="Hunggar C",12,IF(Atletas!K139="Wuzuquan C",13,IF(Atletas!K139="Wingchun C",14,IF(Atletas!K139="Outra Mão de Sul C",15,IF(Atletas!K139="Choylayfut D",16,IF(Atletas!K139="Hunggar D",17,IF(Atletas!K139="Wuzuquan D",18,IF(Atletas!K139="Wingchun D",19,IF(Atletas!K139="Outra Mão de Sul D",20,IF(Atletas!K139="Choylayfut E",21,IF(Atletas!K139="Hunggar E",22,IF(Atletas!K139="Wuzuquan E",23,IF(Atletas!K139="Wingchun E",24,IF(Atletas!K139="Outra Mão de Sul E",25,IF(Atletas!K139="Choylayfut F",26,IF(Atletas!K139="Hunggar F",27,IF(Atletas!K139="Wuzuquan F",28,IF(Atletas!K139="Wingchun F",29,IF(Atletas!K139="Outra Mão de Sul F",30,""))))))))))))))))))))))))))))))))</f>
        <v/>
      </c>
      <c r="BL143" s="52" t="str">
        <f>IF(Atletas!L139="","",IF(Atletas!W139&lt;&gt;"",10000,0)+(IF(Atletas!B139="Feminino",1000,IF(Atletas!B139="Masculino",2000,""))+(IF(Atletas!L139="Chaquan A",101,IF(Atletas!L139="Emeiquan A",102,IF(Atletas!L139="Fanziquan A",103,IF(Atletas!L139="Huaquan A",104,IF(Atletas!L139="Hongquan A",105,IF(Atletas!L139="Paochui A",106,IF(Atletas!L139="Piguaquan A",107,IF(Atletas!L139="Shaolinquan A",108,IF(Atletas!L139="Tanglangquan A",109,IF(Atletas!L139="Yinzhaophai A",110,IF(Atletas!L139="Tongbeiquan A",111,IF(Atletas!L139="Wudangquan A",112,IF(Atletas!L139="Outros Estilos A",113,IF(Atletas!L139="Chaquan B",114,IF(Atletas!L139="Emeiquan B",115,IF(Atletas!L139="Fanziquan B",116,IF(Atletas!L139="Huaquan B",117,IF(Atletas!L139="Hongquan B",118,IF(Atletas!L139="Paochui B",119,IF(Atletas!L139="Piguaquan B",120,IF(Atletas!L139="Shaolinquan B",121,IF(Atletas!L139="Tanglangquan B",122,IF(Atletas!L139="Yinzhaophai B",123,IF(Atletas!L139="Tongbeiquan B",124,IF(Atletas!L139="Wudangquan B",125,IF(Atletas!L139="Outros Estilos B",126,IF(Atletas!L139="Chaquan C",127,IF(Atletas!L139="Emeiquan C",128,IF(Atletas!L139="Fanziquan C",129,IF(Atletas!L139="Huaquan C",130,IF(Atletas!L139="Hongquan C",131,IF(Atletas!L139="Paochui C",132,IF(Atletas!L139="Piguaquan C",133,IF(Atletas!L139="Shaolinquan C",134,IF(Atletas!L139="Tanglangquan C",135,IF(Atletas!L139="Yinzhaophai C",136,IF(Atletas!L139="Tongbeiquan C",137,IF(Atletas!L139="Wudangquan C",138,IF(Atletas!L139="Outros Estilos C",139,0))))))))))))))))))))))))))))))))))))))))))</f>
        <v/>
      </c>
      <c r="BM143" s="52" t="str">
        <f>IF(Atletas!L139="","",IF(Atletas!W139&lt;&gt;"",10000,0)+(IF(Atletas!B139="Feminino",1000,IF(Atletas!B139="Masculino",2000,""))+(IF(Atletas!L139="Chaquan D",140,IF(Atletas!L139="Emeiquan D",141,IF(Atletas!L139="Fanziquan D",142,IF(Atletas!L139="Huaquan D",143,IF(Atletas!L139="Hongquan D",144,IF(Atletas!L139="Paochui D",145,IF(Atletas!L139="Piguaquan D",146,IF(Atletas!L139="Shaolinquan D",147,IF(Atletas!L139="Tanglangquan D",148,IF(Atletas!L139="Yinzhaophai D",149,IF(Atletas!L139="Tongbeiquan D",150,IF(Atletas!L139="Wudangquan D",151,IF(Atletas!L139="Outros Estilos D",152,IF(Atletas!L139="Chaquan E",153,IF(Atletas!L139="Emeiquan E",154,IF(Atletas!L139="Fanziquan E",155,IF(Atletas!L139="Huaquan E",156,IF(Atletas!L139="Hongquan E",157,IF(Atletas!L139="Paochui E",158,IF(Atletas!L139="Piguaquan E",159,IF(Atletas!L139="Shaolinquan E",160,IF(Atletas!L139="Tanglangquan E",161,IF(Atletas!L139="Yinzhaophai E",162,IF(Atletas!L139="Tongbeiquan E",163,IF(Atletas!L139="Wudangquan E",164,IF(Atletas!L139="Outros Estilos E",165,IF(Atletas!L139="Chaquan F",166,IF(Atletas!L139="Emeiquan F",167,IF(Atletas!L139="Fanziquan F",168,IF(Atletas!L139="Huaquan F",169,IF(Atletas!L139="Hongquan F",170,IF(Atletas!L139="Paochui F",171,IF(Atletas!L139="Piguaquan F",172,IF(Atletas!L139="Shaolinquan F",173,IF(Atletas!L139="Tanglangquan F",174,IF(Atletas!L139="Yinzhaophai F",175,IF(Atletas!L139="Tongbeiquan F",176,IF(Atletas!L139="Wudangquan F",177,IF(Atletas!L139="Outros Estilos F",178,0))))))))))))))))))))))))))))))))))))))))))</f>
        <v/>
      </c>
      <c r="BN143" s="52" t="str">
        <f>IF(Atletas!M139="","",IF(Atletas!W139&lt;&gt;"",10000,0)+(IF(Atletas!B139="Feminino",1000,IF(Atletas!B139="Masculino",2000,""))+(IF(Atletas!M139="Ditangquan A",201,IF(Atletas!M139="Houquan A",202,IF(Atletas!M139="Zuiquan A",203,IF(Atletas!M139="Ditangquan B",204,IF(Atletas!M139="Houquan B",205,IF(Atletas!M139="Zuiquan B",206,IF(Atletas!M139="Ditangquan C",207,IF(Atletas!M139="Houquan C",208,IF(Atletas!M139="Zuiquan C",209,IF(Atletas!M139="Ditangquan D",210,IF(Atletas!M139="Houquan D",211,IF(Atletas!M139="Zuiquan D",212,IF(Atletas!M139="Ditangquan E",213,IF(Atletas!M139="Houquan E",214,IF(Atletas!M139="Zuiquan E",215,IF(Atletas!M139="Ditangquan F",216,IF(Atletas!M139="Houquan F",217,IF(Atletas!M139="Zuiquan F",218,"")))))))))))))))))))))</f>
        <v/>
      </c>
      <c r="BO143" s="52" t="str">
        <f>IF(Atletas!N139="","",IF(Atletas!W139&lt;&gt;"",10000,0)+IF(Atletas!B139="Feminino",1000,IF(Atletas!B139="Masculino",2000,""))+IF(Atletas!N139="Yang A",301,IF(Atletas!N139="Chen A",30,IF(Atletas!N139="Sun A",303,IF(Atletas!N139="Wu A",304,IF(Atletas!N139="Wu-Hao A",305,IF(Atletas!N139="Outro Taijiquan A",306,IF(Atletas!N139="Yang B",307,IF(Atletas!N139="Chen B",308,IF(Atletas!N139="Sun B",309,IF(Atletas!N139="Wu B",310,IF(Atletas!N139="Wu-Hao B",311,IF(Atletas!N139="Outro Taijiquan B",312,IF(Atletas!N139="Yang C",313,IF(Atletas!N139="Chen C",314,IF(Atletas!N139="Sun C",315,IF(Atletas!N139="Wu C",316,IF(Atletas!N139="Wu-Hao C",317,IF(Atletas!N139="Outro Taijiquan C",318,IF(Atletas!N139="Yang D",319,IF(Atletas!N139="Chen D",320,IF(Atletas!N139="Sun D",321,IF(Atletas!N139="Wu D",322,IF(Atletas!N139="Wu-Hao D",323,IF(Atletas!N139="Outro Taijiquan D",324,IF(Atletas!N139="Yang E",325,IF(Atletas!N139="Chen E",326,IF(Atletas!N139="Sun E",327,IF(Atletas!N139="Wu E",328,IF(Atletas!N139="Wu-Hao E",329,IF(Atletas!N139="Outro Taijiquan E",330,IF(Atletas!N139="Yang F",331,IF(Atletas!N139="Chen F",332,IF(Atletas!N139="Sun F",333,IF(Atletas!N139="Wu F",334,IF(Atletas!N139="Wu-Hao F",335,IF(Atletas!N139="Outro Taijiquan F",336,"")))))))))))))))))))))))))))))))))))))</f>
        <v/>
      </c>
      <c r="BP143" s="52" t="str">
        <f>IF(Atletas!O139="","",IF(Atletas!W139&lt;&gt;"",10000,0)+IF(Atletas!B139="Feminino",1000,IF(Atletas!B139="Masculino",2000,""))+IF(OR(Atletas!O139="Yang 26 A",Atletas!O139="Yang 40 A"),401,IF(OR(Atletas!O139="Chen 25 A",Atletas!O139="Chen 36 A",Atletas!O139="Chen 56 A"),402,IF(Atletas!O139="Sun 73 A",403,IF(Atletas!O139="Wu 45 A",404,IF(Atletas!O139="Wu-Hao 46 A",405,IF(OR(Atletas!O139="Taijiquan 16 A",Atletas!O139="Taijiquan 24 A",Atletas!O139="Taijiquan 32 A",Atletas!O139="Taijiquan 42 A"),406,IF(OR(Atletas!O139="Yang 26 B",Atletas!O139="Yang 40 B"),407,IF(OR(Atletas!O139="Chen 25 B",Atletas!O139="Chen 36 B",Atletas!O139="Chen 56 B"),408,IF(Atletas!O139="Sun 73 B",409,IF(Atletas!O139="Wu 45 B",410,IF(Atletas!O139="Wu-Hao 46 B",411,IF(OR(Atletas!O139="Taijiquan 16 B",Atletas!O139="Taijiquan 24 B",Atletas!O139="Taijiquan 32 B",Atletas!O139="Taijiquan 42 B"),412,IF(OR(Atletas!O139="Yang 26 C",Atletas!O139="Yang 40 C"),413,IF(OR(Atletas!O139="Chen 25 C",Atletas!O139="Chen 36 C",Atletas!O139="Chen 56 C"),414,IF(Atletas!O139="Sun 73 C",415,IF(Atletas!O139="Wu 45 C",416,IF(Atletas!O139="Wu-Hao 46 C",417,IF(OR(Atletas!O139="Taijiquan 16 C",Atletas!O139="Taijiquan 24 C",Atletas!O139="Taijiquan 32 C",Atletas!O139="Taijiquan 42 C"),418,0)))))))))))))))))))</f>
        <v/>
      </c>
      <c r="BQ143" s="52" t="str">
        <f>IF(Atletas!O139="","",IF(Atletas!W139&lt;&gt;"",10000,0)+IF(Atletas!B139="Feminino",1000,IF(Atletas!B139="Masculino",2000,""))+IF(OR(Atletas!O139="Yang 26 D",Atletas!O139="Yang 40 D"),419,IF(OR(Atletas!O139="Chen 25 D",Atletas!O139="Chen 36 D",Atletas!O139="Chen 56 D"),420,IF(Atletas!O139="Sun 73 D",421,IF(Atletas!O139="Wu 45 D",422,IF(Atletas!O139="Wu-Hao 46 D",423,IF(OR(Atletas!O139="Taijiquan 16 D",Atletas!O139="Taijiquan 24 D",Atletas!O139="Taijiquan 32 D",Atletas!O139="Taijiquan 42 D"),424,IF(OR(Atletas!O139="Yang 26 E",Atletas!O139="Yang 40 E"),425,IF(OR(Atletas!O139="Chen 25 E",Atletas!O139="Chen 36 E",Atletas!O139="Chen 56 E"),426,IF(Atletas!O139="Sun 73 E",427,IF(Atletas!O139="Wu 45 E",428,IF(Atletas!O139="Wu-Hao 46 E",429,IF(OR(Atletas!O139="Taijiquan 16 E",Atletas!O139="Taijiquan 24 E",Atletas!O139="Taijiquan 32 E",Atletas!O139="Taijiquan 42 E"),430,IF(OR(Atletas!O139="Yang 26 F",Atletas!O139="Yang 40 F"),431,IF(OR(Atletas!O139="Chen 25 F",Atletas!O139="Chen 36 F",Atletas!O139="Chen 56 F"),432,IF(Atletas!O139="Sun 73 F",433,IF(Atletas!O139="Wu 45 F",434,IF(Atletas!O139="Wu-Hao 46 F",435,IF(OR(Atletas!O139="Taijiquan 16 F",Atletas!O139="Taijiquan 24 F",Atletas!O139="Taijiquan 32 F",Atletas!O139="Taijiquan 42 F"),436,0)))))))))))))))))))</f>
        <v/>
      </c>
      <c r="BR143" s="52" t="str">
        <f>IF(Atletas!P139="","",IF(Atletas!W139&lt;&gt;"",10000,0)+IF(Atletas!B139="Feminino",1000,IF(Atletas!B139="Masculino",2000,""))+IF(Atletas!P139="Xingyiquan A",501,IF(Atletas!P139="Baguazhang A",502,IF(Atletas!P139="Outro Estilo Interno A",503,IF(Atletas!P139="Xingyiquan B",504,IF(Atletas!P139="Baguazhang B",505,IF(Atletas!P139="Outro Estilo Interno B",506,IF(Atletas!P139="Xingyiquan C",507,IF(Atletas!P139="Baguazhang C",508,IF(Atletas!P139="Outro Estilo Interno C",509,IF(Atletas!P139="Xingyiquan D",510,IF(Atletas!P139="Baguazhang D",511,IF(Atletas!P139="Outro Estilo Interno D",512,IF(Atletas!P139="Xingyiquan E",513,IF(Atletas!P139="Baguazhang E",514,IF(Atletas!P139="Outro Estilo Interno E",515,IF(Atletas!P139="Xingyiquan F",516,IF(Atletas!P139="Baguazhang F",517,IF(Atletas!P139="Outro Estilo Interno F",518, "")))))))))))))))))))</f>
        <v/>
      </c>
      <c r="BS143" s="52" t="str">
        <f>IF(Atletas!Q139="","",IF(Atletas!W139&lt;&gt;"",10000,0)+IF(Atletas!B139="Feminino",1000,IF(Atletas!B139="Masculino",2000,""))+IF(Atletas!Q139="Dao A",601,IF(Atletas!Q139="Jian A",602,IF(Atletas!Q139="Bishou A",603,IF(Atletas!Q139="Shan A",604,IF(Atletas!Q139="Outra Arma Curta A",605,IF(Atletas!Q139="Dao B",606,IF(Atletas!Q139="Jian B",607,IF(Atletas!Q139="Bishou B",608,IF(Atletas!Q139="Shan B",609,IF(Atletas!Q139="Outra Arma Curta B",610,IF(Atletas!Q139="Dao C",611,IF(Atletas!Q139="Jian C",612,IF(Atletas!Q139="Bishou C",613,IF(Atletas!Q139="Shan C",614,IF(Atletas!Q139="Outra Arma Curta C",615,IF(Atletas!Q139="Dao D",616,IF(Atletas!Q139="Jian D",617,IF(Atletas!Q139="Bishou D",618,IF(Atletas!Q139="Shan D",619,IF(Atletas!Q139="Outra Arma Curta D",620,IF(Atletas!Q139="Dao E",621,IF(Atletas!Q139="Jian E",622,IF(Atletas!Q139="Bishou E",623,IF(Atletas!Q139="Shan E",624,IF(Atletas!Q139="Outra Arma Curta E",625,IF(Atletas!Q139="Dao F",626,IF(Atletas!Q139="Jian F",627,IF(Atletas!Q139="Bishou F",628,IF(Atletas!Q139="Shan F",629,IF(Atletas!Q139="Outra Arma Curta F",630, "")))))))))))))))))))))))))))))))</f>
        <v/>
      </c>
      <c r="BT143" s="52" t="str">
        <f>IF(Atletas!R139="","",IF(Atletas!W139&lt;&gt;"",10000,0)+IF(Atletas!B139="Feminino",1000,IF(Atletas!B139="Masculino",2000,""))+IF(Atletas!R139="Gun A",701,IF(Atletas!R139="Qiang A",702,IF(Atletas!R139="Pudao / Guandao A",703,IF(Atletas!R139="Outra Arma Longa A",704,IF(Atletas!R139="Gun B",705,IF(Atletas!R139="Qiang B",706,IF(Atletas!R139="Pudao / Guandao B",707,IF(Atletas!R139="Outra Arma Longa B",708,IF(Atletas!R139="Gun C",709,IF(Atletas!R139="Qiang C",710,IF(Atletas!R139="Pudao / Guandao C",711,IF(Atletas!R139="Outra Arma Longa C",712,IF(Atletas!R139="Gun D",713,IF(Atletas!R139="Qiang D",714,IF(Atletas!R139="Pudao / Guandao D",715,IF(Atletas!R139="Outra Arma Longa D",716,IF(Atletas!R139="Gun E",717,IF(Atletas!R139="Qiang E",718,IF(Atletas!R139="Pudao / Guandao E",719,IF(Atletas!R139="Outra Arma Longa E",720,IF(Atletas!R139="Gun F",721,IF(Atletas!R139="Qiang F",722,IF(Atletas!R139="Pudao / Guandao F",723,IF(Atletas!R139="Outra Arma Longa F",724,"")))))))))))))))))))))))))</f>
        <v/>
      </c>
      <c r="BU143" s="52" t="str">
        <f>IF(Atletas!S139="","",IF(Atletas!W139&lt;&gt;"",10000,0)+IF(Atletas!B139="Feminino",1000,IF(Atletas!B139="Masculino",2000,""))+IF(Atletas!S139="Arma Dupla A",801,IF(Atletas!S139="Arma Maleável A",802,IF(Atletas!S139="Arma Dupla B",803,IF(Atletas!S139="Arma Maleável B",804,IF(Atletas!S139="Arma Dupla C",805,IF(Atletas!S139="Arma Maleável C",806,IF(Atletas!S139="Arma Dupla D",807,IF(Atletas!S139="Arma Maleável D",808,IF(Atletas!S139="Arma Dupla E",809,IF(Atletas!S139="Arma Maleável E",810,IF(Atletas!S139="Arma Dupla F",811,IF(Atletas!S139="Arma Maleável F",812, "")))))))))))))</f>
        <v/>
      </c>
      <c r="BV143" s="52" t="str">
        <f>IF(Atletas!T139="","",IF(Atletas!W139&lt;&gt;"",10000,0)+IF(Atletas!B139="Feminino",1000,IF(Atletas!B139="Masculino",2000,""))+IF(Atletas!T139="Taijijian Yang A",901,IF(Atletas!T139="Taijijian Chen A",902,IF(Atletas!T139="Taijijian Sun A",903,IF(Atletas!T139="Taijijian Wu A",904,IF(Atletas!T139="Taijijian Wu-Hao A",905,IF(Atletas!T139="Taijijian 32 A",906,IF(Atletas!T139="Taijijian 42 A",907,IF(Atletas!T139="Taijijian Yang B",908,IF(Atletas!T139="Taijijian Chen B",909,IF(Atletas!T139="Taijijian Sun B",910,IF(Atletas!T139="Taijijian Wu B",911,IF(Atletas!T139="Taijijian Wu-Hao B",912,IF(Atletas!T139="Taijijian 32 B",913,IF(Atletas!T139="Taijijian 42 B",914,IF(Atletas!T139="Taijijian Yang C",915,IF(Atletas!T139="Taijijian Chen C",916,IF(Atletas!T139="Taijijian Sun C",917,IF(Atletas!T139="Taijijian Wu C",918,IF(Atletas!T139="Taijijian Wu-Hao C",919,IF(Atletas!T139="Taijijian 32 C",920,IF(Atletas!T139="Taijijian 42 C",921,IF(Atletas!T139="Taijijian Yang D",922,IF(Atletas!T139="Taijijian Chen D",923,IF(Atletas!T139="Taijijian Sun D",924,IF(Atletas!T139="Taijijian Wu D",925,IF(Atletas!T139="Taijijian Wu-Hao D",926,IF(Atletas!T139="Taijijian 32 D",927,IF(Atletas!T139="Taijijian 42 D",928,IF(Atletas!T139="Taijijian Yang E",929,IF(Atletas!T139="Taijijian Chen E",930,IF(Atletas!T139="Taijijian Sun E",931,IF(Atletas!T139="Taijijian Wu E",932,IF(Atletas!T139="Taijijian Wu-Hao E",933,IF(Atletas!T139="Taijijian 32 E",934,IF(Atletas!T139="Taijijian 42 E",935,IF(Atletas!T139="Taijijian Yang F",936,IF(Atletas!T139="Taijijian Chen F",937,IF(Atletas!T139="Taijijian Sun F",938,IF(Atletas!T139="Taijijian Wu F",939,IF(Atletas!T139="Taijijian Wu-Hao F",940,IF(Atletas!T139="Taijijian 32 F",941,IF(Atletas!T139="Taijijian 42 F",942,"")))))))))))))))))))))))))))))))))))))))))))</f>
        <v/>
      </c>
      <c r="BW143" s="52" t="str">
        <f>IF(Atletas!U139="","",IF(Atletas!W139&lt;&gt;"",10000,0)+IF(Atletas!B139="Feminino",1000,IF(Atletas!B139="Masculino",2000,""))+IF(Atletas!T139="Taijijian 42 F",942,IF(Atletas!U139="Taijidao A",943,IF(Atletas!U139="Taijishan A",944,IF(Atletas!U139="Taijiqiang A",945,IF(Atletas!U139="Taijidao B",946,IF(Atletas!U139="Taijishan B",947,IF(Atletas!U139="Taijiqiang B",948,IF(Atletas!U139="Taijidao C",949,IF(Atletas!U139="Taijishan C",950,IF(Atletas!U139="Taijiqiang C",951,IF(Atletas!U139="Taijidao D",952,IF(Atletas!U139="Taijishan D",953,IF(Atletas!U139="Taijiqiang D",954,IF(Atletas!U139="Taijidao E",955,IF(Atletas!U139="Taijishan E",956,IF(Atletas!U139="Taijiqiang E",957,IF(Atletas!U139="Taijidao F",958,IF(Atletas!U139="Taijishan F",959,IF(Atletas!U139="Taijiqiang F",960))))))))))))))))))))</f>
        <v/>
      </c>
      <c r="BX143" s="72" t="str">
        <f>IF(BY143&lt;&gt;"","TJQ Trad. Wu-Hao B","")</f>
        <v/>
      </c>
      <c r="BY143" s="72" t="str">
        <f>IF(COUNTIF(BK:BW,1311)&gt;0,COUNTIF(BK:BW,1311),"")</f>
        <v/>
      </c>
      <c r="BZ143" s="72" t="str">
        <f>IF(CA143&lt;&gt;"","TJQ Trad. Wu-Hao B","")</f>
        <v/>
      </c>
      <c r="CA143" s="72" t="str">
        <f>IF(COUNTIF(BK:BW,2311)&gt;0,COUNTIF(BK:BW,2311),"")</f>
        <v/>
      </c>
      <c r="CB143" s="72" t="str">
        <f>IF(CC143&lt;&gt;"","Wu-Hao B","")</f>
        <v/>
      </c>
      <c r="CC143" s="64" t="str">
        <f>IF(COUNTIF(BK:BW,11311)&gt;0,COUNTIF(BK:BW,11311),"")</f>
        <v/>
      </c>
      <c r="CD143" s="64" t="str">
        <f>IF(CE143&lt;&gt;"","Wu-Hao B","")</f>
        <v/>
      </c>
      <c r="CE143" s="64" t="str">
        <f>IF(COUNTIF(BK:BW,12311)&gt;0,COUNTIF(BK:BW,12311),"")</f>
        <v/>
      </c>
      <c r="CF143" s="52" t="str">
        <f xml:space="preserve"> IF(Atletas!V139="","",IF(Atletas!V139="Duilian de Mãos AB - Equipe 1",1,IF(Atletas!V139="Duilian de Mãos AB - Equipe 2",2,IF(Atletas!V139="Duilian de Armas AB - Equipe 1",3,IF(Atletas!V139="Duilian de Armas AB - Equipe 2",4,IF(Atletas!V139="Duilian de Tuishou - Equipe 1",5,IF(Atletas!V139="Duilian de Tuishou - Equipe 2",6,IF(Atletas!V139="Grupo Externo AB - Equipe 1",7,IF(Atletas!V139="Grupo Externo AB - Equipe 2",8,IF(Atletas!V139="Grupo Interno AB - Equipe 1",9,IF(Atletas!V139="Grupo Interno AB - Equipe 2",10,IF(Atletas!V139="Duilian de Mãos CD - Equipe 1",11,IF(Atletas!V139="Duilian de Mãos CD - Equipe 2",12,IF(Atletas!V139="Duilian de Armas CD - Equipe 1",13,IF(Atletas!V139="Duilian de Armas CD - Equipe 2",14,IF(Atletas!V139="Duilian de Tuishou - Equipe 1",15,IF(Atletas!V139="Duilian de Tuishou - Equipe 2",16,IF(Atletas!V139="Grupo Externo CDEF - Equipe 1",17,IF(Atletas!V139="Grupo Externo CDEF - Equipe 2",18,IF(Atletas!V139="Grupo Interno CDEF - Equipe 1",19,IF(Atletas!V139="Grupo Interno CDEF - Equipe 2",20,IF(Atletas!V139="Duilian de Mãos EF - Equipe 1",21,IF(Atletas!V139="Duilian de Mãos EF - Equipe 2",22,IF(Atletas!V139="Duilian de Armas EF - Equipe 1",23,IF(Atletas!V139="Duilian de Armas EF - Equipe 2",24,IF(Atletas!V139="Duilian de Tuishou - Equipe 1",25,IF(Atletas!V139="Duilian de Tuishou - Equipe 2",26,"")))))))))))))))))))))))))))</f>
        <v/>
      </c>
    </row>
    <row r="144" spans="2:84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 t="str">
        <f t="array" ref="V144">IFERROR(INDEX(BX$7:BX$336,SMALL(IF(BX$7:BX$336&lt;&gt;"",ROW(BX$7:BX$336)-ROW(BX$7)+1),ROWS(BX$7:BX143))),"")</f>
        <v/>
      </c>
      <c r="W144" s="4" t="str">
        <f t="array" ref="W144">IFERROR(INDEX(BY$7:BY$336,SMALL(IF(BY$7:BY$336&lt;&gt;"",ROW(BY$7:BY$336)-ROW(BY$7)+1),ROWS(BY$7:BY143))),"")</f>
        <v/>
      </c>
      <c r="X144" s="4" t="str">
        <f t="array" ref="X144">IFERROR(INDEX(BZ$7:BZ$336,SMALL(IF(BZ$7:BZ$336&lt;&gt;"",ROW(BZ$7:BZ$336)-ROW(BZ$7)+1),ROWS(BZ$7:BZ143))),"")</f>
        <v/>
      </c>
      <c r="Y144" s="4" t="str">
        <f t="array" ref="Y144">IFERROR(INDEX(CA$7:CA$336,SMALL(IF(CA$7:CA$336&lt;&gt;"",ROW(CA$7:CA$336)-ROW(CA$7)+1),ROWS(CA$7:CA143))),"")</f>
        <v/>
      </c>
      <c r="Z144" s="4" t="str">
        <f t="array" ref="Z144">IFERROR(INDEX(CB$7:CB$378,SMALL(IF(CB$7:CB$378&lt;&gt;"",ROW(CB$7:CB$378)-ROW(CB$7)+1),ROWS(CB$7:CB143))),"")</f>
        <v/>
      </c>
      <c r="AA144" s="4" t="str">
        <f t="array" ref="AA144">IFERROR(INDEX(CC$7:CC$378,SMALL(IF(CC$7:CC$378&lt;&gt;"",ROW(CC$7:CC$378)-ROW(CC$7)+1),ROWS(CC$7:CC143))),"")</f>
        <v/>
      </c>
      <c r="AB144" s="4" t="str">
        <f t="array" ref="AB144">IFERROR(INDEX(CD$7:CD$378,SMALL(IF(CD$7:CD$378&lt;&gt;"",ROW(CD$7:CD$378)-ROW(CD$7)+1),ROWS(CD$7:CD143))),"")</f>
        <v/>
      </c>
      <c r="AC144" s="4" t="str">
        <f t="array" ref="AC144">IFERROR(INDEX(CE$7:CE$378,SMALL(IF(CE$7:CE$378&lt;&gt;"",ROW(CE$7:CE$378)-ROW(CE$7)+1),ROWS(CE$7:CE143))),"")</f>
        <v/>
      </c>
      <c r="AD144" s="4"/>
      <c r="AE144" s="4"/>
      <c r="AF144" s="4"/>
      <c r="AG144" s="4"/>
      <c r="AH144" s="4"/>
      <c r="AI144" s="4"/>
      <c r="AJ144" s="46" t="str">
        <f>IF(Atletas!D140="","",IF(Atletas!B140="Feminino",100,IF(Atletas!B140="Masculino",200,""))+(IF(Atletas!D140="Infantil 39kg",1,IF(Atletas!D140="Infantil 42kg",2,IF(Atletas!D140="Infantil 45kg",3,IF(Atletas!D140="Infantil 48kg",4,IF(Atletas!D140="Infantil 52kg",5,IF(Atletas!D140="Infantil 56kg",6,IF(Atletas!D140="Infantil 60kg",7,IF(Atletas!D140="Juvenil 48kg",8,IF(Atletas!D140="Juvenil 52kg",9,IF(Atletas!D140="Juvenil 56kg",10,IF(Atletas!D140="Juvenil 60kg",11,IF(Atletas!D140="Juvenil 65kg",12,IF(Atletas!D140="Juvenil 70kg",13,IF(Atletas!D140="Juvenil 75kg",14,IF(Atletas!D140="Juvenil 80kg",15,IF(Atletas!D140="Adulto 48kg",16,IF(Atletas!D140="Adulto 52kg",17,IF(Atletas!D140="Adulto 56kg",18,IF(Atletas!D140="Adulto 60kg",19,IF(Atletas!D140="Adulto 65kg",20,IF(Atletas!D140="Adulto 70kg",21,IF(Atletas!D140="Adulto 75kg",22,IF(Atletas!D140="Adulto 80kg",23,IF(Atletas!D140="Adulto 85kg",24,IF(Atletas!D140="Adulto 90kg",25,IF(Atletas!D140="Adulto +90kg",26,""))))))))))))))))))))))))))))</f>
        <v/>
      </c>
      <c r="AO144" s="10" t="str">
        <f>IF(Atletas!E140="","",IF(Atletas!B140="Feminino",100,IF(Atletas!B140="Masculino",200,""))+(IF(Atletas!E140="Juvenil 44kg",1,IF(Atletas!E140="Juvenil 48kg",2,IF(Atletas!E140="Juvenil 52kg",3,IF(Atletas!E140="Juvenil 56kg",4,IF(Atletas!E140="Juvenil 60kg",5,IF(Atletas!E140="Juvenil 65kg",6,IF(Atletas!E140="Juvenil 70kg",7,IF(Atletas!E140="Juvenil 75kg",8,IF(Atletas!E140="Juvenil 82kg",9,IF(Atletas!E140="Juvenil 90kg",10,IF(Atletas!E140="Juvenil 100kg",11,IF(Atletas!E140="Adulto 48kg",12,IF(Atletas!E140="Adulto 52kg",13,IF(Atletas!E140="Adulto 56kg",14,IF(Atletas!E140="Adulto 60kg",15,IF(Atletas!E140="Adulto 65kg",16,IF(Atletas!E140="Adulto 70kg",17,IF(Atletas!E140="Adulto 75kg",18,IF(Atletas!E140="Adulto 82kg",19,IF(Atletas!E140="Adulto 90kg",20,IF(Atletas!E140="Adulto 100kg",21,IF(Atletas!E140="Adulto +100kg",22,""))))))))))))))))))))))))</f>
        <v/>
      </c>
      <c r="AT144" s="10" t="str">
        <f>IF(Atletas!F140="","",IF(Atletas!B140="Feminino",100,IF(Atletas!B140="Masculino",200,""))+(IF(Atletas!F140="Adulto 48kg",1,IF(Atletas!F140="Adulto 56kg",2,IF(Atletas!F140="Adulto 65kg",3,IF(Atletas!F140="Adulto 75kg",4,IF(Atletas!F140="Adulto +75kg",5,IF(Atletas!F140="Adulto 52kg",6,IF(Atletas!F140="Adulto 60kg",7,IF(Atletas!F140="Adulto 70kg",8,IF(Atletas!F140="Adulto 80kg",9,IF(Atletas!F140="Adulto 90kg",10,IF(Atletas!F140="Adulto +90kg",11,"")))))))))))))</f>
        <v/>
      </c>
      <c r="AY144" s="46" t="str">
        <f>IF(Atletas!G140="","",IF(Atletas!B140="Feminino",100,IF(Atletas!B140="Masculino",200,""))+(IF(Atletas!G140="Changquan Mirim",1,IF(Atletas!G140="Nanquan Mirim",2,IF(Atletas!G140="Taijiquan Mirim",3,IF(Atletas!G140="Changquan Grupo C",4,IF(Atletas!G140="Nanquan Grupo C",5,IF(Atletas!G140="Taijiquan Grupo C",6,IF(Atletas!G140="Changquan Grupo B",7,IF(Atletas!G140="Nanquan Grupo B",8,IF(Atletas!G140="Taijiquan Grupo B",9,IF(Atletas!G140="Changquan Grupo A",10,IF(Atletas!G140="Nanquan Grupo A",11,IF(Atletas!G140="Taijiquan Grupo A",12,IF(Atletas!G140="Changquan Opcional",13,IF(Atletas!G140="Nanquan Opcional",14,IF(Atletas!G140="Taijiquan Opcional",15,IF(Atletas!G140="Changquan Adulto",16,IF(Atletas!G140="Nanquan Adulto",17,IF(Atletas!G140="Taijiquan Adulto",18,""))))))))))))))))))))</f>
        <v/>
      </c>
      <c r="AZ144" s="46" t="str">
        <f>IF(Atletas!H140="","",IF(Atletas!B140="Feminino",100,IF(Atletas!B140="Masculino",200,""))+(IF(Atletas!H140="Daoshu Mirim",19,IF(Atletas!H140="Jianshu Mirim",20,IF(Atletas!H140="Nandao Mirim",21,IF(Atletas!H140="Taijijian Mirim",22,IF(Atletas!H140="Daoshu Grupo C",23,IF(Atletas!H140="Jianshu Grupo C",24,IF(Atletas!H140="Nandao Grupo C",25,IF(Atletas!H140="Taijijian Grupo C",26,IF(Atletas!H140="Daoshu Grupo B",27,IF(Atletas!H140="Jianshu Grupo B",28,IF(Atletas!H140="Nandao Grupo B",29,IF(Atletas!H140="Taijijian Grupo B",30,IF(Atletas!H140="Daoshu Grupo A",31,IF(Atletas!H140="Jianshu Grupo A",32,IF(Atletas!H140="Nandao Grupo A",33,IF(Atletas!H140="Taijijian Grupo A",34,IF(Atletas!H140="Daoshu Opcional",35,IF(Atletas!H140="Jianshu Opcional",36,IF(Atletas!H140="Nandao Opcional",37,IF(Atletas!H140="Taijijian Opcional",38,IF(Atletas!H140="Daoshu Adulto",39,IF(Atletas!H140="Jianshu Adulto",40,IF(Atletas!H140="Nandao Adulto",41,IF(Atletas!H140="Taijijian Adulto",42,""))))))))))))))))))))))))))</f>
        <v/>
      </c>
      <c r="BA144" s="46" t="str">
        <f>IF(Atletas!I140="","",IF(Atletas!B140="Feminino",100,IF(Atletas!B140="Masculino",200,""))+(IF(Atletas!I140="Gunshu Mirim",43,IF(Atletas!I140="Qiangshu Mirim",44,IF(Atletas!I140="Nangun Mirim",45,IF(Atletas!I140="Gunshu Grupo C",46,IF(Atletas!I140="Qiangshu Grupo C",47,IF(Atletas!I140="Nangun Grupo C",48,IF(Atletas!I140="Gunshu Grupo B",49,IF(Atletas!I140="Qiangshu Grupo B",50,IF(Atletas!I140="Nangun Grupo B",51,IF(Atletas!I140="Gunshu Grupo A",52,IF(Atletas!I140="Qiangshu Grupo A",53,IF(Atletas!I140="Nangun Grupo A",54,IF(Atletas!I140="Gunshu Opcional",55,IF(Atletas!I140="Qiangshu Opcional",56,IF(Atletas!I140="Nangun Opcional",57,IF(Atletas!I140="Gunshu Adulto",58,IF(Atletas!I140="Qiangshu Adulto",59,IF(Atletas!I140="Nangun Adulto",60,""))))))))))))))))))))</f>
        <v/>
      </c>
      <c r="BF144" s="52" t="str">
        <f>IF(Atletas!J140="","",IF(Atletas!B140="Feminino",100,IF(Atletas!B140="Masculino",200,""))+(IF(Atletas!J140="Equipe 1 Grupo B",1,IF(Atletas!J140="Equipe 2 Grupo B",2,IF(Atletas!J140="Equipe 1 Grupo A",3,IF(Atletas!J140="Equipe 2 Grupo A",4,IF(Atletas!J140="Equipe 1 Adulto",5,IF(Atletas!J140="Equipe 2 Adulto",6,""))))))))</f>
        <v/>
      </c>
      <c r="BK144" s="52" t="str">
        <f>IF(Atletas!K140="","",IF(Atletas!W140&lt;&gt;"",10000,0)+(IF(Atletas!B140="Feminino",1000,IF(Atletas!B140="Masculino",2000,""))+IF(Atletas!K140="Choylayfut A",1,IF(Atletas!K140="Hunggar A",2,IF(Atletas!K140="Wuzuquan A",3,IF(Atletas!K140="Wingchun A",4,IF(Atletas!K140="Outra Mão de Sul A",5,IF(Atletas!K140="Choylayfut B",6,IF(Atletas!K140="Hunggar B",7,IF(Atletas!K140="Wuzuquan B",8,IF(Atletas!K140="Wingchun B",9,IF(Atletas!K140="Outra Mão de Sul B",10,IF(Atletas!K140="Choylayfut C",11,IF(Atletas!K140="Hunggar C",12,IF(Atletas!K140="Wuzuquan C",13,IF(Atletas!K140="Wingchun C",14,IF(Atletas!K140="Outra Mão de Sul C",15,IF(Atletas!K140="Choylayfut D",16,IF(Atletas!K140="Hunggar D",17,IF(Atletas!K140="Wuzuquan D",18,IF(Atletas!K140="Wingchun D",19,IF(Atletas!K140="Outra Mão de Sul D",20,IF(Atletas!K140="Choylayfut E",21,IF(Atletas!K140="Hunggar E",22,IF(Atletas!K140="Wuzuquan E",23,IF(Atletas!K140="Wingchun E",24,IF(Atletas!K140="Outra Mão de Sul E",25,IF(Atletas!K140="Choylayfut F",26,IF(Atletas!K140="Hunggar F",27,IF(Atletas!K140="Wuzuquan F",28,IF(Atletas!K140="Wingchun F",29,IF(Atletas!K140="Outra Mão de Sul F",30,""))))))))))))))))))))))))))))))))</f>
        <v/>
      </c>
      <c r="BL144" s="52" t="str">
        <f>IF(Atletas!L140="","",IF(Atletas!W140&lt;&gt;"",10000,0)+(IF(Atletas!B140="Feminino",1000,IF(Atletas!B140="Masculino",2000,""))+(IF(Atletas!L140="Chaquan A",101,IF(Atletas!L140="Emeiquan A",102,IF(Atletas!L140="Fanziquan A",103,IF(Atletas!L140="Huaquan A",104,IF(Atletas!L140="Hongquan A",105,IF(Atletas!L140="Paochui A",106,IF(Atletas!L140="Piguaquan A",107,IF(Atletas!L140="Shaolinquan A",108,IF(Atletas!L140="Tanglangquan A",109,IF(Atletas!L140="Yinzhaophai A",110,IF(Atletas!L140="Tongbeiquan A",111,IF(Atletas!L140="Wudangquan A",112,IF(Atletas!L140="Outros Estilos A",113,IF(Atletas!L140="Chaquan B",114,IF(Atletas!L140="Emeiquan B",115,IF(Atletas!L140="Fanziquan B",116,IF(Atletas!L140="Huaquan B",117,IF(Atletas!L140="Hongquan B",118,IF(Atletas!L140="Paochui B",119,IF(Atletas!L140="Piguaquan B",120,IF(Atletas!L140="Shaolinquan B",121,IF(Atletas!L140="Tanglangquan B",122,IF(Atletas!L140="Yinzhaophai B",123,IF(Atletas!L140="Tongbeiquan B",124,IF(Atletas!L140="Wudangquan B",125,IF(Atletas!L140="Outros Estilos B",126,IF(Atletas!L140="Chaquan C",127,IF(Atletas!L140="Emeiquan C",128,IF(Atletas!L140="Fanziquan C",129,IF(Atletas!L140="Huaquan C",130,IF(Atletas!L140="Hongquan C",131,IF(Atletas!L140="Paochui C",132,IF(Atletas!L140="Piguaquan C",133,IF(Atletas!L140="Shaolinquan C",134,IF(Atletas!L140="Tanglangquan C",135,IF(Atletas!L140="Yinzhaophai C",136,IF(Atletas!L140="Tongbeiquan C",137,IF(Atletas!L140="Wudangquan C",138,IF(Atletas!L140="Outros Estilos C",139,0))))))))))))))))))))))))))))))))))))))))))</f>
        <v/>
      </c>
      <c r="BM144" s="52" t="str">
        <f>IF(Atletas!L140="","",IF(Atletas!W140&lt;&gt;"",10000,0)+(IF(Atletas!B140="Feminino",1000,IF(Atletas!B140="Masculino",2000,""))+(IF(Atletas!L140="Chaquan D",140,IF(Atletas!L140="Emeiquan D",141,IF(Atletas!L140="Fanziquan D",142,IF(Atletas!L140="Huaquan D",143,IF(Atletas!L140="Hongquan D",144,IF(Atletas!L140="Paochui D",145,IF(Atletas!L140="Piguaquan D",146,IF(Atletas!L140="Shaolinquan D",147,IF(Atletas!L140="Tanglangquan D",148,IF(Atletas!L140="Yinzhaophai D",149,IF(Atletas!L140="Tongbeiquan D",150,IF(Atletas!L140="Wudangquan D",151,IF(Atletas!L140="Outros Estilos D",152,IF(Atletas!L140="Chaquan E",153,IF(Atletas!L140="Emeiquan E",154,IF(Atletas!L140="Fanziquan E",155,IF(Atletas!L140="Huaquan E",156,IF(Atletas!L140="Hongquan E",157,IF(Atletas!L140="Paochui E",158,IF(Atletas!L140="Piguaquan E",159,IF(Atletas!L140="Shaolinquan E",160,IF(Atletas!L140="Tanglangquan E",161,IF(Atletas!L140="Yinzhaophai E",162,IF(Atletas!L140="Tongbeiquan E",163,IF(Atletas!L140="Wudangquan E",164,IF(Atletas!L140="Outros Estilos E",165,IF(Atletas!L140="Chaquan F",166,IF(Atletas!L140="Emeiquan F",167,IF(Atletas!L140="Fanziquan F",168,IF(Atletas!L140="Huaquan F",169,IF(Atletas!L140="Hongquan F",170,IF(Atletas!L140="Paochui F",171,IF(Atletas!L140="Piguaquan F",172,IF(Atletas!L140="Shaolinquan F",173,IF(Atletas!L140="Tanglangquan F",174,IF(Atletas!L140="Yinzhaophai F",175,IF(Atletas!L140="Tongbeiquan F",176,IF(Atletas!L140="Wudangquan F",177,IF(Atletas!L140="Outros Estilos F",178,0))))))))))))))))))))))))))))))))))))))))))</f>
        <v/>
      </c>
      <c r="BN144" s="52" t="str">
        <f>IF(Atletas!M140="","",IF(Atletas!W140&lt;&gt;"",10000,0)+(IF(Atletas!B140="Feminino",1000,IF(Atletas!B140="Masculino",2000,""))+(IF(Atletas!M140="Ditangquan A",201,IF(Atletas!M140="Houquan A",202,IF(Atletas!M140="Zuiquan A",203,IF(Atletas!M140="Ditangquan B",204,IF(Atletas!M140="Houquan B",205,IF(Atletas!M140="Zuiquan B",206,IF(Atletas!M140="Ditangquan C",207,IF(Atletas!M140="Houquan C",208,IF(Atletas!M140="Zuiquan C",209,IF(Atletas!M140="Ditangquan D",210,IF(Atletas!M140="Houquan D",211,IF(Atletas!M140="Zuiquan D",212,IF(Atletas!M140="Ditangquan E",213,IF(Atletas!M140="Houquan E",214,IF(Atletas!M140="Zuiquan E",215,IF(Atletas!M140="Ditangquan F",216,IF(Atletas!M140="Houquan F",217,IF(Atletas!M140="Zuiquan F",218,"")))))))))))))))))))))</f>
        <v/>
      </c>
      <c r="BO144" s="52" t="str">
        <f>IF(Atletas!N140="","",IF(Atletas!W140&lt;&gt;"",10000,0)+IF(Atletas!B140="Feminino",1000,IF(Atletas!B140="Masculino",2000,""))+IF(Atletas!N140="Yang A",301,IF(Atletas!N140="Chen A",30,IF(Atletas!N140="Sun A",303,IF(Atletas!N140="Wu A",304,IF(Atletas!N140="Wu-Hao A",305,IF(Atletas!N140="Outro Taijiquan A",306,IF(Atletas!N140="Yang B",307,IF(Atletas!N140="Chen B",308,IF(Atletas!N140="Sun B",309,IF(Atletas!N140="Wu B",310,IF(Atletas!N140="Wu-Hao B",311,IF(Atletas!N140="Outro Taijiquan B",312,IF(Atletas!N140="Yang C",313,IF(Atletas!N140="Chen C",314,IF(Atletas!N140="Sun C",315,IF(Atletas!N140="Wu C",316,IF(Atletas!N140="Wu-Hao C",317,IF(Atletas!N140="Outro Taijiquan C",318,IF(Atletas!N140="Yang D",319,IF(Atletas!N140="Chen D",320,IF(Atletas!N140="Sun D",321,IF(Atletas!N140="Wu D",322,IF(Atletas!N140="Wu-Hao D",323,IF(Atletas!N140="Outro Taijiquan D",324,IF(Atletas!N140="Yang E",325,IF(Atletas!N140="Chen E",326,IF(Atletas!N140="Sun E",327,IF(Atletas!N140="Wu E",328,IF(Atletas!N140="Wu-Hao E",329,IF(Atletas!N140="Outro Taijiquan E",330,IF(Atletas!N140="Yang F",331,IF(Atletas!N140="Chen F",332,IF(Atletas!N140="Sun F",333,IF(Atletas!N140="Wu F",334,IF(Atletas!N140="Wu-Hao F",335,IF(Atletas!N140="Outro Taijiquan F",336,"")))))))))))))))))))))))))))))))))))))</f>
        <v/>
      </c>
      <c r="BP144" s="52" t="str">
        <f>IF(Atletas!O140="","",IF(Atletas!W140&lt;&gt;"",10000,0)+IF(Atletas!B140="Feminino",1000,IF(Atletas!B140="Masculino",2000,""))+IF(OR(Atletas!O140="Yang 26 A",Atletas!O140="Yang 40 A"),401,IF(OR(Atletas!O140="Chen 25 A",Atletas!O140="Chen 36 A",Atletas!O140="Chen 56 A"),402,IF(Atletas!O140="Sun 73 A",403,IF(Atletas!O140="Wu 45 A",404,IF(Atletas!O140="Wu-Hao 46 A",405,IF(OR(Atletas!O140="Taijiquan 16 A",Atletas!O140="Taijiquan 24 A",Atletas!O140="Taijiquan 32 A",Atletas!O140="Taijiquan 42 A"),406,IF(OR(Atletas!O140="Yang 26 B",Atletas!O140="Yang 40 B"),407,IF(OR(Atletas!O140="Chen 25 B",Atletas!O140="Chen 36 B",Atletas!O140="Chen 56 B"),408,IF(Atletas!O140="Sun 73 B",409,IF(Atletas!O140="Wu 45 B",410,IF(Atletas!O140="Wu-Hao 46 B",411,IF(OR(Atletas!O140="Taijiquan 16 B",Atletas!O140="Taijiquan 24 B",Atletas!O140="Taijiquan 32 B",Atletas!O140="Taijiquan 42 B"),412,IF(OR(Atletas!O140="Yang 26 C",Atletas!O140="Yang 40 C"),413,IF(OR(Atletas!O140="Chen 25 C",Atletas!O140="Chen 36 C",Atletas!O140="Chen 56 C"),414,IF(Atletas!O140="Sun 73 C",415,IF(Atletas!O140="Wu 45 C",416,IF(Atletas!O140="Wu-Hao 46 C",417,IF(OR(Atletas!O140="Taijiquan 16 C",Atletas!O140="Taijiquan 24 C",Atletas!O140="Taijiquan 32 C",Atletas!O140="Taijiquan 42 C"),418,0)))))))))))))))))))</f>
        <v/>
      </c>
      <c r="BQ144" s="52" t="str">
        <f>IF(Atletas!O140="","",IF(Atletas!W140&lt;&gt;"",10000,0)+IF(Atletas!B140="Feminino",1000,IF(Atletas!B140="Masculino",2000,""))+IF(OR(Atletas!O140="Yang 26 D",Atletas!O140="Yang 40 D"),419,IF(OR(Atletas!O140="Chen 25 D",Atletas!O140="Chen 36 D",Atletas!O140="Chen 56 D"),420,IF(Atletas!O140="Sun 73 D",421,IF(Atletas!O140="Wu 45 D",422,IF(Atletas!O140="Wu-Hao 46 D",423,IF(OR(Atletas!O140="Taijiquan 16 D",Atletas!O140="Taijiquan 24 D",Atletas!O140="Taijiquan 32 D",Atletas!O140="Taijiquan 42 D"),424,IF(OR(Atletas!O140="Yang 26 E",Atletas!O140="Yang 40 E"),425,IF(OR(Atletas!O140="Chen 25 E",Atletas!O140="Chen 36 E",Atletas!O140="Chen 56 E"),426,IF(Atletas!O140="Sun 73 E",427,IF(Atletas!O140="Wu 45 E",428,IF(Atletas!O140="Wu-Hao 46 E",429,IF(OR(Atletas!O140="Taijiquan 16 E",Atletas!O140="Taijiquan 24 E",Atletas!O140="Taijiquan 32 E",Atletas!O140="Taijiquan 42 E"),430,IF(OR(Atletas!O140="Yang 26 F",Atletas!O140="Yang 40 F"),431,IF(OR(Atletas!O140="Chen 25 F",Atletas!O140="Chen 36 F",Atletas!O140="Chen 56 F"),432,IF(Atletas!O140="Sun 73 F",433,IF(Atletas!O140="Wu 45 F",434,IF(Atletas!O140="Wu-Hao 46 F",435,IF(OR(Atletas!O140="Taijiquan 16 F",Atletas!O140="Taijiquan 24 F",Atletas!O140="Taijiquan 32 F",Atletas!O140="Taijiquan 42 F"),436,0)))))))))))))))))))</f>
        <v/>
      </c>
      <c r="BR144" s="52" t="str">
        <f>IF(Atletas!P140="","",IF(Atletas!W140&lt;&gt;"",10000,0)+IF(Atletas!B140="Feminino",1000,IF(Atletas!B140="Masculino",2000,""))+IF(Atletas!P140="Xingyiquan A",501,IF(Atletas!P140="Baguazhang A",502,IF(Atletas!P140="Outro Estilo Interno A",503,IF(Atletas!P140="Xingyiquan B",504,IF(Atletas!P140="Baguazhang B",505,IF(Atletas!P140="Outro Estilo Interno B",506,IF(Atletas!P140="Xingyiquan C",507,IF(Atletas!P140="Baguazhang C",508,IF(Atletas!P140="Outro Estilo Interno C",509,IF(Atletas!P140="Xingyiquan D",510,IF(Atletas!P140="Baguazhang D",511,IF(Atletas!P140="Outro Estilo Interno D",512,IF(Atletas!P140="Xingyiquan E",513,IF(Atletas!P140="Baguazhang E",514,IF(Atletas!P140="Outro Estilo Interno E",515,IF(Atletas!P140="Xingyiquan F",516,IF(Atletas!P140="Baguazhang F",517,IF(Atletas!P140="Outro Estilo Interno F",518, "")))))))))))))))))))</f>
        <v/>
      </c>
      <c r="BS144" s="52" t="str">
        <f>IF(Atletas!Q140="","",IF(Atletas!W140&lt;&gt;"",10000,0)+IF(Atletas!B140="Feminino",1000,IF(Atletas!B140="Masculino",2000,""))+IF(Atletas!Q140="Dao A",601,IF(Atletas!Q140="Jian A",602,IF(Atletas!Q140="Bishou A",603,IF(Atletas!Q140="Shan A",604,IF(Atletas!Q140="Outra Arma Curta A",605,IF(Atletas!Q140="Dao B",606,IF(Atletas!Q140="Jian B",607,IF(Atletas!Q140="Bishou B",608,IF(Atletas!Q140="Shan B",609,IF(Atletas!Q140="Outra Arma Curta B",610,IF(Atletas!Q140="Dao C",611,IF(Atletas!Q140="Jian C",612,IF(Atletas!Q140="Bishou C",613,IF(Atletas!Q140="Shan C",614,IF(Atletas!Q140="Outra Arma Curta C",615,IF(Atletas!Q140="Dao D",616,IF(Atletas!Q140="Jian D",617,IF(Atletas!Q140="Bishou D",618,IF(Atletas!Q140="Shan D",619,IF(Atletas!Q140="Outra Arma Curta D",620,IF(Atletas!Q140="Dao E",621,IF(Atletas!Q140="Jian E",622,IF(Atletas!Q140="Bishou E",623,IF(Atletas!Q140="Shan E",624,IF(Atletas!Q140="Outra Arma Curta E",625,IF(Atletas!Q140="Dao F",626,IF(Atletas!Q140="Jian F",627,IF(Atletas!Q140="Bishou F",628,IF(Atletas!Q140="Shan F",629,IF(Atletas!Q140="Outra Arma Curta F",630, "")))))))))))))))))))))))))))))))</f>
        <v/>
      </c>
      <c r="BT144" s="52" t="str">
        <f>IF(Atletas!R140="","",IF(Atletas!W140&lt;&gt;"",10000,0)+IF(Atletas!B140="Feminino",1000,IF(Atletas!B140="Masculino",2000,""))+IF(Atletas!R140="Gun A",701,IF(Atletas!R140="Qiang A",702,IF(Atletas!R140="Pudao / Guandao A",703,IF(Atletas!R140="Outra Arma Longa A",704,IF(Atletas!R140="Gun B",705,IF(Atletas!R140="Qiang B",706,IF(Atletas!R140="Pudao / Guandao B",707,IF(Atletas!R140="Outra Arma Longa B",708,IF(Atletas!R140="Gun C",709,IF(Atletas!R140="Qiang C",710,IF(Atletas!R140="Pudao / Guandao C",711,IF(Atletas!R140="Outra Arma Longa C",712,IF(Atletas!R140="Gun D",713,IF(Atletas!R140="Qiang D",714,IF(Atletas!R140="Pudao / Guandao D",715,IF(Atletas!R140="Outra Arma Longa D",716,IF(Atletas!R140="Gun E",717,IF(Atletas!R140="Qiang E",718,IF(Atletas!R140="Pudao / Guandao E",719,IF(Atletas!R140="Outra Arma Longa E",720,IF(Atletas!R140="Gun F",721,IF(Atletas!R140="Qiang F",722,IF(Atletas!R140="Pudao / Guandao F",723,IF(Atletas!R140="Outra Arma Longa F",724,"")))))))))))))))))))))))))</f>
        <v/>
      </c>
      <c r="BU144" s="52" t="str">
        <f>IF(Atletas!S140="","",IF(Atletas!W140&lt;&gt;"",10000,0)+IF(Atletas!B140="Feminino",1000,IF(Atletas!B140="Masculino",2000,""))+IF(Atletas!S140="Arma Dupla A",801,IF(Atletas!S140="Arma Maleável A",802,IF(Atletas!S140="Arma Dupla B",803,IF(Atletas!S140="Arma Maleável B",804,IF(Atletas!S140="Arma Dupla C",805,IF(Atletas!S140="Arma Maleável C",806,IF(Atletas!S140="Arma Dupla D",807,IF(Atletas!S140="Arma Maleável D",808,IF(Atletas!S140="Arma Dupla E",809,IF(Atletas!S140="Arma Maleável E",810,IF(Atletas!S140="Arma Dupla F",811,IF(Atletas!S140="Arma Maleável F",812, "")))))))))))))</f>
        <v/>
      </c>
      <c r="BV144" s="52" t="str">
        <f>IF(Atletas!T140="","",IF(Atletas!W140&lt;&gt;"",10000,0)+IF(Atletas!B140="Feminino",1000,IF(Atletas!B140="Masculino",2000,""))+IF(Atletas!T140="Taijijian Yang A",901,IF(Atletas!T140="Taijijian Chen A",902,IF(Atletas!T140="Taijijian Sun A",903,IF(Atletas!T140="Taijijian Wu A",904,IF(Atletas!T140="Taijijian Wu-Hao A",905,IF(Atletas!T140="Taijijian 32 A",906,IF(Atletas!T140="Taijijian 42 A",907,IF(Atletas!T140="Taijijian Yang B",908,IF(Atletas!T140="Taijijian Chen B",909,IF(Atletas!T140="Taijijian Sun B",910,IF(Atletas!T140="Taijijian Wu B",911,IF(Atletas!T140="Taijijian Wu-Hao B",912,IF(Atletas!T140="Taijijian 32 B",913,IF(Atletas!T140="Taijijian 42 B",914,IF(Atletas!T140="Taijijian Yang C",915,IF(Atletas!T140="Taijijian Chen C",916,IF(Atletas!T140="Taijijian Sun C",917,IF(Atletas!T140="Taijijian Wu C",918,IF(Atletas!T140="Taijijian Wu-Hao C",919,IF(Atletas!T140="Taijijian 32 C",920,IF(Atletas!T140="Taijijian 42 C",921,IF(Atletas!T140="Taijijian Yang D",922,IF(Atletas!T140="Taijijian Chen D",923,IF(Atletas!T140="Taijijian Sun D",924,IF(Atletas!T140="Taijijian Wu D",925,IF(Atletas!T140="Taijijian Wu-Hao D",926,IF(Atletas!T140="Taijijian 32 D",927,IF(Atletas!T140="Taijijian 42 D",928,IF(Atletas!T140="Taijijian Yang E",929,IF(Atletas!T140="Taijijian Chen E",930,IF(Atletas!T140="Taijijian Sun E",931,IF(Atletas!T140="Taijijian Wu E",932,IF(Atletas!T140="Taijijian Wu-Hao E",933,IF(Atletas!T140="Taijijian 32 E",934,IF(Atletas!T140="Taijijian 42 E",935,IF(Atletas!T140="Taijijian Yang F",936,IF(Atletas!T140="Taijijian Chen F",937,IF(Atletas!T140="Taijijian Sun F",938,IF(Atletas!T140="Taijijian Wu F",939,IF(Atletas!T140="Taijijian Wu-Hao F",940,IF(Atletas!T140="Taijijian 32 F",941,IF(Atletas!T140="Taijijian 42 F",942,"")))))))))))))))))))))))))))))))))))))))))))</f>
        <v/>
      </c>
      <c r="BW144" s="52" t="str">
        <f>IF(Atletas!U140="","",IF(Atletas!W140&lt;&gt;"",10000,0)+IF(Atletas!B140="Feminino",1000,IF(Atletas!B140="Masculino",2000,""))+IF(Atletas!T140="Taijijian 42 F",942,IF(Atletas!U140="Taijidao A",943,IF(Atletas!U140="Taijishan A",944,IF(Atletas!U140="Taijiqiang A",945,IF(Atletas!U140="Taijidao B",946,IF(Atletas!U140="Taijishan B",947,IF(Atletas!U140="Taijiqiang B",948,IF(Atletas!U140="Taijidao C",949,IF(Atletas!U140="Taijishan C",950,IF(Atletas!U140="Taijiqiang C",951,IF(Atletas!U140="Taijidao D",952,IF(Atletas!U140="Taijishan D",953,IF(Atletas!U140="Taijiqiang D",954,IF(Atletas!U140="Taijidao E",955,IF(Atletas!U140="Taijishan E",956,IF(Atletas!U140="Taijiqiang E",957,IF(Atletas!U140="Taijidao F",958,IF(Atletas!U140="Taijishan F",959,IF(Atletas!U140="Taijiqiang F",960))))))))))))))))))))</f>
        <v/>
      </c>
      <c r="BX144" s="72" t="str">
        <f>IF(BY144&lt;&gt;"","Outro Taijiquan B","")</f>
        <v/>
      </c>
      <c r="BY144" s="72" t="str">
        <f>IF(COUNTIF(BK:BW,1312)&gt;0,COUNTIF(BK:BW,1312),"")</f>
        <v/>
      </c>
      <c r="BZ144" s="72" t="str">
        <f>IF(CA144&lt;&gt;"","Outro Taijiquan B","")</f>
        <v/>
      </c>
      <c r="CA144" s="72" t="str">
        <f>IF(COUNTIF(BK:BW,2312)&gt;0,COUNTIF(BK:BW,2312),"")</f>
        <v/>
      </c>
      <c r="CB144" s="72" t="str">
        <f>IF(CC144&lt;&gt;"","Outro Taijiquan B","")</f>
        <v/>
      </c>
      <c r="CC144" s="64" t="str">
        <f>IF(COUNTIF(BK:BW,11312)&gt;0,COUNTIF(BK:BW,11312),"")</f>
        <v/>
      </c>
      <c r="CD144" s="64" t="str">
        <f>IF(CE144&lt;&gt;"","Outro Taijiquan B","")</f>
        <v/>
      </c>
      <c r="CE144" s="64" t="str">
        <f>IF(COUNTIF(BK:BW,12312)&gt;0,COUNTIF(BK:BW,12312),"")</f>
        <v/>
      </c>
      <c r="CF144" s="52" t="str">
        <f xml:space="preserve"> IF(Atletas!V140="","",IF(Atletas!V140="Duilian de Mãos AB - Equipe 1",1,IF(Atletas!V140="Duilian de Mãos AB - Equipe 2",2,IF(Atletas!V140="Duilian de Armas AB - Equipe 1",3,IF(Atletas!V140="Duilian de Armas AB - Equipe 2",4,IF(Atletas!V140="Duilian de Tuishou - Equipe 1",5,IF(Atletas!V140="Duilian de Tuishou - Equipe 2",6,IF(Atletas!V140="Grupo Externo AB - Equipe 1",7,IF(Atletas!V140="Grupo Externo AB - Equipe 2",8,IF(Atletas!V140="Grupo Interno AB - Equipe 1",9,IF(Atletas!V140="Grupo Interno AB - Equipe 2",10,IF(Atletas!V140="Duilian de Mãos CD - Equipe 1",11,IF(Atletas!V140="Duilian de Mãos CD - Equipe 2",12,IF(Atletas!V140="Duilian de Armas CD - Equipe 1",13,IF(Atletas!V140="Duilian de Armas CD - Equipe 2",14,IF(Atletas!V140="Duilian de Tuishou - Equipe 1",15,IF(Atletas!V140="Duilian de Tuishou - Equipe 2",16,IF(Atletas!V140="Grupo Externo CDEF - Equipe 1",17,IF(Atletas!V140="Grupo Externo CDEF - Equipe 2",18,IF(Atletas!V140="Grupo Interno CDEF - Equipe 1",19,IF(Atletas!V140="Grupo Interno CDEF - Equipe 2",20,IF(Atletas!V140="Duilian de Mãos EF - Equipe 1",21,IF(Atletas!V140="Duilian de Mãos EF - Equipe 2",22,IF(Atletas!V140="Duilian de Armas EF - Equipe 1",23,IF(Atletas!V140="Duilian de Armas EF - Equipe 2",24,IF(Atletas!V140="Duilian de Tuishou - Equipe 1",25,IF(Atletas!V140="Duilian de Tuishou - Equipe 2",26,"")))))))))))))))))))))))))))</f>
        <v/>
      </c>
    </row>
    <row r="145" spans="2:84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 t="str">
        <f t="array" ref="V145">IFERROR(INDEX(BX$7:BX$336,SMALL(IF(BX$7:BX$336&lt;&gt;"",ROW(BX$7:BX$336)-ROW(BX$7)+1),ROWS(BX$7:BX144))),"")</f>
        <v/>
      </c>
      <c r="W145" s="4" t="str">
        <f t="array" ref="W145">IFERROR(INDEX(BY$7:BY$336,SMALL(IF(BY$7:BY$336&lt;&gt;"",ROW(BY$7:BY$336)-ROW(BY$7)+1),ROWS(BY$7:BY144))),"")</f>
        <v/>
      </c>
      <c r="X145" s="4" t="str">
        <f t="array" ref="X145">IFERROR(INDEX(BZ$7:BZ$336,SMALL(IF(BZ$7:BZ$336&lt;&gt;"",ROW(BZ$7:BZ$336)-ROW(BZ$7)+1),ROWS(BZ$7:BZ144))),"")</f>
        <v/>
      </c>
      <c r="Y145" s="4" t="str">
        <f t="array" ref="Y145">IFERROR(INDEX(CA$7:CA$336,SMALL(IF(CA$7:CA$336&lt;&gt;"",ROW(CA$7:CA$336)-ROW(CA$7)+1),ROWS(CA$7:CA144))),"")</f>
        <v/>
      </c>
      <c r="Z145" s="4" t="str">
        <f t="array" ref="Z145">IFERROR(INDEX(CB$7:CB$378,SMALL(IF(CB$7:CB$378&lt;&gt;"",ROW(CB$7:CB$378)-ROW(CB$7)+1),ROWS(CB$7:CB144))),"")</f>
        <v/>
      </c>
      <c r="AA145" s="4" t="str">
        <f t="array" ref="AA145">IFERROR(INDEX(CC$7:CC$378,SMALL(IF(CC$7:CC$378&lt;&gt;"",ROW(CC$7:CC$378)-ROW(CC$7)+1),ROWS(CC$7:CC144))),"")</f>
        <v/>
      </c>
      <c r="AB145" s="4" t="str">
        <f t="array" ref="AB145">IFERROR(INDEX(CD$7:CD$378,SMALL(IF(CD$7:CD$378&lt;&gt;"",ROW(CD$7:CD$378)-ROW(CD$7)+1),ROWS(CD$7:CD144))),"")</f>
        <v/>
      </c>
      <c r="AC145" s="4" t="str">
        <f t="array" ref="AC145">IFERROR(INDEX(CE$7:CE$378,SMALL(IF(CE$7:CE$378&lt;&gt;"",ROW(CE$7:CE$378)-ROW(CE$7)+1),ROWS(CE$7:CE144))),"")</f>
        <v/>
      </c>
      <c r="AD145" s="4"/>
      <c r="AE145" s="4"/>
      <c r="AF145" s="4"/>
      <c r="AG145" s="4"/>
      <c r="AH145" s="4"/>
      <c r="AI145" s="4"/>
      <c r="AJ145" s="46" t="str">
        <f>IF(Atletas!D141="","",IF(Atletas!B141="Feminino",100,IF(Atletas!B141="Masculino",200,""))+(IF(Atletas!D141="Infantil 39kg",1,IF(Atletas!D141="Infantil 42kg",2,IF(Atletas!D141="Infantil 45kg",3,IF(Atletas!D141="Infantil 48kg",4,IF(Atletas!D141="Infantil 52kg",5,IF(Atletas!D141="Infantil 56kg",6,IF(Atletas!D141="Infantil 60kg",7,IF(Atletas!D141="Juvenil 48kg",8,IF(Atletas!D141="Juvenil 52kg",9,IF(Atletas!D141="Juvenil 56kg",10,IF(Atletas!D141="Juvenil 60kg",11,IF(Atletas!D141="Juvenil 65kg",12,IF(Atletas!D141="Juvenil 70kg",13,IF(Atletas!D141="Juvenil 75kg",14,IF(Atletas!D141="Juvenil 80kg",15,IF(Atletas!D141="Adulto 48kg",16,IF(Atletas!D141="Adulto 52kg",17,IF(Atletas!D141="Adulto 56kg",18,IF(Atletas!D141="Adulto 60kg",19,IF(Atletas!D141="Adulto 65kg",20,IF(Atletas!D141="Adulto 70kg",21,IF(Atletas!D141="Adulto 75kg",22,IF(Atletas!D141="Adulto 80kg",23,IF(Atletas!D141="Adulto 85kg",24,IF(Atletas!D141="Adulto 90kg",25,IF(Atletas!D141="Adulto +90kg",26,""))))))))))))))))))))))))))))</f>
        <v/>
      </c>
      <c r="AO145" s="10" t="str">
        <f>IF(Atletas!E141="","",IF(Atletas!B141="Feminino",100,IF(Atletas!B141="Masculino",200,""))+(IF(Atletas!E141="Juvenil 44kg",1,IF(Atletas!E141="Juvenil 48kg",2,IF(Atletas!E141="Juvenil 52kg",3,IF(Atletas!E141="Juvenil 56kg",4,IF(Atletas!E141="Juvenil 60kg",5,IF(Atletas!E141="Juvenil 65kg",6,IF(Atletas!E141="Juvenil 70kg",7,IF(Atletas!E141="Juvenil 75kg",8,IF(Atletas!E141="Juvenil 82kg",9,IF(Atletas!E141="Juvenil 90kg",10,IF(Atletas!E141="Juvenil 100kg",11,IF(Atletas!E141="Adulto 48kg",12,IF(Atletas!E141="Adulto 52kg",13,IF(Atletas!E141="Adulto 56kg",14,IF(Atletas!E141="Adulto 60kg",15,IF(Atletas!E141="Adulto 65kg",16,IF(Atletas!E141="Adulto 70kg",17,IF(Atletas!E141="Adulto 75kg",18,IF(Atletas!E141="Adulto 82kg",19,IF(Atletas!E141="Adulto 90kg",20,IF(Atletas!E141="Adulto 100kg",21,IF(Atletas!E141="Adulto +100kg",22,""))))))))))))))))))))))))</f>
        <v/>
      </c>
      <c r="AT145" s="10" t="str">
        <f>IF(Atletas!F141="","",IF(Atletas!B141="Feminino",100,IF(Atletas!B141="Masculino",200,""))+(IF(Atletas!F141="Adulto 48kg",1,IF(Atletas!F141="Adulto 56kg",2,IF(Atletas!F141="Adulto 65kg",3,IF(Atletas!F141="Adulto 75kg",4,IF(Atletas!F141="Adulto +75kg",5,IF(Atletas!F141="Adulto 52kg",6,IF(Atletas!F141="Adulto 60kg",7,IF(Atletas!F141="Adulto 70kg",8,IF(Atletas!F141="Adulto 80kg",9,IF(Atletas!F141="Adulto 90kg",10,IF(Atletas!F141="Adulto +90kg",11,"")))))))))))))</f>
        <v/>
      </c>
      <c r="AY145" s="46" t="str">
        <f>IF(Atletas!G141="","",IF(Atletas!B141="Feminino",100,IF(Atletas!B141="Masculino",200,""))+(IF(Atletas!G141="Changquan Mirim",1,IF(Atletas!G141="Nanquan Mirim",2,IF(Atletas!G141="Taijiquan Mirim",3,IF(Atletas!G141="Changquan Grupo C",4,IF(Atletas!G141="Nanquan Grupo C",5,IF(Atletas!G141="Taijiquan Grupo C",6,IF(Atletas!G141="Changquan Grupo B",7,IF(Atletas!G141="Nanquan Grupo B",8,IF(Atletas!G141="Taijiquan Grupo B",9,IF(Atletas!G141="Changquan Grupo A",10,IF(Atletas!G141="Nanquan Grupo A",11,IF(Atletas!G141="Taijiquan Grupo A",12,IF(Atletas!G141="Changquan Opcional",13,IF(Atletas!G141="Nanquan Opcional",14,IF(Atletas!G141="Taijiquan Opcional",15,IF(Atletas!G141="Changquan Adulto",16,IF(Atletas!G141="Nanquan Adulto",17,IF(Atletas!G141="Taijiquan Adulto",18,""))))))))))))))))))))</f>
        <v/>
      </c>
      <c r="AZ145" s="46" t="str">
        <f>IF(Atletas!H141="","",IF(Atletas!B141="Feminino",100,IF(Atletas!B141="Masculino",200,""))+(IF(Atletas!H141="Daoshu Mirim",19,IF(Atletas!H141="Jianshu Mirim",20,IF(Atletas!H141="Nandao Mirim",21,IF(Atletas!H141="Taijijian Mirim",22,IF(Atletas!H141="Daoshu Grupo C",23,IF(Atletas!H141="Jianshu Grupo C",24,IF(Atletas!H141="Nandao Grupo C",25,IF(Atletas!H141="Taijijian Grupo C",26,IF(Atletas!H141="Daoshu Grupo B",27,IF(Atletas!H141="Jianshu Grupo B",28,IF(Atletas!H141="Nandao Grupo B",29,IF(Atletas!H141="Taijijian Grupo B",30,IF(Atletas!H141="Daoshu Grupo A",31,IF(Atletas!H141="Jianshu Grupo A",32,IF(Atletas!H141="Nandao Grupo A",33,IF(Atletas!H141="Taijijian Grupo A",34,IF(Atletas!H141="Daoshu Opcional",35,IF(Atletas!H141="Jianshu Opcional",36,IF(Atletas!H141="Nandao Opcional",37,IF(Atletas!H141="Taijijian Opcional",38,IF(Atletas!H141="Daoshu Adulto",39,IF(Atletas!H141="Jianshu Adulto",40,IF(Atletas!H141="Nandao Adulto",41,IF(Atletas!H141="Taijijian Adulto",42,""))))))))))))))))))))))))))</f>
        <v/>
      </c>
      <c r="BA145" s="46" t="str">
        <f>IF(Atletas!I141="","",IF(Atletas!B141="Feminino",100,IF(Atletas!B141="Masculino",200,""))+(IF(Atletas!I141="Gunshu Mirim",43,IF(Atletas!I141="Qiangshu Mirim",44,IF(Atletas!I141="Nangun Mirim",45,IF(Atletas!I141="Gunshu Grupo C",46,IF(Atletas!I141="Qiangshu Grupo C",47,IF(Atletas!I141="Nangun Grupo C",48,IF(Atletas!I141="Gunshu Grupo B",49,IF(Atletas!I141="Qiangshu Grupo B",50,IF(Atletas!I141="Nangun Grupo B",51,IF(Atletas!I141="Gunshu Grupo A",52,IF(Atletas!I141="Qiangshu Grupo A",53,IF(Atletas!I141="Nangun Grupo A",54,IF(Atletas!I141="Gunshu Opcional",55,IF(Atletas!I141="Qiangshu Opcional",56,IF(Atletas!I141="Nangun Opcional",57,IF(Atletas!I141="Gunshu Adulto",58,IF(Atletas!I141="Qiangshu Adulto",59,IF(Atletas!I141="Nangun Adulto",60,""))))))))))))))))))))</f>
        <v/>
      </c>
      <c r="BF145" s="52" t="str">
        <f>IF(Atletas!J141="","",IF(Atletas!B141="Feminino",100,IF(Atletas!B141="Masculino",200,""))+(IF(Atletas!J141="Equipe 1 Grupo B",1,IF(Atletas!J141="Equipe 2 Grupo B",2,IF(Atletas!J141="Equipe 1 Grupo A",3,IF(Atletas!J141="Equipe 2 Grupo A",4,IF(Atletas!J141="Equipe 1 Adulto",5,IF(Atletas!J141="Equipe 2 Adulto",6,""))))))))</f>
        <v/>
      </c>
      <c r="BK145" s="52" t="str">
        <f>IF(Atletas!K141="","",IF(Atletas!W141&lt;&gt;"",10000,0)+(IF(Atletas!B141="Feminino",1000,IF(Atletas!B141="Masculino",2000,""))+IF(Atletas!K141="Choylayfut A",1,IF(Atletas!K141="Hunggar A",2,IF(Atletas!K141="Wuzuquan A",3,IF(Atletas!K141="Wingchun A",4,IF(Atletas!K141="Outra Mão de Sul A",5,IF(Atletas!K141="Choylayfut B",6,IF(Atletas!K141="Hunggar B",7,IF(Atletas!K141="Wuzuquan B",8,IF(Atletas!K141="Wingchun B",9,IF(Atletas!K141="Outra Mão de Sul B",10,IF(Atletas!K141="Choylayfut C",11,IF(Atletas!K141="Hunggar C",12,IF(Atletas!K141="Wuzuquan C",13,IF(Atletas!K141="Wingchun C",14,IF(Atletas!K141="Outra Mão de Sul C",15,IF(Atletas!K141="Choylayfut D",16,IF(Atletas!K141="Hunggar D",17,IF(Atletas!K141="Wuzuquan D",18,IF(Atletas!K141="Wingchun D",19,IF(Atletas!K141="Outra Mão de Sul D",20,IF(Atletas!K141="Choylayfut E",21,IF(Atletas!K141="Hunggar E",22,IF(Atletas!K141="Wuzuquan E",23,IF(Atletas!K141="Wingchun E",24,IF(Atletas!K141="Outra Mão de Sul E",25,IF(Atletas!K141="Choylayfut F",26,IF(Atletas!K141="Hunggar F",27,IF(Atletas!K141="Wuzuquan F",28,IF(Atletas!K141="Wingchun F",29,IF(Atletas!K141="Outra Mão de Sul F",30,""))))))))))))))))))))))))))))))))</f>
        <v/>
      </c>
      <c r="BL145" s="52" t="str">
        <f>IF(Atletas!L141="","",IF(Atletas!W141&lt;&gt;"",10000,0)+(IF(Atletas!B141="Feminino",1000,IF(Atletas!B141="Masculino",2000,""))+(IF(Atletas!L141="Chaquan A",101,IF(Atletas!L141="Emeiquan A",102,IF(Atletas!L141="Fanziquan A",103,IF(Atletas!L141="Huaquan A",104,IF(Atletas!L141="Hongquan A",105,IF(Atletas!L141="Paochui A",106,IF(Atletas!L141="Piguaquan A",107,IF(Atletas!L141="Shaolinquan A",108,IF(Atletas!L141="Tanglangquan A",109,IF(Atletas!L141="Yinzhaophai A",110,IF(Atletas!L141="Tongbeiquan A",111,IF(Atletas!L141="Wudangquan A",112,IF(Atletas!L141="Outros Estilos A",113,IF(Atletas!L141="Chaquan B",114,IF(Atletas!L141="Emeiquan B",115,IF(Atletas!L141="Fanziquan B",116,IF(Atletas!L141="Huaquan B",117,IF(Atletas!L141="Hongquan B",118,IF(Atletas!L141="Paochui B",119,IF(Atletas!L141="Piguaquan B",120,IF(Atletas!L141="Shaolinquan B",121,IF(Atletas!L141="Tanglangquan B",122,IF(Atletas!L141="Yinzhaophai B",123,IF(Atletas!L141="Tongbeiquan B",124,IF(Atletas!L141="Wudangquan B",125,IF(Atletas!L141="Outros Estilos B",126,IF(Atletas!L141="Chaquan C",127,IF(Atletas!L141="Emeiquan C",128,IF(Atletas!L141="Fanziquan C",129,IF(Atletas!L141="Huaquan C",130,IF(Atletas!L141="Hongquan C",131,IF(Atletas!L141="Paochui C",132,IF(Atletas!L141="Piguaquan C",133,IF(Atletas!L141="Shaolinquan C",134,IF(Atletas!L141="Tanglangquan C",135,IF(Atletas!L141="Yinzhaophai C",136,IF(Atletas!L141="Tongbeiquan C",137,IF(Atletas!L141="Wudangquan C",138,IF(Atletas!L141="Outros Estilos C",139,0))))))))))))))))))))))))))))))))))))))))))</f>
        <v/>
      </c>
      <c r="BM145" s="52" t="str">
        <f>IF(Atletas!L141="","",IF(Atletas!W141&lt;&gt;"",10000,0)+(IF(Atletas!B141="Feminino",1000,IF(Atletas!B141="Masculino",2000,""))+(IF(Atletas!L141="Chaquan D",140,IF(Atletas!L141="Emeiquan D",141,IF(Atletas!L141="Fanziquan D",142,IF(Atletas!L141="Huaquan D",143,IF(Atletas!L141="Hongquan D",144,IF(Atletas!L141="Paochui D",145,IF(Atletas!L141="Piguaquan D",146,IF(Atletas!L141="Shaolinquan D",147,IF(Atletas!L141="Tanglangquan D",148,IF(Atletas!L141="Yinzhaophai D",149,IF(Atletas!L141="Tongbeiquan D",150,IF(Atletas!L141="Wudangquan D",151,IF(Atletas!L141="Outros Estilos D",152,IF(Atletas!L141="Chaquan E",153,IF(Atletas!L141="Emeiquan E",154,IF(Atletas!L141="Fanziquan E",155,IF(Atletas!L141="Huaquan E",156,IF(Atletas!L141="Hongquan E",157,IF(Atletas!L141="Paochui E",158,IF(Atletas!L141="Piguaquan E",159,IF(Atletas!L141="Shaolinquan E",160,IF(Atletas!L141="Tanglangquan E",161,IF(Atletas!L141="Yinzhaophai E",162,IF(Atletas!L141="Tongbeiquan E",163,IF(Atletas!L141="Wudangquan E",164,IF(Atletas!L141="Outros Estilos E",165,IF(Atletas!L141="Chaquan F",166,IF(Atletas!L141="Emeiquan F",167,IF(Atletas!L141="Fanziquan F",168,IF(Atletas!L141="Huaquan F",169,IF(Atletas!L141="Hongquan F",170,IF(Atletas!L141="Paochui F",171,IF(Atletas!L141="Piguaquan F",172,IF(Atletas!L141="Shaolinquan F",173,IF(Atletas!L141="Tanglangquan F",174,IF(Atletas!L141="Yinzhaophai F",175,IF(Atletas!L141="Tongbeiquan F",176,IF(Atletas!L141="Wudangquan F",177,IF(Atletas!L141="Outros Estilos F",178,0))))))))))))))))))))))))))))))))))))))))))</f>
        <v/>
      </c>
      <c r="BN145" s="52" t="str">
        <f>IF(Atletas!M141="","",IF(Atletas!W141&lt;&gt;"",10000,0)+(IF(Atletas!B141="Feminino",1000,IF(Atletas!B141="Masculino",2000,""))+(IF(Atletas!M141="Ditangquan A",201,IF(Atletas!M141="Houquan A",202,IF(Atletas!M141="Zuiquan A",203,IF(Atletas!M141="Ditangquan B",204,IF(Atletas!M141="Houquan B",205,IF(Atletas!M141="Zuiquan B",206,IF(Atletas!M141="Ditangquan C",207,IF(Atletas!M141="Houquan C",208,IF(Atletas!M141="Zuiquan C",209,IF(Atletas!M141="Ditangquan D",210,IF(Atletas!M141="Houquan D",211,IF(Atletas!M141="Zuiquan D",212,IF(Atletas!M141="Ditangquan E",213,IF(Atletas!M141="Houquan E",214,IF(Atletas!M141="Zuiquan E",215,IF(Atletas!M141="Ditangquan F",216,IF(Atletas!M141="Houquan F",217,IF(Atletas!M141="Zuiquan F",218,"")))))))))))))))))))))</f>
        <v/>
      </c>
      <c r="BO145" s="52" t="str">
        <f>IF(Atletas!N141="","",IF(Atletas!W141&lt;&gt;"",10000,0)+IF(Atletas!B141="Feminino",1000,IF(Atletas!B141="Masculino",2000,""))+IF(Atletas!N141="Yang A",301,IF(Atletas!N141="Chen A",30,IF(Atletas!N141="Sun A",303,IF(Atletas!N141="Wu A",304,IF(Atletas!N141="Wu-Hao A",305,IF(Atletas!N141="Outro Taijiquan A",306,IF(Atletas!N141="Yang B",307,IF(Atletas!N141="Chen B",308,IF(Atletas!N141="Sun B",309,IF(Atletas!N141="Wu B",310,IF(Atletas!N141="Wu-Hao B",311,IF(Atletas!N141="Outro Taijiquan B",312,IF(Atletas!N141="Yang C",313,IF(Atletas!N141="Chen C",314,IF(Atletas!N141="Sun C",315,IF(Atletas!N141="Wu C",316,IF(Atletas!N141="Wu-Hao C",317,IF(Atletas!N141="Outro Taijiquan C",318,IF(Atletas!N141="Yang D",319,IF(Atletas!N141="Chen D",320,IF(Atletas!N141="Sun D",321,IF(Atletas!N141="Wu D",322,IF(Atletas!N141="Wu-Hao D",323,IF(Atletas!N141="Outro Taijiquan D",324,IF(Atletas!N141="Yang E",325,IF(Atletas!N141="Chen E",326,IF(Atletas!N141="Sun E",327,IF(Atletas!N141="Wu E",328,IF(Atletas!N141="Wu-Hao E",329,IF(Atletas!N141="Outro Taijiquan E",330,IF(Atletas!N141="Yang F",331,IF(Atletas!N141="Chen F",332,IF(Atletas!N141="Sun F",333,IF(Atletas!N141="Wu F",334,IF(Atletas!N141="Wu-Hao F",335,IF(Atletas!N141="Outro Taijiquan F",336,"")))))))))))))))))))))))))))))))))))))</f>
        <v/>
      </c>
      <c r="BP145" s="52" t="str">
        <f>IF(Atletas!O141="","",IF(Atletas!W141&lt;&gt;"",10000,0)+IF(Atletas!B141="Feminino",1000,IF(Atletas!B141="Masculino",2000,""))+IF(OR(Atletas!O141="Yang 26 A",Atletas!O141="Yang 40 A"),401,IF(OR(Atletas!O141="Chen 25 A",Atletas!O141="Chen 36 A",Atletas!O141="Chen 56 A"),402,IF(Atletas!O141="Sun 73 A",403,IF(Atletas!O141="Wu 45 A",404,IF(Atletas!O141="Wu-Hao 46 A",405,IF(OR(Atletas!O141="Taijiquan 16 A",Atletas!O141="Taijiquan 24 A",Atletas!O141="Taijiquan 32 A",Atletas!O141="Taijiquan 42 A"),406,IF(OR(Atletas!O141="Yang 26 B",Atletas!O141="Yang 40 B"),407,IF(OR(Atletas!O141="Chen 25 B",Atletas!O141="Chen 36 B",Atletas!O141="Chen 56 B"),408,IF(Atletas!O141="Sun 73 B",409,IF(Atletas!O141="Wu 45 B",410,IF(Atletas!O141="Wu-Hao 46 B",411,IF(OR(Atletas!O141="Taijiquan 16 B",Atletas!O141="Taijiquan 24 B",Atletas!O141="Taijiquan 32 B",Atletas!O141="Taijiquan 42 B"),412,IF(OR(Atletas!O141="Yang 26 C",Atletas!O141="Yang 40 C"),413,IF(OR(Atletas!O141="Chen 25 C",Atletas!O141="Chen 36 C",Atletas!O141="Chen 56 C"),414,IF(Atletas!O141="Sun 73 C",415,IF(Atletas!O141="Wu 45 C",416,IF(Atletas!O141="Wu-Hao 46 C",417,IF(OR(Atletas!O141="Taijiquan 16 C",Atletas!O141="Taijiquan 24 C",Atletas!O141="Taijiquan 32 C",Atletas!O141="Taijiquan 42 C"),418,0)))))))))))))))))))</f>
        <v/>
      </c>
      <c r="BQ145" s="52" t="str">
        <f>IF(Atletas!O141="","",IF(Atletas!W141&lt;&gt;"",10000,0)+IF(Atletas!B141="Feminino",1000,IF(Atletas!B141="Masculino",2000,""))+IF(OR(Atletas!O141="Yang 26 D",Atletas!O141="Yang 40 D"),419,IF(OR(Atletas!O141="Chen 25 D",Atletas!O141="Chen 36 D",Atletas!O141="Chen 56 D"),420,IF(Atletas!O141="Sun 73 D",421,IF(Atletas!O141="Wu 45 D",422,IF(Atletas!O141="Wu-Hao 46 D",423,IF(OR(Atletas!O141="Taijiquan 16 D",Atletas!O141="Taijiquan 24 D",Atletas!O141="Taijiquan 32 D",Atletas!O141="Taijiquan 42 D"),424,IF(OR(Atletas!O141="Yang 26 E",Atletas!O141="Yang 40 E"),425,IF(OR(Atletas!O141="Chen 25 E",Atletas!O141="Chen 36 E",Atletas!O141="Chen 56 E"),426,IF(Atletas!O141="Sun 73 E",427,IF(Atletas!O141="Wu 45 E",428,IF(Atletas!O141="Wu-Hao 46 E",429,IF(OR(Atletas!O141="Taijiquan 16 E",Atletas!O141="Taijiquan 24 E",Atletas!O141="Taijiquan 32 E",Atletas!O141="Taijiquan 42 E"),430,IF(OR(Atletas!O141="Yang 26 F",Atletas!O141="Yang 40 F"),431,IF(OR(Atletas!O141="Chen 25 F",Atletas!O141="Chen 36 F",Atletas!O141="Chen 56 F"),432,IF(Atletas!O141="Sun 73 F",433,IF(Atletas!O141="Wu 45 F",434,IF(Atletas!O141="Wu-Hao 46 F",435,IF(OR(Atletas!O141="Taijiquan 16 F",Atletas!O141="Taijiquan 24 F",Atletas!O141="Taijiquan 32 F",Atletas!O141="Taijiquan 42 F"),436,0)))))))))))))))))))</f>
        <v/>
      </c>
      <c r="BR145" s="52" t="str">
        <f>IF(Atletas!P141="","",IF(Atletas!W141&lt;&gt;"",10000,0)+IF(Atletas!B141="Feminino",1000,IF(Atletas!B141="Masculino",2000,""))+IF(Atletas!P141="Xingyiquan A",501,IF(Atletas!P141="Baguazhang A",502,IF(Atletas!P141="Outro Estilo Interno A",503,IF(Atletas!P141="Xingyiquan B",504,IF(Atletas!P141="Baguazhang B",505,IF(Atletas!P141="Outro Estilo Interno B",506,IF(Atletas!P141="Xingyiquan C",507,IF(Atletas!P141="Baguazhang C",508,IF(Atletas!P141="Outro Estilo Interno C",509,IF(Atletas!P141="Xingyiquan D",510,IF(Atletas!P141="Baguazhang D",511,IF(Atletas!P141="Outro Estilo Interno D",512,IF(Atletas!P141="Xingyiquan E",513,IF(Atletas!P141="Baguazhang E",514,IF(Atletas!P141="Outro Estilo Interno E",515,IF(Atletas!P141="Xingyiquan F",516,IF(Atletas!P141="Baguazhang F",517,IF(Atletas!P141="Outro Estilo Interno F",518, "")))))))))))))))))))</f>
        <v/>
      </c>
      <c r="BS145" s="52" t="str">
        <f>IF(Atletas!Q141="","",IF(Atletas!W141&lt;&gt;"",10000,0)+IF(Atletas!B141="Feminino",1000,IF(Atletas!B141="Masculino",2000,""))+IF(Atletas!Q141="Dao A",601,IF(Atletas!Q141="Jian A",602,IF(Atletas!Q141="Bishou A",603,IF(Atletas!Q141="Shan A",604,IF(Atletas!Q141="Outra Arma Curta A",605,IF(Atletas!Q141="Dao B",606,IF(Atletas!Q141="Jian B",607,IF(Atletas!Q141="Bishou B",608,IF(Atletas!Q141="Shan B",609,IF(Atletas!Q141="Outra Arma Curta B",610,IF(Atletas!Q141="Dao C",611,IF(Atletas!Q141="Jian C",612,IF(Atletas!Q141="Bishou C",613,IF(Atletas!Q141="Shan C",614,IF(Atletas!Q141="Outra Arma Curta C",615,IF(Atletas!Q141="Dao D",616,IF(Atletas!Q141="Jian D",617,IF(Atletas!Q141="Bishou D",618,IF(Atletas!Q141="Shan D",619,IF(Atletas!Q141="Outra Arma Curta D",620,IF(Atletas!Q141="Dao E",621,IF(Atletas!Q141="Jian E",622,IF(Atletas!Q141="Bishou E",623,IF(Atletas!Q141="Shan E",624,IF(Atletas!Q141="Outra Arma Curta E",625,IF(Atletas!Q141="Dao F",626,IF(Atletas!Q141="Jian F",627,IF(Atletas!Q141="Bishou F",628,IF(Atletas!Q141="Shan F",629,IF(Atletas!Q141="Outra Arma Curta F",630, "")))))))))))))))))))))))))))))))</f>
        <v/>
      </c>
      <c r="BT145" s="52" t="str">
        <f>IF(Atletas!R141="","",IF(Atletas!W141&lt;&gt;"",10000,0)+IF(Atletas!B141="Feminino",1000,IF(Atletas!B141="Masculino",2000,""))+IF(Atletas!R141="Gun A",701,IF(Atletas!R141="Qiang A",702,IF(Atletas!R141="Pudao / Guandao A",703,IF(Atletas!R141="Outra Arma Longa A",704,IF(Atletas!R141="Gun B",705,IF(Atletas!R141="Qiang B",706,IF(Atletas!R141="Pudao / Guandao B",707,IF(Atletas!R141="Outra Arma Longa B",708,IF(Atletas!R141="Gun C",709,IF(Atletas!R141="Qiang C",710,IF(Atletas!R141="Pudao / Guandao C",711,IF(Atletas!R141="Outra Arma Longa C",712,IF(Atletas!R141="Gun D",713,IF(Atletas!R141="Qiang D",714,IF(Atletas!R141="Pudao / Guandao D",715,IF(Atletas!R141="Outra Arma Longa D",716,IF(Atletas!R141="Gun E",717,IF(Atletas!R141="Qiang E",718,IF(Atletas!R141="Pudao / Guandao E",719,IF(Atletas!R141="Outra Arma Longa E",720,IF(Atletas!R141="Gun F",721,IF(Atletas!R141="Qiang F",722,IF(Atletas!R141="Pudao / Guandao F",723,IF(Atletas!R141="Outra Arma Longa F",724,"")))))))))))))))))))))))))</f>
        <v/>
      </c>
      <c r="BU145" s="52" t="str">
        <f>IF(Atletas!S141="","",IF(Atletas!W141&lt;&gt;"",10000,0)+IF(Atletas!B141="Feminino",1000,IF(Atletas!B141="Masculino",2000,""))+IF(Atletas!S141="Arma Dupla A",801,IF(Atletas!S141="Arma Maleável A",802,IF(Atletas!S141="Arma Dupla B",803,IF(Atletas!S141="Arma Maleável B",804,IF(Atletas!S141="Arma Dupla C",805,IF(Atletas!S141="Arma Maleável C",806,IF(Atletas!S141="Arma Dupla D",807,IF(Atletas!S141="Arma Maleável D",808,IF(Atletas!S141="Arma Dupla E",809,IF(Atletas!S141="Arma Maleável E",810,IF(Atletas!S141="Arma Dupla F",811,IF(Atletas!S141="Arma Maleável F",812, "")))))))))))))</f>
        <v/>
      </c>
      <c r="BV145" s="52" t="str">
        <f>IF(Atletas!T141="","",IF(Atletas!W141&lt;&gt;"",10000,0)+IF(Atletas!B141="Feminino",1000,IF(Atletas!B141="Masculino",2000,""))+IF(Atletas!T141="Taijijian Yang A",901,IF(Atletas!T141="Taijijian Chen A",902,IF(Atletas!T141="Taijijian Sun A",903,IF(Atletas!T141="Taijijian Wu A",904,IF(Atletas!T141="Taijijian Wu-Hao A",905,IF(Atletas!T141="Taijijian 32 A",906,IF(Atletas!T141="Taijijian 42 A",907,IF(Atletas!T141="Taijijian Yang B",908,IF(Atletas!T141="Taijijian Chen B",909,IF(Atletas!T141="Taijijian Sun B",910,IF(Atletas!T141="Taijijian Wu B",911,IF(Atletas!T141="Taijijian Wu-Hao B",912,IF(Atletas!T141="Taijijian 32 B",913,IF(Atletas!T141="Taijijian 42 B",914,IF(Atletas!T141="Taijijian Yang C",915,IF(Atletas!T141="Taijijian Chen C",916,IF(Atletas!T141="Taijijian Sun C",917,IF(Atletas!T141="Taijijian Wu C",918,IF(Atletas!T141="Taijijian Wu-Hao C",919,IF(Atletas!T141="Taijijian 32 C",920,IF(Atletas!T141="Taijijian 42 C",921,IF(Atletas!T141="Taijijian Yang D",922,IF(Atletas!T141="Taijijian Chen D",923,IF(Atletas!T141="Taijijian Sun D",924,IF(Atletas!T141="Taijijian Wu D",925,IF(Atletas!T141="Taijijian Wu-Hao D",926,IF(Atletas!T141="Taijijian 32 D",927,IF(Atletas!T141="Taijijian 42 D",928,IF(Atletas!T141="Taijijian Yang E",929,IF(Atletas!T141="Taijijian Chen E",930,IF(Atletas!T141="Taijijian Sun E",931,IF(Atletas!T141="Taijijian Wu E",932,IF(Atletas!T141="Taijijian Wu-Hao E",933,IF(Atletas!T141="Taijijian 32 E",934,IF(Atletas!T141="Taijijian 42 E",935,IF(Atletas!T141="Taijijian Yang F",936,IF(Atletas!T141="Taijijian Chen F",937,IF(Atletas!T141="Taijijian Sun F",938,IF(Atletas!T141="Taijijian Wu F",939,IF(Atletas!T141="Taijijian Wu-Hao F",940,IF(Atletas!T141="Taijijian 32 F",941,IF(Atletas!T141="Taijijian 42 F",942,"")))))))))))))))))))))))))))))))))))))))))))</f>
        <v/>
      </c>
      <c r="BW145" s="52" t="str">
        <f>IF(Atletas!U141="","",IF(Atletas!W141&lt;&gt;"",10000,0)+IF(Atletas!B141="Feminino",1000,IF(Atletas!B141="Masculino",2000,""))+IF(Atletas!T141="Taijijian 42 F",942,IF(Atletas!U141="Taijidao A",943,IF(Atletas!U141="Taijishan A",944,IF(Atletas!U141="Taijiqiang A",945,IF(Atletas!U141="Taijidao B",946,IF(Atletas!U141="Taijishan B",947,IF(Atletas!U141="Taijiqiang B",948,IF(Atletas!U141="Taijidao C",949,IF(Atletas!U141="Taijishan C",950,IF(Atletas!U141="Taijiqiang C",951,IF(Atletas!U141="Taijidao D",952,IF(Atletas!U141="Taijishan D",953,IF(Atletas!U141="Taijiqiang D",954,IF(Atletas!U141="Taijidao E",955,IF(Atletas!U141="Taijishan E",956,IF(Atletas!U141="Taijiqiang E",957,IF(Atletas!U141="Taijidao F",958,IF(Atletas!U141="Taijishan F",959,IF(Atletas!U141="Taijiqiang F",960))))))))))))))))))))</f>
        <v/>
      </c>
      <c r="BX145" s="72" t="str">
        <f>IF(BY145&lt;&gt;"","TJQ Trad. Yang C","")</f>
        <v/>
      </c>
      <c r="BY145" s="72" t="str">
        <f>IF(COUNTIF(BK:BW,1313)&gt;0,COUNTIF(BK:BW,1313),"")</f>
        <v/>
      </c>
      <c r="BZ145" s="72" t="str">
        <f>IF(CA145&lt;&gt;"","TJQ Trad. Yang C","")</f>
        <v/>
      </c>
      <c r="CA145" s="72" t="str">
        <f>IF(COUNTIF(BK:BW,2313)&gt;0,COUNTIF(BK:BW,2313),"")</f>
        <v/>
      </c>
      <c r="CB145" s="72" t="str">
        <f>IF(CC145&lt;&gt;"","Yang C","")</f>
        <v/>
      </c>
      <c r="CC145" s="64" t="str">
        <f>IF(COUNTIF(BK:BW,11313)&gt;0,COUNTIF(BK:BW,11313),"")</f>
        <v/>
      </c>
      <c r="CD145" s="64" t="str">
        <f>IF(CE145&lt;&gt;"","Yang C","")</f>
        <v/>
      </c>
      <c r="CE145" s="64" t="str">
        <f>IF(COUNTIF(BK:BW,12313)&gt;0,COUNTIF(BK:BW,12313),"")</f>
        <v/>
      </c>
      <c r="CF145" s="52" t="str">
        <f xml:space="preserve"> IF(Atletas!V141="","",IF(Atletas!V141="Duilian de Mãos AB - Equipe 1",1,IF(Atletas!V141="Duilian de Mãos AB - Equipe 2",2,IF(Atletas!V141="Duilian de Armas AB - Equipe 1",3,IF(Atletas!V141="Duilian de Armas AB - Equipe 2",4,IF(Atletas!V141="Duilian de Tuishou - Equipe 1",5,IF(Atletas!V141="Duilian de Tuishou - Equipe 2",6,IF(Atletas!V141="Grupo Externo AB - Equipe 1",7,IF(Atletas!V141="Grupo Externo AB - Equipe 2",8,IF(Atletas!V141="Grupo Interno AB - Equipe 1",9,IF(Atletas!V141="Grupo Interno AB - Equipe 2",10,IF(Atletas!V141="Duilian de Mãos CD - Equipe 1",11,IF(Atletas!V141="Duilian de Mãos CD - Equipe 2",12,IF(Atletas!V141="Duilian de Armas CD - Equipe 1",13,IF(Atletas!V141="Duilian de Armas CD - Equipe 2",14,IF(Atletas!V141="Duilian de Tuishou - Equipe 1",15,IF(Atletas!V141="Duilian de Tuishou - Equipe 2",16,IF(Atletas!V141="Grupo Externo CDEF - Equipe 1",17,IF(Atletas!V141="Grupo Externo CDEF - Equipe 2",18,IF(Atletas!V141="Grupo Interno CDEF - Equipe 1",19,IF(Atletas!V141="Grupo Interno CDEF - Equipe 2",20,IF(Atletas!V141="Duilian de Mãos EF - Equipe 1",21,IF(Atletas!V141="Duilian de Mãos EF - Equipe 2",22,IF(Atletas!V141="Duilian de Armas EF - Equipe 1",23,IF(Atletas!V141="Duilian de Armas EF - Equipe 2",24,IF(Atletas!V141="Duilian de Tuishou - Equipe 1",25,IF(Atletas!V141="Duilian de Tuishou - Equipe 2",26,"")))))))))))))))))))))))))))</f>
        <v/>
      </c>
    </row>
    <row r="146" spans="2:84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 t="str">
        <f t="array" ref="V146">IFERROR(INDEX(BX$7:BX$336,SMALL(IF(BX$7:BX$336&lt;&gt;"",ROW(BX$7:BX$336)-ROW(BX$7)+1),ROWS(BX$7:BX145))),"")</f>
        <v/>
      </c>
      <c r="W146" s="4" t="str">
        <f t="array" ref="W146">IFERROR(INDEX(BY$7:BY$336,SMALL(IF(BY$7:BY$336&lt;&gt;"",ROW(BY$7:BY$336)-ROW(BY$7)+1),ROWS(BY$7:BY145))),"")</f>
        <v/>
      </c>
      <c r="X146" s="4" t="str">
        <f t="array" ref="X146">IFERROR(INDEX(BZ$7:BZ$336,SMALL(IF(BZ$7:BZ$336&lt;&gt;"",ROW(BZ$7:BZ$336)-ROW(BZ$7)+1),ROWS(BZ$7:BZ145))),"")</f>
        <v/>
      </c>
      <c r="Y146" s="4" t="str">
        <f t="array" ref="Y146">IFERROR(INDEX(CA$7:CA$336,SMALL(IF(CA$7:CA$336&lt;&gt;"",ROW(CA$7:CA$336)-ROW(CA$7)+1),ROWS(CA$7:CA145))),"")</f>
        <v/>
      </c>
      <c r="Z146" s="4" t="str">
        <f t="array" ref="Z146">IFERROR(INDEX(CB$7:CB$378,SMALL(IF(CB$7:CB$378&lt;&gt;"",ROW(CB$7:CB$378)-ROW(CB$7)+1),ROWS(CB$7:CB145))),"")</f>
        <v/>
      </c>
      <c r="AA146" s="4" t="str">
        <f t="array" ref="AA146">IFERROR(INDEX(CC$7:CC$378,SMALL(IF(CC$7:CC$378&lt;&gt;"",ROW(CC$7:CC$378)-ROW(CC$7)+1),ROWS(CC$7:CC145))),"")</f>
        <v/>
      </c>
      <c r="AB146" s="4" t="str">
        <f t="array" ref="AB146">IFERROR(INDEX(CD$7:CD$378,SMALL(IF(CD$7:CD$378&lt;&gt;"",ROW(CD$7:CD$378)-ROW(CD$7)+1),ROWS(CD$7:CD145))),"")</f>
        <v/>
      </c>
      <c r="AC146" s="4" t="str">
        <f t="array" ref="AC146">IFERROR(INDEX(CE$7:CE$378,SMALL(IF(CE$7:CE$378&lt;&gt;"",ROW(CE$7:CE$378)-ROW(CE$7)+1),ROWS(CE$7:CE145))),"")</f>
        <v/>
      </c>
      <c r="AD146" s="4"/>
      <c r="AE146" s="4"/>
      <c r="AF146" s="4"/>
      <c r="AG146" s="4"/>
      <c r="AH146" s="4"/>
      <c r="AI146" s="4"/>
      <c r="AJ146" s="46" t="str">
        <f>IF(Atletas!D142="","",IF(Atletas!B142="Feminino",100,IF(Atletas!B142="Masculino",200,""))+(IF(Atletas!D142="Infantil 39kg",1,IF(Atletas!D142="Infantil 42kg",2,IF(Atletas!D142="Infantil 45kg",3,IF(Atletas!D142="Infantil 48kg",4,IF(Atletas!D142="Infantil 52kg",5,IF(Atletas!D142="Infantil 56kg",6,IF(Atletas!D142="Infantil 60kg",7,IF(Atletas!D142="Juvenil 48kg",8,IF(Atletas!D142="Juvenil 52kg",9,IF(Atletas!D142="Juvenil 56kg",10,IF(Atletas!D142="Juvenil 60kg",11,IF(Atletas!D142="Juvenil 65kg",12,IF(Atletas!D142="Juvenil 70kg",13,IF(Atletas!D142="Juvenil 75kg",14,IF(Atletas!D142="Juvenil 80kg",15,IF(Atletas!D142="Adulto 48kg",16,IF(Atletas!D142="Adulto 52kg",17,IF(Atletas!D142="Adulto 56kg",18,IF(Atletas!D142="Adulto 60kg",19,IF(Atletas!D142="Adulto 65kg",20,IF(Atletas!D142="Adulto 70kg",21,IF(Atletas!D142="Adulto 75kg",22,IF(Atletas!D142="Adulto 80kg",23,IF(Atletas!D142="Adulto 85kg",24,IF(Atletas!D142="Adulto 90kg",25,IF(Atletas!D142="Adulto +90kg",26,""))))))))))))))))))))))))))))</f>
        <v/>
      </c>
      <c r="AO146" s="10" t="str">
        <f>IF(Atletas!E142="","",IF(Atletas!B142="Feminino",100,IF(Atletas!B142="Masculino",200,""))+(IF(Atletas!E142="Juvenil 44kg",1,IF(Atletas!E142="Juvenil 48kg",2,IF(Atletas!E142="Juvenil 52kg",3,IF(Atletas!E142="Juvenil 56kg",4,IF(Atletas!E142="Juvenil 60kg",5,IF(Atletas!E142="Juvenil 65kg",6,IF(Atletas!E142="Juvenil 70kg",7,IF(Atletas!E142="Juvenil 75kg",8,IF(Atletas!E142="Juvenil 82kg",9,IF(Atletas!E142="Juvenil 90kg",10,IF(Atletas!E142="Juvenil 100kg",11,IF(Atletas!E142="Adulto 48kg",12,IF(Atletas!E142="Adulto 52kg",13,IF(Atletas!E142="Adulto 56kg",14,IF(Atletas!E142="Adulto 60kg",15,IF(Atletas!E142="Adulto 65kg",16,IF(Atletas!E142="Adulto 70kg",17,IF(Atletas!E142="Adulto 75kg",18,IF(Atletas!E142="Adulto 82kg",19,IF(Atletas!E142="Adulto 90kg",20,IF(Atletas!E142="Adulto 100kg",21,IF(Atletas!E142="Adulto +100kg",22,""))))))))))))))))))))))))</f>
        <v/>
      </c>
      <c r="AT146" s="10" t="str">
        <f>IF(Atletas!F142="","",IF(Atletas!B142="Feminino",100,IF(Atletas!B142="Masculino",200,""))+(IF(Atletas!F142="Adulto 48kg",1,IF(Atletas!F142="Adulto 56kg",2,IF(Atletas!F142="Adulto 65kg",3,IF(Atletas!F142="Adulto 75kg",4,IF(Atletas!F142="Adulto +75kg",5,IF(Atletas!F142="Adulto 52kg",6,IF(Atletas!F142="Adulto 60kg",7,IF(Atletas!F142="Adulto 70kg",8,IF(Atletas!F142="Adulto 80kg",9,IF(Atletas!F142="Adulto 90kg",10,IF(Atletas!F142="Adulto +90kg",11,"")))))))))))))</f>
        <v/>
      </c>
      <c r="AY146" s="46" t="str">
        <f>IF(Atletas!G142="","",IF(Atletas!B142="Feminino",100,IF(Atletas!B142="Masculino",200,""))+(IF(Atletas!G142="Changquan Mirim",1,IF(Atletas!G142="Nanquan Mirim",2,IF(Atletas!G142="Taijiquan Mirim",3,IF(Atletas!G142="Changquan Grupo C",4,IF(Atletas!G142="Nanquan Grupo C",5,IF(Atletas!G142="Taijiquan Grupo C",6,IF(Atletas!G142="Changquan Grupo B",7,IF(Atletas!G142="Nanquan Grupo B",8,IF(Atletas!G142="Taijiquan Grupo B",9,IF(Atletas!G142="Changquan Grupo A",10,IF(Atletas!G142="Nanquan Grupo A",11,IF(Atletas!G142="Taijiquan Grupo A",12,IF(Atletas!G142="Changquan Opcional",13,IF(Atletas!G142="Nanquan Opcional",14,IF(Atletas!G142="Taijiquan Opcional",15,IF(Atletas!G142="Changquan Adulto",16,IF(Atletas!G142="Nanquan Adulto",17,IF(Atletas!G142="Taijiquan Adulto",18,""))))))))))))))))))))</f>
        <v/>
      </c>
      <c r="AZ146" s="46" t="str">
        <f>IF(Atletas!H142="","",IF(Atletas!B142="Feminino",100,IF(Atletas!B142="Masculino",200,""))+(IF(Atletas!H142="Daoshu Mirim",19,IF(Atletas!H142="Jianshu Mirim",20,IF(Atletas!H142="Nandao Mirim",21,IF(Atletas!H142="Taijijian Mirim",22,IF(Atletas!H142="Daoshu Grupo C",23,IF(Atletas!H142="Jianshu Grupo C",24,IF(Atletas!H142="Nandao Grupo C",25,IF(Atletas!H142="Taijijian Grupo C",26,IF(Atletas!H142="Daoshu Grupo B",27,IF(Atletas!H142="Jianshu Grupo B",28,IF(Atletas!H142="Nandao Grupo B",29,IF(Atletas!H142="Taijijian Grupo B",30,IF(Atletas!H142="Daoshu Grupo A",31,IF(Atletas!H142="Jianshu Grupo A",32,IF(Atletas!H142="Nandao Grupo A",33,IF(Atletas!H142="Taijijian Grupo A",34,IF(Atletas!H142="Daoshu Opcional",35,IF(Atletas!H142="Jianshu Opcional",36,IF(Atletas!H142="Nandao Opcional",37,IF(Atletas!H142="Taijijian Opcional",38,IF(Atletas!H142="Daoshu Adulto",39,IF(Atletas!H142="Jianshu Adulto",40,IF(Atletas!H142="Nandao Adulto",41,IF(Atletas!H142="Taijijian Adulto",42,""))))))))))))))))))))))))))</f>
        <v/>
      </c>
      <c r="BA146" s="46" t="str">
        <f>IF(Atletas!I142="","",IF(Atletas!B142="Feminino",100,IF(Atletas!B142="Masculino",200,""))+(IF(Atletas!I142="Gunshu Mirim",43,IF(Atletas!I142="Qiangshu Mirim",44,IF(Atletas!I142="Nangun Mirim",45,IF(Atletas!I142="Gunshu Grupo C",46,IF(Atletas!I142="Qiangshu Grupo C",47,IF(Atletas!I142="Nangun Grupo C",48,IF(Atletas!I142="Gunshu Grupo B",49,IF(Atletas!I142="Qiangshu Grupo B",50,IF(Atletas!I142="Nangun Grupo B",51,IF(Atletas!I142="Gunshu Grupo A",52,IF(Atletas!I142="Qiangshu Grupo A",53,IF(Atletas!I142="Nangun Grupo A",54,IF(Atletas!I142="Gunshu Opcional",55,IF(Atletas!I142="Qiangshu Opcional",56,IF(Atletas!I142="Nangun Opcional",57,IF(Atletas!I142="Gunshu Adulto",58,IF(Atletas!I142="Qiangshu Adulto",59,IF(Atletas!I142="Nangun Adulto",60,""))))))))))))))))))))</f>
        <v/>
      </c>
      <c r="BF146" s="52" t="str">
        <f>IF(Atletas!J142="","",IF(Atletas!B142="Feminino",100,IF(Atletas!B142="Masculino",200,""))+(IF(Atletas!J142="Equipe 1 Grupo B",1,IF(Atletas!J142="Equipe 2 Grupo B",2,IF(Atletas!J142="Equipe 1 Grupo A",3,IF(Atletas!J142="Equipe 2 Grupo A",4,IF(Atletas!J142="Equipe 1 Adulto",5,IF(Atletas!J142="Equipe 2 Adulto",6,""))))))))</f>
        <v/>
      </c>
      <c r="BK146" s="52" t="str">
        <f>IF(Atletas!K142="","",IF(Atletas!W142&lt;&gt;"",10000,0)+(IF(Atletas!B142="Feminino",1000,IF(Atletas!B142="Masculino",2000,""))+IF(Atletas!K142="Choylayfut A",1,IF(Atletas!K142="Hunggar A",2,IF(Atletas!K142="Wuzuquan A",3,IF(Atletas!K142="Wingchun A",4,IF(Atletas!K142="Outra Mão de Sul A",5,IF(Atletas!K142="Choylayfut B",6,IF(Atletas!K142="Hunggar B",7,IF(Atletas!K142="Wuzuquan B",8,IF(Atletas!K142="Wingchun B",9,IF(Atletas!K142="Outra Mão de Sul B",10,IF(Atletas!K142="Choylayfut C",11,IF(Atletas!K142="Hunggar C",12,IF(Atletas!K142="Wuzuquan C",13,IF(Atletas!K142="Wingchun C",14,IF(Atletas!K142="Outra Mão de Sul C",15,IF(Atletas!K142="Choylayfut D",16,IF(Atletas!K142="Hunggar D",17,IF(Atletas!K142="Wuzuquan D",18,IF(Atletas!K142="Wingchun D",19,IF(Atletas!K142="Outra Mão de Sul D",20,IF(Atletas!K142="Choylayfut E",21,IF(Atletas!K142="Hunggar E",22,IF(Atletas!K142="Wuzuquan E",23,IF(Atletas!K142="Wingchun E",24,IF(Atletas!K142="Outra Mão de Sul E",25,IF(Atletas!K142="Choylayfut F",26,IF(Atletas!K142="Hunggar F",27,IF(Atletas!K142="Wuzuquan F",28,IF(Atletas!K142="Wingchun F",29,IF(Atletas!K142="Outra Mão de Sul F",30,""))))))))))))))))))))))))))))))))</f>
        <v/>
      </c>
      <c r="BL146" s="52" t="str">
        <f>IF(Atletas!L142="","",IF(Atletas!W142&lt;&gt;"",10000,0)+(IF(Atletas!B142="Feminino",1000,IF(Atletas!B142="Masculino",2000,""))+(IF(Atletas!L142="Chaquan A",101,IF(Atletas!L142="Emeiquan A",102,IF(Atletas!L142="Fanziquan A",103,IF(Atletas!L142="Huaquan A",104,IF(Atletas!L142="Hongquan A",105,IF(Atletas!L142="Paochui A",106,IF(Atletas!L142="Piguaquan A",107,IF(Atletas!L142="Shaolinquan A",108,IF(Atletas!L142="Tanglangquan A",109,IF(Atletas!L142="Yinzhaophai A",110,IF(Atletas!L142="Tongbeiquan A",111,IF(Atletas!L142="Wudangquan A",112,IF(Atletas!L142="Outros Estilos A",113,IF(Atletas!L142="Chaquan B",114,IF(Atletas!L142="Emeiquan B",115,IF(Atletas!L142="Fanziquan B",116,IF(Atletas!L142="Huaquan B",117,IF(Atletas!L142="Hongquan B",118,IF(Atletas!L142="Paochui B",119,IF(Atletas!L142="Piguaquan B",120,IF(Atletas!L142="Shaolinquan B",121,IF(Atletas!L142="Tanglangquan B",122,IF(Atletas!L142="Yinzhaophai B",123,IF(Atletas!L142="Tongbeiquan B",124,IF(Atletas!L142="Wudangquan B",125,IF(Atletas!L142="Outros Estilos B",126,IF(Atletas!L142="Chaquan C",127,IF(Atletas!L142="Emeiquan C",128,IF(Atletas!L142="Fanziquan C",129,IF(Atletas!L142="Huaquan C",130,IF(Atletas!L142="Hongquan C",131,IF(Atletas!L142="Paochui C",132,IF(Atletas!L142="Piguaquan C",133,IF(Atletas!L142="Shaolinquan C",134,IF(Atletas!L142="Tanglangquan C",135,IF(Atletas!L142="Yinzhaophai C",136,IF(Atletas!L142="Tongbeiquan C",137,IF(Atletas!L142="Wudangquan C",138,IF(Atletas!L142="Outros Estilos C",139,0))))))))))))))))))))))))))))))))))))))))))</f>
        <v/>
      </c>
      <c r="BM146" s="52" t="str">
        <f>IF(Atletas!L142="","",IF(Atletas!W142&lt;&gt;"",10000,0)+(IF(Atletas!B142="Feminino",1000,IF(Atletas!B142="Masculino",2000,""))+(IF(Atletas!L142="Chaquan D",140,IF(Atletas!L142="Emeiquan D",141,IF(Atletas!L142="Fanziquan D",142,IF(Atletas!L142="Huaquan D",143,IF(Atletas!L142="Hongquan D",144,IF(Atletas!L142="Paochui D",145,IF(Atletas!L142="Piguaquan D",146,IF(Atletas!L142="Shaolinquan D",147,IF(Atletas!L142="Tanglangquan D",148,IF(Atletas!L142="Yinzhaophai D",149,IF(Atletas!L142="Tongbeiquan D",150,IF(Atletas!L142="Wudangquan D",151,IF(Atletas!L142="Outros Estilos D",152,IF(Atletas!L142="Chaquan E",153,IF(Atletas!L142="Emeiquan E",154,IF(Atletas!L142="Fanziquan E",155,IF(Atletas!L142="Huaquan E",156,IF(Atletas!L142="Hongquan E",157,IF(Atletas!L142="Paochui E",158,IF(Atletas!L142="Piguaquan E",159,IF(Atletas!L142="Shaolinquan E",160,IF(Atletas!L142="Tanglangquan E",161,IF(Atletas!L142="Yinzhaophai E",162,IF(Atletas!L142="Tongbeiquan E",163,IF(Atletas!L142="Wudangquan E",164,IF(Atletas!L142="Outros Estilos E",165,IF(Atletas!L142="Chaquan F",166,IF(Atletas!L142="Emeiquan F",167,IF(Atletas!L142="Fanziquan F",168,IF(Atletas!L142="Huaquan F",169,IF(Atletas!L142="Hongquan F",170,IF(Atletas!L142="Paochui F",171,IF(Atletas!L142="Piguaquan F",172,IF(Atletas!L142="Shaolinquan F",173,IF(Atletas!L142="Tanglangquan F",174,IF(Atletas!L142="Yinzhaophai F",175,IF(Atletas!L142="Tongbeiquan F",176,IF(Atletas!L142="Wudangquan F",177,IF(Atletas!L142="Outros Estilos F",178,0))))))))))))))))))))))))))))))))))))))))))</f>
        <v/>
      </c>
      <c r="BN146" s="52" t="str">
        <f>IF(Atletas!M142="","",IF(Atletas!W142&lt;&gt;"",10000,0)+(IF(Atletas!B142="Feminino",1000,IF(Atletas!B142="Masculino",2000,""))+(IF(Atletas!M142="Ditangquan A",201,IF(Atletas!M142="Houquan A",202,IF(Atletas!M142="Zuiquan A",203,IF(Atletas!M142="Ditangquan B",204,IF(Atletas!M142="Houquan B",205,IF(Atletas!M142="Zuiquan B",206,IF(Atletas!M142="Ditangquan C",207,IF(Atletas!M142="Houquan C",208,IF(Atletas!M142="Zuiquan C",209,IF(Atletas!M142="Ditangquan D",210,IF(Atletas!M142="Houquan D",211,IF(Atletas!M142="Zuiquan D",212,IF(Atletas!M142="Ditangquan E",213,IF(Atletas!M142="Houquan E",214,IF(Atletas!M142="Zuiquan E",215,IF(Atletas!M142="Ditangquan F",216,IF(Atletas!M142="Houquan F",217,IF(Atletas!M142="Zuiquan F",218,"")))))))))))))))))))))</f>
        <v/>
      </c>
      <c r="BO146" s="52" t="str">
        <f>IF(Atletas!N142="","",IF(Atletas!W142&lt;&gt;"",10000,0)+IF(Atletas!B142="Feminino",1000,IF(Atletas!B142="Masculino",2000,""))+IF(Atletas!N142="Yang A",301,IF(Atletas!N142="Chen A",30,IF(Atletas!N142="Sun A",303,IF(Atletas!N142="Wu A",304,IF(Atletas!N142="Wu-Hao A",305,IF(Atletas!N142="Outro Taijiquan A",306,IF(Atletas!N142="Yang B",307,IF(Atletas!N142="Chen B",308,IF(Atletas!N142="Sun B",309,IF(Atletas!N142="Wu B",310,IF(Atletas!N142="Wu-Hao B",311,IF(Atletas!N142="Outro Taijiquan B",312,IF(Atletas!N142="Yang C",313,IF(Atletas!N142="Chen C",314,IF(Atletas!N142="Sun C",315,IF(Atletas!N142="Wu C",316,IF(Atletas!N142="Wu-Hao C",317,IF(Atletas!N142="Outro Taijiquan C",318,IF(Atletas!N142="Yang D",319,IF(Atletas!N142="Chen D",320,IF(Atletas!N142="Sun D",321,IF(Atletas!N142="Wu D",322,IF(Atletas!N142="Wu-Hao D",323,IF(Atletas!N142="Outro Taijiquan D",324,IF(Atletas!N142="Yang E",325,IF(Atletas!N142="Chen E",326,IF(Atletas!N142="Sun E",327,IF(Atletas!N142="Wu E",328,IF(Atletas!N142="Wu-Hao E",329,IF(Atletas!N142="Outro Taijiquan E",330,IF(Atletas!N142="Yang F",331,IF(Atletas!N142="Chen F",332,IF(Atletas!N142="Sun F",333,IF(Atletas!N142="Wu F",334,IF(Atletas!N142="Wu-Hao F",335,IF(Atletas!N142="Outro Taijiquan F",336,"")))))))))))))))))))))))))))))))))))))</f>
        <v/>
      </c>
      <c r="BP146" s="52" t="str">
        <f>IF(Atletas!O142="","",IF(Atletas!W142&lt;&gt;"",10000,0)+IF(Atletas!B142="Feminino",1000,IF(Atletas!B142="Masculino",2000,""))+IF(OR(Atletas!O142="Yang 26 A",Atletas!O142="Yang 40 A"),401,IF(OR(Atletas!O142="Chen 25 A",Atletas!O142="Chen 36 A",Atletas!O142="Chen 56 A"),402,IF(Atletas!O142="Sun 73 A",403,IF(Atletas!O142="Wu 45 A",404,IF(Atletas!O142="Wu-Hao 46 A",405,IF(OR(Atletas!O142="Taijiquan 16 A",Atletas!O142="Taijiquan 24 A",Atletas!O142="Taijiquan 32 A",Atletas!O142="Taijiquan 42 A"),406,IF(OR(Atletas!O142="Yang 26 B",Atletas!O142="Yang 40 B"),407,IF(OR(Atletas!O142="Chen 25 B",Atletas!O142="Chen 36 B",Atletas!O142="Chen 56 B"),408,IF(Atletas!O142="Sun 73 B",409,IF(Atletas!O142="Wu 45 B",410,IF(Atletas!O142="Wu-Hao 46 B",411,IF(OR(Atletas!O142="Taijiquan 16 B",Atletas!O142="Taijiquan 24 B",Atletas!O142="Taijiquan 32 B",Atletas!O142="Taijiquan 42 B"),412,IF(OR(Atletas!O142="Yang 26 C",Atletas!O142="Yang 40 C"),413,IF(OR(Atletas!O142="Chen 25 C",Atletas!O142="Chen 36 C",Atletas!O142="Chen 56 C"),414,IF(Atletas!O142="Sun 73 C",415,IF(Atletas!O142="Wu 45 C",416,IF(Atletas!O142="Wu-Hao 46 C",417,IF(OR(Atletas!O142="Taijiquan 16 C",Atletas!O142="Taijiquan 24 C",Atletas!O142="Taijiquan 32 C",Atletas!O142="Taijiquan 42 C"),418,0)))))))))))))))))))</f>
        <v/>
      </c>
      <c r="BQ146" s="52" t="str">
        <f>IF(Atletas!O142="","",IF(Atletas!W142&lt;&gt;"",10000,0)+IF(Atletas!B142="Feminino",1000,IF(Atletas!B142="Masculino",2000,""))+IF(OR(Atletas!O142="Yang 26 D",Atletas!O142="Yang 40 D"),419,IF(OR(Atletas!O142="Chen 25 D",Atletas!O142="Chen 36 D",Atletas!O142="Chen 56 D"),420,IF(Atletas!O142="Sun 73 D",421,IF(Atletas!O142="Wu 45 D",422,IF(Atletas!O142="Wu-Hao 46 D",423,IF(OR(Atletas!O142="Taijiquan 16 D",Atletas!O142="Taijiquan 24 D",Atletas!O142="Taijiquan 32 D",Atletas!O142="Taijiquan 42 D"),424,IF(OR(Atletas!O142="Yang 26 E",Atletas!O142="Yang 40 E"),425,IF(OR(Atletas!O142="Chen 25 E",Atletas!O142="Chen 36 E",Atletas!O142="Chen 56 E"),426,IF(Atletas!O142="Sun 73 E",427,IF(Atletas!O142="Wu 45 E",428,IF(Atletas!O142="Wu-Hao 46 E",429,IF(OR(Atletas!O142="Taijiquan 16 E",Atletas!O142="Taijiquan 24 E",Atletas!O142="Taijiquan 32 E",Atletas!O142="Taijiquan 42 E"),430,IF(OR(Atletas!O142="Yang 26 F",Atletas!O142="Yang 40 F"),431,IF(OR(Atletas!O142="Chen 25 F",Atletas!O142="Chen 36 F",Atletas!O142="Chen 56 F"),432,IF(Atletas!O142="Sun 73 F",433,IF(Atletas!O142="Wu 45 F",434,IF(Atletas!O142="Wu-Hao 46 F",435,IF(OR(Atletas!O142="Taijiquan 16 F",Atletas!O142="Taijiquan 24 F",Atletas!O142="Taijiquan 32 F",Atletas!O142="Taijiquan 42 F"),436,0)))))))))))))))))))</f>
        <v/>
      </c>
      <c r="BR146" s="52" t="str">
        <f>IF(Atletas!P142="","",IF(Atletas!W142&lt;&gt;"",10000,0)+IF(Atletas!B142="Feminino",1000,IF(Atletas!B142="Masculino",2000,""))+IF(Atletas!P142="Xingyiquan A",501,IF(Atletas!P142="Baguazhang A",502,IF(Atletas!P142="Outro Estilo Interno A",503,IF(Atletas!P142="Xingyiquan B",504,IF(Atletas!P142="Baguazhang B",505,IF(Atletas!P142="Outro Estilo Interno B",506,IF(Atletas!P142="Xingyiquan C",507,IF(Atletas!P142="Baguazhang C",508,IF(Atletas!P142="Outro Estilo Interno C",509,IF(Atletas!P142="Xingyiquan D",510,IF(Atletas!P142="Baguazhang D",511,IF(Atletas!P142="Outro Estilo Interno D",512,IF(Atletas!P142="Xingyiquan E",513,IF(Atletas!P142="Baguazhang E",514,IF(Atletas!P142="Outro Estilo Interno E",515,IF(Atletas!P142="Xingyiquan F",516,IF(Atletas!P142="Baguazhang F",517,IF(Atletas!P142="Outro Estilo Interno F",518, "")))))))))))))))))))</f>
        <v/>
      </c>
      <c r="BS146" s="52" t="str">
        <f>IF(Atletas!Q142="","",IF(Atletas!W142&lt;&gt;"",10000,0)+IF(Atletas!B142="Feminino",1000,IF(Atletas!B142="Masculino",2000,""))+IF(Atletas!Q142="Dao A",601,IF(Atletas!Q142="Jian A",602,IF(Atletas!Q142="Bishou A",603,IF(Atletas!Q142="Shan A",604,IF(Atletas!Q142="Outra Arma Curta A",605,IF(Atletas!Q142="Dao B",606,IF(Atletas!Q142="Jian B",607,IF(Atletas!Q142="Bishou B",608,IF(Atletas!Q142="Shan B",609,IF(Atletas!Q142="Outra Arma Curta B",610,IF(Atletas!Q142="Dao C",611,IF(Atletas!Q142="Jian C",612,IF(Atletas!Q142="Bishou C",613,IF(Atletas!Q142="Shan C",614,IF(Atletas!Q142="Outra Arma Curta C",615,IF(Atletas!Q142="Dao D",616,IF(Atletas!Q142="Jian D",617,IF(Atletas!Q142="Bishou D",618,IF(Atletas!Q142="Shan D",619,IF(Atletas!Q142="Outra Arma Curta D",620,IF(Atletas!Q142="Dao E",621,IF(Atletas!Q142="Jian E",622,IF(Atletas!Q142="Bishou E",623,IF(Atletas!Q142="Shan E",624,IF(Atletas!Q142="Outra Arma Curta E",625,IF(Atletas!Q142="Dao F",626,IF(Atletas!Q142="Jian F",627,IF(Atletas!Q142="Bishou F",628,IF(Atletas!Q142="Shan F",629,IF(Atletas!Q142="Outra Arma Curta F",630, "")))))))))))))))))))))))))))))))</f>
        <v/>
      </c>
      <c r="BT146" s="52" t="str">
        <f>IF(Atletas!R142="","",IF(Atletas!W142&lt;&gt;"",10000,0)+IF(Atletas!B142="Feminino",1000,IF(Atletas!B142="Masculino",2000,""))+IF(Atletas!R142="Gun A",701,IF(Atletas!R142="Qiang A",702,IF(Atletas!R142="Pudao / Guandao A",703,IF(Atletas!R142="Outra Arma Longa A",704,IF(Atletas!R142="Gun B",705,IF(Atletas!R142="Qiang B",706,IF(Atletas!R142="Pudao / Guandao B",707,IF(Atletas!R142="Outra Arma Longa B",708,IF(Atletas!R142="Gun C",709,IF(Atletas!R142="Qiang C",710,IF(Atletas!R142="Pudao / Guandao C",711,IF(Atletas!R142="Outra Arma Longa C",712,IF(Atletas!R142="Gun D",713,IF(Atletas!R142="Qiang D",714,IF(Atletas!R142="Pudao / Guandao D",715,IF(Atletas!R142="Outra Arma Longa D",716,IF(Atletas!R142="Gun E",717,IF(Atletas!R142="Qiang E",718,IF(Atletas!R142="Pudao / Guandao E",719,IF(Atletas!R142="Outra Arma Longa E",720,IF(Atletas!R142="Gun F",721,IF(Atletas!R142="Qiang F",722,IF(Atletas!R142="Pudao / Guandao F",723,IF(Atletas!R142="Outra Arma Longa F",724,"")))))))))))))))))))))))))</f>
        <v/>
      </c>
      <c r="BU146" s="52" t="str">
        <f>IF(Atletas!S142="","",IF(Atletas!W142&lt;&gt;"",10000,0)+IF(Atletas!B142="Feminino",1000,IF(Atletas!B142="Masculino",2000,""))+IF(Atletas!S142="Arma Dupla A",801,IF(Atletas!S142="Arma Maleável A",802,IF(Atletas!S142="Arma Dupla B",803,IF(Atletas!S142="Arma Maleável B",804,IF(Atletas!S142="Arma Dupla C",805,IF(Atletas!S142="Arma Maleável C",806,IF(Atletas!S142="Arma Dupla D",807,IF(Atletas!S142="Arma Maleável D",808,IF(Atletas!S142="Arma Dupla E",809,IF(Atletas!S142="Arma Maleável E",810,IF(Atletas!S142="Arma Dupla F",811,IF(Atletas!S142="Arma Maleável F",812, "")))))))))))))</f>
        <v/>
      </c>
      <c r="BV146" s="52" t="str">
        <f>IF(Atletas!T142="","",IF(Atletas!W142&lt;&gt;"",10000,0)+IF(Atletas!B142="Feminino",1000,IF(Atletas!B142="Masculino",2000,""))+IF(Atletas!T142="Taijijian Yang A",901,IF(Atletas!T142="Taijijian Chen A",902,IF(Atletas!T142="Taijijian Sun A",903,IF(Atletas!T142="Taijijian Wu A",904,IF(Atletas!T142="Taijijian Wu-Hao A",905,IF(Atletas!T142="Taijijian 32 A",906,IF(Atletas!T142="Taijijian 42 A",907,IF(Atletas!T142="Taijijian Yang B",908,IF(Atletas!T142="Taijijian Chen B",909,IF(Atletas!T142="Taijijian Sun B",910,IF(Atletas!T142="Taijijian Wu B",911,IF(Atletas!T142="Taijijian Wu-Hao B",912,IF(Atletas!T142="Taijijian 32 B",913,IF(Atletas!T142="Taijijian 42 B",914,IF(Atletas!T142="Taijijian Yang C",915,IF(Atletas!T142="Taijijian Chen C",916,IF(Atletas!T142="Taijijian Sun C",917,IF(Atletas!T142="Taijijian Wu C",918,IF(Atletas!T142="Taijijian Wu-Hao C",919,IF(Atletas!T142="Taijijian 32 C",920,IF(Atletas!T142="Taijijian 42 C",921,IF(Atletas!T142="Taijijian Yang D",922,IF(Atletas!T142="Taijijian Chen D",923,IF(Atletas!T142="Taijijian Sun D",924,IF(Atletas!T142="Taijijian Wu D",925,IF(Atletas!T142="Taijijian Wu-Hao D",926,IF(Atletas!T142="Taijijian 32 D",927,IF(Atletas!T142="Taijijian 42 D",928,IF(Atletas!T142="Taijijian Yang E",929,IF(Atletas!T142="Taijijian Chen E",930,IF(Atletas!T142="Taijijian Sun E",931,IF(Atletas!T142="Taijijian Wu E",932,IF(Atletas!T142="Taijijian Wu-Hao E",933,IF(Atletas!T142="Taijijian 32 E",934,IF(Atletas!T142="Taijijian 42 E",935,IF(Atletas!T142="Taijijian Yang F",936,IF(Atletas!T142="Taijijian Chen F",937,IF(Atletas!T142="Taijijian Sun F",938,IF(Atletas!T142="Taijijian Wu F",939,IF(Atletas!T142="Taijijian Wu-Hao F",940,IF(Atletas!T142="Taijijian 32 F",941,IF(Atletas!T142="Taijijian 42 F",942,"")))))))))))))))))))))))))))))))))))))))))))</f>
        <v/>
      </c>
      <c r="BW146" s="52" t="str">
        <f>IF(Atletas!U142="","",IF(Atletas!W142&lt;&gt;"",10000,0)+IF(Atletas!B142="Feminino",1000,IF(Atletas!B142="Masculino",2000,""))+IF(Atletas!T142="Taijijian 42 F",942,IF(Atletas!U142="Taijidao A",943,IF(Atletas!U142="Taijishan A",944,IF(Atletas!U142="Taijiqiang A",945,IF(Atletas!U142="Taijidao B",946,IF(Atletas!U142="Taijishan B",947,IF(Atletas!U142="Taijiqiang B",948,IF(Atletas!U142="Taijidao C",949,IF(Atletas!U142="Taijishan C",950,IF(Atletas!U142="Taijiqiang C",951,IF(Atletas!U142="Taijidao D",952,IF(Atletas!U142="Taijishan D",953,IF(Atletas!U142="Taijiqiang D",954,IF(Atletas!U142="Taijidao E",955,IF(Atletas!U142="Taijishan E",956,IF(Atletas!U142="Taijiqiang E",957,IF(Atletas!U142="Taijidao F",958,IF(Atletas!U142="Taijishan F",959,IF(Atletas!U142="Taijiqiang F",960))))))))))))))))))))</f>
        <v/>
      </c>
      <c r="BX146" s="72" t="str">
        <f>IF(BY146&lt;&gt;"","TJQ Trad. Chen C","")</f>
        <v/>
      </c>
      <c r="BY146" s="72" t="str">
        <f>IF(COUNTIF(BK:BW,1314)&gt;0,COUNTIF(BK:BW,1314),"")</f>
        <v/>
      </c>
      <c r="BZ146" s="72" t="str">
        <f>IF(CA146&lt;&gt;"","TJQ Trad. Chen C","")</f>
        <v/>
      </c>
      <c r="CA146" s="72" t="str">
        <f>IF(COUNTIF(BK:BW,2314)&gt;0,COUNTIF(BK:BW,2314),"")</f>
        <v/>
      </c>
      <c r="CB146" s="72" t="str">
        <f>IF(CC146&lt;&gt;"","Chen C","")</f>
        <v/>
      </c>
      <c r="CC146" s="64" t="str">
        <f>IF(COUNTIF(BK:BW,11314)&gt;0,COUNTIF(BK:BW,11314),"")</f>
        <v/>
      </c>
      <c r="CD146" s="64" t="str">
        <f>IF(CE146&lt;&gt;"","Chen C","")</f>
        <v/>
      </c>
      <c r="CE146" s="64" t="str">
        <f>IF(COUNTIF(BK:BW,12314)&gt;0,COUNTIF(BK:BW,12314),"")</f>
        <v/>
      </c>
      <c r="CF146" s="52" t="str">
        <f xml:space="preserve"> IF(Atletas!V142="","",IF(Atletas!V142="Duilian de Mãos AB - Equipe 1",1,IF(Atletas!V142="Duilian de Mãos AB - Equipe 2",2,IF(Atletas!V142="Duilian de Armas AB - Equipe 1",3,IF(Atletas!V142="Duilian de Armas AB - Equipe 2",4,IF(Atletas!V142="Duilian de Tuishou - Equipe 1",5,IF(Atletas!V142="Duilian de Tuishou - Equipe 2",6,IF(Atletas!V142="Grupo Externo AB - Equipe 1",7,IF(Atletas!V142="Grupo Externo AB - Equipe 2",8,IF(Atletas!V142="Grupo Interno AB - Equipe 1",9,IF(Atletas!V142="Grupo Interno AB - Equipe 2",10,IF(Atletas!V142="Duilian de Mãos CD - Equipe 1",11,IF(Atletas!V142="Duilian de Mãos CD - Equipe 2",12,IF(Atletas!V142="Duilian de Armas CD - Equipe 1",13,IF(Atletas!V142="Duilian de Armas CD - Equipe 2",14,IF(Atletas!V142="Duilian de Tuishou - Equipe 1",15,IF(Atletas!V142="Duilian de Tuishou - Equipe 2",16,IF(Atletas!V142="Grupo Externo CDEF - Equipe 1",17,IF(Atletas!V142="Grupo Externo CDEF - Equipe 2",18,IF(Atletas!V142="Grupo Interno CDEF - Equipe 1",19,IF(Atletas!V142="Grupo Interno CDEF - Equipe 2",20,IF(Atletas!V142="Duilian de Mãos EF - Equipe 1",21,IF(Atletas!V142="Duilian de Mãos EF - Equipe 2",22,IF(Atletas!V142="Duilian de Armas EF - Equipe 1",23,IF(Atletas!V142="Duilian de Armas EF - Equipe 2",24,IF(Atletas!V142="Duilian de Tuishou - Equipe 1",25,IF(Atletas!V142="Duilian de Tuishou - Equipe 2",26,"")))))))))))))))))))))))))))</f>
        <v/>
      </c>
    </row>
    <row r="147" spans="2:84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 t="str">
        <f t="array" ref="V147">IFERROR(INDEX(BX$7:BX$336,SMALL(IF(BX$7:BX$336&lt;&gt;"",ROW(BX$7:BX$336)-ROW(BX$7)+1),ROWS(BX$7:BX146))),"")</f>
        <v/>
      </c>
      <c r="W147" s="4" t="str">
        <f t="array" ref="W147">IFERROR(INDEX(BY$7:BY$336,SMALL(IF(BY$7:BY$336&lt;&gt;"",ROW(BY$7:BY$336)-ROW(BY$7)+1),ROWS(BY$7:BY146))),"")</f>
        <v/>
      </c>
      <c r="X147" s="4" t="str">
        <f t="array" ref="X147">IFERROR(INDEX(BZ$7:BZ$336,SMALL(IF(BZ$7:BZ$336&lt;&gt;"",ROW(BZ$7:BZ$336)-ROW(BZ$7)+1),ROWS(BZ$7:BZ146))),"")</f>
        <v/>
      </c>
      <c r="Y147" s="4" t="str">
        <f t="array" ref="Y147">IFERROR(INDEX(CA$7:CA$336,SMALL(IF(CA$7:CA$336&lt;&gt;"",ROW(CA$7:CA$336)-ROW(CA$7)+1),ROWS(CA$7:CA146))),"")</f>
        <v/>
      </c>
      <c r="Z147" s="4" t="str">
        <f t="array" ref="Z147">IFERROR(INDEX(CB$7:CB$378,SMALL(IF(CB$7:CB$378&lt;&gt;"",ROW(CB$7:CB$378)-ROW(CB$7)+1),ROWS(CB$7:CB146))),"")</f>
        <v/>
      </c>
      <c r="AA147" s="4" t="str">
        <f t="array" ref="AA147">IFERROR(INDEX(CC$7:CC$378,SMALL(IF(CC$7:CC$378&lt;&gt;"",ROW(CC$7:CC$378)-ROW(CC$7)+1),ROWS(CC$7:CC146))),"")</f>
        <v/>
      </c>
      <c r="AB147" s="4" t="str">
        <f t="array" ref="AB147">IFERROR(INDEX(CD$7:CD$378,SMALL(IF(CD$7:CD$378&lt;&gt;"",ROW(CD$7:CD$378)-ROW(CD$7)+1),ROWS(CD$7:CD146))),"")</f>
        <v/>
      </c>
      <c r="AC147" s="4" t="str">
        <f t="array" ref="AC147">IFERROR(INDEX(CE$7:CE$378,SMALL(IF(CE$7:CE$378&lt;&gt;"",ROW(CE$7:CE$378)-ROW(CE$7)+1),ROWS(CE$7:CE146))),"")</f>
        <v/>
      </c>
      <c r="AD147" s="4"/>
      <c r="AE147" s="4"/>
      <c r="AF147" s="4"/>
      <c r="AG147" s="4"/>
      <c r="AH147" s="4"/>
      <c r="AI147" s="4"/>
      <c r="AJ147" s="46" t="str">
        <f>IF(Atletas!D143="","",IF(Atletas!B143="Feminino",100,IF(Atletas!B143="Masculino",200,""))+(IF(Atletas!D143="Infantil 39kg",1,IF(Atletas!D143="Infantil 42kg",2,IF(Atletas!D143="Infantil 45kg",3,IF(Atletas!D143="Infantil 48kg",4,IF(Atletas!D143="Infantil 52kg",5,IF(Atletas!D143="Infantil 56kg",6,IF(Atletas!D143="Infantil 60kg",7,IF(Atletas!D143="Juvenil 48kg",8,IF(Atletas!D143="Juvenil 52kg",9,IF(Atletas!D143="Juvenil 56kg",10,IF(Atletas!D143="Juvenil 60kg",11,IF(Atletas!D143="Juvenil 65kg",12,IF(Atletas!D143="Juvenil 70kg",13,IF(Atletas!D143="Juvenil 75kg",14,IF(Atletas!D143="Juvenil 80kg",15,IF(Atletas!D143="Adulto 48kg",16,IF(Atletas!D143="Adulto 52kg",17,IF(Atletas!D143="Adulto 56kg",18,IF(Atletas!D143="Adulto 60kg",19,IF(Atletas!D143="Adulto 65kg",20,IF(Atletas!D143="Adulto 70kg",21,IF(Atletas!D143="Adulto 75kg",22,IF(Atletas!D143="Adulto 80kg",23,IF(Atletas!D143="Adulto 85kg",24,IF(Atletas!D143="Adulto 90kg",25,IF(Atletas!D143="Adulto +90kg",26,""))))))))))))))))))))))))))))</f>
        <v/>
      </c>
      <c r="AO147" s="10" t="str">
        <f>IF(Atletas!E143="","",IF(Atletas!B143="Feminino",100,IF(Atletas!B143="Masculino",200,""))+(IF(Atletas!E143="Juvenil 44kg",1,IF(Atletas!E143="Juvenil 48kg",2,IF(Atletas!E143="Juvenil 52kg",3,IF(Atletas!E143="Juvenil 56kg",4,IF(Atletas!E143="Juvenil 60kg",5,IF(Atletas!E143="Juvenil 65kg",6,IF(Atletas!E143="Juvenil 70kg",7,IF(Atletas!E143="Juvenil 75kg",8,IF(Atletas!E143="Juvenil 82kg",9,IF(Atletas!E143="Juvenil 90kg",10,IF(Atletas!E143="Juvenil 100kg",11,IF(Atletas!E143="Adulto 48kg",12,IF(Atletas!E143="Adulto 52kg",13,IF(Atletas!E143="Adulto 56kg",14,IF(Atletas!E143="Adulto 60kg",15,IF(Atletas!E143="Adulto 65kg",16,IF(Atletas!E143="Adulto 70kg",17,IF(Atletas!E143="Adulto 75kg",18,IF(Atletas!E143="Adulto 82kg",19,IF(Atletas!E143="Adulto 90kg",20,IF(Atletas!E143="Adulto 100kg",21,IF(Atletas!E143="Adulto +100kg",22,""))))))))))))))))))))))))</f>
        <v/>
      </c>
      <c r="AT147" s="10" t="str">
        <f>IF(Atletas!F143="","",IF(Atletas!B143="Feminino",100,IF(Atletas!B143="Masculino",200,""))+(IF(Atletas!F143="Adulto 48kg",1,IF(Atletas!F143="Adulto 56kg",2,IF(Atletas!F143="Adulto 65kg",3,IF(Atletas!F143="Adulto 75kg",4,IF(Atletas!F143="Adulto +75kg",5,IF(Atletas!F143="Adulto 52kg",6,IF(Atletas!F143="Adulto 60kg",7,IF(Atletas!F143="Adulto 70kg",8,IF(Atletas!F143="Adulto 80kg",9,IF(Atletas!F143="Adulto 90kg",10,IF(Atletas!F143="Adulto +90kg",11,"")))))))))))))</f>
        <v/>
      </c>
      <c r="AY147" s="46" t="str">
        <f>IF(Atletas!G143="","",IF(Atletas!B143="Feminino",100,IF(Atletas!B143="Masculino",200,""))+(IF(Atletas!G143="Changquan Mirim",1,IF(Atletas!G143="Nanquan Mirim",2,IF(Atletas!G143="Taijiquan Mirim",3,IF(Atletas!G143="Changquan Grupo C",4,IF(Atletas!G143="Nanquan Grupo C",5,IF(Atletas!G143="Taijiquan Grupo C",6,IF(Atletas!G143="Changquan Grupo B",7,IF(Atletas!G143="Nanquan Grupo B",8,IF(Atletas!G143="Taijiquan Grupo B",9,IF(Atletas!G143="Changquan Grupo A",10,IF(Atletas!G143="Nanquan Grupo A",11,IF(Atletas!G143="Taijiquan Grupo A",12,IF(Atletas!G143="Changquan Opcional",13,IF(Atletas!G143="Nanquan Opcional",14,IF(Atletas!G143="Taijiquan Opcional",15,IF(Atletas!G143="Changquan Adulto",16,IF(Atletas!G143="Nanquan Adulto",17,IF(Atletas!G143="Taijiquan Adulto",18,""))))))))))))))))))))</f>
        <v/>
      </c>
      <c r="AZ147" s="46" t="str">
        <f>IF(Atletas!H143="","",IF(Atletas!B143="Feminino",100,IF(Atletas!B143="Masculino",200,""))+(IF(Atletas!H143="Daoshu Mirim",19,IF(Atletas!H143="Jianshu Mirim",20,IF(Atletas!H143="Nandao Mirim",21,IF(Atletas!H143="Taijijian Mirim",22,IF(Atletas!H143="Daoshu Grupo C",23,IF(Atletas!H143="Jianshu Grupo C",24,IF(Atletas!H143="Nandao Grupo C",25,IF(Atletas!H143="Taijijian Grupo C",26,IF(Atletas!H143="Daoshu Grupo B",27,IF(Atletas!H143="Jianshu Grupo B",28,IF(Atletas!H143="Nandao Grupo B",29,IF(Atletas!H143="Taijijian Grupo B",30,IF(Atletas!H143="Daoshu Grupo A",31,IF(Atletas!H143="Jianshu Grupo A",32,IF(Atletas!H143="Nandao Grupo A",33,IF(Atletas!H143="Taijijian Grupo A",34,IF(Atletas!H143="Daoshu Opcional",35,IF(Atletas!H143="Jianshu Opcional",36,IF(Atletas!H143="Nandao Opcional",37,IF(Atletas!H143="Taijijian Opcional",38,IF(Atletas!H143="Daoshu Adulto",39,IF(Atletas!H143="Jianshu Adulto",40,IF(Atletas!H143="Nandao Adulto",41,IF(Atletas!H143="Taijijian Adulto",42,""))))))))))))))))))))))))))</f>
        <v/>
      </c>
      <c r="BA147" s="46" t="str">
        <f>IF(Atletas!I143="","",IF(Atletas!B143="Feminino",100,IF(Atletas!B143="Masculino",200,""))+(IF(Atletas!I143="Gunshu Mirim",43,IF(Atletas!I143="Qiangshu Mirim",44,IF(Atletas!I143="Nangun Mirim",45,IF(Atletas!I143="Gunshu Grupo C",46,IF(Atletas!I143="Qiangshu Grupo C",47,IF(Atletas!I143="Nangun Grupo C",48,IF(Atletas!I143="Gunshu Grupo B",49,IF(Atletas!I143="Qiangshu Grupo B",50,IF(Atletas!I143="Nangun Grupo B",51,IF(Atletas!I143="Gunshu Grupo A",52,IF(Atletas!I143="Qiangshu Grupo A",53,IF(Atletas!I143="Nangun Grupo A",54,IF(Atletas!I143="Gunshu Opcional",55,IF(Atletas!I143="Qiangshu Opcional",56,IF(Atletas!I143="Nangun Opcional",57,IF(Atletas!I143="Gunshu Adulto",58,IF(Atletas!I143="Qiangshu Adulto",59,IF(Atletas!I143="Nangun Adulto",60,""))))))))))))))))))))</f>
        <v/>
      </c>
      <c r="BF147" s="52" t="str">
        <f>IF(Atletas!J143="","",IF(Atletas!B143="Feminino",100,IF(Atletas!B143="Masculino",200,""))+(IF(Atletas!J143="Equipe 1 Grupo B",1,IF(Atletas!J143="Equipe 2 Grupo B",2,IF(Atletas!J143="Equipe 1 Grupo A",3,IF(Atletas!J143="Equipe 2 Grupo A",4,IF(Atletas!J143="Equipe 1 Adulto",5,IF(Atletas!J143="Equipe 2 Adulto",6,""))))))))</f>
        <v/>
      </c>
      <c r="BK147" s="52" t="str">
        <f>IF(Atletas!K143="","",IF(Atletas!W143&lt;&gt;"",10000,0)+(IF(Atletas!B143="Feminino",1000,IF(Atletas!B143="Masculino",2000,""))+IF(Atletas!K143="Choylayfut A",1,IF(Atletas!K143="Hunggar A",2,IF(Atletas!K143="Wuzuquan A",3,IF(Atletas!K143="Wingchun A",4,IF(Atletas!K143="Outra Mão de Sul A",5,IF(Atletas!K143="Choylayfut B",6,IF(Atletas!K143="Hunggar B",7,IF(Atletas!K143="Wuzuquan B",8,IF(Atletas!K143="Wingchun B",9,IF(Atletas!K143="Outra Mão de Sul B",10,IF(Atletas!K143="Choylayfut C",11,IF(Atletas!K143="Hunggar C",12,IF(Atletas!K143="Wuzuquan C",13,IF(Atletas!K143="Wingchun C",14,IF(Atletas!K143="Outra Mão de Sul C",15,IF(Atletas!K143="Choylayfut D",16,IF(Atletas!K143="Hunggar D",17,IF(Atletas!K143="Wuzuquan D",18,IF(Atletas!K143="Wingchun D",19,IF(Atletas!K143="Outra Mão de Sul D",20,IF(Atletas!K143="Choylayfut E",21,IF(Atletas!K143="Hunggar E",22,IF(Atletas!K143="Wuzuquan E",23,IF(Atletas!K143="Wingchun E",24,IF(Atletas!K143="Outra Mão de Sul E",25,IF(Atletas!K143="Choylayfut F",26,IF(Atletas!K143="Hunggar F",27,IF(Atletas!K143="Wuzuquan F",28,IF(Atletas!K143="Wingchun F",29,IF(Atletas!K143="Outra Mão de Sul F",30,""))))))))))))))))))))))))))))))))</f>
        <v/>
      </c>
      <c r="BL147" s="52" t="str">
        <f>IF(Atletas!L143="","",IF(Atletas!W143&lt;&gt;"",10000,0)+(IF(Atletas!B143="Feminino",1000,IF(Atletas!B143="Masculino",2000,""))+(IF(Atletas!L143="Chaquan A",101,IF(Atletas!L143="Emeiquan A",102,IF(Atletas!L143="Fanziquan A",103,IF(Atletas!L143="Huaquan A",104,IF(Atletas!L143="Hongquan A",105,IF(Atletas!L143="Paochui A",106,IF(Atletas!L143="Piguaquan A",107,IF(Atletas!L143="Shaolinquan A",108,IF(Atletas!L143="Tanglangquan A",109,IF(Atletas!L143="Yinzhaophai A",110,IF(Atletas!L143="Tongbeiquan A",111,IF(Atletas!L143="Wudangquan A",112,IF(Atletas!L143="Outros Estilos A",113,IF(Atletas!L143="Chaquan B",114,IF(Atletas!L143="Emeiquan B",115,IF(Atletas!L143="Fanziquan B",116,IF(Atletas!L143="Huaquan B",117,IF(Atletas!L143="Hongquan B",118,IF(Atletas!L143="Paochui B",119,IF(Atletas!L143="Piguaquan B",120,IF(Atletas!L143="Shaolinquan B",121,IF(Atletas!L143="Tanglangquan B",122,IF(Atletas!L143="Yinzhaophai B",123,IF(Atletas!L143="Tongbeiquan B",124,IF(Atletas!L143="Wudangquan B",125,IF(Atletas!L143="Outros Estilos B",126,IF(Atletas!L143="Chaquan C",127,IF(Atletas!L143="Emeiquan C",128,IF(Atletas!L143="Fanziquan C",129,IF(Atletas!L143="Huaquan C",130,IF(Atletas!L143="Hongquan C",131,IF(Atletas!L143="Paochui C",132,IF(Atletas!L143="Piguaquan C",133,IF(Atletas!L143="Shaolinquan C",134,IF(Atletas!L143="Tanglangquan C",135,IF(Atletas!L143="Yinzhaophai C",136,IF(Atletas!L143="Tongbeiquan C",137,IF(Atletas!L143="Wudangquan C",138,IF(Atletas!L143="Outros Estilos C",139,0))))))))))))))))))))))))))))))))))))))))))</f>
        <v/>
      </c>
      <c r="BM147" s="52" t="str">
        <f>IF(Atletas!L143="","",IF(Atletas!W143&lt;&gt;"",10000,0)+(IF(Atletas!B143="Feminino",1000,IF(Atletas!B143="Masculino",2000,""))+(IF(Atletas!L143="Chaquan D",140,IF(Atletas!L143="Emeiquan D",141,IF(Atletas!L143="Fanziquan D",142,IF(Atletas!L143="Huaquan D",143,IF(Atletas!L143="Hongquan D",144,IF(Atletas!L143="Paochui D",145,IF(Atletas!L143="Piguaquan D",146,IF(Atletas!L143="Shaolinquan D",147,IF(Atletas!L143="Tanglangquan D",148,IF(Atletas!L143="Yinzhaophai D",149,IF(Atletas!L143="Tongbeiquan D",150,IF(Atletas!L143="Wudangquan D",151,IF(Atletas!L143="Outros Estilos D",152,IF(Atletas!L143="Chaquan E",153,IF(Atletas!L143="Emeiquan E",154,IF(Atletas!L143="Fanziquan E",155,IF(Atletas!L143="Huaquan E",156,IF(Atletas!L143="Hongquan E",157,IF(Atletas!L143="Paochui E",158,IF(Atletas!L143="Piguaquan E",159,IF(Atletas!L143="Shaolinquan E",160,IF(Atletas!L143="Tanglangquan E",161,IF(Atletas!L143="Yinzhaophai E",162,IF(Atletas!L143="Tongbeiquan E",163,IF(Atletas!L143="Wudangquan E",164,IF(Atletas!L143="Outros Estilos E",165,IF(Atletas!L143="Chaquan F",166,IF(Atletas!L143="Emeiquan F",167,IF(Atletas!L143="Fanziquan F",168,IF(Atletas!L143="Huaquan F",169,IF(Atletas!L143="Hongquan F",170,IF(Atletas!L143="Paochui F",171,IF(Atletas!L143="Piguaquan F",172,IF(Atletas!L143="Shaolinquan F",173,IF(Atletas!L143="Tanglangquan F",174,IF(Atletas!L143="Yinzhaophai F",175,IF(Atletas!L143="Tongbeiquan F",176,IF(Atletas!L143="Wudangquan F",177,IF(Atletas!L143="Outros Estilos F",178,0))))))))))))))))))))))))))))))))))))))))))</f>
        <v/>
      </c>
      <c r="BN147" s="52" t="str">
        <f>IF(Atletas!M143="","",IF(Atletas!W143&lt;&gt;"",10000,0)+(IF(Atletas!B143="Feminino",1000,IF(Atletas!B143="Masculino",2000,""))+(IF(Atletas!M143="Ditangquan A",201,IF(Atletas!M143="Houquan A",202,IF(Atletas!M143="Zuiquan A",203,IF(Atletas!M143="Ditangquan B",204,IF(Atletas!M143="Houquan B",205,IF(Atletas!M143="Zuiquan B",206,IF(Atletas!M143="Ditangquan C",207,IF(Atletas!M143="Houquan C",208,IF(Atletas!M143="Zuiquan C",209,IF(Atletas!M143="Ditangquan D",210,IF(Atletas!M143="Houquan D",211,IF(Atletas!M143="Zuiquan D",212,IF(Atletas!M143="Ditangquan E",213,IF(Atletas!M143="Houquan E",214,IF(Atletas!M143="Zuiquan E",215,IF(Atletas!M143="Ditangquan F",216,IF(Atletas!M143="Houquan F",217,IF(Atletas!M143="Zuiquan F",218,"")))))))))))))))))))))</f>
        <v/>
      </c>
      <c r="BO147" s="52" t="str">
        <f>IF(Atletas!N143="","",IF(Atletas!W143&lt;&gt;"",10000,0)+IF(Atletas!B143="Feminino",1000,IF(Atletas!B143="Masculino",2000,""))+IF(Atletas!N143="Yang A",301,IF(Atletas!N143="Chen A",30,IF(Atletas!N143="Sun A",303,IF(Atletas!N143="Wu A",304,IF(Atletas!N143="Wu-Hao A",305,IF(Atletas!N143="Outro Taijiquan A",306,IF(Atletas!N143="Yang B",307,IF(Atletas!N143="Chen B",308,IF(Atletas!N143="Sun B",309,IF(Atletas!N143="Wu B",310,IF(Atletas!N143="Wu-Hao B",311,IF(Atletas!N143="Outro Taijiquan B",312,IF(Atletas!N143="Yang C",313,IF(Atletas!N143="Chen C",314,IF(Atletas!N143="Sun C",315,IF(Atletas!N143="Wu C",316,IF(Atletas!N143="Wu-Hao C",317,IF(Atletas!N143="Outro Taijiquan C",318,IF(Atletas!N143="Yang D",319,IF(Atletas!N143="Chen D",320,IF(Atletas!N143="Sun D",321,IF(Atletas!N143="Wu D",322,IF(Atletas!N143="Wu-Hao D",323,IF(Atletas!N143="Outro Taijiquan D",324,IF(Atletas!N143="Yang E",325,IF(Atletas!N143="Chen E",326,IF(Atletas!N143="Sun E",327,IF(Atletas!N143="Wu E",328,IF(Atletas!N143="Wu-Hao E",329,IF(Atletas!N143="Outro Taijiquan E",330,IF(Atletas!N143="Yang F",331,IF(Atletas!N143="Chen F",332,IF(Atletas!N143="Sun F",333,IF(Atletas!N143="Wu F",334,IF(Atletas!N143="Wu-Hao F",335,IF(Atletas!N143="Outro Taijiquan F",336,"")))))))))))))))))))))))))))))))))))))</f>
        <v/>
      </c>
      <c r="BP147" s="52" t="str">
        <f>IF(Atletas!O143="","",IF(Atletas!W143&lt;&gt;"",10000,0)+IF(Atletas!B143="Feminino",1000,IF(Atletas!B143="Masculino",2000,""))+IF(OR(Atletas!O143="Yang 26 A",Atletas!O143="Yang 40 A"),401,IF(OR(Atletas!O143="Chen 25 A",Atletas!O143="Chen 36 A",Atletas!O143="Chen 56 A"),402,IF(Atletas!O143="Sun 73 A",403,IF(Atletas!O143="Wu 45 A",404,IF(Atletas!O143="Wu-Hao 46 A",405,IF(OR(Atletas!O143="Taijiquan 16 A",Atletas!O143="Taijiquan 24 A",Atletas!O143="Taijiquan 32 A",Atletas!O143="Taijiquan 42 A"),406,IF(OR(Atletas!O143="Yang 26 B",Atletas!O143="Yang 40 B"),407,IF(OR(Atletas!O143="Chen 25 B",Atletas!O143="Chen 36 B",Atletas!O143="Chen 56 B"),408,IF(Atletas!O143="Sun 73 B",409,IF(Atletas!O143="Wu 45 B",410,IF(Atletas!O143="Wu-Hao 46 B",411,IF(OR(Atletas!O143="Taijiquan 16 B",Atletas!O143="Taijiquan 24 B",Atletas!O143="Taijiquan 32 B",Atletas!O143="Taijiquan 42 B"),412,IF(OR(Atletas!O143="Yang 26 C",Atletas!O143="Yang 40 C"),413,IF(OR(Atletas!O143="Chen 25 C",Atletas!O143="Chen 36 C",Atletas!O143="Chen 56 C"),414,IF(Atletas!O143="Sun 73 C",415,IF(Atletas!O143="Wu 45 C",416,IF(Atletas!O143="Wu-Hao 46 C",417,IF(OR(Atletas!O143="Taijiquan 16 C",Atletas!O143="Taijiquan 24 C",Atletas!O143="Taijiquan 32 C",Atletas!O143="Taijiquan 42 C"),418,0)))))))))))))))))))</f>
        <v/>
      </c>
      <c r="BQ147" s="52" t="str">
        <f>IF(Atletas!O143="","",IF(Atletas!W143&lt;&gt;"",10000,0)+IF(Atletas!B143="Feminino",1000,IF(Atletas!B143="Masculino",2000,""))+IF(OR(Atletas!O143="Yang 26 D",Atletas!O143="Yang 40 D"),419,IF(OR(Atletas!O143="Chen 25 D",Atletas!O143="Chen 36 D",Atletas!O143="Chen 56 D"),420,IF(Atletas!O143="Sun 73 D",421,IF(Atletas!O143="Wu 45 D",422,IF(Atletas!O143="Wu-Hao 46 D",423,IF(OR(Atletas!O143="Taijiquan 16 D",Atletas!O143="Taijiquan 24 D",Atletas!O143="Taijiquan 32 D",Atletas!O143="Taijiquan 42 D"),424,IF(OR(Atletas!O143="Yang 26 E",Atletas!O143="Yang 40 E"),425,IF(OR(Atletas!O143="Chen 25 E",Atletas!O143="Chen 36 E",Atletas!O143="Chen 56 E"),426,IF(Atletas!O143="Sun 73 E",427,IF(Atletas!O143="Wu 45 E",428,IF(Atletas!O143="Wu-Hao 46 E",429,IF(OR(Atletas!O143="Taijiquan 16 E",Atletas!O143="Taijiquan 24 E",Atletas!O143="Taijiquan 32 E",Atletas!O143="Taijiquan 42 E"),430,IF(OR(Atletas!O143="Yang 26 F",Atletas!O143="Yang 40 F"),431,IF(OR(Atletas!O143="Chen 25 F",Atletas!O143="Chen 36 F",Atletas!O143="Chen 56 F"),432,IF(Atletas!O143="Sun 73 F",433,IF(Atletas!O143="Wu 45 F",434,IF(Atletas!O143="Wu-Hao 46 F",435,IF(OR(Atletas!O143="Taijiquan 16 F",Atletas!O143="Taijiquan 24 F",Atletas!O143="Taijiquan 32 F",Atletas!O143="Taijiquan 42 F"),436,0)))))))))))))))))))</f>
        <v/>
      </c>
      <c r="BR147" s="52" t="str">
        <f>IF(Atletas!P143="","",IF(Atletas!W143&lt;&gt;"",10000,0)+IF(Atletas!B143="Feminino",1000,IF(Atletas!B143="Masculino",2000,""))+IF(Atletas!P143="Xingyiquan A",501,IF(Atletas!P143="Baguazhang A",502,IF(Atletas!P143="Outro Estilo Interno A",503,IF(Atletas!P143="Xingyiquan B",504,IF(Atletas!P143="Baguazhang B",505,IF(Atletas!P143="Outro Estilo Interno B",506,IF(Atletas!P143="Xingyiquan C",507,IF(Atletas!P143="Baguazhang C",508,IF(Atletas!P143="Outro Estilo Interno C",509,IF(Atletas!P143="Xingyiquan D",510,IF(Atletas!P143="Baguazhang D",511,IF(Atletas!P143="Outro Estilo Interno D",512,IF(Atletas!P143="Xingyiquan E",513,IF(Atletas!P143="Baguazhang E",514,IF(Atletas!P143="Outro Estilo Interno E",515,IF(Atletas!P143="Xingyiquan F",516,IF(Atletas!P143="Baguazhang F",517,IF(Atletas!P143="Outro Estilo Interno F",518, "")))))))))))))))))))</f>
        <v/>
      </c>
      <c r="BS147" s="52" t="str">
        <f>IF(Atletas!Q143="","",IF(Atletas!W143&lt;&gt;"",10000,0)+IF(Atletas!B143="Feminino",1000,IF(Atletas!B143="Masculino",2000,""))+IF(Atletas!Q143="Dao A",601,IF(Atletas!Q143="Jian A",602,IF(Atletas!Q143="Bishou A",603,IF(Atletas!Q143="Shan A",604,IF(Atletas!Q143="Outra Arma Curta A",605,IF(Atletas!Q143="Dao B",606,IF(Atletas!Q143="Jian B",607,IF(Atletas!Q143="Bishou B",608,IF(Atletas!Q143="Shan B",609,IF(Atletas!Q143="Outra Arma Curta B",610,IF(Atletas!Q143="Dao C",611,IF(Atletas!Q143="Jian C",612,IF(Atletas!Q143="Bishou C",613,IF(Atletas!Q143="Shan C",614,IF(Atletas!Q143="Outra Arma Curta C",615,IF(Atletas!Q143="Dao D",616,IF(Atletas!Q143="Jian D",617,IF(Atletas!Q143="Bishou D",618,IF(Atletas!Q143="Shan D",619,IF(Atletas!Q143="Outra Arma Curta D",620,IF(Atletas!Q143="Dao E",621,IF(Atletas!Q143="Jian E",622,IF(Atletas!Q143="Bishou E",623,IF(Atletas!Q143="Shan E",624,IF(Atletas!Q143="Outra Arma Curta E",625,IF(Atletas!Q143="Dao F",626,IF(Atletas!Q143="Jian F",627,IF(Atletas!Q143="Bishou F",628,IF(Atletas!Q143="Shan F",629,IF(Atletas!Q143="Outra Arma Curta F",630, "")))))))))))))))))))))))))))))))</f>
        <v/>
      </c>
      <c r="BT147" s="52" t="str">
        <f>IF(Atletas!R143="","",IF(Atletas!W143&lt;&gt;"",10000,0)+IF(Atletas!B143="Feminino",1000,IF(Atletas!B143="Masculino",2000,""))+IF(Atletas!R143="Gun A",701,IF(Atletas!R143="Qiang A",702,IF(Atletas!R143="Pudao / Guandao A",703,IF(Atletas!R143="Outra Arma Longa A",704,IF(Atletas!R143="Gun B",705,IF(Atletas!R143="Qiang B",706,IF(Atletas!R143="Pudao / Guandao B",707,IF(Atletas!R143="Outra Arma Longa B",708,IF(Atletas!R143="Gun C",709,IF(Atletas!R143="Qiang C",710,IF(Atletas!R143="Pudao / Guandao C",711,IF(Atletas!R143="Outra Arma Longa C",712,IF(Atletas!R143="Gun D",713,IF(Atletas!R143="Qiang D",714,IF(Atletas!R143="Pudao / Guandao D",715,IF(Atletas!R143="Outra Arma Longa D",716,IF(Atletas!R143="Gun E",717,IF(Atletas!R143="Qiang E",718,IF(Atletas!R143="Pudao / Guandao E",719,IF(Atletas!R143="Outra Arma Longa E",720,IF(Atletas!R143="Gun F",721,IF(Atletas!R143="Qiang F",722,IF(Atletas!R143="Pudao / Guandao F",723,IF(Atletas!R143="Outra Arma Longa F",724,"")))))))))))))))))))))))))</f>
        <v/>
      </c>
      <c r="BU147" s="52" t="str">
        <f>IF(Atletas!S143="","",IF(Atletas!W143&lt;&gt;"",10000,0)+IF(Atletas!B143="Feminino",1000,IF(Atletas!B143="Masculino",2000,""))+IF(Atletas!S143="Arma Dupla A",801,IF(Atletas!S143="Arma Maleável A",802,IF(Atletas!S143="Arma Dupla B",803,IF(Atletas!S143="Arma Maleável B",804,IF(Atletas!S143="Arma Dupla C",805,IF(Atletas!S143="Arma Maleável C",806,IF(Atletas!S143="Arma Dupla D",807,IF(Atletas!S143="Arma Maleável D",808,IF(Atletas!S143="Arma Dupla E",809,IF(Atletas!S143="Arma Maleável E",810,IF(Atletas!S143="Arma Dupla F",811,IF(Atletas!S143="Arma Maleável F",812, "")))))))))))))</f>
        <v/>
      </c>
      <c r="BV147" s="52" t="str">
        <f>IF(Atletas!T143="","",IF(Atletas!W143&lt;&gt;"",10000,0)+IF(Atletas!B143="Feminino",1000,IF(Atletas!B143="Masculino",2000,""))+IF(Atletas!T143="Taijijian Yang A",901,IF(Atletas!T143="Taijijian Chen A",902,IF(Atletas!T143="Taijijian Sun A",903,IF(Atletas!T143="Taijijian Wu A",904,IF(Atletas!T143="Taijijian Wu-Hao A",905,IF(Atletas!T143="Taijijian 32 A",906,IF(Atletas!T143="Taijijian 42 A",907,IF(Atletas!T143="Taijijian Yang B",908,IF(Atletas!T143="Taijijian Chen B",909,IF(Atletas!T143="Taijijian Sun B",910,IF(Atletas!T143="Taijijian Wu B",911,IF(Atletas!T143="Taijijian Wu-Hao B",912,IF(Atletas!T143="Taijijian 32 B",913,IF(Atletas!T143="Taijijian 42 B",914,IF(Atletas!T143="Taijijian Yang C",915,IF(Atletas!T143="Taijijian Chen C",916,IF(Atletas!T143="Taijijian Sun C",917,IF(Atletas!T143="Taijijian Wu C",918,IF(Atletas!T143="Taijijian Wu-Hao C",919,IF(Atletas!T143="Taijijian 32 C",920,IF(Atletas!T143="Taijijian 42 C",921,IF(Atletas!T143="Taijijian Yang D",922,IF(Atletas!T143="Taijijian Chen D",923,IF(Atletas!T143="Taijijian Sun D",924,IF(Atletas!T143="Taijijian Wu D",925,IF(Atletas!T143="Taijijian Wu-Hao D",926,IF(Atletas!T143="Taijijian 32 D",927,IF(Atletas!T143="Taijijian 42 D",928,IF(Atletas!T143="Taijijian Yang E",929,IF(Atletas!T143="Taijijian Chen E",930,IF(Atletas!T143="Taijijian Sun E",931,IF(Atletas!T143="Taijijian Wu E",932,IF(Atletas!T143="Taijijian Wu-Hao E",933,IF(Atletas!T143="Taijijian 32 E",934,IF(Atletas!T143="Taijijian 42 E",935,IF(Atletas!T143="Taijijian Yang F",936,IF(Atletas!T143="Taijijian Chen F",937,IF(Atletas!T143="Taijijian Sun F",938,IF(Atletas!T143="Taijijian Wu F",939,IF(Atletas!T143="Taijijian Wu-Hao F",940,IF(Atletas!T143="Taijijian 32 F",941,IF(Atletas!T143="Taijijian 42 F",942,"")))))))))))))))))))))))))))))))))))))))))))</f>
        <v/>
      </c>
      <c r="BW147" s="52" t="str">
        <f>IF(Atletas!U143="","",IF(Atletas!W143&lt;&gt;"",10000,0)+IF(Atletas!B143="Feminino",1000,IF(Atletas!B143="Masculino",2000,""))+IF(Atletas!T143="Taijijian 42 F",942,IF(Atletas!U143="Taijidao A",943,IF(Atletas!U143="Taijishan A",944,IF(Atletas!U143="Taijiqiang A",945,IF(Atletas!U143="Taijidao B",946,IF(Atletas!U143="Taijishan B",947,IF(Atletas!U143="Taijiqiang B",948,IF(Atletas!U143="Taijidao C",949,IF(Atletas!U143="Taijishan C",950,IF(Atletas!U143="Taijiqiang C",951,IF(Atletas!U143="Taijidao D",952,IF(Atletas!U143="Taijishan D",953,IF(Atletas!U143="Taijiqiang D",954,IF(Atletas!U143="Taijidao E",955,IF(Atletas!U143="Taijishan E",956,IF(Atletas!U143="Taijiqiang E",957,IF(Atletas!U143="Taijidao F",958,IF(Atletas!U143="Taijishan F",959,IF(Atletas!U143="Taijiqiang F",960))))))))))))))))))))</f>
        <v/>
      </c>
      <c r="BX147" s="72" t="str">
        <f>IF(BY147&lt;&gt;"","TJQ Trad. Sun C","")</f>
        <v/>
      </c>
      <c r="BY147" s="72" t="str">
        <f>IF(COUNTIF(BK:BW,1315)&gt;0,COUNTIF(BK:BW,1315),"")</f>
        <v/>
      </c>
      <c r="BZ147" s="72" t="str">
        <f>IF(CA147&lt;&gt;"","TJQ Trad. Sun C","")</f>
        <v/>
      </c>
      <c r="CA147" s="72" t="str">
        <f>IF(COUNTIF(BK:BW,2315)&gt;0,COUNTIF(BK:BW,2315),"")</f>
        <v/>
      </c>
      <c r="CB147" s="72" t="str">
        <f>IF(CC147&lt;&gt;"","Sun C","")</f>
        <v/>
      </c>
      <c r="CC147" s="64" t="str">
        <f>IF(COUNTIF(BK:BW,11315)&gt;0,COUNTIF(BK:BW,11315),"")</f>
        <v/>
      </c>
      <c r="CD147" s="64" t="str">
        <f>IF(CE147&lt;&gt;"","Sun C","")</f>
        <v/>
      </c>
      <c r="CE147" s="64" t="str">
        <f>IF(COUNTIF(BK:BW,12315)&gt;0,COUNTIF(BK:BW,12315),"")</f>
        <v/>
      </c>
      <c r="CF147" s="52" t="str">
        <f xml:space="preserve"> IF(Atletas!V143="","",IF(Atletas!V143="Duilian de Mãos AB - Equipe 1",1,IF(Atletas!V143="Duilian de Mãos AB - Equipe 2",2,IF(Atletas!V143="Duilian de Armas AB - Equipe 1",3,IF(Atletas!V143="Duilian de Armas AB - Equipe 2",4,IF(Atletas!V143="Duilian de Tuishou - Equipe 1",5,IF(Atletas!V143="Duilian de Tuishou - Equipe 2",6,IF(Atletas!V143="Grupo Externo AB - Equipe 1",7,IF(Atletas!V143="Grupo Externo AB - Equipe 2",8,IF(Atletas!V143="Grupo Interno AB - Equipe 1",9,IF(Atletas!V143="Grupo Interno AB - Equipe 2",10,IF(Atletas!V143="Duilian de Mãos CD - Equipe 1",11,IF(Atletas!V143="Duilian de Mãos CD - Equipe 2",12,IF(Atletas!V143="Duilian de Armas CD - Equipe 1",13,IF(Atletas!V143="Duilian de Armas CD - Equipe 2",14,IF(Atletas!V143="Duilian de Tuishou - Equipe 1",15,IF(Atletas!V143="Duilian de Tuishou - Equipe 2",16,IF(Atletas!V143="Grupo Externo CDEF - Equipe 1",17,IF(Atletas!V143="Grupo Externo CDEF - Equipe 2",18,IF(Atletas!V143="Grupo Interno CDEF - Equipe 1",19,IF(Atletas!V143="Grupo Interno CDEF - Equipe 2",20,IF(Atletas!V143="Duilian de Mãos EF - Equipe 1",21,IF(Atletas!V143="Duilian de Mãos EF - Equipe 2",22,IF(Atletas!V143="Duilian de Armas EF - Equipe 1",23,IF(Atletas!V143="Duilian de Armas EF - Equipe 2",24,IF(Atletas!V143="Duilian de Tuishou - Equipe 1",25,IF(Atletas!V143="Duilian de Tuishou - Equipe 2",26,"")))))))))))))))))))))))))))</f>
        <v/>
      </c>
    </row>
    <row r="148" spans="2:84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 t="str">
        <f t="array" ref="V148">IFERROR(INDEX(BX$7:BX$336,SMALL(IF(BX$7:BX$336&lt;&gt;"",ROW(BX$7:BX$336)-ROW(BX$7)+1),ROWS(BX$7:BX147))),"")</f>
        <v/>
      </c>
      <c r="W148" s="4" t="str">
        <f t="array" ref="W148">IFERROR(INDEX(BY$7:BY$336,SMALL(IF(BY$7:BY$336&lt;&gt;"",ROW(BY$7:BY$336)-ROW(BY$7)+1),ROWS(BY$7:BY147))),"")</f>
        <v/>
      </c>
      <c r="X148" s="4" t="str">
        <f t="array" ref="X148">IFERROR(INDEX(BZ$7:BZ$336,SMALL(IF(BZ$7:BZ$336&lt;&gt;"",ROW(BZ$7:BZ$336)-ROW(BZ$7)+1),ROWS(BZ$7:BZ147))),"")</f>
        <v/>
      </c>
      <c r="Y148" s="4" t="str">
        <f t="array" ref="Y148">IFERROR(INDEX(CA$7:CA$336,SMALL(IF(CA$7:CA$336&lt;&gt;"",ROW(CA$7:CA$336)-ROW(CA$7)+1),ROWS(CA$7:CA147))),"")</f>
        <v/>
      </c>
      <c r="Z148" s="4" t="str">
        <f t="array" ref="Z148">IFERROR(INDEX(CB$7:CB$378,SMALL(IF(CB$7:CB$378&lt;&gt;"",ROW(CB$7:CB$378)-ROW(CB$7)+1),ROWS(CB$7:CB147))),"")</f>
        <v/>
      </c>
      <c r="AA148" s="4" t="str">
        <f t="array" ref="AA148">IFERROR(INDEX(CC$7:CC$378,SMALL(IF(CC$7:CC$378&lt;&gt;"",ROW(CC$7:CC$378)-ROW(CC$7)+1),ROWS(CC$7:CC147))),"")</f>
        <v/>
      </c>
      <c r="AB148" s="4" t="str">
        <f t="array" ref="AB148">IFERROR(INDEX(CD$7:CD$378,SMALL(IF(CD$7:CD$378&lt;&gt;"",ROW(CD$7:CD$378)-ROW(CD$7)+1),ROWS(CD$7:CD147))),"")</f>
        <v/>
      </c>
      <c r="AC148" s="4" t="str">
        <f t="array" ref="AC148">IFERROR(INDEX(CE$7:CE$378,SMALL(IF(CE$7:CE$378&lt;&gt;"",ROW(CE$7:CE$378)-ROW(CE$7)+1),ROWS(CE$7:CE147))),"")</f>
        <v/>
      </c>
      <c r="AD148" s="4"/>
      <c r="AE148" s="4"/>
      <c r="AF148" s="4"/>
      <c r="AG148" s="4"/>
      <c r="AH148" s="4"/>
      <c r="AI148" s="4"/>
      <c r="AJ148" s="46" t="str">
        <f>IF(Atletas!D144="","",IF(Atletas!B144="Feminino",100,IF(Atletas!B144="Masculino",200,""))+(IF(Atletas!D144="Infantil 39kg",1,IF(Atletas!D144="Infantil 42kg",2,IF(Atletas!D144="Infantil 45kg",3,IF(Atletas!D144="Infantil 48kg",4,IF(Atletas!D144="Infantil 52kg",5,IF(Atletas!D144="Infantil 56kg",6,IF(Atletas!D144="Infantil 60kg",7,IF(Atletas!D144="Juvenil 48kg",8,IF(Atletas!D144="Juvenil 52kg",9,IF(Atletas!D144="Juvenil 56kg",10,IF(Atletas!D144="Juvenil 60kg",11,IF(Atletas!D144="Juvenil 65kg",12,IF(Atletas!D144="Juvenil 70kg",13,IF(Atletas!D144="Juvenil 75kg",14,IF(Atletas!D144="Juvenil 80kg",15,IF(Atletas!D144="Adulto 48kg",16,IF(Atletas!D144="Adulto 52kg",17,IF(Atletas!D144="Adulto 56kg",18,IF(Atletas!D144="Adulto 60kg",19,IF(Atletas!D144="Adulto 65kg",20,IF(Atletas!D144="Adulto 70kg",21,IF(Atletas!D144="Adulto 75kg",22,IF(Atletas!D144="Adulto 80kg",23,IF(Atletas!D144="Adulto 85kg",24,IF(Atletas!D144="Adulto 90kg",25,IF(Atletas!D144="Adulto +90kg",26,""))))))))))))))))))))))))))))</f>
        <v/>
      </c>
      <c r="AO148" s="10" t="str">
        <f>IF(Atletas!E144="","",IF(Atletas!B144="Feminino",100,IF(Atletas!B144="Masculino",200,""))+(IF(Atletas!E144="Juvenil 44kg",1,IF(Atletas!E144="Juvenil 48kg",2,IF(Atletas!E144="Juvenil 52kg",3,IF(Atletas!E144="Juvenil 56kg",4,IF(Atletas!E144="Juvenil 60kg",5,IF(Atletas!E144="Juvenil 65kg",6,IF(Atletas!E144="Juvenil 70kg",7,IF(Atletas!E144="Juvenil 75kg",8,IF(Atletas!E144="Juvenil 82kg",9,IF(Atletas!E144="Juvenil 90kg",10,IF(Atletas!E144="Juvenil 100kg",11,IF(Atletas!E144="Adulto 48kg",12,IF(Atletas!E144="Adulto 52kg",13,IF(Atletas!E144="Adulto 56kg",14,IF(Atletas!E144="Adulto 60kg",15,IF(Atletas!E144="Adulto 65kg",16,IF(Atletas!E144="Adulto 70kg",17,IF(Atletas!E144="Adulto 75kg",18,IF(Atletas!E144="Adulto 82kg",19,IF(Atletas!E144="Adulto 90kg",20,IF(Atletas!E144="Adulto 100kg",21,IF(Atletas!E144="Adulto +100kg",22,""))))))))))))))))))))))))</f>
        <v/>
      </c>
      <c r="AT148" s="10" t="str">
        <f>IF(Atletas!F144="","",IF(Atletas!B144="Feminino",100,IF(Atletas!B144="Masculino",200,""))+(IF(Atletas!F144="Adulto 48kg",1,IF(Atletas!F144="Adulto 56kg",2,IF(Atletas!F144="Adulto 65kg",3,IF(Atletas!F144="Adulto 75kg",4,IF(Atletas!F144="Adulto +75kg",5,IF(Atletas!F144="Adulto 52kg",6,IF(Atletas!F144="Adulto 60kg",7,IF(Atletas!F144="Adulto 70kg",8,IF(Atletas!F144="Adulto 80kg",9,IF(Atletas!F144="Adulto 90kg",10,IF(Atletas!F144="Adulto +90kg",11,"")))))))))))))</f>
        <v/>
      </c>
      <c r="AY148" s="46" t="str">
        <f>IF(Atletas!G144="","",IF(Atletas!B144="Feminino",100,IF(Atletas!B144="Masculino",200,""))+(IF(Atletas!G144="Changquan Mirim",1,IF(Atletas!G144="Nanquan Mirim",2,IF(Atletas!G144="Taijiquan Mirim",3,IF(Atletas!G144="Changquan Grupo C",4,IF(Atletas!G144="Nanquan Grupo C",5,IF(Atletas!G144="Taijiquan Grupo C",6,IF(Atletas!G144="Changquan Grupo B",7,IF(Atletas!G144="Nanquan Grupo B",8,IF(Atletas!G144="Taijiquan Grupo B",9,IF(Atletas!G144="Changquan Grupo A",10,IF(Atletas!G144="Nanquan Grupo A",11,IF(Atletas!G144="Taijiquan Grupo A",12,IF(Atletas!G144="Changquan Opcional",13,IF(Atletas!G144="Nanquan Opcional",14,IF(Atletas!G144="Taijiquan Opcional",15,IF(Atletas!G144="Changquan Adulto",16,IF(Atletas!G144="Nanquan Adulto",17,IF(Atletas!G144="Taijiquan Adulto",18,""))))))))))))))))))))</f>
        <v/>
      </c>
      <c r="AZ148" s="46" t="str">
        <f>IF(Atletas!H144="","",IF(Atletas!B144="Feminino",100,IF(Atletas!B144="Masculino",200,""))+(IF(Atletas!H144="Daoshu Mirim",19,IF(Atletas!H144="Jianshu Mirim",20,IF(Atletas!H144="Nandao Mirim",21,IF(Atletas!H144="Taijijian Mirim",22,IF(Atletas!H144="Daoshu Grupo C",23,IF(Atletas!H144="Jianshu Grupo C",24,IF(Atletas!H144="Nandao Grupo C",25,IF(Atletas!H144="Taijijian Grupo C",26,IF(Atletas!H144="Daoshu Grupo B",27,IF(Atletas!H144="Jianshu Grupo B",28,IF(Atletas!H144="Nandao Grupo B",29,IF(Atletas!H144="Taijijian Grupo B",30,IF(Atletas!H144="Daoshu Grupo A",31,IF(Atletas!H144="Jianshu Grupo A",32,IF(Atletas!H144="Nandao Grupo A",33,IF(Atletas!H144="Taijijian Grupo A",34,IF(Atletas!H144="Daoshu Opcional",35,IF(Atletas!H144="Jianshu Opcional",36,IF(Atletas!H144="Nandao Opcional",37,IF(Atletas!H144="Taijijian Opcional",38,IF(Atletas!H144="Daoshu Adulto",39,IF(Atletas!H144="Jianshu Adulto",40,IF(Atletas!H144="Nandao Adulto",41,IF(Atletas!H144="Taijijian Adulto",42,""))))))))))))))))))))))))))</f>
        <v/>
      </c>
      <c r="BA148" s="46" t="str">
        <f>IF(Atletas!I144="","",IF(Atletas!B144="Feminino",100,IF(Atletas!B144="Masculino",200,""))+(IF(Atletas!I144="Gunshu Mirim",43,IF(Atletas!I144="Qiangshu Mirim",44,IF(Atletas!I144="Nangun Mirim",45,IF(Atletas!I144="Gunshu Grupo C",46,IF(Atletas!I144="Qiangshu Grupo C",47,IF(Atletas!I144="Nangun Grupo C",48,IF(Atletas!I144="Gunshu Grupo B",49,IF(Atletas!I144="Qiangshu Grupo B",50,IF(Atletas!I144="Nangun Grupo B",51,IF(Atletas!I144="Gunshu Grupo A",52,IF(Atletas!I144="Qiangshu Grupo A",53,IF(Atletas!I144="Nangun Grupo A",54,IF(Atletas!I144="Gunshu Opcional",55,IF(Atletas!I144="Qiangshu Opcional",56,IF(Atletas!I144="Nangun Opcional",57,IF(Atletas!I144="Gunshu Adulto",58,IF(Atletas!I144="Qiangshu Adulto",59,IF(Atletas!I144="Nangun Adulto",60,""))))))))))))))))))))</f>
        <v/>
      </c>
      <c r="BF148" s="52" t="str">
        <f>IF(Atletas!J144="","",IF(Atletas!B144="Feminino",100,IF(Atletas!B144="Masculino",200,""))+(IF(Atletas!J144="Equipe 1 Grupo B",1,IF(Atletas!J144="Equipe 2 Grupo B",2,IF(Atletas!J144="Equipe 1 Grupo A",3,IF(Atletas!J144="Equipe 2 Grupo A",4,IF(Atletas!J144="Equipe 1 Adulto",5,IF(Atletas!J144="Equipe 2 Adulto",6,""))))))))</f>
        <v/>
      </c>
      <c r="BK148" s="52" t="str">
        <f>IF(Atletas!K144="","",IF(Atletas!W144&lt;&gt;"",10000,0)+(IF(Atletas!B144="Feminino",1000,IF(Atletas!B144="Masculino",2000,""))+IF(Atletas!K144="Choylayfut A",1,IF(Atletas!K144="Hunggar A",2,IF(Atletas!K144="Wuzuquan A",3,IF(Atletas!K144="Wingchun A",4,IF(Atletas!K144="Outra Mão de Sul A",5,IF(Atletas!K144="Choylayfut B",6,IF(Atletas!K144="Hunggar B",7,IF(Atletas!K144="Wuzuquan B",8,IF(Atletas!K144="Wingchun B",9,IF(Atletas!K144="Outra Mão de Sul B",10,IF(Atletas!K144="Choylayfut C",11,IF(Atletas!K144="Hunggar C",12,IF(Atletas!K144="Wuzuquan C",13,IF(Atletas!K144="Wingchun C",14,IF(Atletas!K144="Outra Mão de Sul C",15,IF(Atletas!K144="Choylayfut D",16,IF(Atletas!K144="Hunggar D",17,IF(Atletas!K144="Wuzuquan D",18,IF(Atletas!K144="Wingchun D",19,IF(Atletas!K144="Outra Mão de Sul D",20,IF(Atletas!K144="Choylayfut E",21,IF(Atletas!K144="Hunggar E",22,IF(Atletas!K144="Wuzuquan E",23,IF(Atletas!K144="Wingchun E",24,IF(Atletas!K144="Outra Mão de Sul E",25,IF(Atletas!K144="Choylayfut F",26,IF(Atletas!K144="Hunggar F",27,IF(Atletas!K144="Wuzuquan F",28,IF(Atletas!K144="Wingchun F",29,IF(Atletas!K144="Outra Mão de Sul F",30,""))))))))))))))))))))))))))))))))</f>
        <v/>
      </c>
      <c r="BL148" s="52" t="str">
        <f>IF(Atletas!L144="","",IF(Atletas!W144&lt;&gt;"",10000,0)+(IF(Atletas!B144="Feminino",1000,IF(Atletas!B144="Masculino",2000,""))+(IF(Atletas!L144="Chaquan A",101,IF(Atletas!L144="Emeiquan A",102,IF(Atletas!L144="Fanziquan A",103,IF(Atletas!L144="Huaquan A",104,IF(Atletas!L144="Hongquan A",105,IF(Atletas!L144="Paochui A",106,IF(Atletas!L144="Piguaquan A",107,IF(Atletas!L144="Shaolinquan A",108,IF(Atletas!L144="Tanglangquan A",109,IF(Atletas!L144="Yinzhaophai A",110,IF(Atletas!L144="Tongbeiquan A",111,IF(Atletas!L144="Wudangquan A",112,IF(Atletas!L144="Outros Estilos A",113,IF(Atletas!L144="Chaquan B",114,IF(Atletas!L144="Emeiquan B",115,IF(Atletas!L144="Fanziquan B",116,IF(Atletas!L144="Huaquan B",117,IF(Atletas!L144="Hongquan B",118,IF(Atletas!L144="Paochui B",119,IF(Atletas!L144="Piguaquan B",120,IF(Atletas!L144="Shaolinquan B",121,IF(Atletas!L144="Tanglangquan B",122,IF(Atletas!L144="Yinzhaophai B",123,IF(Atletas!L144="Tongbeiquan B",124,IF(Atletas!L144="Wudangquan B",125,IF(Atletas!L144="Outros Estilos B",126,IF(Atletas!L144="Chaquan C",127,IF(Atletas!L144="Emeiquan C",128,IF(Atletas!L144="Fanziquan C",129,IF(Atletas!L144="Huaquan C",130,IF(Atletas!L144="Hongquan C",131,IF(Atletas!L144="Paochui C",132,IF(Atletas!L144="Piguaquan C",133,IF(Atletas!L144="Shaolinquan C",134,IF(Atletas!L144="Tanglangquan C",135,IF(Atletas!L144="Yinzhaophai C",136,IF(Atletas!L144="Tongbeiquan C",137,IF(Atletas!L144="Wudangquan C",138,IF(Atletas!L144="Outros Estilos C",139,0))))))))))))))))))))))))))))))))))))))))))</f>
        <v/>
      </c>
      <c r="BM148" s="52" t="str">
        <f>IF(Atletas!L144="","",IF(Atletas!W144&lt;&gt;"",10000,0)+(IF(Atletas!B144="Feminino",1000,IF(Atletas!B144="Masculino",2000,""))+(IF(Atletas!L144="Chaquan D",140,IF(Atletas!L144="Emeiquan D",141,IF(Atletas!L144="Fanziquan D",142,IF(Atletas!L144="Huaquan D",143,IF(Atletas!L144="Hongquan D",144,IF(Atletas!L144="Paochui D",145,IF(Atletas!L144="Piguaquan D",146,IF(Atletas!L144="Shaolinquan D",147,IF(Atletas!L144="Tanglangquan D",148,IF(Atletas!L144="Yinzhaophai D",149,IF(Atletas!L144="Tongbeiquan D",150,IF(Atletas!L144="Wudangquan D",151,IF(Atletas!L144="Outros Estilos D",152,IF(Atletas!L144="Chaquan E",153,IF(Atletas!L144="Emeiquan E",154,IF(Atletas!L144="Fanziquan E",155,IF(Atletas!L144="Huaquan E",156,IF(Atletas!L144="Hongquan E",157,IF(Atletas!L144="Paochui E",158,IF(Atletas!L144="Piguaquan E",159,IF(Atletas!L144="Shaolinquan E",160,IF(Atletas!L144="Tanglangquan E",161,IF(Atletas!L144="Yinzhaophai E",162,IF(Atletas!L144="Tongbeiquan E",163,IF(Atletas!L144="Wudangquan E",164,IF(Atletas!L144="Outros Estilos E",165,IF(Atletas!L144="Chaquan F",166,IF(Atletas!L144="Emeiquan F",167,IF(Atletas!L144="Fanziquan F",168,IF(Atletas!L144="Huaquan F",169,IF(Atletas!L144="Hongquan F",170,IF(Atletas!L144="Paochui F",171,IF(Atletas!L144="Piguaquan F",172,IF(Atletas!L144="Shaolinquan F",173,IF(Atletas!L144="Tanglangquan F",174,IF(Atletas!L144="Yinzhaophai F",175,IF(Atletas!L144="Tongbeiquan F",176,IF(Atletas!L144="Wudangquan F",177,IF(Atletas!L144="Outros Estilos F",178,0))))))))))))))))))))))))))))))))))))))))))</f>
        <v/>
      </c>
      <c r="BN148" s="52" t="str">
        <f>IF(Atletas!M144="","",IF(Atletas!W144&lt;&gt;"",10000,0)+(IF(Atletas!B144="Feminino",1000,IF(Atletas!B144="Masculino",2000,""))+(IF(Atletas!M144="Ditangquan A",201,IF(Atletas!M144="Houquan A",202,IF(Atletas!M144="Zuiquan A",203,IF(Atletas!M144="Ditangquan B",204,IF(Atletas!M144="Houquan B",205,IF(Atletas!M144="Zuiquan B",206,IF(Atletas!M144="Ditangquan C",207,IF(Atletas!M144="Houquan C",208,IF(Atletas!M144="Zuiquan C",209,IF(Atletas!M144="Ditangquan D",210,IF(Atletas!M144="Houquan D",211,IF(Atletas!M144="Zuiquan D",212,IF(Atletas!M144="Ditangquan E",213,IF(Atletas!M144="Houquan E",214,IF(Atletas!M144="Zuiquan E",215,IF(Atletas!M144="Ditangquan F",216,IF(Atletas!M144="Houquan F",217,IF(Atletas!M144="Zuiquan F",218,"")))))))))))))))))))))</f>
        <v/>
      </c>
      <c r="BO148" s="52" t="str">
        <f>IF(Atletas!N144="","",IF(Atletas!W144&lt;&gt;"",10000,0)+IF(Atletas!B144="Feminino",1000,IF(Atletas!B144="Masculino",2000,""))+IF(Atletas!N144="Yang A",301,IF(Atletas!N144="Chen A",30,IF(Atletas!N144="Sun A",303,IF(Atletas!N144="Wu A",304,IF(Atletas!N144="Wu-Hao A",305,IF(Atletas!N144="Outro Taijiquan A",306,IF(Atletas!N144="Yang B",307,IF(Atletas!N144="Chen B",308,IF(Atletas!N144="Sun B",309,IF(Atletas!N144="Wu B",310,IF(Atletas!N144="Wu-Hao B",311,IF(Atletas!N144="Outro Taijiquan B",312,IF(Atletas!N144="Yang C",313,IF(Atletas!N144="Chen C",314,IF(Atletas!N144="Sun C",315,IF(Atletas!N144="Wu C",316,IF(Atletas!N144="Wu-Hao C",317,IF(Atletas!N144="Outro Taijiquan C",318,IF(Atletas!N144="Yang D",319,IF(Atletas!N144="Chen D",320,IF(Atletas!N144="Sun D",321,IF(Atletas!N144="Wu D",322,IF(Atletas!N144="Wu-Hao D",323,IF(Atletas!N144="Outro Taijiquan D",324,IF(Atletas!N144="Yang E",325,IF(Atletas!N144="Chen E",326,IF(Atletas!N144="Sun E",327,IF(Atletas!N144="Wu E",328,IF(Atletas!N144="Wu-Hao E",329,IF(Atletas!N144="Outro Taijiquan E",330,IF(Atletas!N144="Yang F",331,IF(Atletas!N144="Chen F",332,IF(Atletas!N144="Sun F",333,IF(Atletas!N144="Wu F",334,IF(Atletas!N144="Wu-Hao F",335,IF(Atletas!N144="Outro Taijiquan F",336,"")))))))))))))))))))))))))))))))))))))</f>
        <v/>
      </c>
      <c r="BP148" s="52" t="str">
        <f>IF(Atletas!O144="","",IF(Atletas!W144&lt;&gt;"",10000,0)+IF(Atletas!B144="Feminino",1000,IF(Atletas!B144="Masculino",2000,""))+IF(OR(Atletas!O144="Yang 26 A",Atletas!O144="Yang 40 A"),401,IF(OR(Atletas!O144="Chen 25 A",Atletas!O144="Chen 36 A",Atletas!O144="Chen 56 A"),402,IF(Atletas!O144="Sun 73 A",403,IF(Atletas!O144="Wu 45 A",404,IF(Atletas!O144="Wu-Hao 46 A",405,IF(OR(Atletas!O144="Taijiquan 16 A",Atletas!O144="Taijiquan 24 A",Atletas!O144="Taijiquan 32 A",Atletas!O144="Taijiquan 42 A"),406,IF(OR(Atletas!O144="Yang 26 B",Atletas!O144="Yang 40 B"),407,IF(OR(Atletas!O144="Chen 25 B",Atletas!O144="Chen 36 B",Atletas!O144="Chen 56 B"),408,IF(Atletas!O144="Sun 73 B",409,IF(Atletas!O144="Wu 45 B",410,IF(Atletas!O144="Wu-Hao 46 B",411,IF(OR(Atletas!O144="Taijiquan 16 B",Atletas!O144="Taijiquan 24 B",Atletas!O144="Taijiquan 32 B",Atletas!O144="Taijiquan 42 B"),412,IF(OR(Atletas!O144="Yang 26 C",Atletas!O144="Yang 40 C"),413,IF(OR(Atletas!O144="Chen 25 C",Atletas!O144="Chen 36 C",Atletas!O144="Chen 56 C"),414,IF(Atletas!O144="Sun 73 C",415,IF(Atletas!O144="Wu 45 C",416,IF(Atletas!O144="Wu-Hao 46 C",417,IF(OR(Atletas!O144="Taijiquan 16 C",Atletas!O144="Taijiquan 24 C",Atletas!O144="Taijiquan 32 C",Atletas!O144="Taijiquan 42 C"),418,0)))))))))))))))))))</f>
        <v/>
      </c>
      <c r="BQ148" s="52" t="str">
        <f>IF(Atletas!O144="","",IF(Atletas!W144&lt;&gt;"",10000,0)+IF(Atletas!B144="Feminino",1000,IF(Atletas!B144="Masculino",2000,""))+IF(OR(Atletas!O144="Yang 26 D",Atletas!O144="Yang 40 D"),419,IF(OR(Atletas!O144="Chen 25 D",Atletas!O144="Chen 36 D",Atletas!O144="Chen 56 D"),420,IF(Atletas!O144="Sun 73 D",421,IF(Atletas!O144="Wu 45 D",422,IF(Atletas!O144="Wu-Hao 46 D",423,IF(OR(Atletas!O144="Taijiquan 16 D",Atletas!O144="Taijiquan 24 D",Atletas!O144="Taijiquan 32 D",Atletas!O144="Taijiquan 42 D"),424,IF(OR(Atletas!O144="Yang 26 E",Atletas!O144="Yang 40 E"),425,IF(OR(Atletas!O144="Chen 25 E",Atletas!O144="Chen 36 E",Atletas!O144="Chen 56 E"),426,IF(Atletas!O144="Sun 73 E",427,IF(Atletas!O144="Wu 45 E",428,IF(Atletas!O144="Wu-Hao 46 E",429,IF(OR(Atletas!O144="Taijiquan 16 E",Atletas!O144="Taijiquan 24 E",Atletas!O144="Taijiquan 32 E",Atletas!O144="Taijiquan 42 E"),430,IF(OR(Atletas!O144="Yang 26 F",Atletas!O144="Yang 40 F"),431,IF(OR(Atletas!O144="Chen 25 F",Atletas!O144="Chen 36 F",Atletas!O144="Chen 56 F"),432,IF(Atletas!O144="Sun 73 F",433,IF(Atletas!O144="Wu 45 F",434,IF(Atletas!O144="Wu-Hao 46 F",435,IF(OR(Atletas!O144="Taijiquan 16 F",Atletas!O144="Taijiquan 24 F",Atletas!O144="Taijiquan 32 F",Atletas!O144="Taijiquan 42 F"),436,0)))))))))))))))))))</f>
        <v/>
      </c>
      <c r="BR148" s="52" t="str">
        <f>IF(Atletas!P144="","",IF(Atletas!W144&lt;&gt;"",10000,0)+IF(Atletas!B144="Feminino",1000,IF(Atletas!B144="Masculino",2000,""))+IF(Atletas!P144="Xingyiquan A",501,IF(Atletas!P144="Baguazhang A",502,IF(Atletas!P144="Outro Estilo Interno A",503,IF(Atletas!P144="Xingyiquan B",504,IF(Atletas!P144="Baguazhang B",505,IF(Atletas!P144="Outro Estilo Interno B",506,IF(Atletas!P144="Xingyiquan C",507,IF(Atletas!P144="Baguazhang C",508,IF(Atletas!P144="Outro Estilo Interno C",509,IF(Atletas!P144="Xingyiquan D",510,IF(Atletas!P144="Baguazhang D",511,IF(Atletas!P144="Outro Estilo Interno D",512,IF(Atletas!P144="Xingyiquan E",513,IF(Atletas!P144="Baguazhang E",514,IF(Atletas!P144="Outro Estilo Interno E",515,IF(Atletas!P144="Xingyiquan F",516,IF(Atletas!P144="Baguazhang F",517,IF(Atletas!P144="Outro Estilo Interno F",518, "")))))))))))))))))))</f>
        <v/>
      </c>
      <c r="BS148" s="52" t="str">
        <f>IF(Atletas!Q144="","",IF(Atletas!W144&lt;&gt;"",10000,0)+IF(Atletas!B144="Feminino",1000,IF(Atletas!B144="Masculino",2000,""))+IF(Atletas!Q144="Dao A",601,IF(Atletas!Q144="Jian A",602,IF(Atletas!Q144="Bishou A",603,IF(Atletas!Q144="Shan A",604,IF(Atletas!Q144="Outra Arma Curta A",605,IF(Atletas!Q144="Dao B",606,IF(Atletas!Q144="Jian B",607,IF(Atletas!Q144="Bishou B",608,IF(Atletas!Q144="Shan B",609,IF(Atletas!Q144="Outra Arma Curta B",610,IF(Atletas!Q144="Dao C",611,IF(Atletas!Q144="Jian C",612,IF(Atletas!Q144="Bishou C",613,IF(Atletas!Q144="Shan C",614,IF(Atletas!Q144="Outra Arma Curta C",615,IF(Atletas!Q144="Dao D",616,IF(Atletas!Q144="Jian D",617,IF(Atletas!Q144="Bishou D",618,IF(Atletas!Q144="Shan D",619,IF(Atletas!Q144="Outra Arma Curta D",620,IF(Atletas!Q144="Dao E",621,IF(Atletas!Q144="Jian E",622,IF(Atletas!Q144="Bishou E",623,IF(Atletas!Q144="Shan E",624,IF(Atletas!Q144="Outra Arma Curta E",625,IF(Atletas!Q144="Dao F",626,IF(Atletas!Q144="Jian F",627,IF(Atletas!Q144="Bishou F",628,IF(Atletas!Q144="Shan F",629,IF(Atletas!Q144="Outra Arma Curta F",630, "")))))))))))))))))))))))))))))))</f>
        <v/>
      </c>
      <c r="BT148" s="52" t="str">
        <f>IF(Atletas!R144="","",IF(Atletas!W144&lt;&gt;"",10000,0)+IF(Atletas!B144="Feminino",1000,IF(Atletas!B144="Masculino",2000,""))+IF(Atletas!R144="Gun A",701,IF(Atletas!R144="Qiang A",702,IF(Atletas!R144="Pudao / Guandao A",703,IF(Atletas!R144="Outra Arma Longa A",704,IF(Atletas!R144="Gun B",705,IF(Atletas!R144="Qiang B",706,IF(Atletas!R144="Pudao / Guandao B",707,IF(Atletas!R144="Outra Arma Longa B",708,IF(Atletas!R144="Gun C",709,IF(Atletas!R144="Qiang C",710,IF(Atletas!R144="Pudao / Guandao C",711,IF(Atletas!R144="Outra Arma Longa C",712,IF(Atletas!R144="Gun D",713,IF(Atletas!R144="Qiang D",714,IF(Atletas!R144="Pudao / Guandao D",715,IF(Atletas!R144="Outra Arma Longa D",716,IF(Atletas!R144="Gun E",717,IF(Atletas!R144="Qiang E",718,IF(Atletas!R144="Pudao / Guandao E",719,IF(Atletas!R144="Outra Arma Longa E",720,IF(Atletas!R144="Gun F",721,IF(Atletas!R144="Qiang F",722,IF(Atletas!R144="Pudao / Guandao F",723,IF(Atletas!R144="Outra Arma Longa F",724,"")))))))))))))))))))))))))</f>
        <v/>
      </c>
      <c r="BU148" s="52" t="str">
        <f>IF(Atletas!S144="","",IF(Atletas!W144&lt;&gt;"",10000,0)+IF(Atletas!B144="Feminino",1000,IF(Atletas!B144="Masculino",2000,""))+IF(Atletas!S144="Arma Dupla A",801,IF(Atletas!S144="Arma Maleável A",802,IF(Atletas!S144="Arma Dupla B",803,IF(Atletas!S144="Arma Maleável B",804,IF(Atletas!S144="Arma Dupla C",805,IF(Atletas!S144="Arma Maleável C",806,IF(Atletas!S144="Arma Dupla D",807,IF(Atletas!S144="Arma Maleável D",808,IF(Atletas!S144="Arma Dupla E",809,IF(Atletas!S144="Arma Maleável E",810,IF(Atletas!S144="Arma Dupla F",811,IF(Atletas!S144="Arma Maleável F",812, "")))))))))))))</f>
        <v/>
      </c>
      <c r="BV148" s="52" t="str">
        <f>IF(Atletas!T144="","",IF(Atletas!W144&lt;&gt;"",10000,0)+IF(Atletas!B144="Feminino",1000,IF(Atletas!B144="Masculino",2000,""))+IF(Atletas!T144="Taijijian Yang A",901,IF(Atletas!T144="Taijijian Chen A",902,IF(Atletas!T144="Taijijian Sun A",903,IF(Atletas!T144="Taijijian Wu A",904,IF(Atletas!T144="Taijijian Wu-Hao A",905,IF(Atletas!T144="Taijijian 32 A",906,IF(Atletas!T144="Taijijian 42 A",907,IF(Atletas!T144="Taijijian Yang B",908,IF(Atletas!T144="Taijijian Chen B",909,IF(Atletas!T144="Taijijian Sun B",910,IF(Atletas!T144="Taijijian Wu B",911,IF(Atletas!T144="Taijijian Wu-Hao B",912,IF(Atletas!T144="Taijijian 32 B",913,IF(Atletas!T144="Taijijian 42 B",914,IF(Atletas!T144="Taijijian Yang C",915,IF(Atletas!T144="Taijijian Chen C",916,IF(Atletas!T144="Taijijian Sun C",917,IF(Atletas!T144="Taijijian Wu C",918,IF(Atletas!T144="Taijijian Wu-Hao C",919,IF(Atletas!T144="Taijijian 32 C",920,IF(Atletas!T144="Taijijian 42 C",921,IF(Atletas!T144="Taijijian Yang D",922,IF(Atletas!T144="Taijijian Chen D",923,IF(Atletas!T144="Taijijian Sun D",924,IF(Atletas!T144="Taijijian Wu D",925,IF(Atletas!T144="Taijijian Wu-Hao D",926,IF(Atletas!T144="Taijijian 32 D",927,IF(Atletas!T144="Taijijian 42 D",928,IF(Atletas!T144="Taijijian Yang E",929,IF(Atletas!T144="Taijijian Chen E",930,IF(Atletas!T144="Taijijian Sun E",931,IF(Atletas!T144="Taijijian Wu E",932,IF(Atletas!T144="Taijijian Wu-Hao E",933,IF(Atletas!T144="Taijijian 32 E",934,IF(Atletas!T144="Taijijian 42 E",935,IF(Atletas!T144="Taijijian Yang F",936,IF(Atletas!T144="Taijijian Chen F",937,IF(Atletas!T144="Taijijian Sun F",938,IF(Atletas!T144="Taijijian Wu F",939,IF(Atletas!T144="Taijijian Wu-Hao F",940,IF(Atletas!T144="Taijijian 32 F",941,IF(Atletas!T144="Taijijian 42 F",942,"")))))))))))))))))))))))))))))))))))))))))))</f>
        <v/>
      </c>
      <c r="BW148" s="52" t="str">
        <f>IF(Atletas!U144="","",IF(Atletas!W144&lt;&gt;"",10000,0)+IF(Atletas!B144="Feminino",1000,IF(Atletas!B144="Masculino",2000,""))+IF(Atletas!T144="Taijijian 42 F",942,IF(Atletas!U144="Taijidao A",943,IF(Atletas!U144="Taijishan A",944,IF(Atletas!U144="Taijiqiang A",945,IF(Atletas!U144="Taijidao B",946,IF(Atletas!U144="Taijishan B",947,IF(Atletas!U144="Taijiqiang B",948,IF(Atletas!U144="Taijidao C",949,IF(Atletas!U144="Taijishan C",950,IF(Atletas!U144="Taijiqiang C",951,IF(Atletas!U144="Taijidao D",952,IF(Atletas!U144="Taijishan D",953,IF(Atletas!U144="Taijiqiang D",954,IF(Atletas!U144="Taijidao E",955,IF(Atletas!U144="Taijishan E",956,IF(Atletas!U144="Taijiqiang E",957,IF(Atletas!U144="Taijidao F",958,IF(Atletas!U144="Taijishan F",959,IF(Atletas!U144="Taijiqiang F",960))))))))))))))))))))</f>
        <v/>
      </c>
      <c r="BX148" s="72" t="str">
        <f>IF(BY148&lt;&gt;"","TJQ Trad. Wu C","")</f>
        <v/>
      </c>
      <c r="BY148" s="72" t="str">
        <f>IF(COUNTIF(BK:BW,1316)&gt;0,COUNTIF(BK:BW,1316),"")</f>
        <v/>
      </c>
      <c r="BZ148" s="72" t="str">
        <f>IF(CA148&lt;&gt;"","TJQ Trad. Wu C","")</f>
        <v/>
      </c>
      <c r="CA148" s="72" t="str">
        <f>IF(COUNTIF(BK:BW,2316)&gt;0,COUNTIF(BK:BW,2316),"")</f>
        <v/>
      </c>
      <c r="CB148" s="72" t="str">
        <f>IF(CC148&lt;&gt;"","Wu C","")</f>
        <v/>
      </c>
      <c r="CC148" s="64" t="str">
        <f>IF(COUNTIF(BK:BW,11316)&gt;0,COUNTIF(BK:BW,11316),"")</f>
        <v/>
      </c>
      <c r="CD148" s="64" t="str">
        <f>IF(CE148&lt;&gt;"","Wu C","")</f>
        <v/>
      </c>
      <c r="CE148" s="64" t="str">
        <f>IF(COUNTIF(BK:BW,12316)&gt;0,COUNTIF(BK:BW,12316),"")</f>
        <v/>
      </c>
      <c r="CF148" s="52" t="str">
        <f xml:space="preserve"> IF(Atletas!V144="","",IF(Atletas!V144="Duilian de Mãos AB - Equipe 1",1,IF(Atletas!V144="Duilian de Mãos AB - Equipe 2",2,IF(Atletas!V144="Duilian de Armas AB - Equipe 1",3,IF(Atletas!V144="Duilian de Armas AB - Equipe 2",4,IF(Atletas!V144="Duilian de Tuishou - Equipe 1",5,IF(Atletas!V144="Duilian de Tuishou - Equipe 2",6,IF(Atletas!V144="Grupo Externo AB - Equipe 1",7,IF(Atletas!V144="Grupo Externo AB - Equipe 2",8,IF(Atletas!V144="Grupo Interno AB - Equipe 1",9,IF(Atletas!V144="Grupo Interno AB - Equipe 2",10,IF(Atletas!V144="Duilian de Mãos CD - Equipe 1",11,IF(Atletas!V144="Duilian de Mãos CD - Equipe 2",12,IF(Atletas!V144="Duilian de Armas CD - Equipe 1",13,IF(Atletas!V144="Duilian de Armas CD - Equipe 2",14,IF(Atletas!V144="Duilian de Tuishou - Equipe 1",15,IF(Atletas!V144="Duilian de Tuishou - Equipe 2",16,IF(Atletas!V144="Grupo Externo CDEF - Equipe 1",17,IF(Atletas!V144="Grupo Externo CDEF - Equipe 2",18,IF(Atletas!V144="Grupo Interno CDEF - Equipe 1",19,IF(Atletas!V144="Grupo Interno CDEF - Equipe 2",20,IF(Atletas!V144="Duilian de Mãos EF - Equipe 1",21,IF(Atletas!V144="Duilian de Mãos EF - Equipe 2",22,IF(Atletas!V144="Duilian de Armas EF - Equipe 1",23,IF(Atletas!V144="Duilian de Armas EF - Equipe 2",24,IF(Atletas!V144="Duilian de Tuishou - Equipe 1",25,IF(Atletas!V144="Duilian de Tuishou - Equipe 2",26,"")))))))))))))))))))))))))))</f>
        <v/>
      </c>
    </row>
    <row r="149" spans="2:84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 t="str">
        <f t="array" ref="V149">IFERROR(INDEX(BX$7:BX$336,SMALL(IF(BX$7:BX$336&lt;&gt;"",ROW(BX$7:BX$336)-ROW(BX$7)+1),ROWS(BX$7:BX148))),"")</f>
        <v/>
      </c>
      <c r="W149" s="4" t="str">
        <f t="array" ref="W149">IFERROR(INDEX(BY$7:BY$336,SMALL(IF(BY$7:BY$336&lt;&gt;"",ROW(BY$7:BY$336)-ROW(BY$7)+1),ROWS(BY$7:BY148))),"")</f>
        <v/>
      </c>
      <c r="X149" s="4" t="str">
        <f t="array" ref="X149">IFERROR(INDEX(BZ$7:BZ$336,SMALL(IF(BZ$7:BZ$336&lt;&gt;"",ROW(BZ$7:BZ$336)-ROW(BZ$7)+1),ROWS(BZ$7:BZ148))),"")</f>
        <v/>
      </c>
      <c r="Y149" s="4" t="str">
        <f t="array" ref="Y149">IFERROR(INDEX(CA$7:CA$336,SMALL(IF(CA$7:CA$336&lt;&gt;"",ROW(CA$7:CA$336)-ROW(CA$7)+1),ROWS(CA$7:CA148))),"")</f>
        <v/>
      </c>
      <c r="Z149" s="4" t="str">
        <f t="array" ref="Z149">IFERROR(INDEX(CB$7:CB$378,SMALL(IF(CB$7:CB$378&lt;&gt;"",ROW(CB$7:CB$378)-ROW(CB$7)+1),ROWS(CB$7:CB148))),"")</f>
        <v/>
      </c>
      <c r="AA149" s="4" t="str">
        <f t="array" ref="AA149">IFERROR(INDEX(CC$7:CC$378,SMALL(IF(CC$7:CC$378&lt;&gt;"",ROW(CC$7:CC$378)-ROW(CC$7)+1),ROWS(CC$7:CC148))),"")</f>
        <v/>
      </c>
      <c r="AB149" s="4" t="str">
        <f t="array" ref="AB149">IFERROR(INDEX(CD$7:CD$378,SMALL(IF(CD$7:CD$378&lt;&gt;"",ROW(CD$7:CD$378)-ROW(CD$7)+1),ROWS(CD$7:CD148))),"")</f>
        <v/>
      </c>
      <c r="AC149" s="4" t="str">
        <f t="array" ref="AC149">IFERROR(INDEX(CE$7:CE$378,SMALL(IF(CE$7:CE$378&lt;&gt;"",ROW(CE$7:CE$378)-ROW(CE$7)+1),ROWS(CE$7:CE148))),"")</f>
        <v/>
      </c>
      <c r="AD149" s="4"/>
      <c r="AE149" s="4"/>
      <c r="AF149" s="4"/>
      <c r="AG149" s="4"/>
      <c r="AH149" s="4"/>
      <c r="AI149" s="4"/>
      <c r="AJ149" s="46" t="str">
        <f>IF(Atletas!D145="","",IF(Atletas!B145="Feminino",100,IF(Atletas!B145="Masculino",200,""))+(IF(Atletas!D145="Infantil 39kg",1,IF(Atletas!D145="Infantil 42kg",2,IF(Atletas!D145="Infantil 45kg",3,IF(Atletas!D145="Infantil 48kg",4,IF(Atletas!D145="Infantil 52kg",5,IF(Atletas!D145="Infantil 56kg",6,IF(Atletas!D145="Infantil 60kg",7,IF(Atletas!D145="Juvenil 48kg",8,IF(Atletas!D145="Juvenil 52kg",9,IF(Atletas!D145="Juvenil 56kg",10,IF(Atletas!D145="Juvenil 60kg",11,IF(Atletas!D145="Juvenil 65kg",12,IF(Atletas!D145="Juvenil 70kg",13,IF(Atletas!D145="Juvenil 75kg",14,IF(Atletas!D145="Juvenil 80kg",15,IF(Atletas!D145="Adulto 48kg",16,IF(Atletas!D145="Adulto 52kg",17,IF(Atletas!D145="Adulto 56kg",18,IF(Atletas!D145="Adulto 60kg",19,IF(Atletas!D145="Adulto 65kg",20,IF(Atletas!D145="Adulto 70kg",21,IF(Atletas!D145="Adulto 75kg",22,IF(Atletas!D145="Adulto 80kg",23,IF(Atletas!D145="Adulto 85kg",24,IF(Atletas!D145="Adulto 90kg",25,IF(Atletas!D145="Adulto +90kg",26,""))))))))))))))))))))))))))))</f>
        <v/>
      </c>
      <c r="AO149" s="10" t="str">
        <f>IF(Atletas!E145="","",IF(Atletas!B145="Feminino",100,IF(Atletas!B145="Masculino",200,""))+(IF(Atletas!E145="Juvenil 44kg",1,IF(Atletas!E145="Juvenil 48kg",2,IF(Atletas!E145="Juvenil 52kg",3,IF(Atletas!E145="Juvenil 56kg",4,IF(Atletas!E145="Juvenil 60kg",5,IF(Atletas!E145="Juvenil 65kg",6,IF(Atletas!E145="Juvenil 70kg",7,IF(Atletas!E145="Juvenil 75kg",8,IF(Atletas!E145="Juvenil 82kg",9,IF(Atletas!E145="Juvenil 90kg",10,IF(Atletas!E145="Juvenil 100kg",11,IF(Atletas!E145="Adulto 48kg",12,IF(Atletas!E145="Adulto 52kg",13,IF(Atletas!E145="Adulto 56kg",14,IF(Atletas!E145="Adulto 60kg",15,IF(Atletas!E145="Adulto 65kg",16,IF(Atletas!E145="Adulto 70kg",17,IF(Atletas!E145="Adulto 75kg",18,IF(Atletas!E145="Adulto 82kg",19,IF(Atletas!E145="Adulto 90kg",20,IF(Atletas!E145="Adulto 100kg",21,IF(Atletas!E145="Adulto +100kg",22,""))))))))))))))))))))))))</f>
        <v/>
      </c>
      <c r="AT149" s="10" t="str">
        <f>IF(Atletas!F145="","",IF(Atletas!B145="Feminino",100,IF(Atletas!B145="Masculino",200,""))+(IF(Atletas!F145="Adulto 48kg",1,IF(Atletas!F145="Adulto 56kg",2,IF(Atletas!F145="Adulto 65kg",3,IF(Atletas!F145="Adulto 75kg",4,IF(Atletas!F145="Adulto +75kg",5,IF(Atletas!F145="Adulto 52kg",6,IF(Atletas!F145="Adulto 60kg",7,IF(Atletas!F145="Adulto 70kg",8,IF(Atletas!F145="Adulto 80kg",9,IF(Atletas!F145="Adulto 90kg",10,IF(Atletas!F145="Adulto +90kg",11,"")))))))))))))</f>
        <v/>
      </c>
      <c r="AY149" s="46" t="str">
        <f>IF(Atletas!G145="","",IF(Atletas!B145="Feminino",100,IF(Atletas!B145="Masculino",200,""))+(IF(Atletas!G145="Changquan Mirim",1,IF(Atletas!G145="Nanquan Mirim",2,IF(Atletas!G145="Taijiquan Mirim",3,IF(Atletas!G145="Changquan Grupo C",4,IF(Atletas!G145="Nanquan Grupo C",5,IF(Atletas!G145="Taijiquan Grupo C",6,IF(Atletas!G145="Changquan Grupo B",7,IF(Atletas!G145="Nanquan Grupo B",8,IF(Atletas!G145="Taijiquan Grupo B",9,IF(Atletas!G145="Changquan Grupo A",10,IF(Atletas!G145="Nanquan Grupo A",11,IF(Atletas!G145="Taijiquan Grupo A",12,IF(Atletas!G145="Changquan Opcional",13,IF(Atletas!G145="Nanquan Opcional",14,IF(Atletas!G145="Taijiquan Opcional",15,IF(Atletas!G145="Changquan Adulto",16,IF(Atletas!G145="Nanquan Adulto",17,IF(Atletas!G145="Taijiquan Adulto",18,""))))))))))))))))))))</f>
        <v/>
      </c>
      <c r="AZ149" s="46" t="str">
        <f>IF(Atletas!H145="","",IF(Atletas!B145="Feminino",100,IF(Atletas!B145="Masculino",200,""))+(IF(Atletas!H145="Daoshu Mirim",19,IF(Atletas!H145="Jianshu Mirim",20,IF(Atletas!H145="Nandao Mirim",21,IF(Atletas!H145="Taijijian Mirim",22,IF(Atletas!H145="Daoshu Grupo C",23,IF(Atletas!H145="Jianshu Grupo C",24,IF(Atletas!H145="Nandao Grupo C",25,IF(Atletas!H145="Taijijian Grupo C",26,IF(Atletas!H145="Daoshu Grupo B",27,IF(Atletas!H145="Jianshu Grupo B",28,IF(Atletas!H145="Nandao Grupo B",29,IF(Atletas!H145="Taijijian Grupo B",30,IF(Atletas!H145="Daoshu Grupo A",31,IF(Atletas!H145="Jianshu Grupo A",32,IF(Atletas!H145="Nandao Grupo A",33,IF(Atletas!H145="Taijijian Grupo A",34,IF(Atletas!H145="Daoshu Opcional",35,IF(Atletas!H145="Jianshu Opcional",36,IF(Atletas!H145="Nandao Opcional",37,IF(Atletas!H145="Taijijian Opcional",38,IF(Atletas!H145="Daoshu Adulto",39,IF(Atletas!H145="Jianshu Adulto",40,IF(Atletas!H145="Nandao Adulto",41,IF(Atletas!H145="Taijijian Adulto",42,""))))))))))))))))))))))))))</f>
        <v/>
      </c>
      <c r="BA149" s="46" t="str">
        <f>IF(Atletas!I145="","",IF(Atletas!B145="Feminino",100,IF(Atletas!B145="Masculino",200,""))+(IF(Atletas!I145="Gunshu Mirim",43,IF(Atletas!I145="Qiangshu Mirim",44,IF(Atletas!I145="Nangun Mirim",45,IF(Atletas!I145="Gunshu Grupo C",46,IF(Atletas!I145="Qiangshu Grupo C",47,IF(Atletas!I145="Nangun Grupo C",48,IF(Atletas!I145="Gunshu Grupo B",49,IF(Atletas!I145="Qiangshu Grupo B",50,IF(Atletas!I145="Nangun Grupo B",51,IF(Atletas!I145="Gunshu Grupo A",52,IF(Atletas!I145="Qiangshu Grupo A",53,IF(Atletas!I145="Nangun Grupo A",54,IF(Atletas!I145="Gunshu Opcional",55,IF(Atletas!I145="Qiangshu Opcional",56,IF(Atletas!I145="Nangun Opcional",57,IF(Atletas!I145="Gunshu Adulto",58,IF(Atletas!I145="Qiangshu Adulto",59,IF(Atletas!I145="Nangun Adulto",60,""))))))))))))))))))))</f>
        <v/>
      </c>
      <c r="BF149" s="52" t="str">
        <f>IF(Atletas!J145="","",IF(Atletas!B145="Feminino",100,IF(Atletas!B145="Masculino",200,""))+(IF(Atletas!J145="Equipe 1 Grupo B",1,IF(Atletas!J145="Equipe 2 Grupo B",2,IF(Atletas!J145="Equipe 1 Grupo A",3,IF(Atletas!J145="Equipe 2 Grupo A",4,IF(Atletas!J145="Equipe 1 Adulto",5,IF(Atletas!J145="Equipe 2 Adulto",6,""))))))))</f>
        <v/>
      </c>
      <c r="BK149" s="52" t="str">
        <f>IF(Atletas!K145="","",IF(Atletas!W145&lt;&gt;"",10000,0)+(IF(Atletas!B145="Feminino",1000,IF(Atletas!B145="Masculino",2000,""))+IF(Atletas!K145="Choylayfut A",1,IF(Atletas!K145="Hunggar A",2,IF(Atletas!K145="Wuzuquan A",3,IF(Atletas!K145="Wingchun A",4,IF(Atletas!K145="Outra Mão de Sul A",5,IF(Atletas!K145="Choylayfut B",6,IF(Atletas!K145="Hunggar B",7,IF(Atletas!K145="Wuzuquan B",8,IF(Atletas!K145="Wingchun B",9,IF(Atletas!K145="Outra Mão de Sul B",10,IF(Atletas!K145="Choylayfut C",11,IF(Atletas!K145="Hunggar C",12,IF(Atletas!K145="Wuzuquan C",13,IF(Atletas!K145="Wingchun C",14,IF(Atletas!K145="Outra Mão de Sul C",15,IF(Atletas!K145="Choylayfut D",16,IF(Atletas!K145="Hunggar D",17,IF(Atletas!K145="Wuzuquan D",18,IF(Atletas!K145="Wingchun D",19,IF(Atletas!K145="Outra Mão de Sul D",20,IF(Atletas!K145="Choylayfut E",21,IF(Atletas!K145="Hunggar E",22,IF(Atletas!K145="Wuzuquan E",23,IF(Atletas!K145="Wingchun E",24,IF(Atletas!K145="Outra Mão de Sul E",25,IF(Atletas!K145="Choylayfut F",26,IF(Atletas!K145="Hunggar F",27,IF(Atletas!K145="Wuzuquan F",28,IF(Atletas!K145="Wingchun F",29,IF(Atletas!K145="Outra Mão de Sul F",30,""))))))))))))))))))))))))))))))))</f>
        <v/>
      </c>
      <c r="BL149" s="52" t="str">
        <f>IF(Atletas!L145="","",IF(Atletas!W145&lt;&gt;"",10000,0)+(IF(Atletas!B145="Feminino",1000,IF(Atletas!B145="Masculino",2000,""))+(IF(Atletas!L145="Chaquan A",101,IF(Atletas!L145="Emeiquan A",102,IF(Atletas!L145="Fanziquan A",103,IF(Atletas!L145="Huaquan A",104,IF(Atletas!L145="Hongquan A",105,IF(Atletas!L145="Paochui A",106,IF(Atletas!L145="Piguaquan A",107,IF(Atletas!L145="Shaolinquan A",108,IF(Atletas!L145="Tanglangquan A",109,IF(Atletas!L145="Yinzhaophai A",110,IF(Atletas!L145="Tongbeiquan A",111,IF(Atletas!L145="Wudangquan A",112,IF(Atletas!L145="Outros Estilos A",113,IF(Atletas!L145="Chaquan B",114,IF(Atletas!L145="Emeiquan B",115,IF(Atletas!L145="Fanziquan B",116,IF(Atletas!L145="Huaquan B",117,IF(Atletas!L145="Hongquan B",118,IF(Atletas!L145="Paochui B",119,IF(Atletas!L145="Piguaquan B",120,IF(Atletas!L145="Shaolinquan B",121,IF(Atletas!L145="Tanglangquan B",122,IF(Atletas!L145="Yinzhaophai B",123,IF(Atletas!L145="Tongbeiquan B",124,IF(Atletas!L145="Wudangquan B",125,IF(Atletas!L145="Outros Estilos B",126,IF(Atletas!L145="Chaquan C",127,IF(Atletas!L145="Emeiquan C",128,IF(Atletas!L145="Fanziquan C",129,IF(Atletas!L145="Huaquan C",130,IF(Atletas!L145="Hongquan C",131,IF(Atletas!L145="Paochui C",132,IF(Atletas!L145="Piguaquan C",133,IF(Atletas!L145="Shaolinquan C",134,IF(Atletas!L145="Tanglangquan C",135,IF(Atletas!L145="Yinzhaophai C",136,IF(Atletas!L145="Tongbeiquan C",137,IF(Atletas!L145="Wudangquan C",138,IF(Atletas!L145="Outros Estilos C",139,0))))))))))))))))))))))))))))))))))))))))))</f>
        <v/>
      </c>
      <c r="BM149" s="52" t="str">
        <f>IF(Atletas!L145="","",IF(Atletas!W145&lt;&gt;"",10000,0)+(IF(Atletas!B145="Feminino",1000,IF(Atletas!B145="Masculino",2000,""))+(IF(Atletas!L145="Chaquan D",140,IF(Atletas!L145="Emeiquan D",141,IF(Atletas!L145="Fanziquan D",142,IF(Atletas!L145="Huaquan D",143,IF(Atletas!L145="Hongquan D",144,IF(Atletas!L145="Paochui D",145,IF(Atletas!L145="Piguaquan D",146,IF(Atletas!L145="Shaolinquan D",147,IF(Atletas!L145="Tanglangquan D",148,IF(Atletas!L145="Yinzhaophai D",149,IF(Atletas!L145="Tongbeiquan D",150,IF(Atletas!L145="Wudangquan D",151,IF(Atletas!L145="Outros Estilos D",152,IF(Atletas!L145="Chaquan E",153,IF(Atletas!L145="Emeiquan E",154,IF(Atletas!L145="Fanziquan E",155,IF(Atletas!L145="Huaquan E",156,IF(Atletas!L145="Hongquan E",157,IF(Atletas!L145="Paochui E",158,IF(Atletas!L145="Piguaquan E",159,IF(Atletas!L145="Shaolinquan E",160,IF(Atletas!L145="Tanglangquan E",161,IF(Atletas!L145="Yinzhaophai E",162,IF(Atletas!L145="Tongbeiquan E",163,IF(Atletas!L145="Wudangquan E",164,IF(Atletas!L145="Outros Estilos E",165,IF(Atletas!L145="Chaquan F",166,IF(Atletas!L145="Emeiquan F",167,IF(Atletas!L145="Fanziquan F",168,IF(Atletas!L145="Huaquan F",169,IF(Atletas!L145="Hongquan F",170,IF(Atletas!L145="Paochui F",171,IF(Atletas!L145="Piguaquan F",172,IF(Atletas!L145="Shaolinquan F",173,IF(Atletas!L145="Tanglangquan F",174,IF(Atletas!L145="Yinzhaophai F",175,IF(Atletas!L145="Tongbeiquan F",176,IF(Atletas!L145="Wudangquan F",177,IF(Atletas!L145="Outros Estilos F",178,0))))))))))))))))))))))))))))))))))))))))))</f>
        <v/>
      </c>
      <c r="BN149" s="52" t="str">
        <f>IF(Atletas!M145="","",IF(Atletas!W145&lt;&gt;"",10000,0)+(IF(Atletas!B145="Feminino",1000,IF(Atletas!B145="Masculino",2000,""))+(IF(Atletas!M145="Ditangquan A",201,IF(Atletas!M145="Houquan A",202,IF(Atletas!M145="Zuiquan A",203,IF(Atletas!M145="Ditangquan B",204,IF(Atletas!M145="Houquan B",205,IF(Atletas!M145="Zuiquan B",206,IF(Atletas!M145="Ditangquan C",207,IF(Atletas!M145="Houquan C",208,IF(Atletas!M145="Zuiquan C",209,IF(Atletas!M145="Ditangquan D",210,IF(Atletas!M145="Houquan D",211,IF(Atletas!M145="Zuiquan D",212,IF(Atletas!M145="Ditangquan E",213,IF(Atletas!M145="Houquan E",214,IF(Atletas!M145="Zuiquan E",215,IF(Atletas!M145="Ditangquan F",216,IF(Atletas!M145="Houquan F",217,IF(Atletas!M145="Zuiquan F",218,"")))))))))))))))))))))</f>
        <v/>
      </c>
      <c r="BO149" s="52" t="str">
        <f>IF(Atletas!N145="","",IF(Atletas!W145&lt;&gt;"",10000,0)+IF(Atletas!B145="Feminino",1000,IF(Atletas!B145="Masculino",2000,""))+IF(Atletas!N145="Yang A",301,IF(Atletas!N145="Chen A",30,IF(Atletas!N145="Sun A",303,IF(Atletas!N145="Wu A",304,IF(Atletas!N145="Wu-Hao A",305,IF(Atletas!N145="Outro Taijiquan A",306,IF(Atletas!N145="Yang B",307,IF(Atletas!N145="Chen B",308,IF(Atletas!N145="Sun B",309,IF(Atletas!N145="Wu B",310,IF(Atletas!N145="Wu-Hao B",311,IF(Atletas!N145="Outro Taijiquan B",312,IF(Atletas!N145="Yang C",313,IF(Atletas!N145="Chen C",314,IF(Atletas!N145="Sun C",315,IF(Atletas!N145="Wu C",316,IF(Atletas!N145="Wu-Hao C",317,IF(Atletas!N145="Outro Taijiquan C",318,IF(Atletas!N145="Yang D",319,IF(Atletas!N145="Chen D",320,IF(Atletas!N145="Sun D",321,IF(Atletas!N145="Wu D",322,IF(Atletas!N145="Wu-Hao D",323,IF(Atletas!N145="Outro Taijiquan D",324,IF(Atletas!N145="Yang E",325,IF(Atletas!N145="Chen E",326,IF(Atletas!N145="Sun E",327,IF(Atletas!N145="Wu E",328,IF(Atletas!N145="Wu-Hao E",329,IF(Atletas!N145="Outro Taijiquan E",330,IF(Atletas!N145="Yang F",331,IF(Atletas!N145="Chen F",332,IF(Atletas!N145="Sun F",333,IF(Atletas!N145="Wu F",334,IF(Atletas!N145="Wu-Hao F",335,IF(Atletas!N145="Outro Taijiquan F",336,"")))))))))))))))))))))))))))))))))))))</f>
        <v/>
      </c>
      <c r="BP149" s="52" t="str">
        <f>IF(Atletas!O145="","",IF(Atletas!W145&lt;&gt;"",10000,0)+IF(Atletas!B145="Feminino",1000,IF(Atletas!B145="Masculino",2000,""))+IF(OR(Atletas!O145="Yang 26 A",Atletas!O145="Yang 40 A"),401,IF(OR(Atletas!O145="Chen 25 A",Atletas!O145="Chen 36 A",Atletas!O145="Chen 56 A"),402,IF(Atletas!O145="Sun 73 A",403,IF(Atletas!O145="Wu 45 A",404,IF(Atletas!O145="Wu-Hao 46 A",405,IF(OR(Atletas!O145="Taijiquan 16 A",Atletas!O145="Taijiquan 24 A",Atletas!O145="Taijiquan 32 A",Atletas!O145="Taijiquan 42 A"),406,IF(OR(Atletas!O145="Yang 26 B",Atletas!O145="Yang 40 B"),407,IF(OR(Atletas!O145="Chen 25 B",Atletas!O145="Chen 36 B",Atletas!O145="Chen 56 B"),408,IF(Atletas!O145="Sun 73 B",409,IF(Atletas!O145="Wu 45 B",410,IF(Atletas!O145="Wu-Hao 46 B",411,IF(OR(Atletas!O145="Taijiquan 16 B",Atletas!O145="Taijiquan 24 B",Atletas!O145="Taijiquan 32 B",Atletas!O145="Taijiquan 42 B"),412,IF(OR(Atletas!O145="Yang 26 C",Atletas!O145="Yang 40 C"),413,IF(OR(Atletas!O145="Chen 25 C",Atletas!O145="Chen 36 C",Atletas!O145="Chen 56 C"),414,IF(Atletas!O145="Sun 73 C",415,IF(Atletas!O145="Wu 45 C",416,IF(Atletas!O145="Wu-Hao 46 C",417,IF(OR(Atletas!O145="Taijiquan 16 C",Atletas!O145="Taijiquan 24 C",Atletas!O145="Taijiquan 32 C",Atletas!O145="Taijiquan 42 C"),418,0)))))))))))))))))))</f>
        <v/>
      </c>
      <c r="BQ149" s="52" t="str">
        <f>IF(Atletas!O145="","",IF(Atletas!W145&lt;&gt;"",10000,0)+IF(Atletas!B145="Feminino",1000,IF(Atletas!B145="Masculino",2000,""))+IF(OR(Atletas!O145="Yang 26 D",Atletas!O145="Yang 40 D"),419,IF(OR(Atletas!O145="Chen 25 D",Atletas!O145="Chen 36 D",Atletas!O145="Chen 56 D"),420,IF(Atletas!O145="Sun 73 D",421,IF(Atletas!O145="Wu 45 D",422,IF(Atletas!O145="Wu-Hao 46 D",423,IF(OR(Atletas!O145="Taijiquan 16 D",Atletas!O145="Taijiquan 24 D",Atletas!O145="Taijiquan 32 D",Atletas!O145="Taijiquan 42 D"),424,IF(OR(Atletas!O145="Yang 26 E",Atletas!O145="Yang 40 E"),425,IF(OR(Atletas!O145="Chen 25 E",Atletas!O145="Chen 36 E",Atletas!O145="Chen 56 E"),426,IF(Atletas!O145="Sun 73 E",427,IF(Atletas!O145="Wu 45 E",428,IF(Atletas!O145="Wu-Hao 46 E",429,IF(OR(Atletas!O145="Taijiquan 16 E",Atletas!O145="Taijiquan 24 E",Atletas!O145="Taijiquan 32 E",Atletas!O145="Taijiquan 42 E"),430,IF(OR(Atletas!O145="Yang 26 F",Atletas!O145="Yang 40 F"),431,IF(OR(Atletas!O145="Chen 25 F",Atletas!O145="Chen 36 F",Atletas!O145="Chen 56 F"),432,IF(Atletas!O145="Sun 73 F",433,IF(Atletas!O145="Wu 45 F",434,IF(Atletas!O145="Wu-Hao 46 F",435,IF(OR(Atletas!O145="Taijiquan 16 F",Atletas!O145="Taijiquan 24 F",Atletas!O145="Taijiquan 32 F",Atletas!O145="Taijiquan 42 F"),436,0)))))))))))))))))))</f>
        <v/>
      </c>
      <c r="BR149" s="52" t="str">
        <f>IF(Atletas!P145="","",IF(Atletas!W145&lt;&gt;"",10000,0)+IF(Atletas!B145="Feminino",1000,IF(Atletas!B145="Masculino",2000,""))+IF(Atletas!P145="Xingyiquan A",501,IF(Atletas!P145="Baguazhang A",502,IF(Atletas!P145="Outro Estilo Interno A",503,IF(Atletas!P145="Xingyiquan B",504,IF(Atletas!P145="Baguazhang B",505,IF(Atletas!P145="Outro Estilo Interno B",506,IF(Atletas!P145="Xingyiquan C",507,IF(Atletas!P145="Baguazhang C",508,IF(Atletas!P145="Outro Estilo Interno C",509,IF(Atletas!P145="Xingyiquan D",510,IF(Atletas!P145="Baguazhang D",511,IF(Atletas!P145="Outro Estilo Interno D",512,IF(Atletas!P145="Xingyiquan E",513,IF(Atletas!P145="Baguazhang E",514,IF(Atletas!P145="Outro Estilo Interno E",515,IF(Atletas!P145="Xingyiquan F",516,IF(Atletas!P145="Baguazhang F",517,IF(Atletas!P145="Outro Estilo Interno F",518, "")))))))))))))))))))</f>
        <v/>
      </c>
      <c r="BS149" s="52" t="str">
        <f>IF(Atletas!Q145="","",IF(Atletas!W145&lt;&gt;"",10000,0)+IF(Atletas!B145="Feminino",1000,IF(Atletas!B145="Masculino",2000,""))+IF(Atletas!Q145="Dao A",601,IF(Atletas!Q145="Jian A",602,IF(Atletas!Q145="Bishou A",603,IF(Atletas!Q145="Shan A",604,IF(Atletas!Q145="Outra Arma Curta A",605,IF(Atletas!Q145="Dao B",606,IF(Atletas!Q145="Jian B",607,IF(Atletas!Q145="Bishou B",608,IF(Atletas!Q145="Shan B",609,IF(Atletas!Q145="Outra Arma Curta B",610,IF(Atletas!Q145="Dao C",611,IF(Atletas!Q145="Jian C",612,IF(Atletas!Q145="Bishou C",613,IF(Atletas!Q145="Shan C",614,IF(Atletas!Q145="Outra Arma Curta C",615,IF(Atletas!Q145="Dao D",616,IF(Atletas!Q145="Jian D",617,IF(Atletas!Q145="Bishou D",618,IF(Atletas!Q145="Shan D",619,IF(Atletas!Q145="Outra Arma Curta D",620,IF(Atletas!Q145="Dao E",621,IF(Atletas!Q145="Jian E",622,IF(Atletas!Q145="Bishou E",623,IF(Atletas!Q145="Shan E",624,IF(Atletas!Q145="Outra Arma Curta E",625,IF(Atletas!Q145="Dao F",626,IF(Atletas!Q145="Jian F",627,IF(Atletas!Q145="Bishou F",628,IF(Atletas!Q145="Shan F",629,IF(Atletas!Q145="Outra Arma Curta F",630, "")))))))))))))))))))))))))))))))</f>
        <v/>
      </c>
      <c r="BT149" s="52" t="str">
        <f>IF(Atletas!R145="","",IF(Atletas!W145&lt;&gt;"",10000,0)+IF(Atletas!B145="Feminino",1000,IF(Atletas!B145="Masculino",2000,""))+IF(Atletas!R145="Gun A",701,IF(Atletas!R145="Qiang A",702,IF(Atletas!R145="Pudao / Guandao A",703,IF(Atletas!R145="Outra Arma Longa A",704,IF(Atletas!R145="Gun B",705,IF(Atletas!R145="Qiang B",706,IF(Atletas!R145="Pudao / Guandao B",707,IF(Atletas!R145="Outra Arma Longa B",708,IF(Atletas!R145="Gun C",709,IF(Atletas!R145="Qiang C",710,IF(Atletas!R145="Pudao / Guandao C",711,IF(Atletas!R145="Outra Arma Longa C",712,IF(Atletas!R145="Gun D",713,IF(Atletas!R145="Qiang D",714,IF(Atletas!R145="Pudao / Guandao D",715,IF(Atletas!R145="Outra Arma Longa D",716,IF(Atletas!R145="Gun E",717,IF(Atletas!R145="Qiang E",718,IF(Atletas!R145="Pudao / Guandao E",719,IF(Atletas!R145="Outra Arma Longa E",720,IF(Atletas!R145="Gun F",721,IF(Atletas!R145="Qiang F",722,IF(Atletas!R145="Pudao / Guandao F",723,IF(Atletas!R145="Outra Arma Longa F",724,"")))))))))))))))))))))))))</f>
        <v/>
      </c>
      <c r="BU149" s="52" t="str">
        <f>IF(Atletas!S145="","",IF(Atletas!W145&lt;&gt;"",10000,0)+IF(Atletas!B145="Feminino",1000,IF(Atletas!B145="Masculino",2000,""))+IF(Atletas!S145="Arma Dupla A",801,IF(Atletas!S145="Arma Maleável A",802,IF(Atletas!S145="Arma Dupla B",803,IF(Atletas!S145="Arma Maleável B",804,IF(Atletas!S145="Arma Dupla C",805,IF(Atletas!S145="Arma Maleável C",806,IF(Atletas!S145="Arma Dupla D",807,IF(Atletas!S145="Arma Maleável D",808,IF(Atletas!S145="Arma Dupla E",809,IF(Atletas!S145="Arma Maleável E",810,IF(Atletas!S145="Arma Dupla F",811,IF(Atletas!S145="Arma Maleável F",812, "")))))))))))))</f>
        <v/>
      </c>
      <c r="BV149" s="52" t="str">
        <f>IF(Atletas!T145="","",IF(Atletas!W145&lt;&gt;"",10000,0)+IF(Atletas!B145="Feminino",1000,IF(Atletas!B145="Masculino",2000,""))+IF(Atletas!T145="Taijijian Yang A",901,IF(Atletas!T145="Taijijian Chen A",902,IF(Atletas!T145="Taijijian Sun A",903,IF(Atletas!T145="Taijijian Wu A",904,IF(Atletas!T145="Taijijian Wu-Hao A",905,IF(Atletas!T145="Taijijian 32 A",906,IF(Atletas!T145="Taijijian 42 A",907,IF(Atletas!T145="Taijijian Yang B",908,IF(Atletas!T145="Taijijian Chen B",909,IF(Atletas!T145="Taijijian Sun B",910,IF(Atletas!T145="Taijijian Wu B",911,IF(Atletas!T145="Taijijian Wu-Hao B",912,IF(Atletas!T145="Taijijian 32 B",913,IF(Atletas!T145="Taijijian 42 B",914,IF(Atletas!T145="Taijijian Yang C",915,IF(Atletas!T145="Taijijian Chen C",916,IF(Atletas!T145="Taijijian Sun C",917,IF(Atletas!T145="Taijijian Wu C",918,IF(Atletas!T145="Taijijian Wu-Hao C",919,IF(Atletas!T145="Taijijian 32 C",920,IF(Atletas!T145="Taijijian 42 C",921,IF(Atletas!T145="Taijijian Yang D",922,IF(Atletas!T145="Taijijian Chen D",923,IF(Atletas!T145="Taijijian Sun D",924,IF(Atletas!T145="Taijijian Wu D",925,IF(Atletas!T145="Taijijian Wu-Hao D",926,IF(Atletas!T145="Taijijian 32 D",927,IF(Atletas!T145="Taijijian 42 D",928,IF(Atletas!T145="Taijijian Yang E",929,IF(Atletas!T145="Taijijian Chen E",930,IF(Atletas!T145="Taijijian Sun E",931,IF(Atletas!T145="Taijijian Wu E",932,IF(Atletas!T145="Taijijian Wu-Hao E",933,IF(Atletas!T145="Taijijian 32 E",934,IF(Atletas!T145="Taijijian 42 E",935,IF(Atletas!T145="Taijijian Yang F",936,IF(Atletas!T145="Taijijian Chen F",937,IF(Atletas!T145="Taijijian Sun F",938,IF(Atletas!T145="Taijijian Wu F",939,IF(Atletas!T145="Taijijian Wu-Hao F",940,IF(Atletas!T145="Taijijian 32 F",941,IF(Atletas!T145="Taijijian 42 F",942,"")))))))))))))))))))))))))))))))))))))))))))</f>
        <v/>
      </c>
      <c r="BW149" s="52" t="str">
        <f>IF(Atletas!U145="","",IF(Atletas!W145&lt;&gt;"",10000,0)+IF(Atletas!B145="Feminino",1000,IF(Atletas!B145="Masculino",2000,""))+IF(Atletas!T145="Taijijian 42 F",942,IF(Atletas!U145="Taijidao A",943,IF(Atletas!U145="Taijishan A",944,IF(Atletas!U145="Taijiqiang A",945,IF(Atletas!U145="Taijidao B",946,IF(Atletas!U145="Taijishan B",947,IF(Atletas!U145="Taijiqiang B",948,IF(Atletas!U145="Taijidao C",949,IF(Atletas!U145="Taijishan C",950,IF(Atletas!U145="Taijiqiang C",951,IF(Atletas!U145="Taijidao D",952,IF(Atletas!U145="Taijishan D",953,IF(Atletas!U145="Taijiqiang D",954,IF(Atletas!U145="Taijidao E",955,IF(Atletas!U145="Taijishan E",956,IF(Atletas!U145="Taijiqiang E",957,IF(Atletas!U145="Taijidao F",958,IF(Atletas!U145="Taijishan F",959,IF(Atletas!U145="Taijiqiang F",960))))))))))))))))))))</f>
        <v/>
      </c>
      <c r="BX149" s="72" t="str">
        <f>IF(BY149&lt;&gt;"","TJQ Trad. Wu-Hao C","")</f>
        <v/>
      </c>
      <c r="BY149" s="72" t="str">
        <f>IF(COUNTIF(BK:BW,1317)&gt;0,COUNTIF(BK:BW,1317),"")</f>
        <v/>
      </c>
      <c r="BZ149" s="72" t="str">
        <f>IF(CA149&lt;&gt;"","TJQ Trad. Wu-Hao C","")</f>
        <v/>
      </c>
      <c r="CA149" s="72" t="str">
        <f>IF(COUNTIF(BK:BW,2317)&gt;0,COUNTIF(BK:BW,2317),"")</f>
        <v/>
      </c>
      <c r="CB149" s="72" t="str">
        <f>IF(CC149&lt;&gt;"","Wu-Hao C","")</f>
        <v/>
      </c>
      <c r="CC149" s="64" t="str">
        <f>IF(COUNTIF(BK:BW,11317)&gt;0,COUNTIF(BK:BW,11317),"")</f>
        <v/>
      </c>
      <c r="CD149" s="64" t="str">
        <f>IF(CE149&lt;&gt;"","Wu-Hao C","")</f>
        <v/>
      </c>
      <c r="CE149" s="64" t="str">
        <f>IF(COUNTIF(BK:BW,12317)&gt;0,COUNTIF(BK:BW,12317),"")</f>
        <v/>
      </c>
      <c r="CF149" s="52" t="str">
        <f xml:space="preserve"> IF(Atletas!V145="","",IF(Atletas!V145="Duilian de Mãos AB - Equipe 1",1,IF(Atletas!V145="Duilian de Mãos AB - Equipe 2",2,IF(Atletas!V145="Duilian de Armas AB - Equipe 1",3,IF(Atletas!V145="Duilian de Armas AB - Equipe 2",4,IF(Atletas!V145="Duilian de Tuishou - Equipe 1",5,IF(Atletas!V145="Duilian de Tuishou - Equipe 2",6,IF(Atletas!V145="Grupo Externo AB - Equipe 1",7,IF(Atletas!V145="Grupo Externo AB - Equipe 2",8,IF(Atletas!V145="Grupo Interno AB - Equipe 1",9,IF(Atletas!V145="Grupo Interno AB - Equipe 2",10,IF(Atletas!V145="Duilian de Mãos CD - Equipe 1",11,IF(Atletas!V145="Duilian de Mãos CD - Equipe 2",12,IF(Atletas!V145="Duilian de Armas CD - Equipe 1",13,IF(Atletas!V145="Duilian de Armas CD - Equipe 2",14,IF(Atletas!V145="Duilian de Tuishou - Equipe 1",15,IF(Atletas!V145="Duilian de Tuishou - Equipe 2",16,IF(Atletas!V145="Grupo Externo CDEF - Equipe 1",17,IF(Atletas!V145="Grupo Externo CDEF - Equipe 2",18,IF(Atletas!V145="Grupo Interno CDEF - Equipe 1",19,IF(Atletas!V145="Grupo Interno CDEF - Equipe 2",20,IF(Atletas!V145="Duilian de Mãos EF - Equipe 1",21,IF(Atletas!V145="Duilian de Mãos EF - Equipe 2",22,IF(Atletas!V145="Duilian de Armas EF - Equipe 1",23,IF(Atletas!V145="Duilian de Armas EF - Equipe 2",24,IF(Atletas!V145="Duilian de Tuishou - Equipe 1",25,IF(Atletas!V145="Duilian de Tuishou - Equipe 2",26,"")))))))))))))))))))))))))))</f>
        <v/>
      </c>
    </row>
    <row r="150" spans="2:84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 t="str">
        <f t="array" ref="V150">IFERROR(INDEX(BX$7:BX$336,SMALL(IF(BX$7:BX$336&lt;&gt;"",ROW(BX$7:BX$336)-ROW(BX$7)+1),ROWS(BX$7:BX149))),"")</f>
        <v/>
      </c>
      <c r="W150" s="4" t="str">
        <f t="array" ref="W150">IFERROR(INDEX(BY$7:BY$336,SMALL(IF(BY$7:BY$336&lt;&gt;"",ROW(BY$7:BY$336)-ROW(BY$7)+1),ROWS(BY$7:BY149))),"")</f>
        <v/>
      </c>
      <c r="X150" s="4" t="str">
        <f t="array" ref="X150">IFERROR(INDEX(BZ$7:BZ$336,SMALL(IF(BZ$7:BZ$336&lt;&gt;"",ROW(BZ$7:BZ$336)-ROW(BZ$7)+1),ROWS(BZ$7:BZ149))),"")</f>
        <v/>
      </c>
      <c r="Y150" s="4" t="str">
        <f t="array" ref="Y150">IFERROR(INDEX(CA$7:CA$336,SMALL(IF(CA$7:CA$336&lt;&gt;"",ROW(CA$7:CA$336)-ROW(CA$7)+1),ROWS(CA$7:CA149))),"")</f>
        <v/>
      </c>
      <c r="Z150" s="4" t="str">
        <f t="array" ref="Z150">IFERROR(INDEX(CB$7:CB$378,SMALL(IF(CB$7:CB$378&lt;&gt;"",ROW(CB$7:CB$378)-ROW(CB$7)+1),ROWS(CB$7:CB149))),"")</f>
        <v/>
      </c>
      <c r="AA150" s="4" t="str">
        <f t="array" ref="AA150">IFERROR(INDEX(CC$7:CC$378,SMALL(IF(CC$7:CC$378&lt;&gt;"",ROW(CC$7:CC$378)-ROW(CC$7)+1),ROWS(CC$7:CC149))),"")</f>
        <v/>
      </c>
      <c r="AB150" s="4" t="str">
        <f t="array" ref="AB150">IFERROR(INDEX(CD$7:CD$378,SMALL(IF(CD$7:CD$378&lt;&gt;"",ROW(CD$7:CD$378)-ROW(CD$7)+1),ROWS(CD$7:CD149))),"")</f>
        <v/>
      </c>
      <c r="AC150" s="4" t="str">
        <f t="array" ref="AC150">IFERROR(INDEX(CE$7:CE$378,SMALL(IF(CE$7:CE$378&lt;&gt;"",ROW(CE$7:CE$378)-ROW(CE$7)+1),ROWS(CE$7:CE149))),"")</f>
        <v/>
      </c>
      <c r="AD150" s="4"/>
      <c r="AE150" s="4"/>
      <c r="AF150" s="4"/>
      <c r="AG150" s="4"/>
      <c r="AH150" s="4"/>
      <c r="AI150" s="4"/>
      <c r="AJ150" s="46" t="str">
        <f>IF(Atletas!D146="","",IF(Atletas!B146="Feminino",100,IF(Atletas!B146="Masculino",200,""))+(IF(Atletas!D146="Infantil 39kg",1,IF(Atletas!D146="Infantil 42kg",2,IF(Atletas!D146="Infantil 45kg",3,IF(Atletas!D146="Infantil 48kg",4,IF(Atletas!D146="Infantil 52kg",5,IF(Atletas!D146="Infantil 56kg",6,IF(Atletas!D146="Infantil 60kg",7,IF(Atletas!D146="Juvenil 48kg",8,IF(Atletas!D146="Juvenil 52kg",9,IF(Atletas!D146="Juvenil 56kg",10,IF(Atletas!D146="Juvenil 60kg",11,IF(Atletas!D146="Juvenil 65kg",12,IF(Atletas!D146="Juvenil 70kg",13,IF(Atletas!D146="Juvenil 75kg",14,IF(Atletas!D146="Juvenil 80kg",15,IF(Atletas!D146="Adulto 48kg",16,IF(Atletas!D146="Adulto 52kg",17,IF(Atletas!D146="Adulto 56kg",18,IF(Atletas!D146="Adulto 60kg",19,IF(Atletas!D146="Adulto 65kg",20,IF(Atletas!D146="Adulto 70kg",21,IF(Atletas!D146="Adulto 75kg",22,IF(Atletas!D146="Adulto 80kg",23,IF(Atletas!D146="Adulto 85kg",24,IF(Atletas!D146="Adulto 90kg",25,IF(Atletas!D146="Adulto +90kg",26,""))))))))))))))))))))))))))))</f>
        <v/>
      </c>
      <c r="AO150" s="10" t="str">
        <f>IF(Atletas!E146="","",IF(Atletas!B146="Feminino",100,IF(Atletas!B146="Masculino",200,""))+(IF(Atletas!E146="Juvenil 44kg",1,IF(Atletas!E146="Juvenil 48kg",2,IF(Atletas!E146="Juvenil 52kg",3,IF(Atletas!E146="Juvenil 56kg",4,IF(Atletas!E146="Juvenil 60kg",5,IF(Atletas!E146="Juvenil 65kg",6,IF(Atletas!E146="Juvenil 70kg",7,IF(Atletas!E146="Juvenil 75kg",8,IF(Atletas!E146="Juvenil 82kg",9,IF(Atletas!E146="Juvenil 90kg",10,IF(Atletas!E146="Juvenil 100kg",11,IF(Atletas!E146="Adulto 48kg",12,IF(Atletas!E146="Adulto 52kg",13,IF(Atletas!E146="Adulto 56kg",14,IF(Atletas!E146="Adulto 60kg",15,IF(Atletas!E146="Adulto 65kg",16,IF(Atletas!E146="Adulto 70kg",17,IF(Atletas!E146="Adulto 75kg",18,IF(Atletas!E146="Adulto 82kg",19,IF(Atletas!E146="Adulto 90kg",20,IF(Atletas!E146="Adulto 100kg",21,IF(Atletas!E146="Adulto +100kg",22,""))))))))))))))))))))))))</f>
        <v/>
      </c>
      <c r="AT150" s="10" t="str">
        <f>IF(Atletas!F146="","",IF(Atletas!B146="Feminino",100,IF(Atletas!B146="Masculino",200,""))+(IF(Atletas!F146="Adulto 48kg",1,IF(Atletas!F146="Adulto 56kg",2,IF(Atletas!F146="Adulto 65kg",3,IF(Atletas!F146="Adulto 75kg",4,IF(Atletas!F146="Adulto +75kg",5,IF(Atletas!F146="Adulto 52kg",6,IF(Atletas!F146="Adulto 60kg",7,IF(Atletas!F146="Adulto 70kg",8,IF(Atletas!F146="Adulto 80kg",9,IF(Atletas!F146="Adulto 90kg",10,IF(Atletas!F146="Adulto +90kg",11,"")))))))))))))</f>
        <v/>
      </c>
      <c r="AY150" s="46" t="str">
        <f>IF(Atletas!G146="","",IF(Atletas!B146="Feminino",100,IF(Atletas!B146="Masculino",200,""))+(IF(Atletas!G146="Changquan Mirim",1,IF(Atletas!G146="Nanquan Mirim",2,IF(Atletas!G146="Taijiquan Mirim",3,IF(Atletas!G146="Changquan Grupo C",4,IF(Atletas!G146="Nanquan Grupo C",5,IF(Atletas!G146="Taijiquan Grupo C",6,IF(Atletas!G146="Changquan Grupo B",7,IF(Atletas!G146="Nanquan Grupo B",8,IF(Atletas!G146="Taijiquan Grupo B",9,IF(Atletas!G146="Changquan Grupo A",10,IF(Atletas!G146="Nanquan Grupo A",11,IF(Atletas!G146="Taijiquan Grupo A",12,IF(Atletas!G146="Changquan Opcional",13,IF(Atletas!G146="Nanquan Opcional",14,IF(Atletas!G146="Taijiquan Opcional",15,IF(Atletas!G146="Changquan Adulto",16,IF(Atletas!G146="Nanquan Adulto",17,IF(Atletas!G146="Taijiquan Adulto",18,""))))))))))))))))))))</f>
        <v/>
      </c>
      <c r="AZ150" s="46" t="str">
        <f>IF(Atletas!H146="","",IF(Atletas!B146="Feminino",100,IF(Atletas!B146="Masculino",200,""))+(IF(Atletas!H146="Daoshu Mirim",19,IF(Atletas!H146="Jianshu Mirim",20,IF(Atletas!H146="Nandao Mirim",21,IF(Atletas!H146="Taijijian Mirim",22,IF(Atletas!H146="Daoshu Grupo C",23,IF(Atletas!H146="Jianshu Grupo C",24,IF(Atletas!H146="Nandao Grupo C",25,IF(Atletas!H146="Taijijian Grupo C",26,IF(Atletas!H146="Daoshu Grupo B",27,IF(Atletas!H146="Jianshu Grupo B",28,IF(Atletas!H146="Nandao Grupo B",29,IF(Atletas!H146="Taijijian Grupo B",30,IF(Atletas!H146="Daoshu Grupo A",31,IF(Atletas!H146="Jianshu Grupo A",32,IF(Atletas!H146="Nandao Grupo A",33,IF(Atletas!H146="Taijijian Grupo A",34,IF(Atletas!H146="Daoshu Opcional",35,IF(Atletas!H146="Jianshu Opcional",36,IF(Atletas!H146="Nandao Opcional",37,IF(Atletas!H146="Taijijian Opcional",38,IF(Atletas!H146="Daoshu Adulto",39,IF(Atletas!H146="Jianshu Adulto",40,IF(Atletas!H146="Nandao Adulto",41,IF(Atletas!H146="Taijijian Adulto",42,""))))))))))))))))))))))))))</f>
        <v/>
      </c>
      <c r="BA150" s="46" t="str">
        <f>IF(Atletas!I146="","",IF(Atletas!B146="Feminino",100,IF(Atletas!B146="Masculino",200,""))+(IF(Atletas!I146="Gunshu Mirim",43,IF(Atletas!I146="Qiangshu Mirim",44,IF(Atletas!I146="Nangun Mirim",45,IF(Atletas!I146="Gunshu Grupo C",46,IF(Atletas!I146="Qiangshu Grupo C",47,IF(Atletas!I146="Nangun Grupo C",48,IF(Atletas!I146="Gunshu Grupo B",49,IF(Atletas!I146="Qiangshu Grupo B",50,IF(Atletas!I146="Nangun Grupo B",51,IF(Atletas!I146="Gunshu Grupo A",52,IF(Atletas!I146="Qiangshu Grupo A",53,IF(Atletas!I146="Nangun Grupo A",54,IF(Atletas!I146="Gunshu Opcional",55,IF(Atletas!I146="Qiangshu Opcional",56,IF(Atletas!I146="Nangun Opcional",57,IF(Atletas!I146="Gunshu Adulto",58,IF(Atletas!I146="Qiangshu Adulto",59,IF(Atletas!I146="Nangun Adulto",60,""))))))))))))))))))))</f>
        <v/>
      </c>
      <c r="BF150" s="52" t="str">
        <f>IF(Atletas!J146="","",IF(Atletas!B146="Feminino",100,IF(Atletas!B146="Masculino",200,""))+(IF(Atletas!J146="Equipe 1 Grupo B",1,IF(Atletas!J146="Equipe 2 Grupo B",2,IF(Atletas!J146="Equipe 1 Grupo A",3,IF(Atletas!J146="Equipe 2 Grupo A",4,IF(Atletas!J146="Equipe 1 Adulto",5,IF(Atletas!J146="Equipe 2 Adulto",6,""))))))))</f>
        <v/>
      </c>
      <c r="BK150" s="52" t="str">
        <f>IF(Atletas!K146="","",IF(Atletas!W146&lt;&gt;"",10000,0)+(IF(Atletas!B146="Feminino",1000,IF(Atletas!B146="Masculino",2000,""))+IF(Atletas!K146="Choylayfut A",1,IF(Atletas!K146="Hunggar A",2,IF(Atletas!K146="Wuzuquan A",3,IF(Atletas!K146="Wingchun A",4,IF(Atletas!K146="Outra Mão de Sul A",5,IF(Atletas!K146="Choylayfut B",6,IF(Atletas!K146="Hunggar B",7,IF(Atletas!K146="Wuzuquan B",8,IF(Atletas!K146="Wingchun B",9,IF(Atletas!K146="Outra Mão de Sul B",10,IF(Atletas!K146="Choylayfut C",11,IF(Atletas!K146="Hunggar C",12,IF(Atletas!K146="Wuzuquan C",13,IF(Atletas!K146="Wingchun C",14,IF(Atletas!K146="Outra Mão de Sul C",15,IF(Atletas!K146="Choylayfut D",16,IF(Atletas!K146="Hunggar D",17,IF(Atletas!K146="Wuzuquan D",18,IF(Atletas!K146="Wingchun D",19,IF(Atletas!K146="Outra Mão de Sul D",20,IF(Atletas!K146="Choylayfut E",21,IF(Atletas!K146="Hunggar E",22,IF(Atletas!K146="Wuzuquan E",23,IF(Atletas!K146="Wingchun E",24,IF(Atletas!K146="Outra Mão de Sul E",25,IF(Atletas!K146="Choylayfut F",26,IF(Atletas!K146="Hunggar F",27,IF(Atletas!K146="Wuzuquan F",28,IF(Atletas!K146="Wingchun F",29,IF(Atletas!K146="Outra Mão de Sul F",30,""))))))))))))))))))))))))))))))))</f>
        <v/>
      </c>
      <c r="BL150" s="52" t="str">
        <f>IF(Atletas!L146="","",IF(Atletas!W146&lt;&gt;"",10000,0)+(IF(Atletas!B146="Feminino",1000,IF(Atletas!B146="Masculino",2000,""))+(IF(Atletas!L146="Chaquan A",101,IF(Atletas!L146="Emeiquan A",102,IF(Atletas!L146="Fanziquan A",103,IF(Atletas!L146="Huaquan A",104,IF(Atletas!L146="Hongquan A",105,IF(Atletas!L146="Paochui A",106,IF(Atletas!L146="Piguaquan A",107,IF(Atletas!L146="Shaolinquan A",108,IF(Atletas!L146="Tanglangquan A",109,IF(Atletas!L146="Yinzhaophai A",110,IF(Atletas!L146="Tongbeiquan A",111,IF(Atletas!L146="Wudangquan A",112,IF(Atletas!L146="Outros Estilos A",113,IF(Atletas!L146="Chaquan B",114,IF(Atletas!L146="Emeiquan B",115,IF(Atletas!L146="Fanziquan B",116,IF(Atletas!L146="Huaquan B",117,IF(Atletas!L146="Hongquan B",118,IF(Atletas!L146="Paochui B",119,IF(Atletas!L146="Piguaquan B",120,IF(Atletas!L146="Shaolinquan B",121,IF(Atletas!L146="Tanglangquan B",122,IF(Atletas!L146="Yinzhaophai B",123,IF(Atletas!L146="Tongbeiquan B",124,IF(Atletas!L146="Wudangquan B",125,IF(Atletas!L146="Outros Estilos B",126,IF(Atletas!L146="Chaquan C",127,IF(Atletas!L146="Emeiquan C",128,IF(Atletas!L146="Fanziquan C",129,IF(Atletas!L146="Huaquan C",130,IF(Atletas!L146="Hongquan C",131,IF(Atletas!L146="Paochui C",132,IF(Atletas!L146="Piguaquan C",133,IF(Atletas!L146="Shaolinquan C",134,IF(Atletas!L146="Tanglangquan C",135,IF(Atletas!L146="Yinzhaophai C",136,IF(Atletas!L146="Tongbeiquan C",137,IF(Atletas!L146="Wudangquan C",138,IF(Atletas!L146="Outros Estilos C",139,0))))))))))))))))))))))))))))))))))))))))))</f>
        <v/>
      </c>
      <c r="BM150" s="52" t="str">
        <f>IF(Atletas!L146="","",IF(Atletas!W146&lt;&gt;"",10000,0)+(IF(Atletas!B146="Feminino",1000,IF(Atletas!B146="Masculino",2000,""))+(IF(Atletas!L146="Chaquan D",140,IF(Atletas!L146="Emeiquan D",141,IF(Atletas!L146="Fanziquan D",142,IF(Atletas!L146="Huaquan D",143,IF(Atletas!L146="Hongquan D",144,IF(Atletas!L146="Paochui D",145,IF(Atletas!L146="Piguaquan D",146,IF(Atletas!L146="Shaolinquan D",147,IF(Atletas!L146="Tanglangquan D",148,IF(Atletas!L146="Yinzhaophai D",149,IF(Atletas!L146="Tongbeiquan D",150,IF(Atletas!L146="Wudangquan D",151,IF(Atletas!L146="Outros Estilos D",152,IF(Atletas!L146="Chaquan E",153,IF(Atletas!L146="Emeiquan E",154,IF(Atletas!L146="Fanziquan E",155,IF(Atletas!L146="Huaquan E",156,IF(Atletas!L146="Hongquan E",157,IF(Atletas!L146="Paochui E",158,IF(Atletas!L146="Piguaquan E",159,IF(Atletas!L146="Shaolinquan E",160,IF(Atletas!L146="Tanglangquan E",161,IF(Atletas!L146="Yinzhaophai E",162,IF(Atletas!L146="Tongbeiquan E",163,IF(Atletas!L146="Wudangquan E",164,IF(Atletas!L146="Outros Estilos E",165,IF(Atletas!L146="Chaquan F",166,IF(Atletas!L146="Emeiquan F",167,IF(Atletas!L146="Fanziquan F",168,IF(Atletas!L146="Huaquan F",169,IF(Atletas!L146="Hongquan F",170,IF(Atletas!L146="Paochui F",171,IF(Atletas!L146="Piguaquan F",172,IF(Atletas!L146="Shaolinquan F",173,IF(Atletas!L146="Tanglangquan F",174,IF(Atletas!L146="Yinzhaophai F",175,IF(Atletas!L146="Tongbeiquan F",176,IF(Atletas!L146="Wudangquan F",177,IF(Atletas!L146="Outros Estilos F",178,0))))))))))))))))))))))))))))))))))))))))))</f>
        <v/>
      </c>
      <c r="BN150" s="52" t="str">
        <f>IF(Atletas!M146="","",IF(Atletas!W146&lt;&gt;"",10000,0)+(IF(Atletas!B146="Feminino",1000,IF(Atletas!B146="Masculino",2000,""))+(IF(Atletas!M146="Ditangquan A",201,IF(Atletas!M146="Houquan A",202,IF(Atletas!M146="Zuiquan A",203,IF(Atletas!M146="Ditangquan B",204,IF(Atletas!M146="Houquan B",205,IF(Atletas!M146="Zuiquan B",206,IF(Atletas!M146="Ditangquan C",207,IF(Atletas!M146="Houquan C",208,IF(Atletas!M146="Zuiquan C",209,IF(Atletas!M146="Ditangquan D",210,IF(Atletas!M146="Houquan D",211,IF(Atletas!M146="Zuiquan D",212,IF(Atletas!M146="Ditangquan E",213,IF(Atletas!M146="Houquan E",214,IF(Atletas!M146="Zuiquan E",215,IF(Atletas!M146="Ditangquan F",216,IF(Atletas!M146="Houquan F",217,IF(Atletas!M146="Zuiquan F",218,"")))))))))))))))))))))</f>
        <v/>
      </c>
      <c r="BO150" s="52" t="str">
        <f>IF(Atletas!N146="","",IF(Atletas!W146&lt;&gt;"",10000,0)+IF(Atletas!B146="Feminino",1000,IF(Atletas!B146="Masculino",2000,""))+IF(Atletas!N146="Yang A",301,IF(Atletas!N146="Chen A",30,IF(Atletas!N146="Sun A",303,IF(Atletas!N146="Wu A",304,IF(Atletas!N146="Wu-Hao A",305,IF(Atletas!N146="Outro Taijiquan A",306,IF(Atletas!N146="Yang B",307,IF(Atletas!N146="Chen B",308,IF(Atletas!N146="Sun B",309,IF(Atletas!N146="Wu B",310,IF(Atletas!N146="Wu-Hao B",311,IF(Atletas!N146="Outro Taijiquan B",312,IF(Atletas!N146="Yang C",313,IF(Atletas!N146="Chen C",314,IF(Atletas!N146="Sun C",315,IF(Atletas!N146="Wu C",316,IF(Atletas!N146="Wu-Hao C",317,IF(Atletas!N146="Outro Taijiquan C",318,IF(Atletas!N146="Yang D",319,IF(Atletas!N146="Chen D",320,IF(Atletas!N146="Sun D",321,IF(Atletas!N146="Wu D",322,IF(Atletas!N146="Wu-Hao D",323,IF(Atletas!N146="Outro Taijiquan D",324,IF(Atletas!N146="Yang E",325,IF(Atletas!N146="Chen E",326,IF(Atletas!N146="Sun E",327,IF(Atletas!N146="Wu E",328,IF(Atletas!N146="Wu-Hao E",329,IF(Atletas!N146="Outro Taijiquan E",330,IF(Atletas!N146="Yang F",331,IF(Atletas!N146="Chen F",332,IF(Atletas!N146="Sun F",333,IF(Atletas!N146="Wu F",334,IF(Atletas!N146="Wu-Hao F",335,IF(Atletas!N146="Outro Taijiquan F",336,"")))))))))))))))))))))))))))))))))))))</f>
        <v/>
      </c>
      <c r="BP150" s="52" t="str">
        <f>IF(Atletas!O146="","",IF(Atletas!W146&lt;&gt;"",10000,0)+IF(Atletas!B146="Feminino",1000,IF(Atletas!B146="Masculino",2000,""))+IF(OR(Atletas!O146="Yang 26 A",Atletas!O146="Yang 40 A"),401,IF(OR(Atletas!O146="Chen 25 A",Atletas!O146="Chen 36 A",Atletas!O146="Chen 56 A"),402,IF(Atletas!O146="Sun 73 A",403,IF(Atletas!O146="Wu 45 A",404,IF(Atletas!O146="Wu-Hao 46 A",405,IF(OR(Atletas!O146="Taijiquan 16 A",Atletas!O146="Taijiquan 24 A",Atletas!O146="Taijiquan 32 A",Atletas!O146="Taijiquan 42 A"),406,IF(OR(Atletas!O146="Yang 26 B",Atletas!O146="Yang 40 B"),407,IF(OR(Atletas!O146="Chen 25 B",Atletas!O146="Chen 36 B",Atletas!O146="Chen 56 B"),408,IF(Atletas!O146="Sun 73 B",409,IF(Atletas!O146="Wu 45 B",410,IF(Atletas!O146="Wu-Hao 46 B",411,IF(OR(Atletas!O146="Taijiquan 16 B",Atletas!O146="Taijiquan 24 B",Atletas!O146="Taijiquan 32 B",Atletas!O146="Taijiquan 42 B"),412,IF(OR(Atletas!O146="Yang 26 C",Atletas!O146="Yang 40 C"),413,IF(OR(Atletas!O146="Chen 25 C",Atletas!O146="Chen 36 C",Atletas!O146="Chen 56 C"),414,IF(Atletas!O146="Sun 73 C",415,IF(Atletas!O146="Wu 45 C",416,IF(Atletas!O146="Wu-Hao 46 C",417,IF(OR(Atletas!O146="Taijiquan 16 C",Atletas!O146="Taijiquan 24 C",Atletas!O146="Taijiquan 32 C",Atletas!O146="Taijiquan 42 C"),418,0)))))))))))))))))))</f>
        <v/>
      </c>
      <c r="BQ150" s="52" t="str">
        <f>IF(Atletas!O146="","",IF(Atletas!W146&lt;&gt;"",10000,0)+IF(Atletas!B146="Feminino",1000,IF(Atletas!B146="Masculino",2000,""))+IF(OR(Atletas!O146="Yang 26 D",Atletas!O146="Yang 40 D"),419,IF(OR(Atletas!O146="Chen 25 D",Atletas!O146="Chen 36 D",Atletas!O146="Chen 56 D"),420,IF(Atletas!O146="Sun 73 D",421,IF(Atletas!O146="Wu 45 D",422,IF(Atletas!O146="Wu-Hao 46 D",423,IF(OR(Atletas!O146="Taijiquan 16 D",Atletas!O146="Taijiquan 24 D",Atletas!O146="Taijiquan 32 D",Atletas!O146="Taijiquan 42 D"),424,IF(OR(Atletas!O146="Yang 26 E",Atletas!O146="Yang 40 E"),425,IF(OR(Atletas!O146="Chen 25 E",Atletas!O146="Chen 36 E",Atletas!O146="Chen 56 E"),426,IF(Atletas!O146="Sun 73 E",427,IF(Atletas!O146="Wu 45 E",428,IF(Atletas!O146="Wu-Hao 46 E",429,IF(OR(Atletas!O146="Taijiquan 16 E",Atletas!O146="Taijiquan 24 E",Atletas!O146="Taijiquan 32 E",Atletas!O146="Taijiquan 42 E"),430,IF(OR(Atletas!O146="Yang 26 F",Atletas!O146="Yang 40 F"),431,IF(OR(Atletas!O146="Chen 25 F",Atletas!O146="Chen 36 F",Atletas!O146="Chen 56 F"),432,IF(Atletas!O146="Sun 73 F",433,IF(Atletas!O146="Wu 45 F",434,IF(Atletas!O146="Wu-Hao 46 F",435,IF(OR(Atletas!O146="Taijiquan 16 F",Atletas!O146="Taijiquan 24 F",Atletas!O146="Taijiquan 32 F",Atletas!O146="Taijiquan 42 F"),436,0)))))))))))))))))))</f>
        <v/>
      </c>
      <c r="BR150" s="52" t="str">
        <f>IF(Atletas!P146="","",IF(Atletas!W146&lt;&gt;"",10000,0)+IF(Atletas!B146="Feminino",1000,IF(Atletas!B146="Masculino",2000,""))+IF(Atletas!P146="Xingyiquan A",501,IF(Atletas!P146="Baguazhang A",502,IF(Atletas!P146="Outro Estilo Interno A",503,IF(Atletas!P146="Xingyiquan B",504,IF(Atletas!P146="Baguazhang B",505,IF(Atletas!P146="Outro Estilo Interno B",506,IF(Atletas!P146="Xingyiquan C",507,IF(Atletas!P146="Baguazhang C",508,IF(Atletas!P146="Outro Estilo Interno C",509,IF(Atletas!P146="Xingyiquan D",510,IF(Atletas!P146="Baguazhang D",511,IF(Atletas!P146="Outro Estilo Interno D",512,IF(Atletas!P146="Xingyiquan E",513,IF(Atletas!P146="Baguazhang E",514,IF(Atletas!P146="Outro Estilo Interno E",515,IF(Atletas!P146="Xingyiquan F",516,IF(Atletas!P146="Baguazhang F",517,IF(Atletas!P146="Outro Estilo Interno F",518, "")))))))))))))))))))</f>
        <v/>
      </c>
      <c r="BS150" s="52" t="str">
        <f>IF(Atletas!Q146="","",IF(Atletas!W146&lt;&gt;"",10000,0)+IF(Atletas!B146="Feminino",1000,IF(Atletas!B146="Masculino",2000,""))+IF(Atletas!Q146="Dao A",601,IF(Atletas!Q146="Jian A",602,IF(Atletas!Q146="Bishou A",603,IF(Atletas!Q146="Shan A",604,IF(Atletas!Q146="Outra Arma Curta A",605,IF(Atletas!Q146="Dao B",606,IF(Atletas!Q146="Jian B",607,IF(Atletas!Q146="Bishou B",608,IF(Atletas!Q146="Shan B",609,IF(Atletas!Q146="Outra Arma Curta B",610,IF(Atletas!Q146="Dao C",611,IF(Atletas!Q146="Jian C",612,IF(Atletas!Q146="Bishou C",613,IF(Atletas!Q146="Shan C",614,IF(Atletas!Q146="Outra Arma Curta C",615,IF(Atletas!Q146="Dao D",616,IF(Atletas!Q146="Jian D",617,IF(Atletas!Q146="Bishou D",618,IF(Atletas!Q146="Shan D",619,IF(Atletas!Q146="Outra Arma Curta D",620,IF(Atletas!Q146="Dao E",621,IF(Atletas!Q146="Jian E",622,IF(Atletas!Q146="Bishou E",623,IF(Atletas!Q146="Shan E",624,IF(Atletas!Q146="Outra Arma Curta E",625,IF(Atletas!Q146="Dao F",626,IF(Atletas!Q146="Jian F",627,IF(Atletas!Q146="Bishou F",628,IF(Atletas!Q146="Shan F",629,IF(Atletas!Q146="Outra Arma Curta F",630, "")))))))))))))))))))))))))))))))</f>
        <v/>
      </c>
      <c r="BT150" s="52" t="str">
        <f>IF(Atletas!R146="","",IF(Atletas!W146&lt;&gt;"",10000,0)+IF(Atletas!B146="Feminino",1000,IF(Atletas!B146="Masculino",2000,""))+IF(Atletas!R146="Gun A",701,IF(Atletas!R146="Qiang A",702,IF(Atletas!R146="Pudao / Guandao A",703,IF(Atletas!R146="Outra Arma Longa A",704,IF(Atletas!R146="Gun B",705,IF(Atletas!R146="Qiang B",706,IF(Atletas!R146="Pudao / Guandao B",707,IF(Atletas!R146="Outra Arma Longa B",708,IF(Atletas!R146="Gun C",709,IF(Atletas!R146="Qiang C",710,IF(Atletas!R146="Pudao / Guandao C",711,IF(Atletas!R146="Outra Arma Longa C",712,IF(Atletas!R146="Gun D",713,IF(Atletas!R146="Qiang D",714,IF(Atletas!R146="Pudao / Guandao D",715,IF(Atletas!R146="Outra Arma Longa D",716,IF(Atletas!R146="Gun E",717,IF(Atletas!R146="Qiang E",718,IF(Atletas!R146="Pudao / Guandao E",719,IF(Atletas!R146="Outra Arma Longa E",720,IF(Atletas!R146="Gun F",721,IF(Atletas!R146="Qiang F",722,IF(Atletas!R146="Pudao / Guandao F",723,IF(Atletas!R146="Outra Arma Longa F",724,"")))))))))))))))))))))))))</f>
        <v/>
      </c>
      <c r="BU150" s="52" t="str">
        <f>IF(Atletas!S146="","",IF(Atletas!W146&lt;&gt;"",10000,0)+IF(Atletas!B146="Feminino",1000,IF(Atletas!B146="Masculino",2000,""))+IF(Atletas!S146="Arma Dupla A",801,IF(Atletas!S146="Arma Maleável A",802,IF(Atletas!S146="Arma Dupla B",803,IF(Atletas!S146="Arma Maleável B",804,IF(Atletas!S146="Arma Dupla C",805,IF(Atletas!S146="Arma Maleável C",806,IF(Atletas!S146="Arma Dupla D",807,IF(Atletas!S146="Arma Maleável D",808,IF(Atletas!S146="Arma Dupla E",809,IF(Atletas!S146="Arma Maleável E",810,IF(Atletas!S146="Arma Dupla F",811,IF(Atletas!S146="Arma Maleável F",812, "")))))))))))))</f>
        <v/>
      </c>
      <c r="BV150" s="52" t="str">
        <f>IF(Atletas!T146="","",IF(Atletas!W146&lt;&gt;"",10000,0)+IF(Atletas!B146="Feminino",1000,IF(Atletas!B146="Masculino",2000,""))+IF(Atletas!T146="Taijijian Yang A",901,IF(Atletas!T146="Taijijian Chen A",902,IF(Atletas!T146="Taijijian Sun A",903,IF(Atletas!T146="Taijijian Wu A",904,IF(Atletas!T146="Taijijian Wu-Hao A",905,IF(Atletas!T146="Taijijian 32 A",906,IF(Atletas!T146="Taijijian 42 A",907,IF(Atletas!T146="Taijijian Yang B",908,IF(Atletas!T146="Taijijian Chen B",909,IF(Atletas!T146="Taijijian Sun B",910,IF(Atletas!T146="Taijijian Wu B",911,IF(Atletas!T146="Taijijian Wu-Hao B",912,IF(Atletas!T146="Taijijian 32 B",913,IF(Atletas!T146="Taijijian 42 B",914,IF(Atletas!T146="Taijijian Yang C",915,IF(Atletas!T146="Taijijian Chen C",916,IF(Atletas!T146="Taijijian Sun C",917,IF(Atletas!T146="Taijijian Wu C",918,IF(Atletas!T146="Taijijian Wu-Hao C",919,IF(Atletas!T146="Taijijian 32 C",920,IF(Atletas!T146="Taijijian 42 C",921,IF(Atletas!T146="Taijijian Yang D",922,IF(Atletas!T146="Taijijian Chen D",923,IF(Atletas!T146="Taijijian Sun D",924,IF(Atletas!T146="Taijijian Wu D",925,IF(Atletas!T146="Taijijian Wu-Hao D",926,IF(Atletas!T146="Taijijian 32 D",927,IF(Atletas!T146="Taijijian 42 D",928,IF(Atletas!T146="Taijijian Yang E",929,IF(Atletas!T146="Taijijian Chen E",930,IF(Atletas!T146="Taijijian Sun E",931,IF(Atletas!T146="Taijijian Wu E",932,IF(Atletas!T146="Taijijian Wu-Hao E",933,IF(Atletas!T146="Taijijian 32 E",934,IF(Atletas!T146="Taijijian 42 E",935,IF(Atletas!T146="Taijijian Yang F",936,IF(Atletas!T146="Taijijian Chen F",937,IF(Atletas!T146="Taijijian Sun F",938,IF(Atletas!T146="Taijijian Wu F",939,IF(Atletas!T146="Taijijian Wu-Hao F",940,IF(Atletas!T146="Taijijian 32 F",941,IF(Atletas!T146="Taijijian 42 F",942,"")))))))))))))))))))))))))))))))))))))))))))</f>
        <v/>
      </c>
      <c r="BW150" s="52" t="str">
        <f>IF(Atletas!U146="","",IF(Atletas!W146&lt;&gt;"",10000,0)+IF(Atletas!B146="Feminino",1000,IF(Atletas!B146="Masculino",2000,""))+IF(Atletas!T146="Taijijian 42 F",942,IF(Atletas!U146="Taijidao A",943,IF(Atletas!U146="Taijishan A",944,IF(Atletas!U146="Taijiqiang A",945,IF(Atletas!U146="Taijidao B",946,IF(Atletas!U146="Taijishan B",947,IF(Atletas!U146="Taijiqiang B",948,IF(Atletas!U146="Taijidao C",949,IF(Atletas!U146="Taijishan C",950,IF(Atletas!U146="Taijiqiang C",951,IF(Atletas!U146="Taijidao D",952,IF(Atletas!U146="Taijishan D",953,IF(Atletas!U146="Taijiqiang D",954,IF(Atletas!U146="Taijidao E",955,IF(Atletas!U146="Taijishan E",956,IF(Atletas!U146="Taijiqiang E",957,IF(Atletas!U146="Taijidao F",958,IF(Atletas!U146="Taijishan F",959,IF(Atletas!U146="Taijiqiang F",960))))))))))))))))))))</f>
        <v/>
      </c>
      <c r="BX150" s="72" t="str">
        <f>IF(BY150&lt;&gt;"","Outro Taijiquan C","")</f>
        <v/>
      </c>
      <c r="BY150" s="72" t="str">
        <f>IF(COUNTIF(BK:BW,1318)&gt;0,COUNTIF(BK:BW,1318),"")</f>
        <v/>
      </c>
      <c r="BZ150" s="72" t="str">
        <f>IF(CA150&lt;&gt;"","Outro Taijiquan C","")</f>
        <v/>
      </c>
      <c r="CA150" s="72" t="str">
        <f>IF(COUNTIF(BK:BW,2318)&gt;0,COUNTIF(BK:BW,2318),"")</f>
        <v/>
      </c>
      <c r="CB150" s="72" t="str">
        <f>IF(CC150&lt;&gt;"","Outro Taijiquan C","")</f>
        <v/>
      </c>
      <c r="CC150" s="64" t="str">
        <f>IF(COUNTIF(BK:BW,11318)&gt;0,COUNTIF(BK:BW,11318),"")</f>
        <v/>
      </c>
      <c r="CD150" s="64" t="str">
        <f>IF(CE150&lt;&gt;"","Outro Taijiquan C","")</f>
        <v/>
      </c>
      <c r="CE150" s="64" t="str">
        <f>IF(COUNTIF(BK:BW,12318)&gt;0,COUNTIF(BK:BW,12318),"")</f>
        <v/>
      </c>
      <c r="CF150" s="52" t="str">
        <f xml:space="preserve"> IF(Atletas!V146="","",IF(Atletas!V146="Duilian de Mãos AB - Equipe 1",1,IF(Atletas!V146="Duilian de Mãos AB - Equipe 2",2,IF(Atletas!V146="Duilian de Armas AB - Equipe 1",3,IF(Atletas!V146="Duilian de Armas AB - Equipe 2",4,IF(Atletas!V146="Duilian de Tuishou - Equipe 1",5,IF(Atletas!V146="Duilian de Tuishou - Equipe 2",6,IF(Atletas!V146="Grupo Externo AB - Equipe 1",7,IF(Atletas!V146="Grupo Externo AB - Equipe 2",8,IF(Atletas!V146="Grupo Interno AB - Equipe 1",9,IF(Atletas!V146="Grupo Interno AB - Equipe 2",10,IF(Atletas!V146="Duilian de Mãos CD - Equipe 1",11,IF(Atletas!V146="Duilian de Mãos CD - Equipe 2",12,IF(Atletas!V146="Duilian de Armas CD - Equipe 1",13,IF(Atletas!V146="Duilian de Armas CD - Equipe 2",14,IF(Atletas!V146="Duilian de Tuishou - Equipe 1",15,IF(Atletas!V146="Duilian de Tuishou - Equipe 2",16,IF(Atletas!V146="Grupo Externo CDEF - Equipe 1",17,IF(Atletas!V146="Grupo Externo CDEF - Equipe 2",18,IF(Atletas!V146="Grupo Interno CDEF - Equipe 1",19,IF(Atletas!V146="Grupo Interno CDEF - Equipe 2",20,IF(Atletas!V146="Duilian de Mãos EF - Equipe 1",21,IF(Atletas!V146="Duilian de Mãos EF - Equipe 2",22,IF(Atletas!V146="Duilian de Armas EF - Equipe 1",23,IF(Atletas!V146="Duilian de Armas EF - Equipe 2",24,IF(Atletas!V146="Duilian de Tuishou - Equipe 1",25,IF(Atletas!V146="Duilian de Tuishou - Equipe 2",26,"")))))))))))))))))))))))))))</f>
        <v/>
      </c>
    </row>
    <row r="151" spans="2:84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 t="str">
        <f t="array" ref="V151">IFERROR(INDEX(BX$7:BX$336,SMALL(IF(BX$7:BX$336&lt;&gt;"",ROW(BX$7:BX$336)-ROW(BX$7)+1),ROWS(BX$7:BX150))),"")</f>
        <v/>
      </c>
      <c r="W151" s="4" t="str">
        <f t="array" ref="W151">IFERROR(INDEX(BY$7:BY$336,SMALL(IF(BY$7:BY$336&lt;&gt;"",ROW(BY$7:BY$336)-ROW(BY$7)+1),ROWS(BY$7:BY150))),"")</f>
        <v/>
      </c>
      <c r="X151" s="4" t="str">
        <f t="array" ref="X151">IFERROR(INDEX(BZ$7:BZ$336,SMALL(IF(BZ$7:BZ$336&lt;&gt;"",ROW(BZ$7:BZ$336)-ROW(BZ$7)+1),ROWS(BZ$7:BZ150))),"")</f>
        <v/>
      </c>
      <c r="Y151" s="4" t="str">
        <f t="array" ref="Y151">IFERROR(INDEX(CA$7:CA$336,SMALL(IF(CA$7:CA$336&lt;&gt;"",ROW(CA$7:CA$336)-ROW(CA$7)+1),ROWS(CA$7:CA150))),"")</f>
        <v/>
      </c>
      <c r="Z151" s="4" t="str">
        <f t="array" ref="Z151">IFERROR(INDEX(CB$7:CB$378,SMALL(IF(CB$7:CB$378&lt;&gt;"",ROW(CB$7:CB$378)-ROW(CB$7)+1),ROWS(CB$7:CB150))),"")</f>
        <v/>
      </c>
      <c r="AA151" s="4" t="str">
        <f t="array" ref="AA151">IFERROR(INDEX(CC$7:CC$378,SMALL(IF(CC$7:CC$378&lt;&gt;"",ROW(CC$7:CC$378)-ROW(CC$7)+1),ROWS(CC$7:CC150))),"")</f>
        <v/>
      </c>
      <c r="AB151" s="4" t="str">
        <f t="array" ref="AB151">IFERROR(INDEX(CD$7:CD$378,SMALL(IF(CD$7:CD$378&lt;&gt;"",ROW(CD$7:CD$378)-ROW(CD$7)+1),ROWS(CD$7:CD150))),"")</f>
        <v/>
      </c>
      <c r="AC151" s="4" t="str">
        <f t="array" ref="AC151">IFERROR(INDEX(CE$7:CE$378,SMALL(IF(CE$7:CE$378&lt;&gt;"",ROW(CE$7:CE$378)-ROW(CE$7)+1),ROWS(CE$7:CE150))),"")</f>
        <v/>
      </c>
      <c r="AD151" s="4"/>
      <c r="AE151" s="4"/>
      <c r="AF151" s="4"/>
      <c r="AG151" s="4"/>
      <c r="AH151" s="4"/>
      <c r="AI151" s="4"/>
      <c r="AJ151" s="46" t="str">
        <f>IF(Atletas!D147="","",IF(Atletas!B147="Feminino",100,IF(Atletas!B147="Masculino",200,""))+(IF(Atletas!D147="Infantil 39kg",1,IF(Atletas!D147="Infantil 42kg",2,IF(Atletas!D147="Infantil 45kg",3,IF(Atletas!D147="Infantil 48kg",4,IF(Atletas!D147="Infantil 52kg",5,IF(Atletas!D147="Infantil 56kg",6,IF(Atletas!D147="Infantil 60kg",7,IF(Atletas!D147="Juvenil 48kg",8,IF(Atletas!D147="Juvenil 52kg",9,IF(Atletas!D147="Juvenil 56kg",10,IF(Atletas!D147="Juvenil 60kg",11,IF(Atletas!D147="Juvenil 65kg",12,IF(Atletas!D147="Juvenil 70kg",13,IF(Atletas!D147="Juvenil 75kg",14,IF(Atletas!D147="Juvenil 80kg",15,IF(Atletas!D147="Adulto 48kg",16,IF(Atletas!D147="Adulto 52kg",17,IF(Atletas!D147="Adulto 56kg",18,IF(Atletas!D147="Adulto 60kg",19,IF(Atletas!D147="Adulto 65kg",20,IF(Atletas!D147="Adulto 70kg",21,IF(Atletas!D147="Adulto 75kg",22,IF(Atletas!D147="Adulto 80kg",23,IF(Atletas!D147="Adulto 85kg",24,IF(Atletas!D147="Adulto 90kg",25,IF(Atletas!D147="Adulto +90kg",26,""))))))))))))))))))))))))))))</f>
        <v/>
      </c>
      <c r="AO151" s="10" t="str">
        <f>IF(Atletas!E147="","",IF(Atletas!B147="Feminino",100,IF(Atletas!B147="Masculino",200,""))+(IF(Atletas!E147="Juvenil 44kg",1,IF(Atletas!E147="Juvenil 48kg",2,IF(Atletas!E147="Juvenil 52kg",3,IF(Atletas!E147="Juvenil 56kg",4,IF(Atletas!E147="Juvenil 60kg",5,IF(Atletas!E147="Juvenil 65kg",6,IF(Atletas!E147="Juvenil 70kg",7,IF(Atletas!E147="Juvenil 75kg",8,IF(Atletas!E147="Juvenil 82kg",9,IF(Atletas!E147="Juvenil 90kg",10,IF(Atletas!E147="Juvenil 100kg",11,IF(Atletas!E147="Adulto 48kg",12,IF(Atletas!E147="Adulto 52kg",13,IF(Atletas!E147="Adulto 56kg",14,IF(Atletas!E147="Adulto 60kg",15,IF(Atletas!E147="Adulto 65kg",16,IF(Atletas!E147="Adulto 70kg",17,IF(Atletas!E147="Adulto 75kg",18,IF(Atletas!E147="Adulto 82kg",19,IF(Atletas!E147="Adulto 90kg",20,IF(Atletas!E147="Adulto 100kg",21,IF(Atletas!E147="Adulto +100kg",22,""))))))))))))))))))))))))</f>
        <v/>
      </c>
      <c r="AT151" s="10" t="str">
        <f>IF(Atletas!F147="","",IF(Atletas!B147="Feminino",100,IF(Atletas!B147="Masculino",200,""))+(IF(Atletas!F147="Adulto 48kg",1,IF(Atletas!F147="Adulto 56kg",2,IF(Atletas!F147="Adulto 65kg",3,IF(Atletas!F147="Adulto 75kg",4,IF(Atletas!F147="Adulto +75kg",5,IF(Atletas!F147="Adulto 52kg",6,IF(Atletas!F147="Adulto 60kg",7,IF(Atletas!F147="Adulto 70kg",8,IF(Atletas!F147="Adulto 80kg",9,IF(Atletas!F147="Adulto 90kg",10,IF(Atletas!F147="Adulto +90kg",11,"")))))))))))))</f>
        <v/>
      </c>
      <c r="AY151" s="46" t="str">
        <f>IF(Atletas!G147="","",IF(Atletas!B147="Feminino",100,IF(Atletas!B147="Masculino",200,""))+(IF(Atletas!G147="Changquan Mirim",1,IF(Atletas!G147="Nanquan Mirim",2,IF(Atletas!G147="Taijiquan Mirim",3,IF(Atletas!G147="Changquan Grupo C",4,IF(Atletas!G147="Nanquan Grupo C",5,IF(Atletas!G147="Taijiquan Grupo C",6,IF(Atletas!G147="Changquan Grupo B",7,IF(Atletas!G147="Nanquan Grupo B",8,IF(Atletas!G147="Taijiquan Grupo B",9,IF(Atletas!G147="Changquan Grupo A",10,IF(Atletas!G147="Nanquan Grupo A",11,IF(Atletas!G147="Taijiquan Grupo A",12,IF(Atletas!G147="Changquan Opcional",13,IF(Atletas!G147="Nanquan Opcional",14,IF(Atletas!G147="Taijiquan Opcional",15,IF(Atletas!G147="Changquan Adulto",16,IF(Atletas!G147="Nanquan Adulto",17,IF(Atletas!G147="Taijiquan Adulto",18,""))))))))))))))))))))</f>
        <v/>
      </c>
      <c r="AZ151" s="46" t="str">
        <f>IF(Atletas!H147="","",IF(Atletas!B147="Feminino",100,IF(Atletas!B147="Masculino",200,""))+(IF(Atletas!H147="Daoshu Mirim",19,IF(Atletas!H147="Jianshu Mirim",20,IF(Atletas!H147="Nandao Mirim",21,IF(Atletas!H147="Taijijian Mirim",22,IF(Atletas!H147="Daoshu Grupo C",23,IF(Atletas!H147="Jianshu Grupo C",24,IF(Atletas!H147="Nandao Grupo C",25,IF(Atletas!H147="Taijijian Grupo C",26,IF(Atletas!H147="Daoshu Grupo B",27,IF(Atletas!H147="Jianshu Grupo B",28,IF(Atletas!H147="Nandao Grupo B",29,IF(Atletas!H147="Taijijian Grupo B",30,IF(Atletas!H147="Daoshu Grupo A",31,IF(Atletas!H147="Jianshu Grupo A",32,IF(Atletas!H147="Nandao Grupo A",33,IF(Atletas!H147="Taijijian Grupo A",34,IF(Atletas!H147="Daoshu Opcional",35,IF(Atletas!H147="Jianshu Opcional",36,IF(Atletas!H147="Nandao Opcional",37,IF(Atletas!H147="Taijijian Opcional",38,IF(Atletas!H147="Daoshu Adulto",39,IF(Atletas!H147="Jianshu Adulto",40,IF(Atletas!H147="Nandao Adulto",41,IF(Atletas!H147="Taijijian Adulto",42,""))))))))))))))))))))))))))</f>
        <v/>
      </c>
      <c r="BA151" s="46" t="str">
        <f>IF(Atletas!I147="","",IF(Atletas!B147="Feminino",100,IF(Atletas!B147="Masculino",200,""))+(IF(Atletas!I147="Gunshu Mirim",43,IF(Atletas!I147="Qiangshu Mirim",44,IF(Atletas!I147="Nangun Mirim",45,IF(Atletas!I147="Gunshu Grupo C",46,IF(Atletas!I147="Qiangshu Grupo C",47,IF(Atletas!I147="Nangun Grupo C",48,IF(Atletas!I147="Gunshu Grupo B",49,IF(Atletas!I147="Qiangshu Grupo B",50,IF(Atletas!I147="Nangun Grupo B",51,IF(Atletas!I147="Gunshu Grupo A",52,IF(Atletas!I147="Qiangshu Grupo A",53,IF(Atletas!I147="Nangun Grupo A",54,IF(Atletas!I147="Gunshu Opcional",55,IF(Atletas!I147="Qiangshu Opcional",56,IF(Atletas!I147="Nangun Opcional",57,IF(Atletas!I147="Gunshu Adulto",58,IF(Atletas!I147="Qiangshu Adulto",59,IF(Atletas!I147="Nangun Adulto",60,""))))))))))))))))))))</f>
        <v/>
      </c>
      <c r="BF151" s="52" t="str">
        <f>IF(Atletas!J147="","",IF(Atletas!B147="Feminino",100,IF(Atletas!B147="Masculino",200,""))+(IF(Atletas!J147="Equipe 1 Grupo B",1,IF(Atletas!J147="Equipe 2 Grupo B",2,IF(Atletas!J147="Equipe 1 Grupo A",3,IF(Atletas!J147="Equipe 2 Grupo A",4,IF(Atletas!J147="Equipe 1 Adulto",5,IF(Atletas!J147="Equipe 2 Adulto",6,""))))))))</f>
        <v/>
      </c>
      <c r="BK151" s="52" t="str">
        <f>IF(Atletas!K147="","",IF(Atletas!W147&lt;&gt;"",10000,0)+(IF(Atletas!B147="Feminino",1000,IF(Atletas!B147="Masculino",2000,""))+IF(Atletas!K147="Choylayfut A",1,IF(Atletas!K147="Hunggar A",2,IF(Atletas!K147="Wuzuquan A",3,IF(Atletas!K147="Wingchun A",4,IF(Atletas!K147="Outra Mão de Sul A",5,IF(Atletas!K147="Choylayfut B",6,IF(Atletas!K147="Hunggar B",7,IF(Atletas!K147="Wuzuquan B",8,IF(Atletas!K147="Wingchun B",9,IF(Atletas!K147="Outra Mão de Sul B",10,IF(Atletas!K147="Choylayfut C",11,IF(Atletas!K147="Hunggar C",12,IF(Atletas!K147="Wuzuquan C",13,IF(Atletas!K147="Wingchun C",14,IF(Atletas!K147="Outra Mão de Sul C",15,IF(Atletas!K147="Choylayfut D",16,IF(Atletas!K147="Hunggar D",17,IF(Atletas!K147="Wuzuquan D",18,IF(Atletas!K147="Wingchun D",19,IF(Atletas!K147="Outra Mão de Sul D",20,IF(Atletas!K147="Choylayfut E",21,IF(Atletas!K147="Hunggar E",22,IF(Atletas!K147="Wuzuquan E",23,IF(Atletas!K147="Wingchun E",24,IF(Atletas!K147="Outra Mão de Sul E",25,IF(Atletas!K147="Choylayfut F",26,IF(Atletas!K147="Hunggar F",27,IF(Atletas!K147="Wuzuquan F",28,IF(Atletas!K147="Wingchun F",29,IF(Atletas!K147="Outra Mão de Sul F",30,""))))))))))))))))))))))))))))))))</f>
        <v/>
      </c>
      <c r="BL151" s="52" t="str">
        <f>IF(Atletas!L147="","",IF(Atletas!W147&lt;&gt;"",10000,0)+(IF(Atletas!B147="Feminino",1000,IF(Atletas!B147="Masculino",2000,""))+(IF(Atletas!L147="Chaquan A",101,IF(Atletas!L147="Emeiquan A",102,IF(Atletas!L147="Fanziquan A",103,IF(Atletas!L147="Huaquan A",104,IF(Atletas!L147="Hongquan A",105,IF(Atletas!L147="Paochui A",106,IF(Atletas!L147="Piguaquan A",107,IF(Atletas!L147="Shaolinquan A",108,IF(Atletas!L147="Tanglangquan A",109,IF(Atletas!L147="Yinzhaophai A",110,IF(Atletas!L147="Tongbeiquan A",111,IF(Atletas!L147="Wudangquan A",112,IF(Atletas!L147="Outros Estilos A",113,IF(Atletas!L147="Chaquan B",114,IF(Atletas!L147="Emeiquan B",115,IF(Atletas!L147="Fanziquan B",116,IF(Atletas!L147="Huaquan B",117,IF(Atletas!L147="Hongquan B",118,IF(Atletas!L147="Paochui B",119,IF(Atletas!L147="Piguaquan B",120,IF(Atletas!L147="Shaolinquan B",121,IF(Atletas!L147="Tanglangquan B",122,IF(Atletas!L147="Yinzhaophai B",123,IF(Atletas!L147="Tongbeiquan B",124,IF(Atletas!L147="Wudangquan B",125,IF(Atletas!L147="Outros Estilos B",126,IF(Atletas!L147="Chaquan C",127,IF(Atletas!L147="Emeiquan C",128,IF(Atletas!L147="Fanziquan C",129,IF(Atletas!L147="Huaquan C",130,IF(Atletas!L147="Hongquan C",131,IF(Atletas!L147="Paochui C",132,IF(Atletas!L147="Piguaquan C",133,IF(Atletas!L147="Shaolinquan C",134,IF(Atletas!L147="Tanglangquan C",135,IF(Atletas!L147="Yinzhaophai C",136,IF(Atletas!L147="Tongbeiquan C",137,IF(Atletas!L147="Wudangquan C",138,IF(Atletas!L147="Outros Estilos C",139,0))))))))))))))))))))))))))))))))))))))))))</f>
        <v/>
      </c>
      <c r="BM151" s="52" t="str">
        <f>IF(Atletas!L147="","",IF(Atletas!W147&lt;&gt;"",10000,0)+(IF(Atletas!B147="Feminino",1000,IF(Atletas!B147="Masculino",2000,""))+(IF(Atletas!L147="Chaquan D",140,IF(Atletas!L147="Emeiquan D",141,IF(Atletas!L147="Fanziquan D",142,IF(Atletas!L147="Huaquan D",143,IF(Atletas!L147="Hongquan D",144,IF(Atletas!L147="Paochui D",145,IF(Atletas!L147="Piguaquan D",146,IF(Atletas!L147="Shaolinquan D",147,IF(Atletas!L147="Tanglangquan D",148,IF(Atletas!L147="Yinzhaophai D",149,IF(Atletas!L147="Tongbeiquan D",150,IF(Atletas!L147="Wudangquan D",151,IF(Atletas!L147="Outros Estilos D",152,IF(Atletas!L147="Chaquan E",153,IF(Atletas!L147="Emeiquan E",154,IF(Atletas!L147="Fanziquan E",155,IF(Atletas!L147="Huaquan E",156,IF(Atletas!L147="Hongquan E",157,IF(Atletas!L147="Paochui E",158,IF(Atletas!L147="Piguaquan E",159,IF(Atletas!L147="Shaolinquan E",160,IF(Atletas!L147="Tanglangquan E",161,IF(Atletas!L147="Yinzhaophai E",162,IF(Atletas!L147="Tongbeiquan E",163,IF(Atletas!L147="Wudangquan E",164,IF(Atletas!L147="Outros Estilos E",165,IF(Atletas!L147="Chaquan F",166,IF(Atletas!L147="Emeiquan F",167,IF(Atletas!L147="Fanziquan F",168,IF(Atletas!L147="Huaquan F",169,IF(Atletas!L147="Hongquan F",170,IF(Atletas!L147="Paochui F",171,IF(Atletas!L147="Piguaquan F",172,IF(Atletas!L147="Shaolinquan F",173,IF(Atletas!L147="Tanglangquan F",174,IF(Atletas!L147="Yinzhaophai F",175,IF(Atletas!L147="Tongbeiquan F",176,IF(Atletas!L147="Wudangquan F",177,IF(Atletas!L147="Outros Estilos F",178,0))))))))))))))))))))))))))))))))))))))))))</f>
        <v/>
      </c>
      <c r="BN151" s="52" t="str">
        <f>IF(Atletas!M147="","",IF(Atletas!W147&lt;&gt;"",10000,0)+(IF(Atletas!B147="Feminino",1000,IF(Atletas!B147="Masculino",2000,""))+(IF(Atletas!M147="Ditangquan A",201,IF(Atletas!M147="Houquan A",202,IF(Atletas!M147="Zuiquan A",203,IF(Atletas!M147="Ditangquan B",204,IF(Atletas!M147="Houquan B",205,IF(Atletas!M147="Zuiquan B",206,IF(Atletas!M147="Ditangquan C",207,IF(Atletas!M147="Houquan C",208,IF(Atletas!M147="Zuiquan C",209,IF(Atletas!M147="Ditangquan D",210,IF(Atletas!M147="Houquan D",211,IF(Atletas!M147="Zuiquan D",212,IF(Atletas!M147="Ditangquan E",213,IF(Atletas!M147="Houquan E",214,IF(Atletas!M147="Zuiquan E",215,IF(Atletas!M147="Ditangquan F",216,IF(Atletas!M147="Houquan F",217,IF(Atletas!M147="Zuiquan F",218,"")))))))))))))))))))))</f>
        <v/>
      </c>
      <c r="BO151" s="52" t="str">
        <f>IF(Atletas!N147="","",IF(Atletas!W147&lt;&gt;"",10000,0)+IF(Atletas!B147="Feminino",1000,IF(Atletas!B147="Masculino",2000,""))+IF(Atletas!N147="Yang A",301,IF(Atletas!N147="Chen A",30,IF(Atletas!N147="Sun A",303,IF(Atletas!N147="Wu A",304,IF(Atletas!N147="Wu-Hao A",305,IF(Atletas!N147="Outro Taijiquan A",306,IF(Atletas!N147="Yang B",307,IF(Atletas!N147="Chen B",308,IF(Atletas!N147="Sun B",309,IF(Atletas!N147="Wu B",310,IF(Atletas!N147="Wu-Hao B",311,IF(Atletas!N147="Outro Taijiquan B",312,IF(Atletas!N147="Yang C",313,IF(Atletas!N147="Chen C",314,IF(Atletas!N147="Sun C",315,IF(Atletas!N147="Wu C",316,IF(Atletas!N147="Wu-Hao C",317,IF(Atletas!N147="Outro Taijiquan C",318,IF(Atletas!N147="Yang D",319,IF(Atletas!N147="Chen D",320,IF(Atletas!N147="Sun D",321,IF(Atletas!N147="Wu D",322,IF(Atletas!N147="Wu-Hao D",323,IF(Atletas!N147="Outro Taijiquan D",324,IF(Atletas!N147="Yang E",325,IF(Atletas!N147="Chen E",326,IF(Atletas!N147="Sun E",327,IF(Atletas!N147="Wu E",328,IF(Atletas!N147="Wu-Hao E",329,IF(Atletas!N147="Outro Taijiquan E",330,IF(Atletas!N147="Yang F",331,IF(Atletas!N147="Chen F",332,IF(Atletas!N147="Sun F",333,IF(Atletas!N147="Wu F",334,IF(Atletas!N147="Wu-Hao F",335,IF(Atletas!N147="Outro Taijiquan F",336,"")))))))))))))))))))))))))))))))))))))</f>
        <v/>
      </c>
      <c r="BP151" s="52" t="str">
        <f>IF(Atletas!O147="","",IF(Atletas!W147&lt;&gt;"",10000,0)+IF(Atletas!B147="Feminino",1000,IF(Atletas!B147="Masculino",2000,""))+IF(OR(Atletas!O147="Yang 26 A",Atletas!O147="Yang 40 A"),401,IF(OR(Atletas!O147="Chen 25 A",Atletas!O147="Chen 36 A",Atletas!O147="Chen 56 A"),402,IF(Atletas!O147="Sun 73 A",403,IF(Atletas!O147="Wu 45 A",404,IF(Atletas!O147="Wu-Hao 46 A",405,IF(OR(Atletas!O147="Taijiquan 16 A",Atletas!O147="Taijiquan 24 A",Atletas!O147="Taijiquan 32 A",Atletas!O147="Taijiquan 42 A"),406,IF(OR(Atletas!O147="Yang 26 B",Atletas!O147="Yang 40 B"),407,IF(OR(Atletas!O147="Chen 25 B",Atletas!O147="Chen 36 B",Atletas!O147="Chen 56 B"),408,IF(Atletas!O147="Sun 73 B",409,IF(Atletas!O147="Wu 45 B",410,IF(Atletas!O147="Wu-Hao 46 B",411,IF(OR(Atletas!O147="Taijiquan 16 B",Atletas!O147="Taijiquan 24 B",Atletas!O147="Taijiquan 32 B",Atletas!O147="Taijiquan 42 B"),412,IF(OR(Atletas!O147="Yang 26 C",Atletas!O147="Yang 40 C"),413,IF(OR(Atletas!O147="Chen 25 C",Atletas!O147="Chen 36 C",Atletas!O147="Chen 56 C"),414,IF(Atletas!O147="Sun 73 C",415,IF(Atletas!O147="Wu 45 C",416,IF(Atletas!O147="Wu-Hao 46 C",417,IF(OR(Atletas!O147="Taijiquan 16 C",Atletas!O147="Taijiquan 24 C",Atletas!O147="Taijiquan 32 C",Atletas!O147="Taijiquan 42 C"),418,0)))))))))))))))))))</f>
        <v/>
      </c>
      <c r="BQ151" s="52" t="str">
        <f>IF(Atletas!O147="","",IF(Atletas!W147&lt;&gt;"",10000,0)+IF(Atletas!B147="Feminino",1000,IF(Atletas!B147="Masculino",2000,""))+IF(OR(Atletas!O147="Yang 26 D",Atletas!O147="Yang 40 D"),419,IF(OR(Atletas!O147="Chen 25 D",Atletas!O147="Chen 36 D",Atletas!O147="Chen 56 D"),420,IF(Atletas!O147="Sun 73 D",421,IF(Atletas!O147="Wu 45 D",422,IF(Atletas!O147="Wu-Hao 46 D",423,IF(OR(Atletas!O147="Taijiquan 16 D",Atletas!O147="Taijiquan 24 D",Atletas!O147="Taijiquan 32 D",Atletas!O147="Taijiquan 42 D"),424,IF(OR(Atletas!O147="Yang 26 E",Atletas!O147="Yang 40 E"),425,IF(OR(Atletas!O147="Chen 25 E",Atletas!O147="Chen 36 E",Atletas!O147="Chen 56 E"),426,IF(Atletas!O147="Sun 73 E",427,IF(Atletas!O147="Wu 45 E",428,IF(Atletas!O147="Wu-Hao 46 E",429,IF(OR(Atletas!O147="Taijiquan 16 E",Atletas!O147="Taijiquan 24 E",Atletas!O147="Taijiquan 32 E",Atletas!O147="Taijiquan 42 E"),430,IF(OR(Atletas!O147="Yang 26 F",Atletas!O147="Yang 40 F"),431,IF(OR(Atletas!O147="Chen 25 F",Atletas!O147="Chen 36 F",Atletas!O147="Chen 56 F"),432,IF(Atletas!O147="Sun 73 F",433,IF(Atletas!O147="Wu 45 F",434,IF(Atletas!O147="Wu-Hao 46 F",435,IF(OR(Atletas!O147="Taijiquan 16 F",Atletas!O147="Taijiquan 24 F",Atletas!O147="Taijiquan 32 F",Atletas!O147="Taijiquan 42 F"),436,0)))))))))))))))))))</f>
        <v/>
      </c>
      <c r="BR151" s="52" t="str">
        <f>IF(Atletas!P147="","",IF(Atletas!W147&lt;&gt;"",10000,0)+IF(Atletas!B147="Feminino",1000,IF(Atletas!B147="Masculino",2000,""))+IF(Atletas!P147="Xingyiquan A",501,IF(Atletas!P147="Baguazhang A",502,IF(Atletas!P147="Outro Estilo Interno A",503,IF(Atletas!P147="Xingyiquan B",504,IF(Atletas!P147="Baguazhang B",505,IF(Atletas!P147="Outro Estilo Interno B",506,IF(Atletas!P147="Xingyiquan C",507,IF(Atletas!P147="Baguazhang C",508,IF(Atletas!P147="Outro Estilo Interno C",509,IF(Atletas!P147="Xingyiquan D",510,IF(Atletas!P147="Baguazhang D",511,IF(Atletas!P147="Outro Estilo Interno D",512,IF(Atletas!P147="Xingyiquan E",513,IF(Atletas!P147="Baguazhang E",514,IF(Atletas!P147="Outro Estilo Interno E",515,IF(Atletas!P147="Xingyiquan F",516,IF(Atletas!P147="Baguazhang F",517,IF(Atletas!P147="Outro Estilo Interno F",518, "")))))))))))))))))))</f>
        <v/>
      </c>
      <c r="BS151" s="52" t="str">
        <f>IF(Atletas!Q147="","",IF(Atletas!W147&lt;&gt;"",10000,0)+IF(Atletas!B147="Feminino",1000,IF(Atletas!B147="Masculino",2000,""))+IF(Atletas!Q147="Dao A",601,IF(Atletas!Q147="Jian A",602,IF(Atletas!Q147="Bishou A",603,IF(Atletas!Q147="Shan A",604,IF(Atletas!Q147="Outra Arma Curta A",605,IF(Atletas!Q147="Dao B",606,IF(Atletas!Q147="Jian B",607,IF(Atletas!Q147="Bishou B",608,IF(Atletas!Q147="Shan B",609,IF(Atletas!Q147="Outra Arma Curta B",610,IF(Atletas!Q147="Dao C",611,IF(Atletas!Q147="Jian C",612,IF(Atletas!Q147="Bishou C",613,IF(Atletas!Q147="Shan C",614,IF(Atletas!Q147="Outra Arma Curta C",615,IF(Atletas!Q147="Dao D",616,IF(Atletas!Q147="Jian D",617,IF(Atletas!Q147="Bishou D",618,IF(Atletas!Q147="Shan D",619,IF(Atletas!Q147="Outra Arma Curta D",620,IF(Atletas!Q147="Dao E",621,IF(Atletas!Q147="Jian E",622,IF(Atletas!Q147="Bishou E",623,IF(Atletas!Q147="Shan E",624,IF(Atletas!Q147="Outra Arma Curta E",625,IF(Atletas!Q147="Dao F",626,IF(Atletas!Q147="Jian F",627,IF(Atletas!Q147="Bishou F",628,IF(Atletas!Q147="Shan F",629,IF(Atletas!Q147="Outra Arma Curta F",630, "")))))))))))))))))))))))))))))))</f>
        <v/>
      </c>
      <c r="BT151" s="52" t="str">
        <f>IF(Atletas!R147="","",IF(Atletas!W147&lt;&gt;"",10000,0)+IF(Atletas!B147="Feminino",1000,IF(Atletas!B147="Masculino",2000,""))+IF(Atletas!R147="Gun A",701,IF(Atletas!R147="Qiang A",702,IF(Atletas!R147="Pudao / Guandao A",703,IF(Atletas!R147="Outra Arma Longa A",704,IF(Atletas!R147="Gun B",705,IF(Atletas!R147="Qiang B",706,IF(Atletas!R147="Pudao / Guandao B",707,IF(Atletas!R147="Outra Arma Longa B",708,IF(Atletas!R147="Gun C",709,IF(Atletas!R147="Qiang C",710,IF(Atletas!R147="Pudao / Guandao C",711,IF(Atletas!R147="Outra Arma Longa C",712,IF(Atletas!R147="Gun D",713,IF(Atletas!R147="Qiang D",714,IF(Atletas!R147="Pudao / Guandao D",715,IF(Atletas!R147="Outra Arma Longa D",716,IF(Atletas!R147="Gun E",717,IF(Atletas!R147="Qiang E",718,IF(Atletas!R147="Pudao / Guandao E",719,IF(Atletas!R147="Outra Arma Longa E",720,IF(Atletas!R147="Gun F",721,IF(Atletas!R147="Qiang F",722,IF(Atletas!R147="Pudao / Guandao F",723,IF(Atletas!R147="Outra Arma Longa F",724,"")))))))))))))))))))))))))</f>
        <v/>
      </c>
      <c r="BU151" s="52" t="str">
        <f>IF(Atletas!S147="","",IF(Atletas!W147&lt;&gt;"",10000,0)+IF(Atletas!B147="Feminino",1000,IF(Atletas!B147="Masculino",2000,""))+IF(Atletas!S147="Arma Dupla A",801,IF(Atletas!S147="Arma Maleável A",802,IF(Atletas!S147="Arma Dupla B",803,IF(Atletas!S147="Arma Maleável B",804,IF(Atletas!S147="Arma Dupla C",805,IF(Atletas!S147="Arma Maleável C",806,IF(Atletas!S147="Arma Dupla D",807,IF(Atletas!S147="Arma Maleável D",808,IF(Atletas!S147="Arma Dupla E",809,IF(Atletas!S147="Arma Maleável E",810,IF(Atletas!S147="Arma Dupla F",811,IF(Atletas!S147="Arma Maleável F",812, "")))))))))))))</f>
        <v/>
      </c>
      <c r="BV151" s="52" t="str">
        <f>IF(Atletas!T147="","",IF(Atletas!W147&lt;&gt;"",10000,0)+IF(Atletas!B147="Feminino",1000,IF(Atletas!B147="Masculino",2000,""))+IF(Atletas!T147="Taijijian Yang A",901,IF(Atletas!T147="Taijijian Chen A",902,IF(Atletas!T147="Taijijian Sun A",903,IF(Atletas!T147="Taijijian Wu A",904,IF(Atletas!T147="Taijijian Wu-Hao A",905,IF(Atletas!T147="Taijijian 32 A",906,IF(Atletas!T147="Taijijian 42 A",907,IF(Atletas!T147="Taijijian Yang B",908,IF(Atletas!T147="Taijijian Chen B",909,IF(Atletas!T147="Taijijian Sun B",910,IF(Atletas!T147="Taijijian Wu B",911,IF(Atletas!T147="Taijijian Wu-Hao B",912,IF(Atletas!T147="Taijijian 32 B",913,IF(Atletas!T147="Taijijian 42 B",914,IF(Atletas!T147="Taijijian Yang C",915,IF(Atletas!T147="Taijijian Chen C",916,IF(Atletas!T147="Taijijian Sun C",917,IF(Atletas!T147="Taijijian Wu C",918,IF(Atletas!T147="Taijijian Wu-Hao C",919,IF(Atletas!T147="Taijijian 32 C",920,IF(Atletas!T147="Taijijian 42 C",921,IF(Atletas!T147="Taijijian Yang D",922,IF(Atletas!T147="Taijijian Chen D",923,IF(Atletas!T147="Taijijian Sun D",924,IF(Atletas!T147="Taijijian Wu D",925,IF(Atletas!T147="Taijijian Wu-Hao D",926,IF(Atletas!T147="Taijijian 32 D",927,IF(Atletas!T147="Taijijian 42 D",928,IF(Atletas!T147="Taijijian Yang E",929,IF(Atletas!T147="Taijijian Chen E",930,IF(Atletas!T147="Taijijian Sun E",931,IF(Atletas!T147="Taijijian Wu E",932,IF(Atletas!T147="Taijijian Wu-Hao E",933,IF(Atletas!T147="Taijijian 32 E",934,IF(Atletas!T147="Taijijian 42 E",935,IF(Atletas!T147="Taijijian Yang F",936,IF(Atletas!T147="Taijijian Chen F",937,IF(Atletas!T147="Taijijian Sun F",938,IF(Atletas!T147="Taijijian Wu F",939,IF(Atletas!T147="Taijijian Wu-Hao F",940,IF(Atletas!T147="Taijijian 32 F",941,IF(Atletas!T147="Taijijian 42 F",942,"")))))))))))))))))))))))))))))))))))))))))))</f>
        <v/>
      </c>
      <c r="BW151" s="52" t="str">
        <f>IF(Atletas!U147="","",IF(Atletas!W147&lt;&gt;"",10000,0)+IF(Atletas!B147="Feminino",1000,IF(Atletas!B147="Masculino",2000,""))+IF(Atletas!T147="Taijijian 42 F",942,IF(Atletas!U147="Taijidao A",943,IF(Atletas!U147="Taijishan A",944,IF(Atletas!U147="Taijiqiang A",945,IF(Atletas!U147="Taijidao B",946,IF(Atletas!U147="Taijishan B",947,IF(Atletas!U147="Taijiqiang B",948,IF(Atletas!U147="Taijidao C",949,IF(Atletas!U147="Taijishan C",950,IF(Atletas!U147="Taijiqiang C",951,IF(Atletas!U147="Taijidao D",952,IF(Atletas!U147="Taijishan D",953,IF(Atletas!U147="Taijiqiang D",954,IF(Atletas!U147="Taijidao E",955,IF(Atletas!U147="Taijishan E",956,IF(Atletas!U147="Taijiqiang E",957,IF(Atletas!U147="Taijidao F",958,IF(Atletas!U147="Taijishan F",959,IF(Atletas!U147="Taijiqiang F",960))))))))))))))))))))</f>
        <v/>
      </c>
      <c r="BX151" s="72" t="str">
        <f>IF(BY151&lt;&gt;"","TJQ Trad. Yang D","")</f>
        <v/>
      </c>
      <c r="BY151" s="72" t="str">
        <f>IF(COUNTIF(BK:BW,1319)&gt;0,COUNTIF(BK:BW,1319),"")</f>
        <v/>
      </c>
      <c r="BZ151" s="72" t="str">
        <f>IF(CA151&lt;&gt;"","TJQ Trad. Yang D","")</f>
        <v/>
      </c>
      <c r="CA151" s="72" t="str">
        <f>IF(COUNTIF(BK:BW,2319)&gt;0,COUNTIF(BK:BW,2319),"")</f>
        <v/>
      </c>
      <c r="CB151" s="72" t="str">
        <f>IF(CC151&lt;&gt;"","Yang D","")</f>
        <v/>
      </c>
      <c r="CC151" s="64" t="str">
        <f>IF(COUNTIF(BK:BW,11319)&gt;0,COUNTIF(BK:BW,11319),"")</f>
        <v/>
      </c>
      <c r="CD151" s="64" t="str">
        <f>IF(CE151&lt;&gt;"","Yang D","")</f>
        <v/>
      </c>
      <c r="CE151" s="64" t="str">
        <f>IF(COUNTIF(BK:BW,12319)&gt;0,COUNTIF(BK:BW,12319),"")</f>
        <v/>
      </c>
      <c r="CF151" s="52" t="str">
        <f xml:space="preserve"> IF(Atletas!V147="","",IF(Atletas!V147="Duilian de Mãos AB - Equipe 1",1,IF(Atletas!V147="Duilian de Mãos AB - Equipe 2",2,IF(Atletas!V147="Duilian de Armas AB - Equipe 1",3,IF(Atletas!V147="Duilian de Armas AB - Equipe 2",4,IF(Atletas!V147="Duilian de Tuishou - Equipe 1",5,IF(Atletas!V147="Duilian de Tuishou - Equipe 2",6,IF(Atletas!V147="Grupo Externo AB - Equipe 1",7,IF(Atletas!V147="Grupo Externo AB - Equipe 2",8,IF(Atletas!V147="Grupo Interno AB - Equipe 1",9,IF(Atletas!V147="Grupo Interno AB - Equipe 2",10,IF(Atletas!V147="Duilian de Mãos CD - Equipe 1",11,IF(Atletas!V147="Duilian de Mãos CD - Equipe 2",12,IF(Atletas!V147="Duilian de Armas CD - Equipe 1",13,IF(Atletas!V147="Duilian de Armas CD - Equipe 2",14,IF(Atletas!V147="Duilian de Tuishou - Equipe 1",15,IF(Atletas!V147="Duilian de Tuishou - Equipe 2",16,IF(Atletas!V147="Grupo Externo CDEF - Equipe 1",17,IF(Atletas!V147="Grupo Externo CDEF - Equipe 2",18,IF(Atletas!V147="Grupo Interno CDEF - Equipe 1",19,IF(Atletas!V147="Grupo Interno CDEF - Equipe 2",20,IF(Atletas!V147="Duilian de Mãos EF - Equipe 1",21,IF(Atletas!V147="Duilian de Mãos EF - Equipe 2",22,IF(Atletas!V147="Duilian de Armas EF - Equipe 1",23,IF(Atletas!V147="Duilian de Armas EF - Equipe 2",24,IF(Atletas!V147="Duilian de Tuishou - Equipe 1",25,IF(Atletas!V147="Duilian de Tuishou - Equipe 2",26,"")))))))))))))))))))))))))))</f>
        <v/>
      </c>
    </row>
    <row r="152" spans="2:84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 t="str">
        <f t="array" ref="V152">IFERROR(INDEX(BX$7:BX$336,SMALL(IF(BX$7:BX$336&lt;&gt;"",ROW(BX$7:BX$336)-ROW(BX$7)+1),ROWS(BX$7:BX151))),"")</f>
        <v/>
      </c>
      <c r="W152" s="4" t="str">
        <f t="array" ref="W152">IFERROR(INDEX(BY$7:BY$336,SMALL(IF(BY$7:BY$336&lt;&gt;"",ROW(BY$7:BY$336)-ROW(BY$7)+1),ROWS(BY$7:BY151))),"")</f>
        <v/>
      </c>
      <c r="X152" s="4" t="str">
        <f t="array" ref="X152">IFERROR(INDEX(BZ$7:BZ$336,SMALL(IF(BZ$7:BZ$336&lt;&gt;"",ROW(BZ$7:BZ$336)-ROW(BZ$7)+1),ROWS(BZ$7:BZ151))),"")</f>
        <v/>
      </c>
      <c r="Y152" s="4" t="str">
        <f t="array" ref="Y152">IFERROR(INDEX(CA$7:CA$336,SMALL(IF(CA$7:CA$336&lt;&gt;"",ROW(CA$7:CA$336)-ROW(CA$7)+1),ROWS(CA$7:CA151))),"")</f>
        <v/>
      </c>
      <c r="Z152" s="4" t="str">
        <f t="array" ref="Z152">IFERROR(INDEX(CB$7:CB$378,SMALL(IF(CB$7:CB$378&lt;&gt;"",ROW(CB$7:CB$378)-ROW(CB$7)+1),ROWS(CB$7:CB151))),"")</f>
        <v/>
      </c>
      <c r="AA152" s="4" t="str">
        <f t="array" ref="AA152">IFERROR(INDEX(CC$7:CC$378,SMALL(IF(CC$7:CC$378&lt;&gt;"",ROW(CC$7:CC$378)-ROW(CC$7)+1),ROWS(CC$7:CC151))),"")</f>
        <v/>
      </c>
      <c r="AB152" s="4" t="str">
        <f t="array" ref="AB152">IFERROR(INDEX(CD$7:CD$378,SMALL(IF(CD$7:CD$378&lt;&gt;"",ROW(CD$7:CD$378)-ROW(CD$7)+1),ROWS(CD$7:CD151))),"")</f>
        <v/>
      </c>
      <c r="AC152" s="4" t="str">
        <f t="array" ref="AC152">IFERROR(INDEX(CE$7:CE$378,SMALL(IF(CE$7:CE$378&lt;&gt;"",ROW(CE$7:CE$378)-ROW(CE$7)+1),ROWS(CE$7:CE151))),"")</f>
        <v/>
      </c>
      <c r="AD152" s="4"/>
      <c r="AE152" s="4"/>
      <c r="AF152" s="4"/>
      <c r="AG152" s="4"/>
      <c r="AH152" s="4"/>
      <c r="AI152" s="4"/>
      <c r="AJ152" s="46" t="str">
        <f>IF(Atletas!D148="","",IF(Atletas!B148="Feminino",100,IF(Atletas!B148="Masculino",200,""))+(IF(Atletas!D148="Infantil 39kg",1,IF(Atletas!D148="Infantil 42kg",2,IF(Atletas!D148="Infantil 45kg",3,IF(Atletas!D148="Infantil 48kg",4,IF(Atletas!D148="Infantil 52kg",5,IF(Atletas!D148="Infantil 56kg",6,IF(Atletas!D148="Infantil 60kg",7,IF(Atletas!D148="Juvenil 48kg",8,IF(Atletas!D148="Juvenil 52kg",9,IF(Atletas!D148="Juvenil 56kg",10,IF(Atletas!D148="Juvenil 60kg",11,IF(Atletas!D148="Juvenil 65kg",12,IF(Atletas!D148="Juvenil 70kg",13,IF(Atletas!D148="Juvenil 75kg",14,IF(Atletas!D148="Juvenil 80kg",15,IF(Atletas!D148="Adulto 48kg",16,IF(Atletas!D148="Adulto 52kg",17,IF(Atletas!D148="Adulto 56kg",18,IF(Atletas!D148="Adulto 60kg",19,IF(Atletas!D148="Adulto 65kg",20,IF(Atletas!D148="Adulto 70kg",21,IF(Atletas!D148="Adulto 75kg",22,IF(Atletas!D148="Adulto 80kg",23,IF(Atletas!D148="Adulto 85kg",24,IF(Atletas!D148="Adulto 90kg",25,IF(Atletas!D148="Adulto +90kg",26,""))))))))))))))))))))))))))))</f>
        <v/>
      </c>
      <c r="AO152" s="10" t="str">
        <f>IF(Atletas!E148="","",IF(Atletas!B148="Feminino",100,IF(Atletas!B148="Masculino",200,""))+(IF(Atletas!E148="Juvenil 44kg",1,IF(Atletas!E148="Juvenil 48kg",2,IF(Atletas!E148="Juvenil 52kg",3,IF(Atletas!E148="Juvenil 56kg",4,IF(Atletas!E148="Juvenil 60kg",5,IF(Atletas!E148="Juvenil 65kg",6,IF(Atletas!E148="Juvenil 70kg",7,IF(Atletas!E148="Juvenil 75kg",8,IF(Atletas!E148="Juvenil 82kg",9,IF(Atletas!E148="Juvenil 90kg",10,IF(Atletas!E148="Juvenil 100kg",11,IF(Atletas!E148="Adulto 48kg",12,IF(Atletas!E148="Adulto 52kg",13,IF(Atletas!E148="Adulto 56kg",14,IF(Atletas!E148="Adulto 60kg",15,IF(Atletas!E148="Adulto 65kg",16,IF(Atletas!E148="Adulto 70kg",17,IF(Atletas!E148="Adulto 75kg",18,IF(Atletas!E148="Adulto 82kg",19,IF(Atletas!E148="Adulto 90kg",20,IF(Atletas!E148="Adulto 100kg",21,IF(Atletas!E148="Adulto +100kg",22,""))))))))))))))))))))))))</f>
        <v/>
      </c>
      <c r="AT152" s="10" t="str">
        <f>IF(Atletas!F148="","",IF(Atletas!B148="Feminino",100,IF(Atletas!B148="Masculino",200,""))+(IF(Atletas!F148="Adulto 48kg",1,IF(Atletas!F148="Adulto 56kg",2,IF(Atletas!F148="Adulto 65kg",3,IF(Atletas!F148="Adulto 75kg",4,IF(Atletas!F148="Adulto +75kg",5,IF(Atletas!F148="Adulto 52kg",6,IF(Atletas!F148="Adulto 60kg",7,IF(Atletas!F148="Adulto 70kg",8,IF(Atletas!F148="Adulto 80kg",9,IF(Atletas!F148="Adulto 90kg",10,IF(Atletas!F148="Adulto +90kg",11,"")))))))))))))</f>
        <v/>
      </c>
      <c r="AY152" s="46" t="str">
        <f>IF(Atletas!G148="","",IF(Atletas!B148="Feminino",100,IF(Atletas!B148="Masculino",200,""))+(IF(Atletas!G148="Changquan Mirim",1,IF(Atletas!G148="Nanquan Mirim",2,IF(Atletas!G148="Taijiquan Mirim",3,IF(Atletas!G148="Changquan Grupo C",4,IF(Atletas!G148="Nanquan Grupo C",5,IF(Atletas!G148="Taijiquan Grupo C",6,IF(Atletas!G148="Changquan Grupo B",7,IF(Atletas!G148="Nanquan Grupo B",8,IF(Atletas!G148="Taijiquan Grupo B",9,IF(Atletas!G148="Changquan Grupo A",10,IF(Atletas!G148="Nanquan Grupo A",11,IF(Atletas!G148="Taijiquan Grupo A",12,IF(Atletas!G148="Changquan Opcional",13,IF(Atletas!G148="Nanquan Opcional",14,IF(Atletas!G148="Taijiquan Opcional",15,IF(Atletas!G148="Changquan Adulto",16,IF(Atletas!G148="Nanquan Adulto",17,IF(Atletas!G148="Taijiquan Adulto",18,""))))))))))))))))))))</f>
        <v/>
      </c>
      <c r="AZ152" s="46" t="str">
        <f>IF(Atletas!H148="","",IF(Atletas!B148="Feminino",100,IF(Atletas!B148="Masculino",200,""))+(IF(Atletas!H148="Daoshu Mirim",19,IF(Atletas!H148="Jianshu Mirim",20,IF(Atletas!H148="Nandao Mirim",21,IF(Atletas!H148="Taijijian Mirim",22,IF(Atletas!H148="Daoshu Grupo C",23,IF(Atletas!H148="Jianshu Grupo C",24,IF(Atletas!H148="Nandao Grupo C",25,IF(Atletas!H148="Taijijian Grupo C",26,IF(Atletas!H148="Daoshu Grupo B",27,IF(Atletas!H148="Jianshu Grupo B",28,IF(Atletas!H148="Nandao Grupo B",29,IF(Atletas!H148="Taijijian Grupo B",30,IF(Atletas!H148="Daoshu Grupo A",31,IF(Atletas!H148="Jianshu Grupo A",32,IF(Atletas!H148="Nandao Grupo A",33,IF(Atletas!H148="Taijijian Grupo A",34,IF(Atletas!H148="Daoshu Opcional",35,IF(Atletas!H148="Jianshu Opcional",36,IF(Atletas!H148="Nandao Opcional",37,IF(Atletas!H148="Taijijian Opcional",38,IF(Atletas!H148="Daoshu Adulto",39,IF(Atletas!H148="Jianshu Adulto",40,IF(Atletas!H148="Nandao Adulto",41,IF(Atletas!H148="Taijijian Adulto",42,""))))))))))))))))))))))))))</f>
        <v/>
      </c>
      <c r="BA152" s="46" t="str">
        <f>IF(Atletas!I148="","",IF(Atletas!B148="Feminino",100,IF(Atletas!B148="Masculino",200,""))+(IF(Atletas!I148="Gunshu Mirim",43,IF(Atletas!I148="Qiangshu Mirim",44,IF(Atletas!I148="Nangun Mirim",45,IF(Atletas!I148="Gunshu Grupo C",46,IF(Atletas!I148="Qiangshu Grupo C",47,IF(Atletas!I148="Nangun Grupo C",48,IF(Atletas!I148="Gunshu Grupo B",49,IF(Atletas!I148="Qiangshu Grupo B",50,IF(Atletas!I148="Nangun Grupo B",51,IF(Atletas!I148="Gunshu Grupo A",52,IF(Atletas!I148="Qiangshu Grupo A",53,IF(Atletas!I148="Nangun Grupo A",54,IF(Atletas!I148="Gunshu Opcional",55,IF(Atletas!I148="Qiangshu Opcional",56,IF(Atletas!I148="Nangun Opcional",57,IF(Atletas!I148="Gunshu Adulto",58,IF(Atletas!I148="Qiangshu Adulto",59,IF(Atletas!I148="Nangun Adulto",60,""))))))))))))))))))))</f>
        <v/>
      </c>
      <c r="BF152" s="52" t="str">
        <f>IF(Atletas!J148="","",IF(Atletas!B148="Feminino",100,IF(Atletas!B148="Masculino",200,""))+(IF(Atletas!J148="Equipe 1 Grupo B",1,IF(Atletas!J148="Equipe 2 Grupo B",2,IF(Atletas!J148="Equipe 1 Grupo A",3,IF(Atletas!J148="Equipe 2 Grupo A",4,IF(Atletas!J148="Equipe 1 Adulto",5,IF(Atletas!J148="Equipe 2 Adulto",6,""))))))))</f>
        <v/>
      </c>
      <c r="BK152" s="52" t="str">
        <f>IF(Atletas!K148="","",IF(Atletas!W148&lt;&gt;"",10000,0)+(IF(Atletas!B148="Feminino",1000,IF(Atletas!B148="Masculino",2000,""))+IF(Atletas!K148="Choylayfut A",1,IF(Atletas!K148="Hunggar A",2,IF(Atletas!K148="Wuzuquan A",3,IF(Atletas!K148="Wingchun A",4,IF(Atletas!K148="Outra Mão de Sul A",5,IF(Atletas!K148="Choylayfut B",6,IF(Atletas!K148="Hunggar B",7,IF(Atletas!K148="Wuzuquan B",8,IF(Atletas!K148="Wingchun B",9,IF(Atletas!K148="Outra Mão de Sul B",10,IF(Atletas!K148="Choylayfut C",11,IF(Atletas!K148="Hunggar C",12,IF(Atletas!K148="Wuzuquan C",13,IF(Atletas!K148="Wingchun C",14,IF(Atletas!K148="Outra Mão de Sul C",15,IF(Atletas!K148="Choylayfut D",16,IF(Atletas!K148="Hunggar D",17,IF(Atletas!K148="Wuzuquan D",18,IF(Atletas!K148="Wingchun D",19,IF(Atletas!K148="Outra Mão de Sul D",20,IF(Atletas!K148="Choylayfut E",21,IF(Atletas!K148="Hunggar E",22,IF(Atletas!K148="Wuzuquan E",23,IF(Atletas!K148="Wingchun E",24,IF(Atletas!K148="Outra Mão de Sul E",25,IF(Atletas!K148="Choylayfut F",26,IF(Atletas!K148="Hunggar F",27,IF(Atletas!K148="Wuzuquan F",28,IF(Atletas!K148="Wingchun F",29,IF(Atletas!K148="Outra Mão de Sul F",30,""))))))))))))))))))))))))))))))))</f>
        <v/>
      </c>
      <c r="BL152" s="52" t="str">
        <f>IF(Atletas!L148="","",IF(Atletas!W148&lt;&gt;"",10000,0)+(IF(Atletas!B148="Feminino",1000,IF(Atletas!B148="Masculino",2000,""))+(IF(Atletas!L148="Chaquan A",101,IF(Atletas!L148="Emeiquan A",102,IF(Atletas!L148="Fanziquan A",103,IF(Atletas!L148="Huaquan A",104,IF(Atletas!L148="Hongquan A",105,IF(Atletas!L148="Paochui A",106,IF(Atletas!L148="Piguaquan A",107,IF(Atletas!L148="Shaolinquan A",108,IF(Atletas!L148="Tanglangquan A",109,IF(Atletas!L148="Yinzhaophai A",110,IF(Atletas!L148="Tongbeiquan A",111,IF(Atletas!L148="Wudangquan A",112,IF(Atletas!L148="Outros Estilos A",113,IF(Atletas!L148="Chaquan B",114,IF(Atletas!L148="Emeiquan B",115,IF(Atletas!L148="Fanziquan B",116,IF(Atletas!L148="Huaquan B",117,IF(Atletas!L148="Hongquan B",118,IF(Atletas!L148="Paochui B",119,IF(Atletas!L148="Piguaquan B",120,IF(Atletas!L148="Shaolinquan B",121,IF(Atletas!L148="Tanglangquan B",122,IF(Atletas!L148="Yinzhaophai B",123,IF(Atletas!L148="Tongbeiquan B",124,IF(Atletas!L148="Wudangquan B",125,IF(Atletas!L148="Outros Estilos B",126,IF(Atletas!L148="Chaquan C",127,IF(Atletas!L148="Emeiquan C",128,IF(Atletas!L148="Fanziquan C",129,IF(Atletas!L148="Huaquan C",130,IF(Atletas!L148="Hongquan C",131,IF(Atletas!L148="Paochui C",132,IF(Atletas!L148="Piguaquan C",133,IF(Atletas!L148="Shaolinquan C",134,IF(Atletas!L148="Tanglangquan C",135,IF(Atletas!L148="Yinzhaophai C",136,IF(Atletas!L148="Tongbeiquan C",137,IF(Atletas!L148="Wudangquan C",138,IF(Atletas!L148="Outros Estilos C",139,0))))))))))))))))))))))))))))))))))))))))))</f>
        <v/>
      </c>
      <c r="BM152" s="52" t="str">
        <f>IF(Atletas!L148="","",IF(Atletas!W148&lt;&gt;"",10000,0)+(IF(Atletas!B148="Feminino",1000,IF(Atletas!B148="Masculino",2000,""))+(IF(Atletas!L148="Chaquan D",140,IF(Atletas!L148="Emeiquan D",141,IF(Atletas!L148="Fanziquan D",142,IF(Atletas!L148="Huaquan D",143,IF(Atletas!L148="Hongquan D",144,IF(Atletas!L148="Paochui D",145,IF(Atletas!L148="Piguaquan D",146,IF(Atletas!L148="Shaolinquan D",147,IF(Atletas!L148="Tanglangquan D",148,IF(Atletas!L148="Yinzhaophai D",149,IF(Atletas!L148="Tongbeiquan D",150,IF(Atletas!L148="Wudangquan D",151,IF(Atletas!L148="Outros Estilos D",152,IF(Atletas!L148="Chaquan E",153,IF(Atletas!L148="Emeiquan E",154,IF(Atletas!L148="Fanziquan E",155,IF(Atletas!L148="Huaquan E",156,IF(Atletas!L148="Hongquan E",157,IF(Atletas!L148="Paochui E",158,IF(Atletas!L148="Piguaquan E",159,IF(Atletas!L148="Shaolinquan E",160,IF(Atletas!L148="Tanglangquan E",161,IF(Atletas!L148="Yinzhaophai E",162,IF(Atletas!L148="Tongbeiquan E",163,IF(Atletas!L148="Wudangquan E",164,IF(Atletas!L148="Outros Estilos E",165,IF(Atletas!L148="Chaquan F",166,IF(Atletas!L148="Emeiquan F",167,IF(Atletas!L148="Fanziquan F",168,IF(Atletas!L148="Huaquan F",169,IF(Atletas!L148="Hongquan F",170,IF(Atletas!L148="Paochui F",171,IF(Atletas!L148="Piguaquan F",172,IF(Atletas!L148="Shaolinquan F",173,IF(Atletas!L148="Tanglangquan F",174,IF(Atletas!L148="Yinzhaophai F",175,IF(Atletas!L148="Tongbeiquan F",176,IF(Atletas!L148="Wudangquan F",177,IF(Atletas!L148="Outros Estilos F",178,0))))))))))))))))))))))))))))))))))))))))))</f>
        <v/>
      </c>
      <c r="BN152" s="52" t="str">
        <f>IF(Atletas!M148="","",IF(Atletas!W148&lt;&gt;"",10000,0)+(IF(Atletas!B148="Feminino",1000,IF(Atletas!B148="Masculino",2000,""))+(IF(Atletas!M148="Ditangquan A",201,IF(Atletas!M148="Houquan A",202,IF(Atletas!M148="Zuiquan A",203,IF(Atletas!M148="Ditangquan B",204,IF(Atletas!M148="Houquan B",205,IF(Atletas!M148="Zuiquan B",206,IF(Atletas!M148="Ditangquan C",207,IF(Atletas!M148="Houquan C",208,IF(Atletas!M148="Zuiquan C",209,IF(Atletas!M148="Ditangquan D",210,IF(Atletas!M148="Houquan D",211,IF(Atletas!M148="Zuiquan D",212,IF(Atletas!M148="Ditangquan E",213,IF(Atletas!M148="Houquan E",214,IF(Atletas!M148="Zuiquan E",215,IF(Atletas!M148="Ditangquan F",216,IF(Atletas!M148="Houquan F",217,IF(Atletas!M148="Zuiquan F",218,"")))))))))))))))))))))</f>
        <v/>
      </c>
      <c r="BO152" s="52" t="str">
        <f>IF(Atletas!N148="","",IF(Atletas!W148&lt;&gt;"",10000,0)+IF(Atletas!B148="Feminino",1000,IF(Atletas!B148="Masculino",2000,""))+IF(Atletas!N148="Yang A",301,IF(Atletas!N148="Chen A",30,IF(Atletas!N148="Sun A",303,IF(Atletas!N148="Wu A",304,IF(Atletas!N148="Wu-Hao A",305,IF(Atletas!N148="Outro Taijiquan A",306,IF(Atletas!N148="Yang B",307,IF(Atletas!N148="Chen B",308,IF(Atletas!N148="Sun B",309,IF(Atletas!N148="Wu B",310,IF(Atletas!N148="Wu-Hao B",311,IF(Atletas!N148="Outro Taijiquan B",312,IF(Atletas!N148="Yang C",313,IF(Atletas!N148="Chen C",314,IF(Atletas!N148="Sun C",315,IF(Atletas!N148="Wu C",316,IF(Atletas!N148="Wu-Hao C",317,IF(Atletas!N148="Outro Taijiquan C",318,IF(Atletas!N148="Yang D",319,IF(Atletas!N148="Chen D",320,IF(Atletas!N148="Sun D",321,IF(Atletas!N148="Wu D",322,IF(Atletas!N148="Wu-Hao D",323,IF(Atletas!N148="Outro Taijiquan D",324,IF(Atletas!N148="Yang E",325,IF(Atletas!N148="Chen E",326,IF(Atletas!N148="Sun E",327,IF(Atletas!N148="Wu E",328,IF(Atletas!N148="Wu-Hao E",329,IF(Atletas!N148="Outro Taijiquan E",330,IF(Atletas!N148="Yang F",331,IF(Atletas!N148="Chen F",332,IF(Atletas!N148="Sun F",333,IF(Atletas!N148="Wu F",334,IF(Atletas!N148="Wu-Hao F",335,IF(Atletas!N148="Outro Taijiquan F",336,"")))))))))))))))))))))))))))))))))))))</f>
        <v/>
      </c>
      <c r="BP152" s="52" t="str">
        <f>IF(Atletas!O148="","",IF(Atletas!W148&lt;&gt;"",10000,0)+IF(Atletas!B148="Feminino",1000,IF(Atletas!B148="Masculino",2000,""))+IF(OR(Atletas!O148="Yang 26 A",Atletas!O148="Yang 40 A"),401,IF(OR(Atletas!O148="Chen 25 A",Atletas!O148="Chen 36 A",Atletas!O148="Chen 56 A"),402,IF(Atletas!O148="Sun 73 A",403,IF(Atletas!O148="Wu 45 A",404,IF(Atletas!O148="Wu-Hao 46 A",405,IF(OR(Atletas!O148="Taijiquan 16 A",Atletas!O148="Taijiquan 24 A",Atletas!O148="Taijiquan 32 A",Atletas!O148="Taijiquan 42 A"),406,IF(OR(Atletas!O148="Yang 26 B",Atletas!O148="Yang 40 B"),407,IF(OR(Atletas!O148="Chen 25 B",Atletas!O148="Chen 36 B",Atletas!O148="Chen 56 B"),408,IF(Atletas!O148="Sun 73 B",409,IF(Atletas!O148="Wu 45 B",410,IF(Atletas!O148="Wu-Hao 46 B",411,IF(OR(Atletas!O148="Taijiquan 16 B",Atletas!O148="Taijiquan 24 B",Atletas!O148="Taijiquan 32 B",Atletas!O148="Taijiquan 42 B"),412,IF(OR(Atletas!O148="Yang 26 C",Atletas!O148="Yang 40 C"),413,IF(OR(Atletas!O148="Chen 25 C",Atletas!O148="Chen 36 C",Atletas!O148="Chen 56 C"),414,IF(Atletas!O148="Sun 73 C",415,IF(Atletas!O148="Wu 45 C",416,IF(Atletas!O148="Wu-Hao 46 C",417,IF(OR(Atletas!O148="Taijiquan 16 C",Atletas!O148="Taijiquan 24 C",Atletas!O148="Taijiquan 32 C",Atletas!O148="Taijiquan 42 C"),418,0)))))))))))))))))))</f>
        <v/>
      </c>
      <c r="BQ152" s="52" t="str">
        <f>IF(Atletas!O148="","",IF(Atletas!W148&lt;&gt;"",10000,0)+IF(Atletas!B148="Feminino",1000,IF(Atletas!B148="Masculino",2000,""))+IF(OR(Atletas!O148="Yang 26 D",Atletas!O148="Yang 40 D"),419,IF(OR(Atletas!O148="Chen 25 D",Atletas!O148="Chen 36 D",Atletas!O148="Chen 56 D"),420,IF(Atletas!O148="Sun 73 D",421,IF(Atletas!O148="Wu 45 D",422,IF(Atletas!O148="Wu-Hao 46 D",423,IF(OR(Atletas!O148="Taijiquan 16 D",Atletas!O148="Taijiquan 24 D",Atletas!O148="Taijiquan 32 D",Atletas!O148="Taijiquan 42 D"),424,IF(OR(Atletas!O148="Yang 26 E",Atletas!O148="Yang 40 E"),425,IF(OR(Atletas!O148="Chen 25 E",Atletas!O148="Chen 36 E",Atletas!O148="Chen 56 E"),426,IF(Atletas!O148="Sun 73 E",427,IF(Atletas!O148="Wu 45 E",428,IF(Atletas!O148="Wu-Hao 46 E",429,IF(OR(Atletas!O148="Taijiquan 16 E",Atletas!O148="Taijiquan 24 E",Atletas!O148="Taijiquan 32 E",Atletas!O148="Taijiquan 42 E"),430,IF(OR(Atletas!O148="Yang 26 F",Atletas!O148="Yang 40 F"),431,IF(OR(Atletas!O148="Chen 25 F",Atletas!O148="Chen 36 F",Atletas!O148="Chen 56 F"),432,IF(Atletas!O148="Sun 73 F",433,IF(Atletas!O148="Wu 45 F",434,IF(Atletas!O148="Wu-Hao 46 F",435,IF(OR(Atletas!O148="Taijiquan 16 F",Atletas!O148="Taijiquan 24 F",Atletas!O148="Taijiquan 32 F",Atletas!O148="Taijiquan 42 F"),436,0)))))))))))))))))))</f>
        <v/>
      </c>
      <c r="BR152" s="52" t="str">
        <f>IF(Atletas!P148="","",IF(Atletas!W148&lt;&gt;"",10000,0)+IF(Atletas!B148="Feminino",1000,IF(Atletas!B148="Masculino",2000,""))+IF(Atletas!P148="Xingyiquan A",501,IF(Atletas!P148="Baguazhang A",502,IF(Atletas!P148="Outro Estilo Interno A",503,IF(Atletas!P148="Xingyiquan B",504,IF(Atletas!P148="Baguazhang B",505,IF(Atletas!P148="Outro Estilo Interno B",506,IF(Atletas!P148="Xingyiquan C",507,IF(Atletas!P148="Baguazhang C",508,IF(Atletas!P148="Outro Estilo Interno C",509,IF(Atletas!P148="Xingyiquan D",510,IF(Atletas!P148="Baguazhang D",511,IF(Atletas!P148="Outro Estilo Interno D",512,IF(Atletas!P148="Xingyiquan E",513,IF(Atletas!P148="Baguazhang E",514,IF(Atletas!P148="Outro Estilo Interno E",515,IF(Atletas!P148="Xingyiquan F",516,IF(Atletas!P148="Baguazhang F",517,IF(Atletas!P148="Outro Estilo Interno F",518, "")))))))))))))))))))</f>
        <v/>
      </c>
      <c r="BS152" s="52" t="str">
        <f>IF(Atletas!Q148="","",IF(Atletas!W148&lt;&gt;"",10000,0)+IF(Atletas!B148="Feminino",1000,IF(Atletas!B148="Masculino",2000,""))+IF(Atletas!Q148="Dao A",601,IF(Atletas!Q148="Jian A",602,IF(Atletas!Q148="Bishou A",603,IF(Atletas!Q148="Shan A",604,IF(Atletas!Q148="Outra Arma Curta A",605,IF(Atletas!Q148="Dao B",606,IF(Atletas!Q148="Jian B",607,IF(Atletas!Q148="Bishou B",608,IF(Atletas!Q148="Shan B",609,IF(Atletas!Q148="Outra Arma Curta B",610,IF(Atletas!Q148="Dao C",611,IF(Atletas!Q148="Jian C",612,IF(Atletas!Q148="Bishou C",613,IF(Atletas!Q148="Shan C",614,IF(Atletas!Q148="Outra Arma Curta C",615,IF(Atletas!Q148="Dao D",616,IF(Atletas!Q148="Jian D",617,IF(Atletas!Q148="Bishou D",618,IF(Atletas!Q148="Shan D",619,IF(Atletas!Q148="Outra Arma Curta D",620,IF(Atletas!Q148="Dao E",621,IF(Atletas!Q148="Jian E",622,IF(Atletas!Q148="Bishou E",623,IF(Atletas!Q148="Shan E",624,IF(Atletas!Q148="Outra Arma Curta E",625,IF(Atletas!Q148="Dao F",626,IF(Atletas!Q148="Jian F",627,IF(Atletas!Q148="Bishou F",628,IF(Atletas!Q148="Shan F",629,IF(Atletas!Q148="Outra Arma Curta F",630, "")))))))))))))))))))))))))))))))</f>
        <v/>
      </c>
      <c r="BT152" s="52" t="str">
        <f>IF(Atletas!R148="","",IF(Atletas!W148&lt;&gt;"",10000,0)+IF(Atletas!B148="Feminino",1000,IF(Atletas!B148="Masculino",2000,""))+IF(Atletas!R148="Gun A",701,IF(Atletas!R148="Qiang A",702,IF(Atletas!R148="Pudao / Guandao A",703,IF(Atletas!R148="Outra Arma Longa A",704,IF(Atletas!R148="Gun B",705,IF(Atletas!R148="Qiang B",706,IF(Atletas!R148="Pudao / Guandao B",707,IF(Atletas!R148="Outra Arma Longa B",708,IF(Atletas!R148="Gun C",709,IF(Atletas!R148="Qiang C",710,IF(Atletas!R148="Pudao / Guandao C",711,IF(Atletas!R148="Outra Arma Longa C",712,IF(Atletas!R148="Gun D",713,IF(Atletas!R148="Qiang D",714,IF(Atletas!R148="Pudao / Guandao D",715,IF(Atletas!R148="Outra Arma Longa D",716,IF(Atletas!R148="Gun E",717,IF(Atletas!R148="Qiang E",718,IF(Atletas!R148="Pudao / Guandao E",719,IF(Atletas!R148="Outra Arma Longa E",720,IF(Atletas!R148="Gun F",721,IF(Atletas!R148="Qiang F",722,IF(Atletas!R148="Pudao / Guandao F",723,IF(Atletas!R148="Outra Arma Longa F",724,"")))))))))))))))))))))))))</f>
        <v/>
      </c>
      <c r="BU152" s="52" t="str">
        <f>IF(Atletas!S148="","",IF(Atletas!W148&lt;&gt;"",10000,0)+IF(Atletas!B148="Feminino",1000,IF(Atletas!B148="Masculino",2000,""))+IF(Atletas!S148="Arma Dupla A",801,IF(Atletas!S148="Arma Maleável A",802,IF(Atletas!S148="Arma Dupla B",803,IF(Atletas!S148="Arma Maleável B",804,IF(Atletas!S148="Arma Dupla C",805,IF(Atletas!S148="Arma Maleável C",806,IF(Atletas!S148="Arma Dupla D",807,IF(Atletas!S148="Arma Maleável D",808,IF(Atletas!S148="Arma Dupla E",809,IF(Atletas!S148="Arma Maleável E",810,IF(Atletas!S148="Arma Dupla F",811,IF(Atletas!S148="Arma Maleável F",812, "")))))))))))))</f>
        <v/>
      </c>
      <c r="BV152" s="52" t="str">
        <f>IF(Atletas!T148="","",IF(Atletas!W148&lt;&gt;"",10000,0)+IF(Atletas!B148="Feminino",1000,IF(Atletas!B148="Masculino",2000,""))+IF(Atletas!T148="Taijijian Yang A",901,IF(Atletas!T148="Taijijian Chen A",902,IF(Atletas!T148="Taijijian Sun A",903,IF(Atletas!T148="Taijijian Wu A",904,IF(Atletas!T148="Taijijian Wu-Hao A",905,IF(Atletas!T148="Taijijian 32 A",906,IF(Atletas!T148="Taijijian 42 A",907,IF(Atletas!T148="Taijijian Yang B",908,IF(Atletas!T148="Taijijian Chen B",909,IF(Atletas!T148="Taijijian Sun B",910,IF(Atletas!T148="Taijijian Wu B",911,IF(Atletas!T148="Taijijian Wu-Hao B",912,IF(Atletas!T148="Taijijian 32 B",913,IF(Atletas!T148="Taijijian 42 B",914,IF(Atletas!T148="Taijijian Yang C",915,IF(Atletas!T148="Taijijian Chen C",916,IF(Atletas!T148="Taijijian Sun C",917,IF(Atletas!T148="Taijijian Wu C",918,IF(Atletas!T148="Taijijian Wu-Hao C",919,IF(Atletas!T148="Taijijian 32 C",920,IF(Atletas!T148="Taijijian 42 C",921,IF(Atletas!T148="Taijijian Yang D",922,IF(Atletas!T148="Taijijian Chen D",923,IF(Atletas!T148="Taijijian Sun D",924,IF(Atletas!T148="Taijijian Wu D",925,IF(Atletas!T148="Taijijian Wu-Hao D",926,IF(Atletas!T148="Taijijian 32 D",927,IF(Atletas!T148="Taijijian 42 D",928,IF(Atletas!T148="Taijijian Yang E",929,IF(Atletas!T148="Taijijian Chen E",930,IF(Atletas!T148="Taijijian Sun E",931,IF(Atletas!T148="Taijijian Wu E",932,IF(Atletas!T148="Taijijian Wu-Hao E",933,IF(Atletas!T148="Taijijian 32 E",934,IF(Atletas!T148="Taijijian 42 E",935,IF(Atletas!T148="Taijijian Yang F",936,IF(Atletas!T148="Taijijian Chen F",937,IF(Atletas!T148="Taijijian Sun F",938,IF(Atletas!T148="Taijijian Wu F",939,IF(Atletas!T148="Taijijian Wu-Hao F",940,IF(Atletas!T148="Taijijian 32 F",941,IF(Atletas!T148="Taijijian 42 F",942,"")))))))))))))))))))))))))))))))))))))))))))</f>
        <v/>
      </c>
      <c r="BW152" s="52" t="str">
        <f>IF(Atletas!U148="","",IF(Atletas!W148&lt;&gt;"",10000,0)+IF(Atletas!B148="Feminino",1000,IF(Atletas!B148="Masculino",2000,""))+IF(Atletas!T148="Taijijian 42 F",942,IF(Atletas!U148="Taijidao A",943,IF(Atletas!U148="Taijishan A",944,IF(Atletas!U148="Taijiqiang A",945,IF(Atletas!U148="Taijidao B",946,IF(Atletas!U148="Taijishan B",947,IF(Atletas!U148="Taijiqiang B",948,IF(Atletas!U148="Taijidao C",949,IF(Atletas!U148="Taijishan C",950,IF(Atletas!U148="Taijiqiang C",951,IF(Atletas!U148="Taijidao D",952,IF(Atletas!U148="Taijishan D",953,IF(Atletas!U148="Taijiqiang D",954,IF(Atletas!U148="Taijidao E",955,IF(Atletas!U148="Taijishan E",956,IF(Atletas!U148="Taijiqiang E",957,IF(Atletas!U148="Taijidao F",958,IF(Atletas!U148="Taijishan F",959,IF(Atletas!U148="Taijiqiang F",960))))))))))))))))))))</f>
        <v/>
      </c>
      <c r="BX152" s="72" t="str">
        <f>IF(BY152&lt;&gt;"","TJQ Trad. Chen D","")</f>
        <v/>
      </c>
      <c r="BY152" s="72" t="str">
        <f>IF(COUNTIF(BK:BW,1320)&gt;0,COUNTIF(BK:BW,1320),"")</f>
        <v/>
      </c>
      <c r="BZ152" s="72" t="str">
        <f>IF(CA152&lt;&gt;"","TJQ Trad. Chen D","")</f>
        <v/>
      </c>
      <c r="CA152" s="72" t="str">
        <f>IF(COUNTIF(BK:BW,2320)&gt;0,COUNTIF(BK:BW,2320),"")</f>
        <v/>
      </c>
      <c r="CB152" s="72" t="str">
        <f>IF(CC152&lt;&gt;"","Chen D","")</f>
        <v/>
      </c>
      <c r="CC152" s="64" t="str">
        <f>IF(COUNTIF(BK:BW,11320)&gt;0,COUNTIF(BK:BW,11320),"")</f>
        <v/>
      </c>
      <c r="CD152" s="64" t="str">
        <f>IF(CE152&lt;&gt;"","Chen D","")</f>
        <v/>
      </c>
      <c r="CE152" s="64" t="str">
        <f>IF(COUNTIF(BK:BW,12320)&gt;0,COUNTIF(BK:BW,12320),"")</f>
        <v/>
      </c>
      <c r="CF152" s="52" t="str">
        <f xml:space="preserve"> IF(Atletas!V148="","",IF(Atletas!V148="Duilian de Mãos AB - Equipe 1",1,IF(Atletas!V148="Duilian de Mãos AB - Equipe 2",2,IF(Atletas!V148="Duilian de Armas AB - Equipe 1",3,IF(Atletas!V148="Duilian de Armas AB - Equipe 2",4,IF(Atletas!V148="Duilian de Tuishou - Equipe 1",5,IF(Atletas!V148="Duilian de Tuishou - Equipe 2",6,IF(Atletas!V148="Grupo Externo AB - Equipe 1",7,IF(Atletas!V148="Grupo Externo AB - Equipe 2",8,IF(Atletas!V148="Grupo Interno AB - Equipe 1",9,IF(Atletas!V148="Grupo Interno AB - Equipe 2",10,IF(Atletas!V148="Duilian de Mãos CD - Equipe 1",11,IF(Atletas!V148="Duilian de Mãos CD - Equipe 2",12,IF(Atletas!V148="Duilian de Armas CD - Equipe 1",13,IF(Atletas!V148="Duilian de Armas CD - Equipe 2",14,IF(Atletas!V148="Duilian de Tuishou - Equipe 1",15,IF(Atletas!V148="Duilian de Tuishou - Equipe 2",16,IF(Atletas!V148="Grupo Externo CDEF - Equipe 1",17,IF(Atletas!V148="Grupo Externo CDEF - Equipe 2",18,IF(Atletas!V148="Grupo Interno CDEF - Equipe 1",19,IF(Atletas!V148="Grupo Interno CDEF - Equipe 2",20,IF(Atletas!V148="Duilian de Mãos EF - Equipe 1",21,IF(Atletas!V148="Duilian de Mãos EF - Equipe 2",22,IF(Atletas!V148="Duilian de Armas EF - Equipe 1",23,IF(Atletas!V148="Duilian de Armas EF - Equipe 2",24,IF(Atletas!V148="Duilian de Tuishou - Equipe 1",25,IF(Atletas!V148="Duilian de Tuishou - Equipe 2",26,"")))))))))))))))))))))))))))</f>
        <v/>
      </c>
    </row>
    <row r="153" spans="2:84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 t="str">
        <f t="array" ref="V153">IFERROR(INDEX(BX$7:BX$336,SMALL(IF(BX$7:BX$336&lt;&gt;"",ROW(BX$7:BX$336)-ROW(BX$7)+1),ROWS(BX$7:BX152))),"")</f>
        <v/>
      </c>
      <c r="W153" s="4" t="str">
        <f t="array" ref="W153">IFERROR(INDEX(BY$7:BY$336,SMALL(IF(BY$7:BY$336&lt;&gt;"",ROW(BY$7:BY$336)-ROW(BY$7)+1),ROWS(BY$7:BY152))),"")</f>
        <v/>
      </c>
      <c r="X153" s="4" t="str">
        <f t="array" ref="X153">IFERROR(INDEX(BZ$7:BZ$336,SMALL(IF(BZ$7:BZ$336&lt;&gt;"",ROW(BZ$7:BZ$336)-ROW(BZ$7)+1),ROWS(BZ$7:BZ152))),"")</f>
        <v/>
      </c>
      <c r="Y153" s="4" t="str">
        <f t="array" ref="Y153">IFERROR(INDEX(CA$7:CA$336,SMALL(IF(CA$7:CA$336&lt;&gt;"",ROW(CA$7:CA$336)-ROW(CA$7)+1),ROWS(CA$7:CA152))),"")</f>
        <v/>
      </c>
      <c r="Z153" s="4" t="str">
        <f t="array" ref="Z153">IFERROR(INDEX(CB$7:CB$378,SMALL(IF(CB$7:CB$378&lt;&gt;"",ROW(CB$7:CB$378)-ROW(CB$7)+1),ROWS(CB$7:CB152))),"")</f>
        <v/>
      </c>
      <c r="AA153" s="4" t="str">
        <f t="array" ref="AA153">IFERROR(INDEX(CC$7:CC$378,SMALL(IF(CC$7:CC$378&lt;&gt;"",ROW(CC$7:CC$378)-ROW(CC$7)+1),ROWS(CC$7:CC152))),"")</f>
        <v/>
      </c>
      <c r="AB153" s="4" t="str">
        <f t="array" ref="AB153">IFERROR(INDEX(CD$7:CD$378,SMALL(IF(CD$7:CD$378&lt;&gt;"",ROW(CD$7:CD$378)-ROW(CD$7)+1),ROWS(CD$7:CD152))),"")</f>
        <v/>
      </c>
      <c r="AC153" s="4" t="str">
        <f t="array" ref="AC153">IFERROR(INDEX(CE$7:CE$378,SMALL(IF(CE$7:CE$378&lt;&gt;"",ROW(CE$7:CE$378)-ROW(CE$7)+1),ROWS(CE$7:CE152))),"")</f>
        <v/>
      </c>
      <c r="AD153" s="4"/>
      <c r="AE153" s="4"/>
      <c r="AF153" s="4"/>
      <c r="AG153" s="4"/>
      <c r="AH153" s="4"/>
      <c r="AI153" s="4"/>
      <c r="AJ153" s="46" t="str">
        <f>IF(Atletas!D149="","",IF(Atletas!B149="Feminino",100,IF(Atletas!B149="Masculino",200,""))+(IF(Atletas!D149="Infantil 39kg",1,IF(Atletas!D149="Infantil 42kg",2,IF(Atletas!D149="Infantil 45kg",3,IF(Atletas!D149="Infantil 48kg",4,IF(Atletas!D149="Infantil 52kg",5,IF(Atletas!D149="Infantil 56kg",6,IF(Atletas!D149="Infantil 60kg",7,IF(Atletas!D149="Juvenil 48kg",8,IF(Atletas!D149="Juvenil 52kg",9,IF(Atletas!D149="Juvenil 56kg",10,IF(Atletas!D149="Juvenil 60kg",11,IF(Atletas!D149="Juvenil 65kg",12,IF(Atletas!D149="Juvenil 70kg",13,IF(Atletas!D149="Juvenil 75kg",14,IF(Atletas!D149="Juvenil 80kg",15,IF(Atletas!D149="Adulto 48kg",16,IF(Atletas!D149="Adulto 52kg",17,IF(Atletas!D149="Adulto 56kg",18,IF(Atletas!D149="Adulto 60kg",19,IF(Atletas!D149="Adulto 65kg",20,IF(Atletas!D149="Adulto 70kg",21,IF(Atletas!D149="Adulto 75kg",22,IF(Atletas!D149="Adulto 80kg",23,IF(Atletas!D149="Adulto 85kg",24,IF(Atletas!D149="Adulto 90kg",25,IF(Atletas!D149="Adulto +90kg",26,""))))))))))))))))))))))))))))</f>
        <v/>
      </c>
      <c r="AO153" s="10" t="str">
        <f>IF(Atletas!E149="","",IF(Atletas!B149="Feminino",100,IF(Atletas!B149="Masculino",200,""))+(IF(Atletas!E149="Juvenil 44kg",1,IF(Atletas!E149="Juvenil 48kg",2,IF(Atletas!E149="Juvenil 52kg",3,IF(Atletas!E149="Juvenil 56kg",4,IF(Atletas!E149="Juvenil 60kg",5,IF(Atletas!E149="Juvenil 65kg",6,IF(Atletas!E149="Juvenil 70kg",7,IF(Atletas!E149="Juvenil 75kg",8,IF(Atletas!E149="Juvenil 82kg",9,IF(Atletas!E149="Juvenil 90kg",10,IF(Atletas!E149="Juvenil 100kg",11,IF(Atletas!E149="Adulto 48kg",12,IF(Atletas!E149="Adulto 52kg",13,IF(Atletas!E149="Adulto 56kg",14,IF(Atletas!E149="Adulto 60kg",15,IF(Atletas!E149="Adulto 65kg",16,IF(Atletas!E149="Adulto 70kg",17,IF(Atletas!E149="Adulto 75kg",18,IF(Atletas!E149="Adulto 82kg",19,IF(Atletas!E149="Adulto 90kg",20,IF(Atletas!E149="Adulto 100kg",21,IF(Atletas!E149="Adulto +100kg",22,""))))))))))))))))))))))))</f>
        <v/>
      </c>
      <c r="AT153" s="10" t="str">
        <f>IF(Atletas!F149="","",IF(Atletas!B149="Feminino",100,IF(Atletas!B149="Masculino",200,""))+(IF(Atletas!F149="Adulto 48kg",1,IF(Atletas!F149="Adulto 56kg",2,IF(Atletas!F149="Adulto 65kg",3,IF(Atletas!F149="Adulto 75kg",4,IF(Atletas!F149="Adulto +75kg",5,IF(Atletas!F149="Adulto 52kg",6,IF(Atletas!F149="Adulto 60kg",7,IF(Atletas!F149="Adulto 70kg",8,IF(Atletas!F149="Adulto 80kg",9,IF(Atletas!F149="Adulto 90kg",10,IF(Atletas!F149="Adulto +90kg",11,"")))))))))))))</f>
        <v/>
      </c>
      <c r="AY153" s="46" t="str">
        <f>IF(Atletas!G149="","",IF(Atletas!B149="Feminino",100,IF(Atletas!B149="Masculino",200,""))+(IF(Atletas!G149="Changquan Mirim",1,IF(Atletas!G149="Nanquan Mirim",2,IF(Atletas!G149="Taijiquan Mirim",3,IF(Atletas!G149="Changquan Grupo C",4,IF(Atletas!G149="Nanquan Grupo C",5,IF(Atletas!G149="Taijiquan Grupo C",6,IF(Atletas!G149="Changquan Grupo B",7,IF(Atletas!G149="Nanquan Grupo B",8,IF(Atletas!G149="Taijiquan Grupo B",9,IF(Atletas!G149="Changquan Grupo A",10,IF(Atletas!G149="Nanquan Grupo A",11,IF(Atletas!G149="Taijiquan Grupo A",12,IF(Atletas!G149="Changquan Opcional",13,IF(Atletas!G149="Nanquan Opcional",14,IF(Atletas!G149="Taijiquan Opcional",15,IF(Atletas!G149="Changquan Adulto",16,IF(Atletas!G149="Nanquan Adulto",17,IF(Atletas!G149="Taijiquan Adulto",18,""))))))))))))))))))))</f>
        <v/>
      </c>
      <c r="AZ153" s="46" t="str">
        <f>IF(Atletas!H149="","",IF(Atletas!B149="Feminino",100,IF(Atletas!B149="Masculino",200,""))+(IF(Atletas!H149="Daoshu Mirim",19,IF(Atletas!H149="Jianshu Mirim",20,IF(Atletas!H149="Nandao Mirim",21,IF(Atletas!H149="Taijijian Mirim",22,IF(Atletas!H149="Daoshu Grupo C",23,IF(Atletas!H149="Jianshu Grupo C",24,IF(Atletas!H149="Nandao Grupo C",25,IF(Atletas!H149="Taijijian Grupo C",26,IF(Atletas!H149="Daoshu Grupo B",27,IF(Atletas!H149="Jianshu Grupo B",28,IF(Atletas!H149="Nandao Grupo B",29,IF(Atletas!H149="Taijijian Grupo B",30,IF(Atletas!H149="Daoshu Grupo A",31,IF(Atletas!H149="Jianshu Grupo A",32,IF(Atletas!H149="Nandao Grupo A",33,IF(Atletas!H149="Taijijian Grupo A",34,IF(Atletas!H149="Daoshu Opcional",35,IF(Atletas!H149="Jianshu Opcional",36,IF(Atletas!H149="Nandao Opcional",37,IF(Atletas!H149="Taijijian Opcional",38,IF(Atletas!H149="Daoshu Adulto",39,IF(Atletas!H149="Jianshu Adulto",40,IF(Atletas!H149="Nandao Adulto",41,IF(Atletas!H149="Taijijian Adulto",42,""))))))))))))))))))))))))))</f>
        <v/>
      </c>
      <c r="BA153" s="46" t="str">
        <f>IF(Atletas!I149="","",IF(Atletas!B149="Feminino",100,IF(Atletas!B149="Masculino",200,""))+(IF(Atletas!I149="Gunshu Mirim",43,IF(Atletas!I149="Qiangshu Mirim",44,IF(Atletas!I149="Nangun Mirim",45,IF(Atletas!I149="Gunshu Grupo C",46,IF(Atletas!I149="Qiangshu Grupo C",47,IF(Atletas!I149="Nangun Grupo C",48,IF(Atletas!I149="Gunshu Grupo B",49,IF(Atletas!I149="Qiangshu Grupo B",50,IF(Atletas!I149="Nangun Grupo B",51,IF(Atletas!I149="Gunshu Grupo A",52,IF(Atletas!I149="Qiangshu Grupo A",53,IF(Atletas!I149="Nangun Grupo A",54,IF(Atletas!I149="Gunshu Opcional",55,IF(Atletas!I149="Qiangshu Opcional",56,IF(Atletas!I149="Nangun Opcional",57,IF(Atletas!I149="Gunshu Adulto",58,IF(Atletas!I149="Qiangshu Adulto",59,IF(Atletas!I149="Nangun Adulto",60,""))))))))))))))))))))</f>
        <v/>
      </c>
      <c r="BF153" s="52" t="str">
        <f>IF(Atletas!J149="","",IF(Atletas!B149="Feminino",100,IF(Atletas!B149="Masculino",200,""))+(IF(Atletas!J149="Equipe 1 Grupo B",1,IF(Atletas!J149="Equipe 2 Grupo B",2,IF(Atletas!J149="Equipe 1 Grupo A",3,IF(Atletas!J149="Equipe 2 Grupo A",4,IF(Atletas!J149="Equipe 1 Adulto",5,IF(Atletas!J149="Equipe 2 Adulto",6,""))))))))</f>
        <v/>
      </c>
      <c r="BK153" s="52" t="str">
        <f>IF(Atletas!K149="","",IF(Atletas!W149&lt;&gt;"",10000,0)+(IF(Atletas!B149="Feminino",1000,IF(Atletas!B149="Masculino",2000,""))+IF(Atletas!K149="Choylayfut A",1,IF(Atletas!K149="Hunggar A",2,IF(Atletas!K149="Wuzuquan A",3,IF(Atletas!K149="Wingchun A",4,IF(Atletas!K149="Outra Mão de Sul A",5,IF(Atletas!K149="Choylayfut B",6,IF(Atletas!K149="Hunggar B",7,IF(Atletas!K149="Wuzuquan B",8,IF(Atletas!K149="Wingchun B",9,IF(Atletas!K149="Outra Mão de Sul B",10,IF(Atletas!K149="Choylayfut C",11,IF(Atletas!K149="Hunggar C",12,IF(Atletas!K149="Wuzuquan C",13,IF(Atletas!K149="Wingchun C",14,IF(Atletas!K149="Outra Mão de Sul C",15,IF(Atletas!K149="Choylayfut D",16,IF(Atletas!K149="Hunggar D",17,IF(Atletas!K149="Wuzuquan D",18,IF(Atletas!K149="Wingchun D",19,IF(Atletas!K149="Outra Mão de Sul D",20,IF(Atletas!K149="Choylayfut E",21,IF(Atletas!K149="Hunggar E",22,IF(Atletas!K149="Wuzuquan E",23,IF(Atletas!K149="Wingchun E",24,IF(Atletas!K149="Outra Mão de Sul E",25,IF(Atletas!K149="Choylayfut F",26,IF(Atletas!K149="Hunggar F",27,IF(Atletas!K149="Wuzuquan F",28,IF(Atletas!K149="Wingchun F",29,IF(Atletas!K149="Outra Mão de Sul F",30,""))))))))))))))))))))))))))))))))</f>
        <v/>
      </c>
      <c r="BL153" s="52" t="str">
        <f>IF(Atletas!L149="","",IF(Atletas!W149&lt;&gt;"",10000,0)+(IF(Atletas!B149="Feminino",1000,IF(Atletas!B149="Masculino",2000,""))+(IF(Atletas!L149="Chaquan A",101,IF(Atletas!L149="Emeiquan A",102,IF(Atletas!L149="Fanziquan A",103,IF(Atletas!L149="Huaquan A",104,IF(Atletas!L149="Hongquan A",105,IF(Atletas!L149="Paochui A",106,IF(Atletas!L149="Piguaquan A",107,IF(Atletas!L149="Shaolinquan A",108,IF(Atletas!L149="Tanglangquan A",109,IF(Atletas!L149="Yinzhaophai A",110,IF(Atletas!L149="Tongbeiquan A",111,IF(Atletas!L149="Wudangquan A",112,IF(Atletas!L149="Outros Estilos A",113,IF(Atletas!L149="Chaquan B",114,IF(Atletas!L149="Emeiquan B",115,IF(Atletas!L149="Fanziquan B",116,IF(Atletas!L149="Huaquan B",117,IF(Atletas!L149="Hongquan B",118,IF(Atletas!L149="Paochui B",119,IF(Atletas!L149="Piguaquan B",120,IF(Atletas!L149="Shaolinquan B",121,IF(Atletas!L149="Tanglangquan B",122,IF(Atletas!L149="Yinzhaophai B",123,IF(Atletas!L149="Tongbeiquan B",124,IF(Atletas!L149="Wudangquan B",125,IF(Atletas!L149="Outros Estilos B",126,IF(Atletas!L149="Chaquan C",127,IF(Atletas!L149="Emeiquan C",128,IF(Atletas!L149="Fanziquan C",129,IF(Atletas!L149="Huaquan C",130,IF(Atletas!L149="Hongquan C",131,IF(Atletas!L149="Paochui C",132,IF(Atletas!L149="Piguaquan C",133,IF(Atletas!L149="Shaolinquan C",134,IF(Atletas!L149="Tanglangquan C",135,IF(Atletas!L149="Yinzhaophai C",136,IF(Atletas!L149="Tongbeiquan C",137,IF(Atletas!L149="Wudangquan C",138,IF(Atletas!L149="Outros Estilos C",139,0))))))))))))))))))))))))))))))))))))))))))</f>
        <v/>
      </c>
      <c r="BM153" s="52" t="str">
        <f>IF(Atletas!L149="","",IF(Atletas!W149&lt;&gt;"",10000,0)+(IF(Atletas!B149="Feminino",1000,IF(Atletas!B149="Masculino",2000,""))+(IF(Atletas!L149="Chaquan D",140,IF(Atletas!L149="Emeiquan D",141,IF(Atletas!L149="Fanziquan D",142,IF(Atletas!L149="Huaquan D",143,IF(Atletas!L149="Hongquan D",144,IF(Atletas!L149="Paochui D",145,IF(Atletas!L149="Piguaquan D",146,IF(Atletas!L149="Shaolinquan D",147,IF(Atletas!L149="Tanglangquan D",148,IF(Atletas!L149="Yinzhaophai D",149,IF(Atletas!L149="Tongbeiquan D",150,IF(Atletas!L149="Wudangquan D",151,IF(Atletas!L149="Outros Estilos D",152,IF(Atletas!L149="Chaquan E",153,IF(Atletas!L149="Emeiquan E",154,IF(Atletas!L149="Fanziquan E",155,IF(Atletas!L149="Huaquan E",156,IF(Atletas!L149="Hongquan E",157,IF(Atletas!L149="Paochui E",158,IF(Atletas!L149="Piguaquan E",159,IF(Atletas!L149="Shaolinquan E",160,IF(Atletas!L149="Tanglangquan E",161,IF(Atletas!L149="Yinzhaophai E",162,IF(Atletas!L149="Tongbeiquan E",163,IF(Atletas!L149="Wudangquan E",164,IF(Atletas!L149="Outros Estilos E",165,IF(Atletas!L149="Chaquan F",166,IF(Atletas!L149="Emeiquan F",167,IF(Atletas!L149="Fanziquan F",168,IF(Atletas!L149="Huaquan F",169,IF(Atletas!L149="Hongquan F",170,IF(Atletas!L149="Paochui F",171,IF(Atletas!L149="Piguaquan F",172,IF(Atletas!L149="Shaolinquan F",173,IF(Atletas!L149="Tanglangquan F",174,IF(Atletas!L149="Yinzhaophai F",175,IF(Atletas!L149="Tongbeiquan F",176,IF(Atletas!L149="Wudangquan F",177,IF(Atletas!L149="Outros Estilos F",178,0))))))))))))))))))))))))))))))))))))))))))</f>
        <v/>
      </c>
      <c r="BN153" s="52" t="str">
        <f>IF(Atletas!M149="","",IF(Atletas!W149&lt;&gt;"",10000,0)+(IF(Atletas!B149="Feminino",1000,IF(Atletas!B149="Masculino",2000,""))+(IF(Atletas!M149="Ditangquan A",201,IF(Atletas!M149="Houquan A",202,IF(Atletas!M149="Zuiquan A",203,IF(Atletas!M149="Ditangquan B",204,IF(Atletas!M149="Houquan B",205,IF(Atletas!M149="Zuiquan B",206,IF(Atletas!M149="Ditangquan C",207,IF(Atletas!M149="Houquan C",208,IF(Atletas!M149="Zuiquan C",209,IF(Atletas!M149="Ditangquan D",210,IF(Atletas!M149="Houquan D",211,IF(Atletas!M149="Zuiquan D",212,IF(Atletas!M149="Ditangquan E",213,IF(Atletas!M149="Houquan E",214,IF(Atletas!M149="Zuiquan E",215,IF(Atletas!M149="Ditangquan F",216,IF(Atletas!M149="Houquan F",217,IF(Atletas!M149="Zuiquan F",218,"")))))))))))))))))))))</f>
        <v/>
      </c>
      <c r="BO153" s="52" t="str">
        <f>IF(Atletas!N149="","",IF(Atletas!W149&lt;&gt;"",10000,0)+IF(Atletas!B149="Feminino",1000,IF(Atletas!B149="Masculino",2000,""))+IF(Atletas!N149="Yang A",301,IF(Atletas!N149="Chen A",30,IF(Atletas!N149="Sun A",303,IF(Atletas!N149="Wu A",304,IF(Atletas!N149="Wu-Hao A",305,IF(Atletas!N149="Outro Taijiquan A",306,IF(Atletas!N149="Yang B",307,IF(Atletas!N149="Chen B",308,IF(Atletas!N149="Sun B",309,IF(Atletas!N149="Wu B",310,IF(Atletas!N149="Wu-Hao B",311,IF(Atletas!N149="Outro Taijiquan B",312,IF(Atletas!N149="Yang C",313,IF(Atletas!N149="Chen C",314,IF(Atletas!N149="Sun C",315,IF(Atletas!N149="Wu C",316,IF(Atletas!N149="Wu-Hao C",317,IF(Atletas!N149="Outro Taijiquan C",318,IF(Atletas!N149="Yang D",319,IF(Atletas!N149="Chen D",320,IF(Atletas!N149="Sun D",321,IF(Atletas!N149="Wu D",322,IF(Atletas!N149="Wu-Hao D",323,IF(Atletas!N149="Outro Taijiquan D",324,IF(Atletas!N149="Yang E",325,IF(Atletas!N149="Chen E",326,IF(Atletas!N149="Sun E",327,IF(Atletas!N149="Wu E",328,IF(Atletas!N149="Wu-Hao E",329,IF(Atletas!N149="Outro Taijiquan E",330,IF(Atletas!N149="Yang F",331,IF(Atletas!N149="Chen F",332,IF(Atletas!N149="Sun F",333,IF(Atletas!N149="Wu F",334,IF(Atletas!N149="Wu-Hao F",335,IF(Atletas!N149="Outro Taijiquan F",336,"")))))))))))))))))))))))))))))))))))))</f>
        <v/>
      </c>
      <c r="BP153" s="52" t="str">
        <f>IF(Atletas!O149="","",IF(Atletas!W149&lt;&gt;"",10000,0)+IF(Atletas!B149="Feminino",1000,IF(Atletas!B149="Masculino",2000,""))+IF(OR(Atletas!O149="Yang 26 A",Atletas!O149="Yang 40 A"),401,IF(OR(Atletas!O149="Chen 25 A",Atletas!O149="Chen 36 A",Atletas!O149="Chen 56 A"),402,IF(Atletas!O149="Sun 73 A",403,IF(Atletas!O149="Wu 45 A",404,IF(Atletas!O149="Wu-Hao 46 A",405,IF(OR(Atletas!O149="Taijiquan 16 A",Atletas!O149="Taijiquan 24 A",Atletas!O149="Taijiquan 32 A",Atletas!O149="Taijiquan 42 A"),406,IF(OR(Atletas!O149="Yang 26 B",Atletas!O149="Yang 40 B"),407,IF(OR(Atletas!O149="Chen 25 B",Atletas!O149="Chen 36 B",Atletas!O149="Chen 56 B"),408,IF(Atletas!O149="Sun 73 B",409,IF(Atletas!O149="Wu 45 B",410,IF(Atletas!O149="Wu-Hao 46 B",411,IF(OR(Atletas!O149="Taijiquan 16 B",Atletas!O149="Taijiquan 24 B",Atletas!O149="Taijiquan 32 B",Atletas!O149="Taijiquan 42 B"),412,IF(OR(Atletas!O149="Yang 26 C",Atletas!O149="Yang 40 C"),413,IF(OR(Atletas!O149="Chen 25 C",Atletas!O149="Chen 36 C",Atletas!O149="Chen 56 C"),414,IF(Atletas!O149="Sun 73 C",415,IF(Atletas!O149="Wu 45 C",416,IF(Atletas!O149="Wu-Hao 46 C",417,IF(OR(Atletas!O149="Taijiquan 16 C",Atletas!O149="Taijiquan 24 C",Atletas!O149="Taijiquan 32 C",Atletas!O149="Taijiquan 42 C"),418,0)))))))))))))))))))</f>
        <v/>
      </c>
      <c r="BQ153" s="52" t="str">
        <f>IF(Atletas!O149="","",IF(Atletas!W149&lt;&gt;"",10000,0)+IF(Atletas!B149="Feminino",1000,IF(Atletas!B149="Masculino",2000,""))+IF(OR(Atletas!O149="Yang 26 D",Atletas!O149="Yang 40 D"),419,IF(OR(Atletas!O149="Chen 25 D",Atletas!O149="Chen 36 D",Atletas!O149="Chen 56 D"),420,IF(Atletas!O149="Sun 73 D",421,IF(Atletas!O149="Wu 45 D",422,IF(Atletas!O149="Wu-Hao 46 D",423,IF(OR(Atletas!O149="Taijiquan 16 D",Atletas!O149="Taijiquan 24 D",Atletas!O149="Taijiquan 32 D",Atletas!O149="Taijiquan 42 D"),424,IF(OR(Atletas!O149="Yang 26 E",Atletas!O149="Yang 40 E"),425,IF(OR(Atletas!O149="Chen 25 E",Atletas!O149="Chen 36 E",Atletas!O149="Chen 56 E"),426,IF(Atletas!O149="Sun 73 E",427,IF(Atletas!O149="Wu 45 E",428,IF(Atletas!O149="Wu-Hao 46 E",429,IF(OR(Atletas!O149="Taijiquan 16 E",Atletas!O149="Taijiquan 24 E",Atletas!O149="Taijiquan 32 E",Atletas!O149="Taijiquan 42 E"),430,IF(OR(Atletas!O149="Yang 26 F",Atletas!O149="Yang 40 F"),431,IF(OR(Atletas!O149="Chen 25 F",Atletas!O149="Chen 36 F",Atletas!O149="Chen 56 F"),432,IF(Atletas!O149="Sun 73 F",433,IF(Atletas!O149="Wu 45 F",434,IF(Atletas!O149="Wu-Hao 46 F",435,IF(OR(Atletas!O149="Taijiquan 16 F",Atletas!O149="Taijiquan 24 F",Atletas!O149="Taijiquan 32 F",Atletas!O149="Taijiquan 42 F"),436,0)))))))))))))))))))</f>
        <v/>
      </c>
      <c r="BR153" s="52" t="str">
        <f>IF(Atletas!P149="","",IF(Atletas!W149&lt;&gt;"",10000,0)+IF(Atletas!B149="Feminino",1000,IF(Atletas!B149="Masculino",2000,""))+IF(Atletas!P149="Xingyiquan A",501,IF(Atletas!P149="Baguazhang A",502,IF(Atletas!P149="Outro Estilo Interno A",503,IF(Atletas!P149="Xingyiquan B",504,IF(Atletas!P149="Baguazhang B",505,IF(Atletas!P149="Outro Estilo Interno B",506,IF(Atletas!P149="Xingyiquan C",507,IF(Atletas!P149="Baguazhang C",508,IF(Atletas!P149="Outro Estilo Interno C",509,IF(Atletas!P149="Xingyiquan D",510,IF(Atletas!P149="Baguazhang D",511,IF(Atletas!P149="Outro Estilo Interno D",512,IF(Atletas!P149="Xingyiquan E",513,IF(Atletas!P149="Baguazhang E",514,IF(Atletas!P149="Outro Estilo Interno E",515,IF(Atletas!P149="Xingyiquan F",516,IF(Atletas!P149="Baguazhang F",517,IF(Atletas!P149="Outro Estilo Interno F",518, "")))))))))))))))))))</f>
        <v/>
      </c>
      <c r="BS153" s="52" t="str">
        <f>IF(Atletas!Q149="","",IF(Atletas!W149&lt;&gt;"",10000,0)+IF(Atletas!B149="Feminino",1000,IF(Atletas!B149="Masculino",2000,""))+IF(Atletas!Q149="Dao A",601,IF(Atletas!Q149="Jian A",602,IF(Atletas!Q149="Bishou A",603,IF(Atletas!Q149="Shan A",604,IF(Atletas!Q149="Outra Arma Curta A",605,IF(Atletas!Q149="Dao B",606,IF(Atletas!Q149="Jian B",607,IF(Atletas!Q149="Bishou B",608,IF(Atletas!Q149="Shan B",609,IF(Atletas!Q149="Outra Arma Curta B",610,IF(Atletas!Q149="Dao C",611,IF(Atletas!Q149="Jian C",612,IF(Atletas!Q149="Bishou C",613,IF(Atletas!Q149="Shan C",614,IF(Atletas!Q149="Outra Arma Curta C",615,IF(Atletas!Q149="Dao D",616,IF(Atletas!Q149="Jian D",617,IF(Atletas!Q149="Bishou D",618,IF(Atletas!Q149="Shan D",619,IF(Atletas!Q149="Outra Arma Curta D",620,IF(Atletas!Q149="Dao E",621,IF(Atletas!Q149="Jian E",622,IF(Atletas!Q149="Bishou E",623,IF(Atletas!Q149="Shan E",624,IF(Atletas!Q149="Outra Arma Curta E",625,IF(Atletas!Q149="Dao F",626,IF(Atletas!Q149="Jian F",627,IF(Atletas!Q149="Bishou F",628,IF(Atletas!Q149="Shan F",629,IF(Atletas!Q149="Outra Arma Curta F",630, "")))))))))))))))))))))))))))))))</f>
        <v/>
      </c>
      <c r="BT153" s="52" t="str">
        <f>IF(Atletas!R149="","",IF(Atletas!W149&lt;&gt;"",10000,0)+IF(Atletas!B149="Feminino",1000,IF(Atletas!B149="Masculino",2000,""))+IF(Atletas!R149="Gun A",701,IF(Atletas!R149="Qiang A",702,IF(Atletas!R149="Pudao / Guandao A",703,IF(Atletas!R149="Outra Arma Longa A",704,IF(Atletas!R149="Gun B",705,IF(Atletas!R149="Qiang B",706,IF(Atletas!R149="Pudao / Guandao B",707,IF(Atletas!R149="Outra Arma Longa B",708,IF(Atletas!R149="Gun C",709,IF(Atletas!R149="Qiang C",710,IF(Atletas!R149="Pudao / Guandao C",711,IF(Atletas!R149="Outra Arma Longa C",712,IF(Atletas!R149="Gun D",713,IF(Atletas!R149="Qiang D",714,IF(Atletas!R149="Pudao / Guandao D",715,IF(Atletas!R149="Outra Arma Longa D",716,IF(Atletas!R149="Gun E",717,IF(Atletas!R149="Qiang E",718,IF(Atletas!R149="Pudao / Guandao E",719,IF(Atletas!R149="Outra Arma Longa E",720,IF(Atletas!R149="Gun F",721,IF(Atletas!R149="Qiang F",722,IF(Atletas!R149="Pudao / Guandao F",723,IF(Atletas!R149="Outra Arma Longa F",724,"")))))))))))))))))))))))))</f>
        <v/>
      </c>
      <c r="BU153" s="52" t="str">
        <f>IF(Atletas!S149="","",IF(Atletas!W149&lt;&gt;"",10000,0)+IF(Atletas!B149="Feminino",1000,IF(Atletas!B149="Masculino",2000,""))+IF(Atletas!S149="Arma Dupla A",801,IF(Atletas!S149="Arma Maleável A",802,IF(Atletas!S149="Arma Dupla B",803,IF(Atletas!S149="Arma Maleável B",804,IF(Atletas!S149="Arma Dupla C",805,IF(Atletas!S149="Arma Maleável C",806,IF(Atletas!S149="Arma Dupla D",807,IF(Atletas!S149="Arma Maleável D",808,IF(Atletas!S149="Arma Dupla E",809,IF(Atletas!S149="Arma Maleável E",810,IF(Atletas!S149="Arma Dupla F",811,IF(Atletas!S149="Arma Maleável F",812, "")))))))))))))</f>
        <v/>
      </c>
      <c r="BV153" s="52" t="str">
        <f>IF(Atletas!T149="","",IF(Atletas!W149&lt;&gt;"",10000,0)+IF(Atletas!B149="Feminino",1000,IF(Atletas!B149="Masculino",2000,""))+IF(Atletas!T149="Taijijian Yang A",901,IF(Atletas!T149="Taijijian Chen A",902,IF(Atletas!T149="Taijijian Sun A",903,IF(Atletas!T149="Taijijian Wu A",904,IF(Atletas!T149="Taijijian Wu-Hao A",905,IF(Atletas!T149="Taijijian 32 A",906,IF(Atletas!T149="Taijijian 42 A",907,IF(Atletas!T149="Taijijian Yang B",908,IF(Atletas!T149="Taijijian Chen B",909,IF(Atletas!T149="Taijijian Sun B",910,IF(Atletas!T149="Taijijian Wu B",911,IF(Atletas!T149="Taijijian Wu-Hao B",912,IF(Atletas!T149="Taijijian 32 B",913,IF(Atletas!T149="Taijijian 42 B",914,IF(Atletas!T149="Taijijian Yang C",915,IF(Atletas!T149="Taijijian Chen C",916,IF(Atletas!T149="Taijijian Sun C",917,IF(Atletas!T149="Taijijian Wu C",918,IF(Atletas!T149="Taijijian Wu-Hao C",919,IF(Atletas!T149="Taijijian 32 C",920,IF(Atletas!T149="Taijijian 42 C",921,IF(Atletas!T149="Taijijian Yang D",922,IF(Atletas!T149="Taijijian Chen D",923,IF(Atletas!T149="Taijijian Sun D",924,IF(Atletas!T149="Taijijian Wu D",925,IF(Atletas!T149="Taijijian Wu-Hao D",926,IF(Atletas!T149="Taijijian 32 D",927,IF(Atletas!T149="Taijijian 42 D",928,IF(Atletas!T149="Taijijian Yang E",929,IF(Atletas!T149="Taijijian Chen E",930,IF(Atletas!T149="Taijijian Sun E",931,IF(Atletas!T149="Taijijian Wu E",932,IF(Atletas!T149="Taijijian Wu-Hao E",933,IF(Atletas!T149="Taijijian 32 E",934,IF(Atletas!T149="Taijijian 42 E",935,IF(Atletas!T149="Taijijian Yang F",936,IF(Atletas!T149="Taijijian Chen F",937,IF(Atletas!T149="Taijijian Sun F",938,IF(Atletas!T149="Taijijian Wu F",939,IF(Atletas!T149="Taijijian Wu-Hao F",940,IF(Atletas!T149="Taijijian 32 F",941,IF(Atletas!T149="Taijijian 42 F",942,"")))))))))))))))))))))))))))))))))))))))))))</f>
        <v/>
      </c>
      <c r="BW153" s="52" t="str">
        <f>IF(Atletas!U149="","",IF(Atletas!W149&lt;&gt;"",10000,0)+IF(Atletas!B149="Feminino",1000,IF(Atletas!B149="Masculino",2000,""))+IF(Atletas!T149="Taijijian 42 F",942,IF(Atletas!U149="Taijidao A",943,IF(Atletas!U149="Taijishan A",944,IF(Atletas!U149="Taijiqiang A",945,IF(Atletas!U149="Taijidao B",946,IF(Atletas!U149="Taijishan B",947,IF(Atletas!U149="Taijiqiang B",948,IF(Atletas!U149="Taijidao C",949,IF(Atletas!U149="Taijishan C",950,IF(Atletas!U149="Taijiqiang C",951,IF(Atletas!U149="Taijidao D",952,IF(Atletas!U149="Taijishan D",953,IF(Atletas!U149="Taijiqiang D",954,IF(Atletas!U149="Taijidao E",955,IF(Atletas!U149="Taijishan E",956,IF(Atletas!U149="Taijiqiang E",957,IF(Atletas!U149="Taijidao F",958,IF(Atletas!U149="Taijishan F",959,IF(Atletas!U149="Taijiqiang F",960))))))))))))))))))))</f>
        <v/>
      </c>
      <c r="BX153" s="72" t="str">
        <f>IF(BY153&lt;&gt;"","TJQ Trad. Sun D","")</f>
        <v/>
      </c>
      <c r="BY153" s="72" t="str">
        <f>IF(COUNTIF(BK:BW,1321)&gt;0,COUNTIF(BK:BW,1321),"")</f>
        <v/>
      </c>
      <c r="BZ153" s="72" t="str">
        <f>IF(CA153&lt;&gt;"","TJQ Trad. Sun D","")</f>
        <v/>
      </c>
      <c r="CA153" s="72" t="str">
        <f>IF(COUNTIF(BK:BW,2321)&gt;0,COUNTIF(BK:BW,2321),"")</f>
        <v/>
      </c>
      <c r="CB153" s="72" t="str">
        <f>IF(CC153&lt;&gt;"","Sun D","")</f>
        <v/>
      </c>
      <c r="CC153" s="64" t="str">
        <f>IF(COUNTIF(BK:BW,11321)&gt;0,COUNTIF(BK:BW,11321),"")</f>
        <v/>
      </c>
      <c r="CD153" s="64" t="str">
        <f>IF(CE153&lt;&gt;"","Sun D","")</f>
        <v/>
      </c>
      <c r="CE153" s="64" t="str">
        <f>IF(COUNTIF(BK:BW,12321)&gt;0,COUNTIF(BK:BW,12321),"")</f>
        <v/>
      </c>
      <c r="CF153" s="52" t="str">
        <f xml:space="preserve"> IF(Atletas!V149="","",IF(Atletas!V149="Duilian de Mãos AB - Equipe 1",1,IF(Atletas!V149="Duilian de Mãos AB - Equipe 2",2,IF(Atletas!V149="Duilian de Armas AB - Equipe 1",3,IF(Atletas!V149="Duilian de Armas AB - Equipe 2",4,IF(Atletas!V149="Duilian de Tuishou - Equipe 1",5,IF(Atletas!V149="Duilian de Tuishou - Equipe 2",6,IF(Atletas!V149="Grupo Externo AB - Equipe 1",7,IF(Atletas!V149="Grupo Externo AB - Equipe 2",8,IF(Atletas!V149="Grupo Interno AB - Equipe 1",9,IF(Atletas!V149="Grupo Interno AB - Equipe 2",10,IF(Atletas!V149="Duilian de Mãos CD - Equipe 1",11,IF(Atletas!V149="Duilian de Mãos CD - Equipe 2",12,IF(Atletas!V149="Duilian de Armas CD - Equipe 1",13,IF(Atletas!V149="Duilian de Armas CD - Equipe 2",14,IF(Atletas!V149="Duilian de Tuishou - Equipe 1",15,IF(Atletas!V149="Duilian de Tuishou - Equipe 2",16,IF(Atletas!V149="Grupo Externo CDEF - Equipe 1",17,IF(Atletas!V149="Grupo Externo CDEF - Equipe 2",18,IF(Atletas!V149="Grupo Interno CDEF - Equipe 1",19,IF(Atletas!V149="Grupo Interno CDEF - Equipe 2",20,IF(Atletas!V149="Duilian de Mãos EF - Equipe 1",21,IF(Atletas!V149="Duilian de Mãos EF - Equipe 2",22,IF(Atletas!V149="Duilian de Armas EF - Equipe 1",23,IF(Atletas!V149="Duilian de Armas EF - Equipe 2",24,IF(Atletas!V149="Duilian de Tuishou - Equipe 1",25,IF(Atletas!V149="Duilian de Tuishou - Equipe 2",26,"")))))))))))))))))))))))))))</f>
        <v/>
      </c>
    </row>
    <row r="154" spans="2:84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 t="str">
        <f t="array" ref="V154">IFERROR(INDEX(BX$7:BX$336,SMALL(IF(BX$7:BX$336&lt;&gt;"",ROW(BX$7:BX$336)-ROW(BX$7)+1),ROWS(BX$7:BX153))),"")</f>
        <v/>
      </c>
      <c r="W154" s="4" t="str">
        <f t="array" ref="W154">IFERROR(INDEX(BY$7:BY$336,SMALL(IF(BY$7:BY$336&lt;&gt;"",ROW(BY$7:BY$336)-ROW(BY$7)+1),ROWS(BY$7:BY153))),"")</f>
        <v/>
      </c>
      <c r="X154" s="4" t="str">
        <f t="array" ref="X154">IFERROR(INDEX(BZ$7:BZ$336,SMALL(IF(BZ$7:BZ$336&lt;&gt;"",ROW(BZ$7:BZ$336)-ROW(BZ$7)+1),ROWS(BZ$7:BZ153))),"")</f>
        <v/>
      </c>
      <c r="Y154" s="4" t="str">
        <f t="array" ref="Y154">IFERROR(INDEX(CA$7:CA$336,SMALL(IF(CA$7:CA$336&lt;&gt;"",ROW(CA$7:CA$336)-ROW(CA$7)+1),ROWS(CA$7:CA153))),"")</f>
        <v/>
      </c>
      <c r="Z154" s="4" t="str">
        <f t="array" ref="Z154">IFERROR(INDEX(CB$7:CB$378,SMALL(IF(CB$7:CB$378&lt;&gt;"",ROW(CB$7:CB$378)-ROW(CB$7)+1),ROWS(CB$7:CB153))),"")</f>
        <v/>
      </c>
      <c r="AA154" s="4" t="str">
        <f t="array" ref="AA154">IFERROR(INDEX(CC$7:CC$378,SMALL(IF(CC$7:CC$378&lt;&gt;"",ROW(CC$7:CC$378)-ROW(CC$7)+1),ROWS(CC$7:CC153))),"")</f>
        <v/>
      </c>
      <c r="AB154" s="4" t="str">
        <f t="array" ref="AB154">IFERROR(INDEX(CD$7:CD$378,SMALL(IF(CD$7:CD$378&lt;&gt;"",ROW(CD$7:CD$378)-ROW(CD$7)+1),ROWS(CD$7:CD153))),"")</f>
        <v/>
      </c>
      <c r="AC154" s="4" t="str">
        <f t="array" ref="AC154">IFERROR(INDEX(CE$7:CE$378,SMALL(IF(CE$7:CE$378&lt;&gt;"",ROW(CE$7:CE$378)-ROW(CE$7)+1),ROWS(CE$7:CE153))),"")</f>
        <v/>
      </c>
      <c r="AD154" s="4"/>
      <c r="AE154" s="4"/>
      <c r="AF154" s="4"/>
      <c r="AG154" s="4"/>
      <c r="AH154" s="4"/>
      <c r="AI154" s="4"/>
      <c r="AJ154" s="46" t="str">
        <f>IF(Atletas!D150="","",IF(Atletas!B150="Feminino",100,IF(Atletas!B150="Masculino",200,""))+(IF(Atletas!D150="Infantil 39kg",1,IF(Atletas!D150="Infantil 42kg",2,IF(Atletas!D150="Infantil 45kg",3,IF(Atletas!D150="Infantil 48kg",4,IF(Atletas!D150="Infantil 52kg",5,IF(Atletas!D150="Infantil 56kg",6,IF(Atletas!D150="Infantil 60kg",7,IF(Atletas!D150="Juvenil 48kg",8,IF(Atletas!D150="Juvenil 52kg",9,IF(Atletas!D150="Juvenil 56kg",10,IF(Atletas!D150="Juvenil 60kg",11,IF(Atletas!D150="Juvenil 65kg",12,IF(Atletas!D150="Juvenil 70kg",13,IF(Atletas!D150="Juvenil 75kg",14,IF(Atletas!D150="Juvenil 80kg",15,IF(Atletas!D150="Adulto 48kg",16,IF(Atletas!D150="Adulto 52kg",17,IF(Atletas!D150="Adulto 56kg",18,IF(Atletas!D150="Adulto 60kg",19,IF(Atletas!D150="Adulto 65kg",20,IF(Atletas!D150="Adulto 70kg",21,IF(Atletas!D150="Adulto 75kg",22,IF(Atletas!D150="Adulto 80kg",23,IF(Atletas!D150="Adulto 85kg",24,IF(Atletas!D150="Adulto 90kg",25,IF(Atletas!D150="Adulto +90kg",26,""))))))))))))))))))))))))))))</f>
        <v/>
      </c>
      <c r="AO154" s="10" t="str">
        <f>IF(Atletas!E150="","",IF(Atletas!B150="Feminino",100,IF(Atletas!B150="Masculino",200,""))+(IF(Atletas!E150="Juvenil 44kg",1,IF(Atletas!E150="Juvenil 48kg",2,IF(Atletas!E150="Juvenil 52kg",3,IF(Atletas!E150="Juvenil 56kg",4,IF(Atletas!E150="Juvenil 60kg",5,IF(Atletas!E150="Juvenil 65kg",6,IF(Atletas!E150="Juvenil 70kg",7,IF(Atletas!E150="Juvenil 75kg",8,IF(Atletas!E150="Juvenil 82kg",9,IF(Atletas!E150="Juvenil 90kg",10,IF(Atletas!E150="Juvenil 100kg",11,IF(Atletas!E150="Adulto 48kg",12,IF(Atletas!E150="Adulto 52kg",13,IF(Atletas!E150="Adulto 56kg",14,IF(Atletas!E150="Adulto 60kg",15,IF(Atletas!E150="Adulto 65kg",16,IF(Atletas!E150="Adulto 70kg",17,IF(Atletas!E150="Adulto 75kg",18,IF(Atletas!E150="Adulto 82kg",19,IF(Atletas!E150="Adulto 90kg",20,IF(Atletas!E150="Adulto 100kg",21,IF(Atletas!E150="Adulto +100kg",22,""))))))))))))))))))))))))</f>
        <v/>
      </c>
      <c r="AT154" s="10" t="str">
        <f>IF(Atletas!F150="","",IF(Atletas!B150="Feminino",100,IF(Atletas!B150="Masculino",200,""))+(IF(Atletas!F150="Adulto 48kg",1,IF(Atletas!F150="Adulto 56kg",2,IF(Atletas!F150="Adulto 65kg",3,IF(Atletas!F150="Adulto 75kg",4,IF(Atletas!F150="Adulto +75kg",5,IF(Atletas!F150="Adulto 52kg",6,IF(Atletas!F150="Adulto 60kg",7,IF(Atletas!F150="Adulto 70kg",8,IF(Atletas!F150="Adulto 80kg",9,IF(Atletas!F150="Adulto 90kg",10,IF(Atletas!F150="Adulto +90kg",11,"")))))))))))))</f>
        <v/>
      </c>
      <c r="AY154" s="46" t="str">
        <f>IF(Atletas!G150="","",IF(Atletas!B150="Feminino",100,IF(Atletas!B150="Masculino",200,""))+(IF(Atletas!G150="Changquan Mirim",1,IF(Atletas!G150="Nanquan Mirim",2,IF(Atletas!G150="Taijiquan Mirim",3,IF(Atletas!G150="Changquan Grupo C",4,IF(Atletas!G150="Nanquan Grupo C",5,IF(Atletas!G150="Taijiquan Grupo C",6,IF(Atletas!G150="Changquan Grupo B",7,IF(Atletas!G150="Nanquan Grupo B",8,IF(Atletas!G150="Taijiquan Grupo B",9,IF(Atletas!G150="Changquan Grupo A",10,IF(Atletas!G150="Nanquan Grupo A",11,IF(Atletas!G150="Taijiquan Grupo A",12,IF(Atletas!G150="Changquan Opcional",13,IF(Atletas!G150="Nanquan Opcional",14,IF(Atletas!G150="Taijiquan Opcional",15,IF(Atletas!G150="Changquan Adulto",16,IF(Atletas!G150="Nanquan Adulto",17,IF(Atletas!G150="Taijiquan Adulto",18,""))))))))))))))))))))</f>
        <v/>
      </c>
      <c r="AZ154" s="46" t="str">
        <f>IF(Atletas!H150="","",IF(Atletas!B150="Feminino",100,IF(Atletas!B150="Masculino",200,""))+(IF(Atletas!H150="Daoshu Mirim",19,IF(Atletas!H150="Jianshu Mirim",20,IF(Atletas!H150="Nandao Mirim",21,IF(Atletas!H150="Taijijian Mirim",22,IF(Atletas!H150="Daoshu Grupo C",23,IF(Atletas!H150="Jianshu Grupo C",24,IF(Atletas!H150="Nandao Grupo C",25,IF(Atletas!H150="Taijijian Grupo C",26,IF(Atletas!H150="Daoshu Grupo B",27,IF(Atletas!H150="Jianshu Grupo B",28,IF(Atletas!H150="Nandao Grupo B",29,IF(Atletas!H150="Taijijian Grupo B",30,IF(Atletas!H150="Daoshu Grupo A",31,IF(Atletas!H150="Jianshu Grupo A",32,IF(Atletas!H150="Nandao Grupo A",33,IF(Atletas!H150="Taijijian Grupo A",34,IF(Atletas!H150="Daoshu Opcional",35,IF(Atletas!H150="Jianshu Opcional",36,IF(Atletas!H150="Nandao Opcional",37,IF(Atletas!H150="Taijijian Opcional",38,IF(Atletas!H150="Daoshu Adulto",39,IF(Atletas!H150="Jianshu Adulto",40,IF(Atletas!H150="Nandao Adulto",41,IF(Atletas!H150="Taijijian Adulto",42,""))))))))))))))))))))))))))</f>
        <v/>
      </c>
      <c r="BA154" s="46" t="str">
        <f>IF(Atletas!I150="","",IF(Atletas!B150="Feminino",100,IF(Atletas!B150="Masculino",200,""))+(IF(Atletas!I150="Gunshu Mirim",43,IF(Atletas!I150="Qiangshu Mirim",44,IF(Atletas!I150="Nangun Mirim",45,IF(Atletas!I150="Gunshu Grupo C",46,IF(Atletas!I150="Qiangshu Grupo C",47,IF(Atletas!I150="Nangun Grupo C",48,IF(Atletas!I150="Gunshu Grupo B",49,IF(Atletas!I150="Qiangshu Grupo B",50,IF(Atletas!I150="Nangun Grupo B",51,IF(Atletas!I150="Gunshu Grupo A",52,IF(Atletas!I150="Qiangshu Grupo A",53,IF(Atletas!I150="Nangun Grupo A",54,IF(Atletas!I150="Gunshu Opcional",55,IF(Atletas!I150="Qiangshu Opcional",56,IF(Atletas!I150="Nangun Opcional",57,IF(Atletas!I150="Gunshu Adulto",58,IF(Atletas!I150="Qiangshu Adulto",59,IF(Atletas!I150="Nangun Adulto",60,""))))))))))))))))))))</f>
        <v/>
      </c>
      <c r="BF154" s="52" t="str">
        <f>IF(Atletas!J150="","",IF(Atletas!B150="Feminino",100,IF(Atletas!B150="Masculino",200,""))+(IF(Atletas!J150="Equipe 1 Grupo B",1,IF(Atletas!J150="Equipe 2 Grupo B",2,IF(Atletas!J150="Equipe 1 Grupo A",3,IF(Atletas!J150="Equipe 2 Grupo A",4,IF(Atletas!J150="Equipe 1 Adulto",5,IF(Atletas!J150="Equipe 2 Adulto",6,""))))))))</f>
        <v/>
      </c>
      <c r="BK154" s="52" t="str">
        <f>IF(Atletas!K150="","",IF(Atletas!W150&lt;&gt;"",10000,0)+(IF(Atletas!B150="Feminino",1000,IF(Atletas!B150="Masculino",2000,""))+IF(Atletas!K150="Choylayfut A",1,IF(Atletas!K150="Hunggar A",2,IF(Atletas!K150="Wuzuquan A",3,IF(Atletas!K150="Wingchun A",4,IF(Atletas!K150="Outra Mão de Sul A",5,IF(Atletas!K150="Choylayfut B",6,IF(Atletas!K150="Hunggar B",7,IF(Atletas!K150="Wuzuquan B",8,IF(Atletas!K150="Wingchun B",9,IF(Atletas!K150="Outra Mão de Sul B",10,IF(Atletas!K150="Choylayfut C",11,IF(Atletas!K150="Hunggar C",12,IF(Atletas!K150="Wuzuquan C",13,IF(Atletas!K150="Wingchun C",14,IF(Atletas!K150="Outra Mão de Sul C",15,IF(Atletas!K150="Choylayfut D",16,IF(Atletas!K150="Hunggar D",17,IF(Atletas!K150="Wuzuquan D",18,IF(Atletas!K150="Wingchun D",19,IF(Atletas!K150="Outra Mão de Sul D",20,IF(Atletas!K150="Choylayfut E",21,IF(Atletas!K150="Hunggar E",22,IF(Atletas!K150="Wuzuquan E",23,IF(Atletas!K150="Wingchun E",24,IF(Atletas!K150="Outra Mão de Sul E",25,IF(Atletas!K150="Choylayfut F",26,IF(Atletas!K150="Hunggar F",27,IF(Atletas!K150="Wuzuquan F",28,IF(Atletas!K150="Wingchun F",29,IF(Atletas!K150="Outra Mão de Sul F",30,""))))))))))))))))))))))))))))))))</f>
        <v/>
      </c>
      <c r="BL154" s="52" t="str">
        <f>IF(Atletas!L150="","",IF(Atletas!W150&lt;&gt;"",10000,0)+(IF(Atletas!B150="Feminino",1000,IF(Atletas!B150="Masculino",2000,""))+(IF(Atletas!L150="Chaquan A",101,IF(Atletas!L150="Emeiquan A",102,IF(Atletas!L150="Fanziquan A",103,IF(Atletas!L150="Huaquan A",104,IF(Atletas!L150="Hongquan A",105,IF(Atletas!L150="Paochui A",106,IF(Atletas!L150="Piguaquan A",107,IF(Atletas!L150="Shaolinquan A",108,IF(Atletas!L150="Tanglangquan A",109,IF(Atletas!L150="Yinzhaophai A",110,IF(Atletas!L150="Tongbeiquan A",111,IF(Atletas!L150="Wudangquan A",112,IF(Atletas!L150="Outros Estilos A",113,IF(Atletas!L150="Chaquan B",114,IF(Atletas!L150="Emeiquan B",115,IF(Atletas!L150="Fanziquan B",116,IF(Atletas!L150="Huaquan B",117,IF(Atletas!L150="Hongquan B",118,IF(Atletas!L150="Paochui B",119,IF(Atletas!L150="Piguaquan B",120,IF(Atletas!L150="Shaolinquan B",121,IF(Atletas!L150="Tanglangquan B",122,IF(Atletas!L150="Yinzhaophai B",123,IF(Atletas!L150="Tongbeiquan B",124,IF(Atletas!L150="Wudangquan B",125,IF(Atletas!L150="Outros Estilos B",126,IF(Atletas!L150="Chaquan C",127,IF(Atletas!L150="Emeiquan C",128,IF(Atletas!L150="Fanziquan C",129,IF(Atletas!L150="Huaquan C",130,IF(Atletas!L150="Hongquan C",131,IF(Atletas!L150="Paochui C",132,IF(Atletas!L150="Piguaquan C",133,IF(Atletas!L150="Shaolinquan C",134,IF(Atletas!L150="Tanglangquan C",135,IF(Atletas!L150="Yinzhaophai C",136,IF(Atletas!L150="Tongbeiquan C",137,IF(Atletas!L150="Wudangquan C",138,IF(Atletas!L150="Outros Estilos C",139,0))))))))))))))))))))))))))))))))))))))))))</f>
        <v/>
      </c>
      <c r="BM154" s="52" t="str">
        <f>IF(Atletas!L150="","",IF(Atletas!W150&lt;&gt;"",10000,0)+(IF(Atletas!B150="Feminino",1000,IF(Atletas!B150="Masculino",2000,""))+(IF(Atletas!L150="Chaquan D",140,IF(Atletas!L150="Emeiquan D",141,IF(Atletas!L150="Fanziquan D",142,IF(Atletas!L150="Huaquan D",143,IF(Atletas!L150="Hongquan D",144,IF(Atletas!L150="Paochui D",145,IF(Atletas!L150="Piguaquan D",146,IF(Atletas!L150="Shaolinquan D",147,IF(Atletas!L150="Tanglangquan D",148,IF(Atletas!L150="Yinzhaophai D",149,IF(Atletas!L150="Tongbeiquan D",150,IF(Atletas!L150="Wudangquan D",151,IF(Atletas!L150="Outros Estilos D",152,IF(Atletas!L150="Chaquan E",153,IF(Atletas!L150="Emeiquan E",154,IF(Atletas!L150="Fanziquan E",155,IF(Atletas!L150="Huaquan E",156,IF(Atletas!L150="Hongquan E",157,IF(Atletas!L150="Paochui E",158,IF(Atletas!L150="Piguaquan E",159,IF(Atletas!L150="Shaolinquan E",160,IF(Atletas!L150="Tanglangquan E",161,IF(Atletas!L150="Yinzhaophai E",162,IF(Atletas!L150="Tongbeiquan E",163,IF(Atletas!L150="Wudangquan E",164,IF(Atletas!L150="Outros Estilos E",165,IF(Atletas!L150="Chaquan F",166,IF(Atletas!L150="Emeiquan F",167,IF(Atletas!L150="Fanziquan F",168,IF(Atletas!L150="Huaquan F",169,IF(Atletas!L150="Hongquan F",170,IF(Atletas!L150="Paochui F",171,IF(Atletas!L150="Piguaquan F",172,IF(Atletas!L150="Shaolinquan F",173,IF(Atletas!L150="Tanglangquan F",174,IF(Atletas!L150="Yinzhaophai F",175,IF(Atletas!L150="Tongbeiquan F",176,IF(Atletas!L150="Wudangquan F",177,IF(Atletas!L150="Outros Estilos F",178,0))))))))))))))))))))))))))))))))))))))))))</f>
        <v/>
      </c>
      <c r="BN154" s="52" t="str">
        <f>IF(Atletas!M150="","",IF(Atletas!W150&lt;&gt;"",10000,0)+(IF(Atletas!B150="Feminino",1000,IF(Atletas!B150="Masculino",2000,""))+(IF(Atletas!M150="Ditangquan A",201,IF(Atletas!M150="Houquan A",202,IF(Atletas!M150="Zuiquan A",203,IF(Atletas!M150="Ditangquan B",204,IF(Atletas!M150="Houquan B",205,IF(Atletas!M150="Zuiquan B",206,IF(Atletas!M150="Ditangquan C",207,IF(Atletas!M150="Houquan C",208,IF(Atletas!M150="Zuiquan C",209,IF(Atletas!M150="Ditangquan D",210,IF(Atletas!M150="Houquan D",211,IF(Atletas!M150="Zuiquan D",212,IF(Atletas!M150="Ditangquan E",213,IF(Atletas!M150="Houquan E",214,IF(Atletas!M150="Zuiquan E",215,IF(Atletas!M150="Ditangquan F",216,IF(Atletas!M150="Houquan F",217,IF(Atletas!M150="Zuiquan F",218,"")))))))))))))))))))))</f>
        <v/>
      </c>
      <c r="BO154" s="52" t="str">
        <f>IF(Atletas!N150="","",IF(Atletas!W150&lt;&gt;"",10000,0)+IF(Atletas!B150="Feminino",1000,IF(Atletas!B150="Masculino",2000,""))+IF(Atletas!N150="Yang A",301,IF(Atletas!N150="Chen A",30,IF(Atletas!N150="Sun A",303,IF(Atletas!N150="Wu A",304,IF(Atletas!N150="Wu-Hao A",305,IF(Atletas!N150="Outro Taijiquan A",306,IF(Atletas!N150="Yang B",307,IF(Atletas!N150="Chen B",308,IF(Atletas!N150="Sun B",309,IF(Atletas!N150="Wu B",310,IF(Atletas!N150="Wu-Hao B",311,IF(Atletas!N150="Outro Taijiquan B",312,IF(Atletas!N150="Yang C",313,IF(Atletas!N150="Chen C",314,IF(Atletas!N150="Sun C",315,IF(Atletas!N150="Wu C",316,IF(Atletas!N150="Wu-Hao C",317,IF(Atletas!N150="Outro Taijiquan C",318,IF(Atletas!N150="Yang D",319,IF(Atletas!N150="Chen D",320,IF(Atletas!N150="Sun D",321,IF(Atletas!N150="Wu D",322,IF(Atletas!N150="Wu-Hao D",323,IF(Atletas!N150="Outro Taijiquan D",324,IF(Atletas!N150="Yang E",325,IF(Atletas!N150="Chen E",326,IF(Atletas!N150="Sun E",327,IF(Atletas!N150="Wu E",328,IF(Atletas!N150="Wu-Hao E",329,IF(Atletas!N150="Outro Taijiquan E",330,IF(Atletas!N150="Yang F",331,IF(Atletas!N150="Chen F",332,IF(Atletas!N150="Sun F",333,IF(Atletas!N150="Wu F",334,IF(Atletas!N150="Wu-Hao F",335,IF(Atletas!N150="Outro Taijiquan F",336,"")))))))))))))))))))))))))))))))))))))</f>
        <v/>
      </c>
      <c r="BP154" s="52" t="str">
        <f>IF(Atletas!O150="","",IF(Atletas!W150&lt;&gt;"",10000,0)+IF(Atletas!B150="Feminino",1000,IF(Atletas!B150="Masculino",2000,""))+IF(OR(Atletas!O150="Yang 26 A",Atletas!O150="Yang 40 A"),401,IF(OR(Atletas!O150="Chen 25 A",Atletas!O150="Chen 36 A",Atletas!O150="Chen 56 A"),402,IF(Atletas!O150="Sun 73 A",403,IF(Atletas!O150="Wu 45 A",404,IF(Atletas!O150="Wu-Hao 46 A",405,IF(OR(Atletas!O150="Taijiquan 16 A",Atletas!O150="Taijiquan 24 A",Atletas!O150="Taijiquan 32 A",Atletas!O150="Taijiquan 42 A"),406,IF(OR(Atletas!O150="Yang 26 B",Atletas!O150="Yang 40 B"),407,IF(OR(Atletas!O150="Chen 25 B",Atletas!O150="Chen 36 B",Atletas!O150="Chen 56 B"),408,IF(Atletas!O150="Sun 73 B",409,IF(Atletas!O150="Wu 45 B",410,IF(Atletas!O150="Wu-Hao 46 B",411,IF(OR(Atletas!O150="Taijiquan 16 B",Atletas!O150="Taijiquan 24 B",Atletas!O150="Taijiquan 32 B",Atletas!O150="Taijiquan 42 B"),412,IF(OR(Atletas!O150="Yang 26 C",Atletas!O150="Yang 40 C"),413,IF(OR(Atletas!O150="Chen 25 C",Atletas!O150="Chen 36 C",Atletas!O150="Chen 56 C"),414,IF(Atletas!O150="Sun 73 C",415,IF(Atletas!O150="Wu 45 C",416,IF(Atletas!O150="Wu-Hao 46 C",417,IF(OR(Atletas!O150="Taijiquan 16 C",Atletas!O150="Taijiquan 24 C",Atletas!O150="Taijiquan 32 C",Atletas!O150="Taijiquan 42 C"),418,0)))))))))))))))))))</f>
        <v/>
      </c>
      <c r="BQ154" s="52" t="str">
        <f>IF(Atletas!O150="","",IF(Atletas!W150&lt;&gt;"",10000,0)+IF(Atletas!B150="Feminino",1000,IF(Atletas!B150="Masculino",2000,""))+IF(OR(Atletas!O150="Yang 26 D",Atletas!O150="Yang 40 D"),419,IF(OR(Atletas!O150="Chen 25 D",Atletas!O150="Chen 36 D",Atletas!O150="Chen 56 D"),420,IF(Atletas!O150="Sun 73 D",421,IF(Atletas!O150="Wu 45 D",422,IF(Atletas!O150="Wu-Hao 46 D",423,IF(OR(Atletas!O150="Taijiquan 16 D",Atletas!O150="Taijiquan 24 D",Atletas!O150="Taijiquan 32 D",Atletas!O150="Taijiquan 42 D"),424,IF(OR(Atletas!O150="Yang 26 E",Atletas!O150="Yang 40 E"),425,IF(OR(Atletas!O150="Chen 25 E",Atletas!O150="Chen 36 E",Atletas!O150="Chen 56 E"),426,IF(Atletas!O150="Sun 73 E",427,IF(Atletas!O150="Wu 45 E",428,IF(Atletas!O150="Wu-Hao 46 E",429,IF(OR(Atletas!O150="Taijiquan 16 E",Atletas!O150="Taijiquan 24 E",Atletas!O150="Taijiquan 32 E",Atletas!O150="Taijiquan 42 E"),430,IF(OR(Atletas!O150="Yang 26 F",Atletas!O150="Yang 40 F"),431,IF(OR(Atletas!O150="Chen 25 F",Atletas!O150="Chen 36 F",Atletas!O150="Chen 56 F"),432,IF(Atletas!O150="Sun 73 F",433,IF(Atletas!O150="Wu 45 F",434,IF(Atletas!O150="Wu-Hao 46 F",435,IF(OR(Atletas!O150="Taijiquan 16 F",Atletas!O150="Taijiquan 24 F",Atletas!O150="Taijiquan 32 F",Atletas!O150="Taijiquan 42 F"),436,0)))))))))))))))))))</f>
        <v/>
      </c>
      <c r="BR154" s="52" t="str">
        <f>IF(Atletas!P150="","",IF(Atletas!W150&lt;&gt;"",10000,0)+IF(Atletas!B150="Feminino",1000,IF(Atletas!B150="Masculino",2000,""))+IF(Atletas!P150="Xingyiquan A",501,IF(Atletas!P150="Baguazhang A",502,IF(Atletas!P150="Outro Estilo Interno A",503,IF(Atletas!P150="Xingyiquan B",504,IF(Atletas!P150="Baguazhang B",505,IF(Atletas!P150="Outro Estilo Interno B",506,IF(Atletas!P150="Xingyiquan C",507,IF(Atletas!P150="Baguazhang C",508,IF(Atletas!P150="Outro Estilo Interno C",509,IF(Atletas!P150="Xingyiquan D",510,IF(Atletas!P150="Baguazhang D",511,IF(Atletas!P150="Outro Estilo Interno D",512,IF(Atletas!P150="Xingyiquan E",513,IF(Atletas!P150="Baguazhang E",514,IF(Atletas!P150="Outro Estilo Interno E",515,IF(Atletas!P150="Xingyiquan F",516,IF(Atletas!P150="Baguazhang F",517,IF(Atletas!P150="Outro Estilo Interno F",518, "")))))))))))))))))))</f>
        <v/>
      </c>
      <c r="BS154" s="52" t="str">
        <f>IF(Atletas!Q150="","",IF(Atletas!W150&lt;&gt;"",10000,0)+IF(Atletas!B150="Feminino",1000,IF(Atletas!B150="Masculino",2000,""))+IF(Atletas!Q150="Dao A",601,IF(Atletas!Q150="Jian A",602,IF(Atletas!Q150="Bishou A",603,IF(Atletas!Q150="Shan A",604,IF(Atletas!Q150="Outra Arma Curta A",605,IF(Atletas!Q150="Dao B",606,IF(Atletas!Q150="Jian B",607,IF(Atletas!Q150="Bishou B",608,IF(Atletas!Q150="Shan B",609,IF(Atletas!Q150="Outra Arma Curta B",610,IF(Atletas!Q150="Dao C",611,IF(Atletas!Q150="Jian C",612,IF(Atletas!Q150="Bishou C",613,IF(Atletas!Q150="Shan C",614,IF(Atletas!Q150="Outra Arma Curta C",615,IF(Atletas!Q150="Dao D",616,IF(Atletas!Q150="Jian D",617,IF(Atletas!Q150="Bishou D",618,IF(Atletas!Q150="Shan D",619,IF(Atletas!Q150="Outra Arma Curta D",620,IF(Atletas!Q150="Dao E",621,IF(Atletas!Q150="Jian E",622,IF(Atletas!Q150="Bishou E",623,IF(Atletas!Q150="Shan E",624,IF(Atletas!Q150="Outra Arma Curta E",625,IF(Atletas!Q150="Dao F",626,IF(Atletas!Q150="Jian F",627,IF(Atletas!Q150="Bishou F",628,IF(Atletas!Q150="Shan F",629,IF(Atletas!Q150="Outra Arma Curta F",630, "")))))))))))))))))))))))))))))))</f>
        <v/>
      </c>
      <c r="BT154" s="52" t="str">
        <f>IF(Atletas!R150="","",IF(Atletas!W150&lt;&gt;"",10000,0)+IF(Atletas!B150="Feminino",1000,IF(Atletas!B150="Masculino",2000,""))+IF(Atletas!R150="Gun A",701,IF(Atletas!R150="Qiang A",702,IF(Atletas!R150="Pudao / Guandao A",703,IF(Atletas!R150="Outra Arma Longa A",704,IF(Atletas!R150="Gun B",705,IF(Atletas!R150="Qiang B",706,IF(Atletas!R150="Pudao / Guandao B",707,IF(Atletas!R150="Outra Arma Longa B",708,IF(Atletas!R150="Gun C",709,IF(Atletas!R150="Qiang C",710,IF(Atletas!R150="Pudao / Guandao C",711,IF(Atletas!R150="Outra Arma Longa C",712,IF(Atletas!R150="Gun D",713,IF(Atletas!R150="Qiang D",714,IF(Atletas!R150="Pudao / Guandao D",715,IF(Atletas!R150="Outra Arma Longa D",716,IF(Atletas!R150="Gun E",717,IF(Atletas!R150="Qiang E",718,IF(Atletas!R150="Pudao / Guandao E",719,IF(Atletas!R150="Outra Arma Longa E",720,IF(Atletas!R150="Gun F",721,IF(Atletas!R150="Qiang F",722,IF(Atletas!R150="Pudao / Guandao F",723,IF(Atletas!R150="Outra Arma Longa F",724,"")))))))))))))))))))))))))</f>
        <v/>
      </c>
      <c r="BU154" s="52" t="str">
        <f>IF(Atletas!S150="","",IF(Atletas!W150&lt;&gt;"",10000,0)+IF(Atletas!B150="Feminino",1000,IF(Atletas!B150="Masculino",2000,""))+IF(Atletas!S150="Arma Dupla A",801,IF(Atletas!S150="Arma Maleável A",802,IF(Atletas!S150="Arma Dupla B",803,IF(Atletas!S150="Arma Maleável B",804,IF(Atletas!S150="Arma Dupla C",805,IF(Atletas!S150="Arma Maleável C",806,IF(Atletas!S150="Arma Dupla D",807,IF(Atletas!S150="Arma Maleável D",808,IF(Atletas!S150="Arma Dupla E",809,IF(Atletas!S150="Arma Maleável E",810,IF(Atletas!S150="Arma Dupla F",811,IF(Atletas!S150="Arma Maleável F",812, "")))))))))))))</f>
        <v/>
      </c>
      <c r="BV154" s="52" t="str">
        <f>IF(Atletas!T150="","",IF(Atletas!W150&lt;&gt;"",10000,0)+IF(Atletas!B150="Feminino",1000,IF(Atletas!B150="Masculino",2000,""))+IF(Atletas!T150="Taijijian Yang A",901,IF(Atletas!T150="Taijijian Chen A",902,IF(Atletas!T150="Taijijian Sun A",903,IF(Atletas!T150="Taijijian Wu A",904,IF(Atletas!T150="Taijijian Wu-Hao A",905,IF(Atletas!T150="Taijijian 32 A",906,IF(Atletas!T150="Taijijian 42 A",907,IF(Atletas!T150="Taijijian Yang B",908,IF(Atletas!T150="Taijijian Chen B",909,IF(Atletas!T150="Taijijian Sun B",910,IF(Atletas!T150="Taijijian Wu B",911,IF(Atletas!T150="Taijijian Wu-Hao B",912,IF(Atletas!T150="Taijijian 32 B",913,IF(Atletas!T150="Taijijian 42 B",914,IF(Atletas!T150="Taijijian Yang C",915,IF(Atletas!T150="Taijijian Chen C",916,IF(Atletas!T150="Taijijian Sun C",917,IF(Atletas!T150="Taijijian Wu C",918,IF(Atletas!T150="Taijijian Wu-Hao C",919,IF(Atletas!T150="Taijijian 32 C",920,IF(Atletas!T150="Taijijian 42 C",921,IF(Atletas!T150="Taijijian Yang D",922,IF(Atletas!T150="Taijijian Chen D",923,IF(Atletas!T150="Taijijian Sun D",924,IF(Atletas!T150="Taijijian Wu D",925,IF(Atletas!T150="Taijijian Wu-Hao D",926,IF(Atletas!T150="Taijijian 32 D",927,IF(Atletas!T150="Taijijian 42 D",928,IF(Atletas!T150="Taijijian Yang E",929,IF(Atletas!T150="Taijijian Chen E",930,IF(Atletas!T150="Taijijian Sun E",931,IF(Atletas!T150="Taijijian Wu E",932,IF(Atletas!T150="Taijijian Wu-Hao E",933,IF(Atletas!T150="Taijijian 32 E",934,IF(Atletas!T150="Taijijian 42 E",935,IF(Atletas!T150="Taijijian Yang F",936,IF(Atletas!T150="Taijijian Chen F",937,IF(Atletas!T150="Taijijian Sun F",938,IF(Atletas!T150="Taijijian Wu F",939,IF(Atletas!T150="Taijijian Wu-Hao F",940,IF(Atletas!T150="Taijijian 32 F",941,IF(Atletas!T150="Taijijian 42 F",942,"")))))))))))))))))))))))))))))))))))))))))))</f>
        <v/>
      </c>
      <c r="BW154" s="52" t="str">
        <f>IF(Atletas!U150="","",IF(Atletas!W150&lt;&gt;"",10000,0)+IF(Atletas!B150="Feminino",1000,IF(Atletas!B150="Masculino",2000,""))+IF(Atletas!T150="Taijijian 42 F",942,IF(Atletas!U150="Taijidao A",943,IF(Atletas!U150="Taijishan A",944,IF(Atletas!U150="Taijiqiang A",945,IF(Atletas!U150="Taijidao B",946,IF(Atletas!U150="Taijishan B",947,IF(Atletas!U150="Taijiqiang B",948,IF(Atletas!U150="Taijidao C",949,IF(Atletas!U150="Taijishan C",950,IF(Atletas!U150="Taijiqiang C",951,IF(Atletas!U150="Taijidao D",952,IF(Atletas!U150="Taijishan D",953,IF(Atletas!U150="Taijiqiang D",954,IF(Atletas!U150="Taijidao E",955,IF(Atletas!U150="Taijishan E",956,IF(Atletas!U150="Taijiqiang E",957,IF(Atletas!U150="Taijidao F",958,IF(Atletas!U150="Taijishan F",959,IF(Atletas!U150="Taijiqiang F",960))))))))))))))))))))</f>
        <v/>
      </c>
      <c r="BX154" s="72" t="str">
        <f>IF(BY154&lt;&gt;"","TJQ Trad. Wu D","")</f>
        <v/>
      </c>
      <c r="BY154" s="72" t="str">
        <f>IF(COUNTIF(BK:BW,1322)&gt;0,COUNTIF(BK:BW,1322),"")</f>
        <v/>
      </c>
      <c r="BZ154" s="72" t="str">
        <f>IF(CA154&lt;&gt;"","TJQ Trad. Wu D","")</f>
        <v/>
      </c>
      <c r="CA154" s="72" t="str">
        <f>IF(COUNTIF(BK:BW,2322)&gt;0,COUNTIF(BK:BW,2322),"")</f>
        <v/>
      </c>
      <c r="CB154" s="72" t="str">
        <f>IF(CC154&lt;&gt;"","Wu D","")</f>
        <v/>
      </c>
      <c r="CC154" s="64" t="str">
        <f>IF(COUNTIF(BK:BW,11322)&gt;0,COUNTIF(BK:BW,11322),"")</f>
        <v/>
      </c>
      <c r="CD154" s="64" t="str">
        <f>IF(CE154&lt;&gt;"","Wu D","")</f>
        <v/>
      </c>
      <c r="CE154" s="64" t="str">
        <f>IF(COUNTIF(BK:BW,12322)&gt;0,COUNTIF(BK:BW,12322),"")</f>
        <v/>
      </c>
      <c r="CF154" s="52" t="str">
        <f xml:space="preserve"> IF(Atletas!V150="","",IF(Atletas!V150="Duilian de Mãos AB - Equipe 1",1,IF(Atletas!V150="Duilian de Mãos AB - Equipe 2",2,IF(Atletas!V150="Duilian de Armas AB - Equipe 1",3,IF(Atletas!V150="Duilian de Armas AB - Equipe 2",4,IF(Atletas!V150="Duilian de Tuishou - Equipe 1",5,IF(Atletas!V150="Duilian de Tuishou - Equipe 2",6,IF(Atletas!V150="Grupo Externo AB - Equipe 1",7,IF(Atletas!V150="Grupo Externo AB - Equipe 2",8,IF(Atletas!V150="Grupo Interno AB - Equipe 1",9,IF(Atletas!V150="Grupo Interno AB - Equipe 2",10,IF(Atletas!V150="Duilian de Mãos CD - Equipe 1",11,IF(Atletas!V150="Duilian de Mãos CD - Equipe 2",12,IF(Atletas!V150="Duilian de Armas CD - Equipe 1",13,IF(Atletas!V150="Duilian de Armas CD - Equipe 2",14,IF(Atletas!V150="Duilian de Tuishou - Equipe 1",15,IF(Atletas!V150="Duilian de Tuishou - Equipe 2",16,IF(Atletas!V150="Grupo Externo CDEF - Equipe 1",17,IF(Atletas!V150="Grupo Externo CDEF - Equipe 2",18,IF(Atletas!V150="Grupo Interno CDEF - Equipe 1",19,IF(Atletas!V150="Grupo Interno CDEF - Equipe 2",20,IF(Atletas!V150="Duilian de Mãos EF - Equipe 1",21,IF(Atletas!V150="Duilian de Mãos EF - Equipe 2",22,IF(Atletas!V150="Duilian de Armas EF - Equipe 1",23,IF(Atletas!V150="Duilian de Armas EF - Equipe 2",24,IF(Atletas!V150="Duilian de Tuishou - Equipe 1",25,IF(Atletas!V150="Duilian de Tuishou - Equipe 2",26,"")))))))))))))))))))))))))))</f>
        <v/>
      </c>
    </row>
    <row r="155" spans="2:84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 t="str">
        <f t="array" ref="V155">IFERROR(INDEX(BX$7:BX$336,SMALL(IF(BX$7:BX$336&lt;&gt;"",ROW(BX$7:BX$336)-ROW(BX$7)+1),ROWS(BX$7:BX154))),"")</f>
        <v/>
      </c>
      <c r="W155" s="4" t="str">
        <f t="array" ref="W155">IFERROR(INDEX(BY$7:BY$336,SMALL(IF(BY$7:BY$336&lt;&gt;"",ROW(BY$7:BY$336)-ROW(BY$7)+1),ROWS(BY$7:BY154))),"")</f>
        <v/>
      </c>
      <c r="X155" s="4" t="str">
        <f t="array" ref="X155">IFERROR(INDEX(BZ$7:BZ$336,SMALL(IF(BZ$7:BZ$336&lt;&gt;"",ROW(BZ$7:BZ$336)-ROW(BZ$7)+1),ROWS(BZ$7:BZ154))),"")</f>
        <v/>
      </c>
      <c r="Y155" s="4" t="str">
        <f t="array" ref="Y155">IFERROR(INDEX(CA$7:CA$336,SMALL(IF(CA$7:CA$336&lt;&gt;"",ROW(CA$7:CA$336)-ROW(CA$7)+1),ROWS(CA$7:CA154))),"")</f>
        <v/>
      </c>
      <c r="Z155" s="4" t="str">
        <f t="array" ref="Z155">IFERROR(INDEX(CB$7:CB$378,SMALL(IF(CB$7:CB$378&lt;&gt;"",ROW(CB$7:CB$378)-ROW(CB$7)+1),ROWS(CB$7:CB154))),"")</f>
        <v/>
      </c>
      <c r="AA155" s="4" t="str">
        <f t="array" ref="AA155">IFERROR(INDEX(CC$7:CC$378,SMALL(IF(CC$7:CC$378&lt;&gt;"",ROW(CC$7:CC$378)-ROW(CC$7)+1),ROWS(CC$7:CC154))),"")</f>
        <v/>
      </c>
      <c r="AB155" s="4" t="str">
        <f t="array" ref="AB155">IFERROR(INDEX(CD$7:CD$378,SMALL(IF(CD$7:CD$378&lt;&gt;"",ROW(CD$7:CD$378)-ROW(CD$7)+1),ROWS(CD$7:CD154))),"")</f>
        <v/>
      </c>
      <c r="AC155" s="4" t="str">
        <f t="array" ref="AC155">IFERROR(INDEX(CE$7:CE$378,SMALL(IF(CE$7:CE$378&lt;&gt;"",ROW(CE$7:CE$378)-ROW(CE$7)+1),ROWS(CE$7:CE154))),"")</f>
        <v/>
      </c>
      <c r="AD155" s="4"/>
      <c r="AE155" s="4"/>
      <c r="AF155" s="4"/>
      <c r="AG155" s="4"/>
      <c r="AH155" s="4"/>
      <c r="AI155" s="4"/>
      <c r="AJ155" s="46" t="str">
        <f>IF(Atletas!D151="","",IF(Atletas!B151="Feminino",100,IF(Atletas!B151="Masculino",200,""))+(IF(Atletas!D151="Infantil 39kg",1,IF(Atletas!D151="Infantil 42kg",2,IF(Atletas!D151="Infantil 45kg",3,IF(Atletas!D151="Infantil 48kg",4,IF(Atletas!D151="Infantil 52kg",5,IF(Atletas!D151="Infantil 56kg",6,IF(Atletas!D151="Infantil 60kg",7,IF(Atletas!D151="Juvenil 48kg",8,IF(Atletas!D151="Juvenil 52kg",9,IF(Atletas!D151="Juvenil 56kg",10,IF(Atletas!D151="Juvenil 60kg",11,IF(Atletas!D151="Juvenil 65kg",12,IF(Atletas!D151="Juvenil 70kg",13,IF(Atletas!D151="Juvenil 75kg",14,IF(Atletas!D151="Juvenil 80kg",15,IF(Atletas!D151="Adulto 48kg",16,IF(Atletas!D151="Adulto 52kg",17,IF(Atletas!D151="Adulto 56kg",18,IF(Atletas!D151="Adulto 60kg",19,IF(Atletas!D151="Adulto 65kg",20,IF(Atletas!D151="Adulto 70kg",21,IF(Atletas!D151="Adulto 75kg",22,IF(Atletas!D151="Adulto 80kg",23,IF(Atletas!D151="Adulto 85kg",24,IF(Atletas!D151="Adulto 90kg",25,IF(Atletas!D151="Adulto +90kg",26,""))))))))))))))))))))))))))))</f>
        <v/>
      </c>
      <c r="AO155" s="10" t="str">
        <f>IF(Atletas!E151="","",IF(Atletas!B151="Feminino",100,IF(Atletas!B151="Masculino",200,""))+(IF(Atletas!E151="Juvenil 44kg",1,IF(Atletas!E151="Juvenil 48kg",2,IF(Atletas!E151="Juvenil 52kg",3,IF(Atletas!E151="Juvenil 56kg",4,IF(Atletas!E151="Juvenil 60kg",5,IF(Atletas!E151="Juvenil 65kg",6,IF(Atletas!E151="Juvenil 70kg",7,IF(Atletas!E151="Juvenil 75kg",8,IF(Atletas!E151="Juvenil 82kg",9,IF(Atletas!E151="Juvenil 90kg",10,IF(Atletas!E151="Juvenil 100kg",11,IF(Atletas!E151="Adulto 48kg",12,IF(Atletas!E151="Adulto 52kg",13,IF(Atletas!E151="Adulto 56kg",14,IF(Atletas!E151="Adulto 60kg",15,IF(Atletas!E151="Adulto 65kg",16,IF(Atletas!E151="Adulto 70kg",17,IF(Atletas!E151="Adulto 75kg",18,IF(Atletas!E151="Adulto 82kg",19,IF(Atletas!E151="Adulto 90kg",20,IF(Atletas!E151="Adulto 100kg",21,IF(Atletas!E151="Adulto +100kg",22,""))))))))))))))))))))))))</f>
        <v/>
      </c>
      <c r="AT155" s="10" t="str">
        <f>IF(Atletas!F151="","",IF(Atletas!B151="Feminino",100,IF(Atletas!B151="Masculino",200,""))+(IF(Atletas!F151="Adulto 48kg",1,IF(Atletas!F151="Adulto 56kg",2,IF(Atletas!F151="Adulto 65kg",3,IF(Atletas!F151="Adulto 75kg",4,IF(Atletas!F151="Adulto +75kg",5,IF(Atletas!F151="Adulto 52kg",6,IF(Atletas!F151="Adulto 60kg",7,IF(Atletas!F151="Adulto 70kg",8,IF(Atletas!F151="Adulto 80kg",9,IF(Atletas!F151="Adulto 90kg",10,IF(Atletas!F151="Adulto +90kg",11,"")))))))))))))</f>
        <v/>
      </c>
      <c r="AY155" s="46" t="str">
        <f>IF(Atletas!G151="","",IF(Atletas!B151="Feminino",100,IF(Atletas!B151="Masculino",200,""))+(IF(Atletas!G151="Changquan Mirim",1,IF(Atletas!G151="Nanquan Mirim",2,IF(Atletas!G151="Taijiquan Mirim",3,IF(Atletas!G151="Changquan Grupo C",4,IF(Atletas!G151="Nanquan Grupo C",5,IF(Atletas!G151="Taijiquan Grupo C",6,IF(Atletas!G151="Changquan Grupo B",7,IF(Atletas!G151="Nanquan Grupo B",8,IF(Atletas!G151="Taijiquan Grupo B",9,IF(Atletas!G151="Changquan Grupo A",10,IF(Atletas!G151="Nanquan Grupo A",11,IF(Atletas!G151="Taijiquan Grupo A",12,IF(Atletas!G151="Changquan Opcional",13,IF(Atletas!G151="Nanquan Opcional",14,IF(Atletas!G151="Taijiquan Opcional",15,IF(Atletas!G151="Changquan Adulto",16,IF(Atletas!G151="Nanquan Adulto",17,IF(Atletas!G151="Taijiquan Adulto",18,""))))))))))))))))))))</f>
        <v/>
      </c>
      <c r="AZ155" s="46" t="str">
        <f>IF(Atletas!H151="","",IF(Atletas!B151="Feminino",100,IF(Atletas!B151="Masculino",200,""))+(IF(Atletas!H151="Daoshu Mirim",19,IF(Atletas!H151="Jianshu Mirim",20,IF(Atletas!H151="Nandao Mirim",21,IF(Atletas!H151="Taijijian Mirim",22,IF(Atletas!H151="Daoshu Grupo C",23,IF(Atletas!H151="Jianshu Grupo C",24,IF(Atletas!H151="Nandao Grupo C",25,IF(Atletas!H151="Taijijian Grupo C",26,IF(Atletas!H151="Daoshu Grupo B",27,IF(Atletas!H151="Jianshu Grupo B",28,IF(Atletas!H151="Nandao Grupo B",29,IF(Atletas!H151="Taijijian Grupo B",30,IF(Atletas!H151="Daoshu Grupo A",31,IF(Atletas!H151="Jianshu Grupo A",32,IF(Atletas!H151="Nandao Grupo A",33,IF(Atletas!H151="Taijijian Grupo A",34,IF(Atletas!H151="Daoshu Opcional",35,IF(Atletas!H151="Jianshu Opcional",36,IF(Atletas!H151="Nandao Opcional",37,IF(Atletas!H151="Taijijian Opcional",38,IF(Atletas!H151="Daoshu Adulto",39,IF(Atletas!H151="Jianshu Adulto",40,IF(Atletas!H151="Nandao Adulto",41,IF(Atletas!H151="Taijijian Adulto",42,""))))))))))))))))))))))))))</f>
        <v/>
      </c>
      <c r="BA155" s="46" t="str">
        <f>IF(Atletas!I151="","",IF(Atletas!B151="Feminino",100,IF(Atletas!B151="Masculino",200,""))+(IF(Atletas!I151="Gunshu Mirim",43,IF(Atletas!I151="Qiangshu Mirim",44,IF(Atletas!I151="Nangun Mirim",45,IF(Atletas!I151="Gunshu Grupo C",46,IF(Atletas!I151="Qiangshu Grupo C",47,IF(Atletas!I151="Nangun Grupo C",48,IF(Atletas!I151="Gunshu Grupo B",49,IF(Atletas!I151="Qiangshu Grupo B",50,IF(Atletas!I151="Nangun Grupo B",51,IF(Atletas!I151="Gunshu Grupo A",52,IF(Atletas!I151="Qiangshu Grupo A",53,IF(Atletas!I151="Nangun Grupo A",54,IF(Atletas!I151="Gunshu Opcional",55,IF(Atletas!I151="Qiangshu Opcional",56,IF(Atletas!I151="Nangun Opcional",57,IF(Atletas!I151="Gunshu Adulto",58,IF(Atletas!I151="Qiangshu Adulto",59,IF(Atletas!I151="Nangun Adulto",60,""))))))))))))))))))))</f>
        <v/>
      </c>
      <c r="BF155" s="52" t="str">
        <f>IF(Atletas!J151="","",IF(Atletas!B151="Feminino",100,IF(Atletas!B151="Masculino",200,""))+(IF(Atletas!J151="Equipe 1 Grupo B",1,IF(Atletas!J151="Equipe 2 Grupo B",2,IF(Atletas!J151="Equipe 1 Grupo A",3,IF(Atletas!J151="Equipe 2 Grupo A",4,IF(Atletas!J151="Equipe 1 Adulto",5,IF(Atletas!J151="Equipe 2 Adulto",6,""))))))))</f>
        <v/>
      </c>
      <c r="BK155" s="52" t="str">
        <f>IF(Atletas!K151="","",IF(Atletas!W151&lt;&gt;"",10000,0)+(IF(Atletas!B151="Feminino",1000,IF(Atletas!B151="Masculino",2000,""))+IF(Atletas!K151="Choylayfut A",1,IF(Atletas!K151="Hunggar A",2,IF(Atletas!K151="Wuzuquan A",3,IF(Atletas!K151="Wingchun A",4,IF(Atletas!K151="Outra Mão de Sul A",5,IF(Atletas!K151="Choylayfut B",6,IF(Atletas!K151="Hunggar B",7,IF(Atletas!K151="Wuzuquan B",8,IF(Atletas!K151="Wingchun B",9,IF(Atletas!K151="Outra Mão de Sul B",10,IF(Atletas!K151="Choylayfut C",11,IF(Atletas!K151="Hunggar C",12,IF(Atletas!K151="Wuzuquan C",13,IF(Atletas!K151="Wingchun C",14,IF(Atletas!K151="Outra Mão de Sul C",15,IF(Atletas!K151="Choylayfut D",16,IF(Atletas!K151="Hunggar D",17,IF(Atletas!K151="Wuzuquan D",18,IF(Atletas!K151="Wingchun D",19,IF(Atletas!K151="Outra Mão de Sul D",20,IF(Atletas!K151="Choylayfut E",21,IF(Atletas!K151="Hunggar E",22,IF(Atletas!K151="Wuzuquan E",23,IF(Atletas!K151="Wingchun E",24,IF(Atletas!K151="Outra Mão de Sul E",25,IF(Atletas!K151="Choylayfut F",26,IF(Atletas!K151="Hunggar F",27,IF(Atletas!K151="Wuzuquan F",28,IF(Atletas!K151="Wingchun F",29,IF(Atletas!K151="Outra Mão de Sul F",30,""))))))))))))))))))))))))))))))))</f>
        <v/>
      </c>
      <c r="BL155" s="52" t="str">
        <f>IF(Atletas!L151="","",IF(Atletas!W151&lt;&gt;"",10000,0)+(IF(Atletas!B151="Feminino",1000,IF(Atletas!B151="Masculino",2000,""))+(IF(Atletas!L151="Chaquan A",101,IF(Atletas!L151="Emeiquan A",102,IF(Atletas!L151="Fanziquan A",103,IF(Atletas!L151="Huaquan A",104,IF(Atletas!L151="Hongquan A",105,IF(Atletas!L151="Paochui A",106,IF(Atletas!L151="Piguaquan A",107,IF(Atletas!L151="Shaolinquan A",108,IF(Atletas!L151="Tanglangquan A",109,IF(Atletas!L151="Yinzhaophai A",110,IF(Atletas!L151="Tongbeiquan A",111,IF(Atletas!L151="Wudangquan A",112,IF(Atletas!L151="Outros Estilos A",113,IF(Atletas!L151="Chaquan B",114,IF(Atletas!L151="Emeiquan B",115,IF(Atletas!L151="Fanziquan B",116,IF(Atletas!L151="Huaquan B",117,IF(Atletas!L151="Hongquan B",118,IF(Atletas!L151="Paochui B",119,IF(Atletas!L151="Piguaquan B",120,IF(Atletas!L151="Shaolinquan B",121,IF(Atletas!L151="Tanglangquan B",122,IF(Atletas!L151="Yinzhaophai B",123,IF(Atletas!L151="Tongbeiquan B",124,IF(Atletas!L151="Wudangquan B",125,IF(Atletas!L151="Outros Estilos B",126,IF(Atletas!L151="Chaquan C",127,IF(Atletas!L151="Emeiquan C",128,IF(Atletas!L151="Fanziquan C",129,IF(Atletas!L151="Huaquan C",130,IF(Atletas!L151="Hongquan C",131,IF(Atletas!L151="Paochui C",132,IF(Atletas!L151="Piguaquan C",133,IF(Atletas!L151="Shaolinquan C",134,IF(Atletas!L151="Tanglangquan C",135,IF(Atletas!L151="Yinzhaophai C",136,IF(Atletas!L151="Tongbeiquan C",137,IF(Atletas!L151="Wudangquan C",138,IF(Atletas!L151="Outros Estilos C",139,0))))))))))))))))))))))))))))))))))))))))))</f>
        <v/>
      </c>
      <c r="BM155" s="52" t="str">
        <f>IF(Atletas!L151="","",IF(Atletas!W151&lt;&gt;"",10000,0)+(IF(Atletas!B151="Feminino",1000,IF(Atletas!B151="Masculino",2000,""))+(IF(Atletas!L151="Chaquan D",140,IF(Atletas!L151="Emeiquan D",141,IF(Atletas!L151="Fanziquan D",142,IF(Atletas!L151="Huaquan D",143,IF(Atletas!L151="Hongquan D",144,IF(Atletas!L151="Paochui D",145,IF(Atletas!L151="Piguaquan D",146,IF(Atletas!L151="Shaolinquan D",147,IF(Atletas!L151="Tanglangquan D",148,IF(Atletas!L151="Yinzhaophai D",149,IF(Atletas!L151="Tongbeiquan D",150,IF(Atletas!L151="Wudangquan D",151,IF(Atletas!L151="Outros Estilos D",152,IF(Atletas!L151="Chaquan E",153,IF(Atletas!L151="Emeiquan E",154,IF(Atletas!L151="Fanziquan E",155,IF(Atletas!L151="Huaquan E",156,IF(Atletas!L151="Hongquan E",157,IF(Atletas!L151="Paochui E",158,IF(Atletas!L151="Piguaquan E",159,IF(Atletas!L151="Shaolinquan E",160,IF(Atletas!L151="Tanglangquan E",161,IF(Atletas!L151="Yinzhaophai E",162,IF(Atletas!L151="Tongbeiquan E",163,IF(Atletas!L151="Wudangquan E",164,IF(Atletas!L151="Outros Estilos E",165,IF(Atletas!L151="Chaquan F",166,IF(Atletas!L151="Emeiquan F",167,IF(Atletas!L151="Fanziquan F",168,IF(Atletas!L151="Huaquan F",169,IF(Atletas!L151="Hongquan F",170,IF(Atletas!L151="Paochui F",171,IF(Atletas!L151="Piguaquan F",172,IF(Atletas!L151="Shaolinquan F",173,IF(Atletas!L151="Tanglangquan F",174,IF(Atletas!L151="Yinzhaophai F",175,IF(Atletas!L151="Tongbeiquan F",176,IF(Atletas!L151="Wudangquan F",177,IF(Atletas!L151="Outros Estilos F",178,0))))))))))))))))))))))))))))))))))))))))))</f>
        <v/>
      </c>
      <c r="BN155" s="52" t="str">
        <f>IF(Atletas!M151="","",IF(Atletas!W151&lt;&gt;"",10000,0)+(IF(Atletas!B151="Feminino",1000,IF(Atletas!B151="Masculino",2000,""))+(IF(Atletas!M151="Ditangquan A",201,IF(Atletas!M151="Houquan A",202,IF(Atletas!M151="Zuiquan A",203,IF(Atletas!M151="Ditangquan B",204,IF(Atletas!M151="Houquan B",205,IF(Atletas!M151="Zuiquan B",206,IF(Atletas!M151="Ditangquan C",207,IF(Atletas!M151="Houquan C",208,IF(Atletas!M151="Zuiquan C",209,IF(Atletas!M151="Ditangquan D",210,IF(Atletas!M151="Houquan D",211,IF(Atletas!M151="Zuiquan D",212,IF(Atletas!M151="Ditangquan E",213,IF(Atletas!M151="Houquan E",214,IF(Atletas!M151="Zuiquan E",215,IF(Atletas!M151="Ditangquan F",216,IF(Atletas!M151="Houquan F",217,IF(Atletas!M151="Zuiquan F",218,"")))))))))))))))))))))</f>
        <v/>
      </c>
      <c r="BO155" s="52" t="str">
        <f>IF(Atletas!N151="","",IF(Atletas!W151&lt;&gt;"",10000,0)+IF(Atletas!B151="Feminino",1000,IF(Atletas!B151="Masculino",2000,""))+IF(Atletas!N151="Yang A",301,IF(Atletas!N151="Chen A",30,IF(Atletas!N151="Sun A",303,IF(Atletas!N151="Wu A",304,IF(Atletas!N151="Wu-Hao A",305,IF(Atletas!N151="Outro Taijiquan A",306,IF(Atletas!N151="Yang B",307,IF(Atletas!N151="Chen B",308,IF(Atletas!N151="Sun B",309,IF(Atletas!N151="Wu B",310,IF(Atletas!N151="Wu-Hao B",311,IF(Atletas!N151="Outro Taijiquan B",312,IF(Atletas!N151="Yang C",313,IF(Atletas!N151="Chen C",314,IF(Atletas!N151="Sun C",315,IF(Atletas!N151="Wu C",316,IF(Atletas!N151="Wu-Hao C",317,IF(Atletas!N151="Outro Taijiquan C",318,IF(Atletas!N151="Yang D",319,IF(Atletas!N151="Chen D",320,IF(Atletas!N151="Sun D",321,IF(Atletas!N151="Wu D",322,IF(Atletas!N151="Wu-Hao D",323,IF(Atletas!N151="Outro Taijiquan D",324,IF(Atletas!N151="Yang E",325,IF(Atletas!N151="Chen E",326,IF(Atletas!N151="Sun E",327,IF(Atletas!N151="Wu E",328,IF(Atletas!N151="Wu-Hao E",329,IF(Atletas!N151="Outro Taijiquan E",330,IF(Atletas!N151="Yang F",331,IF(Atletas!N151="Chen F",332,IF(Atletas!N151="Sun F",333,IF(Atletas!N151="Wu F",334,IF(Atletas!N151="Wu-Hao F",335,IF(Atletas!N151="Outro Taijiquan F",336,"")))))))))))))))))))))))))))))))))))))</f>
        <v/>
      </c>
      <c r="BP155" s="52" t="str">
        <f>IF(Atletas!O151="","",IF(Atletas!W151&lt;&gt;"",10000,0)+IF(Atletas!B151="Feminino",1000,IF(Atletas!B151="Masculino",2000,""))+IF(OR(Atletas!O151="Yang 26 A",Atletas!O151="Yang 40 A"),401,IF(OR(Atletas!O151="Chen 25 A",Atletas!O151="Chen 36 A",Atletas!O151="Chen 56 A"),402,IF(Atletas!O151="Sun 73 A",403,IF(Atletas!O151="Wu 45 A",404,IF(Atletas!O151="Wu-Hao 46 A",405,IF(OR(Atletas!O151="Taijiquan 16 A",Atletas!O151="Taijiquan 24 A",Atletas!O151="Taijiquan 32 A",Atletas!O151="Taijiquan 42 A"),406,IF(OR(Atletas!O151="Yang 26 B",Atletas!O151="Yang 40 B"),407,IF(OR(Atletas!O151="Chen 25 B",Atletas!O151="Chen 36 B",Atletas!O151="Chen 56 B"),408,IF(Atletas!O151="Sun 73 B",409,IF(Atletas!O151="Wu 45 B",410,IF(Atletas!O151="Wu-Hao 46 B",411,IF(OR(Atletas!O151="Taijiquan 16 B",Atletas!O151="Taijiquan 24 B",Atletas!O151="Taijiquan 32 B",Atletas!O151="Taijiquan 42 B"),412,IF(OR(Atletas!O151="Yang 26 C",Atletas!O151="Yang 40 C"),413,IF(OR(Atletas!O151="Chen 25 C",Atletas!O151="Chen 36 C",Atletas!O151="Chen 56 C"),414,IF(Atletas!O151="Sun 73 C",415,IF(Atletas!O151="Wu 45 C",416,IF(Atletas!O151="Wu-Hao 46 C",417,IF(OR(Atletas!O151="Taijiquan 16 C",Atletas!O151="Taijiquan 24 C",Atletas!O151="Taijiquan 32 C",Atletas!O151="Taijiquan 42 C"),418,0)))))))))))))))))))</f>
        <v/>
      </c>
      <c r="BQ155" s="52" t="str">
        <f>IF(Atletas!O151="","",IF(Atletas!W151&lt;&gt;"",10000,0)+IF(Atletas!B151="Feminino",1000,IF(Atletas!B151="Masculino",2000,""))+IF(OR(Atletas!O151="Yang 26 D",Atletas!O151="Yang 40 D"),419,IF(OR(Atletas!O151="Chen 25 D",Atletas!O151="Chen 36 D",Atletas!O151="Chen 56 D"),420,IF(Atletas!O151="Sun 73 D",421,IF(Atletas!O151="Wu 45 D",422,IF(Atletas!O151="Wu-Hao 46 D",423,IF(OR(Atletas!O151="Taijiquan 16 D",Atletas!O151="Taijiquan 24 D",Atletas!O151="Taijiquan 32 D",Atletas!O151="Taijiquan 42 D"),424,IF(OR(Atletas!O151="Yang 26 E",Atletas!O151="Yang 40 E"),425,IF(OR(Atletas!O151="Chen 25 E",Atletas!O151="Chen 36 E",Atletas!O151="Chen 56 E"),426,IF(Atletas!O151="Sun 73 E",427,IF(Atletas!O151="Wu 45 E",428,IF(Atletas!O151="Wu-Hao 46 E",429,IF(OR(Atletas!O151="Taijiquan 16 E",Atletas!O151="Taijiquan 24 E",Atletas!O151="Taijiquan 32 E",Atletas!O151="Taijiquan 42 E"),430,IF(OR(Atletas!O151="Yang 26 F",Atletas!O151="Yang 40 F"),431,IF(OR(Atletas!O151="Chen 25 F",Atletas!O151="Chen 36 F",Atletas!O151="Chen 56 F"),432,IF(Atletas!O151="Sun 73 F",433,IF(Atletas!O151="Wu 45 F",434,IF(Atletas!O151="Wu-Hao 46 F",435,IF(OR(Atletas!O151="Taijiquan 16 F",Atletas!O151="Taijiquan 24 F",Atletas!O151="Taijiquan 32 F",Atletas!O151="Taijiquan 42 F"),436,0)))))))))))))))))))</f>
        <v/>
      </c>
      <c r="BR155" s="52" t="str">
        <f>IF(Atletas!P151="","",IF(Atletas!W151&lt;&gt;"",10000,0)+IF(Atletas!B151="Feminino",1000,IF(Atletas!B151="Masculino",2000,""))+IF(Atletas!P151="Xingyiquan A",501,IF(Atletas!P151="Baguazhang A",502,IF(Atletas!P151="Outro Estilo Interno A",503,IF(Atletas!P151="Xingyiquan B",504,IF(Atletas!P151="Baguazhang B",505,IF(Atletas!P151="Outro Estilo Interno B",506,IF(Atletas!P151="Xingyiquan C",507,IF(Atletas!P151="Baguazhang C",508,IF(Atletas!P151="Outro Estilo Interno C",509,IF(Atletas!P151="Xingyiquan D",510,IF(Atletas!P151="Baguazhang D",511,IF(Atletas!P151="Outro Estilo Interno D",512,IF(Atletas!P151="Xingyiquan E",513,IF(Atletas!P151="Baguazhang E",514,IF(Atletas!P151="Outro Estilo Interno E",515,IF(Atletas!P151="Xingyiquan F",516,IF(Atletas!P151="Baguazhang F",517,IF(Atletas!P151="Outro Estilo Interno F",518, "")))))))))))))))))))</f>
        <v/>
      </c>
      <c r="BS155" s="52" t="str">
        <f>IF(Atletas!Q151="","",IF(Atletas!W151&lt;&gt;"",10000,0)+IF(Atletas!B151="Feminino",1000,IF(Atletas!B151="Masculino",2000,""))+IF(Atletas!Q151="Dao A",601,IF(Atletas!Q151="Jian A",602,IF(Atletas!Q151="Bishou A",603,IF(Atletas!Q151="Shan A",604,IF(Atletas!Q151="Outra Arma Curta A",605,IF(Atletas!Q151="Dao B",606,IF(Atletas!Q151="Jian B",607,IF(Atletas!Q151="Bishou B",608,IF(Atletas!Q151="Shan B",609,IF(Atletas!Q151="Outra Arma Curta B",610,IF(Atletas!Q151="Dao C",611,IF(Atletas!Q151="Jian C",612,IF(Atletas!Q151="Bishou C",613,IF(Atletas!Q151="Shan C",614,IF(Atletas!Q151="Outra Arma Curta C",615,IF(Atletas!Q151="Dao D",616,IF(Atletas!Q151="Jian D",617,IF(Atletas!Q151="Bishou D",618,IF(Atletas!Q151="Shan D",619,IF(Atletas!Q151="Outra Arma Curta D",620,IF(Atletas!Q151="Dao E",621,IF(Atletas!Q151="Jian E",622,IF(Atletas!Q151="Bishou E",623,IF(Atletas!Q151="Shan E",624,IF(Atletas!Q151="Outra Arma Curta E",625,IF(Atletas!Q151="Dao F",626,IF(Atletas!Q151="Jian F",627,IF(Atletas!Q151="Bishou F",628,IF(Atletas!Q151="Shan F",629,IF(Atletas!Q151="Outra Arma Curta F",630, "")))))))))))))))))))))))))))))))</f>
        <v/>
      </c>
      <c r="BT155" s="52" t="str">
        <f>IF(Atletas!R151="","",IF(Atletas!W151&lt;&gt;"",10000,0)+IF(Atletas!B151="Feminino",1000,IF(Atletas!B151="Masculino",2000,""))+IF(Atletas!R151="Gun A",701,IF(Atletas!R151="Qiang A",702,IF(Atletas!R151="Pudao / Guandao A",703,IF(Atletas!R151="Outra Arma Longa A",704,IF(Atletas!R151="Gun B",705,IF(Atletas!R151="Qiang B",706,IF(Atletas!R151="Pudao / Guandao B",707,IF(Atletas!R151="Outra Arma Longa B",708,IF(Atletas!R151="Gun C",709,IF(Atletas!R151="Qiang C",710,IF(Atletas!R151="Pudao / Guandao C",711,IF(Atletas!R151="Outra Arma Longa C",712,IF(Atletas!R151="Gun D",713,IF(Atletas!R151="Qiang D",714,IF(Atletas!R151="Pudao / Guandao D",715,IF(Atletas!R151="Outra Arma Longa D",716,IF(Atletas!R151="Gun E",717,IF(Atletas!R151="Qiang E",718,IF(Atletas!R151="Pudao / Guandao E",719,IF(Atletas!R151="Outra Arma Longa E",720,IF(Atletas!R151="Gun F",721,IF(Atletas!R151="Qiang F",722,IF(Atletas!R151="Pudao / Guandao F",723,IF(Atletas!R151="Outra Arma Longa F",724,"")))))))))))))))))))))))))</f>
        <v/>
      </c>
      <c r="BU155" s="52" t="str">
        <f>IF(Atletas!S151="","",IF(Atletas!W151&lt;&gt;"",10000,0)+IF(Atletas!B151="Feminino",1000,IF(Atletas!B151="Masculino",2000,""))+IF(Atletas!S151="Arma Dupla A",801,IF(Atletas!S151="Arma Maleável A",802,IF(Atletas!S151="Arma Dupla B",803,IF(Atletas!S151="Arma Maleável B",804,IF(Atletas!S151="Arma Dupla C",805,IF(Atletas!S151="Arma Maleável C",806,IF(Atletas!S151="Arma Dupla D",807,IF(Atletas!S151="Arma Maleável D",808,IF(Atletas!S151="Arma Dupla E",809,IF(Atletas!S151="Arma Maleável E",810,IF(Atletas!S151="Arma Dupla F",811,IF(Atletas!S151="Arma Maleável F",812, "")))))))))))))</f>
        <v/>
      </c>
      <c r="BV155" s="52" t="str">
        <f>IF(Atletas!T151="","",IF(Atletas!W151&lt;&gt;"",10000,0)+IF(Atletas!B151="Feminino",1000,IF(Atletas!B151="Masculino",2000,""))+IF(Atletas!T151="Taijijian Yang A",901,IF(Atletas!T151="Taijijian Chen A",902,IF(Atletas!T151="Taijijian Sun A",903,IF(Atletas!T151="Taijijian Wu A",904,IF(Atletas!T151="Taijijian Wu-Hao A",905,IF(Atletas!T151="Taijijian 32 A",906,IF(Atletas!T151="Taijijian 42 A",907,IF(Atletas!T151="Taijijian Yang B",908,IF(Atletas!T151="Taijijian Chen B",909,IF(Atletas!T151="Taijijian Sun B",910,IF(Atletas!T151="Taijijian Wu B",911,IF(Atletas!T151="Taijijian Wu-Hao B",912,IF(Atletas!T151="Taijijian 32 B",913,IF(Atletas!T151="Taijijian 42 B",914,IF(Atletas!T151="Taijijian Yang C",915,IF(Atletas!T151="Taijijian Chen C",916,IF(Atletas!T151="Taijijian Sun C",917,IF(Atletas!T151="Taijijian Wu C",918,IF(Atletas!T151="Taijijian Wu-Hao C",919,IF(Atletas!T151="Taijijian 32 C",920,IF(Atletas!T151="Taijijian 42 C",921,IF(Atletas!T151="Taijijian Yang D",922,IF(Atletas!T151="Taijijian Chen D",923,IF(Atletas!T151="Taijijian Sun D",924,IF(Atletas!T151="Taijijian Wu D",925,IF(Atletas!T151="Taijijian Wu-Hao D",926,IF(Atletas!T151="Taijijian 32 D",927,IF(Atletas!T151="Taijijian 42 D",928,IF(Atletas!T151="Taijijian Yang E",929,IF(Atletas!T151="Taijijian Chen E",930,IF(Atletas!T151="Taijijian Sun E",931,IF(Atletas!T151="Taijijian Wu E",932,IF(Atletas!T151="Taijijian Wu-Hao E",933,IF(Atletas!T151="Taijijian 32 E",934,IF(Atletas!T151="Taijijian 42 E",935,IF(Atletas!T151="Taijijian Yang F",936,IF(Atletas!T151="Taijijian Chen F",937,IF(Atletas!T151="Taijijian Sun F",938,IF(Atletas!T151="Taijijian Wu F",939,IF(Atletas!T151="Taijijian Wu-Hao F",940,IF(Atletas!T151="Taijijian 32 F",941,IF(Atletas!T151="Taijijian 42 F",942,"")))))))))))))))))))))))))))))))))))))))))))</f>
        <v/>
      </c>
      <c r="BW155" s="52" t="str">
        <f>IF(Atletas!U151="","",IF(Atletas!W151&lt;&gt;"",10000,0)+IF(Atletas!B151="Feminino",1000,IF(Atletas!B151="Masculino",2000,""))+IF(Atletas!T151="Taijijian 42 F",942,IF(Atletas!U151="Taijidao A",943,IF(Atletas!U151="Taijishan A",944,IF(Atletas!U151="Taijiqiang A",945,IF(Atletas!U151="Taijidao B",946,IF(Atletas!U151="Taijishan B",947,IF(Atletas!U151="Taijiqiang B",948,IF(Atletas!U151="Taijidao C",949,IF(Atletas!U151="Taijishan C",950,IF(Atletas!U151="Taijiqiang C",951,IF(Atletas!U151="Taijidao D",952,IF(Atletas!U151="Taijishan D",953,IF(Atletas!U151="Taijiqiang D",954,IF(Atletas!U151="Taijidao E",955,IF(Atletas!U151="Taijishan E",956,IF(Atletas!U151="Taijiqiang E",957,IF(Atletas!U151="Taijidao F",958,IF(Atletas!U151="Taijishan F",959,IF(Atletas!U151="Taijiqiang F",960))))))))))))))))))))</f>
        <v/>
      </c>
      <c r="BX155" s="72" t="str">
        <f>IF(BY155&lt;&gt;"","TJQ Trad. Wu-Hao D","")</f>
        <v/>
      </c>
      <c r="BY155" s="72" t="str">
        <f>IF(COUNTIF(BK:BW,1323)&gt;0,COUNTIF(BK:BW,1323),"")</f>
        <v/>
      </c>
      <c r="BZ155" s="72" t="str">
        <f>IF(CA155&lt;&gt;"","TJQ Trad. Wu-Hao D","")</f>
        <v/>
      </c>
      <c r="CA155" s="72" t="str">
        <f>IF(COUNTIF(BK:BW,2323)&gt;0,COUNTIF(BK:BW,2323),"")</f>
        <v/>
      </c>
      <c r="CB155" s="72" t="str">
        <f>IF(CC155&lt;&gt;"","Wu-Hao D","")</f>
        <v/>
      </c>
      <c r="CC155" s="64" t="str">
        <f>IF(COUNTIF(BK:BW,11323)&gt;0,COUNTIF(BK:BW,11323),"")</f>
        <v/>
      </c>
      <c r="CD155" s="64" t="str">
        <f>IF(CE155&lt;&gt;"","Wu-Hao D","")</f>
        <v/>
      </c>
      <c r="CE155" s="64" t="str">
        <f>IF(COUNTIF(BK:BW,12323)&gt;0,COUNTIF(BK:BW,12323),"")</f>
        <v/>
      </c>
      <c r="CF155" s="52" t="str">
        <f xml:space="preserve"> IF(Atletas!V151="","",IF(Atletas!V151="Duilian de Mãos AB - Equipe 1",1,IF(Atletas!V151="Duilian de Mãos AB - Equipe 2",2,IF(Atletas!V151="Duilian de Armas AB - Equipe 1",3,IF(Atletas!V151="Duilian de Armas AB - Equipe 2",4,IF(Atletas!V151="Duilian de Tuishou - Equipe 1",5,IF(Atletas!V151="Duilian de Tuishou - Equipe 2",6,IF(Atletas!V151="Grupo Externo AB - Equipe 1",7,IF(Atletas!V151="Grupo Externo AB - Equipe 2",8,IF(Atletas!V151="Grupo Interno AB - Equipe 1",9,IF(Atletas!V151="Grupo Interno AB - Equipe 2",10,IF(Atletas!V151="Duilian de Mãos CD - Equipe 1",11,IF(Atletas!V151="Duilian de Mãos CD - Equipe 2",12,IF(Atletas!V151="Duilian de Armas CD - Equipe 1",13,IF(Atletas!V151="Duilian de Armas CD - Equipe 2",14,IF(Atletas!V151="Duilian de Tuishou - Equipe 1",15,IF(Atletas!V151="Duilian de Tuishou - Equipe 2",16,IF(Atletas!V151="Grupo Externo CDEF - Equipe 1",17,IF(Atletas!V151="Grupo Externo CDEF - Equipe 2",18,IF(Atletas!V151="Grupo Interno CDEF - Equipe 1",19,IF(Atletas!V151="Grupo Interno CDEF - Equipe 2",20,IF(Atletas!V151="Duilian de Mãos EF - Equipe 1",21,IF(Atletas!V151="Duilian de Mãos EF - Equipe 2",22,IF(Atletas!V151="Duilian de Armas EF - Equipe 1",23,IF(Atletas!V151="Duilian de Armas EF - Equipe 2",24,IF(Atletas!V151="Duilian de Tuishou - Equipe 1",25,IF(Atletas!V151="Duilian de Tuishou - Equipe 2",26,"")))))))))))))))))))))))))))</f>
        <v/>
      </c>
    </row>
    <row r="156" spans="2:84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 t="str">
        <f t="array" ref="V156">IFERROR(INDEX(BX$7:BX$336,SMALL(IF(BX$7:BX$336&lt;&gt;"",ROW(BX$7:BX$336)-ROW(BX$7)+1),ROWS(BX$7:BX155))),"")</f>
        <v/>
      </c>
      <c r="W156" s="4" t="str">
        <f t="array" ref="W156">IFERROR(INDEX(BY$7:BY$336,SMALL(IF(BY$7:BY$336&lt;&gt;"",ROW(BY$7:BY$336)-ROW(BY$7)+1),ROWS(BY$7:BY155))),"")</f>
        <v/>
      </c>
      <c r="X156" s="4" t="str">
        <f t="array" ref="X156">IFERROR(INDEX(BZ$7:BZ$336,SMALL(IF(BZ$7:BZ$336&lt;&gt;"",ROW(BZ$7:BZ$336)-ROW(BZ$7)+1),ROWS(BZ$7:BZ155))),"")</f>
        <v/>
      </c>
      <c r="Y156" s="4" t="str">
        <f t="array" ref="Y156">IFERROR(INDEX(CA$7:CA$336,SMALL(IF(CA$7:CA$336&lt;&gt;"",ROW(CA$7:CA$336)-ROW(CA$7)+1),ROWS(CA$7:CA155))),"")</f>
        <v/>
      </c>
      <c r="Z156" s="4" t="str">
        <f t="array" ref="Z156">IFERROR(INDEX(CB$7:CB$378,SMALL(IF(CB$7:CB$378&lt;&gt;"",ROW(CB$7:CB$378)-ROW(CB$7)+1),ROWS(CB$7:CB155))),"")</f>
        <v/>
      </c>
      <c r="AA156" s="4" t="str">
        <f t="array" ref="AA156">IFERROR(INDEX(CC$7:CC$378,SMALL(IF(CC$7:CC$378&lt;&gt;"",ROW(CC$7:CC$378)-ROW(CC$7)+1),ROWS(CC$7:CC155))),"")</f>
        <v/>
      </c>
      <c r="AB156" s="4" t="str">
        <f t="array" ref="AB156">IFERROR(INDEX(CD$7:CD$378,SMALL(IF(CD$7:CD$378&lt;&gt;"",ROW(CD$7:CD$378)-ROW(CD$7)+1),ROWS(CD$7:CD155))),"")</f>
        <v/>
      </c>
      <c r="AC156" s="4" t="str">
        <f t="array" ref="AC156">IFERROR(INDEX(CE$7:CE$378,SMALL(IF(CE$7:CE$378&lt;&gt;"",ROW(CE$7:CE$378)-ROW(CE$7)+1),ROWS(CE$7:CE155))),"")</f>
        <v/>
      </c>
      <c r="AD156" s="4"/>
      <c r="AE156" s="4"/>
      <c r="AF156" s="4"/>
      <c r="AG156" s="4"/>
      <c r="AH156" s="4"/>
      <c r="AI156" s="4"/>
      <c r="AJ156" s="46" t="str">
        <f>IF(Atletas!D152="","",IF(Atletas!B152="Feminino",100,IF(Atletas!B152="Masculino",200,""))+(IF(Atletas!D152="Infantil 39kg",1,IF(Atletas!D152="Infantil 42kg",2,IF(Atletas!D152="Infantil 45kg",3,IF(Atletas!D152="Infantil 48kg",4,IF(Atletas!D152="Infantil 52kg",5,IF(Atletas!D152="Infantil 56kg",6,IF(Atletas!D152="Infantil 60kg",7,IF(Atletas!D152="Juvenil 48kg",8,IF(Atletas!D152="Juvenil 52kg",9,IF(Atletas!D152="Juvenil 56kg",10,IF(Atletas!D152="Juvenil 60kg",11,IF(Atletas!D152="Juvenil 65kg",12,IF(Atletas!D152="Juvenil 70kg",13,IF(Atletas!D152="Juvenil 75kg",14,IF(Atletas!D152="Juvenil 80kg",15,IF(Atletas!D152="Adulto 48kg",16,IF(Atletas!D152="Adulto 52kg",17,IF(Atletas!D152="Adulto 56kg",18,IF(Atletas!D152="Adulto 60kg",19,IF(Atletas!D152="Adulto 65kg",20,IF(Atletas!D152="Adulto 70kg",21,IF(Atletas!D152="Adulto 75kg",22,IF(Atletas!D152="Adulto 80kg",23,IF(Atletas!D152="Adulto 85kg",24,IF(Atletas!D152="Adulto 90kg",25,IF(Atletas!D152="Adulto +90kg",26,""))))))))))))))))))))))))))))</f>
        <v/>
      </c>
      <c r="AO156" s="10" t="str">
        <f>IF(Atletas!E152="","",IF(Atletas!B152="Feminino",100,IF(Atletas!B152="Masculino",200,""))+(IF(Atletas!E152="Juvenil 44kg",1,IF(Atletas!E152="Juvenil 48kg",2,IF(Atletas!E152="Juvenil 52kg",3,IF(Atletas!E152="Juvenil 56kg",4,IF(Atletas!E152="Juvenil 60kg",5,IF(Atletas!E152="Juvenil 65kg",6,IF(Atletas!E152="Juvenil 70kg",7,IF(Atletas!E152="Juvenil 75kg",8,IF(Atletas!E152="Juvenil 82kg",9,IF(Atletas!E152="Juvenil 90kg",10,IF(Atletas!E152="Juvenil 100kg",11,IF(Atletas!E152="Adulto 48kg",12,IF(Atletas!E152="Adulto 52kg",13,IF(Atletas!E152="Adulto 56kg",14,IF(Atletas!E152="Adulto 60kg",15,IF(Atletas!E152="Adulto 65kg",16,IF(Atletas!E152="Adulto 70kg",17,IF(Atletas!E152="Adulto 75kg",18,IF(Atletas!E152="Adulto 82kg",19,IF(Atletas!E152="Adulto 90kg",20,IF(Atletas!E152="Adulto 100kg",21,IF(Atletas!E152="Adulto +100kg",22,""))))))))))))))))))))))))</f>
        <v/>
      </c>
      <c r="AT156" s="10" t="str">
        <f>IF(Atletas!F152="","",IF(Atletas!B152="Feminino",100,IF(Atletas!B152="Masculino",200,""))+(IF(Atletas!F152="Adulto 48kg",1,IF(Atletas!F152="Adulto 56kg",2,IF(Atletas!F152="Adulto 65kg",3,IF(Atletas!F152="Adulto 75kg",4,IF(Atletas!F152="Adulto +75kg",5,IF(Atletas!F152="Adulto 52kg",6,IF(Atletas!F152="Adulto 60kg",7,IF(Atletas!F152="Adulto 70kg",8,IF(Atletas!F152="Adulto 80kg",9,IF(Atletas!F152="Adulto 90kg",10,IF(Atletas!F152="Adulto +90kg",11,"")))))))))))))</f>
        <v/>
      </c>
      <c r="AY156" s="46" t="str">
        <f>IF(Atletas!G152="","",IF(Atletas!B152="Feminino",100,IF(Atletas!B152="Masculino",200,""))+(IF(Atletas!G152="Changquan Mirim",1,IF(Atletas!G152="Nanquan Mirim",2,IF(Atletas!G152="Taijiquan Mirim",3,IF(Atletas!G152="Changquan Grupo C",4,IF(Atletas!G152="Nanquan Grupo C",5,IF(Atletas!G152="Taijiquan Grupo C",6,IF(Atletas!G152="Changquan Grupo B",7,IF(Atletas!G152="Nanquan Grupo B",8,IF(Atletas!G152="Taijiquan Grupo B",9,IF(Atletas!G152="Changquan Grupo A",10,IF(Atletas!G152="Nanquan Grupo A",11,IF(Atletas!G152="Taijiquan Grupo A",12,IF(Atletas!G152="Changquan Opcional",13,IF(Atletas!G152="Nanquan Opcional",14,IF(Atletas!G152="Taijiquan Opcional",15,IF(Atletas!G152="Changquan Adulto",16,IF(Atletas!G152="Nanquan Adulto",17,IF(Atletas!G152="Taijiquan Adulto",18,""))))))))))))))))))))</f>
        <v/>
      </c>
      <c r="AZ156" s="46" t="str">
        <f>IF(Atletas!H152="","",IF(Atletas!B152="Feminino",100,IF(Atletas!B152="Masculino",200,""))+(IF(Atletas!H152="Daoshu Mirim",19,IF(Atletas!H152="Jianshu Mirim",20,IF(Atletas!H152="Nandao Mirim",21,IF(Atletas!H152="Taijijian Mirim",22,IF(Atletas!H152="Daoshu Grupo C",23,IF(Atletas!H152="Jianshu Grupo C",24,IF(Atletas!H152="Nandao Grupo C",25,IF(Atletas!H152="Taijijian Grupo C",26,IF(Atletas!H152="Daoshu Grupo B",27,IF(Atletas!H152="Jianshu Grupo B",28,IF(Atletas!H152="Nandao Grupo B",29,IF(Atletas!H152="Taijijian Grupo B",30,IF(Atletas!H152="Daoshu Grupo A",31,IF(Atletas!H152="Jianshu Grupo A",32,IF(Atletas!H152="Nandao Grupo A",33,IF(Atletas!H152="Taijijian Grupo A",34,IF(Atletas!H152="Daoshu Opcional",35,IF(Atletas!H152="Jianshu Opcional",36,IF(Atletas!H152="Nandao Opcional",37,IF(Atletas!H152="Taijijian Opcional",38,IF(Atletas!H152="Daoshu Adulto",39,IF(Atletas!H152="Jianshu Adulto",40,IF(Atletas!H152="Nandao Adulto",41,IF(Atletas!H152="Taijijian Adulto",42,""))))))))))))))))))))))))))</f>
        <v/>
      </c>
      <c r="BA156" s="46" t="str">
        <f>IF(Atletas!I152="","",IF(Atletas!B152="Feminino",100,IF(Atletas!B152="Masculino",200,""))+(IF(Atletas!I152="Gunshu Mirim",43,IF(Atletas!I152="Qiangshu Mirim",44,IF(Atletas!I152="Nangun Mirim",45,IF(Atletas!I152="Gunshu Grupo C",46,IF(Atletas!I152="Qiangshu Grupo C",47,IF(Atletas!I152="Nangun Grupo C",48,IF(Atletas!I152="Gunshu Grupo B",49,IF(Atletas!I152="Qiangshu Grupo B",50,IF(Atletas!I152="Nangun Grupo B",51,IF(Atletas!I152="Gunshu Grupo A",52,IF(Atletas!I152="Qiangshu Grupo A",53,IF(Atletas!I152="Nangun Grupo A",54,IF(Atletas!I152="Gunshu Opcional",55,IF(Atletas!I152="Qiangshu Opcional",56,IF(Atletas!I152="Nangun Opcional",57,IF(Atletas!I152="Gunshu Adulto",58,IF(Atletas!I152="Qiangshu Adulto",59,IF(Atletas!I152="Nangun Adulto",60,""))))))))))))))))))))</f>
        <v/>
      </c>
      <c r="BF156" s="52" t="str">
        <f>IF(Atletas!J152="","",IF(Atletas!B152="Feminino",100,IF(Atletas!B152="Masculino",200,""))+(IF(Atletas!J152="Equipe 1 Grupo B",1,IF(Atletas!J152="Equipe 2 Grupo B",2,IF(Atletas!J152="Equipe 1 Grupo A",3,IF(Atletas!J152="Equipe 2 Grupo A",4,IF(Atletas!J152="Equipe 1 Adulto",5,IF(Atletas!J152="Equipe 2 Adulto",6,""))))))))</f>
        <v/>
      </c>
      <c r="BK156" s="52" t="str">
        <f>IF(Atletas!K152="","",IF(Atletas!W152&lt;&gt;"",10000,0)+(IF(Atletas!B152="Feminino",1000,IF(Atletas!B152="Masculino",2000,""))+IF(Atletas!K152="Choylayfut A",1,IF(Atletas!K152="Hunggar A",2,IF(Atletas!K152="Wuzuquan A",3,IF(Atletas!K152="Wingchun A",4,IF(Atletas!K152="Outra Mão de Sul A",5,IF(Atletas!K152="Choylayfut B",6,IF(Atletas!K152="Hunggar B",7,IF(Atletas!K152="Wuzuquan B",8,IF(Atletas!K152="Wingchun B",9,IF(Atletas!K152="Outra Mão de Sul B",10,IF(Atletas!K152="Choylayfut C",11,IF(Atletas!K152="Hunggar C",12,IF(Atletas!K152="Wuzuquan C",13,IF(Atletas!K152="Wingchun C",14,IF(Atletas!K152="Outra Mão de Sul C",15,IF(Atletas!K152="Choylayfut D",16,IF(Atletas!K152="Hunggar D",17,IF(Atletas!K152="Wuzuquan D",18,IF(Atletas!K152="Wingchun D",19,IF(Atletas!K152="Outra Mão de Sul D",20,IF(Atletas!K152="Choylayfut E",21,IF(Atletas!K152="Hunggar E",22,IF(Atletas!K152="Wuzuquan E",23,IF(Atletas!K152="Wingchun E",24,IF(Atletas!K152="Outra Mão de Sul E",25,IF(Atletas!K152="Choylayfut F",26,IF(Atletas!K152="Hunggar F",27,IF(Atletas!K152="Wuzuquan F",28,IF(Atletas!K152="Wingchun F",29,IF(Atletas!K152="Outra Mão de Sul F",30,""))))))))))))))))))))))))))))))))</f>
        <v/>
      </c>
      <c r="BL156" s="52" t="str">
        <f>IF(Atletas!L152="","",IF(Atletas!W152&lt;&gt;"",10000,0)+(IF(Atletas!B152="Feminino",1000,IF(Atletas!B152="Masculino",2000,""))+(IF(Atletas!L152="Chaquan A",101,IF(Atletas!L152="Emeiquan A",102,IF(Atletas!L152="Fanziquan A",103,IF(Atletas!L152="Huaquan A",104,IF(Atletas!L152="Hongquan A",105,IF(Atletas!L152="Paochui A",106,IF(Atletas!L152="Piguaquan A",107,IF(Atletas!L152="Shaolinquan A",108,IF(Atletas!L152="Tanglangquan A",109,IF(Atletas!L152="Yinzhaophai A",110,IF(Atletas!L152="Tongbeiquan A",111,IF(Atletas!L152="Wudangquan A",112,IF(Atletas!L152="Outros Estilos A",113,IF(Atletas!L152="Chaquan B",114,IF(Atletas!L152="Emeiquan B",115,IF(Atletas!L152="Fanziquan B",116,IF(Atletas!L152="Huaquan B",117,IF(Atletas!L152="Hongquan B",118,IF(Atletas!L152="Paochui B",119,IF(Atletas!L152="Piguaquan B",120,IF(Atletas!L152="Shaolinquan B",121,IF(Atletas!L152="Tanglangquan B",122,IF(Atletas!L152="Yinzhaophai B",123,IF(Atletas!L152="Tongbeiquan B",124,IF(Atletas!L152="Wudangquan B",125,IF(Atletas!L152="Outros Estilos B",126,IF(Atletas!L152="Chaquan C",127,IF(Atletas!L152="Emeiquan C",128,IF(Atletas!L152="Fanziquan C",129,IF(Atletas!L152="Huaquan C",130,IF(Atletas!L152="Hongquan C",131,IF(Atletas!L152="Paochui C",132,IF(Atletas!L152="Piguaquan C",133,IF(Atletas!L152="Shaolinquan C",134,IF(Atletas!L152="Tanglangquan C",135,IF(Atletas!L152="Yinzhaophai C",136,IF(Atletas!L152="Tongbeiquan C",137,IF(Atletas!L152="Wudangquan C",138,IF(Atletas!L152="Outros Estilos C",139,0))))))))))))))))))))))))))))))))))))))))))</f>
        <v/>
      </c>
      <c r="BM156" s="52" t="str">
        <f>IF(Atletas!L152="","",IF(Atletas!W152&lt;&gt;"",10000,0)+(IF(Atletas!B152="Feminino",1000,IF(Atletas!B152="Masculino",2000,""))+(IF(Atletas!L152="Chaquan D",140,IF(Atletas!L152="Emeiquan D",141,IF(Atletas!L152="Fanziquan D",142,IF(Atletas!L152="Huaquan D",143,IF(Atletas!L152="Hongquan D",144,IF(Atletas!L152="Paochui D",145,IF(Atletas!L152="Piguaquan D",146,IF(Atletas!L152="Shaolinquan D",147,IF(Atletas!L152="Tanglangquan D",148,IF(Atletas!L152="Yinzhaophai D",149,IF(Atletas!L152="Tongbeiquan D",150,IF(Atletas!L152="Wudangquan D",151,IF(Atletas!L152="Outros Estilos D",152,IF(Atletas!L152="Chaquan E",153,IF(Atletas!L152="Emeiquan E",154,IF(Atletas!L152="Fanziquan E",155,IF(Atletas!L152="Huaquan E",156,IF(Atletas!L152="Hongquan E",157,IF(Atletas!L152="Paochui E",158,IF(Atletas!L152="Piguaquan E",159,IF(Atletas!L152="Shaolinquan E",160,IF(Atletas!L152="Tanglangquan E",161,IF(Atletas!L152="Yinzhaophai E",162,IF(Atletas!L152="Tongbeiquan E",163,IF(Atletas!L152="Wudangquan E",164,IF(Atletas!L152="Outros Estilos E",165,IF(Atletas!L152="Chaquan F",166,IF(Atletas!L152="Emeiquan F",167,IF(Atletas!L152="Fanziquan F",168,IF(Atletas!L152="Huaquan F",169,IF(Atletas!L152="Hongquan F",170,IF(Atletas!L152="Paochui F",171,IF(Atletas!L152="Piguaquan F",172,IF(Atletas!L152="Shaolinquan F",173,IF(Atletas!L152="Tanglangquan F",174,IF(Atletas!L152="Yinzhaophai F",175,IF(Atletas!L152="Tongbeiquan F",176,IF(Atletas!L152="Wudangquan F",177,IF(Atletas!L152="Outros Estilos F",178,0))))))))))))))))))))))))))))))))))))))))))</f>
        <v/>
      </c>
      <c r="BN156" s="52" t="str">
        <f>IF(Atletas!M152="","",IF(Atletas!W152&lt;&gt;"",10000,0)+(IF(Atletas!B152="Feminino",1000,IF(Atletas!B152="Masculino",2000,""))+(IF(Atletas!M152="Ditangquan A",201,IF(Atletas!M152="Houquan A",202,IF(Atletas!M152="Zuiquan A",203,IF(Atletas!M152="Ditangquan B",204,IF(Atletas!M152="Houquan B",205,IF(Atletas!M152="Zuiquan B",206,IF(Atletas!M152="Ditangquan C",207,IF(Atletas!M152="Houquan C",208,IF(Atletas!M152="Zuiquan C",209,IF(Atletas!M152="Ditangquan D",210,IF(Atletas!M152="Houquan D",211,IF(Atletas!M152="Zuiquan D",212,IF(Atletas!M152="Ditangquan E",213,IF(Atletas!M152="Houquan E",214,IF(Atletas!M152="Zuiquan E",215,IF(Atletas!M152="Ditangquan F",216,IF(Atletas!M152="Houquan F",217,IF(Atletas!M152="Zuiquan F",218,"")))))))))))))))))))))</f>
        <v/>
      </c>
      <c r="BO156" s="52" t="str">
        <f>IF(Atletas!N152="","",IF(Atletas!W152&lt;&gt;"",10000,0)+IF(Atletas!B152="Feminino",1000,IF(Atletas!B152="Masculino",2000,""))+IF(Atletas!N152="Yang A",301,IF(Atletas!N152="Chen A",30,IF(Atletas!N152="Sun A",303,IF(Atletas!N152="Wu A",304,IF(Atletas!N152="Wu-Hao A",305,IF(Atletas!N152="Outro Taijiquan A",306,IF(Atletas!N152="Yang B",307,IF(Atletas!N152="Chen B",308,IF(Atletas!N152="Sun B",309,IF(Atletas!N152="Wu B",310,IF(Atletas!N152="Wu-Hao B",311,IF(Atletas!N152="Outro Taijiquan B",312,IF(Atletas!N152="Yang C",313,IF(Atletas!N152="Chen C",314,IF(Atletas!N152="Sun C",315,IF(Atletas!N152="Wu C",316,IF(Atletas!N152="Wu-Hao C",317,IF(Atletas!N152="Outro Taijiquan C",318,IF(Atletas!N152="Yang D",319,IF(Atletas!N152="Chen D",320,IF(Atletas!N152="Sun D",321,IF(Atletas!N152="Wu D",322,IF(Atletas!N152="Wu-Hao D",323,IF(Atletas!N152="Outro Taijiquan D",324,IF(Atletas!N152="Yang E",325,IF(Atletas!N152="Chen E",326,IF(Atletas!N152="Sun E",327,IF(Atletas!N152="Wu E",328,IF(Atletas!N152="Wu-Hao E",329,IF(Atletas!N152="Outro Taijiquan E",330,IF(Atletas!N152="Yang F",331,IF(Atletas!N152="Chen F",332,IF(Atletas!N152="Sun F",333,IF(Atletas!N152="Wu F",334,IF(Atletas!N152="Wu-Hao F",335,IF(Atletas!N152="Outro Taijiquan F",336,"")))))))))))))))))))))))))))))))))))))</f>
        <v/>
      </c>
      <c r="BP156" s="52" t="str">
        <f>IF(Atletas!O152="","",IF(Atletas!W152&lt;&gt;"",10000,0)+IF(Atletas!B152="Feminino",1000,IF(Atletas!B152="Masculino",2000,""))+IF(OR(Atletas!O152="Yang 26 A",Atletas!O152="Yang 40 A"),401,IF(OR(Atletas!O152="Chen 25 A",Atletas!O152="Chen 36 A",Atletas!O152="Chen 56 A"),402,IF(Atletas!O152="Sun 73 A",403,IF(Atletas!O152="Wu 45 A",404,IF(Atletas!O152="Wu-Hao 46 A",405,IF(OR(Atletas!O152="Taijiquan 16 A",Atletas!O152="Taijiquan 24 A",Atletas!O152="Taijiquan 32 A",Atletas!O152="Taijiquan 42 A"),406,IF(OR(Atletas!O152="Yang 26 B",Atletas!O152="Yang 40 B"),407,IF(OR(Atletas!O152="Chen 25 B",Atletas!O152="Chen 36 B",Atletas!O152="Chen 56 B"),408,IF(Atletas!O152="Sun 73 B",409,IF(Atletas!O152="Wu 45 B",410,IF(Atletas!O152="Wu-Hao 46 B",411,IF(OR(Atletas!O152="Taijiquan 16 B",Atletas!O152="Taijiquan 24 B",Atletas!O152="Taijiquan 32 B",Atletas!O152="Taijiquan 42 B"),412,IF(OR(Atletas!O152="Yang 26 C",Atletas!O152="Yang 40 C"),413,IF(OR(Atletas!O152="Chen 25 C",Atletas!O152="Chen 36 C",Atletas!O152="Chen 56 C"),414,IF(Atletas!O152="Sun 73 C",415,IF(Atletas!O152="Wu 45 C",416,IF(Atletas!O152="Wu-Hao 46 C",417,IF(OR(Atletas!O152="Taijiquan 16 C",Atletas!O152="Taijiquan 24 C",Atletas!O152="Taijiquan 32 C",Atletas!O152="Taijiquan 42 C"),418,0)))))))))))))))))))</f>
        <v/>
      </c>
      <c r="BQ156" s="52" t="str">
        <f>IF(Atletas!O152="","",IF(Atletas!W152&lt;&gt;"",10000,0)+IF(Atletas!B152="Feminino",1000,IF(Atletas!B152="Masculino",2000,""))+IF(OR(Atletas!O152="Yang 26 D",Atletas!O152="Yang 40 D"),419,IF(OR(Atletas!O152="Chen 25 D",Atletas!O152="Chen 36 D",Atletas!O152="Chen 56 D"),420,IF(Atletas!O152="Sun 73 D",421,IF(Atletas!O152="Wu 45 D",422,IF(Atletas!O152="Wu-Hao 46 D",423,IF(OR(Atletas!O152="Taijiquan 16 D",Atletas!O152="Taijiquan 24 D",Atletas!O152="Taijiquan 32 D",Atletas!O152="Taijiquan 42 D"),424,IF(OR(Atletas!O152="Yang 26 E",Atletas!O152="Yang 40 E"),425,IF(OR(Atletas!O152="Chen 25 E",Atletas!O152="Chen 36 E",Atletas!O152="Chen 56 E"),426,IF(Atletas!O152="Sun 73 E",427,IF(Atletas!O152="Wu 45 E",428,IF(Atletas!O152="Wu-Hao 46 E",429,IF(OR(Atletas!O152="Taijiquan 16 E",Atletas!O152="Taijiquan 24 E",Atletas!O152="Taijiquan 32 E",Atletas!O152="Taijiquan 42 E"),430,IF(OR(Atletas!O152="Yang 26 F",Atletas!O152="Yang 40 F"),431,IF(OR(Atletas!O152="Chen 25 F",Atletas!O152="Chen 36 F",Atletas!O152="Chen 56 F"),432,IF(Atletas!O152="Sun 73 F",433,IF(Atletas!O152="Wu 45 F",434,IF(Atletas!O152="Wu-Hao 46 F",435,IF(OR(Atletas!O152="Taijiquan 16 F",Atletas!O152="Taijiquan 24 F",Atletas!O152="Taijiquan 32 F",Atletas!O152="Taijiquan 42 F"),436,0)))))))))))))))))))</f>
        <v/>
      </c>
      <c r="BR156" s="52" t="str">
        <f>IF(Atletas!P152="","",IF(Atletas!W152&lt;&gt;"",10000,0)+IF(Atletas!B152="Feminino",1000,IF(Atletas!B152="Masculino",2000,""))+IF(Atletas!P152="Xingyiquan A",501,IF(Atletas!P152="Baguazhang A",502,IF(Atletas!P152="Outro Estilo Interno A",503,IF(Atletas!P152="Xingyiquan B",504,IF(Atletas!P152="Baguazhang B",505,IF(Atletas!P152="Outro Estilo Interno B",506,IF(Atletas!P152="Xingyiquan C",507,IF(Atletas!P152="Baguazhang C",508,IF(Atletas!P152="Outro Estilo Interno C",509,IF(Atletas!P152="Xingyiquan D",510,IF(Atletas!P152="Baguazhang D",511,IF(Atletas!P152="Outro Estilo Interno D",512,IF(Atletas!P152="Xingyiquan E",513,IF(Atletas!P152="Baguazhang E",514,IF(Atletas!P152="Outro Estilo Interno E",515,IF(Atletas!P152="Xingyiquan F",516,IF(Atletas!P152="Baguazhang F",517,IF(Atletas!P152="Outro Estilo Interno F",518, "")))))))))))))))))))</f>
        <v/>
      </c>
      <c r="BS156" s="52" t="str">
        <f>IF(Atletas!Q152="","",IF(Atletas!W152&lt;&gt;"",10000,0)+IF(Atletas!B152="Feminino",1000,IF(Atletas!B152="Masculino",2000,""))+IF(Atletas!Q152="Dao A",601,IF(Atletas!Q152="Jian A",602,IF(Atletas!Q152="Bishou A",603,IF(Atletas!Q152="Shan A",604,IF(Atletas!Q152="Outra Arma Curta A",605,IF(Atletas!Q152="Dao B",606,IF(Atletas!Q152="Jian B",607,IF(Atletas!Q152="Bishou B",608,IF(Atletas!Q152="Shan B",609,IF(Atletas!Q152="Outra Arma Curta B",610,IF(Atletas!Q152="Dao C",611,IF(Atletas!Q152="Jian C",612,IF(Atletas!Q152="Bishou C",613,IF(Atletas!Q152="Shan C",614,IF(Atletas!Q152="Outra Arma Curta C",615,IF(Atletas!Q152="Dao D",616,IF(Atletas!Q152="Jian D",617,IF(Atletas!Q152="Bishou D",618,IF(Atletas!Q152="Shan D",619,IF(Atletas!Q152="Outra Arma Curta D",620,IF(Atletas!Q152="Dao E",621,IF(Atletas!Q152="Jian E",622,IF(Atletas!Q152="Bishou E",623,IF(Atletas!Q152="Shan E",624,IF(Atletas!Q152="Outra Arma Curta E",625,IF(Atletas!Q152="Dao F",626,IF(Atletas!Q152="Jian F",627,IF(Atletas!Q152="Bishou F",628,IF(Atletas!Q152="Shan F",629,IF(Atletas!Q152="Outra Arma Curta F",630, "")))))))))))))))))))))))))))))))</f>
        <v/>
      </c>
      <c r="BT156" s="52" t="str">
        <f>IF(Atletas!R152="","",IF(Atletas!W152&lt;&gt;"",10000,0)+IF(Atletas!B152="Feminino",1000,IF(Atletas!B152="Masculino",2000,""))+IF(Atletas!R152="Gun A",701,IF(Atletas!R152="Qiang A",702,IF(Atletas!R152="Pudao / Guandao A",703,IF(Atletas!R152="Outra Arma Longa A",704,IF(Atletas!R152="Gun B",705,IF(Atletas!R152="Qiang B",706,IF(Atletas!R152="Pudao / Guandao B",707,IF(Atletas!R152="Outra Arma Longa B",708,IF(Atletas!R152="Gun C",709,IF(Atletas!R152="Qiang C",710,IF(Atletas!R152="Pudao / Guandao C",711,IF(Atletas!R152="Outra Arma Longa C",712,IF(Atletas!R152="Gun D",713,IF(Atletas!R152="Qiang D",714,IF(Atletas!R152="Pudao / Guandao D",715,IF(Atletas!R152="Outra Arma Longa D",716,IF(Atletas!R152="Gun E",717,IF(Atletas!R152="Qiang E",718,IF(Atletas!R152="Pudao / Guandao E",719,IF(Atletas!R152="Outra Arma Longa E",720,IF(Atletas!R152="Gun F",721,IF(Atletas!R152="Qiang F",722,IF(Atletas!R152="Pudao / Guandao F",723,IF(Atletas!R152="Outra Arma Longa F",724,"")))))))))))))))))))))))))</f>
        <v/>
      </c>
      <c r="BU156" s="52" t="str">
        <f>IF(Atletas!S152="","",IF(Atletas!W152&lt;&gt;"",10000,0)+IF(Atletas!B152="Feminino",1000,IF(Atletas!B152="Masculino",2000,""))+IF(Atletas!S152="Arma Dupla A",801,IF(Atletas!S152="Arma Maleável A",802,IF(Atletas!S152="Arma Dupla B",803,IF(Atletas!S152="Arma Maleável B",804,IF(Atletas!S152="Arma Dupla C",805,IF(Atletas!S152="Arma Maleável C",806,IF(Atletas!S152="Arma Dupla D",807,IF(Atletas!S152="Arma Maleável D",808,IF(Atletas!S152="Arma Dupla E",809,IF(Atletas!S152="Arma Maleável E",810,IF(Atletas!S152="Arma Dupla F",811,IF(Atletas!S152="Arma Maleável F",812, "")))))))))))))</f>
        <v/>
      </c>
      <c r="BV156" s="52" t="str">
        <f>IF(Atletas!T152="","",IF(Atletas!W152&lt;&gt;"",10000,0)+IF(Atletas!B152="Feminino",1000,IF(Atletas!B152="Masculino",2000,""))+IF(Atletas!T152="Taijijian Yang A",901,IF(Atletas!T152="Taijijian Chen A",902,IF(Atletas!T152="Taijijian Sun A",903,IF(Atletas!T152="Taijijian Wu A",904,IF(Atletas!T152="Taijijian Wu-Hao A",905,IF(Atletas!T152="Taijijian 32 A",906,IF(Atletas!T152="Taijijian 42 A",907,IF(Atletas!T152="Taijijian Yang B",908,IF(Atletas!T152="Taijijian Chen B",909,IF(Atletas!T152="Taijijian Sun B",910,IF(Atletas!T152="Taijijian Wu B",911,IF(Atletas!T152="Taijijian Wu-Hao B",912,IF(Atletas!T152="Taijijian 32 B",913,IF(Atletas!T152="Taijijian 42 B",914,IF(Atletas!T152="Taijijian Yang C",915,IF(Atletas!T152="Taijijian Chen C",916,IF(Atletas!T152="Taijijian Sun C",917,IF(Atletas!T152="Taijijian Wu C",918,IF(Atletas!T152="Taijijian Wu-Hao C",919,IF(Atletas!T152="Taijijian 32 C",920,IF(Atletas!T152="Taijijian 42 C",921,IF(Atletas!T152="Taijijian Yang D",922,IF(Atletas!T152="Taijijian Chen D",923,IF(Atletas!T152="Taijijian Sun D",924,IF(Atletas!T152="Taijijian Wu D",925,IF(Atletas!T152="Taijijian Wu-Hao D",926,IF(Atletas!T152="Taijijian 32 D",927,IF(Atletas!T152="Taijijian 42 D",928,IF(Atletas!T152="Taijijian Yang E",929,IF(Atletas!T152="Taijijian Chen E",930,IF(Atletas!T152="Taijijian Sun E",931,IF(Atletas!T152="Taijijian Wu E",932,IF(Atletas!T152="Taijijian Wu-Hao E",933,IF(Atletas!T152="Taijijian 32 E",934,IF(Atletas!T152="Taijijian 42 E",935,IF(Atletas!T152="Taijijian Yang F",936,IF(Atletas!T152="Taijijian Chen F",937,IF(Atletas!T152="Taijijian Sun F",938,IF(Atletas!T152="Taijijian Wu F",939,IF(Atletas!T152="Taijijian Wu-Hao F",940,IF(Atletas!T152="Taijijian 32 F",941,IF(Atletas!T152="Taijijian 42 F",942,"")))))))))))))))))))))))))))))))))))))))))))</f>
        <v/>
      </c>
      <c r="BW156" s="52" t="str">
        <f>IF(Atletas!U152="","",IF(Atletas!W152&lt;&gt;"",10000,0)+IF(Atletas!B152="Feminino",1000,IF(Atletas!B152="Masculino",2000,""))+IF(Atletas!T152="Taijijian 42 F",942,IF(Atletas!U152="Taijidao A",943,IF(Atletas!U152="Taijishan A",944,IF(Atletas!U152="Taijiqiang A",945,IF(Atletas!U152="Taijidao B",946,IF(Atletas!U152="Taijishan B",947,IF(Atletas!U152="Taijiqiang B",948,IF(Atletas!U152="Taijidao C",949,IF(Atletas!U152="Taijishan C",950,IF(Atletas!U152="Taijiqiang C",951,IF(Atletas!U152="Taijidao D",952,IF(Atletas!U152="Taijishan D",953,IF(Atletas!U152="Taijiqiang D",954,IF(Atletas!U152="Taijidao E",955,IF(Atletas!U152="Taijishan E",956,IF(Atletas!U152="Taijiqiang E",957,IF(Atletas!U152="Taijidao F",958,IF(Atletas!U152="Taijishan F",959,IF(Atletas!U152="Taijiqiang F",960))))))))))))))))))))</f>
        <v/>
      </c>
      <c r="BX156" s="72" t="str">
        <f>IF(BY156&lt;&gt;"","Outro Taijiquan D","")</f>
        <v/>
      </c>
      <c r="BY156" s="72" t="str">
        <f>IF(COUNTIF(BK:BW,1324)&gt;0,COUNTIF(BK:BW,1324),"")</f>
        <v/>
      </c>
      <c r="BZ156" s="72" t="str">
        <f>IF(CA156&lt;&gt;"","Outro Taijiquan D","")</f>
        <v/>
      </c>
      <c r="CA156" s="72" t="str">
        <f>IF(COUNTIF(BK:BW,2324)&gt;0,COUNTIF(BK:BW,2324),"")</f>
        <v/>
      </c>
      <c r="CB156" s="72" t="str">
        <f>IF(CC156&lt;&gt;"","Outro Taijiquan D","")</f>
        <v/>
      </c>
      <c r="CC156" s="64" t="str">
        <f>IF(COUNTIF(BK:BW,11324)&gt;0,COUNTIF(BK:BW,11324),"")</f>
        <v/>
      </c>
      <c r="CD156" s="64" t="str">
        <f>IF(CE156&lt;&gt;"","Outro Taijiquan D","")</f>
        <v/>
      </c>
      <c r="CE156" s="64" t="str">
        <f>IF(COUNTIF(BK:BW,12324)&gt;0,COUNTIF(BK:BW,12324),"")</f>
        <v/>
      </c>
      <c r="CF156" s="52" t="str">
        <f xml:space="preserve"> IF(Atletas!V152="","",IF(Atletas!V152="Duilian de Mãos AB - Equipe 1",1,IF(Atletas!V152="Duilian de Mãos AB - Equipe 2",2,IF(Atletas!V152="Duilian de Armas AB - Equipe 1",3,IF(Atletas!V152="Duilian de Armas AB - Equipe 2",4,IF(Atletas!V152="Duilian de Tuishou - Equipe 1",5,IF(Atletas!V152="Duilian de Tuishou - Equipe 2",6,IF(Atletas!V152="Grupo Externo AB - Equipe 1",7,IF(Atletas!V152="Grupo Externo AB - Equipe 2",8,IF(Atletas!V152="Grupo Interno AB - Equipe 1",9,IF(Atletas!V152="Grupo Interno AB - Equipe 2",10,IF(Atletas!V152="Duilian de Mãos CD - Equipe 1",11,IF(Atletas!V152="Duilian de Mãos CD - Equipe 2",12,IF(Atletas!V152="Duilian de Armas CD - Equipe 1",13,IF(Atletas!V152="Duilian de Armas CD - Equipe 2",14,IF(Atletas!V152="Duilian de Tuishou - Equipe 1",15,IF(Atletas!V152="Duilian de Tuishou - Equipe 2",16,IF(Atletas!V152="Grupo Externo CDEF - Equipe 1",17,IF(Atletas!V152="Grupo Externo CDEF - Equipe 2",18,IF(Atletas!V152="Grupo Interno CDEF - Equipe 1",19,IF(Atletas!V152="Grupo Interno CDEF - Equipe 2",20,IF(Atletas!V152="Duilian de Mãos EF - Equipe 1",21,IF(Atletas!V152="Duilian de Mãos EF - Equipe 2",22,IF(Atletas!V152="Duilian de Armas EF - Equipe 1",23,IF(Atletas!V152="Duilian de Armas EF - Equipe 2",24,IF(Atletas!V152="Duilian de Tuishou - Equipe 1",25,IF(Atletas!V152="Duilian de Tuishou - Equipe 2",26,"")))))))))))))))))))))))))))</f>
        <v/>
      </c>
    </row>
    <row r="157" spans="2:84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 t="str">
        <f t="array" ref="V157">IFERROR(INDEX(BX$7:BX$336,SMALL(IF(BX$7:BX$336&lt;&gt;"",ROW(BX$7:BX$336)-ROW(BX$7)+1),ROWS(BX$7:BX156))),"")</f>
        <v/>
      </c>
      <c r="W157" s="4" t="str">
        <f t="array" ref="W157">IFERROR(INDEX(BY$7:BY$336,SMALL(IF(BY$7:BY$336&lt;&gt;"",ROW(BY$7:BY$336)-ROW(BY$7)+1),ROWS(BY$7:BY156))),"")</f>
        <v/>
      </c>
      <c r="X157" s="4" t="str">
        <f t="array" ref="X157">IFERROR(INDEX(BZ$7:BZ$336,SMALL(IF(BZ$7:BZ$336&lt;&gt;"",ROW(BZ$7:BZ$336)-ROW(BZ$7)+1),ROWS(BZ$7:BZ156))),"")</f>
        <v/>
      </c>
      <c r="Y157" s="4" t="str">
        <f t="array" ref="Y157">IFERROR(INDEX(CA$7:CA$336,SMALL(IF(CA$7:CA$336&lt;&gt;"",ROW(CA$7:CA$336)-ROW(CA$7)+1),ROWS(CA$7:CA156))),"")</f>
        <v/>
      </c>
      <c r="Z157" s="4" t="str">
        <f t="array" ref="Z157">IFERROR(INDEX(CB$7:CB$378,SMALL(IF(CB$7:CB$378&lt;&gt;"",ROW(CB$7:CB$378)-ROW(CB$7)+1),ROWS(CB$7:CB156))),"")</f>
        <v/>
      </c>
      <c r="AA157" s="4" t="str">
        <f t="array" ref="AA157">IFERROR(INDEX(CC$7:CC$378,SMALL(IF(CC$7:CC$378&lt;&gt;"",ROW(CC$7:CC$378)-ROW(CC$7)+1),ROWS(CC$7:CC156))),"")</f>
        <v/>
      </c>
      <c r="AB157" s="4" t="str">
        <f t="array" ref="AB157">IFERROR(INDEX(CD$7:CD$378,SMALL(IF(CD$7:CD$378&lt;&gt;"",ROW(CD$7:CD$378)-ROW(CD$7)+1),ROWS(CD$7:CD156))),"")</f>
        <v/>
      </c>
      <c r="AC157" s="4" t="str">
        <f t="array" ref="AC157">IFERROR(INDEX(CE$7:CE$378,SMALL(IF(CE$7:CE$378&lt;&gt;"",ROW(CE$7:CE$378)-ROW(CE$7)+1),ROWS(CE$7:CE156))),"")</f>
        <v/>
      </c>
      <c r="AD157" s="4"/>
      <c r="AE157" s="4"/>
      <c r="AF157" s="4"/>
      <c r="AG157" s="4"/>
      <c r="AH157" s="4"/>
      <c r="AI157" s="4"/>
      <c r="AJ157" s="46" t="str">
        <f>IF(Atletas!D153="","",IF(Atletas!B153="Feminino",100,IF(Atletas!B153="Masculino",200,""))+(IF(Atletas!D153="Infantil 39kg",1,IF(Atletas!D153="Infantil 42kg",2,IF(Atletas!D153="Infantil 45kg",3,IF(Atletas!D153="Infantil 48kg",4,IF(Atletas!D153="Infantil 52kg",5,IF(Atletas!D153="Infantil 56kg",6,IF(Atletas!D153="Infantil 60kg",7,IF(Atletas!D153="Juvenil 48kg",8,IF(Atletas!D153="Juvenil 52kg",9,IF(Atletas!D153="Juvenil 56kg",10,IF(Atletas!D153="Juvenil 60kg",11,IF(Atletas!D153="Juvenil 65kg",12,IF(Atletas!D153="Juvenil 70kg",13,IF(Atletas!D153="Juvenil 75kg",14,IF(Atletas!D153="Juvenil 80kg",15,IF(Atletas!D153="Adulto 48kg",16,IF(Atletas!D153="Adulto 52kg",17,IF(Atletas!D153="Adulto 56kg",18,IF(Atletas!D153="Adulto 60kg",19,IF(Atletas!D153="Adulto 65kg",20,IF(Atletas!D153="Adulto 70kg",21,IF(Atletas!D153="Adulto 75kg",22,IF(Atletas!D153="Adulto 80kg",23,IF(Atletas!D153="Adulto 85kg",24,IF(Atletas!D153="Adulto 90kg",25,IF(Atletas!D153="Adulto +90kg",26,""))))))))))))))))))))))))))))</f>
        <v/>
      </c>
      <c r="AO157" s="10" t="str">
        <f>IF(Atletas!E153="","",IF(Atletas!B153="Feminino",100,IF(Atletas!B153="Masculino",200,""))+(IF(Atletas!E153="Juvenil 44kg",1,IF(Atletas!E153="Juvenil 48kg",2,IF(Atletas!E153="Juvenil 52kg",3,IF(Atletas!E153="Juvenil 56kg",4,IF(Atletas!E153="Juvenil 60kg",5,IF(Atletas!E153="Juvenil 65kg",6,IF(Atletas!E153="Juvenil 70kg",7,IF(Atletas!E153="Juvenil 75kg",8,IF(Atletas!E153="Juvenil 82kg",9,IF(Atletas!E153="Juvenil 90kg",10,IF(Atletas!E153="Juvenil 100kg",11,IF(Atletas!E153="Adulto 48kg",12,IF(Atletas!E153="Adulto 52kg",13,IF(Atletas!E153="Adulto 56kg",14,IF(Atletas!E153="Adulto 60kg",15,IF(Atletas!E153="Adulto 65kg",16,IF(Atletas!E153="Adulto 70kg",17,IF(Atletas!E153="Adulto 75kg",18,IF(Atletas!E153="Adulto 82kg",19,IF(Atletas!E153="Adulto 90kg",20,IF(Atletas!E153="Adulto 100kg",21,IF(Atletas!E153="Adulto +100kg",22,""))))))))))))))))))))))))</f>
        <v/>
      </c>
      <c r="AT157" s="10" t="str">
        <f>IF(Atletas!F153="","",IF(Atletas!B153="Feminino",100,IF(Atletas!B153="Masculino",200,""))+(IF(Atletas!F153="Adulto 48kg",1,IF(Atletas!F153="Adulto 56kg",2,IF(Atletas!F153="Adulto 65kg",3,IF(Atletas!F153="Adulto 75kg",4,IF(Atletas!F153="Adulto +75kg",5,IF(Atletas!F153="Adulto 52kg",6,IF(Atletas!F153="Adulto 60kg",7,IF(Atletas!F153="Adulto 70kg",8,IF(Atletas!F153="Adulto 80kg",9,IF(Atletas!F153="Adulto 90kg",10,IF(Atletas!F153="Adulto +90kg",11,"")))))))))))))</f>
        <v/>
      </c>
      <c r="AY157" s="46" t="str">
        <f>IF(Atletas!G153="","",IF(Atletas!B153="Feminino",100,IF(Atletas!B153="Masculino",200,""))+(IF(Atletas!G153="Changquan Mirim",1,IF(Atletas!G153="Nanquan Mirim",2,IF(Atletas!G153="Taijiquan Mirim",3,IF(Atletas!G153="Changquan Grupo C",4,IF(Atletas!G153="Nanquan Grupo C",5,IF(Atletas!G153="Taijiquan Grupo C",6,IF(Atletas!G153="Changquan Grupo B",7,IF(Atletas!G153="Nanquan Grupo B",8,IF(Atletas!G153="Taijiquan Grupo B",9,IF(Atletas!G153="Changquan Grupo A",10,IF(Atletas!G153="Nanquan Grupo A",11,IF(Atletas!G153="Taijiquan Grupo A",12,IF(Atletas!G153="Changquan Opcional",13,IF(Atletas!G153="Nanquan Opcional",14,IF(Atletas!G153="Taijiquan Opcional",15,IF(Atletas!G153="Changquan Adulto",16,IF(Atletas!G153="Nanquan Adulto",17,IF(Atletas!G153="Taijiquan Adulto",18,""))))))))))))))))))))</f>
        <v/>
      </c>
      <c r="AZ157" s="46" t="str">
        <f>IF(Atletas!H153="","",IF(Atletas!B153="Feminino",100,IF(Atletas!B153="Masculino",200,""))+(IF(Atletas!H153="Daoshu Mirim",19,IF(Atletas!H153="Jianshu Mirim",20,IF(Atletas!H153="Nandao Mirim",21,IF(Atletas!H153="Taijijian Mirim",22,IF(Atletas!H153="Daoshu Grupo C",23,IF(Atletas!H153="Jianshu Grupo C",24,IF(Atletas!H153="Nandao Grupo C",25,IF(Atletas!H153="Taijijian Grupo C",26,IF(Atletas!H153="Daoshu Grupo B",27,IF(Atletas!H153="Jianshu Grupo B",28,IF(Atletas!H153="Nandao Grupo B",29,IF(Atletas!H153="Taijijian Grupo B",30,IF(Atletas!H153="Daoshu Grupo A",31,IF(Atletas!H153="Jianshu Grupo A",32,IF(Atletas!H153="Nandao Grupo A",33,IF(Atletas!H153="Taijijian Grupo A",34,IF(Atletas!H153="Daoshu Opcional",35,IF(Atletas!H153="Jianshu Opcional",36,IF(Atletas!H153="Nandao Opcional",37,IF(Atletas!H153="Taijijian Opcional",38,IF(Atletas!H153="Daoshu Adulto",39,IF(Atletas!H153="Jianshu Adulto",40,IF(Atletas!H153="Nandao Adulto",41,IF(Atletas!H153="Taijijian Adulto",42,""))))))))))))))))))))))))))</f>
        <v/>
      </c>
      <c r="BA157" s="46" t="str">
        <f>IF(Atletas!I153="","",IF(Atletas!B153="Feminino",100,IF(Atletas!B153="Masculino",200,""))+(IF(Atletas!I153="Gunshu Mirim",43,IF(Atletas!I153="Qiangshu Mirim",44,IF(Atletas!I153="Nangun Mirim",45,IF(Atletas!I153="Gunshu Grupo C",46,IF(Atletas!I153="Qiangshu Grupo C",47,IF(Atletas!I153="Nangun Grupo C",48,IF(Atletas!I153="Gunshu Grupo B",49,IF(Atletas!I153="Qiangshu Grupo B",50,IF(Atletas!I153="Nangun Grupo B",51,IF(Atletas!I153="Gunshu Grupo A",52,IF(Atletas!I153="Qiangshu Grupo A",53,IF(Atletas!I153="Nangun Grupo A",54,IF(Atletas!I153="Gunshu Opcional",55,IF(Atletas!I153="Qiangshu Opcional",56,IF(Atletas!I153="Nangun Opcional",57,IF(Atletas!I153="Gunshu Adulto",58,IF(Atletas!I153="Qiangshu Adulto",59,IF(Atletas!I153="Nangun Adulto",60,""))))))))))))))))))))</f>
        <v/>
      </c>
      <c r="BF157" s="52" t="str">
        <f>IF(Atletas!J153="","",IF(Atletas!B153="Feminino",100,IF(Atletas!B153="Masculino",200,""))+(IF(Atletas!J153="Equipe 1 Grupo B",1,IF(Atletas!J153="Equipe 2 Grupo B",2,IF(Atletas!J153="Equipe 1 Grupo A",3,IF(Atletas!J153="Equipe 2 Grupo A",4,IF(Atletas!J153="Equipe 1 Adulto",5,IF(Atletas!J153="Equipe 2 Adulto",6,""))))))))</f>
        <v/>
      </c>
      <c r="BK157" s="52" t="str">
        <f>IF(Atletas!K153="","",IF(Atletas!W153&lt;&gt;"",10000,0)+(IF(Atletas!B153="Feminino",1000,IF(Atletas!B153="Masculino",2000,""))+IF(Atletas!K153="Choylayfut A",1,IF(Atletas!K153="Hunggar A",2,IF(Atletas!K153="Wuzuquan A",3,IF(Atletas!K153="Wingchun A",4,IF(Atletas!K153="Outra Mão de Sul A",5,IF(Atletas!K153="Choylayfut B",6,IF(Atletas!K153="Hunggar B",7,IF(Atletas!K153="Wuzuquan B",8,IF(Atletas!K153="Wingchun B",9,IF(Atletas!K153="Outra Mão de Sul B",10,IF(Atletas!K153="Choylayfut C",11,IF(Atletas!K153="Hunggar C",12,IF(Atletas!K153="Wuzuquan C",13,IF(Atletas!K153="Wingchun C",14,IF(Atletas!K153="Outra Mão de Sul C",15,IF(Atletas!K153="Choylayfut D",16,IF(Atletas!K153="Hunggar D",17,IF(Atletas!K153="Wuzuquan D",18,IF(Atletas!K153="Wingchun D",19,IF(Atletas!K153="Outra Mão de Sul D",20,IF(Atletas!K153="Choylayfut E",21,IF(Atletas!K153="Hunggar E",22,IF(Atletas!K153="Wuzuquan E",23,IF(Atletas!K153="Wingchun E",24,IF(Atletas!K153="Outra Mão de Sul E",25,IF(Atletas!K153="Choylayfut F",26,IF(Atletas!K153="Hunggar F",27,IF(Atletas!K153="Wuzuquan F",28,IF(Atletas!K153="Wingchun F",29,IF(Atletas!K153="Outra Mão de Sul F",30,""))))))))))))))))))))))))))))))))</f>
        <v/>
      </c>
      <c r="BL157" s="52" t="str">
        <f>IF(Atletas!L153="","",IF(Atletas!W153&lt;&gt;"",10000,0)+(IF(Atletas!B153="Feminino",1000,IF(Atletas!B153="Masculino",2000,""))+(IF(Atletas!L153="Chaquan A",101,IF(Atletas!L153="Emeiquan A",102,IF(Atletas!L153="Fanziquan A",103,IF(Atletas!L153="Huaquan A",104,IF(Atletas!L153="Hongquan A",105,IF(Atletas!L153="Paochui A",106,IF(Atletas!L153="Piguaquan A",107,IF(Atletas!L153="Shaolinquan A",108,IF(Atletas!L153="Tanglangquan A",109,IF(Atletas!L153="Yinzhaophai A",110,IF(Atletas!L153="Tongbeiquan A",111,IF(Atletas!L153="Wudangquan A",112,IF(Atletas!L153="Outros Estilos A",113,IF(Atletas!L153="Chaquan B",114,IF(Atletas!L153="Emeiquan B",115,IF(Atletas!L153="Fanziquan B",116,IF(Atletas!L153="Huaquan B",117,IF(Atletas!L153="Hongquan B",118,IF(Atletas!L153="Paochui B",119,IF(Atletas!L153="Piguaquan B",120,IF(Atletas!L153="Shaolinquan B",121,IF(Atletas!L153="Tanglangquan B",122,IF(Atletas!L153="Yinzhaophai B",123,IF(Atletas!L153="Tongbeiquan B",124,IF(Atletas!L153="Wudangquan B",125,IF(Atletas!L153="Outros Estilos B",126,IF(Atletas!L153="Chaquan C",127,IF(Atletas!L153="Emeiquan C",128,IF(Atletas!L153="Fanziquan C",129,IF(Atletas!L153="Huaquan C",130,IF(Atletas!L153="Hongquan C",131,IF(Atletas!L153="Paochui C",132,IF(Atletas!L153="Piguaquan C",133,IF(Atletas!L153="Shaolinquan C",134,IF(Atletas!L153="Tanglangquan C",135,IF(Atletas!L153="Yinzhaophai C",136,IF(Atletas!L153="Tongbeiquan C",137,IF(Atletas!L153="Wudangquan C",138,IF(Atletas!L153="Outros Estilos C",139,0))))))))))))))))))))))))))))))))))))))))))</f>
        <v/>
      </c>
      <c r="BM157" s="52" t="str">
        <f>IF(Atletas!L153="","",IF(Atletas!W153&lt;&gt;"",10000,0)+(IF(Atletas!B153="Feminino",1000,IF(Atletas!B153="Masculino",2000,""))+(IF(Atletas!L153="Chaquan D",140,IF(Atletas!L153="Emeiquan D",141,IF(Atletas!L153="Fanziquan D",142,IF(Atletas!L153="Huaquan D",143,IF(Atletas!L153="Hongquan D",144,IF(Atletas!L153="Paochui D",145,IF(Atletas!L153="Piguaquan D",146,IF(Atletas!L153="Shaolinquan D",147,IF(Atletas!L153="Tanglangquan D",148,IF(Atletas!L153="Yinzhaophai D",149,IF(Atletas!L153="Tongbeiquan D",150,IF(Atletas!L153="Wudangquan D",151,IF(Atletas!L153="Outros Estilos D",152,IF(Atletas!L153="Chaquan E",153,IF(Atletas!L153="Emeiquan E",154,IF(Atletas!L153="Fanziquan E",155,IF(Atletas!L153="Huaquan E",156,IF(Atletas!L153="Hongquan E",157,IF(Atletas!L153="Paochui E",158,IF(Atletas!L153="Piguaquan E",159,IF(Atletas!L153="Shaolinquan E",160,IF(Atletas!L153="Tanglangquan E",161,IF(Atletas!L153="Yinzhaophai E",162,IF(Atletas!L153="Tongbeiquan E",163,IF(Atletas!L153="Wudangquan E",164,IF(Atletas!L153="Outros Estilos E",165,IF(Atletas!L153="Chaquan F",166,IF(Atletas!L153="Emeiquan F",167,IF(Atletas!L153="Fanziquan F",168,IF(Atletas!L153="Huaquan F",169,IF(Atletas!L153="Hongquan F",170,IF(Atletas!L153="Paochui F",171,IF(Atletas!L153="Piguaquan F",172,IF(Atletas!L153="Shaolinquan F",173,IF(Atletas!L153="Tanglangquan F",174,IF(Atletas!L153="Yinzhaophai F",175,IF(Atletas!L153="Tongbeiquan F",176,IF(Atletas!L153="Wudangquan F",177,IF(Atletas!L153="Outros Estilos F",178,0))))))))))))))))))))))))))))))))))))))))))</f>
        <v/>
      </c>
      <c r="BN157" s="52" t="str">
        <f>IF(Atletas!M153="","",IF(Atletas!W153&lt;&gt;"",10000,0)+(IF(Atletas!B153="Feminino",1000,IF(Atletas!B153="Masculino",2000,""))+(IF(Atletas!M153="Ditangquan A",201,IF(Atletas!M153="Houquan A",202,IF(Atletas!M153="Zuiquan A",203,IF(Atletas!M153="Ditangquan B",204,IF(Atletas!M153="Houquan B",205,IF(Atletas!M153="Zuiquan B",206,IF(Atletas!M153="Ditangquan C",207,IF(Atletas!M153="Houquan C",208,IF(Atletas!M153="Zuiquan C",209,IF(Atletas!M153="Ditangquan D",210,IF(Atletas!M153="Houquan D",211,IF(Atletas!M153="Zuiquan D",212,IF(Atletas!M153="Ditangquan E",213,IF(Atletas!M153="Houquan E",214,IF(Atletas!M153="Zuiquan E",215,IF(Atletas!M153="Ditangquan F",216,IF(Atletas!M153="Houquan F",217,IF(Atletas!M153="Zuiquan F",218,"")))))))))))))))))))))</f>
        <v/>
      </c>
      <c r="BO157" s="52" t="str">
        <f>IF(Atletas!N153="","",IF(Atletas!W153&lt;&gt;"",10000,0)+IF(Atletas!B153="Feminino",1000,IF(Atletas!B153="Masculino",2000,""))+IF(Atletas!N153="Yang A",301,IF(Atletas!N153="Chen A",30,IF(Atletas!N153="Sun A",303,IF(Atletas!N153="Wu A",304,IF(Atletas!N153="Wu-Hao A",305,IF(Atletas!N153="Outro Taijiquan A",306,IF(Atletas!N153="Yang B",307,IF(Atletas!N153="Chen B",308,IF(Atletas!N153="Sun B",309,IF(Atletas!N153="Wu B",310,IF(Atletas!N153="Wu-Hao B",311,IF(Atletas!N153="Outro Taijiquan B",312,IF(Atletas!N153="Yang C",313,IF(Atletas!N153="Chen C",314,IF(Atletas!N153="Sun C",315,IF(Atletas!N153="Wu C",316,IF(Atletas!N153="Wu-Hao C",317,IF(Atletas!N153="Outro Taijiquan C",318,IF(Atletas!N153="Yang D",319,IF(Atletas!N153="Chen D",320,IF(Atletas!N153="Sun D",321,IF(Atletas!N153="Wu D",322,IF(Atletas!N153="Wu-Hao D",323,IF(Atletas!N153="Outro Taijiquan D",324,IF(Atletas!N153="Yang E",325,IF(Atletas!N153="Chen E",326,IF(Atletas!N153="Sun E",327,IF(Atletas!N153="Wu E",328,IF(Atletas!N153="Wu-Hao E",329,IF(Atletas!N153="Outro Taijiquan E",330,IF(Atletas!N153="Yang F",331,IF(Atletas!N153="Chen F",332,IF(Atletas!N153="Sun F",333,IF(Atletas!N153="Wu F",334,IF(Atletas!N153="Wu-Hao F",335,IF(Atletas!N153="Outro Taijiquan F",336,"")))))))))))))))))))))))))))))))))))))</f>
        <v/>
      </c>
      <c r="BP157" s="52" t="str">
        <f>IF(Atletas!O153="","",IF(Atletas!W153&lt;&gt;"",10000,0)+IF(Atletas!B153="Feminino",1000,IF(Atletas!B153="Masculino",2000,""))+IF(OR(Atletas!O153="Yang 26 A",Atletas!O153="Yang 40 A"),401,IF(OR(Atletas!O153="Chen 25 A",Atletas!O153="Chen 36 A",Atletas!O153="Chen 56 A"),402,IF(Atletas!O153="Sun 73 A",403,IF(Atletas!O153="Wu 45 A",404,IF(Atletas!O153="Wu-Hao 46 A",405,IF(OR(Atletas!O153="Taijiquan 16 A",Atletas!O153="Taijiquan 24 A",Atletas!O153="Taijiquan 32 A",Atletas!O153="Taijiquan 42 A"),406,IF(OR(Atletas!O153="Yang 26 B",Atletas!O153="Yang 40 B"),407,IF(OR(Atletas!O153="Chen 25 B",Atletas!O153="Chen 36 B",Atletas!O153="Chen 56 B"),408,IF(Atletas!O153="Sun 73 B",409,IF(Atletas!O153="Wu 45 B",410,IF(Atletas!O153="Wu-Hao 46 B",411,IF(OR(Atletas!O153="Taijiquan 16 B",Atletas!O153="Taijiquan 24 B",Atletas!O153="Taijiquan 32 B",Atletas!O153="Taijiquan 42 B"),412,IF(OR(Atletas!O153="Yang 26 C",Atletas!O153="Yang 40 C"),413,IF(OR(Atletas!O153="Chen 25 C",Atletas!O153="Chen 36 C",Atletas!O153="Chen 56 C"),414,IF(Atletas!O153="Sun 73 C",415,IF(Atletas!O153="Wu 45 C",416,IF(Atletas!O153="Wu-Hao 46 C",417,IF(OR(Atletas!O153="Taijiquan 16 C",Atletas!O153="Taijiquan 24 C",Atletas!O153="Taijiquan 32 C",Atletas!O153="Taijiquan 42 C"),418,0)))))))))))))))))))</f>
        <v/>
      </c>
      <c r="BQ157" s="52" t="str">
        <f>IF(Atletas!O153="","",IF(Atletas!W153&lt;&gt;"",10000,0)+IF(Atletas!B153="Feminino",1000,IF(Atletas!B153="Masculino",2000,""))+IF(OR(Atletas!O153="Yang 26 D",Atletas!O153="Yang 40 D"),419,IF(OR(Atletas!O153="Chen 25 D",Atletas!O153="Chen 36 D",Atletas!O153="Chen 56 D"),420,IF(Atletas!O153="Sun 73 D",421,IF(Atletas!O153="Wu 45 D",422,IF(Atletas!O153="Wu-Hao 46 D",423,IF(OR(Atletas!O153="Taijiquan 16 D",Atletas!O153="Taijiquan 24 D",Atletas!O153="Taijiquan 32 D",Atletas!O153="Taijiquan 42 D"),424,IF(OR(Atletas!O153="Yang 26 E",Atletas!O153="Yang 40 E"),425,IF(OR(Atletas!O153="Chen 25 E",Atletas!O153="Chen 36 E",Atletas!O153="Chen 56 E"),426,IF(Atletas!O153="Sun 73 E",427,IF(Atletas!O153="Wu 45 E",428,IF(Atletas!O153="Wu-Hao 46 E",429,IF(OR(Atletas!O153="Taijiquan 16 E",Atletas!O153="Taijiquan 24 E",Atletas!O153="Taijiquan 32 E",Atletas!O153="Taijiquan 42 E"),430,IF(OR(Atletas!O153="Yang 26 F",Atletas!O153="Yang 40 F"),431,IF(OR(Atletas!O153="Chen 25 F",Atletas!O153="Chen 36 F",Atletas!O153="Chen 56 F"),432,IF(Atletas!O153="Sun 73 F",433,IF(Atletas!O153="Wu 45 F",434,IF(Atletas!O153="Wu-Hao 46 F",435,IF(OR(Atletas!O153="Taijiquan 16 F",Atletas!O153="Taijiquan 24 F",Atletas!O153="Taijiquan 32 F",Atletas!O153="Taijiquan 42 F"),436,0)))))))))))))))))))</f>
        <v/>
      </c>
      <c r="BR157" s="52" t="str">
        <f>IF(Atletas!P153="","",IF(Atletas!W153&lt;&gt;"",10000,0)+IF(Atletas!B153="Feminino",1000,IF(Atletas!B153="Masculino",2000,""))+IF(Atletas!P153="Xingyiquan A",501,IF(Atletas!P153="Baguazhang A",502,IF(Atletas!P153="Outro Estilo Interno A",503,IF(Atletas!P153="Xingyiquan B",504,IF(Atletas!P153="Baguazhang B",505,IF(Atletas!P153="Outro Estilo Interno B",506,IF(Atletas!P153="Xingyiquan C",507,IF(Atletas!P153="Baguazhang C",508,IF(Atletas!P153="Outro Estilo Interno C",509,IF(Atletas!P153="Xingyiquan D",510,IF(Atletas!P153="Baguazhang D",511,IF(Atletas!P153="Outro Estilo Interno D",512,IF(Atletas!P153="Xingyiquan E",513,IF(Atletas!P153="Baguazhang E",514,IF(Atletas!P153="Outro Estilo Interno E",515,IF(Atletas!P153="Xingyiquan F",516,IF(Atletas!P153="Baguazhang F",517,IF(Atletas!P153="Outro Estilo Interno F",518, "")))))))))))))))))))</f>
        <v/>
      </c>
      <c r="BS157" s="52" t="str">
        <f>IF(Atletas!Q153="","",IF(Atletas!W153&lt;&gt;"",10000,0)+IF(Atletas!B153="Feminino",1000,IF(Atletas!B153="Masculino",2000,""))+IF(Atletas!Q153="Dao A",601,IF(Atletas!Q153="Jian A",602,IF(Atletas!Q153="Bishou A",603,IF(Atletas!Q153="Shan A",604,IF(Atletas!Q153="Outra Arma Curta A",605,IF(Atletas!Q153="Dao B",606,IF(Atletas!Q153="Jian B",607,IF(Atletas!Q153="Bishou B",608,IF(Atletas!Q153="Shan B",609,IF(Atletas!Q153="Outra Arma Curta B",610,IF(Atletas!Q153="Dao C",611,IF(Atletas!Q153="Jian C",612,IF(Atletas!Q153="Bishou C",613,IF(Atletas!Q153="Shan C",614,IF(Atletas!Q153="Outra Arma Curta C",615,IF(Atletas!Q153="Dao D",616,IF(Atletas!Q153="Jian D",617,IF(Atletas!Q153="Bishou D",618,IF(Atletas!Q153="Shan D",619,IF(Atletas!Q153="Outra Arma Curta D",620,IF(Atletas!Q153="Dao E",621,IF(Atletas!Q153="Jian E",622,IF(Atletas!Q153="Bishou E",623,IF(Atletas!Q153="Shan E",624,IF(Atletas!Q153="Outra Arma Curta E",625,IF(Atletas!Q153="Dao F",626,IF(Atletas!Q153="Jian F",627,IF(Atletas!Q153="Bishou F",628,IF(Atletas!Q153="Shan F",629,IF(Atletas!Q153="Outra Arma Curta F",630, "")))))))))))))))))))))))))))))))</f>
        <v/>
      </c>
      <c r="BT157" s="52" t="str">
        <f>IF(Atletas!R153="","",IF(Atletas!W153&lt;&gt;"",10000,0)+IF(Atletas!B153="Feminino",1000,IF(Atletas!B153="Masculino",2000,""))+IF(Atletas!R153="Gun A",701,IF(Atletas!R153="Qiang A",702,IF(Atletas!R153="Pudao / Guandao A",703,IF(Atletas!R153="Outra Arma Longa A",704,IF(Atletas!R153="Gun B",705,IF(Atletas!R153="Qiang B",706,IF(Atletas!R153="Pudao / Guandao B",707,IF(Atletas!R153="Outra Arma Longa B",708,IF(Atletas!R153="Gun C",709,IF(Atletas!R153="Qiang C",710,IF(Atletas!R153="Pudao / Guandao C",711,IF(Atletas!R153="Outra Arma Longa C",712,IF(Atletas!R153="Gun D",713,IF(Atletas!R153="Qiang D",714,IF(Atletas!R153="Pudao / Guandao D",715,IF(Atletas!R153="Outra Arma Longa D",716,IF(Atletas!R153="Gun E",717,IF(Atletas!R153="Qiang E",718,IF(Atletas!R153="Pudao / Guandao E",719,IF(Atletas!R153="Outra Arma Longa E",720,IF(Atletas!R153="Gun F",721,IF(Atletas!R153="Qiang F",722,IF(Atletas!R153="Pudao / Guandao F",723,IF(Atletas!R153="Outra Arma Longa F",724,"")))))))))))))))))))))))))</f>
        <v/>
      </c>
      <c r="BU157" s="52" t="str">
        <f>IF(Atletas!S153="","",IF(Atletas!W153&lt;&gt;"",10000,0)+IF(Atletas!B153="Feminino",1000,IF(Atletas!B153="Masculino",2000,""))+IF(Atletas!S153="Arma Dupla A",801,IF(Atletas!S153="Arma Maleável A",802,IF(Atletas!S153="Arma Dupla B",803,IF(Atletas!S153="Arma Maleável B",804,IF(Atletas!S153="Arma Dupla C",805,IF(Atletas!S153="Arma Maleável C",806,IF(Atletas!S153="Arma Dupla D",807,IF(Atletas!S153="Arma Maleável D",808,IF(Atletas!S153="Arma Dupla E",809,IF(Atletas!S153="Arma Maleável E",810,IF(Atletas!S153="Arma Dupla F",811,IF(Atletas!S153="Arma Maleável F",812, "")))))))))))))</f>
        <v/>
      </c>
      <c r="BV157" s="52" t="str">
        <f>IF(Atletas!T153="","",IF(Atletas!W153&lt;&gt;"",10000,0)+IF(Atletas!B153="Feminino",1000,IF(Atletas!B153="Masculino",2000,""))+IF(Atletas!T153="Taijijian Yang A",901,IF(Atletas!T153="Taijijian Chen A",902,IF(Atletas!T153="Taijijian Sun A",903,IF(Atletas!T153="Taijijian Wu A",904,IF(Atletas!T153="Taijijian Wu-Hao A",905,IF(Atletas!T153="Taijijian 32 A",906,IF(Atletas!T153="Taijijian 42 A",907,IF(Atletas!T153="Taijijian Yang B",908,IF(Atletas!T153="Taijijian Chen B",909,IF(Atletas!T153="Taijijian Sun B",910,IF(Atletas!T153="Taijijian Wu B",911,IF(Atletas!T153="Taijijian Wu-Hao B",912,IF(Atletas!T153="Taijijian 32 B",913,IF(Atletas!T153="Taijijian 42 B",914,IF(Atletas!T153="Taijijian Yang C",915,IF(Atletas!T153="Taijijian Chen C",916,IF(Atletas!T153="Taijijian Sun C",917,IF(Atletas!T153="Taijijian Wu C",918,IF(Atletas!T153="Taijijian Wu-Hao C",919,IF(Atletas!T153="Taijijian 32 C",920,IF(Atletas!T153="Taijijian 42 C",921,IF(Atletas!T153="Taijijian Yang D",922,IF(Atletas!T153="Taijijian Chen D",923,IF(Atletas!T153="Taijijian Sun D",924,IF(Atletas!T153="Taijijian Wu D",925,IF(Atletas!T153="Taijijian Wu-Hao D",926,IF(Atletas!T153="Taijijian 32 D",927,IF(Atletas!T153="Taijijian 42 D",928,IF(Atletas!T153="Taijijian Yang E",929,IF(Atletas!T153="Taijijian Chen E",930,IF(Atletas!T153="Taijijian Sun E",931,IF(Atletas!T153="Taijijian Wu E",932,IF(Atletas!T153="Taijijian Wu-Hao E",933,IF(Atletas!T153="Taijijian 32 E",934,IF(Atletas!T153="Taijijian 42 E",935,IF(Atletas!T153="Taijijian Yang F",936,IF(Atletas!T153="Taijijian Chen F",937,IF(Atletas!T153="Taijijian Sun F",938,IF(Atletas!T153="Taijijian Wu F",939,IF(Atletas!T153="Taijijian Wu-Hao F",940,IF(Atletas!T153="Taijijian 32 F",941,IF(Atletas!T153="Taijijian 42 F",942,"")))))))))))))))))))))))))))))))))))))))))))</f>
        <v/>
      </c>
      <c r="BW157" s="52" t="str">
        <f>IF(Atletas!U153="","",IF(Atletas!W153&lt;&gt;"",10000,0)+IF(Atletas!B153="Feminino",1000,IF(Atletas!B153="Masculino",2000,""))+IF(Atletas!T153="Taijijian 42 F",942,IF(Atletas!U153="Taijidao A",943,IF(Atletas!U153="Taijishan A",944,IF(Atletas!U153="Taijiqiang A",945,IF(Atletas!U153="Taijidao B",946,IF(Atletas!U153="Taijishan B",947,IF(Atletas!U153="Taijiqiang B",948,IF(Atletas!U153="Taijidao C",949,IF(Atletas!U153="Taijishan C",950,IF(Atletas!U153="Taijiqiang C",951,IF(Atletas!U153="Taijidao D",952,IF(Atletas!U153="Taijishan D",953,IF(Atletas!U153="Taijiqiang D",954,IF(Atletas!U153="Taijidao E",955,IF(Atletas!U153="Taijishan E",956,IF(Atletas!U153="Taijiqiang E",957,IF(Atletas!U153="Taijidao F",958,IF(Atletas!U153="Taijishan F",959,IF(Atletas!U153="Taijiqiang F",960))))))))))))))))))))</f>
        <v/>
      </c>
      <c r="BX157" s="72" t="str">
        <f>IF(BY157&lt;&gt;"","TJQ Trad. Yang E","")</f>
        <v/>
      </c>
      <c r="BY157" s="72" t="str">
        <f>IF(COUNTIF(BK:BW,1325)&gt;0,COUNTIF(BK:BW,1325),"")</f>
        <v/>
      </c>
      <c r="BZ157" s="72" t="str">
        <f>IF(CA157&lt;&gt;"","TJQ Trad. Yang E","")</f>
        <v/>
      </c>
      <c r="CA157" s="72" t="str">
        <f>IF(COUNTIF(BK:BW,2325)&gt;0,COUNTIF(BK:BW,2325),"")</f>
        <v/>
      </c>
      <c r="CB157" s="72" t="str">
        <f>IF(CC157&lt;&gt;"","Yang E","")</f>
        <v/>
      </c>
      <c r="CC157" s="64" t="str">
        <f>IF(COUNTIF(BK:BW,11325)&gt;0,COUNTIF(BK:BW,11325),"")</f>
        <v/>
      </c>
      <c r="CD157" s="64" t="str">
        <f>IF(CE157&lt;&gt;"","Yang E","")</f>
        <v/>
      </c>
      <c r="CE157" s="64" t="str">
        <f>IF(COUNTIF(BK:BW,12325)&gt;0,COUNTIF(BK:BW,12325),"")</f>
        <v/>
      </c>
      <c r="CF157" s="52" t="str">
        <f xml:space="preserve"> IF(Atletas!V153="","",IF(Atletas!V153="Duilian de Mãos AB - Equipe 1",1,IF(Atletas!V153="Duilian de Mãos AB - Equipe 2",2,IF(Atletas!V153="Duilian de Armas AB - Equipe 1",3,IF(Atletas!V153="Duilian de Armas AB - Equipe 2",4,IF(Atletas!V153="Duilian de Tuishou - Equipe 1",5,IF(Atletas!V153="Duilian de Tuishou - Equipe 2",6,IF(Atletas!V153="Grupo Externo AB - Equipe 1",7,IF(Atletas!V153="Grupo Externo AB - Equipe 2",8,IF(Atletas!V153="Grupo Interno AB - Equipe 1",9,IF(Atletas!V153="Grupo Interno AB - Equipe 2",10,IF(Atletas!V153="Duilian de Mãos CD - Equipe 1",11,IF(Atletas!V153="Duilian de Mãos CD - Equipe 2",12,IF(Atletas!V153="Duilian de Armas CD - Equipe 1",13,IF(Atletas!V153="Duilian de Armas CD - Equipe 2",14,IF(Atletas!V153="Duilian de Tuishou - Equipe 1",15,IF(Atletas!V153="Duilian de Tuishou - Equipe 2",16,IF(Atletas!V153="Grupo Externo CDEF - Equipe 1",17,IF(Atletas!V153="Grupo Externo CDEF - Equipe 2",18,IF(Atletas!V153="Grupo Interno CDEF - Equipe 1",19,IF(Atletas!V153="Grupo Interno CDEF - Equipe 2",20,IF(Atletas!V153="Duilian de Mãos EF - Equipe 1",21,IF(Atletas!V153="Duilian de Mãos EF - Equipe 2",22,IF(Atletas!V153="Duilian de Armas EF - Equipe 1",23,IF(Atletas!V153="Duilian de Armas EF - Equipe 2",24,IF(Atletas!V153="Duilian de Tuishou - Equipe 1",25,IF(Atletas!V153="Duilian de Tuishou - Equipe 2",26,"")))))))))))))))))))))))))))</f>
        <v/>
      </c>
    </row>
    <row r="158" spans="2:84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 t="str">
        <f t="array" ref="V158">IFERROR(INDEX(BX$7:BX$336,SMALL(IF(BX$7:BX$336&lt;&gt;"",ROW(BX$7:BX$336)-ROW(BX$7)+1),ROWS(BX$7:BX157))),"")</f>
        <v/>
      </c>
      <c r="W158" s="4" t="str">
        <f t="array" ref="W158">IFERROR(INDEX(BY$7:BY$336,SMALL(IF(BY$7:BY$336&lt;&gt;"",ROW(BY$7:BY$336)-ROW(BY$7)+1),ROWS(BY$7:BY157))),"")</f>
        <v/>
      </c>
      <c r="X158" s="4" t="str">
        <f t="array" ref="X158">IFERROR(INDEX(BZ$7:BZ$336,SMALL(IF(BZ$7:BZ$336&lt;&gt;"",ROW(BZ$7:BZ$336)-ROW(BZ$7)+1),ROWS(BZ$7:BZ157))),"")</f>
        <v/>
      </c>
      <c r="Y158" s="4" t="str">
        <f t="array" ref="Y158">IFERROR(INDEX(CA$7:CA$336,SMALL(IF(CA$7:CA$336&lt;&gt;"",ROW(CA$7:CA$336)-ROW(CA$7)+1),ROWS(CA$7:CA157))),"")</f>
        <v/>
      </c>
      <c r="Z158" s="4" t="str">
        <f t="array" ref="Z158">IFERROR(INDEX(CB$7:CB$378,SMALL(IF(CB$7:CB$378&lt;&gt;"",ROW(CB$7:CB$378)-ROW(CB$7)+1),ROWS(CB$7:CB157))),"")</f>
        <v/>
      </c>
      <c r="AA158" s="4" t="str">
        <f t="array" ref="AA158">IFERROR(INDEX(CC$7:CC$378,SMALL(IF(CC$7:CC$378&lt;&gt;"",ROW(CC$7:CC$378)-ROW(CC$7)+1),ROWS(CC$7:CC157))),"")</f>
        <v/>
      </c>
      <c r="AB158" s="4" t="str">
        <f t="array" ref="AB158">IFERROR(INDEX(CD$7:CD$378,SMALL(IF(CD$7:CD$378&lt;&gt;"",ROW(CD$7:CD$378)-ROW(CD$7)+1),ROWS(CD$7:CD157))),"")</f>
        <v/>
      </c>
      <c r="AC158" s="4" t="str">
        <f t="array" ref="AC158">IFERROR(INDEX(CE$7:CE$378,SMALL(IF(CE$7:CE$378&lt;&gt;"",ROW(CE$7:CE$378)-ROW(CE$7)+1),ROWS(CE$7:CE157))),"")</f>
        <v/>
      </c>
      <c r="AD158" s="4"/>
      <c r="AE158" s="4"/>
      <c r="AF158" s="4"/>
      <c r="AG158" s="4"/>
      <c r="AH158" s="4"/>
      <c r="AI158" s="4"/>
      <c r="AJ158" s="46" t="str">
        <f>IF(Atletas!D154="","",IF(Atletas!B154="Feminino",100,IF(Atletas!B154="Masculino",200,""))+(IF(Atletas!D154="Infantil 39kg",1,IF(Atletas!D154="Infantil 42kg",2,IF(Atletas!D154="Infantil 45kg",3,IF(Atletas!D154="Infantil 48kg",4,IF(Atletas!D154="Infantil 52kg",5,IF(Atletas!D154="Infantil 56kg",6,IF(Atletas!D154="Infantil 60kg",7,IF(Atletas!D154="Juvenil 48kg",8,IF(Atletas!D154="Juvenil 52kg",9,IF(Atletas!D154="Juvenil 56kg",10,IF(Atletas!D154="Juvenil 60kg",11,IF(Atletas!D154="Juvenil 65kg",12,IF(Atletas!D154="Juvenil 70kg",13,IF(Atletas!D154="Juvenil 75kg",14,IF(Atletas!D154="Juvenil 80kg",15,IF(Atletas!D154="Adulto 48kg",16,IF(Atletas!D154="Adulto 52kg",17,IF(Atletas!D154="Adulto 56kg",18,IF(Atletas!D154="Adulto 60kg",19,IF(Atletas!D154="Adulto 65kg",20,IF(Atletas!D154="Adulto 70kg",21,IF(Atletas!D154="Adulto 75kg",22,IF(Atletas!D154="Adulto 80kg",23,IF(Atletas!D154="Adulto 85kg",24,IF(Atletas!D154="Adulto 90kg",25,IF(Atletas!D154="Adulto +90kg",26,""))))))))))))))))))))))))))))</f>
        <v/>
      </c>
      <c r="AO158" s="10" t="str">
        <f>IF(Atletas!E154="","",IF(Atletas!B154="Feminino",100,IF(Atletas!B154="Masculino",200,""))+(IF(Atletas!E154="Juvenil 44kg",1,IF(Atletas!E154="Juvenil 48kg",2,IF(Atletas!E154="Juvenil 52kg",3,IF(Atletas!E154="Juvenil 56kg",4,IF(Atletas!E154="Juvenil 60kg",5,IF(Atletas!E154="Juvenil 65kg",6,IF(Atletas!E154="Juvenil 70kg",7,IF(Atletas!E154="Juvenil 75kg",8,IF(Atletas!E154="Juvenil 82kg",9,IF(Atletas!E154="Juvenil 90kg",10,IF(Atletas!E154="Juvenil 100kg",11,IF(Atletas!E154="Adulto 48kg",12,IF(Atletas!E154="Adulto 52kg",13,IF(Atletas!E154="Adulto 56kg",14,IF(Atletas!E154="Adulto 60kg",15,IF(Atletas!E154="Adulto 65kg",16,IF(Atletas!E154="Adulto 70kg",17,IF(Atletas!E154="Adulto 75kg",18,IF(Atletas!E154="Adulto 82kg",19,IF(Atletas!E154="Adulto 90kg",20,IF(Atletas!E154="Adulto 100kg",21,IF(Atletas!E154="Adulto +100kg",22,""))))))))))))))))))))))))</f>
        <v/>
      </c>
      <c r="AT158" s="10" t="str">
        <f>IF(Atletas!F154="","",IF(Atletas!B154="Feminino",100,IF(Atletas!B154="Masculino",200,""))+(IF(Atletas!F154="Adulto 48kg",1,IF(Atletas!F154="Adulto 56kg",2,IF(Atletas!F154="Adulto 65kg",3,IF(Atletas!F154="Adulto 75kg",4,IF(Atletas!F154="Adulto +75kg",5,IF(Atletas!F154="Adulto 52kg",6,IF(Atletas!F154="Adulto 60kg",7,IF(Atletas!F154="Adulto 70kg",8,IF(Atletas!F154="Adulto 80kg",9,IF(Atletas!F154="Adulto 90kg",10,IF(Atletas!F154="Adulto +90kg",11,"")))))))))))))</f>
        <v/>
      </c>
      <c r="AY158" s="46" t="str">
        <f>IF(Atletas!G154="","",IF(Atletas!B154="Feminino",100,IF(Atletas!B154="Masculino",200,""))+(IF(Atletas!G154="Changquan Mirim",1,IF(Atletas!G154="Nanquan Mirim",2,IF(Atletas!G154="Taijiquan Mirim",3,IF(Atletas!G154="Changquan Grupo C",4,IF(Atletas!G154="Nanquan Grupo C",5,IF(Atletas!G154="Taijiquan Grupo C",6,IF(Atletas!G154="Changquan Grupo B",7,IF(Atletas!G154="Nanquan Grupo B",8,IF(Atletas!G154="Taijiquan Grupo B",9,IF(Atletas!G154="Changquan Grupo A",10,IF(Atletas!G154="Nanquan Grupo A",11,IF(Atletas!G154="Taijiquan Grupo A",12,IF(Atletas!G154="Changquan Opcional",13,IF(Atletas!G154="Nanquan Opcional",14,IF(Atletas!G154="Taijiquan Opcional",15,IF(Atletas!G154="Changquan Adulto",16,IF(Atletas!G154="Nanquan Adulto",17,IF(Atletas!G154="Taijiquan Adulto",18,""))))))))))))))))))))</f>
        <v/>
      </c>
      <c r="AZ158" s="46" t="str">
        <f>IF(Atletas!H154="","",IF(Atletas!B154="Feminino",100,IF(Atletas!B154="Masculino",200,""))+(IF(Atletas!H154="Daoshu Mirim",19,IF(Atletas!H154="Jianshu Mirim",20,IF(Atletas!H154="Nandao Mirim",21,IF(Atletas!H154="Taijijian Mirim",22,IF(Atletas!H154="Daoshu Grupo C",23,IF(Atletas!H154="Jianshu Grupo C",24,IF(Atletas!H154="Nandao Grupo C",25,IF(Atletas!H154="Taijijian Grupo C",26,IF(Atletas!H154="Daoshu Grupo B",27,IF(Atletas!H154="Jianshu Grupo B",28,IF(Atletas!H154="Nandao Grupo B",29,IF(Atletas!H154="Taijijian Grupo B",30,IF(Atletas!H154="Daoshu Grupo A",31,IF(Atletas!H154="Jianshu Grupo A",32,IF(Atletas!H154="Nandao Grupo A",33,IF(Atletas!H154="Taijijian Grupo A",34,IF(Atletas!H154="Daoshu Opcional",35,IF(Atletas!H154="Jianshu Opcional",36,IF(Atletas!H154="Nandao Opcional",37,IF(Atletas!H154="Taijijian Opcional",38,IF(Atletas!H154="Daoshu Adulto",39,IF(Atletas!H154="Jianshu Adulto",40,IF(Atletas!H154="Nandao Adulto",41,IF(Atletas!H154="Taijijian Adulto",42,""))))))))))))))))))))))))))</f>
        <v/>
      </c>
      <c r="BA158" s="46" t="str">
        <f>IF(Atletas!I154="","",IF(Atletas!B154="Feminino",100,IF(Atletas!B154="Masculino",200,""))+(IF(Atletas!I154="Gunshu Mirim",43,IF(Atletas!I154="Qiangshu Mirim",44,IF(Atletas!I154="Nangun Mirim",45,IF(Atletas!I154="Gunshu Grupo C",46,IF(Atletas!I154="Qiangshu Grupo C",47,IF(Atletas!I154="Nangun Grupo C",48,IF(Atletas!I154="Gunshu Grupo B",49,IF(Atletas!I154="Qiangshu Grupo B",50,IF(Atletas!I154="Nangun Grupo B",51,IF(Atletas!I154="Gunshu Grupo A",52,IF(Atletas!I154="Qiangshu Grupo A",53,IF(Atletas!I154="Nangun Grupo A",54,IF(Atletas!I154="Gunshu Opcional",55,IF(Atletas!I154="Qiangshu Opcional",56,IF(Atletas!I154="Nangun Opcional",57,IF(Atletas!I154="Gunshu Adulto",58,IF(Atletas!I154="Qiangshu Adulto",59,IF(Atletas!I154="Nangun Adulto",60,""))))))))))))))))))))</f>
        <v/>
      </c>
      <c r="BF158" s="52" t="str">
        <f>IF(Atletas!J154="","",IF(Atletas!B154="Feminino",100,IF(Atletas!B154="Masculino",200,""))+(IF(Atletas!J154="Equipe 1 Grupo B",1,IF(Atletas!J154="Equipe 2 Grupo B",2,IF(Atletas!J154="Equipe 1 Grupo A",3,IF(Atletas!J154="Equipe 2 Grupo A",4,IF(Atletas!J154="Equipe 1 Adulto",5,IF(Atletas!J154="Equipe 2 Adulto",6,""))))))))</f>
        <v/>
      </c>
      <c r="BK158" s="52" t="str">
        <f>IF(Atletas!K154="","",IF(Atletas!W154&lt;&gt;"",10000,0)+(IF(Atletas!B154="Feminino",1000,IF(Atletas!B154="Masculino",2000,""))+IF(Atletas!K154="Choylayfut A",1,IF(Atletas!K154="Hunggar A",2,IF(Atletas!K154="Wuzuquan A",3,IF(Atletas!K154="Wingchun A",4,IF(Atletas!K154="Outra Mão de Sul A",5,IF(Atletas!K154="Choylayfut B",6,IF(Atletas!K154="Hunggar B",7,IF(Atletas!K154="Wuzuquan B",8,IF(Atletas!K154="Wingchun B",9,IF(Atletas!K154="Outra Mão de Sul B",10,IF(Atletas!K154="Choylayfut C",11,IF(Atletas!K154="Hunggar C",12,IF(Atletas!K154="Wuzuquan C",13,IF(Atletas!K154="Wingchun C",14,IF(Atletas!K154="Outra Mão de Sul C",15,IF(Atletas!K154="Choylayfut D",16,IF(Atletas!K154="Hunggar D",17,IF(Atletas!K154="Wuzuquan D",18,IF(Atletas!K154="Wingchun D",19,IF(Atletas!K154="Outra Mão de Sul D",20,IF(Atletas!K154="Choylayfut E",21,IF(Atletas!K154="Hunggar E",22,IF(Atletas!K154="Wuzuquan E",23,IF(Atletas!K154="Wingchun E",24,IF(Atletas!K154="Outra Mão de Sul E",25,IF(Atletas!K154="Choylayfut F",26,IF(Atletas!K154="Hunggar F",27,IF(Atletas!K154="Wuzuquan F",28,IF(Atletas!K154="Wingchun F",29,IF(Atletas!K154="Outra Mão de Sul F",30,""))))))))))))))))))))))))))))))))</f>
        <v/>
      </c>
      <c r="BL158" s="52" t="str">
        <f>IF(Atletas!L154="","",IF(Atletas!W154&lt;&gt;"",10000,0)+(IF(Atletas!B154="Feminino",1000,IF(Atletas!B154="Masculino",2000,""))+(IF(Atletas!L154="Chaquan A",101,IF(Atletas!L154="Emeiquan A",102,IF(Atletas!L154="Fanziquan A",103,IF(Atletas!L154="Huaquan A",104,IF(Atletas!L154="Hongquan A",105,IF(Atletas!L154="Paochui A",106,IF(Atletas!L154="Piguaquan A",107,IF(Atletas!L154="Shaolinquan A",108,IF(Atletas!L154="Tanglangquan A",109,IF(Atletas!L154="Yinzhaophai A",110,IF(Atletas!L154="Tongbeiquan A",111,IF(Atletas!L154="Wudangquan A",112,IF(Atletas!L154="Outros Estilos A",113,IF(Atletas!L154="Chaquan B",114,IF(Atletas!L154="Emeiquan B",115,IF(Atletas!L154="Fanziquan B",116,IF(Atletas!L154="Huaquan B",117,IF(Atletas!L154="Hongquan B",118,IF(Atletas!L154="Paochui B",119,IF(Atletas!L154="Piguaquan B",120,IF(Atletas!L154="Shaolinquan B",121,IF(Atletas!L154="Tanglangquan B",122,IF(Atletas!L154="Yinzhaophai B",123,IF(Atletas!L154="Tongbeiquan B",124,IF(Atletas!L154="Wudangquan B",125,IF(Atletas!L154="Outros Estilos B",126,IF(Atletas!L154="Chaquan C",127,IF(Atletas!L154="Emeiquan C",128,IF(Atletas!L154="Fanziquan C",129,IF(Atletas!L154="Huaquan C",130,IF(Atletas!L154="Hongquan C",131,IF(Atletas!L154="Paochui C",132,IF(Atletas!L154="Piguaquan C",133,IF(Atletas!L154="Shaolinquan C",134,IF(Atletas!L154="Tanglangquan C",135,IF(Atletas!L154="Yinzhaophai C",136,IF(Atletas!L154="Tongbeiquan C",137,IF(Atletas!L154="Wudangquan C",138,IF(Atletas!L154="Outros Estilos C",139,0))))))))))))))))))))))))))))))))))))))))))</f>
        <v/>
      </c>
      <c r="BM158" s="52" t="str">
        <f>IF(Atletas!L154="","",IF(Atletas!W154&lt;&gt;"",10000,0)+(IF(Atletas!B154="Feminino",1000,IF(Atletas!B154="Masculino",2000,""))+(IF(Atletas!L154="Chaquan D",140,IF(Atletas!L154="Emeiquan D",141,IF(Atletas!L154="Fanziquan D",142,IF(Atletas!L154="Huaquan D",143,IF(Atletas!L154="Hongquan D",144,IF(Atletas!L154="Paochui D",145,IF(Atletas!L154="Piguaquan D",146,IF(Atletas!L154="Shaolinquan D",147,IF(Atletas!L154="Tanglangquan D",148,IF(Atletas!L154="Yinzhaophai D",149,IF(Atletas!L154="Tongbeiquan D",150,IF(Atletas!L154="Wudangquan D",151,IF(Atletas!L154="Outros Estilos D",152,IF(Atletas!L154="Chaquan E",153,IF(Atletas!L154="Emeiquan E",154,IF(Atletas!L154="Fanziquan E",155,IF(Atletas!L154="Huaquan E",156,IF(Atletas!L154="Hongquan E",157,IF(Atletas!L154="Paochui E",158,IF(Atletas!L154="Piguaquan E",159,IF(Atletas!L154="Shaolinquan E",160,IF(Atletas!L154="Tanglangquan E",161,IF(Atletas!L154="Yinzhaophai E",162,IF(Atletas!L154="Tongbeiquan E",163,IF(Atletas!L154="Wudangquan E",164,IF(Atletas!L154="Outros Estilos E",165,IF(Atletas!L154="Chaquan F",166,IF(Atletas!L154="Emeiquan F",167,IF(Atletas!L154="Fanziquan F",168,IF(Atletas!L154="Huaquan F",169,IF(Atletas!L154="Hongquan F",170,IF(Atletas!L154="Paochui F",171,IF(Atletas!L154="Piguaquan F",172,IF(Atletas!L154="Shaolinquan F",173,IF(Atletas!L154="Tanglangquan F",174,IF(Atletas!L154="Yinzhaophai F",175,IF(Atletas!L154="Tongbeiquan F",176,IF(Atletas!L154="Wudangquan F",177,IF(Atletas!L154="Outros Estilos F",178,0))))))))))))))))))))))))))))))))))))))))))</f>
        <v/>
      </c>
      <c r="BN158" s="52" t="str">
        <f>IF(Atletas!M154="","",IF(Atletas!W154&lt;&gt;"",10000,0)+(IF(Atletas!B154="Feminino",1000,IF(Atletas!B154="Masculino",2000,""))+(IF(Atletas!M154="Ditangquan A",201,IF(Atletas!M154="Houquan A",202,IF(Atletas!M154="Zuiquan A",203,IF(Atletas!M154="Ditangquan B",204,IF(Atletas!M154="Houquan B",205,IF(Atletas!M154="Zuiquan B",206,IF(Atletas!M154="Ditangquan C",207,IF(Atletas!M154="Houquan C",208,IF(Atletas!M154="Zuiquan C",209,IF(Atletas!M154="Ditangquan D",210,IF(Atletas!M154="Houquan D",211,IF(Atletas!M154="Zuiquan D",212,IF(Atletas!M154="Ditangquan E",213,IF(Atletas!M154="Houquan E",214,IF(Atletas!M154="Zuiquan E",215,IF(Atletas!M154="Ditangquan F",216,IF(Atletas!M154="Houquan F",217,IF(Atletas!M154="Zuiquan F",218,"")))))))))))))))))))))</f>
        <v/>
      </c>
      <c r="BO158" s="52" t="str">
        <f>IF(Atletas!N154="","",IF(Atletas!W154&lt;&gt;"",10000,0)+IF(Atletas!B154="Feminino",1000,IF(Atletas!B154="Masculino",2000,""))+IF(Atletas!N154="Yang A",301,IF(Atletas!N154="Chen A",30,IF(Atletas!N154="Sun A",303,IF(Atletas!N154="Wu A",304,IF(Atletas!N154="Wu-Hao A",305,IF(Atletas!N154="Outro Taijiquan A",306,IF(Atletas!N154="Yang B",307,IF(Atletas!N154="Chen B",308,IF(Atletas!N154="Sun B",309,IF(Atletas!N154="Wu B",310,IF(Atletas!N154="Wu-Hao B",311,IF(Atletas!N154="Outro Taijiquan B",312,IF(Atletas!N154="Yang C",313,IF(Atletas!N154="Chen C",314,IF(Atletas!N154="Sun C",315,IF(Atletas!N154="Wu C",316,IF(Atletas!N154="Wu-Hao C",317,IF(Atletas!N154="Outro Taijiquan C",318,IF(Atletas!N154="Yang D",319,IF(Atletas!N154="Chen D",320,IF(Atletas!N154="Sun D",321,IF(Atletas!N154="Wu D",322,IF(Atletas!N154="Wu-Hao D",323,IF(Atletas!N154="Outro Taijiquan D",324,IF(Atletas!N154="Yang E",325,IF(Atletas!N154="Chen E",326,IF(Atletas!N154="Sun E",327,IF(Atletas!N154="Wu E",328,IF(Atletas!N154="Wu-Hao E",329,IF(Atletas!N154="Outro Taijiquan E",330,IF(Atletas!N154="Yang F",331,IF(Atletas!N154="Chen F",332,IF(Atletas!N154="Sun F",333,IF(Atletas!N154="Wu F",334,IF(Atletas!N154="Wu-Hao F",335,IF(Atletas!N154="Outro Taijiquan F",336,"")))))))))))))))))))))))))))))))))))))</f>
        <v/>
      </c>
      <c r="BP158" s="52" t="str">
        <f>IF(Atletas!O154="","",IF(Atletas!W154&lt;&gt;"",10000,0)+IF(Atletas!B154="Feminino",1000,IF(Atletas!B154="Masculino",2000,""))+IF(OR(Atletas!O154="Yang 26 A",Atletas!O154="Yang 40 A"),401,IF(OR(Atletas!O154="Chen 25 A",Atletas!O154="Chen 36 A",Atletas!O154="Chen 56 A"),402,IF(Atletas!O154="Sun 73 A",403,IF(Atletas!O154="Wu 45 A",404,IF(Atletas!O154="Wu-Hao 46 A",405,IF(OR(Atletas!O154="Taijiquan 16 A",Atletas!O154="Taijiquan 24 A",Atletas!O154="Taijiquan 32 A",Atletas!O154="Taijiquan 42 A"),406,IF(OR(Atletas!O154="Yang 26 B",Atletas!O154="Yang 40 B"),407,IF(OR(Atletas!O154="Chen 25 B",Atletas!O154="Chen 36 B",Atletas!O154="Chen 56 B"),408,IF(Atletas!O154="Sun 73 B",409,IF(Atletas!O154="Wu 45 B",410,IF(Atletas!O154="Wu-Hao 46 B",411,IF(OR(Atletas!O154="Taijiquan 16 B",Atletas!O154="Taijiquan 24 B",Atletas!O154="Taijiquan 32 B",Atletas!O154="Taijiquan 42 B"),412,IF(OR(Atletas!O154="Yang 26 C",Atletas!O154="Yang 40 C"),413,IF(OR(Atletas!O154="Chen 25 C",Atletas!O154="Chen 36 C",Atletas!O154="Chen 56 C"),414,IF(Atletas!O154="Sun 73 C",415,IF(Atletas!O154="Wu 45 C",416,IF(Atletas!O154="Wu-Hao 46 C",417,IF(OR(Atletas!O154="Taijiquan 16 C",Atletas!O154="Taijiquan 24 C",Atletas!O154="Taijiquan 32 C",Atletas!O154="Taijiquan 42 C"),418,0)))))))))))))))))))</f>
        <v/>
      </c>
      <c r="BQ158" s="52" t="str">
        <f>IF(Atletas!O154="","",IF(Atletas!W154&lt;&gt;"",10000,0)+IF(Atletas!B154="Feminino",1000,IF(Atletas!B154="Masculino",2000,""))+IF(OR(Atletas!O154="Yang 26 D",Atletas!O154="Yang 40 D"),419,IF(OR(Atletas!O154="Chen 25 D",Atletas!O154="Chen 36 D",Atletas!O154="Chen 56 D"),420,IF(Atletas!O154="Sun 73 D",421,IF(Atletas!O154="Wu 45 D",422,IF(Atletas!O154="Wu-Hao 46 D",423,IF(OR(Atletas!O154="Taijiquan 16 D",Atletas!O154="Taijiquan 24 D",Atletas!O154="Taijiquan 32 D",Atletas!O154="Taijiquan 42 D"),424,IF(OR(Atletas!O154="Yang 26 E",Atletas!O154="Yang 40 E"),425,IF(OR(Atletas!O154="Chen 25 E",Atletas!O154="Chen 36 E",Atletas!O154="Chen 56 E"),426,IF(Atletas!O154="Sun 73 E",427,IF(Atletas!O154="Wu 45 E",428,IF(Atletas!O154="Wu-Hao 46 E",429,IF(OR(Atletas!O154="Taijiquan 16 E",Atletas!O154="Taijiquan 24 E",Atletas!O154="Taijiquan 32 E",Atletas!O154="Taijiquan 42 E"),430,IF(OR(Atletas!O154="Yang 26 F",Atletas!O154="Yang 40 F"),431,IF(OR(Atletas!O154="Chen 25 F",Atletas!O154="Chen 36 F",Atletas!O154="Chen 56 F"),432,IF(Atletas!O154="Sun 73 F",433,IF(Atletas!O154="Wu 45 F",434,IF(Atletas!O154="Wu-Hao 46 F",435,IF(OR(Atletas!O154="Taijiquan 16 F",Atletas!O154="Taijiquan 24 F",Atletas!O154="Taijiquan 32 F",Atletas!O154="Taijiquan 42 F"),436,0)))))))))))))))))))</f>
        <v/>
      </c>
      <c r="BR158" s="52" t="str">
        <f>IF(Atletas!P154="","",IF(Atletas!W154&lt;&gt;"",10000,0)+IF(Atletas!B154="Feminino",1000,IF(Atletas!B154="Masculino",2000,""))+IF(Atletas!P154="Xingyiquan A",501,IF(Atletas!P154="Baguazhang A",502,IF(Atletas!P154="Outro Estilo Interno A",503,IF(Atletas!P154="Xingyiquan B",504,IF(Atletas!P154="Baguazhang B",505,IF(Atletas!P154="Outro Estilo Interno B",506,IF(Atletas!P154="Xingyiquan C",507,IF(Atletas!P154="Baguazhang C",508,IF(Atletas!P154="Outro Estilo Interno C",509,IF(Atletas!P154="Xingyiquan D",510,IF(Atletas!P154="Baguazhang D",511,IF(Atletas!P154="Outro Estilo Interno D",512,IF(Atletas!P154="Xingyiquan E",513,IF(Atletas!P154="Baguazhang E",514,IF(Atletas!P154="Outro Estilo Interno E",515,IF(Atletas!P154="Xingyiquan F",516,IF(Atletas!P154="Baguazhang F",517,IF(Atletas!P154="Outro Estilo Interno F",518, "")))))))))))))))))))</f>
        <v/>
      </c>
      <c r="BS158" s="52" t="str">
        <f>IF(Atletas!Q154="","",IF(Atletas!W154&lt;&gt;"",10000,0)+IF(Atletas!B154="Feminino",1000,IF(Atletas!B154="Masculino",2000,""))+IF(Atletas!Q154="Dao A",601,IF(Atletas!Q154="Jian A",602,IF(Atletas!Q154="Bishou A",603,IF(Atletas!Q154="Shan A",604,IF(Atletas!Q154="Outra Arma Curta A",605,IF(Atletas!Q154="Dao B",606,IF(Atletas!Q154="Jian B",607,IF(Atletas!Q154="Bishou B",608,IF(Atletas!Q154="Shan B",609,IF(Atletas!Q154="Outra Arma Curta B",610,IF(Atletas!Q154="Dao C",611,IF(Atletas!Q154="Jian C",612,IF(Atletas!Q154="Bishou C",613,IF(Atletas!Q154="Shan C",614,IF(Atletas!Q154="Outra Arma Curta C",615,IF(Atletas!Q154="Dao D",616,IF(Atletas!Q154="Jian D",617,IF(Atletas!Q154="Bishou D",618,IF(Atletas!Q154="Shan D",619,IF(Atletas!Q154="Outra Arma Curta D",620,IF(Atletas!Q154="Dao E",621,IF(Atletas!Q154="Jian E",622,IF(Atletas!Q154="Bishou E",623,IF(Atletas!Q154="Shan E",624,IF(Atletas!Q154="Outra Arma Curta E",625,IF(Atletas!Q154="Dao F",626,IF(Atletas!Q154="Jian F",627,IF(Atletas!Q154="Bishou F",628,IF(Atletas!Q154="Shan F",629,IF(Atletas!Q154="Outra Arma Curta F",630, "")))))))))))))))))))))))))))))))</f>
        <v/>
      </c>
      <c r="BT158" s="52" t="str">
        <f>IF(Atletas!R154="","",IF(Atletas!W154&lt;&gt;"",10000,0)+IF(Atletas!B154="Feminino",1000,IF(Atletas!B154="Masculino",2000,""))+IF(Atletas!R154="Gun A",701,IF(Atletas!R154="Qiang A",702,IF(Atletas!R154="Pudao / Guandao A",703,IF(Atletas!R154="Outra Arma Longa A",704,IF(Atletas!R154="Gun B",705,IF(Atletas!R154="Qiang B",706,IF(Atletas!R154="Pudao / Guandao B",707,IF(Atletas!R154="Outra Arma Longa B",708,IF(Atletas!R154="Gun C",709,IF(Atletas!R154="Qiang C",710,IF(Atletas!R154="Pudao / Guandao C",711,IF(Atletas!R154="Outra Arma Longa C",712,IF(Atletas!R154="Gun D",713,IF(Atletas!R154="Qiang D",714,IF(Atletas!R154="Pudao / Guandao D",715,IF(Atletas!R154="Outra Arma Longa D",716,IF(Atletas!R154="Gun E",717,IF(Atletas!R154="Qiang E",718,IF(Atletas!R154="Pudao / Guandao E",719,IF(Atletas!R154="Outra Arma Longa E",720,IF(Atletas!R154="Gun F",721,IF(Atletas!R154="Qiang F",722,IF(Atletas!R154="Pudao / Guandao F",723,IF(Atletas!R154="Outra Arma Longa F",724,"")))))))))))))))))))))))))</f>
        <v/>
      </c>
      <c r="BU158" s="52" t="str">
        <f>IF(Atletas!S154="","",IF(Atletas!W154&lt;&gt;"",10000,0)+IF(Atletas!B154="Feminino",1000,IF(Atletas!B154="Masculino",2000,""))+IF(Atletas!S154="Arma Dupla A",801,IF(Atletas!S154="Arma Maleável A",802,IF(Atletas!S154="Arma Dupla B",803,IF(Atletas!S154="Arma Maleável B",804,IF(Atletas!S154="Arma Dupla C",805,IF(Atletas!S154="Arma Maleável C",806,IF(Atletas!S154="Arma Dupla D",807,IF(Atletas!S154="Arma Maleável D",808,IF(Atletas!S154="Arma Dupla E",809,IF(Atletas!S154="Arma Maleável E",810,IF(Atletas!S154="Arma Dupla F",811,IF(Atletas!S154="Arma Maleável F",812, "")))))))))))))</f>
        <v/>
      </c>
      <c r="BV158" s="52" t="str">
        <f>IF(Atletas!T154="","",IF(Atletas!W154&lt;&gt;"",10000,0)+IF(Atletas!B154="Feminino",1000,IF(Atletas!B154="Masculino",2000,""))+IF(Atletas!T154="Taijijian Yang A",901,IF(Atletas!T154="Taijijian Chen A",902,IF(Atletas!T154="Taijijian Sun A",903,IF(Atletas!T154="Taijijian Wu A",904,IF(Atletas!T154="Taijijian Wu-Hao A",905,IF(Atletas!T154="Taijijian 32 A",906,IF(Atletas!T154="Taijijian 42 A",907,IF(Atletas!T154="Taijijian Yang B",908,IF(Atletas!T154="Taijijian Chen B",909,IF(Atletas!T154="Taijijian Sun B",910,IF(Atletas!T154="Taijijian Wu B",911,IF(Atletas!T154="Taijijian Wu-Hao B",912,IF(Atletas!T154="Taijijian 32 B",913,IF(Atletas!T154="Taijijian 42 B",914,IF(Atletas!T154="Taijijian Yang C",915,IF(Atletas!T154="Taijijian Chen C",916,IF(Atletas!T154="Taijijian Sun C",917,IF(Atletas!T154="Taijijian Wu C",918,IF(Atletas!T154="Taijijian Wu-Hao C",919,IF(Atletas!T154="Taijijian 32 C",920,IF(Atletas!T154="Taijijian 42 C",921,IF(Atletas!T154="Taijijian Yang D",922,IF(Atletas!T154="Taijijian Chen D",923,IF(Atletas!T154="Taijijian Sun D",924,IF(Atletas!T154="Taijijian Wu D",925,IF(Atletas!T154="Taijijian Wu-Hao D",926,IF(Atletas!T154="Taijijian 32 D",927,IF(Atletas!T154="Taijijian 42 D",928,IF(Atletas!T154="Taijijian Yang E",929,IF(Atletas!T154="Taijijian Chen E",930,IF(Atletas!T154="Taijijian Sun E",931,IF(Atletas!T154="Taijijian Wu E",932,IF(Atletas!T154="Taijijian Wu-Hao E",933,IF(Atletas!T154="Taijijian 32 E",934,IF(Atletas!T154="Taijijian 42 E",935,IF(Atletas!T154="Taijijian Yang F",936,IF(Atletas!T154="Taijijian Chen F",937,IF(Atletas!T154="Taijijian Sun F",938,IF(Atletas!T154="Taijijian Wu F",939,IF(Atletas!T154="Taijijian Wu-Hao F",940,IF(Atletas!T154="Taijijian 32 F",941,IF(Atletas!T154="Taijijian 42 F",942,"")))))))))))))))))))))))))))))))))))))))))))</f>
        <v/>
      </c>
      <c r="BW158" s="52" t="str">
        <f>IF(Atletas!U154="","",IF(Atletas!W154&lt;&gt;"",10000,0)+IF(Atletas!B154="Feminino",1000,IF(Atletas!B154="Masculino",2000,""))+IF(Atletas!T154="Taijijian 42 F",942,IF(Atletas!U154="Taijidao A",943,IF(Atletas!U154="Taijishan A",944,IF(Atletas!U154="Taijiqiang A",945,IF(Atletas!U154="Taijidao B",946,IF(Atletas!U154="Taijishan B",947,IF(Atletas!U154="Taijiqiang B",948,IF(Atletas!U154="Taijidao C",949,IF(Atletas!U154="Taijishan C",950,IF(Atletas!U154="Taijiqiang C",951,IF(Atletas!U154="Taijidao D",952,IF(Atletas!U154="Taijishan D",953,IF(Atletas!U154="Taijiqiang D",954,IF(Atletas!U154="Taijidao E",955,IF(Atletas!U154="Taijishan E",956,IF(Atletas!U154="Taijiqiang E",957,IF(Atletas!U154="Taijidao F",958,IF(Atletas!U154="Taijishan F",959,IF(Atletas!U154="Taijiqiang F",960))))))))))))))))))))</f>
        <v/>
      </c>
      <c r="BX158" s="72" t="str">
        <f>IF(BY158&lt;&gt;"","TJQ Trad. Chen E","")</f>
        <v/>
      </c>
      <c r="BY158" s="72" t="str">
        <f>IF(COUNTIF(BK:BW,1326)&gt;0,COUNTIF(BK:BW,1326),"")</f>
        <v/>
      </c>
      <c r="BZ158" s="72" t="str">
        <f>IF(CA158&lt;&gt;"","TJQ Trad. Chen E","")</f>
        <v/>
      </c>
      <c r="CA158" s="72" t="str">
        <f>IF(COUNTIF(BK:BW,2326)&gt;0,COUNTIF(BK:BW,2326),"")</f>
        <v/>
      </c>
      <c r="CB158" s="72" t="str">
        <f>IF(CC158&lt;&gt;"","Chen E","")</f>
        <v/>
      </c>
      <c r="CC158" s="64" t="str">
        <f>IF(COUNTIF(BK:BW,11326)&gt;0,COUNTIF(BK:BW,11326),"")</f>
        <v/>
      </c>
      <c r="CD158" s="64" t="str">
        <f>IF(CE158&lt;&gt;"","Chen E","")</f>
        <v/>
      </c>
      <c r="CE158" s="64" t="str">
        <f>IF(COUNTIF(BK:BW,12326)&gt;0,COUNTIF(BK:BW,12326),"")</f>
        <v/>
      </c>
      <c r="CF158" s="52" t="str">
        <f xml:space="preserve"> IF(Atletas!V154="","",IF(Atletas!V154="Duilian de Mãos AB - Equipe 1",1,IF(Atletas!V154="Duilian de Mãos AB - Equipe 2",2,IF(Atletas!V154="Duilian de Armas AB - Equipe 1",3,IF(Atletas!V154="Duilian de Armas AB - Equipe 2",4,IF(Atletas!V154="Duilian de Tuishou - Equipe 1",5,IF(Atletas!V154="Duilian de Tuishou - Equipe 2",6,IF(Atletas!V154="Grupo Externo AB - Equipe 1",7,IF(Atletas!V154="Grupo Externo AB - Equipe 2",8,IF(Atletas!V154="Grupo Interno AB - Equipe 1",9,IF(Atletas!V154="Grupo Interno AB - Equipe 2",10,IF(Atletas!V154="Duilian de Mãos CD - Equipe 1",11,IF(Atletas!V154="Duilian de Mãos CD - Equipe 2",12,IF(Atletas!V154="Duilian de Armas CD - Equipe 1",13,IF(Atletas!V154="Duilian de Armas CD - Equipe 2",14,IF(Atletas!V154="Duilian de Tuishou - Equipe 1",15,IF(Atletas!V154="Duilian de Tuishou - Equipe 2",16,IF(Atletas!V154="Grupo Externo CDEF - Equipe 1",17,IF(Atletas!V154="Grupo Externo CDEF - Equipe 2",18,IF(Atletas!V154="Grupo Interno CDEF - Equipe 1",19,IF(Atletas!V154="Grupo Interno CDEF - Equipe 2",20,IF(Atletas!V154="Duilian de Mãos EF - Equipe 1",21,IF(Atletas!V154="Duilian de Mãos EF - Equipe 2",22,IF(Atletas!V154="Duilian de Armas EF - Equipe 1",23,IF(Atletas!V154="Duilian de Armas EF - Equipe 2",24,IF(Atletas!V154="Duilian de Tuishou - Equipe 1",25,IF(Atletas!V154="Duilian de Tuishou - Equipe 2",26,"")))))))))))))))))))))))))))</f>
        <v/>
      </c>
    </row>
    <row r="159" spans="2:84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 t="str">
        <f t="array" ref="V159">IFERROR(INDEX(BX$7:BX$336,SMALL(IF(BX$7:BX$336&lt;&gt;"",ROW(BX$7:BX$336)-ROW(BX$7)+1),ROWS(BX$7:BX158))),"")</f>
        <v/>
      </c>
      <c r="W159" s="4" t="str">
        <f t="array" ref="W159">IFERROR(INDEX(BY$7:BY$336,SMALL(IF(BY$7:BY$336&lt;&gt;"",ROW(BY$7:BY$336)-ROW(BY$7)+1),ROWS(BY$7:BY158))),"")</f>
        <v/>
      </c>
      <c r="X159" s="4" t="str">
        <f t="array" ref="X159">IFERROR(INDEX(BZ$7:BZ$336,SMALL(IF(BZ$7:BZ$336&lt;&gt;"",ROW(BZ$7:BZ$336)-ROW(BZ$7)+1),ROWS(BZ$7:BZ158))),"")</f>
        <v/>
      </c>
      <c r="Y159" s="4" t="str">
        <f t="array" ref="Y159">IFERROR(INDEX(CA$7:CA$336,SMALL(IF(CA$7:CA$336&lt;&gt;"",ROW(CA$7:CA$336)-ROW(CA$7)+1),ROWS(CA$7:CA158))),"")</f>
        <v/>
      </c>
      <c r="Z159" s="4" t="str">
        <f t="array" ref="Z159">IFERROR(INDEX(CB$7:CB$378,SMALL(IF(CB$7:CB$378&lt;&gt;"",ROW(CB$7:CB$378)-ROW(CB$7)+1),ROWS(CB$7:CB158))),"")</f>
        <v/>
      </c>
      <c r="AA159" s="4" t="str">
        <f t="array" ref="AA159">IFERROR(INDEX(CC$7:CC$378,SMALL(IF(CC$7:CC$378&lt;&gt;"",ROW(CC$7:CC$378)-ROW(CC$7)+1),ROWS(CC$7:CC158))),"")</f>
        <v/>
      </c>
      <c r="AB159" s="4" t="str">
        <f t="array" ref="AB159">IFERROR(INDEX(CD$7:CD$378,SMALL(IF(CD$7:CD$378&lt;&gt;"",ROW(CD$7:CD$378)-ROW(CD$7)+1),ROWS(CD$7:CD158))),"")</f>
        <v/>
      </c>
      <c r="AC159" s="4" t="str">
        <f t="array" ref="AC159">IFERROR(INDEX(CE$7:CE$378,SMALL(IF(CE$7:CE$378&lt;&gt;"",ROW(CE$7:CE$378)-ROW(CE$7)+1),ROWS(CE$7:CE158))),"")</f>
        <v/>
      </c>
      <c r="AD159" s="4"/>
      <c r="AE159" s="4"/>
      <c r="AF159" s="4"/>
      <c r="AG159" s="4"/>
      <c r="AH159" s="4"/>
      <c r="AI159" s="4"/>
      <c r="AJ159" s="46" t="str">
        <f>IF(Atletas!D155="","",IF(Atletas!B155="Feminino",100,IF(Atletas!B155="Masculino",200,""))+(IF(Atletas!D155="Infantil 39kg",1,IF(Atletas!D155="Infantil 42kg",2,IF(Atletas!D155="Infantil 45kg",3,IF(Atletas!D155="Infantil 48kg",4,IF(Atletas!D155="Infantil 52kg",5,IF(Atletas!D155="Infantil 56kg",6,IF(Atletas!D155="Infantil 60kg",7,IF(Atletas!D155="Juvenil 48kg",8,IF(Atletas!D155="Juvenil 52kg",9,IF(Atletas!D155="Juvenil 56kg",10,IF(Atletas!D155="Juvenil 60kg",11,IF(Atletas!D155="Juvenil 65kg",12,IF(Atletas!D155="Juvenil 70kg",13,IF(Atletas!D155="Juvenil 75kg",14,IF(Atletas!D155="Juvenil 80kg",15,IF(Atletas!D155="Adulto 48kg",16,IF(Atletas!D155="Adulto 52kg",17,IF(Atletas!D155="Adulto 56kg",18,IF(Atletas!D155="Adulto 60kg",19,IF(Atletas!D155="Adulto 65kg",20,IF(Atletas!D155="Adulto 70kg",21,IF(Atletas!D155="Adulto 75kg",22,IF(Atletas!D155="Adulto 80kg",23,IF(Atletas!D155="Adulto 85kg",24,IF(Atletas!D155="Adulto 90kg",25,IF(Atletas!D155="Adulto +90kg",26,""))))))))))))))))))))))))))))</f>
        <v/>
      </c>
      <c r="AO159" s="10" t="str">
        <f>IF(Atletas!E155="","",IF(Atletas!B155="Feminino",100,IF(Atletas!B155="Masculino",200,""))+(IF(Atletas!E155="Juvenil 44kg",1,IF(Atletas!E155="Juvenil 48kg",2,IF(Atletas!E155="Juvenil 52kg",3,IF(Atletas!E155="Juvenil 56kg",4,IF(Atletas!E155="Juvenil 60kg",5,IF(Atletas!E155="Juvenil 65kg",6,IF(Atletas!E155="Juvenil 70kg",7,IF(Atletas!E155="Juvenil 75kg",8,IF(Atletas!E155="Juvenil 82kg",9,IF(Atletas!E155="Juvenil 90kg",10,IF(Atletas!E155="Juvenil 100kg",11,IF(Atletas!E155="Adulto 48kg",12,IF(Atletas!E155="Adulto 52kg",13,IF(Atletas!E155="Adulto 56kg",14,IF(Atletas!E155="Adulto 60kg",15,IF(Atletas!E155="Adulto 65kg",16,IF(Atletas!E155="Adulto 70kg",17,IF(Atletas!E155="Adulto 75kg",18,IF(Atletas!E155="Adulto 82kg",19,IF(Atletas!E155="Adulto 90kg",20,IF(Atletas!E155="Adulto 100kg",21,IF(Atletas!E155="Adulto +100kg",22,""))))))))))))))))))))))))</f>
        <v/>
      </c>
      <c r="AT159" s="10" t="str">
        <f>IF(Atletas!F155="","",IF(Atletas!B155="Feminino",100,IF(Atletas!B155="Masculino",200,""))+(IF(Atletas!F155="Adulto 48kg",1,IF(Atletas!F155="Adulto 56kg",2,IF(Atletas!F155="Adulto 65kg",3,IF(Atletas!F155="Adulto 75kg",4,IF(Atletas!F155="Adulto +75kg",5,IF(Atletas!F155="Adulto 52kg",6,IF(Atletas!F155="Adulto 60kg",7,IF(Atletas!F155="Adulto 70kg",8,IF(Atletas!F155="Adulto 80kg",9,IF(Atletas!F155="Adulto 90kg",10,IF(Atletas!F155="Adulto +90kg",11,"")))))))))))))</f>
        <v/>
      </c>
      <c r="AY159" s="46" t="str">
        <f>IF(Atletas!G155="","",IF(Atletas!B155="Feminino",100,IF(Atletas!B155="Masculino",200,""))+(IF(Atletas!G155="Changquan Mirim",1,IF(Atletas!G155="Nanquan Mirim",2,IF(Atletas!G155="Taijiquan Mirim",3,IF(Atletas!G155="Changquan Grupo C",4,IF(Atletas!G155="Nanquan Grupo C",5,IF(Atletas!G155="Taijiquan Grupo C",6,IF(Atletas!G155="Changquan Grupo B",7,IF(Atletas!G155="Nanquan Grupo B",8,IF(Atletas!G155="Taijiquan Grupo B",9,IF(Atletas!G155="Changquan Grupo A",10,IF(Atletas!G155="Nanquan Grupo A",11,IF(Atletas!G155="Taijiquan Grupo A",12,IF(Atletas!G155="Changquan Opcional",13,IF(Atletas!G155="Nanquan Opcional",14,IF(Atletas!G155="Taijiquan Opcional",15,IF(Atletas!G155="Changquan Adulto",16,IF(Atletas!G155="Nanquan Adulto",17,IF(Atletas!G155="Taijiquan Adulto",18,""))))))))))))))))))))</f>
        <v/>
      </c>
      <c r="AZ159" s="46" t="str">
        <f>IF(Atletas!H155="","",IF(Atletas!B155="Feminino",100,IF(Atletas!B155="Masculino",200,""))+(IF(Atletas!H155="Daoshu Mirim",19,IF(Atletas!H155="Jianshu Mirim",20,IF(Atletas!H155="Nandao Mirim",21,IF(Atletas!H155="Taijijian Mirim",22,IF(Atletas!H155="Daoshu Grupo C",23,IF(Atletas!H155="Jianshu Grupo C",24,IF(Atletas!H155="Nandao Grupo C",25,IF(Atletas!H155="Taijijian Grupo C",26,IF(Atletas!H155="Daoshu Grupo B",27,IF(Atletas!H155="Jianshu Grupo B",28,IF(Atletas!H155="Nandao Grupo B",29,IF(Atletas!H155="Taijijian Grupo B",30,IF(Atletas!H155="Daoshu Grupo A",31,IF(Atletas!H155="Jianshu Grupo A",32,IF(Atletas!H155="Nandao Grupo A",33,IF(Atletas!H155="Taijijian Grupo A",34,IF(Atletas!H155="Daoshu Opcional",35,IF(Atletas!H155="Jianshu Opcional",36,IF(Atletas!H155="Nandao Opcional",37,IF(Atletas!H155="Taijijian Opcional",38,IF(Atletas!H155="Daoshu Adulto",39,IF(Atletas!H155="Jianshu Adulto",40,IF(Atletas!H155="Nandao Adulto",41,IF(Atletas!H155="Taijijian Adulto",42,""))))))))))))))))))))))))))</f>
        <v/>
      </c>
      <c r="BA159" s="46" t="str">
        <f>IF(Atletas!I155="","",IF(Atletas!B155="Feminino",100,IF(Atletas!B155="Masculino",200,""))+(IF(Atletas!I155="Gunshu Mirim",43,IF(Atletas!I155="Qiangshu Mirim",44,IF(Atletas!I155="Nangun Mirim",45,IF(Atletas!I155="Gunshu Grupo C",46,IF(Atletas!I155="Qiangshu Grupo C",47,IF(Atletas!I155="Nangun Grupo C",48,IF(Atletas!I155="Gunshu Grupo B",49,IF(Atletas!I155="Qiangshu Grupo B",50,IF(Atletas!I155="Nangun Grupo B",51,IF(Atletas!I155="Gunshu Grupo A",52,IF(Atletas!I155="Qiangshu Grupo A",53,IF(Atletas!I155="Nangun Grupo A",54,IF(Atletas!I155="Gunshu Opcional",55,IF(Atletas!I155="Qiangshu Opcional",56,IF(Atletas!I155="Nangun Opcional",57,IF(Atletas!I155="Gunshu Adulto",58,IF(Atletas!I155="Qiangshu Adulto",59,IF(Atletas!I155="Nangun Adulto",60,""))))))))))))))))))))</f>
        <v/>
      </c>
      <c r="BF159" s="52" t="str">
        <f>IF(Atletas!J155="","",IF(Atletas!B155="Feminino",100,IF(Atletas!B155="Masculino",200,""))+(IF(Atletas!J155="Equipe 1 Grupo B",1,IF(Atletas!J155="Equipe 2 Grupo B",2,IF(Atletas!J155="Equipe 1 Grupo A",3,IF(Atletas!J155="Equipe 2 Grupo A",4,IF(Atletas!J155="Equipe 1 Adulto",5,IF(Atletas!J155="Equipe 2 Adulto",6,""))))))))</f>
        <v/>
      </c>
      <c r="BK159" s="52" t="str">
        <f>IF(Atletas!K155="","",IF(Atletas!W155&lt;&gt;"",10000,0)+(IF(Atletas!B155="Feminino",1000,IF(Atletas!B155="Masculino",2000,""))+IF(Atletas!K155="Choylayfut A",1,IF(Atletas!K155="Hunggar A",2,IF(Atletas!K155="Wuzuquan A",3,IF(Atletas!K155="Wingchun A",4,IF(Atletas!K155="Outra Mão de Sul A",5,IF(Atletas!K155="Choylayfut B",6,IF(Atletas!K155="Hunggar B",7,IF(Atletas!K155="Wuzuquan B",8,IF(Atletas!K155="Wingchun B",9,IF(Atletas!K155="Outra Mão de Sul B",10,IF(Atletas!K155="Choylayfut C",11,IF(Atletas!K155="Hunggar C",12,IF(Atletas!K155="Wuzuquan C",13,IF(Atletas!K155="Wingchun C",14,IF(Atletas!K155="Outra Mão de Sul C",15,IF(Atletas!K155="Choylayfut D",16,IF(Atletas!K155="Hunggar D",17,IF(Atletas!K155="Wuzuquan D",18,IF(Atletas!K155="Wingchun D",19,IF(Atletas!K155="Outra Mão de Sul D",20,IF(Atletas!K155="Choylayfut E",21,IF(Atletas!K155="Hunggar E",22,IF(Atletas!K155="Wuzuquan E",23,IF(Atletas!K155="Wingchun E",24,IF(Atletas!K155="Outra Mão de Sul E",25,IF(Atletas!K155="Choylayfut F",26,IF(Atletas!K155="Hunggar F",27,IF(Atletas!K155="Wuzuquan F",28,IF(Atletas!K155="Wingchun F",29,IF(Atletas!K155="Outra Mão de Sul F",30,""))))))))))))))))))))))))))))))))</f>
        <v/>
      </c>
      <c r="BL159" s="52" t="str">
        <f>IF(Atletas!L155="","",IF(Atletas!W155&lt;&gt;"",10000,0)+(IF(Atletas!B155="Feminino",1000,IF(Atletas!B155="Masculino",2000,""))+(IF(Atletas!L155="Chaquan A",101,IF(Atletas!L155="Emeiquan A",102,IF(Atletas!L155="Fanziquan A",103,IF(Atletas!L155="Huaquan A",104,IF(Atletas!L155="Hongquan A",105,IF(Atletas!L155="Paochui A",106,IF(Atletas!L155="Piguaquan A",107,IF(Atletas!L155="Shaolinquan A",108,IF(Atletas!L155="Tanglangquan A",109,IF(Atletas!L155="Yinzhaophai A",110,IF(Atletas!L155="Tongbeiquan A",111,IF(Atletas!L155="Wudangquan A",112,IF(Atletas!L155="Outros Estilos A",113,IF(Atletas!L155="Chaquan B",114,IF(Atletas!L155="Emeiquan B",115,IF(Atletas!L155="Fanziquan B",116,IF(Atletas!L155="Huaquan B",117,IF(Atletas!L155="Hongquan B",118,IF(Atletas!L155="Paochui B",119,IF(Atletas!L155="Piguaquan B",120,IF(Atletas!L155="Shaolinquan B",121,IF(Atletas!L155="Tanglangquan B",122,IF(Atletas!L155="Yinzhaophai B",123,IF(Atletas!L155="Tongbeiquan B",124,IF(Atletas!L155="Wudangquan B",125,IF(Atletas!L155="Outros Estilos B",126,IF(Atletas!L155="Chaquan C",127,IF(Atletas!L155="Emeiquan C",128,IF(Atletas!L155="Fanziquan C",129,IF(Atletas!L155="Huaquan C",130,IF(Atletas!L155="Hongquan C",131,IF(Atletas!L155="Paochui C",132,IF(Atletas!L155="Piguaquan C",133,IF(Atletas!L155="Shaolinquan C",134,IF(Atletas!L155="Tanglangquan C",135,IF(Atletas!L155="Yinzhaophai C",136,IF(Atletas!L155="Tongbeiquan C",137,IF(Atletas!L155="Wudangquan C",138,IF(Atletas!L155="Outros Estilos C",139,0))))))))))))))))))))))))))))))))))))))))))</f>
        <v/>
      </c>
      <c r="BM159" s="52" t="str">
        <f>IF(Atletas!L155="","",IF(Atletas!W155&lt;&gt;"",10000,0)+(IF(Atletas!B155="Feminino",1000,IF(Atletas!B155="Masculino",2000,""))+(IF(Atletas!L155="Chaquan D",140,IF(Atletas!L155="Emeiquan D",141,IF(Atletas!L155="Fanziquan D",142,IF(Atletas!L155="Huaquan D",143,IF(Atletas!L155="Hongquan D",144,IF(Atletas!L155="Paochui D",145,IF(Atletas!L155="Piguaquan D",146,IF(Atletas!L155="Shaolinquan D",147,IF(Atletas!L155="Tanglangquan D",148,IF(Atletas!L155="Yinzhaophai D",149,IF(Atletas!L155="Tongbeiquan D",150,IF(Atletas!L155="Wudangquan D",151,IF(Atletas!L155="Outros Estilos D",152,IF(Atletas!L155="Chaquan E",153,IF(Atletas!L155="Emeiquan E",154,IF(Atletas!L155="Fanziquan E",155,IF(Atletas!L155="Huaquan E",156,IF(Atletas!L155="Hongquan E",157,IF(Atletas!L155="Paochui E",158,IF(Atletas!L155="Piguaquan E",159,IF(Atletas!L155="Shaolinquan E",160,IF(Atletas!L155="Tanglangquan E",161,IF(Atletas!L155="Yinzhaophai E",162,IF(Atletas!L155="Tongbeiquan E",163,IF(Atletas!L155="Wudangquan E",164,IF(Atletas!L155="Outros Estilos E",165,IF(Atletas!L155="Chaquan F",166,IF(Atletas!L155="Emeiquan F",167,IF(Atletas!L155="Fanziquan F",168,IF(Atletas!L155="Huaquan F",169,IF(Atletas!L155="Hongquan F",170,IF(Atletas!L155="Paochui F",171,IF(Atletas!L155="Piguaquan F",172,IF(Atletas!L155="Shaolinquan F",173,IF(Atletas!L155="Tanglangquan F",174,IF(Atletas!L155="Yinzhaophai F",175,IF(Atletas!L155="Tongbeiquan F",176,IF(Atletas!L155="Wudangquan F",177,IF(Atletas!L155="Outros Estilos F",178,0))))))))))))))))))))))))))))))))))))))))))</f>
        <v/>
      </c>
      <c r="BN159" s="52" t="str">
        <f>IF(Atletas!M155="","",IF(Atletas!W155&lt;&gt;"",10000,0)+(IF(Atletas!B155="Feminino",1000,IF(Atletas!B155="Masculino",2000,""))+(IF(Atletas!M155="Ditangquan A",201,IF(Atletas!M155="Houquan A",202,IF(Atletas!M155="Zuiquan A",203,IF(Atletas!M155="Ditangquan B",204,IF(Atletas!M155="Houquan B",205,IF(Atletas!M155="Zuiquan B",206,IF(Atletas!M155="Ditangquan C",207,IF(Atletas!M155="Houquan C",208,IF(Atletas!M155="Zuiquan C",209,IF(Atletas!M155="Ditangquan D",210,IF(Atletas!M155="Houquan D",211,IF(Atletas!M155="Zuiquan D",212,IF(Atletas!M155="Ditangquan E",213,IF(Atletas!M155="Houquan E",214,IF(Atletas!M155="Zuiquan E",215,IF(Atletas!M155="Ditangquan F",216,IF(Atletas!M155="Houquan F",217,IF(Atletas!M155="Zuiquan F",218,"")))))))))))))))))))))</f>
        <v/>
      </c>
      <c r="BO159" s="52" t="str">
        <f>IF(Atletas!N155="","",IF(Atletas!W155&lt;&gt;"",10000,0)+IF(Atletas!B155="Feminino",1000,IF(Atletas!B155="Masculino",2000,""))+IF(Atletas!N155="Yang A",301,IF(Atletas!N155="Chen A",30,IF(Atletas!N155="Sun A",303,IF(Atletas!N155="Wu A",304,IF(Atletas!N155="Wu-Hao A",305,IF(Atletas!N155="Outro Taijiquan A",306,IF(Atletas!N155="Yang B",307,IF(Atletas!N155="Chen B",308,IF(Atletas!N155="Sun B",309,IF(Atletas!N155="Wu B",310,IF(Atletas!N155="Wu-Hao B",311,IF(Atletas!N155="Outro Taijiquan B",312,IF(Atletas!N155="Yang C",313,IF(Atletas!N155="Chen C",314,IF(Atletas!N155="Sun C",315,IF(Atletas!N155="Wu C",316,IF(Atletas!N155="Wu-Hao C",317,IF(Atletas!N155="Outro Taijiquan C",318,IF(Atletas!N155="Yang D",319,IF(Atletas!N155="Chen D",320,IF(Atletas!N155="Sun D",321,IF(Atletas!N155="Wu D",322,IF(Atletas!N155="Wu-Hao D",323,IF(Atletas!N155="Outro Taijiquan D",324,IF(Atletas!N155="Yang E",325,IF(Atletas!N155="Chen E",326,IF(Atletas!N155="Sun E",327,IF(Atletas!N155="Wu E",328,IF(Atletas!N155="Wu-Hao E",329,IF(Atletas!N155="Outro Taijiquan E",330,IF(Atletas!N155="Yang F",331,IF(Atletas!N155="Chen F",332,IF(Atletas!N155="Sun F",333,IF(Atletas!N155="Wu F",334,IF(Atletas!N155="Wu-Hao F",335,IF(Atletas!N155="Outro Taijiquan F",336,"")))))))))))))))))))))))))))))))))))))</f>
        <v/>
      </c>
      <c r="BP159" s="52" t="str">
        <f>IF(Atletas!O155="","",IF(Atletas!W155&lt;&gt;"",10000,0)+IF(Atletas!B155="Feminino",1000,IF(Atletas!B155="Masculino",2000,""))+IF(OR(Atletas!O155="Yang 26 A",Atletas!O155="Yang 40 A"),401,IF(OR(Atletas!O155="Chen 25 A",Atletas!O155="Chen 36 A",Atletas!O155="Chen 56 A"),402,IF(Atletas!O155="Sun 73 A",403,IF(Atletas!O155="Wu 45 A",404,IF(Atletas!O155="Wu-Hao 46 A",405,IF(OR(Atletas!O155="Taijiquan 16 A",Atletas!O155="Taijiquan 24 A",Atletas!O155="Taijiquan 32 A",Atletas!O155="Taijiquan 42 A"),406,IF(OR(Atletas!O155="Yang 26 B",Atletas!O155="Yang 40 B"),407,IF(OR(Atletas!O155="Chen 25 B",Atletas!O155="Chen 36 B",Atletas!O155="Chen 56 B"),408,IF(Atletas!O155="Sun 73 B",409,IF(Atletas!O155="Wu 45 B",410,IF(Atletas!O155="Wu-Hao 46 B",411,IF(OR(Atletas!O155="Taijiquan 16 B",Atletas!O155="Taijiquan 24 B",Atletas!O155="Taijiquan 32 B",Atletas!O155="Taijiquan 42 B"),412,IF(OR(Atletas!O155="Yang 26 C",Atletas!O155="Yang 40 C"),413,IF(OR(Atletas!O155="Chen 25 C",Atletas!O155="Chen 36 C",Atletas!O155="Chen 56 C"),414,IF(Atletas!O155="Sun 73 C",415,IF(Atletas!O155="Wu 45 C",416,IF(Atletas!O155="Wu-Hao 46 C",417,IF(OR(Atletas!O155="Taijiquan 16 C",Atletas!O155="Taijiquan 24 C",Atletas!O155="Taijiquan 32 C",Atletas!O155="Taijiquan 42 C"),418,0)))))))))))))))))))</f>
        <v/>
      </c>
      <c r="BQ159" s="52" t="str">
        <f>IF(Atletas!O155="","",IF(Atletas!W155&lt;&gt;"",10000,0)+IF(Atletas!B155="Feminino",1000,IF(Atletas!B155="Masculino",2000,""))+IF(OR(Atletas!O155="Yang 26 D",Atletas!O155="Yang 40 D"),419,IF(OR(Atletas!O155="Chen 25 D",Atletas!O155="Chen 36 D",Atletas!O155="Chen 56 D"),420,IF(Atletas!O155="Sun 73 D",421,IF(Atletas!O155="Wu 45 D",422,IF(Atletas!O155="Wu-Hao 46 D",423,IF(OR(Atletas!O155="Taijiquan 16 D",Atletas!O155="Taijiquan 24 D",Atletas!O155="Taijiquan 32 D",Atletas!O155="Taijiquan 42 D"),424,IF(OR(Atletas!O155="Yang 26 E",Atletas!O155="Yang 40 E"),425,IF(OR(Atletas!O155="Chen 25 E",Atletas!O155="Chen 36 E",Atletas!O155="Chen 56 E"),426,IF(Atletas!O155="Sun 73 E",427,IF(Atletas!O155="Wu 45 E",428,IF(Atletas!O155="Wu-Hao 46 E",429,IF(OR(Atletas!O155="Taijiquan 16 E",Atletas!O155="Taijiquan 24 E",Atletas!O155="Taijiquan 32 E",Atletas!O155="Taijiquan 42 E"),430,IF(OR(Atletas!O155="Yang 26 F",Atletas!O155="Yang 40 F"),431,IF(OR(Atletas!O155="Chen 25 F",Atletas!O155="Chen 36 F",Atletas!O155="Chen 56 F"),432,IF(Atletas!O155="Sun 73 F",433,IF(Atletas!O155="Wu 45 F",434,IF(Atletas!O155="Wu-Hao 46 F",435,IF(OR(Atletas!O155="Taijiquan 16 F",Atletas!O155="Taijiquan 24 F",Atletas!O155="Taijiquan 32 F",Atletas!O155="Taijiquan 42 F"),436,0)))))))))))))))))))</f>
        <v/>
      </c>
      <c r="BR159" s="52" t="str">
        <f>IF(Atletas!P155="","",IF(Atletas!W155&lt;&gt;"",10000,0)+IF(Atletas!B155="Feminino",1000,IF(Atletas!B155="Masculino",2000,""))+IF(Atletas!P155="Xingyiquan A",501,IF(Atletas!P155="Baguazhang A",502,IF(Atletas!P155="Outro Estilo Interno A",503,IF(Atletas!P155="Xingyiquan B",504,IF(Atletas!P155="Baguazhang B",505,IF(Atletas!P155="Outro Estilo Interno B",506,IF(Atletas!P155="Xingyiquan C",507,IF(Atletas!P155="Baguazhang C",508,IF(Atletas!P155="Outro Estilo Interno C",509,IF(Atletas!P155="Xingyiquan D",510,IF(Atletas!P155="Baguazhang D",511,IF(Atletas!P155="Outro Estilo Interno D",512,IF(Atletas!P155="Xingyiquan E",513,IF(Atletas!P155="Baguazhang E",514,IF(Atletas!P155="Outro Estilo Interno E",515,IF(Atletas!P155="Xingyiquan F",516,IF(Atletas!P155="Baguazhang F",517,IF(Atletas!P155="Outro Estilo Interno F",518, "")))))))))))))))))))</f>
        <v/>
      </c>
      <c r="BS159" s="52" t="str">
        <f>IF(Atletas!Q155="","",IF(Atletas!W155&lt;&gt;"",10000,0)+IF(Atletas!B155="Feminino",1000,IF(Atletas!B155="Masculino",2000,""))+IF(Atletas!Q155="Dao A",601,IF(Atletas!Q155="Jian A",602,IF(Atletas!Q155="Bishou A",603,IF(Atletas!Q155="Shan A",604,IF(Atletas!Q155="Outra Arma Curta A",605,IF(Atletas!Q155="Dao B",606,IF(Atletas!Q155="Jian B",607,IF(Atletas!Q155="Bishou B",608,IF(Atletas!Q155="Shan B",609,IF(Atletas!Q155="Outra Arma Curta B",610,IF(Atletas!Q155="Dao C",611,IF(Atletas!Q155="Jian C",612,IF(Atletas!Q155="Bishou C",613,IF(Atletas!Q155="Shan C",614,IF(Atletas!Q155="Outra Arma Curta C",615,IF(Atletas!Q155="Dao D",616,IF(Atletas!Q155="Jian D",617,IF(Atletas!Q155="Bishou D",618,IF(Atletas!Q155="Shan D",619,IF(Atletas!Q155="Outra Arma Curta D",620,IF(Atletas!Q155="Dao E",621,IF(Atletas!Q155="Jian E",622,IF(Atletas!Q155="Bishou E",623,IF(Atletas!Q155="Shan E",624,IF(Atletas!Q155="Outra Arma Curta E",625,IF(Atletas!Q155="Dao F",626,IF(Atletas!Q155="Jian F",627,IF(Atletas!Q155="Bishou F",628,IF(Atletas!Q155="Shan F",629,IF(Atletas!Q155="Outra Arma Curta F",630, "")))))))))))))))))))))))))))))))</f>
        <v/>
      </c>
      <c r="BT159" s="52" t="str">
        <f>IF(Atletas!R155="","",IF(Atletas!W155&lt;&gt;"",10000,0)+IF(Atletas!B155="Feminino",1000,IF(Atletas!B155="Masculino",2000,""))+IF(Atletas!R155="Gun A",701,IF(Atletas!R155="Qiang A",702,IF(Atletas!R155="Pudao / Guandao A",703,IF(Atletas!R155="Outra Arma Longa A",704,IF(Atletas!R155="Gun B",705,IF(Atletas!R155="Qiang B",706,IF(Atletas!R155="Pudao / Guandao B",707,IF(Atletas!R155="Outra Arma Longa B",708,IF(Atletas!R155="Gun C",709,IF(Atletas!R155="Qiang C",710,IF(Atletas!R155="Pudao / Guandao C",711,IF(Atletas!R155="Outra Arma Longa C",712,IF(Atletas!R155="Gun D",713,IF(Atletas!R155="Qiang D",714,IF(Atletas!R155="Pudao / Guandao D",715,IF(Atletas!R155="Outra Arma Longa D",716,IF(Atletas!R155="Gun E",717,IF(Atletas!R155="Qiang E",718,IF(Atletas!R155="Pudao / Guandao E",719,IF(Atletas!R155="Outra Arma Longa E",720,IF(Atletas!R155="Gun F",721,IF(Atletas!R155="Qiang F",722,IF(Atletas!R155="Pudao / Guandao F",723,IF(Atletas!R155="Outra Arma Longa F",724,"")))))))))))))))))))))))))</f>
        <v/>
      </c>
      <c r="BU159" s="52" t="str">
        <f>IF(Atletas!S155="","",IF(Atletas!W155&lt;&gt;"",10000,0)+IF(Atletas!B155="Feminino",1000,IF(Atletas!B155="Masculino",2000,""))+IF(Atletas!S155="Arma Dupla A",801,IF(Atletas!S155="Arma Maleável A",802,IF(Atletas!S155="Arma Dupla B",803,IF(Atletas!S155="Arma Maleável B",804,IF(Atletas!S155="Arma Dupla C",805,IF(Atletas!S155="Arma Maleável C",806,IF(Atletas!S155="Arma Dupla D",807,IF(Atletas!S155="Arma Maleável D",808,IF(Atletas!S155="Arma Dupla E",809,IF(Atletas!S155="Arma Maleável E",810,IF(Atletas!S155="Arma Dupla F",811,IF(Atletas!S155="Arma Maleável F",812, "")))))))))))))</f>
        <v/>
      </c>
      <c r="BV159" s="52" t="str">
        <f>IF(Atletas!T155="","",IF(Atletas!W155&lt;&gt;"",10000,0)+IF(Atletas!B155="Feminino",1000,IF(Atletas!B155="Masculino",2000,""))+IF(Atletas!T155="Taijijian Yang A",901,IF(Atletas!T155="Taijijian Chen A",902,IF(Atletas!T155="Taijijian Sun A",903,IF(Atletas!T155="Taijijian Wu A",904,IF(Atletas!T155="Taijijian Wu-Hao A",905,IF(Atletas!T155="Taijijian 32 A",906,IF(Atletas!T155="Taijijian 42 A",907,IF(Atletas!T155="Taijijian Yang B",908,IF(Atletas!T155="Taijijian Chen B",909,IF(Atletas!T155="Taijijian Sun B",910,IF(Atletas!T155="Taijijian Wu B",911,IF(Atletas!T155="Taijijian Wu-Hao B",912,IF(Atletas!T155="Taijijian 32 B",913,IF(Atletas!T155="Taijijian 42 B",914,IF(Atletas!T155="Taijijian Yang C",915,IF(Atletas!T155="Taijijian Chen C",916,IF(Atletas!T155="Taijijian Sun C",917,IF(Atletas!T155="Taijijian Wu C",918,IF(Atletas!T155="Taijijian Wu-Hao C",919,IF(Atletas!T155="Taijijian 32 C",920,IF(Atletas!T155="Taijijian 42 C",921,IF(Atletas!T155="Taijijian Yang D",922,IF(Atletas!T155="Taijijian Chen D",923,IF(Atletas!T155="Taijijian Sun D",924,IF(Atletas!T155="Taijijian Wu D",925,IF(Atletas!T155="Taijijian Wu-Hao D",926,IF(Atletas!T155="Taijijian 32 D",927,IF(Atletas!T155="Taijijian 42 D",928,IF(Atletas!T155="Taijijian Yang E",929,IF(Atletas!T155="Taijijian Chen E",930,IF(Atletas!T155="Taijijian Sun E",931,IF(Atletas!T155="Taijijian Wu E",932,IF(Atletas!T155="Taijijian Wu-Hao E",933,IF(Atletas!T155="Taijijian 32 E",934,IF(Atletas!T155="Taijijian 42 E",935,IF(Atletas!T155="Taijijian Yang F",936,IF(Atletas!T155="Taijijian Chen F",937,IF(Atletas!T155="Taijijian Sun F",938,IF(Atletas!T155="Taijijian Wu F",939,IF(Atletas!T155="Taijijian Wu-Hao F",940,IF(Atletas!T155="Taijijian 32 F",941,IF(Atletas!T155="Taijijian 42 F",942,"")))))))))))))))))))))))))))))))))))))))))))</f>
        <v/>
      </c>
      <c r="BW159" s="52" t="str">
        <f>IF(Atletas!U155="","",IF(Atletas!W155&lt;&gt;"",10000,0)+IF(Atletas!B155="Feminino",1000,IF(Atletas!B155="Masculino",2000,""))+IF(Atletas!T155="Taijijian 42 F",942,IF(Atletas!U155="Taijidao A",943,IF(Atletas!U155="Taijishan A",944,IF(Atletas!U155="Taijiqiang A",945,IF(Atletas!U155="Taijidao B",946,IF(Atletas!U155="Taijishan B",947,IF(Atletas!U155="Taijiqiang B",948,IF(Atletas!U155="Taijidao C",949,IF(Atletas!U155="Taijishan C",950,IF(Atletas!U155="Taijiqiang C",951,IF(Atletas!U155="Taijidao D",952,IF(Atletas!U155="Taijishan D",953,IF(Atletas!U155="Taijiqiang D",954,IF(Atletas!U155="Taijidao E",955,IF(Atletas!U155="Taijishan E",956,IF(Atletas!U155="Taijiqiang E",957,IF(Atletas!U155="Taijidao F",958,IF(Atletas!U155="Taijishan F",959,IF(Atletas!U155="Taijiqiang F",960))))))))))))))))))))</f>
        <v/>
      </c>
      <c r="BX159" s="72" t="str">
        <f>IF(BY159&lt;&gt;"","TJQ Trad. Sun E","")</f>
        <v/>
      </c>
      <c r="BY159" s="72" t="str">
        <f>IF(COUNTIF(BK:BW,1327)&gt;0,COUNTIF(BK:BW,1327),"")</f>
        <v/>
      </c>
      <c r="BZ159" s="72" t="str">
        <f>IF(CA159&lt;&gt;"","TJQ Trad. Sun E","")</f>
        <v/>
      </c>
      <c r="CA159" s="72" t="str">
        <f>IF(COUNTIF(BK:BW,2327)&gt;0,COUNTIF(BK:BW,2327),"")</f>
        <v/>
      </c>
      <c r="CB159" s="72" t="str">
        <f>IF(CC159&lt;&gt;"","Sun E","")</f>
        <v/>
      </c>
      <c r="CC159" s="64" t="str">
        <f>IF(COUNTIF(BK:BW,11327)&gt;0,COUNTIF(BK:BW,11327),"")</f>
        <v/>
      </c>
      <c r="CD159" s="64" t="str">
        <f>IF(CE159&lt;&gt;"","Sun E","")</f>
        <v/>
      </c>
      <c r="CE159" s="64" t="str">
        <f>IF(COUNTIF(BK:BW,12327)&gt;0,COUNTIF(BK:BW,12327),"")</f>
        <v/>
      </c>
      <c r="CF159" s="52" t="str">
        <f xml:space="preserve"> IF(Atletas!V155="","",IF(Atletas!V155="Duilian de Mãos AB - Equipe 1",1,IF(Atletas!V155="Duilian de Mãos AB - Equipe 2",2,IF(Atletas!V155="Duilian de Armas AB - Equipe 1",3,IF(Atletas!V155="Duilian de Armas AB - Equipe 2",4,IF(Atletas!V155="Duilian de Tuishou - Equipe 1",5,IF(Atletas!V155="Duilian de Tuishou - Equipe 2",6,IF(Atletas!V155="Grupo Externo AB - Equipe 1",7,IF(Atletas!V155="Grupo Externo AB - Equipe 2",8,IF(Atletas!V155="Grupo Interno AB - Equipe 1",9,IF(Atletas!V155="Grupo Interno AB - Equipe 2",10,IF(Atletas!V155="Duilian de Mãos CD - Equipe 1",11,IF(Atletas!V155="Duilian de Mãos CD - Equipe 2",12,IF(Atletas!V155="Duilian de Armas CD - Equipe 1",13,IF(Atletas!V155="Duilian de Armas CD - Equipe 2",14,IF(Atletas!V155="Duilian de Tuishou - Equipe 1",15,IF(Atletas!V155="Duilian de Tuishou - Equipe 2",16,IF(Atletas!V155="Grupo Externo CDEF - Equipe 1",17,IF(Atletas!V155="Grupo Externo CDEF - Equipe 2",18,IF(Atletas!V155="Grupo Interno CDEF - Equipe 1",19,IF(Atletas!V155="Grupo Interno CDEF - Equipe 2",20,IF(Atletas!V155="Duilian de Mãos EF - Equipe 1",21,IF(Atletas!V155="Duilian de Mãos EF - Equipe 2",22,IF(Atletas!V155="Duilian de Armas EF - Equipe 1",23,IF(Atletas!V155="Duilian de Armas EF - Equipe 2",24,IF(Atletas!V155="Duilian de Tuishou - Equipe 1",25,IF(Atletas!V155="Duilian de Tuishou - Equipe 2",26,"")))))))))))))))))))))))))))</f>
        <v/>
      </c>
    </row>
    <row r="160" spans="2:84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 t="str">
        <f t="array" ref="V160">IFERROR(INDEX(BX$7:BX$336,SMALL(IF(BX$7:BX$336&lt;&gt;"",ROW(BX$7:BX$336)-ROW(BX$7)+1),ROWS(BX$7:BX159))),"")</f>
        <v/>
      </c>
      <c r="W160" s="4" t="str">
        <f t="array" ref="W160">IFERROR(INDEX(BY$7:BY$336,SMALL(IF(BY$7:BY$336&lt;&gt;"",ROW(BY$7:BY$336)-ROW(BY$7)+1),ROWS(BY$7:BY159))),"")</f>
        <v/>
      </c>
      <c r="X160" s="4" t="str">
        <f t="array" ref="X160">IFERROR(INDEX(BZ$7:BZ$336,SMALL(IF(BZ$7:BZ$336&lt;&gt;"",ROW(BZ$7:BZ$336)-ROW(BZ$7)+1),ROWS(BZ$7:BZ159))),"")</f>
        <v/>
      </c>
      <c r="Y160" s="4" t="str">
        <f t="array" ref="Y160">IFERROR(INDEX(CA$7:CA$336,SMALL(IF(CA$7:CA$336&lt;&gt;"",ROW(CA$7:CA$336)-ROW(CA$7)+1),ROWS(CA$7:CA159))),"")</f>
        <v/>
      </c>
      <c r="Z160" s="4" t="str">
        <f t="array" ref="Z160">IFERROR(INDEX(CB$7:CB$378,SMALL(IF(CB$7:CB$378&lt;&gt;"",ROW(CB$7:CB$378)-ROW(CB$7)+1),ROWS(CB$7:CB159))),"")</f>
        <v/>
      </c>
      <c r="AA160" s="4" t="str">
        <f t="array" ref="AA160">IFERROR(INDEX(CC$7:CC$378,SMALL(IF(CC$7:CC$378&lt;&gt;"",ROW(CC$7:CC$378)-ROW(CC$7)+1),ROWS(CC$7:CC159))),"")</f>
        <v/>
      </c>
      <c r="AB160" s="4" t="str">
        <f t="array" ref="AB160">IFERROR(INDEX(CD$7:CD$378,SMALL(IF(CD$7:CD$378&lt;&gt;"",ROW(CD$7:CD$378)-ROW(CD$7)+1),ROWS(CD$7:CD159))),"")</f>
        <v/>
      </c>
      <c r="AC160" s="4" t="str">
        <f t="array" ref="AC160">IFERROR(INDEX(CE$7:CE$378,SMALL(IF(CE$7:CE$378&lt;&gt;"",ROW(CE$7:CE$378)-ROW(CE$7)+1),ROWS(CE$7:CE159))),"")</f>
        <v/>
      </c>
      <c r="AD160" s="4"/>
      <c r="AE160" s="4"/>
      <c r="AF160" s="4"/>
      <c r="AG160" s="4"/>
      <c r="AH160" s="4"/>
      <c r="AI160" s="4"/>
      <c r="AJ160" s="46" t="str">
        <f>IF(Atletas!D156="","",IF(Atletas!B156="Feminino",100,IF(Atletas!B156="Masculino",200,""))+(IF(Atletas!D156="Infantil 39kg",1,IF(Atletas!D156="Infantil 42kg",2,IF(Atletas!D156="Infantil 45kg",3,IF(Atletas!D156="Infantil 48kg",4,IF(Atletas!D156="Infantil 52kg",5,IF(Atletas!D156="Infantil 56kg",6,IF(Atletas!D156="Infantil 60kg",7,IF(Atletas!D156="Juvenil 48kg",8,IF(Atletas!D156="Juvenil 52kg",9,IF(Atletas!D156="Juvenil 56kg",10,IF(Atletas!D156="Juvenil 60kg",11,IF(Atletas!D156="Juvenil 65kg",12,IF(Atletas!D156="Juvenil 70kg",13,IF(Atletas!D156="Juvenil 75kg",14,IF(Atletas!D156="Juvenil 80kg",15,IF(Atletas!D156="Adulto 48kg",16,IF(Atletas!D156="Adulto 52kg",17,IF(Atletas!D156="Adulto 56kg",18,IF(Atletas!D156="Adulto 60kg",19,IF(Atletas!D156="Adulto 65kg",20,IF(Atletas!D156="Adulto 70kg",21,IF(Atletas!D156="Adulto 75kg",22,IF(Atletas!D156="Adulto 80kg",23,IF(Atletas!D156="Adulto 85kg",24,IF(Atletas!D156="Adulto 90kg",25,IF(Atletas!D156="Adulto +90kg",26,""))))))))))))))))))))))))))))</f>
        <v/>
      </c>
      <c r="AO160" s="10" t="str">
        <f>IF(Atletas!E156="","",IF(Atletas!B156="Feminino",100,IF(Atletas!B156="Masculino",200,""))+(IF(Atletas!E156="Juvenil 44kg",1,IF(Atletas!E156="Juvenil 48kg",2,IF(Atletas!E156="Juvenil 52kg",3,IF(Atletas!E156="Juvenil 56kg",4,IF(Atletas!E156="Juvenil 60kg",5,IF(Atletas!E156="Juvenil 65kg",6,IF(Atletas!E156="Juvenil 70kg",7,IF(Atletas!E156="Juvenil 75kg",8,IF(Atletas!E156="Juvenil 82kg",9,IF(Atletas!E156="Juvenil 90kg",10,IF(Atletas!E156="Juvenil 100kg",11,IF(Atletas!E156="Adulto 48kg",12,IF(Atletas!E156="Adulto 52kg",13,IF(Atletas!E156="Adulto 56kg",14,IF(Atletas!E156="Adulto 60kg",15,IF(Atletas!E156="Adulto 65kg",16,IF(Atletas!E156="Adulto 70kg",17,IF(Atletas!E156="Adulto 75kg",18,IF(Atletas!E156="Adulto 82kg",19,IF(Atletas!E156="Adulto 90kg",20,IF(Atletas!E156="Adulto 100kg",21,IF(Atletas!E156="Adulto +100kg",22,""))))))))))))))))))))))))</f>
        <v/>
      </c>
      <c r="AT160" s="10" t="str">
        <f>IF(Atletas!F156="","",IF(Atletas!B156="Feminino",100,IF(Atletas!B156="Masculino",200,""))+(IF(Atletas!F156="Adulto 48kg",1,IF(Atletas!F156="Adulto 56kg",2,IF(Atletas!F156="Adulto 65kg",3,IF(Atletas!F156="Adulto 75kg",4,IF(Atletas!F156="Adulto +75kg",5,IF(Atletas!F156="Adulto 52kg",6,IF(Atletas!F156="Adulto 60kg",7,IF(Atletas!F156="Adulto 70kg",8,IF(Atletas!F156="Adulto 80kg",9,IF(Atletas!F156="Adulto 90kg",10,IF(Atletas!F156="Adulto +90kg",11,"")))))))))))))</f>
        <v/>
      </c>
      <c r="AY160" s="46" t="str">
        <f>IF(Atletas!G156="","",IF(Atletas!B156="Feminino",100,IF(Atletas!B156="Masculino",200,""))+(IF(Atletas!G156="Changquan Mirim",1,IF(Atletas!G156="Nanquan Mirim",2,IF(Atletas!G156="Taijiquan Mirim",3,IF(Atletas!G156="Changquan Grupo C",4,IF(Atletas!G156="Nanquan Grupo C",5,IF(Atletas!G156="Taijiquan Grupo C",6,IF(Atletas!G156="Changquan Grupo B",7,IF(Atletas!G156="Nanquan Grupo B",8,IF(Atletas!G156="Taijiquan Grupo B",9,IF(Atletas!G156="Changquan Grupo A",10,IF(Atletas!G156="Nanquan Grupo A",11,IF(Atletas!G156="Taijiquan Grupo A",12,IF(Atletas!G156="Changquan Opcional",13,IF(Atletas!G156="Nanquan Opcional",14,IF(Atletas!G156="Taijiquan Opcional",15,IF(Atletas!G156="Changquan Adulto",16,IF(Atletas!G156="Nanquan Adulto",17,IF(Atletas!G156="Taijiquan Adulto",18,""))))))))))))))))))))</f>
        <v/>
      </c>
      <c r="AZ160" s="46" t="str">
        <f>IF(Atletas!H156="","",IF(Atletas!B156="Feminino",100,IF(Atletas!B156="Masculino",200,""))+(IF(Atletas!H156="Daoshu Mirim",19,IF(Atletas!H156="Jianshu Mirim",20,IF(Atletas!H156="Nandao Mirim",21,IF(Atletas!H156="Taijijian Mirim",22,IF(Atletas!H156="Daoshu Grupo C",23,IF(Atletas!H156="Jianshu Grupo C",24,IF(Atletas!H156="Nandao Grupo C",25,IF(Atletas!H156="Taijijian Grupo C",26,IF(Atletas!H156="Daoshu Grupo B",27,IF(Atletas!H156="Jianshu Grupo B",28,IF(Atletas!H156="Nandao Grupo B",29,IF(Atletas!H156="Taijijian Grupo B",30,IF(Atletas!H156="Daoshu Grupo A",31,IF(Atletas!H156="Jianshu Grupo A",32,IF(Atletas!H156="Nandao Grupo A",33,IF(Atletas!H156="Taijijian Grupo A",34,IF(Atletas!H156="Daoshu Opcional",35,IF(Atletas!H156="Jianshu Opcional",36,IF(Atletas!H156="Nandao Opcional",37,IF(Atletas!H156="Taijijian Opcional",38,IF(Atletas!H156="Daoshu Adulto",39,IF(Atletas!H156="Jianshu Adulto",40,IF(Atletas!H156="Nandao Adulto",41,IF(Atletas!H156="Taijijian Adulto",42,""))))))))))))))))))))))))))</f>
        <v/>
      </c>
      <c r="BA160" s="46" t="str">
        <f>IF(Atletas!I156="","",IF(Atletas!B156="Feminino",100,IF(Atletas!B156="Masculino",200,""))+(IF(Atletas!I156="Gunshu Mirim",43,IF(Atletas!I156="Qiangshu Mirim",44,IF(Atletas!I156="Nangun Mirim",45,IF(Atletas!I156="Gunshu Grupo C",46,IF(Atletas!I156="Qiangshu Grupo C",47,IF(Atletas!I156="Nangun Grupo C",48,IF(Atletas!I156="Gunshu Grupo B",49,IF(Atletas!I156="Qiangshu Grupo B",50,IF(Atletas!I156="Nangun Grupo B",51,IF(Atletas!I156="Gunshu Grupo A",52,IF(Atletas!I156="Qiangshu Grupo A",53,IF(Atletas!I156="Nangun Grupo A",54,IF(Atletas!I156="Gunshu Opcional",55,IF(Atletas!I156="Qiangshu Opcional",56,IF(Atletas!I156="Nangun Opcional",57,IF(Atletas!I156="Gunshu Adulto",58,IF(Atletas!I156="Qiangshu Adulto",59,IF(Atletas!I156="Nangun Adulto",60,""))))))))))))))))))))</f>
        <v/>
      </c>
      <c r="BF160" s="52" t="str">
        <f>IF(Atletas!J156="","",IF(Atletas!B156="Feminino",100,IF(Atletas!B156="Masculino",200,""))+(IF(Atletas!J156="Equipe 1 Grupo B",1,IF(Atletas!J156="Equipe 2 Grupo B",2,IF(Atletas!J156="Equipe 1 Grupo A",3,IF(Atletas!J156="Equipe 2 Grupo A",4,IF(Atletas!J156="Equipe 1 Adulto",5,IF(Atletas!J156="Equipe 2 Adulto",6,""))))))))</f>
        <v/>
      </c>
      <c r="BK160" s="52" t="str">
        <f>IF(Atletas!K156="","",IF(Atletas!W156&lt;&gt;"",10000,0)+(IF(Atletas!B156="Feminino",1000,IF(Atletas!B156="Masculino",2000,""))+IF(Atletas!K156="Choylayfut A",1,IF(Atletas!K156="Hunggar A",2,IF(Atletas!K156="Wuzuquan A",3,IF(Atletas!K156="Wingchun A",4,IF(Atletas!K156="Outra Mão de Sul A",5,IF(Atletas!K156="Choylayfut B",6,IF(Atletas!K156="Hunggar B",7,IF(Atletas!K156="Wuzuquan B",8,IF(Atletas!K156="Wingchun B",9,IF(Atletas!K156="Outra Mão de Sul B",10,IF(Atletas!K156="Choylayfut C",11,IF(Atletas!K156="Hunggar C",12,IF(Atletas!K156="Wuzuquan C",13,IF(Atletas!K156="Wingchun C",14,IF(Atletas!K156="Outra Mão de Sul C",15,IF(Atletas!K156="Choylayfut D",16,IF(Atletas!K156="Hunggar D",17,IF(Atletas!K156="Wuzuquan D",18,IF(Atletas!K156="Wingchun D",19,IF(Atletas!K156="Outra Mão de Sul D",20,IF(Atletas!K156="Choylayfut E",21,IF(Atletas!K156="Hunggar E",22,IF(Atletas!K156="Wuzuquan E",23,IF(Atletas!K156="Wingchun E",24,IF(Atletas!K156="Outra Mão de Sul E",25,IF(Atletas!K156="Choylayfut F",26,IF(Atletas!K156="Hunggar F",27,IF(Atletas!K156="Wuzuquan F",28,IF(Atletas!K156="Wingchun F",29,IF(Atletas!K156="Outra Mão de Sul F",30,""))))))))))))))))))))))))))))))))</f>
        <v/>
      </c>
      <c r="BL160" s="52" t="str">
        <f>IF(Atletas!L156="","",IF(Atletas!W156&lt;&gt;"",10000,0)+(IF(Atletas!B156="Feminino",1000,IF(Atletas!B156="Masculino",2000,""))+(IF(Atletas!L156="Chaquan A",101,IF(Atletas!L156="Emeiquan A",102,IF(Atletas!L156="Fanziquan A",103,IF(Atletas!L156="Huaquan A",104,IF(Atletas!L156="Hongquan A",105,IF(Atletas!L156="Paochui A",106,IF(Atletas!L156="Piguaquan A",107,IF(Atletas!L156="Shaolinquan A",108,IF(Atletas!L156="Tanglangquan A",109,IF(Atletas!L156="Yinzhaophai A",110,IF(Atletas!L156="Tongbeiquan A",111,IF(Atletas!L156="Wudangquan A",112,IF(Atletas!L156="Outros Estilos A",113,IF(Atletas!L156="Chaquan B",114,IF(Atletas!L156="Emeiquan B",115,IF(Atletas!L156="Fanziquan B",116,IF(Atletas!L156="Huaquan B",117,IF(Atletas!L156="Hongquan B",118,IF(Atletas!L156="Paochui B",119,IF(Atletas!L156="Piguaquan B",120,IF(Atletas!L156="Shaolinquan B",121,IF(Atletas!L156="Tanglangquan B",122,IF(Atletas!L156="Yinzhaophai B",123,IF(Atletas!L156="Tongbeiquan B",124,IF(Atletas!L156="Wudangquan B",125,IF(Atletas!L156="Outros Estilos B",126,IF(Atletas!L156="Chaquan C",127,IF(Atletas!L156="Emeiquan C",128,IF(Atletas!L156="Fanziquan C",129,IF(Atletas!L156="Huaquan C",130,IF(Atletas!L156="Hongquan C",131,IF(Atletas!L156="Paochui C",132,IF(Atletas!L156="Piguaquan C",133,IF(Atletas!L156="Shaolinquan C",134,IF(Atletas!L156="Tanglangquan C",135,IF(Atletas!L156="Yinzhaophai C",136,IF(Atletas!L156="Tongbeiquan C",137,IF(Atletas!L156="Wudangquan C",138,IF(Atletas!L156="Outros Estilos C",139,0))))))))))))))))))))))))))))))))))))))))))</f>
        <v/>
      </c>
      <c r="BM160" s="52" t="str">
        <f>IF(Atletas!L156="","",IF(Atletas!W156&lt;&gt;"",10000,0)+(IF(Atletas!B156="Feminino",1000,IF(Atletas!B156="Masculino",2000,""))+(IF(Atletas!L156="Chaquan D",140,IF(Atletas!L156="Emeiquan D",141,IF(Atletas!L156="Fanziquan D",142,IF(Atletas!L156="Huaquan D",143,IF(Atletas!L156="Hongquan D",144,IF(Atletas!L156="Paochui D",145,IF(Atletas!L156="Piguaquan D",146,IF(Atletas!L156="Shaolinquan D",147,IF(Atletas!L156="Tanglangquan D",148,IF(Atletas!L156="Yinzhaophai D",149,IF(Atletas!L156="Tongbeiquan D",150,IF(Atletas!L156="Wudangquan D",151,IF(Atletas!L156="Outros Estilos D",152,IF(Atletas!L156="Chaquan E",153,IF(Atletas!L156="Emeiquan E",154,IF(Atletas!L156="Fanziquan E",155,IF(Atletas!L156="Huaquan E",156,IF(Atletas!L156="Hongquan E",157,IF(Atletas!L156="Paochui E",158,IF(Atletas!L156="Piguaquan E",159,IF(Atletas!L156="Shaolinquan E",160,IF(Atletas!L156="Tanglangquan E",161,IF(Atletas!L156="Yinzhaophai E",162,IF(Atletas!L156="Tongbeiquan E",163,IF(Atletas!L156="Wudangquan E",164,IF(Atletas!L156="Outros Estilos E",165,IF(Atletas!L156="Chaquan F",166,IF(Atletas!L156="Emeiquan F",167,IF(Atletas!L156="Fanziquan F",168,IF(Atletas!L156="Huaquan F",169,IF(Atletas!L156="Hongquan F",170,IF(Atletas!L156="Paochui F",171,IF(Atletas!L156="Piguaquan F",172,IF(Atletas!L156="Shaolinquan F",173,IF(Atletas!L156="Tanglangquan F",174,IF(Atletas!L156="Yinzhaophai F",175,IF(Atletas!L156="Tongbeiquan F",176,IF(Atletas!L156="Wudangquan F",177,IF(Atletas!L156="Outros Estilos F",178,0))))))))))))))))))))))))))))))))))))))))))</f>
        <v/>
      </c>
      <c r="BN160" s="52" t="str">
        <f>IF(Atletas!M156="","",IF(Atletas!W156&lt;&gt;"",10000,0)+(IF(Atletas!B156="Feminino",1000,IF(Atletas!B156="Masculino",2000,""))+(IF(Atletas!M156="Ditangquan A",201,IF(Atletas!M156="Houquan A",202,IF(Atletas!M156="Zuiquan A",203,IF(Atletas!M156="Ditangquan B",204,IF(Atletas!M156="Houquan B",205,IF(Atletas!M156="Zuiquan B",206,IF(Atletas!M156="Ditangquan C",207,IF(Atletas!M156="Houquan C",208,IF(Atletas!M156="Zuiquan C",209,IF(Atletas!M156="Ditangquan D",210,IF(Atletas!M156="Houquan D",211,IF(Atletas!M156="Zuiquan D",212,IF(Atletas!M156="Ditangquan E",213,IF(Atletas!M156="Houquan E",214,IF(Atletas!M156="Zuiquan E",215,IF(Atletas!M156="Ditangquan F",216,IF(Atletas!M156="Houquan F",217,IF(Atletas!M156="Zuiquan F",218,"")))))))))))))))))))))</f>
        <v/>
      </c>
      <c r="BO160" s="52" t="str">
        <f>IF(Atletas!N156="","",IF(Atletas!W156&lt;&gt;"",10000,0)+IF(Atletas!B156="Feminino",1000,IF(Atletas!B156="Masculino",2000,""))+IF(Atletas!N156="Yang A",301,IF(Atletas!N156="Chen A",30,IF(Atletas!N156="Sun A",303,IF(Atletas!N156="Wu A",304,IF(Atletas!N156="Wu-Hao A",305,IF(Atletas!N156="Outro Taijiquan A",306,IF(Atletas!N156="Yang B",307,IF(Atletas!N156="Chen B",308,IF(Atletas!N156="Sun B",309,IF(Atletas!N156="Wu B",310,IF(Atletas!N156="Wu-Hao B",311,IF(Atletas!N156="Outro Taijiquan B",312,IF(Atletas!N156="Yang C",313,IF(Atletas!N156="Chen C",314,IF(Atletas!N156="Sun C",315,IF(Atletas!N156="Wu C",316,IF(Atletas!N156="Wu-Hao C",317,IF(Atletas!N156="Outro Taijiquan C",318,IF(Atletas!N156="Yang D",319,IF(Atletas!N156="Chen D",320,IF(Atletas!N156="Sun D",321,IF(Atletas!N156="Wu D",322,IF(Atletas!N156="Wu-Hao D",323,IF(Atletas!N156="Outro Taijiquan D",324,IF(Atletas!N156="Yang E",325,IF(Atletas!N156="Chen E",326,IF(Atletas!N156="Sun E",327,IF(Atletas!N156="Wu E",328,IF(Atletas!N156="Wu-Hao E",329,IF(Atletas!N156="Outro Taijiquan E",330,IF(Atletas!N156="Yang F",331,IF(Atletas!N156="Chen F",332,IF(Atletas!N156="Sun F",333,IF(Atletas!N156="Wu F",334,IF(Atletas!N156="Wu-Hao F",335,IF(Atletas!N156="Outro Taijiquan F",336,"")))))))))))))))))))))))))))))))))))))</f>
        <v/>
      </c>
      <c r="BP160" s="52" t="str">
        <f>IF(Atletas!O156="","",IF(Atletas!W156&lt;&gt;"",10000,0)+IF(Atletas!B156="Feminino",1000,IF(Atletas!B156="Masculino",2000,""))+IF(OR(Atletas!O156="Yang 26 A",Atletas!O156="Yang 40 A"),401,IF(OR(Atletas!O156="Chen 25 A",Atletas!O156="Chen 36 A",Atletas!O156="Chen 56 A"),402,IF(Atletas!O156="Sun 73 A",403,IF(Atletas!O156="Wu 45 A",404,IF(Atletas!O156="Wu-Hao 46 A",405,IF(OR(Atletas!O156="Taijiquan 16 A",Atletas!O156="Taijiquan 24 A",Atletas!O156="Taijiquan 32 A",Atletas!O156="Taijiquan 42 A"),406,IF(OR(Atletas!O156="Yang 26 B",Atletas!O156="Yang 40 B"),407,IF(OR(Atletas!O156="Chen 25 B",Atletas!O156="Chen 36 B",Atletas!O156="Chen 56 B"),408,IF(Atletas!O156="Sun 73 B",409,IF(Atletas!O156="Wu 45 B",410,IF(Atletas!O156="Wu-Hao 46 B",411,IF(OR(Atletas!O156="Taijiquan 16 B",Atletas!O156="Taijiquan 24 B",Atletas!O156="Taijiquan 32 B",Atletas!O156="Taijiquan 42 B"),412,IF(OR(Atletas!O156="Yang 26 C",Atletas!O156="Yang 40 C"),413,IF(OR(Atletas!O156="Chen 25 C",Atletas!O156="Chen 36 C",Atletas!O156="Chen 56 C"),414,IF(Atletas!O156="Sun 73 C",415,IF(Atletas!O156="Wu 45 C",416,IF(Atletas!O156="Wu-Hao 46 C",417,IF(OR(Atletas!O156="Taijiquan 16 C",Atletas!O156="Taijiquan 24 C",Atletas!O156="Taijiquan 32 C",Atletas!O156="Taijiquan 42 C"),418,0)))))))))))))))))))</f>
        <v/>
      </c>
      <c r="BQ160" s="52" t="str">
        <f>IF(Atletas!O156="","",IF(Atletas!W156&lt;&gt;"",10000,0)+IF(Atletas!B156="Feminino",1000,IF(Atletas!B156="Masculino",2000,""))+IF(OR(Atletas!O156="Yang 26 D",Atletas!O156="Yang 40 D"),419,IF(OR(Atletas!O156="Chen 25 D",Atletas!O156="Chen 36 D",Atletas!O156="Chen 56 D"),420,IF(Atletas!O156="Sun 73 D",421,IF(Atletas!O156="Wu 45 D",422,IF(Atletas!O156="Wu-Hao 46 D",423,IF(OR(Atletas!O156="Taijiquan 16 D",Atletas!O156="Taijiquan 24 D",Atletas!O156="Taijiquan 32 D",Atletas!O156="Taijiquan 42 D"),424,IF(OR(Atletas!O156="Yang 26 E",Atletas!O156="Yang 40 E"),425,IF(OR(Atletas!O156="Chen 25 E",Atletas!O156="Chen 36 E",Atletas!O156="Chen 56 E"),426,IF(Atletas!O156="Sun 73 E",427,IF(Atletas!O156="Wu 45 E",428,IF(Atletas!O156="Wu-Hao 46 E",429,IF(OR(Atletas!O156="Taijiquan 16 E",Atletas!O156="Taijiquan 24 E",Atletas!O156="Taijiquan 32 E",Atletas!O156="Taijiquan 42 E"),430,IF(OR(Atletas!O156="Yang 26 F",Atletas!O156="Yang 40 F"),431,IF(OR(Atletas!O156="Chen 25 F",Atletas!O156="Chen 36 F",Atletas!O156="Chen 56 F"),432,IF(Atletas!O156="Sun 73 F",433,IF(Atletas!O156="Wu 45 F",434,IF(Atletas!O156="Wu-Hao 46 F",435,IF(OR(Atletas!O156="Taijiquan 16 F",Atletas!O156="Taijiquan 24 F",Atletas!O156="Taijiquan 32 F",Atletas!O156="Taijiquan 42 F"),436,0)))))))))))))))))))</f>
        <v/>
      </c>
      <c r="BR160" s="52" t="str">
        <f>IF(Atletas!P156="","",IF(Atletas!W156&lt;&gt;"",10000,0)+IF(Atletas!B156="Feminino",1000,IF(Atletas!B156="Masculino",2000,""))+IF(Atletas!P156="Xingyiquan A",501,IF(Atletas!P156="Baguazhang A",502,IF(Atletas!P156="Outro Estilo Interno A",503,IF(Atletas!P156="Xingyiquan B",504,IF(Atletas!P156="Baguazhang B",505,IF(Atletas!P156="Outro Estilo Interno B",506,IF(Atletas!P156="Xingyiquan C",507,IF(Atletas!P156="Baguazhang C",508,IF(Atletas!P156="Outro Estilo Interno C",509,IF(Atletas!P156="Xingyiquan D",510,IF(Atletas!P156="Baguazhang D",511,IF(Atletas!P156="Outro Estilo Interno D",512,IF(Atletas!P156="Xingyiquan E",513,IF(Atletas!P156="Baguazhang E",514,IF(Atletas!P156="Outro Estilo Interno E",515,IF(Atletas!P156="Xingyiquan F",516,IF(Atletas!P156="Baguazhang F",517,IF(Atletas!P156="Outro Estilo Interno F",518, "")))))))))))))))))))</f>
        <v/>
      </c>
      <c r="BS160" s="52" t="str">
        <f>IF(Atletas!Q156="","",IF(Atletas!W156&lt;&gt;"",10000,0)+IF(Atletas!B156="Feminino",1000,IF(Atletas!B156="Masculino",2000,""))+IF(Atletas!Q156="Dao A",601,IF(Atletas!Q156="Jian A",602,IF(Atletas!Q156="Bishou A",603,IF(Atletas!Q156="Shan A",604,IF(Atletas!Q156="Outra Arma Curta A",605,IF(Atletas!Q156="Dao B",606,IF(Atletas!Q156="Jian B",607,IF(Atletas!Q156="Bishou B",608,IF(Atletas!Q156="Shan B",609,IF(Atletas!Q156="Outra Arma Curta B",610,IF(Atletas!Q156="Dao C",611,IF(Atletas!Q156="Jian C",612,IF(Atletas!Q156="Bishou C",613,IF(Atletas!Q156="Shan C",614,IF(Atletas!Q156="Outra Arma Curta C",615,IF(Atletas!Q156="Dao D",616,IF(Atletas!Q156="Jian D",617,IF(Atletas!Q156="Bishou D",618,IF(Atletas!Q156="Shan D",619,IF(Atletas!Q156="Outra Arma Curta D",620,IF(Atletas!Q156="Dao E",621,IF(Atletas!Q156="Jian E",622,IF(Atletas!Q156="Bishou E",623,IF(Atletas!Q156="Shan E",624,IF(Atletas!Q156="Outra Arma Curta E",625,IF(Atletas!Q156="Dao F",626,IF(Atletas!Q156="Jian F",627,IF(Atletas!Q156="Bishou F",628,IF(Atletas!Q156="Shan F",629,IF(Atletas!Q156="Outra Arma Curta F",630, "")))))))))))))))))))))))))))))))</f>
        <v/>
      </c>
      <c r="BT160" s="52" t="str">
        <f>IF(Atletas!R156="","",IF(Atletas!W156&lt;&gt;"",10000,0)+IF(Atletas!B156="Feminino",1000,IF(Atletas!B156="Masculino",2000,""))+IF(Atletas!R156="Gun A",701,IF(Atletas!R156="Qiang A",702,IF(Atletas!R156="Pudao / Guandao A",703,IF(Atletas!R156="Outra Arma Longa A",704,IF(Atletas!R156="Gun B",705,IF(Atletas!R156="Qiang B",706,IF(Atletas!R156="Pudao / Guandao B",707,IF(Atletas!R156="Outra Arma Longa B",708,IF(Atletas!R156="Gun C",709,IF(Atletas!R156="Qiang C",710,IF(Atletas!R156="Pudao / Guandao C",711,IF(Atletas!R156="Outra Arma Longa C",712,IF(Atletas!R156="Gun D",713,IF(Atletas!R156="Qiang D",714,IF(Atletas!R156="Pudao / Guandao D",715,IF(Atletas!R156="Outra Arma Longa D",716,IF(Atletas!R156="Gun E",717,IF(Atletas!R156="Qiang E",718,IF(Atletas!R156="Pudao / Guandao E",719,IF(Atletas!R156="Outra Arma Longa E",720,IF(Atletas!R156="Gun F",721,IF(Atletas!R156="Qiang F",722,IF(Atletas!R156="Pudao / Guandao F",723,IF(Atletas!R156="Outra Arma Longa F",724,"")))))))))))))))))))))))))</f>
        <v/>
      </c>
      <c r="BU160" s="52" t="str">
        <f>IF(Atletas!S156="","",IF(Atletas!W156&lt;&gt;"",10000,0)+IF(Atletas!B156="Feminino",1000,IF(Atletas!B156="Masculino",2000,""))+IF(Atletas!S156="Arma Dupla A",801,IF(Atletas!S156="Arma Maleável A",802,IF(Atletas!S156="Arma Dupla B",803,IF(Atletas!S156="Arma Maleável B",804,IF(Atletas!S156="Arma Dupla C",805,IF(Atletas!S156="Arma Maleável C",806,IF(Atletas!S156="Arma Dupla D",807,IF(Atletas!S156="Arma Maleável D",808,IF(Atletas!S156="Arma Dupla E",809,IF(Atletas!S156="Arma Maleável E",810,IF(Atletas!S156="Arma Dupla F",811,IF(Atletas!S156="Arma Maleável F",812, "")))))))))))))</f>
        <v/>
      </c>
      <c r="BV160" s="52" t="str">
        <f>IF(Atletas!T156="","",IF(Atletas!W156&lt;&gt;"",10000,0)+IF(Atletas!B156="Feminino",1000,IF(Atletas!B156="Masculino",2000,""))+IF(Atletas!T156="Taijijian Yang A",901,IF(Atletas!T156="Taijijian Chen A",902,IF(Atletas!T156="Taijijian Sun A",903,IF(Atletas!T156="Taijijian Wu A",904,IF(Atletas!T156="Taijijian Wu-Hao A",905,IF(Atletas!T156="Taijijian 32 A",906,IF(Atletas!T156="Taijijian 42 A",907,IF(Atletas!T156="Taijijian Yang B",908,IF(Atletas!T156="Taijijian Chen B",909,IF(Atletas!T156="Taijijian Sun B",910,IF(Atletas!T156="Taijijian Wu B",911,IF(Atletas!T156="Taijijian Wu-Hao B",912,IF(Atletas!T156="Taijijian 32 B",913,IF(Atletas!T156="Taijijian 42 B",914,IF(Atletas!T156="Taijijian Yang C",915,IF(Atletas!T156="Taijijian Chen C",916,IF(Atletas!T156="Taijijian Sun C",917,IF(Atletas!T156="Taijijian Wu C",918,IF(Atletas!T156="Taijijian Wu-Hao C",919,IF(Atletas!T156="Taijijian 32 C",920,IF(Atletas!T156="Taijijian 42 C",921,IF(Atletas!T156="Taijijian Yang D",922,IF(Atletas!T156="Taijijian Chen D",923,IF(Atletas!T156="Taijijian Sun D",924,IF(Atletas!T156="Taijijian Wu D",925,IF(Atletas!T156="Taijijian Wu-Hao D",926,IF(Atletas!T156="Taijijian 32 D",927,IF(Atletas!T156="Taijijian 42 D",928,IF(Atletas!T156="Taijijian Yang E",929,IF(Atletas!T156="Taijijian Chen E",930,IF(Atletas!T156="Taijijian Sun E",931,IF(Atletas!T156="Taijijian Wu E",932,IF(Atletas!T156="Taijijian Wu-Hao E",933,IF(Atletas!T156="Taijijian 32 E",934,IF(Atletas!T156="Taijijian 42 E",935,IF(Atletas!T156="Taijijian Yang F",936,IF(Atletas!T156="Taijijian Chen F",937,IF(Atletas!T156="Taijijian Sun F",938,IF(Atletas!T156="Taijijian Wu F",939,IF(Atletas!T156="Taijijian Wu-Hao F",940,IF(Atletas!T156="Taijijian 32 F",941,IF(Atletas!T156="Taijijian 42 F",942,"")))))))))))))))))))))))))))))))))))))))))))</f>
        <v/>
      </c>
      <c r="BW160" s="52" t="str">
        <f>IF(Atletas!U156="","",IF(Atletas!W156&lt;&gt;"",10000,0)+IF(Atletas!B156="Feminino",1000,IF(Atletas!B156="Masculino",2000,""))+IF(Atletas!T156="Taijijian 42 F",942,IF(Atletas!U156="Taijidao A",943,IF(Atletas!U156="Taijishan A",944,IF(Atletas!U156="Taijiqiang A",945,IF(Atletas!U156="Taijidao B",946,IF(Atletas!U156="Taijishan B",947,IF(Atletas!U156="Taijiqiang B",948,IF(Atletas!U156="Taijidao C",949,IF(Atletas!U156="Taijishan C",950,IF(Atletas!U156="Taijiqiang C",951,IF(Atletas!U156="Taijidao D",952,IF(Atletas!U156="Taijishan D",953,IF(Atletas!U156="Taijiqiang D",954,IF(Atletas!U156="Taijidao E",955,IF(Atletas!U156="Taijishan E",956,IF(Atletas!U156="Taijiqiang E",957,IF(Atletas!U156="Taijidao F",958,IF(Atletas!U156="Taijishan F",959,IF(Atletas!U156="Taijiqiang F",960))))))))))))))))))))</f>
        <v/>
      </c>
      <c r="BX160" s="72" t="str">
        <f>IF(BY160&lt;&gt;"","TJQ Trad. Wu E","")</f>
        <v/>
      </c>
      <c r="BY160" s="72" t="str">
        <f>IF(COUNTIF(BK:BW,1328)&gt;0,COUNTIF(BK:BW,1328),"")</f>
        <v/>
      </c>
      <c r="BZ160" s="72" t="str">
        <f>IF(CA160&lt;&gt;"","TJQ Trad. Wu E","")</f>
        <v/>
      </c>
      <c r="CA160" s="72" t="str">
        <f>IF(COUNTIF(BK:BW,2328)&gt;0,COUNTIF(BK:BW,2328),"")</f>
        <v/>
      </c>
      <c r="CB160" s="72" t="str">
        <f>IF(CC160&lt;&gt;"","Wu E","")</f>
        <v/>
      </c>
      <c r="CC160" s="64" t="str">
        <f>IF(COUNTIF(BK:BW,11328)&gt;0,COUNTIF(BK:BW,11328),"")</f>
        <v/>
      </c>
      <c r="CD160" s="64" t="str">
        <f>IF(CE160&lt;&gt;"","Wu E","")</f>
        <v/>
      </c>
      <c r="CE160" s="64" t="str">
        <f>IF(COUNTIF(BK:BW,12328)&gt;0,COUNTIF(BK:BW,12328),"")</f>
        <v/>
      </c>
      <c r="CF160" s="52" t="str">
        <f xml:space="preserve"> IF(Atletas!V156="","",IF(Atletas!V156="Duilian de Mãos AB - Equipe 1",1,IF(Atletas!V156="Duilian de Mãos AB - Equipe 2",2,IF(Atletas!V156="Duilian de Armas AB - Equipe 1",3,IF(Atletas!V156="Duilian de Armas AB - Equipe 2",4,IF(Atletas!V156="Duilian de Tuishou - Equipe 1",5,IF(Atletas!V156="Duilian de Tuishou - Equipe 2",6,IF(Atletas!V156="Grupo Externo AB - Equipe 1",7,IF(Atletas!V156="Grupo Externo AB - Equipe 2",8,IF(Atletas!V156="Grupo Interno AB - Equipe 1",9,IF(Atletas!V156="Grupo Interno AB - Equipe 2",10,IF(Atletas!V156="Duilian de Mãos CD - Equipe 1",11,IF(Atletas!V156="Duilian de Mãos CD - Equipe 2",12,IF(Atletas!V156="Duilian de Armas CD - Equipe 1",13,IF(Atletas!V156="Duilian de Armas CD - Equipe 2",14,IF(Atletas!V156="Duilian de Tuishou - Equipe 1",15,IF(Atletas!V156="Duilian de Tuishou - Equipe 2",16,IF(Atletas!V156="Grupo Externo CDEF - Equipe 1",17,IF(Atletas!V156="Grupo Externo CDEF - Equipe 2",18,IF(Atletas!V156="Grupo Interno CDEF - Equipe 1",19,IF(Atletas!V156="Grupo Interno CDEF - Equipe 2",20,IF(Atletas!V156="Duilian de Mãos EF - Equipe 1",21,IF(Atletas!V156="Duilian de Mãos EF - Equipe 2",22,IF(Atletas!V156="Duilian de Armas EF - Equipe 1",23,IF(Atletas!V156="Duilian de Armas EF - Equipe 2",24,IF(Atletas!V156="Duilian de Tuishou - Equipe 1",25,IF(Atletas!V156="Duilian de Tuishou - Equipe 2",26,"")))))))))))))))))))))))))))</f>
        <v/>
      </c>
    </row>
    <row r="161" spans="2:84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 t="str">
        <f t="array" ref="V161">IFERROR(INDEX(BX$7:BX$336,SMALL(IF(BX$7:BX$336&lt;&gt;"",ROW(BX$7:BX$336)-ROW(BX$7)+1),ROWS(BX$7:BX160))),"")</f>
        <v/>
      </c>
      <c r="W161" s="4" t="str">
        <f t="array" ref="W161">IFERROR(INDEX(BY$7:BY$336,SMALL(IF(BY$7:BY$336&lt;&gt;"",ROW(BY$7:BY$336)-ROW(BY$7)+1),ROWS(BY$7:BY160))),"")</f>
        <v/>
      </c>
      <c r="X161" s="4" t="str">
        <f t="array" ref="X161">IFERROR(INDEX(BZ$7:BZ$336,SMALL(IF(BZ$7:BZ$336&lt;&gt;"",ROW(BZ$7:BZ$336)-ROW(BZ$7)+1),ROWS(BZ$7:BZ160))),"")</f>
        <v/>
      </c>
      <c r="Y161" s="4" t="str">
        <f t="array" ref="Y161">IFERROR(INDEX(CA$7:CA$336,SMALL(IF(CA$7:CA$336&lt;&gt;"",ROW(CA$7:CA$336)-ROW(CA$7)+1),ROWS(CA$7:CA160))),"")</f>
        <v/>
      </c>
      <c r="Z161" s="4" t="str">
        <f t="array" ref="Z161">IFERROR(INDEX(CB$7:CB$378,SMALL(IF(CB$7:CB$378&lt;&gt;"",ROW(CB$7:CB$378)-ROW(CB$7)+1),ROWS(CB$7:CB160))),"")</f>
        <v/>
      </c>
      <c r="AA161" s="4" t="str">
        <f t="array" ref="AA161">IFERROR(INDEX(CC$7:CC$378,SMALL(IF(CC$7:CC$378&lt;&gt;"",ROW(CC$7:CC$378)-ROW(CC$7)+1),ROWS(CC$7:CC160))),"")</f>
        <v/>
      </c>
      <c r="AB161" s="4" t="str">
        <f t="array" ref="AB161">IFERROR(INDEX(CD$7:CD$378,SMALL(IF(CD$7:CD$378&lt;&gt;"",ROW(CD$7:CD$378)-ROW(CD$7)+1),ROWS(CD$7:CD160))),"")</f>
        <v/>
      </c>
      <c r="AC161" s="4" t="str">
        <f t="array" ref="AC161">IFERROR(INDEX(CE$7:CE$378,SMALL(IF(CE$7:CE$378&lt;&gt;"",ROW(CE$7:CE$378)-ROW(CE$7)+1),ROWS(CE$7:CE160))),"")</f>
        <v/>
      </c>
      <c r="AD161" s="4"/>
      <c r="AE161" s="4"/>
      <c r="AF161" s="4"/>
      <c r="AG161" s="4"/>
      <c r="AH161" s="4"/>
      <c r="AI161" s="4"/>
      <c r="AJ161" s="46" t="str">
        <f>IF(Atletas!D157="","",IF(Atletas!B157="Feminino",100,IF(Atletas!B157="Masculino",200,""))+(IF(Atletas!D157="Infantil 39kg",1,IF(Atletas!D157="Infantil 42kg",2,IF(Atletas!D157="Infantil 45kg",3,IF(Atletas!D157="Infantil 48kg",4,IF(Atletas!D157="Infantil 52kg",5,IF(Atletas!D157="Infantil 56kg",6,IF(Atletas!D157="Infantil 60kg",7,IF(Atletas!D157="Juvenil 48kg",8,IF(Atletas!D157="Juvenil 52kg",9,IF(Atletas!D157="Juvenil 56kg",10,IF(Atletas!D157="Juvenil 60kg",11,IF(Atletas!D157="Juvenil 65kg",12,IF(Atletas!D157="Juvenil 70kg",13,IF(Atletas!D157="Juvenil 75kg",14,IF(Atletas!D157="Juvenil 80kg",15,IF(Atletas!D157="Adulto 48kg",16,IF(Atletas!D157="Adulto 52kg",17,IF(Atletas!D157="Adulto 56kg",18,IF(Atletas!D157="Adulto 60kg",19,IF(Atletas!D157="Adulto 65kg",20,IF(Atletas!D157="Adulto 70kg",21,IF(Atletas!D157="Adulto 75kg",22,IF(Atletas!D157="Adulto 80kg",23,IF(Atletas!D157="Adulto 85kg",24,IF(Atletas!D157="Adulto 90kg",25,IF(Atletas!D157="Adulto +90kg",26,""))))))))))))))))))))))))))))</f>
        <v/>
      </c>
      <c r="AO161" s="10" t="str">
        <f>IF(Atletas!E157="","",IF(Atletas!B157="Feminino",100,IF(Atletas!B157="Masculino",200,""))+(IF(Atletas!E157="Juvenil 44kg",1,IF(Atletas!E157="Juvenil 48kg",2,IF(Atletas!E157="Juvenil 52kg",3,IF(Atletas!E157="Juvenil 56kg",4,IF(Atletas!E157="Juvenil 60kg",5,IF(Atletas!E157="Juvenil 65kg",6,IF(Atletas!E157="Juvenil 70kg",7,IF(Atletas!E157="Juvenil 75kg",8,IF(Atletas!E157="Juvenil 82kg",9,IF(Atletas!E157="Juvenil 90kg",10,IF(Atletas!E157="Juvenil 100kg",11,IF(Atletas!E157="Adulto 48kg",12,IF(Atletas!E157="Adulto 52kg",13,IF(Atletas!E157="Adulto 56kg",14,IF(Atletas!E157="Adulto 60kg",15,IF(Atletas!E157="Adulto 65kg",16,IF(Atletas!E157="Adulto 70kg",17,IF(Atletas!E157="Adulto 75kg",18,IF(Atletas!E157="Adulto 82kg",19,IF(Atletas!E157="Adulto 90kg",20,IF(Atletas!E157="Adulto 100kg",21,IF(Atletas!E157="Adulto +100kg",22,""))))))))))))))))))))))))</f>
        <v/>
      </c>
      <c r="AT161" s="10" t="str">
        <f>IF(Atletas!F157="","",IF(Atletas!B157="Feminino",100,IF(Atletas!B157="Masculino",200,""))+(IF(Atletas!F157="Adulto 48kg",1,IF(Atletas!F157="Adulto 56kg",2,IF(Atletas!F157="Adulto 65kg",3,IF(Atletas!F157="Adulto 75kg",4,IF(Atletas!F157="Adulto +75kg",5,IF(Atletas!F157="Adulto 52kg",6,IF(Atletas!F157="Adulto 60kg",7,IF(Atletas!F157="Adulto 70kg",8,IF(Atletas!F157="Adulto 80kg",9,IF(Atletas!F157="Adulto 90kg",10,IF(Atletas!F157="Adulto +90kg",11,"")))))))))))))</f>
        <v/>
      </c>
      <c r="AY161" s="46" t="str">
        <f>IF(Atletas!G157="","",IF(Atletas!B157="Feminino",100,IF(Atletas!B157="Masculino",200,""))+(IF(Atletas!G157="Changquan Mirim",1,IF(Atletas!G157="Nanquan Mirim",2,IF(Atletas!G157="Taijiquan Mirim",3,IF(Atletas!G157="Changquan Grupo C",4,IF(Atletas!G157="Nanquan Grupo C",5,IF(Atletas!G157="Taijiquan Grupo C",6,IF(Atletas!G157="Changquan Grupo B",7,IF(Atletas!G157="Nanquan Grupo B",8,IF(Atletas!G157="Taijiquan Grupo B",9,IF(Atletas!G157="Changquan Grupo A",10,IF(Atletas!G157="Nanquan Grupo A",11,IF(Atletas!G157="Taijiquan Grupo A",12,IF(Atletas!G157="Changquan Opcional",13,IF(Atletas!G157="Nanquan Opcional",14,IF(Atletas!G157="Taijiquan Opcional",15,IF(Atletas!G157="Changquan Adulto",16,IF(Atletas!G157="Nanquan Adulto",17,IF(Atletas!G157="Taijiquan Adulto",18,""))))))))))))))))))))</f>
        <v/>
      </c>
      <c r="AZ161" s="46" t="str">
        <f>IF(Atletas!H157="","",IF(Atletas!B157="Feminino",100,IF(Atletas!B157="Masculino",200,""))+(IF(Atletas!H157="Daoshu Mirim",19,IF(Atletas!H157="Jianshu Mirim",20,IF(Atletas!H157="Nandao Mirim",21,IF(Atletas!H157="Taijijian Mirim",22,IF(Atletas!H157="Daoshu Grupo C",23,IF(Atletas!H157="Jianshu Grupo C",24,IF(Atletas!H157="Nandao Grupo C",25,IF(Atletas!H157="Taijijian Grupo C",26,IF(Atletas!H157="Daoshu Grupo B",27,IF(Atletas!H157="Jianshu Grupo B",28,IF(Atletas!H157="Nandao Grupo B",29,IF(Atletas!H157="Taijijian Grupo B",30,IF(Atletas!H157="Daoshu Grupo A",31,IF(Atletas!H157="Jianshu Grupo A",32,IF(Atletas!H157="Nandao Grupo A",33,IF(Atletas!H157="Taijijian Grupo A",34,IF(Atletas!H157="Daoshu Opcional",35,IF(Atletas!H157="Jianshu Opcional",36,IF(Atletas!H157="Nandao Opcional",37,IF(Atletas!H157="Taijijian Opcional",38,IF(Atletas!H157="Daoshu Adulto",39,IF(Atletas!H157="Jianshu Adulto",40,IF(Atletas!H157="Nandao Adulto",41,IF(Atletas!H157="Taijijian Adulto",42,""))))))))))))))))))))))))))</f>
        <v/>
      </c>
      <c r="BA161" s="46" t="str">
        <f>IF(Atletas!I157="","",IF(Atletas!B157="Feminino",100,IF(Atletas!B157="Masculino",200,""))+(IF(Atletas!I157="Gunshu Mirim",43,IF(Atletas!I157="Qiangshu Mirim",44,IF(Atletas!I157="Nangun Mirim",45,IF(Atletas!I157="Gunshu Grupo C",46,IF(Atletas!I157="Qiangshu Grupo C",47,IF(Atletas!I157="Nangun Grupo C",48,IF(Atletas!I157="Gunshu Grupo B",49,IF(Atletas!I157="Qiangshu Grupo B",50,IF(Atletas!I157="Nangun Grupo B",51,IF(Atletas!I157="Gunshu Grupo A",52,IF(Atletas!I157="Qiangshu Grupo A",53,IF(Atletas!I157="Nangun Grupo A",54,IF(Atletas!I157="Gunshu Opcional",55,IF(Atletas!I157="Qiangshu Opcional",56,IF(Atletas!I157="Nangun Opcional",57,IF(Atletas!I157="Gunshu Adulto",58,IF(Atletas!I157="Qiangshu Adulto",59,IF(Atletas!I157="Nangun Adulto",60,""))))))))))))))))))))</f>
        <v/>
      </c>
      <c r="BF161" s="52" t="str">
        <f>IF(Atletas!J157="","",IF(Atletas!B157="Feminino",100,IF(Atletas!B157="Masculino",200,""))+(IF(Atletas!J157="Equipe 1 Grupo B",1,IF(Atletas!J157="Equipe 2 Grupo B",2,IF(Atletas!J157="Equipe 1 Grupo A",3,IF(Atletas!J157="Equipe 2 Grupo A",4,IF(Atletas!J157="Equipe 1 Adulto",5,IF(Atletas!J157="Equipe 2 Adulto",6,""))))))))</f>
        <v/>
      </c>
      <c r="BK161" s="52" t="str">
        <f>IF(Atletas!K157="","",IF(Atletas!W157&lt;&gt;"",10000,0)+(IF(Atletas!B157="Feminino",1000,IF(Atletas!B157="Masculino",2000,""))+IF(Atletas!K157="Choylayfut A",1,IF(Atletas!K157="Hunggar A",2,IF(Atletas!K157="Wuzuquan A",3,IF(Atletas!K157="Wingchun A",4,IF(Atletas!K157="Outra Mão de Sul A",5,IF(Atletas!K157="Choylayfut B",6,IF(Atletas!K157="Hunggar B",7,IF(Atletas!K157="Wuzuquan B",8,IF(Atletas!K157="Wingchun B",9,IF(Atletas!K157="Outra Mão de Sul B",10,IF(Atletas!K157="Choylayfut C",11,IF(Atletas!K157="Hunggar C",12,IF(Atletas!K157="Wuzuquan C",13,IF(Atletas!K157="Wingchun C",14,IF(Atletas!K157="Outra Mão de Sul C",15,IF(Atletas!K157="Choylayfut D",16,IF(Atletas!K157="Hunggar D",17,IF(Atletas!K157="Wuzuquan D",18,IF(Atletas!K157="Wingchun D",19,IF(Atletas!K157="Outra Mão de Sul D",20,IF(Atletas!K157="Choylayfut E",21,IF(Atletas!K157="Hunggar E",22,IF(Atletas!K157="Wuzuquan E",23,IF(Atletas!K157="Wingchun E",24,IF(Atletas!K157="Outra Mão de Sul E",25,IF(Atletas!K157="Choylayfut F",26,IF(Atletas!K157="Hunggar F",27,IF(Atletas!K157="Wuzuquan F",28,IF(Atletas!K157="Wingchun F",29,IF(Atletas!K157="Outra Mão de Sul F",30,""))))))))))))))))))))))))))))))))</f>
        <v/>
      </c>
      <c r="BL161" s="52" t="str">
        <f>IF(Atletas!L157="","",IF(Atletas!W157&lt;&gt;"",10000,0)+(IF(Atletas!B157="Feminino",1000,IF(Atletas!B157="Masculino",2000,""))+(IF(Atletas!L157="Chaquan A",101,IF(Atletas!L157="Emeiquan A",102,IF(Atletas!L157="Fanziquan A",103,IF(Atletas!L157="Huaquan A",104,IF(Atletas!L157="Hongquan A",105,IF(Atletas!L157="Paochui A",106,IF(Atletas!L157="Piguaquan A",107,IF(Atletas!L157="Shaolinquan A",108,IF(Atletas!L157="Tanglangquan A",109,IF(Atletas!L157="Yinzhaophai A",110,IF(Atletas!L157="Tongbeiquan A",111,IF(Atletas!L157="Wudangquan A",112,IF(Atletas!L157="Outros Estilos A",113,IF(Atletas!L157="Chaquan B",114,IF(Atletas!L157="Emeiquan B",115,IF(Atletas!L157="Fanziquan B",116,IF(Atletas!L157="Huaquan B",117,IF(Atletas!L157="Hongquan B",118,IF(Atletas!L157="Paochui B",119,IF(Atletas!L157="Piguaquan B",120,IF(Atletas!L157="Shaolinquan B",121,IF(Atletas!L157="Tanglangquan B",122,IF(Atletas!L157="Yinzhaophai B",123,IF(Atletas!L157="Tongbeiquan B",124,IF(Atletas!L157="Wudangquan B",125,IF(Atletas!L157="Outros Estilos B",126,IF(Atletas!L157="Chaquan C",127,IF(Atletas!L157="Emeiquan C",128,IF(Atletas!L157="Fanziquan C",129,IF(Atletas!L157="Huaquan C",130,IF(Atletas!L157="Hongquan C",131,IF(Atletas!L157="Paochui C",132,IF(Atletas!L157="Piguaquan C",133,IF(Atletas!L157="Shaolinquan C",134,IF(Atletas!L157="Tanglangquan C",135,IF(Atletas!L157="Yinzhaophai C",136,IF(Atletas!L157="Tongbeiquan C",137,IF(Atletas!L157="Wudangquan C",138,IF(Atletas!L157="Outros Estilos C",139,0))))))))))))))))))))))))))))))))))))))))))</f>
        <v/>
      </c>
      <c r="BM161" s="52" t="str">
        <f>IF(Atletas!L157="","",IF(Atletas!W157&lt;&gt;"",10000,0)+(IF(Atletas!B157="Feminino",1000,IF(Atletas!B157="Masculino",2000,""))+(IF(Atletas!L157="Chaquan D",140,IF(Atletas!L157="Emeiquan D",141,IF(Atletas!L157="Fanziquan D",142,IF(Atletas!L157="Huaquan D",143,IF(Atletas!L157="Hongquan D",144,IF(Atletas!L157="Paochui D",145,IF(Atletas!L157="Piguaquan D",146,IF(Atletas!L157="Shaolinquan D",147,IF(Atletas!L157="Tanglangquan D",148,IF(Atletas!L157="Yinzhaophai D",149,IF(Atletas!L157="Tongbeiquan D",150,IF(Atletas!L157="Wudangquan D",151,IF(Atletas!L157="Outros Estilos D",152,IF(Atletas!L157="Chaquan E",153,IF(Atletas!L157="Emeiquan E",154,IF(Atletas!L157="Fanziquan E",155,IF(Atletas!L157="Huaquan E",156,IF(Atletas!L157="Hongquan E",157,IF(Atletas!L157="Paochui E",158,IF(Atletas!L157="Piguaquan E",159,IF(Atletas!L157="Shaolinquan E",160,IF(Atletas!L157="Tanglangquan E",161,IF(Atletas!L157="Yinzhaophai E",162,IF(Atletas!L157="Tongbeiquan E",163,IF(Atletas!L157="Wudangquan E",164,IF(Atletas!L157="Outros Estilos E",165,IF(Atletas!L157="Chaquan F",166,IF(Atletas!L157="Emeiquan F",167,IF(Atletas!L157="Fanziquan F",168,IF(Atletas!L157="Huaquan F",169,IF(Atletas!L157="Hongquan F",170,IF(Atletas!L157="Paochui F",171,IF(Atletas!L157="Piguaquan F",172,IF(Atletas!L157="Shaolinquan F",173,IF(Atletas!L157="Tanglangquan F",174,IF(Atletas!L157="Yinzhaophai F",175,IF(Atletas!L157="Tongbeiquan F",176,IF(Atletas!L157="Wudangquan F",177,IF(Atletas!L157="Outros Estilos F",178,0))))))))))))))))))))))))))))))))))))))))))</f>
        <v/>
      </c>
      <c r="BN161" s="52" t="str">
        <f>IF(Atletas!M157="","",IF(Atletas!W157&lt;&gt;"",10000,0)+(IF(Atletas!B157="Feminino",1000,IF(Atletas!B157="Masculino",2000,""))+(IF(Atletas!M157="Ditangquan A",201,IF(Atletas!M157="Houquan A",202,IF(Atletas!M157="Zuiquan A",203,IF(Atletas!M157="Ditangquan B",204,IF(Atletas!M157="Houquan B",205,IF(Atletas!M157="Zuiquan B",206,IF(Atletas!M157="Ditangquan C",207,IF(Atletas!M157="Houquan C",208,IF(Atletas!M157="Zuiquan C",209,IF(Atletas!M157="Ditangquan D",210,IF(Atletas!M157="Houquan D",211,IF(Atletas!M157="Zuiquan D",212,IF(Atletas!M157="Ditangquan E",213,IF(Atletas!M157="Houquan E",214,IF(Atletas!M157="Zuiquan E",215,IF(Atletas!M157="Ditangquan F",216,IF(Atletas!M157="Houquan F",217,IF(Atletas!M157="Zuiquan F",218,"")))))))))))))))))))))</f>
        <v/>
      </c>
      <c r="BO161" s="52" t="str">
        <f>IF(Atletas!N157="","",IF(Atletas!W157&lt;&gt;"",10000,0)+IF(Atletas!B157="Feminino",1000,IF(Atletas!B157="Masculino",2000,""))+IF(Atletas!N157="Yang A",301,IF(Atletas!N157="Chen A",30,IF(Atletas!N157="Sun A",303,IF(Atletas!N157="Wu A",304,IF(Atletas!N157="Wu-Hao A",305,IF(Atletas!N157="Outro Taijiquan A",306,IF(Atletas!N157="Yang B",307,IF(Atletas!N157="Chen B",308,IF(Atletas!N157="Sun B",309,IF(Atletas!N157="Wu B",310,IF(Atletas!N157="Wu-Hao B",311,IF(Atletas!N157="Outro Taijiquan B",312,IF(Atletas!N157="Yang C",313,IF(Atletas!N157="Chen C",314,IF(Atletas!N157="Sun C",315,IF(Atletas!N157="Wu C",316,IF(Atletas!N157="Wu-Hao C",317,IF(Atletas!N157="Outro Taijiquan C",318,IF(Atletas!N157="Yang D",319,IF(Atletas!N157="Chen D",320,IF(Atletas!N157="Sun D",321,IF(Atletas!N157="Wu D",322,IF(Atletas!N157="Wu-Hao D",323,IF(Atletas!N157="Outro Taijiquan D",324,IF(Atletas!N157="Yang E",325,IF(Atletas!N157="Chen E",326,IF(Atletas!N157="Sun E",327,IF(Atletas!N157="Wu E",328,IF(Atletas!N157="Wu-Hao E",329,IF(Atletas!N157="Outro Taijiquan E",330,IF(Atletas!N157="Yang F",331,IF(Atletas!N157="Chen F",332,IF(Atletas!N157="Sun F",333,IF(Atletas!N157="Wu F",334,IF(Atletas!N157="Wu-Hao F",335,IF(Atletas!N157="Outro Taijiquan F",336,"")))))))))))))))))))))))))))))))))))))</f>
        <v/>
      </c>
      <c r="BP161" s="52" t="str">
        <f>IF(Atletas!O157="","",IF(Atletas!W157&lt;&gt;"",10000,0)+IF(Atletas!B157="Feminino",1000,IF(Atletas!B157="Masculino",2000,""))+IF(OR(Atletas!O157="Yang 26 A",Atletas!O157="Yang 40 A"),401,IF(OR(Atletas!O157="Chen 25 A",Atletas!O157="Chen 36 A",Atletas!O157="Chen 56 A"),402,IF(Atletas!O157="Sun 73 A",403,IF(Atletas!O157="Wu 45 A",404,IF(Atletas!O157="Wu-Hao 46 A",405,IF(OR(Atletas!O157="Taijiquan 16 A",Atletas!O157="Taijiquan 24 A",Atletas!O157="Taijiquan 32 A",Atletas!O157="Taijiquan 42 A"),406,IF(OR(Atletas!O157="Yang 26 B",Atletas!O157="Yang 40 B"),407,IF(OR(Atletas!O157="Chen 25 B",Atletas!O157="Chen 36 B",Atletas!O157="Chen 56 B"),408,IF(Atletas!O157="Sun 73 B",409,IF(Atletas!O157="Wu 45 B",410,IF(Atletas!O157="Wu-Hao 46 B",411,IF(OR(Atletas!O157="Taijiquan 16 B",Atletas!O157="Taijiquan 24 B",Atletas!O157="Taijiquan 32 B",Atletas!O157="Taijiquan 42 B"),412,IF(OR(Atletas!O157="Yang 26 C",Atletas!O157="Yang 40 C"),413,IF(OR(Atletas!O157="Chen 25 C",Atletas!O157="Chen 36 C",Atletas!O157="Chen 56 C"),414,IF(Atletas!O157="Sun 73 C",415,IF(Atletas!O157="Wu 45 C",416,IF(Atletas!O157="Wu-Hao 46 C",417,IF(OR(Atletas!O157="Taijiquan 16 C",Atletas!O157="Taijiquan 24 C",Atletas!O157="Taijiquan 32 C",Atletas!O157="Taijiquan 42 C"),418,0)))))))))))))))))))</f>
        <v/>
      </c>
      <c r="BQ161" s="52" t="str">
        <f>IF(Atletas!O157="","",IF(Atletas!W157&lt;&gt;"",10000,0)+IF(Atletas!B157="Feminino",1000,IF(Atletas!B157="Masculino",2000,""))+IF(OR(Atletas!O157="Yang 26 D",Atletas!O157="Yang 40 D"),419,IF(OR(Atletas!O157="Chen 25 D",Atletas!O157="Chen 36 D",Atletas!O157="Chen 56 D"),420,IF(Atletas!O157="Sun 73 D",421,IF(Atletas!O157="Wu 45 D",422,IF(Atletas!O157="Wu-Hao 46 D",423,IF(OR(Atletas!O157="Taijiquan 16 D",Atletas!O157="Taijiquan 24 D",Atletas!O157="Taijiquan 32 D",Atletas!O157="Taijiquan 42 D"),424,IF(OR(Atletas!O157="Yang 26 E",Atletas!O157="Yang 40 E"),425,IF(OR(Atletas!O157="Chen 25 E",Atletas!O157="Chen 36 E",Atletas!O157="Chen 56 E"),426,IF(Atletas!O157="Sun 73 E",427,IF(Atletas!O157="Wu 45 E",428,IF(Atletas!O157="Wu-Hao 46 E",429,IF(OR(Atletas!O157="Taijiquan 16 E",Atletas!O157="Taijiquan 24 E",Atletas!O157="Taijiquan 32 E",Atletas!O157="Taijiquan 42 E"),430,IF(OR(Atletas!O157="Yang 26 F",Atletas!O157="Yang 40 F"),431,IF(OR(Atletas!O157="Chen 25 F",Atletas!O157="Chen 36 F",Atletas!O157="Chen 56 F"),432,IF(Atletas!O157="Sun 73 F",433,IF(Atletas!O157="Wu 45 F",434,IF(Atletas!O157="Wu-Hao 46 F",435,IF(OR(Atletas!O157="Taijiquan 16 F",Atletas!O157="Taijiquan 24 F",Atletas!O157="Taijiquan 32 F",Atletas!O157="Taijiquan 42 F"),436,0)))))))))))))))))))</f>
        <v/>
      </c>
      <c r="BR161" s="52" t="str">
        <f>IF(Atletas!P157="","",IF(Atletas!W157&lt;&gt;"",10000,0)+IF(Atletas!B157="Feminino",1000,IF(Atletas!B157="Masculino",2000,""))+IF(Atletas!P157="Xingyiquan A",501,IF(Atletas!P157="Baguazhang A",502,IF(Atletas!P157="Outro Estilo Interno A",503,IF(Atletas!P157="Xingyiquan B",504,IF(Atletas!P157="Baguazhang B",505,IF(Atletas!P157="Outro Estilo Interno B",506,IF(Atletas!P157="Xingyiquan C",507,IF(Atletas!P157="Baguazhang C",508,IF(Atletas!P157="Outro Estilo Interno C",509,IF(Atletas!P157="Xingyiquan D",510,IF(Atletas!P157="Baguazhang D",511,IF(Atletas!P157="Outro Estilo Interno D",512,IF(Atletas!P157="Xingyiquan E",513,IF(Atletas!P157="Baguazhang E",514,IF(Atletas!P157="Outro Estilo Interno E",515,IF(Atletas!P157="Xingyiquan F",516,IF(Atletas!P157="Baguazhang F",517,IF(Atletas!P157="Outro Estilo Interno F",518, "")))))))))))))))))))</f>
        <v/>
      </c>
      <c r="BS161" s="52" t="str">
        <f>IF(Atletas!Q157="","",IF(Atletas!W157&lt;&gt;"",10000,0)+IF(Atletas!B157="Feminino",1000,IF(Atletas!B157="Masculino",2000,""))+IF(Atletas!Q157="Dao A",601,IF(Atletas!Q157="Jian A",602,IF(Atletas!Q157="Bishou A",603,IF(Atletas!Q157="Shan A",604,IF(Atletas!Q157="Outra Arma Curta A",605,IF(Atletas!Q157="Dao B",606,IF(Atletas!Q157="Jian B",607,IF(Atletas!Q157="Bishou B",608,IF(Atletas!Q157="Shan B",609,IF(Atletas!Q157="Outra Arma Curta B",610,IF(Atletas!Q157="Dao C",611,IF(Atletas!Q157="Jian C",612,IF(Atletas!Q157="Bishou C",613,IF(Atletas!Q157="Shan C",614,IF(Atletas!Q157="Outra Arma Curta C",615,IF(Atletas!Q157="Dao D",616,IF(Atletas!Q157="Jian D",617,IF(Atletas!Q157="Bishou D",618,IF(Atletas!Q157="Shan D",619,IF(Atletas!Q157="Outra Arma Curta D",620,IF(Atletas!Q157="Dao E",621,IF(Atletas!Q157="Jian E",622,IF(Atletas!Q157="Bishou E",623,IF(Atletas!Q157="Shan E",624,IF(Atletas!Q157="Outra Arma Curta E",625,IF(Atletas!Q157="Dao F",626,IF(Atletas!Q157="Jian F",627,IF(Atletas!Q157="Bishou F",628,IF(Atletas!Q157="Shan F",629,IF(Atletas!Q157="Outra Arma Curta F",630, "")))))))))))))))))))))))))))))))</f>
        <v/>
      </c>
      <c r="BT161" s="52" t="str">
        <f>IF(Atletas!R157="","",IF(Atletas!W157&lt;&gt;"",10000,0)+IF(Atletas!B157="Feminino",1000,IF(Atletas!B157="Masculino",2000,""))+IF(Atletas!R157="Gun A",701,IF(Atletas!R157="Qiang A",702,IF(Atletas!R157="Pudao / Guandao A",703,IF(Atletas!R157="Outra Arma Longa A",704,IF(Atletas!R157="Gun B",705,IF(Atletas!R157="Qiang B",706,IF(Atletas!R157="Pudao / Guandao B",707,IF(Atletas!R157="Outra Arma Longa B",708,IF(Atletas!R157="Gun C",709,IF(Atletas!R157="Qiang C",710,IF(Atletas!R157="Pudao / Guandao C",711,IF(Atletas!R157="Outra Arma Longa C",712,IF(Atletas!R157="Gun D",713,IF(Atletas!R157="Qiang D",714,IF(Atletas!R157="Pudao / Guandao D",715,IF(Atletas!R157="Outra Arma Longa D",716,IF(Atletas!R157="Gun E",717,IF(Atletas!R157="Qiang E",718,IF(Atletas!R157="Pudao / Guandao E",719,IF(Atletas!R157="Outra Arma Longa E",720,IF(Atletas!R157="Gun F",721,IF(Atletas!R157="Qiang F",722,IF(Atletas!R157="Pudao / Guandao F",723,IF(Atletas!R157="Outra Arma Longa F",724,"")))))))))))))))))))))))))</f>
        <v/>
      </c>
      <c r="BU161" s="52" t="str">
        <f>IF(Atletas!S157="","",IF(Atletas!W157&lt;&gt;"",10000,0)+IF(Atletas!B157="Feminino",1000,IF(Atletas!B157="Masculino",2000,""))+IF(Atletas!S157="Arma Dupla A",801,IF(Atletas!S157="Arma Maleável A",802,IF(Atletas!S157="Arma Dupla B",803,IF(Atletas!S157="Arma Maleável B",804,IF(Atletas!S157="Arma Dupla C",805,IF(Atletas!S157="Arma Maleável C",806,IF(Atletas!S157="Arma Dupla D",807,IF(Atletas!S157="Arma Maleável D",808,IF(Atletas!S157="Arma Dupla E",809,IF(Atletas!S157="Arma Maleável E",810,IF(Atletas!S157="Arma Dupla F",811,IF(Atletas!S157="Arma Maleável F",812, "")))))))))))))</f>
        <v/>
      </c>
      <c r="BV161" s="52" t="str">
        <f>IF(Atletas!T157="","",IF(Atletas!W157&lt;&gt;"",10000,0)+IF(Atletas!B157="Feminino",1000,IF(Atletas!B157="Masculino",2000,""))+IF(Atletas!T157="Taijijian Yang A",901,IF(Atletas!T157="Taijijian Chen A",902,IF(Atletas!T157="Taijijian Sun A",903,IF(Atletas!T157="Taijijian Wu A",904,IF(Atletas!T157="Taijijian Wu-Hao A",905,IF(Atletas!T157="Taijijian 32 A",906,IF(Atletas!T157="Taijijian 42 A",907,IF(Atletas!T157="Taijijian Yang B",908,IF(Atletas!T157="Taijijian Chen B",909,IF(Atletas!T157="Taijijian Sun B",910,IF(Atletas!T157="Taijijian Wu B",911,IF(Atletas!T157="Taijijian Wu-Hao B",912,IF(Atletas!T157="Taijijian 32 B",913,IF(Atletas!T157="Taijijian 42 B",914,IF(Atletas!T157="Taijijian Yang C",915,IF(Atletas!T157="Taijijian Chen C",916,IF(Atletas!T157="Taijijian Sun C",917,IF(Atletas!T157="Taijijian Wu C",918,IF(Atletas!T157="Taijijian Wu-Hao C",919,IF(Atletas!T157="Taijijian 32 C",920,IF(Atletas!T157="Taijijian 42 C",921,IF(Atletas!T157="Taijijian Yang D",922,IF(Atletas!T157="Taijijian Chen D",923,IF(Atletas!T157="Taijijian Sun D",924,IF(Atletas!T157="Taijijian Wu D",925,IF(Atletas!T157="Taijijian Wu-Hao D",926,IF(Atletas!T157="Taijijian 32 D",927,IF(Atletas!T157="Taijijian 42 D",928,IF(Atletas!T157="Taijijian Yang E",929,IF(Atletas!T157="Taijijian Chen E",930,IF(Atletas!T157="Taijijian Sun E",931,IF(Atletas!T157="Taijijian Wu E",932,IF(Atletas!T157="Taijijian Wu-Hao E",933,IF(Atletas!T157="Taijijian 32 E",934,IF(Atletas!T157="Taijijian 42 E",935,IF(Atletas!T157="Taijijian Yang F",936,IF(Atletas!T157="Taijijian Chen F",937,IF(Atletas!T157="Taijijian Sun F",938,IF(Atletas!T157="Taijijian Wu F",939,IF(Atletas!T157="Taijijian Wu-Hao F",940,IF(Atletas!T157="Taijijian 32 F",941,IF(Atletas!T157="Taijijian 42 F",942,"")))))))))))))))))))))))))))))))))))))))))))</f>
        <v/>
      </c>
      <c r="BW161" s="52" t="str">
        <f>IF(Atletas!U157="","",IF(Atletas!W157&lt;&gt;"",10000,0)+IF(Atletas!B157="Feminino",1000,IF(Atletas!B157="Masculino",2000,""))+IF(Atletas!T157="Taijijian 42 F",942,IF(Atletas!U157="Taijidao A",943,IF(Atletas!U157="Taijishan A",944,IF(Atletas!U157="Taijiqiang A",945,IF(Atletas!U157="Taijidao B",946,IF(Atletas!U157="Taijishan B",947,IF(Atletas!U157="Taijiqiang B",948,IF(Atletas!U157="Taijidao C",949,IF(Atletas!U157="Taijishan C",950,IF(Atletas!U157="Taijiqiang C",951,IF(Atletas!U157="Taijidao D",952,IF(Atletas!U157="Taijishan D",953,IF(Atletas!U157="Taijiqiang D",954,IF(Atletas!U157="Taijidao E",955,IF(Atletas!U157="Taijishan E",956,IF(Atletas!U157="Taijiqiang E",957,IF(Atletas!U157="Taijidao F",958,IF(Atletas!U157="Taijishan F",959,IF(Atletas!U157="Taijiqiang F",960))))))))))))))))))))</f>
        <v/>
      </c>
      <c r="BX161" s="72" t="str">
        <f>IF(BY161&lt;&gt;"","TJQ Trad. Wu-Hao E","")</f>
        <v/>
      </c>
      <c r="BY161" s="72" t="str">
        <f>IF(COUNTIF(BK:BW,1329)&gt;0,COUNTIF(BK:BW,1329),"")</f>
        <v/>
      </c>
      <c r="BZ161" s="72" t="str">
        <f>IF(CA161&lt;&gt;"","TJQ Trad. Wu-Hao E","")</f>
        <v/>
      </c>
      <c r="CA161" s="72" t="str">
        <f>IF(COUNTIF(BK:BW,2329)&gt;0,COUNTIF(BK:BW,2329),"")</f>
        <v/>
      </c>
      <c r="CB161" s="72" t="str">
        <f>IF(CC161&lt;&gt;"","Wu-Hao E","")</f>
        <v/>
      </c>
      <c r="CC161" s="64" t="str">
        <f>IF(COUNTIF(BK:BW,11329)&gt;0,COUNTIF(BK:BW,11329),"")</f>
        <v/>
      </c>
      <c r="CD161" s="64" t="str">
        <f>IF(CE161&lt;&gt;"","Wu-Hao E","")</f>
        <v/>
      </c>
      <c r="CE161" s="64" t="str">
        <f>IF(COUNTIF(BK:BW,12329)&gt;0,COUNTIF(BK:BW,12329),"")</f>
        <v/>
      </c>
      <c r="CF161" s="52" t="str">
        <f xml:space="preserve"> IF(Atletas!V157="","",IF(Atletas!V157="Duilian de Mãos AB - Equipe 1",1,IF(Atletas!V157="Duilian de Mãos AB - Equipe 2",2,IF(Atletas!V157="Duilian de Armas AB - Equipe 1",3,IF(Atletas!V157="Duilian de Armas AB - Equipe 2",4,IF(Atletas!V157="Duilian de Tuishou - Equipe 1",5,IF(Atletas!V157="Duilian de Tuishou - Equipe 2",6,IF(Atletas!V157="Grupo Externo AB - Equipe 1",7,IF(Atletas!V157="Grupo Externo AB - Equipe 2",8,IF(Atletas!V157="Grupo Interno AB - Equipe 1",9,IF(Atletas!V157="Grupo Interno AB - Equipe 2",10,IF(Atletas!V157="Duilian de Mãos CD - Equipe 1",11,IF(Atletas!V157="Duilian de Mãos CD - Equipe 2",12,IF(Atletas!V157="Duilian de Armas CD - Equipe 1",13,IF(Atletas!V157="Duilian de Armas CD - Equipe 2",14,IF(Atletas!V157="Duilian de Tuishou - Equipe 1",15,IF(Atletas!V157="Duilian de Tuishou - Equipe 2",16,IF(Atletas!V157="Grupo Externo CDEF - Equipe 1",17,IF(Atletas!V157="Grupo Externo CDEF - Equipe 2",18,IF(Atletas!V157="Grupo Interno CDEF - Equipe 1",19,IF(Atletas!V157="Grupo Interno CDEF - Equipe 2",20,IF(Atletas!V157="Duilian de Mãos EF - Equipe 1",21,IF(Atletas!V157="Duilian de Mãos EF - Equipe 2",22,IF(Atletas!V157="Duilian de Armas EF - Equipe 1",23,IF(Atletas!V157="Duilian de Armas EF - Equipe 2",24,IF(Atletas!V157="Duilian de Tuishou - Equipe 1",25,IF(Atletas!V157="Duilian de Tuishou - Equipe 2",26,"")))))))))))))))))))))))))))</f>
        <v/>
      </c>
    </row>
    <row r="162" spans="2:84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 t="str">
        <f t="array" ref="V162">IFERROR(INDEX(BX$7:BX$336,SMALL(IF(BX$7:BX$336&lt;&gt;"",ROW(BX$7:BX$336)-ROW(BX$7)+1),ROWS(BX$7:BX161))),"")</f>
        <v/>
      </c>
      <c r="W162" s="4" t="str">
        <f t="array" ref="W162">IFERROR(INDEX(BY$7:BY$336,SMALL(IF(BY$7:BY$336&lt;&gt;"",ROW(BY$7:BY$336)-ROW(BY$7)+1),ROWS(BY$7:BY161))),"")</f>
        <v/>
      </c>
      <c r="X162" s="4" t="str">
        <f t="array" ref="X162">IFERROR(INDEX(BZ$7:BZ$336,SMALL(IF(BZ$7:BZ$336&lt;&gt;"",ROW(BZ$7:BZ$336)-ROW(BZ$7)+1),ROWS(BZ$7:BZ161))),"")</f>
        <v/>
      </c>
      <c r="Y162" s="4" t="str">
        <f t="array" ref="Y162">IFERROR(INDEX(CA$7:CA$336,SMALL(IF(CA$7:CA$336&lt;&gt;"",ROW(CA$7:CA$336)-ROW(CA$7)+1),ROWS(CA$7:CA161))),"")</f>
        <v/>
      </c>
      <c r="Z162" s="4" t="str">
        <f t="array" ref="Z162">IFERROR(INDEX(CB$7:CB$378,SMALL(IF(CB$7:CB$378&lt;&gt;"",ROW(CB$7:CB$378)-ROW(CB$7)+1),ROWS(CB$7:CB161))),"")</f>
        <v/>
      </c>
      <c r="AA162" s="4" t="str">
        <f t="array" ref="AA162">IFERROR(INDEX(CC$7:CC$378,SMALL(IF(CC$7:CC$378&lt;&gt;"",ROW(CC$7:CC$378)-ROW(CC$7)+1),ROWS(CC$7:CC161))),"")</f>
        <v/>
      </c>
      <c r="AB162" s="4" t="str">
        <f t="array" ref="AB162">IFERROR(INDEX(CD$7:CD$378,SMALL(IF(CD$7:CD$378&lt;&gt;"",ROW(CD$7:CD$378)-ROW(CD$7)+1),ROWS(CD$7:CD161))),"")</f>
        <v/>
      </c>
      <c r="AC162" s="4" t="str">
        <f t="array" ref="AC162">IFERROR(INDEX(CE$7:CE$378,SMALL(IF(CE$7:CE$378&lt;&gt;"",ROW(CE$7:CE$378)-ROW(CE$7)+1),ROWS(CE$7:CE161))),"")</f>
        <v/>
      </c>
      <c r="AD162" s="4"/>
      <c r="AE162" s="4"/>
      <c r="AF162" s="4"/>
      <c r="AG162" s="4"/>
      <c r="AH162" s="4"/>
      <c r="AI162" s="4"/>
      <c r="AJ162" s="46" t="str">
        <f>IF(Atletas!D158="","",IF(Atletas!B158="Feminino",100,IF(Atletas!B158="Masculino",200,""))+(IF(Atletas!D158="Infantil 39kg",1,IF(Atletas!D158="Infantil 42kg",2,IF(Atletas!D158="Infantil 45kg",3,IF(Atletas!D158="Infantil 48kg",4,IF(Atletas!D158="Infantil 52kg",5,IF(Atletas!D158="Infantil 56kg",6,IF(Atletas!D158="Infantil 60kg",7,IF(Atletas!D158="Juvenil 48kg",8,IF(Atletas!D158="Juvenil 52kg",9,IF(Atletas!D158="Juvenil 56kg",10,IF(Atletas!D158="Juvenil 60kg",11,IF(Atletas!D158="Juvenil 65kg",12,IF(Atletas!D158="Juvenil 70kg",13,IF(Atletas!D158="Juvenil 75kg",14,IF(Atletas!D158="Juvenil 80kg",15,IF(Atletas!D158="Adulto 48kg",16,IF(Atletas!D158="Adulto 52kg",17,IF(Atletas!D158="Adulto 56kg",18,IF(Atletas!D158="Adulto 60kg",19,IF(Atletas!D158="Adulto 65kg",20,IF(Atletas!D158="Adulto 70kg",21,IF(Atletas!D158="Adulto 75kg",22,IF(Atletas!D158="Adulto 80kg",23,IF(Atletas!D158="Adulto 85kg",24,IF(Atletas!D158="Adulto 90kg",25,IF(Atletas!D158="Adulto +90kg",26,""))))))))))))))))))))))))))))</f>
        <v/>
      </c>
      <c r="AO162" s="10" t="str">
        <f>IF(Atletas!E158="","",IF(Atletas!B158="Feminino",100,IF(Atletas!B158="Masculino",200,""))+(IF(Atletas!E158="Juvenil 44kg",1,IF(Atletas!E158="Juvenil 48kg",2,IF(Atletas!E158="Juvenil 52kg",3,IF(Atletas!E158="Juvenil 56kg",4,IF(Atletas!E158="Juvenil 60kg",5,IF(Atletas!E158="Juvenil 65kg",6,IF(Atletas!E158="Juvenil 70kg",7,IF(Atletas!E158="Juvenil 75kg",8,IF(Atletas!E158="Juvenil 82kg",9,IF(Atletas!E158="Juvenil 90kg",10,IF(Atletas!E158="Juvenil 100kg",11,IF(Atletas!E158="Adulto 48kg",12,IF(Atletas!E158="Adulto 52kg",13,IF(Atletas!E158="Adulto 56kg",14,IF(Atletas!E158="Adulto 60kg",15,IF(Atletas!E158="Adulto 65kg",16,IF(Atletas!E158="Adulto 70kg",17,IF(Atletas!E158="Adulto 75kg",18,IF(Atletas!E158="Adulto 82kg",19,IF(Atletas!E158="Adulto 90kg",20,IF(Atletas!E158="Adulto 100kg",21,IF(Atletas!E158="Adulto +100kg",22,""))))))))))))))))))))))))</f>
        <v/>
      </c>
      <c r="AT162" s="10" t="str">
        <f>IF(Atletas!F158="","",IF(Atletas!B158="Feminino",100,IF(Atletas!B158="Masculino",200,""))+(IF(Atletas!F158="Adulto 48kg",1,IF(Atletas!F158="Adulto 56kg",2,IF(Atletas!F158="Adulto 65kg",3,IF(Atletas!F158="Adulto 75kg",4,IF(Atletas!F158="Adulto +75kg",5,IF(Atletas!F158="Adulto 52kg",6,IF(Atletas!F158="Adulto 60kg",7,IF(Atletas!F158="Adulto 70kg",8,IF(Atletas!F158="Adulto 80kg",9,IF(Atletas!F158="Adulto 90kg",10,IF(Atletas!F158="Adulto +90kg",11,"")))))))))))))</f>
        <v/>
      </c>
      <c r="AY162" s="46" t="str">
        <f>IF(Atletas!G158="","",IF(Atletas!B158="Feminino",100,IF(Atletas!B158="Masculino",200,""))+(IF(Atletas!G158="Changquan Mirim",1,IF(Atletas!G158="Nanquan Mirim",2,IF(Atletas!G158="Taijiquan Mirim",3,IF(Atletas!G158="Changquan Grupo C",4,IF(Atletas!G158="Nanquan Grupo C",5,IF(Atletas!G158="Taijiquan Grupo C",6,IF(Atletas!G158="Changquan Grupo B",7,IF(Atletas!G158="Nanquan Grupo B",8,IF(Atletas!G158="Taijiquan Grupo B",9,IF(Atletas!G158="Changquan Grupo A",10,IF(Atletas!G158="Nanquan Grupo A",11,IF(Atletas!G158="Taijiquan Grupo A",12,IF(Atletas!G158="Changquan Opcional",13,IF(Atletas!G158="Nanquan Opcional",14,IF(Atletas!G158="Taijiquan Opcional",15,IF(Atletas!G158="Changquan Adulto",16,IF(Atletas!G158="Nanquan Adulto",17,IF(Atletas!G158="Taijiquan Adulto",18,""))))))))))))))))))))</f>
        <v/>
      </c>
      <c r="AZ162" s="46" t="str">
        <f>IF(Atletas!H158="","",IF(Atletas!B158="Feminino",100,IF(Atletas!B158="Masculino",200,""))+(IF(Atletas!H158="Daoshu Mirim",19,IF(Atletas!H158="Jianshu Mirim",20,IF(Atletas!H158="Nandao Mirim",21,IF(Atletas!H158="Taijijian Mirim",22,IF(Atletas!H158="Daoshu Grupo C",23,IF(Atletas!H158="Jianshu Grupo C",24,IF(Atletas!H158="Nandao Grupo C",25,IF(Atletas!H158="Taijijian Grupo C",26,IF(Atletas!H158="Daoshu Grupo B",27,IF(Atletas!H158="Jianshu Grupo B",28,IF(Atletas!H158="Nandao Grupo B",29,IF(Atletas!H158="Taijijian Grupo B",30,IF(Atletas!H158="Daoshu Grupo A",31,IF(Atletas!H158="Jianshu Grupo A",32,IF(Atletas!H158="Nandao Grupo A",33,IF(Atletas!H158="Taijijian Grupo A",34,IF(Atletas!H158="Daoshu Opcional",35,IF(Atletas!H158="Jianshu Opcional",36,IF(Atletas!H158="Nandao Opcional",37,IF(Atletas!H158="Taijijian Opcional",38,IF(Atletas!H158="Daoshu Adulto",39,IF(Atletas!H158="Jianshu Adulto",40,IF(Atletas!H158="Nandao Adulto",41,IF(Atletas!H158="Taijijian Adulto",42,""))))))))))))))))))))))))))</f>
        <v/>
      </c>
      <c r="BA162" s="46" t="str">
        <f>IF(Atletas!I158="","",IF(Atletas!B158="Feminino",100,IF(Atletas!B158="Masculino",200,""))+(IF(Atletas!I158="Gunshu Mirim",43,IF(Atletas!I158="Qiangshu Mirim",44,IF(Atletas!I158="Nangun Mirim",45,IF(Atletas!I158="Gunshu Grupo C",46,IF(Atletas!I158="Qiangshu Grupo C",47,IF(Atletas!I158="Nangun Grupo C",48,IF(Atletas!I158="Gunshu Grupo B",49,IF(Atletas!I158="Qiangshu Grupo B",50,IF(Atletas!I158="Nangun Grupo B",51,IF(Atletas!I158="Gunshu Grupo A",52,IF(Atletas!I158="Qiangshu Grupo A",53,IF(Atletas!I158="Nangun Grupo A",54,IF(Atletas!I158="Gunshu Opcional",55,IF(Atletas!I158="Qiangshu Opcional",56,IF(Atletas!I158="Nangun Opcional",57,IF(Atletas!I158="Gunshu Adulto",58,IF(Atletas!I158="Qiangshu Adulto",59,IF(Atletas!I158="Nangun Adulto",60,""))))))))))))))))))))</f>
        <v/>
      </c>
      <c r="BF162" s="52" t="str">
        <f>IF(Atletas!J158="","",IF(Atletas!B158="Feminino",100,IF(Atletas!B158="Masculino",200,""))+(IF(Atletas!J158="Equipe 1 Grupo B",1,IF(Atletas!J158="Equipe 2 Grupo B",2,IF(Atletas!J158="Equipe 1 Grupo A",3,IF(Atletas!J158="Equipe 2 Grupo A",4,IF(Atletas!J158="Equipe 1 Adulto",5,IF(Atletas!J158="Equipe 2 Adulto",6,""))))))))</f>
        <v/>
      </c>
      <c r="BK162" s="52" t="str">
        <f>IF(Atletas!K158="","",IF(Atletas!W158&lt;&gt;"",10000,0)+(IF(Atletas!B158="Feminino",1000,IF(Atletas!B158="Masculino",2000,""))+IF(Atletas!K158="Choylayfut A",1,IF(Atletas!K158="Hunggar A",2,IF(Atletas!K158="Wuzuquan A",3,IF(Atletas!K158="Wingchun A",4,IF(Atletas!K158="Outra Mão de Sul A",5,IF(Atletas!K158="Choylayfut B",6,IF(Atletas!K158="Hunggar B",7,IF(Atletas!K158="Wuzuquan B",8,IF(Atletas!K158="Wingchun B",9,IF(Atletas!K158="Outra Mão de Sul B",10,IF(Atletas!K158="Choylayfut C",11,IF(Atletas!K158="Hunggar C",12,IF(Atletas!K158="Wuzuquan C",13,IF(Atletas!K158="Wingchun C",14,IF(Atletas!K158="Outra Mão de Sul C",15,IF(Atletas!K158="Choylayfut D",16,IF(Atletas!K158="Hunggar D",17,IF(Atletas!K158="Wuzuquan D",18,IF(Atletas!K158="Wingchun D",19,IF(Atletas!K158="Outra Mão de Sul D",20,IF(Atletas!K158="Choylayfut E",21,IF(Atletas!K158="Hunggar E",22,IF(Atletas!K158="Wuzuquan E",23,IF(Atletas!K158="Wingchun E",24,IF(Atletas!K158="Outra Mão de Sul E",25,IF(Atletas!K158="Choylayfut F",26,IF(Atletas!K158="Hunggar F",27,IF(Atletas!K158="Wuzuquan F",28,IF(Atletas!K158="Wingchun F",29,IF(Atletas!K158="Outra Mão de Sul F",30,""))))))))))))))))))))))))))))))))</f>
        <v/>
      </c>
      <c r="BL162" s="52" t="str">
        <f>IF(Atletas!L158="","",IF(Atletas!W158&lt;&gt;"",10000,0)+(IF(Atletas!B158="Feminino",1000,IF(Atletas!B158="Masculino",2000,""))+(IF(Atletas!L158="Chaquan A",101,IF(Atletas!L158="Emeiquan A",102,IF(Atletas!L158="Fanziquan A",103,IF(Atletas!L158="Huaquan A",104,IF(Atletas!L158="Hongquan A",105,IF(Atletas!L158="Paochui A",106,IF(Atletas!L158="Piguaquan A",107,IF(Atletas!L158="Shaolinquan A",108,IF(Atletas!L158="Tanglangquan A",109,IF(Atletas!L158="Yinzhaophai A",110,IF(Atletas!L158="Tongbeiquan A",111,IF(Atletas!L158="Wudangquan A",112,IF(Atletas!L158="Outros Estilos A",113,IF(Atletas!L158="Chaquan B",114,IF(Atletas!L158="Emeiquan B",115,IF(Atletas!L158="Fanziquan B",116,IF(Atletas!L158="Huaquan B",117,IF(Atletas!L158="Hongquan B",118,IF(Atletas!L158="Paochui B",119,IF(Atletas!L158="Piguaquan B",120,IF(Atletas!L158="Shaolinquan B",121,IF(Atletas!L158="Tanglangquan B",122,IF(Atletas!L158="Yinzhaophai B",123,IF(Atletas!L158="Tongbeiquan B",124,IF(Atletas!L158="Wudangquan B",125,IF(Atletas!L158="Outros Estilos B",126,IF(Atletas!L158="Chaquan C",127,IF(Atletas!L158="Emeiquan C",128,IF(Atletas!L158="Fanziquan C",129,IF(Atletas!L158="Huaquan C",130,IF(Atletas!L158="Hongquan C",131,IF(Atletas!L158="Paochui C",132,IF(Atletas!L158="Piguaquan C",133,IF(Atletas!L158="Shaolinquan C",134,IF(Atletas!L158="Tanglangquan C",135,IF(Atletas!L158="Yinzhaophai C",136,IF(Atletas!L158="Tongbeiquan C",137,IF(Atletas!L158="Wudangquan C",138,IF(Atletas!L158="Outros Estilos C",139,0))))))))))))))))))))))))))))))))))))))))))</f>
        <v/>
      </c>
      <c r="BM162" s="52" t="str">
        <f>IF(Atletas!L158="","",IF(Atletas!W158&lt;&gt;"",10000,0)+(IF(Atletas!B158="Feminino",1000,IF(Atletas!B158="Masculino",2000,""))+(IF(Atletas!L158="Chaquan D",140,IF(Atletas!L158="Emeiquan D",141,IF(Atletas!L158="Fanziquan D",142,IF(Atletas!L158="Huaquan D",143,IF(Atletas!L158="Hongquan D",144,IF(Atletas!L158="Paochui D",145,IF(Atletas!L158="Piguaquan D",146,IF(Atletas!L158="Shaolinquan D",147,IF(Atletas!L158="Tanglangquan D",148,IF(Atletas!L158="Yinzhaophai D",149,IF(Atletas!L158="Tongbeiquan D",150,IF(Atletas!L158="Wudangquan D",151,IF(Atletas!L158="Outros Estilos D",152,IF(Atletas!L158="Chaquan E",153,IF(Atletas!L158="Emeiquan E",154,IF(Atletas!L158="Fanziquan E",155,IF(Atletas!L158="Huaquan E",156,IF(Atletas!L158="Hongquan E",157,IF(Atletas!L158="Paochui E",158,IF(Atletas!L158="Piguaquan E",159,IF(Atletas!L158="Shaolinquan E",160,IF(Atletas!L158="Tanglangquan E",161,IF(Atletas!L158="Yinzhaophai E",162,IF(Atletas!L158="Tongbeiquan E",163,IF(Atletas!L158="Wudangquan E",164,IF(Atletas!L158="Outros Estilos E",165,IF(Atletas!L158="Chaquan F",166,IF(Atletas!L158="Emeiquan F",167,IF(Atletas!L158="Fanziquan F",168,IF(Atletas!L158="Huaquan F",169,IF(Atletas!L158="Hongquan F",170,IF(Atletas!L158="Paochui F",171,IF(Atletas!L158="Piguaquan F",172,IF(Atletas!L158="Shaolinquan F",173,IF(Atletas!L158="Tanglangquan F",174,IF(Atletas!L158="Yinzhaophai F",175,IF(Atletas!L158="Tongbeiquan F",176,IF(Atletas!L158="Wudangquan F",177,IF(Atletas!L158="Outros Estilos F",178,0))))))))))))))))))))))))))))))))))))))))))</f>
        <v/>
      </c>
      <c r="BN162" s="52" t="str">
        <f>IF(Atletas!M158="","",IF(Atletas!W158&lt;&gt;"",10000,0)+(IF(Atletas!B158="Feminino",1000,IF(Atletas!B158="Masculino",2000,""))+(IF(Atletas!M158="Ditangquan A",201,IF(Atletas!M158="Houquan A",202,IF(Atletas!M158="Zuiquan A",203,IF(Atletas!M158="Ditangquan B",204,IF(Atletas!M158="Houquan B",205,IF(Atletas!M158="Zuiquan B",206,IF(Atletas!M158="Ditangquan C",207,IF(Atletas!M158="Houquan C",208,IF(Atletas!M158="Zuiquan C",209,IF(Atletas!M158="Ditangquan D",210,IF(Atletas!M158="Houquan D",211,IF(Atletas!M158="Zuiquan D",212,IF(Atletas!M158="Ditangquan E",213,IF(Atletas!M158="Houquan E",214,IF(Atletas!M158="Zuiquan E",215,IF(Atletas!M158="Ditangquan F",216,IF(Atletas!M158="Houquan F",217,IF(Atletas!M158="Zuiquan F",218,"")))))))))))))))))))))</f>
        <v/>
      </c>
      <c r="BO162" s="52" t="str">
        <f>IF(Atletas!N158="","",IF(Atletas!W158&lt;&gt;"",10000,0)+IF(Atletas!B158="Feminino",1000,IF(Atletas!B158="Masculino",2000,""))+IF(Atletas!N158="Yang A",301,IF(Atletas!N158="Chen A",30,IF(Atletas!N158="Sun A",303,IF(Atletas!N158="Wu A",304,IF(Atletas!N158="Wu-Hao A",305,IF(Atletas!N158="Outro Taijiquan A",306,IF(Atletas!N158="Yang B",307,IF(Atletas!N158="Chen B",308,IF(Atletas!N158="Sun B",309,IF(Atletas!N158="Wu B",310,IF(Atletas!N158="Wu-Hao B",311,IF(Atletas!N158="Outro Taijiquan B",312,IF(Atletas!N158="Yang C",313,IF(Atletas!N158="Chen C",314,IF(Atletas!N158="Sun C",315,IF(Atletas!N158="Wu C",316,IF(Atletas!N158="Wu-Hao C",317,IF(Atletas!N158="Outro Taijiquan C",318,IF(Atletas!N158="Yang D",319,IF(Atletas!N158="Chen D",320,IF(Atletas!N158="Sun D",321,IF(Atletas!N158="Wu D",322,IF(Atletas!N158="Wu-Hao D",323,IF(Atletas!N158="Outro Taijiquan D",324,IF(Atletas!N158="Yang E",325,IF(Atletas!N158="Chen E",326,IF(Atletas!N158="Sun E",327,IF(Atletas!N158="Wu E",328,IF(Atletas!N158="Wu-Hao E",329,IF(Atletas!N158="Outro Taijiquan E",330,IF(Atletas!N158="Yang F",331,IF(Atletas!N158="Chen F",332,IF(Atletas!N158="Sun F",333,IF(Atletas!N158="Wu F",334,IF(Atletas!N158="Wu-Hao F",335,IF(Atletas!N158="Outro Taijiquan F",336,"")))))))))))))))))))))))))))))))))))))</f>
        <v/>
      </c>
      <c r="BP162" s="52" t="str">
        <f>IF(Atletas!O158="","",IF(Atletas!W158&lt;&gt;"",10000,0)+IF(Atletas!B158="Feminino",1000,IF(Atletas!B158="Masculino",2000,""))+IF(OR(Atletas!O158="Yang 26 A",Atletas!O158="Yang 40 A"),401,IF(OR(Atletas!O158="Chen 25 A",Atletas!O158="Chen 36 A",Atletas!O158="Chen 56 A"),402,IF(Atletas!O158="Sun 73 A",403,IF(Atletas!O158="Wu 45 A",404,IF(Atletas!O158="Wu-Hao 46 A",405,IF(OR(Atletas!O158="Taijiquan 16 A",Atletas!O158="Taijiquan 24 A",Atletas!O158="Taijiquan 32 A",Atletas!O158="Taijiquan 42 A"),406,IF(OR(Atletas!O158="Yang 26 B",Atletas!O158="Yang 40 B"),407,IF(OR(Atletas!O158="Chen 25 B",Atletas!O158="Chen 36 B",Atletas!O158="Chen 56 B"),408,IF(Atletas!O158="Sun 73 B",409,IF(Atletas!O158="Wu 45 B",410,IF(Atletas!O158="Wu-Hao 46 B",411,IF(OR(Atletas!O158="Taijiquan 16 B",Atletas!O158="Taijiquan 24 B",Atletas!O158="Taijiquan 32 B",Atletas!O158="Taijiquan 42 B"),412,IF(OR(Atletas!O158="Yang 26 C",Atletas!O158="Yang 40 C"),413,IF(OR(Atletas!O158="Chen 25 C",Atletas!O158="Chen 36 C",Atletas!O158="Chen 56 C"),414,IF(Atletas!O158="Sun 73 C",415,IF(Atletas!O158="Wu 45 C",416,IF(Atletas!O158="Wu-Hao 46 C",417,IF(OR(Atletas!O158="Taijiquan 16 C",Atletas!O158="Taijiquan 24 C",Atletas!O158="Taijiquan 32 C",Atletas!O158="Taijiquan 42 C"),418,0)))))))))))))))))))</f>
        <v/>
      </c>
      <c r="BQ162" s="52" t="str">
        <f>IF(Atletas!O158="","",IF(Atletas!W158&lt;&gt;"",10000,0)+IF(Atletas!B158="Feminino",1000,IF(Atletas!B158="Masculino",2000,""))+IF(OR(Atletas!O158="Yang 26 D",Atletas!O158="Yang 40 D"),419,IF(OR(Atletas!O158="Chen 25 D",Atletas!O158="Chen 36 D",Atletas!O158="Chen 56 D"),420,IF(Atletas!O158="Sun 73 D",421,IF(Atletas!O158="Wu 45 D",422,IF(Atletas!O158="Wu-Hao 46 D",423,IF(OR(Atletas!O158="Taijiquan 16 D",Atletas!O158="Taijiquan 24 D",Atletas!O158="Taijiquan 32 D",Atletas!O158="Taijiquan 42 D"),424,IF(OR(Atletas!O158="Yang 26 E",Atletas!O158="Yang 40 E"),425,IF(OR(Atletas!O158="Chen 25 E",Atletas!O158="Chen 36 E",Atletas!O158="Chen 56 E"),426,IF(Atletas!O158="Sun 73 E",427,IF(Atletas!O158="Wu 45 E",428,IF(Atletas!O158="Wu-Hao 46 E",429,IF(OR(Atletas!O158="Taijiquan 16 E",Atletas!O158="Taijiquan 24 E",Atletas!O158="Taijiquan 32 E",Atletas!O158="Taijiquan 42 E"),430,IF(OR(Atletas!O158="Yang 26 F",Atletas!O158="Yang 40 F"),431,IF(OR(Atletas!O158="Chen 25 F",Atletas!O158="Chen 36 F",Atletas!O158="Chen 56 F"),432,IF(Atletas!O158="Sun 73 F",433,IF(Atletas!O158="Wu 45 F",434,IF(Atletas!O158="Wu-Hao 46 F",435,IF(OR(Atletas!O158="Taijiquan 16 F",Atletas!O158="Taijiquan 24 F",Atletas!O158="Taijiquan 32 F",Atletas!O158="Taijiquan 42 F"),436,0)))))))))))))))))))</f>
        <v/>
      </c>
      <c r="BR162" s="52" t="str">
        <f>IF(Atletas!P158="","",IF(Atletas!W158&lt;&gt;"",10000,0)+IF(Atletas!B158="Feminino",1000,IF(Atletas!B158="Masculino",2000,""))+IF(Atletas!P158="Xingyiquan A",501,IF(Atletas!P158="Baguazhang A",502,IF(Atletas!P158="Outro Estilo Interno A",503,IF(Atletas!P158="Xingyiquan B",504,IF(Atletas!P158="Baguazhang B",505,IF(Atletas!P158="Outro Estilo Interno B",506,IF(Atletas!P158="Xingyiquan C",507,IF(Atletas!P158="Baguazhang C",508,IF(Atletas!P158="Outro Estilo Interno C",509,IF(Atletas!P158="Xingyiquan D",510,IF(Atletas!P158="Baguazhang D",511,IF(Atletas!P158="Outro Estilo Interno D",512,IF(Atletas!P158="Xingyiquan E",513,IF(Atletas!P158="Baguazhang E",514,IF(Atletas!P158="Outro Estilo Interno E",515,IF(Atletas!P158="Xingyiquan F",516,IF(Atletas!P158="Baguazhang F",517,IF(Atletas!P158="Outro Estilo Interno F",518, "")))))))))))))))))))</f>
        <v/>
      </c>
      <c r="BS162" s="52" t="str">
        <f>IF(Atletas!Q158="","",IF(Atletas!W158&lt;&gt;"",10000,0)+IF(Atletas!B158="Feminino",1000,IF(Atletas!B158="Masculino",2000,""))+IF(Atletas!Q158="Dao A",601,IF(Atletas!Q158="Jian A",602,IF(Atletas!Q158="Bishou A",603,IF(Atletas!Q158="Shan A",604,IF(Atletas!Q158="Outra Arma Curta A",605,IF(Atletas!Q158="Dao B",606,IF(Atletas!Q158="Jian B",607,IF(Atletas!Q158="Bishou B",608,IF(Atletas!Q158="Shan B",609,IF(Atletas!Q158="Outra Arma Curta B",610,IF(Atletas!Q158="Dao C",611,IF(Atletas!Q158="Jian C",612,IF(Atletas!Q158="Bishou C",613,IF(Atletas!Q158="Shan C",614,IF(Atletas!Q158="Outra Arma Curta C",615,IF(Atletas!Q158="Dao D",616,IF(Atletas!Q158="Jian D",617,IF(Atletas!Q158="Bishou D",618,IF(Atletas!Q158="Shan D",619,IF(Atletas!Q158="Outra Arma Curta D",620,IF(Atletas!Q158="Dao E",621,IF(Atletas!Q158="Jian E",622,IF(Atletas!Q158="Bishou E",623,IF(Atletas!Q158="Shan E",624,IF(Atletas!Q158="Outra Arma Curta E",625,IF(Atletas!Q158="Dao F",626,IF(Atletas!Q158="Jian F",627,IF(Atletas!Q158="Bishou F",628,IF(Atletas!Q158="Shan F",629,IF(Atletas!Q158="Outra Arma Curta F",630, "")))))))))))))))))))))))))))))))</f>
        <v/>
      </c>
      <c r="BT162" s="52" t="str">
        <f>IF(Atletas!R158="","",IF(Atletas!W158&lt;&gt;"",10000,0)+IF(Atletas!B158="Feminino",1000,IF(Atletas!B158="Masculino",2000,""))+IF(Atletas!R158="Gun A",701,IF(Atletas!R158="Qiang A",702,IF(Atletas!R158="Pudao / Guandao A",703,IF(Atletas!R158="Outra Arma Longa A",704,IF(Atletas!R158="Gun B",705,IF(Atletas!R158="Qiang B",706,IF(Atletas!R158="Pudao / Guandao B",707,IF(Atletas!R158="Outra Arma Longa B",708,IF(Atletas!R158="Gun C",709,IF(Atletas!R158="Qiang C",710,IF(Atletas!R158="Pudao / Guandao C",711,IF(Atletas!R158="Outra Arma Longa C",712,IF(Atletas!R158="Gun D",713,IF(Atletas!R158="Qiang D",714,IF(Atletas!R158="Pudao / Guandao D",715,IF(Atletas!R158="Outra Arma Longa D",716,IF(Atletas!R158="Gun E",717,IF(Atletas!R158="Qiang E",718,IF(Atletas!R158="Pudao / Guandao E",719,IF(Atletas!R158="Outra Arma Longa E",720,IF(Atletas!R158="Gun F",721,IF(Atletas!R158="Qiang F",722,IF(Atletas!R158="Pudao / Guandao F",723,IF(Atletas!R158="Outra Arma Longa F",724,"")))))))))))))))))))))))))</f>
        <v/>
      </c>
      <c r="BU162" s="52" t="str">
        <f>IF(Atletas!S158="","",IF(Atletas!W158&lt;&gt;"",10000,0)+IF(Atletas!B158="Feminino",1000,IF(Atletas!B158="Masculino",2000,""))+IF(Atletas!S158="Arma Dupla A",801,IF(Atletas!S158="Arma Maleável A",802,IF(Atletas!S158="Arma Dupla B",803,IF(Atletas!S158="Arma Maleável B",804,IF(Atletas!S158="Arma Dupla C",805,IF(Atletas!S158="Arma Maleável C",806,IF(Atletas!S158="Arma Dupla D",807,IF(Atletas!S158="Arma Maleável D",808,IF(Atletas!S158="Arma Dupla E",809,IF(Atletas!S158="Arma Maleável E",810,IF(Atletas!S158="Arma Dupla F",811,IF(Atletas!S158="Arma Maleável F",812, "")))))))))))))</f>
        <v/>
      </c>
      <c r="BV162" s="52" t="str">
        <f>IF(Atletas!T158="","",IF(Atletas!W158&lt;&gt;"",10000,0)+IF(Atletas!B158="Feminino",1000,IF(Atletas!B158="Masculino",2000,""))+IF(Atletas!T158="Taijijian Yang A",901,IF(Atletas!T158="Taijijian Chen A",902,IF(Atletas!T158="Taijijian Sun A",903,IF(Atletas!T158="Taijijian Wu A",904,IF(Atletas!T158="Taijijian Wu-Hao A",905,IF(Atletas!T158="Taijijian 32 A",906,IF(Atletas!T158="Taijijian 42 A",907,IF(Atletas!T158="Taijijian Yang B",908,IF(Atletas!T158="Taijijian Chen B",909,IF(Atletas!T158="Taijijian Sun B",910,IF(Atletas!T158="Taijijian Wu B",911,IF(Atletas!T158="Taijijian Wu-Hao B",912,IF(Atletas!T158="Taijijian 32 B",913,IF(Atletas!T158="Taijijian 42 B",914,IF(Atletas!T158="Taijijian Yang C",915,IF(Atletas!T158="Taijijian Chen C",916,IF(Atletas!T158="Taijijian Sun C",917,IF(Atletas!T158="Taijijian Wu C",918,IF(Atletas!T158="Taijijian Wu-Hao C",919,IF(Atletas!T158="Taijijian 32 C",920,IF(Atletas!T158="Taijijian 42 C",921,IF(Atletas!T158="Taijijian Yang D",922,IF(Atletas!T158="Taijijian Chen D",923,IF(Atletas!T158="Taijijian Sun D",924,IF(Atletas!T158="Taijijian Wu D",925,IF(Atletas!T158="Taijijian Wu-Hao D",926,IF(Atletas!T158="Taijijian 32 D",927,IF(Atletas!T158="Taijijian 42 D",928,IF(Atletas!T158="Taijijian Yang E",929,IF(Atletas!T158="Taijijian Chen E",930,IF(Atletas!T158="Taijijian Sun E",931,IF(Atletas!T158="Taijijian Wu E",932,IF(Atletas!T158="Taijijian Wu-Hao E",933,IF(Atletas!T158="Taijijian 32 E",934,IF(Atletas!T158="Taijijian 42 E",935,IF(Atletas!T158="Taijijian Yang F",936,IF(Atletas!T158="Taijijian Chen F",937,IF(Atletas!T158="Taijijian Sun F",938,IF(Atletas!T158="Taijijian Wu F",939,IF(Atletas!T158="Taijijian Wu-Hao F",940,IF(Atletas!T158="Taijijian 32 F",941,IF(Atletas!T158="Taijijian 42 F",942,"")))))))))))))))))))))))))))))))))))))))))))</f>
        <v/>
      </c>
      <c r="BW162" s="52" t="str">
        <f>IF(Atletas!U158="","",IF(Atletas!W158&lt;&gt;"",10000,0)+IF(Atletas!B158="Feminino",1000,IF(Atletas!B158="Masculino",2000,""))+IF(Atletas!T158="Taijijian 42 F",942,IF(Atletas!U158="Taijidao A",943,IF(Atletas!U158="Taijishan A",944,IF(Atletas!U158="Taijiqiang A",945,IF(Atletas!U158="Taijidao B",946,IF(Atletas!U158="Taijishan B",947,IF(Atletas!U158="Taijiqiang B",948,IF(Atletas!U158="Taijidao C",949,IF(Atletas!U158="Taijishan C",950,IF(Atletas!U158="Taijiqiang C",951,IF(Atletas!U158="Taijidao D",952,IF(Atletas!U158="Taijishan D",953,IF(Atletas!U158="Taijiqiang D",954,IF(Atletas!U158="Taijidao E",955,IF(Atletas!U158="Taijishan E",956,IF(Atletas!U158="Taijiqiang E",957,IF(Atletas!U158="Taijidao F",958,IF(Atletas!U158="Taijishan F",959,IF(Atletas!U158="Taijiqiang F",960))))))))))))))))))))</f>
        <v/>
      </c>
      <c r="BX162" s="72" t="str">
        <f>IF(BY162&lt;&gt;"","Outro Taijiquan E","")</f>
        <v/>
      </c>
      <c r="BY162" s="72" t="str">
        <f>IF(COUNTIF(BK:BW,1330)&gt;0,COUNTIF(BK:BW,1330),"")</f>
        <v/>
      </c>
      <c r="BZ162" s="72" t="str">
        <f>IF(CA162&lt;&gt;"","Outro Taijiquan E","")</f>
        <v/>
      </c>
      <c r="CA162" s="72" t="str">
        <f>IF(COUNTIF(BK:BW,2330)&gt;0,COUNTIF(BK:BW,2330),"")</f>
        <v/>
      </c>
      <c r="CB162" s="72" t="str">
        <f>IF(CC162&lt;&gt;"","Outro Taijiquan E","")</f>
        <v/>
      </c>
      <c r="CC162" s="64" t="str">
        <f>IF(COUNTIF(BK:BW,11330)&gt;0,COUNTIF(BK:BW,11330),"")</f>
        <v/>
      </c>
      <c r="CD162" s="64" t="str">
        <f>IF(CE162&lt;&gt;"","Outro Taijiquan E","")</f>
        <v/>
      </c>
      <c r="CE162" s="64" t="str">
        <f>IF(COUNTIF(BK:BW,12330)&gt;0,COUNTIF(BK:BW,12330),"")</f>
        <v/>
      </c>
      <c r="CF162" s="52" t="str">
        <f xml:space="preserve"> IF(Atletas!V158="","",IF(Atletas!V158="Duilian de Mãos AB - Equipe 1",1,IF(Atletas!V158="Duilian de Mãos AB - Equipe 2",2,IF(Atletas!V158="Duilian de Armas AB - Equipe 1",3,IF(Atletas!V158="Duilian de Armas AB - Equipe 2",4,IF(Atletas!V158="Duilian de Tuishou - Equipe 1",5,IF(Atletas!V158="Duilian de Tuishou - Equipe 2",6,IF(Atletas!V158="Grupo Externo AB - Equipe 1",7,IF(Atletas!V158="Grupo Externo AB - Equipe 2",8,IF(Atletas!V158="Grupo Interno AB - Equipe 1",9,IF(Atletas!V158="Grupo Interno AB - Equipe 2",10,IF(Atletas!V158="Duilian de Mãos CD - Equipe 1",11,IF(Atletas!V158="Duilian de Mãos CD - Equipe 2",12,IF(Atletas!V158="Duilian de Armas CD - Equipe 1",13,IF(Atletas!V158="Duilian de Armas CD - Equipe 2",14,IF(Atletas!V158="Duilian de Tuishou - Equipe 1",15,IF(Atletas!V158="Duilian de Tuishou - Equipe 2",16,IF(Atletas!V158="Grupo Externo CDEF - Equipe 1",17,IF(Atletas!V158="Grupo Externo CDEF - Equipe 2",18,IF(Atletas!V158="Grupo Interno CDEF - Equipe 1",19,IF(Atletas!V158="Grupo Interno CDEF - Equipe 2",20,IF(Atletas!V158="Duilian de Mãos EF - Equipe 1",21,IF(Atletas!V158="Duilian de Mãos EF - Equipe 2",22,IF(Atletas!V158="Duilian de Armas EF - Equipe 1",23,IF(Atletas!V158="Duilian de Armas EF - Equipe 2",24,IF(Atletas!V158="Duilian de Tuishou - Equipe 1",25,IF(Atletas!V158="Duilian de Tuishou - Equipe 2",26,"")))))))))))))))))))))))))))</f>
        <v/>
      </c>
    </row>
    <row r="163" spans="2:84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 t="str">
        <f t="array" ref="V163">IFERROR(INDEX(BX$7:BX$336,SMALL(IF(BX$7:BX$336&lt;&gt;"",ROW(BX$7:BX$336)-ROW(BX$7)+1),ROWS(BX$7:BX162))),"")</f>
        <v/>
      </c>
      <c r="W163" s="4" t="str">
        <f t="array" ref="W163">IFERROR(INDEX(BY$7:BY$336,SMALL(IF(BY$7:BY$336&lt;&gt;"",ROW(BY$7:BY$336)-ROW(BY$7)+1),ROWS(BY$7:BY162))),"")</f>
        <v/>
      </c>
      <c r="X163" s="4" t="str">
        <f t="array" ref="X163">IFERROR(INDEX(BZ$7:BZ$336,SMALL(IF(BZ$7:BZ$336&lt;&gt;"",ROW(BZ$7:BZ$336)-ROW(BZ$7)+1),ROWS(BZ$7:BZ162))),"")</f>
        <v/>
      </c>
      <c r="Y163" s="4" t="str">
        <f t="array" ref="Y163">IFERROR(INDEX(CA$7:CA$336,SMALL(IF(CA$7:CA$336&lt;&gt;"",ROW(CA$7:CA$336)-ROW(CA$7)+1),ROWS(CA$7:CA162))),"")</f>
        <v/>
      </c>
      <c r="Z163" s="4" t="str">
        <f t="array" ref="Z163">IFERROR(INDEX(CB$7:CB$378,SMALL(IF(CB$7:CB$378&lt;&gt;"",ROW(CB$7:CB$378)-ROW(CB$7)+1),ROWS(CB$7:CB162))),"")</f>
        <v/>
      </c>
      <c r="AA163" s="4" t="str">
        <f t="array" ref="AA163">IFERROR(INDEX(CC$7:CC$378,SMALL(IF(CC$7:CC$378&lt;&gt;"",ROW(CC$7:CC$378)-ROW(CC$7)+1),ROWS(CC$7:CC162))),"")</f>
        <v/>
      </c>
      <c r="AB163" s="4" t="str">
        <f t="array" ref="AB163">IFERROR(INDEX(CD$7:CD$378,SMALL(IF(CD$7:CD$378&lt;&gt;"",ROW(CD$7:CD$378)-ROW(CD$7)+1),ROWS(CD$7:CD162))),"")</f>
        <v/>
      </c>
      <c r="AC163" s="4" t="str">
        <f t="array" ref="AC163">IFERROR(INDEX(CE$7:CE$378,SMALL(IF(CE$7:CE$378&lt;&gt;"",ROW(CE$7:CE$378)-ROW(CE$7)+1),ROWS(CE$7:CE162))),"")</f>
        <v/>
      </c>
      <c r="AD163" s="4"/>
      <c r="AE163" s="4"/>
      <c r="AF163" s="4"/>
      <c r="AG163" s="4"/>
      <c r="AH163" s="4"/>
      <c r="AI163" s="4"/>
      <c r="AJ163" s="46" t="str">
        <f>IF(Atletas!D159="","",IF(Atletas!B159="Feminino",100,IF(Atletas!B159="Masculino",200,""))+(IF(Atletas!D159="Infantil 39kg",1,IF(Atletas!D159="Infantil 42kg",2,IF(Atletas!D159="Infantil 45kg",3,IF(Atletas!D159="Infantil 48kg",4,IF(Atletas!D159="Infantil 52kg",5,IF(Atletas!D159="Infantil 56kg",6,IF(Atletas!D159="Infantil 60kg",7,IF(Atletas!D159="Juvenil 48kg",8,IF(Atletas!D159="Juvenil 52kg",9,IF(Atletas!D159="Juvenil 56kg",10,IF(Atletas!D159="Juvenil 60kg",11,IF(Atletas!D159="Juvenil 65kg",12,IF(Atletas!D159="Juvenil 70kg",13,IF(Atletas!D159="Juvenil 75kg",14,IF(Atletas!D159="Juvenil 80kg",15,IF(Atletas!D159="Adulto 48kg",16,IF(Atletas!D159="Adulto 52kg",17,IF(Atletas!D159="Adulto 56kg",18,IF(Atletas!D159="Adulto 60kg",19,IF(Atletas!D159="Adulto 65kg",20,IF(Atletas!D159="Adulto 70kg",21,IF(Atletas!D159="Adulto 75kg",22,IF(Atletas!D159="Adulto 80kg",23,IF(Atletas!D159="Adulto 85kg",24,IF(Atletas!D159="Adulto 90kg",25,IF(Atletas!D159="Adulto +90kg",26,""))))))))))))))))))))))))))))</f>
        <v/>
      </c>
      <c r="AO163" s="10" t="str">
        <f>IF(Atletas!E159="","",IF(Atletas!B159="Feminino",100,IF(Atletas!B159="Masculino",200,""))+(IF(Atletas!E159="Juvenil 44kg",1,IF(Atletas!E159="Juvenil 48kg",2,IF(Atletas!E159="Juvenil 52kg",3,IF(Atletas!E159="Juvenil 56kg",4,IF(Atletas!E159="Juvenil 60kg",5,IF(Atletas!E159="Juvenil 65kg",6,IF(Atletas!E159="Juvenil 70kg",7,IF(Atletas!E159="Juvenil 75kg",8,IF(Atletas!E159="Juvenil 82kg",9,IF(Atletas!E159="Juvenil 90kg",10,IF(Atletas!E159="Juvenil 100kg",11,IF(Atletas!E159="Adulto 48kg",12,IF(Atletas!E159="Adulto 52kg",13,IF(Atletas!E159="Adulto 56kg",14,IF(Atletas!E159="Adulto 60kg",15,IF(Atletas!E159="Adulto 65kg",16,IF(Atletas!E159="Adulto 70kg",17,IF(Atletas!E159="Adulto 75kg",18,IF(Atletas!E159="Adulto 82kg",19,IF(Atletas!E159="Adulto 90kg",20,IF(Atletas!E159="Adulto 100kg",21,IF(Atletas!E159="Adulto +100kg",22,""))))))))))))))))))))))))</f>
        <v/>
      </c>
      <c r="AT163" s="10" t="str">
        <f>IF(Atletas!F159="","",IF(Atletas!B159="Feminino",100,IF(Atletas!B159="Masculino",200,""))+(IF(Atletas!F159="Adulto 48kg",1,IF(Atletas!F159="Adulto 56kg",2,IF(Atletas!F159="Adulto 65kg",3,IF(Atletas!F159="Adulto 75kg",4,IF(Atletas!F159="Adulto +75kg",5,IF(Atletas!F159="Adulto 52kg",6,IF(Atletas!F159="Adulto 60kg",7,IF(Atletas!F159="Adulto 70kg",8,IF(Atletas!F159="Adulto 80kg",9,IF(Atletas!F159="Adulto 90kg",10,IF(Atletas!F159="Adulto +90kg",11,"")))))))))))))</f>
        <v/>
      </c>
      <c r="AY163" s="46" t="str">
        <f>IF(Atletas!G159="","",IF(Atletas!B159="Feminino",100,IF(Atletas!B159="Masculino",200,""))+(IF(Atletas!G159="Changquan Mirim",1,IF(Atletas!G159="Nanquan Mirim",2,IF(Atletas!G159="Taijiquan Mirim",3,IF(Atletas!G159="Changquan Grupo C",4,IF(Atletas!G159="Nanquan Grupo C",5,IF(Atletas!G159="Taijiquan Grupo C",6,IF(Atletas!G159="Changquan Grupo B",7,IF(Atletas!G159="Nanquan Grupo B",8,IF(Atletas!G159="Taijiquan Grupo B",9,IF(Atletas!G159="Changquan Grupo A",10,IF(Atletas!G159="Nanquan Grupo A",11,IF(Atletas!G159="Taijiquan Grupo A",12,IF(Atletas!G159="Changquan Opcional",13,IF(Atletas!G159="Nanquan Opcional",14,IF(Atletas!G159="Taijiquan Opcional",15,IF(Atletas!G159="Changquan Adulto",16,IF(Atletas!G159="Nanquan Adulto",17,IF(Atletas!G159="Taijiquan Adulto",18,""))))))))))))))))))))</f>
        <v/>
      </c>
      <c r="AZ163" s="46" t="str">
        <f>IF(Atletas!H159="","",IF(Atletas!B159="Feminino",100,IF(Atletas!B159="Masculino",200,""))+(IF(Atletas!H159="Daoshu Mirim",19,IF(Atletas!H159="Jianshu Mirim",20,IF(Atletas!H159="Nandao Mirim",21,IF(Atletas!H159="Taijijian Mirim",22,IF(Atletas!H159="Daoshu Grupo C",23,IF(Atletas!H159="Jianshu Grupo C",24,IF(Atletas!H159="Nandao Grupo C",25,IF(Atletas!H159="Taijijian Grupo C",26,IF(Atletas!H159="Daoshu Grupo B",27,IF(Atletas!H159="Jianshu Grupo B",28,IF(Atletas!H159="Nandao Grupo B",29,IF(Atletas!H159="Taijijian Grupo B",30,IF(Atletas!H159="Daoshu Grupo A",31,IF(Atletas!H159="Jianshu Grupo A",32,IF(Atletas!H159="Nandao Grupo A",33,IF(Atletas!H159="Taijijian Grupo A",34,IF(Atletas!H159="Daoshu Opcional",35,IF(Atletas!H159="Jianshu Opcional",36,IF(Atletas!H159="Nandao Opcional",37,IF(Atletas!H159="Taijijian Opcional",38,IF(Atletas!H159="Daoshu Adulto",39,IF(Atletas!H159="Jianshu Adulto",40,IF(Atletas!H159="Nandao Adulto",41,IF(Atletas!H159="Taijijian Adulto",42,""))))))))))))))))))))))))))</f>
        <v/>
      </c>
      <c r="BA163" s="46" t="str">
        <f>IF(Atletas!I159="","",IF(Atletas!B159="Feminino",100,IF(Atletas!B159="Masculino",200,""))+(IF(Atletas!I159="Gunshu Mirim",43,IF(Atletas!I159="Qiangshu Mirim",44,IF(Atletas!I159="Nangun Mirim",45,IF(Atletas!I159="Gunshu Grupo C",46,IF(Atletas!I159="Qiangshu Grupo C",47,IF(Atletas!I159="Nangun Grupo C",48,IF(Atletas!I159="Gunshu Grupo B",49,IF(Atletas!I159="Qiangshu Grupo B",50,IF(Atletas!I159="Nangun Grupo B",51,IF(Atletas!I159="Gunshu Grupo A",52,IF(Atletas!I159="Qiangshu Grupo A",53,IF(Atletas!I159="Nangun Grupo A",54,IF(Atletas!I159="Gunshu Opcional",55,IF(Atletas!I159="Qiangshu Opcional",56,IF(Atletas!I159="Nangun Opcional",57,IF(Atletas!I159="Gunshu Adulto",58,IF(Atletas!I159="Qiangshu Adulto",59,IF(Atletas!I159="Nangun Adulto",60,""))))))))))))))))))))</f>
        <v/>
      </c>
      <c r="BF163" s="52" t="str">
        <f>IF(Atletas!J159="","",IF(Atletas!B159="Feminino",100,IF(Atletas!B159="Masculino",200,""))+(IF(Atletas!J159="Equipe 1 Grupo B",1,IF(Atletas!J159="Equipe 2 Grupo B",2,IF(Atletas!J159="Equipe 1 Grupo A",3,IF(Atletas!J159="Equipe 2 Grupo A",4,IF(Atletas!J159="Equipe 1 Adulto",5,IF(Atletas!J159="Equipe 2 Adulto",6,""))))))))</f>
        <v/>
      </c>
      <c r="BK163" s="52" t="str">
        <f>IF(Atletas!K159="","",IF(Atletas!W159&lt;&gt;"",10000,0)+(IF(Atletas!B159="Feminino",1000,IF(Atletas!B159="Masculino",2000,""))+IF(Atletas!K159="Choylayfut A",1,IF(Atletas!K159="Hunggar A",2,IF(Atletas!K159="Wuzuquan A",3,IF(Atletas!K159="Wingchun A",4,IF(Atletas!K159="Outra Mão de Sul A",5,IF(Atletas!K159="Choylayfut B",6,IF(Atletas!K159="Hunggar B",7,IF(Atletas!K159="Wuzuquan B",8,IF(Atletas!K159="Wingchun B",9,IF(Atletas!K159="Outra Mão de Sul B",10,IF(Atletas!K159="Choylayfut C",11,IF(Atletas!K159="Hunggar C",12,IF(Atletas!K159="Wuzuquan C",13,IF(Atletas!K159="Wingchun C",14,IF(Atletas!K159="Outra Mão de Sul C",15,IF(Atletas!K159="Choylayfut D",16,IF(Atletas!K159="Hunggar D",17,IF(Atletas!K159="Wuzuquan D",18,IF(Atletas!K159="Wingchun D",19,IF(Atletas!K159="Outra Mão de Sul D",20,IF(Atletas!K159="Choylayfut E",21,IF(Atletas!K159="Hunggar E",22,IF(Atletas!K159="Wuzuquan E",23,IF(Atletas!K159="Wingchun E",24,IF(Atletas!K159="Outra Mão de Sul E",25,IF(Atletas!K159="Choylayfut F",26,IF(Atletas!K159="Hunggar F",27,IF(Atletas!K159="Wuzuquan F",28,IF(Atletas!K159="Wingchun F",29,IF(Atletas!K159="Outra Mão de Sul F",30,""))))))))))))))))))))))))))))))))</f>
        <v/>
      </c>
      <c r="BL163" s="52" t="str">
        <f>IF(Atletas!L159="","",IF(Atletas!W159&lt;&gt;"",10000,0)+(IF(Atletas!B159="Feminino",1000,IF(Atletas!B159="Masculino",2000,""))+(IF(Atletas!L159="Chaquan A",101,IF(Atletas!L159="Emeiquan A",102,IF(Atletas!L159="Fanziquan A",103,IF(Atletas!L159="Huaquan A",104,IF(Atletas!L159="Hongquan A",105,IF(Atletas!L159="Paochui A",106,IF(Atletas!L159="Piguaquan A",107,IF(Atletas!L159="Shaolinquan A",108,IF(Atletas!L159="Tanglangquan A",109,IF(Atletas!L159="Yinzhaophai A",110,IF(Atletas!L159="Tongbeiquan A",111,IF(Atletas!L159="Wudangquan A",112,IF(Atletas!L159="Outros Estilos A",113,IF(Atletas!L159="Chaquan B",114,IF(Atletas!L159="Emeiquan B",115,IF(Atletas!L159="Fanziquan B",116,IF(Atletas!L159="Huaquan B",117,IF(Atletas!L159="Hongquan B",118,IF(Atletas!L159="Paochui B",119,IF(Atletas!L159="Piguaquan B",120,IF(Atletas!L159="Shaolinquan B",121,IF(Atletas!L159="Tanglangquan B",122,IF(Atletas!L159="Yinzhaophai B",123,IF(Atletas!L159="Tongbeiquan B",124,IF(Atletas!L159="Wudangquan B",125,IF(Atletas!L159="Outros Estilos B",126,IF(Atletas!L159="Chaquan C",127,IF(Atletas!L159="Emeiquan C",128,IF(Atletas!L159="Fanziquan C",129,IF(Atletas!L159="Huaquan C",130,IF(Atletas!L159="Hongquan C",131,IF(Atletas!L159="Paochui C",132,IF(Atletas!L159="Piguaquan C",133,IF(Atletas!L159="Shaolinquan C",134,IF(Atletas!L159="Tanglangquan C",135,IF(Atletas!L159="Yinzhaophai C",136,IF(Atletas!L159="Tongbeiquan C",137,IF(Atletas!L159="Wudangquan C",138,IF(Atletas!L159="Outros Estilos C",139,0))))))))))))))))))))))))))))))))))))))))))</f>
        <v/>
      </c>
      <c r="BM163" s="52" t="str">
        <f>IF(Atletas!L159="","",IF(Atletas!W159&lt;&gt;"",10000,0)+(IF(Atletas!B159="Feminino",1000,IF(Atletas!B159="Masculino",2000,""))+(IF(Atletas!L159="Chaquan D",140,IF(Atletas!L159="Emeiquan D",141,IF(Atletas!L159="Fanziquan D",142,IF(Atletas!L159="Huaquan D",143,IF(Atletas!L159="Hongquan D",144,IF(Atletas!L159="Paochui D",145,IF(Atletas!L159="Piguaquan D",146,IF(Atletas!L159="Shaolinquan D",147,IF(Atletas!L159="Tanglangquan D",148,IF(Atletas!L159="Yinzhaophai D",149,IF(Atletas!L159="Tongbeiquan D",150,IF(Atletas!L159="Wudangquan D",151,IF(Atletas!L159="Outros Estilos D",152,IF(Atletas!L159="Chaquan E",153,IF(Atletas!L159="Emeiquan E",154,IF(Atletas!L159="Fanziquan E",155,IF(Atletas!L159="Huaquan E",156,IF(Atletas!L159="Hongquan E",157,IF(Atletas!L159="Paochui E",158,IF(Atletas!L159="Piguaquan E",159,IF(Atletas!L159="Shaolinquan E",160,IF(Atletas!L159="Tanglangquan E",161,IF(Atletas!L159="Yinzhaophai E",162,IF(Atletas!L159="Tongbeiquan E",163,IF(Atletas!L159="Wudangquan E",164,IF(Atletas!L159="Outros Estilos E",165,IF(Atletas!L159="Chaquan F",166,IF(Atletas!L159="Emeiquan F",167,IF(Atletas!L159="Fanziquan F",168,IF(Atletas!L159="Huaquan F",169,IF(Atletas!L159="Hongquan F",170,IF(Atletas!L159="Paochui F",171,IF(Atletas!L159="Piguaquan F",172,IF(Atletas!L159="Shaolinquan F",173,IF(Atletas!L159="Tanglangquan F",174,IF(Atletas!L159="Yinzhaophai F",175,IF(Atletas!L159="Tongbeiquan F",176,IF(Atletas!L159="Wudangquan F",177,IF(Atletas!L159="Outros Estilos F",178,0))))))))))))))))))))))))))))))))))))))))))</f>
        <v/>
      </c>
      <c r="BN163" s="52" t="str">
        <f>IF(Atletas!M159="","",IF(Atletas!W159&lt;&gt;"",10000,0)+(IF(Atletas!B159="Feminino",1000,IF(Atletas!B159="Masculino",2000,""))+(IF(Atletas!M159="Ditangquan A",201,IF(Atletas!M159="Houquan A",202,IF(Atletas!M159="Zuiquan A",203,IF(Atletas!M159="Ditangquan B",204,IF(Atletas!M159="Houquan B",205,IF(Atletas!M159="Zuiquan B",206,IF(Atletas!M159="Ditangquan C",207,IF(Atletas!M159="Houquan C",208,IF(Atletas!M159="Zuiquan C",209,IF(Atletas!M159="Ditangquan D",210,IF(Atletas!M159="Houquan D",211,IF(Atletas!M159="Zuiquan D",212,IF(Atletas!M159="Ditangquan E",213,IF(Atletas!M159="Houquan E",214,IF(Atletas!M159="Zuiquan E",215,IF(Atletas!M159="Ditangquan F",216,IF(Atletas!M159="Houquan F",217,IF(Atletas!M159="Zuiquan F",218,"")))))))))))))))))))))</f>
        <v/>
      </c>
      <c r="BO163" s="52" t="str">
        <f>IF(Atletas!N159="","",IF(Atletas!W159&lt;&gt;"",10000,0)+IF(Atletas!B159="Feminino",1000,IF(Atletas!B159="Masculino",2000,""))+IF(Atletas!N159="Yang A",301,IF(Atletas!N159="Chen A",30,IF(Atletas!N159="Sun A",303,IF(Atletas!N159="Wu A",304,IF(Atletas!N159="Wu-Hao A",305,IF(Atletas!N159="Outro Taijiquan A",306,IF(Atletas!N159="Yang B",307,IF(Atletas!N159="Chen B",308,IF(Atletas!N159="Sun B",309,IF(Atletas!N159="Wu B",310,IF(Atletas!N159="Wu-Hao B",311,IF(Atletas!N159="Outro Taijiquan B",312,IF(Atletas!N159="Yang C",313,IF(Atletas!N159="Chen C",314,IF(Atletas!N159="Sun C",315,IF(Atletas!N159="Wu C",316,IF(Atletas!N159="Wu-Hao C",317,IF(Atletas!N159="Outro Taijiquan C",318,IF(Atletas!N159="Yang D",319,IF(Atletas!N159="Chen D",320,IF(Atletas!N159="Sun D",321,IF(Atletas!N159="Wu D",322,IF(Atletas!N159="Wu-Hao D",323,IF(Atletas!N159="Outro Taijiquan D",324,IF(Atletas!N159="Yang E",325,IF(Atletas!N159="Chen E",326,IF(Atletas!N159="Sun E",327,IF(Atletas!N159="Wu E",328,IF(Atletas!N159="Wu-Hao E",329,IF(Atletas!N159="Outro Taijiquan E",330,IF(Atletas!N159="Yang F",331,IF(Atletas!N159="Chen F",332,IF(Atletas!N159="Sun F",333,IF(Atletas!N159="Wu F",334,IF(Atletas!N159="Wu-Hao F",335,IF(Atletas!N159="Outro Taijiquan F",336,"")))))))))))))))))))))))))))))))))))))</f>
        <v/>
      </c>
      <c r="BP163" s="52" t="str">
        <f>IF(Atletas!O159="","",IF(Atletas!W159&lt;&gt;"",10000,0)+IF(Atletas!B159="Feminino",1000,IF(Atletas!B159="Masculino",2000,""))+IF(OR(Atletas!O159="Yang 26 A",Atletas!O159="Yang 40 A"),401,IF(OR(Atletas!O159="Chen 25 A",Atletas!O159="Chen 36 A",Atletas!O159="Chen 56 A"),402,IF(Atletas!O159="Sun 73 A",403,IF(Atletas!O159="Wu 45 A",404,IF(Atletas!O159="Wu-Hao 46 A",405,IF(OR(Atletas!O159="Taijiquan 16 A",Atletas!O159="Taijiquan 24 A",Atletas!O159="Taijiquan 32 A",Atletas!O159="Taijiquan 42 A"),406,IF(OR(Atletas!O159="Yang 26 B",Atletas!O159="Yang 40 B"),407,IF(OR(Atletas!O159="Chen 25 B",Atletas!O159="Chen 36 B",Atletas!O159="Chen 56 B"),408,IF(Atletas!O159="Sun 73 B",409,IF(Atletas!O159="Wu 45 B",410,IF(Atletas!O159="Wu-Hao 46 B",411,IF(OR(Atletas!O159="Taijiquan 16 B",Atletas!O159="Taijiquan 24 B",Atletas!O159="Taijiquan 32 B",Atletas!O159="Taijiquan 42 B"),412,IF(OR(Atletas!O159="Yang 26 C",Atletas!O159="Yang 40 C"),413,IF(OR(Atletas!O159="Chen 25 C",Atletas!O159="Chen 36 C",Atletas!O159="Chen 56 C"),414,IF(Atletas!O159="Sun 73 C",415,IF(Atletas!O159="Wu 45 C",416,IF(Atletas!O159="Wu-Hao 46 C",417,IF(OR(Atletas!O159="Taijiquan 16 C",Atletas!O159="Taijiquan 24 C",Atletas!O159="Taijiquan 32 C",Atletas!O159="Taijiquan 42 C"),418,0)))))))))))))))))))</f>
        <v/>
      </c>
      <c r="BQ163" s="52" t="str">
        <f>IF(Atletas!O159="","",IF(Atletas!W159&lt;&gt;"",10000,0)+IF(Atletas!B159="Feminino",1000,IF(Atletas!B159="Masculino",2000,""))+IF(OR(Atletas!O159="Yang 26 D",Atletas!O159="Yang 40 D"),419,IF(OR(Atletas!O159="Chen 25 D",Atletas!O159="Chen 36 D",Atletas!O159="Chen 56 D"),420,IF(Atletas!O159="Sun 73 D",421,IF(Atletas!O159="Wu 45 D",422,IF(Atletas!O159="Wu-Hao 46 D",423,IF(OR(Atletas!O159="Taijiquan 16 D",Atletas!O159="Taijiquan 24 D",Atletas!O159="Taijiquan 32 D",Atletas!O159="Taijiquan 42 D"),424,IF(OR(Atletas!O159="Yang 26 E",Atletas!O159="Yang 40 E"),425,IF(OR(Atletas!O159="Chen 25 E",Atletas!O159="Chen 36 E",Atletas!O159="Chen 56 E"),426,IF(Atletas!O159="Sun 73 E",427,IF(Atletas!O159="Wu 45 E",428,IF(Atletas!O159="Wu-Hao 46 E",429,IF(OR(Atletas!O159="Taijiquan 16 E",Atletas!O159="Taijiquan 24 E",Atletas!O159="Taijiquan 32 E",Atletas!O159="Taijiquan 42 E"),430,IF(OR(Atletas!O159="Yang 26 F",Atletas!O159="Yang 40 F"),431,IF(OR(Atletas!O159="Chen 25 F",Atletas!O159="Chen 36 F",Atletas!O159="Chen 56 F"),432,IF(Atletas!O159="Sun 73 F",433,IF(Atletas!O159="Wu 45 F",434,IF(Atletas!O159="Wu-Hao 46 F",435,IF(OR(Atletas!O159="Taijiquan 16 F",Atletas!O159="Taijiquan 24 F",Atletas!O159="Taijiquan 32 F",Atletas!O159="Taijiquan 42 F"),436,0)))))))))))))))))))</f>
        <v/>
      </c>
      <c r="BR163" s="52" t="str">
        <f>IF(Atletas!P159="","",IF(Atletas!W159&lt;&gt;"",10000,0)+IF(Atletas!B159="Feminino",1000,IF(Atletas!B159="Masculino",2000,""))+IF(Atletas!P159="Xingyiquan A",501,IF(Atletas!P159="Baguazhang A",502,IF(Atletas!P159="Outro Estilo Interno A",503,IF(Atletas!P159="Xingyiquan B",504,IF(Atletas!P159="Baguazhang B",505,IF(Atletas!P159="Outro Estilo Interno B",506,IF(Atletas!P159="Xingyiquan C",507,IF(Atletas!P159="Baguazhang C",508,IF(Atletas!P159="Outro Estilo Interno C",509,IF(Atletas!P159="Xingyiquan D",510,IF(Atletas!P159="Baguazhang D",511,IF(Atletas!P159="Outro Estilo Interno D",512,IF(Atletas!P159="Xingyiquan E",513,IF(Atletas!P159="Baguazhang E",514,IF(Atletas!P159="Outro Estilo Interno E",515,IF(Atletas!P159="Xingyiquan F",516,IF(Atletas!P159="Baguazhang F",517,IF(Atletas!P159="Outro Estilo Interno F",518, "")))))))))))))))))))</f>
        <v/>
      </c>
      <c r="BS163" s="52" t="str">
        <f>IF(Atletas!Q159="","",IF(Atletas!W159&lt;&gt;"",10000,0)+IF(Atletas!B159="Feminino",1000,IF(Atletas!B159="Masculino",2000,""))+IF(Atletas!Q159="Dao A",601,IF(Atletas!Q159="Jian A",602,IF(Atletas!Q159="Bishou A",603,IF(Atletas!Q159="Shan A",604,IF(Atletas!Q159="Outra Arma Curta A",605,IF(Atletas!Q159="Dao B",606,IF(Atletas!Q159="Jian B",607,IF(Atletas!Q159="Bishou B",608,IF(Atletas!Q159="Shan B",609,IF(Atletas!Q159="Outra Arma Curta B",610,IF(Atletas!Q159="Dao C",611,IF(Atletas!Q159="Jian C",612,IF(Atletas!Q159="Bishou C",613,IF(Atletas!Q159="Shan C",614,IF(Atletas!Q159="Outra Arma Curta C",615,IF(Atletas!Q159="Dao D",616,IF(Atletas!Q159="Jian D",617,IF(Atletas!Q159="Bishou D",618,IF(Atletas!Q159="Shan D",619,IF(Atletas!Q159="Outra Arma Curta D",620,IF(Atletas!Q159="Dao E",621,IF(Atletas!Q159="Jian E",622,IF(Atletas!Q159="Bishou E",623,IF(Atletas!Q159="Shan E",624,IF(Atletas!Q159="Outra Arma Curta E",625,IF(Atletas!Q159="Dao F",626,IF(Atletas!Q159="Jian F",627,IF(Atletas!Q159="Bishou F",628,IF(Atletas!Q159="Shan F",629,IF(Atletas!Q159="Outra Arma Curta F",630, "")))))))))))))))))))))))))))))))</f>
        <v/>
      </c>
      <c r="BT163" s="52" t="str">
        <f>IF(Atletas!R159="","",IF(Atletas!W159&lt;&gt;"",10000,0)+IF(Atletas!B159="Feminino",1000,IF(Atletas!B159="Masculino",2000,""))+IF(Atletas!R159="Gun A",701,IF(Atletas!R159="Qiang A",702,IF(Atletas!R159="Pudao / Guandao A",703,IF(Atletas!R159="Outra Arma Longa A",704,IF(Atletas!R159="Gun B",705,IF(Atletas!R159="Qiang B",706,IF(Atletas!R159="Pudao / Guandao B",707,IF(Atletas!R159="Outra Arma Longa B",708,IF(Atletas!R159="Gun C",709,IF(Atletas!R159="Qiang C",710,IF(Atletas!R159="Pudao / Guandao C",711,IF(Atletas!R159="Outra Arma Longa C",712,IF(Atletas!R159="Gun D",713,IF(Atletas!R159="Qiang D",714,IF(Atletas!R159="Pudao / Guandao D",715,IF(Atletas!R159="Outra Arma Longa D",716,IF(Atletas!R159="Gun E",717,IF(Atletas!R159="Qiang E",718,IF(Atletas!R159="Pudao / Guandao E",719,IF(Atletas!R159="Outra Arma Longa E",720,IF(Atletas!R159="Gun F",721,IF(Atletas!R159="Qiang F",722,IF(Atletas!R159="Pudao / Guandao F",723,IF(Atletas!R159="Outra Arma Longa F",724,"")))))))))))))))))))))))))</f>
        <v/>
      </c>
      <c r="BU163" s="52" t="str">
        <f>IF(Atletas!S159="","",IF(Atletas!W159&lt;&gt;"",10000,0)+IF(Atletas!B159="Feminino",1000,IF(Atletas!B159="Masculino",2000,""))+IF(Atletas!S159="Arma Dupla A",801,IF(Atletas!S159="Arma Maleável A",802,IF(Atletas!S159="Arma Dupla B",803,IF(Atletas!S159="Arma Maleável B",804,IF(Atletas!S159="Arma Dupla C",805,IF(Atletas!S159="Arma Maleável C",806,IF(Atletas!S159="Arma Dupla D",807,IF(Atletas!S159="Arma Maleável D",808,IF(Atletas!S159="Arma Dupla E",809,IF(Atletas!S159="Arma Maleável E",810,IF(Atletas!S159="Arma Dupla F",811,IF(Atletas!S159="Arma Maleável F",812, "")))))))))))))</f>
        <v/>
      </c>
      <c r="BV163" s="52" t="str">
        <f>IF(Atletas!T159="","",IF(Atletas!W159&lt;&gt;"",10000,0)+IF(Atletas!B159="Feminino",1000,IF(Atletas!B159="Masculino",2000,""))+IF(Atletas!T159="Taijijian Yang A",901,IF(Atletas!T159="Taijijian Chen A",902,IF(Atletas!T159="Taijijian Sun A",903,IF(Atletas!T159="Taijijian Wu A",904,IF(Atletas!T159="Taijijian Wu-Hao A",905,IF(Atletas!T159="Taijijian 32 A",906,IF(Atletas!T159="Taijijian 42 A",907,IF(Atletas!T159="Taijijian Yang B",908,IF(Atletas!T159="Taijijian Chen B",909,IF(Atletas!T159="Taijijian Sun B",910,IF(Atletas!T159="Taijijian Wu B",911,IF(Atletas!T159="Taijijian Wu-Hao B",912,IF(Atletas!T159="Taijijian 32 B",913,IF(Atletas!T159="Taijijian 42 B",914,IF(Atletas!T159="Taijijian Yang C",915,IF(Atletas!T159="Taijijian Chen C",916,IF(Atletas!T159="Taijijian Sun C",917,IF(Atletas!T159="Taijijian Wu C",918,IF(Atletas!T159="Taijijian Wu-Hao C",919,IF(Atletas!T159="Taijijian 32 C",920,IF(Atletas!T159="Taijijian 42 C",921,IF(Atletas!T159="Taijijian Yang D",922,IF(Atletas!T159="Taijijian Chen D",923,IF(Atletas!T159="Taijijian Sun D",924,IF(Atletas!T159="Taijijian Wu D",925,IF(Atletas!T159="Taijijian Wu-Hao D",926,IF(Atletas!T159="Taijijian 32 D",927,IF(Atletas!T159="Taijijian 42 D",928,IF(Atletas!T159="Taijijian Yang E",929,IF(Atletas!T159="Taijijian Chen E",930,IF(Atletas!T159="Taijijian Sun E",931,IF(Atletas!T159="Taijijian Wu E",932,IF(Atletas!T159="Taijijian Wu-Hao E",933,IF(Atletas!T159="Taijijian 32 E",934,IF(Atletas!T159="Taijijian 42 E",935,IF(Atletas!T159="Taijijian Yang F",936,IF(Atletas!T159="Taijijian Chen F",937,IF(Atletas!T159="Taijijian Sun F",938,IF(Atletas!T159="Taijijian Wu F",939,IF(Atletas!T159="Taijijian Wu-Hao F",940,IF(Atletas!T159="Taijijian 32 F",941,IF(Atletas!T159="Taijijian 42 F",942,"")))))))))))))))))))))))))))))))))))))))))))</f>
        <v/>
      </c>
      <c r="BW163" s="52" t="str">
        <f>IF(Atletas!U159="","",IF(Atletas!W159&lt;&gt;"",10000,0)+IF(Atletas!B159="Feminino",1000,IF(Atletas!B159="Masculino",2000,""))+IF(Atletas!T159="Taijijian 42 F",942,IF(Atletas!U159="Taijidao A",943,IF(Atletas!U159="Taijishan A",944,IF(Atletas!U159="Taijiqiang A",945,IF(Atletas!U159="Taijidao B",946,IF(Atletas!U159="Taijishan B",947,IF(Atletas!U159="Taijiqiang B",948,IF(Atletas!U159="Taijidao C",949,IF(Atletas!U159="Taijishan C",950,IF(Atletas!U159="Taijiqiang C",951,IF(Atletas!U159="Taijidao D",952,IF(Atletas!U159="Taijishan D",953,IF(Atletas!U159="Taijiqiang D",954,IF(Atletas!U159="Taijidao E",955,IF(Atletas!U159="Taijishan E",956,IF(Atletas!U159="Taijiqiang E",957,IF(Atletas!U159="Taijidao F",958,IF(Atletas!U159="Taijishan F",959,IF(Atletas!U159="Taijiqiang F",960))))))))))))))))))))</f>
        <v/>
      </c>
      <c r="BX163" s="72" t="str">
        <f>IF(BY163&lt;&gt;"","TJQ Trad. Yang F","")</f>
        <v/>
      </c>
      <c r="BY163" s="72" t="str">
        <f>IF(COUNTIF(BK:BW,1331)&gt;0,COUNTIF(BK:BW,1331),"")</f>
        <v/>
      </c>
      <c r="BZ163" s="72" t="str">
        <f>IF(CA163&lt;&gt;"","TJQ Trad. Yang F","")</f>
        <v/>
      </c>
      <c r="CA163" s="72" t="str">
        <f>IF(COUNTIF(BK:BW,2331)&gt;0,COUNTIF(BK:BW,2331),"")</f>
        <v/>
      </c>
      <c r="CB163" s="72" t="str">
        <f>IF(CC163&lt;&gt;"","Yang F","")</f>
        <v/>
      </c>
      <c r="CC163" s="64" t="str">
        <f>IF(COUNTIF(BK:BW,11331)&gt;0,COUNTIF(BK:BW,11331),"")</f>
        <v/>
      </c>
      <c r="CD163" s="64" t="str">
        <f>IF(CE163&lt;&gt;"","Yang F","")</f>
        <v/>
      </c>
      <c r="CE163" s="64" t="str">
        <f>IF(COUNTIF(BK:BW,12331)&gt;0,COUNTIF(BK:BW,12331),"")</f>
        <v/>
      </c>
      <c r="CF163" s="52" t="str">
        <f xml:space="preserve"> IF(Atletas!V159="","",IF(Atletas!V159="Duilian de Mãos AB - Equipe 1",1,IF(Atletas!V159="Duilian de Mãos AB - Equipe 2",2,IF(Atletas!V159="Duilian de Armas AB - Equipe 1",3,IF(Atletas!V159="Duilian de Armas AB - Equipe 2",4,IF(Atletas!V159="Duilian de Tuishou - Equipe 1",5,IF(Atletas!V159="Duilian de Tuishou - Equipe 2",6,IF(Atletas!V159="Grupo Externo AB - Equipe 1",7,IF(Atletas!V159="Grupo Externo AB - Equipe 2",8,IF(Atletas!V159="Grupo Interno AB - Equipe 1",9,IF(Atletas!V159="Grupo Interno AB - Equipe 2",10,IF(Atletas!V159="Duilian de Mãos CD - Equipe 1",11,IF(Atletas!V159="Duilian de Mãos CD - Equipe 2",12,IF(Atletas!V159="Duilian de Armas CD - Equipe 1",13,IF(Atletas!V159="Duilian de Armas CD - Equipe 2",14,IF(Atletas!V159="Duilian de Tuishou - Equipe 1",15,IF(Atletas!V159="Duilian de Tuishou - Equipe 2",16,IF(Atletas!V159="Grupo Externo CDEF - Equipe 1",17,IF(Atletas!V159="Grupo Externo CDEF - Equipe 2",18,IF(Atletas!V159="Grupo Interno CDEF - Equipe 1",19,IF(Atletas!V159="Grupo Interno CDEF - Equipe 2",20,IF(Atletas!V159="Duilian de Mãos EF - Equipe 1",21,IF(Atletas!V159="Duilian de Mãos EF - Equipe 2",22,IF(Atletas!V159="Duilian de Armas EF - Equipe 1",23,IF(Atletas!V159="Duilian de Armas EF - Equipe 2",24,IF(Atletas!V159="Duilian de Tuishou - Equipe 1",25,IF(Atletas!V159="Duilian de Tuishou - Equipe 2",26,"")))))))))))))))))))))))))))</f>
        <v/>
      </c>
    </row>
    <row r="164" spans="2:84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 t="str">
        <f t="array" ref="V164">IFERROR(INDEX(BX$7:BX$336,SMALL(IF(BX$7:BX$336&lt;&gt;"",ROW(BX$7:BX$336)-ROW(BX$7)+1),ROWS(BX$7:BX163))),"")</f>
        <v/>
      </c>
      <c r="W164" s="4" t="str">
        <f t="array" ref="W164">IFERROR(INDEX(BY$7:BY$336,SMALL(IF(BY$7:BY$336&lt;&gt;"",ROW(BY$7:BY$336)-ROW(BY$7)+1),ROWS(BY$7:BY163))),"")</f>
        <v/>
      </c>
      <c r="X164" s="4" t="str">
        <f t="array" ref="X164">IFERROR(INDEX(BZ$7:BZ$336,SMALL(IF(BZ$7:BZ$336&lt;&gt;"",ROW(BZ$7:BZ$336)-ROW(BZ$7)+1),ROWS(BZ$7:BZ163))),"")</f>
        <v/>
      </c>
      <c r="Y164" s="4" t="str">
        <f t="array" ref="Y164">IFERROR(INDEX(CA$7:CA$336,SMALL(IF(CA$7:CA$336&lt;&gt;"",ROW(CA$7:CA$336)-ROW(CA$7)+1),ROWS(CA$7:CA163))),"")</f>
        <v/>
      </c>
      <c r="Z164" s="4" t="str">
        <f t="array" ref="Z164">IFERROR(INDEX(CB$7:CB$378,SMALL(IF(CB$7:CB$378&lt;&gt;"",ROW(CB$7:CB$378)-ROW(CB$7)+1),ROWS(CB$7:CB163))),"")</f>
        <v/>
      </c>
      <c r="AA164" s="4" t="str">
        <f t="array" ref="AA164">IFERROR(INDEX(CC$7:CC$378,SMALL(IF(CC$7:CC$378&lt;&gt;"",ROW(CC$7:CC$378)-ROW(CC$7)+1),ROWS(CC$7:CC163))),"")</f>
        <v/>
      </c>
      <c r="AB164" s="4" t="str">
        <f t="array" ref="AB164">IFERROR(INDEX(CD$7:CD$378,SMALL(IF(CD$7:CD$378&lt;&gt;"",ROW(CD$7:CD$378)-ROW(CD$7)+1),ROWS(CD$7:CD163))),"")</f>
        <v/>
      </c>
      <c r="AC164" s="4" t="str">
        <f t="array" ref="AC164">IFERROR(INDEX(CE$7:CE$378,SMALL(IF(CE$7:CE$378&lt;&gt;"",ROW(CE$7:CE$378)-ROW(CE$7)+1),ROWS(CE$7:CE163))),"")</f>
        <v/>
      </c>
      <c r="AD164" s="4"/>
      <c r="AE164" s="4"/>
      <c r="AF164" s="4"/>
      <c r="AG164" s="4"/>
      <c r="AH164" s="4"/>
      <c r="AI164" s="4"/>
      <c r="AJ164" s="46" t="str">
        <f>IF(Atletas!D160="","",IF(Atletas!B160="Feminino",100,IF(Atletas!B160="Masculino",200,""))+(IF(Atletas!D160="Infantil 39kg",1,IF(Atletas!D160="Infantil 42kg",2,IF(Atletas!D160="Infantil 45kg",3,IF(Atletas!D160="Infantil 48kg",4,IF(Atletas!D160="Infantil 52kg",5,IF(Atletas!D160="Infantil 56kg",6,IF(Atletas!D160="Infantil 60kg",7,IF(Atletas!D160="Juvenil 48kg",8,IF(Atletas!D160="Juvenil 52kg",9,IF(Atletas!D160="Juvenil 56kg",10,IF(Atletas!D160="Juvenil 60kg",11,IF(Atletas!D160="Juvenil 65kg",12,IF(Atletas!D160="Juvenil 70kg",13,IF(Atletas!D160="Juvenil 75kg",14,IF(Atletas!D160="Juvenil 80kg",15,IF(Atletas!D160="Adulto 48kg",16,IF(Atletas!D160="Adulto 52kg",17,IF(Atletas!D160="Adulto 56kg",18,IF(Atletas!D160="Adulto 60kg",19,IF(Atletas!D160="Adulto 65kg",20,IF(Atletas!D160="Adulto 70kg",21,IF(Atletas!D160="Adulto 75kg",22,IF(Atletas!D160="Adulto 80kg",23,IF(Atletas!D160="Adulto 85kg",24,IF(Atletas!D160="Adulto 90kg",25,IF(Atletas!D160="Adulto +90kg",26,""))))))))))))))))))))))))))))</f>
        <v/>
      </c>
      <c r="AO164" s="10" t="str">
        <f>IF(Atletas!E160="","",IF(Atletas!B160="Feminino",100,IF(Atletas!B160="Masculino",200,""))+(IF(Atletas!E160="Juvenil 44kg",1,IF(Atletas!E160="Juvenil 48kg",2,IF(Atletas!E160="Juvenil 52kg",3,IF(Atletas!E160="Juvenil 56kg",4,IF(Atletas!E160="Juvenil 60kg",5,IF(Atletas!E160="Juvenil 65kg",6,IF(Atletas!E160="Juvenil 70kg",7,IF(Atletas!E160="Juvenil 75kg",8,IF(Atletas!E160="Juvenil 82kg",9,IF(Atletas!E160="Juvenil 90kg",10,IF(Atletas!E160="Juvenil 100kg",11,IF(Atletas!E160="Adulto 48kg",12,IF(Atletas!E160="Adulto 52kg",13,IF(Atletas!E160="Adulto 56kg",14,IF(Atletas!E160="Adulto 60kg",15,IF(Atletas!E160="Adulto 65kg",16,IF(Atletas!E160="Adulto 70kg",17,IF(Atletas!E160="Adulto 75kg",18,IF(Atletas!E160="Adulto 82kg",19,IF(Atletas!E160="Adulto 90kg",20,IF(Atletas!E160="Adulto 100kg",21,IF(Atletas!E160="Adulto +100kg",22,""))))))))))))))))))))))))</f>
        <v/>
      </c>
      <c r="AT164" s="10" t="str">
        <f>IF(Atletas!F160="","",IF(Atletas!B160="Feminino",100,IF(Atletas!B160="Masculino",200,""))+(IF(Atletas!F160="Adulto 48kg",1,IF(Atletas!F160="Adulto 56kg",2,IF(Atletas!F160="Adulto 65kg",3,IF(Atletas!F160="Adulto 75kg",4,IF(Atletas!F160="Adulto +75kg",5,IF(Atletas!F160="Adulto 52kg",6,IF(Atletas!F160="Adulto 60kg",7,IF(Atletas!F160="Adulto 70kg",8,IF(Atletas!F160="Adulto 80kg",9,IF(Atletas!F160="Adulto 90kg",10,IF(Atletas!F160="Adulto +90kg",11,"")))))))))))))</f>
        <v/>
      </c>
      <c r="AY164" s="46" t="str">
        <f>IF(Atletas!G160="","",IF(Atletas!B160="Feminino",100,IF(Atletas!B160="Masculino",200,""))+(IF(Atletas!G160="Changquan Mirim",1,IF(Atletas!G160="Nanquan Mirim",2,IF(Atletas!G160="Taijiquan Mirim",3,IF(Atletas!G160="Changquan Grupo C",4,IF(Atletas!G160="Nanquan Grupo C",5,IF(Atletas!G160="Taijiquan Grupo C",6,IF(Atletas!G160="Changquan Grupo B",7,IF(Atletas!G160="Nanquan Grupo B",8,IF(Atletas!G160="Taijiquan Grupo B",9,IF(Atletas!G160="Changquan Grupo A",10,IF(Atletas!G160="Nanquan Grupo A",11,IF(Atletas!G160="Taijiquan Grupo A",12,IF(Atletas!G160="Changquan Opcional",13,IF(Atletas!G160="Nanquan Opcional",14,IF(Atletas!G160="Taijiquan Opcional",15,IF(Atletas!G160="Changquan Adulto",16,IF(Atletas!G160="Nanquan Adulto",17,IF(Atletas!G160="Taijiquan Adulto",18,""))))))))))))))))))))</f>
        <v/>
      </c>
      <c r="AZ164" s="46" t="str">
        <f>IF(Atletas!H160="","",IF(Atletas!B160="Feminino",100,IF(Atletas!B160="Masculino",200,""))+(IF(Atletas!H160="Daoshu Mirim",19,IF(Atletas!H160="Jianshu Mirim",20,IF(Atletas!H160="Nandao Mirim",21,IF(Atletas!H160="Taijijian Mirim",22,IF(Atletas!H160="Daoshu Grupo C",23,IF(Atletas!H160="Jianshu Grupo C",24,IF(Atletas!H160="Nandao Grupo C",25,IF(Atletas!H160="Taijijian Grupo C",26,IF(Atletas!H160="Daoshu Grupo B",27,IF(Atletas!H160="Jianshu Grupo B",28,IF(Atletas!H160="Nandao Grupo B",29,IF(Atletas!H160="Taijijian Grupo B",30,IF(Atletas!H160="Daoshu Grupo A",31,IF(Atletas!H160="Jianshu Grupo A",32,IF(Atletas!H160="Nandao Grupo A",33,IF(Atletas!H160="Taijijian Grupo A",34,IF(Atletas!H160="Daoshu Opcional",35,IF(Atletas!H160="Jianshu Opcional",36,IF(Atletas!H160="Nandao Opcional",37,IF(Atletas!H160="Taijijian Opcional",38,IF(Atletas!H160="Daoshu Adulto",39,IF(Atletas!H160="Jianshu Adulto",40,IF(Atletas!H160="Nandao Adulto",41,IF(Atletas!H160="Taijijian Adulto",42,""))))))))))))))))))))))))))</f>
        <v/>
      </c>
      <c r="BA164" s="46" t="str">
        <f>IF(Atletas!I160="","",IF(Atletas!B160="Feminino",100,IF(Atletas!B160="Masculino",200,""))+(IF(Atletas!I160="Gunshu Mirim",43,IF(Atletas!I160="Qiangshu Mirim",44,IF(Atletas!I160="Nangun Mirim",45,IF(Atletas!I160="Gunshu Grupo C",46,IF(Atletas!I160="Qiangshu Grupo C",47,IF(Atletas!I160="Nangun Grupo C",48,IF(Atletas!I160="Gunshu Grupo B",49,IF(Atletas!I160="Qiangshu Grupo B",50,IF(Atletas!I160="Nangun Grupo B",51,IF(Atletas!I160="Gunshu Grupo A",52,IF(Atletas!I160="Qiangshu Grupo A",53,IF(Atletas!I160="Nangun Grupo A",54,IF(Atletas!I160="Gunshu Opcional",55,IF(Atletas!I160="Qiangshu Opcional",56,IF(Atletas!I160="Nangun Opcional",57,IF(Atletas!I160="Gunshu Adulto",58,IF(Atletas!I160="Qiangshu Adulto",59,IF(Atletas!I160="Nangun Adulto",60,""))))))))))))))))))))</f>
        <v/>
      </c>
      <c r="BF164" s="52" t="str">
        <f>IF(Atletas!J160="","",IF(Atletas!B160="Feminino",100,IF(Atletas!B160="Masculino",200,""))+(IF(Atletas!J160="Equipe 1 Grupo B",1,IF(Atletas!J160="Equipe 2 Grupo B",2,IF(Atletas!J160="Equipe 1 Grupo A",3,IF(Atletas!J160="Equipe 2 Grupo A",4,IF(Atletas!J160="Equipe 1 Adulto",5,IF(Atletas!J160="Equipe 2 Adulto",6,""))))))))</f>
        <v/>
      </c>
      <c r="BK164" s="52" t="str">
        <f>IF(Atletas!K160="","",IF(Atletas!W160&lt;&gt;"",10000,0)+(IF(Atletas!B160="Feminino",1000,IF(Atletas!B160="Masculino",2000,""))+IF(Atletas!K160="Choylayfut A",1,IF(Atletas!K160="Hunggar A",2,IF(Atletas!K160="Wuzuquan A",3,IF(Atletas!K160="Wingchun A",4,IF(Atletas!K160="Outra Mão de Sul A",5,IF(Atletas!K160="Choylayfut B",6,IF(Atletas!K160="Hunggar B",7,IF(Atletas!K160="Wuzuquan B",8,IF(Atletas!K160="Wingchun B",9,IF(Atletas!K160="Outra Mão de Sul B",10,IF(Atletas!K160="Choylayfut C",11,IF(Atletas!K160="Hunggar C",12,IF(Atletas!K160="Wuzuquan C",13,IF(Atletas!K160="Wingchun C",14,IF(Atletas!K160="Outra Mão de Sul C",15,IF(Atletas!K160="Choylayfut D",16,IF(Atletas!K160="Hunggar D",17,IF(Atletas!K160="Wuzuquan D",18,IF(Atletas!K160="Wingchun D",19,IF(Atletas!K160="Outra Mão de Sul D",20,IF(Atletas!K160="Choylayfut E",21,IF(Atletas!K160="Hunggar E",22,IF(Atletas!K160="Wuzuquan E",23,IF(Atletas!K160="Wingchun E",24,IF(Atletas!K160="Outra Mão de Sul E",25,IF(Atletas!K160="Choylayfut F",26,IF(Atletas!K160="Hunggar F",27,IF(Atletas!K160="Wuzuquan F",28,IF(Atletas!K160="Wingchun F",29,IF(Atletas!K160="Outra Mão de Sul F",30,""))))))))))))))))))))))))))))))))</f>
        <v/>
      </c>
      <c r="BL164" s="52" t="str">
        <f>IF(Atletas!L160="","",IF(Atletas!W160&lt;&gt;"",10000,0)+(IF(Atletas!B160="Feminino",1000,IF(Atletas!B160="Masculino",2000,""))+(IF(Atletas!L160="Chaquan A",101,IF(Atletas!L160="Emeiquan A",102,IF(Atletas!L160="Fanziquan A",103,IF(Atletas!L160="Huaquan A",104,IF(Atletas!L160="Hongquan A",105,IF(Atletas!L160="Paochui A",106,IF(Atletas!L160="Piguaquan A",107,IF(Atletas!L160="Shaolinquan A",108,IF(Atletas!L160="Tanglangquan A",109,IF(Atletas!L160="Yinzhaophai A",110,IF(Atletas!L160="Tongbeiquan A",111,IF(Atletas!L160="Wudangquan A",112,IF(Atletas!L160="Outros Estilos A",113,IF(Atletas!L160="Chaquan B",114,IF(Atletas!L160="Emeiquan B",115,IF(Atletas!L160="Fanziquan B",116,IF(Atletas!L160="Huaquan B",117,IF(Atletas!L160="Hongquan B",118,IF(Atletas!L160="Paochui B",119,IF(Atletas!L160="Piguaquan B",120,IF(Atletas!L160="Shaolinquan B",121,IF(Atletas!L160="Tanglangquan B",122,IF(Atletas!L160="Yinzhaophai B",123,IF(Atletas!L160="Tongbeiquan B",124,IF(Atletas!L160="Wudangquan B",125,IF(Atletas!L160="Outros Estilos B",126,IF(Atletas!L160="Chaquan C",127,IF(Atletas!L160="Emeiquan C",128,IF(Atletas!L160="Fanziquan C",129,IF(Atletas!L160="Huaquan C",130,IF(Atletas!L160="Hongquan C",131,IF(Atletas!L160="Paochui C",132,IF(Atletas!L160="Piguaquan C",133,IF(Atletas!L160="Shaolinquan C",134,IF(Atletas!L160="Tanglangquan C",135,IF(Atletas!L160="Yinzhaophai C",136,IF(Atletas!L160="Tongbeiquan C",137,IF(Atletas!L160="Wudangquan C",138,IF(Atletas!L160="Outros Estilos C",139,0))))))))))))))))))))))))))))))))))))))))))</f>
        <v/>
      </c>
      <c r="BM164" s="52" t="str">
        <f>IF(Atletas!L160="","",IF(Atletas!W160&lt;&gt;"",10000,0)+(IF(Atletas!B160="Feminino",1000,IF(Atletas!B160="Masculino",2000,""))+(IF(Atletas!L160="Chaquan D",140,IF(Atletas!L160="Emeiquan D",141,IF(Atletas!L160="Fanziquan D",142,IF(Atletas!L160="Huaquan D",143,IF(Atletas!L160="Hongquan D",144,IF(Atletas!L160="Paochui D",145,IF(Atletas!L160="Piguaquan D",146,IF(Atletas!L160="Shaolinquan D",147,IF(Atletas!L160="Tanglangquan D",148,IF(Atletas!L160="Yinzhaophai D",149,IF(Atletas!L160="Tongbeiquan D",150,IF(Atletas!L160="Wudangquan D",151,IF(Atletas!L160="Outros Estilos D",152,IF(Atletas!L160="Chaquan E",153,IF(Atletas!L160="Emeiquan E",154,IF(Atletas!L160="Fanziquan E",155,IF(Atletas!L160="Huaquan E",156,IF(Atletas!L160="Hongquan E",157,IF(Atletas!L160="Paochui E",158,IF(Atletas!L160="Piguaquan E",159,IF(Atletas!L160="Shaolinquan E",160,IF(Atletas!L160="Tanglangquan E",161,IF(Atletas!L160="Yinzhaophai E",162,IF(Atletas!L160="Tongbeiquan E",163,IF(Atletas!L160="Wudangquan E",164,IF(Atletas!L160="Outros Estilos E",165,IF(Atletas!L160="Chaquan F",166,IF(Atletas!L160="Emeiquan F",167,IF(Atletas!L160="Fanziquan F",168,IF(Atletas!L160="Huaquan F",169,IF(Atletas!L160="Hongquan F",170,IF(Atletas!L160="Paochui F",171,IF(Atletas!L160="Piguaquan F",172,IF(Atletas!L160="Shaolinquan F",173,IF(Atletas!L160="Tanglangquan F",174,IF(Atletas!L160="Yinzhaophai F",175,IF(Atletas!L160="Tongbeiquan F",176,IF(Atletas!L160="Wudangquan F",177,IF(Atletas!L160="Outros Estilos F",178,0))))))))))))))))))))))))))))))))))))))))))</f>
        <v/>
      </c>
      <c r="BN164" s="52" t="str">
        <f>IF(Atletas!M160="","",IF(Atletas!W160&lt;&gt;"",10000,0)+(IF(Atletas!B160="Feminino",1000,IF(Atletas!B160="Masculino",2000,""))+(IF(Atletas!M160="Ditangquan A",201,IF(Atletas!M160="Houquan A",202,IF(Atletas!M160="Zuiquan A",203,IF(Atletas!M160="Ditangquan B",204,IF(Atletas!M160="Houquan B",205,IF(Atletas!M160="Zuiquan B",206,IF(Atletas!M160="Ditangquan C",207,IF(Atletas!M160="Houquan C",208,IF(Atletas!M160="Zuiquan C",209,IF(Atletas!M160="Ditangquan D",210,IF(Atletas!M160="Houquan D",211,IF(Atletas!M160="Zuiquan D",212,IF(Atletas!M160="Ditangquan E",213,IF(Atletas!M160="Houquan E",214,IF(Atletas!M160="Zuiquan E",215,IF(Atletas!M160="Ditangquan F",216,IF(Atletas!M160="Houquan F",217,IF(Atletas!M160="Zuiquan F",218,"")))))))))))))))))))))</f>
        <v/>
      </c>
      <c r="BO164" s="52" t="str">
        <f>IF(Atletas!N160="","",IF(Atletas!W160&lt;&gt;"",10000,0)+IF(Atletas!B160="Feminino",1000,IF(Atletas!B160="Masculino",2000,""))+IF(Atletas!N160="Yang A",301,IF(Atletas!N160="Chen A",30,IF(Atletas!N160="Sun A",303,IF(Atletas!N160="Wu A",304,IF(Atletas!N160="Wu-Hao A",305,IF(Atletas!N160="Outro Taijiquan A",306,IF(Atletas!N160="Yang B",307,IF(Atletas!N160="Chen B",308,IF(Atletas!N160="Sun B",309,IF(Atletas!N160="Wu B",310,IF(Atletas!N160="Wu-Hao B",311,IF(Atletas!N160="Outro Taijiquan B",312,IF(Atletas!N160="Yang C",313,IF(Atletas!N160="Chen C",314,IF(Atletas!N160="Sun C",315,IF(Atletas!N160="Wu C",316,IF(Atletas!N160="Wu-Hao C",317,IF(Atletas!N160="Outro Taijiquan C",318,IF(Atletas!N160="Yang D",319,IF(Atletas!N160="Chen D",320,IF(Atletas!N160="Sun D",321,IF(Atletas!N160="Wu D",322,IF(Atletas!N160="Wu-Hao D",323,IF(Atletas!N160="Outro Taijiquan D",324,IF(Atletas!N160="Yang E",325,IF(Atletas!N160="Chen E",326,IF(Atletas!N160="Sun E",327,IF(Atletas!N160="Wu E",328,IF(Atletas!N160="Wu-Hao E",329,IF(Atletas!N160="Outro Taijiquan E",330,IF(Atletas!N160="Yang F",331,IF(Atletas!N160="Chen F",332,IF(Atletas!N160="Sun F",333,IF(Atletas!N160="Wu F",334,IF(Atletas!N160="Wu-Hao F",335,IF(Atletas!N160="Outro Taijiquan F",336,"")))))))))))))))))))))))))))))))))))))</f>
        <v/>
      </c>
      <c r="BP164" s="52" t="str">
        <f>IF(Atletas!O160="","",IF(Atletas!W160&lt;&gt;"",10000,0)+IF(Atletas!B160="Feminino",1000,IF(Atletas!B160="Masculino",2000,""))+IF(OR(Atletas!O160="Yang 26 A",Atletas!O160="Yang 40 A"),401,IF(OR(Atletas!O160="Chen 25 A",Atletas!O160="Chen 36 A",Atletas!O160="Chen 56 A"),402,IF(Atletas!O160="Sun 73 A",403,IF(Atletas!O160="Wu 45 A",404,IF(Atletas!O160="Wu-Hao 46 A",405,IF(OR(Atletas!O160="Taijiquan 16 A",Atletas!O160="Taijiquan 24 A",Atletas!O160="Taijiquan 32 A",Atletas!O160="Taijiquan 42 A"),406,IF(OR(Atletas!O160="Yang 26 B",Atletas!O160="Yang 40 B"),407,IF(OR(Atletas!O160="Chen 25 B",Atletas!O160="Chen 36 B",Atletas!O160="Chen 56 B"),408,IF(Atletas!O160="Sun 73 B",409,IF(Atletas!O160="Wu 45 B",410,IF(Atletas!O160="Wu-Hao 46 B",411,IF(OR(Atletas!O160="Taijiquan 16 B",Atletas!O160="Taijiquan 24 B",Atletas!O160="Taijiquan 32 B",Atletas!O160="Taijiquan 42 B"),412,IF(OR(Atletas!O160="Yang 26 C",Atletas!O160="Yang 40 C"),413,IF(OR(Atletas!O160="Chen 25 C",Atletas!O160="Chen 36 C",Atletas!O160="Chen 56 C"),414,IF(Atletas!O160="Sun 73 C",415,IF(Atletas!O160="Wu 45 C",416,IF(Atletas!O160="Wu-Hao 46 C",417,IF(OR(Atletas!O160="Taijiquan 16 C",Atletas!O160="Taijiquan 24 C",Atletas!O160="Taijiquan 32 C",Atletas!O160="Taijiquan 42 C"),418,0)))))))))))))))))))</f>
        <v/>
      </c>
      <c r="BQ164" s="52" t="str">
        <f>IF(Atletas!O160="","",IF(Atletas!W160&lt;&gt;"",10000,0)+IF(Atletas!B160="Feminino",1000,IF(Atletas!B160="Masculino",2000,""))+IF(OR(Atletas!O160="Yang 26 D",Atletas!O160="Yang 40 D"),419,IF(OR(Atletas!O160="Chen 25 D",Atletas!O160="Chen 36 D",Atletas!O160="Chen 56 D"),420,IF(Atletas!O160="Sun 73 D",421,IF(Atletas!O160="Wu 45 D",422,IF(Atletas!O160="Wu-Hao 46 D",423,IF(OR(Atletas!O160="Taijiquan 16 D",Atletas!O160="Taijiquan 24 D",Atletas!O160="Taijiquan 32 D",Atletas!O160="Taijiquan 42 D"),424,IF(OR(Atletas!O160="Yang 26 E",Atletas!O160="Yang 40 E"),425,IF(OR(Atletas!O160="Chen 25 E",Atletas!O160="Chen 36 E",Atletas!O160="Chen 56 E"),426,IF(Atletas!O160="Sun 73 E",427,IF(Atletas!O160="Wu 45 E",428,IF(Atletas!O160="Wu-Hao 46 E",429,IF(OR(Atletas!O160="Taijiquan 16 E",Atletas!O160="Taijiquan 24 E",Atletas!O160="Taijiquan 32 E",Atletas!O160="Taijiquan 42 E"),430,IF(OR(Atletas!O160="Yang 26 F",Atletas!O160="Yang 40 F"),431,IF(OR(Atletas!O160="Chen 25 F",Atletas!O160="Chen 36 F",Atletas!O160="Chen 56 F"),432,IF(Atletas!O160="Sun 73 F",433,IF(Atletas!O160="Wu 45 F",434,IF(Atletas!O160="Wu-Hao 46 F",435,IF(OR(Atletas!O160="Taijiquan 16 F",Atletas!O160="Taijiquan 24 F",Atletas!O160="Taijiquan 32 F",Atletas!O160="Taijiquan 42 F"),436,0)))))))))))))))))))</f>
        <v/>
      </c>
      <c r="BR164" s="52" t="str">
        <f>IF(Atletas!P160="","",IF(Atletas!W160&lt;&gt;"",10000,0)+IF(Atletas!B160="Feminino",1000,IF(Atletas!B160="Masculino",2000,""))+IF(Atletas!P160="Xingyiquan A",501,IF(Atletas!P160="Baguazhang A",502,IF(Atletas!P160="Outro Estilo Interno A",503,IF(Atletas!P160="Xingyiquan B",504,IF(Atletas!P160="Baguazhang B",505,IF(Atletas!P160="Outro Estilo Interno B",506,IF(Atletas!P160="Xingyiquan C",507,IF(Atletas!P160="Baguazhang C",508,IF(Atletas!P160="Outro Estilo Interno C",509,IF(Atletas!P160="Xingyiquan D",510,IF(Atletas!P160="Baguazhang D",511,IF(Atletas!P160="Outro Estilo Interno D",512,IF(Atletas!P160="Xingyiquan E",513,IF(Atletas!P160="Baguazhang E",514,IF(Atletas!P160="Outro Estilo Interno E",515,IF(Atletas!P160="Xingyiquan F",516,IF(Atletas!P160="Baguazhang F",517,IF(Atletas!P160="Outro Estilo Interno F",518, "")))))))))))))))))))</f>
        <v/>
      </c>
      <c r="BS164" s="52" t="str">
        <f>IF(Atletas!Q160="","",IF(Atletas!W160&lt;&gt;"",10000,0)+IF(Atletas!B160="Feminino",1000,IF(Atletas!B160="Masculino",2000,""))+IF(Atletas!Q160="Dao A",601,IF(Atletas!Q160="Jian A",602,IF(Atletas!Q160="Bishou A",603,IF(Atletas!Q160="Shan A",604,IF(Atletas!Q160="Outra Arma Curta A",605,IF(Atletas!Q160="Dao B",606,IF(Atletas!Q160="Jian B",607,IF(Atletas!Q160="Bishou B",608,IF(Atletas!Q160="Shan B",609,IF(Atletas!Q160="Outra Arma Curta B",610,IF(Atletas!Q160="Dao C",611,IF(Atletas!Q160="Jian C",612,IF(Atletas!Q160="Bishou C",613,IF(Atletas!Q160="Shan C",614,IF(Atletas!Q160="Outra Arma Curta C",615,IF(Atletas!Q160="Dao D",616,IF(Atletas!Q160="Jian D",617,IF(Atletas!Q160="Bishou D",618,IF(Atletas!Q160="Shan D",619,IF(Atletas!Q160="Outra Arma Curta D",620,IF(Atletas!Q160="Dao E",621,IF(Atletas!Q160="Jian E",622,IF(Atletas!Q160="Bishou E",623,IF(Atletas!Q160="Shan E",624,IF(Atletas!Q160="Outra Arma Curta E",625,IF(Atletas!Q160="Dao F",626,IF(Atletas!Q160="Jian F",627,IF(Atletas!Q160="Bishou F",628,IF(Atletas!Q160="Shan F",629,IF(Atletas!Q160="Outra Arma Curta F",630, "")))))))))))))))))))))))))))))))</f>
        <v/>
      </c>
      <c r="BT164" s="52" t="str">
        <f>IF(Atletas!R160="","",IF(Atletas!W160&lt;&gt;"",10000,0)+IF(Atletas!B160="Feminino",1000,IF(Atletas!B160="Masculino",2000,""))+IF(Atletas!R160="Gun A",701,IF(Atletas!R160="Qiang A",702,IF(Atletas!R160="Pudao / Guandao A",703,IF(Atletas!R160="Outra Arma Longa A",704,IF(Atletas!R160="Gun B",705,IF(Atletas!R160="Qiang B",706,IF(Atletas!R160="Pudao / Guandao B",707,IF(Atletas!R160="Outra Arma Longa B",708,IF(Atletas!R160="Gun C",709,IF(Atletas!R160="Qiang C",710,IF(Atletas!R160="Pudao / Guandao C",711,IF(Atletas!R160="Outra Arma Longa C",712,IF(Atletas!R160="Gun D",713,IF(Atletas!R160="Qiang D",714,IF(Atletas!R160="Pudao / Guandao D",715,IF(Atletas!R160="Outra Arma Longa D",716,IF(Atletas!R160="Gun E",717,IF(Atletas!R160="Qiang E",718,IF(Atletas!R160="Pudao / Guandao E",719,IF(Atletas!R160="Outra Arma Longa E",720,IF(Atletas!R160="Gun F",721,IF(Atletas!R160="Qiang F",722,IF(Atletas!R160="Pudao / Guandao F",723,IF(Atletas!R160="Outra Arma Longa F",724,"")))))))))))))))))))))))))</f>
        <v/>
      </c>
      <c r="BU164" s="52" t="str">
        <f>IF(Atletas!S160="","",IF(Atletas!W160&lt;&gt;"",10000,0)+IF(Atletas!B160="Feminino",1000,IF(Atletas!B160="Masculino",2000,""))+IF(Atletas!S160="Arma Dupla A",801,IF(Atletas!S160="Arma Maleável A",802,IF(Atletas!S160="Arma Dupla B",803,IF(Atletas!S160="Arma Maleável B",804,IF(Atletas!S160="Arma Dupla C",805,IF(Atletas!S160="Arma Maleável C",806,IF(Atletas!S160="Arma Dupla D",807,IF(Atletas!S160="Arma Maleável D",808,IF(Atletas!S160="Arma Dupla E",809,IF(Atletas!S160="Arma Maleável E",810,IF(Atletas!S160="Arma Dupla F",811,IF(Atletas!S160="Arma Maleável F",812, "")))))))))))))</f>
        <v/>
      </c>
      <c r="BV164" s="52" t="str">
        <f>IF(Atletas!T160="","",IF(Atletas!W160&lt;&gt;"",10000,0)+IF(Atletas!B160="Feminino",1000,IF(Atletas!B160="Masculino",2000,""))+IF(Atletas!T160="Taijijian Yang A",901,IF(Atletas!T160="Taijijian Chen A",902,IF(Atletas!T160="Taijijian Sun A",903,IF(Atletas!T160="Taijijian Wu A",904,IF(Atletas!T160="Taijijian Wu-Hao A",905,IF(Atletas!T160="Taijijian 32 A",906,IF(Atletas!T160="Taijijian 42 A",907,IF(Atletas!T160="Taijijian Yang B",908,IF(Atletas!T160="Taijijian Chen B",909,IF(Atletas!T160="Taijijian Sun B",910,IF(Atletas!T160="Taijijian Wu B",911,IF(Atletas!T160="Taijijian Wu-Hao B",912,IF(Atletas!T160="Taijijian 32 B",913,IF(Atletas!T160="Taijijian 42 B",914,IF(Atletas!T160="Taijijian Yang C",915,IF(Atletas!T160="Taijijian Chen C",916,IF(Atletas!T160="Taijijian Sun C",917,IF(Atletas!T160="Taijijian Wu C",918,IF(Atletas!T160="Taijijian Wu-Hao C",919,IF(Atletas!T160="Taijijian 32 C",920,IF(Atletas!T160="Taijijian 42 C",921,IF(Atletas!T160="Taijijian Yang D",922,IF(Atletas!T160="Taijijian Chen D",923,IF(Atletas!T160="Taijijian Sun D",924,IF(Atletas!T160="Taijijian Wu D",925,IF(Atletas!T160="Taijijian Wu-Hao D",926,IF(Atletas!T160="Taijijian 32 D",927,IF(Atletas!T160="Taijijian 42 D",928,IF(Atletas!T160="Taijijian Yang E",929,IF(Atletas!T160="Taijijian Chen E",930,IF(Atletas!T160="Taijijian Sun E",931,IF(Atletas!T160="Taijijian Wu E",932,IF(Atletas!T160="Taijijian Wu-Hao E",933,IF(Atletas!T160="Taijijian 32 E",934,IF(Atletas!T160="Taijijian 42 E",935,IF(Atletas!T160="Taijijian Yang F",936,IF(Atletas!T160="Taijijian Chen F",937,IF(Atletas!T160="Taijijian Sun F",938,IF(Atletas!T160="Taijijian Wu F",939,IF(Atletas!T160="Taijijian Wu-Hao F",940,IF(Atletas!T160="Taijijian 32 F",941,IF(Atletas!T160="Taijijian 42 F",942,"")))))))))))))))))))))))))))))))))))))))))))</f>
        <v/>
      </c>
      <c r="BW164" s="52" t="str">
        <f>IF(Atletas!U160="","",IF(Atletas!W160&lt;&gt;"",10000,0)+IF(Atletas!B160="Feminino",1000,IF(Atletas!B160="Masculino",2000,""))+IF(Atletas!T160="Taijijian 42 F",942,IF(Atletas!U160="Taijidao A",943,IF(Atletas!U160="Taijishan A",944,IF(Atletas!U160="Taijiqiang A",945,IF(Atletas!U160="Taijidao B",946,IF(Atletas!U160="Taijishan B",947,IF(Atletas!U160="Taijiqiang B",948,IF(Atletas!U160="Taijidao C",949,IF(Atletas!U160="Taijishan C",950,IF(Atletas!U160="Taijiqiang C",951,IF(Atletas!U160="Taijidao D",952,IF(Atletas!U160="Taijishan D",953,IF(Atletas!U160="Taijiqiang D",954,IF(Atletas!U160="Taijidao E",955,IF(Atletas!U160="Taijishan E",956,IF(Atletas!U160="Taijiqiang E",957,IF(Atletas!U160="Taijidao F",958,IF(Atletas!U160="Taijishan F",959,IF(Atletas!U160="Taijiqiang F",960))))))))))))))))))))</f>
        <v/>
      </c>
      <c r="BX164" s="72" t="str">
        <f>IF(BY164&lt;&gt;"","TJQ Trad. Chen F","")</f>
        <v/>
      </c>
      <c r="BY164" s="72" t="str">
        <f>IF(COUNTIF(BK:BW,1332)&gt;0,COUNTIF(BK:BW,1332),"")</f>
        <v/>
      </c>
      <c r="BZ164" s="72" t="str">
        <f>IF(CA164&lt;&gt;"","TJQ Trad. Chen F","")</f>
        <v/>
      </c>
      <c r="CA164" s="72" t="str">
        <f>IF(COUNTIF(BK:BW,2332)&gt;0,COUNTIF(BK:BW,2332),"")</f>
        <v/>
      </c>
      <c r="CB164" s="72" t="str">
        <f>IF(CC164&lt;&gt;"","Chen F","")</f>
        <v/>
      </c>
      <c r="CC164" s="64" t="str">
        <f>IF(COUNTIF(BK:BW,11332)&gt;0,COUNTIF(BK:BW,11332),"")</f>
        <v/>
      </c>
      <c r="CD164" s="64" t="str">
        <f>IF(CE164&lt;&gt;"","Chen F","")</f>
        <v/>
      </c>
      <c r="CE164" s="64" t="str">
        <f>IF(COUNTIF(BK:BW,12332)&gt;0,COUNTIF(BK:BW,12332),"")</f>
        <v/>
      </c>
      <c r="CF164" s="52" t="str">
        <f xml:space="preserve"> IF(Atletas!V160="","",IF(Atletas!V160="Duilian de Mãos AB - Equipe 1",1,IF(Atletas!V160="Duilian de Mãos AB - Equipe 2",2,IF(Atletas!V160="Duilian de Armas AB - Equipe 1",3,IF(Atletas!V160="Duilian de Armas AB - Equipe 2",4,IF(Atletas!V160="Duilian de Tuishou - Equipe 1",5,IF(Atletas!V160="Duilian de Tuishou - Equipe 2",6,IF(Atletas!V160="Grupo Externo AB - Equipe 1",7,IF(Atletas!V160="Grupo Externo AB - Equipe 2",8,IF(Atletas!V160="Grupo Interno AB - Equipe 1",9,IF(Atletas!V160="Grupo Interno AB - Equipe 2",10,IF(Atletas!V160="Duilian de Mãos CD - Equipe 1",11,IF(Atletas!V160="Duilian de Mãos CD - Equipe 2",12,IF(Atletas!V160="Duilian de Armas CD - Equipe 1",13,IF(Atletas!V160="Duilian de Armas CD - Equipe 2",14,IF(Atletas!V160="Duilian de Tuishou - Equipe 1",15,IF(Atletas!V160="Duilian de Tuishou - Equipe 2",16,IF(Atletas!V160="Grupo Externo CDEF - Equipe 1",17,IF(Atletas!V160="Grupo Externo CDEF - Equipe 2",18,IF(Atletas!V160="Grupo Interno CDEF - Equipe 1",19,IF(Atletas!V160="Grupo Interno CDEF - Equipe 2",20,IF(Atletas!V160="Duilian de Mãos EF - Equipe 1",21,IF(Atletas!V160="Duilian de Mãos EF - Equipe 2",22,IF(Atletas!V160="Duilian de Armas EF - Equipe 1",23,IF(Atletas!V160="Duilian de Armas EF - Equipe 2",24,IF(Atletas!V160="Duilian de Tuishou - Equipe 1",25,IF(Atletas!V160="Duilian de Tuishou - Equipe 2",26,"")))))))))))))))))))))))))))</f>
        <v/>
      </c>
    </row>
    <row r="165" spans="2:84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 t="str">
        <f t="array" ref="V165">IFERROR(INDEX(BX$7:BX$336,SMALL(IF(BX$7:BX$336&lt;&gt;"",ROW(BX$7:BX$336)-ROW(BX$7)+1),ROWS(BX$7:BX164))),"")</f>
        <v/>
      </c>
      <c r="W165" s="4" t="str">
        <f t="array" ref="W165">IFERROR(INDEX(BY$7:BY$336,SMALL(IF(BY$7:BY$336&lt;&gt;"",ROW(BY$7:BY$336)-ROW(BY$7)+1),ROWS(BY$7:BY164))),"")</f>
        <v/>
      </c>
      <c r="X165" s="4" t="str">
        <f t="array" ref="X165">IFERROR(INDEX(BZ$7:BZ$336,SMALL(IF(BZ$7:BZ$336&lt;&gt;"",ROW(BZ$7:BZ$336)-ROW(BZ$7)+1),ROWS(BZ$7:BZ164))),"")</f>
        <v/>
      </c>
      <c r="Y165" s="4" t="str">
        <f t="array" ref="Y165">IFERROR(INDEX(CA$7:CA$336,SMALL(IF(CA$7:CA$336&lt;&gt;"",ROW(CA$7:CA$336)-ROW(CA$7)+1),ROWS(CA$7:CA164))),"")</f>
        <v/>
      </c>
      <c r="Z165" s="4" t="str">
        <f t="array" ref="Z165">IFERROR(INDEX(CB$7:CB$378,SMALL(IF(CB$7:CB$378&lt;&gt;"",ROW(CB$7:CB$378)-ROW(CB$7)+1),ROWS(CB$7:CB164))),"")</f>
        <v/>
      </c>
      <c r="AA165" s="4" t="str">
        <f t="array" ref="AA165">IFERROR(INDEX(CC$7:CC$378,SMALL(IF(CC$7:CC$378&lt;&gt;"",ROW(CC$7:CC$378)-ROW(CC$7)+1),ROWS(CC$7:CC164))),"")</f>
        <v/>
      </c>
      <c r="AB165" s="4" t="str">
        <f t="array" ref="AB165">IFERROR(INDEX(CD$7:CD$378,SMALL(IF(CD$7:CD$378&lt;&gt;"",ROW(CD$7:CD$378)-ROW(CD$7)+1),ROWS(CD$7:CD164))),"")</f>
        <v/>
      </c>
      <c r="AC165" s="4" t="str">
        <f t="array" ref="AC165">IFERROR(INDEX(CE$7:CE$378,SMALL(IF(CE$7:CE$378&lt;&gt;"",ROW(CE$7:CE$378)-ROW(CE$7)+1),ROWS(CE$7:CE164))),"")</f>
        <v/>
      </c>
      <c r="AD165" s="4"/>
      <c r="AE165" s="4"/>
      <c r="AF165" s="4"/>
      <c r="AG165" s="4"/>
      <c r="AH165" s="4"/>
      <c r="AI165" s="4"/>
      <c r="AJ165" s="46" t="str">
        <f>IF(Atletas!D161="","",IF(Atletas!B161="Feminino",100,IF(Atletas!B161="Masculino",200,""))+(IF(Atletas!D161="Infantil 39kg",1,IF(Atletas!D161="Infantil 42kg",2,IF(Atletas!D161="Infantil 45kg",3,IF(Atletas!D161="Infantil 48kg",4,IF(Atletas!D161="Infantil 52kg",5,IF(Atletas!D161="Infantil 56kg",6,IF(Atletas!D161="Infantil 60kg",7,IF(Atletas!D161="Juvenil 48kg",8,IF(Atletas!D161="Juvenil 52kg",9,IF(Atletas!D161="Juvenil 56kg",10,IF(Atletas!D161="Juvenil 60kg",11,IF(Atletas!D161="Juvenil 65kg",12,IF(Atletas!D161="Juvenil 70kg",13,IF(Atletas!D161="Juvenil 75kg",14,IF(Atletas!D161="Juvenil 80kg",15,IF(Atletas!D161="Adulto 48kg",16,IF(Atletas!D161="Adulto 52kg",17,IF(Atletas!D161="Adulto 56kg",18,IF(Atletas!D161="Adulto 60kg",19,IF(Atletas!D161="Adulto 65kg",20,IF(Atletas!D161="Adulto 70kg",21,IF(Atletas!D161="Adulto 75kg",22,IF(Atletas!D161="Adulto 80kg",23,IF(Atletas!D161="Adulto 85kg",24,IF(Atletas!D161="Adulto 90kg",25,IF(Atletas!D161="Adulto +90kg",26,""))))))))))))))))))))))))))))</f>
        <v/>
      </c>
      <c r="AO165" s="10" t="str">
        <f>IF(Atletas!E161="","",IF(Atletas!B161="Feminino",100,IF(Atletas!B161="Masculino",200,""))+(IF(Atletas!E161="Juvenil 44kg",1,IF(Atletas!E161="Juvenil 48kg",2,IF(Atletas!E161="Juvenil 52kg",3,IF(Atletas!E161="Juvenil 56kg",4,IF(Atletas!E161="Juvenil 60kg",5,IF(Atletas!E161="Juvenil 65kg",6,IF(Atletas!E161="Juvenil 70kg",7,IF(Atletas!E161="Juvenil 75kg",8,IF(Atletas!E161="Juvenil 82kg",9,IF(Atletas!E161="Juvenil 90kg",10,IF(Atletas!E161="Juvenil 100kg",11,IF(Atletas!E161="Adulto 48kg",12,IF(Atletas!E161="Adulto 52kg",13,IF(Atletas!E161="Adulto 56kg",14,IF(Atletas!E161="Adulto 60kg",15,IF(Atletas!E161="Adulto 65kg",16,IF(Atletas!E161="Adulto 70kg",17,IF(Atletas!E161="Adulto 75kg",18,IF(Atletas!E161="Adulto 82kg",19,IF(Atletas!E161="Adulto 90kg",20,IF(Atletas!E161="Adulto 100kg",21,IF(Atletas!E161="Adulto +100kg",22,""))))))))))))))))))))))))</f>
        <v/>
      </c>
      <c r="AT165" s="10" t="str">
        <f>IF(Atletas!F161="","",IF(Atletas!B161="Feminino",100,IF(Atletas!B161="Masculino",200,""))+(IF(Atletas!F161="Adulto 48kg",1,IF(Atletas!F161="Adulto 56kg",2,IF(Atletas!F161="Adulto 65kg",3,IF(Atletas!F161="Adulto 75kg",4,IF(Atletas!F161="Adulto +75kg",5,IF(Atletas!F161="Adulto 52kg",6,IF(Atletas!F161="Adulto 60kg",7,IF(Atletas!F161="Adulto 70kg",8,IF(Atletas!F161="Adulto 80kg",9,IF(Atletas!F161="Adulto 90kg",10,IF(Atletas!F161="Adulto +90kg",11,"")))))))))))))</f>
        <v/>
      </c>
      <c r="AY165" s="46" t="str">
        <f>IF(Atletas!G161="","",IF(Atletas!B161="Feminino",100,IF(Atletas!B161="Masculino",200,""))+(IF(Atletas!G161="Changquan Mirim",1,IF(Atletas!G161="Nanquan Mirim",2,IF(Atletas!G161="Taijiquan Mirim",3,IF(Atletas!G161="Changquan Grupo C",4,IF(Atletas!G161="Nanquan Grupo C",5,IF(Atletas!G161="Taijiquan Grupo C",6,IF(Atletas!G161="Changquan Grupo B",7,IF(Atletas!G161="Nanquan Grupo B",8,IF(Atletas!G161="Taijiquan Grupo B",9,IF(Atletas!G161="Changquan Grupo A",10,IF(Atletas!G161="Nanquan Grupo A",11,IF(Atletas!G161="Taijiquan Grupo A",12,IF(Atletas!G161="Changquan Opcional",13,IF(Atletas!G161="Nanquan Opcional",14,IF(Atletas!G161="Taijiquan Opcional",15,IF(Atletas!G161="Changquan Adulto",16,IF(Atletas!G161="Nanquan Adulto",17,IF(Atletas!G161="Taijiquan Adulto",18,""))))))))))))))))))))</f>
        <v/>
      </c>
      <c r="AZ165" s="46" t="str">
        <f>IF(Atletas!H161="","",IF(Atletas!B161="Feminino",100,IF(Atletas!B161="Masculino",200,""))+(IF(Atletas!H161="Daoshu Mirim",19,IF(Atletas!H161="Jianshu Mirim",20,IF(Atletas!H161="Nandao Mirim",21,IF(Atletas!H161="Taijijian Mirim",22,IF(Atletas!H161="Daoshu Grupo C",23,IF(Atletas!H161="Jianshu Grupo C",24,IF(Atletas!H161="Nandao Grupo C",25,IF(Atletas!H161="Taijijian Grupo C",26,IF(Atletas!H161="Daoshu Grupo B",27,IF(Atletas!H161="Jianshu Grupo B",28,IF(Atletas!H161="Nandao Grupo B",29,IF(Atletas!H161="Taijijian Grupo B",30,IF(Atletas!H161="Daoshu Grupo A",31,IF(Atletas!H161="Jianshu Grupo A",32,IF(Atletas!H161="Nandao Grupo A",33,IF(Atletas!H161="Taijijian Grupo A",34,IF(Atletas!H161="Daoshu Opcional",35,IF(Atletas!H161="Jianshu Opcional",36,IF(Atletas!H161="Nandao Opcional",37,IF(Atletas!H161="Taijijian Opcional",38,IF(Atletas!H161="Daoshu Adulto",39,IF(Atletas!H161="Jianshu Adulto",40,IF(Atletas!H161="Nandao Adulto",41,IF(Atletas!H161="Taijijian Adulto",42,""))))))))))))))))))))))))))</f>
        <v/>
      </c>
      <c r="BA165" s="46" t="str">
        <f>IF(Atletas!I161="","",IF(Atletas!B161="Feminino",100,IF(Atletas!B161="Masculino",200,""))+(IF(Atletas!I161="Gunshu Mirim",43,IF(Atletas!I161="Qiangshu Mirim",44,IF(Atletas!I161="Nangun Mirim",45,IF(Atletas!I161="Gunshu Grupo C",46,IF(Atletas!I161="Qiangshu Grupo C",47,IF(Atletas!I161="Nangun Grupo C",48,IF(Atletas!I161="Gunshu Grupo B",49,IF(Atletas!I161="Qiangshu Grupo B",50,IF(Atletas!I161="Nangun Grupo B",51,IF(Atletas!I161="Gunshu Grupo A",52,IF(Atletas!I161="Qiangshu Grupo A",53,IF(Atletas!I161="Nangun Grupo A",54,IF(Atletas!I161="Gunshu Opcional",55,IF(Atletas!I161="Qiangshu Opcional",56,IF(Atletas!I161="Nangun Opcional",57,IF(Atletas!I161="Gunshu Adulto",58,IF(Atletas!I161="Qiangshu Adulto",59,IF(Atletas!I161="Nangun Adulto",60,""))))))))))))))))))))</f>
        <v/>
      </c>
      <c r="BF165" s="52" t="str">
        <f>IF(Atletas!J161="","",IF(Atletas!B161="Feminino",100,IF(Atletas!B161="Masculino",200,""))+(IF(Atletas!J161="Equipe 1 Grupo B",1,IF(Atletas!J161="Equipe 2 Grupo B",2,IF(Atletas!J161="Equipe 1 Grupo A",3,IF(Atletas!J161="Equipe 2 Grupo A",4,IF(Atletas!J161="Equipe 1 Adulto",5,IF(Atletas!J161="Equipe 2 Adulto",6,""))))))))</f>
        <v/>
      </c>
      <c r="BK165" s="52" t="str">
        <f>IF(Atletas!K161="","",IF(Atletas!W161&lt;&gt;"",10000,0)+(IF(Atletas!B161="Feminino",1000,IF(Atletas!B161="Masculino",2000,""))+IF(Atletas!K161="Choylayfut A",1,IF(Atletas!K161="Hunggar A",2,IF(Atletas!K161="Wuzuquan A",3,IF(Atletas!K161="Wingchun A",4,IF(Atletas!K161="Outra Mão de Sul A",5,IF(Atletas!K161="Choylayfut B",6,IF(Atletas!K161="Hunggar B",7,IF(Atletas!K161="Wuzuquan B",8,IF(Atletas!K161="Wingchun B",9,IF(Atletas!K161="Outra Mão de Sul B",10,IF(Atletas!K161="Choylayfut C",11,IF(Atletas!K161="Hunggar C",12,IF(Atletas!K161="Wuzuquan C",13,IF(Atletas!K161="Wingchun C",14,IF(Atletas!K161="Outra Mão de Sul C",15,IF(Atletas!K161="Choylayfut D",16,IF(Atletas!K161="Hunggar D",17,IF(Atletas!K161="Wuzuquan D",18,IF(Atletas!K161="Wingchun D",19,IF(Atletas!K161="Outra Mão de Sul D",20,IF(Atletas!K161="Choylayfut E",21,IF(Atletas!K161="Hunggar E",22,IF(Atletas!K161="Wuzuquan E",23,IF(Atletas!K161="Wingchun E",24,IF(Atletas!K161="Outra Mão de Sul E",25,IF(Atletas!K161="Choylayfut F",26,IF(Atletas!K161="Hunggar F",27,IF(Atletas!K161="Wuzuquan F",28,IF(Atletas!K161="Wingchun F",29,IF(Atletas!K161="Outra Mão de Sul F",30,""))))))))))))))))))))))))))))))))</f>
        <v/>
      </c>
      <c r="BL165" s="52" t="str">
        <f>IF(Atletas!L161="","",IF(Atletas!W161&lt;&gt;"",10000,0)+(IF(Atletas!B161="Feminino",1000,IF(Atletas!B161="Masculino",2000,""))+(IF(Atletas!L161="Chaquan A",101,IF(Atletas!L161="Emeiquan A",102,IF(Atletas!L161="Fanziquan A",103,IF(Atletas!L161="Huaquan A",104,IF(Atletas!L161="Hongquan A",105,IF(Atletas!L161="Paochui A",106,IF(Atletas!L161="Piguaquan A",107,IF(Atletas!L161="Shaolinquan A",108,IF(Atletas!L161="Tanglangquan A",109,IF(Atletas!L161="Yinzhaophai A",110,IF(Atletas!L161="Tongbeiquan A",111,IF(Atletas!L161="Wudangquan A",112,IF(Atletas!L161="Outros Estilos A",113,IF(Atletas!L161="Chaquan B",114,IF(Atletas!L161="Emeiquan B",115,IF(Atletas!L161="Fanziquan B",116,IF(Atletas!L161="Huaquan B",117,IF(Atletas!L161="Hongquan B",118,IF(Atletas!L161="Paochui B",119,IF(Atletas!L161="Piguaquan B",120,IF(Atletas!L161="Shaolinquan B",121,IF(Atletas!L161="Tanglangquan B",122,IF(Atletas!L161="Yinzhaophai B",123,IF(Atletas!L161="Tongbeiquan B",124,IF(Atletas!L161="Wudangquan B",125,IF(Atletas!L161="Outros Estilos B",126,IF(Atletas!L161="Chaquan C",127,IF(Atletas!L161="Emeiquan C",128,IF(Atletas!L161="Fanziquan C",129,IF(Atletas!L161="Huaquan C",130,IF(Atletas!L161="Hongquan C",131,IF(Atletas!L161="Paochui C",132,IF(Atletas!L161="Piguaquan C",133,IF(Atletas!L161="Shaolinquan C",134,IF(Atletas!L161="Tanglangquan C",135,IF(Atletas!L161="Yinzhaophai C",136,IF(Atletas!L161="Tongbeiquan C",137,IF(Atletas!L161="Wudangquan C",138,IF(Atletas!L161="Outros Estilos C",139,0))))))))))))))))))))))))))))))))))))))))))</f>
        <v/>
      </c>
      <c r="BM165" s="52" t="str">
        <f>IF(Atletas!L161="","",IF(Atletas!W161&lt;&gt;"",10000,0)+(IF(Atletas!B161="Feminino",1000,IF(Atletas!B161="Masculino",2000,""))+(IF(Atletas!L161="Chaquan D",140,IF(Atletas!L161="Emeiquan D",141,IF(Atletas!L161="Fanziquan D",142,IF(Atletas!L161="Huaquan D",143,IF(Atletas!L161="Hongquan D",144,IF(Atletas!L161="Paochui D",145,IF(Atletas!L161="Piguaquan D",146,IF(Atletas!L161="Shaolinquan D",147,IF(Atletas!L161="Tanglangquan D",148,IF(Atletas!L161="Yinzhaophai D",149,IF(Atletas!L161="Tongbeiquan D",150,IF(Atletas!L161="Wudangquan D",151,IF(Atletas!L161="Outros Estilos D",152,IF(Atletas!L161="Chaquan E",153,IF(Atletas!L161="Emeiquan E",154,IF(Atletas!L161="Fanziquan E",155,IF(Atletas!L161="Huaquan E",156,IF(Atletas!L161="Hongquan E",157,IF(Atletas!L161="Paochui E",158,IF(Atletas!L161="Piguaquan E",159,IF(Atletas!L161="Shaolinquan E",160,IF(Atletas!L161="Tanglangquan E",161,IF(Atletas!L161="Yinzhaophai E",162,IF(Atletas!L161="Tongbeiquan E",163,IF(Atletas!L161="Wudangquan E",164,IF(Atletas!L161="Outros Estilos E",165,IF(Atletas!L161="Chaquan F",166,IF(Atletas!L161="Emeiquan F",167,IF(Atletas!L161="Fanziquan F",168,IF(Atletas!L161="Huaquan F",169,IF(Atletas!L161="Hongquan F",170,IF(Atletas!L161="Paochui F",171,IF(Atletas!L161="Piguaquan F",172,IF(Atletas!L161="Shaolinquan F",173,IF(Atletas!L161="Tanglangquan F",174,IF(Atletas!L161="Yinzhaophai F",175,IF(Atletas!L161="Tongbeiquan F",176,IF(Atletas!L161="Wudangquan F",177,IF(Atletas!L161="Outros Estilos F",178,0))))))))))))))))))))))))))))))))))))))))))</f>
        <v/>
      </c>
      <c r="BN165" s="52" t="str">
        <f>IF(Atletas!M161="","",IF(Atletas!W161&lt;&gt;"",10000,0)+(IF(Atletas!B161="Feminino",1000,IF(Atletas!B161="Masculino",2000,""))+(IF(Atletas!M161="Ditangquan A",201,IF(Atletas!M161="Houquan A",202,IF(Atletas!M161="Zuiquan A",203,IF(Atletas!M161="Ditangquan B",204,IF(Atletas!M161="Houquan B",205,IF(Atletas!M161="Zuiquan B",206,IF(Atletas!M161="Ditangquan C",207,IF(Atletas!M161="Houquan C",208,IF(Atletas!M161="Zuiquan C",209,IF(Atletas!M161="Ditangquan D",210,IF(Atletas!M161="Houquan D",211,IF(Atletas!M161="Zuiquan D",212,IF(Atletas!M161="Ditangquan E",213,IF(Atletas!M161="Houquan E",214,IF(Atletas!M161="Zuiquan E",215,IF(Atletas!M161="Ditangquan F",216,IF(Atletas!M161="Houquan F",217,IF(Atletas!M161="Zuiquan F",218,"")))))))))))))))))))))</f>
        <v/>
      </c>
      <c r="BO165" s="52" t="str">
        <f>IF(Atletas!N161="","",IF(Atletas!W161&lt;&gt;"",10000,0)+IF(Atletas!B161="Feminino",1000,IF(Atletas!B161="Masculino",2000,""))+IF(Atletas!N161="Yang A",301,IF(Atletas!N161="Chen A",30,IF(Atletas!N161="Sun A",303,IF(Atletas!N161="Wu A",304,IF(Atletas!N161="Wu-Hao A",305,IF(Atletas!N161="Outro Taijiquan A",306,IF(Atletas!N161="Yang B",307,IF(Atletas!N161="Chen B",308,IF(Atletas!N161="Sun B",309,IF(Atletas!N161="Wu B",310,IF(Atletas!N161="Wu-Hao B",311,IF(Atletas!N161="Outro Taijiquan B",312,IF(Atletas!N161="Yang C",313,IF(Atletas!N161="Chen C",314,IF(Atletas!N161="Sun C",315,IF(Atletas!N161="Wu C",316,IF(Atletas!N161="Wu-Hao C",317,IF(Atletas!N161="Outro Taijiquan C",318,IF(Atletas!N161="Yang D",319,IF(Atletas!N161="Chen D",320,IF(Atletas!N161="Sun D",321,IF(Atletas!N161="Wu D",322,IF(Atletas!N161="Wu-Hao D",323,IF(Atletas!N161="Outro Taijiquan D",324,IF(Atletas!N161="Yang E",325,IF(Atletas!N161="Chen E",326,IF(Atletas!N161="Sun E",327,IF(Atletas!N161="Wu E",328,IF(Atletas!N161="Wu-Hao E",329,IF(Atletas!N161="Outro Taijiquan E",330,IF(Atletas!N161="Yang F",331,IF(Atletas!N161="Chen F",332,IF(Atletas!N161="Sun F",333,IF(Atletas!N161="Wu F",334,IF(Atletas!N161="Wu-Hao F",335,IF(Atletas!N161="Outro Taijiquan F",336,"")))))))))))))))))))))))))))))))))))))</f>
        <v/>
      </c>
      <c r="BP165" s="52" t="str">
        <f>IF(Atletas!O161="","",IF(Atletas!W161&lt;&gt;"",10000,0)+IF(Atletas!B161="Feminino",1000,IF(Atletas!B161="Masculino",2000,""))+IF(OR(Atletas!O161="Yang 26 A",Atletas!O161="Yang 40 A"),401,IF(OR(Atletas!O161="Chen 25 A",Atletas!O161="Chen 36 A",Atletas!O161="Chen 56 A"),402,IF(Atletas!O161="Sun 73 A",403,IF(Atletas!O161="Wu 45 A",404,IF(Atletas!O161="Wu-Hao 46 A",405,IF(OR(Atletas!O161="Taijiquan 16 A",Atletas!O161="Taijiquan 24 A",Atletas!O161="Taijiquan 32 A",Atletas!O161="Taijiquan 42 A"),406,IF(OR(Atletas!O161="Yang 26 B",Atletas!O161="Yang 40 B"),407,IF(OR(Atletas!O161="Chen 25 B",Atletas!O161="Chen 36 B",Atletas!O161="Chen 56 B"),408,IF(Atletas!O161="Sun 73 B",409,IF(Atletas!O161="Wu 45 B",410,IF(Atletas!O161="Wu-Hao 46 B",411,IF(OR(Atletas!O161="Taijiquan 16 B",Atletas!O161="Taijiquan 24 B",Atletas!O161="Taijiquan 32 B",Atletas!O161="Taijiquan 42 B"),412,IF(OR(Atletas!O161="Yang 26 C",Atletas!O161="Yang 40 C"),413,IF(OR(Atletas!O161="Chen 25 C",Atletas!O161="Chen 36 C",Atletas!O161="Chen 56 C"),414,IF(Atletas!O161="Sun 73 C",415,IF(Atletas!O161="Wu 45 C",416,IF(Atletas!O161="Wu-Hao 46 C",417,IF(OR(Atletas!O161="Taijiquan 16 C",Atletas!O161="Taijiquan 24 C",Atletas!O161="Taijiquan 32 C",Atletas!O161="Taijiquan 42 C"),418,0)))))))))))))))))))</f>
        <v/>
      </c>
      <c r="BQ165" s="52" t="str">
        <f>IF(Atletas!O161="","",IF(Atletas!W161&lt;&gt;"",10000,0)+IF(Atletas!B161="Feminino",1000,IF(Atletas!B161="Masculino",2000,""))+IF(OR(Atletas!O161="Yang 26 D",Atletas!O161="Yang 40 D"),419,IF(OR(Atletas!O161="Chen 25 D",Atletas!O161="Chen 36 D",Atletas!O161="Chen 56 D"),420,IF(Atletas!O161="Sun 73 D",421,IF(Atletas!O161="Wu 45 D",422,IF(Atletas!O161="Wu-Hao 46 D",423,IF(OR(Atletas!O161="Taijiquan 16 D",Atletas!O161="Taijiquan 24 D",Atletas!O161="Taijiquan 32 D",Atletas!O161="Taijiquan 42 D"),424,IF(OR(Atletas!O161="Yang 26 E",Atletas!O161="Yang 40 E"),425,IF(OR(Atletas!O161="Chen 25 E",Atletas!O161="Chen 36 E",Atletas!O161="Chen 56 E"),426,IF(Atletas!O161="Sun 73 E",427,IF(Atletas!O161="Wu 45 E",428,IF(Atletas!O161="Wu-Hao 46 E",429,IF(OR(Atletas!O161="Taijiquan 16 E",Atletas!O161="Taijiquan 24 E",Atletas!O161="Taijiquan 32 E",Atletas!O161="Taijiquan 42 E"),430,IF(OR(Atletas!O161="Yang 26 F",Atletas!O161="Yang 40 F"),431,IF(OR(Atletas!O161="Chen 25 F",Atletas!O161="Chen 36 F",Atletas!O161="Chen 56 F"),432,IF(Atletas!O161="Sun 73 F",433,IF(Atletas!O161="Wu 45 F",434,IF(Atletas!O161="Wu-Hao 46 F",435,IF(OR(Atletas!O161="Taijiquan 16 F",Atletas!O161="Taijiquan 24 F",Atletas!O161="Taijiquan 32 F",Atletas!O161="Taijiquan 42 F"),436,0)))))))))))))))))))</f>
        <v/>
      </c>
      <c r="BR165" s="52" t="str">
        <f>IF(Atletas!P161="","",IF(Atletas!W161&lt;&gt;"",10000,0)+IF(Atletas!B161="Feminino",1000,IF(Atletas!B161="Masculino",2000,""))+IF(Atletas!P161="Xingyiquan A",501,IF(Atletas!P161="Baguazhang A",502,IF(Atletas!P161="Outro Estilo Interno A",503,IF(Atletas!P161="Xingyiquan B",504,IF(Atletas!P161="Baguazhang B",505,IF(Atletas!P161="Outro Estilo Interno B",506,IF(Atletas!P161="Xingyiquan C",507,IF(Atletas!P161="Baguazhang C",508,IF(Atletas!P161="Outro Estilo Interno C",509,IF(Atletas!P161="Xingyiquan D",510,IF(Atletas!P161="Baguazhang D",511,IF(Atletas!P161="Outro Estilo Interno D",512,IF(Atletas!P161="Xingyiquan E",513,IF(Atletas!P161="Baguazhang E",514,IF(Atletas!P161="Outro Estilo Interno E",515,IF(Atletas!P161="Xingyiquan F",516,IF(Atletas!P161="Baguazhang F",517,IF(Atletas!P161="Outro Estilo Interno F",518, "")))))))))))))))))))</f>
        <v/>
      </c>
      <c r="BS165" s="52" t="str">
        <f>IF(Atletas!Q161="","",IF(Atletas!W161&lt;&gt;"",10000,0)+IF(Atletas!B161="Feminino",1000,IF(Atletas!B161="Masculino",2000,""))+IF(Atletas!Q161="Dao A",601,IF(Atletas!Q161="Jian A",602,IF(Atletas!Q161="Bishou A",603,IF(Atletas!Q161="Shan A",604,IF(Atletas!Q161="Outra Arma Curta A",605,IF(Atletas!Q161="Dao B",606,IF(Atletas!Q161="Jian B",607,IF(Atletas!Q161="Bishou B",608,IF(Atletas!Q161="Shan B",609,IF(Atletas!Q161="Outra Arma Curta B",610,IF(Atletas!Q161="Dao C",611,IF(Atletas!Q161="Jian C",612,IF(Atletas!Q161="Bishou C",613,IF(Atletas!Q161="Shan C",614,IF(Atletas!Q161="Outra Arma Curta C",615,IF(Atletas!Q161="Dao D",616,IF(Atletas!Q161="Jian D",617,IF(Atletas!Q161="Bishou D",618,IF(Atletas!Q161="Shan D",619,IF(Atletas!Q161="Outra Arma Curta D",620,IF(Atletas!Q161="Dao E",621,IF(Atletas!Q161="Jian E",622,IF(Atletas!Q161="Bishou E",623,IF(Atletas!Q161="Shan E",624,IF(Atletas!Q161="Outra Arma Curta E",625,IF(Atletas!Q161="Dao F",626,IF(Atletas!Q161="Jian F",627,IF(Atletas!Q161="Bishou F",628,IF(Atletas!Q161="Shan F",629,IF(Atletas!Q161="Outra Arma Curta F",630, "")))))))))))))))))))))))))))))))</f>
        <v/>
      </c>
      <c r="BT165" s="52" t="str">
        <f>IF(Atletas!R161="","",IF(Atletas!W161&lt;&gt;"",10000,0)+IF(Atletas!B161="Feminino",1000,IF(Atletas!B161="Masculino",2000,""))+IF(Atletas!R161="Gun A",701,IF(Atletas!R161="Qiang A",702,IF(Atletas!R161="Pudao / Guandao A",703,IF(Atletas!R161="Outra Arma Longa A",704,IF(Atletas!R161="Gun B",705,IF(Atletas!R161="Qiang B",706,IF(Atletas!R161="Pudao / Guandao B",707,IF(Atletas!R161="Outra Arma Longa B",708,IF(Atletas!R161="Gun C",709,IF(Atletas!R161="Qiang C",710,IF(Atletas!R161="Pudao / Guandao C",711,IF(Atletas!R161="Outra Arma Longa C",712,IF(Atletas!R161="Gun D",713,IF(Atletas!R161="Qiang D",714,IF(Atletas!R161="Pudao / Guandao D",715,IF(Atletas!R161="Outra Arma Longa D",716,IF(Atletas!R161="Gun E",717,IF(Atletas!R161="Qiang E",718,IF(Atletas!R161="Pudao / Guandao E",719,IF(Atletas!R161="Outra Arma Longa E",720,IF(Atletas!R161="Gun F",721,IF(Atletas!R161="Qiang F",722,IF(Atletas!R161="Pudao / Guandao F",723,IF(Atletas!R161="Outra Arma Longa F",724,"")))))))))))))))))))))))))</f>
        <v/>
      </c>
      <c r="BU165" s="52" t="str">
        <f>IF(Atletas!S161="","",IF(Atletas!W161&lt;&gt;"",10000,0)+IF(Atletas!B161="Feminino",1000,IF(Atletas!B161="Masculino",2000,""))+IF(Atletas!S161="Arma Dupla A",801,IF(Atletas!S161="Arma Maleável A",802,IF(Atletas!S161="Arma Dupla B",803,IF(Atletas!S161="Arma Maleável B",804,IF(Atletas!S161="Arma Dupla C",805,IF(Atletas!S161="Arma Maleável C",806,IF(Atletas!S161="Arma Dupla D",807,IF(Atletas!S161="Arma Maleável D",808,IF(Atletas!S161="Arma Dupla E",809,IF(Atletas!S161="Arma Maleável E",810,IF(Atletas!S161="Arma Dupla F",811,IF(Atletas!S161="Arma Maleável F",812, "")))))))))))))</f>
        <v/>
      </c>
      <c r="BV165" s="52" t="str">
        <f>IF(Atletas!T161="","",IF(Atletas!W161&lt;&gt;"",10000,0)+IF(Atletas!B161="Feminino",1000,IF(Atletas!B161="Masculino",2000,""))+IF(Atletas!T161="Taijijian Yang A",901,IF(Atletas!T161="Taijijian Chen A",902,IF(Atletas!T161="Taijijian Sun A",903,IF(Atletas!T161="Taijijian Wu A",904,IF(Atletas!T161="Taijijian Wu-Hao A",905,IF(Atletas!T161="Taijijian 32 A",906,IF(Atletas!T161="Taijijian 42 A",907,IF(Atletas!T161="Taijijian Yang B",908,IF(Atletas!T161="Taijijian Chen B",909,IF(Atletas!T161="Taijijian Sun B",910,IF(Atletas!T161="Taijijian Wu B",911,IF(Atletas!T161="Taijijian Wu-Hao B",912,IF(Atletas!T161="Taijijian 32 B",913,IF(Atletas!T161="Taijijian 42 B",914,IF(Atletas!T161="Taijijian Yang C",915,IF(Atletas!T161="Taijijian Chen C",916,IF(Atletas!T161="Taijijian Sun C",917,IF(Atletas!T161="Taijijian Wu C",918,IF(Atletas!T161="Taijijian Wu-Hao C",919,IF(Atletas!T161="Taijijian 32 C",920,IF(Atletas!T161="Taijijian 42 C",921,IF(Atletas!T161="Taijijian Yang D",922,IF(Atletas!T161="Taijijian Chen D",923,IF(Atletas!T161="Taijijian Sun D",924,IF(Atletas!T161="Taijijian Wu D",925,IF(Atletas!T161="Taijijian Wu-Hao D",926,IF(Atletas!T161="Taijijian 32 D",927,IF(Atletas!T161="Taijijian 42 D",928,IF(Atletas!T161="Taijijian Yang E",929,IF(Atletas!T161="Taijijian Chen E",930,IF(Atletas!T161="Taijijian Sun E",931,IF(Atletas!T161="Taijijian Wu E",932,IF(Atletas!T161="Taijijian Wu-Hao E",933,IF(Atletas!T161="Taijijian 32 E",934,IF(Atletas!T161="Taijijian 42 E",935,IF(Atletas!T161="Taijijian Yang F",936,IF(Atletas!T161="Taijijian Chen F",937,IF(Atletas!T161="Taijijian Sun F",938,IF(Atletas!T161="Taijijian Wu F",939,IF(Atletas!T161="Taijijian Wu-Hao F",940,IF(Atletas!T161="Taijijian 32 F",941,IF(Atletas!T161="Taijijian 42 F",942,"")))))))))))))))))))))))))))))))))))))))))))</f>
        <v/>
      </c>
      <c r="BW165" s="52" t="str">
        <f>IF(Atletas!U161="","",IF(Atletas!W161&lt;&gt;"",10000,0)+IF(Atletas!B161="Feminino",1000,IF(Atletas!B161="Masculino",2000,""))+IF(Atletas!T161="Taijijian 42 F",942,IF(Atletas!U161="Taijidao A",943,IF(Atletas!U161="Taijishan A",944,IF(Atletas!U161="Taijiqiang A",945,IF(Atletas!U161="Taijidao B",946,IF(Atletas!U161="Taijishan B",947,IF(Atletas!U161="Taijiqiang B",948,IF(Atletas!U161="Taijidao C",949,IF(Atletas!U161="Taijishan C",950,IF(Atletas!U161="Taijiqiang C",951,IF(Atletas!U161="Taijidao D",952,IF(Atletas!U161="Taijishan D",953,IF(Atletas!U161="Taijiqiang D",954,IF(Atletas!U161="Taijidao E",955,IF(Atletas!U161="Taijishan E",956,IF(Atletas!U161="Taijiqiang E",957,IF(Atletas!U161="Taijidao F",958,IF(Atletas!U161="Taijishan F",959,IF(Atletas!U161="Taijiqiang F",960))))))))))))))))))))</f>
        <v/>
      </c>
      <c r="BX165" s="72" t="str">
        <f>IF(BY165&lt;&gt;"","TJQ Trad. Sun F","")</f>
        <v/>
      </c>
      <c r="BY165" s="72" t="str">
        <f>IF(COUNTIF(BK:BW,1333)&gt;0,COUNTIF(BK:BW,1333),"")</f>
        <v/>
      </c>
      <c r="BZ165" s="72" t="str">
        <f>IF(CA165&lt;&gt;"","TJQ Trad. Sun F","")</f>
        <v/>
      </c>
      <c r="CA165" s="72" t="str">
        <f>IF(COUNTIF(BK:BW,2333)&gt;0,COUNTIF(BK:BW,2333),"")</f>
        <v/>
      </c>
      <c r="CB165" s="72" t="str">
        <f>IF(CC165&lt;&gt;"","Sun F","")</f>
        <v/>
      </c>
      <c r="CC165" s="64" t="str">
        <f>IF(COUNTIF(BK:BW,11333)&gt;0,COUNTIF(BK:BW,11333),"")</f>
        <v/>
      </c>
      <c r="CD165" s="64" t="str">
        <f>IF(CE165&lt;&gt;"","Sun F","")</f>
        <v/>
      </c>
      <c r="CE165" s="64" t="str">
        <f>IF(COUNTIF(BK:BW,12333)&gt;0,COUNTIF(BK:BW,12333),"")</f>
        <v/>
      </c>
      <c r="CF165" s="52" t="str">
        <f xml:space="preserve"> IF(Atletas!V161="","",IF(Atletas!V161="Duilian de Mãos AB - Equipe 1",1,IF(Atletas!V161="Duilian de Mãos AB - Equipe 2",2,IF(Atletas!V161="Duilian de Armas AB - Equipe 1",3,IF(Atletas!V161="Duilian de Armas AB - Equipe 2",4,IF(Atletas!V161="Duilian de Tuishou - Equipe 1",5,IF(Atletas!V161="Duilian de Tuishou - Equipe 2",6,IF(Atletas!V161="Grupo Externo AB - Equipe 1",7,IF(Atletas!V161="Grupo Externo AB - Equipe 2",8,IF(Atletas!V161="Grupo Interno AB - Equipe 1",9,IF(Atletas!V161="Grupo Interno AB - Equipe 2",10,IF(Atletas!V161="Duilian de Mãos CD - Equipe 1",11,IF(Atletas!V161="Duilian de Mãos CD - Equipe 2",12,IF(Atletas!V161="Duilian de Armas CD - Equipe 1",13,IF(Atletas!V161="Duilian de Armas CD - Equipe 2",14,IF(Atletas!V161="Duilian de Tuishou - Equipe 1",15,IF(Atletas!V161="Duilian de Tuishou - Equipe 2",16,IF(Atletas!V161="Grupo Externo CDEF - Equipe 1",17,IF(Atletas!V161="Grupo Externo CDEF - Equipe 2",18,IF(Atletas!V161="Grupo Interno CDEF - Equipe 1",19,IF(Atletas!V161="Grupo Interno CDEF - Equipe 2",20,IF(Atletas!V161="Duilian de Mãos EF - Equipe 1",21,IF(Atletas!V161="Duilian de Mãos EF - Equipe 2",22,IF(Atletas!V161="Duilian de Armas EF - Equipe 1",23,IF(Atletas!V161="Duilian de Armas EF - Equipe 2",24,IF(Atletas!V161="Duilian de Tuishou - Equipe 1",25,IF(Atletas!V161="Duilian de Tuishou - Equipe 2",26,"")))))))))))))))))))))))))))</f>
        <v/>
      </c>
    </row>
    <row r="166" spans="2:84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 t="str">
        <f t="array" ref="V166">IFERROR(INDEX(BX$7:BX$336,SMALL(IF(BX$7:BX$336&lt;&gt;"",ROW(BX$7:BX$336)-ROW(BX$7)+1),ROWS(BX$7:BX165))),"")</f>
        <v/>
      </c>
      <c r="W166" s="4" t="str">
        <f t="array" ref="W166">IFERROR(INDEX(BY$7:BY$336,SMALL(IF(BY$7:BY$336&lt;&gt;"",ROW(BY$7:BY$336)-ROW(BY$7)+1),ROWS(BY$7:BY165))),"")</f>
        <v/>
      </c>
      <c r="X166" s="4" t="str">
        <f t="array" ref="X166">IFERROR(INDEX(BZ$7:BZ$336,SMALL(IF(BZ$7:BZ$336&lt;&gt;"",ROW(BZ$7:BZ$336)-ROW(BZ$7)+1),ROWS(BZ$7:BZ165))),"")</f>
        <v/>
      </c>
      <c r="Y166" s="4" t="str">
        <f t="array" ref="Y166">IFERROR(INDEX(CA$7:CA$336,SMALL(IF(CA$7:CA$336&lt;&gt;"",ROW(CA$7:CA$336)-ROW(CA$7)+1),ROWS(CA$7:CA165))),"")</f>
        <v/>
      </c>
      <c r="Z166" s="4" t="str">
        <f t="array" ref="Z166">IFERROR(INDEX(CB$7:CB$378,SMALL(IF(CB$7:CB$378&lt;&gt;"",ROW(CB$7:CB$378)-ROW(CB$7)+1),ROWS(CB$7:CB165))),"")</f>
        <v/>
      </c>
      <c r="AA166" s="4" t="str">
        <f t="array" ref="AA166">IFERROR(INDEX(CC$7:CC$378,SMALL(IF(CC$7:CC$378&lt;&gt;"",ROW(CC$7:CC$378)-ROW(CC$7)+1),ROWS(CC$7:CC165))),"")</f>
        <v/>
      </c>
      <c r="AB166" s="4" t="str">
        <f t="array" ref="AB166">IFERROR(INDEX(CD$7:CD$378,SMALL(IF(CD$7:CD$378&lt;&gt;"",ROW(CD$7:CD$378)-ROW(CD$7)+1),ROWS(CD$7:CD165))),"")</f>
        <v/>
      </c>
      <c r="AC166" s="4" t="str">
        <f t="array" ref="AC166">IFERROR(INDEX(CE$7:CE$378,SMALL(IF(CE$7:CE$378&lt;&gt;"",ROW(CE$7:CE$378)-ROW(CE$7)+1),ROWS(CE$7:CE165))),"")</f>
        <v/>
      </c>
      <c r="AD166" s="4"/>
      <c r="AE166" s="4"/>
      <c r="AF166" s="4"/>
      <c r="AG166" s="4"/>
      <c r="AH166" s="4"/>
      <c r="AI166" s="4"/>
      <c r="AJ166" s="46" t="str">
        <f>IF(Atletas!D162="","",IF(Atletas!B162="Feminino",100,IF(Atletas!B162="Masculino",200,""))+(IF(Atletas!D162="Infantil 39kg",1,IF(Atletas!D162="Infantil 42kg",2,IF(Atletas!D162="Infantil 45kg",3,IF(Atletas!D162="Infantil 48kg",4,IF(Atletas!D162="Infantil 52kg",5,IF(Atletas!D162="Infantil 56kg",6,IF(Atletas!D162="Infantil 60kg",7,IF(Atletas!D162="Juvenil 48kg",8,IF(Atletas!D162="Juvenil 52kg",9,IF(Atletas!D162="Juvenil 56kg",10,IF(Atletas!D162="Juvenil 60kg",11,IF(Atletas!D162="Juvenil 65kg",12,IF(Atletas!D162="Juvenil 70kg",13,IF(Atletas!D162="Juvenil 75kg",14,IF(Atletas!D162="Juvenil 80kg",15,IF(Atletas!D162="Adulto 48kg",16,IF(Atletas!D162="Adulto 52kg",17,IF(Atletas!D162="Adulto 56kg",18,IF(Atletas!D162="Adulto 60kg",19,IF(Atletas!D162="Adulto 65kg",20,IF(Atletas!D162="Adulto 70kg",21,IF(Atletas!D162="Adulto 75kg",22,IF(Atletas!D162="Adulto 80kg",23,IF(Atletas!D162="Adulto 85kg",24,IF(Atletas!D162="Adulto 90kg",25,IF(Atletas!D162="Adulto +90kg",26,""))))))))))))))))))))))))))))</f>
        <v/>
      </c>
      <c r="AO166" s="10" t="str">
        <f>IF(Atletas!E162="","",IF(Atletas!B162="Feminino",100,IF(Atletas!B162="Masculino",200,""))+(IF(Atletas!E162="Juvenil 44kg",1,IF(Atletas!E162="Juvenil 48kg",2,IF(Atletas!E162="Juvenil 52kg",3,IF(Atletas!E162="Juvenil 56kg",4,IF(Atletas!E162="Juvenil 60kg",5,IF(Atletas!E162="Juvenil 65kg",6,IF(Atletas!E162="Juvenil 70kg",7,IF(Atletas!E162="Juvenil 75kg",8,IF(Atletas!E162="Juvenil 82kg",9,IF(Atletas!E162="Juvenil 90kg",10,IF(Atletas!E162="Juvenil 100kg",11,IF(Atletas!E162="Adulto 48kg",12,IF(Atletas!E162="Adulto 52kg",13,IF(Atletas!E162="Adulto 56kg",14,IF(Atletas!E162="Adulto 60kg",15,IF(Atletas!E162="Adulto 65kg",16,IF(Atletas!E162="Adulto 70kg",17,IF(Atletas!E162="Adulto 75kg",18,IF(Atletas!E162="Adulto 82kg",19,IF(Atletas!E162="Adulto 90kg",20,IF(Atletas!E162="Adulto 100kg",21,IF(Atletas!E162="Adulto +100kg",22,""))))))))))))))))))))))))</f>
        <v/>
      </c>
      <c r="AT166" s="10" t="str">
        <f>IF(Atletas!F162="","",IF(Atletas!B162="Feminino",100,IF(Atletas!B162="Masculino",200,""))+(IF(Atletas!F162="Adulto 48kg",1,IF(Atletas!F162="Adulto 56kg",2,IF(Atletas!F162="Adulto 65kg",3,IF(Atletas!F162="Adulto 75kg",4,IF(Atletas!F162="Adulto +75kg",5,IF(Atletas!F162="Adulto 52kg",6,IF(Atletas!F162="Adulto 60kg",7,IF(Atletas!F162="Adulto 70kg",8,IF(Atletas!F162="Adulto 80kg",9,IF(Atletas!F162="Adulto 90kg",10,IF(Atletas!F162="Adulto +90kg",11,"")))))))))))))</f>
        <v/>
      </c>
      <c r="AY166" s="46" t="str">
        <f>IF(Atletas!G162="","",IF(Atletas!B162="Feminino",100,IF(Atletas!B162="Masculino",200,""))+(IF(Atletas!G162="Changquan Mirim",1,IF(Atletas!G162="Nanquan Mirim",2,IF(Atletas!G162="Taijiquan Mirim",3,IF(Atletas!G162="Changquan Grupo C",4,IF(Atletas!G162="Nanquan Grupo C",5,IF(Atletas!G162="Taijiquan Grupo C",6,IF(Atletas!G162="Changquan Grupo B",7,IF(Atletas!G162="Nanquan Grupo B",8,IF(Atletas!G162="Taijiquan Grupo B",9,IF(Atletas!G162="Changquan Grupo A",10,IF(Atletas!G162="Nanquan Grupo A",11,IF(Atletas!G162="Taijiquan Grupo A",12,IF(Atletas!G162="Changquan Opcional",13,IF(Atletas!G162="Nanquan Opcional",14,IF(Atletas!G162="Taijiquan Opcional",15,IF(Atletas!G162="Changquan Adulto",16,IF(Atletas!G162="Nanquan Adulto",17,IF(Atletas!G162="Taijiquan Adulto",18,""))))))))))))))))))))</f>
        <v/>
      </c>
      <c r="AZ166" s="46" t="str">
        <f>IF(Atletas!H162="","",IF(Atletas!B162="Feminino",100,IF(Atletas!B162="Masculino",200,""))+(IF(Atletas!H162="Daoshu Mirim",19,IF(Atletas!H162="Jianshu Mirim",20,IF(Atletas!H162="Nandao Mirim",21,IF(Atletas!H162="Taijijian Mirim",22,IF(Atletas!H162="Daoshu Grupo C",23,IF(Atletas!H162="Jianshu Grupo C",24,IF(Atletas!H162="Nandao Grupo C",25,IF(Atletas!H162="Taijijian Grupo C",26,IF(Atletas!H162="Daoshu Grupo B",27,IF(Atletas!H162="Jianshu Grupo B",28,IF(Atletas!H162="Nandao Grupo B",29,IF(Atletas!H162="Taijijian Grupo B",30,IF(Atletas!H162="Daoshu Grupo A",31,IF(Atletas!H162="Jianshu Grupo A",32,IF(Atletas!H162="Nandao Grupo A",33,IF(Atletas!H162="Taijijian Grupo A",34,IF(Atletas!H162="Daoshu Opcional",35,IF(Atletas!H162="Jianshu Opcional",36,IF(Atletas!H162="Nandao Opcional",37,IF(Atletas!H162="Taijijian Opcional",38,IF(Atletas!H162="Daoshu Adulto",39,IF(Atletas!H162="Jianshu Adulto",40,IF(Atletas!H162="Nandao Adulto",41,IF(Atletas!H162="Taijijian Adulto",42,""))))))))))))))))))))))))))</f>
        <v/>
      </c>
      <c r="BA166" s="46" t="str">
        <f>IF(Atletas!I162="","",IF(Atletas!B162="Feminino",100,IF(Atletas!B162="Masculino",200,""))+(IF(Atletas!I162="Gunshu Mirim",43,IF(Atletas!I162="Qiangshu Mirim",44,IF(Atletas!I162="Nangun Mirim",45,IF(Atletas!I162="Gunshu Grupo C",46,IF(Atletas!I162="Qiangshu Grupo C",47,IF(Atletas!I162="Nangun Grupo C",48,IF(Atletas!I162="Gunshu Grupo B",49,IF(Atletas!I162="Qiangshu Grupo B",50,IF(Atletas!I162="Nangun Grupo B",51,IF(Atletas!I162="Gunshu Grupo A",52,IF(Atletas!I162="Qiangshu Grupo A",53,IF(Atletas!I162="Nangun Grupo A",54,IF(Atletas!I162="Gunshu Opcional",55,IF(Atletas!I162="Qiangshu Opcional",56,IF(Atletas!I162="Nangun Opcional",57,IF(Atletas!I162="Gunshu Adulto",58,IF(Atletas!I162="Qiangshu Adulto",59,IF(Atletas!I162="Nangun Adulto",60,""))))))))))))))))))))</f>
        <v/>
      </c>
      <c r="BF166" s="52" t="str">
        <f>IF(Atletas!J162="","",IF(Atletas!B162="Feminino",100,IF(Atletas!B162="Masculino",200,""))+(IF(Atletas!J162="Equipe 1 Grupo B",1,IF(Atletas!J162="Equipe 2 Grupo B",2,IF(Atletas!J162="Equipe 1 Grupo A",3,IF(Atletas!J162="Equipe 2 Grupo A",4,IF(Atletas!J162="Equipe 1 Adulto",5,IF(Atletas!J162="Equipe 2 Adulto",6,""))))))))</f>
        <v/>
      </c>
      <c r="BK166" s="52" t="str">
        <f>IF(Atletas!K162="","",IF(Atletas!W162&lt;&gt;"",10000,0)+(IF(Atletas!B162="Feminino",1000,IF(Atletas!B162="Masculino",2000,""))+IF(Atletas!K162="Choylayfut A",1,IF(Atletas!K162="Hunggar A",2,IF(Atletas!K162="Wuzuquan A",3,IF(Atletas!K162="Wingchun A",4,IF(Atletas!K162="Outra Mão de Sul A",5,IF(Atletas!K162="Choylayfut B",6,IF(Atletas!K162="Hunggar B",7,IF(Atletas!K162="Wuzuquan B",8,IF(Atletas!K162="Wingchun B",9,IF(Atletas!K162="Outra Mão de Sul B",10,IF(Atletas!K162="Choylayfut C",11,IF(Atletas!K162="Hunggar C",12,IF(Atletas!K162="Wuzuquan C",13,IF(Atletas!K162="Wingchun C",14,IF(Atletas!K162="Outra Mão de Sul C",15,IF(Atletas!K162="Choylayfut D",16,IF(Atletas!K162="Hunggar D",17,IF(Atletas!K162="Wuzuquan D",18,IF(Atletas!K162="Wingchun D",19,IF(Atletas!K162="Outra Mão de Sul D",20,IF(Atletas!K162="Choylayfut E",21,IF(Atletas!K162="Hunggar E",22,IF(Atletas!K162="Wuzuquan E",23,IF(Atletas!K162="Wingchun E",24,IF(Atletas!K162="Outra Mão de Sul E",25,IF(Atletas!K162="Choylayfut F",26,IF(Atletas!K162="Hunggar F",27,IF(Atletas!K162="Wuzuquan F",28,IF(Atletas!K162="Wingchun F",29,IF(Atletas!K162="Outra Mão de Sul F",30,""))))))))))))))))))))))))))))))))</f>
        <v/>
      </c>
      <c r="BL166" s="52" t="str">
        <f>IF(Atletas!L162="","",IF(Atletas!W162&lt;&gt;"",10000,0)+(IF(Atletas!B162="Feminino",1000,IF(Atletas!B162="Masculino",2000,""))+(IF(Atletas!L162="Chaquan A",101,IF(Atletas!L162="Emeiquan A",102,IF(Atletas!L162="Fanziquan A",103,IF(Atletas!L162="Huaquan A",104,IF(Atletas!L162="Hongquan A",105,IF(Atletas!L162="Paochui A",106,IF(Atletas!L162="Piguaquan A",107,IF(Atletas!L162="Shaolinquan A",108,IF(Atletas!L162="Tanglangquan A",109,IF(Atletas!L162="Yinzhaophai A",110,IF(Atletas!L162="Tongbeiquan A",111,IF(Atletas!L162="Wudangquan A",112,IF(Atletas!L162="Outros Estilos A",113,IF(Atletas!L162="Chaquan B",114,IF(Atletas!L162="Emeiquan B",115,IF(Atletas!L162="Fanziquan B",116,IF(Atletas!L162="Huaquan B",117,IF(Atletas!L162="Hongquan B",118,IF(Atletas!L162="Paochui B",119,IF(Atletas!L162="Piguaquan B",120,IF(Atletas!L162="Shaolinquan B",121,IF(Atletas!L162="Tanglangquan B",122,IF(Atletas!L162="Yinzhaophai B",123,IF(Atletas!L162="Tongbeiquan B",124,IF(Atletas!L162="Wudangquan B",125,IF(Atletas!L162="Outros Estilos B",126,IF(Atletas!L162="Chaquan C",127,IF(Atletas!L162="Emeiquan C",128,IF(Atletas!L162="Fanziquan C",129,IF(Atletas!L162="Huaquan C",130,IF(Atletas!L162="Hongquan C",131,IF(Atletas!L162="Paochui C",132,IF(Atletas!L162="Piguaquan C",133,IF(Atletas!L162="Shaolinquan C",134,IF(Atletas!L162="Tanglangquan C",135,IF(Atletas!L162="Yinzhaophai C",136,IF(Atletas!L162="Tongbeiquan C",137,IF(Atletas!L162="Wudangquan C",138,IF(Atletas!L162="Outros Estilos C",139,0))))))))))))))))))))))))))))))))))))))))))</f>
        <v/>
      </c>
      <c r="BM166" s="52" t="str">
        <f>IF(Atletas!L162="","",IF(Atletas!W162&lt;&gt;"",10000,0)+(IF(Atletas!B162="Feminino",1000,IF(Atletas!B162="Masculino",2000,""))+(IF(Atletas!L162="Chaquan D",140,IF(Atletas!L162="Emeiquan D",141,IF(Atletas!L162="Fanziquan D",142,IF(Atletas!L162="Huaquan D",143,IF(Atletas!L162="Hongquan D",144,IF(Atletas!L162="Paochui D",145,IF(Atletas!L162="Piguaquan D",146,IF(Atletas!L162="Shaolinquan D",147,IF(Atletas!L162="Tanglangquan D",148,IF(Atletas!L162="Yinzhaophai D",149,IF(Atletas!L162="Tongbeiquan D",150,IF(Atletas!L162="Wudangquan D",151,IF(Atletas!L162="Outros Estilos D",152,IF(Atletas!L162="Chaquan E",153,IF(Atletas!L162="Emeiquan E",154,IF(Atletas!L162="Fanziquan E",155,IF(Atletas!L162="Huaquan E",156,IF(Atletas!L162="Hongquan E",157,IF(Atletas!L162="Paochui E",158,IF(Atletas!L162="Piguaquan E",159,IF(Atletas!L162="Shaolinquan E",160,IF(Atletas!L162="Tanglangquan E",161,IF(Atletas!L162="Yinzhaophai E",162,IF(Atletas!L162="Tongbeiquan E",163,IF(Atletas!L162="Wudangquan E",164,IF(Atletas!L162="Outros Estilos E",165,IF(Atletas!L162="Chaquan F",166,IF(Atletas!L162="Emeiquan F",167,IF(Atletas!L162="Fanziquan F",168,IF(Atletas!L162="Huaquan F",169,IF(Atletas!L162="Hongquan F",170,IF(Atletas!L162="Paochui F",171,IF(Atletas!L162="Piguaquan F",172,IF(Atletas!L162="Shaolinquan F",173,IF(Atletas!L162="Tanglangquan F",174,IF(Atletas!L162="Yinzhaophai F",175,IF(Atletas!L162="Tongbeiquan F",176,IF(Atletas!L162="Wudangquan F",177,IF(Atletas!L162="Outros Estilos F",178,0))))))))))))))))))))))))))))))))))))))))))</f>
        <v/>
      </c>
      <c r="BN166" s="52" t="str">
        <f>IF(Atletas!M162="","",IF(Atletas!W162&lt;&gt;"",10000,0)+(IF(Atletas!B162="Feminino",1000,IF(Atletas!B162="Masculino",2000,""))+(IF(Atletas!M162="Ditangquan A",201,IF(Atletas!M162="Houquan A",202,IF(Atletas!M162="Zuiquan A",203,IF(Atletas!M162="Ditangquan B",204,IF(Atletas!M162="Houquan B",205,IF(Atletas!M162="Zuiquan B",206,IF(Atletas!M162="Ditangquan C",207,IF(Atletas!M162="Houquan C",208,IF(Atletas!M162="Zuiquan C",209,IF(Atletas!M162="Ditangquan D",210,IF(Atletas!M162="Houquan D",211,IF(Atletas!M162="Zuiquan D",212,IF(Atletas!M162="Ditangquan E",213,IF(Atletas!M162="Houquan E",214,IF(Atletas!M162="Zuiquan E",215,IF(Atletas!M162="Ditangquan F",216,IF(Atletas!M162="Houquan F",217,IF(Atletas!M162="Zuiquan F",218,"")))))))))))))))))))))</f>
        <v/>
      </c>
      <c r="BO166" s="52" t="str">
        <f>IF(Atletas!N162="","",IF(Atletas!W162&lt;&gt;"",10000,0)+IF(Atletas!B162="Feminino",1000,IF(Atletas!B162="Masculino",2000,""))+IF(Atletas!N162="Yang A",301,IF(Atletas!N162="Chen A",30,IF(Atletas!N162="Sun A",303,IF(Atletas!N162="Wu A",304,IF(Atletas!N162="Wu-Hao A",305,IF(Atletas!N162="Outro Taijiquan A",306,IF(Atletas!N162="Yang B",307,IF(Atletas!N162="Chen B",308,IF(Atletas!N162="Sun B",309,IF(Atletas!N162="Wu B",310,IF(Atletas!N162="Wu-Hao B",311,IF(Atletas!N162="Outro Taijiquan B",312,IF(Atletas!N162="Yang C",313,IF(Atletas!N162="Chen C",314,IF(Atletas!N162="Sun C",315,IF(Atletas!N162="Wu C",316,IF(Atletas!N162="Wu-Hao C",317,IF(Atletas!N162="Outro Taijiquan C",318,IF(Atletas!N162="Yang D",319,IF(Atletas!N162="Chen D",320,IF(Atletas!N162="Sun D",321,IF(Atletas!N162="Wu D",322,IF(Atletas!N162="Wu-Hao D",323,IF(Atletas!N162="Outro Taijiquan D",324,IF(Atletas!N162="Yang E",325,IF(Atletas!N162="Chen E",326,IF(Atletas!N162="Sun E",327,IF(Atletas!N162="Wu E",328,IF(Atletas!N162="Wu-Hao E",329,IF(Atletas!N162="Outro Taijiquan E",330,IF(Atletas!N162="Yang F",331,IF(Atletas!N162="Chen F",332,IF(Atletas!N162="Sun F",333,IF(Atletas!N162="Wu F",334,IF(Atletas!N162="Wu-Hao F",335,IF(Atletas!N162="Outro Taijiquan F",336,"")))))))))))))))))))))))))))))))))))))</f>
        <v/>
      </c>
      <c r="BP166" s="52" t="str">
        <f>IF(Atletas!O162="","",IF(Atletas!W162&lt;&gt;"",10000,0)+IF(Atletas!B162="Feminino",1000,IF(Atletas!B162="Masculino",2000,""))+IF(OR(Atletas!O162="Yang 26 A",Atletas!O162="Yang 40 A"),401,IF(OR(Atletas!O162="Chen 25 A",Atletas!O162="Chen 36 A",Atletas!O162="Chen 56 A"),402,IF(Atletas!O162="Sun 73 A",403,IF(Atletas!O162="Wu 45 A",404,IF(Atletas!O162="Wu-Hao 46 A",405,IF(OR(Atletas!O162="Taijiquan 16 A",Atletas!O162="Taijiquan 24 A",Atletas!O162="Taijiquan 32 A",Atletas!O162="Taijiquan 42 A"),406,IF(OR(Atletas!O162="Yang 26 B",Atletas!O162="Yang 40 B"),407,IF(OR(Atletas!O162="Chen 25 B",Atletas!O162="Chen 36 B",Atletas!O162="Chen 56 B"),408,IF(Atletas!O162="Sun 73 B",409,IF(Atletas!O162="Wu 45 B",410,IF(Atletas!O162="Wu-Hao 46 B",411,IF(OR(Atletas!O162="Taijiquan 16 B",Atletas!O162="Taijiquan 24 B",Atletas!O162="Taijiquan 32 B",Atletas!O162="Taijiquan 42 B"),412,IF(OR(Atletas!O162="Yang 26 C",Atletas!O162="Yang 40 C"),413,IF(OR(Atletas!O162="Chen 25 C",Atletas!O162="Chen 36 C",Atletas!O162="Chen 56 C"),414,IF(Atletas!O162="Sun 73 C",415,IF(Atletas!O162="Wu 45 C",416,IF(Atletas!O162="Wu-Hao 46 C",417,IF(OR(Atletas!O162="Taijiquan 16 C",Atletas!O162="Taijiquan 24 C",Atletas!O162="Taijiquan 32 C",Atletas!O162="Taijiquan 42 C"),418,0)))))))))))))))))))</f>
        <v/>
      </c>
      <c r="BQ166" s="52" t="str">
        <f>IF(Atletas!O162="","",IF(Atletas!W162&lt;&gt;"",10000,0)+IF(Atletas!B162="Feminino",1000,IF(Atletas!B162="Masculino",2000,""))+IF(OR(Atletas!O162="Yang 26 D",Atletas!O162="Yang 40 D"),419,IF(OR(Atletas!O162="Chen 25 D",Atletas!O162="Chen 36 D",Atletas!O162="Chen 56 D"),420,IF(Atletas!O162="Sun 73 D",421,IF(Atletas!O162="Wu 45 D",422,IF(Atletas!O162="Wu-Hao 46 D",423,IF(OR(Atletas!O162="Taijiquan 16 D",Atletas!O162="Taijiquan 24 D",Atletas!O162="Taijiquan 32 D",Atletas!O162="Taijiquan 42 D"),424,IF(OR(Atletas!O162="Yang 26 E",Atletas!O162="Yang 40 E"),425,IF(OR(Atletas!O162="Chen 25 E",Atletas!O162="Chen 36 E",Atletas!O162="Chen 56 E"),426,IF(Atletas!O162="Sun 73 E",427,IF(Atletas!O162="Wu 45 E",428,IF(Atletas!O162="Wu-Hao 46 E",429,IF(OR(Atletas!O162="Taijiquan 16 E",Atletas!O162="Taijiquan 24 E",Atletas!O162="Taijiquan 32 E",Atletas!O162="Taijiquan 42 E"),430,IF(OR(Atletas!O162="Yang 26 F",Atletas!O162="Yang 40 F"),431,IF(OR(Atletas!O162="Chen 25 F",Atletas!O162="Chen 36 F",Atletas!O162="Chen 56 F"),432,IF(Atletas!O162="Sun 73 F",433,IF(Atletas!O162="Wu 45 F",434,IF(Atletas!O162="Wu-Hao 46 F",435,IF(OR(Atletas!O162="Taijiquan 16 F",Atletas!O162="Taijiquan 24 F",Atletas!O162="Taijiquan 32 F",Atletas!O162="Taijiquan 42 F"),436,0)))))))))))))))))))</f>
        <v/>
      </c>
      <c r="BR166" s="52" t="str">
        <f>IF(Atletas!P162="","",IF(Atletas!W162&lt;&gt;"",10000,0)+IF(Atletas!B162="Feminino",1000,IF(Atletas!B162="Masculino",2000,""))+IF(Atletas!P162="Xingyiquan A",501,IF(Atletas!P162="Baguazhang A",502,IF(Atletas!P162="Outro Estilo Interno A",503,IF(Atletas!P162="Xingyiquan B",504,IF(Atletas!P162="Baguazhang B",505,IF(Atletas!P162="Outro Estilo Interno B",506,IF(Atletas!P162="Xingyiquan C",507,IF(Atletas!P162="Baguazhang C",508,IF(Atletas!P162="Outro Estilo Interno C",509,IF(Atletas!P162="Xingyiquan D",510,IF(Atletas!P162="Baguazhang D",511,IF(Atletas!P162="Outro Estilo Interno D",512,IF(Atletas!P162="Xingyiquan E",513,IF(Atletas!P162="Baguazhang E",514,IF(Atletas!P162="Outro Estilo Interno E",515,IF(Atletas!P162="Xingyiquan F",516,IF(Atletas!P162="Baguazhang F",517,IF(Atletas!P162="Outro Estilo Interno F",518, "")))))))))))))))))))</f>
        <v/>
      </c>
      <c r="BS166" s="52" t="str">
        <f>IF(Atletas!Q162="","",IF(Atletas!W162&lt;&gt;"",10000,0)+IF(Atletas!B162="Feminino",1000,IF(Atletas!B162="Masculino",2000,""))+IF(Atletas!Q162="Dao A",601,IF(Atletas!Q162="Jian A",602,IF(Atletas!Q162="Bishou A",603,IF(Atletas!Q162="Shan A",604,IF(Atletas!Q162="Outra Arma Curta A",605,IF(Atletas!Q162="Dao B",606,IF(Atletas!Q162="Jian B",607,IF(Atletas!Q162="Bishou B",608,IF(Atletas!Q162="Shan B",609,IF(Atletas!Q162="Outra Arma Curta B",610,IF(Atletas!Q162="Dao C",611,IF(Atletas!Q162="Jian C",612,IF(Atletas!Q162="Bishou C",613,IF(Atletas!Q162="Shan C",614,IF(Atletas!Q162="Outra Arma Curta C",615,IF(Atletas!Q162="Dao D",616,IF(Atletas!Q162="Jian D",617,IF(Atletas!Q162="Bishou D",618,IF(Atletas!Q162="Shan D",619,IF(Atletas!Q162="Outra Arma Curta D",620,IF(Atletas!Q162="Dao E",621,IF(Atletas!Q162="Jian E",622,IF(Atletas!Q162="Bishou E",623,IF(Atletas!Q162="Shan E",624,IF(Atletas!Q162="Outra Arma Curta E",625,IF(Atletas!Q162="Dao F",626,IF(Atletas!Q162="Jian F",627,IF(Atletas!Q162="Bishou F",628,IF(Atletas!Q162="Shan F",629,IF(Atletas!Q162="Outra Arma Curta F",630, "")))))))))))))))))))))))))))))))</f>
        <v/>
      </c>
      <c r="BT166" s="52" t="str">
        <f>IF(Atletas!R162="","",IF(Atletas!W162&lt;&gt;"",10000,0)+IF(Atletas!B162="Feminino",1000,IF(Atletas!B162="Masculino",2000,""))+IF(Atletas!R162="Gun A",701,IF(Atletas!R162="Qiang A",702,IF(Atletas!R162="Pudao / Guandao A",703,IF(Atletas!R162="Outra Arma Longa A",704,IF(Atletas!R162="Gun B",705,IF(Atletas!R162="Qiang B",706,IF(Atletas!R162="Pudao / Guandao B",707,IF(Atletas!R162="Outra Arma Longa B",708,IF(Atletas!R162="Gun C",709,IF(Atletas!R162="Qiang C",710,IF(Atletas!R162="Pudao / Guandao C",711,IF(Atletas!R162="Outra Arma Longa C",712,IF(Atletas!R162="Gun D",713,IF(Atletas!R162="Qiang D",714,IF(Atletas!R162="Pudao / Guandao D",715,IF(Atletas!R162="Outra Arma Longa D",716,IF(Atletas!R162="Gun E",717,IF(Atletas!R162="Qiang E",718,IF(Atletas!R162="Pudao / Guandao E",719,IF(Atletas!R162="Outra Arma Longa E",720,IF(Atletas!R162="Gun F",721,IF(Atletas!R162="Qiang F",722,IF(Atletas!R162="Pudao / Guandao F",723,IF(Atletas!R162="Outra Arma Longa F",724,"")))))))))))))))))))))))))</f>
        <v/>
      </c>
      <c r="BU166" s="52" t="str">
        <f>IF(Atletas!S162="","",IF(Atletas!W162&lt;&gt;"",10000,0)+IF(Atletas!B162="Feminino",1000,IF(Atletas!B162="Masculino",2000,""))+IF(Atletas!S162="Arma Dupla A",801,IF(Atletas!S162="Arma Maleável A",802,IF(Atletas!S162="Arma Dupla B",803,IF(Atletas!S162="Arma Maleável B",804,IF(Atletas!S162="Arma Dupla C",805,IF(Atletas!S162="Arma Maleável C",806,IF(Atletas!S162="Arma Dupla D",807,IF(Atletas!S162="Arma Maleável D",808,IF(Atletas!S162="Arma Dupla E",809,IF(Atletas!S162="Arma Maleável E",810,IF(Atletas!S162="Arma Dupla F",811,IF(Atletas!S162="Arma Maleável F",812, "")))))))))))))</f>
        <v/>
      </c>
      <c r="BV166" s="52" t="str">
        <f>IF(Atletas!T162="","",IF(Atletas!W162&lt;&gt;"",10000,0)+IF(Atletas!B162="Feminino",1000,IF(Atletas!B162="Masculino",2000,""))+IF(Atletas!T162="Taijijian Yang A",901,IF(Atletas!T162="Taijijian Chen A",902,IF(Atletas!T162="Taijijian Sun A",903,IF(Atletas!T162="Taijijian Wu A",904,IF(Atletas!T162="Taijijian Wu-Hao A",905,IF(Atletas!T162="Taijijian 32 A",906,IF(Atletas!T162="Taijijian 42 A",907,IF(Atletas!T162="Taijijian Yang B",908,IF(Atletas!T162="Taijijian Chen B",909,IF(Atletas!T162="Taijijian Sun B",910,IF(Atletas!T162="Taijijian Wu B",911,IF(Atletas!T162="Taijijian Wu-Hao B",912,IF(Atletas!T162="Taijijian 32 B",913,IF(Atletas!T162="Taijijian 42 B",914,IF(Atletas!T162="Taijijian Yang C",915,IF(Atletas!T162="Taijijian Chen C",916,IF(Atletas!T162="Taijijian Sun C",917,IF(Atletas!T162="Taijijian Wu C",918,IF(Atletas!T162="Taijijian Wu-Hao C",919,IF(Atletas!T162="Taijijian 32 C",920,IF(Atletas!T162="Taijijian 42 C",921,IF(Atletas!T162="Taijijian Yang D",922,IF(Atletas!T162="Taijijian Chen D",923,IF(Atletas!T162="Taijijian Sun D",924,IF(Atletas!T162="Taijijian Wu D",925,IF(Atletas!T162="Taijijian Wu-Hao D",926,IF(Atletas!T162="Taijijian 32 D",927,IF(Atletas!T162="Taijijian 42 D",928,IF(Atletas!T162="Taijijian Yang E",929,IF(Atletas!T162="Taijijian Chen E",930,IF(Atletas!T162="Taijijian Sun E",931,IF(Atletas!T162="Taijijian Wu E",932,IF(Atletas!T162="Taijijian Wu-Hao E",933,IF(Atletas!T162="Taijijian 32 E",934,IF(Atletas!T162="Taijijian 42 E",935,IF(Atletas!T162="Taijijian Yang F",936,IF(Atletas!T162="Taijijian Chen F",937,IF(Atletas!T162="Taijijian Sun F",938,IF(Atletas!T162="Taijijian Wu F",939,IF(Atletas!T162="Taijijian Wu-Hao F",940,IF(Atletas!T162="Taijijian 32 F",941,IF(Atletas!T162="Taijijian 42 F",942,"")))))))))))))))))))))))))))))))))))))))))))</f>
        <v/>
      </c>
      <c r="BW166" s="52" t="str">
        <f>IF(Atletas!U162="","",IF(Atletas!W162&lt;&gt;"",10000,0)+IF(Atletas!B162="Feminino",1000,IF(Atletas!B162="Masculino",2000,""))+IF(Atletas!T162="Taijijian 42 F",942,IF(Atletas!U162="Taijidao A",943,IF(Atletas!U162="Taijishan A",944,IF(Atletas!U162="Taijiqiang A",945,IF(Atletas!U162="Taijidao B",946,IF(Atletas!U162="Taijishan B",947,IF(Atletas!U162="Taijiqiang B",948,IF(Atletas!U162="Taijidao C",949,IF(Atletas!U162="Taijishan C",950,IF(Atletas!U162="Taijiqiang C",951,IF(Atletas!U162="Taijidao D",952,IF(Atletas!U162="Taijishan D",953,IF(Atletas!U162="Taijiqiang D",954,IF(Atletas!U162="Taijidao E",955,IF(Atletas!U162="Taijishan E",956,IF(Atletas!U162="Taijiqiang E",957,IF(Atletas!U162="Taijidao F",958,IF(Atletas!U162="Taijishan F",959,IF(Atletas!U162="Taijiqiang F",960))))))))))))))))))))</f>
        <v/>
      </c>
      <c r="BX166" s="72" t="str">
        <f>IF(BY166&lt;&gt;"","TJQ Trad. Wu F","")</f>
        <v/>
      </c>
      <c r="BY166" s="72" t="str">
        <f>IF(COUNTIF(BK:BW,1334)&gt;0,COUNTIF(BK:BW,1334),"")</f>
        <v/>
      </c>
      <c r="BZ166" s="72" t="str">
        <f>IF(CA166&lt;&gt;"","TJQ Trad. Wu F","")</f>
        <v/>
      </c>
      <c r="CA166" s="72" t="str">
        <f>IF(COUNTIF(BK:BW,2334)&gt;0,COUNTIF(BK:BW,2334),"")</f>
        <v/>
      </c>
      <c r="CB166" s="72" t="str">
        <f>IF(CC166&lt;&gt;"","Wu F","")</f>
        <v/>
      </c>
      <c r="CC166" s="64" t="str">
        <f>IF(COUNTIF(BK:BW,11334)&gt;0,COUNTIF(BK:BW,11334),"")</f>
        <v/>
      </c>
      <c r="CD166" s="64" t="str">
        <f>IF(CE166&lt;&gt;"","Wu F","")</f>
        <v/>
      </c>
      <c r="CE166" s="64" t="str">
        <f>IF(COUNTIF(BK:BW,12334)&gt;0,COUNTIF(BK:BW,12334),"")</f>
        <v/>
      </c>
      <c r="CF166" s="52" t="str">
        <f xml:space="preserve"> IF(Atletas!V162="","",IF(Atletas!V162="Duilian de Mãos AB - Equipe 1",1,IF(Atletas!V162="Duilian de Mãos AB - Equipe 2",2,IF(Atletas!V162="Duilian de Armas AB - Equipe 1",3,IF(Atletas!V162="Duilian de Armas AB - Equipe 2",4,IF(Atletas!V162="Duilian de Tuishou - Equipe 1",5,IF(Atletas!V162="Duilian de Tuishou - Equipe 2",6,IF(Atletas!V162="Grupo Externo AB - Equipe 1",7,IF(Atletas!V162="Grupo Externo AB - Equipe 2",8,IF(Atletas!V162="Grupo Interno AB - Equipe 1",9,IF(Atletas!V162="Grupo Interno AB - Equipe 2",10,IF(Atletas!V162="Duilian de Mãos CD - Equipe 1",11,IF(Atletas!V162="Duilian de Mãos CD - Equipe 2",12,IF(Atletas!V162="Duilian de Armas CD - Equipe 1",13,IF(Atletas!V162="Duilian de Armas CD - Equipe 2",14,IF(Atletas!V162="Duilian de Tuishou - Equipe 1",15,IF(Atletas!V162="Duilian de Tuishou - Equipe 2",16,IF(Atletas!V162="Grupo Externo CDEF - Equipe 1",17,IF(Atletas!V162="Grupo Externo CDEF - Equipe 2",18,IF(Atletas!V162="Grupo Interno CDEF - Equipe 1",19,IF(Atletas!V162="Grupo Interno CDEF - Equipe 2",20,IF(Atletas!V162="Duilian de Mãos EF - Equipe 1",21,IF(Atletas!V162="Duilian de Mãos EF - Equipe 2",22,IF(Atletas!V162="Duilian de Armas EF - Equipe 1",23,IF(Atletas!V162="Duilian de Armas EF - Equipe 2",24,IF(Atletas!V162="Duilian de Tuishou - Equipe 1",25,IF(Atletas!V162="Duilian de Tuishou - Equipe 2",26,"")))))))))))))))))))))))))))</f>
        <v/>
      </c>
    </row>
    <row r="167" spans="2:84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 t="str">
        <f t="array" ref="V167">IFERROR(INDEX(BX$7:BX$336,SMALL(IF(BX$7:BX$336&lt;&gt;"",ROW(BX$7:BX$336)-ROW(BX$7)+1),ROWS(BX$7:BX166))),"")</f>
        <v/>
      </c>
      <c r="W167" s="4" t="str">
        <f t="array" ref="W167">IFERROR(INDEX(BY$7:BY$336,SMALL(IF(BY$7:BY$336&lt;&gt;"",ROW(BY$7:BY$336)-ROW(BY$7)+1),ROWS(BY$7:BY166))),"")</f>
        <v/>
      </c>
      <c r="X167" s="4" t="str">
        <f t="array" ref="X167">IFERROR(INDEX(BZ$7:BZ$336,SMALL(IF(BZ$7:BZ$336&lt;&gt;"",ROW(BZ$7:BZ$336)-ROW(BZ$7)+1),ROWS(BZ$7:BZ166))),"")</f>
        <v/>
      </c>
      <c r="Y167" s="4" t="str">
        <f t="array" ref="Y167">IFERROR(INDEX(CA$7:CA$336,SMALL(IF(CA$7:CA$336&lt;&gt;"",ROW(CA$7:CA$336)-ROW(CA$7)+1),ROWS(CA$7:CA166))),"")</f>
        <v/>
      </c>
      <c r="Z167" s="4" t="str">
        <f t="array" ref="Z167">IFERROR(INDEX(CB$7:CB$378,SMALL(IF(CB$7:CB$378&lt;&gt;"",ROW(CB$7:CB$378)-ROW(CB$7)+1),ROWS(CB$7:CB166))),"")</f>
        <v/>
      </c>
      <c r="AA167" s="4" t="str">
        <f t="array" ref="AA167">IFERROR(INDEX(CC$7:CC$378,SMALL(IF(CC$7:CC$378&lt;&gt;"",ROW(CC$7:CC$378)-ROW(CC$7)+1),ROWS(CC$7:CC166))),"")</f>
        <v/>
      </c>
      <c r="AB167" s="4" t="str">
        <f t="array" ref="AB167">IFERROR(INDEX(CD$7:CD$378,SMALL(IF(CD$7:CD$378&lt;&gt;"",ROW(CD$7:CD$378)-ROW(CD$7)+1),ROWS(CD$7:CD166))),"")</f>
        <v/>
      </c>
      <c r="AC167" s="4" t="str">
        <f t="array" ref="AC167">IFERROR(INDEX(CE$7:CE$378,SMALL(IF(CE$7:CE$378&lt;&gt;"",ROW(CE$7:CE$378)-ROW(CE$7)+1),ROWS(CE$7:CE166))),"")</f>
        <v/>
      </c>
      <c r="AD167" s="4"/>
      <c r="AE167" s="4"/>
      <c r="AF167" s="4"/>
      <c r="AG167" s="4"/>
      <c r="AH167" s="4"/>
      <c r="AI167" s="4"/>
      <c r="AJ167" s="46" t="str">
        <f>IF(Atletas!D163="","",IF(Atletas!B163="Feminino",100,IF(Atletas!B163="Masculino",200,""))+(IF(Atletas!D163="Infantil 39kg",1,IF(Atletas!D163="Infantil 42kg",2,IF(Atletas!D163="Infantil 45kg",3,IF(Atletas!D163="Infantil 48kg",4,IF(Atletas!D163="Infantil 52kg",5,IF(Atletas!D163="Infantil 56kg",6,IF(Atletas!D163="Infantil 60kg",7,IF(Atletas!D163="Juvenil 48kg",8,IF(Atletas!D163="Juvenil 52kg",9,IF(Atletas!D163="Juvenil 56kg",10,IF(Atletas!D163="Juvenil 60kg",11,IF(Atletas!D163="Juvenil 65kg",12,IF(Atletas!D163="Juvenil 70kg",13,IF(Atletas!D163="Juvenil 75kg",14,IF(Atletas!D163="Juvenil 80kg",15,IF(Atletas!D163="Adulto 48kg",16,IF(Atletas!D163="Adulto 52kg",17,IF(Atletas!D163="Adulto 56kg",18,IF(Atletas!D163="Adulto 60kg",19,IF(Atletas!D163="Adulto 65kg",20,IF(Atletas!D163="Adulto 70kg",21,IF(Atletas!D163="Adulto 75kg",22,IF(Atletas!D163="Adulto 80kg",23,IF(Atletas!D163="Adulto 85kg",24,IF(Atletas!D163="Adulto 90kg",25,IF(Atletas!D163="Adulto +90kg",26,""))))))))))))))))))))))))))))</f>
        <v/>
      </c>
      <c r="AO167" s="10" t="str">
        <f>IF(Atletas!E163="","",IF(Atletas!B163="Feminino",100,IF(Atletas!B163="Masculino",200,""))+(IF(Atletas!E163="Juvenil 44kg",1,IF(Atletas!E163="Juvenil 48kg",2,IF(Atletas!E163="Juvenil 52kg",3,IF(Atletas!E163="Juvenil 56kg",4,IF(Atletas!E163="Juvenil 60kg",5,IF(Atletas!E163="Juvenil 65kg",6,IF(Atletas!E163="Juvenil 70kg",7,IF(Atletas!E163="Juvenil 75kg",8,IF(Atletas!E163="Juvenil 82kg",9,IF(Atletas!E163="Juvenil 90kg",10,IF(Atletas!E163="Juvenil 100kg",11,IF(Atletas!E163="Adulto 48kg",12,IF(Atletas!E163="Adulto 52kg",13,IF(Atletas!E163="Adulto 56kg",14,IF(Atletas!E163="Adulto 60kg",15,IF(Atletas!E163="Adulto 65kg",16,IF(Atletas!E163="Adulto 70kg",17,IF(Atletas!E163="Adulto 75kg",18,IF(Atletas!E163="Adulto 82kg",19,IF(Atletas!E163="Adulto 90kg",20,IF(Atletas!E163="Adulto 100kg",21,IF(Atletas!E163="Adulto +100kg",22,""))))))))))))))))))))))))</f>
        <v/>
      </c>
      <c r="AT167" s="10" t="str">
        <f>IF(Atletas!F163="","",IF(Atletas!B163="Feminino",100,IF(Atletas!B163="Masculino",200,""))+(IF(Atletas!F163="Adulto 48kg",1,IF(Atletas!F163="Adulto 56kg",2,IF(Atletas!F163="Adulto 65kg",3,IF(Atletas!F163="Adulto 75kg",4,IF(Atletas!F163="Adulto +75kg",5,IF(Atletas!F163="Adulto 52kg",6,IF(Atletas!F163="Adulto 60kg",7,IF(Atletas!F163="Adulto 70kg",8,IF(Atletas!F163="Adulto 80kg",9,IF(Atletas!F163="Adulto 90kg",10,IF(Atletas!F163="Adulto +90kg",11,"")))))))))))))</f>
        <v/>
      </c>
      <c r="AY167" s="46" t="str">
        <f>IF(Atletas!G163="","",IF(Atletas!B163="Feminino",100,IF(Atletas!B163="Masculino",200,""))+(IF(Atletas!G163="Changquan Mirim",1,IF(Atletas!G163="Nanquan Mirim",2,IF(Atletas!G163="Taijiquan Mirim",3,IF(Atletas!G163="Changquan Grupo C",4,IF(Atletas!G163="Nanquan Grupo C",5,IF(Atletas!G163="Taijiquan Grupo C",6,IF(Atletas!G163="Changquan Grupo B",7,IF(Atletas!G163="Nanquan Grupo B",8,IF(Atletas!G163="Taijiquan Grupo B",9,IF(Atletas!G163="Changquan Grupo A",10,IF(Atletas!G163="Nanquan Grupo A",11,IF(Atletas!G163="Taijiquan Grupo A",12,IF(Atletas!G163="Changquan Opcional",13,IF(Atletas!G163="Nanquan Opcional",14,IF(Atletas!G163="Taijiquan Opcional",15,IF(Atletas!G163="Changquan Adulto",16,IF(Atletas!G163="Nanquan Adulto",17,IF(Atletas!G163="Taijiquan Adulto",18,""))))))))))))))))))))</f>
        <v/>
      </c>
      <c r="AZ167" s="46" t="str">
        <f>IF(Atletas!H163="","",IF(Atletas!B163="Feminino",100,IF(Atletas!B163="Masculino",200,""))+(IF(Atletas!H163="Daoshu Mirim",19,IF(Atletas!H163="Jianshu Mirim",20,IF(Atletas!H163="Nandao Mirim",21,IF(Atletas!H163="Taijijian Mirim",22,IF(Atletas!H163="Daoshu Grupo C",23,IF(Atletas!H163="Jianshu Grupo C",24,IF(Atletas!H163="Nandao Grupo C",25,IF(Atletas!H163="Taijijian Grupo C",26,IF(Atletas!H163="Daoshu Grupo B",27,IF(Atletas!H163="Jianshu Grupo B",28,IF(Atletas!H163="Nandao Grupo B",29,IF(Atletas!H163="Taijijian Grupo B",30,IF(Atletas!H163="Daoshu Grupo A",31,IF(Atletas!H163="Jianshu Grupo A",32,IF(Atletas!H163="Nandao Grupo A",33,IF(Atletas!H163="Taijijian Grupo A",34,IF(Atletas!H163="Daoshu Opcional",35,IF(Atletas!H163="Jianshu Opcional",36,IF(Atletas!H163="Nandao Opcional",37,IF(Atletas!H163="Taijijian Opcional",38,IF(Atletas!H163="Daoshu Adulto",39,IF(Atletas!H163="Jianshu Adulto",40,IF(Atletas!H163="Nandao Adulto",41,IF(Atletas!H163="Taijijian Adulto",42,""))))))))))))))))))))))))))</f>
        <v/>
      </c>
      <c r="BA167" s="46" t="str">
        <f>IF(Atletas!I163="","",IF(Atletas!B163="Feminino",100,IF(Atletas!B163="Masculino",200,""))+(IF(Atletas!I163="Gunshu Mirim",43,IF(Atletas!I163="Qiangshu Mirim",44,IF(Atletas!I163="Nangun Mirim",45,IF(Atletas!I163="Gunshu Grupo C",46,IF(Atletas!I163="Qiangshu Grupo C",47,IF(Atletas!I163="Nangun Grupo C",48,IF(Atletas!I163="Gunshu Grupo B",49,IF(Atletas!I163="Qiangshu Grupo B",50,IF(Atletas!I163="Nangun Grupo B",51,IF(Atletas!I163="Gunshu Grupo A",52,IF(Atletas!I163="Qiangshu Grupo A",53,IF(Atletas!I163="Nangun Grupo A",54,IF(Atletas!I163="Gunshu Opcional",55,IF(Atletas!I163="Qiangshu Opcional",56,IF(Atletas!I163="Nangun Opcional",57,IF(Atletas!I163="Gunshu Adulto",58,IF(Atletas!I163="Qiangshu Adulto",59,IF(Atletas!I163="Nangun Adulto",60,""))))))))))))))))))))</f>
        <v/>
      </c>
      <c r="BF167" s="52" t="str">
        <f>IF(Atletas!J163="","",IF(Atletas!B163="Feminino",100,IF(Atletas!B163="Masculino",200,""))+(IF(Atletas!J163="Equipe 1 Grupo B",1,IF(Atletas!J163="Equipe 2 Grupo B",2,IF(Atletas!J163="Equipe 1 Grupo A",3,IF(Atletas!J163="Equipe 2 Grupo A",4,IF(Atletas!J163="Equipe 1 Adulto",5,IF(Atletas!J163="Equipe 2 Adulto",6,""))))))))</f>
        <v/>
      </c>
      <c r="BK167" s="52" t="str">
        <f>IF(Atletas!K163="","",IF(Atletas!W163&lt;&gt;"",10000,0)+(IF(Atletas!B163="Feminino",1000,IF(Atletas!B163="Masculino",2000,""))+IF(Atletas!K163="Choylayfut A",1,IF(Atletas!K163="Hunggar A",2,IF(Atletas!K163="Wuzuquan A",3,IF(Atletas!K163="Wingchun A",4,IF(Atletas!K163="Outra Mão de Sul A",5,IF(Atletas!K163="Choylayfut B",6,IF(Atletas!K163="Hunggar B",7,IF(Atletas!K163="Wuzuquan B",8,IF(Atletas!K163="Wingchun B",9,IF(Atletas!K163="Outra Mão de Sul B",10,IF(Atletas!K163="Choylayfut C",11,IF(Atletas!K163="Hunggar C",12,IF(Atletas!K163="Wuzuquan C",13,IF(Atletas!K163="Wingchun C",14,IF(Atletas!K163="Outra Mão de Sul C",15,IF(Atletas!K163="Choylayfut D",16,IF(Atletas!K163="Hunggar D",17,IF(Atletas!K163="Wuzuquan D",18,IF(Atletas!K163="Wingchun D",19,IF(Atletas!K163="Outra Mão de Sul D",20,IF(Atletas!K163="Choylayfut E",21,IF(Atletas!K163="Hunggar E",22,IF(Atletas!K163="Wuzuquan E",23,IF(Atletas!K163="Wingchun E",24,IF(Atletas!K163="Outra Mão de Sul E",25,IF(Atletas!K163="Choylayfut F",26,IF(Atletas!K163="Hunggar F",27,IF(Atletas!K163="Wuzuquan F",28,IF(Atletas!K163="Wingchun F",29,IF(Atletas!K163="Outra Mão de Sul F",30,""))))))))))))))))))))))))))))))))</f>
        <v/>
      </c>
      <c r="BL167" s="52" t="str">
        <f>IF(Atletas!L163="","",IF(Atletas!W163&lt;&gt;"",10000,0)+(IF(Atletas!B163="Feminino",1000,IF(Atletas!B163="Masculino",2000,""))+(IF(Atletas!L163="Chaquan A",101,IF(Atletas!L163="Emeiquan A",102,IF(Atletas!L163="Fanziquan A",103,IF(Atletas!L163="Huaquan A",104,IF(Atletas!L163="Hongquan A",105,IF(Atletas!L163="Paochui A",106,IF(Atletas!L163="Piguaquan A",107,IF(Atletas!L163="Shaolinquan A",108,IF(Atletas!L163="Tanglangquan A",109,IF(Atletas!L163="Yinzhaophai A",110,IF(Atletas!L163="Tongbeiquan A",111,IF(Atletas!L163="Wudangquan A",112,IF(Atletas!L163="Outros Estilos A",113,IF(Atletas!L163="Chaquan B",114,IF(Atletas!L163="Emeiquan B",115,IF(Atletas!L163="Fanziquan B",116,IF(Atletas!L163="Huaquan B",117,IF(Atletas!L163="Hongquan B",118,IF(Atletas!L163="Paochui B",119,IF(Atletas!L163="Piguaquan B",120,IF(Atletas!L163="Shaolinquan B",121,IF(Atletas!L163="Tanglangquan B",122,IF(Atletas!L163="Yinzhaophai B",123,IF(Atletas!L163="Tongbeiquan B",124,IF(Atletas!L163="Wudangquan B",125,IF(Atletas!L163="Outros Estilos B",126,IF(Atletas!L163="Chaquan C",127,IF(Atletas!L163="Emeiquan C",128,IF(Atletas!L163="Fanziquan C",129,IF(Atletas!L163="Huaquan C",130,IF(Atletas!L163="Hongquan C",131,IF(Atletas!L163="Paochui C",132,IF(Atletas!L163="Piguaquan C",133,IF(Atletas!L163="Shaolinquan C",134,IF(Atletas!L163="Tanglangquan C",135,IF(Atletas!L163="Yinzhaophai C",136,IF(Atletas!L163="Tongbeiquan C",137,IF(Atletas!L163="Wudangquan C",138,IF(Atletas!L163="Outros Estilos C",139,0))))))))))))))))))))))))))))))))))))))))))</f>
        <v/>
      </c>
      <c r="BM167" s="52" t="str">
        <f>IF(Atletas!L163="","",IF(Atletas!W163&lt;&gt;"",10000,0)+(IF(Atletas!B163="Feminino",1000,IF(Atletas!B163="Masculino",2000,""))+(IF(Atletas!L163="Chaquan D",140,IF(Atletas!L163="Emeiquan D",141,IF(Atletas!L163="Fanziquan D",142,IF(Atletas!L163="Huaquan D",143,IF(Atletas!L163="Hongquan D",144,IF(Atletas!L163="Paochui D",145,IF(Atletas!L163="Piguaquan D",146,IF(Atletas!L163="Shaolinquan D",147,IF(Atletas!L163="Tanglangquan D",148,IF(Atletas!L163="Yinzhaophai D",149,IF(Atletas!L163="Tongbeiquan D",150,IF(Atletas!L163="Wudangquan D",151,IF(Atletas!L163="Outros Estilos D",152,IF(Atletas!L163="Chaquan E",153,IF(Atletas!L163="Emeiquan E",154,IF(Atletas!L163="Fanziquan E",155,IF(Atletas!L163="Huaquan E",156,IF(Atletas!L163="Hongquan E",157,IF(Atletas!L163="Paochui E",158,IF(Atletas!L163="Piguaquan E",159,IF(Atletas!L163="Shaolinquan E",160,IF(Atletas!L163="Tanglangquan E",161,IF(Atletas!L163="Yinzhaophai E",162,IF(Atletas!L163="Tongbeiquan E",163,IF(Atletas!L163="Wudangquan E",164,IF(Atletas!L163="Outros Estilos E",165,IF(Atletas!L163="Chaquan F",166,IF(Atletas!L163="Emeiquan F",167,IF(Atletas!L163="Fanziquan F",168,IF(Atletas!L163="Huaquan F",169,IF(Atletas!L163="Hongquan F",170,IF(Atletas!L163="Paochui F",171,IF(Atletas!L163="Piguaquan F",172,IF(Atletas!L163="Shaolinquan F",173,IF(Atletas!L163="Tanglangquan F",174,IF(Atletas!L163="Yinzhaophai F",175,IF(Atletas!L163="Tongbeiquan F",176,IF(Atletas!L163="Wudangquan F",177,IF(Atletas!L163="Outros Estilos F",178,0))))))))))))))))))))))))))))))))))))))))))</f>
        <v/>
      </c>
      <c r="BN167" s="52" t="str">
        <f>IF(Atletas!M163="","",IF(Atletas!W163&lt;&gt;"",10000,0)+(IF(Atletas!B163="Feminino",1000,IF(Atletas!B163="Masculino",2000,""))+(IF(Atletas!M163="Ditangquan A",201,IF(Atletas!M163="Houquan A",202,IF(Atletas!M163="Zuiquan A",203,IF(Atletas!M163="Ditangquan B",204,IF(Atletas!M163="Houquan B",205,IF(Atletas!M163="Zuiquan B",206,IF(Atletas!M163="Ditangquan C",207,IF(Atletas!M163="Houquan C",208,IF(Atletas!M163="Zuiquan C",209,IF(Atletas!M163="Ditangquan D",210,IF(Atletas!M163="Houquan D",211,IF(Atletas!M163="Zuiquan D",212,IF(Atletas!M163="Ditangquan E",213,IF(Atletas!M163="Houquan E",214,IF(Atletas!M163="Zuiquan E",215,IF(Atletas!M163="Ditangquan F",216,IF(Atletas!M163="Houquan F",217,IF(Atletas!M163="Zuiquan F",218,"")))))))))))))))))))))</f>
        <v/>
      </c>
      <c r="BO167" s="52" t="str">
        <f>IF(Atletas!N163="","",IF(Atletas!W163&lt;&gt;"",10000,0)+IF(Atletas!B163="Feminino",1000,IF(Atletas!B163="Masculino",2000,""))+IF(Atletas!N163="Yang A",301,IF(Atletas!N163="Chen A",30,IF(Atletas!N163="Sun A",303,IF(Atletas!N163="Wu A",304,IF(Atletas!N163="Wu-Hao A",305,IF(Atletas!N163="Outro Taijiquan A",306,IF(Atletas!N163="Yang B",307,IF(Atletas!N163="Chen B",308,IF(Atletas!N163="Sun B",309,IF(Atletas!N163="Wu B",310,IF(Atletas!N163="Wu-Hao B",311,IF(Atletas!N163="Outro Taijiquan B",312,IF(Atletas!N163="Yang C",313,IF(Atletas!N163="Chen C",314,IF(Atletas!N163="Sun C",315,IF(Atletas!N163="Wu C",316,IF(Atletas!N163="Wu-Hao C",317,IF(Atletas!N163="Outro Taijiquan C",318,IF(Atletas!N163="Yang D",319,IF(Atletas!N163="Chen D",320,IF(Atletas!N163="Sun D",321,IF(Atletas!N163="Wu D",322,IF(Atletas!N163="Wu-Hao D",323,IF(Atletas!N163="Outro Taijiquan D",324,IF(Atletas!N163="Yang E",325,IF(Atletas!N163="Chen E",326,IF(Atletas!N163="Sun E",327,IF(Atletas!N163="Wu E",328,IF(Atletas!N163="Wu-Hao E",329,IF(Atletas!N163="Outro Taijiquan E",330,IF(Atletas!N163="Yang F",331,IF(Atletas!N163="Chen F",332,IF(Atletas!N163="Sun F",333,IF(Atletas!N163="Wu F",334,IF(Atletas!N163="Wu-Hao F",335,IF(Atletas!N163="Outro Taijiquan F",336,"")))))))))))))))))))))))))))))))))))))</f>
        <v/>
      </c>
      <c r="BP167" s="52" t="str">
        <f>IF(Atletas!O163="","",IF(Atletas!W163&lt;&gt;"",10000,0)+IF(Atletas!B163="Feminino",1000,IF(Atletas!B163="Masculino",2000,""))+IF(OR(Atletas!O163="Yang 26 A",Atletas!O163="Yang 40 A"),401,IF(OR(Atletas!O163="Chen 25 A",Atletas!O163="Chen 36 A",Atletas!O163="Chen 56 A"),402,IF(Atletas!O163="Sun 73 A",403,IF(Atletas!O163="Wu 45 A",404,IF(Atletas!O163="Wu-Hao 46 A",405,IF(OR(Atletas!O163="Taijiquan 16 A",Atletas!O163="Taijiquan 24 A",Atletas!O163="Taijiquan 32 A",Atletas!O163="Taijiquan 42 A"),406,IF(OR(Atletas!O163="Yang 26 B",Atletas!O163="Yang 40 B"),407,IF(OR(Atletas!O163="Chen 25 B",Atletas!O163="Chen 36 B",Atletas!O163="Chen 56 B"),408,IF(Atletas!O163="Sun 73 B",409,IF(Atletas!O163="Wu 45 B",410,IF(Atletas!O163="Wu-Hao 46 B",411,IF(OR(Atletas!O163="Taijiquan 16 B",Atletas!O163="Taijiquan 24 B",Atletas!O163="Taijiquan 32 B",Atletas!O163="Taijiquan 42 B"),412,IF(OR(Atletas!O163="Yang 26 C",Atletas!O163="Yang 40 C"),413,IF(OR(Atletas!O163="Chen 25 C",Atletas!O163="Chen 36 C",Atletas!O163="Chen 56 C"),414,IF(Atletas!O163="Sun 73 C",415,IF(Atletas!O163="Wu 45 C",416,IF(Atletas!O163="Wu-Hao 46 C",417,IF(OR(Atletas!O163="Taijiquan 16 C",Atletas!O163="Taijiquan 24 C",Atletas!O163="Taijiquan 32 C",Atletas!O163="Taijiquan 42 C"),418,0)))))))))))))))))))</f>
        <v/>
      </c>
      <c r="BQ167" s="52" t="str">
        <f>IF(Atletas!O163="","",IF(Atletas!W163&lt;&gt;"",10000,0)+IF(Atletas!B163="Feminino",1000,IF(Atletas!B163="Masculino",2000,""))+IF(OR(Atletas!O163="Yang 26 D",Atletas!O163="Yang 40 D"),419,IF(OR(Atletas!O163="Chen 25 D",Atletas!O163="Chen 36 D",Atletas!O163="Chen 56 D"),420,IF(Atletas!O163="Sun 73 D",421,IF(Atletas!O163="Wu 45 D",422,IF(Atletas!O163="Wu-Hao 46 D",423,IF(OR(Atletas!O163="Taijiquan 16 D",Atletas!O163="Taijiquan 24 D",Atletas!O163="Taijiquan 32 D",Atletas!O163="Taijiquan 42 D"),424,IF(OR(Atletas!O163="Yang 26 E",Atletas!O163="Yang 40 E"),425,IF(OR(Atletas!O163="Chen 25 E",Atletas!O163="Chen 36 E",Atletas!O163="Chen 56 E"),426,IF(Atletas!O163="Sun 73 E",427,IF(Atletas!O163="Wu 45 E",428,IF(Atletas!O163="Wu-Hao 46 E",429,IF(OR(Atletas!O163="Taijiquan 16 E",Atletas!O163="Taijiquan 24 E",Atletas!O163="Taijiquan 32 E",Atletas!O163="Taijiquan 42 E"),430,IF(OR(Atletas!O163="Yang 26 F",Atletas!O163="Yang 40 F"),431,IF(OR(Atletas!O163="Chen 25 F",Atletas!O163="Chen 36 F",Atletas!O163="Chen 56 F"),432,IF(Atletas!O163="Sun 73 F",433,IF(Atletas!O163="Wu 45 F",434,IF(Atletas!O163="Wu-Hao 46 F",435,IF(OR(Atletas!O163="Taijiquan 16 F",Atletas!O163="Taijiquan 24 F",Atletas!O163="Taijiquan 32 F",Atletas!O163="Taijiquan 42 F"),436,0)))))))))))))))))))</f>
        <v/>
      </c>
      <c r="BR167" s="52" t="str">
        <f>IF(Atletas!P163="","",IF(Atletas!W163&lt;&gt;"",10000,0)+IF(Atletas!B163="Feminino",1000,IF(Atletas!B163="Masculino",2000,""))+IF(Atletas!P163="Xingyiquan A",501,IF(Atletas!P163="Baguazhang A",502,IF(Atletas!P163="Outro Estilo Interno A",503,IF(Atletas!P163="Xingyiquan B",504,IF(Atletas!P163="Baguazhang B",505,IF(Atletas!P163="Outro Estilo Interno B",506,IF(Atletas!P163="Xingyiquan C",507,IF(Atletas!P163="Baguazhang C",508,IF(Atletas!P163="Outro Estilo Interno C",509,IF(Atletas!P163="Xingyiquan D",510,IF(Atletas!P163="Baguazhang D",511,IF(Atletas!P163="Outro Estilo Interno D",512,IF(Atletas!P163="Xingyiquan E",513,IF(Atletas!P163="Baguazhang E",514,IF(Atletas!P163="Outro Estilo Interno E",515,IF(Atletas!P163="Xingyiquan F",516,IF(Atletas!P163="Baguazhang F",517,IF(Atletas!P163="Outro Estilo Interno F",518, "")))))))))))))))))))</f>
        <v/>
      </c>
      <c r="BS167" s="52" t="str">
        <f>IF(Atletas!Q163="","",IF(Atletas!W163&lt;&gt;"",10000,0)+IF(Atletas!B163="Feminino",1000,IF(Atletas!B163="Masculino",2000,""))+IF(Atletas!Q163="Dao A",601,IF(Atletas!Q163="Jian A",602,IF(Atletas!Q163="Bishou A",603,IF(Atletas!Q163="Shan A",604,IF(Atletas!Q163="Outra Arma Curta A",605,IF(Atletas!Q163="Dao B",606,IF(Atletas!Q163="Jian B",607,IF(Atletas!Q163="Bishou B",608,IF(Atletas!Q163="Shan B",609,IF(Atletas!Q163="Outra Arma Curta B",610,IF(Atletas!Q163="Dao C",611,IF(Atletas!Q163="Jian C",612,IF(Atletas!Q163="Bishou C",613,IF(Atletas!Q163="Shan C",614,IF(Atletas!Q163="Outra Arma Curta C",615,IF(Atletas!Q163="Dao D",616,IF(Atletas!Q163="Jian D",617,IF(Atletas!Q163="Bishou D",618,IF(Atletas!Q163="Shan D",619,IF(Atletas!Q163="Outra Arma Curta D",620,IF(Atletas!Q163="Dao E",621,IF(Atletas!Q163="Jian E",622,IF(Atletas!Q163="Bishou E",623,IF(Atletas!Q163="Shan E",624,IF(Atletas!Q163="Outra Arma Curta E",625,IF(Atletas!Q163="Dao F",626,IF(Atletas!Q163="Jian F",627,IF(Atletas!Q163="Bishou F",628,IF(Atletas!Q163="Shan F",629,IF(Atletas!Q163="Outra Arma Curta F",630, "")))))))))))))))))))))))))))))))</f>
        <v/>
      </c>
      <c r="BT167" s="52" t="str">
        <f>IF(Atletas!R163="","",IF(Atletas!W163&lt;&gt;"",10000,0)+IF(Atletas!B163="Feminino",1000,IF(Atletas!B163="Masculino",2000,""))+IF(Atletas!R163="Gun A",701,IF(Atletas!R163="Qiang A",702,IF(Atletas!R163="Pudao / Guandao A",703,IF(Atletas!R163="Outra Arma Longa A",704,IF(Atletas!R163="Gun B",705,IF(Atletas!R163="Qiang B",706,IF(Atletas!R163="Pudao / Guandao B",707,IF(Atletas!R163="Outra Arma Longa B",708,IF(Atletas!R163="Gun C",709,IF(Atletas!R163="Qiang C",710,IF(Atletas!R163="Pudao / Guandao C",711,IF(Atletas!R163="Outra Arma Longa C",712,IF(Atletas!R163="Gun D",713,IF(Atletas!R163="Qiang D",714,IF(Atletas!R163="Pudao / Guandao D",715,IF(Atletas!R163="Outra Arma Longa D",716,IF(Atletas!R163="Gun E",717,IF(Atletas!R163="Qiang E",718,IF(Atletas!R163="Pudao / Guandao E",719,IF(Atletas!R163="Outra Arma Longa E",720,IF(Atletas!R163="Gun F",721,IF(Atletas!R163="Qiang F",722,IF(Atletas!R163="Pudao / Guandao F",723,IF(Atletas!R163="Outra Arma Longa F",724,"")))))))))))))))))))))))))</f>
        <v/>
      </c>
      <c r="BU167" s="52" t="str">
        <f>IF(Atletas!S163="","",IF(Atletas!W163&lt;&gt;"",10000,0)+IF(Atletas!B163="Feminino",1000,IF(Atletas!B163="Masculino",2000,""))+IF(Atletas!S163="Arma Dupla A",801,IF(Atletas!S163="Arma Maleável A",802,IF(Atletas!S163="Arma Dupla B",803,IF(Atletas!S163="Arma Maleável B",804,IF(Atletas!S163="Arma Dupla C",805,IF(Atletas!S163="Arma Maleável C",806,IF(Atletas!S163="Arma Dupla D",807,IF(Atletas!S163="Arma Maleável D",808,IF(Atletas!S163="Arma Dupla E",809,IF(Atletas!S163="Arma Maleável E",810,IF(Atletas!S163="Arma Dupla F",811,IF(Atletas!S163="Arma Maleável F",812, "")))))))))))))</f>
        <v/>
      </c>
      <c r="BV167" s="52" t="str">
        <f>IF(Atletas!T163="","",IF(Atletas!W163&lt;&gt;"",10000,0)+IF(Atletas!B163="Feminino",1000,IF(Atletas!B163="Masculino",2000,""))+IF(Atletas!T163="Taijijian Yang A",901,IF(Atletas!T163="Taijijian Chen A",902,IF(Atletas!T163="Taijijian Sun A",903,IF(Atletas!T163="Taijijian Wu A",904,IF(Atletas!T163="Taijijian Wu-Hao A",905,IF(Atletas!T163="Taijijian 32 A",906,IF(Atletas!T163="Taijijian 42 A",907,IF(Atletas!T163="Taijijian Yang B",908,IF(Atletas!T163="Taijijian Chen B",909,IF(Atletas!T163="Taijijian Sun B",910,IF(Atletas!T163="Taijijian Wu B",911,IF(Atletas!T163="Taijijian Wu-Hao B",912,IF(Atletas!T163="Taijijian 32 B",913,IF(Atletas!T163="Taijijian 42 B",914,IF(Atletas!T163="Taijijian Yang C",915,IF(Atletas!T163="Taijijian Chen C",916,IF(Atletas!T163="Taijijian Sun C",917,IF(Atletas!T163="Taijijian Wu C",918,IF(Atletas!T163="Taijijian Wu-Hao C",919,IF(Atletas!T163="Taijijian 32 C",920,IF(Atletas!T163="Taijijian 42 C",921,IF(Atletas!T163="Taijijian Yang D",922,IF(Atletas!T163="Taijijian Chen D",923,IF(Atletas!T163="Taijijian Sun D",924,IF(Atletas!T163="Taijijian Wu D",925,IF(Atletas!T163="Taijijian Wu-Hao D",926,IF(Atletas!T163="Taijijian 32 D",927,IF(Atletas!T163="Taijijian 42 D",928,IF(Atletas!T163="Taijijian Yang E",929,IF(Atletas!T163="Taijijian Chen E",930,IF(Atletas!T163="Taijijian Sun E",931,IF(Atletas!T163="Taijijian Wu E",932,IF(Atletas!T163="Taijijian Wu-Hao E",933,IF(Atletas!T163="Taijijian 32 E",934,IF(Atletas!T163="Taijijian 42 E",935,IF(Atletas!T163="Taijijian Yang F",936,IF(Atletas!T163="Taijijian Chen F",937,IF(Atletas!T163="Taijijian Sun F",938,IF(Atletas!T163="Taijijian Wu F",939,IF(Atletas!T163="Taijijian Wu-Hao F",940,IF(Atletas!T163="Taijijian 32 F",941,IF(Atletas!T163="Taijijian 42 F",942,"")))))))))))))))))))))))))))))))))))))))))))</f>
        <v/>
      </c>
      <c r="BW167" s="52" t="str">
        <f>IF(Atletas!U163="","",IF(Atletas!W163&lt;&gt;"",10000,0)+IF(Atletas!B163="Feminino",1000,IF(Atletas!B163="Masculino",2000,""))+IF(Atletas!T163="Taijijian 42 F",942,IF(Atletas!U163="Taijidao A",943,IF(Atletas!U163="Taijishan A",944,IF(Atletas!U163="Taijiqiang A",945,IF(Atletas!U163="Taijidao B",946,IF(Atletas!U163="Taijishan B",947,IF(Atletas!U163="Taijiqiang B",948,IF(Atletas!U163="Taijidao C",949,IF(Atletas!U163="Taijishan C",950,IF(Atletas!U163="Taijiqiang C",951,IF(Atletas!U163="Taijidao D",952,IF(Atletas!U163="Taijishan D",953,IF(Atletas!U163="Taijiqiang D",954,IF(Atletas!U163="Taijidao E",955,IF(Atletas!U163="Taijishan E",956,IF(Atletas!U163="Taijiqiang E",957,IF(Atletas!U163="Taijidao F",958,IF(Atletas!U163="Taijishan F",959,IF(Atletas!U163="Taijiqiang F",960))))))))))))))))))))</f>
        <v/>
      </c>
      <c r="BX167" s="72" t="str">
        <f>IF(BY167&lt;&gt;"","TJQ Trad. Wu-Hao F","")</f>
        <v/>
      </c>
      <c r="BY167" s="72" t="str">
        <f>IF(COUNTIF(BK:BW,1335)&gt;0,COUNTIF(BK:BW,1335),"")</f>
        <v/>
      </c>
      <c r="BZ167" s="72" t="str">
        <f>IF(CA167&lt;&gt;"","TJQ Trad. Wu-Hao F","")</f>
        <v/>
      </c>
      <c r="CA167" s="72" t="str">
        <f>IF(COUNTIF(BK:BW,2335)&gt;0,COUNTIF(BK:BW,2335),"")</f>
        <v/>
      </c>
      <c r="CB167" s="72" t="str">
        <f>IF(CC167&lt;&gt;"","Wu-Hao F","")</f>
        <v/>
      </c>
      <c r="CC167" s="64" t="str">
        <f>IF(COUNTIF(BK:BW,11335)&gt;0,COUNTIF(BK:BW,11335),"")</f>
        <v/>
      </c>
      <c r="CD167" s="64" t="str">
        <f>IF(CE167&lt;&gt;"","Wu-Hao F","")</f>
        <v/>
      </c>
      <c r="CE167" s="64" t="str">
        <f>IF(COUNTIF(BK:BW,12335)&gt;0,COUNTIF(BK:BW,12335),"")</f>
        <v/>
      </c>
      <c r="CF167" s="52" t="str">
        <f xml:space="preserve"> IF(Atletas!V163="","",IF(Atletas!V163="Duilian de Mãos AB - Equipe 1",1,IF(Atletas!V163="Duilian de Mãos AB - Equipe 2",2,IF(Atletas!V163="Duilian de Armas AB - Equipe 1",3,IF(Atletas!V163="Duilian de Armas AB - Equipe 2",4,IF(Atletas!V163="Duilian de Tuishou - Equipe 1",5,IF(Atletas!V163="Duilian de Tuishou - Equipe 2",6,IF(Atletas!V163="Grupo Externo AB - Equipe 1",7,IF(Atletas!V163="Grupo Externo AB - Equipe 2",8,IF(Atletas!V163="Grupo Interno AB - Equipe 1",9,IF(Atletas!V163="Grupo Interno AB - Equipe 2",10,IF(Atletas!V163="Duilian de Mãos CD - Equipe 1",11,IF(Atletas!V163="Duilian de Mãos CD - Equipe 2",12,IF(Atletas!V163="Duilian de Armas CD - Equipe 1",13,IF(Atletas!V163="Duilian de Armas CD - Equipe 2",14,IF(Atletas!V163="Duilian de Tuishou - Equipe 1",15,IF(Atletas!V163="Duilian de Tuishou - Equipe 2",16,IF(Atletas!V163="Grupo Externo CDEF - Equipe 1",17,IF(Atletas!V163="Grupo Externo CDEF - Equipe 2",18,IF(Atletas!V163="Grupo Interno CDEF - Equipe 1",19,IF(Atletas!V163="Grupo Interno CDEF - Equipe 2",20,IF(Atletas!V163="Duilian de Mãos EF - Equipe 1",21,IF(Atletas!V163="Duilian de Mãos EF - Equipe 2",22,IF(Atletas!V163="Duilian de Armas EF - Equipe 1",23,IF(Atletas!V163="Duilian de Armas EF - Equipe 2",24,IF(Atletas!V163="Duilian de Tuishou - Equipe 1",25,IF(Atletas!V163="Duilian de Tuishou - Equipe 2",26,"")))))))))))))))))))))))))))</f>
        <v/>
      </c>
    </row>
    <row r="168" spans="2:84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 t="str">
        <f t="array" ref="V168">IFERROR(INDEX(BX$7:BX$336,SMALL(IF(BX$7:BX$336&lt;&gt;"",ROW(BX$7:BX$336)-ROW(BX$7)+1),ROWS(BX$7:BX167))),"")</f>
        <v/>
      </c>
      <c r="W168" s="4" t="str">
        <f t="array" ref="W168">IFERROR(INDEX(BY$7:BY$336,SMALL(IF(BY$7:BY$336&lt;&gt;"",ROW(BY$7:BY$336)-ROW(BY$7)+1),ROWS(BY$7:BY167))),"")</f>
        <v/>
      </c>
      <c r="X168" s="4" t="str">
        <f t="array" ref="X168">IFERROR(INDEX(BZ$7:BZ$336,SMALL(IF(BZ$7:BZ$336&lt;&gt;"",ROW(BZ$7:BZ$336)-ROW(BZ$7)+1),ROWS(BZ$7:BZ167))),"")</f>
        <v/>
      </c>
      <c r="Y168" s="4" t="str">
        <f t="array" ref="Y168">IFERROR(INDEX(CA$7:CA$336,SMALL(IF(CA$7:CA$336&lt;&gt;"",ROW(CA$7:CA$336)-ROW(CA$7)+1),ROWS(CA$7:CA167))),"")</f>
        <v/>
      </c>
      <c r="Z168" s="4" t="str">
        <f t="array" ref="Z168">IFERROR(INDEX(CB$7:CB$378,SMALL(IF(CB$7:CB$378&lt;&gt;"",ROW(CB$7:CB$378)-ROW(CB$7)+1),ROWS(CB$7:CB167))),"")</f>
        <v/>
      </c>
      <c r="AA168" s="4" t="str">
        <f t="array" ref="AA168">IFERROR(INDEX(CC$7:CC$378,SMALL(IF(CC$7:CC$378&lt;&gt;"",ROW(CC$7:CC$378)-ROW(CC$7)+1),ROWS(CC$7:CC167))),"")</f>
        <v/>
      </c>
      <c r="AB168" s="4" t="str">
        <f t="array" ref="AB168">IFERROR(INDEX(CD$7:CD$378,SMALL(IF(CD$7:CD$378&lt;&gt;"",ROW(CD$7:CD$378)-ROW(CD$7)+1),ROWS(CD$7:CD167))),"")</f>
        <v/>
      </c>
      <c r="AC168" s="4" t="str">
        <f t="array" ref="AC168">IFERROR(INDEX(CE$7:CE$378,SMALL(IF(CE$7:CE$378&lt;&gt;"",ROW(CE$7:CE$378)-ROW(CE$7)+1),ROWS(CE$7:CE167))),"")</f>
        <v/>
      </c>
      <c r="AD168" s="4"/>
      <c r="AE168" s="4"/>
      <c r="AF168" s="4"/>
      <c r="AG168" s="4"/>
      <c r="AH168" s="4"/>
      <c r="AI168" s="4"/>
      <c r="AJ168" s="46" t="str">
        <f>IF(Atletas!D164="","",IF(Atletas!B164="Feminino",100,IF(Atletas!B164="Masculino",200,""))+(IF(Atletas!D164="Infantil 39kg",1,IF(Atletas!D164="Infantil 42kg",2,IF(Atletas!D164="Infantil 45kg",3,IF(Atletas!D164="Infantil 48kg",4,IF(Atletas!D164="Infantil 52kg",5,IF(Atletas!D164="Infantil 56kg",6,IF(Atletas!D164="Infantil 60kg",7,IF(Atletas!D164="Juvenil 48kg",8,IF(Atletas!D164="Juvenil 52kg",9,IF(Atletas!D164="Juvenil 56kg",10,IF(Atletas!D164="Juvenil 60kg",11,IF(Atletas!D164="Juvenil 65kg",12,IF(Atletas!D164="Juvenil 70kg",13,IF(Atletas!D164="Juvenil 75kg",14,IF(Atletas!D164="Juvenil 80kg",15,IF(Atletas!D164="Adulto 48kg",16,IF(Atletas!D164="Adulto 52kg",17,IF(Atletas!D164="Adulto 56kg",18,IF(Atletas!D164="Adulto 60kg",19,IF(Atletas!D164="Adulto 65kg",20,IF(Atletas!D164="Adulto 70kg",21,IF(Atletas!D164="Adulto 75kg",22,IF(Atletas!D164="Adulto 80kg",23,IF(Atletas!D164="Adulto 85kg",24,IF(Atletas!D164="Adulto 90kg",25,IF(Atletas!D164="Adulto +90kg",26,""))))))))))))))))))))))))))))</f>
        <v/>
      </c>
      <c r="AO168" s="10" t="str">
        <f>IF(Atletas!E164="","",IF(Atletas!B164="Feminino",100,IF(Atletas!B164="Masculino",200,""))+(IF(Atletas!E164="Juvenil 44kg",1,IF(Atletas!E164="Juvenil 48kg",2,IF(Atletas!E164="Juvenil 52kg",3,IF(Atletas!E164="Juvenil 56kg",4,IF(Atletas!E164="Juvenil 60kg",5,IF(Atletas!E164="Juvenil 65kg",6,IF(Atletas!E164="Juvenil 70kg",7,IF(Atletas!E164="Juvenil 75kg",8,IF(Atletas!E164="Juvenil 82kg",9,IF(Atletas!E164="Juvenil 90kg",10,IF(Atletas!E164="Juvenil 100kg",11,IF(Atletas!E164="Adulto 48kg",12,IF(Atletas!E164="Adulto 52kg",13,IF(Atletas!E164="Adulto 56kg",14,IF(Atletas!E164="Adulto 60kg",15,IF(Atletas!E164="Adulto 65kg",16,IF(Atletas!E164="Adulto 70kg",17,IF(Atletas!E164="Adulto 75kg",18,IF(Atletas!E164="Adulto 82kg",19,IF(Atletas!E164="Adulto 90kg",20,IF(Atletas!E164="Adulto 100kg",21,IF(Atletas!E164="Adulto +100kg",22,""))))))))))))))))))))))))</f>
        <v/>
      </c>
      <c r="AT168" s="10" t="str">
        <f>IF(Atletas!F164="","",IF(Atletas!B164="Feminino",100,IF(Atletas!B164="Masculino",200,""))+(IF(Atletas!F164="Adulto 48kg",1,IF(Atletas!F164="Adulto 56kg",2,IF(Atletas!F164="Adulto 65kg",3,IF(Atletas!F164="Adulto 75kg",4,IF(Atletas!F164="Adulto +75kg",5,IF(Atletas!F164="Adulto 52kg",6,IF(Atletas!F164="Adulto 60kg",7,IF(Atletas!F164="Adulto 70kg",8,IF(Atletas!F164="Adulto 80kg",9,IF(Atletas!F164="Adulto 90kg",10,IF(Atletas!F164="Adulto +90kg",11,"")))))))))))))</f>
        <v/>
      </c>
      <c r="AY168" s="46" t="str">
        <f>IF(Atletas!G164="","",IF(Atletas!B164="Feminino",100,IF(Atletas!B164="Masculino",200,""))+(IF(Atletas!G164="Changquan Mirim",1,IF(Atletas!G164="Nanquan Mirim",2,IF(Atletas!G164="Taijiquan Mirim",3,IF(Atletas!G164="Changquan Grupo C",4,IF(Atletas!G164="Nanquan Grupo C",5,IF(Atletas!G164="Taijiquan Grupo C",6,IF(Atletas!G164="Changquan Grupo B",7,IF(Atletas!G164="Nanquan Grupo B",8,IF(Atletas!G164="Taijiquan Grupo B",9,IF(Atletas!G164="Changquan Grupo A",10,IF(Atletas!G164="Nanquan Grupo A",11,IF(Atletas!G164="Taijiquan Grupo A",12,IF(Atletas!G164="Changquan Opcional",13,IF(Atletas!G164="Nanquan Opcional",14,IF(Atletas!G164="Taijiquan Opcional",15,IF(Atletas!G164="Changquan Adulto",16,IF(Atletas!G164="Nanquan Adulto",17,IF(Atletas!G164="Taijiquan Adulto",18,""))))))))))))))))))))</f>
        <v/>
      </c>
      <c r="AZ168" s="46" t="str">
        <f>IF(Atletas!H164="","",IF(Atletas!B164="Feminino",100,IF(Atletas!B164="Masculino",200,""))+(IF(Atletas!H164="Daoshu Mirim",19,IF(Atletas!H164="Jianshu Mirim",20,IF(Atletas!H164="Nandao Mirim",21,IF(Atletas!H164="Taijijian Mirim",22,IF(Atletas!H164="Daoshu Grupo C",23,IF(Atletas!H164="Jianshu Grupo C",24,IF(Atletas!H164="Nandao Grupo C",25,IF(Atletas!H164="Taijijian Grupo C",26,IF(Atletas!H164="Daoshu Grupo B",27,IF(Atletas!H164="Jianshu Grupo B",28,IF(Atletas!H164="Nandao Grupo B",29,IF(Atletas!H164="Taijijian Grupo B",30,IF(Atletas!H164="Daoshu Grupo A",31,IF(Atletas!H164="Jianshu Grupo A",32,IF(Atletas!H164="Nandao Grupo A",33,IF(Atletas!H164="Taijijian Grupo A",34,IF(Atletas!H164="Daoshu Opcional",35,IF(Atletas!H164="Jianshu Opcional",36,IF(Atletas!H164="Nandao Opcional",37,IF(Atletas!H164="Taijijian Opcional",38,IF(Atletas!H164="Daoshu Adulto",39,IF(Atletas!H164="Jianshu Adulto",40,IF(Atletas!H164="Nandao Adulto",41,IF(Atletas!H164="Taijijian Adulto",42,""))))))))))))))))))))))))))</f>
        <v/>
      </c>
      <c r="BA168" s="46" t="str">
        <f>IF(Atletas!I164="","",IF(Atletas!B164="Feminino",100,IF(Atletas!B164="Masculino",200,""))+(IF(Atletas!I164="Gunshu Mirim",43,IF(Atletas!I164="Qiangshu Mirim",44,IF(Atletas!I164="Nangun Mirim",45,IF(Atletas!I164="Gunshu Grupo C",46,IF(Atletas!I164="Qiangshu Grupo C",47,IF(Atletas!I164="Nangun Grupo C",48,IF(Atletas!I164="Gunshu Grupo B",49,IF(Atletas!I164="Qiangshu Grupo B",50,IF(Atletas!I164="Nangun Grupo B",51,IF(Atletas!I164="Gunshu Grupo A",52,IF(Atletas!I164="Qiangshu Grupo A",53,IF(Atletas!I164="Nangun Grupo A",54,IF(Atletas!I164="Gunshu Opcional",55,IF(Atletas!I164="Qiangshu Opcional",56,IF(Atletas!I164="Nangun Opcional",57,IF(Atletas!I164="Gunshu Adulto",58,IF(Atletas!I164="Qiangshu Adulto",59,IF(Atletas!I164="Nangun Adulto",60,""))))))))))))))))))))</f>
        <v/>
      </c>
      <c r="BF168" s="52" t="str">
        <f>IF(Atletas!J164="","",IF(Atletas!B164="Feminino",100,IF(Atletas!B164="Masculino",200,""))+(IF(Atletas!J164="Equipe 1 Grupo B",1,IF(Atletas!J164="Equipe 2 Grupo B",2,IF(Atletas!J164="Equipe 1 Grupo A",3,IF(Atletas!J164="Equipe 2 Grupo A",4,IF(Atletas!J164="Equipe 1 Adulto",5,IF(Atletas!J164="Equipe 2 Adulto",6,""))))))))</f>
        <v/>
      </c>
      <c r="BK168" s="52" t="str">
        <f>IF(Atletas!K164="","",IF(Atletas!W164&lt;&gt;"",10000,0)+(IF(Atletas!B164="Feminino",1000,IF(Atletas!B164="Masculino",2000,""))+IF(Atletas!K164="Choylayfut A",1,IF(Atletas!K164="Hunggar A",2,IF(Atletas!K164="Wuzuquan A",3,IF(Atletas!K164="Wingchun A",4,IF(Atletas!K164="Outra Mão de Sul A",5,IF(Atletas!K164="Choylayfut B",6,IF(Atletas!K164="Hunggar B",7,IF(Atletas!K164="Wuzuquan B",8,IF(Atletas!K164="Wingchun B",9,IF(Atletas!K164="Outra Mão de Sul B",10,IF(Atletas!K164="Choylayfut C",11,IF(Atletas!K164="Hunggar C",12,IF(Atletas!K164="Wuzuquan C",13,IF(Atletas!K164="Wingchun C",14,IF(Atletas!K164="Outra Mão de Sul C",15,IF(Atletas!K164="Choylayfut D",16,IF(Atletas!K164="Hunggar D",17,IF(Atletas!K164="Wuzuquan D",18,IF(Atletas!K164="Wingchun D",19,IF(Atletas!K164="Outra Mão de Sul D",20,IF(Atletas!K164="Choylayfut E",21,IF(Atletas!K164="Hunggar E",22,IF(Atletas!K164="Wuzuquan E",23,IF(Atletas!K164="Wingchun E",24,IF(Atletas!K164="Outra Mão de Sul E",25,IF(Atletas!K164="Choylayfut F",26,IF(Atletas!K164="Hunggar F",27,IF(Atletas!K164="Wuzuquan F",28,IF(Atletas!K164="Wingchun F",29,IF(Atletas!K164="Outra Mão de Sul F",30,""))))))))))))))))))))))))))))))))</f>
        <v/>
      </c>
      <c r="BL168" s="52" t="str">
        <f>IF(Atletas!L164="","",IF(Atletas!W164&lt;&gt;"",10000,0)+(IF(Atletas!B164="Feminino",1000,IF(Atletas!B164="Masculino",2000,""))+(IF(Atletas!L164="Chaquan A",101,IF(Atletas!L164="Emeiquan A",102,IF(Atletas!L164="Fanziquan A",103,IF(Atletas!L164="Huaquan A",104,IF(Atletas!L164="Hongquan A",105,IF(Atletas!L164="Paochui A",106,IF(Atletas!L164="Piguaquan A",107,IF(Atletas!L164="Shaolinquan A",108,IF(Atletas!L164="Tanglangquan A",109,IF(Atletas!L164="Yinzhaophai A",110,IF(Atletas!L164="Tongbeiquan A",111,IF(Atletas!L164="Wudangquan A",112,IF(Atletas!L164="Outros Estilos A",113,IF(Atletas!L164="Chaquan B",114,IF(Atletas!L164="Emeiquan B",115,IF(Atletas!L164="Fanziquan B",116,IF(Atletas!L164="Huaquan B",117,IF(Atletas!L164="Hongquan B",118,IF(Atletas!L164="Paochui B",119,IF(Atletas!L164="Piguaquan B",120,IF(Atletas!L164="Shaolinquan B",121,IF(Atletas!L164="Tanglangquan B",122,IF(Atletas!L164="Yinzhaophai B",123,IF(Atletas!L164="Tongbeiquan B",124,IF(Atletas!L164="Wudangquan B",125,IF(Atletas!L164="Outros Estilos B",126,IF(Atletas!L164="Chaquan C",127,IF(Atletas!L164="Emeiquan C",128,IF(Atletas!L164="Fanziquan C",129,IF(Atletas!L164="Huaquan C",130,IF(Atletas!L164="Hongquan C",131,IF(Atletas!L164="Paochui C",132,IF(Atletas!L164="Piguaquan C",133,IF(Atletas!L164="Shaolinquan C",134,IF(Atletas!L164="Tanglangquan C",135,IF(Atletas!L164="Yinzhaophai C",136,IF(Atletas!L164="Tongbeiquan C",137,IF(Atletas!L164="Wudangquan C",138,IF(Atletas!L164="Outros Estilos C",139,0))))))))))))))))))))))))))))))))))))))))))</f>
        <v/>
      </c>
      <c r="BM168" s="52" t="str">
        <f>IF(Atletas!L164="","",IF(Atletas!W164&lt;&gt;"",10000,0)+(IF(Atletas!B164="Feminino",1000,IF(Atletas!B164="Masculino",2000,""))+(IF(Atletas!L164="Chaquan D",140,IF(Atletas!L164="Emeiquan D",141,IF(Atletas!L164="Fanziquan D",142,IF(Atletas!L164="Huaquan D",143,IF(Atletas!L164="Hongquan D",144,IF(Atletas!L164="Paochui D",145,IF(Atletas!L164="Piguaquan D",146,IF(Atletas!L164="Shaolinquan D",147,IF(Atletas!L164="Tanglangquan D",148,IF(Atletas!L164="Yinzhaophai D",149,IF(Atletas!L164="Tongbeiquan D",150,IF(Atletas!L164="Wudangquan D",151,IF(Atletas!L164="Outros Estilos D",152,IF(Atletas!L164="Chaquan E",153,IF(Atletas!L164="Emeiquan E",154,IF(Atletas!L164="Fanziquan E",155,IF(Atletas!L164="Huaquan E",156,IF(Atletas!L164="Hongquan E",157,IF(Atletas!L164="Paochui E",158,IF(Atletas!L164="Piguaquan E",159,IF(Atletas!L164="Shaolinquan E",160,IF(Atletas!L164="Tanglangquan E",161,IF(Atletas!L164="Yinzhaophai E",162,IF(Atletas!L164="Tongbeiquan E",163,IF(Atletas!L164="Wudangquan E",164,IF(Atletas!L164="Outros Estilos E",165,IF(Atletas!L164="Chaquan F",166,IF(Atletas!L164="Emeiquan F",167,IF(Atletas!L164="Fanziquan F",168,IF(Atletas!L164="Huaquan F",169,IF(Atletas!L164="Hongquan F",170,IF(Atletas!L164="Paochui F",171,IF(Atletas!L164="Piguaquan F",172,IF(Atletas!L164="Shaolinquan F",173,IF(Atletas!L164="Tanglangquan F",174,IF(Atletas!L164="Yinzhaophai F",175,IF(Atletas!L164="Tongbeiquan F",176,IF(Atletas!L164="Wudangquan F",177,IF(Atletas!L164="Outros Estilos F",178,0))))))))))))))))))))))))))))))))))))))))))</f>
        <v/>
      </c>
      <c r="BN168" s="52" t="str">
        <f>IF(Atletas!M164="","",IF(Atletas!W164&lt;&gt;"",10000,0)+(IF(Atletas!B164="Feminino",1000,IF(Atletas!B164="Masculino",2000,""))+(IF(Atletas!M164="Ditangquan A",201,IF(Atletas!M164="Houquan A",202,IF(Atletas!M164="Zuiquan A",203,IF(Atletas!M164="Ditangquan B",204,IF(Atletas!M164="Houquan B",205,IF(Atletas!M164="Zuiquan B",206,IF(Atletas!M164="Ditangquan C",207,IF(Atletas!M164="Houquan C",208,IF(Atletas!M164="Zuiquan C",209,IF(Atletas!M164="Ditangquan D",210,IF(Atletas!M164="Houquan D",211,IF(Atletas!M164="Zuiquan D",212,IF(Atletas!M164="Ditangquan E",213,IF(Atletas!M164="Houquan E",214,IF(Atletas!M164="Zuiquan E",215,IF(Atletas!M164="Ditangquan F",216,IF(Atletas!M164="Houquan F",217,IF(Atletas!M164="Zuiquan F",218,"")))))))))))))))))))))</f>
        <v/>
      </c>
      <c r="BO168" s="52" t="str">
        <f>IF(Atletas!N164="","",IF(Atletas!W164&lt;&gt;"",10000,0)+IF(Atletas!B164="Feminino",1000,IF(Atletas!B164="Masculino",2000,""))+IF(Atletas!N164="Yang A",301,IF(Atletas!N164="Chen A",30,IF(Atletas!N164="Sun A",303,IF(Atletas!N164="Wu A",304,IF(Atletas!N164="Wu-Hao A",305,IF(Atletas!N164="Outro Taijiquan A",306,IF(Atletas!N164="Yang B",307,IF(Atletas!N164="Chen B",308,IF(Atletas!N164="Sun B",309,IF(Atletas!N164="Wu B",310,IF(Atletas!N164="Wu-Hao B",311,IF(Atletas!N164="Outro Taijiquan B",312,IF(Atletas!N164="Yang C",313,IF(Atletas!N164="Chen C",314,IF(Atletas!N164="Sun C",315,IF(Atletas!N164="Wu C",316,IF(Atletas!N164="Wu-Hao C",317,IF(Atletas!N164="Outro Taijiquan C",318,IF(Atletas!N164="Yang D",319,IF(Atletas!N164="Chen D",320,IF(Atletas!N164="Sun D",321,IF(Atletas!N164="Wu D",322,IF(Atletas!N164="Wu-Hao D",323,IF(Atletas!N164="Outro Taijiquan D",324,IF(Atletas!N164="Yang E",325,IF(Atletas!N164="Chen E",326,IF(Atletas!N164="Sun E",327,IF(Atletas!N164="Wu E",328,IF(Atletas!N164="Wu-Hao E",329,IF(Atletas!N164="Outro Taijiquan E",330,IF(Atletas!N164="Yang F",331,IF(Atletas!N164="Chen F",332,IF(Atletas!N164="Sun F",333,IF(Atletas!N164="Wu F",334,IF(Atletas!N164="Wu-Hao F",335,IF(Atletas!N164="Outro Taijiquan F",336,"")))))))))))))))))))))))))))))))))))))</f>
        <v/>
      </c>
      <c r="BP168" s="52" t="str">
        <f>IF(Atletas!O164="","",IF(Atletas!W164&lt;&gt;"",10000,0)+IF(Atletas!B164="Feminino",1000,IF(Atletas!B164="Masculino",2000,""))+IF(OR(Atletas!O164="Yang 26 A",Atletas!O164="Yang 40 A"),401,IF(OR(Atletas!O164="Chen 25 A",Atletas!O164="Chen 36 A",Atletas!O164="Chen 56 A"),402,IF(Atletas!O164="Sun 73 A",403,IF(Atletas!O164="Wu 45 A",404,IF(Atletas!O164="Wu-Hao 46 A",405,IF(OR(Atletas!O164="Taijiquan 16 A",Atletas!O164="Taijiquan 24 A",Atletas!O164="Taijiquan 32 A",Atletas!O164="Taijiquan 42 A"),406,IF(OR(Atletas!O164="Yang 26 B",Atletas!O164="Yang 40 B"),407,IF(OR(Atletas!O164="Chen 25 B",Atletas!O164="Chen 36 B",Atletas!O164="Chen 56 B"),408,IF(Atletas!O164="Sun 73 B",409,IF(Atletas!O164="Wu 45 B",410,IF(Atletas!O164="Wu-Hao 46 B",411,IF(OR(Atletas!O164="Taijiquan 16 B",Atletas!O164="Taijiquan 24 B",Atletas!O164="Taijiquan 32 B",Atletas!O164="Taijiquan 42 B"),412,IF(OR(Atletas!O164="Yang 26 C",Atletas!O164="Yang 40 C"),413,IF(OR(Atletas!O164="Chen 25 C",Atletas!O164="Chen 36 C",Atletas!O164="Chen 56 C"),414,IF(Atletas!O164="Sun 73 C",415,IF(Atletas!O164="Wu 45 C",416,IF(Atletas!O164="Wu-Hao 46 C",417,IF(OR(Atletas!O164="Taijiquan 16 C",Atletas!O164="Taijiquan 24 C",Atletas!O164="Taijiquan 32 C",Atletas!O164="Taijiquan 42 C"),418,0)))))))))))))))))))</f>
        <v/>
      </c>
      <c r="BQ168" s="52" t="str">
        <f>IF(Atletas!O164="","",IF(Atletas!W164&lt;&gt;"",10000,0)+IF(Atletas!B164="Feminino",1000,IF(Atletas!B164="Masculino",2000,""))+IF(OR(Atletas!O164="Yang 26 D",Atletas!O164="Yang 40 D"),419,IF(OR(Atletas!O164="Chen 25 D",Atletas!O164="Chen 36 D",Atletas!O164="Chen 56 D"),420,IF(Atletas!O164="Sun 73 D",421,IF(Atletas!O164="Wu 45 D",422,IF(Atletas!O164="Wu-Hao 46 D",423,IF(OR(Atletas!O164="Taijiquan 16 D",Atletas!O164="Taijiquan 24 D",Atletas!O164="Taijiquan 32 D",Atletas!O164="Taijiquan 42 D"),424,IF(OR(Atletas!O164="Yang 26 E",Atletas!O164="Yang 40 E"),425,IF(OR(Atletas!O164="Chen 25 E",Atletas!O164="Chen 36 E",Atletas!O164="Chen 56 E"),426,IF(Atletas!O164="Sun 73 E",427,IF(Atletas!O164="Wu 45 E",428,IF(Atletas!O164="Wu-Hao 46 E",429,IF(OR(Atletas!O164="Taijiquan 16 E",Atletas!O164="Taijiquan 24 E",Atletas!O164="Taijiquan 32 E",Atletas!O164="Taijiquan 42 E"),430,IF(OR(Atletas!O164="Yang 26 F",Atletas!O164="Yang 40 F"),431,IF(OR(Atletas!O164="Chen 25 F",Atletas!O164="Chen 36 F",Atletas!O164="Chen 56 F"),432,IF(Atletas!O164="Sun 73 F",433,IF(Atletas!O164="Wu 45 F",434,IF(Atletas!O164="Wu-Hao 46 F",435,IF(OR(Atletas!O164="Taijiquan 16 F",Atletas!O164="Taijiquan 24 F",Atletas!O164="Taijiquan 32 F",Atletas!O164="Taijiquan 42 F"),436,0)))))))))))))))))))</f>
        <v/>
      </c>
      <c r="BR168" s="52" t="str">
        <f>IF(Atletas!P164="","",IF(Atletas!W164&lt;&gt;"",10000,0)+IF(Atletas!B164="Feminino",1000,IF(Atletas!B164="Masculino",2000,""))+IF(Atletas!P164="Xingyiquan A",501,IF(Atletas!P164="Baguazhang A",502,IF(Atletas!P164="Outro Estilo Interno A",503,IF(Atletas!P164="Xingyiquan B",504,IF(Atletas!P164="Baguazhang B",505,IF(Atletas!P164="Outro Estilo Interno B",506,IF(Atletas!P164="Xingyiquan C",507,IF(Atletas!P164="Baguazhang C",508,IF(Atletas!P164="Outro Estilo Interno C",509,IF(Atletas!P164="Xingyiquan D",510,IF(Atletas!P164="Baguazhang D",511,IF(Atletas!P164="Outro Estilo Interno D",512,IF(Atletas!P164="Xingyiquan E",513,IF(Atletas!P164="Baguazhang E",514,IF(Atletas!P164="Outro Estilo Interno E",515,IF(Atletas!P164="Xingyiquan F",516,IF(Atletas!P164="Baguazhang F",517,IF(Atletas!P164="Outro Estilo Interno F",518, "")))))))))))))))))))</f>
        <v/>
      </c>
      <c r="BS168" s="52" t="str">
        <f>IF(Atletas!Q164="","",IF(Atletas!W164&lt;&gt;"",10000,0)+IF(Atletas!B164="Feminino",1000,IF(Atletas!B164="Masculino",2000,""))+IF(Atletas!Q164="Dao A",601,IF(Atletas!Q164="Jian A",602,IF(Atletas!Q164="Bishou A",603,IF(Atletas!Q164="Shan A",604,IF(Atletas!Q164="Outra Arma Curta A",605,IF(Atletas!Q164="Dao B",606,IF(Atletas!Q164="Jian B",607,IF(Atletas!Q164="Bishou B",608,IF(Atletas!Q164="Shan B",609,IF(Atletas!Q164="Outra Arma Curta B",610,IF(Atletas!Q164="Dao C",611,IF(Atletas!Q164="Jian C",612,IF(Atletas!Q164="Bishou C",613,IF(Atletas!Q164="Shan C",614,IF(Atletas!Q164="Outra Arma Curta C",615,IF(Atletas!Q164="Dao D",616,IF(Atletas!Q164="Jian D",617,IF(Atletas!Q164="Bishou D",618,IF(Atletas!Q164="Shan D",619,IF(Atletas!Q164="Outra Arma Curta D",620,IF(Atletas!Q164="Dao E",621,IF(Atletas!Q164="Jian E",622,IF(Atletas!Q164="Bishou E",623,IF(Atletas!Q164="Shan E",624,IF(Atletas!Q164="Outra Arma Curta E",625,IF(Atletas!Q164="Dao F",626,IF(Atletas!Q164="Jian F",627,IF(Atletas!Q164="Bishou F",628,IF(Atletas!Q164="Shan F",629,IF(Atletas!Q164="Outra Arma Curta F",630, "")))))))))))))))))))))))))))))))</f>
        <v/>
      </c>
      <c r="BT168" s="52" t="str">
        <f>IF(Atletas!R164="","",IF(Atletas!W164&lt;&gt;"",10000,0)+IF(Atletas!B164="Feminino",1000,IF(Atletas!B164="Masculino",2000,""))+IF(Atletas!R164="Gun A",701,IF(Atletas!R164="Qiang A",702,IF(Atletas!R164="Pudao / Guandao A",703,IF(Atletas!R164="Outra Arma Longa A",704,IF(Atletas!R164="Gun B",705,IF(Atletas!R164="Qiang B",706,IF(Atletas!R164="Pudao / Guandao B",707,IF(Atletas!R164="Outra Arma Longa B",708,IF(Atletas!R164="Gun C",709,IF(Atletas!R164="Qiang C",710,IF(Atletas!R164="Pudao / Guandao C",711,IF(Atletas!R164="Outra Arma Longa C",712,IF(Atletas!R164="Gun D",713,IF(Atletas!R164="Qiang D",714,IF(Atletas!R164="Pudao / Guandao D",715,IF(Atletas!R164="Outra Arma Longa D",716,IF(Atletas!R164="Gun E",717,IF(Atletas!R164="Qiang E",718,IF(Atletas!R164="Pudao / Guandao E",719,IF(Atletas!R164="Outra Arma Longa E",720,IF(Atletas!R164="Gun F",721,IF(Atletas!R164="Qiang F",722,IF(Atletas!R164="Pudao / Guandao F",723,IF(Atletas!R164="Outra Arma Longa F",724,"")))))))))))))))))))))))))</f>
        <v/>
      </c>
      <c r="BU168" s="52" t="str">
        <f>IF(Atletas!S164="","",IF(Atletas!W164&lt;&gt;"",10000,0)+IF(Atletas!B164="Feminino",1000,IF(Atletas!B164="Masculino",2000,""))+IF(Atletas!S164="Arma Dupla A",801,IF(Atletas!S164="Arma Maleável A",802,IF(Atletas!S164="Arma Dupla B",803,IF(Atletas!S164="Arma Maleável B",804,IF(Atletas!S164="Arma Dupla C",805,IF(Atletas!S164="Arma Maleável C",806,IF(Atletas!S164="Arma Dupla D",807,IF(Atletas!S164="Arma Maleável D",808,IF(Atletas!S164="Arma Dupla E",809,IF(Atletas!S164="Arma Maleável E",810,IF(Atletas!S164="Arma Dupla F",811,IF(Atletas!S164="Arma Maleável F",812, "")))))))))))))</f>
        <v/>
      </c>
      <c r="BV168" s="52" t="str">
        <f>IF(Atletas!T164="","",IF(Atletas!W164&lt;&gt;"",10000,0)+IF(Atletas!B164="Feminino",1000,IF(Atletas!B164="Masculino",2000,""))+IF(Atletas!T164="Taijijian Yang A",901,IF(Atletas!T164="Taijijian Chen A",902,IF(Atletas!T164="Taijijian Sun A",903,IF(Atletas!T164="Taijijian Wu A",904,IF(Atletas!T164="Taijijian Wu-Hao A",905,IF(Atletas!T164="Taijijian 32 A",906,IF(Atletas!T164="Taijijian 42 A",907,IF(Atletas!T164="Taijijian Yang B",908,IF(Atletas!T164="Taijijian Chen B",909,IF(Atletas!T164="Taijijian Sun B",910,IF(Atletas!T164="Taijijian Wu B",911,IF(Atletas!T164="Taijijian Wu-Hao B",912,IF(Atletas!T164="Taijijian 32 B",913,IF(Atletas!T164="Taijijian 42 B",914,IF(Atletas!T164="Taijijian Yang C",915,IF(Atletas!T164="Taijijian Chen C",916,IF(Atletas!T164="Taijijian Sun C",917,IF(Atletas!T164="Taijijian Wu C",918,IF(Atletas!T164="Taijijian Wu-Hao C",919,IF(Atletas!T164="Taijijian 32 C",920,IF(Atletas!T164="Taijijian 42 C",921,IF(Atletas!T164="Taijijian Yang D",922,IF(Atletas!T164="Taijijian Chen D",923,IF(Atletas!T164="Taijijian Sun D",924,IF(Atletas!T164="Taijijian Wu D",925,IF(Atletas!T164="Taijijian Wu-Hao D",926,IF(Atletas!T164="Taijijian 32 D",927,IF(Atletas!T164="Taijijian 42 D",928,IF(Atletas!T164="Taijijian Yang E",929,IF(Atletas!T164="Taijijian Chen E",930,IF(Atletas!T164="Taijijian Sun E",931,IF(Atletas!T164="Taijijian Wu E",932,IF(Atletas!T164="Taijijian Wu-Hao E",933,IF(Atletas!T164="Taijijian 32 E",934,IF(Atletas!T164="Taijijian 42 E",935,IF(Atletas!T164="Taijijian Yang F",936,IF(Atletas!T164="Taijijian Chen F",937,IF(Atletas!T164="Taijijian Sun F",938,IF(Atletas!T164="Taijijian Wu F",939,IF(Atletas!T164="Taijijian Wu-Hao F",940,IF(Atletas!T164="Taijijian 32 F",941,IF(Atletas!T164="Taijijian 42 F",942,"")))))))))))))))))))))))))))))))))))))))))))</f>
        <v/>
      </c>
      <c r="BW168" s="52" t="str">
        <f>IF(Atletas!U164="","",IF(Atletas!W164&lt;&gt;"",10000,0)+IF(Atletas!B164="Feminino",1000,IF(Atletas!B164="Masculino",2000,""))+IF(Atletas!T164="Taijijian 42 F",942,IF(Atletas!U164="Taijidao A",943,IF(Atletas!U164="Taijishan A",944,IF(Atletas!U164="Taijiqiang A",945,IF(Atletas!U164="Taijidao B",946,IF(Atletas!U164="Taijishan B",947,IF(Atletas!U164="Taijiqiang B",948,IF(Atletas!U164="Taijidao C",949,IF(Atletas!U164="Taijishan C",950,IF(Atletas!U164="Taijiqiang C",951,IF(Atletas!U164="Taijidao D",952,IF(Atletas!U164="Taijishan D",953,IF(Atletas!U164="Taijiqiang D",954,IF(Atletas!U164="Taijidao E",955,IF(Atletas!U164="Taijishan E",956,IF(Atletas!U164="Taijiqiang E",957,IF(Atletas!U164="Taijidao F",958,IF(Atletas!U164="Taijishan F",959,IF(Atletas!U164="Taijiqiang F",960))))))))))))))))))))</f>
        <v/>
      </c>
      <c r="BX168" s="72" t="str">
        <f>IF(BY168&lt;&gt;"","Outro Taijiquan F","")</f>
        <v/>
      </c>
      <c r="BY168" s="72" t="str">
        <f>IF(COUNTIF(BK:BW,1336)&gt;0,COUNTIF(BK:BW,1336),"")</f>
        <v/>
      </c>
      <c r="BZ168" s="72" t="str">
        <f>IF(CA168&lt;&gt;"","Outro Taijiquan F","")</f>
        <v/>
      </c>
      <c r="CA168" s="72" t="str">
        <f>IF(COUNTIF(BK:BW,2336)&gt;0,COUNTIF(BK:BW,2336),"")</f>
        <v/>
      </c>
      <c r="CB168" s="72" t="str">
        <f>IF(CC168&lt;&gt;"","Outro Taijiquan F","")</f>
        <v/>
      </c>
      <c r="CC168" s="64" t="str">
        <f>IF(COUNTIF(BK:BW,11336)&gt;0,COUNTIF(BK:BW,11336),"")</f>
        <v/>
      </c>
      <c r="CD168" s="64" t="str">
        <f>IF(CE168&lt;&gt;"","Outro Taijiquan F","")</f>
        <v/>
      </c>
      <c r="CE168" s="64" t="str">
        <f>IF(COUNTIF(BK:BW,12336)&gt;0,COUNTIF(BK:BW,12336),"")</f>
        <v/>
      </c>
      <c r="CF168" s="52" t="str">
        <f xml:space="preserve"> IF(Atletas!V164="","",IF(Atletas!V164="Duilian de Mãos AB - Equipe 1",1,IF(Atletas!V164="Duilian de Mãos AB - Equipe 2",2,IF(Atletas!V164="Duilian de Armas AB - Equipe 1",3,IF(Atletas!V164="Duilian de Armas AB - Equipe 2",4,IF(Atletas!V164="Duilian de Tuishou - Equipe 1",5,IF(Atletas!V164="Duilian de Tuishou - Equipe 2",6,IF(Atletas!V164="Grupo Externo AB - Equipe 1",7,IF(Atletas!V164="Grupo Externo AB - Equipe 2",8,IF(Atletas!V164="Grupo Interno AB - Equipe 1",9,IF(Atletas!V164="Grupo Interno AB - Equipe 2",10,IF(Atletas!V164="Duilian de Mãos CD - Equipe 1",11,IF(Atletas!V164="Duilian de Mãos CD - Equipe 2",12,IF(Atletas!V164="Duilian de Armas CD - Equipe 1",13,IF(Atletas!V164="Duilian de Armas CD - Equipe 2",14,IF(Atletas!V164="Duilian de Tuishou - Equipe 1",15,IF(Atletas!V164="Duilian de Tuishou - Equipe 2",16,IF(Atletas!V164="Grupo Externo CDEF - Equipe 1",17,IF(Atletas!V164="Grupo Externo CDEF - Equipe 2",18,IF(Atletas!V164="Grupo Interno CDEF - Equipe 1",19,IF(Atletas!V164="Grupo Interno CDEF - Equipe 2",20,IF(Atletas!V164="Duilian de Mãos EF - Equipe 1",21,IF(Atletas!V164="Duilian de Mãos EF - Equipe 2",22,IF(Atletas!V164="Duilian de Armas EF - Equipe 1",23,IF(Atletas!V164="Duilian de Armas EF - Equipe 2",24,IF(Atletas!V164="Duilian de Tuishou - Equipe 1",25,IF(Atletas!V164="Duilian de Tuishou - Equipe 2",26,"")))))))))))))))))))))))))))</f>
        <v/>
      </c>
    </row>
    <row r="169" spans="2:84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 t="str">
        <f t="array" ref="V169">IFERROR(INDEX(BX$7:BX$336,SMALL(IF(BX$7:BX$336&lt;&gt;"",ROW(BX$7:BX$336)-ROW(BX$7)+1),ROWS(BX$7:BX168))),"")</f>
        <v/>
      </c>
      <c r="W169" s="4" t="str">
        <f t="array" ref="W169">IFERROR(INDEX(BY$7:BY$336,SMALL(IF(BY$7:BY$336&lt;&gt;"",ROW(BY$7:BY$336)-ROW(BY$7)+1),ROWS(BY$7:BY168))),"")</f>
        <v/>
      </c>
      <c r="X169" s="4" t="str">
        <f t="array" ref="X169">IFERROR(INDEX(BZ$7:BZ$336,SMALL(IF(BZ$7:BZ$336&lt;&gt;"",ROW(BZ$7:BZ$336)-ROW(BZ$7)+1),ROWS(BZ$7:BZ168))),"")</f>
        <v/>
      </c>
      <c r="Y169" s="4" t="str">
        <f t="array" ref="Y169">IFERROR(INDEX(CA$7:CA$336,SMALL(IF(CA$7:CA$336&lt;&gt;"",ROW(CA$7:CA$336)-ROW(CA$7)+1),ROWS(CA$7:CA168))),"")</f>
        <v/>
      </c>
      <c r="Z169" s="4" t="str">
        <f t="array" ref="Z169">IFERROR(INDEX(CB$7:CB$378,SMALL(IF(CB$7:CB$378&lt;&gt;"",ROW(CB$7:CB$378)-ROW(CB$7)+1),ROWS(CB$7:CB168))),"")</f>
        <v/>
      </c>
      <c r="AA169" s="4" t="str">
        <f t="array" ref="AA169">IFERROR(INDEX(CC$7:CC$378,SMALL(IF(CC$7:CC$378&lt;&gt;"",ROW(CC$7:CC$378)-ROW(CC$7)+1),ROWS(CC$7:CC168))),"")</f>
        <v/>
      </c>
      <c r="AB169" s="4" t="str">
        <f t="array" ref="AB169">IFERROR(INDEX(CD$7:CD$378,SMALL(IF(CD$7:CD$378&lt;&gt;"",ROW(CD$7:CD$378)-ROW(CD$7)+1),ROWS(CD$7:CD168))),"")</f>
        <v/>
      </c>
      <c r="AC169" s="4" t="str">
        <f t="array" ref="AC169">IFERROR(INDEX(CE$7:CE$378,SMALL(IF(CE$7:CE$378&lt;&gt;"",ROW(CE$7:CE$378)-ROW(CE$7)+1),ROWS(CE$7:CE168))),"")</f>
        <v/>
      </c>
      <c r="AD169" s="4"/>
      <c r="AE169" s="4"/>
      <c r="AF169" s="4"/>
      <c r="AG169" s="4"/>
      <c r="AH169" s="4"/>
      <c r="AI169" s="4"/>
      <c r="AJ169" s="46" t="str">
        <f>IF(Atletas!D165="","",IF(Atletas!B165="Feminino",100,IF(Atletas!B165="Masculino",200,""))+(IF(Atletas!D165="Infantil 39kg",1,IF(Atletas!D165="Infantil 42kg",2,IF(Atletas!D165="Infantil 45kg",3,IF(Atletas!D165="Infantil 48kg",4,IF(Atletas!D165="Infantil 52kg",5,IF(Atletas!D165="Infantil 56kg",6,IF(Atletas!D165="Infantil 60kg",7,IF(Atletas!D165="Juvenil 48kg",8,IF(Atletas!D165="Juvenil 52kg",9,IF(Atletas!D165="Juvenil 56kg",10,IF(Atletas!D165="Juvenil 60kg",11,IF(Atletas!D165="Juvenil 65kg",12,IF(Atletas!D165="Juvenil 70kg",13,IF(Atletas!D165="Juvenil 75kg",14,IF(Atletas!D165="Juvenil 80kg",15,IF(Atletas!D165="Adulto 48kg",16,IF(Atletas!D165="Adulto 52kg",17,IF(Atletas!D165="Adulto 56kg",18,IF(Atletas!D165="Adulto 60kg",19,IF(Atletas!D165="Adulto 65kg",20,IF(Atletas!D165="Adulto 70kg",21,IF(Atletas!D165="Adulto 75kg",22,IF(Atletas!D165="Adulto 80kg",23,IF(Atletas!D165="Adulto 85kg",24,IF(Atletas!D165="Adulto 90kg",25,IF(Atletas!D165="Adulto +90kg",26,""))))))))))))))))))))))))))))</f>
        <v/>
      </c>
      <c r="AO169" s="10" t="str">
        <f>IF(Atletas!E165="","",IF(Atletas!B165="Feminino",100,IF(Atletas!B165="Masculino",200,""))+(IF(Atletas!E165="Juvenil 44kg",1,IF(Atletas!E165="Juvenil 48kg",2,IF(Atletas!E165="Juvenil 52kg",3,IF(Atletas!E165="Juvenil 56kg",4,IF(Atletas!E165="Juvenil 60kg",5,IF(Atletas!E165="Juvenil 65kg",6,IF(Atletas!E165="Juvenil 70kg",7,IF(Atletas!E165="Juvenil 75kg",8,IF(Atletas!E165="Juvenil 82kg",9,IF(Atletas!E165="Juvenil 90kg",10,IF(Atletas!E165="Juvenil 100kg",11,IF(Atletas!E165="Adulto 48kg",12,IF(Atletas!E165="Adulto 52kg",13,IF(Atletas!E165="Adulto 56kg",14,IF(Atletas!E165="Adulto 60kg",15,IF(Atletas!E165="Adulto 65kg",16,IF(Atletas!E165="Adulto 70kg",17,IF(Atletas!E165="Adulto 75kg",18,IF(Atletas!E165="Adulto 82kg",19,IF(Atletas!E165="Adulto 90kg",20,IF(Atletas!E165="Adulto 100kg",21,IF(Atletas!E165="Adulto +100kg",22,""))))))))))))))))))))))))</f>
        <v/>
      </c>
      <c r="AT169" s="10" t="str">
        <f>IF(Atletas!F165="","",IF(Atletas!B165="Feminino",100,IF(Atletas!B165="Masculino",200,""))+(IF(Atletas!F165="Adulto 48kg",1,IF(Atletas!F165="Adulto 56kg",2,IF(Atletas!F165="Adulto 65kg",3,IF(Atletas!F165="Adulto 75kg",4,IF(Atletas!F165="Adulto +75kg",5,IF(Atletas!F165="Adulto 52kg",6,IF(Atletas!F165="Adulto 60kg",7,IF(Atletas!F165="Adulto 70kg",8,IF(Atletas!F165="Adulto 80kg",9,IF(Atletas!F165="Adulto 90kg",10,IF(Atletas!F165="Adulto +90kg",11,"")))))))))))))</f>
        <v/>
      </c>
      <c r="AY169" s="46" t="str">
        <f>IF(Atletas!G165="","",IF(Atletas!B165="Feminino",100,IF(Atletas!B165="Masculino",200,""))+(IF(Atletas!G165="Changquan Mirim",1,IF(Atletas!G165="Nanquan Mirim",2,IF(Atletas!G165="Taijiquan Mirim",3,IF(Atletas!G165="Changquan Grupo C",4,IF(Atletas!G165="Nanquan Grupo C",5,IF(Atletas!G165="Taijiquan Grupo C",6,IF(Atletas!G165="Changquan Grupo B",7,IF(Atletas!G165="Nanquan Grupo B",8,IF(Atletas!G165="Taijiquan Grupo B",9,IF(Atletas!G165="Changquan Grupo A",10,IF(Atletas!G165="Nanquan Grupo A",11,IF(Atletas!G165="Taijiquan Grupo A",12,IF(Atletas!G165="Changquan Opcional",13,IF(Atletas!G165="Nanquan Opcional",14,IF(Atletas!G165="Taijiquan Opcional",15,IF(Atletas!G165="Changquan Adulto",16,IF(Atletas!G165="Nanquan Adulto",17,IF(Atletas!G165="Taijiquan Adulto",18,""))))))))))))))))))))</f>
        <v/>
      </c>
      <c r="AZ169" s="46" t="str">
        <f>IF(Atletas!H165="","",IF(Atletas!B165="Feminino",100,IF(Atletas!B165="Masculino",200,""))+(IF(Atletas!H165="Daoshu Mirim",19,IF(Atletas!H165="Jianshu Mirim",20,IF(Atletas!H165="Nandao Mirim",21,IF(Atletas!H165="Taijijian Mirim",22,IF(Atletas!H165="Daoshu Grupo C",23,IF(Atletas!H165="Jianshu Grupo C",24,IF(Atletas!H165="Nandao Grupo C",25,IF(Atletas!H165="Taijijian Grupo C",26,IF(Atletas!H165="Daoshu Grupo B",27,IF(Atletas!H165="Jianshu Grupo B",28,IF(Atletas!H165="Nandao Grupo B",29,IF(Atletas!H165="Taijijian Grupo B",30,IF(Atletas!H165="Daoshu Grupo A",31,IF(Atletas!H165="Jianshu Grupo A",32,IF(Atletas!H165="Nandao Grupo A",33,IF(Atletas!H165="Taijijian Grupo A",34,IF(Atletas!H165="Daoshu Opcional",35,IF(Atletas!H165="Jianshu Opcional",36,IF(Atletas!H165="Nandao Opcional",37,IF(Atletas!H165="Taijijian Opcional",38,IF(Atletas!H165="Daoshu Adulto",39,IF(Atletas!H165="Jianshu Adulto",40,IF(Atletas!H165="Nandao Adulto",41,IF(Atletas!H165="Taijijian Adulto",42,""))))))))))))))))))))))))))</f>
        <v/>
      </c>
      <c r="BA169" s="46" t="str">
        <f>IF(Atletas!I165="","",IF(Atletas!B165="Feminino",100,IF(Atletas!B165="Masculino",200,""))+(IF(Atletas!I165="Gunshu Mirim",43,IF(Atletas!I165="Qiangshu Mirim",44,IF(Atletas!I165="Nangun Mirim",45,IF(Atletas!I165="Gunshu Grupo C",46,IF(Atletas!I165="Qiangshu Grupo C",47,IF(Atletas!I165="Nangun Grupo C",48,IF(Atletas!I165="Gunshu Grupo B",49,IF(Atletas!I165="Qiangshu Grupo B",50,IF(Atletas!I165="Nangun Grupo B",51,IF(Atletas!I165="Gunshu Grupo A",52,IF(Atletas!I165="Qiangshu Grupo A",53,IF(Atletas!I165="Nangun Grupo A",54,IF(Atletas!I165="Gunshu Opcional",55,IF(Atletas!I165="Qiangshu Opcional",56,IF(Atletas!I165="Nangun Opcional",57,IF(Atletas!I165="Gunshu Adulto",58,IF(Atletas!I165="Qiangshu Adulto",59,IF(Atletas!I165="Nangun Adulto",60,""))))))))))))))))))))</f>
        <v/>
      </c>
      <c r="BF169" s="52" t="str">
        <f>IF(Atletas!J165="","",IF(Atletas!B165="Feminino",100,IF(Atletas!B165="Masculino",200,""))+(IF(Atletas!J165="Equipe 1 Grupo B",1,IF(Atletas!J165="Equipe 2 Grupo B",2,IF(Atletas!J165="Equipe 1 Grupo A",3,IF(Atletas!J165="Equipe 2 Grupo A",4,IF(Atletas!J165="Equipe 1 Adulto",5,IF(Atletas!J165="Equipe 2 Adulto",6,""))))))))</f>
        <v/>
      </c>
      <c r="BK169" s="52" t="str">
        <f>IF(Atletas!K165="","",IF(Atletas!W165&lt;&gt;"",10000,0)+(IF(Atletas!B165="Feminino",1000,IF(Atletas!B165="Masculino",2000,""))+IF(Atletas!K165="Choylayfut A",1,IF(Atletas!K165="Hunggar A",2,IF(Atletas!K165="Wuzuquan A",3,IF(Atletas!K165="Wingchun A",4,IF(Atletas!K165="Outra Mão de Sul A",5,IF(Atletas!K165="Choylayfut B",6,IF(Atletas!K165="Hunggar B",7,IF(Atletas!K165="Wuzuquan B",8,IF(Atletas!K165="Wingchun B",9,IF(Atletas!K165="Outra Mão de Sul B",10,IF(Atletas!K165="Choylayfut C",11,IF(Atletas!K165="Hunggar C",12,IF(Atletas!K165="Wuzuquan C",13,IF(Atletas!K165="Wingchun C",14,IF(Atletas!K165="Outra Mão de Sul C",15,IF(Atletas!K165="Choylayfut D",16,IF(Atletas!K165="Hunggar D",17,IF(Atletas!K165="Wuzuquan D",18,IF(Atletas!K165="Wingchun D",19,IF(Atletas!K165="Outra Mão de Sul D",20,IF(Atletas!K165="Choylayfut E",21,IF(Atletas!K165="Hunggar E",22,IF(Atletas!K165="Wuzuquan E",23,IF(Atletas!K165="Wingchun E",24,IF(Atletas!K165="Outra Mão de Sul E",25,IF(Atletas!K165="Choylayfut F",26,IF(Atletas!K165="Hunggar F",27,IF(Atletas!K165="Wuzuquan F",28,IF(Atletas!K165="Wingchun F",29,IF(Atletas!K165="Outra Mão de Sul F",30,""))))))))))))))))))))))))))))))))</f>
        <v/>
      </c>
      <c r="BL169" s="52" t="str">
        <f>IF(Atletas!L165="","",IF(Atletas!W165&lt;&gt;"",10000,0)+(IF(Atletas!B165="Feminino",1000,IF(Atletas!B165="Masculino",2000,""))+(IF(Atletas!L165="Chaquan A",101,IF(Atletas!L165="Emeiquan A",102,IF(Atletas!L165="Fanziquan A",103,IF(Atletas!L165="Huaquan A",104,IF(Atletas!L165="Hongquan A",105,IF(Atletas!L165="Paochui A",106,IF(Atletas!L165="Piguaquan A",107,IF(Atletas!L165="Shaolinquan A",108,IF(Atletas!L165="Tanglangquan A",109,IF(Atletas!L165="Yinzhaophai A",110,IF(Atletas!L165="Tongbeiquan A",111,IF(Atletas!L165="Wudangquan A",112,IF(Atletas!L165="Outros Estilos A",113,IF(Atletas!L165="Chaquan B",114,IF(Atletas!L165="Emeiquan B",115,IF(Atletas!L165="Fanziquan B",116,IF(Atletas!L165="Huaquan B",117,IF(Atletas!L165="Hongquan B",118,IF(Atletas!L165="Paochui B",119,IF(Atletas!L165="Piguaquan B",120,IF(Atletas!L165="Shaolinquan B",121,IF(Atletas!L165="Tanglangquan B",122,IF(Atletas!L165="Yinzhaophai B",123,IF(Atletas!L165="Tongbeiquan B",124,IF(Atletas!L165="Wudangquan B",125,IF(Atletas!L165="Outros Estilos B",126,IF(Atletas!L165="Chaquan C",127,IF(Atletas!L165="Emeiquan C",128,IF(Atletas!L165="Fanziquan C",129,IF(Atletas!L165="Huaquan C",130,IF(Atletas!L165="Hongquan C",131,IF(Atletas!L165="Paochui C",132,IF(Atletas!L165="Piguaquan C",133,IF(Atletas!L165="Shaolinquan C",134,IF(Atletas!L165="Tanglangquan C",135,IF(Atletas!L165="Yinzhaophai C",136,IF(Atletas!L165="Tongbeiquan C",137,IF(Atletas!L165="Wudangquan C",138,IF(Atletas!L165="Outros Estilos C",139,0))))))))))))))))))))))))))))))))))))))))))</f>
        <v/>
      </c>
      <c r="BM169" s="52" t="str">
        <f>IF(Atletas!L165="","",IF(Atletas!W165&lt;&gt;"",10000,0)+(IF(Atletas!B165="Feminino",1000,IF(Atletas!B165="Masculino",2000,""))+(IF(Atletas!L165="Chaquan D",140,IF(Atletas!L165="Emeiquan D",141,IF(Atletas!L165="Fanziquan D",142,IF(Atletas!L165="Huaquan D",143,IF(Atletas!L165="Hongquan D",144,IF(Atletas!L165="Paochui D",145,IF(Atletas!L165="Piguaquan D",146,IF(Atletas!L165="Shaolinquan D",147,IF(Atletas!L165="Tanglangquan D",148,IF(Atletas!L165="Yinzhaophai D",149,IF(Atletas!L165="Tongbeiquan D",150,IF(Atletas!L165="Wudangquan D",151,IF(Atletas!L165="Outros Estilos D",152,IF(Atletas!L165="Chaquan E",153,IF(Atletas!L165="Emeiquan E",154,IF(Atletas!L165="Fanziquan E",155,IF(Atletas!L165="Huaquan E",156,IF(Atletas!L165="Hongquan E",157,IF(Atletas!L165="Paochui E",158,IF(Atletas!L165="Piguaquan E",159,IF(Atletas!L165="Shaolinquan E",160,IF(Atletas!L165="Tanglangquan E",161,IF(Atletas!L165="Yinzhaophai E",162,IF(Atletas!L165="Tongbeiquan E",163,IF(Atletas!L165="Wudangquan E",164,IF(Atletas!L165="Outros Estilos E",165,IF(Atletas!L165="Chaquan F",166,IF(Atletas!L165="Emeiquan F",167,IF(Atletas!L165="Fanziquan F",168,IF(Atletas!L165="Huaquan F",169,IF(Atletas!L165="Hongquan F",170,IF(Atletas!L165="Paochui F",171,IF(Atletas!L165="Piguaquan F",172,IF(Atletas!L165="Shaolinquan F",173,IF(Atletas!L165="Tanglangquan F",174,IF(Atletas!L165="Yinzhaophai F",175,IF(Atletas!L165="Tongbeiquan F",176,IF(Atletas!L165="Wudangquan F",177,IF(Atletas!L165="Outros Estilos F",178,0))))))))))))))))))))))))))))))))))))))))))</f>
        <v/>
      </c>
      <c r="BN169" s="52" t="str">
        <f>IF(Atletas!M165="","",IF(Atletas!W165&lt;&gt;"",10000,0)+(IF(Atletas!B165="Feminino",1000,IF(Atletas!B165="Masculino",2000,""))+(IF(Atletas!M165="Ditangquan A",201,IF(Atletas!M165="Houquan A",202,IF(Atletas!M165="Zuiquan A",203,IF(Atletas!M165="Ditangquan B",204,IF(Atletas!M165="Houquan B",205,IF(Atletas!M165="Zuiquan B",206,IF(Atletas!M165="Ditangquan C",207,IF(Atletas!M165="Houquan C",208,IF(Atletas!M165="Zuiquan C",209,IF(Atletas!M165="Ditangquan D",210,IF(Atletas!M165="Houquan D",211,IF(Atletas!M165="Zuiquan D",212,IF(Atletas!M165="Ditangquan E",213,IF(Atletas!M165="Houquan E",214,IF(Atletas!M165="Zuiquan E",215,IF(Atletas!M165="Ditangquan F",216,IF(Atletas!M165="Houquan F",217,IF(Atletas!M165="Zuiquan F",218,"")))))))))))))))))))))</f>
        <v/>
      </c>
      <c r="BO169" s="52" t="str">
        <f>IF(Atletas!N165="","",IF(Atletas!W165&lt;&gt;"",10000,0)+IF(Atletas!B165="Feminino",1000,IF(Atletas!B165="Masculino",2000,""))+IF(Atletas!N165="Yang A",301,IF(Atletas!N165="Chen A",30,IF(Atletas!N165="Sun A",303,IF(Atletas!N165="Wu A",304,IF(Atletas!N165="Wu-Hao A",305,IF(Atletas!N165="Outro Taijiquan A",306,IF(Atletas!N165="Yang B",307,IF(Atletas!N165="Chen B",308,IF(Atletas!N165="Sun B",309,IF(Atletas!N165="Wu B",310,IF(Atletas!N165="Wu-Hao B",311,IF(Atletas!N165="Outro Taijiquan B",312,IF(Atletas!N165="Yang C",313,IF(Atletas!N165="Chen C",314,IF(Atletas!N165="Sun C",315,IF(Atletas!N165="Wu C",316,IF(Atletas!N165="Wu-Hao C",317,IF(Atletas!N165="Outro Taijiquan C",318,IF(Atletas!N165="Yang D",319,IF(Atletas!N165="Chen D",320,IF(Atletas!N165="Sun D",321,IF(Atletas!N165="Wu D",322,IF(Atletas!N165="Wu-Hao D",323,IF(Atletas!N165="Outro Taijiquan D",324,IF(Atletas!N165="Yang E",325,IF(Atletas!N165="Chen E",326,IF(Atletas!N165="Sun E",327,IF(Atletas!N165="Wu E",328,IF(Atletas!N165="Wu-Hao E",329,IF(Atletas!N165="Outro Taijiquan E",330,IF(Atletas!N165="Yang F",331,IF(Atletas!N165="Chen F",332,IF(Atletas!N165="Sun F",333,IF(Atletas!N165="Wu F",334,IF(Atletas!N165="Wu-Hao F",335,IF(Atletas!N165="Outro Taijiquan F",336,"")))))))))))))))))))))))))))))))))))))</f>
        <v/>
      </c>
      <c r="BP169" s="52" t="str">
        <f>IF(Atletas!O165="","",IF(Atletas!W165&lt;&gt;"",10000,0)+IF(Atletas!B165="Feminino",1000,IF(Atletas!B165="Masculino",2000,""))+IF(OR(Atletas!O165="Yang 26 A",Atletas!O165="Yang 40 A"),401,IF(OR(Atletas!O165="Chen 25 A",Atletas!O165="Chen 36 A",Atletas!O165="Chen 56 A"),402,IF(Atletas!O165="Sun 73 A",403,IF(Atletas!O165="Wu 45 A",404,IF(Atletas!O165="Wu-Hao 46 A",405,IF(OR(Atletas!O165="Taijiquan 16 A",Atletas!O165="Taijiquan 24 A",Atletas!O165="Taijiquan 32 A",Atletas!O165="Taijiquan 42 A"),406,IF(OR(Atletas!O165="Yang 26 B",Atletas!O165="Yang 40 B"),407,IF(OR(Atletas!O165="Chen 25 B",Atletas!O165="Chen 36 B",Atletas!O165="Chen 56 B"),408,IF(Atletas!O165="Sun 73 B",409,IF(Atletas!O165="Wu 45 B",410,IF(Atletas!O165="Wu-Hao 46 B",411,IF(OR(Atletas!O165="Taijiquan 16 B",Atletas!O165="Taijiquan 24 B",Atletas!O165="Taijiquan 32 B",Atletas!O165="Taijiquan 42 B"),412,IF(OR(Atletas!O165="Yang 26 C",Atletas!O165="Yang 40 C"),413,IF(OR(Atletas!O165="Chen 25 C",Atletas!O165="Chen 36 C",Atletas!O165="Chen 56 C"),414,IF(Atletas!O165="Sun 73 C",415,IF(Atletas!O165="Wu 45 C",416,IF(Atletas!O165="Wu-Hao 46 C",417,IF(OR(Atletas!O165="Taijiquan 16 C",Atletas!O165="Taijiquan 24 C",Atletas!O165="Taijiquan 32 C",Atletas!O165="Taijiquan 42 C"),418,0)))))))))))))))))))</f>
        <v/>
      </c>
      <c r="BQ169" s="52" t="str">
        <f>IF(Atletas!O165="","",IF(Atletas!W165&lt;&gt;"",10000,0)+IF(Atletas!B165="Feminino",1000,IF(Atletas!B165="Masculino",2000,""))+IF(OR(Atletas!O165="Yang 26 D",Atletas!O165="Yang 40 D"),419,IF(OR(Atletas!O165="Chen 25 D",Atletas!O165="Chen 36 D",Atletas!O165="Chen 56 D"),420,IF(Atletas!O165="Sun 73 D",421,IF(Atletas!O165="Wu 45 D",422,IF(Atletas!O165="Wu-Hao 46 D",423,IF(OR(Atletas!O165="Taijiquan 16 D",Atletas!O165="Taijiquan 24 D",Atletas!O165="Taijiquan 32 D",Atletas!O165="Taijiquan 42 D"),424,IF(OR(Atletas!O165="Yang 26 E",Atletas!O165="Yang 40 E"),425,IF(OR(Atletas!O165="Chen 25 E",Atletas!O165="Chen 36 E",Atletas!O165="Chen 56 E"),426,IF(Atletas!O165="Sun 73 E",427,IF(Atletas!O165="Wu 45 E",428,IF(Atletas!O165="Wu-Hao 46 E",429,IF(OR(Atletas!O165="Taijiquan 16 E",Atletas!O165="Taijiquan 24 E",Atletas!O165="Taijiquan 32 E",Atletas!O165="Taijiquan 42 E"),430,IF(OR(Atletas!O165="Yang 26 F",Atletas!O165="Yang 40 F"),431,IF(OR(Atletas!O165="Chen 25 F",Atletas!O165="Chen 36 F",Atletas!O165="Chen 56 F"),432,IF(Atletas!O165="Sun 73 F",433,IF(Atletas!O165="Wu 45 F",434,IF(Atletas!O165="Wu-Hao 46 F",435,IF(OR(Atletas!O165="Taijiquan 16 F",Atletas!O165="Taijiquan 24 F",Atletas!O165="Taijiquan 32 F",Atletas!O165="Taijiquan 42 F"),436,0)))))))))))))))))))</f>
        <v/>
      </c>
      <c r="BR169" s="52" t="str">
        <f>IF(Atletas!P165="","",IF(Atletas!W165&lt;&gt;"",10000,0)+IF(Atletas!B165="Feminino",1000,IF(Atletas!B165="Masculino",2000,""))+IF(Atletas!P165="Xingyiquan A",501,IF(Atletas!P165="Baguazhang A",502,IF(Atletas!P165="Outro Estilo Interno A",503,IF(Atletas!P165="Xingyiquan B",504,IF(Atletas!P165="Baguazhang B",505,IF(Atletas!P165="Outro Estilo Interno B",506,IF(Atletas!P165="Xingyiquan C",507,IF(Atletas!P165="Baguazhang C",508,IF(Atletas!P165="Outro Estilo Interno C",509,IF(Atletas!P165="Xingyiquan D",510,IF(Atletas!P165="Baguazhang D",511,IF(Atletas!P165="Outro Estilo Interno D",512,IF(Atletas!P165="Xingyiquan E",513,IF(Atletas!P165="Baguazhang E",514,IF(Atletas!P165="Outro Estilo Interno E",515,IF(Atletas!P165="Xingyiquan F",516,IF(Atletas!P165="Baguazhang F",517,IF(Atletas!P165="Outro Estilo Interno F",518, "")))))))))))))))))))</f>
        <v/>
      </c>
      <c r="BS169" s="52" t="str">
        <f>IF(Atletas!Q165="","",IF(Atletas!W165&lt;&gt;"",10000,0)+IF(Atletas!B165="Feminino",1000,IF(Atletas!B165="Masculino",2000,""))+IF(Atletas!Q165="Dao A",601,IF(Atletas!Q165="Jian A",602,IF(Atletas!Q165="Bishou A",603,IF(Atletas!Q165="Shan A",604,IF(Atletas!Q165="Outra Arma Curta A",605,IF(Atletas!Q165="Dao B",606,IF(Atletas!Q165="Jian B",607,IF(Atletas!Q165="Bishou B",608,IF(Atletas!Q165="Shan B",609,IF(Atletas!Q165="Outra Arma Curta B",610,IF(Atletas!Q165="Dao C",611,IF(Atletas!Q165="Jian C",612,IF(Atletas!Q165="Bishou C",613,IF(Atletas!Q165="Shan C",614,IF(Atletas!Q165="Outra Arma Curta C",615,IF(Atletas!Q165="Dao D",616,IF(Atletas!Q165="Jian D",617,IF(Atletas!Q165="Bishou D",618,IF(Atletas!Q165="Shan D",619,IF(Atletas!Q165="Outra Arma Curta D",620,IF(Atletas!Q165="Dao E",621,IF(Atletas!Q165="Jian E",622,IF(Atletas!Q165="Bishou E",623,IF(Atletas!Q165="Shan E",624,IF(Atletas!Q165="Outra Arma Curta E",625,IF(Atletas!Q165="Dao F",626,IF(Atletas!Q165="Jian F",627,IF(Atletas!Q165="Bishou F",628,IF(Atletas!Q165="Shan F",629,IF(Atletas!Q165="Outra Arma Curta F",630, "")))))))))))))))))))))))))))))))</f>
        <v/>
      </c>
      <c r="BT169" s="52" t="str">
        <f>IF(Atletas!R165="","",IF(Atletas!W165&lt;&gt;"",10000,0)+IF(Atletas!B165="Feminino",1000,IF(Atletas!B165="Masculino",2000,""))+IF(Atletas!R165="Gun A",701,IF(Atletas!R165="Qiang A",702,IF(Atletas!R165="Pudao / Guandao A",703,IF(Atletas!R165="Outra Arma Longa A",704,IF(Atletas!R165="Gun B",705,IF(Atletas!R165="Qiang B",706,IF(Atletas!R165="Pudao / Guandao B",707,IF(Atletas!R165="Outra Arma Longa B",708,IF(Atletas!R165="Gun C",709,IF(Atletas!R165="Qiang C",710,IF(Atletas!R165="Pudao / Guandao C",711,IF(Atletas!R165="Outra Arma Longa C",712,IF(Atletas!R165="Gun D",713,IF(Atletas!R165="Qiang D",714,IF(Atletas!R165="Pudao / Guandao D",715,IF(Atletas!R165="Outra Arma Longa D",716,IF(Atletas!R165="Gun E",717,IF(Atletas!R165="Qiang E",718,IF(Atletas!R165="Pudao / Guandao E",719,IF(Atletas!R165="Outra Arma Longa E",720,IF(Atletas!R165="Gun F",721,IF(Atletas!R165="Qiang F",722,IF(Atletas!R165="Pudao / Guandao F",723,IF(Atletas!R165="Outra Arma Longa F",724,"")))))))))))))))))))))))))</f>
        <v/>
      </c>
      <c r="BU169" s="52" t="str">
        <f>IF(Atletas!S165="","",IF(Atletas!W165&lt;&gt;"",10000,0)+IF(Atletas!B165="Feminino",1000,IF(Atletas!B165="Masculino",2000,""))+IF(Atletas!S165="Arma Dupla A",801,IF(Atletas!S165="Arma Maleável A",802,IF(Atletas!S165="Arma Dupla B",803,IF(Atletas!S165="Arma Maleável B",804,IF(Atletas!S165="Arma Dupla C",805,IF(Atletas!S165="Arma Maleável C",806,IF(Atletas!S165="Arma Dupla D",807,IF(Atletas!S165="Arma Maleável D",808,IF(Atletas!S165="Arma Dupla E",809,IF(Atletas!S165="Arma Maleável E",810,IF(Atletas!S165="Arma Dupla F",811,IF(Atletas!S165="Arma Maleável F",812, "")))))))))))))</f>
        <v/>
      </c>
      <c r="BV169" s="52" t="str">
        <f>IF(Atletas!T165="","",IF(Atletas!W165&lt;&gt;"",10000,0)+IF(Atletas!B165="Feminino",1000,IF(Atletas!B165="Masculino",2000,""))+IF(Atletas!T165="Taijijian Yang A",901,IF(Atletas!T165="Taijijian Chen A",902,IF(Atletas!T165="Taijijian Sun A",903,IF(Atletas!T165="Taijijian Wu A",904,IF(Atletas!T165="Taijijian Wu-Hao A",905,IF(Atletas!T165="Taijijian 32 A",906,IF(Atletas!T165="Taijijian 42 A",907,IF(Atletas!T165="Taijijian Yang B",908,IF(Atletas!T165="Taijijian Chen B",909,IF(Atletas!T165="Taijijian Sun B",910,IF(Atletas!T165="Taijijian Wu B",911,IF(Atletas!T165="Taijijian Wu-Hao B",912,IF(Atletas!T165="Taijijian 32 B",913,IF(Atletas!T165="Taijijian 42 B",914,IF(Atletas!T165="Taijijian Yang C",915,IF(Atletas!T165="Taijijian Chen C",916,IF(Atletas!T165="Taijijian Sun C",917,IF(Atletas!T165="Taijijian Wu C",918,IF(Atletas!T165="Taijijian Wu-Hao C",919,IF(Atletas!T165="Taijijian 32 C",920,IF(Atletas!T165="Taijijian 42 C",921,IF(Atletas!T165="Taijijian Yang D",922,IF(Atletas!T165="Taijijian Chen D",923,IF(Atletas!T165="Taijijian Sun D",924,IF(Atletas!T165="Taijijian Wu D",925,IF(Atletas!T165="Taijijian Wu-Hao D",926,IF(Atletas!T165="Taijijian 32 D",927,IF(Atletas!T165="Taijijian 42 D",928,IF(Atletas!T165="Taijijian Yang E",929,IF(Atletas!T165="Taijijian Chen E",930,IF(Atletas!T165="Taijijian Sun E",931,IF(Atletas!T165="Taijijian Wu E",932,IF(Atletas!T165="Taijijian Wu-Hao E",933,IF(Atletas!T165="Taijijian 32 E",934,IF(Atletas!T165="Taijijian 42 E",935,IF(Atletas!T165="Taijijian Yang F",936,IF(Atletas!T165="Taijijian Chen F",937,IF(Atletas!T165="Taijijian Sun F",938,IF(Atletas!T165="Taijijian Wu F",939,IF(Atletas!T165="Taijijian Wu-Hao F",940,IF(Atletas!T165="Taijijian 32 F",941,IF(Atletas!T165="Taijijian 42 F",942,"")))))))))))))))))))))))))))))))))))))))))))</f>
        <v/>
      </c>
      <c r="BW169" s="52" t="str">
        <f>IF(Atletas!U165="","",IF(Atletas!W165&lt;&gt;"",10000,0)+IF(Atletas!B165="Feminino",1000,IF(Atletas!B165="Masculino",2000,""))+IF(Atletas!T165="Taijijian 42 F",942,IF(Atletas!U165="Taijidao A",943,IF(Atletas!U165="Taijishan A",944,IF(Atletas!U165="Taijiqiang A",945,IF(Atletas!U165="Taijidao B",946,IF(Atletas!U165="Taijishan B",947,IF(Atletas!U165="Taijiqiang B",948,IF(Atletas!U165="Taijidao C",949,IF(Atletas!U165="Taijishan C",950,IF(Atletas!U165="Taijiqiang C",951,IF(Atletas!U165="Taijidao D",952,IF(Atletas!U165="Taijishan D",953,IF(Atletas!U165="Taijiqiang D",954,IF(Atletas!U165="Taijidao E",955,IF(Atletas!U165="Taijishan E",956,IF(Atletas!U165="Taijiqiang E",957,IF(Atletas!U165="Taijidao F",958,IF(Atletas!U165="Taijishan F",959,IF(Atletas!U165="Taijiqiang F",960))))))))))))))))))))</f>
        <v/>
      </c>
      <c r="BX169" s="72" t="str">
        <f>IF(BY169&lt;&gt;"","TJQ Padr. Yang A","")</f>
        <v/>
      </c>
      <c r="BY169" s="72" t="str">
        <f>IF(COUNTIF(BK:BW,1401)&gt;0,COUNTIF(BK:BW,1401),"")</f>
        <v/>
      </c>
      <c r="BZ169" s="72" t="str">
        <f>IF(CA169&lt;&gt;"","TJQ Padr. Yang A","")</f>
        <v/>
      </c>
      <c r="CA169" s="72" t="str">
        <f>IF(COUNTIF(BK:BW,2401)&gt;0,COUNTIF(BK:BW,2401),"")</f>
        <v/>
      </c>
      <c r="CB169" s="72" t="str">
        <f>IF(CC169&lt;&gt;"","Taijiquan 24 A","")</f>
        <v/>
      </c>
      <c r="CC169" s="64" t="str">
        <f>IF(COUNTIF(BK:BW,11401)&gt;0,COUNTIF(BK:BW,11401),"")</f>
        <v/>
      </c>
      <c r="CD169" s="64" t="str">
        <f>IF(CE169&lt;&gt;"","Taijiquan 24 A","")</f>
        <v/>
      </c>
      <c r="CE169" s="64" t="str">
        <f>IF(COUNTIF(BK:BW,12401)&gt;0,COUNTIF(BK:BW,12401),"")</f>
        <v/>
      </c>
      <c r="CF169" s="52" t="str">
        <f xml:space="preserve"> IF(Atletas!V165="","",IF(Atletas!V165="Duilian de Mãos AB - Equipe 1",1,IF(Atletas!V165="Duilian de Mãos AB - Equipe 2",2,IF(Atletas!V165="Duilian de Armas AB - Equipe 1",3,IF(Atletas!V165="Duilian de Armas AB - Equipe 2",4,IF(Atletas!V165="Duilian de Tuishou - Equipe 1",5,IF(Atletas!V165="Duilian de Tuishou - Equipe 2",6,IF(Atletas!V165="Grupo Externo AB - Equipe 1",7,IF(Atletas!V165="Grupo Externo AB - Equipe 2",8,IF(Atletas!V165="Grupo Interno AB - Equipe 1",9,IF(Atletas!V165="Grupo Interno AB - Equipe 2",10,IF(Atletas!V165="Duilian de Mãos CD - Equipe 1",11,IF(Atletas!V165="Duilian de Mãos CD - Equipe 2",12,IF(Atletas!V165="Duilian de Armas CD - Equipe 1",13,IF(Atletas!V165="Duilian de Armas CD - Equipe 2",14,IF(Atletas!V165="Duilian de Tuishou - Equipe 1",15,IF(Atletas!V165="Duilian de Tuishou - Equipe 2",16,IF(Atletas!V165="Grupo Externo CDEF - Equipe 1",17,IF(Atletas!V165="Grupo Externo CDEF - Equipe 2",18,IF(Atletas!V165="Grupo Interno CDEF - Equipe 1",19,IF(Atletas!V165="Grupo Interno CDEF - Equipe 2",20,IF(Atletas!V165="Duilian de Mãos EF - Equipe 1",21,IF(Atletas!V165="Duilian de Mãos EF - Equipe 2",22,IF(Atletas!V165="Duilian de Armas EF - Equipe 1",23,IF(Atletas!V165="Duilian de Armas EF - Equipe 2",24,IF(Atletas!V165="Duilian de Tuishou - Equipe 1",25,IF(Atletas!V165="Duilian de Tuishou - Equipe 2",26,"")))))))))))))))))))))))))))</f>
        <v/>
      </c>
    </row>
    <row r="170" spans="2:84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 t="str">
        <f t="array" ref="V170">IFERROR(INDEX(BX$7:BX$336,SMALL(IF(BX$7:BX$336&lt;&gt;"",ROW(BX$7:BX$336)-ROW(BX$7)+1),ROWS(BX$7:BX169))),"")</f>
        <v/>
      </c>
      <c r="W170" s="4" t="str">
        <f t="array" ref="W170">IFERROR(INDEX(BY$7:BY$336,SMALL(IF(BY$7:BY$336&lt;&gt;"",ROW(BY$7:BY$336)-ROW(BY$7)+1),ROWS(BY$7:BY169))),"")</f>
        <v/>
      </c>
      <c r="X170" s="4" t="str">
        <f t="array" ref="X170">IFERROR(INDEX(BZ$7:BZ$336,SMALL(IF(BZ$7:BZ$336&lt;&gt;"",ROW(BZ$7:BZ$336)-ROW(BZ$7)+1),ROWS(BZ$7:BZ169))),"")</f>
        <v/>
      </c>
      <c r="Y170" s="4" t="str">
        <f t="array" ref="Y170">IFERROR(INDEX(CA$7:CA$336,SMALL(IF(CA$7:CA$336&lt;&gt;"",ROW(CA$7:CA$336)-ROW(CA$7)+1),ROWS(CA$7:CA169))),"")</f>
        <v/>
      </c>
      <c r="Z170" s="4" t="str">
        <f t="array" ref="Z170">IFERROR(INDEX(CB$7:CB$378,SMALL(IF(CB$7:CB$378&lt;&gt;"",ROW(CB$7:CB$378)-ROW(CB$7)+1),ROWS(CB$7:CB169))),"")</f>
        <v/>
      </c>
      <c r="AA170" s="4" t="str">
        <f t="array" ref="AA170">IFERROR(INDEX(CC$7:CC$378,SMALL(IF(CC$7:CC$378&lt;&gt;"",ROW(CC$7:CC$378)-ROW(CC$7)+1),ROWS(CC$7:CC169))),"")</f>
        <v/>
      </c>
      <c r="AB170" s="4" t="str">
        <f t="array" ref="AB170">IFERROR(INDEX(CD$7:CD$378,SMALL(IF(CD$7:CD$378&lt;&gt;"",ROW(CD$7:CD$378)-ROW(CD$7)+1),ROWS(CD$7:CD169))),"")</f>
        <v/>
      </c>
      <c r="AC170" s="4" t="str">
        <f t="array" ref="AC170">IFERROR(INDEX(CE$7:CE$378,SMALL(IF(CE$7:CE$378&lt;&gt;"",ROW(CE$7:CE$378)-ROW(CE$7)+1),ROWS(CE$7:CE169))),"")</f>
        <v/>
      </c>
      <c r="AD170" s="4"/>
      <c r="AE170" s="4"/>
      <c r="AF170" s="4"/>
      <c r="AG170" s="4"/>
      <c r="AH170" s="4"/>
      <c r="AI170" s="4"/>
      <c r="AJ170" s="46" t="str">
        <f>IF(Atletas!D166="","",IF(Atletas!B166="Feminino",100,IF(Atletas!B166="Masculino",200,""))+(IF(Atletas!D166="Infantil 39kg",1,IF(Atletas!D166="Infantil 42kg",2,IF(Atletas!D166="Infantil 45kg",3,IF(Atletas!D166="Infantil 48kg",4,IF(Atletas!D166="Infantil 52kg",5,IF(Atletas!D166="Infantil 56kg",6,IF(Atletas!D166="Infantil 60kg",7,IF(Atletas!D166="Juvenil 48kg",8,IF(Atletas!D166="Juvenil 52kg",9,IF(Atletas!D166="Juvenil 56kg",10,IF(Atletas!D166="Juvenil 60kg",11,IF(Atletas!D166="Juvenil 65kg",12,IF(Atletas!D166="Juvenil 70kg",13,IF(Atletas!D166="Juvenil 75kg",14,IF(Atletas!D166="Juvenil 80kg",15,IF(Atletas!D166="Adulto 48kg",16,IF(Atletas!D166="Adulto 52kg",17,IF(Atletas!D166="Adulto 56kg",18,IF(Atletas!D166="Adulto 60kg",19,IF(Atletas!D166="Adulto 65kg",20,IF(Atletas!D166="Adulto 70kg",21,IF(Atletas!D166="Adulto 75kg",22,IF(Atletas!D166="Adulto 80kg",23,IF(Atletas!D166="Adulto 85kg",24,IF(Atletas!D166="Adulto 90kg",25,IF(Atletas!D166="Adulto +90kg",26,""))))))))))))))))))))))))))))</f>
        <v/>
      </c>
      <c r="AO170" s="10" t="str">
        <f>IF(Atletas!E166="","",IF(Atletas!B166="Feminino",100,IF(Atletas!B166="Masculino",200,""))+(IF(Atletas!E166="Juvenil 44kg",1,IF(Atletas!E166="Juvenil 48kg",2,IF(Atletas!E166="Juvenil 52kg",3,IF(Atletas!E166="Juvenil 56kg",4,IF(Atletas!E166="Juvenil 60kg",5,IF(Atletas!E166="Juvenil 65kg",6,IF(Atletas!E166="Juvenil 70kg",7,IF(Atletas!E166="Juvenil 75kg",8,IF(Atletas!E166="Juvenil 82kg",9,IF(Atletas!E166="Juvenil 90kg",10,IF(Atletas!E166="Juvenil 100kg",11,IF(Atletas!E166="Adulto 48kg",12,IF(Atletas!E166="Adulto 52kg",13,IF(Atletas!E166="Adulto 56kg",14,IF(Atletas!E166="Adulto 60kg",15,IF(Atletas!E166="Adulto 65kg",16,IF(Atletas!E166="Adulto 70kg",17,IF(Atletas!E166="Adulto 75kg",18,IF(Atletas!E166="Adulto 82kg",19,IF(Atletas!E166="Adulto 90kg",20,IF(Atletas!E166="Adulto 100kg",21,IF(Atletas!E166="Adulto +100kg",22,""))))))))))))))))))))))))</f>
        <v/>
      </c>
      <c r="AT170" s="10" t="str">
        <f>IF(Atletas!F166="","",IF(Atletas!B166="Feminino",100,IF(Atletas!B166="Masculino",200,""))+(IF(Atletas!F166="Adulto 48kg",1,IF(Atletas!F166="Adulto 56kg",2,IF(Atletas!F166="Adulto 65kg",3,IF(Atletas!F166="Adulto 75kg",4,IF(Atletas!F166="Adulto +75kg",5,IF(Atletas!F166="Adulto 52kg",6,IF(Atletas!F166="Adulto 60kg",7,IF(Atletas!F166="Adulto 70kg",8,IF(Atletas!F166="Adulto 80kg",9,IF(Atletas!F166="Adulto 90kg",10,IF(Atletas!F166="Adulto +90kg",11,"")))))))))))))</f>
        <v/>
      </c>
      <c r="AY170" s="46" t="str">
        <f>IF(Atletas!G166="","",IF(Atletas!B166="Feminino",100,IF(Atletas!B166="Masculino",200,""))+(IF(Atletas!G166="Changquan Mirim",1,IF(Atletas!G166="Nanquan Mirim",2,IF(Atletas!G166="Taijiquan Mirim",3,IF(Atletas!G166="Changquan Grupo C",4,IF(Atletas!G166="Nanquan Grupo C",5,IF(Atletas!G166="Taijiquan Grupo C",6,IF(Atletas!G166="Changquan Grupo B",7,IF(Atletas!G166="Nanquan Grupo B",8,IF(Atletas!G166="Taijiquan Grupo B",9,IF(Atletas!G166="Changquan Grupo A",10,IF(Atletas!G166="Nanquan Grupo A",11,IF(Atletas!G166="Taijiquan Grupo A",12,IF(Atletas!G166="Changquan Opcional",13,IF(Atletas!G166="Nanquan Opcional",14,IF(Atletas!G166="Taijiquan Opcional",15,IF(Atletas!G166="Changquan Adulto",16,IF(Atletas!G166="Nanquan Adulto",17,IF(Atletas!G166="Taijiquan Adulto",18,""))))))))))))))))))))</f>
        <v/>
      </c>
      <c r="AZ170" s="46" t="str">
        <f>IF(Atletas!H166="","",IF(Atletas!B166="Feminino",100,IF(Atletas!B166="Masculino",200,""))+(IF(Atletas!H166="Daoshu Mirim",19,IF(Atletas!H166="Jianshu Mirim",20,IF(Atletas!H166="Nandao Mirim",21,IF(Atletas!H166="Taijijian Mirim",22,IF(Atletas!H166="Daoshu Grupo C",23,IF(Atletas!H166="Jianshu Grupo C",24,IF(Atletas!H166="Nandao Grupo C",25,IF(Atletas!H166="Taijijian Grupo C",26,IF(Atletas!H166="Daoshu Grupo B",27,IF(Atletas!H166="Jianshu Grupo B",28,IF(Atletas!H166="Nandao Grupo B",29,IF(Atletas!H166="Taijijian Grupo B",30,IF(Atletas!H166="Daoshu Grupo A",31,IF(Atletas!H166="Jianshu Grupo A",32,IF(Atletas!H166="Nandao Grupo A",33,IF(Atletas!H166="Taijijian Grupo A",34,IF(Atletas!H166="Daoshu Opcional",35,IF(Atletas!H166="Jianshu Opcional",36,IF(Atletas!H166="Nandao Opcional",37,IF(Atletas!H166="Taijijian Opcional",38,IF(Atletas!H166="Daoshu Adulto",39,IF(Atletas!H166="Jianshu Adulto",40,IF(Atletas!H166="Nandao Adulto",41,IF(Atletas!H166="Taijijian Adulto",42,""))))))))))))))))))))))))))</f>
        <v/>
      </c>
      <c r="BA170" s="46" t="str">
        <f>IF(Atletas!I166="","",IF(Atletas!B166="Feminino",100,IF(Atletas!B166="Masculino",200,""))+(IF(Atletas!I166="Gunshu Mirim",43,IF(Atletas!I166="Qiangshu Mirim",44,IF(Atletas!I166="Nangun Mirim",45,IF(Atletas!I166="Gunshu Grupo C",46,IF(Atletas!I166="Qiangshu Grupo C",47,IF(Atletas!I166="Nangun Grupo C",48,IF(Atletas!I166="Gunshu Grupo B",49,IF(Atletas!I166="Qiangshu Grupo B",50,IF(Atletas!I166="Nangun Grupo B",51,IF(Atletas!I166="Gunshu Grupo A",52,IF(Atletas!I166="Qiangshu Grupo A",53,IF(Atletas!I166="Nangun Grupo A",54,IF(Atletas!I166="Gunshu Opcional",55,IF(Atletas!I166="Qiangshu Opcional",56,IF(Atletas!I166="Nangun Opcional",57,IF(Atletas!I166="Gunshu Adulto",58,IF(Atletas!I166="Qiangshu Adulto",59,IF(Atletas!I166="Nangun Adulto",60,""))))))))))))))))))))</f>
        <v/>
      </c>
      <c r="BF170" s="52" t="str">
        <f>IF(Atletas!J166="","",IF(Atletas!B166="Feminino",100,IF(Atletas!B166="Masculino",200,""))+(IF(Atletas!J166="Equipe 1 Grupo B",1,IF(Atletas!J166="Equipe 2 Grupo B",2,IF(Atletas!J166="Equipe 1 Grupo A",3,IF(Atletas!J166="Equipe 2 Grupo A",4,IF(Atletas!J166="Equipe 1 Adulto",5,IF(Atletas!J166="Equipe 2 Adulto",6,""))))))))</f>
        <v/>
      </c>
      <c r="BK170" s="52" t="str">
        <f>IF(Atletas!K166="","",IF(Atletas!W166&lt;&gt;"",10000,0)+(IF(Atletas!B166="Feminino",1000,IF(Atletas!B166="Masculino",2000,""))+IF(Atletas!K166="Choylayfut A",1,IF(Atletas!K166="Hunggar A",2,IF(Atletas!K166="Wuzuquan A",3,IF(Atletas!K166="Wingchun A",4,IF(Atletas!K166="Outra Mão de Sul A",5,IF(Atletas!K166="Choylayfut B",6,IF(Atletas!K166="Hunggar B",7,IF(Atletas!K166="Wuzuquan B",8,IF(Atletas!K166="Wingchun B",9,IF(Atletas!K166="Outra Mão de Sul B",10,IF(Atletas!K166="Choylayfut C",11,IF(Atletas!K166="Hunggar C",12,IF(Atletas!K166="Wuzuquan C",13,IF(Atletas!K166="Wingchun C",14,IF(Atletas!K166="Outra Mão de Sul C",15,IF(Atletas!K166="Choylayfut D",16,IF(Atletas!K166="Hunggar D",17,IF(Atletas!K166="Wuzuquan D",18,IF(Atletas!K166="Wingchun D",19,IF(Atletas!K166="Outra Mão de Sul D",20,IF(Atletas!K166="Choylayfut E",21,IF(Atletas!K166="Hunggar E",22,IF(Atletas!K166="Wuzuquan E",23,IF(Atletas!K166="Wingchun E",24,IF(Atletas!K166="Outra Mão de Sul E",25,IF(Atletas!K166="Choylayfut F",26,IF(Atletas!K166="Hunggar F",27,IF(Atletas!K166="Wuzuquan F",28,IF(Atletas!K166="Wingchun F",29,IF(Atletas!K166="Outra Mão de Sul F",30,""))))))))))))))))))))))))))))))))</f>
        <v/>
      </c>
      <c r="BL170" s="52" t="str">
        <f>IF(Atletas!L166="","",IF(Atletas!W166&lt;&gt;"",10000,0)+(IF(Atletas!B166="Feminino",1000,IF(Atletas!B166="Masculino",2000,""))+(IF(Atletas!L166="Chaquan A",101,IF(Atletas!L166="Emeiquan A",102,IF(Atletas!L166="Fanziquan A",103,IF(Atletas!L166="Huaquan A",104,IF(Atletas!L166="Hongquan A",105,IF(Atletas!L166="Paochui A",106,IF(Atletas!L166="Piguaquan A",107,IF(Atletas!L166="Shaolinquan A",108,IF(Atletas!L166="Tanglangquan A",109,IF(Atletas!L166="Yinzhaophai A",110,IF(Atletas!L166="Tongbeiquan A",111,IF(Atletas!L166="Wudangquan A",112,IF(Atletas!L166="Outros Estilos A",113,IF(Atletas!L166="Chaquan B",114,IF(Atletas!L166="Emeiquan B",115,IF(Atletas!L166="Fanziquan B",116,IF(Atletas!L166="Huaquan B",117,IF(Atletas!L166="Hongquan B",118,IF(Atletas!L166="Paochui B",119,IF(Atletas!L166="Piguaquan B",120,IF(Atletas!L166="Shaolinquan B",121,IF(Atletas!L166="Tanglangquan B",122,IF(Atletas!L166="Yinzhaophai B",123,IF(Atletas!L166="Tongbeiquan B",124,IF(Atletas!L166="Wudangquan B",125,IF(Atletas!L166="Outros Estilos B",126,IF(Atletas!L166="Chaquan C",127,IF(Atletas!L166="Emeiquan C",128,IF(Atletas!L166="Fanziquan C",129,IF(Atletas!L166="Huaquan C",130,IF(Atletas!L166="Hongquan C",131,IF(Atletas!L166="Paochui C",132,IF(Atletas!L166="Piguaquan C",133,IF(Atletas!L166="Shaolinquan C",134,IF(Atletas!L166="Tanglangquan C",135,IF(Atletas!L166="Yinzhaophai C",136,IF(Atletas!L166="Tongbeiquan C",137,IF(Atletas!L166="Wudangquan C",138,IF(Atletas!L166="Outros Estilos C",139,0))))))))))))))))))))))))))))))))))))))))))</f>
        <v/>
      </c>
      <c r="BM170" s="52" t="str">
        <f>IF(Atletas!L166="","",IF(Atletas!W166&lt;&gt;"",10000,0)+(IF(Atletas!B166="Feminino",1000,IF(Atletas!B166="Masculino",2000,""))+(IF(Atletas!L166="Chaquan D",140,IF(Atletas!L166="Emeiquan D",141,IF(Atletas!L166="Fanziquan D",142,IF(Atletas!L166="Huaquan D",143,IF(Atletas!L166="Hongquan D",144,IF(Atletas!L166="Paochui D",145,IF(Atletas!L166="Piguaquan D",146,IF(Atletas!L166="Shaolinquan D",147,IF(Atletas!L166="Tanglangquan D",148,IF(Atletas!L166="Yinzhaophai D",149,IF(Atletas!L166="Tongbeiquan D",150,IF(Atletas!L166="Wudangquan D",151,IF(Atletas!L166="Outros Estilos D",152,IF(Atletas!L166="Chaquan E",153,IF(Atletas!L166="Emeiquan E",154,IF(Atletas!L166="Fanziquan E",155,IF(Atletas!L166="Huaquan E",156,IF(Atletas!L166="Hongquan E",157,IF(Atletas!L166="Paochui E",158,IF(Atletas!L166="Piguaquan E",159,IF(Atletas!L166="Shaolinquan E",160,IF(Atletas!L166="Tanglangquan E",161,IF(Atletas!L166="Yinzhaophai E",162,IF(Atletas!L166="Tongbeiquan E",163,IF(Atletas!L166="Wudangquan E",164,IF(Atletas!L166="Outros Estilos E",165,IF(Atletas!L166="Chaquan F",166,IF(Atletas!L166="Emeiquan F",167,IF(Atletas!L166="Fanziquan F",168,IF(Atletas!L166="Huaquan F",169,IF(Atletas!L166="Hongquan F",170,IF(Atletas!L166="Paochui F",171,IF(Atletas!L166="Piguaquan F",172,IF(Atletas!L166="Shaolinquan F",173,IF(Atletas!L166="Tanglangquan F",174,IF(Atletas!L166="Yinzhaophai F",175,IF(Atletas!L166="Tongbeiquan F",176,IF(Atletas!L166="Wudangquan F",177,IF(Atletas!L166="Outros Estilos F",178,0))))))))))))))))))))))))))))))))))))))))))</f>
        <v/>
      </c>
      <c r="BN170" s="52" t="str">
        <f>IF(Atletas!M166="","",IF(Atletas!W166&lt;&gt;"",10000,0)+(IF(Atletas!B166="Feminino",1000,IF(Atletas!B166="Masculino",2000,""))+(IF(Atletas!M166="Ditangquan A",201,IF(Atletas!M166="Houquan A",202,IF(Atletas!M166="Zuiquan A",203,IF(Atletas!M166="Ditangquan B",204,IF(Atletas!M166="Houquan B",205,IF(Atletas!M166="Zuiquan B",206,IF(Atletas!M166="Ditangquan C",207,IF(Atletas!M166="Houquan C",208,IF(Atletas!M166="Zuiquan C",209,IF(Atletas!M166="Ditangquan D",210,IF(Atletas!M166="Houquan D",211,IF(Atletas!M166="Zuiquan D",212,IF(Atletas!M166="Ditangquan E",213,IF(Atletas!M166="Houquan E",214,IF(Atletas!M166="Zuiquan E",215,IF(Atletas!M166="Ditangquan F",216,IF(Atletas!M166="Houquan F",217,IF(Atletas!M166="Zuiquan F",218,"")))))))))))))))))))))</f>
        <v/>
      </c>
      <c r="BO170" s="52" t="str">
        <f>IF(Atletas!N166="","",IF(Atletas!W166&lt;&gt;"",10000,0)+IF(Atletas!B166="Feminino",1000,IF(Atletas!B166="Masculino",2000,""))+IF(Atletas!N166="Yang A",301,IF(Atletas!N166="Chen A",30,IF(Atletas!N166="Sun A",303,IF(Atletas!N166="Wu A",304,IF(Atletas!N166="Wu-Hao A",305,IF(Atletas!N166="Outro Taijiquan A",306,IF(Atletas!N166="Yang B",307,IF(Atletas!N166="Chen B",308,IF(Atletas!N166="Sun B",309,IF(Atletas!N166="Wu B",310,IF(Atletas!N166="Wu-Hao B",311,IF(Atletas!N166="Outro Taijiquan B",312,IF(Atletas!N166="Yang C",313,IF(Atletas!N166="Chen C",314,IF(Atletas!N166="Sun C",315,IF(Atletas!N166="Wu C",316,IF(Atletas!N166="Wu-Hao C",317,IF(Atletas!N166="Outro Taijiquan C",318,IF(Atletas!N166="Yang D",319,IF(Atletas!N166="Chen D",320,IF(Atletas!N166="Sun D",321,IF(Atletas!N166="Wu D",322,IF(Atletas!N166="Wu-Hao D",323,IF(Atletas!N166="Outro Taijiquan D",324,IF(Atletas!N166="Yang E",325,IF(Atletas!N166="Chen E",326,IF(Atletas!N166="Sun E",327,IF(Atletas!N166="Wu E",328,IF(Atletas!N166="Wu-Hao E",329,IF(Atletas!N166="Outro Taijiquan E",330,IF(Atletas!N166="Yang F",331,IF(Atletas!N166="Chen F",332,IF(Atletas!N166="Sun F",333,IF(Atletas!N166="Wu F",334,IF(Atletas!N166="Wu-Hao F",335,IF(Atletas!N166="Outro Taijiquan F",336,"")))))))))))))))))))))))))))))))))))))</f>
        <v/>
      </c>
      <c r="BP170" s="52" t="str">
        <f>IF(Atletas!O166="","",IF(Atletas!W166&lt;&gt;"",10000,0)+IF(Atletas!B166="Feminino",1000,IF(Atletas!B166="Masculino",2000,""))+IF(OR(Atletas!O166="Yang 26 A",Atletas!O166="Yang 40 A"),401,IF(OR(Atletas!O166="Chen 25 A",Atletas!O166="Chen 36 A",Atletas!O166="Chen 56 A"),402,IF(Atletas!O166="Sun 73 A",403,IF(Atletas!O166="Wu 45 A",404,IF(Atletas!O166="Wu-Hao 46 A",405,IF(OR(Atletas!O166="Taijiquan 16 A",Atletas!O166="Taijiquan 24 A",Atletas!O166="Taijiquan 32 A",Atletas!O166="Taijiquan 42 A"),406,IF(OR(Atletas!O166="Yang 26 B",Atletas!O166="Yang 40 B"),407,IF(OR(Atletas!O166="Chen 25 B",Atletas!O166="Chen 36 B",Atletas!O166="Chen 56 B"),408,IF(Atletas!O166="Sun 73 B",409,IF(Atletas!O166="Wu 45 B",410,IF(Atletas!O166="Wu-Hao 46 B",411,IF(OR(Atletas!O166="Taijiquan 16 B",Atletas!O166="Taijiquan 24 B",Atletas!O166="Taijiquan 32 B",Atletas!O166="Taijiquan 42 B"),412,IF(OR(Atletas!O166="Yang 26 C",Atletas!O166="Yang 40 C"),413,IF(OR(Atletas!O166="Chen 25 C",Atletas!O166="Chen 36 C",Atletas!O166="Chen 56 C"),414,IF(Atletas!O166="Sun 73 C",415,IF(Atletas!O166="Wu 45 C",416,IF(Atletas!O166="Wu-Hao 46 C",417,IF(OR(Atletas!O166="Taijiquan 16 C",Atletas!O166="Taijiquan 24 C",Atletas!O166="Taijiquan 32 C",Atletas!O166="Taijiquan 42 C"),418,0)))))))))))))))))))</f>
        <v/>
      </c>
      <c r="BQ170" s="52" t="str">
        <f>IF(Atletas!O166="","",IF(Atletas!W166&lt;&gt;"",10000,0)+IF(Atletas!B166="Feminino",1000,IF(Atletas!B166="Masculino",2000,""))+IF(OR(Atletas!O166="Yang 26 D",Atletas!O166="Yang 40 D"),419,IF(OR(Atletas!O166="Chen 25 D",Atletas!O166="Chen 36 D",Atletas!O166="Chen 56 D"),420,IF(Atletas!O166="Sun 73 D",421,IF(Atletas!O166="Wu 45 D",422,IF(Atletas!O166="Wu-Hao 46 D",423,IF(OR(Atletas!O166="Taijiquan 16 D",Atletas!O166="Taijiquan 24 D",Atletas!O166="Taijiquan 32 D",Atletas!O166="Taijiquan 42 D"),424,IF(OR(Atletas!O166="Yang 26 E",Atletas!O166="Yang 40 E"),425,IF(OR(Atletas!O166="Chen 25 E",Atletas!O166="Chen 36 E",Atletas!O166="Chen 56 E"),426,IF(Atletas!O166="Sun 73 E",427,IF(Atletas!O166="Wu 45 E",428,IF(Atletas!O166="Wu-Hao 46 E",429,IF(OR(Atletas!O166="Taijiquan 16 E",Atletas!O166="Taijiquan 24 E",Atletas!O166="Taijiquan 32 E",Atletas!O166="Taijiquan 42 E"),430,IF(OR(Atletas!O166="Yang 26 F",Atletas!O166="Yang 40 F"),431,IF(OR(Atletas!O166="Chen 25 F",Atletas!O166="Chen 36 F",Atletas!O166="Chen 56 F"),432,IF(Atletas!O166="Sun 73 F",433,IF(Atletas!O166="Wu 45 F",434,IF(Atletas!O166="Wu-Hao 46 F",435,IF(OR(Atletas!O166="Taijiquan 16 F",Atletas!O166="Taijiquan 24 F",Atletas!O166="Taijiquan 32 F",Atletas!O166="Taijiquan 42 F"),436,0)))))))))))))))))))</f>
        <v/>
      </c>
      <c r="BR170" s="52" t="str">
        <f>IF(Atletas!P166="","",IF(Atletas!W166&lt;&gt;"",10000,0)+IF(Atletas!B166="Feminino",1000,IF(Atletas!B166="Masculino",2000,""))+IF(Atletas!P166="Xingyiquan A",501,IF(Atletas!P166="Baguazhang A",502,IF(Atletas!P166="Outro Estilo Interno A",503,IF(Atletas!P166="Xingyiquan B",504,IF(Atletas!P166="Baguazhang B",505,IF(Atletas!P166="Outro Estilo Interno B",506,IF(Atletas!P166="Xingyiquan C",507,IF(Atletas!P166="Baguazhang C",508,IF(Atletas!P166="Outro Estilo Interno C",509,IF(Atletas!P166="Xingyiquan D",510,IF(Atletas!P166="Baguazhang D",511,IF(Atletas!P166="Outro Estilo Interno D",512,IF(Atletas!P166="Xingyiquan E",513,IF(Atletas!P166="Baguazhang E",514,IF(Atletas!P166="Outro Estilo Interno E",515,IF(Atletas!P166="Xingyiquan F",516,IF(Atletas!P166="Baguazhang F",517,IF(Atletas!P166="Outro Estilo Interno F",518, "")))))))))))))))))))</f>
        <v/>
      </c>
      <c r="BS170" s="52" t="str">
        <f>IF(Atletas!Q166="","",IF(Atletas!W166&lt;&gt;"",10000,0)+IF(Atletas!B166="Feminino",1000,IF(Atletas!B166="Masculino",2000,""))+IF(Atletas!Q166="Dao A",601,IF(Atletas!Q166="Jian A",602,IF(Atletas!Q166="Bishou A",603,IF(Atletas!Q166="Shan A",604,IF(Atletas!Q166="Outra Arma Curta A",605,IF(Atletas!Q166="Dao B",606,IF(Atletas!Q166="Jian B",607,IF(Atletas!Q166="Bishou B",608,IF(Atletas!Q166="Shan B",609,IF(Atletas!Q166="Outra Arma Curta B",610,IF(Atletas!Q166="Dao C",611,IF(Atletas!Q166="Jian C",612,IF(Atletas!Q166="Bishou C",613,IF(Atletas!Q166="Shan C",614,IF(Atletas!Q166="Outra Arma Curta C",615,IF(Atletas!Q166="Dao D",616,IF(Atletas!Q166="Jian D",617,IF(Atletas!Q166="Bishou D",618,IF(Atletas!Q166="Shan D",619,IF(Atletas!Q166="Outra Arma Curta D",620,IF(Atletas!Q166="Dao E",621,IF(Atletas!Q166="Jian E",622,IF(Atletas!Q166="Bishou E",623,IF(Atletas!Q166="Shan E",624,IF(Atletas!Q166="Outra Arma Curta E",625,IF(Atletas!Q166="Dao F",626,IF(Atletas!Q166="Jian F",627,IF(Atletas!Q166="Bishou F",628,IF(Atletas!Q166="Shan F",629,IF(Atletas!Q166="Outra Arma Curta F",630, "")))))))))))))))))))))))))))))))</f>
        <v/>
      </c>
      <c r="BT170" s="52" t="str">
        <f>IF(Atletas!R166="","",IF(Atletas!W166&lt;&gt;"",10000,0)+IF(Atletas!B166="Feminino",1000,IF(Atletas!B166="Masculino",2000,""))+IF(Atletas!R166="Gun A",701,IF(Atletas!R166="Qiang A",702,IF(Atletas!R166="Pudao / Guandao A",703,IF(Atletas!R166="Outra Arma Longa A",704,IF(Atletas!R166="Gun B",705,IF(Atletas!R166="Qiang B",706,IF(Atletas!R166="Pudao / Guandao B",707,IF(Atletas!R166="Outra Arma Longa B",708,IF(Atletas!R166="Gun C",709,IF(Atletas!R166="Qiang C",710,IF(Atletas!R166="Pudao / Guandao C",711,IF(Atletas!R166="Outra Arma Longa C",712,IF(Atletas!R166="Gun D",713,IF(Atletas!R166="Qiang D",714,IF(Atletas!R166="Pudao / Guandao D",715,IF(Atletas!R166="Outra Arma Longa D",716,IF(Atletas!R166="Gun E",717,IF(Atletas!R166="Qiang E",718,IF(Atletas!R166="Pudao / Guandao E",719,IF(Atletas!R166="Outra Arma Longa E",720,IF(Atletas!R166="Gun F",721,IF(Atletas!R166="Qiang F",722,IF(Atletas!R166="Pudao / Guandao F",723,IF(Atletas!R166="Outra Arma Longa F",724,"")))))))))))))))))))))))))</f>
        <v/>
      </c>
      <c r="BU170" s="52" t="str">
        <f>IF(Atletas!S166="","",IF(Atletas!W166&lt;&gt;"",10000,0)+IF(Atletas!B166="Feminino",1000,IF(Atletas!B166="Masculino",2000,""))+IF(Atletas!S166="Arma Dupla A",801,IF(Atletas!S166="Arma Maleável A",802,IF(Atletas!S166="Arma Dupla B",803,IF(Atletas!S166="Arma Maleável B",804,IF(Atletas!S166="Arma Dupla C",805,IF(Atletas!S166="Arma Maleável C",806,IF(Atletas!S166="Arma Dupla D",807,IF(Atletas!S166="Arma Maleável D",808,IF(Atletas!S166="Arma Dupla E",809,IF(Atletas!S166="Arma Maleável E",810,IF(Atletas!S166="Arma Dupla F",811,IF(Atletas!S166="Arma Maleável F",812, "")))))))))))))</f>
        <v/>
      </c>
      <c r="BV170" s="52" t="str">
        <f>IF(Atletas!T166="","",IF(Atletas!W166&lt;&gt;"",10000,0)+IF(Atletas!B166="Feminino",1000,IF(Atletas!B166="Masculino",2000,""))+IF(Atletas!T166="Taijijian Yang A",901,IF(Atletas!T166="Taijijian Chen A",902,IF(Atletas!T166="Taijijian Sun A",903,IF(Atletas!T166="Taijijian Wu A",904,IF(Atletas!T166="Taijijian Wu-Hao A",905,IF(Atletas!T166="Taijijian 32 A",906,IF(Atletas!T166="Taijijian 42 A",907,IF(Atletas!T166="Taijijian Yang B",908,IF(Atletas!T166="Taijijian Chen B",909,IF(Atletas!T166="Taijijian Sun B",910,IF(Atletas!T166="Taijijian Wu B",911,IF(Atletas!T166="Taijijian Wu-Hao B",912,IF(Atletas!T166="Taijijian 32 B",913,IF(Atletas!T166="Taijijian 42 B",914,IF(Atletas!T166="Taijijian Yang C",915,IF(Atletas!T166="Taijijian Chen C",916,IF(Atletas!T166="Taijijian Sun C",917,IF(Atletas!T166="Taijijian Wu C",918,IF(Atletas!T166="Taijijian Wu-Hao C",919,IF(Atletas!T166="Taijijian 32 C",920,IF(Atletas!T166="Taijijian 42 C",921,IF(Atletas!T166="Taijijian Yang D",922,IF(Atletas!T166="Taijijian Chen D",923,IF(Atletas!T166="Taijijian Sun D",924,IF(Atletas!T166="Taijijian Wu D",925,IF(Atletas!T166="Taijijian Wu-Hao D",926,IF(Atletas!T166="Taijijian 32 D",927,IF(Atletas!T166="Taijijian 42 D",928,IF(Atletas!T166="Taijijian Yang E",929,IF(Atletas!T166="Taijijian Chen E",930,IF(Atletas!T166="Taijijian Sun E",931,IF(Atletas!T166="Taijijian Wu E",932,IF(Atletas!T166="Taijijian Wu-Hao E",933,IF(Atletas!T166="Taijijian 32 E",934,IF(Atletas!T166="Taijijian 42 E",935,IF(Atletas!T166="Taijijian Yang F",936,IF(Atletas!T166="Taijijian Chen F",937,IF(Atletas!T166="Taijijian Sun F",938,IF(Atletas!T166="Taijijian Wu F",939,IF(Atletas!T166="Taijijian Wu-Hao F",940,IF(Atletas!T166="Taijijian 32 F",941,IF(Atletas!T166="Taijijian 42 F",942,"")))))))))))))))))))))))))))))))))))))))))))</f>
        <v/>
      </c>
      <c r="BW170" s="52" t="str">
        <f>IF(Atletas!U166="","",IF(Atletas!W166&lt;&gt;"",10000,0)+IF(Atletas!B166="Feminino",1000,IF(Atletas!B166="Masculino",2000,""))+IF(Atletas!T166="Taijijian 42 F",942,IF(Atletas!U166="Taijidao A",943,IF(Atletas!U166="Taijishan A",944,IF(Atletas!U166="Taijiqiang A",945,IF(Atletas!U166="Taijidao B",946,IF(Atletas!U166="Taijishan B",947,IF(Atletas!U166="Taijiqiang B",948,IF(Atletas!U166="Taijidao C",949,IF(Atletas!U166="Taijishan C",950,IF(Atletas!U166="Taijiqiang C",951,IF(Atletas!U166="Taijidao D",952,IF(Atletas!U166="Taijishan D",953,IF(Atletas!U166="Taijiqiang D",954,IF(Atletas!U166="Taijidao E",955,IF(Atletas!U166="Taijishan E",956,IF(Atletas!U166="Taijiqiang E",957,IF(Atletas!U166="Taijidao F",958,IF(Atletas!U166="Taijishan F",959,IF(Atletas!U166="Taijiqiang F",960))))))))))))))))))))</f>
        <v/>
      </c>
      <c r="BX170" s="72" t="str">
        <f>IF(BY170&lt;&gt;"","TJQ Padr. Chen A","")</f>
        <v/>
      </c>
      <c r="BY170" s="72" t="str">
        <f>IF(COUNTIF(BK:BW,1402)&gt;0,COUNTIF(BK:BW,1402),"")</f>
        <v/>
      </c>
      <c r="BZ170" s="72" t="str">
        <f>IF(CA170&lt;&gt;"","TJQ Padr. Chen A","")</f>
        <v/>
      </c>
      <c r="CA170" s="72" t="str">
        <f>IF(COUNTIF(BK:BW,2402)&gt;0,COUNTIF(BK:BW,2402),"")</f>
        <v/>
      </c>
      <c r="CB170" s="72" t="str">
        <f>IF(CC170&lt;&gt;"","Taijiquan 32 A","")</f>
        <v/>
      </c>
      <c r="CC170" s="64" t="str">
        <f>IF(COUNTIF(BK:BW,11402)&gt;0,COUNTIF(BK:BW,11402),"")</f>
        <v/>
      </c>
      <c r="CD170" s="64" t="str">
        <f>IF(CE170&lt;&gt;"","Taijiquan 32 A","")</f>
        <v/>
      </c>
      <c r="CE170" s="64" t="str">
        <f>IF(COUNTIF(BK:BW,12402)&gt;0,COUNTIF(BK:BW,12402),"")</f>
        <v/>
      </c>
      <c r="CF170" s="52" t="str">
        <f xml:space="preserve"> IF(Atletas!V166="","",IF(Atletas!V166="Duilian de Mãos AB - Equipe 1",1,IF(Atletas!V166="Duilian de Mãos AB - Equipe 2",2,IF(Atletas!V166="Duilian de Armas AB - Equipe 1",3,IF(Atletas!V166="Duilian de Armas AB - Equipe 2",4,IF(Atletas!V166="Duilian de Tuishou - Equipe 1",5,IF(Atletas!V166="Duilian de Tuishou - Equipe 2",6,IF(Atletas!V166="Grupo Externo AB - Equipe 1",7,IF(Atletas!V166="Grupo Externo AB - Equipe 2",8,IF(Atletas!V166="Grupo Interno AB - Equipe 1",9,IF(Atletas!V166="Grupo Interno AB - Equipe 2",10,IF(Atletas!V166="Duilian de Mãos CD - Equipe 1",11,IF(Atletas!V166="Duilian de Mãos CD - Equipe 2",12,IF(Atletas!V166="Duilian de Armas CD - Equipe 1",13,IF(Atletas!V166="Duilian de Armas CD - Equipe 2",14,IF(Atletas!V166="Duilian de Tuishou - Equipe 1",15,IF(Atletas!V166="Duilian de Tuishou - Equipe 2",16,IF(Atletas!V166="Grupo Externo CDEF - Equipe 1",17,IF(Atletas!V166="Grupo Externo CDEF - Equipe 2",18,IF(Atletas!V166="Grupo Interno CDEF - Equipe 1",19,IF(Atletas!V166="Grupo Interno CDEF - Equipe 2",20,IF(Atletas!V166="Duilian de Mãos EF - Equipe 1",21,IF(Atletas!V166="Duilian de Mãos EF - Equipe 2",22,IF(Atletas!V166="Duilian de Armas EF - Equipe 1",23,IF(Atletas!V166="Duilian de Armas EF - Equipe 2",24,IF(Atletas!V166="Duilian de Tuishou - Equipe 1",25,IF(Atletas!V166="Duilian de Tuishou - Equipe 2",26,"")))))))))))))))))))))))))))</f>
        <v/>
      </c>
    </row>
    <row r="171" spans="2:84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 t="str">
        <f t="array" ref="V171">IFERROR(INDEX(BX$7:BX$336,SMALL(IF(BX$7:BX$336&lt;&gt;"",ROW(BX$7:BX$336)-ROW(BX$7)+1),ROWS(BX$7:BX170))),"")</f>
        <v/>
      </c>
      <c r="W171" s="4" t="str">
        <f t="array" ref="W171">IFERROR(INDEX(BY$7:BY$336,SMALL(IF(BY$7:BY$336&lt;&gt;"",ROW(BY$7:BY$336)-ROW(BY$7)+1),ROWS(BY$7:BY170))),"")</f>
        <v/>
      </c>
      <c r="X171" s="4" t="str">
        <f t="array" ref="X171">IFERROR(INDEX(BZ$7:BZ$336,SMALL(IF(BZ$7:BZ$336&lt;&gt;"",ROW(BZ$7:BZ$336)-ROW(BZ$7)+1),ROWS(BZ$7:BZ170))),"")</f>
        <v/>
      </c>
      <c r="Y171" s="4" t="str">
        <f t="array" ref="Y171">IFERROR(INDEX(CA$7:CA$336,SMALL(IF(CA$7:CA$336&lt;&gt;"",ROW(CA$7:CA$336)-ROW(CA$7)+1),ROWS(CA$7:CA170))),"")</f>
        <v/>
      </c>
      <c r="Z171" s="4" t="str">
        <f t="array" ref="Z171">IFERROR(INDEX(CB$7:CB$378,SMALL(IF(CB$7:CB$378&lt;&gt;"",ROW(CB$7:CB$378)-ROW(CB$7)+1),ROWS(CB$7:CB170))),"")</f>
        <v/>
      </c>
      <c r="AA171" s="4" t="str">
        <f t="array" ref="AA171">IFERROR(INDEX(CC$7:CC$378,SMALL(IF(CC$7:CC$378&lt;&gt;"",ROW(CC$7:CC$378)-ROW(CC$7)+1),ROWS(CC$7:CC170))),"")</f>
        <v/>
      </c>
      <c r="AB171" s="4" t="str">
        <f t="array" ref="AB171">IFERROR(INDEX(CD$7:CD$378,SMALL(IF(CD$7:CD$378&lt;&gt;"",ROW(CD$7:CD$378)-ROW(CD$7)+1),ROWS(CD$7:CD170))),"")</f>
        <v/>
      </c>
      <c r="AC171" s="4" t="str">
        <f t="array" ref="AC171">IFERROR(INDEX(CE$7:CE$378,SMALL(IF(CE$7:CE$378&lt;&gt;"",ROW(CE$7:CE$378)-ROW(CE$7)+1),ROWS(CE$7:CE170))),"")</f>
        <v/>
      </c>
      <c r="AD171" s="4"/>
      <c r="AE171" s="4"/>
      <c r="AF171" s="4"/>
      <c r="AG171" s="4"/>
      <c r="AH171" s="4"/>
      <c r="AI171" s="4"/>
      <c r="AJ171" s="46" t="str">
        <f>IF(Atletas!D167="","",IF(Atletas!B167="Feminino",100,IF(Atletas!B167="Masculino",200,""))+(IF(Atletas!D167="Infantil 39kg",1,IF(Atletas!D167="Infantil 42kg",2,IF(Atletas!D167="Infantil 45kg",3,IF(Atletas!D167="Infantil 48kg",4,IF(Atletas!D167="Infantil 52kg",5,IF(Atletas!D167="Infantil 56kg",6,IF(Atletas!D167="Infantil 60kg",7,IF(Atletas!D167="Juvenil 48kg",8,IF(Atletas!D167="Juvenil 52kg",9,IF(Atletas!D167="Juvenil 56kg",10,IF(Atletas!D167="Juvenil 60kg",11,IF(Atletas!D167="Juvenil 65kg",12,IF(Atletas!D167="Juvenil 70kg",13,IF(Atletas!D167="Juvenil 75kg",14,IF(Atletas!D167="Juvenil 80kg",15,IF(Atletas!D167="Adulto 48kg",16,IF(Atletas!D167="Adulto 52kg",17,IF(Atletas!D167="Adulto 56kg",18,IF(Atletas!D167="Adulto 60kg",19,IF(Atletas!D167="Adulto 65kg",20,IF(Atletas!D167="Adulto 70kg",21,IF(Atletas!D167="Adulto 75kg",22,IF(Atletas!D167="Adulto 80kg",23,IF(Atletas!D167="Adulto 85kg",24,IF(Atletas!D167="Adulto 90kg",25,IF(Atletas!D167="Adulto +90kg",26,""))))))))))))))))))))))))))))</f>
        <v/>
      </c>
      <c r="AO171" s="10" t="str">
        <f>IF(Atletas!E167="","",IF(Atletas!B167="Feminino",100,IF(Atletas!B167="Masculino",200,""))+(IF(Atletas!E167="Juvenil 44kg",1,IF(Atletas!E167="Juvenil 48kg",2,IF(Atletas!E167="Juvenil 52kg",3,IF(Atletas!E167="Juvenil 56kg",4,IF(Atletas!E167="Juvenil 60kg",5,IF(Atletas!E167="Juvenil 65kg",6,IF(Atletas!E167="Juvenil 70kg",7,IF(Atletas!E167="Juvenil 75kg",8,IF(Atletas!E167="Juvenil 82kg",9,IF(Atletas!E167="Juvenil 90kg",10,IF(Atletas!E167="Juvenil 100kg",11,IF(Atletas!E167="Adulto 48kg",12,IF(Atletas!E167="Adulto 52kg",13,IF(Atletas!E167="Adulto 56kg",14,IF(Atletas!E167="Adulto 60kg",15,IF(Atletas!E167="Adulto 65kg",16,IF(Atletas!E167="Adulto 70kg",17,IF(Atletas!E167="Adulto 75kg",18,IF(Atletas!E167="Adulto 82kg",19,IF(Atletas!E167="Adulto 90kg",20,IF(Atletas!E167="Adulto 100kg",21,IF(Atletas!E167="Adulto +100kg",22,""))))))))))))))))))))))))</f>
        <v/>
      </c>
      <c r="AT171" s="10" t="str">
        <f>IF(Atletas!F167="","",IF(Atletas!B167="Feminino",100,IF(Atletas!B167="Masculino",200,""))+(IF(Atletas!F167="Adulto 48kg",1,IF(Atletas!F167="Adulto 56kg",2,IF(Atletas!F167="Adulto 65kg",3,IF(Atletas!F167="Adulto 75kg",4,IF(Atletas!F167="Adulto +75kg",5,IF(Atletas!F167="Adulto 52kg",6,IF(Atletas!F167="Adulto 60kg",7,IF(Atletas!F167="Adulto 70kg",8,IF(Atletas!F167="Adulto 80kg",9,IF(Atletas!F167="Adulto 90kg",10,IF(Atletas!F167="Adulto +90kg",11,"")))))))))))))</f>
        <v/>
      </c>
      <c r="AY171" s="46" t="str">
        <f>IF(Atletas!G167="","",IF(Atletas!B167="Feminino",100,IF(Atletas!B167="Masculino",200,""))+(IF(Atletas!G167="Changquan Mirim",1,IF(Atletas!G167="Nanquan Mirim",2,IF(Atletas!G167="Taijiquan Mirim",3,IF(Atletas!G167="Changquan Grupo C",4,IF(Atletas!G167="Nanquan Grupo C",5,IF(Atletas!G167="Taijiquan Grupo C",6,IF(Atletas!G167="Changquan Grupo B",7,IF(Atletas!G167="Nanquan Grupo B",8,IF(Atletas!G167="Taijiquan Grupo B",9,IF(Atletas!G167="Changquan Grupo A",10,IF(Atletas!G167="Nanquan Grupo A",11,IF(Atletas!G167="Taijiquan Grupo A",12,IF(Atletas!G167="Changquan Opcional",13,IF(Atletas!G167="Nanquan Opcional",14,IF(Atletas!G167="Taijiquan Opcional",15,IF(Atletas!G167="Changquan Adulto",16,IF(Atletas!G167="Nanquan Adulto",17,IF(Atletas!G167="Taijiquan Adulto",18,""))))))))))))))))))))</f>
        <v/>
      </c>
      <c r="AZ171" s="46" t="str">
        <f>IF(Atletas!H167="","",IF(Atletas!B167="Feminino",100,IF(Atletas!B167="Masculino",200,""))+(IF(Atletas!H167="Daoshu Mirim",19,IF(Atletas!H167="Jianshu Mirim",20,IF(Atletas!H167="Nandao Mirim",21,IF(Atletas!H167="Taijijian Mirim",22,IF(Atletas!H167="Daoshu Grupo C",23,IF(Atletas!H167="Jianshu Grupo C",24,IF(Atletas!H167="Nandao Grupo C",25,IF(Atletas!H167="Taijijian Grupo C",26,IF(Atletas!H167="Daoshu Grupo B",27,IF(Atletas!H167="Jianshu Grupo B",28,IF(Atletas!H167="Nandao Grupo B",29,IF(Atletas!H167="Taijijian Grupo B",30,IF(Atletas!H167="Daoshu Grupo A",31,IF(Atletas!H167="Jianshu Grupo A",32,IF(Atletas!H167="Nandao Grupo A",33,IF(Atletas!H167="Taijijian Grupo A",34,IF(Atletas!H167="Daoshu Opcional",35,IF(Atletas!H167="Jianshu Opcional",36,IF(Atletas!H167="Nandao Opcional",37,IF(Atletas!H167="Taijijian Opcional",38,IF(Atletas!H167="Daoshu Adulto",39,IF(Atletas!H167="Jianshu Adulto",40,IF(Atletas!H167="Nandao Adulto",41,IF(Atletas!H167="Taijijian Adulto",42,""))))))))))))))))))))))))))</f>
        <v/>
      </c>
      <c r="BA171" s="46" t="str">
        <f>IF(Atletas!I167="","",IF(Atletas!B167="Feminino",100,IF(Atletas!B167="Masculino",200,""))+(IF(Atletas!I167="Gunshu Mirim",43,IF(Atletas!I167="Qiangshu Mirim",44,IF(Atletas!I167="Nangun Mirim",45,IF(Atletas!I167="Gunshu Grupo C",46,IF(Atletas!I167="Qiangshu Grupo C",47,IF(Atletas!I167="Nangun Grupo C",48,IF(Atletas!I167="Gunshu Grupo B",49,IF(Atletas!I167="Qiangshu Grupo B",50,IF(Atletas!I167="Nangun Grupo B",51,IF(Atletas!I167="Gunshu Grupo A",52,IF(Atletas!I167="Qiangshu Grupo A",53,IF(Atletas!I167="Nangun Grupo A",54,IF(Atletas!I167="Gunshu Opcional",55,IF(Atletas!I167="Qiangshu Opcional",56,IF(Atletas!I167="Nangun Opcional",57,IF(Atletas!I167="Gunshu Adulto",58,IF(Atletas!I167="Qiangshu Adulto",59,IF(Atletas!I167="Nangun Adulto",60,""))))))))))))))))))))</f>
        <v/>
      </c>
      <c r="BF171" s="52" t="str">
        <f>IF(Atletas!J167="","",IF(Atletas!B167="Feminino",100,IF(Atletas!B167="Masculino",200,""))+(IF(Atletas!J167="Equipe 1 Grupo B",1,IF(Atletas!J167="Equipe 2 Grupo B",2,IF(Atletas!J167="Equipe 1 Grupo A",3,IF(Atletas!J167="Equipe 2 Grupo A",4,IF(Atletas!J167="Equipe 1 Adulto",5,IF(Atletas!J167="Equipe 2 Adulto",6,""))))))))</f>
        <v/>
      </c>
      <c r="BK171" s="52" t="str">
        <f>IF(Atletas!K167="","",IF(Atletas!W167&lt;&gt;"",10000,0)+(IF(Atletas!B167="Feminino",1000,IF(Atletas!B167="Masculino",2000,""))+IF(Atletas!K167="Choylayfut A",1,IF(Atletas!K167="Hunggar A",2,IF(Atletas!K167="Wuzuquan A",3,IF(Atletas!K167="Wingchun A",4,IF(Atletas!K167="Outra Mão de Sul A",5,IF(Atletas!K167="Choylayfut B",6,IF(Atletas!K167="Hunggar B",7,IF(Atletas!K167="Wuzuquan B",8,IF(Atletas!K167="Wingchun B",9,IF(Atletas!K167="Outra Mão de Sul B",10,IF(Atletas!K167="Choylayfut C",11,IF(Atletas!K167="Hunggar C",12,IF(Atletas!K167="Wuzuquan C",13,IF(Atletas!K167="Wingchun C",14,IF(Atletas!K167="Outra Mão de Sul C",15,IF(Atletas!K167="Choylayfut D",16,IF(Atletas!K167="Hunggar D",17,IF(Atletas!K167="Wuzuquan D",18,IF(Atletas!K167="Wingchun D",19,IF(Atletas!K167="Outra Mão de Sul D",20,IF(Atletas!K167="Choylayfut E",21,IF(Atletas!K167="Hunggar E",22,IF(Atletas!K167="Wuzuquan E",23,IF(Atletas!K167="Wingchun E",24,IF(Atletas!K167="Outra Mão de Sul E",25,IF(Atletas!K167="Choylayfut F",26,IF(Atletas!K167="Hunggar F",27,IF(Atletas!K167="Wuzuquan F",28,IF(Atletas!K167="Wingchun F",29,IF(Atletas!K167="Outra Mão de Sul F",30,""))))))))))))))))))))))))))))))))</f>
        <v/>
      </c>
      <c r="BL171" s="52" t="str">
        <f>IF(Atletas!L167="","",IF(Atletas!W167&lt;&gt;"",10000,0)+(IF(Atletas!B167="Feminino",1000,IF(Atletas!B167="Masculino",2000,""))+(IF(Atletas!L167="Chaquan A",101,IF(Atletas!L167="Emeiquan A",102,IF(Atletas!L167="Fanziquan A",103,IF(Atletas!L167="Huaquan A",104,IF(Atletas!L167="Hongquan A",105,IF(Atletas!L167="Paochui A",106,IF(Atletas!L167="Piguaquan A",107,IF(Atletas!L167="Shaolinquan A",108,IF(Atletas!L167="Tanglangquan A",109,IF(Atletas!L167="Yinzhaophai A",110,IF(Atletas!L167="Tongbeiquan A",111,IF(Atletas!L167="Wudangquan A",112,IF(Atletas!L167="Outros Estilos A",113,IF(Atletas!L167="Chaquan B",114,IF(Atletas!L167="Emeiquan B",115,IF(Atletas!L167="Fanziquan B",116,IF(Atletas!L167="Huaquan B",117,IF(Atletas!L167="Hongquan B",118,IF(Atletas!L167="Paochui B",119,IF(Atletas!L167="Piguaquan B",120,IF(Atletas!L167="Shaolinquan B",121,IF(Atletas!L167="Tanglangquan B",122,IF(Atletas!L167="Yinzhaophai B",123,IF(Atletas!L167="Tongbeiquan B",124,IF(Atletas!L167="Wudangquan B",125,IF(Atletas!L167="Outros Estilos B",126,IF(Atletas!L167="Chaquan C",127,IF(Atletas!L167="Emeiquan C",128,IF(Atletas!L167="Fanziquan C",129,IF(Atletas!L167="Huaquan C",130,IF(Atletas!L167="Hongquan C",131,IF(Atletas!L167="Paochui C",132,IF(Atletas!L167="Piguaquan C",133,IF(Atletas!L167="Shaolinquan C",134,IF(Atletas!L167="Tanglangquan C",135,IF(Atletas!L167="Yinzhaophai C",136,IF(Atletas!L167="Tongbeiquan C",137,IF(Atletas!L167="Wudangquan C",138,IF(Atletas!L167="Outros Estilos C",139,0))))))))))))))))))))))))))))))))))))))))))</f>
        <v/>
      </c>
      <c r="BM171" s="52" t="str">
        <f>IF(Atletas!L167="","",IF(Atletas!W167&lt;&gt;"",10000,0)+(IF(Atletas!B167="Feminino",1000,IF(Atletas!B167="Masculino",2000,""))+(IF(Atletas!L167="Chaquan D",140,IF(Atletas!L167="Emeiquan D",141,IF(Atletas!L167="Fanziquan D",142,IF(Atletas!L167="Huaquan D",143,IF(Atletas!L167="Hongquan D",144,IF(Atletas!L167="Paochui D",145,IF(Atletas!L167="Piguaquan D",146,IF(Atletas!L167="Shaolinquan D",147,IF(Atletas!L167="Tanglangquan D",148,IF(Atletas!L167="Yinzhaophai D",149,IF(Atletas!L167="Tongbeiquan D",150,IF(Atletas!L167="Wudangquan D",151,IF(Atletas!L167="Outros Estilos D",152,IF(Atletas!L167="Chaquan E",153,IF(Atletas!L167="Emeiquan E",154,IF(Atletas!L167="Fanziquan E",155,IF(Atletas!L167="Huaquan E",156,IF(Atletas!L167="Hongquan E",157,IF(Atletas!L167="Paochui E",158,IF(Atletas!L167="Piguaquan E",159,IF(Atletas!L167="Shaolinquan E",160,IF(Atletas!L167="Tanglangquan E",161,IF(Atletas!L167="Yinzhaophai E",162,IF(Atletas!L167="Tongbeiquan E",163,IF(Atletas!L167="Wudangquan E",164,IF(Atletas!L167="Outros Estilos E",165,IF(Atletas!L167="Chaquan F",166,IF(Atletas!L167="Emeiquan F",167,IF(Atletas!L167="Fanziquan F",168,IF(Atletas!L167="Huaquan F",169,IF(Atletas!L167="Hongquan F",170,IF(Atletas!L167="Paochui F",171,IF(Atletas!L167="Piguaquan F",172,IF(Atletas!L167="Shaolinquan F",173,IF(Atletas!L167="Tanglangquan F",174,IF(Atletas!L167="Yinzhaophai F",175,IF(Atletas!L167="Tongbeiquan F",176,IF(Atletas!L167="Wudangquan F",177,IF(Atletas!L167="Outros Estilos F",178,0))))))))))))))))))))))))))))))))))))))))))</f>
        <v/>
      </c>
      <c r="BN171" s="52" t="str">
        <f>IF(Atletas!M167="","",IF(Atletas!W167&lt;&gt;"",10000,0)+(IF(Atletas!B167="Feminino",1000,IF(Atletas!B167="Masculino",2000,""))+(IF(Atletas!M167="Ditangquan A",201,IF(Atletas!M167="Houquan A",202,IF(Atletas!M167="Zuiquan A",203,IF(Atletas!M167="Ditangquan B",204,IF(Atletas!M167="Houquan B",205,IF(Atletas!M167="Zuiquan B",206,IF(Atletas!M167="Ditangquan C",207,IF(Atletas!M167="Houquan C",208,IF(Atletas!M167="Zuiquan C",209,IF(Atletas!M167="Ditangquan D",210,IF(Atletas!M167="Houquan D",211,IF(Atletas!M167="Zuiquan D",212,IF(Atletas!M167="Ditangquan E",213,IF(Atletas!M167="Houquan E",214,IF(Atletas!M167="Zuiquan E",215,IF(Atletas!M167="Ditangquan F",216,IF(Atletas!M167="Houquan F",217,IF(Atletas!M167="Zuiquan F",218,"")))))))))))))))))))))</f>
        <v/>
      </c>
      <c r="BO171" s="52" t="str">
        <f>IF(Atletas!N167="","",IF(Atletas!W167&lt;&gt;"",10000,0)+IF(Atletas!B167="Feminino",1000,IF(Atletas!B167="Masculino",2000,""))+IF(Atletas!N167="Yang A",301,IF(Atletas!N167="Chen A",30,IF(Atletas!N167="Sun A",303,IF(Atletas!N167="Wu A",304,IF(Atletas!N167="Wu-Hao A",305,IF(Atletas!N167="Outro Taijiquan A",306,IF(Atletas!N167="Yang B",307,IF(Atletas!N167="Chen B",308,IF(Atletas!N167="Sun B",309,IF(Atletas!N167="Wu B",310,IF(Atletas!N167="Wu-Hao B",311,IF(Atletas!N167="Outro Taijiquan B",312,IF(Atletas!N167="Yang C",313,IF(Atletas!N167="Chen C",314,IF(Atletas!N167="Sun C",315,IF(Atletas!N167="Wu C",316,IF(Atletas!N167="Wu-Hao C",317,IF(Atletas!N167="Outro Taijiquan C",318,IF(Atletas!N167="Yang D",319,IF(Atletas!N167="Chen D",320,IF(Atletas!N167="Sun D",321,IF(Atletas!N167="Wu D",322,IF(Atletas!N167="Wu-Hao D",323,IF(Atletas!N167="Outro Taijiquan D",324,IF(Atletas!N167="Yang E",325,IF(Atletas!N167="Chen E",326,IF(Atletas!N167="Sun E",327,IF(Atletas!N167="Wu E",328,IF(Atletas!N167="Wu-Hao E",329,IF(Atletas!N167="Outro Taijiquan E",330,IF(Atletas!N167="Yang F",331,IF(Atletas!N167="Chen F",332,IF(Atletas!N167="Sun F",333,IF(Atletas!N167="Wu F",334,IF(Atletas!N167="Wu-Hao F",335,IF(Atletas!N167="Outro Taijiquan F",336,"")))))))))))))))))))))))))))))))))))))</f>
        <v/>
      </c>
      <c r="BP171" s="52" t="str">
        <f>IF(Atletas!O167="","",IF(Atletas!W167&lt;&gt;"",10000,0)+IF(Atletas!B167="Feminino",1000,IF(Atletas!B167="Masculino",2000,""))+IF(OR(Atletas!O167="Yang 26 A",Atletas!O167="Yang 40 A"),401,IF(OR(Atletas!O167="Chen 25 A",Atletas!O167="Chen 36 A",Atletas!O167="Chen 56 A"),402,IF(Atletas!O167="Sun 73 A",403,IF(Atletas!O167="Wu 45 A",404,IF(Atletas!O167="Wu-Hao 46 A",405,IF(OR(Atletas!O167="Taijiquan 16 A",Atletas!O167="Taijiquan 24 A",Atletas!O167="Taijiquan 32 A",Atletas!O167="Taijiquan 42 A"),406,IF(OR(Atletas!O167="Yang 26 B",Atletas!O167="Yang 40 B"),407,IF(OR(Atletas!O167="Chen 25 B",Atletas!O167="Chen 36 B",Atletas!O167="Chen 56 B"),408,IF(Atletas!O167="Sun 73 B",409,IF(Atletas!O167="Wu 45 B",410,IF(Atletas!O167="Wu-Hao 46 B",411,IF(OR(Atletas!O167="Taijiquan 16 B",Atletas!O167="Taijiquan 24 B",Atletas!O167="Taijiquan 32 B",Atletas!O167="Taijiquan 42 B"),412,IF(OR(Atletas!O167="Yang 26 C",Atletas!O167="Yang 40 C"),413,IF(OR(Atletas!O167="Chen 25 C",Atletas!O167="Chen 36 C",Atletas!O167="Chen 56 C"),414,IF(Atletas!O167="Sun 73 C",415,IF(Atletas!O167="Wu 45 C",416,IF(Atletas!O167="Wu-Hao 46 C",417,IF(OR(Atletas!O167="Taijiquan 16 C",Atletas!O167="Taijiquan 24 C",Atletas!O167="Taijiquan 32 C",Atletas!O167="Taijiquan 42 C"),418,0)))))))))))))))))))</f>
        <v/>
      </c>
      <c r="BQ171" s="52" t="str">
        <f>IF(Atletas!O167="","",IF(Atletas!W167&lt;&gt;"",10000,0)+IF(Atletas!B167="Feminino",1000,IF(Atletas!B167="Masculino",2000,""))+IF(OR(Atletas!O167="Yang 26 D",Atletas!O167="Yang 40 D"),419,IF(OR(Atletas!O167="Chen 25 D",Atletas!O167="Chen 36 D",Atletas!O167="Chen 56 D"),420,IF(Atletas!O167="Sun 73 D",421,IF(Atletas!O167="Wu 45 D",422,IF(Atletas!O167="Wu-Hao 46 D",423,IF(OR(Atletas!O167="Taijiquan 16 D",Atletas!O167="Taijiquan 24 D",Atletas!O167="Taijiquan 32 D",Atletas!O167="Taijiquan 42 D"),424,IF(OR(Atletas!O167="Yang 26 E",Atletas!O167="Yang 40 E"),425,IF(OR(Atletas!O167="Chen 25 E",Atletas!O167="Chen 36 E",Atletas!O167="Chen 56 E"),426,IF(Atletas!O167="Sun 73 E",427,IF(Atletas!O167="Wu 45 E",428,IF(Atletas!O167="Wu-Hao 46 E",429,IF(OR(Atletas!O167="Taijiquan 16 E",Atletas!O167="Taijiquan 24 E",Atletas!O167="Taijiquan 32 E",Atletas!O167="Taijiquan 42 E"),430,IF(OR(Atletas!O167="Yang 26 F",Atletas!O167="Yang 40 F"),431,IF(OR(Atletas!O167="Chen 25 F",Atletas!O167="Chen 36 F",Atletas!O167="Chen 56 F"),432,IF(Atletas!O167="Sun 73 F",433,IF(Atletas!O167="Wu 45 F",434,IF(Atletas!O167="Wu-Hao 46 F",435,IF(OR(Atletas!O167="Taijiquan 16 F",Atletas!O167="Taijiquan 24 F",Atletas!O167="Taijiquan 32 F",Atletas!O167="Taijiquan 42 F"),436,0)))))))))))))))))))</f>
        <v/>
      </c>
      <c r="BR171" s="52" t="str">
        <f>IF(Atletas!P167="","",IF(Atletas!W167&lt;&gt;"",10000,0)+IF(Atletas!B167="Feminino",1000,IF(Atletas!B167="Masculino",2000,""))+IF(Atletas!P167="Xingyiquan A",501,IF(Atletas!P167="Baguazhang A",502,IF(Atletas!P167="Outro Estilo Interno A",503,IF(Atletas!P167="Xingyiquan B",504,IF(Atletas!P167="Baguazhang B",505,IF(Atletas!P167="Outro Estilo Interno B",506,IF(Atletas!P167="Xingyiquan C",507,IF(Atletas!P167="Baguazhang C",508,IF(Atletas!P167="Outro Estilo Interno C",509,IF(Atletas!P167="Xingyiquan D",510,IF(Atletas!P167="Baguazhang D",511,IF(Atletas!P167="Outro Estilo Interno D",512,IF(Atletas!P167="Xingyiquan E",513,IF(Atletas!P167="Baguazhang E",514,IF(Atletas!P167="Outro Estilo Interno E",515,IF(Atletas!P167="Xingyiquan F",516,IF(Atletas!P167="Baguazhang F",517,IF(Atletas!P167="Outro Estilo Interno F",518, "")))))))))))))))))))</f>
        <v/>
      </c>
      <c r="BS171" s="52" t="str">
        <f>IF(Atletas!Q167="","",IF(Atletas!W167&lt;&gt;"",10000,0)+IF(Atletas!B167="Feminino",1000,IF(Atletas!B167="Masculino",2000,""))+IF(Atletas!Q167="Dao A",601,IF(Atletas!Q167="Jian A",602,IF(Atletas!Q167="Bishou A",603,IF(Atletas!Q167="Shan A",604,IF(Atletas!Q167="Outra Arma Curta A",605,IF(Atletas!Q167="Dao B",606,IF(Atletas!Q167="Jian B",607,IF(Atletas!Q167="Bishou B",608,IF(Atletas!Q167="Shan B",609,IF(Atletas!Q167="Outra Arma Curta B",610,IF(Atletas!Q167="Dao C",611,IF(Atletas!Q167="Jian C",612,IF(Atletas!Q167="Bishou C",613,IF(Atletas!Q167="Shan C",614,IF(Atletas!Q167="Outra Arma Curta C",615,IF(Atletas!Q167="Dao D",616,IF(Atletas!Q167="Jian D",617,IF(Atletas!Q167="Bishou D",618,IF(Atletas!Q167="Shan D",619,IF(Atletas!Q167="Outra Arma Curta D",620,IF(Atletas!Q167="Dao E",621,IF(Atletas!Q167="Jian E",622,IF(Atletas!Q167="Bishou E",623,IF(Atletas!Q167="Shan E",624,IF(Atletas!Q167="Outra Arma Curta E",625,IF(Atletas!Q167="Dao F",626,IF(Atletas!Q167="Jian F",627,IF(Atletas!Q167="Bishou F",628,IF(Atletas!Q167="Shan F",629,IF(Atletas!Q167="Outra Arma Curta F",630, "")))))))))))))))))))))))))))))))</f>
        <v/>
      </c>
      <c r="BT171" s="52" t="str">
        <f>IF(Atletas!R167="","",IF(Atletas!W167&lt;&gt;"",10000,0)+IF(Atletas!B167="Feminino",1000,IF(Atletas!B167="Masculino",2000,""))+IF(Atletas!R167="Gun A",701,IF(Atletas!R167="Qiang A",702,IF(Atletas!R167="Pudao / Guandao A",703,IF(Atletas!R167="Outra Arma Longa A",704,IF(Atletas!R167="Gun B",705,IF(Atletas!R167="Qiang B",706,IF(Atletas!R167="Pudao / Guandao B",707,IF(Atletas!R167="Outra Arma Longa B",708,IF(Atletas!R167="Gun C",709,IF(Atletas!R167="Qiang C",710,IF(Atletas!R167="Pudao / Guandao C",711,IF(Atletas!R167="Outra Arma Longa C",712,IF(Atletas!R167="Gun D",713,IF(Atletas!R167="Qiang D",714,IF(Atletas!R167="Pudao / Guandao D",715,IF(Atletas!R167="Outra Arma Longa D",716,IF(Atletas!R167="Gun E",717,IF(Atletas!R167="Qiang E",718,IF(Atletas!R167="Pudao / Guandao E",719,IF(Atletas!R167="Outra Arma Longa E",720,IF(Atletas!R167="Gun F",721,IF(Atletas!R167="Qiang F",722,IF(Atletas!R167="Pudao / Guandao F",723,IF(Atletas!R167="Outra Arma Longa F",724,"")))))))))))))))))))))))))</f>
        <v/>
      </c>
      <c r="BU171" s="52" t="str">
        <f>IF(Atletas!S167="","",IF(Atletas!W167&lt;&gt;"",10000,0)+IF(Atletas!B167="Feminino",1000,IF(Atletas!B167="Masculino",2000,""))+IF(Atletas!S167="Arma Dupla A",801,IF(Atletas!S167="Arma Maleável A",802,IF(Atletas!S167="Arma Dupla B",803,IF(Atletas!S167="Arma Maleável B",804,IF(Atletas!S167="Arma Dupla C",805,IF(Atletas!S167="Arma Maleável C",806,IF(Atletas!S167="Arma Dupla D",807,IF(Atletas!S167="Arma Maleável D",808,IF(Atletas!S167="Arma Dupla E",809,IF(Atletas!S167="Arma Maleável E",810,IF(Atletas!S167="Arma Dupla F",811,IF(Atletas!S167="Arma Maleável F",812, "")))))))))))))</f>
        <v/>
      </c>
      <c r="BV171" s="52" t="str">
        <f>IF(Atletas!T167="","",IF(Atletas!W167&lt;&gt;"",10000,0)+IF(Atletas!B167="Feminino",1000,IF(Atletas!B167="Masculino",2000,""))+IF(Atletas!T167="Taijijian Yang A",901,IF(Atletas!T167="Taijijian Chen A",902,IF(Atletas!T167="Taijijian Sun A",903,IF(Atletas!T167="Taijijian Wu A",904,IF(Atletas!T167="Taijijian Wu-Hao A",905,IF(Atletas!T167="Taijijian 32 A",906,IF(Atletas!T167="Taijijian 42 A",907,IF(Atletas!T167="Taijijian Yang B",908,IF(Atletas!T167="Taijijian Chen B",909,IF(Atletas!T167="Taijijian Sun B",910,IF(Atletas!T167="Taijijian Wu B",911,IF(Atletas!T167="Taijijian Wu-Hao B",912,IF(Atletas!T167="Taijijian 32 B",913,IF(Atletas!T167="Taijijian 42 B",914,IF(Atletas!T167="Taijijian Yang C",915,IF(Atletas!T167="Taijijian Chen C",916,IF(Atletas!T167="Taijijian Sun C",917,IF(Atletas!T167="Taijijian Wu C",918,IF(Atletas!T167="Taijijian Wu-Hao C",919,IF(Atletas!T167="Taijijian 32 C",920,IF(Atletas!T167="Taijijian 42 C",921,IF(Atletas!T167="Taijijian Yang D",922,IF(Atletas!T167="Taijijian Chen D",923,IF(Atletas!T167="Taijijian Sun D",924,IF(Atletas!T167="Taijijian Wu D",925,IF(Atletas!T167="Taijijian Wu-Hao D",926,IF(Atletas!T167="Taijijian 32 D",927,IF(Atletas!T167="Taijijian 42 D",928,IF(Atletas!T167="Taijijian Yang E",929,IF(Atletas!T167="Taijijian Chen E",930,IF(Atletas!T167="Taijijian Sun E",931,IF(Atletas!T167="Taijijian Wu E",932,IF(Atletas!T167="Taijijian Wu-Hao E",933,IF(Atletas!T167="Taijijian 32 E",934,IF(Atletas!T167="Taijijian 42 E",935,IF(Atletas!T167="Taijijian Yang F",936,IF(Atletas!T167="Taijijian Chen F",937,IF(Atletas!T167="Taijijian Sun F",938,IF(Atletas!T167="Taijijian Wu F",939,IF(Atletas!T167="Taijijian Wu-Hao F",940,IF(Atletas!T167="Taijijian 32 F",941,IF(Atletas!T167="Taijijian 42 F",942,"")))))))))))))))))))))))))))))))))))))))))))</f>
        <v/>
      </c>
      <c r="BW171" s="52" t="str">
        <f>IF(Atletas!U167="","",IF(Atletas!W167&lt;&gt;"",10000,0)+IF(Atletas!B167="Feminino",1000,IF(Atletas!B167="Masculino",2000,""))+IF(Atletas!T167="Taijijian 42 F",942,IF(Atletas!U167="Taijidao A",943,IF(Atletas!U167="Taijishan A",944,IF(Atletas!U167="Taijiqiang A",945,IF(Atletas!U167="Taijidao B",946,IF(Atletas!U167="Taijishan B",947,IF(Atletas!U167="Taijiqiang B",948,IF(Atletas!U167="Taijidao C",949,IF(Atletas!U167="Taijishan C",950,IF(Atletas!U167="Taijiqiang C",951,IF(Atletas!U167="Taijidao D",952,IF(Atletas!U167="Taijishan D",953,IF(Atletas!U167="Taijiqiang D",954,IF(Atletas!U167="Taijidao E",955,IF(Atletas!U167="Taijishan E",956,IF(Atletas!U167="Taijiqiang E",957,IF(Atletas!U167="Taijidao F",958,IF(Atletas!U167="Taijishan F",959,IF(Atletas!U167="Taijiqiang F",960))))))))))))))))))))</f>
        <v/>
      </c>
      <c r="BX171" s="72" t="str">
        <f>IF(BY171&lt;&gt;"","TJQ Padr. Sun A","")</f>
        <v/>
      </c>
      <c r="BY171" s="72" t="str">
        <f>IF(COUNTIF(BK:BW,1403)&gt;0,COUNTIF(BK:BW,1403),"")</f>
        <v/>
      </c>
      <c r="BZ171" s="72" t="str">
        <f>IF(CA171&lt;&gt;"","TJQ Padr. Sun A","")</f>
        <v/>
      </c>
      <c r="CA171" s="72" t="str">
        <f>IF(COUNTIF(BK:BW,2403)&gt;0,COUNTIF(BK:BW,2403),"")</f>
        <v/>
      </c>
      <c r="CB171" s="72" t="str">
        <f>IF(CC171&lt;&gt;"","Taijiquan 42 A","")</f>
        <v/>
      </c>
      <c r="CC171" s="64" t="str">
        <f>IF(COUNTIF(BK:BW,11403)&gt;0,COUNTIF(BK:BW,11403),"")</f>
        <v/>
      </c>
      <c r="CD171" s="64" t="str">
        <f>IF(CE171&lt;&gt;"","Taijiquan 42 A","")</f>
        <v/>
      </c>
      <c r="CE171" s="64" t="str">
        <f>IF(COUNTIF(BK:BW,12403)&gt;0,COUNTIF(BK:BW,12403),"")</f>
        <v/>
      </c>
      <c r="CF171" s="52" t="str">
        <f xml:space="preserve"> IF(Atletas!V167="","",IF(Atletas!V167="Duilian de Mãos AB - Equipe 1",1,IF(Atletas!V167="Duilian de Mãos AB - Equipe 2",2,IF(Atletas!V167="Duilian de Armas AB - Equipe 1",3,IF(Atletas!V167="Duilian de Armas AB - Equipe 2",4,IF(Atletas!V167="Duilian de Tuishou - Equipe 1",5,IF(Atletas!V167="Duilian de Tuishou - Equipe 2",6,IF(Atletas!V167="Grupo Externo AB - Equipe 1",7,IF(Atletas!V167="Grupo Externo AB - Equipe 2",8,IF(Atletas!V167="Grupo Interno AB - Equipe 1",9,IF(Atletas!V167="Grupo Interno AB - Equipe 2",10,IF(Atletas!V167="Duilian de Mãos CD - Equipe 1",11,IF(Atletas!V167="Duilian de Mãos CD - Equipe 2",12,IF(Atletas!V167="Duilian de Armas CD - Equipe 1",13,IF(Atletas!V167="Duilian de Armas CD - Equipe 2",14,IF(Atletas!V167="Duilian de Tuishou - Equipe 1",15,IF(Atletas!V167="Duilian de Tuishou - Equipe 2",16,IF(Atletas!V167="Grupo Externo CDEF - Equipe 1",17,IF(Atletas!V167="Grupo Externo CDEF - Equipe 2",18,IF(Atletas!V167="Grupo Interno CDEF - Equipe 1",19,IF(Atletas!V167="Grupo Interno CDEF - Equipe 2",20,IF(Atletas!V167="Duilian de Mãos EF - Equipe 1",21,IF(Atletas!V167="Duilian de Mãos EF - Equipe 2",22,IF(Atletas!V167="Duilian de Armas EF - Equipe 1",23,IF(Atletas!V167="Duilian de Armas EF - Equipe 2",24,IF(Atletas!V167="Duilian de Tuishou - Equipe 1",25,IF(Atletas!V167="Duilian de Tuishou - Equipe 2",26,"")))))))))))))))))))))))))))</f>
        <v/>
      </c>
    </row>
    <row r="172" spans="2:84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 t="str">
        <f t="array" ref="V172">IFERROR(INDEX(BX$7:BX$336,SMALL(IF(BX$7:BX$336&lt;&gt;"",ROW(BX$7:BX$336)-ROW(BX$7)+1),ROWS(BX$7:BX171))),"")</f>
        <v/>
      </c>
      <c r="W172" s="4" t="str">
        <f t="array" ref="W172">IFERROR(INDEX(BY$7:BY$336,SMALL(IF(BY$7:BY$336&lt;&gt;"",ROW(BY$7:BY$336)-ROW(BY$7)+1),ROWS(BY$7:BY171))),"")</f>
        <v/>
      </c>
      <c r="X172" s="4" t="str">
        <f t="array" ref="X172">IFERROR(INDEX(BZ$7:BZ$336,SMALL(IF(BZ$7:BZ$336&lt;&gt;"",ROW(BZ$7:BZ$336)-ROW(BZ$7)+1),ROWS(BZ$7:BZ171))),"")</f>
        <v/>
      </c>
      <c r="Y172" s="4" t="str">
        <f t="array" ref="Y172">IFERROR(INDEX(CA$7:CA$336,SMALL(IF(CA$7:CA$336&lt;&gt;"",ROW(CA$7:CA$336)-ROW(CA$7)+1),ROWS(CA$7:CA171))),"")</f>
        <v/>
      </c>
      <c r="Z172" s="4" t="str">
        <f t="array" ref="Z172">IFERROR(INDEX(CB$7:CB$378,SMALL(IF(CB$7:CB$378&lt;&gt;"",ROW(CB$7:CB$378)-ROW(CB$7)+1),ROWS(CB$7:CB171))),"")</f>
        <v/>
      </c>
      <c r="AA172" s="4" t="str">
        <f t="array" ref="AA172">IFERROR(INDEX(CC$7:CC$378,SMALL(IF(CC$7:CC$378&lt;&gt;"",ROW(CC$7:CC$378)-ROW(CC$7)+1),ROWS(CC$7:CC171))),"")</f>
        <v/>
      </c>
      <c r="AB172" s="4" t="str">
        <f t="array" ref="AB172">IFERROR(INDEX(CD$7:CD$378,SMALL(IF(CD$7:CD$378&lt;&gt;"",ROW(CD$7:CD$378)-ROW(CD$7)+1),ROWS(CD$7:CD171))),"")</f>
        <v/>
      </c>
      <c r="AC172" s="4" t="str">
        <f t="array" ref="AC172">IFERROR(INDEX(CE$7:CE$378,SMALL(IF(CE$7:CE$378&lt;&gt;"",ROW(CE$7:CE$378)-ROW(CE$7)+1),ROWS(CE$7:CE171))),"")</f>
        <v/>
      </c>
      <c r="AD172" s="4"/>
      <c r="AE172" s="4"/>
      <c r="AF172" s="4"/>
      <c r="AG172" s="4"/>
      <c r="AH172" s="4"/>
      <c r="AI172" s="4"/>
      <c r="AJ172" s="46" t="str">
        <f>IF(Atletas!D168="","",IF(Atletas!B168="Feminino",100,IF(Atletas!B168="Masculino",200,""))+(IF(Atletas!D168="Infantil 39kg",1,IF(Atletas!D168="Infantil 42kg",2,IF(Atletas!D168="Infantil 45kg",3,IF(Atletas!D168="Infantil 48kg",4,IF(Atletas!D168="Infantil 52kg",5,IF(Atletas!D168="Infantil 56kg",6,IF(Atletas!D168="Infantil 60kg",7,IF(Atletas!D168="Juvenil 48kg",8,IF(Atletas!D168="Juvenil 52kg",9,IF(Atletas!D168="Juvenil 56kg",10,IF(Atletas!D168="Juvenil 60kg",11,IF(Atletas!D168="Juvenil 65kg",12,IF(Atletas!D168="Juvenil 70kg",13,IF(Atletas!D168="Juvenil 75kg",14,IF(Atletas!D168="Juvenil 80kg",15,IF(Atletas!D168="Adulto 48kg",16,IF(Atletas!D168="Adulto 52kg",17,IF(Atletas!D168="Adulto 56kg",18,IF(Atletas!D168="Adulto 60kg",19,IF(Atletas!D168="Adulto 65kg",20,IF(Atletas!D168="Adulto 70kg",21,IF(Atletas!D168="Adulto 75kg",22,IF(Atletas!D168="Adulto 80kg",23,IF(Atletas!D168="Adulto 85kg",24,IF(Atletas!D168="Adulto 90kg",25,IF(Atletas!D168="Adulto +90kg",26,""))))))))))))))))))))))))))))</f>
        <v/>
      </c>
      <c r="AO172" s="10" t="str">
        <f>IF(Atletas!E168="","",IF(Atletas!B168="Feminino",100,IF(Atletas!B168="Masculino",200,""))+(IF(Atletas!E168="Juvenil 44kg",1,IF(Atletas!E168="Juvenil 48kg",2,IF(Atletas!E168="Juvenil 52kg",3,IF(Atletas!E168="Juvenil 56kg",4,IF(Atletas!E168="Juvenil 60kg",5,IF(Atletas!E168="Juvenil 65kg",6,IF(Atletas!E168="Juvenil 70kg",7,IF(Atletas!E168="Juvenil 75kg",8,IF(Atletas!E168="Juvenil 82kg",9,IF(Atletas!E168="Juvenil 90kg",10,IF(Atletas!E168="Juvenil 100kg",11,IF(Atletas!E168="Adulto 48kg",12,IF(Atletas!E168="Adulto 52kg",13,IF(Atletas!E168="Adulto 56kg",14,IF(Atletas!E168="Adulto 60kg",15,IF(Atletas!E168="Adulto 65kg",16,IF(Atletas!E168="Adulto 70kg",17,IF(Atletas!E168="Adulto 75kg",18,IF(Atletas!E168="Adulto 82kg",19,IF(Atletas!E168="Adulto 90kg",20,IF(Atletas!E168="Adulto 100kg",21,IF(Atletas!E168="Adulto +100kg",22,""))))))))))))))))))))))))</f>
        <v/>
      </c>
      <c r="AT172" s="10" t="str">
        <f>IF(Atletas!F168="","",IF(Atletas!B168="Feminino",100,IF(Atletas!B168="Masculino",200,""))+(IF(Atletas!F168="Adulto 48kg",1,IF(Atletas!F168="Adulto 56kg",2,IF(Atletas!F168="Adulto 65kg",3,IF(Atletas!F168="Adulto 75kg",4,IF(Atletas!F168="Adulto +75kg",5,IF(Atletas!F168="Adulto 52kg",6,IF(Atletas!F168="Adulto 60kg",7,IF(Atletas!F168="Adulto 70kg",8,IF(Atletas!F168="Adulto 80kg",9,IF(Atletas!F168="Adulto 90kg",10,IF(Atletas!F168="Adulto +90kg",11,"")))))))))))))</f>
        <v/>
      </c>
      <c r="AY172" s="46" t="str">
        <f>IF(Atletas!G168="","",IF(Atletas!B168="Feminino",100,IF(Atletas!B168="Masculino",200,""))+(IF(Atletas!G168="Changquan Mirim",1,IF(Atletas!G168="Nanquan Mirim",2,IF(Atletas!G168="Taijiquan Mirim",3,IF(Atletas!G168="Changquan Grupo C",4,IF(Atletas!G168="Nanquan Grupo C",5,IF(Atletas!G168="Taijiquan Grupo C",6,IF(Atletas!G168="Changquan Grupo B",7,IF(Atletas!G168="Nanquan Grupo B",8,IF(Atletas!G168="Taijiquan Grupo B",9,IF(Atletas!G168="Changquan Grupo A",10,IF(Atletas!G168="Nanquan Grupo A",11,IF(Atletas!G168="Taijiquan Grupo A",12,IF(Atletas!G168="Changquan Opcional",13,IF(Atletas!G168="Nanquan Opcional",14,IF(Atletas!G168="Taijiquan Opcional",15,IF(Atletas!G168="Changquan Adulto",16,IF(Atletas!G168="Nanquan Adulto",17,IF(Atletas!G168="Taijiquan Adulto",18,""))))))))))))))))))))</f>
        <v/>
      </c>
      <c r="AZ172" s="46" t="str">
        <f>IF(Atletas!H168="","",IF(Atletas!B168="Feminino",100,IF(Atletas!B168="Masculino",200,""))+(IF(Atletas!H168="Daoshu Mirim",19,IF(Atletas!H168="Jianshu Mirim",20,IF(Atletas!H168="Nandao Mirim",21,IF(Atletas!H168="Taijijian Mirim",22,IF(Atletas!H168="Daoshu Grupo C",23,IF(Atletas!H168="Jianshu Grupo C",24,IF(Atletas!H168="Nandao Grupo C",25,IF(Atletas!H168="Taijijian Grupo C",26,IF(Atletas!H168="Daoshu Grupo B",27,IF(Atletas!H168="Jianshu Grupo B",28,IF(Atletas!H168="Nandao Grupo B",29,IF(Atletas!H168="Taijijian Grupo B",30,IF(Atletas!H168="Daoshu Grupo A",31,IF(Atletas!H168="Jianshu Grupo A",32,IF(Atletas!H168="Nandao Grupo A",33,IF(Atletas!H168="Taijijian Grupo A",34,IF(Atletas!H168="Daoshu Opcional",35,IF(Atletas!H168="Jianshu Opcional",36,IF(Atletas!H168="Nandao Opcional",37,IF(Atletas!H168="Taijijian Opcional",38,IF(Atletas!H168="Daoshu Adulto",39,IF(Atletas!H168="Jianshu Adulto",40,IF(Atletas!H168="Nandao Adulto",41,IF(Atletas!H168="Taijijian Adulto",42,""))))))))))))))))))))))))))</f>
        <v/>
      </c>
      <c r="BA172" s="46" t="str">
        <f>IF(Atletas!I168="","",IF(Atletas!B168="Feminino",100,IF(Atletas!B168="Masculino",200,""))+(IF(Atletas!I168="Gunshu Mirim",43,IF(Atletas!I168="Qiangshu Mirim",44,IF(Atletas!I168="Nangun Mirim",45,IF(Atletas!I168="Gunshu Grupo C",46,IF(Atletas!I168="Qiangshu Grupo C",47,IF(Atletas!I168="Nangun Grupo C",48,IF(Atletas!I168="Gunshu Grupo B",49,IF(Atletas!I168="Qiangshu Grupo B",50,IF(Atletas!I168="Nangun Grupo B",51,IF(Atletas!I168="Gunshu Grupo A",52,IF(Atletas!I168="Qiangshu Grupo A",53,IF(Atletas!I168="Nangun Grupo A",54,IF(Atletas!I168="Gunshu Opcional",55,IF(Atletas!I168="Qiangshu Opcional",56,IF(Atletas!I168="Nangun Opcional",57,IF(Atletas!I168="Gunshu Adulto",58,IF(Atletas!I168="Qiangshu Adulto",59,IF(Atletas!I168="Nangun Adulto",60,""))))))))))))))))))))</f>
        <v/>
      </c>
      <c r="BF172" s="52" t="str">
        <f>IF(Atletas!J168="","",IF(Atletas!B168="Feminino",100,IF(Atletas!B168="Masculino",200,""))+(IF(Atletas!J168="Equipe 1 Grupo B",1,IF(Atletas!J168="Equipe 2 Grupo B",2,IF(Atletas!J168="Equipe 1 Grupo A",3,IF(Atletas!J168="Equipe 2 Grupo A",4,IF(Atletas!J168="Equipe 1 Adulto",5,IF(Atletas!J168="Equipe 2 Adulto",6,""))))))))</f>
        <v/>
      </c>
      <c r="BK172" s="52" t="str">
        <f>IF(Atletas!K168="","",IF(Atletas!W168&lt;&gt;"",10000,0)+(IF(Atletas!B168="Feminino",1000,IF(Atletas!B168="Masculino",2000,""))+IF(Atletas!K168="Choylayfut A",1,IF(Atletas!K168="Hunggar A",2,IF(Atletas!K168="Wuzuquan A",3,IF(Atletas!K168="Wingchun A",4,IF(Atletas!K168="Outra Mão de Sul A",5,IF(Atletas!K168="Choylayfut B",6,IF(Atletas!K168="Hunggar B",7,IF(Atletas!K168="Wuzuquan B",8,IF(Atletas!K168="Wingchun B",9,IF(Atletas!K168="Outra Mão de Sul B",10,IF(Atletas!K168="Choylayfut C",11,IF(Atletas!K168="Hunggar C",12,IF(Atletas!K168="Wuzuquan C",13,IF(Atletas!K168="Wingchun C",14,IF(Atletas!K168="Outra Mão de Sul C",15,IF(Atletas!K168="Choylayfut D",16,IF(Atletas!K168="Hunggar D",17,IF(Atletas!K168="Wuzuquan D",18,IF(Atletas!K168="Wingchun D",19,IF(Atletas!K168="Outra Mão de Sul D",20,IF(Atletas!K168="Choylayfut E",21,IF(Atletas!K168="Hunggar E",22,IF(Atletas!K168="Wuzuquan E",23,IF(Atletas!K168="Wingchun E",24,IF(Atletas!K168="Outra Mão de Sul E",25,IF(Atletas!K168="Choylayfut F",26,IF(Atletas!K168="Hunggar F",27,IF(Atletas!K168="Wuzuquan F",28,IF(Atletas!K168="Wingchun F",29,IF(Atletas!K168="Outra Mão de Sul F",30,""))))))))))))))))))))))))))))))))</f>
        <v/>
      </c>
      <c r="BL172" s="52" t="str">
        <f>IF(Atletas!L168="","",IF(Atletas!W168&lt;&gt;"",10000,0)+(IF(Atletas!B168="Feminino",1000,IF(Atletas!B168="Masculino",2000,""))+(IF(Atletas!L168="Chaquan A",101,IF(Atletas!L168="Emeiquan A",102,IF(Atletas!L168="Fanziquan A",103,IF(Atletas!L168="Huaquan A",104,IF(Atletas!L168="Hongquan A",105,IF(Atletas!L168="Paochui A",106,IF(Atletas!L168="Piguaquan A",107,IF(Atletas!L168="Shaolinquan A",108,IF(Atletas!L168="Tanglangquan A",109,IF(Atletas!L168="Yinzhaophai A",110,IF(Atletas!L168="Tongbeiquan A",111,IF(Atletas!L168="Wudangquan A",112,IF(Atletas!L168="Outros Estilos A",113,IF(Atletas!L168="Chaquan B",114,IF(Atletas!L168="Emeiquan B",115,IF(Atletas!L168="Fanziquan B",116,IF(Atletas!L168="Huaquan B",117,IF(Atletas!L168="Hongquan B",118,IF(Atletas!L168="Paochui B",119,IF(Atletas!L168="Piguaquan B",120,IF(Atletas!L168="Shaolinquan B",121,IF(Atletas!L168="Tanglangquan B",122,IF(Atletas!L168="Yinzhaophai B",123,IF(Atletas!L168="Tongbeiquan B",124,IF(Atletas!L168="Wudangquan B",125,IF(Atletas!L168="Outros Estilos B",126,IF(Atletas!L168="Chaquan C",127,IF(Atletas!L168="Emeiquan C",128,IF(Atletas!L168="Fanziquan C",129,IF(Atletas!L168="Huaquan C",130,IF(Atletas!L168="Hongquan C",131,IF(Atletas!L168="Paochui C",132,IF(Atletas!L168="Piguaquan C",133,IF(Atletas!L168="Shaolinquan C",134,IF(Atletas!L168="Tanglangquan C",135,IF(Atletas!L168="Yinzhaophai C",136,IF(Atletas!L168="Tongbeiquan C",137,IF(Atletas!L168="Wudangquan C",138,IF(Atletas!L168="Outros Estilos C",139,0))))))))))))))))))))))))))))))))))))))))))</f>
        <v/>
      </c>
      <c r="BM172" s="52" t="str">
        <f>IF(Atletas!L168="","",IF(Atletas!W168&lt;&gt;"",10000,0)+(IF(Atletas!B168="Feminino",1000,IF(Atletas!B168="Masculino",2000,""))+(IF(Atletas!L168="Chaquan D",140,IF(Atletas!L168="Emeiquan D",141,IF(Atletas!L168="Fanziquan D",142,IF(Atletas!L168="Huaquan D",143,IF(Atletas!L168="Hongquan D",144,IF(Atletas!L168="Paochui D",145,IF(Atletas!L168="Piguaquan D",146,IF(Atletas!L168="Shaolinquan D",147,IF(Atletas!L168="Tanglangquan D",148,IF(Atletas!L168="Yinzhaophai D",149,IF(Atletas!L168="Tongbeiquan D",150,IF(Atletas!L168="Wudangquan D",151,IF(Atletas!L168="Outros Estilos D",152,IF(Atletas!L168="Chaquan E",153,IF(Atletas!L168="Emeiquan E",154,IF(Atletas!L168="Fanziquan E",155,IF(Atletas!L168="Huaquan E",156,IF(Atletas!L168="Hongquan E",157,IF(Atletas!L168="Paochui E",158,IF(Atletas!L168="Piguaquan E",159,IF(Atletas!L168="Shaolinquan E",160,IF(Atletas!L168="Tanglangquan E",161,IF(Atletas!L168="Yinzhaophai E",162,IF(Atletas!L168="Tongbeiquan E",163,IF(Atletas!L168="Wudangquan E",164,IF(Atletas!L168="Outros Estilos E",165,IF(Atletas!L168="Chaquan F",166,IF(Atletas!L168="Emeiquan F",167,IF(Atletas!L168="Fanziquan F",168,IF(Atletas!L168="Huaquan F",169,IF(Atletas!L168="Hongquan F",170,IF(Atletas!L168="Paochui F",171,IF(Atletas!L168="Piguaquan F",172,IF(Atletas!L168="Shaolinquan F",173,IF(Atletas!L168="Tanglangquan F",174,IF(Atletas!L168="Yinzhaophai F",175,IF(Atletas!L168="Tongbeiquan F",176,IF(Atletas!L168="Wudangquan F",177,IF(Atletas!L168="Outros Estilos F",178,0))))))))))))))))))))))))))))))))))))))))))</f>
        <v/>
      </c>
      <c r="BN172" s="52" t="str">
        <f>IF(Atletas!M168="","",IF(Atletas!W168&lt;&gt;"",10000,0)+(IF(Atletas!B168="Feminino",1000,IF(Atletas!B168="Masculino",2000,""))+(IF(Atletas!M168="Ditangquan A",201,IF(Atletas!M168="Houquan A",202,IF(Atletas!M168="Zuiquan A",203,IF(Atletas!M168="Ditangquan B",204,IF(Atletas!M168="Houquan B",205,IF(Atletas!M168="Zuiquan B",206,IF(Atletas!M168="Ditangquan C",207,IF(Atletas!M168="Houquan C",208,IF(Atletas!M168="Zuiquan C",209,IF(Atletas!M168="Ditangquan D",210,IF(Atletas!M168="Houquan D",211,IF(Atletas!M168="Zuiquan D",212,IF(Atletas!M168="Ditangquan E",213,IF(Atletas!M168="Houquan E",214,IF(Atletas!M168="Zuiquan E",215,IF(Atletas!M168="Ditangquan F",216,IF(Atletas!M168="Houquan F",217,IF(Atletas!M168="Zuiquan F",218,"")))))))))))))))))))))</f>
        <v/>
      </c>
      <c r="BO172" s="52" t="str">
        <f>IF(Atletas!N168="","",IF(Atletas!W168&lt;&gt;"",10000,0)+IF(Atletas!B168="Feminino",1000,IF(Atletas!B168="Masculino",2000,""))+IF(Atletas!N168="Yang A",301,IF(Atletas!N168="Chen A",30,IF(Atletas!N168="Sun A",303,IF(Atletas!N168="Wu A",304,IF(Atletas!N168="Wu-Hao A",305,IF(Atletas!N168="Outro Taijiquan A",306,IF(Atletas!N168="Yang B",307,IF(Atletas!N168="Chen B",308,IF(Atletas!N168="Sun B",309,IF(Atletas!N168="Wu B",310,IF(Atletas!N168="Wu-Hao B",311,IF(Atletas!N168="Outro Taijiquan B",312,IF(Atletas!N168="Yang C",313,IF(Atletas!N168="Chen C",314,IF(Atletas!N168="Sun C",315,IF(Atletas!N168="Wu C",316,IF(Atletas!N168="Wu-Hao C",317,IF(Atletas!N168="Outro Taijiquan C",318,IF(Atletas!N168="Yang D",319,IF(Atletas!N168="Chen D",320,IF(Atletas!N168="Sun D",321,IF(Atletas!N168="Wu D",322,IF(Atletas!N168="Wu-Hao D",323,IF(Atletas!N168="Outro Taijiquan D",324,IF(Atletas!N168="Yang E",325,IF(Atletas!N168="Chen E",326,IF(Atletas!N168="Sun E",327,IF(Atletas!N168="Wu E",328,IF(Atletas!N168="Wu-Hao E",329,IF(Atletas!N168="Outro Taijiquan E",330,IF(Atletas!N168="Yang F",331,IF(Atletas!N168="Chen F",332,IF(Atletas!N168="Sun F",333,IF(Atletas!N168="Wu F",334,IF(Atletas!N168="Wu-Hao F",335,IF(Atletas!N168="Outro Taijiquan F",336,"")))))))))))))))))))))))))))))))))))))</f>
        <v/>
      </c>
      <c r="BP172" s="52" t="str">
        <f>IF(Atletas!O168="","",IF(Atletas!W168&lt;&gt;"",10000,0)+IF(Atletas!B168="Feminino",1000,IF(Atletas!B168="Masculino",2000,""))+IF(OR(Atletas!O168="Yang 26 A",Atletas!O168="Yang 40 A"),401,IF(OR(Atletas!O168="Chen 25 A",Atletas!O168="Chen 36 A",Atletas!O168="Chen 56 A"),402,IF(Atletas!O168="Sun 73 A",403,IF(Atletas!O168="Wu 45 A",404,IF(Atletas!O168="Wu-Hao 46 A",405,IF(OR(Atletas!O168="Taijiquan 16 A",Atletas!O168="Taijiquan 24 A",Atletas!O168="Taijiquan 32 A",Atletas!O168="Taijiquan 42 A"),406,IF(OR(Atletas!O168="Yang 26 B",Atletas!O168="Yang 40 B"),407,IF(OR(Atletas!O168="Chen 25 B",Atletas!O168="Chen 36 B",Atletas!O168="Chen 56 B"),408,IF(Atletas!O168="Sun 73 B",409,IF(Atletas!O168="Wu 45 B",410,IF(Atletas!O168="Wu-Hao 46 B",411,IF(OR(Atletas!O168="Taijiquan 16 B",Atletas!O168="Taijiquan 24 B",Atletas!O168="Taijiquan 32 B",Atletas!O168="Taijiquan 42 B"),412,IF(OR(Atletas!O168="Yang 26 C",Atletas!O168="Yang 40 C"),413,IF(OR(Atletas!O168="Chen 25 C",Atletas!O168="Chen 36 C",Atletas!O168="Chen 56 C"),414,IF(Atletas!O168="Sun 73 C",415,IF(Atletas!O168="Wu 45 C",416,IF(Atletas!O168="Wu-Hao 46 C",417,IF(OR(Atletas!O168="Taijiquan 16 C",Atletas!O168="Taijiquan 24 C",Atletas!O168="Taijiquan 32 C",Atletas!O168="Taijiquan 42 C"),418,0)))))))))))))))))))</f>
        <v/>
      </c>
      <c r="BQ172" s="52" t="str">
        <f>IF(Atletas!O168="","",IF(Atletas!W168&lt;&gt;"",10000,0)+IF(Atletas!B168="Feminino",1000,IF(Atletas!B168="Masculino",2000,""))+IF(OR(Atletas!O168="Yang 26 D",Atletas!O168="Yang 40 D"),419,IF(OR(Atletas!O168="Chen 25 D",Atletas!O168="Chen 36 D",Atletas!O168="Chen 56 D"),420,IF(Atletas!O168="Sun 73 D",421,IF(Atletas!O168="Wu 45 D",422,IF(Atletas!O168="Wu-Hao 46 D",423,IF(OR(Atletas!O168="Taijiquan 16 D",Atletas!O168="Taijiquan 24 D",Atletas!O168="Taijiquan 32 D",Atletas!O168="Taijiquan 42 D"),424,IF(OR(Atletas!O168="Yang 26 E",Atletas!O168="Yang 40 E"),425,IF(OR(Atletas!O168="Chen 25 E",Atletas!O168="Chen 36 E",Atletas!O168="Chen 56 E"),426,IF(Atletas!O168="Sun 73 E",427,IF(Atletas!O168="Wu 45 E",428,IF(Atletas!O168="Wu-Hao 46 E",429,IF(OR(Atletas!O168="Taijiquan 16 E",Atletas!O168="Taijiquan 24 E",Atletas!O168="Taijiquan 32 E",Atletas!O168="Taijiquan 42 E"),430,IF(OR(Atletas!O168="Yang 26 F",Atletas!O168="Yang 40 F"),431,IF(OR(Atletas!O168="Chen 25 F",Atletas!O168="Chen 36 F",Atletas!O168="Chen 56 F"),432,IF(Atletas!O168="Sun 73 F",433,IF(Atletas!O168="Wu 45 F",434,IF(Atletas!O168="Wu-Hao 46 F",435,IF(OR(Atletas!O168="Taijiquan 16 F",Atletas!O168="Taijiquan 24 F",Atletas!O168="Taijiquan 32 F",Atletas!O168="Taijiquan 42 F"),436,0)))))))))))))))))))</f>
        <v/>
      </c>
      <c r="BR172" s="52" t="str">
        <f>IF(Atletas!P168="","",IF(Atletas!W168&lt;&gt;"",10000,0)+IF(Atletas!B168="Feminino",1000,IF(Atletas!B168="Masculino",2000,""))+IF(Atletas!P168="Xingyiquan A",501,IF(Atletas!P168="Baguazhang A",502,IF(Atletas!P168="Outro Estilo Interno A",503,IF(Atletas!P168="Xingyiquan B",504,IF(Atletas!P168="Baguazhang B",505,IF(Atletas!P168="Outro Estilo Interno B",506,IF(Atletas!P168="Xingyiquan C",507,IF(Atletas!P168="Baguazhang C",508,IF(Atletas!P168="Outro Estilo Interno C",509,IF(Atletas!P168="Xingyiquan D",510,IF(Atletas!P168="Baguazhang D",511,IF(Atletas!P168="Outro Estilo Interno D",512,IF(Atletas!P168="Xingyiquan E",513,IF(Atletas!P168="Baguazhang E",514,IF(Atletas!P168="Outro Estilo Interno E",515,IF(Atletas!P168="Xingyiquan F",516,IF(Atletas!P168="Baguazhang F",517,IF(Atletas!P168="Outro Estilo Interno F",518, "")))))))))))))))))))</f>
        <v/>
      </c>
      <c r="BS172" s="52" t="str">
        <f>IF(Atletas!Q168="","",IF(Atletas!W168&lt;&gt;"",10000,0)+IF(Atletas!B168="Feminino",1000,IF(Atletas!B168="Masculino",2000,""))+IF(Atletas!Q168="Dao A",601,IF(Atletas!Q168="Jian A",602,IF(Atletas!Q168="Bishou A",603,IF(Atletas!Q168="Shan A",604,IF(Atletas!Q168="Outra Arma Curta A",605,IF(Atletas!Q168="Dao B",606,IF(Atletas!Q168="Jian B",607,IF(Atletas!Q168="Bishou B",608,IF(Atletas!Q168="Shan B",609,IF(Atletas!Q168="Outra Arma Curta B",610,IF(Atletas!Q168="Dao C",611,IF(Atletas!Q168="Jian C",612,IF(Atletas!Q168="Bishou C",613,IF(Atletas!Q168="Shan C",614,IF(Atletas!Q168="Outra Arma Curta C",615,IF(Atletas!Q168="Dao D",616,IF(Atletas!Q168="Jian D",617,IF(Atletas!Q168="Bishou D",618,IF(Atletas!Q168="Shan D",619,IF(Atletas!Q168="Outra Arma Curta D",620,IF(Atletas!Q168="Dao E",621,IF(Atletas!Q168="Jian E",622,IF(Atletas!Q168="Bishou E",623,IF(Atletas!Q168="Shan E",624,IF(Atletas!Q168="Outra Arma Curta E",625,IF(Atletas!Q168="Dao F",626,IF(Atletas!Q168="Jian F",627,IF(Atletas!Q168="Bishou F",628,IF(Atletas!Q168="Shan F",629,IF(Atletas!Q168="Outra Arma Curta F",630, "")))))))))))))))))))))))))))))))</f>
        <v/>
      </c>
      <c r="BT172" s="52" t="str">
        <f>IF(Atletas!R168="","",IF(Atletas!W168&lt;&gt;"",10000,0)+IF(Atletas!B168="Feminino",1000,IF(Atletas!B168="Masculino",2000,""))+IF(Atletas!R168="Gun A",701,IF(Atletas!R168="Qiang A",702,IF(Atletas!R168="Pudao / Guandao A",703,IF(Atletas!R168="Outra Arma Longa A",704,IF(Atletas!R168="Gun B",705,IF(Atletas!R168="Qiang B",706,IF(Atletas!R168="Pudao / Guandao B",707,IF(Atletas!R168="Outra Arma Longa B",708,IF(Atletas!R168="Gun C",709,IF(Atletas!R168="Qiang C",710,IF(Atletas!R168="Pudao / Guandao C",711,IF(Atletas!R168="Outra Arma Longa C",712,IF(Atletas!R168="Gun D",713,IF(Atletas!R168="Qiang D",714,IF(Atletas!R168="Pudao / Guandao D",715,IF(Atletas!R168="Outra Arma Longa D",716,IF(Atletas!R168="Gun E",717,IF(Atletas!R168="Qiang E",718,IF(Atletas!R168="Pudao / Guandao E",719,IF(Atletas!R168="Outra Arma Longa E",720,IF(Atletas!R168="Gun F",721,IF(Atletas!R168="Qiang F",722,IF(Atletas!R168="Pudao / Guandao F",723,IF(Atletas!R168="Outra Arma Longa F",724,"")))))))))))))))))))))))))</f>
        <v/>
      </c>
      <c r="BU172" s="52" t="str">
        <f>IF(Atletas!S168="","",IF(Atletas!W168&lt;&gt;"",10000,0)+IF(Atletas!B168="Feminino",1000,IF(Atletas!B168="Masculino",2000,""))+IF(Atletas!S168="Arma Dupla A",801,IF(Atletas!S168="Arma Maleável A",802,IF(Atletas!S168="Arma Dupla B",803,IF(Atletas!S168="Arma Maleável B",804,IF(Atletas!S168="Arma Dupla C",805,IF(Atletas!S168="Arma Maleável C",806,IF(Atletas!S168="Arma Dupla D",807,IF(Atletas!S168="Arma Maleável D",808,IF(Atletas!S168="Arma Dupla E",809,IF(Atletas!S168="Arma Maleável E",810,IF(Atletas!S168="Arma Dupla F",811,IF(Atletas!S168="Arma Maleável F",812, "")))))))))))))</f>
        <v/>
      </c>
      <c r="BV172" s="52" t="str">
        <f>IF(Atletas!T168="","",IF(Atletas!W168&lt;&gt;"",10000,0)+IF(Atletas!B168="Feminino",1000,IF(Atletas!B168="Masculino",2000,""))+IF(Atletas!T168="Taijijian Yang A",901,IF(Atletas!T168="Taijijian Chen A",902,IF(Atletas!T168="Taijijian Sun A",903,IF(Atletas!T168="Taijijian Wu A",904,IF(Atletas!T168="Taijijian Wu-Hao A",905,IF(Atletas!T168="Taijijian 32 A",906,IF(Atletas!T168="Taijijian 42 A",907,IF(Atletas!T168="Taijijian Yang B",908,IF(Atletas!T168="Taijijian Chen B",909,IF(Atletas!T168="Taijijian Sun B",910,IF(Atletas!T168="Taijijian Wu B",911,IF(Atletas!T168="Taijijian Wu-Hao B",912,IF(Atletas!T168="Taijijian 32 B",913,IF(Atletas!T168="Taijijian 42 B",914,IF(Atletas!T168="Taijijian Yang C",915,IF(Atletas!T168="Taijijian Chen C",916,IF(Atletas!T168="Taijijian Sun C",917,IF(Atletas!T168="Taijijian Wu C",918,IF(Atletas!T168="Taijijian Wu-Hao C",919,IF(Atletas!T168="Taijijian 32 C",920,IF(Atletas!T168="Taijijian 42 C",921,IF(Atletas!T168="Taijijian Yang D",922,IF(Atletas!T168="Taijijian Chen D",923,IF(Atletas!T168="Taijijian Sun D",924,IF(Atletas!T168="Taijijian Wu D",925,IF(Atletas!T168="Taijijian Wu-Hao D",926,IF(Atletas!T168="Taijijian 32 D",927,IF(Atletas!T168="Taijijian 42 D",928,IF(Atletas!T168="Taijijian Yang E",929,IF(Atletas!T168="Taijijian Chen E",930,IF(Atletas!T168="Taijijian Sun E",931,IF(Atletas!T168="Taijijian Wu E",932,IF(Atletas!T168="Taijijian Wu-Hao E",933,IF(Atletas!T168="Taijijian 32 E",934,IF(Atletas!T168="Taijijian 42 E",935,IF(Atletas!T168="Taijijian Yang F",936,IF(Atletas!T168="Taijijian Chen F",937,IF(Atletas!T168="Taijijian Sun F",938,IF(Atletas!T168="Taijijian Wu F",939,IF(Atletas!T168="Taijijian Wu-Hao F",940,IF(Atletas!T168="Taijijian 32 F",941,IF(Atletas!T168="Taijijian 42 F",942,"")))))))))))))))))))))))))))))))))))))))))))</f>
        <v/>
      </c>
      <c r="BW172" s="52" t="str">
        <f>IF(Atletas!U168="","",IF(Atletas!W168&lt;&gt;"",10000,0)+IF(Atletas!B168="Feminino",1000,IF(Atletas!B168="Masculino",2000,""))+IF(Atletas!T168="Taijijian 42 F",942,IF(Atletas!U168="Taijidao A",943,IF(Atletas!U168="Taijishan A",944,IF(Atletas!U168="Taijiqiang A",945,IF(Atletas!U168="Taijidao B",946,IF(Atletas!U168="Taijishan B",947,IF(Atletas!U168="Taijiqiang B",948,IF(Atletas!U168="Taijidao C",949,IF(Atletas!U168="Taijishan C",950,IF(Atletas!U168="Taijiqiang C",951,IF(Atletas!U168="Taijidao D",952,IF(Atletas!U168="Taijishan D",953,IF(Atletas!U168="Taijiqiang D",954,IF(Atletas!U168="Taijidao E",955,IF(Atletas!U168="Taijishan E",956,IF(Atletas!U168="Taijiqiang E",957,IF(Atletas!U168="Taijidao F",958,IF(Atletas!U168="Taijishan F",959,IF(Atletas!U168="Taijiqiang F",960))))))))))))))))))))</f>
        <v/>
      </c>
      <c r="BX172" s="72" t="str">
        <f>IF(BY172&lt;&gt;"","TJQ Padr. Wu A","")</f>
        <v/>
      </c>
      <c r="BY172" s="72" t="str">
        <f>IF(COUNTIF(BK:BW,1404)&gt;0,COUNTIF(BK:BW,1404),"")</f>
        <v/>
      </c>
      <c r="BZ172" s="72" t="str">
        <f>IF(CA172&lt;&gt;"","TJQ Padr. Wu A","")</f>
        <v/>
      </c>
      <c r="CA172" s="72" t="str">
        <f>IF(COUNTIF(BK:BW,2404)&gt;0,COUNTIF(BK:BW,2404),"")</f>
        <v/>
      </c>
      <c r="CB172" s="72" t="str">
        <f>IF(CC172&lt;&gt;"","Yang 50 A","")</f>
        <v/>
      </c>
      <c r="CC172" s="64" t="str">
        <f>IF(COUNTIF(BK:BW,11404)&gt;0,COUNTIF(BK:BW,11404),"")</f>
        <v/>
      </c>
      <c r="CD172" s="64" t="str">
        <f>IF(CE172&lt;&gt;"","Yang 50 A","")</f>
        <v/>
      </c>
      <c r="CE172" s="64" t="str">
        <f>IF(COUNTIF(BK:BW,12404)&gt;0,COUNTIF(BK:BW,12404),"")</f>
        <v/>
      </c>
      <c r="CF172" s="52" t="str">
        <f xml:space="preserve"> IF(Atletas!V168="","",IF(Atletas!V168="Duilian de Mãos AB - Equipe 1",1,IF(Atletas!V168="Duilian de Mãos AB - Equipe 2",2,IF(Atletas!V168="Duilian de Armas AB - Equipe 1",3,IF(Atletas!V168="Duilian de Armas AB - Equipe 2",4,IF(Atletas!V168="Duilian de Tuishou - Equipe 1",5,IF(Atletas!V168="Duilian de Tuishou - Equipe 2",6,IF(Atletas!V168="Grupo Externo AB - Equipe 1",7,IF(Atletas!V168="Grupo Externo AB - Equipe 2",8,IF(Atletas!V168="Grupo Interno AB - Equipe 1",9,IF(Atletas!V168="Grupo Interno AB - Equipe 2",10,IF(Atletas!V168="Duilian de Mãos CD - Equipe 1",11,IF(Atletas!V168="Duilian de Mãos CD - Equipe 2",12,IF(Atletas!V168="Duilian de Armas CD - Equipe 1",13,IF(Atletas!V168="Duilian de Armas CD - Equipe 2",14,IF(Atletas!V168="Duilian de Tuishou - Equipe 1",15,IF(Atletas!V168="Duilian de Tuishou - Equipe 2",16,IF(Atletas!V168="Grupo Externo CDEF - Equipe 1",17,IF(Atletas!V168="Grupo Externo CDEF - Equipe 2",18,IF(Atletas!V168="Grupo Interno CDEF - Equipe 1",19,IF(Atletas!V168="Grupo Interno CDEF - Equipe 2",20,IF(Atletas!V168="Duilian de Mãos EF - Equipe 1",21,IF(Atletas!V168="Duilian de Mãos EF - Equipe 2",22,IF(Atletas!V168="Duilian de Armas EF - Equipe 1",23,IF(Atletas!V168="Duilian de Armas EF - Equipe 2",24,IF(Atletas!V168="Duilian de Tuishou - Equipe 1",25,IF(Atletas!V168="Duilian de Tuishou - Equipe 2",26,"")))))))))))))))))))))))))))</f>
        <v/>
      </c>
    </row>
    <row r="173" spans="2:84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 t="str">
        <f t="array" ref="V173">IFERROR(INDEX(BX$7:BX$336,SMALL(IF(BX$7:BX$336&lt;&gt;"",ROW(BX$7:BX$336)-ROW(BX$7)+1),ROWS(BX$7:BX172))),"")</f>
        <v/>
      </c>
      <c r="W173" s="4" t="str">
        <f t="array" ref="W173">IFERROR(INDEX(BY$7:BY$336,SMALL(IF(BY$7:BY$336&lt;&gt;"",ROW(BY$7:BY$336)-ROW(BY$7)+1),ROWS(BY$7:BY172))),"")</f>
        <v/>
      </c>
      <c r="X173" s="4" t="str">
        <f t="array" ref="X173">IFERROR(INDEX(BZ$7:BZ$336,SMALL(IF(BZ$7:BZ$336&lt;&gt;"",ROW(BZ$7:BZ$336)-ROW(BZ$7)+1),ROWS(BZ$7:BZ172))),"")</f>
        <v/>
      </c>
      <c r="Y173" s="4" t="str">
        <f t="array" ref="Y173">IFERROR(INDEX(CA$7:CA$336,SMALL(IF(CA$7:CA$336&lt;&gt;"",ROW(CA$7:CA$336)-ROW(CA$7)+1),ROWS(CA$7:CA172))),"")</f>
        <v/>
      </c>
      <c r="Z173" s="4" t="str">
        <f t="array" ref="Z173">IFERROR(INDEX(CB$7:CB$378,SMALL(IF(CB$7:CB$378&lt;&gt;"",ROW(CB$7:CB$378)-ROW(CB$7)+1),ROWS(CB$7:CB172))),"")</f>
        <v/>
      </c>
      <c r="AA173" s="4" t="str">
        <f t="array" ref="AA173">IFERROR(INDEX(CC$7:CC$378,SMALL(IF(CC$7:CC$378&lt;&gt;"",ROW(CC$7:CC$378)-ROW(CC$7)+1),ROWS(CC$7:CC172))),"")</f>
        <v/>
      </c>
      <c r="AB173" s="4" t="str">
        <f t="array" ref="AB173">IFERROR(INDEX(CD$7:CD$378,SMALL(IF(CD$7:CD$378&lt;&gt;"",ROW(CD$7:CD$378)-ROW(CD$7)+1),ROWS(CD$7:CD172))),"")</f>
        <v/>
      </c>
      <c r="AC173" s="4" t="str">
        <f t="array" ref="AC173">IFERROR(INDEX(CE$7:CE$378,SMALL(IF(CE$7:CE$378&lt;&gt;"",ROW(CE$7:CE$378)-ROW(CE$7)+1),ROWS(CE$7:CE172))),"")</f>
        <v/>
      </c>
      <c r="AD173" s="4"/>
      <c r="AE173" s="4"/>
      <c r="AF173" s="4"/>
      <c r="AG173" s="4"/>
      <c r="AH173" s="4"/>
      <c r="AI173" s="4"/>
      <c r="AJ173" s="46" t="str">
        <f>IF(Atletas!D169="","",IF(Atletas!B169="Feminino",100,IF(Atletas!B169="Masculino",200,""))+(IF(Atletas!D169="Infantil 39kg",1,IF(Atletas!D169="Infantil 42kg",2,IF(Atletas!D169="Infantil 45kg",3,IF(Atletas!D169="Infantil 48kg",4,IF(Atletas!D169="Infantil 52kg",5,IF(Atletas!D169="Infantil 56kg",6,IF(Atletas!D169="Infantil 60kg",7,IF(Atletas!D169="Juvenil 48kg",8,IF(Atletas!D169="Juvenil 52kg",9,IF(Atletas!D169="Juvenil 56kg",10,IF(Atletas!D169="Juvenil 60kg",11,IF(Atletas!D169="Juvenil 65kg",12,IF(Atletas!D169="Juvenil 70kg",13,IF(Atletas!D169="Juvenil 75kg",14,IF(Atletas!D169="Juvenil 80kg",15,IF(Atletas!D169="Adulto 48kg",16,IF(Atletas!D169="Adulto 52kg",17,IF(Atletas!D169="Adulto 56kg",18,IF(Atletas!D169="Adulto 60kg",19,IF(Atletas!D169="Adulto 65kg",20,IF(Atletas!D169="Adulto 70kg",21,IF(Atletas!D169="Adulto 75kg",22,IF(Atletas!D169="Adulto 80kg",23,IF(Atletas!D169="Adulto 85kg",24,IF(Atletas!D169="Adulto 90kg",25,IF(Atletas!D169="Adulto +90kg",26,""))))))))))))))))))))))))))))</f>
        <v/>
      </c>
      <c r="AO173" s="10" t="str">
        <f>IF(Atletas!E169="","",IF(Atletas!B169="Feminino",100,IF(Atletas!B169="Masculino",200,""))+(IF(Atletas!E169="Juvenil 44kg",1,IF(Atletas!E169="Juvenil 48kg",2,IF(Atletas!E169="Juvenil 52kg",3,IF(Atletas!E169="Juvenil 56kg",4,IF(Atletas!E169="Juvenil 60kg",5,IF(Atletas!E169="Juvenil 65kg",6,IF(Atletas!E169="Juvenil 70kg",7,IF(Atletas!E169="Juvenil 75kg",8,IF(Atletas!E169="Juvenil 82kg",9,IF(Atletas!E169="Juvenil 90kg",10,IF(Atletas!E169="Juvenil 100kg",11,IF(Atletas!E169="Adulto 48kg",12,IF(Atletas!E169="Adulto 52kg",13,IF(Atletas!E169="Adulto 56kg",14,IF(Atletas!E169="Adulto 60kg",15,IF(Atletas!E169="Adulto 65kg",16,IF(Atletas!E169="Adulto 70kg",17,IF(Atletas!E169="Adulto 75kg",18,IF(Atletas!E169="Adulto 82kg",19,IF(Atletas!E169="Adulto 90kg",20,IF(Atletas!E169="Adulto 100kg",21,IF(Atletas!E169="Adulto +100kg",22,""))))))))))))))))))))))))</f>
        <v/>
      </c>
      <c r="AT173" s="10" t="str">
        <f>IF(Atletas!F169="","",IF(Atletas!B169="Feminino",100,IF(Atletas!B169="Masculino",200,""))+(IF(Atletas!F169="Adulto 48kg",1,IF(Atletas!F169="Adulto 56kg",2,IF(Atletas!F169="Adulto 65kg",3,IF(Atletas!F169="Adulto 75kg",4,IF(Atletas!F169="Adulto +75kg",5,IF(Atletas!F169="Adulto 52kg",6,IF(Atletas!F169="Adulto 60kg",7,IF(Atletas!F169="Adulto 70kg",8,IF(Atletas!F169="Adulto 80kg",9,IF(Atletas!F169="Adulto 90kg",10,IF(Atletas!F169="Adulto +90kg",11,"")))))))))))))</f>
        <v/>
      </c>
      <c r="AY173" s="46" t="str">
        <f>IF(Atletas!G169="","",IF(Atletas!B169="Feminino",100,IF(Atletas!B169="Masculino",200,""))+(IF(Atletas!G169="Changquan Mirim",1,IF(Atletas!G169="Nanquan Mirim",2,IF(Atletas!G169="Taijiquan Mirim",3,IF(Atletas!G169="Changquan Grupo C",4,IF(Atletas!G169="Nanquan Grupo C",5,IF(Atletas!G169="Taijiquan Grupo C",6,IF(Atletas!G169="Changquan Grupo B",7,IF(Atletas!G169="Nanquan Grupo B",8,IF(Atletas!G169="Taijiquan Grupo B",9,IF(Atletas!G169="Changquan Grupo A",10,IF(Atletas!G169="Nanquan Grupo A",11,IF(Atletas!G169="Taijiquan Grupo A",12,IF(Atletas!G169="Changquan Opcional",13,IF(Atletas!G169="Nanquan Opcional",14,IF(Atletas!G169="Taijiquan Opcional",15,IF(Atletas!G169="Changquan Adulto",16,IF(Atletas!G169="Nanquan Adulto",17,IF(Atletas!G169="Taijiquan Adulto",18,""))))))))))))))))))))</f>
        <v/>
      </c>
      <c r="AZ173" s="46" t="str">
        <f>IF(Atletas!H169="","",IF(Atletas!B169="Feminino",100,IF(Atletas!B169="Masculino",200,""))+(IF(Atletas!H169="Daoshu Mirim",19,IF(Atletas!H169="Jianshu Mirim",20,IF(Atletas!H169="Nandao Mirim",21,IF(Atletas!H169="Taijijian Mirim",22,IF(Atletas!H169="Daoshu Grupo C",23,IF(Atletas!H169="Jianshu Grupo C",24,IF(Atletas!H169="Nandao Grupo C",25,IF(Atletas!H169="Taijijian Grupo C",26,IF(Atletas!H169="Daoshu Grupo B",27,IF(Atletas!H169="Jianshu Grupo B",28,IF(Atletas!H169="Nandao Grupo B",29,IF(Atletas!H169="Taijijian Grupo B",30,IF(Atletas!H169="Daoshu Grupo A",31,IF(Atletas!H169="Jianshu Grupo A",32,IF(Atletas!H169="Nandao Grupo A",33,IF(Atletas!H169="Taijijian Grupo A",34,IF(Atletas!H169="Daoshu Opcional",35,IF(Atletas!H169="Jianshu Opcional",36,IF(Atletas!H169="Nandao Opcional",37,IF(Atletas!H169="Taijijian Opcional",38,IF(Atletas!H169="Daoshu Adulto",39,IF(Atletas!H169="Jianshu Adulto",40,IF(Atletas!H169="Nandao Adulto",41,IF(Atletas!H169="Taijijian Adulto",42,""))))))))))))))))))))))))))</f>
        <v/>
      </c>
      <c r="BA173" s="46" t="str">
        <f>IF(Atletas!I169="","",IF(Atletas!B169="Feminino",100,IF(Atletas!B169="Masculino",200,""))+(IF(Atletas!I169="Gunshu Mirim",43,IF(Atletas!I169="Qiangshu Mirim",44,IF(Atletas!I169="Nangun Mirim",45,IF(Atletas!I169="Gunshu Grupo C",46,IF(Atletas!I169="Qiangshu Grupo C",47,IF(Atletas!I169="Nangun Grupo C",48,IF(Atletas!I169="Gunshu Grupo B",49,IF(Atletas!I169="Qiangshu Grupo B",50,IF(Atletas!I169="Nangun Grupo B",51,IF(Atletas!I169="Gunshu Grupo A",52,IF(Atletas!I169="Qiangshu Grupo A",53,IF(Atletas!I169="Nangun Grupo A",54,IF(Atletas!I169="Gunshu Opcional",55,IF(Atletas!I169="Qiangshu Opcional",56,IF(Atletas!I169="Nangun Opcional",57,IF(Atletas!I169="Gunshu Adulto",58,IF(Atletas!I169="Qiangshu Adulto",59,IF(Atletas!I169="Nangun Adulto",60,""))))))))))))))))))))</f>
        <v/>
      </c>
      <c r="BF173" s="52" t="str">
        <f>IF(Atletas!J169="","",IF(Atletas!B169="Feminino",100,IF(Atletas!B169="Masculino",200,""))+(IF(Atletas!J169="Equipe 1 Grupo B",1,IF(Atletas!J169="Equipe 2 Grupo B",2,IF(Atletas!J169="Equipe 1 Grupo A",3,IF(Atletas!J169="Equipe 2 Grupo A",4,IF(Atletas!J169="Equipe 1 Adulto",5,IF(Atletas!J169="Equipe 2 Adulto",6,""))))))))</f>
        <v/>
      </c>
      <c r="BK173" s="52" t="str">
        <f>IF(Atletas!K169="","",IF(Atletas!W169&lt;&gt;"",10000,0)+(IF(Atletas!B169="Feminino",1000,IF(Atletas!B169="Masculino",2000,""))+IF(Atletas!K169="Choylayfut A",1,IF(Atletas!K169="Hunggar A",2,IF(Atletas!K169="Wuzuquan A",3,IF(Atletas!K169="Wingchun A",4,IF(Atletas!K169="Outra Mão de Sul A",5,IF(Atletas!K169="Choylayfut B",6,IF(Atletas!K169="Hunggar B",7,IF(Atletas!K169="Wuzuquan B",8,IF(Atletas!K169="Wingchun B",9,IF(Atletas!K169="Outra Mão de Sul B",10,IF(Atletas!K169="Choylayfut C",11,IF(Atletas!K169="Hunggar C",12,IF(Atletas!K169="Wuzuquan C",13,IF(Atletas!K169="Wingchun C",14,IF(Atletas!K169="Outra Mão de Sul C",15,IF(Atletas!K169="Choylayfut D",16,IF(Atletas!K169="Hunggar D",17,IF(Atletas!K169="Wuzuquan D",18,IF(Atletas!K169="Wingchun D",19,IF(Atletas!K169="Outra Mão de Sul D",20,IF(Atletas!K169="Choylayfut E",21,IF(Atletas!K169="Hunggar E",22,IF(Atletas!K169="Wuzuquan E",23,IF(Atletas!K169="Wingchun E",24,IF(Atletas!K169="Outra Mão de Sul E",25,IF(Atletas!K169="Choylayfut F",26,IF(Atletas!K169="Hunggar F",27,IF(Atletas!K169="Wuzuquan F",28,IF(Atletas!K169="Wingchun F",29,IF(Atletas!K169="Outra Mão de Sul F",30,""))))))))))))))))))))))))))))))))</f>
        <v/>
      </c>
      <c r="BL173" s="52" t="str">
        <f>IF(Atletas!L169="","",IF(Atletas!W169&lt;&gt;"",10000,0)+(IF(Atletas!B169="Feminino",1000,IF(Atletas!B169="Masculino",2000,""))+(IF(Atletas!L169="Chaquan A",101,IF(Atletas!L169="Emeiquan A",102,IF(Atletas!L169="Fanziquan A",103,IF(Atletas!L169="Huaquan A",104,IF(Atletas!L169="Hongquan A",105,IF(Atletas!L169="Paochui A",106,IF(Atletas!L169="Piguaquan A",107,IF(Atletas!L169="Shaolinquan A",108,IF(Atletas!L169="Tanglangquan A",109,IF(Atletas!L169="Yinzhaophai A",110,IF(Atletas!L169="Tongbeiquan A",111,IF(Atletas!L169="Wudangquan A",112,IF(Atletas!L169="Outros Estilos A",113,IF(Atletas!L169="Chaquan B",114,IF(Atletas!L169="Emeiquan B",115,IF(Atletas!L169="Fanziquan B",116,IF(Atletas!L169="Huaquan B",117,IF(Atletas!L169="Hongquan B",118,IF(Atletas!L169="Paochui B",119,IF(Atletas!L169="Piguaquan B",120,IF(Atletas!L169="Shaolinquan B",121,IF(Atletas!L169="Tanglangquan B",122,IF(Atletas!L169="Yinzhaophai B",123,IF(Atletas!L169="Tongbeiquan B",124,IF(Atletas!L169="Wudangquan B",125,IF(Atletas!L169="Outros Estilos B",126,IF(Atletas!L169="Chaquan C",127,IF(Atletas!L169="Emeiquan C",128,IF(Atletas!L169="Fanziquan C",129,IF(Atletas!L169="Huaquan C",130,IF(Atletas!L169="Hongquan C",131,IF(Atletas!L169="Paochui C",132,IF(Atletas!L169="Piguaquan C",133,IF(Atletas!L169="Shaolinquan C",134,IF(Atletas!L169="Tanglangquan C",135,IF(Atletas!L169="Yinzhaophai C",136,IF(Atletas!L169="Tongbeiquan C",137,IF(Atletas!L169="Wudangquan C",138,IF(Atletas!L169="Outros Estilos C",139,0))))))))))))))))))))))))))))))))))))))))))</f>
        <v/>
      </c>
      <c r="BM173" s="52" t="str">
        <f>IF(Atletas!L169="","",IF(Atletas!W169&lt;&gt;"",10000,0)+(IF(Atletas!B169="Feminino",1000,IF(Atletas!B169="Masculino",2000,""))+(IF(Atletas!L169="Chaquan D",140,IF(Atletas!L169="Emeiquan D",141,IF(Atletas!L169="Fanziquan D",142,IF(Atletas!L169="Huaquan D",143,IF(Atletas!L169="Hongquan D",144,IF(Atletas!L169="Paochui D",145,IF(Atletas!L169="Piguaquan D",146,IF(Atletas!L169="Shaolinquan D",147,IF(Atletas!L169="Tanglangquan D",148,IF(Atletas!L169="Yinzhaophai D",149,IF(Atletas!L169="Tongbeiquan D",150,IF(Atletas!L169="Wudangquan D",151,IF(Atletas!L169="Outros Estilos D",152,IF(Atletas!L169="Chaquan E",153,IF(Atletas!L169="Emeiquan E",154,IF(Atletas!L169="Fanziquan E",155,IF(Atletas!L169="Huaquan E",156,IF(Atletas!L169="Hongquan E",157,IF(Atletas!L169="Paochui E",158,IF(Atletas!L169="Piguaquan E",159,IF(Atletas!L169="Shaolinquan E",160,IF(Atletas!L169="Tanglangquan E",161,IF(Atletas!L169="Yinzhaophai E",162,IF(Atletas!L169="Tongbeiquan E",163,IF(Atletas!L169="Wudangquan E",164,IF(Atletas!L169="Outros Estilos E",165,IF(Atletas!L169="Chaquan F",166,IF(Atletas!L169="Emeiquan F",167,IF(Atletas!L169="Fanziquan F",168,IF(Atletas!L169="Huaquan F",169,IF(Atletas!L169="Hongquan F",170,IF(Atletas!L169="Paochui F",171,IF(Atletas!L169="Piguaquan F",172,IF(Atletas!L169="Shaolinquan F",173,IF(Atletas!L169="Tanglangquan F",174,IF(Atletas!L169="Yinzhaophai F",175,IF(Atletas!L169="Tongbeiquan F",176,IF(Atletas!L169="Wudangquan F",177,IF(Atletas!L169="Outros Estilos F",178,0))))))))))))))))))))))))))))))))))))))))))</f>
        <v/>
      </c>
      <c r="BN173" s="52" t="str">
        <f>IF(Atletas!M169="","",IF(Atletas!W169&lt;&gt;"",10000,0)+(IF(Atletas!B169="Feminino",1000,IF(Atletas!B169="Masculino",2000,""))+(IF(Atletas!M169="Ditangquan A",201,IF(Atletas!M169="Houquan A",202,IF(Atletas!M169="Zuiquan A",203,IF(Atletas!M169="Ditangquan B",204,IF(Atletas!M169="Houquan B",205,IF(Atletas!M169="Zuiquan B",206,IF(Atletas!M169="Ditangquan C",207,IF(Atletas!M169="Houquan C",208,IF(Atletas!M169="Zuiquan C",209,IF(Atletas!M169="Ditangquan D",210,IF(Atletas!M169="Houquan D",211,IF(Atletas!M169="Zuiquan D",212,IF(Atletas!M169="Ditangquan E",213,IF(Atletas!M169="Houquan E",214,IF(Atletas!M169="Zuiquan E",215,IF(Atletas!M169="Ditangquan F",216,IF(Atletas!M169="Houquan F",217,IF(Atletas!M169="Zuiquan F",218,"")))))))))))))))))))))</f>
        <v/>
      </c>
      <c r="BO173" s="52" t="str">
        <f>IF(Atletas!N169="","",IF(Atletas!W169&lt;&gt;"",10000,0)+IF(Atletas!B169="Feminino",1000,IF(Atletas!B169="Masculino",2000,""))+IF(Atletas!N169="Yang A",301,IF(Atletas!N169="Chen A",30,IF(Atletas!N169="Sun A",303,IF(Atletas!N169="Wu A",304,IF(Atletas!N169="Wu-Hao A",305,IF(Atletas!N169="Outro Taijiquan A",306,IF(Atletas!N169="Yang B",307,IF(Atletas!N169="Chen B",308,IF(Atletas!N169="Sun B",309,IF(Atletas!N169="Wu B",310,IF(Atletas!N169="Wu-Hao B",311,IF(Atletas!N169="Outro Taijiquan B",312,IF(Atletas!N169="Yang C",313,IF(Atletas!N169="Chen C",314,IF(Atletas!N169="Sun C",315,IF(Atletas!N169="Wu C",316,IF(Atletas!N169="Wu-Hao C",317,IF(Atletas!N169="Outro Taijiquan C",318,IF(Atletas!N169="Yang D",319,IF(Atletas!N169="Chen D",320,IF(Atletas!N169="Sun D",321,IF(Atletas!N169="Wu D",322,IF(Atletas!N169="Wu-Hao D",323,IF(Atletas!N169="Outro Taijiquan D",324,IF(Atletas!N169="Yang E",325,IF(Atletas!N169="Chen E",326,IF(Atletas!N169="Sun E",327,IF(Atletas!N169="Wu E",328,IF(Atletas!N169="Wu-Hao E",329,IF(Atletas!N169="Outro Taijiquan E",330,IF(Atletas!N169="Yang F",331,IF(Atletas!N169="Chen F",332,IF(Atletas!N169="Sun F",333,IF(Atletas!N169="Wu F",334,IF(Atletas!N169="Wu-Hao F",335,IF(Atletas!N169="Outro Taijiquan F",336,"")))))))))))))))))))))))))))))))))))))</f>
        <v/>
      </c>
      <c r="BP173" s="52" t="str">
        <f>IF(Atletas!O169="","",IF(Atletas!W169&lt;&gt;"",10000,0)+IF(Atletas!B169="Feminino",1000,IF(Atletas!B169="Masculino",2000,""))+IF(OR(Atletas!O169="Yang 26 A",Atletas!O169="Yang 40 A"),401,IF(OR(Atletas!O169="Chen 25 A",Atletas!O169="Chen 36 A",Atletas!O169="Chen 56 A"),402,IF(Atletas!O169="Sun 73 A",403,IF(Atletas!O169="Wu 45 A",404,IF(Atletas!O169="Wu-Hao 46 A",405,IF(OR(Atletas!O169="Taijiquan 16 A",Atletas!O169="Taijiquan 24 A",Atletas!O169="Taijiquan 32 A",Atletas!O169="Taijiquan 42 A"),406,IF(OR(Atletas!O169="Yang 26 B",Atletas!O169="Yang 40 B"),407,IF(OR(Atletas!O169="Chen 25 B",Atletas!O169="Chen 36 B",Atletas!O169="Chen 56 B"),408,IF(Atletas!O169="Sun 73 B",409,IF(Atletas!O169="Wu 45 B",410,IF(Atletas!O169="Wu-Hao 46 B",411,IF(OR(Atletas!O169="Taijiquan 16 B",Atletas!O169="Taijiquan 24 B",Atletas!O169="Taijiquan 32 B",Atletas!O169="Taijiquan 42 B"),412,IF(OR(Atletas!O169="Yang 26 C",Atletas!O169="Yang 40 C"),413,IF(OR(Atletas!O169="Chen 25 C",Atletas!O169="Chen 36 C",Atletas!O169="Chen 56 C"),414,IF(Atletas!O169="Sun 73 C",415,IF(Atletas!O169="Wu 45 C",416,IF(Atletas!O169="Wu-Hao 46 C",417,IF(OR(Atletas!O169="Taijiquan 16 C",Atletas!O169="Taijiquan 24 C",Atletas!O169="Taijiquan 32 C",Atletas!O169="Taijiquan 42 C"),418,0)))))))))))))))))))</f>
        <v/>
      </c>
      <c r="BQ173" s="52" t="str">
        <f>IF(Atletas!O169="","",IF(Atletas!W169&lt;&gt;"",10000,0)+IF(Atletas!B169="Feminino",1000,IF(Atletas!B169="Masculino",2000,""))+IF(OR(Atletas!O169="Yang 26 D",Atletas!O169="Yang 40 D"),419,IF(OR(Atletas!O169="Chen 25 D",Atletas!O169="Chen 36 D",Atletas!O169="Chen 56 D"),420,IF(Atletas!O169="Sun 73 D",421,IF(Atletas!O169="Wu 45 D",422,IF(Atletas!O169="Wu-Hao 46 D",423,IF(OR(Atletas!O169="Taijiquan 16 D",Atletas!O169="Taijiquan 24 D",Atletas!O169="Taijiquan 32 D",Atletas!O169="Taijiquan 42 D"),424,IF(OR(Atletas!O169="Yang 26 E",Atletas!O169="Yang 40 E"),425,IF(OR(Atletas!O169="Chen 25 E",Atletas!O169="Chen 36 E",Atletas!O169="Chen 56 E"),426,IF(Atletas!O169="Sun 73 E",427,IF(Atletas!O169="Wu 45 E",428,IF(Atletas!O169="Wu-Hao 46 E",429,IF(OR(Atletas!O169="Taijiquan 16 E",Atletas!O169="Taijiquan 24 E",Atletas!O169="Taijiquan 32 E",Atletas!O169="Taijiquan 42 E"),430,IF(OR(Atletas!O169="Yang 26 F",Atletas!O169="Yang 40 F"),431,IF(OR(Atletas!O169="Chen 25 F",Atletas!O169="Chen 36 F",Atletas!O169="Chen 56 F"),432,IF(Atletas!O169="Sun 73 F",433,IF(Atletas!O169="Wu 45 F",434,IF(Atletas!O169="Wu-Hao 46 F",435,IF(OR(Atletas!O169="Taijiquan 16 F",Atletas!O169="Taijiquan 24 F",Atletas!O169="Taijiquan 32 F",Atletas!O169="Taijiquan 42 F"),436,0)))))))))))))))))))</f>
        <v/>
      </c>
      <c r="BR173" s="52" t="str">
        <f>IF(Atletas!P169="","",IF(Atletas!W169&lt;&gt;"",10000,0)+IF(Atletas!B169="Feminino",1000,IF(Atletas!B169="Masculino",2000,""))+IF(Atletas!P169="Xingyiquan A",501,IF(Atletas!P169="Baguazhang A",502,IF(Atletas!P169="Outro Estilo Interno A",503,IF(Atletas!P169="Xingyiquan B",504,IF(Atletas!P169="Baguazhang B",505,IF(Atletas!P169="Outro Estilo Interno B",506,IF(Atletas!P169="Xingyiquan C",507,IF(Atletas!P169="Baguazhang C",508,IF(Atletas!P169="Outro Estilo Interno C",509,IF(Atletas!P169="Xingyiquan D",510,IF(Atletas!P169="Baguazhang D",511,IF(Atletas!P169="Outro Estilo Interno D",512,IF(Atletas!P169="Xingyiquan E",513,IF(Atletas!P169="Baguazhang E",514,IF(Atletas!P169="Outro Estilo Interno E",515,IF(Atletas!P169="Xingyiquan F",516,IF(Atletas!P169="Baguazhang F",517,IF(Atletas!P169="Outro Estilo Interno F",518, "")))))))))))))))))))</f>
        <v/>
      </c>
      <c r="BS173" s="52" t="str">
        <f>IF(Atletas!Q169="","",IF(Atletas!W169&lt;&gt;"",10000,0)+IF(Atletas!B169="Feminino",1000,IF(Atletas!B169="Masculino",2000,""))+IF(Atletas!Q169="Dao A",601,IF(Atletas!Q169="Jian A",602,IF(Atletas!Q169="Bishou A",603,IF(Atletas!Q169="Shan A",604,IF(Atletas!Q169="Outra Arma Curta A",605,IF(Atletas!Q169="Dao B",606,IF(Atletas!Q169="Jian B",607,IF(Atletas!Q169="Bishou B",608,IF(Atletas!Q169="Shan B",609,IF(Atletas!Q169="Outra Arma Curta B",610,IF(Atletas!Q169="Dao C",611,IF(Atletas!Q169="Jian C",612,IF(Atletas!Q169="Bishou C",613,IF(Atletas!Q169="Shan C",614,IF(Atletas!Q169="Outra Arma Curta C",615,IF(Atletas!Q169="Dao D",616,IF(Atletas!Q169="Jian D",617,IF(Atletas!Q169="Bishou D",618,IF(Atletas!Q169="Shan D",619,IF(Atletas!Q169="Outra Arma Curta D",620,IF(Atletas!Q169="Dao E",621,IF(Atletas!Q169="Jian E",622,IF(Atletas!Q169="Bishou E",623,IF(Atletas!Q169="Shan E",624,IF(Atletas!Q169="Outra Arma Curta E",625,IF(Atletas!Q169="Dao F",626,IF(Atletas!Q169="Jian F",627,IF(Atletas!Q169="Bishou F",628,IF(Atletas!Q169="Shan F",629,IF(Atletas!Q169="Outra Arma Curta F",630, "")))))))))))))))))))))))))))))))</f>
        <v/>
      </c>
      <c r="BT173" s="52" t="str">
        <f>IF(Atletas!R169="","",IF(Atletas!W169&lt;&gt;"",10000,0)+IF(Atletas!B169="Feminino",1000,IF(Atletas!B169="Masculino",2000,""))+IF(Atletas!R169="Gun A",701,IF(Atletas!R169="Qiang A",702,IF(Atletas!R169="Pudao / Guandao A",703,IF(Atletas!R169="Outra Arma Longa A",704,IF(Atletas!R169="Gun B",705,IF(Atletas!R169="Qiang B",706,IF(Atletas!R169="Pudao / Guandao B",707,IF(Atletas!R169="Outra Arma Longa B",708,IF(Atletas!R169="Gun C",709,IF(Atletas!R169="Qiang C",710,IF(Atletas!R169="Pudao / Guandao C",711,IF(Atletas!R169="Outra Arma Longa C",712,IF(Atletas!R169="Gun D",713,IF(Atletas!R169="Qiang D",714,IF(Atletas!R169="Pudao / Guandao D",715,IF(Atletas!R169="Outra Arma Longa D",716,IF(Atletas!R169="Gun E",717,IF(Atletas!R169="Qiang E",718,IF(Atletas!R169="Pudao / Guandao E",719,IF(Atletas!R169="Outra Arma Longa E",720,IF(Atletas!R169="Gun F",721,IF(Atletas!R169="Qiang F",722,IF(Atletas!R169="Pudao / Guandao F",723,IF(Atletas!R169="Outra Arma Longa F",724,"")))))))))))))))))))))))))</f>
        <v/>
      </c>
      <c r="BU173" s="52" t="str">
        <f>IF(Atletas!S169="","",IF(Atletas!W169&lt;&gt;"",10000,0)+IF(Atletas!B169="Feminino",1000,IF(Atletas!B169="Masculino",2000,""))+IF(Atletas!S169="Arma Dupla A",801,IF(Atletas!S169="Arma Maleável A",802,IF(Atletas!S169="Arma Dupla B",803,IF(Atletas!S169="Arma Maleável B",804,IF(Atletas!S169="Arma Dupla C",805,IF(Atletas!S169="Arma Maleável C",806,IF(Atletas!S169="Arma Dupla D",807,IF(Atletas!S169="Arma Maleável D",808,IF(Atletas!S169="Arma Dupla E",809,IF(Atletas!S169="Arma Maleável E",810,IF(Atletas!S169="Arma Dupla F",811,IF(Atletas!S169="Arma Maleável F",812, "")))))))))))))</f>
        <v/>
      </c>
      <c r="BV173" s="52" t="str">
        <f>IF(Atletas!T169="","",IF(Atletas!W169&lt;&gt;"",10000,0)+IF(Atletas!B169="Feminino",1000,IF(Atletas!B169="Masculino",2000,""))+IF(Atletas!T169="Taijijian Yang A",901,IF(Atletas!T169="Taijijian Chen A",902,IF(Atletas!T169="Taijijian Sun A",903,IF(Atletas!T169="Taijijian Wu A",904,IF(Atletas!T169="Taijijian Wu-Hao A",905,IF(Atletas!T169="Taijijian 32 A",906,IF(Atletas!T169="Taijijian 42 A",907,IF(Atletas!T169="Taijijian Yang B",908,IF(Atletas!T169="Taijijian Chen B",909,IF(Atletas!T169="Taijijian Sun B",910,IF(Atletas!T169="Taijijian Wu B",911,IF(Atletas!T169="Taijijian Wu-Hao B",912,IF(Atletas!T169="Taijijian 32 B",913,IF(Atletas!T169="Taijijian 42 B",914,IF(Atletas!T169="Taijijian Yang C",915,IF(Atletas!T169="Taijijian Chen C",916,IF(Atletas!T169="Taijijian Sun C",917,IF(Atletas!T169="Taijijian Wu C",918,IF(Atletas!T169="Taijijian Wu-Hao C",919,IF(Atletas!T169="Taijijian 32 C",920,IF(Atletas!T169="Taijijian 42 C",921,IF(Atletas!T169="Taijijian Yang D",922,IF(Atletas!T169="Taijijian Chen D",923,IF(Atletas!T169="Taijijian Sun D",924,IF(Atletas!T169="Taijijian Wu D",925,IF(Atletas!T169="Taijijian Wu-Hao D",926,IF(Atletas!T169="Taijijian 32 D",927,IF(Atletas!T169="Taijijian 42 D",928,IF(Atletas!T169="Taijijian Yang E",929,IF(Atletas!T169="Taijijian Chen E",930,IF(Atletas!T169="Taijijian Sun E",931,IF(Atletas!T169="Taijijian Wu E",932,IF(Atletas!T169="Taijijian Wu-Hao E",933,IF(Atletas!T169="Taijijian 32 E",934,IF(Atletas!T169="Taijijian 42 E",935,IF(Atletas!T169="Taijijian Yang F",936,IF(Atletas!T169="Taijijian Chen F",937,IF(Atletas!T169="Taijijian Sun F",938,IF(Atletas!T169="Taijijian Wu F",939,IF(Atletas!T169="Taijijian Wu-Hao F",940,IF(Atletas!T169="Taijijian 32 F",941,IF(Atletas!T169="Taijijian 42 F",942,"")))))))))))))))))))))))))))))))))))))))))))</f>
        <v/>
      </c>
      <c r="BW173" s="52" t="str">
        <f>IF(Atletas!U169="","",IF(Atletas!W169&lt;&gt;"",10000,0)+IF(Atletas!B169="Feminino",1000,IF(Atletas!B169="Masculino",2000,""))+IF(Atletas!T169="Taijijian 42 F",942,IF(Atletas!U169="Taijidao A",943,IF(Atletas!U169="Taijishan A",944,IF(Atletas!U169="Taijiqiang A",945,IF(Atletas!U169="Taijidao B",946,IF(Atletas!U169="Taijishan B",947,IF(Atletas!U169="Taijiqiang B",948,IF(Atletas!U169="Taijidao C",949,IF(Atletas!U169="Taijishan C",950,IF(Atletas!U169="Taijiqiang C",951,IF(Atletas!U169="Taijidao D",952,IF(Atletas!U169="Taijishan D",953,IF(Atletas!U169="Taijiqiang D",954,IF(Atletas!U169="Taijidao E",955,IF(Atletas!U169="Taijishan E",956,IF(Atletas!U169="Taijiqiang E",957,IF(Atletas!U169="Taijidao F",958,IF(Atletas!U169="Taijishan F",959,IF(Atletas!U169="Taijiqiang F",960))))))))))))))))))))</f>
        <v/>
      </c>
      <c r="BX173" s="72" t="str">
        <f>IF(BY173&lt;&gt;"","TJQ Padr. Wu-Hao A","")</f>
        <v/>
      </c>
      <c r="BY173" s="72" t="str">
        <f>IF(COUNTIF(BK:BW,1405)&gt;0,COUNTIF(BK:BW,1405),"")</f>
        <v/>
      </c>
      <c r="BZ173" s="72" t="str">
        <f>IF(CA173&lt;&gt;"","TJQ Padr. Wu-Hao A","")</f>
        <v/>
      </c>
      <c r="CA173" s="72" t="str">
        <f>IF(COUNTIF(BK:BW,2405)&gt;0,COUNTIF(BK:BW,2405),"")</f>
        <v/>
      </c>
      <c r="CB173" s="72" t="str">
        <f>IF(CC173&lt;&gt;"","Yang Novo A","")</f>
        <v/>
      </c>
      <c r="CC173" s="64" t="str">
        <f>IF(COUNTIF(BK:BW,11405)&gt;0,COUNTIF(BK:BW,11405),"")</f>
        <v/>
      </c>
      <c r="CD173" s="64" t="str">
        <f>IF(CE173&lt;&gt;"","Yang Novo A","")</f>
        <v/>
      </c>
      <c r="CE173" s="64" t="str">
        <f>IF(COUNTIF(BK:BW,12405)&gt;0,COUNTIF(BK:BW,12405),"")</f>
        <v/>
      </c>
      <c r="CF173" s="52" t="str">
        <f xml:space="preserve"> IF(Atletas!V169="","",IF(Atletas!V169="Duilian de Mãos AB - Equipe 1",1,IF(Atletas!V169="Duilian de Mãos AB - Equipe 2",2,IF(Atletas!V169="Duilian de Armas AB - Equipe 1",3,IF(Atletas!V169="Duilian de Armas AB - Equipe 2",4,IF(Atletas!V169="Duilian de Tuishou - Equipe 1",5,IF(Atletas!V169="Duilian de Tuishou - Equipe 2",6,IF(Atletas!V169="Grupo Externo AB - Equipe 1",7,IF(Atletas!V169="Grupo Externo AB - Equipe 2",8,IF(Atletas!V169="Grupo Interno AB - Equipe 1",9,IF(Atletas!V169="Grupo Interno AB - Equipe 2",10,IF(Atletas!V169="Duilian de Mãos CD - Equipe 1",11,IF(Atletas!V169="Duilian de Mãos CD - Equipe 2",12,IF(Atletas!V169="Duilian de Armas CD - Equipe 1",13,IF(Atletas!V169="Duilian de Armas CD - Equipe 2",14,IF(Atletas!V169="Duilian de Tuishou - Equipe 1",15,IF(Atletas!V169="Duilian de Tuishou - Equipe 2",16,IF(Atletas!V169="Grupo Externo CDEF - Equipe 1",17,IF(Atletas!V169="Grupo Externo CDEF - Equipe 2",18,IF(Atletas!V169="Grupo Interno CDEF - Equipe 1",19,IF(Atletas!V169="Grupo Interno CDEF - Equipe 2",20,IF(Atletas!V169="Duilian de Mãos EF - Equipe 1",21,IF(Atletas!V169="Duilian de Mãos EF - Equipe 2",22,IF(Atletas!V169="Duilian de Armas EF - Equipe 1",23,IF(Atletas!V169="Duilian de Armas EF - Equipe 2",24,IF(Atletas!V169="Duilian de Tuishou - Equipe 1",25,IF(Atletas!V169="Duilian de Tuishou - Equipe 2",26,"")))))))))))))))))))))))))))</f>
        <v/>
      </c>
    </row>
    <row r="174" spans="2:84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 t="str">
        <f t="array" ref="V174">IFERROR(INDEX(BX$7:BX$336,SMALL(IF(BX$7:BX$336&lt;&gt;"",ROW(BX$7:BX$336)-ROW(BX$7)+1),ROWS(BX$7:BX173))),"")</f>
        <v/>
      </c>
      <c r="W174" s="4" t="str">
        <f t="array" ref="W174">IFERROR(INDEX(BY$7:BY$336,SMALL(IF(BY$7:BY$336&lt;&gt;"",ROW(BY$7:BY$336)-ROW(BY$7)+1),ROWS(BY$7:BY173))),"")</f>
        <v/>
      </c>
      <c r="X174" s="4" t="str">
        <f t="array" ref="X174">IFERROR(INDEX(BZ$7:BZ$336,SMALL(IF(BZ$7:BZ$336&lt;&gt;"",ROW(BZ$7:BZ$336)-ROW(BZ$7)+1),ROWS(BZ$7:BZ173))),"")</f>
        <v/>
      </c>
      <c r="Y174" s="4" t="str">
        <f t="array" ref="Y174">IFERROR(INDEX(CA$7:CA$336,SMALL(IF(CA$7:CA$336&lt;&gt;"",ROW(CA$7:CA$336)-ROW(CA$7)+1),ROWS(CA$7:CA173))),"")</f>
        <v/>
      </c>
      <c r="Z174" s="4" t="str">
        <f t="array" ref="Z174">IFERROR(INDEX(CB$7:CB$378,SMALL(IF(CB$7:CB$378&lt;&gt;"",ROW(CB$7:CB$378)-ROW(CB$7)+1),ROWS(CB$7:CB173))),"")</f>
        <v/>
      </c>
      <c r="AA174" s="4" t="str">
        <f t="array" ref="AA174">IFERROR(INDEX(CC$7:CC$378,SMALL(IF(CC$7:CC$378&lt;&gt;"",ROW(CC$7:CC$378)-ROW(CC$7)+1),ROWS(CC$7:CC173))),"")</f>
        <v/>
      </c>
      <c r="AB174" s="4" t="str">
        <f t="array" ref="AB174">IFERROR(INDEX(CD$7:CD$378,SMALL(IF(CD$7:CD$378&lt;&gt;"",ROW(CD$7:CD$378)-ROW(CD$7)+1),ROWS(CD$7:CD173))),"")</f>
        <v/>
      </c>
      <c r="AC174" s="4" t="str">
        <f t="array" ref="AC174">IFERROR(INDEX(CE$7:CE$378,SMALL(IF(CE$7:CE$378&lt;&gt;"",ROW(CE$7:CE$378)-ROW(CE$7)+1),ROWS(CE$7:CE173))),"")</f>
        <v/>
      </c>
      <c r="AD174" s="4"/>
      <c r="AE174" s="4"/>
      <c r="AF174" s="4"/>
      <c r="AG174" s="4"/>
      <c r="AH174" s="4"/>
      <c r="AI174" s="4"/>
      <c r="AJ174" s="46" t="str">
        <f>IF(Atletas!D170="","",IF(Atletas!B170="Feminino",100,IF(Atletas!B170="Masculino",200,""))+(IF(Atletas!D170="Infantil 39kg",1,IF(Atletas!D170="Infantil 42kg",2,IF(Atletas!D170="Infantil 45kg",3,IF(Atletas!D170="Infantil 48kg",4,IF(Atletas!D170="Infantil 52kg",5,IF(Atletas!D170="Infantil 56kg",6,IF(Atletas!D170="Infantil 60kg",7,IF(Atletas!D170="Juvenil 48kg",8,IF(Atletas!D170="Juvenil 52kg",9,IF(Atletas!D170="Juvenil 56kg",10,IF(Atletas!D170="Juvenil 60kg",11,IF(Atletas!D170="Juvenil 65kg",12,IF(Atletas!D170="Juvenil 70kg",13,IF(Atletas!D170="Juvenil 75kg",14,IF(Atletas!D170="Juvenil 80kg",15,IF(Atletas!D170="Adulto 48kg",16,IF(Atletas!D170="Adulto 52kg",17,IF(Atletas!D170="Adulto 56kg",18,IF(Atletas!D170="Adulto 60kg",19,IF(Atletas!D170="Adulto 65kg",20,IF(Atletas!D170="Adulto 70kg",21,IF(Atletas!D170="Adulto 75kg",22,IF(Atletas!D170="Adulto 80kg",23,IF(Atletas!D170="Adulto 85kg",24,IF(Atletas!D170="Adulto 90kg",25,IF(Atletas!D170="Adulto +90kg",26,""))))))))))))))))))))))))))))</f>
        <v/>
      </c>
      <c r="AO174" s="10" t="str">
        <f>IF(Atletas!E170="","",IF(Atletas!B170="Feminino",100,IF(Atletas!B170="Masculino",200,""))+(IF(Atletas!E170="Juvenil 44kg",1,IF(Atletas!E170="Juvenil 48kg",2,IF(Atletas!E170="Juvenil 52kg",3,IF(Atletas!E170="Juvenil 56kg",4,IF(Atletas!E170="Juvenil 60kg",5,IF(Atletas!E170="Juvenil 65kg",6,IF(Atletas!E170="Juvenil 70kg",7,IF(Atletas!E170="Juvenil 75kg",8,IF(Atletas!E170="Juvenil 82kg",9,IF(Atletas!E170="Juvenil 90kg",10,IF(Atletas!E170="Juvenil 100kg",11,IF(Atletas!E170="Adulto 48kg",12,IF(Atletas!E170="Adulto 52kg",13,IF(Atletas!E170="Adulto 56kg",14,IF(Atletas!E170="Adulto 60kg",15,IF(Atletas!E170="Adulto 65kg",16,IF(Atletas!E170="Adulto 70kg",17,IF(Atletas!E170="Adulto 75kg",18,IF(Atletas!E170="Adulto 82kg",19,IF(Atletas!E170="Adulto 90kg",20,IF(Atletas!E170="Adulto 100kg",21,IF(Atletas!E170="Adulto +100kg",22,""))))))))))))))))))))))))</f>
        <v/>
      </c>
      <c r="AT174" s="10" t="str">
        <f>IF(Atletas!F170="","",IF(Atletas!B170="Feminino",100,IF(Atletas!B170="Masculino",200,""))+(IF(Atletas!F170="Adulto 48kg",1,IF(Atletas!F170="Adulto 56kg",2,IF(Atletas!F170="Adulto 65kg",3,IF(Atletas!F170="Adulto 75kg",4,IF(Atletas!F170="Adulto +75kg",5,IF(Atletas!F170="Adulto 52kg",6,IF(Atletas!F170="Adulto 60kg",7,IF(Atletas!F170="Adulto 70kg",8,IF(Atletas!F170="Adulto 80kg",9,IF(Atletas!F170="Adulto 90kg",10,IF(Atletas!F170="Adulto +90kg",11,"")))))))))))))</f>
        <v/>
      </c>
      <c r="AY174" s="46" t="str">
        <f>IF(Atletas!G170="","",IF(Atletas!B170="Feminino",100,IF(Atletas!B170="Masculino",200,""))+(IF(Atletas!G170="Changquan Mirim",1,IF(Atletas!G170="Nanquan Mirim",2,IF(Atletas!G170="Taijiquan Mirim",3,IF(Atletas!G170="Changquan Grupo C",4,IF(Atletas!G170="Nanquan Grupo C",5,IF(Atletas!G170="Taijiquan Grupo C",6,IF(Atletas!G170="Changquan Grupo B",7,IF(Atletas!G170="Nanquan Grupo B",8,IF(Atletas!G170="Taijiquan Grupo B",9,IF(Atletas!G170="Changquan Grupo A",10,IF(Atletas!G170="Nanquan Grupo A",11,IF(Atletas!G170="Taijiquan Grupo A",12,IF(Atletas!G170="Changquan Opcional",13,IF(Atletas!G170="Nanquan Opcional",14,IF(Atletas!G170="Taijiquan Opcional",15,IF(Atletas!G170="Changquan Adulto",16,IF(Atletas!G170="Nanquan Adulto",17,IF(Atletas!G170="Taijiquan Adulto",18,""))))))))))))))))))))</f>
        <v/>
      </c>
      <c r="AZ174" s="46" t="str">
        <f>IF(Atletas!H170="","",IF(Atletas!B170="Feminino",100,IF(Atletas!B170="Masculino",200,""))+(IF(Atletas!H170="Daoshu Mirim",19,IF(Atletas!H170="Jianshu Mirim",20,IF(Atletas!H170="Nandao Mirim",21,IF(Atletas!H170="Taijijian Mirim",22,IF(Atletas!H170="Daoshu Grupo C",23,IF(Atletas!H170="Jianshu Grupo C",24,IF(Atletas!H170="Nandao Grupo C",25,IF(Atletas!H170="Taijijian Grupo C",26,IF(Atletas!H170="Daoshu Grupo B",27,IF(Atletas!H170="Jianshu Grupo B",28,IF(Atletas!H170="Nandao Grupo B",29,IF(Atletas!H170="Taijijian Grupo B",30,IF(Atletas!H170="Daoshu Grupo A",31,IF(Atletas!H170="Jianshu Grupo A",32,IF(Atletas!H170="Nandao Grupo A",33,IF(Atletas!H170="Taijijian Grupo A",34,IF(Atletas!H170="Daoshu Opcional",35,IF(Atletas!H170="Jianshu Opcional",36,IF(Atletas!H170="Nandao Opcional",37,IF(Atletas!H170="Taijijian Opcional",38,IF(Atletas!H170="Daoshu Adulto",39,IF(Atletas!H170="Jianshu Adulto",40,IF(Atletas!H170="Nandao Adulto",41,IF(Atletas!H170="Taijijian Adulto",42,""))))))))))))))))))))))))))</f>
        <v/>
      </c>
      <c r="BA174" s="46" t="str">
        <f>IF(Atletas!I170="","",IF(Atletas!B170="Feminino",100,IF(Atletas!B170="Masculino",200,""))+(IF(Atletas!I170="Gunshu Mirim",43,IF(Atletas!I170="Qiangshu Mirim",44,IF(Atletas!I170="Nangun Mirim",45,IF(Atletas!I170="Gunshu Grupo C",46,IF(Atletas!I170="Qiangshu Grupo C",47,IF(Atletas!I170="Nangun Grupo C",48,IF(Atletas!I170="Gunshu Grupo B",49,IF(Atletas!I170="Qiangshu Grupo B",50,IF(Atletas!I170="Nangun Grupo B",51,IF(Atletas!I170="Gunshu Grupo A",52,IF(Atletas!I170="Qiangshu Grupo A",53,IF(Atletas!I170="Nangun Grupo A",54,IF(Atletas!I170="Gunshu Opcional",55,IF(Atletas!I170="Qiangshu Opcional",56,IF(Atletas!I170="Nangun Opcional",57,IF(Atletas!I170="Gunshu Adulto",58,IF(Atletas!I170="Qiangshu Adulto",59,IF(Atletas!I170="Nangun Adulto",60,""))))))))))))))))))))</f>
        <v/>
      </c>
      <c r="BF174" s="52" t="str">
        <f>IF(Atletas!J170="","",IF(Atletas!B170="Feminino",100,IF(Atletas!B170="Masculino",200,""))+(IF(Atletas!J170="Equipe 1 Grupo B",1,IF(Atletas!J170="Equipe 2 Grupo B",2,IF(Atletas!J170="Equipe 1 Grupo A",3,IF(Atletas!J170="Equipe 2 Grupo A",4,IF(Atletas!J170="Equipe 1 Adulto",5,IF(Atletas!J170="Equipe 2 Adulto",6,""))))))))</f>
        <v/>
      </c>
      <c r="BK174" s="52" t="str">
        <f>IF(Atletas!K170="","",IF(Atletas!W170&lt;&gt;"",10000,0)+(IF(Atletas!B170="Feminino",1000,IF(Atletas!B170="Masculino",2000,""))+IF(Atletas!K170="Choylayfut A",1,IF(Atletas!K170="Hunggar A",2,IF(Atletas!K170="Wuzuquan A",3,IF(Atletas!K170="Wingchun A",4,IF(Atletas!K170="Outra Mão de Sul A",5,IF(Atletas!K170="Choylayfut B",6,IF(Atletas!K170="Hunggar B",7,IF(Atletas!K170="Wuzuquan B",8,IF(Atletas!K170="Wingchun B",9,IF(Atletas!K170="Outra Mão de Sul B",10,IF(Atletas!K170="Choylayfut C",11,IF(Atletas!K170="Hunggar C",12,IF(Atletas!K170="Wuzuquan C",13,IF(Atletas!K170="Wingchun C",14,IF(Atletas!K170="Outra Mão de Sul C",15,IF(Atletas!K170="Choylayfut D",16,IF(Atletas!K170="Hunggar D",17,IF(Atletas!K170="Wuzuquan D",18,IF(Atletas!K170="Wingchun D",19,IF(Atletas!K170="Outra Mão de Sul D",20,IF(Atletas!K170="Choylayfut E",21,IF(Atletas!K170="Hunggar E",22,IF(Atletas!K170="Wuzuquan E",23,IF(Atletas!K170="Wingchun E",24,IF(Atletas!K170="Outra Mão de Sul E",25,IF(Atletas!K170="Choylayfut F",26,IF(Atletas!K170="Hunggar F",27,IF(Atletas!K170="Wuzuquan F",28,IF(Atletas!K170="Wingchun F",29,IF(Atletas!K170="Outra Mão de Sul F",30,""))))))))))))))))))))))))))))))))</f>
        <v/>
      </c>
      <c r="BL174" s="52" t="str">
        <f>IF(Atletas!L170="","",IF(Atletas!W170&lt;&gt;"",10000,0)+(IF(Atletas!B170="Feminino",1000,IF(Atletas!B170="Masculino",2000,""))+(IF(Atletas!L170="Chaquan A",101,IF(Atletas!L170="Emeiquan A",102,IF(Atletas!L170="Fanziquan A",103,IF(Atletas!L170="Huaquan A",104,IF(Atletas!L170="Hongquan A",105,IF(Atletas!L170="Paochui A",106,IF(Atletas!L170="Piguaquan A",107,IF(Atletas!L170="Shaolinquan A",108,IF(Atletas!L170="Tanglangquan A",109,IF(Atletas!L170="Yinzhaophai A",110,IF(Atletas!L170="Tongbeiquan A",111,IF(Atletas!L170="Wudangquan A",112,IF(Atletas!L170="Outros Estilos A",113,IF(Atletas!L170="Chaquan B",114,IF(Atletas!L170="Emeiquan B",115,IF(Atletas!L170="Fanziquan B",116,IF(Atletas!L170="Huaquan B",117,IF(Atletas!L170="Hongquan B",118,IF(Atletas!L170="Paochui B",119,IF(Atletas!L170="Piguaquan B",120,IF(Atletas!L170="Shaolinquan B",121,IF(Atletas!L170="Tanglangquan B",122,IF(Atletas!L170="Yinzhaophai B",123,IF(Atletas!L170="Tongbeiquan B",124,IF(Atletas!L170="Wudangquan B",125,IF(Atletas!L170="Outros Estilos B",126,IF(Atletas!L170="Chaquan C",127,IF(Atletas!L170="Emeiquan C",128,IF(Atletas!L170="Fanziquan C",129,IF(Atletas!L170="Huaquan C",130,IF(Atletas!L170="Hongquan C",131,IF(Atletas!L170="Paochui C",132,IF(Atletas!L170="Piguaquan C",133,IF(Atletas!L170="Shaolinquan C",134,IF(Atletas!L170="Tanglangquan C",135,IF(Atletas!L170="Yinzhaophai C",136,IF(Atletas!L170="Tongbeiquan C",137,IF(Atletas!L170="Wudangquan C",138,IF(Atletas!L170="Outros Estilos C",139,0))))))))))))))))))))))))))))))))))))))))))</f>
        <v/>
      </c>
      <c r="BM174" s="52" t="str">
        <f>IF(Atletas!L170="","",IF(Atletas!W170&lt;&gt;"",10000,0)+(IF(Atletas!B170="Feminino",1000,IF(Atletas!B170="Masculino",2000,""))+(IF(Atletas!L170="Chaquan D",140,IF(Atletas!L170="Emeiquan D",141,IF(Atletas!L170="Fanziquan D",142,IF(Atletas!L170="Huaquan D",143,IF(Atletas!L170="Hongquan D",144,IF(Atletas!L170="Paochui D",145,IF(Atletas!L170="Piguaquan D",146,IF(Atletas!L170="Shaolinquan D",147,IF(Atletas!L170="Tanglangquan D",148,IF(Atletas!L170="Yinzhaophai D",149,IF(Atletas!L170="Tongbeiquan D",150,IF(Atletas!L170="Wudangquan D",151,IF(Atletas!L170="Outros Estilos D",152,IF(Atletas!L170="Chaquan E",153,IF(Atletas!L170="Emeiquan E",154,IF(Atletas!L170="Fanziquan E",155,IF(Atletas!L170="Huaquan E",156,IF(Atletas!L170="Hongquan E",157,IF(Atletas!L170="Paochui E",158,IF(Atletas!L170="Piguaquan E",159,IF(Atletas!L170="Shaolinquan E",160,IF(Atletas!L170="Tanglangquan E",161,IF(Atletas!L170="Yinzhaophai E",162,IF(Atletas!L170="Tongbeiquan E",163,IF(Atletas!L170="Wudangquan E",164,IF(Atletas!L170="Outros Estilos E",165,IF(Atletas!L170="Chaquan F",166,IF(Atletas!L170="Emeiquan F",167,IF(Atletas!L170="Fanziquan F",168,IF(Atletas!L170="Huaquan F",169,IF(Atletas!L170="Hongquan F",170,IF(Atletas!L170="Paochui F",171,IF(Atletas!L170="Piguaquan F",172,IF(Atletas!L170="Shaolinquan F",173,IF(Atletas!L170="Tanglangquan F",174,IF(Atletas!L170="Yinzhaophai F",175,IF(Atletas!L170="Tongbeiquan F",176,IF(Atletas!L170="Wudangquan F",177,IF(Atletas!L170="Outros Estilos F",178,0))))))))))))))))))))))))))))))))))))))))))</f>
        <v/>
      </c>
      <c r="BN174" s="52" t="str">
        <f>IF(Atletas!M170="","",IF(Atletas!W170&lt;&gt;"",10000,0)+(IF(Atletas!B170="Feminino",1000,IF(Atletas!B170="Masculino",2000,""))+(IF(Atletas!M170="Ditangquan A",201,IF(Atletas!M170="Houquan A",202,IF(Atletas!M170="Zuiquan A",203,IF(Atletas!M170="Ditangquan B",204,IF(Atletas!M170="Houquan B",205,IF(Atletas!M170="Zuiquan B",206,IF(Atletas!M170="Ditangquan C",207,IF(Atletas!M170="Houquan C",208,IF(Atletas!M170="Zuiquan C",209,IF(Atletas!M170="Ditangquan D",210,IF(Atletas!M170="Houquan D",211,IF(Atletas!M170="Zuiquan D",212,IF(Atletas!M170="Ditangquan E",213,IF(Atletas!M170="Houquan E",214,IF(Atletas!M170="Zuiquan E",215,IF(Atletas!M170="Ditangquan F",216,IF(Atletas!M170="Houquan F",217,IF(Atletas!M170="Zuiquan F",218,"")))))))))))))))))))))</f>
        <v/>
      </c>
      <c r="BO174" s="52" t="str">
        <f>IF(Atletas!N170="","",IF(Atletas!W170&lt;&gt;"",10000,0)+IF(Atletas!B170="Feminino",1000,IF(Atletas!B170="Masculino",2000,""))+IF(Atletas!N170="Yang A",301,IF(Atletas!N170="Chen A",30,IF(Atletas!N170="Sun A",303,IF(Atletas!N170="Wu A",304,IF(Atletas!N170="Wu-Hao A",305,IF(Atletas!N170="Outro Taijiquan A",306,IF(Atletas!N170="Yang B",307,IF(Atletas!N170="Chen B",308,IF(Atletas!N170="Sun B",309,IF(Atletas!N170="Wu B",310,IF(Atletas!N170="Wu-Hao B",311,IF(Atletas!N170="Outro Taijiquan B",312,IF(Atletas!N170="Yang C",313,IF(Atletas!N170="Chen C",314,IF(Atletas!N170="Sun C",315,IF(Atletas!N170="Wu C",316,IF(Atletas!N170="Wu-Hao C",317,IF(Atletas!N170="Outro Taijiquan C",318,IF(Atletas!N170="Yang D",319,IF(Atletas!N170="Chen D",320,IF(Atletas!N170="Sun D",321,IF(Atletas!N170="Wu D",322,IF(Atletas!N170="Wu-Hao D",323,IF(Atletas!N170="Outro Taijiquan D",324,IF(Atletas!N170="Yang E",325,IF(Atletas!N170="Chen E",326,IF(Atletas!N170="Sun E",327,IF(Atletas!N170="Wu E",328,IF(Atletas!N170="Wu-Hao E",329,IF(Atletas!N170="Outro Taijiquan E",330,IF(Atletas!N170="Yang F",331,IF(Atletas!N170="Chen F",332,IF(Atletas!N170="Sun F",333,IF(Atletas!N170="Wu F",334,IF(Atletas!N170="Wu-Hao F",335,IF(Atletas!N170="Outro Taijiquan F",336,"")))))))))))))))))))))))))))))))))))))</f>
        <v/>
      </c>
      <c r="BP174" s="52" t="str">
        <f>IF(Atletas!O170="","",IF(Atletas!W170&lt;&gt;"",10000,0)+IF(Atletas!B170="Feminino",1000,IF(Atletas!B170="Masculino",2000,""))+IF(OR(Atletas!O170="Yang 26 A",Atletas!O170="Yang 40 A"),401,IF(OR(Atletas!O170="Chen 25 A",Atletas!O170="Chen 36 A",Atletas!O170="Chen 56 A"),402,IF(Atletas!O170="Sun 73 A",403,IF(Atletas!O170="Wu 45 A",404,IF(Atletas!O170="Wu-Hao 46 A",405,IF(OR(Atletas!O170="Taijiquan 16 A",Atletas!O170="Taijiquan 24 A",Atletas!O170="Taijiquan 32 A",Atletas!O170="Taijiquan 42 A"),406,IF(OR(Atletas!O170="Yang 26 B",Atletas!O170="Yang 40 B"),407,IF(OR(Atletas!O170="Chen 25 B",Atletas!O170="Chen 36 B",Atletas!O170="Chen 56 B"),408,IF(Atletas!O170="Sun 73 B",409,IF(Atletas!O170="Wu 45 B",410,IF(Atletas!O170="Wu-Hao 46 B",411,IF(OR(Atletas!O170="Taijiquan 16 B",Atletas!O170="Taijiquan 24 B",Atletas!O170="Taijiquan 32 B",Atletas!O170="Taijiquan 42 B"),412,IF(OR(Atletas!O170="Yang 26 C",Atletas!O170="Yang 40 C"),413,IF(OR(Atletas!O170="Chen 25 C",Atletas!O170="Chen 36 C",Atletas!O170="Chen 56 C"),414,IF(Atletas!O170="Sun 73 C",415,IF(Atletas!O170="Wu 45 C",416,IF(Atletas!O170="Wu-Hao 46 C",417,IF(OR(Atletas!O170="Taijiquan 16 C",Atletas!O170="Taijiquan 24 C",Atletas!O170="Taijiquan 32 C",Atletas!O170="Taijiquan 42 C"),418,0)))))))))))))))))))</f>
        <v/>
      </c>
      <c r="BQ174" s="52" t="str">
        <f>IF(Atletas!O170="","",IF(Atletas!W170&lt;&gt;"",10000,0)+IF(Atletas!B170="Feminino",1000,IF(Atletas!B170="Masculino",2000,""))+IF(OR(Atletas!O170="Yang 26 D",Atletas!O170="Yang 40 D"),419,IF(OR(Atletas!O170="Chen 25 D",Atletas!O170="Chen 36 D",Atletas!O170="Chen 56 D"),420,IF(Atletas!O170="Sun 73 D",421,IF(Atletas!O170="Wu 45 D",422,IF(Atletas!O170="Wu-Hao 46 D",423,IF(OR(Atletas!O170="Taijiquan 16 D",Atletas!O170="Taijiquan 24 D",Atletas!O170="Taijiquan 32 D",Atletas!O170="Taijiquan 42 D"),424,IF(OR(Atletas!O170="Yang 26 E",Atletas!O170="Yang 40 E"),425,IF(OR(Atletas!O170="Chen 25 E",Atletas!O170="Chen 36 E",Atletas!O170="Chen 56 E"),426,IF(Atletas!O170="Sun 73 E",427,IF(Atletas!O170="Wu 45 E",428,IF(Atletas!O170="Wu-Hao 46 E",429,IF(OR(Atletas!O170="Taijiquan 16 E",Atletas!O170="Taijiquan 24 E",Atletas!O170="Taijiquan 32 E",Atletas!O170="Taijiquan 42 E"),430,IF(OR(Atletas!O170="Yang 26 F",Atletas!O170="Yang 40 F"),431,IF(OR(Atletas!O170="Chen 25 F",Atletas!O170="Chen 36 F",Atletas!O170="Chen 56 F"),432,IF(Atletas!O170="Sun 73 F",433,IF(Atletas!O170="Wu 45 F",434,IF(Atletas!O170="Wu-Hao 46 F",435,IF(OR(Atletas!O170="Taijiquan 16 F",Atletas!O170="Taijiquan 24 F",Atletas!O170="Taijiquan 32 F",Atletas!O170="Taijiquan 42 F"),436,0)))))))))))))))))))</f>
        <v/>
      </c>
      <c r="BR174" s="52" t="str">
        <f>IF(Atletas!P170="","",IF(Atletas!W170&lt;&gt;"",10000,0)+IF(Atletas!B170="Feminino",1000,IF(Atletas!B170="Masculino",2000,""))+IF(Atletas!P170="Xingyiquan A",501,IF(Atletas!P170="Baguazhang A",502,IF(Atletas!P170="Outro Estilo Interno A",503,IF(Atletas!P170="Xingyiquan B",504,IF(Atletas!P170="Baguazhang B",505,IF(Atletas!P170="Outro Estilo Interno B",506,IF(Atletas!P170="Xingyiquan C",507,IF(Atletas!P170="Baguazhang C",508,IF(Atletas!P170="Outro Estilo Interno C",509,IF(Atletas!P170="Xingyiquan D",510,IF(Atletas!P170="Baguazhang D",511,IF(Atletas!P170="Outro Estilo Interno D",512,IF(Atletas!P170="Xingyiquan E",513,IF(Atletas!P170="Baguazhang E",514,IF(Atletas!P170="Outro Estilo Interno E",515,IF(Atletas!P170="Xingyiquan F",516,IF(Atletas!P170="Baguazhang F",517,IF(Atletas!P170="Outro Estilo Interno F",518, "")))))))))))))))))))</f>
        <v/>
      </c>
      <c r="BS174" s="52" t="str">
        <f>IF(Atletas!Q170="","",IF(Atletas!W170&lt;&gt;"",10000,0)+IF(Atletas!B170="Feminino",1000,IF(Atletas!B170="Masculino",2000,""))+IF(Atletas!Q170="Dao A",601,IF(Atletas!Q170="Jian A",602,IF(Atletas!Q170="Bishou A",603,IF(Atletas!Q170="Shan A",604,IF(Atletas!Q170="Outra Arma Curta A",605,IF(Atletas!Q170="Dao B",606,IF(Atletas!Q170="Jian B",607,IF(Atletas!Q170="Bishou B",608,IF(Atletas!Q170="Shan B",609,IF(Atletas!Q170="Outra Arma Curta B",610,IF(Atletas!Q170="Dao C",611,IF(Atletas!Q170="Jian C",612,IF(Atletas!Q170="Bishou C",613,IF(Atletas!Q170="Shan C",614,IF(Atletas!Q170="Outra Arma Curta C",615,IF(Atletas!Q170="Dao D",616,IF(Atletas!Q170="Jian D",617,IF(Atletas!Q170="Bishou D",618,IF(Atletas!Q170="Shan D",619,IF(Atletas!Q170="Outra Arma Curta D",620,IF(Atletas!Q170="Dao E",621,IF(Atletas!Q170="Jian E",622,IF(Atletas!Q170="Bishou E",623,IF(Atletas!Q170="Shan E",624,IF(Atletas!Q170="Outra Arma Curta E",625,IF(Atletas!Q170="Dao F",626,IF(Atletas!Q170="Jian F",627,IF(Atletas!Q170="Bishou F",628,IF(Atletas!Q170="Shan F",629,IF(Atletas!Q170="Outra Arma Curta F",630, "")))))))))))))))))))))))))))))))</f>
        <v/>
      </c>
      <c r="BT174" s="52" t="str">
        <f>IF(Atletas!R170="","",IF(Atletas!W170&lt;&gt;"",10000,0)+IF(Atletas!B170="Feminino",1000,IF(Atletas!B170="Masculino",2000,""))+IF(Atletas!R170="Gun A",701,IF(Atletas!R170="Qiang A",702,IF(Atletas!R170="Pudao / Guandao A",703,IF(Atletas!R170="Outra Arma Longa A",704,IF(Atletas!R170="Gun B",705,IF(Atletas!R170="Qiang B",706,IF(Atletas!R170="Pudao / Guandao B",707,IF(Atletas!R170="Outra Arma Longa B",708,IF(Atletas!R170="Gun C",709,IF(Atletas!R170="Qiang C",710,IF(Atletas!R170="Pudao / Guandao C",711,IF(Atletas!R170="Outra Arma Longa C",712,IF(Atletas!R170="Gun D",713,IF(Atletas!R170="Qiang D",714,IF(Atletas!R170="Pudao / Guandao D",715,IF(Atletas!R170="Outra Arma Longa D",716,IF(Atletas!R170="Gun E",717,IF(Atletas!R170="Qiang E",718,IF(Atletas!R170="Pudao / Guandao E",719,IF(Atletas!R170="Outra Arma Longa E",720,IF(Atletas!R170="Gun F",721,IF(Atletas!R170="Qiang F",722,IF(Atletas!R170="Pudao / Guandao F",723,IF(Atletas!R170="Outra Arma Longa F",724,"")))))))))))))))))))))))))</f>
        <v/>
      </c>
      <c r="BU174" s="52" t="str">
        <f>IF(Atletas!S170="","",IF(Atletas!W170&lt;&gt;"",10000,0)+IF(Atletas!B170="Feminino",1000,IF(Atletas!B170="Masculino",2000,""))+IF(Atletas!S170="Arma Dupla A",801,IF(Atletas!S170="Arma Maleável A",802,IF(Atletas!S170="Arma Dupla B",803,IF(Atletas!S170="Arma Maleável B",804,IF(Atletas!S170="Arma Dupla C",805,IF(Atletas!S170="Arma Maleável C",806,IF(Atletas!S170="Arma Dupla D",807,IF(Atletas!S170="Arma Maleável D",808,IF(Atletas!S170="Arma Dupla E",809,IF(Atletas!S170="Arma Maleável E",810,IF(Atletas!S170="Arma Dupla F",811,IF(Atletas!S170="Arma Maleável F",812, "")))))))))))))</f>
        <v/>
      </c>
      <c r="BV174" s="52" t="str">
        <f>IF(Atletas!T170="","",IF(Atletas!W170&lt;&gt;"",10000,0)+IF(Atletas!B170="Feminino",1000,IF(Atletas!B170="Masculino",2000,""))+IF(Atletas!T170="Taijijian Yang A",901,IF(Atletas!T170="Taijijian Chen A",902,IF(Atletas!T170="Taijijian Sun A",903,IF(Atletas!T170="Taijijian Wu A",904,IF(Atletas!T170="Taijijian Wu-Hao A",905,IF(Atletas!T170="Taijijian 32 A",906,IF(Atletas!T170="Taijijian 42 A",907,IF(Atletas!T170="Taijijian Yang B",908,IF(Atletas!T170="Taijijian Chen B",909,IF(Atletas!T170="Taijijian Sun B",910,IF(Atletas!T170="Taijijian Wu B",911,IF(Atletas!T170="Taijijian Wu-Hao B",912,IF(Atletas!T170="Taijijian 32 B",913,IF(Atletas!T170="Taijijian 42 B",914,IF(Atletas!T170="Taijijian Yang C",915,IF(Atletas!T170="Taijijian Chen C",916,IF(Atletas!T170="Taijijian Sun C",917,IF(Atletas!T170="Taijijian Wu C",918,IF(Atletas!T170="Taijijian Wu-Hao C",919,IF(Atletas!T170="Taijijian 32 C",920,IF(Atletas!T170="Taijijian 42 C",921,IF(Atletas!T170="Taijijian Yang D",922,IF(Atletas!T170="Taijijian Chen D",923,IF(Atletas!T170="Taijijian Sun D",924,IF(Atletas!T170="Taijijian Wu D",925,IF(Atletas!T170="Taijijian Wu-Hao D",926,IF(Atletas!T170="Taijijian 32 D",927,IF(Atletas!T170="Taijijian 42 D",928,IF(Atletas!T170="Taijijian Yang E",929,IF(Atletas!T170="Taijijian Chen E",930,IF(Atletas!T170="Taijijian Sun E",931,IF(Atletas!T170="Taijijian Wu E",932,IF(Atletas!T170="Taijijian Wu-Hao E",933,IF(Atletas!T170="Taijijian 32 E",934,IF(Atletas!T170="Taijijian 42 E",935,IF(Atletas!T170="Taijijian Yang F",936,IF(Atletas!T170="Taijijian Chen F",937,IF(Atletas!T170="Taijijian Sun F",938,IF(Atletas!T170="Taijijian Wu F",939,IF(Atletas!T170="Taijijian Wu-Hao F",940,IF(Atletas!T170="Taijijian 32 F",941,IF(Atletas!T170="Taijijian 42 F",942,"")))))))))))))))))))))))))))))))))))))))))))</f>
        <v/>
      </c>
      <c r="BW174" s="52" t="str">
        <f>IF(Atletas!U170="","",IF(Atletas!W170&lt;&gt;"",10000,0)+IF(Atletas!B170="Feminino",1000,IF(Atletas!B170="Masculino",2000,""))+IF(Atletas!T170="Taijijian 42 F",942,IF(Atletas!U170="Taijidao A",943,IF(Atletas!U170="Taijishan A",944,IF(Atletas!U170="Taijiqiang A",945,IF(Atletas!U170="Taijidao B",946,IF(Atletas!U170="Taijishan B",947,IF(Atletas!U170="Taijiqiang B",948,IF(Atletas!U170="Taijidao C",949,IF(Atletas!U170="Taijishan C",950,IF(Atletas!U170="Taijiqiang C",951,IF(Atletas!U170="Taijidao D",952,IF(Atletas!U170="Taijishan D",953,IF(Atletas!U170="Taijiqiang D",954,IF(Atletas!U170="Taijidao E",955,IF(Atletas!U170="Taijishan E",956,IF(Atletas!U170="Taijiqiang E",957,IF(Atletas!U170="Taijidao F",958,IF(Atletas!U170="Taijishan F",959,IF(Atletas!U170="Taijiqiang F",960))))))))))))))))))))</f>
        <v/>
      </c>
      <c r="BX174" s="72" t="str">
        <f>IF(BY174&lt;&gt;"","TJQ Padr. Combinado A","")</f>
        <v/>
      </c>
      <c r="BY174" s="72" t="str">
        <f>IF(COUNTIF(BK:BW,1406)&gt;0,COUNTIF(BK:BW,1406),"")</f>
        <v/>
      </c>
      <c r="BZ174" s="72" t="str">
        <f>IF(CA174&lt;&gt;"","TJQ Padr. Combinado A","")</f>
        <v/>
      </c>
      <c r="CA174" s="72" t="str">
        <f>IF(COUNTIF(BK:BW,2406)&gt;0,COUNTIF(BK:BW,2406),"")</f>
        <v/>
      </c>
      <c r="CB174" s="72" t="str">
        <f>IF(CC174&lt;&gt;"","Cheng 56 A","")</f>
        <v/>
      </c>
      <c r="CC174" s="64" t="str">
        <f>IF(COUNTIF(BK:BW,11406)&gt;0,COUNTIF(BK:BW,11406),"")</f>
        <v/>
      </c>
      <c r="CD174" s="64" t="str">
        <f>IF(CE174&lt;&gt;"","Cheng 56 A","")</f>
        <v/>
      </c>
      <c r="CE174" s="64" t="str">
        <f>IF(COUNTIF(BK:BW,12406)&gt;0,COUNTIF(BK:BW,12406),"")</f>
        <v/>
      </c>
      <c r="CF174" s="52" t="str">
        <f xml:space="preserve"> IF(Atletas!V170="","",IF(Atletas!V170="Duilian de Mãos AB - Equipe 1",1,IF(Atletas!V170="Duilian de Mãos AB - Equipe 2",2,IF(Atletas!V170="Duilian de Armas AB - Equipe 1",3,IF(Atletas!V170="Duilian de Armas AB - Equipe 2",4,IF(Atletas!V170="Duilian de Tuishou - Equipe 1",5,IF(Atletas!V170="Duilian de Tuishou - Equipe 2",6,IF(Atletas!V170="Grupo Externo AB - Equipe 1",7,IF(Atletas!V170="Grupo Externo AB - Equipe 2",8,IF(Atletas!V170="Grupo Interno AB - Equipe 1",9,IF(Atletas!V170="Grupo Interno AB - Equipe 2",10,IF(Atletas!V170="Duilian de Mãos CD - Equipe 1",11,IF(Atletas!V170="Duilian de Mãos CD - Equipe 2",12,IF(Atletas!V170="Duilian de Armas CD - Equipe 1",13,IF(Atletas!V170="Duilian de Armas CD - Equipe 2",14,IF(Atletas!V170="Duilian de Tuishou - Equipe 1",15,IF(Atletas!V170="Duilian de Tuishou - Equipe 2",16,IF(Atletas!V170="Grupo Externo CDEF - Equipe 1",17,IF(Atletas!V170="Grupo Externo CDEF - Equipe 2",18,IF(Atletas!V170="Grupo Interno CDEF - Equipe 1",19,IF(Atletas!V170="Grupo Interno CDEF - Equipe 2",20,IF(Atletas!V170="Duilian de Mãos EF - Equipe 1",21,IF(Atletas!V170="Duilian de Mãos EF - Equipe 2",22,IF(Atletas!V170="Duilian de Armas EF - Equipe 1",23,IF(Atletas!V170="Duilian de Armas EF - Equipe 2",24,IF(Atletas!V170="Duilian de Tuishou - Equipe 1",25,IF(Atletas!V170="Duilian de Tuishou - Equipe 2",26,"")))))))))))))))))))))))))))</f>
        <v/>
      </c>
    </row>
    <row r="175" spans="2:84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 t="str">
        <f t="array" ref="V175">IFERROR(INDEX(BX$7:BX$336,SMALL(IF(BX$7:BX$336&lt;&gt;"",ROW(BX$7:BX$336)-ROW(BX$7)+1),ROWS(BX$7:BX174))),"")</f>
        <v/>
      </c>
      <c r="W175" s="4" t="str">
        <f t="array" ref="W175">IFERROR(INDEX(BY$7:BY$336,SMALL(IF(BY$7:BY$336&lt;&gt;"",ROW(BY$7:BY$336)-ROW(BY$7)+1),ROWS(BY$7:BY174))),"")</f>
        <v/>
      </c>
      <c r="X175" s="4" t="str">
        <f t="array" ref="X175">IFERROR(INDEX(BZ$7:BZ$336,SMALL(IF(BZ$7:BZ$336&lt;&gt;"",ROW(BZ$7:BZ$336)-ROW(BZ$7)+1),ROWS(BZ$7:BZ174))),"")</f>
        <v/>
      </c>
      <c r="Y175" s="4" t="str">
        <f t="array" ref="Y175">IFERROR(INDEX(CA$7:CA$336,SMALL(IF(CA$7:CA$336&lt;&gt;"",ROW(CA$7:CA$336)-ROW(CA$7)+1),ROWS(CA$7:CA174))),"")</f>
        <v/>
      </c>
      <c r="Z175" s="4" t="str">
        <f t="array" ref="Z175">IFERROR(INDEX(CB$7:CB$378,SMALL(IF(CB$7:CB$378&lt;&gt;"",ROW(CB$7:CB$378)-ROW(CB$7)+1),ROWS(CB$7:CB174))),"")</f>
        <v/>
      </c>
      <c r="AA175" s="4" t="str">
        <f t="array" ref="AA175">IFERROR(INDEX(CC$7:CC$378,SMALL(IF(CC$7:CC$378&lt;&gt;"",ROW(CC$7:CC$378)-ROW(CC$7)+1),ROWS(CC$7:CC174))),"")</f>
        <v/>
      </c>
      <c r="AB175" s="4" t="str">
        <f t="array" ref="AB175">IFERROR(INDEX(CD$7:CD$378,SMALL(IF(CD$7:CD$378&lt;&gt;"",ROW(CD$7:CD$378)-ROW(CD$7)+1),ROWS(CD$7:CD174))),"")</f>
        <v/>
      </c>
      <c r="AC175" s="4" t="str">
        <f t="array" ref="AC175">IFERROR(INDEX(CE$7:CE$378,SMALL(IF(CE$7:CE$378&lt;&gt;"",ROW(CE$7:CE$378)-ROW(CE$7)+1),ROWS(CE$7:CE174))),"")</f>
        <v/>
      </c>
      <c r="AD175" s="4"/>
      <c r="AE175" s="4"/>
      <c r="AF175" s="4"/>
      <c r="AG175" s="4"/>
      <c r="AH175" s="4"/>
      <c r="AI175" s="4"/>
      <c r="AJ175" s="46" t="str">
        <f>IF(Atletas!D171="","",IF(Atletas!B171="Feminino",100,IF(Atletas!B171="Masculino",200,""))+(IF(Atletas!D171="Infantil 39kg",1,IF(Atletas!D171="Infantil 42kg",2,IF(Atletas!D171="Infantil 45kg",3,IF(Atletas!D171="Infantil 48kg",4,IF(Atletas!D171="Infantil 52kg",5,IF(Atletas!D171="Infantil 56kg",6,IF(Atletas!D171="Infantil 60kg",7,IF(Atletas!D171="Juvenil 48kg",8,IF(Atletas!D171="Juvenil 52kg",9,IF(Atletas!D171="Juvenil 56kg",10,IF(Atletas!D171="Juvenil 60kg",11,IF(Atletas!D171="Juvenil 65kg",12,IF(Atletas!D171="Juvenil 70kg",13,IF(Atletas!D171="Juvenil 75kg",14,IF(Atletas!D171="Juvenil 80kg",15,IF(Atletas!D171="Adulto 48kg",16,IF(Atletas!D171="Adulto 52kg",17,IF(Atletas!D171="Adulto 56kg",18,IF(Atletas!D171="Adulto 60kg",19,IF(Atletas!D171="Adulto 65kg",20,IF(Atletas!D171="Adulto 70kg",21,IF(Atletas!D171="Adulto 75kg",22,IF(Atletas!D171="Adulto 80kg",23,IF(Atletas!D171="Adulto 85kg",24,IF(Atletas!D171="Adulto 90kg",25,IF(Atletas!D171="Adulto +90kg",26,""))))))))))))))))))))))))))))</f>
        <v/>
      </c>
      <c r="AO175" s="10" t="str">
        <f>IF(Atletas!E171="","",IF(Atletas!B171="Feminino",100,IF(Atletas!B171="Masculino",200,""))+(IF(Atletas!E171="Juvenil 44kg",1,IF(Atletas!E171="Juvenil 48kg",2,IF(Atletas!E171="Juvenil 52kg",3,IF(Atletas!E171="Juvenil 56kg",4,IF(Atletas!E171="Juvenil 60kg",5,IF(Atletas!E171="Juvenil 65kg",6,IF(Atletas!E171="Juvenil 70kg",7,IF(Atletas!E171="Juvenil 75kg",8,IF(Atletas!E171="Juvenil 82kg",9,IF(Atletas!E171="Juvenil 90kg",10,IF(Atletas!E171="Juvenil 100kg",11,IF(Atletas!E171="Adulto 48kg",12,IF(Atletas!E171="Adulto 52kg",13,IF(Atletas!E171="Adulto 56kg",14,IF(Atletas!E171="Adulto 60kg",15,IF(Atletas!E171="Adulto 65kg",16,IF(Atletas!E171="Adulto 70kg",17,IF(Atletas!E171="Adulto 75kg",18,IF(Atletas!E171="Adulto 82kg",19,IF(Atletas!E171="Adulto 90kg",20,IF(Atletas!E171="Adulto 100kg",21,IF(Atletas!E171="Adulto +100kg",22,""))))))))))))))))))))))))</f>
        <v/>
      </c>
      <c r="AT175" s="10" t="str">
        <f>IF(Atletas!F171="","",IF(Atletas!B171="Feminino",100,IF(Atletas!B171="Masculino",200,""))+(IF(Atletas!F171="Adulto 48kg",1,IF(Atletas!F171="Adulto 56kg",2,IF(Atletas!F171="Adulto 65kg",3,IF(Atletas!F171="Adulto 75kg",4,IF(Atletas!F171="Adulto +75kg",5,IF(Atletas!F171="Adulto 52kg",6,IF(Atletas!F171="Adulto 60kg",7,IF(Atletas!F171="Adulto 70kg",8,IF(Atletas!F171="Adulto 80kg",9,IF(Atletas!F171="Adulto 90kg",10,IF(Atletas!F171="Adulto +90kg",11,"")))))))))))))</f>
        <v/>
      </c>
      <c r="AY175" s="46" t="str">
        <f>IF(Atletas!G171="","",IF(Atletas!B171="Feminino",100,IF(Atletas!B171="Masculino",200,""))+(IF(Atletas!G171="Changquan Mirim",1,IF(Atletas!G171="Nanquan Mirim",2,IF(Atletas!G171="Taijiquan Mirim",3,IF(Atletas!G171="Changquan Grupo C",4,IF(Atletas!G171="Nanquan Grupo C",5,IF(Atletas!G171="Taijiquan Grupo C",6,IF(Atletas!G171="Changquan Grupo B",7,IF(Atletas!G171="Nanquan Grupo B",8,IF(Atletas!G171="Taijiquan Grupo B",9,IF(Atletas!G171="Changquan Grupo A",10,IF(Atletas!G171="Nanquan Grupo A",11,IF(Atletas!G171="Taijiquan Grupo A",12,IF(Atletas!G171="Changquan Opcional",13,IF(Atletas!G171="Nanquan Opcional",14,IF(Atletas!G171="Taijiquan Opcional",15,IF(Atletas!G171="Changquan Adulto",16,IF(Atletas!G171="Nanquan Adulto",17,IF(Atletas!G171="Taijiquan Adulto",18,""))))))))))))))))))))</f>
        <v/>
      </c>
      <c r="AZ175" s="46" t="str">
        <f>IF(Atletas!H171="","",IF(Atletas!B171="Feminino",100,IF(Atletas!B171="Masculino",200,""))+(IF(Atletas!H171="Daoshu Mirim",19,IF(Atletas!H171="Jianshu Mirim",20,IF(Atletas!H171="Nandao Mirim",21,IF(Atletas!H171="Taijijian Mirim",22,IF(Atletas!H171="Daoshu Grupo C",23,IF(Atletas!H171="Jianshu Grupo C",24,IF(Atletas!H171="Nandao Grupo C",25,IF(Atletas!H171="Taijijian Grupo C",26,IF(Atletas!H171="Daoshu Grupo B",27,IF(Atletas!H171="Jianshu Grupo B",28,IF(Atletas!H171="Nandao Grupo B",29,IF(Atletas!H171="Taijijian Grupo B",30,IF(Atletas!H171="Daoshu Grupo A",31,IF(Atletas!H171="Jianshu Grupo A",32,IF(Atletas!H171="Nandao Grupo A",33,IF(Atletas!H171="Taijijian Grupo A",34,IF(Atletas!H171="Daoshu Opcional",35,IF(Atletas!H171="Jianshu Opcional",36,IF(Atletas!H171="Nandao Opcional",37,IF(Atletas!H171="Taijijian Opcional",38,IF(Atletas!H171="Daoshu Adulto",39,IF(Atletas!H171="Jianshu Adulto",40,IF(Atletas!H171="Nandao Adulto",41,IF(Atletas!H171="Taijijian Adulto",42,""))))))))))))))))))))))))))</f>
        <v/>
      </c>
      <c r="BA175" s="46" t="str">
        <f>IF(Atletas!I171="","",IF(Atletas!B171="Feminino",100,IF(Atletas!B171="Masculino",200,""))+(IF(Atletas!I171="Gunshu Mirim",43,IF(Atletas!I171="Qiangshu Mirim",44,IF(Atletas!I171="Nangun Mirim",45,IF(Atletas!I171="Gunshu Grupo C",46,IF(Atletas!I171="Qiangshu Grupo C",47,IF(Atletas!I171="Nangun Grupo C",48,IF(Atletas!I171="Gunshu Grupo B",49,IF(Atletas!I171="Qiangshu Grupo B",50,IF(Atletas!I171="Nangun Grupo B",51,IF(Atletas!I171="Gunshu Grupo A",52,IF(Atletas!I171="Qiangshu Grupo A",53,IF(Atletas!I171="Nangun Grupo A",54,IF(Atletas!I171="Gunshu Opcional",55,IF(Atletas!I171="Qiangshu Opcional",56,IF(Atletas!I171="Nangun Opcional",57,IF(Atletas!I171="Gunshu Adulto",58,IF(Atletas!I171="Qiangshu Adulto",59,IF(Atletas!I171="Nangun Adulto",60,""))))))))))))))))))))</f>
        <v/>
      </c>
      <c r="BF175" s="52" t="str">
        <f>IF(Atletas!J171="","",IF(Atletas!B171="Feminino",100,IF(Atletas!B171="Masculino",200,""))+(IF(Atletas!J171="Equipe 1 Grupo B",1,IF(Atletas!J171="Equipe 2 Grupo B",2,IF(Atletas!J171="Equipe 1 Grupo A",3,IF(Atletas!J171="Equipe 2 Grupo A",4,IF(Atletas!J171="Equipe 1 Adulto",5,IF(Atletas!J171="Equipe 2 Adulto",6,""))))))))</f>
        <v/>
      </c>
      <c r="BK175" s="52" t="str">
        <f>IF(Atletas!K171="","",IF(Atletas!W171&lt;&gt;"",10000,0)+(IF(Atletas!B171="Feminino",1000,IF(Atletas!B171="Masculino",2000,""))+IF(Atletas!K171="Choylayfut A",1,IF(Atletas!K171="Hunggar A",2,IF(Atletas!K171="Wuzuquan A",3,IF(Atletas!K171="Wingchun A",4,IF(Atletas!K171="Outra Mão de Sul A",5,IF(Atletas!K171="Choylayfut B",6,IF(Atletas!K171="Hunggar B",7,IF(Atletas!K171="Wuzuquan B",8,IF(Atletas!K171="Wingchun B",9,IF(Atletas!K171="Outra Mão de Sul B",10,IF(Atletas!K171="Choylayfut C",11,IF(Atletas!K171="Hunggar C",12,IF(Atletas!K171="Wuzuquan C",13,IF(Atletas!K171="Wingchun C",14,IF(Atletas!K171="Outra Mão de Sul C",15,IF(Atletas!K171="Choylayfut D",16,IF(Atletas!K171="Hunggar D",17,IF(Atletas!K171="Wuzuquan D",18,IF(Atletas!K171="Wingchun D",19,IF(Atletas!K171="Outra Mão de Sul D",20,IF(Atletas!K171="Choylayfut E",21,IF(Atletas!K171="Hunggar E",22,IF(Atletas!K171="Wuzuquan E",23,IF(Atletas!K171="Wingchun E",24,IF(Atletas!K171="Outra Mão de Sul E",25,IF(Atletas!K171="Choylayfut F",26,IF(Atletas!K171="Hunggar F",27,IF(Atletas!K171="Wuzuquan F",28,IF(Atletas!K171="Wingchun F",29,IF(Atletas!K171="Outra Mão de Sul F",30,""))))))))))))))))))))))))))))))))</f>
        <v/>
      </c>
      <c r="BL175" s="52" t="str">
        <f>IF(Atletas!L171="","",IF(Atletas!W171&lt;&gt;"",10000,0)+(IF(Atletas!B171="Feminino",1000,IF(Atletas!B171="Masculino",2000,""))+(IF(Atletas!L171="Chaquan A",101,IF(Atletas!L171="Emeiquan A",102,IF(Atletas!L171="Fanziquan A",103,IF(Atletas!L171="Huaquan A",104,IF(Atletas!L171="Hongquan A",105,IF(Atletas!L171="Paochui A",106,IF(Atletas!L171="Piguaquan A",107,IF(Atletas!L171="Shaolinquan A",108,IF(Atletas!L171="Tanglangquan A",109,IF(Atletas!L171="Yinzhaophai A",110,IF(Atletas!L171="Tongbeiquan A",111,IF(Atletas!L171="Wudangquan A",112,IF(Atletas!L171="Outros Estilos A",113,IF(Atletas!L171="Chaquan B",114,IF(Atletas!L171="Emeiquan B",115,IF(Atletas!L171="Fanziquan B",116,IF(Atletas!L171="Huaquan B",117,IF(Atletas!L171="Hongquan B",118,IF(Atletas!L171="Paochui B",119,IF(Atletas!L171="Piguaquan B",120,IF(Atletas!L171="Shaolinquan B",121,IF(Atletas!L171="Tanglangquan B",122,IF(Atletas!L171="Yinzhaophai B",123,IF(Atletas!L171="Tongbeiquan B",124,IF(Atletas!L171="Wudangquan B",125,IF(Atletas!L171="Outros Estilos B",126,IF(Atletas!L171="Chaquan C",127,IF(Atletas!L171="Emeiquan C",128,IF(Atletas!L171="Fanziquan C",129,IF(Atletas!L171="Huaquan C",130,IF(Atletas!L171="Hongquan C",131,IF(Atletas!L171="Paochui C",132,IF(Atletas!L171="Piguaquan C",133,IF(Atletas!L171="Shaolinquan C",134,IF(Atletas!L171="Tanglangquan C",135,IF(Atletas!L171="Yinzhaophai C",136,IF(Atletas!L171="Tongbeiquan C",137,IF(Atletas!L171="Wudangquan C",138,IF(Atletas!L171="Outros Estilos C",139,0))))))))))))))))))))))))))))))))))))))))))</f>
        <v/>
      </c>
      <c r="BM175" s="52" t="str">
        <f>IF(Atletas!L171="","",IF(Atletas!W171&lt;&gt;"",10000,0)+(IF(Atletas!B171="Feminino",1000,IF(Atletas!B171="Masculino",2000,""))+(IF(Atletas!L171="Chaquan D",140,IF(Atletas!L171="Emeiquan D",141,IF(Atletas!L171="Fanziquan D",142,IF(Atletas!L171="Huaquan D",143,IF(Atletas!L171="Hongquan D",144,IF(Atletas!L171="Paochui D",145,IF(Atletas!L171="Piguaquan D",146,IF(Atletas!L171="Shaolinquan D",147,IF(Atletas!L171="Tanglangquan D",148,IF(Atletas!L171="Yinzhaophai D",149,IF(Atletas!L171="Tongbeiquan D",150,IF(Atletas!L171="Wudangquan D",151,IF(Atletas!L171="Outros Estilos D",152,IF(Atletas!L171="Chaquan E",153,IF(Atletas!L171="Emeiquan E",154,IF(Atletas!L171="Fanziquan E",155,IF(Atletas!L171="Huaquan E",156,IF(Atletas!L171="Hongquan E",157,IF(Atletas!L171="Paochui E",158,IF(Atletas!L171="Piguaquan E",159,IF(Atletas!L171="Shaolinquan E",160,IF(Atletas!L171="Tanglangquan E",161,IF(Atletas!L171="Yinzhaophai E",162,IF(Atletas!L171="Tongbeiquan E",163,IF(Atletas!L171="Wudangquan E",164,IF(Atletas!L171="Outros Estilos E",165,IF(Atletas!L171="Chaquan F",166,IF(Atletas!L171="Emeiquan F",167,IF(Atletas!L171="Fanziquan F",168,IF(Atletas!L171="Huaquan F",169,IF(Atletas!L171="Hongquan F",170,IF(Atletas!L171="Paochui F",171,IF(Atletas!L171="Piguaquan F",172,IF(Atletas!L171="Shaolinquan F",173,IF(Atletas!L171="Tanglangquan F",174,IF(Atletas!L171="Yinzhaophai F",175,IF(Atletas!L171="Tongbeiquan F",176,IF(Atletas!L171="Wudangquan F",177,IF(Atletas!L171="Outros Estilos F",178,0))))))))))))))))))))))))))))))))))))))))))</f>
        <v/>
      </c>
      <c r="BN175" s="52" t="str">
        <f>IF(Atletas!M171="","",IF(Atletas!W171&lt;&gt;"",10000,0)+(IF(Atletas!B171="Feminino",1000,IF(Atletas!B171="Masculino",2000,""))+(IF(Atletas!M171="Ditangquan A",201,IF(Atletas!M171="Houquan A",202,IF(Atletas!M171="Zuiquan A",203,IF(Atletas!M171="Ditangquan B",204,IF(Atletas!M171="Houquan B",205,IF(Atletas!M171="Zuiquan B",206,IF(Atletas!M171="Ditangquan C",207,IF(Atletas!M171="Houquan C",208,IF(Atletas!M171="Zuiquan C",209,IF(Atletas!M171="Ditangquan D",210,IF(Atletas!M171="Houquan D",211,IF(Atletas!M171="Zuiquan D",212,IF(Atletas!M171="Ditangquan E",213,IF(Atletas!M171="Houquan E",214,IF(Atletas!M171="Zuiquan E",215,IF(Atletas!M171="Ditangquan F",216,IF(Atletas!M171="Houquan F",217,IF(Atletas!M171="Zuiquan F",218,"")))))))))))))))))))))</f>
        <v/>
      </c>
      <c r="BO175" s="52" t="str">
        <f>IF(Atletas!N171="","",IF(Atletas!W171&lt;&gt;"",10000,0)+IF(Atletas!B171="Feminino",1000,IF(Atletas!B171="Masculino",2000,""))+IF(Atletas!N171="Yang A",301,IF(Atletas!N171="Chen A",30,IF(Atletas!N171="Sun A",303,IF(Atletas!N171="Wu A",304,IF(Atletas!N171="Wu-Hao A",305,IF(Atletas!N171="Outro Taijiquan A",306,IF(Atletas!N171="Yang B",307,IF(Atletas!N171="Chen B",308,IF(Atletas!N171="Sun B",309,IF(Atletas!N171="Wu B",310,IF(Atletas!N171="Wu-Hao B",311,IF(Atletas!N171="Outro Taijiquan B",312,IF(Atletas!N171="Yang C",313,IF(Atletas!N171="Chen C",314,IF(Atletas!N171="Sun C",315,IF(Atletas!N171="Wu C",316,IF(Atletas!N171="Wu-Hao C",317,IF(Atletas!N171="Outro Taijiquan C",318,IF(Atletas!N171="Yang D",319,IF(Atletas!N171="Chen D",320,IF(Atletas!N171="Sun D",321,IF(Atletas!N171="Wu D",322,IF(Atletas!N171="Wu-Hao D",323,IF(Atletas!N171="Outro Taijiquan D",324,IF(Atletas!N171="Yang E",325,IF(Atletas!N171="Chen E",326,IF(Atletas!N171="Sun E",327,IF(Atletas!N171="Wu E",328,IF(Atletas!N171="Wu-Hao E",329,IF(Atletas!N171="Outro Taijiquan E",330,IF(Atletas!N171="Yang F",331,IF(Atletas!N171="Chen F",332,IF(Atletas!N171="Sun F",333,IF(Atletas!N171="Wu F",334,IF(Atletas!N171="Wu-Hao F",335,IF(Atletas!N171="Outro Taijiquan F",336,"")))))))))))))))))))))))))))))))))))))</f>
        <v/>
      </c>
      <c r="BP175" s="52" t="str">
        <f>IF(Atletas!O171="","",IF(Atletas!W171&lt;&gt;"",10000,0)+IF(Atletas!B171="Feminino",1000,IF(Atletas!B171="Masculino",2000,""))+IF(OR(Atletas!O171="Yang 26 A",Atletas!O171="Yang 40 A"),401,IF(OR(Atletas!O171="Chen 25 A",Atletas!O171="Chen 36 A",Atletas!O171="Chen 56 A"),402,IF(Atletas!O171="Sun 73 A",403,IF(Atletas!O171="Wu 45 A",404,IF(Atletas!O171="Wu-Hao 46 A",405,IF(OR(Atletas!O171="Taijiquan 16 A",Atletas!O171="Taijiquan 24 A",Atletas!O171="Taijiquan 32 A",Atletas!O171="Taijiquan 42 A"),406,IF(OR(Atletas!O171="Yang 26 B",Atletas!O171="Yang 40 B"),407,IF(OR(Atletas!O171="Chen 25 B",Atletas!O171="Chen 36 B",Atletas!O171="Chen 56 B"),408,IF(Atletas!O171="Sun 73 B",409,IF(Atletas!O171="Wu 45 B",410,IF(Atletas!O171="Wu-Hao 46 B",411,IF(OR(Atletas!O171="Taijiquan 16 B",Atletas!O171="Taijiquan 24 B",Atletas!O171="Taijiquan 32 B",Atletas!O171="Taijiquan 42 B"),412,IF(OR(Atletas!O171="Yang 26 C",Atletas!O171="Yang 40 C"),413,IF(OR(Atletas!O171="Chen 25 C",Atletas!O171="Chen 36 C",Atletas!O171="Chen 56 C"),414,IF(Atletas!O171="Sun 73 C",415,IF(Atletas!O171="Wu 45 C",416,IF(Atletas!O171="Wu-Hao 46 C",417,IF(OR(Atletas!O171="Taijiquan 16 C",Atletas!O171="Taijiquan 24 C",Atletas!O171="Taijiquan 32 C",Atletas!O171="Taijiquan 42 C"),418,0)))))))))))))))))))</f>
        <v/>
      </c>
      <c r="BQ175" s="52" t="str">
        <f>IF(Atletas!O171="","",IF(Atletas!W171&lt;&gt;"",10000,0)+IF(Atletas!B171="Feminino",1000,IF(Atletas!B171="Masculino",2000,""))+IF(OR(Atletas!O171="Yang 26 D",Atletas!O171="Yang 40 D"),419,IF(OR(Atletas!O171="Chen 25 D",Atletas!O171="Chen 36 D",Atletas!O171="Chen 56 D"),420,IF(Atletas!O171="Sun 73 D",421,IF(Atletas!O171="Wu 45 D",422,IF(Atletas!O171="Wu-Hao 46 D",423,IF(OR(Atletas!O171="Taijiquan 16 D",Atletas!O171="Taijiquan 24 D",Atletas!O171="Taijiquan 32 D",Atletas!O171="Taijiquan 42 D"),424,IF(OR(Atletas!O171="Yang 26 E",Atletas!O171="Yang 40 E"),425,IF(OR(Atletas!O171="Chen 25 E",Atletas!O171="Chen 36 E",Atletas!O171="Chen 56 E"),426,IF(Atletas!O171="Sun 73 E",427,IF(Atletas!O171="Wu 45 E",428,IF(Atletas!O171="Wu-Hao 46 E",429,IF(OR(Atletas!O171="Taijiquan 16 E",Atletas!O171="Taijiquan 24 E",Atletas!O171="Taijiquan 32 E",Atletas!O171="Taijiquan 42 E"),430,IF(OR(Atletas!O171="Yang 26 F",Atletas!O171="Yang 40 F"),431,IF(OR(Atletas!O171="Chen 25 F",Atletas!O171="Chen 36 F",Atletas!O171="Chen 56 F"),432,IF(Atletas!O171="Sun 73 F",433,IF(Atletas!O171="Wu 45 F",434,IF(Atletas!O171="Wu-Hao 46 F",435,IF(OR(Atletas!O171="Taijiquan 16 F",Atletas!O171="Taijiquan 24 F",Atletas!O171="Taijiquan 32 F",Atletas!O171="Taijiquan 42 F"),436,0)))))))))))))))))))</f>
        <v/>
      </c>
      <c r="BR175" s="52" t="str">
        <f>IF(Atletas!P171="","",IF(Atletas!W171&lt;&gt;"",10000,0)+IF(Atletas!B171="Feminino",1000,IF(Atletas!B171="Masculino",2000,""))+IF(Atletas!P171="Xingyiquan A",501,IF(Atletas!P171="Baguazhang A",502,IF(Atletas!P171="Outro Estilo Interno A",503,IF(Atletas!P171="Xingyiquan B",504,IF(Atletas!P171="Baguazhang B",505,IF(Atletas!P171="Outro Estilo Interno B",506,IF(Atletas!P171="Xingyiquan C",507,IF(Atletas!P171="Baguazhang C",508,IF(Atletas!P171="Outro Estilo Interno C",509,IF(Atletas!P171="Xingyiquan D",510,IF(Atletas!P171="Baguazhang D",511,IF(Atletas!P171="Outro Estilo Interno D",512,IF(Atletas!P171="Xingyiquan E",513,IF(Atletas!P171="Baguazhang E",514,IF(Atletas!P171="Outro Estilo Interno E",515,IF(Atletas!P171="Xingyiquan F",516,IF(Atletas!P171="Baguazhang F",517,IF(Atletas!P171="Outro Estilo Interno F",518, "")))))))))))))))))))</f>
        <v/>
      </c>
      <c r="BS175" s="52" t="str">
        <f>IF(Atletas!Q171="","",IF(Atletas!W171&lt;&gt;"",10000,0)+IF(Atletas!B171="Feminino",1000,IF(Atletas!B171="Masculino",2000,""))+IF(Atletas!Q171="Dao A",601,IF(Atletas!Q171="Jian A",602,IF(Atletas!Q171="Bishou A",603,IF(Atletas!Q171="Shan A",604,IF(Atletas!Q171="Outra Arma Curta A",605,IF(Atletas!Q171="Dao B",606,IF(Atletas!Q171="Jian B",607,IF(Atletas!Q171="Bishou B",608,IF(Atletas!Q171="Shan B",609,IF(Atletas!Q171="Outra Arma Curta B",610,IF(Atletas!Q171="Dao C",611,IF(Atletas!Q171="Jian C",612,IF(Atletas!Q171="Bishou C",613,IF(Atletas!Q171="Shan C",614,IF(Atletas!Q171="Outra Arma Curta C",615,IF(Atletas!Q171="Dao D",616,IF(Atletas!Q171="Jian D",617,IF(Atletas!Q171="Bishou D",618,IF(Atletas!Q171="Shan D",619,IF(Atletas!Q171="Outra Arma Curta D",620,IF(Atletas!Q171="Dao E",621,IF(Atletas!Q171="Jian E",622,IF(Atletas!Q171="Bishou E",623,IF(Atletas!Q171="Shan E",624,IF(Atletas!Q171="Outra Arma Curta E",625,IF(Atletas!Q171="Dao F",626,IF(Atletas!Q171="Jian F",627,IF(Atletas!Q171="Bishou F",628,IF(Atletas!Q171="Shan F",629,IF(Atletas!Q171="Outra Arma Curta F",630, "")))))))))))))))))))))))))))))))</f>
        <v/>
      </c>
      <c r="BT175" s="52" t="str">
        <f>IF(Atletas!R171="","",IF(Atletas!W171&lt;&gt;"",10000,0)+IF(Atletas!B171="Feminino",1000,IF(Atletas!B171="Masculino",2000,""))+IF(Atletas!R171="Gun A",701,IF(Atletas!R171="Qiang A",702,IF(Atletas!R171="Pudao / Guandao A",703,IF(Atletas!R171="Outra Arma Longa A",704,IF(Atletas!R171="Gun B",705,IF(Atletas!R171="Qiang B",706,IF(Atletas!R171="Pudao / Guandao B",707,IF(Atletas!R171="Outra Arma Longa B",708,IF(Atletas!R171="Gun C",709,IF(Atletas!R171="Qiang C",710,IF(Atletas!R171="Pudao / Guandao C",711,IF(Atletas!R171="Outra Arma Longa C",712,IF(Atletas!R171="Gun D",713,IF(Atletas!R171="Qiang D",714,IF(Atletas!R171="Pudao / Guandao D",715,IF(Atletas!R171="Outra Arma Longa D",716,IF(Atletas!R171="Gun E",717,IF(Atletas!R171="Qiang E",718,IF(Atletas!R171="Pudao / Guandao E",719,IF(Atletas!R171="Outra Arma Longa E",720,IF(Atletas!R171="Gun F",721,IF(Atletas!R171="Qiang F",722,IF(Atletas!R171="Pudao / Guandao F",723,IF(Atletas!R171="Outra Arma Longa F",724,"")))))))))))))))))))))))))</f>
        <v/>
      </c>
      <c r="BU175" s="52" t="str">
        <f>IF(Atletas!S171="","",IF(Atletas!W171&lt;&gt;"",10000,0)+IF(Atletas!B171="Feminino",1000,IF(Atletas!B171="Masculino",2000,""))+IF(Atletas!S171="Arma Dupla A",801,IF(Atletas!S171="Arma Maleável A",802,IF(Atletas!S171="Arma Dupla B",803,IF(Atletas!S171="Arma Maleável B",804,IF(Atletas!S171="Arma Dupla C",805,IF(Atletas!S171="Arma Maleável C",806,IF(Atletas!S171="Arma Dupla D",807,IF(Atletas!S171="Arma Maleável D",808,IF(Atletas!S171="Arma Dupla E",809,IF(Atletas!S171="Arma Maleável E",810,IF(Atletas!S171="Arma Dupla F",811,IF(Atletas!S171="Arma Maleável F",812, "")))))))))))))</f>
        <v/>
      </c>
      <c r="BV175" s="52" t="str">
        <f>IF(Atletas!T171="","",IF(Atletas!W171&lt;&gt;"",10000,0)+IF(Atletas!B171="Feminino",1000,IF(Atletas!B171="Masculino",2000,""))+IF(Atletas!T171="Taijijian Yang A",901,IF(Atletas!T171="Taijijian Chen A",902,IF(Atletas!T171="Taijijian Sun A",903,IF(Atletas!T171="Taijijian Wu A",904,IF(Atletas!T171="Taijijian Wu-Hao A",905,IF(Atletas!T171="Taijijian 32 A",906,IF(Atletas!T171="Taijijian 42 A",907,IF(Atletas!T171="Taijijian Yang B",908,IF(Atletas!T171="Taijijian Chen B",909,IF(Atletas!T171="Taijijian Sun B",910,IF(Atletas!T171="Taijijian Wu B",911,IF(Atletas!T171="Taijijian Wu-Hao B",912,IF(Atletas!T171="Taijijian 32 B",913,IF(Atletas!T171="Taijijian 42 B",914,IF(Atletas!T171="Taijijian Yang C",915,IF(Atletas!T171="Taijijian Chen C",916,IF(Atletas!T171="Taijijian Sun C",917,IF(Atletas!T171="Taijijian Wu C",918,IF(Atletas!T171="Taijijian Wu-Hao C",919,IF(Atletas!T171="Taijijian 32 C",920,IF(Atletas!T171="Taijijian 42 C",921,IF(Atletas!T171="Taijijian Yang D",922,IF(Atletas!T171="Taijijian Chen D",923,IF(Atletas!T171="Taijijian Sun D",924,IF(Atletas!T171="Taijijian Wu D",925,IF(Atletas!T171="Taijijian Wu-Hao D",926,IF(Atletas!T171="Taijijian 32 D",927,IF(Atletas!T171="Taijijian 42 D",928,IF(Atletas!T171="Taijijian Yang E",929,IF(Atletas!T171="Taijijian Chen E",930,IF(Atletas!T171="Taijijian Sun E",931,IF(Atletas!T171="Taijijian Wu E",932,IF(Atletas!T171="Taijijian Wu-Hao E",933,IF(Atletas!T171="Taijijian 32 E",934,IF(Atletas!T171="Taijijian 42 E",935,IF(Atletas!T171="Taijijian Yang F",936,IF(Atletas!T171="Taijijian Chen F",937,IF(Atletas!T171="Taijijian Sun F",938,IF(Atletas!T171="Taijijian Wu F",939,IF(Atletas!T171="Taijijian Wu-Hao F",940,IF(Atletas!T171="Taijijian 32 F",941,IF(Atletas!T171="Taijijian 42 F",942,"")))))))))))))))))))))))))))))))))))))))))))</f>
        <v/>
      </c>
      <c r="BW175" s="52" t="str">
        <f>IF(Atletas!U171="","",IF(Atletas!W171&lt;&gt;"",10000,0)+IF(Atletas!B171="Feminino",1000,IF(Atletas!B171="Masculino",2000,""))+IF(Atletas!T171="Taijijian 42 F",942,IF(Atletas!U171="Taijidao A",943,IF(Atletas!U171="Taijishan A",944,IF(Atletas!U171="Taijiqiang A",945,IF(Atletas!U171="Taijidao B",946,IF(Atletas!U171="Taijishan B",947,IF(Atletas!U171="Taijiqiang B",948,IF(Atletas!U171="Taijidao C",949,IF(Atletas!U171="Taijishan C",950,IF(Atletas!U171="Taijiqiang C",951,IF(Atletas!U171="Taijidao D",952,IF(Atletas!U171="Taijishan D",953,IF(Atletas!U171="Taijiqiang D",954,IF(Atletas!U171="Taijidao E",955,IF(Atletas!U171="Taijishan E",956,IF(Atletas!U171="Taijiqiang E",957,IF(Atletas!U171="Taijidao F",958,IF(Atletas!U171="Taijishan F",959,IF(Atletas!U171="Taijiqiang F",960))))))))))))))))))))</f>
        <v/>
      </c>
      <c r="BX175" s="72" t="str">
        <f>IF(BY175&lt;&gt;"","TJQ Padr. Yang B","")</f>
        <v/>
      </c>
      <c r="BY175" s="72" t="str">
        <f>IF(COUNTIF(BK:BW,1407)&gt;0,COUNTIF(BK:BW,1407),"")</f>
        <v/>
      </c>
      <c r="BZ175" s="72" t="str">
        <f>IF(CA175&lt;&gt;"","TJQ Padr. Yang B","")</f>
        <v/>
      </c>
      <c r="CA175" s="72" t="str">
        <f>IF(COUNTIF(BK:BW,2407)&gt;0,COUNTIF(BK:BW,2407),"")</f>
        <v/>
      </c>
      <c r="CB175" s="72" t="str">
        <f>IF(CC175&lt;&gt;"","Cheng Novo A","")</f>
        <v/>
      </c>
      <c r="CC175" s="64" t="str">
        <f>IF(COUNTIF(BK:BW,11407)&gt;0,COUNTIF(BK:BW,11407),"")</f>
        <v/>
      </c>
      <c r="CD175" s="64" t="str">
        <f>IF(CE175&lt;&gt;"","Cheng Novo A","")</f>
        <v/>
      </c>
      <c r="CE175" s="64" t="str">
        <f>IF(COUNTIF(BK:BW,12407)&gt;0,COUNTIF(BK:BW,12407),"")</f>
        <v/>
      </c>
      <c r="CF175" s="52" t="str">
        <f xml:space="preserve"> IF(Atletas!V171="","",IF(Atletas!V171="Duilian de Mãos AB - Equipe 1",1,IF(Atletas!V171="Duilian de Mãos AB - Equipe 2",2,IF(Atletas!V171="Duilian de Armas AB - Equipe 1",3,IF(Atletas!V171="Duilian de Armas AB - Equipe 2",4,IF(Atletas!V171="Duilian de Tuishou - Equipe 1",5,IF(Atletas!V171="Duilian de Tuishou - Equipe 2",6,IF(Atletas!V171="Grupo Externo AB - Equipe 1",7,IF(Atletas!V171="Grupo Externo AB - Equipe 2",8,IF(Atletas!V171="Grupo Interno AB - Equipe 1",9,IF(Atletas!V171="Grupo Interno AB - Equipe 2",10,IF(Atletas!V171="Duilian de Mãos CD - Equipe 1",11,IF(Atletas!V171="Duilian de Mãos CD - Equipe 2",12,IF(Atletas!V171="Duilian de Armas CD - Equipe 1",13,IF(Atletas!V171="Duilian de Armas CD - Equipe 2",14,IF(Atletas!V171="Duilian de Tuishou - Equipe 1",15,IF(Atletas!V171="Duilian de Tuishou - Equipe 2",16,IF(Atletas!V171="Grupo Externo CDEF - Equipe 1",17,IF(Atletas!V171="Grupo Externo CDEF - Equipe 2",18,IF(Atletas!V171="Grupo Interno CDEF - Equipe 1",19,IF(Atletas!V171="Grupo Interno CDEF - Equipe 2",20,IF(Atletas!V171="Duilian de Mãos EF - Equipe 1",21,IF(Atletas!V171="Duilian de Mãos EF - Equipe 2",22,IF(Atletas!V171="Duilian de Armas EF - Equipe 1",23,IF(Atletas!V171="Duilian de Armas EF - Equipe 2",24,IF(Atletas!V171="Duilian de Tuishou - Equipe 1",25,IF(Atletas!V171="Duilian de Tuishou - Equipe 2",26,"")))))))))))))))))))))))))))</f>
        <v/>
      </c>
    </row>
    <row r="176" spans="2:84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 t="str">
        <f t="array" ref="V176">IFERROR(INDEX(BX$7:BX$336,SMALL(IF(BX$7:BX$336&lt;&gt;"",ROW(BX$7:BX$336)-ROW(BX$7)+1),ROWS(BX$7:BX175))),"")</f>
        <v/>
      </c>
      <c r="W176" s="4" t="str">
        <f t="array" ref="W176">IFERROR(INDEX(BY$7:BY$336,SMALL(IF(BY$7:BY$336&lt;&gt;"",ROW(BY$7:BY$336)-ROW(BY$7)+1),ROWS(BY$7:BY175))),"")</f>
        <v/>
      </c>
      <c r="X176" s="4" t="str">
        <f t="array" ref="X176">IFERROR(INDEX(BZ$7:BZ$336,SMALL(IF(BZ$7:BZ$336&lt;&gt;"",ROW(BZ$7:BZ$336)-ROW(BZ$7)+1),ROWS(BZ$7:BZ175))),"")</f>
        <v/>
      </c>
      <c r="Y176" s="4" t="str">
        <f t="array" ref="Y176">IFERROR(INDEX(CA$7:CA$336,SMALL(IF(CA$7:CA$336&lt;&gt;"",ROW(CA$7:CA$336)-ROW(CA$7)+1),ROWS(CA$7:CA175))),"")</f>
        <v/>
      </c>
      <c r="Z176" s="4" t="str">
        <f t="array" ref="Z176">IFERROR(INDEX(CB$7:CB$378,SMALL(IF(CB$7:CB$378&lt;&gt;"",ROW(CB$7:CB$378)-ROW(CB$7)+1),ROWS(CB$7:CB175))),"")</f>
        <v/>
      </c>
      <c r="AA176" s="4" t="str">
        <f t="array" ref="AA176">IFERROR(INDEX(CC$7:CC$378,SMALL(IF(CC$7:CC$378&lt;&gt;"",ROW(CC$7:CC$378)-ROW(CC$7)+1),ROWS(CC$7:CC175))),"")</f>
        <v/>
      </c>
      <c r="AB176" s="4" t="str">
        <f t="array" ref="AB176">IFERROR(INDEX(CD$7:CD$378,SMALL(IF(CD$7:CD$378&lt;&gt;"",ROW(CD$7:CD$378)-ROW(CD$7)+1),ROWS(CD$7:CD175))),"")</f>
        <v/>
      </c>
      <c r="AC176" s="4" t="str">
        <f t="array" ref="AC176">IFERROR(INDEX(CE$7:CE$378,SMALL(IF(CE$7:CE$378&lt;&gt;"",ROW(CE$7:CE$378)-ROW(CE$7)+1),ROWS(CE$7:CE175))),"")</f>
        <v/>
      </c>
      <c r="AD176" s="4"/>
      <c r="AE176" s="4"/>
      <c r="AF176" s="4"/>
      <c r="AG176" s="4"/>
      <c r="AH176" s="4"/>
      <c r="AI176" s="4"/>
      <c r="AJ176" s="46" t="str">
        <f>IF(Atletas!D172="","",IF(Atletas!B172="Feminino",100,IF(Atletas!B172="Masculino",200,""))+(IF(Atletas!D172="Infantil 39kg",1,IF(Atletas!D172="Infantil 42kg",2,IF(Atletas!D172="Infantil 45kg",3,IF(Atletas!D172="Infantil 48kg",4,IF(Atletas!D172="Infantil 52kg",5,IF(Atletas!D172="Infantil 56kg",6,IF(Atletas!D172="Infantil 60kg",7,IF(Atletas!D172="Juvenil 48kg",8,IF(Atletas!D172="Juvenil 52kg",9,IF(Atletas!D172="Juvenil 56kg",10,IF(Atletas!D172="Juvenil 60kg",11,IF(Atletas!D172="Juvenil 65kg",12,IF(Atletas!D172="Juvenil 70kg",13,IF(Atletas!D172="Juvenil 75kg",14,IF(Atletas!D172="Juvenil 80kg",15,IF(Atletas!D172="Adulto 48kg",16,IF(Atletas!D172="Adulto 52kg",17,IF(Atletas!D172="Adulto 56kg",18,IF(Atletas!D172="Adulto 60kg",19,IF(Atletas!D172="Adulto 65kg",20,IF(Atletas!D172="Adulto 70kg",21,IF(Atletas!D172="Adulto 75kg",22,IF(Atletas!D172="Adulto 80kg",23,IF(Atletas!D172="Adulto 85kg",24,IF(Atletas!D172="Adulto 90kg",25,IF(Atletas!D172="Adulto +90kg",26,""))))))))))))))))))))))))))))</f>
        <v/>
      </c>
      <c r="AO176" s="10" t="str">
        <f>IF(Atletas!E172="","",IF(Atletas!B172="Feminino",100,IF(Atletas!B172="Masculino",200,""))+(IF(Atletas!E172="Juvenil 44kg",1,IF(Atletas!E172="Juvenil 48kg",2,IF(Atletas!E172="Juvenil 52kg",3,IF(Atletas!E172="Juvenil 56kg",4,IF(Atletas!E172="Juvenil 60kg",5,IF(Atletas!E172="Juvenil 65kg",6,IF(Atletas!E172="Juvenil 70kg",7,IF(Atletas!E172="Juvenil 75kg",8,IF(Atletas!E172="Juvenil 82kg",9,IF(Atletas!E172="Juvenil 90kg",10,IF(Atletas!E172="Juvenil 100kg",11,IF(Atletas!E172="Adulto 48kg",12,IF(Atletas!E172="Adulto 52kg",13,IF(Atletas!E172="Adulto 56kg",14,IF(Atletas!E172="Adulto 60kg",15,IF(Atletas!E172="Adulto 65kg",16,IF(Atletas!E172="Adulto 70kg",17,IF(Atletas!E172="Adulto 75kg",18,IF(Atletas!E172="Adulto 82kg",19,IF(Atletas!E172="Adulto 90kg",20,IF(Atletas!E172="Adulto 100kg",21,IF(Atletas!E172="Adulto +100kg",22,""))))))))))))))))))))))))</f>
        <v/>
      </c>
      <c r="AT176" s="10" t="str">
        <f>IF(Atletas!F172="","",IF(Atletas!B172="Feminino",100,IF(Atletas!B172="Masculino",200,""))+(IF(Atletas!F172="Adulto 48kg",1,IF(Atletas!F172="Adulto 56kg",2,IF(Atletas!F172="Adulto 65kg",3,IF(Atletas!F172="Adulto 75kg",4,IF(Atletas!F172="Adulto +75kg",5,IF(Atletas!F172="Adulto 52kg",6,IF(Atletas!F172="Adulto 60kg",7,IF(Atletas!F172="Adulto 70kg",8,IF(Atletas!F172="Adulto 80kg",9,IF(Atletas!F172="Adulto 90kg",10,IF(Atletas!F172="Adulto +90kg",11,"")))))))))))))</f>
        <v/>
      </c>
      <c r="AY176" s="46" t="str">
        <f>IF(Atletas!G172="","",IF(Atletas!B172="Feminino",100,IF(Atletas!B172="Masculino",200,""))+(IF(Atletas!G172="Changquan Mirim",1,IF(Atletas!G172="Nanquan Mirim",2,IF(Atletas!G172="Taijiquan Mirim",3,IF(Atletas!G172="Changquan Grupo C",4,IF(Atletas!G172="Nanquan Grupo C",5,IF(Atletas!G172="Taijiquan Grupo C",6,IF(Atletas!G172="Changquan Grupo B",7,IF(Atletas!G172="Nanquan Grupo B",8,IF(Atletas!G172="Taijiquan Grupo B",9,IF(Atletas!G172="Changquan Grupo A",10,IF(Atletas!G172="Nanquan Grupo A",11,IF(Atletas!G172="Taijiquan Grupo A",12,IF(Atletas!G172="Changquan Opcional",13,IF(Atletas!G172="Nanquan Opcional",14,IF(Atletas!G172="Taijiquan Opcional",15,IF(Atletas!G172="Changquan Adulto",16,IF(Atletas!G172="Nanquan Adulto",17,IF(Atletas!G172="Taijiquan Adulto",18,""))))))))))))))))))))</f>
        <v/>
      </c>
      <c r="AZ176" s="46" t="str">
        <f>IF(Atletas!H172="","",IF(Atletas!B172="Feminino",100,IF(Atletas!B172="Masculino",200,""))+(IF(Atletas!H172="Daoshu Mirim",19,IF(Atletas!H172="Jianshu Mirim",20,IF(Atletas!H172="Nandao Mirim",21,IF(Atletas!H172="Taijijian Mirim",22,IF(Atletas!H172="Daoshu Grupo C",23,IF(Atletas!H172="Jianshu Grupo C",24,IF(Atletas!H172="Nandao Grupo C",25,IF(Atletas!H172="Taijijian Grupo C",26,IF(Atletas!H172="Daoshu Grupo B",27,IF(Atletas!H172="Jianshu Grupo B",28,IF(Atletas!H172="Nandao Grupo B",29,IF(Atletas!H172="Taijijian Grupo B",30,IF(Atletas!H172="Daoshu Grupo A",31,IF(Atletas!H172="Jianshu Grupo A",32,IF(Atletas!H172="Nandao Grupo A",33,IF(Atletas!H172="Taijijian Grupo A",34,IF(Atletas!H172="Daoshu Opcional",35,IF(Atletas!H172="Jianshu Opcional",36,IF(Atletas!H172="Nandao Opcional",37,IF(Atletas!H172="Taijijian Opcional",38,IF(Atletas!H172="Daoshu Adulto",39,IF(Atletas!H172="Jianshu Adulto",40,IF(Atletas!H172="Nandao Adulto",41,IF(Atletas!H172="Taijijian Adulto",42,""))))))))))))))))))))))))))</f>
        <v/>
      </c>
      <c r="BA176" s="46" t="str">
        <f>IF(Atletas!I172="","",IF(Atletas!B172="Feminino",100,IF(Atletas!B172="Masculino",200,""))+(IF(Atletas!I172="Gunshu Mirim",43,IF(Atletas!I172="Qiangshu Mirim",44,IF(Atletas!I172="Nangun Mirim",45,IF(Atletas!I172="Gunshu Grupo C",46,IF(Atletas!I172="Qiangshu Grupo C",47,IF(Atletas!I172="Nangun Grupo C",48,IF(Atletas!I172="Gunshu Grupo B",49,IF(Atletas!I172="Qiangshu Grupo B",50,IF(Atletas!I172="Nangun Grupo B",51,IF(Atletas!I172="Gunshu Grupo A",52,IF(Atletas!I172="Qiangshu Grupo A",53,IF(Atletas!I172="Nangun Grupo A",54,IF(Atletas!I172="Gunshu Opcional",55,IF(Atletas!I172="Qiangshu Opcional",56,IF(Atletas!I172="Nangun Opcional",57,IF(Atletas!I172="Gunshu Adulto",58,IF(Atletas!I172="Qiangshu Adulto",59,IF(Atletas!I172="Nangun Adulto",60,""))))))))))))))))))))</f>
        <v/>
      </c>
      <c r="BF176" s="52" t="str">
        <f>IF(Atletas!J172="","",IF(Atletas!B172="Feminino",100,IF(Atletas!B172="Masculino",200,""))+(IF(Atletas!J172="Equipe 1 Grupo B",1,IF(Atletas!J172="Equipe 2 Grupo B",2,IF(Atletas!J172="Equipe 1 Grupo A",3,IF(Atletas!J172="Equipe 2 Grupo A",4,IF(Atletas!J172="Equipe 1 Adulto",5,IF(Atletas!J172="Equipe 2 Adulto",6,""))))))))</f>
        <v/>
      </c>
      <c r="BK176" s="52" t="str">
        <f>IF(Atletas!K172="","",IF(Atletas!W172&lt;&gt;"",10000,0)+(IF(Atletas!B172="Feminino",1000,IF(Atletas!B172="Masculino",2000,""))+IF(Atletas!K172="Choylayfut A",1,IF(Atletas!K172="Hunggar A",2,IF(Atletas!K172="Wuzuquan A",3,IF(Atletas!K172="Wingchun A",4,IF(Atletas!K172="Outra Mão de Sul A",5,IF(Atletas!K172="Choylayfut B",6,IF(Atletas!K172="Hunggar B",7,IF(Atletas!K172="Wuzuquan B",8,IF(Atletas!K172="Wingchun B",9,IF(Atletas!K172="Outra Mão de Sul B",10,IF(Atletas!K172="Choylayfut C",11,IF(Atletas!K172="Hunggar C",12,IF(Atletas!K172="Wuzuquan C",13,IF(Atletas!K172="Wingchun C",14,IF(Atletas!K172="Outra Mão de Sul C",15,IF(Atletas!K172="Choylayfut D",16,IF(Atletas!K172="Hunggar D",17,IF(Atletas!K172="Wuzuquan D",18,IF(Atletas!K172="Wingchun D",19,IF(Atletas!K172="Outra Mão de Sul D",20,IF(Atletas!K172="Choylayfut E",21,IF(Atletas!K172="Hunggar E",22,IF(Atletas!K172="Wuzuquan E",23,IF(Atletas!K172="Wingchun E",24,IF(Atletas!K172="Outra Mão de Sul E",25,IF(Atletas!K172="Choylayfut F",26,IF(Atletas!K172="Hunggar F",27,IF(Atletas!K172="Wuzuquan F",28,IF(Atletas!K172="Wingchun F",29,IF(Atletas!K172="Outra Mão de Sul F",30,""))))))))))))))))))))))))))))))))</f>
        <v/>
      </c>
      <c r="BL176" s="52" t="str">
        <f>IF(Atletas!L172="","",IF(Atletas!W172&lt;&gt;"",10000,0)+(IF(Atletas!B172="Feminino",1000,IF(Atletas!B172="Masculino",2000,""))+(IF(Atletas!L172="Chaquan A",101,IF(Atletas!L172="Emeiquan A",102,IF(Atletas!L172="Fanziquan A",103,IF(Atletas!L172="Huaquan A",104,IF(Atletas!L172="Hongquan A",105,IF(Atletas!L172="Paochui A",106,IF(Atletas!L172="Piguaquan A",107,IF(Atletas!L172="Shaolinquan A",108,IF(Atletas!L172="Tanglangquan A",109,IF(Atletas!L172="Yinzhaophai A",110,IF(Atletas!L172="Tongbeiquan A",111,IF(Atletas!L172="Wudangquan A",112,IF(Atletas!L172="Outros Estilos A",113,IF(Atletas!L172="Chaquan B",114,IF(Atletas!L172="Emeiquan B",115,IF(Atletas!L172="Fanziquan B",116,IF(Atletas!L172="Huaquan B",117,IF(Atletas!L172="Hongquan B",118,IF(Atletas!L172="Paochui B",119,IF(Atletas!L172="Piguaquan B",120,IF(Atletas!L172="Shaolinquan B",121,IF(Atletas!L172="Tanglangquan B",122,IF(Atletas!L172="Yinzhaophai B",123,IF(Atletas!L172="Tongbeiquan B",124,IF(Atletas!L172="Wudangquan B",125,IF(Atletas!L172="Outros Estilos B",126,IF(Atletas!L172="Chaquan C",127,IF(Atletas!L172="Emeiquan C",128,IF(Atletas!L172="Fanziquan C",129,IF(Atletas!L172="Huaquan C",130,IF(Atletas!L172="Hongquan C",131,IF(Atletas!L172="Paochui C",132,IF(Atletas!L172="Piguaquan C",133,IF(Atletas!L172="Shaolinquan C",134,IF(Atletas!L172="Tanglangquan C",135,IF(Atletas!L172="Yinzhaophai C",136,IF(Atletas!L172="Tongbeiquan C",137,IF(Atletas!L172="Wudangquan C",138,IF(Atletas!L172="Outros Estilos C",139,0))))))))))))))))))))))))))))))))))))))))))</f>
        <v/>
      </c>
      <c r="BM176" s="52" t="str">
        <f>IF(Atletas!L172="","",IF(Atletas!W172&lt;&gt;"",10000,0)+(IF(Atletas!B172="Feminino",1000,IF(Atletas!B172="Masculino",2000,""))+(IF(Atletas!L172="Chaquan D",140,IF(Atletas!L172="Emeiquan D",141,IF(Atletas!L172="Fanziquan D",142,IF(Atletas!L172="Huaquan D",143,IF(Atletas!L172="Hongquan D",144,IF(Atletas!L172="Paochui D",145,IF(Atletas!L172="Piguaquan D",146,IF(Atletas!L172="Shaolinquan D",147,IF(Atletas!L172="Tanglangquan D",148,IF(Atletas!L172="Yinzhaophai D",149,IF(Atletas!L172="Tongbeiquan D",150,IF(Atletas!L172="Wudangquan D",151,IF(Atletas!L172="Outros Estilos D",152,IF(Atletas!L172="Chaquan E",153,IF(Atletas!L172="Emeiquan E",154,IF(Atletas!L172="Fanziquan E",155,IF(Atletas!L172="Huaquan E",156,IF(Atletas!L172="Hongquan E",157,IF(Atletas!L172="Paochui E",158,IF(Atletas!L172="Piguaquan E",159,IF(Atletas!L172="Shaolinquan E",160,IF(Atletas!L172="Tanglangquan E",161,IF(Atletas!L172="Yinzhaophai E",162,IF(Atletas!L172="Tongbeiquan E",163,IF(Atletas!L172="Wudangquan E",164,IF(Atletas!L172="Outros Estilos E",165,IF(Atletas!L172="Chaquan F",166,IF(Atletas!L172="Emeiquan F",167,IF(Atletas!L172="Fanziquan F",168,IF(Atletas!L172="Huaquan F",169,IF(Atletas!L172="Hongquan F",170,IF(Atletas!L172="Paochui F",171,IF(Atletas!L172="Piguaquan F",172,IF(Atletas!L172="Shaolinquan F",173,IF(Atletas!L172="Tanglangquan F",174,IF(Atletas!L172="Yinzhaophai F",175,IF(Atletas!L172="Tongbeiquan F",176,IF(Atletas!L172="Wudangquan F",177,IF(Atletas!L172="Outros Estilos F",178,0))))))))))))))))))))))))))))))))))))))))))</f>
        <v/>
      </c>
      <c r="BN176" s="52" t="str">
        <f>IF(Atletas!M172="","",IF(Atletas!W172&lt;&gt;"",10000,0)+(IF(Atletas!B172="Feminino",1000,IF(Atletas!B172="Masculino",2000,""))+(IF(Atletas!M172="Ditangquan A",201,IF(Atletas!M172="Houquan A",202,IF(Atletas!M172="Zuiquan A",203,IF(Atletas!M172="Ditangquan B",204,IF(Atletas!M172="Houquan B",205,IF(Atletas!M172="Zuiquan B",206,IF(Atletas!M172="Ditangquan C",207,IF(Atletas!M172="Houquan C",208,IF(Atletas!M172="Zuiquan C",209,IF(Atletas!M172="Ditangquan D",210,IF(Atletas!M172="Houquan D",211,IF(Atletas!M172="Zuiquan D",212,IF(Atletas!M172="Ditangquan E",213,IF(Atletas!M172="Houquan E",214,IF(Atletas!M172="Zuiquan E",215,IF(Atletas!M172="Ditangquan F",216,IF(Atletas!M172="Houquan F",217,IF(Atletas!M172="Zuiquan F",218,"")))))))))))))))))))))</f>
        <v/>
      </c>
      <c r="BO176" s="52" t="str">
        <f>IF(Atletas!N172="","",IF(Atletas!W172&lt;&gt;"",10000,0)+IF(Atletas!B172="Feminino",1000,IF(Atletas!B172="Masculino",2000,""))+IF(Atletas!N172="Yang A",301,IF(Atletas!N172="Chen A",30,IF(Atletas!N172="Sun A",303,IF(Atletas!N172="Wu A",304,IF(Atletas!N172="Wu-Hao A",305,IF(Atletas!N172="Outro Taijiquan A",306,IF(Atletas!N172="Yang B",307,IF(Atletas!N172="Chen B",308,IF(Atletas!N172="Sun B",309,IF(Atletas!N172="Wu B",310,IF(Atletas!N172="Wu-Hao B",311,IF(Atletas!N172="Outro Taijiquan B",312,IF(Atletas!N172="Yang C",313,IF(Atletas!N172="Chen C",314,IF(Atletas!N172="Sun C",315,IF(Atletas!N172="Wu C",316,IF(Atletas!N172="Wu-Hao C",317,IF(Atletas!N172="Outro Taijiquan C",318,IF(Atletas!N172="Yang D",319,IF(Atletas!N172="Chen D",320,IF(Atletas!N172="Sun D",321,IF(Atletas!N172="Wu D",322,IF(Atletas!N172="Wu-Hao D",323,IF(Atletas!N172="Outro Taijiquan D",324,IF(Atletas!N172="Yang E",325,IF(Atletas!N172="Chen E",326,IF(Atletas!N172="Sun E",327,IF(Atletas!N172="Wu E",328,IF(Atletas!N172="Wu-Hao E",329,IF(Atletas!N172="Outro Taijiquan E",330,IF(Atletas!N172="Yang F",331,IF(Atletas!N172="Chen F",332,IF(Atletas!N172="Sun F",333,IF(Atletas!N172="Wu F",334,IF(Atletas!N172="Wu-Hao F",335,IF(Atletas!N172="Outro Taijiquan F",336,"")))))))))))))))))))))))))))))))))))))</f>
        <v/>
      </c>
      <c r="BP176" s="52" t="str">
        <f>IF(Atletas!O172="","",IF(Atletas!W172&lt;&gt;"",10000,0)+IF(Atletas!B172="Feminino",1000,IF(Atletas!B172="Masculino",2000,""))+IF(OR(Atletas!O172="Yang 26 A",Atletas!O172="Yang 40 A"),401,IF(OR(Atletas!O172="Chen 25 A",Atletas!O172="Chen 36 A",Atletas!O172="Chen 56 A"),402,IF(Atletas!O172="Sun 73 A",403,IF(Atletas!O172="Wu 45 A",404,IF(Atletas!O172="Wu-Hao 46 A",405,IF(OR(Atletas!O172="Taijiquan 16 A",Atletas!O172="Taijiquan 24 A",Atletas!O172="Taijiquan 32 A",Atletas!O172="Taijiquan 42 A"),406,IF(OR(Atletas!O172="Yang 26 B",Atletas!O172="Yang 40 B"),407,IF(OR(Atletas!O172="Chen 25 B",Atletas!O172="Chen 36 B",Atletas!O172="Chen 56 B"),408,IF(Atletas!O172="Sun 73 B",409,IF(Atletas!O172="Wu 45 B",410,IF(Atletas!O172="Wu-Hao 46 B",411,IF(OR(Atletas!O172="Taijiquan 16 B",Atletas!O172="Taijiquan 24 B",Atletas!O172="Taijiquan 32 B",Atletas!O172="Taijiquan 42 B"),412,IF(OR(Atletas!O172="Yang 26 C",Atletas!O172="Yang 40 C"),413,IF(OR(Atletas!O172="Chen 25 C",Atletas!O172="Chen 36 C",Atletas!O172="Chen 56 C"),414,IF(Atletas!O172="Sun 73 C",415,IF(Atletas!O172="Wu 45 C",416,IF(Atletas!O172="Wu-Hao 46 C",417,IF(OR(Atletas!O172="Taijiquan 16 C",Atletas!O172="Taijiquan 24 C",Atletas!O172="Taijiquan 32 C",Atletas!O172="Taijiquan 42 C"),418,0)))))))))))))))))))</f>
        <v/>
      </c>
      <c r="BQ176" s="52" t="str">
        <f>IF(Atletas!O172="","",IF(Atletas!W172&lt;&gt;"",10000,0)+IF(Atletas!B172="Feminino",1000,IF(Atletas!B172="Masculino",2000,""))+IF(OR(Atletas!O172="Yang 26 D",Atletas!O172="Yang 40 D"),419,IF(OR(Atletas!O172="Chen 25 D",Atletas!O172="Chen 36 D",Atletas!O172="Chen 56 D"),420,IF(Atletas!O172="Sun 73 D",421,IF(Atletas!O172="Wu 45 D",422,IF(Atletas!O172="Wu-Hao 46 D",423,IF(OR(Atletas!O172="Taijiquan 16 D",Atletas!O172="Taijiquan 24 D",Atletas!O172="Taijiquan 32 D",Atletas!O172="Taijiquan 42 D"),424,IF(OR(Atletas!O172="Yang 26 E",Atletas!O172="Yang 40 E"),425,IF(OR(Atletas!O172="Chen 25 E",Atletas!O172="Chen 36 E",Atletas!O172="Chen 56 E"),426,IF(Atletas!O172="Sun 73 E",427,IF(Atletas!O172="Wu 45 E",428,IF(Atletas!O172="Wu-Hao 46 E",429,IF(OR(Atletas!O172="Taijiquan 16 E",Atletas!O172="Taijiquan 24 E",Atletas!O172="Taijiquan 32 E",Atletas!O172="Taijiquan 42 E"),430,IF(OR(Atletas!O172="Yang 26 F",Atletas!O172="Yang 40 F"),431,IF(OR(Atletas!O172="Chen 25 F",Atletas!O172="Chen 36 F",Atletas!O172="Chen 56 F"),432,IF(Atletas!O172="Sun 73 F",433,IF(Atletas!O172="Wu 45 F",434,IF(Atletas!O172="Wu-Hao 46 F",435,IF(OR(Atletas!O172="Taijiquan 16 F",Atletas!O172="Taijiquan 24 F",Atletas!O172="Taijiquan 32 F",Atletas!O172="Taijiquan 42 F"),436,0)))))))))))))))))))</f>
        <v/>
      </c>
      <c r="BR176" s="52" t="str">
        <f>IF(Atletas!P172="","",IF(Atletas!W172&lt;&gt;"",10000,0)+IF(Atletas!B172="Feminino",1000,IF(Atletas!B172="Masculino",2000,""))+IF(Atletas!P172="Xingyiquan A",501,IF(Atletas!P172="Baguazhang A",502,IF(Atletas!P172="Outro Estilo Interno A",503,IF(Atletas!P172="Xingyiquan B",504,IF(Atletas!P172="Baguazhang B",505,IF(Atletas!P172="Outro Estilo Interno B",506,IF(Atletas!P172="Xingyiquan C",507,IF(Atletas!P172="Baguazhang C",508,IF(Atletas!P172="Outro Estilo Interno C",509,IF(Atletas!P172="Xingyiquan D",510,IF(Atletas!P172="Baguazhang D",511,IF(Atletas!P172="Outro Estilo Interno D",512,IF(Atletas!P172="Xingyiquan E",513,IF(Atletas!P172="Baguazhang E",514,IF(Atletas!P172="Outro Estilo Interno E",515,IF(Atletas!P172="Xingyiquan F",516,IF(Atletas!P172="Baguazhang F",517,IF(Atletas!P172="Outro Estilo Interno F",518, "")))))))))))))))))))</f>
        <v/>
      </c>
      <c r="BS176" s="52" t="str">
        <f>IF(Atletas!Q172="","",IF(Atletas!W172&lt;&gt;"",10000,0)+IF(Atletas!B172="Feminino",1000,IF(Atletas!B172="Masculino",2000,""))+IF(Atletas!Q172="Dao A",601,IF(Atletas!Q172="Jian A",602,IF(Atletas!Q172="Bishou A",603,IF(Atletas!Q172="Shan A",604,IF(Atletas!Q172="Outra Arma Curta A",605,IF(Atletas!Q172="Dao B",606,IF(Atletas!Q172="Jian B",607,IF(Atletas!Q172="Bishou B",608,IF(Atletas!Q172="Shan B",609,IF(Atletas!Q172="Outra Arma Curta B",610,IF(Atletas!Q172="Dao C",611,IF(Atletas!Q172="Jian C",612,IF(Atletas!Q172="Bishou C",613,IF(Atletas!Q172="Shan C",614,IF(Atletas!Q172="Outra Arma Curta C",615,IF(Atletas!Q172="Dao D",616,IF(Atletas!Q172="Jian D",617,IF(Atletas!Q172="Bishou D",618,IF(Atletas!Q172="Shan D",619,IF(Atletas!Q172="Outra Arma Curta D",620,IF(Atletas!Q172="Dao E",621,IF(Atletas!Q172="Jian E",622,IF(Atletas!Q172="Bishou E",623,IF(Atletas!Q172="Shan E",624,IF(Atletas!Q172="Outra Arma Curta E",625,IF(Atletas!Q172="Dao F",626,IF(Atletas!Q172="Jian F",627,IF(Atletas!Q172="Bishou F",628,IF(Atletas!Q172="Shan F",629,IF(Atletas!Q172="Outra Arma Curta F",630, "")))))))))))))))))))))))))))))))</f>
        <v/>
      </c>
      <c r="BT176" s="52" t="str">
        <f>IF(Atletas!R172="","",IF(Atletas!W172&lt;&gt;"",10000,0)+IF(Atletas!B172="Feminino",1000,IF(Atletas!B172="Masculino",2000,""))+IF(Atletas!R172="Gun A",701,IF(Atletas!R172="Qiang A",702,IF(Atletas!R172="Pudao / Guandao A",703,IF(Atletas!R172="Outra Arma Longa A",704,IF(Atletas!R172="Gun B",705,IF(Atletas!R172="Qiang B",706,IF(Atletas!R172="Pudao / Guandao B",707,IF(Atletas!R172="Outra Arma Longa B",708,IF(Atletas!R172="Gun C",709,IF(Atletas!R172="Qiang C",710,IF(Atletas!R172="Pudao / Guandao C",711,IF(Atletas!R172="Outra Arma Longa C",712,IF(Atletas!R172="Gun D",713,IF(Atletas!R172="Qiang D",714,IF(Atletas!R172="Pudao / Guandao D",715,IF(Atletas!R172="Outra Arma Longa D",716,IF(Atletas!R172="Gun E",717,IF(Atletas!R172="Qiang E",718,IF(Atletas!R172="Pudao / Guandao E",719,IF(Atletas!R172="Outra Arma Longa E",720,IF(Atletas!R172="Gun F",721,IF(Atletas!R172="Qiang F",722,IF(Atletas!R172="Pudao / Guandao F",723,IF(Atletas!R172="Outra Arma Longa F",724,"")))))))))))))))))))))))))</f>
        <v/>
      </c>
      <c r="BU176" s="52" t="str">
        <f>IF(Atletas!S172="","",IF(Atletas!W172&lt;&gt;"",10000,0)+IF(Atletas!B172="Feminino",1000,IF(Atletas!B172="Masculino",2000,""))+IF(Atletas!S172="Arma Dupla A",801,IF(Atletas!S172="Arma Maleável A",802,IF(Atletas!S172="Arma Dupla B",803,IF(Atletas!S172="Arma Maleável B",804,IF(Atletas!S172="Arma Dupla C",805,IF(Atletas!S172="Arma Maleável C",806,IF(Atletas!S172="Arma Dupla D",807,IF(Atletas!S172="Arma Maleável D",808,IF(Atletas!S172="Arma Dupla E",809,IF(Atletas!S172="Arma Maleável E",810,IF(Atletas!S172="Arma Dupla F",811,IF(Atletas!S172="Arma Maleável F",812, "")))))))))))))</f>
        <v/>
      </c>
      <c r="BV176" s="52" t="str">
        <f>IF(Atletas!T172="","",IF(Atletas!W172&lt;&gt;"",10000,0)+IF(Atletas!B172="Feminino",1000,IF(Atletas!B172="Masculino",2000,""))+IF(Atletas!T172="Taijijian Yang A",901,IF(Atletas!T172="Taijijian Chen A",902,IF(Atletas!T172="Taijijian Sun A",903,IF(Atletas!T172="Taijijian Wu A",904,IF(Atletas!T172="Taijijian Wu-Hao A",905,IF(Atletas!T172="Taijijian 32 A",906,IF(Atletas!T172="Taijijian 42 A",907,IF(Atletas!T172="Taijijian Yang B",908,IF(Atletas!T172="Taijijian Chen B",909,IF(Atletas!T172="Taijijian Sun B",910,IF(Atletas!T172="Taijijian Wu B",911,IF(Atletas!T172="Taijijian Wu-Hao B",912,IF(Atletas!T172="Taijijian 32 B",913,IF(Atletas!T172="Taijijian 42 B",914,IF(Atletas!T172="Taijijian Yang C",915,IF(Atletas!T172="Taijijian Chen C",916,IF(Atletas!T172="Taijijian Sun C",917,IF(Atletas!T172="Taijijian Wu C",918,IF(Atletas!T172="Taijijian Wu-Hao C",919,IF(Atletas!T172="Taijijian 32 C",920,IF(Atletas!T172="Taijijian 42 C",921,IF(Atletas!T172="Taijijian Yang D",922,IF(Atletas!T172="Taijijian Chen D",923,IF(Atletas!T172="Taijijian Sun D",924,IF(Atletas!T172="Taijijian Wu D",925,IF(Atletas!T172="Taijijian Wu-Hao D",926,IF(Atletas!T172="Taijijian 32 D",927,IF(Atletas!T172="Taijijian 42 D",928,IF(Atletas!T172="Taijijian Yang E",929,IF(Atletas!T172="Taijijian Chen E",930,IF(Atletas!T172="Taijijian Sun E",931,IF(Atletas!T172="Taijijian Wu E",932,IF(Atletas!T172="Taijijian Wu-Hao E",933,IF(Atletas!T172="Taijijian 32 E",934,IF(Atletas!T172="Taijijian 42 E",935,IF(Atletas!T172="Taijijian Yang F",936,IF(Atletas!T172="Taijijian Chen F",937,IF(Atletas!T172="Taijijian Sun F",938,IF(Atletas!T172="Taijijian Wu F",939,IF(Atletas!T172="Taijijian Wu-Hao F",940,IF(Atletas!T172="Taijijian 32 F",941,IF(Atletas!T172="Taijijian 42 F",942,"")))))))))))))))))))))))))))))))))))))))))))</f>
        <v/>
      </c>
      <c r="BW176" s="52" t="str">
        <f>IF(Atletas!U172="","",IF(Atletas!W172&lt;&gt;"",10000,0)+IF(Atletas!B172="Feminino",1000,IF(Atletas!B172="Masculino",2000,""))+IF(Atletas!T172="Taijijian 42 F",942,IF(Atletas!U172="Taijidao A",943,IF(Atletas!U172="Taijishan A",944,IF(Atletas!U172="Taijiqiang A",945,IF(Atletas!U172="Taijidao B",946,IF(Atletas!U172="Taijishan B",947,IF(Atletas!U172="Taijiqiang B",948,IF(Atletas!U172="Taijidao C",949,IF(Atletas!U172="Taijishan C",950,IF(Atletas!U172="Taijiqiang C",951,IF(Atletas!U172="Taijidao D",952,IF(Atletas!U172="Taijishan D",953,IF(Atletas!U172="Taijiqiang D",954,IF(Atletas!U172="Taijidao E",955,IF(Atletas!U172="Taijishan E",956,IF(Atletas!U172="Taijiqiang E",957,IF(Atletas!U172="Taijidao F",958,IF(Atletas!U172="Taijishan F",959,IF(Atletas!U172="Taijiqiang F",960))))))))))))))))))))</f>
        <v/>
      </c>
      <c r="BX176" s="72" t="str">
        <f>IF(BY176&lt;&gt;"","TJQ Padr. Chen B","")</f>
        <v/>
      </c>
      <c r="BY176" s="72" t="str">
        <f>IF(COUNTIF(BK:BW,1408)&gt;0,COUNTIF(BK:BW,1408),"")</f>
        <v/>
      </c>
      <c r="BZ176" s="72" t="str">
        <f>IF(CA176&lt;&gt;"","TJQ Padr. Chen B","")</f>
        <v/>
      </c>
      <c r="CA176" s="72" t="str">
        <f>IF(COUNTIF(BK:BW,2408)&gt;0,COUNTIF(BK:BW,2408),"")</f>
        <v/>
      </c>
      <c r="CB176" s="72" t="str">
        <f>IF(CC176&lt;&gt;"","Wu 45 A","")</f>
        <v/>
      </c>
      <c r="CC176" s="64" t="str">
        <f>IF(COUNTIF(BK:BW,11408)&gt;0,COUNTIF(BK:BW,11408),"")</f>
        <v/>
      </c>
      <c r="CD176" s="64" t="str">
        <f>IF(CE176&lt;&gt;"","Wu 45 A","")</f>
        <v/>
      </c>
      <c r="CE176" s="64" t="str">
        <f>IF(COUNTIF(BK:BW,12408)&gt;0,COUNTIF(BK:BW,12408),"")</f>
        <v/>
      </c>
      <c r="CF176" s="52" t="str">
        <f xml:space="preserve"> IF(Atletas!V172="","",IF(Atletas!V172="Duilian de Mãos AB - Equipe 1",1,IF(Atletas!V172="Duilian de Mãos AB - Equipe 2",2,IF(Atletas!V172="Duilian de Armas AB - Equipe 1",3,IF(Atletas!V172="Duilian de Armas AB - Equipe 2",4,IF(Atletas!V172="Duilian de Tuishou - Equipe 1",5,IF(Atletas!V172="Duilian de Tuishou - Equipe 2",6,IF(Atletas!V172="Grupo Externo AB - Equipe 1",7,IF(Atletas!V172="Grupo Externo AB - Equipe 2",8,IF(Atletas!V172="Grupo Interno AB - Equipe 1",9,IF(Atletas!V172="Grupo Interno AB - Equipe 2",10,IF(Atletas!V172="Duilian de Mãos CD - Equipe 1",11,IF(Atletas!V172="Duilian de Mãos CD - Equipe 2",12,IF(Atletas!V172="Duilian de Armas CD - Equipe 1",13,IF(Atletas!V172="Duilian de Armas CD - Equipe 2",14,IF(Atletas!V172="Duilian de Tuishou - Equipe 1",15,IF(Atletas!V172="Duilian de Tuishou - Equipe 2",16,IF(Atletas!V172="Grupo Externo CDEF - Equipe 1",17,IF(Atletas!V172="Grupo Externo CDEF - Equipe 2",18,IF(Atletas!V172="Grupo Interno CDEF - Equipe 1",19,IF(Atletas!V172="Grupo Interno CDEF - Equipe 2",20,IF(Atletas!V172="Duilian de Mãos EF - Equipe 1",21,IF(Atletas!V172="Duilian de Mãos EF - Equipe 2",22,IF(Atletas!V172="Duilian de Armas EF - Equipe 1",23,IF(Atletas!V172="Duilian de Armas EF - Equipe 2",24,IF(Atletas!V172="Duilian de Tuishou - Equipe 1",25,IF(Atletas!V172="Duilian de Tuishou - Equipe 2",26,"")))))))))))))))))))))))))))</f>
        <v/>
      </c>
    </row>
    <row r="177" spans="2:84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 t="str">
        <f t="array" ref="V177">IFERROR(INDEX(BX$7:BX$336,SMALL(IF(BX$7:BX$336&lt;&gt;"",ROW(BX$7:BX$336)-ROW(BX$7)+1),ROWS(BX$7:BX176))),"")</f>
        <v/>
      </c>
      <c r="W177" s="4" t="str">
        <f t="array" ref="W177">IFERROR(INDEX(BY$7:BY$336,SMALL(IF(BY$7:BY$336&lt;&gt;"",ROW(BY$7:BY$336)-ROW(BY$7)+1),ROWS(BY$7:BY176))),"")</f>
        <v/>
      </c>
      <c r="X177" s="4" t="str">
        <f t="array" ref="X177">IFERROR(INDEX(BZ$7:BZ$336,SMALL(IF(BZ$7:BZ$336&lt;&gt;"",ROW(BZ$7:BZ$336)-ROW(BZ$7)+1),ROWS(BZ$7:BZ176))),"")</f>
        <v/>
      </c>
      <c r="Y177" s="4" t="str">
        <f t="array" ref="Y177">IFERROR(INDEX(CA$7:CA$336,SMALL(IF(CA$7:CA$336&lt;&gt;"",ROW(CA$7:CA$336)-ROW(CA$7)+1),ROWS(CA$7:CA176))),"")</f>
        <v/>
      </c>
      <c r="Z177" s="4" t="str">
        <f t="array" ref="Z177">IFERROR(INDEX(CB$7:CB$378,SMALL(IF(CB$7:CB$378&lt;&gt;"",ROW(CB$7:CB$378)-ROW(CB$7)+1),ROWS(CB$7:CB176))),"")</f>
        <v/>
      </c>
      <c r="AA177" s="4" t="str">
        <f t="array" ref="AA177">IFERROR(INDEX(CC$7:CC$378,SMALL(IF(CC$7:CC$378&lt;&gt;"",ROW(CC$7:CC$378)-ROW(CC$7)+1),ROWS(CC$7:CC176))),"")</f>
        <v/>
      </c>
      <c r="AB177" s="4" t="str">
        <f t="array" ref="AB177">IFERROR(INDEX(CD$7:CD$378,SMALL(IF(CD$7:CD$378&lt;&gt;"",ROW(CD$7:CD$378)-ROW(CD$7)+1),ROWS(CD$7:CD176))),"")</f>
        <v/>
      </c>
      <c r="AC177" s="4" t="str">
        <f t="array" ref="AC177">IFERROR(INDEX(CE$7:CE$378,SMALL(IF(CE$7:CE$378&lt;&gt;"",ROW(CE$7:CE$378)-ROW(CE$7)+1),ROWS(CE$7:CE176))),"")</f>
        <v/>
      </c>
      <c r="AD177" s="4"/>
      <c r="AE177" s="4"/>
      <c r="AF177" s="4"/>
      <c r="AG177" s="4"/>
      <c r="AH177" s="4"/>
      <c r="AI177" s="4"/>
      <c r="AJ177" s="46" t="str">
        <f>IF(Atletas!D173="","",IF(Atletas!B173="Feminino",100,IF(Atletas!B173="Masculino",200,""))+(IF(Atletas!D173="Infantil 39kg",1,IF(Atletas!D173="Infantil 42kg",2,IF(Atletas!D173="Infantil 45kg",3,IF(Atletas!D173="Infantil 48kg",4,IF(Atletas!D173="Infantil 52kg",5,IF(Atletas!D173="Infantil 56kg",6,IF(Atletas!D173="Infantil 60kg",7,IF(Atletas!D173="Juvenil 48kg",8,IF(Atletas!D173="Juvenil 52kg",9,IF(Atletas!D173="Juvenil 56kg",10,IF(Atletas!D173="Juvenil 60kg",11,IF(Atletas!D173="Juvenil 65kg",12,IF(Atletas!D173="Juvenil 70kg",13,IF(Atletas!D173="Juvenil 75kg",14,IF(Atletas!D173="Juvenil 80kg",15,IF(Atletas!D173="Adulto 48kg",16,IF(Atletas!D173="Adulto 52kg",17,IF(Atletas!D173="Adulto 56kg",18,IF(Atletas!D173="Adulto 60kg",19,IF(Atletas!D173="Adulto 65kg",20,IF(Atletas!D173="Adulto 70kg",21,IF(Atletas!D173="Adulto 75kg",22,IF(Atletas!D173="Adulto 80kg",23,IF(Atletas!D173="Adulto 85kg",24,IF(Atletas!D173="Adulto 90kg",25,IF(Atletas!D173="Adulto +90kg",26,""))))))))))))))))))))))))))))</f>
        <v/>
      </c>
      <c r="AO177" s="10" t="str">
        <f>IF(Atletas!E173="","",IF(Atletas!B173="Feminino",100,IF(Atletas!B173="Masculino",200,""))+(IF(Atletas!E173="Juvenil 44kg",1,IF(Atletas!E173="Juvenil 48kg",2,IF(Atletas!E173="Juvenil 52kg",3,IF(Atletas!E173="Juvenil 56kg",4,IF(Atletas!E173="Juvenil 60kg",5,IF(Atletas!E173="Juvenil 65kg",6,IF(Atletas!E173="Juvenil 70kg",7,IF(Atletas!E173="Juvenil 75kg",8,IF(Atletas!E173="Juvenil 82kg",9,IF(Atletas!E173="Juvenil 90kg",10,IF(Atletas!E173="Juvenil 100kg",11,IF(Atletas!E173="Adulto 48kg",12,IF(Atletas!E173="Adulto 52kg",13,IF(Atletas!E173="Adulto 56kg",14,IF(Atletas!E173="Adulto 60kg",15,IF(Atletas!E173="Adulto 65kg",16,IF(Atletas!E173="Adulto 70kg",17,IF(Atletas!E173="Adulto 75kg",18,IF(Atletas!E173="Adulto 82kg",19,IF(Atletas!E173="Adulto 90kg",20,IF(Atletas!E173="Adulto 100kg",21,IF(Atletas!E173="Adulto +100kg",22,""))))))))))))))))))))))))</f>
        <v/>
      </c>
      <c r="AT177" s="10" t="str">
        <f>IF(Atletas!F173="","",IF(Atletas!B173="Feminino",100,IF(Atletas!B173="Masculino",200,""))+(IF(Atletas!F173="Adulto 48kg",1,IF(Atletas!F173="Adulto 56kg",2,IF(Atletas!F173="Adulto 65kg",3,IF(Atletas!F173="Adulto 75kg",4,IF(Atletas!F173="Adulto +75kg",5,IF(Atletas!F173="Adulto 52kg",6,IF(Atletas!F173="Adulto 60kg",7,IF(Atletas!F173="Adulto 70kg",8,IF(Atletas!F173="Adulto 80kg",9,IF(Atletas!F173="Adulto 90kg",10,IF(Atletas!F173="Adulto +90kg",11,"")))))))))))))</f>
        <v/>
      </c>
      <c r="AY177" s="46" t="str">
        <f>IF(Atletas!G173="","",IF(Atletas!B173="Feminino",100,IF(Atletas!B173="Masculino",200,""))+(IF(Atletas!G173="Changquan Mirim",1,IF(Atletas!G173="Nanquan Mirim",2,IF(Atletas!G173="Taijiquan Mirim",3,IF(Atletas!G173="Changquan Grupo C",4,IF(Atletas!G173="Nanquan Grupo C",5,IF(Atletas!G173="Taijiquan Grupo C",6,IF(Atletas!G173="Changquan Grupo B",7,IF(Atletas!G173="Nanquan Grupo B",8,IF(Atletas!G173="Taijiquan Grupo B",9,IF(Atletas!G173="Changquan Grupo A",10,IF(Atletas!G173="Nanquan Grupo A",11,IF(Atletas!G173="Taijiquan Grupo A",12,IF(Atletas!G173="Changquan Opcional",13,IF(Atletas!G173="Nanquan Opcional",14,IF(Atletas!G173="Taijiquan Opcional",15,IF(Atletas!G173="Changquan Adulto",16,IF(Atletas!G173="Nanquan Adulto",17,IF(Atletas!G173="Taijiquan Adulto",18,""))))))))))))))))))))</f>
        <v/>
      </c>
      <c r="AZ177" s="46" t="str">
        <f>IF(Atletas!H173="","",IF(Atletas!B173="Feminino",100,IF(Atletas!B173="Masculino",200,""))+(IF(Atletas!H173="Daoshu Mirim",19,IF(Atletas!H173="Jianshu Mirim",20,IF(Atletas!H173="Nandao Mirim",21,IF(Atletas!H173="Taijijian Mirim",22,IF(Atletas!H173="Daoshu Grupo C",23,IF(Atletas!H173="Jianshu Grupo C",24,IF(Atletas!H173="Nandao Grupo C",25,IF(Atletas!H173="Taijijian Grupo C",26,IF(Atletas!H173="Daoshu Grupo B",27,IF(Atletas!H173="Jianshu Grupo B",28,IF(Atletas!H173="Nandao Grupo B",29,IF(Atletas!H173="Taijijian Grupo B",30,IF(Atletas!H173="Daoshu Grupo A",31,IF(Atletas!H173="Jianshu Grupo A",32,IF(Atletas!H173="Nandao Grupo A",33,IF(Atletas!H173="Taijijian Grupo A",34,IF(Atletas!H173="Daoshu Opcional",35,IF(Atletas!H173="Jianshu Opcional",36,IF(Atletas!H173="Nandao Opcional",37,IF(Atletas!H173="Taijijian Opcional",38,IF(Atletas!H173="Daoshu Adulto",39,IF(Atletas!H173="Jianshu Adulto",40,IF(Atletas!H173="Nandao Adulto",41,IF(Atletas!H173="Taijijian Adulto",42,""))))))))))))))))))))))))))</f>
        <v/>
      </c>
      <c r="BA177" s="46" t="str">
        <f>IF(Atletas!I173="","",IF(Atletas!B173="Feminino",100,IF(Atletas!B173="Masculino",200,""))+(IF(Atletas!I173="Gunshu Mirim",43,IF(Atletas!I173="Qiangshu Mirim",44,IF(Atletas!I173="Nangun Mirim",45,IF(Atletas!I173="Gunshu Grupo C",46,IF(Atletas!I173="Qiangshu Grupo C",47,IF(Atletas!I173="Nangun Grupo C",48,IF(Atletas!I173="Gunshu Grupo B",49,IF(Atletas!I173="Qiangshu Grupo B",50,IF(Atletas!I173="Nangun Grupo B",51,IF(Atletas!I173="Gunshu Grupo A",52,IF(Atletas!I173="Qiangshu Grupo A",53,IF(Atletas!I173="Nangun Grupo A",54,IF(Atletas!I173="Gunshu Opcional",55,IF(Atletas!I173="Qiangshu Opcional",56,IF(Atletas!I173="Nangun Opcional",57,IF(Atletas!I173="Gunshu Adulto",58,IF(Atletas!I173="Qiangshu Adulto",59,IF(Atletas!I173="Nangun Adulto",60,""))))))))))))))))))))</f>
        <v/>
      </c>
      <c r="BF177" s="52" t="str">
        <f>IF(Atletas!J173="","",IF(Atletas!B173="Feminino",100,IF(Atletas!B173="Masculino",200,""))+(IF(Atletas!J173="Equipe 1 Grupo B",1,IF(Atletas!J173="Equipe 2 Grupo B",2,IF(Atletas!J173="Equipe 1 Grupo A",3,IF(Atletas!J173="Equipe 2 Grupo A",4,IF(Atletas!J173="Equipe 1 Adulto",5,IF(Atletas!J173="Equipe 2 Adulto",6,""))))))))</f>
        <v/>
      </c>
      <c r="BK177" s="52" t="str">
        <f>IF(Atletas!K173="","",IF(Atletas!W173&lt;&gt;"",10000,0)+(IF(Atletas!B173="Feminino",1000,IF(Atletas!B173="Masculino",2000,""))+IF(Atletas!K173="Choylayfut A",1,IF(Atletas!K173="Hunggar A",2,IF(Atletas!K173="Wuzuquan A",3,IF(Atletas!K173="Wingchun A",4,IF(Atletas!K173="Outra Mão de Sul A",5,IF(Atletas!K173="Choylayfut B",6,IF(Atletas!K173="Hunggar B",7,IF(Atletas!K173="Wuzuquan B",8,IF(Atletas!K173="Wingchun B",9,IF(Atletas!K173="Outra Mão de Sul B",10,IF(Atletas!K173="Choylayfut C",11,IF(Atletas!K173="Hunggar C",12,IF(Atletas!K173="Wuzuquan C",13,IF(Atletas!K173="Wingchun C",14,IF(Atletas!K173="Outra Mão de Sul C",15,IF(Atletas!K173="Choylayfut D",16,IF(Atletas!K173="Hunggar D",17,IF(Atletas!K173="Wuzuquan D",18,IF(Atletas!K173="Wingchun D",19,IF(Atletas!K173="Outra Mão de Sul D",20,IF(Atletas!K173="Choylayfut E",21,IF(Atletas!K173="Hunggar E",22,IF(Atletas!K173="Wuzuquan E",23,IF(Atletas!K173="Wingchun E",24,IF(Atletas!K173="Outra Mão de Sul E",25,IF(Atletas!K173="Choylayfut F",26,IF(Atletas!K173="Hunggar F",27,IF(Atletas!K173="Wuzuquan F",28,IF(Atletas!K173="Wingchun F",29,IF(Atletas!K173="Outra Mão de Sul F",30,""))))))))))))))))))))))))))))))))</f>
        <v/>
      </c>
      <c r="BL177" s="52" t="str">
        <f>IF(Atletas!L173="","",IF(Atletas!W173&lt;&gt;"",10000,0)+(IF(Atletas!B173="Feminino",1000,IF(Atletas!B173="Masculino",2000,""))+(IF(Atletas!L173="Chaquan A",101,IF(Atletas!L173="Emeiquan A",102,IF(Atletas!L173="Fanziquan A",103,IF(Atletas!L173="Huaquan A",104,IF(Atletas!L173="Hongquan A",105,IF(Atletas!L173="Paochui A",106,IF(Atletas!L173="Piguaquan A",107,IF(Atletas!L173="Shaolinquan A",108,IF(Atletas!L173="Tanglangquan A",109,IF(Atletas!L173="Yinzhaophai A",110,IF(Atletas!L173="Tongbeiquan A",111,IF(Atletas!L173="Wudangquan A",112,IF(Atletas!L173="Outros Estilos A",113,IF(Atletas!L173="Chaquan B",114,IF(Atletas!L173="Emeiquan B",115,IF(Atletas!L173="Fanziquan B",116,IF(Atletas!L173="Huaquan B",117,IF(Atletas!L173="Hongquan B",118,IF(Atletas!L173="Paochui B",119,IF(Atletas!L173="Piguaquan B",120,IF(Atletas!L173="Shaolinquan B",121,IF(Atletas!L173="Tanglangquan B",122,IF(Atletas!L173="Yinzhaophai B",123,IF(Atletas!L173="Tongbeiquan B",124,IF(Atletas!L173="Wudangquan B",125,IF(Atletas!L173="Outros Estilos B",126,IF(Atletas!L173="Chaquan C",127,IF(Atletas!L173="Emeiquan C",128,IF(Atletas!L173="Fanziquan C",129,IF(Atletas!L173="Huaquan C",130,IF(Atletas!L173="Hongquan C",131,IF(Atletas!L173="Paochui C",132,IF(Atletas!L173="Piguaquan C",133,IF(Atletas!L173="Shaolinquan C",134,IF(Atletas!L173="Tanglangquan C",135,IF(Atletas!L173="Yinzhaophai C",136,IF(Atletas!L173="Tongbeiquan C",137,IF(Atletas!L173="Wudangquan C",138,IF(Atletas!L173="Outros Estilos C",139,0))))))))))))))))))))))))))))))))))))))))))</f>
        <v/>
      </c>
      <c r="BM177" s="52" t="str">
        <f>IF(Atletas!L173="","",IF(Atletas!W173&lt;&gt;"",10000,0)+(IF(Atletas!B173="Feminino",1000,IF(Atletas!B173="Masculino",2000,""))+(IF(Atletas!L173="Chaquan D",140,IF(Atletas!L173="Emeiquan D",141,IF(Atletas!L173="Fanziquan D",142,IF(Atletas!L173="Huaquan D",143,IF(Atletas!L173="Hongquan D",144,IF(Atletas!L173="Paochui D",145,IF(Atletas!L173="Piguaquan D",146,IF(Atletas!L173="Shaolinquan D",147,IF(Atletas!L173="Tanglangquan D",148,IF(Atletas!L173="Yinzhaophai D",149,IF(Atletas!L173="Tongbeiquan D",150,IF(Atletas!L173="Wudangquan D",151,IF(Atletas!L173="Outros Estilos D",152,IF(Atletas!L173="Chaquan E",153,IF(Atletas!L173="Emeiquan E",154,IF(Atletas!L173="Fanziquan E",155,IF(Atletas!L173="Huaquan E",156,IF(Atletas!L173="Hongquan E",157,IF(Atletas!L173="Paochui E",158,IF(Atletas!L173="Piguaquan E",159,IF(Atletas!L173="Shaolinquan E",160,IF(Atletas!L173="Tanglangquan E",161,IF(Atletas!L173="Yinzhaophai E",162,IF(Atletas!L173="Tongbeiquan E",163,IF(Atletas!L173="Wudangquan E",164,IF(Atletas!L173="Outros Estilos E",165,IF(Atletas!L173="Chaquan F",166,IF(Atletas!L173="Emeiquan F",167,IF(Atletas!L173="Fanziquan F",168,IF(Atletas!L173="Huaquan F",169,IF(Atletas!L173="Hongquan F",170,IF(Atletas!L173="Paochui F",171,IF(Atletas!L173="Piguaquan F",172,IF(Atletas!L173="Shaolinquan F",173,IF(Atletas!L173="Tanglangquan F",174,IF(Atletas!L173="Yinzhaophai F",175,IF(Atletas!L173="Tongbeiquan F",176,IF(Atletas!L173="Wudangquan F",177,IF(Atletas!L173="Outros Estilos F",178,0))))))))))))))))))))))))))))))))))))))))))</f>
        <v/>
      </c>
      <c r="BN177" s="52" t="str">
        <f>IF(Atletas!M173="","",IF(Atletas!W173&lt;&gt;"",10000,0)+(IF(Atletas!B173="Feminino",1000,IF(Atletas!B173="Masculino",2000,""))+(IF(Atletas!M173="Ditangquan A",201,IF(Atletas!M173="Houquan A",202,IF(Atletas!M173="Zuiquan A",203,IF(Atletas!M173="Ditangquan B",204,IF(Atletas!M173="Houquan B",205,IF(Atletas!M173="Zuiquan B",206,IF(Atletas!M173="Ditangquan C",207,IF(Atletas!M173="Houquan C",208,IF(Atletas!M173="Zuiquan C",209,IF(Atletas!M173="Ditangquan D",210,IF(Atletas!M173="Houquan D",211,IF(Atletas!M173="Zuiquan D",212,IF(Atletas!M173="Ditangquan E",213,IF(Atletas!M173="Houquan E",214,IF(Atletas!M173="Zuiquan E",215,IF(Atletas!M173="Ditangquan F",216,IF(Atletas!M173="Houquan F",217,IF(Atletas!M173="Zuiquan F",218,"")))))))))))))))))))))</f>
        <v/>
      </c>
      <c r="BO177" s="52" t="str">
        <f>IF(Atletas!N173="","",IF(Atletas!W173&lt;&gt;"",10000,0)+IF(Atletas!B173="Feminino",1000,IF(Atletas!B173="Masculino",2000,""))+IF(Atletas!N173="Yang A",301,IF(Atletas!N173="Chen A",30,IF(Atletas!N173="Sun A",303,IF(Atletas!N173="Wu A",304,IF(Atletas!N173="Wu-Hao A",305,IF(Atletas!N173="Outro Taijiquan A",306,IF(Atletas!N173="Yang B",307,IF(Atletas!N173="Chen B",308,IF(Atletas!N173="Sun B",309,IF(Atletas!N173="Wu B",310,IF(Atletas!N173="Wu-Hao B",311,IF(Atletas!N173="Outro Taijiquan B",312,IF(Atletas!N173="Yang C",313,IF(Atletas!N173="Chen C",314,IF(Atletas!N173="Sun C",315,IF(Atletas!N173="Wu C",316,IF(Atletas!N173="Wu-Hao C",317,IF(Atletas!N173="Outro Taijiquan C",318,IF(Atletas!N173="Yang D",319,IF(Atletas!N173="Chen D",320,IF(Atletas!N173="Sun D",321,IF(Atletas!N173="Wu D",322,IF(Atletas!N173="Wu-Hao D",323,IF(Atletas!N173="Outro Taijiquan D",324,IF(Atletas!N173="Yang E",325,IF(Atletas!N173="Chen E",326,IF(Atletas!N173="Sun E",327,IF(Atletas!N173="Wu E",328,IF(Atletas!N173="Wu-Hao E",329,IF(Atletas!N173="Outro Taijiquan E",330,IF(Atletas!N173="Yang F",331,IF(Atletas!N173="Chen F",332,IF(Atletas!N173="Sun F",333,IF(Atletas!N173="Wu F",334,IF(Atletas!N173="Wu-Hao F",335,IF(Atletas!N173="Outro Taijiquan F",336,"")))))))))))))))))))))))))))))))))))))</f>
        <v/>
      </c>
      <c r="BP177" s="52" t="str">
        <f>IF(Atletas!O173="","",IF(Atletas!W173&lt;&gt;"",10000,0)+IF(Atletas!B173="Feminino",1000,IF(Atletas!B173="Masculino",2000,""))+IF(OR(Atletas!O173="Yang 26 A",Atletas!O173="Yang 40 A"),401,IF(OR(Atletas!O173="Chen 25 A",Atletas!O173="Chen 36 A",Atletas!O173="Chen 56 A"),402,IF(Atletas!O173="Sun 73 A",403,IF(Atletas!O173="Wu 45 A",404,IF(Atletas!O173="Wu-Hao 46 A",405,IF(OR(Atletas!O173="Taijiquan 16 A",Atletas!O173="Taijiquan 24 A",Atletas!O173="Taijiquan 32 A",Atletas!O173="Taijiquan 42 A"),406,IF(OR(Atletas!O173="Yang 26 B",Atletas!O173="Yang 40 B"),407,IF(OR(Atletas!O173="Chen 25 B",Atletas!O173="Chen 36 B",Atletas!O173="Chen 56 B"),408,IF(Atletas!O173="Sun 73 B",409,IF(Atletas!O173="Wu 45 B",410,IF(Atletas!O173="Wu-Hao 46 B",411,IF(OR(Atletas!O173="Taijiquan 16 B",Atletas!O173="Taijiquan 24 B",Atletas!O173="Taijiquan 32 B",Atletas!O173="Taijiquan 42 B"),412,IF(OR(Atletas!O173="Yang 26 C",Atletas!O173="Yang 40 C"),413,IF(OR(Atletas!O173="Chen 25 C",Atletas!O173="Chen 36 C",Atletas!O173="Chen 56 C"),414,IF(Atletas!O173="Sun 73 C",415,IF(Atletas!O173="Wu 45 C",416,IF(Atletas!O173="Wu-Hao 46 C",417,IF(OR(Atletas!O173="Taijiquan 16 C",Atletas!O173="Taijiquan 24 C",Atletas!O173="Taijiquan 32 C",Atletas!O173="Taijiquan 42 C"),418,0)))))))))))))))))))</f>
        <v/>
      </c>
      <c r="BQ177" s="52" t="str">
        <f>IF(Atletas!O173="","",IF(Atletas!W173&lt;&gt;"",10000,0)+IF(Atletas!B173="Feminino",1000,IF(Atletas!B173="Masculino",2000,""))+IF(OR(Atletas!O173="Yang 26 D",Atletas!O173="Yang 40 D"),419,IF(OR(Atletas!O173="Chen 25 D",Atletas!O173="Chen 36 D",Atletas!O173="Chen 56 D"),420,IF(Atletas!O173="Sun 73 D",421,IF(Atletas!O173="Wu 45 D",422,IF(Atletas!O173="Wu-Hao 46 D",423,IF(OR(Atletas!O173="Taijiquan 16 D",Atletas!O173="Taijiquan 24 D",Atletas!O173="Taijiquan 32 D",Atletas!O173="Taijiquan 42 D"),424,IF(OR(Atletas!O173="Yang 26 E",Atletas!O173="Yang 40 E"),425,IF(OR(Atletas!O173="Chen 25 E",Atletas!O173="Chen 36 E",Atletas!O173="Chen 56 E"),426,IF(Atletas!O173="Sun 73 E",427,IF(Atletas!O173="Wu 45 E",428,IF(Atletas!O173="Wu-Hao 46 E",429,IF(OR(Atletas!O173="Taijiquan 16 E",Atletas!O173="Taijiquan 24 E",Atletas!O173="Taijiquan 32 E",Atletas!O173="Taijiquan 42 E"),430,IF(OR(Atletas!O173="Yang 26 F",Atletas!O173="Yang 40 F"),431,IF(OR(Atletas!O173="Chen 25 F",Atletas!O173="Chen 36 F",Atletas!O173="Chen 56 F"),432,IF(Atletas!O173="Sun 73 F",433,IF(Atletas!O173="Wu 45 F",434,IF(Atletas!O173="Wu-Hao 46 F",435,IF(OR(Atletas!O173="Taijiquan 16 F",Atletas!O173="Taijiquan 24 F",Atletas!O173="Taijiquan 32 F",Atletas!O173="Taijiquan 42 F"),436,0)))))))))))))))))))</f>
        <v/>
      </c>
      <c r="BR177" s="52" t="str">
        <f>IF(Atletas!P173="","",IF(Atletas!W173&lt;&gt;"",10000,0)+IF(Atletas!B173="Feminino",1000,IF(Atletas!B173="Masculino",2000,""))+IF(Atletas!P173="Xingyiquan A",501,IF(Atletas!P173="Baguazhang A",502,IF(Atletas!P173="Outro Estilo Interno A",503,IF(Atletas!P173="Xingyiquan B",504,IF(Atletas!P173="Baguazhang B",505,IF(Atletas!P173="Outro Estilo Interno B",506,IF(Atletas!P173="Xingyiquan C",507,IF(Atletas!P173="Baguazhang C",508,IF(Atletas!P173="Outro Estilo Interno C",509,IF(Atletas!P173="Xingyiquan D",510,IF(Atletas!P173="Baguazhang D",511,IF(Atletas!P173="Outro Estilo Interno D",512,IF(Atletas!P173="Xingyiquan E",513,IF(Atletas!P173="Baguazhang E",514,IF(Atletas!P173="Outro Estilo Interno E",515,IF(Atletas!P173="Xingyiquan F",516,IF(Atletas!P173="Baguazhang F",517,IF(Atletas!P173="Outro Estilo Interno F",518, "")))))))))))))))))))</f>
        <v/>
      </c>
      <c r="BS177" s="52" t="str">
        <f>IF(Atletas!Q173="","",IF(Atletas!W173&lt;&gt;"",10000,0)+IF(Atletas!B173="Feminino",1000,IF(Atletas!B173="Masculino",2000,""))+IF(Atletas!Q173="Dao A",601,IF(Atletas!Q173="Jian A",602,IF(Atletas!Q173="Bishou A",603,IF(Atletas!Q173="Shan A",604,IF(Atletas!Q173="Outra Arma Curta A",605,IF(Atletas!Q173="Dao B",606,IF(Atletas!Q173="Jian B",607,IF(Atletas!Q173="Bishou B",608,IF(Atletas!Q173="Shan B",609,IF(Atletas!Q173="Outra Arma Curta B",610,IF(Atletas!Q173="Dao C",611,IF(Atletas!Q173="Jian C",612,IF(Atletas!Q173="Bishou C",613,IF(Atletas!Q173="Shan C",614,IF(Atletas!Q173="Outra Arma Curta C",615,IF(Atletas!Q173="Dao D",616,IF(Atletas!Q173="Jian D",617,IF(Atletas!Q173="Bishou D",618,IF(Atletas!Q173="Shan D",619,IF(Atletas!Q173="Outra Arma Curta D",620,IF(Atletas!Q173="Dao E",621,IF(Atletas!Q173="Jian E",622,IF(Atletas!Q173="Bishou E",623,IF(Atletas!Q173="Shan E",624,IF(Atletas!Q173="Outra Arma Curta E",625,IF(Atletas!Q173="Dao F",626,IF(Atletas!Q173="Jian F",627,IF(Atletas!Q173="Bishou F",628,IF(Atletas!Q173="Shan F",629,IF(Atletas!Q173="Outra Arma Curta F",630, "")))))))))))))))))))))))))))))))</f>
        <v/>
      </c>
      <c r="BT177" s="52" t="str">
        <f>IF(Atletas!R173="","",IF(Atletas!W173&lt;&gt;"",10000,0)+IF(Atletas!B173="Feminino",1000,IF(Atletas!B173="Masculino",2000,""))+IF(Atletas!R173="Gun A",701,IF(Atletas!R173="Qiang A",702,IF(Atletas!R173="Pudao / Guandao A",703,IF(Atletas!R173="Outra Arma Longa A",704,IF(Atletas!R173="Gun B",705,IF(Atletas!R173="Qiang B",706,IF(Atletas!R173="Pudao / Guandao B",707,IF(Atletas!R173="Outra Arma Longa B",708,IF(Atletas!R173="Gun C",709,IF(Atletas!R173="Qiang C",710,IF(Atletas!R173="Pudao / Guandao C",711,IF(Atletas!R173="Outra Arma Longa C",712,IF(Atletas!R173="Gun D",713,IF(Atletas!R173="Qiang D",714,IF(Atletas!R173="Pudao / Guandao D",715,IF(Atletas!R173="Outra Arma Longa D",716,IF(Atletas!R173="Gun E",717,IF(Atletas!R173="Qiang E",718,IF(Atletas!R173="Pudao / Guandao E",719,IF(Atletas!R173="Outra Arma Longa E",720,IF(Atletas!R173="Gun F",721,IF(Atletas!R173="Qiang F",722,IF(Atletas!R173="Pudao / Guandao F",723,IF(Atletas!R173="Outra Arma Longa F",724,"")))))))))))))))))))))))))</f>
        <v/>
      </c>
      <c r="BU177" s="52" t="str">
        <f>IF(Atletas!S173="","",IF(Atletas!W173&lt;&gt;"",10000,0)+IF(Atletas!B173="Feminino",1000,IF(Atletas!B173="Masculino",2000,""))+IF(Atletas!S173="Arma Dupla A",801,IF(Atletas!S173="Arma Maleável A",802,IF(Atletas!S173="Arma Dupla B",803,IF(Atletas!S173="Arma Maleável B",804,IF(Atletas!S173="Arma Dupla C",805,IF(Atletas!S173="Arma Maleável C",806,IF(Atletas!S173="Arma Dupla D",807,IF(Atletas!S173="Arma Maleável D",808,IF(Atletas!S173="Arma Dupla E",809,IF(Atletas!S173="Arma Maleável E",810,IF(Atletas!S173="Arma Dupla F",811,IF(Atletas!S173="Arma Maleável F",812, "")))))))))))))</f>
        <v/>
      </c>
      <c r="BV177" s="52" t="str">
        <f>IF(Atletas!T173="","",IF(Atletas!W173&lt;&gt;"",10000,0)+IF(Atletas!B173="Feminino",1000,IF(Atletas!B173="Masculino",2000,""))+IF(Atletas!T173="Taijijian Yang A",901,IF(Atletas!T173="Taijijian Chen A",902,IF(Atletas!T173="Taijijian Sun A",903,IF(Atletas!T173="Taijijian Wu A",904,IF(Atletas!T173="Taijijian Wu-Hao A",905,IF(Atletas!T173="Taijijian 32 A",906,IF(Atletas!T173="Taijijian 42 A",907,IF(Atletas!T173="Taijijian Yang B",908,IF(Atletas!T173="Taijijian Chen B",909,IF(Atletas!T173="Taijijian Sun B",910,IF(Atletas!T173="Taijijian Wu B",911,IF(Atletas!T173="Taijijian Wu-Hao B",912,IF(Atletas!T173="Taijijian 32 B",913,IF(Atletas!T173="Taijijian 42 B",914,IF(Atletas!T173="Taijijian Yang C",915,IF(Atletas!T173="Taijijian Chen C",916,IF(Atletas!T173="Taijijian Sun C",917,IF(Atletas!T173="Taijijian Wu C",918,IF(Atletas!T173="Taijijian Wu-Hao C",919,IF(Atletas!T173="Taijijian 32 C",920,IF(Atletas!T173="Taijijian 42 C",921,IF(Atletas!T173="Taijijian Yang D",922,IF(Atletas!T173="Taijijian Chen D",923,IF(Atletas!T173="Taijijian Sun D",924,IF(Atletas!T173="Taijijian Wu D",925,IF(Atletas!T173="Taijijian Wu-Hao D",926,IF(Atletas!T173="Taijijian 32 D",927,IF(Atletas!T173="Taijijian 42 D",928,IF(Atletas!T173="Taijijian Yang E",929,IF(Atletas!T173="Taijijian Chen E",930,IF(Atletas!T173="Taijijian Sun E",931,IF(Atletas!T173="Taijijian Wu E",932,IF(Atletas!T173="Taijijian Wu-Hao E",933,IF(Atletas!T173="Taijijian 32 E",934,IF(Atletas!T173="Taijijian 42 E",935,IF(Atletas!T173="Taijijian Yang F",936,IF(Atletas!T173="Taijijian Chen F",937,IF(Atletas!T173="Taijijian Sun F",938,IF(Atletas!T173="Taijijian Wu F",939,IF(Atletas!T173="Taijijian Wu-Hao F",940,IF(Atletas!T173="Taijijian 32 F",941,IF(Atletas!T173="Taijijian 42 F",942,"")))))))))))))))))))))))))))))))))))))))))))</f>
        <v/>
      </c>
      <c r="BW177" s="52" t="str">
        <f>IF(Atletas!U173="","",IF(Atletas!W173&lt;&gt;"",10000,0)+IF(Atletas!B173="Feminino",1000,IF(Atletas!B173="Masculino",2000,""))+IF(Atletas!T173="Taijijian 42 F",942,IF(Atletas!U173="Taijidao A",943,IF(Atletas!U173="Taijishan A",944,IF(Atletas!U173="Taijiqiang A",945,IF(Atletas!U173="Taijidao B",946,IF(Atletas!U173="Taijishan B",947,IF(Atletas!U173="Taijiqiang B",948,IF(Atletas!U173="Taijidao C",949,IF(Atletas!U173="Taijishan C",950,IF(Atletas!U173="Taijiqiang C",951,IF(Atletas!U173="Taijidao D",952,IF(Atletas!U173="Taijishan D",953,IF(Atletas!U173="Taijiqiang D",954,IF(Atletas!U173="Taijidao E",955,IF(Atletas!U173="Taijishan E",956,IF(Atletas!U173="Taijiqiang E",957,IF(Atletas!U173="Taijidao F",958,IF(Atletas!U173="Taijishan F",959,IF(Atletas!U173="Taijiqiang F",960))))))))))))))))))))</f>
        <v/>
      </c>
      <c r="BX177" s="72" t="str">
        <f>IF(BY177&lt;&gt;"","TJQ Padr. Sun B","")</f>
        <v/>
      </c>
      <c r="BY177" s="72" t="str">
        <f>IF(COUNTIF(BK:BW,1409)&gt;0,COUNTIF(BK:BW,1409),"")</f>
        <v/>
      </c>
      <c r="BZ177" s="72" t="str">
        <f>IF(CA177&lt;&gt;"","TJQ Padr. Sun B","")</f>
        <v/>
      </c>
      <c r="CA177" s="72" t="str">
        <f>IF(COUNTIF(BK:BW,2409)&gt;0,COUNTIF(BK:BW,2409),"")</f>
        <v/>
      </c>
      <c r="CB177" s="72" t="str">
        <f>IF(CC177&lt;&gt;"","Wu Novo A","")</f>
        <v/>
      </c>
      <c r="CC177" s="64" t="str">
        <f>IF(COUNTIF(BK:BW,11409)&gt;0,COUNTIF(BK:BW,11409),"")</f>
        <v/>
      </c>
      <c r="CD177" s="64" t="str">
        <f>IF(CE177&lt;&gt;"","Wu Novo A","")</f>
        <v/>
      </c>
      <c r="CE177" s="64" t="str">
        <f>IF(COUNTIF(BK:BW,12409)&gt;0,COUNTIF(BK:BW,12409),"")</f>
        <v/>
      </c>
      <c r="CF177" s="52" t="str">
        <f xml:space="preserve"> IF(Atletas!V173="","",IF(Atletas!V173="Duilian de Mãos AB - Equipe 1",1,IF(Atletas!V173="Duilian de Mãos AB - Equipe 2",2,IF(Atletas!V173="Duilian de Armas AB - Equipe 1",3,IF(Atletas!V173="Duilian de Armas AB - Equipe 2",4,IF(Atletas!V173="Duilian de Tuishou - Equipe 1",5,IF(Atletas!V173="Duilian de Tuishou - Equipe 2",6,IF(Atletas!V173="Grupo Externo AB - Equipe 1",7,IF(Atletas!V173="Grupo Externo AB - Equipe 2",8,IF(Atletas!V173="Grupo Interno AB - Equipe 1",9,IF(Atletas!V173="Grupo Interno AB - Equipe 2",10,IF(Atletas!V173="Duilian de Mãos CD - Equipe 1",11,IF(Atletas!V173="Duilian de Mãos CD - Equipe 2",12,IF(Atletas!V173="Duilian de Armas CD - Equipe 1",13,IF(Atletas!V173="Duilian de Armas CD - Equipe 2",14,IF(Atletas!V173="Duilian de Tuishou - Equipe 1",15,IF(Atletas!V173="Duilian de Tuishou - Equipe 2",16,IF(Atletas!V173="Grupo Externo CDEF - Equipe 1",17,IF(Atletas!V173="Grupo Externo CDEF - Equipe 2",18,IF(Atletas!V173="Grupo Interno CDEF - Equipe 1",19,IF(Atletas!V173="Grupo Interno CDEF - Equipe 2",20,IF(Atletas!V173="Duilian de Mãos EF - Equipe 1",21,IF(Atletas!V173="Duilian de Mãos EF - Equipe 2",22,IF(Atletas!V173="Duilian de Armas EF - Equipe 1",23,IF(Atletas!V173="Duilian de Armas EF - Equipe 2",24,IF(Atletas!V173="Duilian de Tuishou - Equipe 1",25,IF(Atletas!V173="Duilian de Tuishou - Equipe 2",26,"")))))))))))))))))))))))))))</f>
        <v/>
      </c>
    </row>
    <row r="178" spans="2:84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 t="str">
        <f t="array" ref="V178">IFERROR(INDEX(BX$7:BX$336,SMALL(IF(BX$7:BX$336&lt;&gt;"",ROW(BX$7:BX$336)-ROW(BX$7)+1),ROWS(BX$7:BX177))),"")</f>
        <v/>
      </c>
      <c r="W178" s="4" t="str">
        <f t="array" ref="W178">IFERROR(INDEX(BY$7:BY$336,SMALL(IF(BY$7:BY$336&lt;&gt;"",ROW(BY$7:BY$336)-ROW(BY$7)+1),ROWS(BY$7:BY177))),"")</f>
        <v/>
      </c>
      <c r="X178" s="4" t="str">
        <f t="array" ref="X178">IFERROR(INDEX(BZ$7:BZ$336,SMALL(IF(BZ$7:BZ$336&lt;&gt;"",ROW(BZ$7:BZ$336)-ROW(BZ$7)+1),ROWS(BZ$7:BZ177))),"")</f>
        <v/>
      </c>
      <c r="Y178" s="4" t="str">
        <f t="array" ref="Y178">IFERROR(INDEX(CA$7:CA$336,SMALL(IF(CA$7:CA$336&lt;&gt;"",ROW(CA$7:CA$336)-ROW(CA$7)+1),ROWS(CA$7:CA177))),"")</f>
        <v/>
      </c>
      <c r="Z178" s="4" t="str">
        <f t="array" ref="Z178">IFERROR(INDEX(CB$7:CB$378,SMALL(IF(CB$7:CB$378&lt;&gt;"",ROW(CB$7:CB$378)-ROW(CB$7)+1),ROWS(CB$7:CB177))),"")</f>
        <v/>
      </c>
      <c r="AA178" s="4" t="str">
        <f t="array" ref="AA178">IFERROR(INDEX(CC$7:CC$378,SMALL(IF(CC$7:CC$378&lt;&gt;"",ROW(CC$7:CC$378)-ROW(CC$7)+1),ROWS(CC$7:CC177))),"")</f>
        <v/>
      </c>
      <c r="AB178" s="4" t="str">
        <f t="array" ref="AB178">IFERROR(INDEX(CD$7:CD$378,SMALL(IF(CD$7:CD$378&lt;&gt;"",ROW(CD$7:CD$378)-ROW(CD$7)+1),ROWS(CD$7:CD177))),"")</f>
        <v/>
      </c>
      <c r="AC178" s="4" t="str">
        <f t="array" ref="AC178">IFERROR(INDEX(CE$7:CE$378,SMALL(IF(CE$7:CE$378&lt;&gt;"",ROW(CE$7:CE$378)-ROW(CE$7)+1),ROWS(CE$7:CE177))),"")</f>
        <v/>
      </c>
      <c r="AD178" s="4"/>
      <c r="AE178" s="4"/>
      <c r="AF178" s="4"/>
      <c r="AG178" s="4"/>
      <c r="AH178" s="4"/>
      <c r="AI178" s="4"/>
      <c r="AJ178" s="46" t="str">
        <f>IF(Atletas!D174="","",IF(Atletas!B174="Feminino",100,IF(Atletas!B174="Masculino",200,""))+(IF(Atletas!D174="Infantil 39kg",1,IF(Atletas!D174="Infantil 42kg",2,IF(Atletas!D174="Infantil 45kg",3,IF(Atletas!D174="Infantil 48kg",4,IF(Atletas!D174="Infantil 52kg",5,IF(Atletas!D174="Infantil 56kg",6,IF(Atletas!D174="Infantil 60kg",7,IF(Atletas!D174="Juvenil 48kg",8,IF(Atletas!D174="Juvenil 52kg",9,IF(Atletas!D174="Juvenil 56kg",10,IF(Atletas!D174="Juvenil 60kg",11,IF(Atletas!D174="Juvenil 65kg",12,IF(Atletas!D174="Juvenil 70kg",13,IF(Atletas!D174="Juvenil 75kg",14,IF(Atletas!D174="Juvenil 80kg",15,IF(Atletas!D174="Adulto 48kg",16,IF(Atletas!D174="Adulto 52kg",17,IF(Atletas!D174="Adulto 56kg",18,IF(Atletas!D174="Adulto 60kg",19,IF(Atletas!D174="Adulto 65kg",20,IF(Atletas!D174="Adulto 70kg",21,IF(Atletas!D174="Adulto 75kg",22,IF(Atletas!D174="Adulto 80kg",23,IF(Atletas!D174="Adulto 85kg",24,IF(Atletas!D174="Adulto 90kg",25,IF(Atletas!D174="Adulto +90kg",26,""))))))))))))))))))))))))))))</f>
        <v/>
      </c>
      <c r="AO178" s="10" t="str">
        <f>IF(Atletas!E174="","",IF(Atletas!B174="Feminino",100,IF(Atletas!B174="Masculino",200,""))+(IF(Atletas!E174="Juvenil 44kg",1,IF(Atletas!E174="Juvenil 48kg",2,IF(Atletas!E174="Juvenil 52kg",3,IF(Atletas!E174="Juvenil 56kg",4,IF(Atletas!E174="Juvenil 60kg",5,IF(Atletas!E174="Juvenil 65kg",6,IF(Atletas!E174="Juvenil 70kg",7,IF(Atletas!E174="Juvenil 75kg",8,IF(Atletas!E174="Juvenil 82kg",9,IF(Atletas!E174="Juvenil 90kg",10,IF(Atletas!E174="Juvenil 100kg",11,IF(Atletas!E174="Adulto 48kg",12,IF(Atletas!E174="Adulto 52kg",13,IF(Atletas!E174="Adulto 56kg",14,IF(Atletas!E174="Adulto 60kg",15,IF(Atletas!E174="Adulto 65kg",16,IF(Atletas!E174="Adulto 70kg",17,IF(Atletas!E174="Adulto 75kg",18,IF(Atletas!E174="Adulto 82kg",19,IF(Atletas!E174="Adulto 90kg",20,IF(Atletas!E174="Adulto 100kg",21,IF(Atletas!E174="Adulto +100kg",22,""))))))))))))))))))))))))</f>
        <v/>
      </c>
      <c r="AT178" s="10" t="str">
        <f>IF(Atletas!F174="","",IF(Atletas!B174="Feminino",100,IF(Atletas!B174="Masculino",200,""))+(IF(Atletas!F174="Adulto 48kg",1,IF(Atletas!F174="Adulto 56kg",2,IF(Atletas!F174="Adulto 65kg",3,IF(Atletas!F174="Adulto 75kg",4,IF(Atletas!F174="Adulto +75kg",5,IF(Atletas!F174="Adulto 52kg",6,IF(Atletas!F174="Adulto 60kg",7,IF(Atletas!F174="Adulto 70kg",8,IF(Atletas!F174="Adulto 80kg",9,IF(Atletas!F174="Adulto 90kg",10,IF(Atletas!F174="Adulto +90kg",11,"")))))))))))))</f>
        <v/>
      </c>
      <c r="AY178" s="46" t="str">
        <f>IF(Atletas!G174="","",IF(Atletas!B174="Feminino",100,IF(Atletas!B174="Masculino",200,""))+(IF(Atletas!G174="Changquan Mirim",1,IF(Atletas!G174="Nanquan Mirim",2,IF(Atletas!G174="Taijiquan Mirim",3,IF(Atletas!G174="Changquan Grupo C",4,IF(Atletas!G174="Nanquan Grupo C",5,IF(Atletas!G174="Taijiquan Grupo C",6,IF(Atletas!G174="Changquan Grupo B",7,IF(Atletas!G174="Nanquan Grupo B",8,IF(Atletas!G174="Taijiquan Grupo B",9,IF(Atletas!G174="Changquan Grupo A",10,IF(Atletas!G174="Nanquan Grupo A",11,IF(Atletas!G174="Taijiquan Grupo A",12,IF(Atletas!G174="Changquan Opcional",13,IF(Atletas!G174="Nanquan Opcional",14,IF(Atletas!G174="Taijiquan Opcional",15,IF(Atletas!G174="Changquan Adulto",16,IF(Atletas!G174="Nanquan Adulto",17,IF(Atletas!G174="Taijiquan Adulto",18,""))))))))))))))))))))</f>
        <v/>
      </c>
      <c r="AZ178" s="46" t="str">
        <f>IF(Atletas!H174="","",IF(Atletas!B174="Feminino",100,IF(Atletas!B174="Masculino",200,""))+(IF(Atletas!H174="Daoshu Mirim",19,IF(Atletas!H174="Jianshu Mirim",20,IF(Atletas!H174="Nandao Mirim",21,IF(Atletas!H174="Taijijian Mirim",22,IF(Atletas!H174="Daoshu Grupo C",23,IF(Atletas!H174="Jianshu Grupo C",24,IF(Atletas!H174="Nandao Grupo C",25,IF(Atletas!H174="Taijijian Grupo C",26,IF(Atletas!H174="Daoshu Grupo B",27,IF(Atletas!H174="Jianshu Grupo B",28,IF(Atletas!H174="Nandao Grupo B",29,IF(Atletas!H174="Taijijian Grupo B",30,IF(Atletas!H174="Daoshu Grupo A",31,IF(Atletas!H174="Jianshu Grupo A",32,IF(Atletas!H174="Nandao Grupo A",33,IF(Atletas!H174="Taijijian Grupo A",34,IF(Atletas!H174="Daoshu Opcional",35,IF(Atletas!H174="Jianshu Opcional",36,IF(Atletas!H174="Nandao Opcional",37,IF(Atletas!H174="Taijijian Opcional",38,IF(Atletas!H174="Daoshu Adulto",39,IF(Atletas!H174="Jianshu Adulto",40,IF(Atletas!H174="Nandao Adulto",41,IF(Atletas!H174="Taijijian Adulto",42,""))))))))))))))))))))))))))</f>
        <v/>
      </c>
      <c r="BA178" s="46" t="str">
        <f>IF(Atletas!I174="","",IF(Atletas!B174="Feminino",100,IF(Atletas!B174="Masculino",200,""))+(IF(Atletas!I174="Gunshu Mirim",43,IF(Atletas!I174="Qiangshu Mirim",44,IF(Atletas!I174="Nangun Mirim",45,IF(Atletas!I174="Gunshu Grupo C",46,IF(Atletas!I174="Qiangshu Grupo C",47,IF(Atletas!I174="Nangun Grupo C",48,IF(Atletas!I174="Gunshu Grupo B",49,IF(Atletas!I174="Qiangshu Grupo B",50,IF(Atletas!I174="Nangun Grupo B",51,IF(Atletas!I174="Gunshu Grupo A",52,IF(Atletas!I174="Qiangshu Grupo A",53,IF(Atletas!I174="Nangun Grupo A",54,IF(Atletas!I174="Gunshu Opcional",55,IF(Atletas!I174="Qiangshu Opcional",56,IF(Atletas!I174="Nangun Opcional",57,IF(Atletas!I174="Gunshu Adulto",58,IF(Atletas!I174="Qiangshu Adulto",59,IF(Atletas!I174="Nangun Adulto",60,""))))))))))))))))))))</f>
        <v/>
      </c>
      <c r="BF178" s="52" t="str">
        <f>IF(Atletas!J174="","",IF(Atletas!B174="Feminino",100,IF(Atletas!B174="Masculino",200,""))+(IF(Atletas!J174="Equipe 1 Grupo B",1,IF(Atletas!J174="Equipe 2 Grupo B",2,IF(Atletas!J174="Equipe 1 Grupo A",3,IF(Atletas!J174="Equipe 2 Grupo A",4,IF(Atletas!J174="Equipe 1 Adulto",5,IF(Atletas!J174="Equipe 2 Adulto",6,""))))))))</f>
        <v/>
      </c>
      <c r="BK178" s="52" t="str">
        <f>IF(Atletas!K174="","",IF(Atletas!W174&lt;&gt;"",10000,0)+(IF(Atletas!B174="Feminino",1000,IF(Atletas!B174="Masculino",2000,""))+IF(Atletas!K174="Choylayfut A",1,IF(Atletas!K174="Hunggar A",2,IF(Atletas!K174="Wuzuquan A",3,IF(Atletas!K174="Wingchun A",4,IF(Atletas!K174="Outra Mão de Sul A",5,IF(Atletas!K174="Choylayfut B",6,IF(Atletas!K174="Hunggar B",7,IF(Atletas!K174="Wuzuquan B",8,IF(Atletas!K174="Wingchun B",9,IF(Atletas!K174="Outra Mão de Sul B",10,IF(Atletas!K174="Choylayfut C",11,IF(Atletas!K174="Hunggar C",12,IF(Atletas!K174="Wuzuquan C",13,IF(Atletas!K174="Wingchun C",14,IF(Atletas!K174="Outra Mão de Sul C",15,IF(Atletas!K174="Choylayfut D",16,IF(Atletas!K174="Hunggar D",17,IF(Atletas!K174="Wuzuquan D",18,IF(Atletas!K174="Wingchun D",19,IF(Atletas!K174="Outra Mão de Sul D",20,IF(Atletas!K174="Choylayfut E",21,IF(Atletas!K174="Hunggar E",22,IF(Atletas!K174="Wuzuquan E",23,IF(Atletas!K174="Wingchun E",24,IF(Atletas!K174="Outra Mão de Sul E",25,IF(Atletas!K174="Choylayfut F",26,IF(Atletas!K174="Hunggar F",27,IF(Atletas!K174="Wuzuquan F",28,IF(Atletas!K174="Wingchun F",29,IF(Atletas!K174="Outra Mão de Sul F",30,""))))))))))))))))))))))))))))))))</f>
        <v/>
      </c>
      <c r="BL178" s="52" t="str">
        <f>IF(Atletas!L174="","",IF(Atletas!W174&lt;&gt;"",10000,0)+(IF(Atletas!B174="Feminino",1000,IF(Atletas!B174="Masculino",2000,""))+(IF(Atletas!L174="Chaquan A",101,IF(Atletas!L174="Emeiquan A",102,IF(Atletas!L174="Fanziquan A",103,IF(Atletas!L174="Huaquan A",104,IF(Atletas!L174="Hongquan A",105,IF(Atletas!L174="Paochui A",106,IF(Atletas!L174="Piguaquan A",107,IF(Atletas!L174="Shaolinquan A",108,IF(Atletas!L174="Tanglangquan A",109,IF(Atletas!L174="Yinzhaophai A",110,IF(Atletas!L174="Tongbeiquan A",111,IF(Atletas!L174="Wudangquan A",112,IF(Atletas!L174="Outros Estilos A",113,IF(Atletas!L174="Chaquan B",114,IF(Atletas!L174="Emeiquan B",115,IF(Atletas!L174="Fanziquan B",116,IF(Atletas!L174="Huaquan B",117,IF(Atletas!L174="Hongquan B",118,IF(Atletas!L174="Paochui B",119,IF(Atletas!L174="Piguaquan B",120,IF(Atletas!L174="Shaolinquan B",121,IF(Atletas!L174="Tanglangquan B",122,IF(Atletas!L174="Yinzhaophai B",123,IF(Atletas!L174="Tongbeiquan B",124,IF(Atletas!L174="Wudangquan B",125,IF(Atletas!L174="Outros Estilos B",126,IF(Atletas!L174="Chaquan C",127,IF(Atletas!L174="Emeiquan C",128,IF(Atletas!L174="Fanziquan C",129,IF(Atletas!L174="Huaquan C",130,IF(Atletas!L174="Hongquan C",131,IF(Atletas!L174="Paochui C",132,IF(Atletas!L174="Piguaquan C",133,IF(Atletas!L174="Shaolinquan C",134,IF(Atletas!L174="Tanglangquan C",135,IF(Atletas!L174="Yinzhaophai C",136,IF(Atletas!L174="Tongbeiquan C",137,IF(Atletas!L174="Wudangquan C",138,IF(Atletas!L174="Outros Estilos C",139,0))))))))))))))))))))))))))))))))))))))))))</f>
        <v/>
      </c>
      <c r="BM178" s="52" t="str">
        <f>IF(Atletas!L174="","",IF(Atletas!W174&lt;&gt;"",10000,0)+(IF(Atletas!B174="Feminino",1000,IF(Atletas!B174="Masculino",2000,""))+(IF(Atletas!L174="Chaquan D",140,IF(Atletas!L174="Emeiquan D",141,IF(Atletas!L174="Fanziquan D",142,IF(Atletas!L174="Huaquan D",143,IF(Atletas!L174="Hongquan D",144,IF(Atletas!L174="Paochui D",145,IF(Atletas!L174="Piguaquan D",146,IF(Atletas!L174="Shaolinquan D",147,IF(Atletas!L174="Tanglangquan D",148,IF(Atletas!L174="Yinzhaophai D",149,IF(Atletas!L174="Tongbeiquan D",150,IF(Atletas!L174="Wudangquan D",151,IF(Atletas!L174="Outros Estilos D",152,IF(Atletas!L174="Chaquan E",153,IF(Atletas!L174="Emeiquan E",154,IF(Atletas!L174="Fanziquan E",155,IF(Atletas!L174="Huaquan E",156,IF(Atletas!L174="Hongquan E",157,IF(Atletas!L174="Paochui E",158,IF(Atletas!L174="Piguaquan E",159,IF(Atletas!L174="Shaolinquan E",160,IF(Atletas!L174="Tanglangquan E",161,IF(Atletas!L174="Yinzhaophai E",162,IF(Atletas!L174="Tongbeiquan E",163,IF(Atletas!L174="Wudangquan E",164,IF(Atletas!L174="Outros Estilos E",165,IF(Atletas!L174="Chaquan F",166,IF(Atletas!L174="Emeiquan F",167,IF(Atletas!L174="Fanziquan F",168,IF(Atletas!L174="Huaquan F",169,IF(Atletas!L174="Hongquan F",170,IF(Atletas!L174="Paochui F",171,IF(Atletas!L174="Piguaquan F",172,IF(Atletas!L174="Shaolinquan F",173,IF(Atletas!L174="Tanglangquan F",174,IF(Atletas!L174="Yinzhaophai F",175,IF(Atletas!L174="Tongbeiquan F",176,IF(Atletas!L174="Wudangquan F",177,IF(Atletas!L174="Outros Estilos F",178,0))))))))))))))))))))))))))))))))))))))))))</f>
        <v/>
      </c>
      <c r="BN178" s="52" t="str">
        <f>IF(Atletas!M174="","",IF(Atletas!W174&lt;&gt;"",10000,0)+(IF(Atletas!B174="Feminino",1000,IF(Atletas!B174="Masculino",2000,""))+(IF(Atletas!M174="Ditangquan A",201,IF(Atletas!M174="Houquan A",202,IF(Atletas!M174="Zuiquan A",203,IF(Atletas!M174="Ditangquan B",204,IF(Atletas!M174="Houquan B",205,IF(Atletas!M174="Zuiquan B",206,IF(Atletas!M174="Ditangquan C",207,IF(Atletas!M174="Houquan C",208,IF(Atletas!M174="Zuiquan C",209,IF(Atletas!M174="Ditangquan D",210,IF(Atletas!M174="Houquan D",211,IF(Atletas!M174="Zuiquan D",212,IF(Atletas!M174="Ditangquan E",213,IF(Atletas!M174="Houquan E",214,IF(Atletas!M174="Zuiquan E",215,IF(Atletas!M174="Ditangquan F",216,IF(Atletas!M174="Houquan F",217,IF(Atletas!M174="Zuiquan F",218,"")))))))))))))))))))))</f>
        <v/>
      </c>
      <c r="BO178" s="52" t="str">
        <f>IF(Atletas!N174="","",IF(Atletas!W174&lt;&gt;"",10000,0)+IF(Atletas!B174="Feminino",1000,IF(Atletas!B174="Masculino",2000,""))+IF(Atletas!N174="Yang A",301,IF(Atletas!N174="Chen A",30,IF(Atletas!N174="Sun A",303,IF(Atletas!N174="Wu A",304,IF(Atletas!N174="Wu-Hao A",305,IF(Atletas!N174="Outro Taijiquan A",306,IF(Atletas!N174="Yang B",307,IF(Atletas!N174="Chen B",308,IF(Atletas!N174="Sun B",309,IF(Atletas!N174="Wu B",310,IF(Atletas!N174="Wu-Hao B",311,IF(Atletas!N174="Outro Taijiquan B",312,IF(Atletas!N174="Yang C",313,IF(Atletas!N174="Chen C",314,IF(Atletas!N174="Sun C",315,IF(Atletas!N174="Wu C",316,IF(Atletas!N174="Wu-Hao C",317,IF(Atletas!N174="Outro Taijiquan C",318,IF(Atletas!N174="Yang D",319,IF(Atletas!N174="Chen D",320,IF(Atletas!N174="Sun D",321,IF(Atletas!N174="Wu D",322,IF(Atletas!N174="Wu-Hao D",323,IF(Atletas!N174="Outro Taijiquan D",324,IF(Atletas!N174="Yang E",325,IF(Atletas!N174="Chen E",326,IF(Atletas!N174="Sun E",327,IF(Atletas!N174="Wu E",328,IF(Atletas!N174="Wu-Hao E",329,IF(Atletas!N174="Outro Taijiquan E",330,IF(Atletas!N174="Yang F",331,IF(Atletas!N174="Chen F",332,IF(Atletas!N174="Sun F",333,IF(Atletas!N174="Wu F",334,IF(Atletas!N174="Wu-Hao F",335,IF(Atletas!N174="Outro Taijiquan F",336,"")))))))))))))))))))))))))))))))))))))</f>
        <v/>
      </c>
      <c r="BP178" s="52" t="str">
        <f>IF(Atletas!O174="","",IF(Atletas!W174&lt;&gt;"",10000,0)+IF(Atletas!B174="Feminino",1000,IF(Atletas!B174="Masculino",2000,""))+IF(OR(Atletas!O174="Yang 26 A",Atletas!O174="Yang 40 A"),401,IF(OR(Atletas!O174="Chen 25 A",Atletas!O174="Chen 36 A",Atletas!O174="Chen 56 A"),402,IF(Atletas!O174="Sun 73 A",403,IF(Atletas!O174="Wu 45 A",404,IF(Atletas!O174="Wu-Hao 46 A",405,IF(OR(Atletas!O174="Taijiquan 16 A",Atletas!O174="Taijiquan 24 A",Atletas!O174="Taijiquan 32 A",Atletas!O174="Taijiquan 42 A"),406,IF(OR(Atletas!O174="Yang 26 B",Atletas!O174="Yang 40 B"),407,IF(OR(Atletas!O174="Chen 25 B",Atletas!O174="Chen 36 B",Atletas!O174="Chen 56 B"),408,IF(Atletas!O174="Sun 73 B",409,IF(Atletas!O174="Wu 45 B",410,IF(Atletas!O174="Wu-Hao 46 B",411,IF(OR(Atletas!O174="Taijiquan 16 B",Atletas!O174="Taijiquan 24 B",Atletas!O174="Taijiquan 32 B",Atletas!O174="Taijiquan 42 B"),412,IF(OR(Atletas!O174="Yang 26 C",Atletas!O174="Yang 40 C"),413,IF(OR(Atletas!O174="Chen 25 C",Atletas!O174="Chen 36 C",Atletas!O174="Chen 56 C"),414,IF(Atletas!O174="Sun 73 C",415,IF(Atletas!O174="Wu 45 C",416,IF(Atletas!O174="Wu-Hao 46 C",417,IF(OR(Atletas!O174="Taijiquan 16 C",Atletas!O174="Taijiquan 24 C",Atletas!O174="Taijiquan 32 C",Atletas!O174="Taijiquan 42 C"),418,0)))))))))))))))))))</f>
        <v/>
      </c>
      <c r="BQ178" s="52" t="str">
        <f>IF(Atletas!O174="","",IF(Atletas!W174&lt;&gt;"",10000,0)+IF(Atletas!B174="Feminino",1000,IF(Atletas!B174="Masculino",2000,""))+IF(OR(Atletas!O174="Yang 26 D",Atletas!O174="Yang 40 D"),419,IF(OR(Atletas!O174="Chen 25 D",Atletas!O174="Chen 36 D",Atletas!O174="Chen 56 D"),420,IF(Atletas!O174="Sun 73 D",421,IF(Atletas!O174="Wu 45 D",422,IF(Atletas!O174="Wu-Hao 46 D",423,IF(OR(Atletas!O174="Taijiquan 16 D",Atletas!O174="Taijiquan 24 D",Atletas!O174="Taijiquan 32 D",Atletas!O174="Taijiquan 42 D"),424,IF(OR(Atletas!O174="Yang 26 E",Atletas!O174="Yang 40 E"),425,IF(OR(Atletas!O174="Chen 25 E",Atletas!O174="Chen 36 E",Atletas!O174="Chen 56 E"),426,IF(Atletas!O174="Sun 73 E",427,IF(Atletas!O174="Wu 45 E",428,IF(Atletas!O174="Wu-Hao 46 E",429,IF(OR(Atletas!O174="Taijiquan 16 E",Atletas!O174="Taijiquan 24 E",Atletas!O174="Taijiquan 32 E",Atletas!O174="Taijiquan 42 E"),430,IF(OR(Atletas!O174="Yang 26 F",Atletas!O174="Yang 40 F"),431,IF(OR(Atletas!O174="Chen 25 F",Atletas!O174="Chen 36 F",Atletas!O174="Chen 56 F"),432,IF(Atletas!O174="Sun 73 F",433,IF(Atletas!O174="Wu 45 F",434,IF(Atletas!O174="Wu-Hao 46 F",435,IF(OR(Atletas!O174="Taijiquan 16 F",Atletas!O174="Taijiquan 24 F",Atletas!O174="Taijiquan 32 F",Atletas!O174="Taijiquan 42 F"),436,0)))))))))))))))))))</f>
        <v/>
      </c>
      <c r="BR178" s="52" t="str">
        <f>IF(Atletas!P174="","",IF(Atletas!W174&lt;&gt;"",10000,0)+IF(Atletas!B174="Feminino",1000,IF(Atletas!B174="Masculino",2000,""))+IF(Atletas!P174="Xingyiquan A",501,IF(Atletas!P174="Baguazhang A",502,IF(Atletas!P174="Outro Estilo Interno A",503,IF(Atletas!P174="Xingyiquan B",504,IF(Atletas!P174="Baguazhang B",505,IF(Atletas!P174="Outro Estilo Interno B",506,IF(Atletas!P174="Xingyiquan C",507,IF(Atletas!P174="Baguazhang C",508,IF(Atletas!P174="Outro Estilo Interno C",509,IF(Atletas!P174="Xingyiquan D",510,IF(Atletas!P174="Baguazhang D",511,IF(Atletas!P174="Outro Estilo Interno D",512,IF(Atletas!P174="Xingyiquan E",513,IF(Atletas!P174="Baguazhang E",514,IF(Atletas!P174="Outro Estilo Interno E",515,IF(Atletas!P174="Xingyiquan F",516,IF(Atletas!P174="Baguazhang F",517,IF(Atletas!P174="Outro Estilo Interno F",518, "")))))))))))))))))))</f>
        <v/>
      </c>
      <c r="BS178" s="52" t="str">
        <f>IF(Atletas!Q174="","",IF(Atletas!W174&lt;&gt;"",10000,0)+IF(Atletas!B174="Feminino",1000,IF(Atletas!B174="Masculino",2000,""))+IF(Atletas!Q174="Dao A",601,IF(Atletas!Q174="Jian A",602,IF(Atletas!Q174="Bishou A",603,IF(Atletas!Q174="Shan A",604,IF(Atletas!Q174="Outra Arma Curta A",605,IF(Atletas!Q174="Dao B",606,IF(Atletas!Q174="Jian B",607,IF(Atletas!Q174="Bishou B",608,IF(Atletas!Q174="Shan B",609,IF(Atletas!Q174="Outra Arma Curta B",610,IF(Atletas!Q174="Dao C",611,IF(Atletas!Q174="Jian C",612,IF(Atletas!Q174="Bishou C",613,IF(Atletas!Q174="Shan C",614,IF(Atletas!Q174="Outra Arma Curta C",615,IF(Atletas!Q174="Dao D",616,IF(Atletas!Q174="Jian D",617,IF(Atletas!Q174="Bishou D",618,IF(Atletas!Q174="Shan D",619,IF(Atletas!Q174="Outra Arma Curta D",620,IF(Atletas!Q174="Dao E",621,IF(Atletas!Q174="Jian E",622,IF(Atletas!Q174="Bishou E",623,IF(Atletas!Q174="Shan E",624,IF(Atletas!Q174="Outra Arma Curta E",625,IF(Atletas!Q174="Dao F",626,IF(Atletas!Q174="Jian F",627,IF(Atletas!Q174="Bishou F",628,IF(Atletas!Q174="Shan F",629,IF(Atletas!Q174="Outra Arma Curta F",630, "")))))))))))))))))))))))))))))))</f>
        <v/>
      </c>
      <c r="BT178" s="52" t="str">
        <f>IF(Atletas!R174="","",IF(Atletas!W174&lt;&gt;"",10000,0)+IF(Atletas!B174="Feminino",1000,IF(Atletas!B174="Masculino",2000,""))+IF(Atletas!R174="Gun A",701,IF(Atletas!R174="Qiang A",702,IF(Atletas!R174="Pudao / Guandao A",703,IF(Atletas!R174="Outra Arma Longa A",704,IF(Atletas!R174="Gun B",705,IF(Atletas!R174="Qiang B",706,IF(Atletas!R174="Pudao / Guandao B",707,IF(Atletas!R174="Outra Arma Longa B",708,IF(Atletas!R174="Gun C",709,IF(Atletas!R174="Qiang C",710,IF(Atletas!R174="Pudao / Guandao C",711,IF(Atletas!R174="Outra Arma Longa C",712,IF(Atletas!R174="Gun D",713,IF(Atletas!R174="Qiang D",714,IF(Atletas!R174="Pudao / Guandao D",715,IF(Atletas!R174="Outra Arma Longa D",716,IF(Atletas!R174="Gun E",717,IF(Atletas!R174="Qiang E",718,IF(Atletas!R174="Pudao / Guandao E",719,IF(Atletas!R174="Outra Arma Longa E",720,IF(Atletas!R174="Gun F",721,IF(Atletas!R174="Qiang F",722,IF(Atletas!R174="Pudao / Guandao F",723,IF(Atletas!R174="Outra Arma Longa F",724,"")))))))))))))))))))))))))</f>
        <v/>
      </c>
      <c r="BU178" s="52" t="str">
        <f>IF(Atletas!S174="","",IF(Atletas!W174&lt;&gt;"",10000,0)+IF(Atletas!B174="Feminino",1000,IF(Atletas!B174="Masculino",2000,""))+IF(Atletas!S174="Arma Dupla A",801,IF(Atletas!S174="Arma Maleável A",802,IF(Atletas!S174="Arma Dupla B",803,IF(Atletas!S174="Arma Maleável B",804,IF(Atletas!S174="Arma Dupla C",805,IF(Atletas!S174="Arma Maleável C",806,IF(Atletas!S174="Arma Dupla D",807,IF(Atletas!S174="Arma Maleável D",808,IF(Atletas!S174="Arma Dupla E",809,IF(Atletas!S174="Arma Maleável E",810,IF(Atletas!S174="Arma Dupla F",811,IF(Atletas!S174="Arma Maleável F",812, "")))))))))))))</f>
        <v/>
      </c>
      <c r="BV178" s="52" t="str">
        <f>IF(Atletas!T174="","",IF(Atletas!W174&lt;&gt;"",10000,0)+IF(Atletas!B174="Feminino",1000,IF(Atletas!B174="Masculino",2000,""))+IF(Atletas!T174="Taijijian Yang A",901,IF(Atletas!T174="Taijijian Chen A",902,IF(Atletas!T174="Taijijian Sun A",903,IF(Atletas!T174="Taijijian Wu A",904,IF(Atletas!T174="Taijijian Wu-Hao A",905,IF(Atletas!T174="Taijijian 32 A",906,IF(Atletas!T174="Taijijian 42 A",907,IF(Atletas!T174="Taijijian Yang B",908,IF(Atletas!T174="Taijijian Chen B",909,IF(Atletas!T174="Taijijian Sun B",910,IF(Atletas!T174="Taijijian Wu B",911,IF(Atletas!T174="Taijijian Wu-Hao B",912,IF(Atletas!T174="Taijijian 32 B",913,IF(Atletas!T174="Taijijian 42 B",914,IF(Atletas!T174="Taijijian Yang C",915,IF(Atletas!T174="Taijijian Chen C",916,IF(Atletas!T174="Taijijian Sun C",917,IF(Atletas!T174="Taijijian Wu C",918,IF(Atletas!T174="Taijijian Wu-Hao C",919,IF(Atletas!T174="Taijijian 32 C",920,IF(Atletas!T174="Taijijian 42 C",921,IF(Atletas!T174="Taijijian Yang D",922,IF(Atletas!T174="Taijijian Chen D",923,IF(Atletas!T174="Taijijian Sun D",924,IF(Atletas!T174="Taijijian Wu D",925,IF(Atletas!T174="Taijijian Wu-Hao D",926,IF(Atletas!T174="Taijijian 32 D",927,IF(Atletas!T174="Taijijian 42 D",928,IF(Atletas!T174="Taijijian Yang E",929,IF(Atletas!T174="Taijijian Chen E",930,IF(Atletas!T174="Taijijian Sun E",931,IF(Atletas!T174="Taijijian Wu E",932,IF(Atletas!T174="Taijijian Wu-Hao E",933,IF(Atletas!T174="Taijijian 32 E",934,IF(Atletas!T174="Taijijian 42 E",935,IF(Atletas!T174="Taijijian Yang F",936,IF(Atletas!T174="Taijijian Chen F",937,IF(Atletas!T174="Taijijian Sun F",938,IF(Atletas!T174="Taijijian Wu F",939,IF(Atletas!T174="Taijijian Wu-Hao F",940,IF(Atletas!T174="Taijijian 32 F",941,IF(Atletas!T174="Taijijian 42 F",942,"")))))))))))))))))))))))))))))))))))))))))))</f>
        <v/>
      </c>
      <c r="BW178" s="52" t="str">
        <f>IF(Atletas!U174="","",IF(Atletas!W174&lt;&gt;"",10000,0)+IF(Atletas!B174="Feminino",1000,IF(Atletas!B174="Masculino",2000,""))+IF(Atletas!T174="Taijijian 42 F",942,IF(Atletas!U174="Taijidao A",943,IF(Atletas!U174="Taijishan A",944,IF(Atletas!U174="Taijiqiang A",945,IF(Atletas!U174="Taijidao B",946,IF(Atletas!U174="Taijishan B",947,IF(Atletas!U174="Taijiqiang B",948,IF(Atletas!U174="Taijidao C",949,IF(Atletas!U174="Taijishan C",950,IF(Atletas!U174="Taijiqiang C",951,IF(Atletas!U174="Taijidao D",952,IF(Atletas!U174="Taijishan D",953,IF(Atletas!U174="Taijiqiang D",954,IF(Atletas!U174="Taijidao E",955,IF(Atletas!U174="Taijishan E",956,IF(Atletas!U174="Taijiqiang E",957,IF(Atletas!U174="Taijidao F",958,IF(Atletas!U174="Taijishan F",959,IF(Atletas!U174="Taijiqiang F",960))))))))))))))))))))</f>
        <v/>
      </c>
      <c r="BX178" s="72" t="str">
        <f>IF(BY178&lt;&gt;"","TJQ Padr. Wu B","")</f>
        <v/>
      </c>
      <c r="BY178" s="72" t="str">
        <f>IF(COUNTIF(BK:BW,1410)&gt;0,COUNTIF(BK:BW,1410),"")</f>
        <v/>
      </c>
      <c r="BZ178" s="72" t="str">
        <f>IF(CA178&lt;&gt;"","TJQ Padr. Wu B","")</f>
        <v/>
      </c>
      <c r="CA178" s="72" t="str">
        <f>IF(COUNTIF(BK:BW,2410)&gt;0,COUNTIF(BK:BW,2410),"")</f>
        <v/>
      </c>
      <c r="CB178" s="72" t="str">
        <f>IF(CC178&lt;&gt;"","Wu-Hao 46 A","")</f>
        <v/>
      </c>
      <c r="CC178" s="64" t="str">
        <f>IF(COUNTIF(BK:BW,11410)&gt;0,COUNTIF(BK:BW,11410),"")</f>
        <v/>
      </c>
      <c r="CD178" s="64" t="str">
        <f>IF(CE178&lt;&gt;"","Wu-Hao 46 A","")</f>
        <v/>
      </c>
      <c r="CE178" s="64" t="str">
        <f>IF(COUNTIF(BK:BW,12410)&gt;0,COUNTIF(BK:BW,12410),"")</f>
        <v/>
      </c>
      <c r="CF178" s="52" t="str">
        <f xml:space="preserve"> IF(Atletas!V174="","",IF(Atletas!V174="Duilian de Mãos AB - Equipe 1",1,IF(Atletas!V174="Duilian de Mãos AB - Equipe 2",2,IF(Atletas!V174="Duilian de Armas AB - Equipe 1",3,IF(Atletas!V174="Duilian de Armas AB - Equipe 2",4,IF(Atletas!V174="Duilian de Tuishou - Equipe 1",5,IF(Atletas!V174="Duilian de Tuishou - Equipe 2",6,IF(Atletas!V174="Grupo Externo AB - Equipe 1",7,IF(Atletas!V174="Grupo Externo AB - Equipe 2",8,IF(Atletas!V174="Grupo Interno AB - Equipe 1",9,IF(Atletas!V174="Grupo Interno AB - Equipe 2",10,IF(Atletas!V174="Duilian de Mãos CD - Equipe 1",11,IF(Atletas!V174="Duilian de Mãos CD - Equipe 2",12,IF(Atletas!V174="Duilian de Armas CD - Equipe 1",13,IF(Atletas!V174="Duilian de Armas CD - Equipe 2",14,IF(Atletas!V174="Duilian de Tuishou - Equipe 1",15,IF(Atletas!V174="Duilian de Tuishou - Equipe 2",16,IF(Atletas!V174="Grupo Externo CDEF - Equipe 1",17,IF(Atletas!V174="Grupo Externo CDEF - Equipe 2",18,IF(Atletas!V174="Grupo Interno CDEF - Equipe 1",19,IF(Atletas!V174="Grupo Interno CDEF - Equipe 2",20,IF(Atletas!V174="Duilian de Mãos EF - Equipe 1",21,IF(Atletas!V174="Duilian de Mãos EF - Equipe 2",22,IF(Atletas!V174="Duilian de Armas EF - Equipe 1",23,IF(Atletas!V174="Duilian de Armas EF - Equipe 2",24,IF(Atletas!V174="Duilian de Tuishou - Equipe 1",25,IF(Atletas!V174="Duilian de Tuishou - Equipe 2",26,"")))))))))))))))))))))))))))</f>
        <v/>
      </c>
    </row>
    <row r="179" spans="2:84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 t="str">
        <f t="array" ref="V179">IFERROR(INDEX(BX$7:BX$336,SMALL(IF(BX$7:BX$336&lt;&gt;"",ROW(BX$7:BX$336)-ROW(BX$7)+1),ROWS(BX$7:BX178))),"")</f>
        <v/>
      </c>
      <c r="W179" s="4" t="str">
        <f t="array" ref="W179">IFERROR(INDEX(BY$7:BY$336,SMALL(IF(BY$7:BY$336&lt;&gt;"",ROW(BY$7:BY$336)-ROW(BY$7)+1),ROWS(BY$7:BY178))),"")</f>
        <v/>
      </c>
      <c r="X179" s="4" t="str">
        <f t="array" ref="X179">IFERROR(INDEX(BZ$7:BZ$336,SMALL(IF(BZ$7:BZ$336&lt;&gt;"",ROW(BZ$7:BZ$336)-ROW(BZ$7)+1),ROWS(BZ$7:BZ178))),"")</f>
        <v/>
      </c>
      <c r="Y179" s="4" t="str">
        <f t="array" ref="Y179">IFERROR(INDEX(CA$7:CA$336,SMALL(IF(CA$7:CA$336&lt;&gt;"",ROW(CA$7:CA$336)-ROW(CA$7)+1),ROWS(CA$7:CA178))),"")</f>
        <v/>
      </c>
      <c r="Z179" s="4" t="str">
        <f t="array" ref="Z179">IFERROR(INDEX(CB$7:CB$378,SMALL(IF(CB$7:CB$378&lt;&gt;"",ROW(CB$7:CB$378)-ROW(CB$7)+1),ROWS(CB$7:CB178))),"")</f>
        <v/>
      </c>
      <c r="AA179" s="4" t="str">
        <f t="array" ref="AA179">IFERROR(INDEX(CC$7:CC$378,SMALL(IF(CC$7:CC$378&lt;&gt;"",ROW(CC$7:CC$378)-ROW(CC$7)+1),ROWS(CC$7:CC178))),"")</f>
        <v/>
      </c>
      <c r="AB179" s="4" t="str">
        <f t="array" ref="AB179">IFERROR(INDEX(CD$7:CD$378,SMALL(IF(CD$7:CD$378&lt;&gt;"",ROW(CD$7:CD$378)-ROW(CD$7)+1),ROWS(CD$7:CD178))),"")</f>
        <v/>
      </c>
      <c r="AC179" s="4" t="str">
        <f t="array" ref="AC179">IFERROR(INDEX(CE$7:CE$378,SMALL(IF(CE$7:CE$378&lt;&gt;"",ROW(CE$7:CE$378)-ROW(CE$7)+1),ROWS(CE$7:CE178))),"")</f>
        <v/>
      </c>
      <c r="AD179" s="4"/>
      <c r="AE179" s="4"/>
      <c r="AF179" s="4"/>
      <c r="AG179" s="4"/>
      <c r="AH179" s="4"/>
      <c r="AI179" s="4"/>
      <c r="AJ179" s="46" t="str">
        <f>IF(Atletas!D175="","",IF(Atletas!B175="Feminino",100,IF(Atletas!B175="Masculino",200,""))+(IF(Atletas!D175="Infantil 39kg",1,IF(Atletas!D175="Infantil 42kg",2,IF(Atletas!D175="Infantil 45kg",3,IF(Atletas!D175="Infantil 48kg",4,IF(Atletas!D175="Infantil 52kg",5,IF(Atletas!D175="Infantil 56kg",6,IF(Atletas!D175="Infantil 60kg",7,IF(Atletas!D175="Juvenil 48kg",8,IF(Atletas!D175="Juvenil 52kg",9,IF(Atletas!D175="Juvenil 56kg",10,IF(Atletas!D175="Juvenil 60kg",11,IF(Atletas!D175="Juvenil 65kg",12,IF(Atletas!D175="Juvenil 70kg",13,IF(Atletas!D175="Juvenil 75kg",14,IF(Atletas!D175="Juvenil 80kg",15,IF(Atletas!D175="Adulto 48kg",16,IF(Atletas!D175="Adulto 52kg",17,IF(Atletas!D175="Adulto 56kg",18,IF(Atletas!D175="Adulto 60kg",19,IF(Atletas!D175="Adulto 65kg",20,IF(Atletas!D175="Adulto 70kg",21,IF(Atletas!D175="Adulto 75kg",22,IF(Atletas!D175="Adulto 80kg",23,IF(Atletas!D175="Adulto 85kg",24,IF(Atletas!D175="Adulto 90kg",25,IF(Atletas!D175="Adulto +90kg",26,""))))))))))))))))))))))))))))</f>
        <v/>
      </c>
      <c r="AO179" s="10" t="str">
        <f>IF(Atletas!E175="","",IF(Atletas!B175="Feminino",100,IF(Atletas!B175="Masculino",200,""))+(IF(Atletas!E175="Juvenil 44kg",1,IF(Atletas!E175="Juvenil 48kg",2,IF(Atletas!E175="Juvenil 52kg",3,IF(Atletas!E175="Juvenil 56kg",4,IF(Atletas!E175="Juvenil 60kg",5,IF(Atletas!E175="Juvenil 65kg",6,IF(Atletas!E175="Juvenil 70kg",7,IF(Atletas!E175="Juvenil 75kg",8,IF(Atletas!E175="Juvenil 82kg",9,IF(Atletas!E175="Juvenil 90kg",10,IF(Atletas!E175="Juvenil 100kg",11,IF(Atletas!E175="Adulto 48kg",12,IF(Atletas!E175="Adulto 52kg",13,IF(Atletas!E175="Adulto 56kg",14,IF(Atletas!E175="Adulto 60kg",15,IF(Atletas!E175="Adulto 65kg",16,IF(Atletas!E175="Adulto 70kg",17,IF(Atletas!E175="Adulto 75kg",18,IF(Atletas!E175="Adulto 82kg",19,IF(Atletas!E175="Adulto 90kg",20,IF(Atletas!E175="Adulto 100kg",21,IF(Atletas!E175="Adulto +100kg",22,""))))))))))))))))))))))))</f>
        <v/>
      </c>
      <c r="AT179" s="10" t="str">
        <f>IF(Atletas!F175="","",IF(Atletas!B175="Feminino",100,IF(Atletas!B175="Masculino",200,""))+(IF(Atletas!F175="Adulto 48kg",1,IF(Atletas!F175="Adulto 56kg",2,IF(Atletas!F175="Adulto 65kg",3,IF(Atletas!F175="Adulto 75kg",4,IF(Atletas!F175="Adulto +75kg",5,IF(Atletas!F175="Adulto 52kg",6,IF(Atletas!F175="Adulto 60kg",7,IF(Atletas!F175="Adulto 70kg",8,IF(Atletas!F175="Adulto 80kg",9,IF(Atletas!F175="Adulto 90kg",10,IF(Atletas!F175="Adulto +90kg",11,"")))))))))))))</f>
        <v/>
      </c>
      <c r="AY179" s="46" t="str">
        <f>IF(Atletas!G175="","",IF(Atletas!B175="Feminino",100,IF(Atletas!B175="Masculino",200,""))+(IF(Atletas!G175="Changquan Mirim",1,IF(Atletas!G175="Nanquan Mirim",2,IF(Atletas!G175="Taijiquan Mirim",3,IF(Atletas!G175="Changquan Grupo C",4,IF(Atletas!G175="Nanquan Grupo C",5,IF(Atletas!G175="Taijiquan Grupo C",6,IF(Atletas!G175="Changquan Grupo B",7,IF(Atletas!G175="Nanquan Grupo B",8,IF(Atletas!G175="Taijiquan Grupo B",9,IF(Atletas!G175="Changquan Grupo A",10,IF(Atletas!G175="Nanquan Grupo A",11,IF(Atletas!G175="Taijiquan Grupo A",12,IF(Atletas!G175="Changquan Opcional",13,IF(Atletas!G175="Nanquan Opcional",14,IF(Atletas!G175="Taijiquan Opcional",15,IF(Atletas!G175="Changquan Adulto",16,IF(Atletas!G175="Nanquan Adulto",17,IF(Atletas!G175="Taijiquan Adulto",18,""))))))))))))))))))))</f>
        <v/>
      </c>
      <c r="AZ179" s="46" t="str">
        <f>IF(Atletas!H175="","",IF(Atletas!B175="Feminino",100,IF(Atletas!B175="Masculino",200,""))+(IF(Atletas!H175="Daoshu Mirim",19,IF(Atletas!H175="Jianshu Mirim",20,IF(Atletas!H175="Nandao Mirim",21,IF(Atletas!H175="Taijijian Mirim",22,IF(Atletas!H175="Daoshu Grupo C",23,IF(Atletas!H175="Jianshu Grupo C",24,IF(Atletas!H175="Nandao Grupo C",25,IF(Atletas!H175="Taijijian Grupo C",26,IF(Atletas!H175="Daoshu Grupo B",27,IF(Atletas!H175="Jianshu Grupo B",28,IF(Atletas!H175="Nandao Grupo B",29,IF(Atletas!H175="Taijijian Grupo B",30,IF(Atletas!H175="Daoshu Grupo A",31,IF(Atletas!H175="Jianshu Grupo A",32,IF(Atletas!H175="Nandao Grupo A",33,IF(Atletas!H175="Taijijian Grupo A",34,IF(Atletas!H175="Daoshu Opcional",35,IF(Atletas!H175="Jianshu Opcional",36,IF(Atletas!H175="Nandao Opcional",37,IF(Atletas!H175="Taijijian Opcional",38,IF(Atletas!H175="Daoshu Adulto",39,IF(Atletas!H175="Jianshu Adulto",40,IF(Atletas!H175="Nandao Adulto",41,IF(Atletas!H175="Taijijian Adulto",42,""))))))))))))))))))))))))))</f>
        <v/>
      </c>
      <c r="BA179" s="46" t="str">
        <f>IF(Atletas!I175="","",IF(Atletas!B175="Feminino",100,IF(Atletas!B175="Masculino",200,""))+(IF(Atletas!I175="Gunshu Mirim",43,IF(Atletas!I175="Qiangshu Mirim",44,IF(Atletas!I175="Nangun Mirim",45,IF(Atletas!I175="Gunshu Grupo C",46,IF(Atletas!I175="Qiangshu Grupo C",47,IF(Atletas!I175="Nangun Grupo C",48,IF(Atletas!I175="Gunshu Grupo B",49,IF(Atletas!I175="Qiangshu Grupo B",50,IF(Atletas!I175="Nangun Grupo B",51,IF(Atletas!I175="Gunshu Grupo A",52,IF(Atletas!I175="Qiangshu Grupo A",53,IF(Atletas!I175="Nangun Grupo A",54,IF(Atletas!I175="Gunshu Opcional",55,IF(Atletas!I175="Qiangshu Opcional",56,IF(Atletas!I175="Nangun Opcional",57,IF(Atletas!I175="Gunshu Adulto",58,IF(Atletas!I175="Qiangshu Adulto",59,IF(Atletas!I175="Nangun Adulto",60,""))))))))))))))))))))</f>
        <v/>
      </c>
      <c r="BF179" s="52" t="str">
        <f>IF(Atletas!J175="","",IF(Atletas!B175="Feminino",100,IF(Atletas!B175="Masculino",200,""))+(IF(Atletas!J175="Equipe 1 Grupo B",1,IF(Atletas!J175="Equipe 2 Grupo B",2,IF(Atletas!J175="Equipe 1 Grupo A",3,IF(Atletas!J175="Equipe 2 Grupo A",4,IF(Atletas!J175="Equipe 1 Adulto",5,IF(Atletas!J175="Equipe 2 Adulto",6,""))))))))</f>
        <v/>
      </c>
      <c r="BK179" s="52" t="str">
        <f>IF(Atletas!K175="","",IF(Atletas!W175&lt;&gt;"",10000,0)+(IF(Atletas!B175="Feminino",1000,IF(Atletas!B175="Masculino",2000,""))+IF(Atletas!K175="Choylayfut A",1,IF(Atletas!K175="Hunggar A",2,IF(Atletas!K175="Wuzuquan A",3,IF(Atletas!K175="Wingchun A",4,IF(Atletas!K175="Outra Mão de Sul A",5,IF(Atletas!K175="Choylayfut B",6,IF(Atletas!K175="Hunggar B",7,IF(Atletas!K175="Wuzuquan B",8,IF(Atletas!K175="Wingchun B",9,IF(Atletas!K175="Outra Mão de Sul B",10,IF(Atletas!K175="Choylayfut C",11,IF(Atletas!K175="Hunggar C",12,IF(Atletas!K175="Wuzuquan C",13,IF(Atletas!K175="Wingchun C",14,IF(Atletas!K175="Outra Mão de Sul C",15,IF(Atletas!K175="Choylayfut D",16,IF(Atletas!K175="Hunggar D",17,IF(Atletas!K175="Wuzuquan D",18,IF(Atletas!K175="Wingchun D",19,IF(Atletas!K175="Outra Mão de Sul D",20,IF(Atletas!K175="Choylayfut E",21,IF(Atletas!K175="Hunggar E",22,IF(Atletas!K175="Wuzuquan E",23,IF(Atletas!K175="Wingchun E",24,IF(Atletas!K175="Outra Mão de Sul E",25,IF(Atletas!K175="Choylayfut F",26,IF(Atletas!K175="Hunggar F",27,IF(Atletas!K175="Wuzuquan F",28,IF(Atletas!K175="Wingchun F",29,IF(Atletas!K175="Outra Mão de Sul F",30,""))))))))))))))))))))))))))))))))</f>
        <v/>
      </c>
      <c r="BL179" s="52" t="str">
        <f>IF(Atletas!L175="","",IF(Atletas!W175&lt;&gt;"",10000,0)+(IF(Atletas!B175="Feminino",1000,IF(Atletas!B175="Masculino",2000,""))+(IF(Atletas!L175="Chaquan A",101,IF(Atletas!L175="Emeiquan A",102,IF(Atletas!L175="Fanziquan A",103,IF(Atletas!L175="Huaquan A",104,IF(Atletas!L175="Hongquan A",105,IF(Atletas!L175="Paochui A",106,IF(Atletas!L175="Piguaquan A",107,IF(Atletas!L175="Shaolinquan A",108,IF(Atletas!L175="Tanglangquan A",109,IF(Atletas!L175="Yinzhaophai A",110,IF(Atletas!L175="Tongbeiquan A",111,IF(Atletas!L175="Wudangquan A",112,IF(Atletas!L175="Outros Estilos A",113,IF(Atletas!L175="Chaquan B",114,IF(Atletas!L175="Emeiquan B",115,IF(Atletas!L175="Fanziquan B",116,IF(Atletas!L175="Huaquan B",117,IF(Atletas!L175="Hongquan B",118,IF(Atletas!L175="Paochui B",119,IF(Atletas!L175="Piguaquan B",120,IF(Atletas!L175="Shaolinquan B",121,IF(Atletas!L175="Tanglangquan B",122,IF(Atletas!L175="Yinzhaophai B",123,IF(Atletas!L175="Tongbeiquan B",124,IF(Atletas!L175="Wudangquan B",125,IF(Atletas!L175="Outros Estilos B",126,IF(Atletas!L175="Chaquan C",127,IF(Atletas!L175="Emeiquan C",128,IF(Atletas!L175="Fanziquan C",129,IF(Atletas!L175="Huaquan C",130,IF(Atletas!L175="Hongquan C",131,IF(Atletas!L175="Paochui C",132,IF(Atletas!L175="Piguaquan C",133,IF(Atletas!L175="Shaolinquan C",134,IF(Atletas!L175="Tanglangquan C",135,IF(Atletas!L175="Yinzhaophai C",136,IF(Atletas!L175="Tongbeiquan C",137,IF(Atletas!L175="Wudangquan C",138,IF(Atletas!L175="Outros Estilos C",139,0))))))))))))))))))))))))))))))))))))))))))</f>
        <v/>
      </c>
      <c r="BM179" s="52" t="str">
        <f>IF(Atletas!L175="","",IF(Atletas!W175&lt;&gt;"",10000,0)+(IF(Atletas!B175="Feminino",1000,IF(Atletas!B175="Masculino",2000,""))+(IF(Atletas!L175="Chaquan D",140,IF(Atletas!L175="Emeiquan D",141,IF(Atletas!L175="Fanziquan D",142,IF(Atletas!L175="Huaquan D",143,IF(Atletas!L175="Hongquan D",144,IF(Atletas!L175="Paochui D",145,IF(Atletas!L175="Piguaquan D",146,IF(Atletas!L175="Shaolinquan D",147,IF(Atletas!L175="Tanglangquan D",148,IF(Atletas!L175="Yinzhaophai D",149,IF(Atletas!L175="Tongbeiquan D",150,IF(Atletas!L175="Wudangquan D",151,IF(Atletas!L175="Outros Estilos D",152,IF(Atletas!L175="Chaquan E",153,IF(Atletas!L175="Emeiquan E",154,IF(Atletas!L175="Fanziquan E",155,IF(Atletas!L175="Huaquan E",156,IF(Atletas!L175="Hongquan E",157,IF(Atletas!L175="Paochui E",158,IF(Atletas!L175="Piguaquan E",159,IF(Atletas!L175="Shaolinquan E",160,IF(Atletas!L175="Tanglangquan E",161,IF(Atletas!L175="Yinzhaophai E",162,IF(Atletas!L175="Tongbeiquan E",163,IF(Atletas!L175="Wudangquan E",164,IF(Atletas!L175="Outros Estilos E",165,IF(Atletas!L175="Chaquan F",166,IF(Atletas!L175="Emeiquan F",167,IF(Atletas!L175="Fanziquan F",168,IF(Atletas!L175="Huaquan F",169,IF(Atletas!L175="Hongquan F",170,IF(Atletas!L175="Paochui F",171,IF(Atletas!L175="Piguaquan F",172,IF(Atletas!L175="Shaolinquan F",173,IF(Atletas!L175="Tanglangquan F",174,IF(Atletas!L175="Yinzhaophai F",175,IF(Atletas!L175="Tongbeiquan F",176,IF(Atletas!L175="Wudangquan F",177,IF(Atletas!L175="Outros Estilos F",178,0))))))))))))))))))))))))))))))))))))))))))</f>
        <v/>
      </c>
      <c r="BN179" s="52" t="str">
        <f>IF(Atletas!M175="","",IF(Atletas!W175&lt;&gt;"",10000,0)+(IF(Atletas!B175="Feminino",1000,IF(Atletas!B175="Masculino",2000,""))+(IF(Atletas!M175="Ditangquan A",201,IF(Atletas!M175="Houquan A",202,IF(Atletas!M175="Zuiquan A",203,IF(Atletas!M175="Ditangquan B",204,IF(Atletas!M175="Houquan B",205,IF(Atletas!M175="Zuiquan B",206,IF(Atletas!M175="Ditangquan C",207,IF(Atletas!M175="Houquan C",208,IF(Atletas!M175="Zuiquan C",209,IF(Atletas!M175="Ditangquan D",210,IF(Atletas!M175="Houquan D",211,IF(Atletas!M175="Zuiquan D",212,IF(Atletas!M175="Ditangquan E",213,IF(Atletas!M175="Houquan E",214,IF(Atletas!M175="Zuiquan E",215,IF(Atletas!M175="Ditangquan F",216,IF(Atletas!M175="Houquan F",217,IF(Atletas!M175="Zuiquan F",218,"")))))))))))))))))))))</f>
        <v/>
      </c>
      <c r="BO179" s="52" t="str">
        <f>IF(Atletas!N175="","",IF(Atletas!W175&lt;&gt;"",10000,0)+IF(Atletas!B175="Feminino",1000,IF(Atletas!B175="Masculino",2000,""))+IF(Atletas!N175="Yang A",301,IF(Atletas!N175="Chen A",30,IF(Atletas!N175="Sun A",303,IF(Atletas!N175="Wu A",304,IF(Atletas!N175="Wu-Hao A",305,IF(Atletas!N175="Outro Taijiquan A",306,IF(Atletas!N175="Yang B",307,IF(Atletas!N175="Chen B",308,IF(Atletas!N175="Sun B",309,IF(Atletas!N175="Wu B",310,IF(Atletas!N175="Wu-Hao B",311,IF(Atletas!N175="Outro Taijiquan B",312,IF(Atletas!N175="Yang C",313,IF(Atletas!N175="Chen C",314,IF(Atletas!N175="Sun C",315,IF(Atletas!N175="Wu C",316,IF(Atletas!N175="Wu-Hao C",317,IF(Atletas!N175="Outro Taijiquan C",318,IF(Atletas!N175="Yang D",319,IF(Atletas!N175="Chen D",320,IF(Atletas!N175="Sun D",321,IF(Atletas!N175="Wu D",322,IF(Atletas!N175="Wu-Hao D",323,IF(Atletas!N175="Outro Taijiquan D",324,IF(Atletas!N175="Yang E",325,IF(Atletas!N175="Chen E",326,IF(Atletas!N175="Sun E",327,IF(Atletas!N175="Wu E",328,IF(Atletas!N175="Wu-Hao E",329,IF(Atletas!N175="Outro Taijiquan E",330,IF(Atletas!N175="Yang F",331,IF(Atletas!N175="Chen F",332,IF(Atletas!N175="Sun F",333,IF(Atletas!N175="Wu F",334,IF(Atletas!N175="Wu-Hao F",335,IF(Atletas!N175="Outro Taijiquan F",336,"")))))))))))))))))))))))))))))))))))))</f>
        <v/>
      </c>
      <c r="BP179" s="52" t="str">
        <f>IF(Atletas!O175="","",IF(Atletas!W175&lt;&gt;"",10000,0)+IF(Atletas!B175="Feminino",1000,IF(Atletas!B175="Masculino",2000,""))+IF(OR(Atletas!O175="Yang 26 A",Atletas!O175="Yang 40 A"),401,IF(OR(Atletas!O175="Chen 25 A",Atletas!O175="Chen 36 A",Atletas!O175="Chen 56 A"),402,IF(Atletas!O175="Sun 73 A",403,IF(Atletas!O175="Wu 45 A",404,IF(Atletas!O175="Wu-Hao 46 A",405,IF(OR(Atletas!O175="Taijiquan 16 A",Atletas!O175="Taijiquan 24 A",Atletas!O175="Taijiquan 32 A",Atletas!O175="Taijiquan 42 A"),406,IF(OR(Atletas!O175="Yang 26 B",Atletas!O175="Yang 40 B"),407,IF(OR(Atletas!O175="Chen 25 B",Atletas!O175="Chen 36 B",Atletas!O175="Chen 56 B"),408,IF(Atletas!O175="Sun 73 B",409,IF(Atletas!O175="Wu 45 B",410,IF(Atletas!O175="Wu-Hao 46 B",411,IF(OR(Atletas!O175="Taijiquan 16 B",Atletas!O175="Taijiquan 24 B",Atletas!O175="Taijiquan 32 B",Atletas!O175="Taijiquan 42 B"),412,IF(OR(Atletas!O175="Yang 26 C",Atletas!O175="Yang 40 C"),413,IF(OR(Atletas!O175="Chen 25 C",Atletas!O175="Chen 36 C",Atletas!O175="Chen 56 C"),414,IF(Atletas!O175="Sun 73 C",415,IF(Atletas!O175="Wu 45 C",416,IF(Atletas!O175="Wu-Hao 46 C",417,IF(OR(Atletas!O175="Taijiquan 16 C",Atletas!O175="Taijiquan 24 C",Atletas!O175="Taijiquan 32 C",Atletas!O175="Taijiquan 42 C"),418,0)))))))))))))))))))</f>
        <v/>
      </c>
      <c r="BQ179" s="52" t="str">
        <f>IF(Atletas!O175="","",IF(Atletas!W175&lt;&gt;"",10000,0)+IF(Atletas!B175="Feminino",1000,IF(Atletas!B175="Masculino",2000,""))+IF(OR(Atletas!O175="Yang 26 D",Atletas!O175="Yang 40 D"),419,IF(OR(Atletas!O175="Chen 25 D",Atletas!O175="Chen 36 D",Atletas!O175="Chen 56 D"),420,IF(Atletas!O175="Sun 73 D",421,IF(Atletas!O175="Wu 45 D",422,IF(Atletas!O175="Wu-Hao 46 D",423,IF(OR(Atletas!O175="Taijiquan 16 D",Atletas!O175="Taijiquan 24 D",Atletas!O175="Taijiquan 32 D",Atletas!O175="Taijiquan 42 D"),424,IF(OR(Atletas!O175="Yang 26 E",Atletas!O175="Yang 40 E"),425,IF(OR(Atletas!O175="Chen 25 E",Atletas!O175="Chen 36 E",Atletas!O175="Chen 56 E"),426,IF(Atletas!O175="Sun 73 E",427,IF(Atletas!O175="Wu 45 E",428,IF(Atletas!O175="Wu-Hao 46 E",429,IF(OR(Atletas!O175="Taijiquan 16 E",Atletas!O175="Taijiquan 24 E",Atletas!O175="Taijiquan 32 E",Atletas!O175="Taijiquan 42 E"),430,IF(OR(Atletas!O175="Yang 26 F",Atletas!O175="Yang 40 F"),431,IF(OR(Atletas!O175="Chen 25 F",Atletas!O175="Chen 36 F",Atletas!O175="Chen 56 F"),432,IF(Atletas!O175="Sun 73 F",433,IF(Atletas!O175="Wu 45 F",434,IF(Atletas!O175="Wu-Hao 46 F",435,IF(OR(Atletas!O175="Taijiquan 16 F",Atletas!O175="Taijiquan 24 F",Atletas!O175="Taijiquan 32 F",Atletas!O175="Taijiquan 42 F"),436,0)))))))))))))))))))</f>
        <v/>
      </c>
      <c r="BR179" s="52" t="str">
        <f>IF(Atletas!P175="","",IF(Atletas!W175&lt;&gt;"",10000,0)+IF(Atletas!B175="Feminino",1000,IF(Atletas!B175="Masculino",2000,""))+IF(Atletas!P175="Xingyiquan A",501,IF(Atletas!P175="Baguazhang A",502,IF(Atletas!P175="Outro Estilo Interno A",503,IF(Atletas!P175="Xingyiquan B",504,IF(Atletas!P175="Baguazhang B",505,IF(Atletas!P175="Outro Estilo Interno B",506,IF(Atletas!P175="Xingyiquan C",507,IF(Atletas!P175="Baguazhang C",508,IF(Atletas!P175="Outro Estilo Interno C",509,IF(Atletas!P175="Xingyiquan D",510,IF(Atletas!P175="Baguazhang D",511,IF(Atletas!P175="Outro Estilo Interno D",512,IF(Atletas!P175="Xingyiquan E",513,IF(Atletas!P175="Baguazhang E",514,IF(Atletas!P175="Outro Estilo Interno E",515,IF(Atletas!P175="Xingyiquan F",516,IF(Atletas!P175="Baguazhang F",517,IF(Atletas!P175="Outro Estilo Interno F",518, "")))))))))))))))))))</f>
        <v/>
      </c>
      <c r="BS179" s="52" t="str">
        <f>IF(Atletas!Q175="","",IF(Atletas!W175&lt;&gt;"",10000,0)+IF(Atletas!B175="Feminino",1000,IF(Atletas!B175="Masculino",2000,""))+IF(Atletas!Q175="Dao A",601,IF(Atletas!Q175="Jian A",602,IF(Atletas!Q175="Bishou A",603,IF(Atletas!Q175="Shan A",604,IF(Atletas!Q175="Outra Arma Curta A",605,IF(Atletas!Q175="Dao B",606,IF(Atletas!Q175="Jian B",607,IF(Atletas!Q175="Bishou B",608,IF(Atletas!Q175="Shan B",609,IF(Atletas!Q175="Outra Arma Curta B",610,IF(Atletas!Q175="Dao C",611,IF(Atletas!Q175="Jian C",612,IF(Atletas!Q175="Bishou C",613,IF(Atletas!Q175="Shan C",614,IF(Atletas!Q175="Outra Arma Curta C",615,IF(Atletas!Q175="Dao D",616,IF(Atletas!Q175="Jian D",617,IF(Atletas!Q175="Bishou D",618,IF(Atletas!Q175="Shan D",619,IF(Atletas!Q175="Outra Arma Curta D",620,IF(Atletas!Q175="Dao E",621,IF(Atletas!Q175="Jian E",622,IF(Atletas!Q175="Bishou E",623,IF(Atletas!Q175="Shan E",624,IF(Atletas!Q175="Outra Arma Curta E",625,IF(Atletas!Q175="Dao F",626,IF(Atletas!Q175="Jian F",627,IF(Atletas!Q175="Bishou F",628,IF(Atletas!Q175="Shan F",629,IF(Atletas!Q175="Outra Arma Curta F",630, "")))))))))))))))))))))))))))))))</f>
        <v/>
      </c>
      <c r="BT179" s="52" t="str">
        <f>IF(Atletas!R175="","",IF(Atletas!W175&lt;&gt;"",10000,0)+IF(Atletas!B175="Feminino",1000,IF(Atletas!B175="Masculino",2000,""))+IF(Atletas!R175="Gun A",701,IF(Atletas!R175="Qiang A",702,IF(Atletas!R175="Pudao / Guandao A",703,IF(Atletas!R175="Outra Arma Longa A",704,IF(Atletas!R175="Gun B",705,IF(Atletas!R175="Qiang B",706,IF(Atletas!R175="Pudao / Guandao B",707,IF(Atletas!R175="Outra Arma Longa B",708,IF(Atletas!R175="Gun C",709,IF(Atletas!R175="Qiang C",710,IF(Atletas!R175="Pudao / Guandao C",711,IF(Atletas!R175="Outra Arma Longa C",712,IF(Atletas!R175="Gun D",713,IF(Atletas!R175="Qiang D",714,IF(Atletas!R175="Pudao / Guandao D",715,IF(Atletas!R175="Outra Arma Longa D",716,IF(Atletas!R175="Gun E",717,IF(Atletas!R175="Qiang E",718,IF(Atletas!R175="Pudao / Guandao E",719,IF(Atletas!R175="Outra Arma Longa E",720,IF(Atletas!R175="Gun F",721,IF(Atletas!R175="Qiang F",722,IF(Atletas!R175="Pudao / Guandao F",723,IF(Atletas!R175="Outra Arma Longa F",724,"")))))))))))))))))))))))))</f>
        <v/>
      </c>
      <c r="BU179" s="52" t="str">
        <f>IF(Atletas!S175="","",IF(Atletas!W175&lt;&gt;"",10000,0)+IF(Atletas!B175="Feminino",1000,IF(Atletas!B175="Masculino",2000,""))+IF(Atletas!S175="Arma Dupla A",801,IF(Atletas!S175="Arma Maleável A",802,IF(Atletas!S175="Arma Dupla B",803,IF(Atletas!S175="Arma Maleável B",804,IF(Atletas!S175="Arma Dupla C",805,IF(Atletas!S175="Arma Maleável C",806,IF(Atletas!S175="Arma Dupla D",807,IF(Atletas!S175="Arma Maleável D",808,IF(Atletas!S175="Arma Dupla E",809,IF(Atletas!S175="Arma Maleável E",810,IF(Atletas!S175="Arma Dupla F",811,IF(Atletas!S175="Arma Maleável F",812, "")))))))))))))</f>
        <v/>
      </c>
      <c r="BV179" s="52" t="str">
        <f>IF(Atletas!T175="","",IF(Atletas!W175&lt;&gt;"",10000,0)+IF(Atletas!B175="Feminino",1000,IF(Atletas!B175="Masculino",2000,""))+IF(Atletas!T175="Taijijian Yang A",901,IF(Atletas!T175="Taijijian Chen A",902,IF(Atletas!T175="Taijijian Sun A",903,IF(Atletas!T175="Taijijian Wu A",904,IF(Atletas!T175="Taijijian Wu-Hao A",905,IF(Atletas!T175="Taijijian 32 A",906,IF(Atletas!T175="Taijijian 42 A",907,IF(Atletas!T175="Taijijian Yang B",908,IF(Atletas!T175="Taijijian Chen B",909,IF(Atletas!T175="Taijijian Sun B",910,IF(Atletas!T175="Taijijian Wu B",911,IF(Atletas!T175="Taijijian Wu-Hao B",912,IF(Atletas!T175="Taijijian 32 B",913,IF(Atletas!T175="Taijijian 42 B",914,IF(Atletas!T175="Taijijian Yang C",915,IF(Atletas!T175="Taijijian Chen C",916,IF(Atletas!T175="Taijijian Sun C",917,IF(Atletas!T175="Taijijian Wu C",918,IF(Atletas!T175="Taijijian Wu-Hao C",919,IF(Atletas!T175="Taijijian 32 C",920,IF(Atletas!T175="Taijijian 42 C",921,IF(Atletas!T175="Taijijian Yang D",922,IF(Atletas!T175="Taijijian Chen D",923,IF(Atletas!T175="Taijijian Sun D",924,IF(Atletas!T175="Taijijian Wu D",925,IF(Atletas!T175="Taijijian Wu-Hao D",926,IF(Atletas!T175="Taijijian 32 D",927,IF(Atletas!T175="Taijijian 42 D",928,IF(Atletas!T175="Taijijian Yang E",929,IF(Atletas!T175="Taijijian Chen E",930,IF(Atletas!T175="Taijijian Sun E",931,IF(Atletas!T175="Taijijian Wu E",932,IF(Atletas!T175="Taijijian Wu-Hao E",933,IF(Atletas!T175="Taijijian 32 E",934,IF(Atletas!T175="Taijijian 42 E",935,IF(Atletas!T175="Taijijian Yang F",936,IF(Atletas!T175="Taijijian Chen F",937,IF(Atletas!T175="Taijijian Sun F",938,IF(Atletas!T175="Taijijian Wu F",939,IF(Atletas!T175="Taijijian Wu-Hao F",940,IF(Atletas!T175="Taijijian 32 F",941,IF(Atletas!T175="Taijijian 42 F",942,"")))))))))))))))))))))))))))))))))))))))))))</f>
        <v/>
      </c>
      <c r="BW179" s="52" t="str">
        <f>IF(Atletas!U175="","",IF(Atletas!W175&lt;&gt;"",10000,0)+IF(Atletas!B175="Feminino",1000,IF(Atletas!B175="Masculino",2000,""))+IF(Atletas!T175="Taijijian 42 F",942,IF(Atletas!U175="Taijidao A",943,IF(Atletas!U175="Taijishan A",944,IF(Atletas!U175="Taijiqiang A",945,IF(Atletas!U175="Taijidao B",946,IF(Atletas!U175="Taijishan B",947,IF(Atletas!U175="Taijiqiang B",948,IF(Atletas!U175="Taijidao C",949,IF(Atletas!U175="Taijishan C",950,IF(Atletas!U175="Taijiqiang C",951,IF(Atletas!U175="Taijidao D",952,IF(Atletas!U175="Taijishan D",953,IF(Atletas!U175="Taijiqiang D",954,IF(Atletas!U175="Taijidao E",955,IF(Atletas!U175="Taijishan E",956,IF(Atletas!U175="Taijiqiang E",957,IF(Atletas!U175="Taijidao F",958,IF(Atletas!U175="Taijishan F",959,IF(Atletas!U175="Taijiqiang F",960))))))))))))))))))))</f>
        <v/>
      </c>
      <c r="BX179" s="72" t="str">
        <f>IF(BY179&lt;&gt;"","TJQ Padr. Wu-Hao B","")</f>
        <v/>
      </c>
      <c r="BY179" s="72" t="str">
        <f>IF(COUNTIF(BK:BW,1411)&gt;0,COUNTIF(BK:BW,1411),"")</f>
        <v/>
      </c>
      <c r="BZ179" s="72" t="str">
        <f>IF(CA179&lt;&gt;"","TJQ Padr. Wu-Hao B","")</f>
        <v/>
      </c>
      <c r="CA179" s="72" t="str">
        <f>IF(COUNTIF(BK:BW,2411)&gt;0,COUNTIF(BK:BW,2411),"")</f>
        <v/>
      </c>
      <c r="CB179" s="72" t="str">
        <f>IF(CC179&lt;&gt;"","Wu-Hao Novo A","")</f>
        <v/>
      </c>
      <c r="CC179" s="64" t="str">
        <f>IF(COUNTIF(BK:BW,11411)&gt;0,COUNTIF(BK:BW,11411),"")</f>
        <v/>
      </c>
      <c r="CD179" s="64" t="str">
        <f>IF(CE179&lt;&gt;"","Wu-Hao Novo A","")</f>
        <v/>
      </c>
      <c r="CE179" s="64" t="str">
        <f>IF(COUNTIF(BK:BW,12411)&gt;0,COUNTIF(BK:BW,12411),"")</f>
        <v/>
      </c>
      <c r="CF179" s="52" t="str">
        <f xml:space="preserve"> IF(Atletas!V175="","",IF(Atletas!V175="Duilian de Mãos AB - Equipe 1",1,IF(Atletas!V175="Duilian de Mãos AB - Equipe 2",2,IF(Atletas!V175="Duilian de Armas AB - Equipe 1",3,IF(Atletas!V175="Duilian de Armas AB - Equipe 2",4,IF(Atletas!V175="Duilian de Tuishou - Equipe 1",5,IF(Atletas!V175="Duilian de Tuishou - Equipe 2",6,IF(Atletas!V175="Grupo Externo AB - Equipe 1",7,IF(Atletas!V175="Grupo Externo AB - Equipe 2",8,IF(Atletas!V175="Grupo Interno AB - Equipe 1",9,IF(Atletas!V175="Grupo Interno AB - Equipe 2",10,IF(Atletas!V175="Duilian de Mãos CD - Equipe 1",11,IF(Atletas!V175="Duilian de Mãos CD - Equipe 2",12,IF(Atletas!V175="Duilian de Armas CD - Equipe 1",13,IF(Atletas!V175="Duilian de Armas CD - Equipe 2",14,IF(Atletas!V175="Duilian de Tuishou - Equipe 1",15,IF(Atletas!V175="Duilian de Tuishou - Equipe 2",16,IF(Atletas!V175="Grupo Externo CDEF - Equipe 1",17,IF(Atletas!V175="Grupo Externo CDEF - Equipe 2",18,IF(Atletas!V175="Grupo Interno CDEF - Equipe 1",19,IF(Atletas!V175="Grupo Interno CDEF - Equipe 2",20,IF(Atletas!V175="Duilian de Mãos EF - Equipe 1",21,IF(Atletas!V175="Duilian de Mãos EF - Equipe 2",22,IF(Atletas!V175="Duilian de Armas EF - Equipe 1",23,IF(Atletas!V175="Duilian de Armas EF - Equipe 2",24,IF(Atletas!V175="Duilian de Tuishou - Equipe 1",25,IF(Atletas!V175="Duilian de Tuishou - Equipe 2",26,"")))))))))))))))))))))))))))</f>
        <v/>
      </c>
    </row>
    <row r="180" spans="2:84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 t="str">
        <f t="array" ref="V180">IFERROR(INDEX(BX$7:BX$336,SMALL(IF(BX$7:BX$336&lt;&gt;"",ROW(BX$7:BX$336)-ROW(BX$7)+1),ROWS(BX$7:BX179))),"")</f>
        <v/>
      </c>
      <c r="W180" s="4" t="str">
        <f t="array" ref="W180">IFERROR(INDEX(BY$7:BY$336,SMALL(IF(BY$7:BY$336&lt;&gt;"",ROW(BY$7:BY$336)-ROW(BY$7)+1),ROWS(BY$7:BY179))),"")</f>
        <v/>
      </c>
      <c r="X180" s="4" t="str">
        <f t="array" ref="X180">IFERROR(INDEX(BZ$7:BZ$336,SMALL(IF(BZ$7:BZ$336&lt;&gt;"",ROW(BZ$7:BZ$336)-ROW(BZ$7)+1),ROWS(BZ$7:BZ179))),"")</f>
        <v/>
      </c>
      <c r="Y180" s="4" t="str">
        <f t="array" ref="Y180">IFERROR(INDEX(CA$7:CA$336,SMALL(IF(CA$7:CA$336&lt;&gt;"",ROW(CA$7:CA$336)-ROW(CA$7)+1),ROWS(CA$7:CA179))),"")</f>
        <v/>
      </c>
      <c r="Z180" s="4" t="str">
        <f t="array" ref="Z180">IFERROR(INDEX(CB$7:CB$378,SMALL(IF(CB$7:CB$378&lt;&gt;"",ROW(CB$7:CB$378)-ROW(CB$7)+1),ROWS(CB$7:CB179))),"")</f>
        <v/>
      </c>
      <c r="AA180" s="4" t="str">
        <f t="array" ref="AA180">IFERROR(INDEX(CC$7:CC$378,SMALL(IF(CC$7:CC$378&lt;&gt;"",ROW(CC$7:CC$378)-ROW(CC$7)+1),ROWS(CC$7:CC179))),"")</f>
        <v/>
      </c>
      <c r="AB180" s="4" t="str">
        <f t="array" ref="AB180">IFERROR(INDEX(CD$7:CD$378,SMALL(IF(CD$7:CD$378&lt;&gt;"",ROW(CD$7:CD$378)-ROW(CD$7)+1),ROWS(CD$7:CD179))),"")</f>
        <v/>
      </c>
      <c r="AC180" s="4" t="str">
        <f t="array" ref="AC180">IFERROR(INDEX(CE$7:CE$378,SMALL(IF(CE$7:CE$378&lt;&gt;"",ROW(CE$7:CE$378)-ROW(CE$7)+1),ROWS(CE$7:CE179))),"")</f>
        <v/>
      </c>
      <c r="AD180" s="4"/>
      <c r="AE180" s="4"/>
      <c r="AF180" s="4"/>
      <c r="AG180" s="4"/>
      <c r="AH180" s="4"/>
      <c r="AI180" s="4"/>
      <c r="AJ180" s="46" t="str">
        <f>IF(Atletas!D176="","",IF(Atletas!B176="Feminino",100,IF(Atletas!B176="Masculino",200,""))+(IF(Atletas!D176="Infantil 39kg",1,IF(Atletas!D176="Infantil 42kg",2,IF(Atletas!D176="Infantil 45kg",3,IF(Atletas!D176="Infantil 48kg",4,IF(Atletas!D176="Infantil 52kg",5,IF(Atletas!D176="Infantil 56kg",6,IF(Atletas!D176="Infantil 60kg",7,IF(Atletas!D176="Juvenil 48kg",8,IF(Atletas!D176="Juvenil 52kg",9,IF(Atletas!D176="Juvenil 56kg",10,IF(Atletas!D176="Juvenil 60kg",11,IF(Atletas!D176="Juvenil 65kg",12,IF(Atletas!D176="Juvenil 70kg",13,IF(Atletas!D176="Juvenil 75kg",14,IF(Atletas!D176="Juvenil 80kg",15,IF(Atletas!D176="Adulto 48kg",16,IF(Atletas!D176="Adulto 52kg",17,IF(Atletas!D176="Adulto 56kg",18,IF(Atletas!D176="Adulto 60kg",19,IF(Atletas!D176="Adulto 65kg",20,IF(Atletas!D176="Adulto 70kg",21,IF(Atletas!D176="Adulto 75kg",22,IF(Atletas!D176="Adulto 80kg",23,IF(Atletas!D176="Adulto 85kg",24,IF(Atletas!D176="Adulto 90kg",25,IF(Atletas!D176="Adulto +90kg",26,""))))))))))))))))))))))))))))</f>
        <v/>
      </c>
      <c r="AO180" s="10" t="str">
        <f>IF(Atletas!E176="","",IF(Atletas!B176="Feminino",100,IF(Atletas!B176="Masculino",200,""))+(IF(Atletas!E176="Juvenil 44kg",1,IF(Atletas!E176="Juvenil 48kg",2,IF(Atletas!E176="Juvenil 52kg",3,IF(Atletas!E176="Juvenil 56kg",4,IF(Atletas!E176="Juvenil 60kg",5,IF(Atletas!E176="Juvenil 65kg",6,IF(Atletas!E176="Juvenil 70kg",7,IF(Atletas!E176="Juvenil 75kg",8,IF(Atletas!E176="Juvenil 82kg",9,IF(Atletas!E176="Juvenil 90kg",10,IF(Atletas!E176="Juvenil 100kg",11,IF(Atletas!E176="Adulto 48kg",12,IF(Atletas!E176="Adulto 52kg",13,IF(Atletas!E176="Adulto 56kg",14,IF(Atletas!E176="Adulto 60kg",15,IF(Atletas!E176="Adulto 65kg",16,IF(Atletas!E176="Adulto 70kg",17,IF(Atletas!E176="Adulto 75kg",18,IF(Atletas!E176="Adulto 82kg",19,IF(Atletas!E176="Adulto 90kg",20,IF(Atletas!E176="Adulto 100kg",21,IF(Atletas!E176="Adulto +100kg",22,""))))))))))))))))))))))))</f>
        <v/>
      </c>
      <c r="AT180" s="10" t="str">
        <f>IF(Atletas!F176="","",IF(Atletas!B176="Feminino",100,IF(Atletas!B176="Masculino",200,""))+(IF(Atletas!F176="Adulto 48kg",1,IF(Atletas!F176="Adulto 56kg",2,IF(Atletas!F176="Adulto 65kg",3,IF(Atletas!F176="Adulto 75kg",4,IF(Atletas!F176="Adulto +75kg",5,IF(Atletas!F176="Adulto 52kg",6,IF(Atletas!F176="Adulto 60kg",7,IF(Atletas!F176="Adulto 70kg",8,IF(Atletas!F176="Adulto 80kg",9,IF(Atletas!F176="Adulto 90kg",10,IF(Atletas!F176="Adulto +90kg",11,"")))))))))))))</f>
        <v/>
      </c>
      <c r="AY180" s="46" t="str">
        <f>IF(Atletas!G176="","",IF(Atletas!B176="Feminino",100,IF(Atletas!B176="Masculino",200,""))+(IF(Atletas!G176="Changquan Mirim",1,IF(Atletas!G176="Nanquan Mirim",2,IF(Atletas!G176="Taijiquan Mirim",3,IF(Atletas!G176="Changquan Grupo C",4,IF(Atletas!G176="Nanquan Grupo C",5,IF(Atletas!G176="Taijiquan Grupo C",6,IF(Atletas!G176="Changquan Grupo B",7,IF(Atletas!G176="Nanquan Grupo B",8,IF(Atletas!G176="Taijiquan Grupo B",9,IF(Atletas!G176="Changquan Grupo A",10,IF(Atletas!G176="Nanquan Grupo A",11,IF(Atletas!G176="Taijiquan Grupo A",12,IF(Atletas!G176="Changquan Opcional",13,IF(Atletas!G176="Nanquan Opcional",14,IF(Atletas!G176="Taijiquan Opcional",15,IF(Atletas!G176="Changquan Adulto",16,IF(Atletas!G176="Nanquan Adulto",17,IF(Atletas!G176="Taijiquan Adulto",18,""))))))))))))))))))))</f>
        <v/>
      </c>
      <c r="AZ180" s="46" t="str">
        <f>IF(Atletas!H176="","",IF(Atletas!B176="Feminino",100,IF(Atletas!B176="Masculino",200,""))+(IF(Atletas!H176="Daoshu Mirim",19,IF(Atletas!H176="Jianshu Mirim",20,IF(Atletas!H176="Nandao Mirim",21,IF(Atletas!H176="Taijijian Mirim",22,IF(Atletas!H176="Daoshu Grupo C",23,IF(Atletas!H176="Jianshu Grupo C",24,IF(Atletas!H176="Nandao Grupo C",25,IF(Atletas!H176="Taijijian Grupo C",26,IF(Atletas!H176="Daoshu Grupo B",27,IF(Atletas!H176="Jianshu Grupo B",28,IF(Atletas!H176="Nandao Grupo B",29,IF(Atletas!H176="Taijijian Grupo B",30,IF(Atletas!H176="Daoshu Grupo A",31,IF(Atletas!H176="Jianshu Grupo A",32,IF(Atletas!H176="Nandao Grupo A",33,IF(Atletas!H176="Taijijian Grupo A",34,IF(Atletas!H176="Daoshu Opcional",35,IF(Atletas!H176="Jianshu Opcional",36,IF(Atletas!H176="Nandao Opcional",37,IF(Atletas!H176="Taijijian Opcional",38,IF(Atletas!H176="Daoshu Adulto",39,IF(Atletas!H176="Jianshu Adulto",40,IF(Atletas!H176="Nandao Adulto",41,IF(Atletas!H176="Taijijian Adulto",42,""))))))))))))))))))))))))))</f>
        <v/>
      </c>
      <c r="BA180" s="46" t="str">
        <f>IF(Atletas!I176="","",IF(Atletas!B176="Feminino",100,IF(Atletas!B176="Masculino",200,""))+(IF(Atletas!I176="Gunshu Mirim",43,IF(Atletas!I176="Qiangshu Mirim",44,IF(Atletas!I176="Nangun Mirim",45,IF(Atletas!I176="Gunshu Grupo C",46,IF(Atletas!I176="Qiangshu Grupo C",47,IF(Atletas!I176="Nangun Grupo C",48,IF(Atletas!I176="Gunshu Grupo B",49,IF(Atletas!I176="Qiangshu Grupo B",50,IF(Atletas!I176="Nangun Grupo B",51,IF(Atletas!I176="Gunshu Grupo A",52,IF(Atletas!I176="Qiangshu Grupo A",53,IF(Atletas!I176="Nangun Grupo A",54,IF(Atletas!I176="Gunshu Opcional",55,IF(Atletas!I176="Qiangshu Opcional",56,IF(Atletas!I176="Nangun Opcional",57,IF(Atletas!I176="Gunshu Adulto",58,IF(Atletas!I176="Qiangshu Adulto",59,IF(Atletas!I176="Nangun Adulto",60,""))))))))))))))))))))</f>
        <v/>
      </c>
      <c r="BF180" s="52" t="str">
        <f>IF(Atletas!J176="","",IF(Atletas!B176="Feminino",100,IF(Atletas!B176="Masculino",200,""))+(IF(Atletas!J176="Equipe 1 Grupo B",1,IF(Atletas!J176="Equipe 2 Grupo B",2,IF(Atletas!J176="Equipe 1 Grupo A",3,IF(Atletas!J176="Equipe 2 Grupo A",4,IF(Atletas!J176="Equipe 1 Adulto",5,IF(Atletas!J176="Equipe 2 Adulto",6,""))))))))</f>
        <v/>
      </c>
      <c r="BK180" s="52" t="str">
        <f>IF(Atletas!K176="","",IF(Atletas!W176&lt;&gt;"",10000,0)+(IF(Atletas!B176="Feminino",1000,IF(Atletas!B176="Masculino",2000,""))+IF(Atletas!K176="Choylayfut A",1,IF(Atletas!K176="Hunggar A",2,IF(Atletas!K176="Wuzuquan A",3,IF(Atletas!K176="Wingchun A",4,IF(Atletas!K176="Outra Mão de Sul A",5,IF(Atletas!K176="Choylayfut B",6,IF(Atletas!K176="Hunggar B",7,IF(Atletas!K176="Wuzuquan B",8,IF(Atletas!K176="Wingchun B",9,IF(Atletas!K176="Outra Mão de Sul B",10,IF(Atletas!K176="Choylayfut C",11,IF(Atletas!K176="Hunggar C",12,IF(Atletas!K176="Wuzuquan C",13,IF(Atletas!K176="Wingchun C",14,IF(Atletas!K176="Outra Mão de Sul C",15,IF(Atletas!K176="Choylayfut D",16,IF(Atletas!K176="Hunggar D",17,IF(Atletas!K176="Wuzuquan D",18,IF(Atletas!K176="Wingchun D",19,IF(Atletas!K176="Outra Mão de Sul D",20,IF(Atletas!K176="Choylayfut E",21,IF(Atletas!K176="Hunggar E",22,IF(Atletas!K176="Wuzuquan E",23,IF(Atletas!K176="Wingchun E",24,IF(Atletas!K176="Outra Mão de Sul E",25,IF(Atletas!K176="Choylayfut F",26,IF(Atletas!K176="Hunggar F",27,IF(Atletas!K176="Wuzuquan F",28,IF(Atletas!K176="Wingchun F",29,IF(Atletas!K176="Outra Mão de Sul F",30,""))))))))))))))))))))))))))))))))</f>
        <v/>
      </c>
      <c r="BL180" s="52" t="str">
        <f>IF(Atletas!L176="","",IF(Atletas!W176&lt;&gt;"",10000,0)+(IF(Atletas!B176="Feminino",1000,IF(Atletas!B176="Masculino",2000,""))+(IF(Atletas!L176="Chaquan A",101,IF(Atletas!L176="Emeiquan A",102,IF(Atletas!L176="Fanziquan A",103,IF(Atletas!L176="Huaquan A",104,IF(Atletas!L176="Hongquan A",105,IF(Atletas!L176="Paochui A",106,IF(Atletas!L176="Piguaquan A",107,IF(Atletas!L176="Shaolinquan A",108,IF(Atletas!L176="Tanglangquan A",109,IF(Atletas!L176="Yinzhaophai A",110,IF(Atletas!L176="Tongbeiquan A",111,IF(Atletas!L176="Wudangquan A",112,IF(Atletas!L176="Outros Estilos A",113,IF(Atletas!L176="Chaquan B",114,IF(Atletas!L176="Emeiquan B",115,IF(Atletas!L176="Fanziquan B",116,IF(Atletas!L176="Huaquan B",117,IF(Atletas!L176="Hongquan B",118,IF(Atletas!L176="Paochui B",119,IF(Atletas!L176="Piguaquan B",120,IF(Atletas!L176="Shaolinquan B",121,IF(Atletas!L176="Tanglangquan B",122,IF(Atletas!L176="Yinzhaophai B",123,IF(Atletas!L176="Tongbeiquan B",124,IF(Atletas!L176="Wudangquan B",125,IF(Atletas!L176="Outros Estilos B",126,IF(Atletas!L176="Chaquan C",127,IF(Atletas!L176="Emeiquan C",128,IF(Atletas!L176="Fanziquan C",129,IF(Atletas!L176="Huaquan C",130,IF(Atletas!L176="Hongquan C",131,IF(Atletas!L176="Paochui C",132,IF(Atletas!L176="Piguaquan C",133,IF(Atletas!L176="Shaolinquan C",134,IF(Atletas!L176="Tanglangquan C",135,IF(Atletas!L176="Yinzhaophai C",136,IF(Atletas!L176="Tongbeiquan C",137,IF(Atletas!L176="Wudangquan C",138,IF(Atletas!L176="Outros Estilos C",139,0))))))))))))))))))))))))))))))))))))))))))</f>
        <v/>
      </c>
      <c r="BM180" s="52" t="str">
        <f>IF(Atletas!L176="","",IF(Atletas!W176&lt;&gt;"",10000,0)+(IF(Atletas!B176="Feminino",1000,IF(Atletas!B176="Masculino",2000,""))+(IF(Atletas!L176="Chaquan D",140,IF(Atletas!L176="Emeiquan D",141,IF(Atletas!L176="Fanziquan D",142,IF(Atletas!L176="Huaquan D",143,IF(Atletas!L176="Hongquan D",144,IF(Atletas!L176="Paochui D",145,IF(Atletas!L176="Piguaquan D",146,IF(Atletas!L176="Shaolinquan D",147,IF(Atletas!L176="Tanglangquan D",148,IF(Atletas!L176="Yinzhaophai D",149,IF(Atletas!L176="Tongbeiquan D",150,IF(Atletas!L176="Wudangquan D",151,IF(Atletas!L176="Outros Estilos D",152,IF(Atletas!L176="Chaquan E",153,IF(Atletas!L176="Emeiquan E",154,IF(Atletas!L176="Fanziquan E",155,IF(Atletas!L176="Huaquan E",156,IF(Atletas!L176="Hongquan E",157,IF(Atletas!L176="Paochui E",158,IF(Atletas!L176="Piguaquan E",159,IF(Atletas!L176="Shaolinquan E",160,IF(Atletas!L176="Tanglangquan E",161,IF(Atletas!L176="Yinzhaophai E",162,IF(Atletas!L176="Tongbeiquan E",163,IF(Atletas!L176="Wudangquan E",164,IF(Atletas!L176="Outros Estilos E",165,IF(Atletas!L176="Chaquan F",166,IF(Atletas!L176="Emeiquan F",167,IF(Atletas!L176="Fanziquan F",168,IF(Atletas!L176="Huaquan F",169,IF(Atletas!L176="Hongquan F",170,IF(Atletas!L176="Paochui F",171,IF(Atletas!L176="Piguaquan F",172,IF(Atletas!L176="Shaolinquan F",173,IF(Atletas!L176="Tanglangquan F",174,IF(Atletas!L176="Yinzhaophai F",175,IF(Atletas!L176="Tongbeiquan F",176,IF(Atletas!L176="Wudangquan F",177,IF(Atletas!L176="Outros Estilos F",178,0))))))))))))))))))))))))))))))))))))))))))</f>
        <v/>
      </c>
      <c r="BN180" s="52" t="str">
        <f>IF(Atletas!M176="","",IF(Atletas!W176&lt;&gt;"",10000,0)+(IF(Atletas!B176="Feminino",1000,IF(Atletas!B176="Masculino",2000,""))+(IF(Atletas!M176="Ditangquan A",201,IF(Atletas!M176="Houquan A",202,IF(Atletas!M176="Zuiquan A",203,IF(Atletas!M176="Ditangquan B",204,IF(Atletas!M176="Houquan B",205,IF(Atletas!M176="Zuiquan B",206,IF(Atletas!M176="Ditangquan C",207,IF(Atletas!M176="Houquan C",208,IF(Atletas!M176="Zuiquan C",209,IF(Atletas!M176="Ditangquan D",210,IF(Atletas!M176="Houquan D",211,IF(Atletas!M176="Zuiquan D",212,IF(Atletas!M176="Ditangquan E",213,IF(Atletas!M176="Houquan E",214,IF(Atletas!M176="Zuiquan E",215,IF(Atletas!M176="Ditangquan F",216,IF(Atletas!M176="Houquan F",217,IF(Atletas!M176="Zuiquan F",218,"")))))))))))))))))))))</f>
        <v/>
      </c>
      <c r="BO180" s="52" t="str">
        <f>IF(Atletas!N176="","",IF(Atletas!W176&lt;&gt;"",10000,0)+IF(Atletas!B176="Feminino",1000,IF(Atletas!B176="Masculino",2000,""))+IF(Atletas!N176="Yang A",301,IF(Atletas!N176="Chen A",30,IF(Atletas!N176="Sun A",303,IF(Atletas!N176="Wu A",304,IF(Atletas!N176="Wu-Hao A",305,IF(Atletas!N176="Outro Taijiquan A",306,IF(Atletas!N176="Yang B",307,IF(Atletas!N176="Chen B",308,IF(Atletas!N176="Sun B",309,IF(Atletas!N176="Wu B",310,IF(Atletas!N176="Wu-Hao B",311,IF(Atletas!N176="Outro Taijiquan B",312,IF(Atletas!N176="Yang C",313,IF(Atletas!N176="Chen C",314,IF(Atletas!N176="Sun C",315,IF(Atletas!N176="Wu C",316,IF(Atletas!N176="Wu-Hao C",317,IF(Atletas!N176="Outro Taijiquan C",318,IF(Atletas!N176="Yang D",319,IF(Atletas!N176="Chen D",320,IF(Atletas!N176="Sun D",321,IF(Atletas!N176="Wu D",322,IF(Atletas!N176="Wu-Hao D",323,IF(Atletas!N176="Outro Taijiquan D",324,IF(Atletas!N176="Yang E",325,IF(Atletas!N176="Chen E",326,IF(Atletas!N176="Sun E",327,IF(Atletas!N176="Wu E",328,IF(Atletas!N176="Wu-Hao E",329,IF(Atletas!N176="Outro Taijiquan E",330,IF(Atletas!N176="Yang F",331,IF(Atletas!N176="Chen F",332,IF(Atletas!N176="Sun F",333,IF(Atletas!N176="Wu F",334,IF(Atletas!N176="Wu-Hao F",335,IF(Atletas!N176="Outro Taijiquan F",336,"")))))))))))))))))))))))))))))))))))))</f>
        <v/>
      </c>
      <c r="BP180" s="52" t="str">
        <f>IF(Atletas!O176="","",IF(Atletas!W176&lt;&gt;"",10000,0)+IF(Atletas!B176="Feminino",1000,IF(Atletas!B176="Masculino",2000,""))+IF(OR(Atletas!O176="Yang 26 A",Atletas!O176="Yang 40 A"),401,IF(OR(Atletas!O176="Chen 25 A",Atletas!O176="Chen 36 A",Atletas!O176="Chen 56 A"),402,IF(Atletas!O176="Sun 73 A",403,IF(Atletas!O176="Wu 45 A",404,IF(Atletas!O176="Wu-Hao 46 A",405,IF(OR(Atletas!O176="Taijiquan 16 A",Atletas!O176="Taijiquan 24 A",Atletas!O176="Taijiquan 32 A",Atletas!O176="Taijiquan 42 A"),406,IF(OR(Atletas!O176="Yang 26 B",Atletas!O176="Yang 40 B"),407,IF(OR(Atletas!O176="Chen 25 B",Atletas!O176="Chen 36 B",Atletas!O176="Chen 56 B"),408,IF(Atletas!O176="Sun 73 B",409,IF(Atletas!O176="Wu 45 B",410,IF(Atletas!O176="Wu-Hao 46 B",411,IF(OR(Atletas!O176="Taijiquan 16 B",Atletas!O176="Taijiquan 24 B",Atletas!O176="Taijiquan 32 B",Atletas!O176="Taijiquan 42 B"),412,IF(OR(Atletas!O176="Yang 26 C",Atletas!O176="Yang 40 C"),413,IF(OR(Atletas!O176="Chen 25 C",Atletas!O176="Chen 36 C",Atletas!O176="Chen 56 C"),414,IF(Atletas!O176="Sun 73 C",415,IF(Atletas!O176="Wu 45 C",416,IF(Atletas!O176="Wu-Hao 46 C",417,IF(OR(Atletas!O176="Taijiquan 16 C",Atletas!O176="Taijiquan 24 C",Atletas!O176="Taijiquan 32 C",Atletas!O176="Taijiquan 42 C"),418,0)))))))))))))))))))</f>
        <v/>
      </c>
      <c r="BQ180" s="52" t="str">
        <f>IF(Atletas!O176="","",IF(Atletas!W176&lt;&gt;"",10000,0)+IF(Atletas!B176="Feminino",1000,IF(Atletas!B176="Masculino",2000,""))+IF(OR(Atletas!O176="Yang 26 D",Atletas!O176="Yang 40 D"),419,IF(OR(Atletas!O176="Chen 25 D",Atletas!O176="Chen 36 D",Atletas!O176="Chen 56 D"),420,IF(Atletas!O176="Sun 73 D",421,IF(Atletas!O176="Wu 45 D",422,IF(Atletas!O176="Wu-Hao 46 D",423,IF(OR(Atletas!O176="Taijiquan 16 D",Atletas!O176="Taijiquan 24 D",Atletas!O176="Taijiquan 32 D",Atletas!O176="Taijiquan 42 D"),424,IF(OR(Atletas!O176="Yang 26 E",Atletas!O176="Yang 40 E"),425,IF(OR(Atletas!O176="Chen 25 E",Atletas!O176="Chen 36 E",Atletas!O176="Chen 56 E"),426,IF(Atletas!O176="Sun 73 E",427,IF(Atletas!O176="Wu 45 E",428,IF(Atletas!O176="Wu-Hao 46 E",429,IF(OR(Atletas!O176="Taijiquan 16 E",Atletas!O176="Taijiquan 24 E",Atletas!O176="Taijiquan 32 E",Atletas!O176="Taijiquan 42 E"),430,IF(OR(Atletas!O176="Yang 26 F",Atletas!O176="Yang 40 F"),431,IF(OR(Atletas!O176="Chen 25 F",Atletas!O176="Chen 36 F",Atletas!O176="Chen 56 F"),432,IF(Atletas!O176="Sun 73 F",433,IF(Atletas!O176="Wu 45 F",434,IF(Atletas!O176="Wu-Hao 46 F",435,IF(OR(Atletas!O176="Taijiquan 16 F",Atletas!O176="Taijiquan 24 F",Atletas!O176="Taijiquan 32 F",Atletas!O176="Taijiquan 42 F"),436,0)))))))))))))))))))</f>
        <v/>
      </c>
      <c r="BR180" s="52" t="str">
        <f>IF(Atletas!P176="","",IF(Atletas!W176&lt;&gt;"",10000,0)+IF(Atletas!B176="Feminino",1000,IF(Atletas!B176="Masculino",2000,""))+IF(Atletas!P176="Xingyiquan A",501,IF(Atletas!P176="Baguazhang A",502,IF(Atletas!P176="Outro Estilo Interno A",503,IF(Atletas!P176="Xingyiquan B",504,IF(Atletas!P176="Baguazhang B",505,IF(Atletas!P176="Outro Estilo Interno B",506,IF(Atletas!P176="Xingyiquan C",507,IF(Atletas!P176="Baguazhang C",508,IF(Atletas!P176="Outro Estilo Interno C",509,IF(Atletas!P176="Xingyiquan D",510,IF(Atletas!P176="Baguazhang D",511,IF(Atletas!P176="Outro Estilo Interno D",512,IF(Atletas!P176="Xingyiquan E",513,IF(Atletas!P176="Baguazhang E",514,IF(Atletas!P176="Outro Estilo Interno E",515,IF(Atletas!P176="Xingyiquan F",516,IF(Atletas!P176="Baguazhang F",517,IF(Atletas!P176="Outro Estilo Interno F",518, "")))))))))))))))))))</f>
        <v/>
      </c>
      <c r="BS180" s="52" t="str">
        <f>IF(Atletas!Q176="","",IF(Atletas!W176&lt;&gt;"",10000,0)+IF(Atletas!B176="Feminino",1000,IF(Atletas!B176="Masculino",2000,""))+IF(Atletas!Q176="Dao A",601,IF(Atletas!Q176="Jian A",602,IF(Atletas!Q176="Bishou A",603,IF(Atletas!Q176="Shan A",604,IF(Atletas!Q176="Outra Arma Curta A",605,IF(Atletas!Q176="Dao B",606,IF(Atletas!Q176="Jian B",607,IF(Atletas!Q176="Bishou B",608,IF(Atletas!Q176="Shan B",609,IF(Atletas!Q176="Outra Arma Curta B",610,IF(Atletas!Q176="Dao C",611,IF(Atletas!Q176="Jian C",612,IF(Atletas!Q176="Bishou C",613,IF(Atletas!Q176="Shan C",614,IF(Atletas!Q176="Outra Arma Curta C",615,IF(Atletas!Q176="Dao D",616,IF(Atletas!Q176="Jian D",617,IF(Atletas!Q176="Bishou D",618,IF(Atletas!Q176="Shan D",619,IF(Atletas!Q176="Outra Arma Curta D",620,IF(Atletas!Q176="Dao E",621,IF(Atletas!Q176="Jian E",622,IF(Atletas!Q176="Bishou E",623,IF(Atletas!Q176="Shan E",624,IF(Atletas!Q176="Outra Arma Curta E",625,IF(Atletas!Q176="Dao F",626,IF(Atletas!Q176="Jian F",627,IF(Atletas!Q176="Bishou F",628,IF(Atletas!Q176="Shan F",629,IF(Atletas!Q176="Outra Arma Curta F",630, "")))))))))))))))))))))))))))))))</f>
        <v/>
      </c>
      <c r="BT180" s="52" t="str">
        <f>IF(Atletas!R176="","",IF(Atletas!W176&lt;&gt;"",10000,0)+IF(Atletas!B176="Feminino",1000,IF(Atletas!B176="Masculino",2000,""))+IF(Atletas!R176="Gun A",701,IF(Atletas!R176="Qiang A",702,IF(Atletas!R176="Pudao / Guandao A",703,IF(Atletas!R176="Outra Arma Longa A",704,IF(Atletas!R176="Gun B",705,IF(Atletas!R176="Qiang B",706,IF(Atletas!R176="Pudao / Guandao B",707,IF(Atletas!R176="Outra Arma Longa B",708,IF(Atletas!R176="Gun C",709,IF(Atletas!R176="Qiang C",710,IF(Atletas!R176="Pudao / Guandao C",711,IF(Atletas!R176="Outra Arma Longa C",712,IF(Atletas!R176="Gun D",713,IF(Atletas!R176="Qiang D",714,IF(Atletas!R176="Pudao / Guandao D",715,IF(Atletas!R176="Outra Arma Longa D",716,IF(Atletas!R176="Gun E",717,IF(Atletas!R176="Qiang E",718,IF(Atletas!R176="Pudao / Guandao E",719,IF(Atletas!R176="Outra Arma Longa E",720,IF(Atletas!R176="Gun F",721,IF(Atletas!R176="Qiang F",722,IF(Atletas!R176="Pudao / Guandao F",723,IF(Atletas!R176="Outra Arma Longa F",724,"")))))))))))))))))))))))))</f>
        <v/>
      </c>
      <c r="BU180" s="52" t="str">
        <f>IF(Atletas!S176="","",IF(Atletas!W176&lt;&gt;"",10000,0)+IF(Atletas!B176="Feminino",1000,IF(Atletas!B176="Masculino",2000,""))+IF(Atletas!S176="Arma Dupla A",801,IF(Atletas!S176="Arma Maleável A",802,IF(Atletas!S176="Arma Dupla B",803,IF(Atletas!S176="Arma Maleável B",804,IF(Atletas!S176="Arma Dupla C",805,IF(Atletas!S176="Arma Maleável C",806,IF(Atletas!S176="Arma Dupla D",807,IF(Atletas!S176="Arma Maleável D",808,IF(Atletas!S176="Arma Dupla E",809,IF(Atletas!S176="Arma Maleável E",810,IF(Atletas!S176="Arma Dupla F",811,IF(Atletas!S176="Arma Maleável F",812, "")))))))))))))</f>
        <v/>
      </c>
      <c r="BV180" s="52" t="str">
        <f>IF(Atletas!T176="","",IF(Atletas!W176&lt;&gt;"",10000,0)+IF(Atletas!B176="Feminino",1000,IF(Atletas!B176="Masculino",2000,""))+IF(Atletas!T176="Taijijian Yang A",901,IF(Atletas!T176="Taijijian Chen A",902,IF(Atletas!T176="Taijijian Sun A",903,IF(Atletas!T176="Taijijian Wu A",904,IF(Atletas!T176="Taijijian Wu-Hao A",905,IF(Atletas!T176="Taijijian 32 A",906,IF(Atletas!T176="Taijijian 42 A",907,IF(Atletas!T176="Taijijian Yang B",908,IF(Atletas!T176="Taijijian Chen B",909,IF(Atletas!T176="Taijijian Sun B",910,IF(Atletas!T176="Taijijian Wu B",911,IF(Atletas!T176="Taijijian Wu-Hao B",912,IF(Atletas!T176="Taijijian 32 B",913,IF(Atletas!T176="Taijijian 42 B",914,IF(Atletas!T176="Taijijian Yang C",915,IF(Atletas!T176="Taijijian Chen C",916,IF(Atletas!T176="Taijijian Sun C",917,IF(Atletas!T176="Taijijian Wu C",918,IF(Atletas!T176="Taijijian Wu-Hao C",919,IF(Atletas!T176="Taijijian 32 C",920,IF(Atletas!T176="Taijijian 42 C",921,IF(Atletas!T176="Taijijian Yang D",922,IF(Atletas!T176="Taijijian Chen D",923,IF(Atletas!T176="Taijijian Sun D",924,IF(Atletas!T176="Taijijian Wu D",925,IF(Atletas!T176="Taijijian Wu-Hao D",926,IF(Atletas!T176="Taijijian 32 D",927,IF(Atletas!T176="Taijijian 42 D",928,IF(Atletas!T176="Taijijian Yang E",929,IF(Atletas!T176="Taijijian Chen E",930,IF(Atletas!T176="Taijijian Sun E",931,IF(Atletas!T176="Taijijian Wu E",932,IF(Atletas!T176="Taijijian Wu-Hao E",933,IF(Atletas!T176="Taijijian 32 E",934,IF(Atletas!T176="Taijijian 42 E",935,IF(Atletas!T176="Taijijian Yang F",936,IF(Atletas!T176="Taijijian Chen F",937,IF(Atletas!T176="Taijijian Sun F",938,IF(Atletas!T176="Taijijian Wu F",939,IF(Atletas!T176="Taijijian Wu-Hao F",940,IF(Atletas!T176="Taijijian 32 F",941,IF(Atletas!T176="Taijijian 42 F",942,"")))))))))))))))))))))))))))))))))))))))))))</f>
        <v/>
      </c>
      <c r="BW180" s="52" t="str">
        <f>IF(Atletas!U176="","",IF(Atletas!W176&lt;&gt;"",10000,0)+IF(Atletas!B176="Feminino",1000,IF(Atletas!B176="Masculino",2000,""))+IF(Atletas!T176="Taijijian 42 F",942,IF(Atletas!U176="Taijidao A",943,IF(Atletas!U176="Taijishan A",944,IF(Atletas!U176="Taijiqiang A",945,IF(Atletas!U176="Taijidao B",946,IF(Atletas!U176="Taijishan B",947,IF(Atletas!U176="Taijiqiang B",948,IF(Atletas!U176="Taijidao C",949,IF(Atletas!U176="Taijishan C",950,IF(Atletas!U176="Taijiqiang C",951,IF(Atletas!U176="Taijidao D",952,IF(Atletas!U176="Taijishan D",953,IF(Atletas!U176="Taijiqiang D",954,IF(Atletas!U176="Taijidao E",955,IF(Atletas!U176="Taijishan E",956,IF(Atletas!U176="Taijiqiang E",957,IF(Atletas!U176="Taijidao F",958,IF(Atletas!U176="Taijishan F",959,IF(Atletas!U176="Taijiqiang F",960))))))))))))))))))))</f>
        <v/>
      </c>
      <c r="BX180" s="72" t="str">
        <f>IF(BY180&lt;&gt;"","TJQ Padr. Combinado B","")</f>
        <v/>
      </c>
      <c r="BY180" s="72" t="str">
        <f>IF(COUNTIF(BK:BW,1412)&gt;0,COUNTIF(BK:BW,1412),"")</f>
        <v/>
      </c>
      <c r="BZ180" s="72" t="str">
        <f>IF(CA180&lt;&gt;"","TJQ Padr. Combinado B","")</f>
        <v/>
      </c>
      <c r="CA180" s="72" t="str">
        <f>IF(COUNTIF(BK:BW,2412)&gt;0,COUNTIF(BK:BW,2412),"")</f>
        <v/>
      </c>
      <c r="CB180" s="72" t="str">
        <f>IF(CC180&lt;&gt;"","Sun 73 A","")</f>
        <v/>
      </c>
      <c r="CC180" s="64" t="str">
        <f>IF(COUNTIF(BK:BW,11412)&gt;0,COUNTIF(BK:BW,11412),"")</f>
        <v/>
      </c>
      <c r="CD180" s="64" t="str">
        <f>IF(CE180&lt;&gt;"","Sun 73 A","")</f>
        <v/>
      </c>
      <c r="CE180" s="64" t="str">
        <f>IF(COUNTIF(BK:BW,12412)&gt;0,COUNTIF(BK:BW,12412),"")</f>
        <v/>
      </c>
      <c r="CF180" s="52" t="str">
        <f xml:space="preserve"> IF(Atletas!V176="","",IF(Atletas!V176="Duilian de Mãos AB - Equipe 1",1,IF(Atletas!V176="Duilian de Mãos AB - Equipe 2",2,IF(Atletas!V176="Duilian de Armas AB - Equipe 1",3,IF(Atletas!V176="Duilian de Armas AB - Equipe 2",4,IF(Atletas!V176="Duilian de Tuishou - Equipe 1",5,IF(Atletas!V176="Duilian de Tuishou - Equipe 2",6,IF(Atletas!V176="Grupo Externo AB - Equipe 1",7,IF(Atletas!V176="Grupo Externo AB - Equipe 2",8,IF(Atletas!V176="Grupo Interno AB - Equipe 1",9,IF(Atletas!V176="Grupo Interno AB - Equipe 2",10,IF(Atletas!V176="Duilian de Mãos CD - Equipe 1",11,IF(Atletas!V176="Duilian de Mãos CD - Equipe 2",12,IF(Atletas!V176="Duilian de Armas CD - Equipe 1",13,IF(Atletas!V176="Duilian de Armas CD - Equipe 2",14,IF(Atletas!V176="Duilian de Tuishou - Equipe 1",15,IF(Atletas!V176="Duilian de Tuishou - Equipe 2",16,IF(Atletas!V176="Grupo Externo CDEF - Equipe 1",17,IF(Atletas!V176="Grupo Externo CDEF - Equipe 2",18,IF(Atletas!V176="Grupo Interno CDEF - Equipe 1",19,IF(Atletas!V176="Grupo Interno CDEF - Equipe 2",20,IF(Atletas!V176="Duilian de Mãos EF - Equipe 1",21,IF(Atletas!V176="Duilian de Mãos EF - Equipe 2",22,IF(Atletas!V176="Duilian de Armas EF - Equipe 1",23,IF(Atletas!V176="Duilian de Armas EF - Equipe 2",24,IF(Atletas!V176="Duilian de Tuishou - Equipe 1",25,IF(Atletas!V176="Duilian de Tuishou - Equipe 2",26,"")))))))))))))))))))))))))))</f>
        <v/>
      </c>
    </row>
    <row r="181" spans="2:84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 t="str">
        <f t="array" ref="V181">IFERROR(INDEX(BX$7:BX$336,SMALL(IF(BX$7:BX$336&lt;&gt;"",ROW(BX$7:BX$336)-ROW(BX$7)+1),ROWS(BX$7:BX180))),"")</f>
        <v/>
      </c>
      <c r="W181" s="4" t="str">
        <f t="array" ref="W181">IFERROR(INDEX(BY$7:BY$336,SMALL(IF(BY$7:BY$336&lt;&gt;"",ROW(BY$7:BY$336)-ROW(BY$7)+1),ROWS(BY$7:BY180))),"")</f>
        <v/>
      </c>
      <c r="X181" s="4" t="str">
        <f t="array" ref="X181">IFERROR(INDEX(BZ$7:BZ$336,SMALL(IF(BZ$7:BZ$336&lt;&gt;"",ROW(BZ$7:BZ$336)-ROW(BZ$7)+1),ROWS(BZ$7:BZ180))),"")</f>
        <v/>
      </c>
      <c r="Y181" s="4" t="str">
        <f t="array" ref="Y181">IFERROR(INDEX(CA$7:CA$336,SMALL(IF(CA$7:CA$336&lt;&gt;"",ROW(CA$7:CA$336)-ROW(CA$7)+1),ROWS(CA$7:CA180))),"")</f>
        <v/>
      </c>
      <c r="Z181" s="4" t="str">
        <f t="array" ref="Z181">IFERROR(INDEX(CB$7:CB$378,SMALL(IF(CB$7:CB$378&lt;&gt;"",ROW(CB$7:CB$378)-ROW(CB$7)+1),ROWS(CB$7:CB180))),"")</f>
        <v/>
      </c>
      <c r="AA181" s="4" t="str">
        <f t="array" ref="AA181">IFERROR(INDEX(CC$7:CC$378,SMALL(IF(CC$7:CC$378&lt;&gt;"",ROW(CC$7:CC$378)-ROW(CC$7)+1),ROWS(CC$7:CC180))),"")</f>
        <v/>
      </c>
      <c r="AB181" s="4" t="str">
        <f t="array" ref="AB181">IFERROR(INDEX(CD$7:CD$378,SMALL(IF(CD$7:CD$378&lt;&gt;"",ROW(CD$7:CD$378)-ROW(CD$7)+1),ROWS(CD$7:CD180))),"")</f>
        <v/>
      </c>
      <c r="AC181" s="4" t="str">
        <f t="array" ref="AC181">IFERROR(INDEX(CE$7:CE$378,SMALL(IF(CE$7:CE$378&lt;&gt;"",ROW(CE$7:CE$378)-ROW(CE$7)+1),ROWS(CE$7:CE180))),"")</f>
        <v/>
      </c>
      <c r="AD181" s="4"/>
      <c r="AE181" s="4"/>
      <c r="AF181" s="4"/>
      <c r="AG181" s="4"/>
      <c r="AH181" s="4"/>
      <c r="AI181" s="4"/>
      <c r="AJ181" s="46" t="str">
        <f>IF(Atletas!D177="","",IF(Atletas!B177="Feminino",100,IF(Atletas!B177="Masculino",200,""))+(IF(Atletas!D177="Infantil 39kg",1,IF(Atletas!D177="Infantil 42kg",2,IF(Atletas!D177="Infantil 45kg",3,IF(Atletas!D177="Infantil 48kg",4,IF(Atletas!D177="Infantil 52kg",5,IF(Atletas!D177="Infantil 56kg",6,IF(Atletas!D177="Infantil 60kg",7,IF(Atletas!D177="Juvenil 48kg",8,IF(Atletas!D177="Juvenil 52kg",9,IF(Atletas!D177="Juvenil 56kg",10,IF(Atletas!D177="Juvenil 60kg",11,IF(Atletas!D177="Juvenil 65kg",12,IF(Atletas!D177="Juvenil 70kg",13,IF(Atletas!D177="Juvenil 75kg",14,IF(Atletas!D177="Juvenil 80kg",15,IF(Atletas!D177="Adulto 48kg",16,IF(Atletas!D177="Adulto 52kg",17,IF(Atletas!D177="Adulto 56kg",18,IF(Atletas!D177="Adulto 60kg",19,IF(Atletas!D177="Adulto 65kg",20,IF(Atletas!D177="Adulto 70kg",21,IF(Atletas!D177="Adulto 75kg",22,IF(Atletas!D177="Adulto 80kg",23,IF(Atletas!D177="Adulto 85kg",24,IF(Atletas!D177="Adulto 90kg",25,IF(Atletas!D177="Adulto +90kg",26,""))))))))))))))))))))))))))))</f>
        <v/>
      </c>
      <c r="AO181" s="10" t="str">
        <f>IF(Atletas!E177="","",IF(Atletas!B177="Feminino",100,IF(Atletas!B177="Masculino",200,""))+(IF(Atletas!E177="Juvenil 44kg",1,IF(Atletas!E177="Juvenil 48kg",2,IF(Atletas!E177="Juvenil 52kg",3,IF(Atletas!E177="Juvenil 56kg",4,IF(Atletas!E177="Juvenil 60kg",5,IF(Atletas!E177="Juvenil 65kg",6,IF(Atletas!E177="Juvenil 70kg",7,IF(Atletas!E177="Juvenil 75kg",8,IF(Atletas!E177="Juvenil 82kg",9,IF(Atletas!E177="Juvenil 90kg",10,IF(Atletas!E177="Juvenil 100kg",11,IF(Atletas!E177="Adulto 48kg",12,IF(Atletas!E177="Adulto 52kg",13,IF(Atletas!E177="Adulto 56kg",14,IF(Atletas!E177="Adulto 60kg",15,IF(Atletas!E177="Adulto 65kg",16,IF(Atletas!E177="Adulto 70kg",17,IF(Atletas!E177="Adulto 75kg",18,IF(Atletas!E177="Adulto 82kg",19,IF(Atletas!E177="Adulto 90kg",20,IF(Atletas!E177="Adulto 100kg",21,IF(Atletas!E177="Adulto +100kg",22,""))))))))))))))))))))))))</f>
        <v/>
      </c>
      <c r="AT181" s="10" t="str">
        <f>IF(Atletas!F177="","",IF(Atletas!B177="Feminino",100,IF(Atletas!B177="Masculino",200,""))+(IF(Atletas!F177="Adulto 48kg",1,IF(Atletas!F177="Adulto 56kg",2,IF(Atletas!F177="Adulto 65kg",3,IF(Atletas!F177="Adulto 75kg",4,IF(Atletas!F177="Adulto +75kg",5,IF(Atletas!F177="Adulto 52kg",6,IF(Atletas!F177="Adulto 60kg",7,IF(Atletas!F177="Adulto 70kg",8,IF(Atletas!F177="Adulto 80kg",9,IF(Atletas!F177="Adulto 90kg",10,IF(Atletas!F177="Adulto +90kg",11,"")))))))))))))</f>
        <v/>
      </c>
      <c r="AY181" s="46" t="str">
        <f>IF(Atletas!G177="","",IF(Atletas!B177="Feminino",100,IF(Atletas!B177="Masculino",200,""))+(IF(Atletas!G177="Changquan Mirim",1,IF(Atletas!G177="Nanquan Mirim",2,IF(Atletas!G177="Taijiquan Mirim",3,IF(Atletas!G177="Changquan Grupo C",4,IF(Atletas!G177="Nanquan Grupo C",5,IF(Atletas!G177="Taijiquan Grupo C",6,IF(Atletas!G177="Changquan Grupo B",7,IF(Atletas!G177="Nanquan Grupo B",8,IF(Atletas!G177="Taijiquan Grupo B",9,IF(Atletas!G177="Changquan Grupo A",10,IF(Atletas!G177="Nanquan Grupo A",11,IF(Atletas!G177="Taijiquan Grupo A",12,IF(Atletas!G177="Changquan Opcional",13,IF(Atletas!G177="Nanquan Opcional",14,IF(Atletas!G177="Taijiquan Opcional",15,IF(Atletas!G177="Changquan Adulto",16,IF(Atletas!G177="Nanquan Adulto",17,IF(Atletas!G177="Taijiquan Adulto",18,""))))))))))))))))))))</f>
        <v/>
      </c>
      <c r="AZ181" s="46" t="str">
        <f>IF(Atletas!H177="","",IF(Atletas!B177="Feminino",100,IF(Atletas!B177="Masculino",200,""))+(IF(Atletas!H177="Daoshu Mirim",19,IF(Atletas!H177="Jianshu Mirim",20,IF(Atletas!H177="Nandao Mirim",21,IF(Atletas!H177="Taijijian Mirim",22,IF(Atletas!H177="Daoshu Grupo C",23,IF(Atletas!H177="Jianshu Grupo C",24,IF(Atletas!H177="Nandao Grupo C",25,IF(Atletas!H177="Taijijian Grupo C",26,IF(Atletas!H177="Daoshu Grupo B",27,IF(Atletas!H177="Jianshu Grupo B",28,IF(Atletas!H177="Nandao Grupo B",29,IF(Atletas!H177="Taijijian Grupo B",30,IF(Atletas!H177="Daoshu Grupo A",31,IF(Atletas!H177="Jianshu Grupo A",32,IF(Atletas!H177="Nandao Grupo A",33,IF(Atletas!H177="Taijijian Grupo A",34,IF(Atletas!H177="Daoshu Opcional",35,IF(Atletas!H177="Jianshu Opcional",36,IF(Atletas!H177="Nandao Opcional",37,IF(Atletas!H177="Taijijian Opcional",38,IF(Atletas!H177="Daoshu Adulto",39,IF(Atletas!H177="Jianshu Adulto",40,IF(Atletas!H177="Nandao Adulto",41,IF(Atletas!H177="Taijijian Adulto",42,""))))))))))))))))))))))))))</f>
        <v/>
      </c>
      <c r="BA181" s="46" t="str">
        <f>IF(Atletas!I177="","",IF(Atletas!B177="Feminino",100,IF(Atletas!B177="Masculino",200,""))+(IF(Atletas!I177="Gunshu Mirim",43,IF(Atletas!I177="Qiangshu Mirim",44,IF(Atletas!I177="Nangun Mirim",45,IF(Atletas!I177="Gunshu Grupo C",46,IF(Atletas!I177="Qiangshu Grupo C",47,IF(Atletas!I177="Nangun Grupo C",48,IF(Atletas!I177="Gunshu Grupo B",49,IF(Atletas!I177="Qiangshu Grupo B",50,IF(Atletas!I177="Nangun Grupo B",51,IF(Atletas!I177="Gunshu Grupo A",52,IF(Atletas!I177="Qiangshu Grupo A",53,IF(Atletas!I177="Nangun Grupo A",54,IF(Atletas!I177="Gunshu Opcional",55,IF(Atletas!I177="Qiangshu Opcional",56,IF(Atletas!I177="Nangun Opcional",57,IF(Atletas!I177="Gunshu Adulto",58,IF(Atletas!I177="Qiangshu Adulto",59,IF(Atletas!I177="Nangun Adulto",60,""))))))))))))))))))))</f>
        <v/>
      </c>
      <c r="BF181" s="52" t="str">
        <f>IF(Atletas!J177="","",IF(Atletas!B177="Feminino",100,IF(Atletas!B177="Masculino",200,""))+(IF(Atletas!J177="Equipe 1 Grupo B",1,IF(Atletas!J177="Equipe 2 Grupo B",2,IF(Atletas!J177="Equipe 1 Grupo A",3,IF(Atletas!J177="Equipe 2 Grupo A",4,IF(Atletas!J177="Equipe 1 Adulto",5,IF(Atletas!J177="Equipe 2 Adulto",6,""))))))))</f>
        <v/>
      </c>
      <c r="BK181" s="52" t="str">
        <f>IF(Atletas!K177="","",IF(Atletas!W177&lt;&gt;"",10000,0)+(IF(Atletas!B177="Feminino",1000,IF(Atletas!B177="Masculino",2000,""))+IF(Atletas!K177="Choylayfut A",1,IF(Atletas!K177="Hunggar A",2,IF(Atletas!K177="Wuzuquan A",3,IF(Atletas!K177="Wingchun A",4,IF(Atletas!K177="Outra Mão de Sul A",5,IF(Atletas!K177="Choylayfut B",6,IF(Atletas!K177="Hunggar B",7,IF(Atletas!K177="Wuzuquan B",8,IF(Atletas!K177="Wingchun B",9,IF(Atletas!K177="Outra Mão de Sul B",10,IF(Atletas!K177="Choylayfut C",11,IF(Atletas!K177="Hunggar C",12,IF(Atletas!K177="Wuzuquan C",13,IF(Atletas!K177="Wingchun C",14,IF(Atletas!K177="Outra Mão de Sul C",15,IF(Atletas!K177="Choylayfut D",16,IF(Atletas!K177="Hunggar D",17,IF(Atletas!K177="Wuzuquan D",18,IF(Atletas!K177="Wingchun D",19,IF(Atletas!K177="Outra Mão de Sul D",20,IF(Atletas!K177="Choylayfut E",21,IF(Atletas!K177="Hunggar E",22,IF(Atletas!K177="Wuzuquan E",23,IF(Atletas!K177="Wingchun E",24,IF(Atletas!K177="Outra Mão de Sul E",25,IF(Atletas!K177="Choylayfut F",26,IF(Atletas!K177="Hunggar F",27,IF(Atletas!K177="Wuzuquan F",28,IF(Atletas!K177="Wingchun F",29,IF(Atletas!K177="Outra Mão de Sul F",30,""))))))))))))))))))))))))))))))))</f>
        <v/>
      </c>
      <c r="BL181" s="52" t="str">
        <f>IF(Atletas!L177="","",IF(Atletas!W177&lt;&gt;"",10000,0)+(IF(Atletas!B177="Feminino",1000,IF(Atletas!B177="Masculino",2000,""))+(IF(Atletas!L177="Chaquan A",101,IF(Atletas!L177="Emeiquan A",102,IF(Atletas!L177="Fanziquan A",103,IF(Atletas!L177="Huaquan A",104,IF(Atletas!L177="Hongquan A",105,IF(Atletas!L177="Paochui A",106,IF(Atletas!L177="Piguaquan A",107,IF(Atletas!L177="Shaolinquan A",108,IF(Atletas!L177="Tanglangquan A",109,IF(Atletas!L177="Yinzhaophai A",110,IF(Atletas!L177="Tongbeiquan A",111,IF(Atletas!L177="Wudangquan A",112,IF(Atletas!L177="Outros Estilos A",113,IF(Atletas!L177="Chaquan B",114,IF(Atletas!L177="Emeiquan B",115,IF(Atletas!L177="Fanziquan B",116,IF(Atletas!L177="Huaquan B",117,IF(Atletas!L177="Hongquan B",118,IF(Atletas!L177="Paochui B",119,IF(Atletas!L177="Piguaquan B",120,IF(Atletas!L177="Shaolinquan B",121,IF(Atletas!L177="Tanglangquan B",122,IF(Atletas!L177="Yinzhaophai B",123,IF(Atletas!L177="Tongbeiquan B",124,IF(Atletas!L177="Wudangquan B",125,IF(Atletas!L177="Outros Estilos B",126,IF(Atletas!L177="Chaquan C",127,IF(Atletas!L177="Emeiquan C",128,IF(Atletas!L177="Fanziquan C",129,IF(Atletas!L177="Huaquan C",130,IF(Atletas!L177="Hongquan C",131,IF(Atletas!L177="Paochui C",132,IF(Atletas!L177="Piguaquan C",133,IF(Atletas!L177="Shaolinquan C",134,IF(Atletas!L177="Tanglangquan C",135,IF(Atletas!L177="Yinzhaophai C",136,IF(Atletas!L177="Tongbeiquan C",137,IF(Atletas!L177="Wudangquan C",138,IF(Atletas!L177="Outros Estilos C",139,0))))))))))))))))))))))))))))))))))))))))))</f>
        <v/>
      </c>
      <c r="BM181" s="52" t="str">
        <f>IF(Atletas!L177="","",IF(Atletas!W177&lt;&gt;"",10000,0)+(IF(Atletas!B177="Feminino",1000,IF(Atletas!B177="Masculino",2000,""))+(IF(Atletas!L177="Chaquan D",140,IF(Atletas!L177="Emeiquan D",141,IF(Atletas!L177="Fanziquan D",142,IF(Atletas!L177="Huaquan D",143,IF(Atletas!L177="Hongquan D",144,IF(Atletas!L177="Paochui D",145,IF(Atletas!L177="Piguaquan D",146,IF(Atletas!L177="Shaolinquan D",147,IF(Atletas!L177="Tanglangquan D",148,IF(Atletas!L177="Yinzhaophai D",149,IF(Atletas!L177="Tongbeiquan D",150,IF(Atletas!L177="Wudangquan D",151,IF(Atletas!L177="Outros Estilos D",152,IF(Atletas!L177="Chaquan E",153,IF(Atletas!L177="Emeiquan E",154,IF(Atletas!L177="Fanziquan E",155,IF(Atletas!L177="Huaquan E",156,IF(Atletas!L177="Hongquan E",157,IF(Atletas!L177="Paochui E",158,IF(Atletas!L177="Piguaquan E",159,IF(Atletas!L177="Shaolinquan E",160,IF(Atletas!L177="Tanglangquan E",161,IF(Atletas!L177="Yinzhaophai E",162,IF(Atletas!L177="Tongbeiquan E",163,IF(Atletas!L177="Wudangquan E",164,IF(Atletas!L177="Outros Estilos E",165,IF(Atletas!L177="Chaquan F",166,IF(Atletas!L177="Emeiquan F",167,IF(Atletas!L177="Fanziquan F",168,IF(Atletas!L177="Huaquan F",169,IF(Atletas!L177="Hongquan F",170,IF(Atletas!L177="Paochui F",171,IF(Atletas!L177="Piguaquan F",172,IF(Atletas!L177="Shaolinquan F",173,IF(Atletas!L177="Tanglangquan F",174,IF(Atletas!L177="Yinzhaophai F",175,IF(Atletas!L177="Tongbeiquan F",176,IF(Atletas!L177="Wudangquan F",177,IF(Atletas!L177="Outros Estilos F",178,0))))))))))))))))))))))))))))))))))))))))))</f>
        <v/>
      </c>
      <c r="BN181" s="52" t="str">
        <f>IF(Atletas!M177="","",IF(Atletas!W177&lt;&gt;"",10000,0)+(IF(Atletas!B177="Feminino",1000,IF(Atletas!B177="Masculino",2000,""))+(IF(Atletas!M177="Ditangquan A",201,IF(Atletas!M177="Houquan A",202,IF(Atletas!M177="Zuiquan A",203,IF(Atletas!M177="Ditangquan B",204,IF(Atletas!M177="Houquan B",205,IF(Atletas!M177="Zuiquan B",206,IF(Atletas!M177="Ditangquan C",207,IF(Atletas!M177="Houquan C",208,IF(Atletas!M177="Zuiquan C",209,IF(Atletas!M177="Ditangquan D",210,IF(Atletas!M177="Houquan D",211,IF(Atletas!M177="Zuiquan D",212,IF(Atletas!M177="Ditangquan E",213,IF(Atletas!M177="Houquan E",214,IF(Atletas!M177="Zuiquan E",215,IF(Atletas!M177="Ditangquan F",216,IF(Atletas!M177="Houquan F",217,IF(Atletas!M177="Zuiquan F",218,"")))))))))))))))))))))</f>
        <v/>
      </c>
      <c r="BO181" s="52" t="str">
        <f>IF(Atletas!N177="","",IF(Atletas!W177&lt;&gt;"",10000,0)+IF(Atletas!B177="Feminino",1000,IF(Atletas!B177="Masculino",2000,""))+IF(Atletas!N177="Yang A",301,IF(Atletas!N177="Chen A",30,IF(Atletas!N177="Sun A",303,IF(Atletas!N177="Wu A",304,IF(Atletas!N177="Wu-Hao A",305,IF(Atletas!N177="Outro Taijiquan A",306,IF(Atletas!N177="Yang B",307,IF(Atletas!N177="Chen B",308,IF(Atletas!N177="Sun B",309,IF(Atletas!N177="Wu B",310,IF(Atletas!N177="Wu-Hao B",311,IF(Atletas!N177="Outro Taijiquan B",312,IF(Atletas!N177="Yang C",313,IF(Atletas!N177="Chen C",314,IF(Atletas!N177="Sun C",315,IF(Atletas!N177="Wu C",316,IF(Atletas!N177="Wu-Hao C",317,IF(Atletas!N177="Outro Taijiquan C",318,IF(Atletas!N177="Yang D",319,IF(Atletas!N177="Chen D",320,IF(Atletas!N177="Sun D",321,IF(Atletas!N177="Wu D",322,IF(Atletas!N177="Wu-Hao D",323,IF(Atletas!N177="Outro Taijiquan D",324,IF(Atletas!N177="Yang E",325,IF(Atletas!N177="Chen E",326,IF(Atletas!N177="Sun E",327,IF(Atletas!N177="Wu E",328,IF(Atletas!N177="Wu-Hao E",329,IF(Atletas!N177="Outro Taijiquan E",330,IF(Atletas!N177="Yang F",331,IF(Atletas!N177="Chen F",332,IF(Atletas!N177="Sun F",333,IF(Atletas!N177="Wu F",334,IF(Atletas!N177="Wu-Hao F",335,IF(Atletas!N177="Outro Taijiquan F",336,"")))))))))))))))))))))))))))))))))))))</f>
        <v/>
      </c>
      <c r="BP181" s="52" t="str">
        <f>IF(Atletas!O177="","",IF(Atletas!W177&lt;&gt;"",10000,0)+IF(Atletas!B177="Feminino",1000,IF(Atletas!B177="Masculino",2000,""))+IF(OR(Atletas!O177="Yang 26 A",Atletas!O177="Yang 40 A"),401,IF(OR(Atletas!O177="Chen 25 A",Atletas!O177="Chen 36 A",Atletas!O177="Chen 56 A"),402,IF(Atletas!O177="Sun 73 A",403,IF(Atletas!O177="Wu 45 A",404,IF(Atletas!O177="Wu-Hao 46 A",405,IF(OR(Atletas!O177="Taijiquan 16 A",Atletas!O177="Taijiquan 24 A",Atletas!O177="Taijiquan 32 A",Atletas!O177="Taijiquan 42 A"),406,IF(OR(Atletas!O177="Yang 26 B",Atletas!O177="Yang 40 B"),407,IF(OR(Atletas!O177="Chen 25 B",Atletas!O177="Chen 36 B",Atletas!O177="Chen 56 B"),408,IF(Atletas!O177="Sun 73 B",409,IF(Atletas!O177="Wu 45 B",410,IF(Atletas!O177="Wu-Hao 46 B",411,IF(OR(Atletas!O177="Taijiquan 16 B",Atletas!O177="Taijiquan 24 B",Atletas!O177="Taijiquan 32 B",Atletas!O177="Taijiquan 42 B"),412,IF(OR(Atletas!O177="Yang 26 C",Atletas!O177="Yang 40 C"),413,IF(OR(Atletas!O177="Chen 25 C",Atletas!O177="Chen 36 C",Atletas!O177="Chen 56 C"),414,IF(Atletas!O177="Sun 73 C",415,IF(Atletas!O177="Wu 45 C",416,IF(Atletas!O177="Wu-Hao 46 C",417,IF(OR(Atletas!O177="Taijiquan 16 C",Atletas!O177="Taijiquan 24 C",Atletas!O177="Taijiquan 32 C",Atletas!O177="Taijiquan 42 C"),418,0)))))))))))))))))))</f>
        <v/>
      </c>
      <c r="BQ181" s="52" t="str">
        <f>IF(Atletas!O177="","",IF(Atletas!W177&lt;&gt;"",10000,0)+IF(Atletas!B177="Feminino",1000,IF(Atletas!B177="Masculino",2000,""))+IF(OR(Atletas!O177="Yang 26 D",Atletas!O177="Yang 40 D"),419,IF(OR(Atletas!O177="Chen 25 D",Atletas!O177="Chen 36 D",Atletas!O177="Chen 56 D"),420,IF(Atletas!O177="Sun 73 D",421,IF(Atletas!O177="Wu 45 D",422,IF(Atletas!O177="Wu-Hao 46 D",423,IF(OR(Atletas!O177="Taijiquan 16 D",Atletas!O177="Taijiquan 24 D",Atletas!O177="Taijiquan 32 D",Atletas!O177="Taijiquan 42 D"),424,IF(OR(Atletas!O177="Yang 26 E",Atletas!O177="Yang 40 E"),425,IF(OR(Atletas!O177="Chen 25 E",Atletas!O177="Chen 36 E",Atletas!O177="Chen 56 E"),426,IF(Atletas!O177="Sun 73 E",427,IF(Atletas!O177="Wu 45 E",428,IF(Atletas!O177="Wu-Hao 46 E",429,IF(OR(Atletas!O177="Taijiquan 16 E",Atletas!O177="Taijiquan 24 E",Atletas!O177="Taijiquan 32 E",Atletas!O177="Taijiquan 42 E"),430,IF(OR(Atletas!O177="Yang 26 F",Atletas!O177="Yang 40 F"),431,IF(OR(Atletas!O177="Chen 25 F",Atletas!O177="Chen 36 F",Atletas!O177="Chen 56 F"),432,IF(Atletas!O177="Sun 73 F",433,IF(Atletas!O177="Wu 45 F",434,IF(Atletas!O177="Wu-Hao 46 F",435,IF(OR(Atletas!O177="Taijiquan 16 F",Atletas!O177="Taijiquan 24 F",Atletas!O177="Taijiquan 32 F",Atletas!O177="Taijiquan 42 F"),436,0)))))))))))))))))))</f>
        <v/>
      </c>
      <c r="BR181" s="52" t="str">
        <f>IF(Atletas!P177="","",IF(Atletas!W177&lt;&gt;"",10000,0)+IF(Atletas!B177="Feminino",1000,IF(Atletas!B177="Masculino",2000,""))+IF(Atletas!P177="Xingyiquan A",501,IF(Atletas!P177="Baguazhang A",502,IF(Atletas!P177="Outro Estilo Interno A",503,IF(Atletas!P177="Xingyiquan B",504,IF(Atletas!P177="Baguazhang B",505,IF(Atletas!P177="Outro Estilo Interno B",506,IF(Atletas!P177="Xingyiquan C",507,IF(Atletas!P177="Baguazhang C",508,IF(Atletas!P177="Outro Estilo Interno C",509,IF(Atletas!P177="Xingyiquan D",510,IF(Atletas!P177="Baguazhang D",511,IF(Atletas!P177="Outro Estilo Interno D",512,IF(Atletas!P177="Xingyiquan E",513,IF(Atletas!P177="Baguazhang E",514,IF(Atletas!P177="Outro Estilo Interno E",515,IF(Atletas!P177="Xingyiquan F",516,IF(Atletas!P177="Baguazhang F",517,IF(Atletas!P177="Outro Estilo Interno F",518, "")))))))))))))))))))</f>
        <v/>
      </c>
      <c r="BS181" s="52" t="str">
        <f>IF(Atletas!Q177="","",IF(Atletas!W177&lt;&gt;"",10000,0)+IF(Atletas!B177="Feminino",1000,IF(Atletas!B177="Masculino",2000,""))+IF(Atletas!Q177="Dao A",601,IF(Atletas!Q177="Jian A",602,IF(Atletas!Q177="Bishou A",603,IF(Atletas!Q177="Shan A",604,IF(Atletas!Q177="Outra Arma Curta A",605,IF(Atletas!Q177="Dao B",606,IF(Atletas!Q177="Jian B",607,IF(Atletas!Q177="Bishou B",608,IF(Atletas!Q177="Shan B",609,IF(Atletas!Q177="Outra Arma Curta B",610,IF(Atletas!Q177="Dao C",611,IF(Atletas!Q177="Jian C",612,IF(Atletas!Q177="Bishou C",613,IF(Atletas!Q177="Shan C",614,IF(Atletas!Q177="Outra Arma Curta C",615,IF(Atletas!Q177="Dao D",616,IF(Atletas!Q177="Jian D",617,IF(Atletas!Q177="Bishou D",618,IF(Atletas!Q177="Shan D",619,IF(Atletas!Q177="Outra Arma Curta D",620,IF(Atletas!Q177="Dao E",621,IF(Atletas!Q177="Jian E",622,IF(Atletas!Q177="Bishou E",623,IF(Atletas!Q177="Shan E",624,IF(Atletas!Q177="Outra Arma Curta E",625,IF(Atletas!Q177="Dao F",626,IF(Atletas!Q177="Jian F",627,IF(Atletas!Q177="Bishou F",628,IF(Atletas!Q177="Shan F",629,IF(Atletas!Q177="Outra Arma Curta F",630, "")))))))))))))))))))))))))))))))</f>
        <v/>
      </c>
      <c r="BT181" s="52" t="str">
        <f>IF(Atletas!R177="","",IF(Atletas!W177&lt;&gt;"",10000,0)+IF(Atletas!B177="Feminino",1000,IF(Atletas!B177="Masculino",2000,""))+IF(Atletas!R177="Gun A",701,IF(Atletas!R177="Qiang A",702,IF(Atletas!R177="Pudao / Guandao A",703,IF(Atletas!R177="Outra Arma Longa A",704,IF(Atletas!R177="Gun B",705,IF(Atletas!R177="Qiang B",706,IF(Atletas!R177="Pudao / Guandao B",707,IF(Atletas!R177="Outra Arma Longa B",708,IF(Atletas!R177="Gun C",709,IF(Atletas!R177="Qiang C",710,IF(Atletas!R177="Pudao / Guandao C",711,IF(Atletas!R177="Outra Arma Longa C",712,IF(Atletas!R177="Gun D",713,IF(Atletas!R177="Qiang D",714,IF(Atletas!R177="Pudao / Guandao D",715,IF(Atletas!R177="Outra Arma Longa D",716,IF(Atletas!R177="Gun E",717,IF(Atletas!R177="Qiang E",718,IF(Atletas!R177="Pudao / Guandao E",719,IF(Atletas!R177="Outra Arma Longa E",720,IF(Atletas!R177="Gun F",721,IF(Atletas!R177="Qiang F",722,IF(Atletas!R177="Pudao / Guandao F",723,IF(Atletas!R177="Outra Arma Longa F",724,"")))))))))))))))))))))))))</f>
        <v/>
      </c>
      <c r="BU181" s="52" t="str">
        <f>IF(Atletas!S177="","",IF(Atletas!W177&lt;&gt;"",10000,0)+IF(Atletas!B177="Feminino",1000,IF(Atletas!B177="Masculino",2000,""))+IF(Atletas!S177="Arma Dupla A",801,IF(Atletas!S177="Arma Maleável A",802,IF(Atletas!S177="Arma Dupla B",803,IF(Atletas!S177="Arma Maleável B",804,IF(Atletas!S177="Arma Dupla C",805,IF(Atletas!S177="Arma Maleável C",806,IF(Atletas!S177="Arma Dupla D",807,IF(Atletas!S177="Arma Maleável D",808,IF(Atletas!S177="Arma Dupla E",809,IF(Atletas!S177="Arma Maleável E",810,IF(Atletas!S177="Arma Dupla F",811,IF(Atletas!S177="Arma Maleável F",812, "")))))))))))))</f>
        <v/>
      </c>
      <c r="BV181" s="52" t="str">
        <f>IF(Atletas!T177="","",IF(Atletas!W177&lt;&gt;"",10000,0)+IF(Atletas!B177="Feminino",1000,IF(Atletas!B177="Masculino",2000,""))+IF(Atletas!T177="Taijijian Yang A",901,IF(Atletas!T177="Taijijian Chen A",902,IF(Atletas!T177="Taijijian Sun A",903,IF(Atletas!T177="Taijijian Wu A",904,IF(Atletas!T177="Taijijian Wu-Hao A",905,IF(Atletas!T177="Taijijian 32 A",906,IF(Atletas!T177="Taijijian 42 A",907,IF(Atletas!T177="Taijijian Yang B",908,IF(Atletas!T177="Taijijian Chen B",909,IF(Atletas!T177="Taijijian Sun B",910,IF(Atletas!T177="Taijijian Wu B",911,IF(Atletas!T177="Taijijian Wu-Hao B",912,IF(Atletas!T177="Taijijian 32 B",913,IF(Atletas!T177="Taijijian 42 B",914,IF(Atletas!T177="Taijijian Yang C",915,IF(Atletas!T177="Taijijian Chen C",916,IF(Atletas!T177="Taijijian Sun C",917,IF(Atletas!T177="Taijijian Wu C",918,IF(Atletas!T177="Taijijian Wu-Hao C",919,IF(Atletas!T177="Taijijian 32 C",920,IF(Atletas!T177="Taijijian 42 C",921,IF(Atletas!T177="Taijijian Yang D",922,IF(Atletas!T177="Taijijian Chen D",923,IF(Atletas!T177="Taijijian Sun D",924,IF(Atletas!T177="Taijijian Wu D",925,IF(Atletas!T177="Taijijian Wu-Hao D",926,IF(Atletas!T177="Taijijian 32 D",927,IF(Atletas!T177="Taijijian 42 D",928,IF(Atletas!T177="Taijijian Yang E",929,IF(Atletas!T177="Taijijian Chen E",930,IF(Atletas!T177="Taijijian Sun E",931,IF(Atletas!T177="Taijijian Wu E",932,IF(Atletas!T177="Taijijian Wu-Hao E",933,IF(Atletas!T177="Taijijian 32 E",934,IF(Atletas!T177="Taijijian 42 E",935,IF(Atletas!T177="Taijijian Yang F",936,IF(Atletas!T177="Taijijian Chen F",937,IF(Atletas!T177="Taijijian Sun F",938,IF(Atletas!T177="Taijijian Wu F",939,IF(Atletas!T177="Taijijian Wu-Hao F",940,IF(Atletas!T177="Taijijian 32 F",941,IF(Atletas!T177="Taijijian 42 F",942,"")))))))))))))))))))))))))))))))))))))))))))</f>
        <v/>
      </c>
      <c r="BW181" s="52" t="str">
        <f>IF(Atletas!U177="","",IF(Atletas!W177&lt;&gt;"",10000,0)+IF(Atletas!B177="Feminino",1000,IF(Atletas!B177="Masculino",2000,""))+IF(Atletas!T177="Taijijian 42 F",942,IF(Atletas!U177="Taijidao A",943,IF(Atletas!U177="Taijishan A",944,IF(Atletas!U177="Taijiqiang A",945,IF(Atletas!U177="Taijidao B",946,IF(Atletas!U177="Taijishan B",947,IF(Atletas!U177="Taijiqiang B",948,IF(Atletas!U177="Taijidao C",949,IF(Atletas!U177="Taijishan C",950,IF(Atletas!U177="Taijiqiang C",951,IF(Atletas!U177="Taijidao D",952,IF(Atletas!U177="Taijishan D",953,IF(Atletas!U177="Taijiqiang D",954,IF(Atletas!U177="Taijidao E",955,IF(Atletas!U177="Taijishan E",956,IF(Atletas!U177="Taijiqiang E",957,IF(Atletas!U177="Taijidao F",958,IF(Atletas!U177="Taijishan F",959,IF(Atletas!U177="Taijiqiang F",960))))))))))))))))))))</f>
        <v/>
      </c>
      <c r="BX181" s="72" t="str">
        <f>IF(BY181&lt;&gt;"","TJQ Padr. Yang C","")</f>
        <v/>
      </c>
      <c r="BY181" s="72" t="str">
        <f>IF(COUNTIF(BK:BW,1413)&gt;0,COUNTIF(BK:BW,1413),"")</f>
        <v/>
      </c>
      <c r="BZ181" s="72" t="str">
        <f>IF(CA181&lt;&gt;"","TJQ Padr. Yang C","")</f>
        <v/>
      </c>
      <c r="CA181" s="72" t="str">
        <f>IF(COUNTIF(BK:BW,2413)&gt;0,COUNTIF(BK:BW,2413),"")</f>
        <v/>
      </c>
      <c r="CB181" s="72" t="str">
        <f>IF(CC181&lt;&gt;"","Sun Novo A","")</f>
        <v/>
      </c>
      <c r="CC181" s="64" t="str">
        <f>IF(COUNTIF(BK:BW,11413)&gt;0,COUNTIF(BK:BW,11413),"")</f>
        <v/>
      </c>
      <c r="CD181" s="64" t="str">
        <f>IF(CE181&lt;&gt;"","Sun Novo A","")</f>
        <v/>
      </c>
      <c r="CE181" s="64" t="str">
        <f>IF(COUNTIF(BK:BW,12413)&gt;0,COUNTIF(BK:BW,12413),"")</f>
        <v/>
      </c>
      <c r="CF181" s="52" t="str">
        <f xml:space="preserve"> IF(Atletas!V177="","",IF(Atletas!V177="Duilian de Mãos AB - Equipe 1",1,IF(Atletas!V177="Duilian de Mãos AB - Equipe 2",2,IF(Atletas!V177="Duilian de Armas AB - Equipe 1",3,IF(Atletas!V177="Duilian de Armas AB - Equipe 2",4,IF(Atletas!V177="Duilian de Tuishou - Equipe 1",5,IF(Atletas!V177="Duilian de Tuishou - Equipe 2",6,IF(Atletas!V177="Grupo Externo AB - Equipe 1",7,IF(Atletas!V177="Grupo Externo AB - Equipe 2",8,IF(Atletas!V177="Grupo Interno AB - Equipe 1",9,IF(Atletas!V177="Grupo Interno AB - Equipe 2",10,IF(Atletas!V177="Duilian de Mãos CD - Equipe 1",11,IF(Atletas!V177="Duilian de Mãos CD - Equipe 2",12,IF(Atletas!V177="Duilian de Armas CD - Equipe 1",13,IF(Atletas!V177="Duilian de Armas CD - Equipe 2",14,IF(Atletas!V177="Duilian de Tuishou - Equipe 1",15,IF(Atletas!V177="Duilian de Tuishou - Equipe 2",16,IF(Atletas!V177="Grupo Externo CDEF - Equipe 1",17,IF(Atletas!V177="Grupo Externo CDEF - Equipe 2",18,IF(Atletas!V177="Grupo Interno CDEF - Equipe 1",19,IF(Atletas!V177="Grupo Interno CDEF - Equipe 2",20,IF(Atletas!V177="Duilian de Mãos EF - Equipe 1",21,IF(Atletas!V177="Duilian de Mãos EF - Equipe 2",22,IF(Atletas!V177="Duilian de Armas EF - Equipe 1",23,IF(Atletas!V177="Duilian de Armas EF - Equipe 2",24,IF(Atletas!V177="Duilian de Tuishou - Equipe 1",25,IF(Atletas!V177="Duilian de Tuishou - Equipe 2",26,"")))))))))))))))))))))))))))</f>
        <v/>
      </c>
    </row>
    <row r="182" spans="2:84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 t="str">
        <f t="array" ref="V182">IFERROR(INDEX(BX$7:BX$336,SMALL(IF(BX$7:BX$336&lt;&gt;"",ROW(BX$7:BX$336)-ROW(BX$7)+1),ROWS(BX$7:BX181))),"")</f>
        <v/>
      </c>
      <c r="W182" s="4" t="str">
        <f t="array" ref="W182">IFERROR(INDEX(BY$7:BY$336,SMALL(IF(BY$7:BY$336&lt;&gt;"",ROW(BY$7:BY$336)-ROW(BY$7)+1),ROWS(BY$7:BY181))),"")</f>
        <v/>
      </c>
      <c r="X182" s="4" t="str">
        <f t="array" ref="X182">IFERROR(INDEX(BZ$7:BZ$336,SMALL(IF(BZ$7:BZ$336&lt;&gt;"",ROW(BZ$7:BZ$336)-ROW(BZ$7)+1),ROWS(BZ$7:BZ181))),"")</f>
        <v/>
      </c>
      <c r="Y182" s="4" t="str">
        <f t="array" ref="Y182">IFERROR(INDEX(CA$7:CA$336,SMALL(IF(CA$7:CA$336&lt;&gt;"",ROW(CA$7:CA$336)-ROW(CA$7)+1),ROWS(CA$7:CA181))),"")</f>
        <v/>
      </c>
      <c r="Z182" s="4" t="str">
        <f t="array" ref="Z182">IFERROR(INDEX(CB$7:CB$378,SMALL(IF(CB$7:CB$378&lt;&gt;"",ROW(CB$7:CB$378)-ROW(CB$7)+1),ROWS(CB$7:CB181))),"")</f>
        <v/>
      </c>
      <c r="AA182" s="4" t="str">
        <f t="array" ref="AA182">IFERROR(INDEX(CC$7:CC$378,SMALL(IF(CC$7:CC$378&lt;&gt;"",ROW(CC$7:CC$378)-ROW(CC$7)+1),ROWS(CC$7:CC181))),"")</f>
        <v/>
      </c>
      <c r="AB182" s="4" t="str">
        <f t="array" ref="AB182">IFERROR(INDEX(CD$7:CD$378,SMALL(IF(CD$7:CD$378&lt;&gt;"",ROW(CD$7:CD$378)-ROW(CD$7)+1),ROWS(CD$7:CD181))),"")</f>
        <v/>
      </c>
      <c r="AC182" s="4" t="str">
        <f t="array" ref="AC182">IFERROR(INDEX(CE$7:CE$378,SMALL(IF(CE$7:CE$378&lt;&gt;"",ROW(CE$7:CE$378)-ROW(CE$7)+1),ROWS(CE$7:CE181))),"")</f>
        <v/>
      </c>
      <c r="AD182" s="4"/>
      <c r="AE182" s="4"/>
      <c r="AF182" s="4"/>
      <c r="AG182" s="4"/>
      <c r="AH182" s="4"/>
      <c r="AI182" s="4"/>
      <c r="AJ182" s="46" t="str">
        <f>IF(Atletas!D178="","",IF(Atletas!B178="Feminino",100,IF(Atletas!B178="Masculino",200,""))+(IF(Atletas!D178="Infantil 39kg",1,IF(Atletas!D178="Infantil 42kg",2,IF(Atletas!D178="Infantil 45kg",3,IF(Atletas!D178="Infantil 48kg",4,IF(Atletas!D178="Infantil 52kg",5,IF(Atletas!D178="Infantil 56kg",6,IF(Atletas!D178="Infantil 60kg",7,IF(Atletas!D178="Juvenil 48kg",8,IF(Atletas!D178="Juvenil 52kg",9,IF(Atletas!D178="Juvenil 56kg",10,IF(Atletas!D178="Juvenil 60kg",11,IF(Atletas!D178="Juvenil 65kg",12,IF(Atletas!D178="Juvenil 70kg",13,IF(Atletas!D178="Juvenil 75kg",14,IF(Atletas!D178="Juvenil 80kg",15,IF(Atletas!D178="Adulto 48kg",16,IF(Atletas!D178="Adulto 52kg",17,IF(Atletas!D178="Adulto 56kg",18,IF(Atletas!D178="Adulto 60kg",19,IF(Atletas!D178="Adulto 65kg",20,IF(Atletas!D178="Adulto 70kg",21,IF(Atletas!D178="Adulto 75kg",22,IF(Atletas!D178="Adulto 80kg",23,IF(Atletas!D178="Adulto 85kg",24,IF(Atletas!D178="Adulto 90kg",25,IF(Atletas!D178="Adulto +90kg",26,""))))))))))))))))))))))))))))</f>
        <v/>
      </c>
      <c r="AO182" s="10" t="str">
        <f>IF(Atletas!E178="","",IF(Atletas!B178="Feminino",100,IF(Atletas!B178="Masculino",200,""))+(IF(Atletas!E178="Juvenil 44kg",1,IF(Atletas!E178="Juvenil 48kg",2,IF(Atletas!E178="Juvenil 52kg",3,IF(Atletas!E178="Juvenil 56kg",4,IF(Atletas!E178="Juvenil 60kg",5,IF(Atletas!E178="Juvenil 65kg",6,IF(Atletas!E178="Juvenil 70kg",7,IF(Atletas!E178="Juvenil 75kg",8,IF(Atletas!E178="Juvenil 82kg",9,IF(Atletas!E178="Juvenil 90kg",10,IF(Atletas!E178="Juvenil 100kg",11,IF(Atletas!E178="Adulto 48kg",12,IF(Atletas!E178="Adulto 52kg",13,IF(Atletas!E178="Adulto 56kg",14,IF(Atletas!E178="Adulto 60kg",15,IF(Atletas!E178="Adulto 65kg",16,IF(Atletas!E178="Adulto 70kg",17,IF(Atletas!E178="Adulto 75kg",18,IF(Atletas!E178="Adulto 82kg",19,IF(Atletas!E178="Adulto 90kg",20,IF(Atletas!E178="Adulto 100kg",21,IF(Atletas!E178="Adulto +100kg",22,""))))))))))))))))))))))))</f>
        <v/>
      </c>
      <c r="AT182" s="10" t="str">
        <f>IF(Atletas!F178="","",IF(Atletas!B178="Feminino",100,IF(Atletas!B178="Masculino",200,""))+(IF(Atletas!F178="Adulto 48kg",1,IF(Atletas!F178="Adulto 56kg",2,IF(Atletas!F178="Adulto 65kg",3,IF(Atletas!F178="Adulto 75kg",4,IF(Atletas!F178="Adulto +75kg",5,IF(Atletas!F178="Adulto 52kg",6,IF(Atletas!F178="Adulto 60kg",7,IF(Atletas!F178="Adulto 70kg",8,IF(Atletas!F178="Adulto 80kg",9,IF(Atletas!F178="Adulto 90kg",10,IF(Atletas!F178="Adulto +90kg",11,"")))))))))))))</f>
        <v/>
      </c>
      <c r="AY182" s="46" t="str">
        <f>IF(Atletas!G178="","",IF(Atletas!B178="Feminino",100,IF(Atletas!B178="Masculino",200,""))+(IF(Atletas!G178="Changquan Mirim",1,IF(Atletas!G178="Nanquan Mirim",2,IF(Atletas!G178="Taijiquan Mirim",3,IF(Atletas!G178="Changquan Grupo C",4,IF(Atletas!G178="Nanquan Grupo C",5,IF(Atletas!G178="Taijiquan Grupo C",6,IF(Atletas!G178="Changquan Grupo B",7,IF(Atletas!G178="Nanquan Grupo B",8,IF(Atletas!G178="Taijiquan Grupo B",9,IF(Atletas!G178="Changquan Grupo A",10,IF(Atletas!G178="Nanquan Grupo A",11,IF(Atletas!G178="Taijiquan Grupo A",12,IF(Atletas!G178="Changquan Opcional",13,IF(Atletas!G178="Nanquan Opcional",14,IF(Atletas!G178="Taijiquan Opcional",15,IF(Atletas!G178="Changquan Adulto",16,IF(Atletas!G178="Nanquan Adulto",17,IF(Atletas!G178="Taijiquan Adulto",18,""))))))))))))))))))))</f>
        <v/>
      </c>
      <c r="AZ182" s="46" t="str">
        <f>IF(Atletas!H178="","",IF(Atletas!B178="Feminino",100,IF(Atletas!B178="Masculino",200,""))+(IF(Atletas!H178="Daoshu Mirim",19,IF(Atletas!H178="Jianshu Mirim",20,IF(Atletas!H178="Nandao Mirim",21,IF(Atletas!H178="Taijijian Mirim",22,IF(Atletas!H178="Daoshu Grupo C",23,IF(Atletas!H178="Jianshu Grupo C",24,IF(Atletas!H178="Nandao Grupo C",25,IF(Atletas!H178="Taijijian Grupo C",26,IF(Atletas!H178="Daoshu Grupo B",27,IF(Atletas!H178="Jianshu Grupo B",28,IF(Atletas!H178="Nandao Grupo B",29,IF(Atletas!H178="Taijijian Grupo B",30,IF(Atletas!H178="Daoshu Grupo A",31,IF(Atletas!H178="Jianshu Grupo A",32,IF(Atletas!H178="Nandao Grupo A",33,IF(Atletas!H178="Taijijian Grupo A",34,IF(Atletas!H178="Daoshu Opcional",35,IF(Atletas!H178="Jianshu Opcional",36,IF(Atletas!H178="Nandao Opcional",37,IF(Atletas!H178="Taijijian Opcional",38,IF(Atletas!H178="Daoshu Adulto",39,IF(Atletas!H178="Jianshu Adulto",40,IF(Atletas!H178="Nandao Adulto",41,IF(Atletas!H178="Taijijian Adulto",42,""))))))))))))))))))))))))))</f>
        <v/>
      </c>
      <c r="BA182" s="46" t="str">
        <f>IF(Atletas!I178="","",IF(Atletas!B178="Feminino",100,IF(Atletas!B178="Masculino",200,""))+(IF(Atletas!I178="Gunshu Mirim",43,IF(Atletas!I178="Qiangshu Mirim",44,IF(Atletas!I178="Nangun Mirim",45,IF(Atletas!I178="Gunshu Grupo C",46,IF(Atletas!I178="Qiangshu Grupo C",47,IF(Atletas!I178="Nangun Grupo C",48,IF(Atletas!I178="Gunshu Grupo B",49,IF(Atletas!I178="Qiangshu Grupo B",50,IF(Atletas!I178="Nangun Grupo B",51,IF(Atletas!I178="Gunshu Grupo A",52,IF(Atletas!I178="Qiangshu Grupo A",53,IF(Atletas!I178="Nangun Grupo A",54,IF(Atletas!I178="Gunshu Opcional",55,IF(Atletas!I178="Qiangshu Opcional",56,IF(Atletas!I178="Nangun Opcional",57,IF(Atletas!I178="Gunshu Adulto",58,IF(Atletas!I178="Qiangshu Adulto",59,IF(Atletas!I178="Nangun Adulto",60,""))))))))))))))))))))</f>
        <v/>
      </c>
      <c r="BF182" s="52" t="str">
        <f>IF(Atletas!J178="","",IF(Atletas!B178="Feminino",100,IF(Atletas!B178="Masculino",200,""))+(IF(Atletas!J178="Equipe 1 Grupo B",1,IF(Atletas!J178="Equipe 2 Grupo B",2,IF(Atletas!J178="Equipe 1 Grupo A",3,IF(Atletas!J178="Equipe 2 Grupo A",4,IF(Atletas!J178="Equipe 1 Adulto",5,IF(Atletas!J178="Equipe 2 Adulto",6,""))))))))</f>
        <v/>
      </c>
      <c r="BK182" s="52" t="str">
        <f>IF(Atletas!K178="","",IF(Atletas!W178&lt;&gt;"",10000,0)+(IF(Atletas!B178="Feminino",1000,IF(Atletas!B178="Masculino",2000,""))+IF(Atletas!K178="Choylayfut A",1,IF(Atletas!K178="Hunggar A",2,IF(Atletas!K178="Wuzuquan A",3,IF(Atletas!K178="Wingchun A",4,IF(Atletas!K178="Outra Mão de Sul A",5,IF(Atletas!K178="Choylayfut B",6,IF(Atletas!K178="Hunggar B",7,IF(Atletas!K178="Wuzuquan B",8,IF(Atletas!K178="Wingchun B",9,IF(Atletas!K178="Outra Mão de Sul B",10,IF(Atletas!K178="Choylayfut C",11,IF(Atletas!K178="Hunggar C",12,IF(Atletas!K178="Wuzuquan C",13,IF(Atletas!K178="Wingchun C",14,IF(Atletas!K178="Outra Mão de Sul C",15,IF(Atletas!K178="Choylayfut D",16,IF(Atletas!K178="Hunggar D",17,IF(Atletas!K178="Wuzuquan D",18,IF(Atletas!K178="Wingchun D",19,IF(Atletas!K178="Outra Mão de Sul D",20,IF(Atletas!K178="Choylayfut E",21,IF(Atletas!K178="Hunggar E",22,IF(Atletas!K178="Wuzuquan E",23,IF(Atletas!K178="Wingchun E",24,IF(Atletas!K178="Outra Mão de Sul E",25,IF(Atletas!K178="Choylayfut F",26,IF(Atletas!K178="Hunggar F",27,IF(Atletas!K178="Wuzuquan F",28,IF(Atletas!K178="Wingchun F",29,IF(Atletas!K178="Outra Mão de Sul F",30,""))))))))))))))))))))))))))))))))</f>
        <v/>
      </c>
      <c r="BL182" s="52" t="str">
        <f>IF(Atletas!L178="","",IF(Atletas!W178&lt;&gt;"",10000,0)+(IF(Atletas!B178="Feminino",1000,IF(Atletas!B178="Masculino",2000,""))+(IF(Atletas!L178="Chaquan A",101,IF(Atletas!L178="Emeiquan A",102,IF(Atletas!L178="Fanziquan A",103,IF(Atletas!L178="Huaquan A",104,IF(Atletas!L178="Hongquan A",105,IF(Atletas!L178="Paochui A",106,IF(Atletas!L178="Piguaquan A",107,IF(Atletas!L178="Shaolinquan A",108,IF(Atletas!L178="Tanglangquan A",109,IF(Atletas!L178="Yinzhaophai A",110,IF(Atletas!L178="Tongbeiquan A",111,IF(Atletas!L178="Wudangquan A",112,IF(Atletas!L178="Outros Estilos A",113,IF(Atletas!L178="Chaquan B",114,IF(Atletas!L178="Emeiquan B",115,IF(Atletas!L178="Fanziquan B",116,IF(Atletas!L178="Huaquan B",117,IF(Atletas!L178="Hongquan B",118,IF(Atletas!L178="Paochui B",119,IF(Atletas!L178="Piguaquan B",120,IF(Atletas!L178="Shaolinquan B",121,IF(Atletas!L178="Tanglangquan B",122,IF(Atletas!L178="Yinzhaophai B",123,IF(Atletas!L178="Tongbeiquan B",124,IF(Atletas!L178="Wudangquan B",125,IF(Atletas!L178="Outros Estilos B",126,IF(Atletas!L178="Chaquan C",127,IF(Atletas!L178="Emeiquan C",128,IF(Atletas!L178="Fanziquan C",129,IF(Atletas!L178="Huaquan C",130,IF(Atletas!L178="Hongquan C",131,IF(Atletas!L178="Paochui C",132,IF(Atletas!L178="Piguaquan C",133,IF(Atletas!L178="Shaolinquan C",134,IF(Atletas!L178="Tanglangquan C",135,IF(Atletas!L178="Yinzhaophai C",136,IF(Atletas!L178="Tongbeiquan C",137,IF(Atletas!L178="Wudangquan C",138,IF(Atletas!L178="Outros Estilos C",139,0))))))))))))))))))))))))))))))))))))))))))</f>
        <v/>
      </c>
      <c r="BM182" s="52" t="str">
        <f>IF(Atletas!L178="","",IF(Atletas!W178&lt;&gt;"",10000,0)+(IF(Atletas!B178="Feminino",1000,IF(Atletas!B178="Masculino",2000,""))+(IF(Atletas!L178="Chaquan D",140,IF(Atletas!L178="Emeiquan D",141,IF(Atletas!L178="Fanziquan D",142,IF(Atletas!L178="Huaquan D",143,IF(Atletas!L178="Hongquan D",144,IF(Atletas!L178="Paochui D",145,IF(Atletas!L178="Piguaquan D",146,IF(Atletas!L178="Shaolinquan D",147,IF(Atletas!L178="Tanglangquan D",148,IF(Atletas!L178="Yinzhaophai D",149,IF(Atletas!L178="Tongbeiquan D",150,IF(Atletas!L178="Wudangquan D",151,IF(Atletas!L178="Outros Estilos D",152,IF(Atletas!L178="Chaquan E",153,IF(Atletas!L178="Emeiquan E",154,IF(Atletas!L178="Fanziquan E",155,IF(Atletas!L178="Huaquan E",156,IF(Atletas!L178="Hongquan E",157,IF(Atletas!L178="Paochui E",158,IF(Atletas!L178="Piguaquan E",159,IF(Atletas!L178="Shaolinquan E",160,IF(Atletas!L178="Tanglangquan E",161,IF(Atletas!L178="Yinzhaophai E",162,IF(Atletas!L178="Tongbeiquan E",163,IF(Atletas!L178="Wudangquan E",164,IF(Atletas!L178="Outros Estilos E",165,IF(Atletas!L178="Chaquan F",166,IF(Atletas!L178="Emeiquan F",167,IF(Atletas!L178="Fanziquan F",168,IF(Atletas!L178="Huaquan F",169,IF(Atletas!L178="Hongquan F",170,IF(Atletas!L178="Paochui F",171,IF(Atletas!L178="Piguaquan F",172,IF(Atletas!L178="Shaolinquan F",173,IF(Atletas!L178="Tanglangquan F",174,IF(Atletas!L178="Yinzhaophai F",175,IF(Atletas!L178="Tongbeiquan F",176,IF(Atletas!L178="Wudangquan F",177,IF(Atletas!L178="Outros Estilos F",178,0))))))))))))))))))))))))))))))))))))))))))</f>
        <v/>
      </c>
      <c r="BN182" s="52" t="str">
        <f>IF(Atletas!M178="","",IF(Atletas!W178&lt;&gt;"",10000,0)+(IF(Atletas!B178="Feminino",1000,IF(Atletas!B178="Masculino",2000,""))+(IF(Atletas!M178="Ditangquan A",201,IF(Atletas!M178="Houquan A",202,IF(Atletas!M178="Zuiquan A",203,IF(Atletas!M178="Ditangquan B",204,IF(Atletas!M178="Houquan B",205,IF(Atletas!M178="Zuiquan B",206,IF(Atletas!M178="Ditangquan C",207,IF(Atletas!M178="Houquan C",208,IF(Atletas!M178="Zuiquan C",209,IF(Atletas!M178="Ditangquan D",210,IF(Atletas!M178="Houquan D",211,IF(Atletas!M178="Zuiquan D",212,IF(Atletas!M178="Ditangquan E",213,IF(Atletas!M178="Houquan E",214,IF(Atletas!M178="Zuiquan E",215,IF(Atletas!M178="Ditangquan F",216,IF(Atletas!M178="Houquan F",217,IF(Atletas!M178="Zuiquan F",218,"")))))))))))))))))))))</f>
        <v/>
      </c>
      <c r="BO182" s="52" t="str">
        <f>IF(Atletas!N178="","",IF(Atletas!W178&lt;&gt;"",10000,0)+IF(Atletas!B178="Feminino",1000,IF(Atletas!B178="Masculino",2000,""))+IF(Atletas!N178="Yang A",301,IF(Atletas!N178="Chen A",30,IF(Atletas!N178="Sun A",303,IF(Atletas!N178="Wu A",304,IF(Atletas!N178="Wu-Hao A",305,IF(Atletas!N178="Outro Taijiquan A",306,IF(Atletas!N178="Yang B",307,IF(Atletas!N178="Chen B",308,IF(Atletas!N178="Sun B",309,IF(Atletas!N178="Wu B",310,IF(Atletas!N178="Wu-Hao B",311,IF(Atletas!N178="Outro Taijiquan B",312,IF(Atletas!N178="Yang C",313,IF(Atletas!N178="Chen C",314,IF(Atletas!N178="Sun C",315,IF(Atletas!N178="Wu C",316,IF(Atletas!N178="Wu-Hao C",317,IF(Atletas!N178="Outro Taijiquan C",318,IF(Atletas!N178="Yang D",319,IF(Atletas!N178="Chen D",320,IF(Atletas!N178="Sun D",321,IF(Atletas!N178="Wu D",322,IF(Atletas!N178="Wu-Hao D",323,IF(Atletas!N178="Outro Taijiquan D",324,IF(Atletas!N178="Yang E",325,IF(Atletas!N178="Chen E",326,IF(Atletas!N178="Sun E",327,IF(Atletas!N178="Wu E",328,IF(Atletas!N178="Wu-Hao E",329,IF(Atletas!N178="Outro Taijiquan E",330,IF(Atletas!N178="Yang F",331,IF(Atletas!N178="Chen F",332,IF(Atletas!N178="Sun F",333,IF(Atletas!N178="Wu F",334,IF(Atletas!N178="Wu-Hao F",335,IF(Atletas!N178="Outro Taijiquan F",336,"")))))))))))))))))))))))))))))))))))))</f>
        <v/>
      </c>
      <c r="BP182" s="52" t="str">
        <f>IF(Atletas!O178="","",IF(Atletas!W178&lt;&gt;"",10000,0)+IF(Atletas!B178="Feminino",1000,IF(Atletas!B178="Masculino",2000,""))+IF(OR(Atletas!O178="Yang 26 A",Atletas!O178="Yang 40 A"),401,IF(OR(Atletas!O178="Chen 25 A",Atletas!O178="Chen 36 A",Atletas!O178="Chen 56 A"),402,IF(Atletas!O178="Sun 73 A",403,IF(Atletas!O178="Wu 45 A",404,IF(Atletas!O178="Wu-Hao 46 A",405,IF(OR(Atletas!O178="Taijiquan 16 A",Atletas!O178="Taijiquan 24 A",Atletas!O178="Taijiquan 32 A",Atletas!O178="Taijiquan 42 A"),406,IF(OR(Atletas!O178="Yang 26 B",Atletas!O178="Yang 40 B"),407,IF(OR(Atletas!O178="Chen 25 B",Atletas!O178="Chen 36 B",Atletas!O178="Chen 56 B"),408,IF(Atletas!O178="Sun 73 B",409,IF(Atletas!O178="Wu 45 B",410,IF(Atletas!O178="Wu-Hao 46 B",411,IF(OR(Atletas!O178="Taijiquan 16 B",Atletas!O178="Taijiquan 24 B",Atletas!O178="Taijiquan 32 B",Atletas!O178="Taijiquan 42 B"),412,IF(OR(Atletas!O178="Yang 26 C",Atletas!O178="Yang 40 C"),413,IF(OR(Atletas!O178="Chen 25 C",Atletas!O178="Chen 36 C",Atletas!O178="Chen 56 C"),414,IF(Atletas!O178="Sun 73 C",415,IF(Atletas!O178="Wu 45 C",416,IF(Atletas!O178="Wu-Hao 46 C",417,IF(OR(Atletas!O178="Taijiquan 16 C",Atletas!O178="Taijiquan 24 C",Atletas!O178="Taijiquan 32 C",Atletas!O178="Taijiquan 42 C"),418,0)))))))))))))))))))</f>
        <v/>
      </c>
      <c r="BQ182" s="52" t="str">
        <f>IF(Atletas!O178="","",IF(Atletas!W178&lt;&gt;"",10000,0)+IF(Atletas!B178="Feminino",1000,IF(Atletas!B178="Masculino",2000,""))+IF(OR(Atletas!O178="Yang 26 D",Atletas!O178="Yang 40 D"),419,IF(OR(Atletas!O178="Chen 25 D",Atletas!O178="Chen 36 D",Atletas!O178="Chen 56 D"),420,IF(Atletas!O178="Sun 73 D",421,IF(Atletas!O178="Wu 45 D",422,IF(Atletas!O178="Wu-Hao 46 D",423,IF(OR(Atletas!O178="Taijiquan 16 D",Atletas!O178="Taijiquan 24 D",Atletas!O178="Taijiquan 32 D",Atletas!O178="Taijiquan 42 D"),424,IF(OR(Atletas!O178="Yang 26 E",Atletas!O178="Yang 40 E"),425,IF(OR(Atletas!O178="Chen 25 E",Atletas!O178="Chen 36 E",Atletas!O178="Chen 56 E"),426,IF(Atletas!O178="Sun 73 E",427,IF(Atletas!O178="Wu 45 E",428,IF(Atletas!O178="Wu-Hao 46 E",429,IF(OR(Atletas!O178="Taijiquan 16 E",Atletas!O178="Taijiquan 24 E",Atletas!O178="Taijiquan 32 E",Atletas!O178="Taijiquan 42 E"),430,IF(OR(Atletas!O178="Yang 26 F",Atletas!O178="Yang 40 F"),431,IF(OR(Atletas!O178="Chen 25 F",Atletas!O178="Chen 36 F",Atletas!O178="Chen 56 F"),432,IF(Atletas!O178="Sun 73 F",433,IF(Atletas!O178="Wu 45 F",434,IF(Atletas!O178="Wu-Hao 46 F",435,IF(OR(Atletas!O178="Taijiquan 16 F",Atletas!O178="Taijiquan 24 F",Atletas!O178="Taijiquan 32 F",Atletas!O178="Taijiquan 42 F"),436,0)))))))))))))))))))</f>
        <v/>
      </c>
      <c r="BR182" s="52" t="str">
        <f>IF(Atletas!P178="","",IF(Atletas!W178&lt;&gt;"",10000,0)+IF(Atletas!B178="Feminino",1000,IF(Atletas!B178="Masculino",2000,""))+IF(Atletas!P178="Xingyiquan A",501,IF(Atletas!P178="Baguazhang A",502,IF(Atletas!P178="Outro Estilo Interno A",503,IF(Atletas!P178="Xingyiquan B",504,IF(Atletas!P178="Baguazhang B",505,IF(Atletas!P178="Outro Estilo Interno B",506,IF(Atletas!P178="Xingyiquan C",507,IF(Atletas!P178="Baguazhang C",508,IF(Atletas!P178="Outro Estilo Interno C",509,IF(Atletas!P178="Xingyiquan D",510,IF(Atletas!P178="Baguazhang D",511,IF(Atletas!P178="Outro Estilo Interno D",512,IF(Atletas!P178="Xingyiquan E",513,IF(Atletas!P178="Baguazhang E",514,IF(Atletas!P178="Outro Estilo Interno E",515,IF(Atletas!P178="Xingyiquan F",516,IF(Atletas!P178="Baguazhang F",517,IF(Atletas!P178="Outro Estilo Interno F",518, "")))))))))))))))))))</f>
        <v/>
      </c>
      <c r="BS182" s="52" t="str">
        <f>IF(Atletas!Q178="","",IF(Atletas!W178&lt;&gt;"",10000,0)+IF(Atletas!B178="Feminino",1000,IF(Atletas!B178="Masculino",2000,""))+IF(Atletas!Q178="Dao A",601,IF(Atletas!Q178="Jian A",602,IF(Atletas!Q178="Bishou A",603,IF(Atletas!Q178="Shan A",604,IF(Atletas!Q178="Outra Arma Curta A",605,IF(Atletas!Q178="Dao B",606,IF(Atletas!Q178="Jian B",607,IF(Atletas!Q178="Bishou B",608,IF(Atletas!Q178="Shan B",609,IF(Atletas!Q178="Outra Arma Curta B",610,IF(Atletas!Q178="Dao C",611,IF(Atletas!Q178="Jian C",612,IF(Atletas!Q178="Bishou C",613,IF(Atletas!Q178="Shan C",614,IF(Atletas!Q178="Outra Arma Curta C",615,IF(Atletas!Q178="Dao D",616,IF(Atletas!Q178="Jian D",617,IF(Atletas!Q178="Bishou D",618,IF(Atletas!Q178="Shan D",619,IF(Atletas!Q178="Outra Arma Curta D",620,IF(Atletas!Q178="Dao E",621,IF(Atletas!Q178="Jian E",622,IF(Atletas!Q178="Bishou E",623,IF(Atletas!Q178="Shan E",624,IF(Atletas!Q178="Outra Arma Curta E",625,IF(Atletas!Q178="Dao F",626,IF(Atletas!Q178="Jian F",627,IF(Atletas!Q178="Bishou F",628,IF(Atletas!Q178="Shan F",629,IF(Atletas!Q178="Outra Arma Curta F",630, "")))))))))))))))))))))))))))))))</f>
        <v/>
      </c>
      <c r="BT182" s="52" t="str">
        <f>IF(Atletas!R178="","",IF(Atletas!W178&lt;&gt;"",10000,0)+IF(Atletas!B178="Feminino",1000,IF(Atletas!B178="Masculino",2000,""))+IF(Atletas!R178="Gun A",701,IF(Atletas!R178="Qiang A",702,IF(Atletas!R178="Pudao / Guandao A",703,IF(Atletas!R178="Outra Arma Longa A",704,IF(Atletas!R178="Gun B",705,IF(Atletas!R178="Qiang B",706,IF(Atletas!R178="Pudao / Guandao B",707,IF(Atletas!R178="Outra Arma Longa B",708,IF(Atletas!R178="Gun C",709,IF(Atletas!R178="Qiang C",710,IF(Atletas!R178="Pudao / Guandao C",711,IF(Atletas!R178="Outra Arma Longa C",712,IF(Atletas!R178="Gun D",713,IF(Atletas!R178="Qiang D",714,IF(Atletas!R178="Pudao / Guandao D",715,IF(Atletas!R178="Outra Arma Longa D",716,IF(Atletas!R178="Gun E",717,IF(Atletas!R178="Qiang E",718,IF(Atletas!R178="Pudao / Guandao E",719,IF(Atletas!R178="Outra Arma Longa E",720,IF(Atletas!R178="Gun F",721,IF(Atletas!R178="Qiang F",722,IF(Atletas!R178="Pudao / Guandao F",723,IF(Atletas!R178="Outra Arma Longa F",724,"")))))))))))))))))))))))))</f>
        <v/>
      </c>
      <c r="BU182" s="52" t="str">
        <f>IF(Atletas!S178="","",IF(Atletas!W178&lt;&gt;"",10000,0)+IF(Atletas!B178="Feminino",1000,IF(Atletas!B178="Masculino",2000,""))+IF(Atletas!S178="Arma Dupla A",801,IF(Atletas!S178="Arma Maleável A",802,IF(Atletas!S178="Arma Dupla B",803,IF(Atletas!S178="Arma Maleável B",804,IF(Atletas!S178="Arma Dupla C",805,IF(Atletas!S178="Arma Maleável C",806,IF(Atletas!S178="Arma Dupla D",807,IF(Atletas!S178="Arma Maleável D",808,IF(Atletas!S178="Arma Dupla E",809,IF(Atletas!S178="Arma Maleável E",810,IF(Atletas!S178="Arma Dupla F",811,IF(Atletas!S178="Arma Maleável F",812, "")))))))))))))</f>
        <v/>
      </c>
      <c r="BV182" s="52" t="str">
        <f>IF(Atletas!T178="","",IF(Atletas!W178&lt;&gt;"",10000,0)+IF(Atletas!B178="Feminino",1000,IF(Atletas!B178="Masculino",2000,""))+IF(Atletas!T178="Taijijian Yang A",901,IF(Atletas!T178="Taijijian Chen A",902,IF(Atletas!T178="Taijijian Sun A",903,IF(Atletas!T178="Taijijian Wu A",904,IF(Atletas!T178="Taijijian Wu-Hao A",905,IF(Atletas!T178="Taijijian 32 A",906,IF(Atletas!T178="Taijijian 42 A",907,IF(Atletas!T178="Taijijian Yang B",908,IF(Atletas!T178="Taijijian Chen B",909,IF(Atletas!T178="Taijijian Sun B",910,IF(Atletas!T178="Taijijian Wu B",911,IF(Atletas!T178="Taijijian Wu-Hao B",912,IF(Atletas!T178="Taijijian 32 B",913,IF(Atletas!T178="Taijijian 42 B",914,IF(Atletas!T178="Taijijian Yang C",915,IF(Atletas!T178="Taijijian Chen C",916,IF(Atletas!T178="Taijijian Sun C",917,IF(Atletas!T178="Taijijian Wu C",918,IF(Atletas!T178="Taijijian Wu-Hao C",919,IF(Atletas!T178="Taijijian 32 C",920,IF(Atletas!T178="Taijijian 42 C",921,IF(Atletas!T178="Taijijian Yang D",922,IF(Atletas!T178="Taijijian Chen D",923,IF(Atletas!T178="Taijijian Sun D",924,IF(Atletas!T178="Taijijian Wu D",925,IF(Atletas!T178="Taijijian Wu-Hao D",926,IF(Atletas!T178="Taijijian 32 D",927,IF(Atletas!T178="Taijijian 42 D",928,IF(Atletas!T178="Taijijian Yang E",929,IF(Atletas!T178="Taijijian Chen E",930,IF(Atletas!T178="Taijijian Sun E",931,IF(Atletas!T178="Taijijian Wu E",932,IF(Atletas!T178="Taijijian Wu-Hao E",933,IF(Atletas!T178="Taijijian 32 E",934,IF(Atletas!T178="Taijijian 42 E",935,IF(Atletas!T178="Taijijian Yang F",936,IF(Atletas!T178="Taijijian Chen F",937,IF(Atletas!T178="Taijijian Sun F",938,IF(Atletas!T178="Taijijian Wu F",939,IF(Atletas!T178="Taijijian Wu-Hao F",940,IF(Atletas!T178="Taijijian 32 F",941,IF(Atletas!T178="Taijijian 42 F",942,"")))))))))))))))))))))))))))))))))))))))))))</f>
        <v/>
      </c>
      <c r="BW182" s="52" t="str">
        <f>IF(Atletas!U178="","",IF(Atletas!W178&lt;&gt;"",10000,0)+IF(Atletas!B178="Feminino",1000,IF(Atletas!B178="Masculino",2000,""))+IF(Atletas!T178="Taijijian 42 F",942,IF(Atletas!U178="Taijidao A",943,IF(Atletas!U178="Taijishan A",944,IF(Atletas!U178="Taijiqiang A",945,IF(Atletas!U178="Taijidao B",946,IF(Atletas!U178="Taijishan B",947,IF(Atletas!U178="Taijiqiang B",948,IF(Atletas!U178="Taijidao C",949,IF(Atletas!U178="Taijishan C",950,IF(Atletas!U178="Taijiqiang C",951,IF(Atletas!U178="Taijidao D",952,IF(Atletas!U178="Taijishan D",953,IF(Atletas!U178="Taijiqiang D",954,IF(Atletas!U178="Taijidao E",955,IF(Atletas!U178="Taijishan E",956,IF(Atletas!U178="Taijiqiang E",957,IF(Atletas!U178="Taijidao F",958,IF(Atletas!U178="Taijishan F",959,IF(Atletas!U178="Taijiqiang F",960))))))))))))))))))))</f>
        <v/>
      </c>
      <c r="BX182" s="72" t="str">
        <f>IF(BY182&lt;&gt;"","TJQ Padr. Chen C","")</f>
        <v/>
      </c>
      <c r="BY182" s="72" t="str">
        <f>IF(COUNTIF(BK:BW,1414)&gt;0,COUNTIF(BK:BW,1414),"")</f>
        <v/>
      </c>
      <c r="BZ182" s="72" t="str">
        <f>IF(CA182&lt;&gt;"","TJQ Padr. Chen C","")</f>
        <v/>
      </c>
      <c r="CA182" s="72" t="str">
        <f>IF(COUNTIF(BK:BW,2414)&gt;0,COUNTIF(BK:BW,2414),"")</f>
        <v/>
      </c>
      <c r="CB182" s="72" t="str">
        <f>IF(CC182&lt;&gt;"","Taijiquan 24 B","")</f>
        <v/>
      </c>
      <c r="CC182" s="64" t="str">
        <f>IF(COUNTIF(BK:BW,11414)&gt;0,COUNTIF(BK:BW,11414),"")</f>
        <v/>
      </c>
      <c r="CD182" s="64" t="str">
        <f>IF(CE182&lt;&gt;"","Taijiquan 24 B","")</f>
        <v/>
      </c>
      <c r="CE182" s="64" t="str">
        <f>IF(COUNTIF(BK:BW,12414)&gt;0,COUNTIF(BK:BW,12414),"")</f>
        <v/>
      </c>
      <c r="CF182" s="52" t="str">
        <f xml:space="preserve"> IF(Atletas!V178="","",IF(Atletas!V178="Duilian de Mãos AB - Equipe 1",1,IF(Atletas!V178="Duilian de Mãos AB - Equipe 2",2,IF(Atletas!V178="Duilian de Armas AB - Equipe 1",3,IF(Atletas!V178="Duilian de Armas AB - Equipe 2",4,IF(Atletas!V178="Duilian de Tuishou - Equipe 1",5,IF(Atletas!V178="Duilian de Tuishou - Equipe 2",6,IF(Atletas!V178="Grupo Externo AB - Equipe 1",7,IF(Atletas!V178="Grupo Externo AB - Equipe 2",8,IF(Atletas!V178="Grupo Interno AB - Equipe 1",9,IF(Atletas!V178="Grupo Interno AB - Equipe 2",10,IF(Atletas!V178="Duilian de Mãos CD - Equipe 1",11,IF(Atletas!V178="Duilian de Mãos CD - Equipe 2",12,IF(Atletas!V178="Duilian de Armas CD - Equipe 1",13,IF(Atletas!V178="Duilian de Armas CD - Equipe 2",14,IF(Atletas!V178="Duilian de Tuishou - Equipe 1",15,IF(Atletas!V178="Duilian de Tuishou - Equipe 2",16,IF(Atletas!V178="Grupo Externo CDEF - Equipe 1",17,IF(Atletas!V178="Grupo Externo CDEF - Equipe 2",18,IF(Atletas!V178="Grupo Interno CDEF - Equipe 1",19,IF(Atletas!V178="Grupo Interno CDEF - Equipe 2",20,IF(Atletas!V178="Duilian de Mãos EF - Equipe 1",21,IF(Atletas!V178="Duilian de Mãos EF - Equipe 2",22,IF(Atletas!V178="Duilian de Armas EF - Equipe 1",23,IF(Atletas!V178="Duilian de Armas EF - Equipe 2",24,IF(Atletas!V178="Duilian de Tuishou - Equipe 1",25,IF(Atletas!V178="Duilian de Tuishou - Equipe 2",26,"")))))))))))))))))))))))))))</f>
        <v/>
      </c>
    </row>
    <row r="183" spans="2:84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 t="str">
        <f t="array" ref="V183">IFERROR(INDEX(BX$7:BX$336,SMALL(IF(BX$7:BX$336&lt;&gt;"",ROW(BX$7:BX$336)-ROW(BX$7)+1),ROWS(BX$7:BX182))),"")</f>
        <v/>
      </c>
      <c r="W183" s="4" t="str">
        <f t="array" ref="W183">IFERROR(INDEX(BY$7:BY$336,SMALL(IF(BY$7:BY$336&lt;&gt;"",ROW(BY$7:BY$336)-ROW(BY$7)+1),ROWS(BY$7:BY182))),"")</f>
        <v/>
      </c>
      <c r="X183" s="4" t="str">
        <f t="array" ref="X183">IFERROR(INDEX(BZ$7:BZ$336,SMALL(IF(BZ$7:BZ$336&lt;&gt;"",ROW(BZ$7:BZ$336)-ROW(BZ$7)+1),ROWS(BZ$7:BZ182))),"")</f>
        <v/>
      </c>
      <c r="Y183" s="4" t="str">
        <f t="array" ref="Y183">IFERROR(INDEX(CA$7:CA$336,SMALL(IF(CA$7:CA$336&lt;&gt;"",ROW(CA$7:CA$336)-ROW(CA$7)+1),ROWS(CA$7:CA182))),"")</f>
        <v/>
      </c>
      <c r="Z183" s="4" t="str">
        <f t="array" ref="Z183">IFERROR(INDEX(CB$7:CB$378,SMALL(IF(CB$7:CB$378&lt;&gt;"",ROW(CB$7:CB$378)-ROW(CB$7)+1),ROWS(CB$7:CB182))),"")</f>
        <v/>
      </c>
      <c r="AA183" s="4" t="str">
        <f t="array" ref="AA183">IFERROR(INDEX(CC$7:CC$378,SMALL(IF(CC$7:CC$378&lt;&gt;"",ROW(CC$7:CC$378)-ROW(CC$7)+1),ROWS(CC$7:CC182))),"")</f>
        <v/>
      </c>
      <c r="AB183" s="4" t="str">
        <f t="array" ref="AB183">IFERROR(INDEX(CD$7:CD$378,SMALL(IF(CD$7:CD$378&lt;&gt;"",ROW(CD$7:CD$378)-ROW(CD$7)+1),ROWS(CD$7:CD182))),"")</f>
        <v/>
      </c>
      <c r="AC183" s="4" t="str">
        <f t="array" ref="AC183">IFERROR(INDEX(CE$7:CE$378,SMALL(IF(CE$7:CE$378&lt;&gt;"",ROW(CE$7:CE$378)-ROW(CE$7)+1),ROWS(CE$7:CE182))),"")</f>
        <v/>
      </c>
      <c r="AD183" s="4"/>
      <c r="AE183" s="4"/>
      <c r="AF183" s="4"/>
      <c r="AG183" s="4"/>
      <c r="AH183" s="4"/>
      <c r="AI183" s="4"/>
      <c r="AJ183" s="46" t="str">
        <f>IF(Atletas!D179="","",IF(Atletas!B179="Feminino",100,IF(Atletas!B179="Masculino",200,""))+(IF(Atletas!D179="Infantil 39kg",1,IF(Atletas!D179="Infantil 42kg",2,IF(Atletas!D179="Infantil 45kg",3,IF(Atletas!D179="Infantil 48kg",4,IF(Atletas!D179="Infantil 52kg",5,IF(Atletas!D179="Infantil 56kg",6,IF(Atletas!D179="Infantil 60kg",7,IF(Atletas!D179="Juvenil 48kg",8,IF(Atletas!D179="Juvenil 52kg",9,IF(Atletas!D179="Juvenil 56kg",10,IF(Atletas!D179="Juvenil 60kg",11,IF(Atletas!D179="Juvenil 65kg",12,IF(Atletas!D179="Juvenil 70kg",13,IF(Atletas!D179="Juvenil 75kg",14,IF(Atletas!D179="Juvenil 80kg",15,IF(Atletas!D179="Adulto 48kg",16,IF(Atletas!D179="Adulto 52kg",17,IF(Atletas!D179="Adulto 56kg",18,IF(Atletas!D179="Adulto 60kg",19,IF(Atletas!D179="Adulto 65kg",20,IF(Atletas!D179="Adulto 70kg",21,IF(Atletas!D179="Adulto 75kg",22,IF(Atletas!D179="Adulto 80kg",23,IF(Atletas!D179="Adulto 85kg",24,IF(Atletas!D179="Adulto 90kg",25,IF(Atletas!D179="Adulto +90kg",26,""))))))))))))))))))))))))))))</f>
        <v/>
      </c>
      <c r="AO183" s="10" t="str">
        <f>IF(Atletas!E179="","",IF(Atletas!B179="Feminino",100,IF(Atletas!B179="Masculino",200,""))+(IF(Atletas!E179="Juvenil 44kg",1,IF(Atletas!E179="Juvenil 48kg",2,IF(Atletas!E179="Juvenil 52kg",3,IF(Atletas!E179="Juvenil 56kg",4,IF(Atletas!E179="Juvenil 60kg",5,IF(Atletas!E179="Juvenil 65kg",6,IF(Atletas!E179="Juvenil 70kg",7,IF(Atletas!E179="Juvenil 75kg",8,IF(Atletas!E179="Juvenil 82kg",9,IF(Atletas!E179="Juvenil 90kg",10,IF(Atletas!E179="Juvenil 100kg",11,IF(Atletas!E179="Adulto 48kg",12,IF(Atletas!E179="Adulto 52kg",13,IF(Atletas!E179="Adulto 56kg",14,IF(Atletas!E179="Adulto 60kg",15,IF(Atletas!E179="Adulto 65kg",16,IF(Atletas!E179="Adulto 70kg",17,IF(Atletas!E179="Adulto 75kg",18,IF(Atletas!E179="Adulto 82kg",19,IF(Atletas!E179="Adulto 90kg",20,IF(Atletas!E179="Adulto 100kg",21,IF(Atletas!E179="Adulto +100kg",22,""))))))))))))))))))))))))</f>
        <v/>
      </c>
      <c r="AT183" s="10" t="str">
        <f>IF(Atletas!F179="","",IF(Atletas!B179="Feminino",100,IF(Atletas!B179="Masculino",200,""))+(IF(Atletas!F179="Adulto 48kg",1,IF(Atletas!F179="Adulto 56kg",2,IF(Atletas!F179="Adulto 65kg",3,IF(Atletas!F179="Adulto 75kg",4,IF(Atletas!F179="Adulto +75kg",5,IF(Atletas!F179="Adulto 52kg",6,IF(Atletas!F179="Adulto 60kg",7,IF(Atletas!F179="Adulto 70kg",8,IF(Atletas!F179="Adulto 80kg",9,IF(Atletas!F179="Adulto 90kg",10,IF(Atletas!F179="Adulto +90kg",11,"")))))))))))))</f>
        <v/>
      </c>
      <c r="AY183" s="46" t="str">
        <f>IF(Atletas!G179="","",IF(Atletas!B179="Feminino",100,IF(Atletas!B179="Masculino",200,""))+(IF(Atletas!G179="Changquan Mirim",1,IF(Atletas!G179="Nanquan Mirim",2,IF(Atletas!G179="Taijiquan Mirim",3,IF(Atletas!G179="Changquan Grupo C",4,IF(Atletas!G179="Nanquan Grupo C",5,IF(Atletas!G179="Taijiquan Grupo C",6,IF(Atletas!G179="Changquan Grupo B",7,IF(Atletas!G179="Nanquan Grupo B",8,IF(Atletas!G179="Taijiquan Grupo B",9,IF(Atletas!G179="Changquan Grupo A",10,IF(Atletas!G179="Nanquan Grupo A",11,IF(Atletas!G179="Taijiquan Grupo A",12,IF(Atletas!G179="Changquan Opcional",13,IF(Atletas!G179="Nanquan Opcional",14,IF(Atletas!G179="Taijiquan Opcional",15,IF(Atletas!G179="Changquan Adulto",16,IF(Atletas!G179="Nanquan Adulto",17,IF(Atletas!G179="Taijiquan Adulto",18,""))))))))))))))))))))</f>
        <v/>
      </c>
      <c r="AZ183" s="46" t="str">
        <f>IF(Atletas!H179="","",IF(Atletas!B179="Feminino",100,IF(Atletas!B179="Masculino",200,""))+(IF(Atletas!H179="Daoshu Mirim",19,IF(Atletas!H179="Jianshu Mirim",20,IF(Atletas!H179="Nandao Mirim",21,IF(Atletas!H179="Taijijian Mirim",22,IF(Atletas!H179="Daoshu Grupo C",23,IF(Atletas!H179="Jianshu Grupo C",24,IF(Atletas!H179="Nandao Grupo C",25,IF(Atletas!H179="Taijijian Grupo C",26,IF(Atletas!H179="Daoshu Grupo B",27,IF(Atletas!H179="Jianshu Grupo B",28,IF(Atletas!H179="Nandao Grupo B",29,IF(Atletas!H179="Taijijian Grupo B",30,IF(Atletas!H179="Daoshu Grupo A",31,IF(Atletas!H179="Jianshu Grupo A",32,IF(Atletas!H179="Nandao Grupo A",33,IF(Atletas!H179="Taijijian Grupo A",34,IF(Atletas!H179="Daoshu Opcional",35,IF(Atletas!H179="Jianshu Opcional",36,IF(Atletas!H179="Nandao Opcional",37,IF(Atletas!H179="Taijijian Opcional",38,IF(Atletas!H179="Daoshu Adulto",39,IF(Atletas!H179="Jianshu Adulto",40,IF(Atletas!H179="Nandao Adulto",41,IF(Atletas!H179="Taijijian Adulto",42,""))))))))))))))))))))))))))</f>
        <v/>
      </c>
      <c r="BA183" s="46" t="str">
        <f>IF(Atletas!I179="","",IF(Atletas!B179="Feminino",100,IF(Atletas!B179="Masculino",200,""))+(IF(Atletas!I179="Gunshu Mirim",43,IF(Atletas!I179="Qiangshu Mirim",44,IF(Atletas!I179="Nangun Mirim",45,IF(Atletas!I179="Gunshu Grupo C",46,IF(Atletas!I179="Qiangshu Grupo C",47,IF(Atletas!I179="Nangun Grupo C",48,IF(Atletas!I179="Gunshu Grupo B",49,IF(Atletas!I179="Qiangshu Grupo B",50,IF(Atletas!I179="Nangun Grupo B",51,IF(Atletas!I179="Gunshu Grupo A",52,IF(Atletas!I179="Qiangshu Grupo A",53,IF(Atletas!I179="Nangun Grupo A",54,IF(Atletas!I179="Gunshu Opcional",55,IF(Atletas!I179="Qiangshu Opcional",56,IF(Atletas!I179="Nangun Opcional",57,IF(Atletas!I179="Gunshu Adulto",58,IF(Atletas!I179="Qiangshu Adulto",59,IF(Atletas!I179="Nangun Adulto",60,""))))))))))))))))))))</f>
        <v/>
      </c>
      <c r="BF183" s="52" t="str">
        <f>IF(Atletas!J179="","",IF(Atletas!B179="Feminino",100,IF(Atletas!B179="Masculino",200,""))+(IF(Atletas!J179="Equipe 1 Grupo B",1,IF(Atletas!J179="Equipe 2 Grupo B",2,IF(Atletas!J179="Equipe 1 Grupo A",3,IF(Atletas!J179="Equipe 2 Grupo A",4,IF(Atletas!J179="Equipe 1 Adulto",5,IF(Atletas!J179="Equipe 2 Adulto",6,""))))))))</f>
        <v/>
      </c>
      <c r="BK183" s="52" t="str">
        <f>IF(Atletas!K179="","",IF(Atletas!W179&lt;&gt;"",10000,0)+(IF(Atletas!B179="Feminino",1000,IF(Atletas!B179="Masculino",2000,""))+IF(Atletas!K179="Choylayfut A",1,IF(Atletas!K179="Hunggar A",2,IF(Atletas!K179="Wuzuquan A",3,IF(Atletas!K179="Wingchun A",4,IF(Atletas!K179="Outra Mão de Sul A",5,IF(Atletas!K179="Choylayfut B",6,IF(Atletas!K179="Hunggar B",7,IF(Atletas!K179="Wuzuquan B",8,IF(Atletas!K179="Wingchun B",9,IF(Atletas!K179="Outra Mão de Sul B",10,IF(Atletas!K179="Choylayfut C",11,IF(Atletas!K179="Hunggar C",12,IF(Atletas!K179="Wuzuquan C",13,IF(Atletas!K179="Wingchun C",14,IF(Atletas!K179="Outra Mão de Sul C",15,IF(Atletas!K179="Choylayfut D",16,IF(Atletas!K179="Hunggar D",17,IF(Atletas!K179="Wuzuquan D",18,IF(Atletas!K179="Wingchun D",19,IF(Atletas!K179="Outra Mão de Sul D",20,IF(Atletas!K179="Choylayfut E",21,IF(Atletas!K179="Hunggar E",22,IF(Atletas!K179="Wuzuquan E",23,IF(Atletas!K179="Wingchun E",24,IF(Atletas!K179="Outra Mão de Sul E",25,IF(Atletas!K179="Choylayfut F",26,IF(Atletas!K179="Hunggar F",27,IF(Atletas!K179="Wuzuquan F",28,IF(Atletas!K179="Wingchun F",29,IF(Atletas!K179="Outra Mão de Sul F",30,""))))))))))))))))))))))))))))))))</f>
        <v/>
      </c>
      <c r="BL183" s="52" t="str">
        <f>IF(Atletas!L179="","",IF(Atletas!W179&lt;&gt;"",10000,0)+(IF(Atletas!B179="Feminino",1000,IF(Atletas!B179="Masculino",2000,""))+(IF(Atletas!L179="Chaquan A",101,IF(Atletas!L179="Emeiquan A",102,IF(Atletas!L179="Fanziquan A",103,IF(Atletas!L179="Huaquan A",104,IF(Atletas!L179="Hongquan A",105,IF(Atletas!L179="Paochui A",106,IF(Atletas!L179="Piguaquan A",107,IF(Atletas!L179="Shaolinquan A",108,IF(Atletas!L179="Tanglangquan A",109,IF(Atletas!L179="Yinzhaophai A",110,IF(Atletas!L179="Tongbeiquan A",111,IF(Atletas!L179="Wudangquan A",112,IF(Atletas!L179="Outros Estilos A",113,IF(Atletas!L179="Chaquan B",114,IF(Atletas!L179="Emeiquan B",115,IF(Atletas!L179="Fanziquan B",116,IF(Atletas!L179="Huaquan B",117,IF(Atletas!L179="Hongquan B",118,IF(Atletas!L179="Paochui B",119,IF(Atletas!L179="Piguaquan B",120,IF(Atletas!L179="Shaolinquan B",121,IF(Atletas!L179="Tanglangquan B",122,IF(Atletas!L179="Yinzhaophai B",123,IF(Atletas!L179="Tongbeiquan B",124,IF(Atletas!L179="Wudangquan B",125,IF(Atletas!L179="Outros Estilos B",126,IF(Atletas!L179="Chaquan C",127,IF(Atletas!L179="Emeiquan C",128,IF(Atletas!L179="Fanziquan C",129,IF(Atletas!L179="Huaquan C",130,IF(Atletas!L179="Hongquan C",131,IF(Atletas!L179="Paochui C",132,IF(Atletas!L179="Piguaquan C",133,IF(Atletas!L179="Shaolinquan C",134,IF(Atletas!L179="Tanglangquan C",135,IF(Atletas!L179="Yinzhaophai C",136,IF(Atletas!L179="Tongbeiquan C",137,IF(Atletas!L179="Wudangquan C",138,IF(Atletas!L179="Outros Estilos C",139,0))))))))))))))))))))))))))))))))))))))))))</f>
        <v/>
      </c>
      <c r="BM183" s="52" t="str">
        <f>IF(Atletas!L179="","",IF(Atletas!W179&lt;&gt;"",10000,0)+(IF(Atletas!B179="Feminino",1000,IF(Atletas!B179="Masculino",2000,""))+(IF(Atletas!L179="Chaquan D",140,IF(Atletas!L179="Emeiquan D",141,IF(Atletas!L179="Fanziquan D",142,IF(Atletas!L179="Huaquan D",143,IF(Atletas!L179="Hongquan D",144,IF(Atletas!L179="Paochui D",145,IF(Atletas!L179="Piguaquan D",146,IF(Atletas!L179="Shaolinquan D",147,IF(Atletas!L179="Tanglangquan D",148,IF(Atletas!L179="Yinzhaophai D",149,IF(Atletas!L179="Tongbeiquan D",150,IF(Atletas!L179="Wudangquan D",151,IF(Atletas!L179="Outros Estilos D",152,IF(Atletas!L179="Chaquan E",153,IF(Atletas!L179="Emeiquan E",154,IF(Atletas!L179="Fanziquan E",155,IF(Atletas!L179="Huaquan E",156,IF(Atletas!L179="Hongquan E",157,IF(Atletas!L179="Paochui E",158,IF(Atletas!L179="Piguaquan E",159,IF(Atletas!L179="Shaolinquan E",160,IF(Atletas!L179="Tanglangquan E",161,IF(Atletas!L179="Yinzhaophai E",162,IF(Atletas!L179="Tongbeiquan E",163,IF(Atletas!L179="Wudangquan E",164,IF(Atletas!L179="Outros Estilos E",165,IF(Atletas!L179="Chaquan F",166,IF(Atletas!L179="Emeiquan F",167,IF(Atletas!L179="Fanziquan F",168,IF(Atletas!L179="Huaquan F",169,IF(Atletas!L179="Hongquan F",170,IF(Atletas!L179="Paochui F",171,IF(Atletas!L179="Piguaquan F",172,IF(Atletas!L179="Shaolinquan F",173,IF(Atletas!L179="Tanglangquan F",174,IF(Atletas!L179="Yinzhaophai F",175,IF(Atletas!L179="Tongbeiquan F",176,IF(Atletas!L179="Wudangquan F",177,IF(Atletas!L179="Outros Estilos F",178,0))))))))))))))))))))))))))))))))))))))))))</f>
        <v/>
      </c>
      <c r="BN183" s="52" t="str">
        <f>IF(Atletas!M179="","",IF(Atletas!W179&lt;&gt;"",10000,0)+(IF(Atletas!B179="Feminino",1000,IF(Atletas!B179="Masculino",2000,""))+(IF(Atletas!M179="Ditangquan A",201,IF(Atletas!M179="Houquan A",202,IF(Atletas!M179="Zuiquan A",203,IF(Atletas!M179="Ditangquan B",204,IF(Atletas!M179="Houquan B",205,IF(Atletas!M179="Zuiquan B",206,IF(Atletas!M179="Ditangquan C",207,IF(Atletas!M179="Houquan C",208,IF(Atletas!M179="Zuiquan C",209,IF(Atletas!M179="Ditangquan D",210,IF(Atletas!M179="Houquan D",211,IF(Atletas!M179="Zuiquan D",212,IF(Atletas!M179="Ditangquan E",213,IF(Atletas!M179="Houquan E",214,IF(Atletas!M179="Zuiquan E",215,IF(Atletas!M179="Ditangquan F",216,IF(Atletas!M179="Houquan F",217,IF(Atletas!M179="Zuiquan F",218,"")))))))))))))))))))))</f>
        <v/>
      </c>
      <c r="BO183" s="52" t="str">
        <f>IF(Atletas!N179="","",IF(Atletas!W179&lt;&gt;"",10000,0)+IF(Atletas!B179="Feminino",1000,IF(Atletas!B179="Masculino",2000,""))+IF(Atletas!N179="Yang A",301,IF(Atletas!N179="Chen A",30,IF(Atletas!N179="Sun A",303,IF(Atletas!N179="Wu A",304,IF(Atletas!N179="Wu-Hao A",305,IF(Atletas!N179="Outro Taijiquan A",306,IF(Atletas!N179="Yang B",307,IF(Atletas!N179="Chen B",308,IF(Atletas!N179="Sun B",309,IF(Atletas!N179="Wu B",310,IF(Atletas!N179="Wu-Hao B",311,IF(Atletas!N179="Outro Taijiquan B",312,IF(Atletas!N179="Yang C",313,IF(Atletas!N179="Chen C",314,IF(Atletas!N179="Sun C",315,IF(Atletas!N179="Wu C",316,IF(Atletas!N179="Wu-Hao C",317,IF(Atletas!N179="Outro Taijiquan C",318,IF(Atletas!N179="Yang D",319,IF(Atletas!N179="Chen D",320,IF(Atletas!N179="Sun D",321,IF(Atletas!N179="Wu D",322,IF(Atletas!N179="Wu-Hao D",323,IF(Atletas!N179="Outro Taijiquan D",324,IF(Atletas!N179="Yang E",325,IF(Atletas!N179="Chen E",326,IF(Atletas!N179="Sun E",327,IF(Atletas!N179="Wu E",328,IF(Atletas!N179="Wu-Hao E",329,IF(Atletas!N179="Outro Taijiquan E",330,IF(Atletas!N179="Yang F",331,IF(Atletas!N179="Chen F",332,IF(Atletas!N179="Sun F",333,IF(Atletas!N179="Wu F",334,IF(Atletas!N179="Wu-Hao F",335,IF(Atletas!N179="Outro Taijiquan F",336,"")))))))))))))))))))))))))))))))))))))</f>
        <v/>
      </c>
      <c r="BP183" s="52" t="str">
        <f>IF(Atletas!O179="","",IF(Atletas!W179&lt;&gt;"",10000,0)+IF(Atletas!B179="Feminino",1000,IF(Atletas!B179="Masculino",2000,""))+IF(OR(Atletas!O179="Yang 26 A",Atletas!O179="Yang 40 A"),401,IF(OR(Atletas!O179="Chen 25 A",Atletas!O179="Chen 36 A",Atletas!O179="Chen 56 A"),402,IF(Atletas!O179="Sun 73 A",403,IF(Atletas!O179="Wu 45 A",404,IF(Atletas!O179="Wu-Hao 46 A",405,IF(OR(Atletas!O179="Taijiquan 16 A",Atletas!O179="Taijiquan 24 A",Atletas!O179="Taijiquan 32 A",Atletas!O179="Taijiquan 42 A"),406,IF(OR(Atletas!O179="Yang 26 B",Atletas!O179="Yang 40 B"),407,IF(OR(Atletas!O179="Chen 25 B",Atletas!O179="Chen 36 B",Atletas!O179="Chen 56 B"),408,IF(Atletas!O179="Sun 73 B",409,IF(Atletas!O179="Wu 45 B",410,IF(Atletas!O179="Wu-Hao 46 B",411,IF(OR(Atletas!O179="Taijiquan 16 B",Atletas!O179="Taijiquan 24 B",Atletas!O179="Taijiquan 32 B",Atletas!O179="Taijiquan 42 B"),412,IF(OR(Atletas!O179="Yang 26 C",Atletas!O179="Yang 40 C"),413,IF(OR(Atletas!O179="Chen 25 C",Atletas!O179="Chen 36 C",Atletas!O179="Chen 56 C"),414,IF(Atletas!O179="Sun 73 C",415,IF(Atletas!O179="Wu 45 C",416,IF(Atletas!O179="Wu-Hao 46 C",417,IF(OR(Atletas!O179="Taijiquan 16 C",Atletas!O179="Taijiquan 24 C",Atletas!O179="Taijiquan 32 C",Atletas!O179="Taijiquan 42 C"),418,0)))))))))))))))))))</f>
        <v/>
      </c>
      <c r="BQ183" s="52" t="str">
        <f>IF(Atletas!O179="","",IF(Atletas!W179&lt;&gt;"",10000,0)+IF(Atletas!B179="Feminino",1000,IF(Atletas!B179="Masculino",2000,""))+IF(OR(Atletas!O179="Yang 26 D",Atletas!O179="Yang 40 D"),419,IF(OR(Atletas!O179="Chen 25 D",Atletas!O179="Chen 36 D",Atletas!O179="Chen 56 D"),420,IF(Atletas!O179="Sun 73 D",421,IF(Atletas!O179="Wu 45 D",422,IF(Atletas!O179="Wu-Hao 46 D",423,IF(OR(Atletas!O179="Taijiquan 16 D",Atletas!O179="Taijiquan 24 D",Atletas!O179="Taijiquan 32 D",Atletas!O179="Taijiquan 42 D"),424,IF(OR(Atletas!O179="Yang 26 E",Atletas!O179="Yang 40 E"),425,IF(OR(Atletas!O179="Chen 25 E",Atletas!O179="Chen 36 E",Atletas!O179="Chen 56 E"),426,IF(Atletas!O179="Sun 73 E",427,IF(Atletas!O179="Wu 45 E",428,IF(Atletas!O179="Wu-Hao 46 E",429,IF(OR(Atletas!O179="Taijiquan 16 E",Atletas!O179="Taijiquan 24 E",Atletas!O179="Taijiquan 32 E",Atletas!O179="Taijiquan 42 E"),430,IF(OR(Atletas!O179="Yang 26 F",Atletas!O179="Yang 40 F"),431,IF(OR(Atletas!O179="Chen 25 F",Atletas!O179="Chen 36 F",Atletas!O179="Chen 56 F"),432,IF(Atletas!O179="Sun 73 F",433,IF(Atletas!O179="Wu 45 F",434,IF(Atletas!O179="Wu-Hao 46 F",435,IF(OR(Atletas!O179="Taijiquan 16 F",Atletas!O179="Taijiquan 24 F",Atletas!O179="Taijiquan 32 F",Atletas!O179="Taijiquan 42 F"),436,0)))))))))))))))))))</f>
        <v/>
      </c>
      <c r="BR183" s="52" t="str">
        <f>IF(Atletas!P179="","",IF(Atletas!W179&lt;&gt;"",10000,0)+IF(Atletas!B179="Feminino",1000,IF(Atletas!B179="Masculino",2000,""))+IF(Atletas!P179="Xingyiquan A",501,IF(Atletas!P179="Baguazhang A",502,IF(Atletas!P179="Outro Estilo Interno A",503,IF(Atletas!P179="Xingyiquan B",504,IF(Atletas!P179="Baguazhang B",505,IF(Atletas!P179="Outro Estilo Interno B",506,IF(Atletas!P179="Xingyiquan C",507,IF(Atletas!P179="Baguazhang C",508,IF(Atletas!P179="Outro Estilo Interno C",509,IF(Atletas!P179="Xingyiquan D",510,IF(Atletas!P179="Baguazhang D",511,IF(Atletas!P179="Outro Estilo Interno D",512,IF(Atletas!P179="Xingyiquan E",513,IF(Atletas!P179="Baguazhang E",514,IF(Atletas!P179="Outro Estilo Interno E",515,IF(Atletas!P179="Xingyiquan F",516,IF(Atletas!P179="Baguazhang F",517,IF(Atletas!P179="Outro Estilo Interno F",518, "")))))))))))))))))))</f>
        <v/>
      </c>
      <c r="BS183" s="52" t="str">
        <f>IF(Atletas!Q179="","",IF(Atletas!W179&lt;&gt;"",10000,0)+IF(Atletas!B179="Feminino",1000,IF(Atletas!B179="Masculino",2000,""))+IF(Atletas!Q179="Dao A",601,IF(Atletas!Q179="Jian A",602,IF(Atletas!Q179="Bishou A",603,IF(Atletas!Q179="Shan A",604,IF(Atletas!Q179="Outra Arma Curta A",605,IF(Atletas!Q179="Dao B",606,IF(Atletas!Q179="Jian B",607,IF(Atletas!Q179="Bishou B",608,IF(Atletas!Q179="Shan B",609,IF(Atletas!Q179="Outra Arma Curta B",610,IF(Atletas!Q179="Dao C",611,IF(Atletas!Q179="Jian C",612,IF(Atletas!Q179="Bishou C",613,IF(Atletas!Q179="Shan C",614,IF(Atletas!Q179="Outra Arma Curta C",615,IF(Atletas!Q179="Dao D",616,IF(Atletas!Q179="Jian D",617,IF(Atletas!Q179="Bishou D",618,IF(Atletas!Q179="Shan D",619,IF(Atletas!Q179="Outra Arma Curta D",620,IF(Atletas!Q179="Dao E",621,IF(Atletas!Q179="Jian E",622,IF(Atletas!Q179="Bishou E",623,IF(Atletas!Q179="Shan E",624,IF(Atletas!Q179="Outra Arma Curta E",625,IF(Atletas!Q179="Dao F",626,IF(Atletas!Q179="Jian F",627,IF(Atletas!Q179="Bishou F",628,IF(Atletas!Q179="Shan F",629,IF(Atletas!Q179="Outra Arma Curta F",630, "")))))))))))))))))))))))))))))))</f>
        <v/>
      </c>
      <c r="BT183" s="52" t="str">
        <f>IF(Atletas!R179="","",IF(Atletas!W179&lt;&gt;"",10000,0)+IF(Atletas!B179="Feminino",1000,IF(Atletas!B179="Masculino",2000,""))+IF(Atletas!R179="Gun A",701,IF(Atletas!R179="Qiang A",702,IF(Atletas!R179="Pudao / Guandao A",703,IF(Atletas!R179="Outra Arma Longa A",704,IF(Atletas!R179="Gun B",705,IF(Atletas!R179="Qiang B",706,IF(Atletas!R179="Pudao / Guandao B",707,IF(Atletas!R179="Outra Arma Longa B",708,IF(Atletas!R179="Gun C",709,IF(Atletas!R179="Qiang C",710,IF(Atletas!R179="Pudao / Guandao C",711,IF(Atletas!R179="Outra Arma Longa C",712,IF(Atletas!R179="Gun D",713,IF(Atletas!R179="Qiang D",714,IF(Atletas!R179="Pudao / Guandao D",715,IF(Atletas!R179="Outra Arma Longa D",716,IF(Atletas!R179="Gun E",717,IF(Atletas!R179="Qiang E",718,IF(Atletas!R179="Pudao / Guandao E",719,IF(Atletas!R179="Outra Arma Longa E",720,IF(Atletas!R179="Gun F",721,IF(Atletas!R179="Qiang F",722,IF(Atletas!R179="Pudao / Guandao F",723,IF(Atletas!R179="Outra Arma Longa F",724,"")))))))))))))))))))))))))</f>
        <v/>
      </c>
      <c r="BU183" s="52" t="str">
        <f>IF(Atletas!S179="","",IF(Atletas!W179&lt;&gt;"",10000,0)+IF(Atletas!B179="Feminino",1000,IF(Atletas!B179="Masculino",2000,""))+IF(Atletas!S179="Arma Dupla A",801,IF(Atletas!S179="Arma Maleável A",802,IF(Atletas!S179="Arma Dupla B",803,IF(Atletas!S179="Arma Maleável B",804,IF(Atletas!S179="Arma Dupla C",805,IF(Atletas!S179="Arma Maleável C",806,IF(Atletas!S179="Arma Dupla D",807,IF(Atletas!S179="Arma Maleável D",808,IF(Atletas!S179="Arma Dupla E",809,IF(Atletas!S179="Arma Maleável E",810,IF(Atletas!S179="Arma Dupla F",811,IF(Atletas!S179="Arma Maleável F",812, "")))))))))))))</f>
        <v/>
      </c>
      <c r="BV183" s="52" t="str">
        <f>IF(Atletas!T179="","",IF(Atletas!W179&lt;&gt;"",10000,0)+IF(Atletas!B179="Feminino",1000,IF(Atletas!B179="Masculino",2000,""))+IF(Atletas!T179="Taijijian Yang A",901,IF(Atletas!T179="Taijijian Chen A",902,IF(Atletas!T179="Taijijian Sun A",903,IF(Atletas!T179="Taijijian Wu A",904,IF(Atletas!T179="Taijijian Wu-Hao A",905,IF(Atletas!T179="Taijijian 32 A",906,IF(Atletas!T179="Taijijian 42 A",907,IF(Atletas!T179="Taijijian Yang B",908,IF(Atletas!T179="Taijijian Chen B",909,IF(Atletas!T179="Taijijian Sun B",910,IF(Atletas!T179="Taijijian Wu B",911,IF(Atletas!T179="Taijijian Wu-Hao B",912,IF(Atletas!T179="Taijijian 32 B",913,IF(Atletas!T179="Taijijian 42 B",914,IF(Atletas!T179="Taijijian Yang C",915,IF(Atletas!T179="Taijijian Chen C",916,IF(Atletas!T179="Taijijian Sun C",917,IF(Atletas!T179="Taijijian Wu C",918,IF(Atletas!T179="Taijijian Wu-Hao C",919,IF(Atletas!T179="Taijijian 32 C",920,IF(Atletas!T179="Taijijian 42 C",921,IF(Atletas!T179="Taijijian Yang D",922,IF(Atletas!T179="Taijijian Chen D",923,IF(Atletas!T179="Taijijian Sun D",924,IF(Atletas!T179="Taijijian Wu D",925,IF(Atletas!T179="Taijijian Wu-Hao D",926,IF(Atletas!T179="Taijijian 32 D",927,IF(Atletas!T179="Taijijian 42 D",928,IF(Atletas!T179="Taijijian Yang E",929,IF(Atletas!T179="Taijijian Chen E",930,IF(Atletas!T179="Taijijian Sun E",931,IF(Atletas!T179="Taijijian Wu E",932,IF(Atletas!T179="Taijijian Wu-Hao E",933,IF(Atletas!T179="Taijijian 32 E",934,IF(Atletas!T179="Taijijian 42 E",935,IF(Atletas!T179="Taijijian Yang F",936,IF(Atletas!T179="Taijijian Chen F",937,IF(Atletas!T179="Taijijian Sun F",938,IF(Atletas!T179="Taijijian Wu F",939,IF(Atletas!T179="Taijijian Wu-Hao F",940,IF(Atletas!T179="Taijijian 32 F",941,IF(Atletas!T179="Taijijian 42 F",942,"")))))))))))))))))))))))))))))))))))))))))))</f>
        <v/>
      </c>
      <c r="BW183" s="52" t="str">
        <f>IF(Atletas!U179="","",IF(Atletas!W179&lt;&gt;"",10000,0)+IF(Atletas!B179="Feminino",1000,IF(Atletas!B179="Masculino",2000,""))+IF(Atletas!T179="Taijijian 42 F",942,IF(Atletas!U179="Taijidao A",943,IF(Atletas!U179="Taijishan A",944,IF(Atletas!U179="Taijiqiang A",945,IF(Atletas!U179="Taijidao B",946,IF(Atletas!U179="Taijishan B",947,IF(Atletas!U179="Taijiqiang B",948,IF(Atletas!U179="Taijidao C",949,IF(Atletas!U179="Taijishan C",950,IF(Atletas!U179="Taijiqiang C",951,IF(Atletas!U179="Taijidao D",952,IF(Atletas!U179="Taijishan D",953,IF(Atletas!U179="Taijiqiang D",954,IF(Atletas!U179="Taijidao E",955,IF(Atletas!U179="Taijishan E",956,IF(Atletas!U179="Taijiqiang E",957,IF(Atletas!U179="Taijidao F",958,IF(Atletas!U179="Taijishan F",959,IF(Atletas!U179="Taijiqiang F",960))))))))))))))))))))</f>
        <v/>
      </c>
      <c r="BX183" s="72" t="str">
        <f>IF(BY183&lt;&gt;"","TJQ Padr. Sun C","")</f>
        <v/>
      </c>
      <c r="BY183" s="72" t="str">
        <f>IF(COUNTIF(BK:BW,1415)&gt;0,COUNTIF(BK:BW,1415),"")</f>
        <v/>
      </c>
      <c r="BZ183" s="72" t="str">
        <f>IF(CA183&lt;&gt;"","TJQ Padr. Sun C","")</f>
        <v/>
      </c>
      <c r="CA183" s="72" t="str">
        <f>IF(COUNTIF(BK:BW,2415)&gt;0,COUNTIF(BK:BW,2415),"")</f>
        <v/>
      </c>
      <c r="CB183" s="72" t="str">
        <f>IF(CC183&lt;&gt;"","Taijiquan 32 B","")</f>
        <v/>
      </c>
      <c r="CC183" s="64" t="str">
        <f>IF(COUNTIF(BK:BW,11415)&gt;0,COUNTIF(BK:BW,11415),"")</f>
        <v/>
      </c>
      <c r="CD183" s="64" t="str">
        <f>IF(CE183&lt;&gt;"","Taijiquan 32 B","")</f>
        <v/>
      </c>
      <c r="CE183" s="64" t="str">
        <f>IF(COUNTIF(BK:BW,12415)&gt;0,COUNTIF(BK:BW,12415),"")</f>
        <v/>
      </c>
      <c r="CF183" s="52" t="str">
        <f xml:space="preserve"> IF(Atletas!V179="","",IF(Atletas!V179="Duilian de Mãos AB - Equipe 1",1,IF(Atletas!V179="Duilian de Mãos AB - Equipe 2",2,IF(Atletas!V179="Duilian de Armas AB - Equipe 1",3,IF(Atletas!V179="Duilian de Armas AB - Equipe 2",4,IF(Atletas!V179="Duilian de Tuishou - Equipe 1",5,IF(Atletas!V179="Duilian de Tuishou - Equipe 2",6,IF(Atletas!V179="Grupo Externo AB - Equipe 1",7,IF(Atletas!V179="Grupo Externo AB - Equipe 2",8,IF(Atletas!V179="Grupo Interno AB - Equipe 1",9,IF(Atletas!V179="Grupo Interno AB - Equipe 2",10,IF(Atletas!V179="Duilian de Mãos CD - Equipe 1",11,IF(Atletas!V179="Duilian de Mãos CD - Equipe 2",12,IF(Atletas!V179="Duilian de Armas CD - Equipe 1",13,IF(Atletas!V179="Duilian de Armas CD - Equipe 2",14,IF(Atletas!V179="Duilian de Tuishou - Equipe 1",15,IF(Atletas!V179="Duilian de Tuishou - Equipe 2",16,IF(Atletas!V179="Grupo Externo CDEF - Equipe 1",17,IF(Atletas!V179="Grupo Externo CDEF - Equipe 2",18,IF(Atletas!V179="Grupo Interno CDEF - Equipe 1",19,IF(Atletas!V179="Grupo Interno CDEF - Equipe 2",20,IF(Atletas!V179="Duilian de Mãos EF - Equipe 1",21,IF(Atletas!V179="Duilian de Mãos EF - Equipe 2",22,IF(Atletas!V179="Duilian de Armas EF - Equipe 1",23,IF(Atletas!V179="Duilian de Armas EF - Equipe 2",24,IF(Atletas!V179="Duilian de Tuishou - Equipe 1",25,IF(Atletas!V179="Duilian de Tuishou - Equipe 2",26,"")))))))))))))))))))))))))))</f>
        <v/>
      </c>
    </row>
    <row r="184" spans="2:84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 t="str">
        <f t="array" ref="V184">IFERROR(INDEX(BX$7:BX$336,SMALL(IF(BX$7:BX$336&lt;&gt;"",ROW(BX$7:BX$336)-ROW(BX$7)+1),ROWS(BX$7:BX183))),"")</f>
        <v/>
      </c>
      <c r="W184" s="4" t="str">
        <f t="array" ref="W184">IFERROR(INDEX(BY$7:BY$336,SMALL(IF(BY$7:BY$336&lt;&gt;"",ROW(BY$7:BY$336)-ROW(BY$7)+1),ROWS(BY$7:BY183))),"")</f>
        <v/>
      </c>
      <c r="X184" s="4" t="str">
        <f t="array" ref="X184">IFERROR(INDEX(BZ$7:BZ$336,SMALL(IF(BZ$7:BZ$336&lt;&gt;"",ROW(BZ$7:BZ$336)-ROW(BZ$7)+1),ROWS(BZ$7:BZ183))),"")</f>
        <v/>
      </c>
      <c r="Y184" s="4" t="str">
        <f t="array" ref="Y184">IFERROR(INDEX(CA$7:CA$336,SMALL(IF(CA$7:CA$336&lt;&gt;"",ROW(CA$7:CA$336)-ROW(CA$7)+1),ROWS(CA$7:CA183))),"")</f>
        <v/>
      </c>
      <c r="Z184" s="4" t="str">
        <f t="array" ref="Z184">IFERROR(INDEX(CB$7:CB$378,SMALL(IF(CB$7:CB$378&lt;&gt;"",ROW(CB$7:CB$378)-ROW(CB$7)+1),ROWS(CB$7:CB183))),"")</f>
        <v/>
      </c>
      <c r="AA184" s="4" t="str">
        <f t="array" ref="AA184">IFERROR(INDEX(CC$7:CC$378,SMALL(IF(CC$7:CC$378&lt;&gt;"",ROW(CC$7:CC$378)-ROW(CC$7)+1),ROWS(CC$7:CC183))),"")</f>
        <v/>
      </c>
      <c r="AB184" s="4" t="str">
        <f t="array" ref="AB184">IFERROR(INDEX(CD$7:CD$378,SMALL(IF(CD$7:CD$378&lt;&gt;"",ROW(CD$7:CD$378)-ROW(CD$7)+1),ROWS(CD$7:CD183))),"")</f>
        <v/>
      </c>
      <c r="AC184" s="4" t="str">
        <f t="array" ref="AC184">IFERROR(INDEX(CE$7:CE$378,SMALL(IF(CE$7:CE$378&lt;&gt;"",ROW(CE$7:CE$378)-ROW(CE$7)+1),ROWS(CE$7:CE183))),"")</f>
        <v/>
      </c>
      <c r="AD184" s="4"/>
      <c r="AE184" s="4"/>
      <c r="AF184" s="4"/>
      <c r="AG184" s="4"/>
      <c r="AH184" s="4"/>
      <c r="AI184" s="4"/>
      <c r="AJ184" s="46" t="str">
        <f>IF(Atletas!D180="","",IF(Atletas!B180="Feminino",100,IF(Atletas!B180="Masculino",200,""))+(IF(Atletas!D180="Infantil 39kg",1,IF(Atletas!D180="Infantil 42kg",2,IF(Atletas!D180="Infantil 45kg",3,IF(Atletas!D180="Infantil 48kg",4,IF(Atletas!D180="Infantil 52kg",5,IF(Atletas!D180="Infantil 56kg",6,IF(Atletas!D180="Infantil 60kg",7,IF(Atletas!D180="Juvenil 48kg",8,IF(Atletas!D180="Juvenil 52kg",9,IF(Atletas!D180="Juvenil 56kg",10,IF(Atletas!D180="Juvenil 60kg",11,IF(Atletas!D180="Juvenil 65kg",12,IF(Atletas!D180="Juvenil 70kg",13,IF(Atletas!D180="Juvenil 75kg",14,IF(Atletas!D180="Juvenil 80kg",15,IF(Atletas!D180="Adulto 48kg",16,IF(Atletas!D180="Adulto 52kg",17,IF(Atletas!D180="Adulto 56kg",18,IF(Atletas!D180="Adulto 60kg",19,IF(Atletas!D180="Adulto 65kg",20,IF(Atletas!D180="Adulto 70kg",21,IF(Atletas!D180="Adulto 75kg",22,IF(Atletas!D180="Adulto 80kg",23,IF(Atletas!D180="Adulto 85kg",24,IF(Atletas!D180="Adulto 90kg",25,IF(Atletas!D180="Adulto +90kg",26,""))))))))))))))))))))))))))))</f>
        <v/>
      </c>
      <c r="AO184" s="10" t="str">
        <f>IF(Atletas!E180="","",IF(Atletas!B180="Feminino",100,IF(Atletas!B180="Masculino",200,""))+(IF(Atletas!E180="Juvenil 44kg",1,IF(Atletas!E180="Juvenil 48kg",2,IF(Atletas!E180="Juvenil 52kg",3,IF(Atletas!E180="Juvenil 56kg",4,IF(Atletas!E180="Juvenil 60kg",5,IF(Atletas!E180="Juvenil 65kg",6,IF(Atletas!E180="Juvenil 70kg",7,IF(Atletas!E180="Juvenil 75kg",8,IF(Atletas!E180="Juvenil 82kg",9,IF(Atletas!E180="Juvenil 90kg",10,IF(Atletas!E180="Juvenil 100kg",11,IF(Atletas!E180="Adulto 48kg",12,IF(Atletas!E180="Adulto 52kg",13,IF(Atletas!E180="Adulto 56kg",14,IF(Atletas!E180="Adulto 60kg",15,IF(Atletas!E180="Adulto 65kg",16,IF(Atletas!E180="Adulto 70kg",17,IF(Atletas!E180="Adulto 75kg",18,IF(Atletas!E180="Adulto 82kg",19,IF(Atletas!E180="Adulto 90kg",20,IF(Atletas!E180="Adulto 100kg",21,IF(Atletas!E180="Adulto +100kg",22,""))))))))))))))))))))))))</f>
        <v/>
      </c>
      <c r="AT184" s="10" t="str">
        <f>IF(Atletas!F180="","",IF(Atletas!B180="Feminino",100,IF(Atletas!B180="Masculino",200,""))+(IF(Atletas!F180="Adulto 48kg",1,IF(Atletas!F180="Adulto 56kg",2,IF(Atletas!F180="Adulto 65kg",3,IF(Atletas!F180="Adulto 75kg",4,IF(Atletas!F180="Adulto +75kg",5,IF(Atletas!F180="Adulto 52kg",6,IF(Atletas!F180="Adulto 60kg",7,IF(Atletas!F180="Adulto 70kg",8,IF(Atletas!F180="Adulto 80kg",9,IF(Atletas!F180="Adulto 90kg",10,IF(Atletas!F180="Adulto +90kg",11,"")))))))))))))</f>
        <v/>
      </c>
      <c r="AY184" s="46" t="str">
        <f>IF(Atletas!G180="","",IF(Atletas!B180="Feminino",100,IF(Atletas!B180="Masculino",200,""))+(IF(Atletas!G180="Changquan Mirim",1,IF(Atletas!G180="Nanquan Mirim",2,IF(Atletas!G180="Taijiquan Mirim",3,IF(Atletas!G180="Changquan Grupo C",4,IF(Atletas!G180="Nanquan Grupo C",5,IF(Atletas!G180="Taijiquan Grupo C",6,IF(Atletas!G180="Changquan Grupo B",7,IF(Atletas!G180="Nanquan Grupo B",8,IF(Atletas!G180="Taijiquan Grupo B",9,IF(Atletas!G180="Changquan Grupo A",10,IF(Atletas!G180="Nanquan Grupo A",11,IF(Atletas!G180="Taijiquan Grupo A",12,IF(Atletas!G180="Changquan Opcional",13,IF(Atletas!G180="Nanquan Opcional",14,IF(Atletas!G180="Taijiquan Opcional",15,IF(Atletas!G180="Changquan Adulto",16,IF(Atletas!G180="Nanquan Adulto",17,IF(Atletas!G180="Taijiquan Adulto",18,""))))))))))))))))))))</f>
        <v/>
      </c>
      <c r="AZ184" s="46" t="str">
        <f>IF(Atletas!H180="","",IF(Atletas!B180="Feminino",100,IF(Atletas!B180="Masculino",200,""))+(IF(Atletas!H180="Daoshu Mirim",19,IF(Atletas!H180="Jianshu Mirim",20,IF(Atletas!H180="Nandao Mirim",21,IF(Atletas!H180="Taijijian Mirim",22,IF(Atletas!H180="Daoshu Grupo C",23,IF(Atletas!H180="Jianshu Grupo C",24,IF(Atletas!H180="Nandao Grupo C",25,IF(Atletas!H180="Taijijian Grupo C",26,IF(Atletas!H180="Daoshu Grupo B",27,IF(Atletas!H180="Jianshu Grupo B",28,IF(Atletas!H180="Nandao Grupo B",29,IF(Atletas!H180="Taijijian Grupo B",30,IF(Atletas!H180="Daoshu Grupo A",31,IF(Atletas!H180="Jianshu Grupo A",32,IF(Atletas!H180="Nandao Grupo A",33,IF(Atletas!H180="Taijijian Grupo A",34,IF(Atletas!H180="Daoshu Opcional",35,IF(Atletas!H180="Jianshu Opcional",36,IF(Atletas!H180="Nandao Opcional",37,IF(Atletas!H180="Taijijian Opcional",38,IF(Atletas!H180="Daoshu Adulto",39,IF(Atletas!H180="Jianshu Adulto",40,IF(Atletas!H180="Nandao Adulto",41,IF(Atletas!H180="Taijijian Adulto",42,""))))))))))))))))))))))))))</f>
        <v/>
      </c>
      <c r="BA184" s="46" t="str">
        <f>IF(Atletas!I180="","",IF(Atletas!B180="Feminino",100,IF(Atletas!B180="Masculino",200,""))+(IF(Atletas!I180="Gunshu Mirim",43,IF(Atletas!I180="Qiangshu Mirim",44,IF(Atletas!I180="Nangun Mirim",45,IF(Atletas!I180="Gunshu Grupo C",46,IF(Atletas!I180="Qiangshu Grupo C",47,IF(Atletas!I180="Nangun Grupo C",48,IF(Atletas!I180="Gunshu Grupo B",49,IF(Atletas!I180="Qiangshu Grupo B",50,IF(Atletas!I180="Nangun Grupo B",51,IF(Atletas!I180="Gunshu Grupo A",52,IF(Atletas!I180="Qiangshu Grupo A",53,IF(Atletas!I180="Nangun Grupo A",54,IF(Atletas!I180="Gunshu Opcional",55,IF(Atletas!I180="Qiangshu Opcional",56,IF(Atletas!I180="Nangun Opcional",57,IF(Atletas!I180="Gunshu Adulto",58,IF(Atletas!I180="Qiangshu Adulto",59,IF(Atletas!I180="Nangun Adulto",60,""))))))))))))))))))))</f>
        <v/>
      </c>
      <c r="BF184" s="52" t="str">
        <f>IF(Atletas!J180="","",IF(Atletas!B180="Feminino",100,IF(Atletas!B180="Masculino",200,""))+(IF(Atletas!J180="Equipe 1 Grupo B",1,IF(Atletas!J180="Equipe 2 Grupo B",2,IF(Atletas!J180="Equipe 1 Grupo A",3,IF(Atletas!J180="Equipe 2 Grupo A",4,IF(Atletas!J180="Equipe 1 Adulto",5,IF(Atletas!J180="Equipe 2 Adulto",6,""))))))))</f>
        <v/>
      </c>
      <c r="BK184" s="52" t="str">
        <f>IF(Atletas!K180="","",IF(Atletas!W180&lt;&gt;"",10000,0)+(IF(Atletas!B180="Feminino",1000,IF(Atletas!B180="Masculino",2000,""))+IF(Atletas!K180="Choylayfut A",1,IF(Atletas!K180="Hunggar A",2,IF(Atletas!K180="Wuzuquan A",3,IF(Atletas!K180="Wingchun A",4,IF(Atletas!K180="Outra Mão de Sul A",5,IF(Atletas!K180="Choylayfut B",6,IF(Atletas!K180="Hunggar B",7,IF(Atletas!K180="Wuzuquan B",8,IF(Atletas!K180="Wingchun B",9,IF(Atletas!K180="Outra Mão de Sul B",10,IF(Atletas!K180="Choylayfut C",11,IF(Atletas!K180="Hunggar C",12,IF(Atletas!K180="Wuzuquan C",13,IF(Atletas!K180="Wingchun C",14,IF(Atletas!K180="Outra Mão de Sul C",15,IF(Atletas!K180="Choylayfut D",16,IF(Atletas!K180="Hunggar D",17,IF(Atletas!K180="Wuzuquan D",18,IF(Atletas!K180="Wingchun D",19,IF(Atletas!K180="Outra Mão de Sul D",20,IF(Atletas!K180="Choylayfut E",21,IF(Atletas!K180="Hunggar E",22,IF(Atletas!K180="Wuzuquan E",23,IF(Atletas!K180="Wingchun E",24,IF(Atletas!K180="Outra Mão de Sul E",25,IF(Atletas!K180="Choylayfut F",26,IF(Atletas!K180="Hunggar F",27,IF(Atletas!K180="Wuzuquan F",28,IF(Atletas!K180="Wingchun F",29,IF(Atletas!K180="Outra Mão de Sul F",30,""))))))))))))))))))))))))))))))))</f>
        <v/>
      </c>
      <c r="BL184" s="52" t="str">
        <f>IF(Atletas!L180="","",IF(Atletas!W180&lt;&gt;"",10000,0)+(IF(Atletas!B180="Feminino",1000,IF(Atletas!B180="Masculino",2000,""))+(IF(Atletas!L180="Chaquan A",101,IF(Atletas!L180="Emeiquan A",102,IF(Atletas!L180="Fanziquan A",103,IF(Atletas!L180="Huaquan A",104,IF(Atletas!L180="Hongquan A",105,IF(Atletas!L180="Paochui A",106,IF(Atletas!L180="Piguaquan A",107,IF(Atletas!L180="Shaolinquan A",108,IF(Atletas!L180="Tanglangquan A",109,IF(Atletas!L180="Yinzhaophai A",110,IF(Atletas!L180="Tongbeiquan A",111,IF(Atletas!L180="Wudangquan A",112,IF(Atletas!L180="Outros Estilos A",113,IF(Atletas!L180="Chaquan B",114,IF(Atletas!L180="Emeiquan B",115,IF(Atletas!L180="Fanziquan B",116,IF(Atletas!L180="Huaquan B",117,IF(Atletas!L180="Hongquan B",118,IF(Atletas!L180="Paochui B",119,IF(Atletas!L180="Piguaquan B",120,IF(Atletas!L180="Shaolinquan B",121,IF(Atletas!L180="Tanglangquan B",122,IF(Atletas!L180="Yinzhaophai B",123,IF(Atletas!L180="Tongbeiquan B",124,IF(Atletas!L180="Wudangquan B",125,IF(Atletas!L180="Outros Estilos B",126,IF(Atletas!L180="Chaquan C",127,IF(Atletas!L180="Emeiquan C",128,IF(Atletas!L180="Fanziquan C",129,IF(Atletas!L180="Huaquan C",130,IF(Atletas!L180="Hongquan C",131,IF(Atletas!L180="Paochui C",132,IF(Atletas!L180="Piguaquan C",133,IF(Atletas!L180="Shaolinquan C",134,IF(Atletas!L180="Tanglangquan C",135,IF(Atletas!L180="Yinzhaophai C",136,IF(Atletas!L180="Tongbeiquan C",137,IF(Atletas!L180="Wudangquan C",138,IF(Atletas!L180="Outros Estilos C",139,0))))))))))))))))))))))))))))))))))))))))))</f>
        <v/>
      </c>
      <c r="BM184" s="52" t="str">
        <f>IF(Atletas!L180="","",IF(Atletas!W180&lt;&gt;"",10000,0)+(IF(Atletas!B180="Feminino",1000,IF(Atletas!B180="Masculino",2000,""))+(IF(Atletas!L180="Chaquan D",140,IF(Atletas!L180="Emeiquan D",141,IF(Atletas!L180="Fanziquan D",142,IF(Atletas!L180="Huaquan D",143,IF(Atletas!L180="Hongquan D",144,IF(Atletas!L180="Paochui D",145,IF(Atletas!L180="Piguaquan D",146,IF(Atletas!L180="Shaolinquan D",147,IF(Atletas!L180="Tanglangquan D",148,IF(Atletas!L180="Yinzhaophai D",149,IF(Atletas!L180="Tongbeiquan D",150,IF(Atletas!L180="Wudangquan D",151,IF(Atletas!L180="Outros Estilos D",152,IF(Atletas!L180="Chaquan E",153,IF(Atletas!L180="Emeiquan E",154,IF(Atletas!L180="Fanziquan E",155,IF(Atletas!L180="Huaquan E",156,IF(Atletas!L180="Hongquan E",157,IF(Atletas!L180="Paochui E",158,IF(Atletas!L180="Piguaquan E",159,IF(Atletas!L180="Shaolinquan E",160,IF(Atletas!L180="Tanglangquan E",161,IF(Atletas!L180="Yinzhaophai E",162,IF(Atletas!L180="Tongbeiquan E",163,IF(Atletas!L180="Wudangquan E",164,IF(Atletas!L180="Outros Estilos E",165,IF(Atletas!L180="Chaquan F",166,IF(Atletas!L180="Emeiquan F",167,IF(Atletas!L180="Fanziquan F",168,IF(Atletas!L180="Huaquan F",169,IF(Atletas!L180="Hongquan F",170,IF(Atletas!L180="Paochui F",171,IF(Atletas!L180="Piguaquan F",172,IF(Atletas!L180="Shaolinquan F",173,IF(Atletas!L180="Tanglangquan F",174,IF(Atletas!L180="Yinzhaophai F",175,IF(Atletas!L180="Tongbeiquan F",176,IF(Atletas!L180="Wudangquan F",177,IF(Atletas!L180="Outros Estilos F",178,0))))))))))))))))))))))))))))))))))))))))))</f>
        <v/>
      </c>
      <c r="BN184" s="52" t="str">
        <f>IF(Atletas!M180="","",IF(Atletas!W180&lt;&gt;"",10000,0)+(IF(Atletas!B180="Feminino",1000,IF(Atletas!B180="Masculino",2000,""))+(IF(Atletas!M180="Ditangquan A",201,IF(Atletas!M180="Houquan A",202,IF(Atletas!M180="Zuiquan A",203,IF(Atletas!M180="Ditangquan B",204,IF(Atletas!M180="Houquan B",205,IF(Atletas!M180="Zuiquan B",206,IF(Atletas!M180="Ditangquan C",207,IF(Atletas!M180="Houquan C",208,IF(Atletas!M180="Zuiquan C",209,IF(Atletas!M180="Ditangquan D",210,IF(Atletas!M180="Houquan D",211,IF(Atletas!M180="Zuiquan D",212,IF(Atletas!M180="Ditangquan E",213,IF(Atletas!M180="Houquan E",214,IF(Atletas!M180="Zuiquan E",215,IF(Atletas!M180="Ditangquan F",216,IF(Atletas!M180="Houquan F",217,IF(Atletas!M180="Zuiquan F",218,"")))))))))))))))))))))</f>
        <v/>
      </c>
      <c r="BO184" s="52" t="str">
        <f>IF(Atletas!N180="","",IF(Atletas!W180&lt;&gt;"",10000,0)+IF(Atletas!B180="Feminino",1000,IF(Atletas!B180="Masculino",2000,""))+IF(Atletas!N180="Yang A",301,IF(Atletas!N180="Chen A",30,IF(Atletas!N180="Sun A",303,IF(Atletas!N180="Wu A",304,IF(Atletas!N180="Wu-Hao A",305,IF(Atletas!N180="Outro Taijiquan A",306,IF(Atletas!N180="Yang B",307,IF(Atletas!N180="Chen B",308,IF(Atletas!N180="Sun B",309,IF(Atletas!N180="Wu B",310,IF(Atletas!N180="Wu-Hao B",311,IF(Atletas!N180="Outro Taijiquan B",312,IF(Atletas!N180="Yang C",313,IF(Atletas!N180="Chen C",314,IF(Atletas!N180="Sun C",315,IF(Atletas!N180="Wu C",316,IF(Atletas!N180="Wu-Hao C",317,IF(Atletas!N180="Outro Taijiquan C",318,IF(Atletas!N180="Yang D",319,IF(Atletas!N180="Chen D",320,IF(Atletas!N180="Sun D",321,IF(Atletas!N180="Wu D",322,IF(Atletas!N180="Wu-Hao D",323,IF(Atletas!N180="Outro Taijiquan D",324,IF(Atletas!N180="Yang E",325,IF(Atletas!N180="Chen E",326,IF(Atletas!N180="Sun E",327,IF(Atletas!N180="Wu E",328,IF(Atletas!N180="Wu-Hao E",329,IF(Atletas!N180="Outro Taijiquan E",330,IF(Atletas!N180="Yang F",331,IF(Atletas!N180="Chen F",332,IF(Atletas!N180="Sun F",333,IF(Atletas!N180="Wu F",334,IF(Atletas!N180="Wu-Hao F",335,IF(Atletas!N180="Outro Taijiquan F",336,"")))))))))))))))))))))))))))))))))))))</f>
        <v/>
      </c>
      <c r="BP184" s="52" t="str">
        <f>IF(Atletas!O180="","",IF(Atletas!W180&lt;&gt;"",10000,0)+IF(Atletas!B180="Feminino",1000,IF(Atletas!B180="Masculino",2000,""))+IF(OR(Atletas!O180="Yang 26 A",Atletas!O180="Yang 40 A"),401,IF(OR(Atletas!O180="Chen 25 A",Atletas!O180="Chen 36 A",Atletas!O180="Chen 56 A"),402,IF(Atletas!O180="Sun 73 A",403,IF(Atletas!O180="Wu 45 A",404,IF(Atletas!O180="Wu-Hao 46 A",405,IF(OR(Atletas!O180="Taijiquan 16 A",Atletas!O180="Taijiquan 24 A",Atletas!O180="Taijiquan 32 A",Atletas!O180="Taijiquan 42 A"),406,IF(OR(Atletas!O180="Yang 26 B",Atletas!O180="Yang 40 B"),407,IF(OR(Atletas!O180="Chen 25 B",Atletas!O180="Chen 36 B",Atletas!O180="Chen 56 B"),408,IF(Atletas!O180="Sun 73 B",409,IF(Atletas!O180="Wu 45 B",410,IF(Atletas!O180="Wu-Hao 46 B",411,IF(OR(Atletas!O180="Taijiquan 16 B",Atletas!O180="Taijiquan 24 B",Atletas!O180="Taijiquan 32 B",Atletas!O180="Taijiquan 42 B"),412,IF(OR(Atletas!O180="Yang 26 C",Atletas!O180="Yang 40 C"),413,IF(OR(Atletas!O180="Chen 25 C",Atletas!O180="Chen 36 C",Atletas!O180="Chen 56 C"),414,IF(Atletas!O180="Sun 73 C",415,IF(Atletas!O180="Wu 45 C",416,IF(Atletas!O180="Wu-Hao 46 C",417,IF(OR(Atletas!O180="Taijiquan 16 C",Atletas!O180="Taijiquan 24 C",Atletas!O180="Taijiquan 32 C",Atletas!O180="Taijiquan 42 C"),418,0)))))))))))))))))))</f>
        <v/>
      </c>
      <c r="BQ184" s="52" t="str">
        <f>IF(Atletas!O180="","",IF(Atletas!W180&lt;&gt;"",10000,0)+IF(Atletas!B180="Feminino",1000,IF(Atletas!B180="Masculino",2000,""))+IF(OR(Atletas!O180="Yang 26 D",Atletas!O180="Yang 40 D"),419,IF(OR(Atletas!O180="Chen 25 D",Atletas!O180="Chen 36 D",Atletas!O180="Chen 56 D"),420,IF(Atletas!O180="Sun 73 D",421,IF(Atletas!O180="Wu 45 D",422,IF(Atletas!O180="Wu-Hao 46 D",423,IF(OR(Atletas!O180="Taijiquan 16 D",Atletas!O180="Taijiquan 24 D",Atletas!O180="Taijiquan 32 D",Atletas!O180="Taijiquan 42 D"),424,IF(OR(Atletas!O180="Yang 26 E",Atletas!O180="Yang 40 E"),425,IF(OR(Atletas!O180="Chen 25 E",Atletas!O180="Chen 36 E",Atletas!O180="Chen 56 E"),426,IF(Atletas!O180="Sun 73 E",427,IF(Atletas!O180="Wu 45 E",428,IF(Atletas!O180="Wu-Hao 46 E",429,IF(OR(Atletas!O180="Taijiquan 16 E",Atletas!O180="Taijiquan 24 E",Atletas!O180="Taijiquan 32 E",Atletas!O180="Taijiquan 42 E"),430,IF(OR(Atletas!O180="Yang 26 F",Atletas!O180="Yang 40 F"),431,IF(OR(Atletas!O180="Chen 25 F",Atletas!O180="Chen 36 F",Atletas!O180="Chen 56 F"),432,IF(Atletas!O180="Sun 73 F",433,IF(Atletas!O180="Wu 45 F",434,IF(Atletas!O180="Wu-Hao 46 F",435,IF(OR(Atletas!O180="Taijiquan 16 F",Atletas!O180="Taijiquan 24 F",Atletas!O180="Taijiquan 32 F",Atletas!O180="Taijiquan 42 F"),436,0)))))))))))))))))))</f>
        <v/>
      </c>
      <c r="BR184" s="52" t="str">
        <f>IF(Atletas!P180="","",IF(Atletas!W180&lt;&gt;"",10000,0)+IF(Atletas!B180="Feminino",1000,IF(Atletas!B180="Masculino",2000,""))+IF(Atletas!P180="Xingyiquan A",501,IF(Atletas!P180="Baguazhang A",502,IF(Atletas!P180="Outro Estilo Interno A",503,IF(Atletas!P180="Xingyiquan B",504,IF(Atletas!P180="Baguazhang B",505,IF(Atletas!P180="Outro Estilo Interno B",506,IF(Atletas!P180="Xingyiquan C",507,IF(Atletas!P180="Baguazhang C",508,IF(Atletas!P180="Outro Estilo Interno C",509,IF(Atletas!P180="Xingyiquan D",510,IF(Atletas!P180="Baguazhang D",511,IF(Atletas!P180="Outro Estilo Interno D",512,IF(Atletas!P180="Xingyiquan E",513,IF(Atletas!P180="Baguazhang E",514,IF(Atletas!P180="Outro Estilo Interno E",515,IF(Atletas!P180="Xingyiquan F",516,IF(Atletas!P180="Baguazhang F",517,IF(Atletas!P180="Outro Estilo Interno F",518, "")))))))))))))))))))</f>
        <v/>
      </c>
      <c r="BS184" s="52" t="str">
        <f>IF(Atletas!Q180="","",IF(Atletas!W180&lt;&gt;"",10000,0)+IF(Atletas!B180="Feminino",1000,IF(Atletas!B180="Masculino",2000,""))+IF(Atletas!Q180="Dao A",601,IF(Atletas!Q180="Jian A",602,IF(Atletas!Q180="Bishou A",603,IF(Atletas!Q180="Shan A",604,IF(Atletas!Q180="Outra Arma Curta A",605,IF(Atletas!Q180="Dao B",606,IF(Atletas!Q180="Jian B",607,IF(Atletas!Q180="Bishou B",608,IF(Atletas!Q180="Shan B",609,IF(Atletas!Q180="Outra Arma Curta B",610,IF(Atletas!Q180="Dao C",611,IF(Atletas!Q180="Jian C",612,IF(Atletas!Q180="Bishou C",613,IF(Atletas!Q180="Shan C",614,IF(Atletas!Q180="Outra Arma Curta C",615,IF(Atletas!Q180="Dao D",616,IF(Atletas!Q180="Jian D",617,IF(Atletas!Q180="Bishou D",618,IF(Atletas!Q180="Shan D",619,IF(Atletas!Q180="Outra Arma Curta D",620,IF(Atletas!Q180="Dao E",621,IF(Atletas!Q180="Jian E",622,IF(Atletas!Q180="Bishou E",623,IF(Atletas!Q180="Shan E",624,IF(Atletas!Q180="Outra Arma Curta E",625,IF(Atletas!Q180="Dao F",626,IF(Atletas!Q180="Jian F",627,IF(Atletas!Q180="Bishou F",628,IF(Atletas!Q180="Shan F",629,IF(Atletas!Q180="Outra Arma Curta F",630, "")))))))))))))))))))))))))))))))</f>
        <v/>
      </c>
      <c r="BT184" s="52" t="str">
        <f>IF(Atletas!R180="","",IF(Atletas!W180&lt;&gt;"",10000,0)+IF(Atletas!B180="Feminino",1000,IF(Atletas!B180="Masculino",2000,""))+IF(Atletas!R180="Gun A",701,IF(Atletas!R180="Qiang A",702,IF(Atletas!R180="Pudao / Guandao A",703,IF(Atletas!R180="Outra Arma Longa A",704,IF(Atletas!R180="Gun B",705,IF(Atletas!R180="Qiang B",706,IF(Atletas!R180="Pudao / Guandao B",707,IF(Atletas!R180="Outra Arma Longa B",708,IF(Atletas!R180="Gun C",709,IF(Atletas!R180="Qiang C",710,IF(Atletas!R180="Pudao / Guandao C",711,IF(Atletas!R180="Outra Arma Longa C",712,IF(Atletas!R180="Gun D",713,IF(Atletas!R180="Qiang D",714,IF(Atletas!R180="Pudao / Guandao D",715,IF(Atletas!R180="Outra Arma Longa D",716,IF(Atletas!R180="Gun E",717,IF(Atletas!R180="Qiang E",718,IF(Atletas!R180="Pudao / Guandao E",719,IF(Atletas!R180="Outra Arma Longa E",720,IF(Atletas!R180="Gun F",721,IF(Atletas!R180="Qiang F",722,IF(Atletas!R180="Pudao / Guandao F",723,IF(Atletas!R180="Outra Arma Longa F",724,"")))))))))))))))))))))))))</f>
        <v/>
      </c>
      <c r="BU184" s="52" t="str">
        <f>IF(Atletas!S180="","",IF(Atletas!W180&lt;&gt;"",10000,0)+IF(Atletas!B180="Feminino",1000,IF(Atletas!B180="Masculino",2000,""))+IF(Atletas!S180="Arma Dupla A",801,IF(Atletas!S180="Arma Maleável A",802,IF(Atletas!S180="Arma Dupla B",803,IF(Atletas!S180="Arma Maleável B",804,IF(Atletas!S180="Arma Dupla C",805,IF(Atletas!S180="Arma Maleável C",806,IF(Atletas!S180="Arma Dupla D",807,IF(Atletas!S180="Arma Maleável D",808,IF(Atletas!S180="Arma Dupla E",809,IF(Atletas!S180="Arma Maleável E",810,IF(Atletas!S180="Arma Dupla F",811,IF(Atletas!S180="Arma Maleável F",812, "")))))))))))))</f>
        <v/>
      </c>
      <c r="BV184" s="52" t="str">
        <f>IF(Atletas!T180="","",IF(Atletas!W180&lt;&gt;"",10000,0)+IF(Atletas!B180="Feminino",1000,IF(Atletas!B180="Masculino",2000,""))+IF(Atletas!T180="Taijijian Yang A",901,IF(Atletas!T180="Taijijian Chen A",902,IF(Atletas!T180="Taijijian Sun A",903,IF(Atletas!T180="Taijijian Wu A",904,IF(Atletas!T180="Taijijian Wu-Hao A",905,IF(Atletas!T180="Taijijian 32 A",906,IF(Atletas!T180="Taijijian 42 A",907,IF(Atletas!T180="Taijijian Yang B",908,IF(Atletas!T180="Taijijian Chen B",909,IF(Atletas!T180="Taijijian Sun B",910,IF(Atletas!T180="Taijijian Wu B",911,IF(Atletas!T180="Taijijian Wu-Hao B",912,IF(Atletas!T180="Taijijian 32 B",913,IF(Atletas!T180="Taijijian 42 B",914,IF(Atletas!T180="Taijijian Yang C",915,IF(Atletas!T180="Taijijian Chen C",916,IF(Atletas!T180="Taijijian Sun C",917,IF(Atletas!T180="Taijijian Wu C",918,IF(Atletas!T180="Taijijian Wu-Hao C",919,IF(Atletas!T180="Taijijian 32 C",920,IF(Atletas!T180="Taijijian 42 C",921,IF(Atletas!T180="Taijijian Yang D",922,IF(Atletas!T180="Taijijian Chen D",923,IF(Atletas!T180="Taijijian Sun D",924,IF(Atletas!T180="Taijijian Wu D",925,IF(Atletas!T180="Taijijian Wu-Hao D",926,IF(Atletas!T180="Taijijian 32 D",927,IF(Atletas!T180="Taijijian 42 D",928,IF(Atletas!T180="Taijijian Yang E",929,IF(Atletas!T180="Taijijian Chen E",930,IF(Atletas!T180="Taijijian Sun E",931,IF(Atletas!T180="Taijijian Wu E",932,IF(Atletas!T180="Taijijian Wu-Hao E",933,IF(Atletas!T180="Taijijian 32 E",934,IF(Atletas!T180="Taijijian 42 E",935,IF(Atletas!T180="Taijijian Yang F",936,IF(Atletas!T180="Taijijian Chen F",937,IF(Atletas!T180="Taijijian Sun F",938,IF(Atletas!T180="Taijijian Wu F",939,IF(Atletas!T180="Taijijian Wu-Hao F",940,IF(Atletas!T180="Taijijian 32 F",941,IF(Atletas!T180="Taijijian 42 F",942,"")))))))))))))))))))))))))))))))))))))))))))</f>
        <v/>
      </c>
      <c r="BW184" s="52" t="str">
        <f>IF(Atletas!U180="","",IF(Atletas!W180&lt;&gt;"",10000,0)+IF(Atletas!B180="Feminino",1000,IF(Atletas!B180="Masculino",2000,""))+IF(Atletas!T180="Taijijian 42 F",942,IF(Atletas!U180="Taijidao A",943,IF(Atletas!U180="Taijishan A",944,IF(Atletas!U180="Taijiqiang A",945,IF(Atletas!U180="Taijidao B",946,IF(Atletas!U180="Taijishan B",947,IF(Atletas!U180="Taijiqiang B",948,IF(Atletas!U180="Taijidao C",949,IF(Atletas!U180="Taijishan C",950,IF(Atletas!U180="Taijiqiang C",951,IF(Atletas!U180="Taijidao D",952,IF(Atletas!U180="Taijishan D",953,IF(Atletas!U180="Taijiqiang D",954,IF(Atletas!U180="Taijidao E",955,IF(Atletas!U180="Taijishan E",956,IF(Atletas!U180="Taijiqiang E",957,IF(Atletas!U180="Taijidao F",958,IF(Atletas!U180="Taijishan F",959,IF(Atletas!U180="Taijiqiang F",960))))))))))))))))))))</f>
        <v/>
      </c>
      <c r="BX184" s="72" t="str">
        <f>IF(BY184&lt;&gt;"","TJQ Padr. Wu C","")</f>
        <v/>
      </c>
      <c r="BY184" s="72" t="str">
        <f>IF(COUNTIF(BK:BW,1416)&gt;0,COUNTIF(BK:BW,1416),"")</f>
        <v/>
      </c>
      <c r="BZ184" s="72" t="str">
        <f>IF(CA184&lt;&gt;"","TJQ Padr. Wu C","")</f>
        <v/>
      </c>
      <c r="CA184" s="72" t="str">
        <f>IF(COUNTIF(BK:BW,2416)&gt;0,COUNTIF(BK:BW,2416),"")</f>
        <v/>
      </c>
      <c r="CB184" s="72" t="str">
        <f>IF(CC184&lt;&gt;"","Taijiquan 42 B","")</f>
        <v/>
      </c>
      <c r="CC184" s="64" t="str">
        <f>IF(COUNTIF(BK:BW,11416)&gt;0,COUNTIF(BK:BW,11416),"")</f>
        <v/>
      </c>
      <c r="CD184" s="64" t="str">
        <f>IF(CE184&lt;&gt;"","Taijiquan 42 B","")</f>
        <v/>
      </c>
      <c r="CE184" s="64" t="str">
        <f>IF(COUNTIF(BK:BW,12416)&gt;0,COUNTIF(BK:BW,12416),"")</f>
        <v/>
      </c>
      <c r="CF184" s="52" t="str">
        <f xml:space="preserve"> IF(Atletas!V180="","",IF(Atletas!V180="Duilian de Mãos AB - Equipe 1",1,IF(Atletas!V180="Duilian de Mãos AB - Equipe 2",2,IF(Atletas!V180="Duilian de Armas AB - Equipe 1",3,IF(Atletas!V180="Duilian de Armas AB - Equipe 2",4,IF(Atletas!V180="Duilian de Tuishou - Equipe 1",5,IF(Atletas!V180="Duilian de Tuishou - Equipe 2",6,IF(Atletas!V180="Grupo Externo AB - Equipe 1",7,IF(Atletas!V180="Grupo Externo AB - Equipe 2",8,IF(Atletas!V180="Grupo Interno AB - Equipe 1",9,IF(Atletas!V180="Grupo Interno AB - Equipe 2",10,IF(Atletas!V180="Duilian de Mãos CD - Equipe 1",11,IF(Atletas!V180="Duilian de Mãos CD - Equipe 2",12,IF(Atletas!V180="Duilian de Armas CD - Equipe 1",13,IF(Atletas!V180="Duilian de Armas CD - Equipe 2",14,IF(Atletas!V180="Duilian de Tuishou - Equipe 1",15,IF(Atletas!V180="Duilian de Tuishou - Equipe 2",16,IF(Atletas!V180="Grupo Externo CDEF - Equipe 1",17,IF(Atletas!V180="Grupo Externo CDEF - Equipe 2",18,IF(Atletas!V180="Grupo Interno CDEF - Equipe 1",19,IF(Atletas!V180="Grupo Interno CDEF - Equipe 2",20,IF(Atletas!V180="Duilian de Mãos EF - Equipe 1",21,IF(Atletas!V180="Duilian de Mãos EF - Equipe 2",22,IF(Atletas!V180="Duilian de Armas EF - Equipe 1",23,IF(Atletas!V180="Duilian de Armas EF - Equipe 2",24,IF(Atletas!V180="Duilian de Tuishou - Equipe 1",25,IF(Atletas!V180="Duilian de Tuishou - Equipe 2",26,"")))))))))))))))))))))))))))</f>
        <v/>
      </c>
    </row>
    <row r="185" spans="2:84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 t="str">
        <f t="array" ref="V185">IFERROR(INDEX(BX$7:BX$336,SMALL(IF(BX$7:BX$336&lt;&gt;"",ROW(BX$7:BX$336)-ROW(BX$7)+1),ROWS(BX$7:BX184))),"")</f>
        <v/>
      </c>
      <c r="W185" s="4" t="str">
        <f t="array" ref="W185">IFERROR(INDEX(BY$7:BY$336,SMALL(IF(BY$7:BY$336&lt;&gt;"",ROW(BY$7:BY$336)-ROW(BY$7)+1),ROWS(BY$7:BY184))),"")</f>
        <v/>
      </c>
      <c r="X185" s="4" t="str">
        <f t="array" ref="X185">IFERROR(INDEX(BZ$7:BZ$336,SMALL(IF(BZ$7:BZ$336&lt;&gt;"",ROW(BZ$7:BZ$336)-ROW(BZ$7)+1),ROWS(BZ$7:BZ184))),"")</f>
        <v/>
      </c>
      <c r="Y185" s="4" t="str">
        <f t="array" ref="Y185">IFERROR(INDEX(CA$7:CA$336,SMALL(IF(CA$7:CA$336&lt;&gt;"",ROW(CA$7:CA$336)-ROW(CA$7)+1),ROWS(CA$7:CA184))),"")</f>
        <v/>
      </c>
      <c r="Z185" s="4" t="str">
        <f t="array" ref="Z185">IFERROR(INDEX(CB$7:CB$378,SMALL(IF(CB$7:CB$378&lt;&gt;"",ROW(CB$7:CB$378)-ROW(CB$7)+1),ROWS(CB$7:CB184))),"")</f>
        <v/>
      </c>
      <c r="AA185" s="4" t="str">
        <f t="array" ref="AA185">IFERROR(INDEX(CC$7:CC$378,SMALL(IF(CC$7:CC$378&lt;&gt;"",ROW(CC$7:CC$378)-ROW(CC$7)+1),ROWS(CC$7:CC184))),"")</f>
        <v/>
      </c>
      <c r="AB185" s="4" t="str">
        <f t="array" ref="AB185">IFERROR(INDEX(CD$7:CD$378,SMALL(IF(CD$7:CD$378&lt;&gt;"",ROW(CD$7:CD$378)-ROW(CD$7)+1),ROWS(CD$7:CD184))),"")</f>
        <v/>
      </c>
      <c r="AC185" s="4" t="str">
        <f t="array" ref="AC185">IFERROR(INDEX(CE$7:CE$378,SMALL(IF(CE$7:CE$378&lt;&gt;"",ROW(CE$7:CE$378)-ROW(CE$7)+1),ROWS(CE$7:CE184))),"")</f>
        <v/>
      </c>
      <c r="AD185" s="4"/>
      <c r="AE185" s="4"/>
      <c r="AF185" s="4"/>
      <c r="AG185" s="4"/>
      <c r="AH185" s="4"/>
      <c r="AI185" s="4"/>
      <c r="AJ185" s="46" t="str">
        <f>IF(Atletas!D181="","",IF(Atletas!B181="Feminino",100,IF(Atletas!B181="Masculino",200,""))+(IF(Atletas!D181="Infantil 39kg",1,IF(Atletas!D181="Infantil 42kg",2,IF(Atletas!D181="Infantil 45kg",3,IF(Atletas!D181="Infantil 48kg",4,IF(Atletas!D181="Infantil 52kg",5,IF(Atletas!D181="Infantil 56kg",6,IF(Atletas!D181="Infantil 60kg",7,IF(Atletas!D181="Juvenil 48kg",8,IF(Atletas!D181="Juvenil 52kg",9,IF(Atletas!D181="Juvenil 56kg",10,IF(Atletas!D181="Juvenil 60kg",11,IF(Atletas!D181="Juvenil 65kg",12,IF(Atletas!D181="Juvenil 70kg",13,IF(Atletas!D181="Juvenil 75kg",14,IF(Atletas!D181="Juvenil 80kg",15,IF(Atletas!D181="Adulto 48kg",16,IF(Atletas!D181="Adulto 52kg",17,IF(Atletas!D181="Adulto 56kg",18,IF(Atletas!D181="Adulto 60kg",19,IF(Atletas!D181="Adulto 65kg",20,IF(Atletas!D181="Adulto 70kg",21,IF(Atletas!D181="Adulto 75kg",22,IF(Atletas!D181="Adulto 80kg",23,IF(Atletas!D181="Adulto 85kg",24,IF(Atletas!D181="Adulto 90kg",25,IF(Atletas!D181="Adulto +90kg",26,""))))))))))))))))))))))))))))</f>
        <v/>
      </c>
      <c r="AO185" s="10" t="str">
        <f>IF(Atletas!E181="","",IF(Atletas!B181="Feminino",100,IF(Atletas!B181="Masculino",200,""))+(IF(Atletas!E181="Juvenil 44kg",1,IF(Atletas!E181="Juvenil 48kg",2,IF(Atletas!E181="Juvenil 52kg",3,IF(Atletas!E181="Juvenil 56kg",4,IF(Atletas!E181="Juvenil 60kg",5,IF(Atletas!E181="Juvenil 65kg",6,IF(Atletas!E181="Juvenil 70kg",7,IF(Atletas!E181="Juvenil 75kg",8,IF(Atletas!E181="Juvenil 82kg",9,IF(Atletas!E181="Juvenil 90kg",10,IF(Atletas!E181="Juvenil 100kg",11,IF(Atletas!E181="Adulto 48kg",12,IF(Atletas!E181="Adulto 52kg",13,IF(Atletas!E181="Adulto 56kg",14,IF(Atletas!E181="Adulto 60kg",15,IF(Atletas!E181="Adulto 65kg",16,IF(Atletas!E181="Adulto 70kg",17,IF(Atletas!E181="Adulto 75kg",18,IF(Atletas!E181="Adulto 82kg",19,IF(Atletas!E181="Adulto 90kg",20,IF(Atletas!E181="Adulto 100kg",21,IF(Atletas!E181="Adulto +100kg",22,""))))))))))))))))))))))))</f>
        <v/>
      </c>
      <c r="AT185" s="10" t="str">
        <f>IF(Atletas!F181="","",IF(Atletas!B181="Feminino",100,IF(Atletas!B181="Masculino",200,""))+(IF(Atletas!F181="Adulto 48kg",1,IF(Atletas!F181="Adulto 56kg",2,IF(Atletas!F181="Adulto 65kg",3,IF(Atletas!F181="Adulto 75kg",4,IF(Atletas!F181="Adulto +75kg",5,IF(Atletas!F181="Adulto 52kg",6,IF(Atletas!F181="Adulto 60kg",7,IF(Atletas!F181="Adulto 70kg",8,IF(Atletas!F181="Adulto 80kg",9,IF(Atletas!F181="Adulto 90kg",10,IF(Atletas!F181="Adulto +90kg",11,"")))))))))))))</f>
        <v/>
      </c>
      <c r="AY185" s="46" t="str">
        <f>IF(Atletas!G181="","",IF(Atletas!B181="Feminino",100,IF(Atletas!B181="Masculino",200,""))+(IF(Atletas!G181="Changquan Mirim",1,IF(Atletas!G181="Nanquan Mirim",2,IF(Atletas!G181="Taijiquan Mirim",3,IF(Atletas!G181="Changquan Grupo C",4,IF(Atletas!G181="Nanquan Grupo C",5,IF(Atletas!G181="Taijiquan Grupo C",6,IF(Atletas!G181="Changquan Grupo B",7,IF(Atletas!G181="Nanquan Grupo B",8,IF(Atletas!G181="Taijiquan Grupo B",9,IF(Atletas!G181="Changquan Grupo A",10,IF(Atletas!G181="Nanquan Grupo A",11,IF(Atletas!G181="Taijiquan Grupo A",12,IF(Atletas!G181="Changquan Opcional",13,IF(Atletas!G181="Nanquan Opcional",14,IF(Atletas!G181="Taijiquan Opcional",15,IF(Atletas!G181="Changquan Adulto",16,IF(Atletas!G181="Nanquan Adulto",17,IF(Atletas!G181="Taijiquan Adulto",18,""))))))))))))))))))))</f>
        <v/>
      </c>
      <c r="AZ185" s="46" t="str">
        <f>IF(Atletas!H181="","",IF(Atletas!B181="Feminino",100,IF(Atletas!B181="Masculino",200,""))+(IF(Atletas!H181="Daoshu Mirim",19,IF(Atletas!H181="Jianshu Mirim",20,IF(Atletas!H181="Nandao Mirim",21,IF(Atletas!H181="Taijijian Mirim",22,IF(Atletas!H181="Daoshu Grupo C",23,IF(Atletas!H181="Jianshu Grupo C",24,IF(Atletas!H181="Nandao Grupo C",25,IF(Atletas!H181="Taijijian Grupo C",26,IF(Atletas!H181="Daoshu Grupo B",27,IF(Atletas!H181="Jianshu Grupo B",28,IF(Atletas!H181="Nandao Grupo B",29,IF(Atletas!H181="Taijijian Grupo B",30,IF(Atletas!H181="Daoshu Grupo A",31,IF(Atletas!H181="Jianshu Grupo A",32,IF(Atletas!H181="Nandao Grupo A",33,IF(Atletas!H181="Taijijian Grupo A",34,IF(Atletas!H181="Daoshu Opcional",35,IF(Atletas!H181="Jianshu Opcional",36,IF(Atletas!H181="Nandao Opcional",37,IF(Atletas!H181="Taijijian Opcional",38,IF(Atletas!H181="Daoshu Adulto",39,IF(Atletas!H181="Jianshu Adulto",40,IF(Atletas!H181="Nandao Adulto",41,IF(Atletas!H181="Taijijian Adulto",42,""))))))))))))))))))))))))))</f>
        <v/>
      </c>
      <c r="BA185" s="46" t="str">
        <f>IF(Atletas!I181="","",IF(Atletas!B181="Feminino",100,IF(Atletas!B181="Masculino",200,""))+(IF(Atletas!I181="Gunshu Mirim",43,IF(Atletas!I181="Qiangshu Mirim",44,IF(Atletas!I181="Nangun Mirim",45,IF(Atletas!I181="Gunshu Grupo C",46,IF(Atletas!I181="Qiangshu Grupo C",47,IF(Atletas!I181="Nangun Grupo C",48,IF(Atletas!I181="Gunshu Grupo B",49,IF(Atletas!I181="Qiangshu Grupo B",50,IF(Atletas!I181="Nangun Grupo B",51,IF(Atletas!I181="Gunshu Grupo A",52,IF(Atletas!I181="Qiangshu Grupo A",53,IF(Atletas!I181="Nangun Grupo A",54,IF(Atletas!I181="Gunshu Opcional",55,IF(Atletas!I181="Qiangshu Opcional",56,IF(Atletas!I181="Nangun Opcional",57,IF(Atletas!I181="Gunshu Adulto",58,IF(Atletas!I181="Qiangshu Adulto",59,IF(Atletas!I181="Nangun Adulto",60,""))))))))))))))))))))</f>
        <v/>
      </c>
      <c r="BF185" s="52" t="str">
        <f>IF(Atletas!J181="","",IF(Atletas!B181="Feminino",100,IF(Atletas!B181="Masculino",200,""))+(IF(Atletas!J181="Equipe 1 Grupo B",1,IF(Atletas!J181="Equipe 2 Grupo B",2,IF(Atletas!J181="Equipe 1 Grupo A",3,IF(Atletas!J181="Equipe 2 Grupo A",4,IF(Atletas!J181="Equipe 1 Adulto",5,IF(Atletas!J181="Equipe 2 Adulto",6,""))))))))</f>
        <v/>
      </c>
      <c r="BK185" s="52" t="str">
        <f>IF(Atletas!K181="","",IF(Atletas!W181&lt;&gt;"",10000,0)+(IF(Atletas!B181="Feminino",1000,IF(Atletas!B181="Masculino",2000,""))+IF(Atletas!K181="Choylayfut A",1,IF(Atletas!K181="Hunggar A",2,IF(Atletas!K181="Wuzuquan A",3,IF(Atletas!K181="Wingchun A",4,IF(Atletas!K181="Outra Mão de Sul A",5,IF(Atletas!K181="Choylayfut B",6,IF(Atletas!K181="Hunggar B",7,IF(Atletas!K181="Wuzuquan B",8,IF(Atletas!K181="Wingchun B",9,IF(Atletas!K181="Outra Mão de Sul B",10,IF(Atletas!K181="Choylayfut C",11,IF(Atletas!K181="Hunggar C",12,IF(Atletas!K181="Wuzuquan C",13,IF(Atletas!K181="Wingchun C",14,IF(Atletas!K181="Outra Mão de Sul C",15,IF(Atletas!K181="Choylayfut D",16,IF(Atletas!K181="Hunggar D",17,IF(Atletas!K181="Wuzuquan D",18,IF(Atletas!K181="Wingchun D",19,IF(Atletas!K181="Outra Mão de Sul D",20,IF(Atletas!K181="Choylayfut E",21,IF(Atletas!K181="Hunggar E",22,IF(Atletas!K181="Wuzuquan E",23,IF(Atletas!K181="Wingchun E",24,IF(Atletas!K181="Outra Mão de Sul E",25,IF(Atletas!K181="Choylayfut F",26,IF(Atletas!K181="Hunggar F",27,IF(Atletas!K181="Wuzuquan F",28,IF(Atletas!K181="Wingchun F",29,IF(Atletas!K181="Outra Mão de Sul F",30,""))))))))))))))))))))))))))))))))</f>
        <v/>
      </c>
      <c r="BL185" s="52" t="str">
        <f>IF(Atletas!L181="","",IF(Atletas!W181&lt;&gt;"",10000,0)+(IF(Atletas!B181="Feminino",1000,IF(Atletas!B181="Masculino",2000,""))+(IF(Atletas!L181="Chaquan A",101,IF(Atletas!L181="Emeiquan A",102,IF(Atletas!L181="Fanziquan A",103,IF(Atletas!L181="Huaquan A",104,IF(Atletas!L181="Hongquan A",105,IF(Atletas!L181="Paochui A",106,IF(Atletas!L181="Piguaquan A",107,IF(Atletas!L181="Shaolinquan A",108,IF(Atletas!L181="Tanglangquan A",109,IF(Atletas!L181="Yinzhaophai A",110,IF(Atletas!L181="Tongbeiquan A",111,IF(Atletas!L181="Wudangquan A",112,IF(Atletas!L181="Outros Estilos A",113,IF(Atletas!L181="Chaquan B",114,IF(Atletas!L181="Emeiquan B",115,IF(Atletas!L181="Fanziquan B",116,IF(Atletas!L181="Huaquan B",117,IF(Atletas!L181="Hongquan B",118,IF(Atletas!L181="Paochui B",119,IF(Atletas!L181="Piguaquan B",120,IF(Atletas!L181="Shaolinquan B",121,IF(Atletas!L181="Tanglangquan B",122,IF(Atletas!L181="Yinzhaophai B",123,IF(Atletas!L181="Tongbeiquan B",124,IF(Atletas!L181="Wudangquan B",125,IF(Atletas!L181="Outros Estilos B",126,IF(Atletas!L181="Chaquan C",127,IF(Atletas!L181="Emeiquan C",128,IF(Atletas!L181="Fanziquan C",129,IF(Atletas!L181="Huaquan C",130,IF(Atletas!L181="Hongquan C",131,IF(Atletas!L181="Paochui C",132,IF(Atletas!L181="Piguaquan C",133,IF(Atletas!L181="Shaolinquan C",134,IF(Atletas!L181="Tanglangquan C",135,IF(Atletas!L181="Yinzhaophai C",136,IF(Atletas!L181="Tongbeiquan C",137,IF(Atletas!L181="Wudangquan C",138,IF(Atletas!L181="Outros Estilos C",139,0))))))))))))))))))))))))))))))))))))))))))</f>
        <v/>
      </c>
      <c r="BM185" s="52" t="str">
        <f>IF(Atletas!L181="","",IF(Atletas!W181&lt;&gt;"",10000,0)+(IF(Atletas!B181="Feminino",1000,IF(Atletas!B181="Masculino",2000,""))+(IF(Atletas!L181="Chaquan D",140,IF(Atletas!L181="Emeiquan D",141,IF(Atletas!L181="Fanziquan D",142,IF(Atletas!L181="Huaquan D",143,IF(Atletas!L181="Hongquan D",144,IF(Atletas!L181="Paochui D",145,IF(Atletas!L181="Piguaquan D",146,IF(Atletas!L181="Shaolinquan D",147,IF(Atletas!L181="Tanglangquan D",148,IF(Atletas!L181="Yinzhaophai D",149,IF(Atletas!L181="Tongbeiquan D",150,IF(Atletas!L181="Wudangquan D",151,IF(Atletas!L181="Outros Estilos D",152,IF(Atletas!L181="Chaquan E",153,IF(Atletas!L181="Emeiquan E",154,IF(Atletas!L181="Fanziquan E",155,IF(Atletas!L181="Huaquan E",156,IF(Atletas!L181="Hongquan E",157,IF(Atletas!L181="Paochui E",158,IF(Atletas!L181="Piguaquan E",159,IF(Atletas!L181="Shaolinquan E",160,IF(Atletas!L181="Tanglangquan E",161,IF(Atletas!L181="Yinzhaophai E",162,IF(Atletas!L181="Tongbeiquan E",163,IF(Atletas!L181="Wudangquan E",164,IF(Atletas!L181="Outros Estilos E",165,IF(Atletas!L181="Chaquan F",166,IF(Atletas!L181="Emeiquan F",167,IF(Atletas!L181="Fanziquan F",168,IF(Atletas!L181="Huaquan F",169,IF(Atletas!L181="Hongquan F",170,IF(Atletas!L181="Paochui F",171,IF(Atletas!L181="Piguaquan F",172,IF(Atletas!L181="Shaolinquan F",173,IF(Atletas!L181="Tanglangquan F",174,IF(Atletas!L181="Yinzhaophai F",175,IF(Atletas!L181="Tongbeiquan F",176,IF(Atletas!L181="Wudangquan F",177,IF(Atletas!L181="Outros Estilos F",178,0))))))))))))))))))))))))))))))))))))))))))</f>
        <v/>
      </c>
      <c r="BN185" s="52" t="str">
        <f>IF(Atletas!M181="","",IF(Atletas!W181&lt;&gt;"",10000,0)+(IF(Atletas!B181="Feminino",1000,IF(Atletas!B181="Masculino",2000,""))+(IF(Atletas!M181="Ditangquan A",201,IF(Atletas!M181="Houquan A",202,IF(Atletas!M181="Zuiquan A",203,IF(Atletas!M181="Ditangquan B",204,IF(Atletas!M181="Houquan B",205,IF(Atletas!M181="Zuiquan B",206,IF(Atletas!M181="Ditangquan C",207,IF(Atletas!M181="Houquan C",208,IF(Atletas!M181="Zuiquan C",209,IF(Atletas!M181="Ditangquan D",210,IF(Atletas!M181="Houquan D",211,IF(Atletas!M181="Zuiquan D",212,IF(Atletas!M181="Ditangquan E",213,IF(Atletas!M181="Houquan E",214,IF(Atletas!M181="Zuiquan E",215,IF(Atletas!M181="Ditangquan F",216,IF(Atletas!M181="Houquan F",217,IF(Atletas!M181="Zuiquan F",218,"")))))))))))))))))))))</f>
        <v/>
      </c>
      <c r="BO185" s="52" t="str">
        <f>IF(Atletas!N181="","",IF(Atletas!W181&lt;&gt;"",10000,0)+IF(Atletas!B181="Feminino",1000,IF(Atletas!B181="Masculino",2000,""))+IF(Atletas!N181="Yang A",301,IF(Atletas!N181="Chen A",30,IF(Atletas!N181="Sun A",303,IF(Atletas!N181="Wu A",304,IF(Atletas!N181="Wu-Hao A",305,IF(Atletas!N181="Outro Taijiquan A",306,IF(Atletas!N181="Yang B",307,IF(Atletas!N181="Chen B",308,IF(Atletas!N181="Sun B",309,IF(Atletas!N181="Wu B",310,IF(Atletas!N181="Wu-Hao B",311,IF(Atletas!N181="Outro Taijiquan B",312,IF(Atletas!N181="Yang C",313,IF(Atletas!N181="Chen C",314,IF(Atletas!N181="Sun C",315,IF(Atletas!N181="Wu C",316,IF(Atletas!N181="Wu-Hao C",317,IF(Atletas!N181="Outro Taijiquan C",318,IF(Atletas!N181="Yang D",319,IF(Atletas!N181="Chen D",320,IF(Atletas!N181="Sun D",321,IF(Atletas!N181="Wu D",322,IF(Atletas!N181="Wu-Hao D",323,IF(Atletas!N181="Outro Taijiquan D",324,IF(Atletas!N181="Yang E",325,IF(Atletas!N181="Chen E",326,IF(Atletas!N181="Sun E",327,IF(Atletas!N181="Wu E",328,IF(Atletas!N181="Wu-Hao E",329,IF(Atletas!N181="Outro Taijiquan E",330,IF(Atletas!N181="Yang F",331,IF(Atletas!N181="Chen F",332,IF(Atletas!N181="Sun F",333,IF(Atletas!N181="Wu F",334,IF(Atletas!N181="Wu-Hao F",335,IF(Atletas!N181="Outro Taijiquan F",336,"")))))))))))))))))))))))))))))))))))))</f>
        <v/>
      </c>
      <c r="BP185" s="52" t="str">
        <f>IF(Atletas!O181="","",IF(Atletas!W181&lt;&gt;"",10000,0)+IF(Atletas!B181="Feminino",1000,IF(Atletas!B181="Masculino",2000,""))+IF(OR(Atletas!O181="Yang 26 A",Atletas!O181="Yang 40 A"),401,IF(OR(Atletas!O181="Chen 25 A",Atletas!O181="Chen 36 A",Atletas!O181="Chen 56 A"),402,IF(Atletas!O181="Sun 73 A",403,IF(Atletas!O181="Wu 45 A",404,IF(Atletas!O181="Wu-Hao 46 A",405,IF(OR(Atletas!O181="Taijiquan 16 A",Atletas!O181="Taijiquan 24 A",Atletas!O181="Taijiquan 32 A",Atletas!O181="Taijiquan 42 A"),406,IF(OR(Atletas!O181="Yang 26 B",Atletas!O181="Yang 40 B"),407,IF(OR(Atletas!O181="Chen 25 B",Atletas!O181="Chen 36 B",Atletas!O181="Chen 56 B"),408,IF(Atletas!O181="Sun 73 B",409,IF(Atletas!O181="Wu 45 B",410,IF(Atletas!O181="Wu-Hao 46 B",411,IF(OR(Atletas!O181="Taijiquan 16 B",Atletas!O181="Taijiquan 24 B",Atletas!O181="Taijiquan 32 B",Atletas!O181="Taijiquan 42 B"),412,IF(OR(Atletas!O181="Yang 26 C",Atletas!O181="Yang 40 C"),413,IF(OR(Atletas!O181="Chen 25 C",Atletas!O181="Chen 36 C",Atletas!O181="Chen 56 C"),414,IF(Atletas!O181="Sun 73 C",415,IF(Atletas!O181="Wu 45 C",416,IF(Atletas!O181="Wu-Hao 46 C",417,IF(OR(Atletas!O181="Taijiquan 16 C",Atletas!O181="Taijiquan 24 C",Atletas!O181="Taijiquan 32 C",Atletas!O181="Taijiquan 42 C"),418,0)))))))))))))))))))</f>
        <v/>
      </c>
      <c r="BQ185" s="52" t="str">
        <f>IF(Atletas!O181="","",IF(Atletas!W181&lt;&gt;"",10000,0)+IF(Atletas!B181="Feminino",1000,IF(Atletas!B181="Masculino",2000,""))+IF(OR(Atletas!O181="Yang 26 D",Atletas!O181="Yang 40 D"),419,IF(OR(Atletas!O181="Chen 25 D",Atletas!O181="Chen 36 D",Atletas!O181="Chen 56 D"),420,IF(Atletas!O181="Sun 73 D",421,IF(Atletas!O181="Wu 45 D",422,IF(Atletas!O181="Wu-Hao 46 D",423,IF(OR(Atletas!O181="Taijiquan 16 D",Atletas!O181="Taijiquan 24 D",Atletas!O181="Taijiquan 32 D",Atletas!O181="Taijiquan 42 D"),424,IF(OR(Atletas!O181="Yang 26 E",Atletas!O181="Yang 40 E"),425,IF(OR(Atletas!O181="Chen 25 E",Atletas!O181="Chen 36 E",Atletas!O181="Chen 56 E"),426,IF(Atletas!O181="Sun 73 E",427,IF(Atletas!O181="Wu 45 E",428,IF(Atletas!O181="Wu-Hao 46 E",429,IF(OR(Atletas!O181="Taijiquan 16 E",Atletas!O181="Taijiquan 24 E",Atletas!O181="Taijiquan 32 E",Atletas!O181="Taijiquan 42 E"),430,IF(OR(Atletas!O181="Yang 26 F",Atletas!O181="Yang 40 F"),431,IF(OR(Atletas!O181="Chen 25 F",Atletas!O181="Chen 36 F",Atletas!O181="Chen 56 F"),432,IF(Atletas!O181="Sun 73 F",433,IF(Atletas!O181="Wu 45 F",434,IF(Atletas!O181="Wu-Hao 46 F",435,IF(OR(Atletas!O181="Taijiquan 16 F",Atletas!O181="Taijiquan 24 F",Atletas!O181="Taijiquan 32 F",Atletas!O181="Taijiquan 42 F"),436,0)))))))))))))))))))</f>
        <v/>
      </c>
      <c r="BR185" s="52" t="str">
        <f>IF(Atletas!P181="","",IF(Atletas!W181&lt;&gt;"",10000,0)+IF(Atletas!B181="Feminino",1000,IF(Atletas!B181="Masculino",2000,""))+IF(Atletas!P181="Xingyiquan A",501,IF(Atletas!P181="Baguazhang A",502,IF(Atletas!P181="Outro Estilo Interno A",503,IF(Atletas!P181="Xingyiquan B",504,IF(Atletas!P181="Baguazhang B",505,IF(Atletas!P181="Outro Estilo Interno B",506,IF(Atletas!P181="Xingyiquan C",507,IF(Atletas!P181="Baguazhang C",508,IF(Atletas!P181="Outro Estilo Interno C",509,IF(Atletas!P181="Xingyiquan D",510,IF(Atletas!P181="Baguazhang D",511,IF(Atletas!P181="Outro Estilo Interno D",512,IF(Atletas!P181="Xingyiquan E",513,IF(Atletas!P181="Baguazhang E",514,IF(Atletas!P181="Outro Estilo Interno E",515,IF(Atletas!P181="Xingyiquan F",516,IF(Atletas!P181="Baguazhang F",517,IF(Atletas!P181="Outro Estilo Interno F",518, "")))))))))))))))))))</f>
        <v/>
      </c>
      <c r="BS185" s="52" t="str">
        <f>IF(Atletas!Q181="","",IF(Atletas!W181&lt;&gt;"",10000,0)+IF(Atletas!B181="Feminino",1000,IF(Atletas!B181="Masculino",2000,""))+IF(Atletas!Q181="Dao A",601,IF(Atletas!Q181="Jian A",602,IF(Atletas!Q181="Bishou A",603,IF(Atletas!Q181="Shan A",604,IF(Atletas!Q181="Outra Arma Curta A",605,IF(Atletas!Q181="Dao B",606,IF(Atletas!Q181="Jian B",607,IF(Atletas!Q181="Bishou B",608,IF(Atletas!Q181="Shan B",609,IF(Atletas!Q181="Outra Arma Curta B",610,IF(Atletas!Q181="Dao C",611,IF(Atletas!Q181="Jian C",612,IF(Atletas!Q181="Bishou C",613,IF(Atletas!Q181="Shan C",614,IF(Atletas!Q181="Outra Arma Curta C",615,IF(Atletas!Q181="Dao D",616,IF(Atletas!Q181="Jian D",617,IF(Atletas!Q181="Bishou D",618,IF(Atletas!Q181="Shan D",619,IF(Atletas!Q181="Outra Arma Curta D",620,IF(Atletas!Q181="Dao E",621,IF(Atletas!Q181="Jian E",622,IF(Atletas!Q181="Bishou E",623,IF(Atletas!Q181="Shan E",624,IF(Atletas!Q181="Outra Arma Curta E",625,IF(Atletas!Q181="Dao F",626,IF(Atletas!Q181="Jian F",627,IF(Atletas!Q181="Bishou F",628,IF(Atletas!Q181="Shan F",629,IF(Atletas!Q181="Outra Arma Curta F",630, "")))))))))))))))))))))))))))))))</f>
        <v/>
      </c>
      <c r="BT185" s="52" t="str">
        <f>IF(Atletas!R181="","",IF(Atletas!W181&lt;&gt;"",10000,0)+IF(Atletas!B181="Feminino",1000,IF(Atletas!B181="Masculino",2000,""))+IF(Atletas!R181="Gun A",701,IF(Atletas!R181="Qiang A",702,IF(Atletas!R181="Pudao / Guandao A",703,IF(Atletas!R181="Outra Arma Longa A",704,IF(Atletas!R181="Gun B",705,IF(Atletas!R181="Qiang B",706,IF(Atletas!R181="Pudao / Guandao B",707,IF(Atletas!R181="Outra Arma Longa B",708,IF(Atletas!R181="Gun C",709,IF(Atletas!R181="Qiang C",710,IF(Atletas!R181="Pudao / Guandao C",711,IF(Atletas!R181="Outra Arma Longa C",712,IF(Atletas!R181="Gun D",713,IF(Atletas!R181="Qiang D",714,IF(Atletas!R181="Pudao / Guandao D",715,IF(Atletas!R181="Outra Arma Longa D",716,IF(Atletas!R181="Gun E",717,IF(Atletas!R181="Qiang E",718,IF(Atletas!R181="Pudao / Guandao E",719,IF(Atletas!R181="Outra Arma Longa E",720,IF(Atletas!R181="Gun F",721,IF(Atletas!R181="Qiang F",722,IF(Atletas!R181="Pudao / Guandao F",723,IF(Atletas!R181="Outra Arma Longa F",724,"")))))))))))))))))))))))))</f>
        <v/>
      </c>
      <c r="BU185" s="52" t="str">
        <f>IF(Atletas!S181="","",IF(Atletas!W181&lt;&gt;"",10000,0)+IF(Atletas!B181="Feminino",1000,IF(Atletas!B181="Masculino",2000,""))+IF(Atletas!S181="Arma Dupla A",801,IF(Atletas!S181="Arma Maleável A",802,IF(Atletas!S181="Arma Dupla B",803,IF(Atletas!S181="Arma Maleável B",804,IF(Atletas!S181="Arma Dupla C",805,IF(Atletas!S181="Arma Maleável C",806,IF(Atletas!S181="Arma Dupla D",807,IF(Atletas!S181="Arma Maleável D",808,IF(Atletas!S181="Arma Dupla E",809,IF(Atletas!S181="Arma Maleável E",810,IF(Atletas!S181="Arma Dupla F",811,IF(Atletas!S181="Arma Maleável F",812, "")))))))))))))</f>
        <v/>
      </c>
      <c r="BV185" s="52" t="str">
        <f>IF(Atletas!T181="","",IF(Atletas!W181&lt;&gt;"",10000,0)+IF(Atletas!B181="Feminino",1000,IF(Atletas!B181="Masculino",2000,""))+IF(Atletas!T181="Taijijian Yang A",901,IF(Atletas!T181="Taijijian Chen A",902,IF(Atletas!T181="Taijijian Sun A",903,IF(Atletas!T181="Taijijian Wu A",904,IF(Atletas!T181="Taijijian Wu-Hao A",905,IF(Atletas!T181="Taijijian 32 A",906,IF(Atletas!T181="Taijijian 42 A",907,IF(Atletas!T181="Taijijian Yang B",908,IF(Atletas!T181="Taijijian Chen B",909,IF(Atletas!T181="Taijijian Sun B",910,IF(Atletas!T181="Taijijian Wu B",911,IF(Atletas!T181="Taijijian Wu-Hao B",912,IF(Atletas!T181="Taijijian 32 B",913,IF(Atletas!T181="Taijijian 42 B",914,IF(Atletas!T181="Taijijian Yang C",915,IF(Atletas!T181="Taijijian Chen C",916,IF(Atletas!T181="Taijijian Sun C",917,IF(Atletas!T181="Taijijian Wu C",918,IF(Atletas!T181="Taijijian Wu-Hao C",919,IF(Atletas!T181="Taijijian 32 C",920,IF(Atletas!T181="Taijijian 42 C",921,IF(Atletas!T181="Taijijian Yang D",922,IF(Atletas!T181="Taijijian Chen D",923,IF(Atletas!T181="Taijijian Sun D",924,IF(Atletas!T181="Taijijian Wu D",925,IF(Atletas!T181="Taijijian Wu-Hao D",926,IF(Atletas!T181="Taijijian 32 D",927,IF(Atletas!T181="Taijijian 42 D",928,IF(Atletas!T181="Taijijian Yang E",929,IF(Atletas!T181="Taijijian Chen E",930,IF(Atletas!T181="Taijijian Sun E",931,IF(Atletas!T181="Taijijian Wu E",932,IF(Atletas!T181="Taijijian Wu-Hao E",933,IF(Atletas!T181="Taijijian 32 E",934,IF(Atletas!T181="Taijijian 42 E",935,IF(Atletas!T181="Taijijian Yang F",936,IF(Atletas!T181="Taijijian Chen F",937,IF(Atletas!T181="Taijijian Sun F",938,IF(Atletas!T181="Taijijian Wu F",939,IF(Atletas!T181="Taijijian Wu-Hao F",940,IF(Atletas!T181="Taijijian 32 F",941,IF(Atletas!T181="Taijijian 42 F",942,"")))))))))))))))))))))))))))))))))))))))))))</f>
        <v/>
      </c>
      <c r="BW185" s="52" t="str">
        <f>IF(Atletas!U181="","",IF(Atletas!W181&lt;&gt;"",10000,0)+IF(Atletas!B181="Feminino",1000,IF(Atletas!B181="Masculino",2000,""))+IF(Atletas!T181="Taijijian 42 F",942,IF(Atletas!U181="Taijidao A",943,IF(Atletas!U181="Taijishan A",944,IF(Atletas!U181="Taijiqiang A",945,IF(Atletas!U181="Taijidao B",946,IF(Atletas!U181="Taijishan B",947,IF(Atletas!U181="Taijiqiang B",948,IF(Atletas!U181="Taijidao C",949,IF(Atletas!U181="Taijishan C",950,IF(Atletas!U181="Taijiqiang C",951,IF(Atletas!U181="Taijidao D",952,IF(Atletas!U181="Taijishan D",953,IF(Atletas!U181="Taijiqiang D",954,IF(Atletas!U181="Taijidao E",955,IF(Atletas!U181="Taijishan E",956,IF(Atletas!U181="Taijiqiang E",957,IF(Atletas!U181="Taijidao F",958,IF(Atletas!U181="Taijishan F",959,IF(Atletas!U181="Taijiqiang F",960))))))))))))))))))))</f>
        <v/>
      </c>
      <c r="BX185" s="72" t="str">
        <f>IF(BY185&lt;&gt;"","TJQ Padr. Wu-Hao C","")</f>
        <v/>
      </c>
      <c r="BY185" s="72" t="str">
        <f>IF(COUNTIF(BK:BW,1417)&gt;0,COUNTIF(BK:BW,1417),"")</f>
        <v/>
      </c>
      <c r="BZ185" s="72" t="str">
        <f>IF(CA185&lt;&gt;"","TJQ Padr. Wu-Hao C","")</f>
        <v/>
      </c>
      <c r="CA185" s="72" t="str">
        <f>IF(COUNTIF(BK:BW,2417)&gt;0,COUNTIF(BK:BW,2417),"")</f>
        <v/>
      </c>
      <c r="CB185" s="72" t="str">
        <f>IF(CC185&lt;&gt;"","Yang 50 B","")</f>
        <v/>
      </c>
      <c r="CC185" s="64" t="str">
        <f>IF(COUNTIF(BK:BW,11417)&gt;0,COUNTIF(BK:BW,11417),"")</f>
        <v/>
      </c>
      <c r="CD185" s="64" t="str">
        <f>IF(CE185&lt;&gt;"","Yang 50 B","")</f>
        <v/>
      </c>
      <c r="CE185" s="64" t="str">
        <f>IF(COUNTIF(BK:BW,12417)&gt;0,COUNTIF(BK:BW,12417),"")</f>
        <v/>
      </c>
      <c r="CF185" s="52" t="str">
        <f xml:space="preserve"> IF(Atletas!V181="","",IF(Atletas!V181="Duilian de Mãos AB - Equipe 1",1,IF(Atletas!V181="Duilian de Mãos AB - Equipe 2",2,IF(Atletas!V181="Duilian de Armas AB - Equipe 1",3,IF(Atletas!V181="Duilian de Armas AB - Equipe 2",4,IF(Atletas!V181="Duilian de Tuishou - Equipe 1",5,IF(Atletas!V181="Duilian de Tuishou - Equipe 2",6,IF(Atletas!V181="Grupo Externo AB - Equipe 1",7,IF(Atletas!V181="Grupo Externo AB - Equipe 2",8,IF(Atletas!V181="Grupo Interno AB - Equipe 1",9,IF(Atletas!V181="Grupo Interno AB - Equipe 2",10,IF(Atletas!V181="Duilian de Mãos CD - Equipe 1",11,IF(Atletas!V181="Duilian de Mãos CD - Equipe 2",12,IF(Atletas!V181="Duilian de Armas CD - Equipe 1",13,IF(Atletas!V181="Duilian de Armas CD - Equipe 2",14,IF(Atletas!V181="Duilian de Tuishou - Equipe 1",15,IF(Atletas!V181="Duilian de Tuishou - Equipe 2",16,IF(Atletas!V181="Grupo Externo CDEF - Equipe 1",17,IF(Atletas!V181="Grupo Externo CDEF - Equipe 2",18,IF(Atletas!V181="Grupo Interno CDEF - Equipe 1",19,IF(Atletas!V181="Grupo Interno CDEF - Equipe 2",20,IF(Atletas!V181="Duilian de Mãos EF - Equipe 1",21,IF(Atletas!V181="Duilian de Mãos EF - Equipe 2",22,IF(Atletas!V181="Duilian de Armas EF - Equipe 1",23,IF(Atletas!V181="Duilian de Armas EF - Equipe 2",24,IF(Atletas!V181="Duilian de Tuishou - Equipe 1",25,IF(Atletas!V181="Duilian de Tuishou - Equipe 2",26,"")))))))))))))))))))))))))))</f>
        <v/>
      </c>
    </row>
    <row r="186" spans="2:84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 t="str">
        <f t="array" ref="V186">IFERROR(INDEX(BX$7:BX$336,SMALL(IF(BX$7:BX$336&lt;&gt;"",ROW(BX$7:BX$336)-ROW(BX$7)+1),ROWS(BX$7:BX185))),"")</f>
        <v/>
      </c>
      <c r="W186" s="4" t="str">
        <f t="array" ref="W186">IFERROR(INDEX(BY$7:BY$336,SMALL(IF(BY$7:BY$336&lt;&gt;"",ROW(BY$7:BY$336)-ROW(BY$7)+1),ROWS(BY$7:BY185))),"")</f>
        <v/>
      </c>
      <c r="X186" s="4" t="str">
        <f t="array" ref="X186">IFERROR(INDEX(BZ$7:BZ$336,SMALL(IF(BZ$7:BZ$336&lt;&gt;"",ROW(BZ$7:BZ$336)-ROW(BZ$7)+1),ROWS(BZ$7:BZ185))),"")</f>
        <v/>
      </c>
      <c r="Y186" s="4" t="str">
        <f t="array" ref="Y186">IFERROR(INDEX(CA$7:CA$336,SMALL(IF(CA$7:CA$336&lt;&gt;"",ROW(CA$7:CA$336)-ROW(CA$7)+1),ROWS(CA$7:CA185))),"")</f>
        <v/>
      </c>
      <c r="Z186" s="4" t="str">
        <f t="array" ref="Z186">IFERROR(INDEX(CB$7:CB$378,SMALL(IF(CB$7:CB$378&lt;&gt;"",ROW(CB$7:CB$378)-ROW(CB$7)+1),ROWS(CB$7:CB185))),"")</f>
        <v/>
      </c>
      <c r="AA186" s="4" t="str">
        <f t="array" ref="AA186">IFERROR(INDEX(CC$7:CC$378,SMALL(IF(CC$7:CC$378&lt;&gt;"",ROW(CC$7:CC$378)-ROW(CC$7)+1),ROWS(CC$7:CC185))),"")</f>
        <v/>
      </c>
      <c r="AB186" s="4" t="str">
        <f t="array" ref="AB186">IFERROR(INDEX(CD$7:CD$378,SMALL(IF(CD$7:CD$378&lt;&gt;"",ROW(CD$7:CD$378)-ROW(CD$7)+1),ROWS(CD$7:CD185))),"")</f>
        <v/>
      </c>
      <c r="AC186" s="4" t="str">
        <f t="array" ref="AC186">IFERROR(INDEX(CE$7:CE$378,SMALL(IF(CE$7:CE$378&lt;&gt;"",ROW(CE$7:CE$378)-ROW(CE$7)+1),ROWS(CE$7:CE185))),"")</f>
        <v/>
      </c>
      <c r="AD186" s="4"/>
      <c r="AE186" s="4"/>
      <c r="AF186" s="4"/>
      <c r="AG186" s="4"/>
      <c r="AH186" s="4"/>
      <c r="AI186" s="4"/>
      <c r="AJ186" s="46" t="str">
        <f>IF(Atletas!D182="","",IF(Atletas!B182="Feminino",100,IF(Atletas!B182="Masculino",200,""))+(IF(Atletas!D182="Infantil 39kg",1,IF(Atletas!D182="Infantil 42kg",2,IF(Atletas!D182="Infantil 45kg",3,IF(Atletas!D182="Infantil 48kg",4,IF(Atletas!D182="Infantil 52kg",5,IF(Atletas!D182="Infantil 56kg",6,IF(Atletas!D182="Infantil 60kg",7,IF(Atletas!D182="Juvenil 48kg",8,IF(Atletas!D182="Juvenil 52kg",9,IF(Atletas!D182="Juvenil 56kg",10,IF(Atletas!D182="Juvenil 60kg",11,IF(Atletas!D182="Juvenil 65kg",12,IF(Atletas!D182="Juvenil 70kg",13,IF(Atletas!D182="Juvenil 75kg",14,IF(Atletas!D182="Juvenil 80kg",15,IF(Atletas!D182="Adulto 48kg",16,IF(Atletas!D182="Adulto 52kg",17,IF(Atletas!D182="Adulto 56kg",18,IF(Atletas!D182="Adulto 60kg",19,IF(Atletas!D182="Adulto 65kg",20,IF(Atletas!D182="Adulto 70kg",21,IF(Atletas!D182="Adulto 75kg",22,IF(Atletas!D182="Adulto 80kg",23,IF(Atletas!D182="Adulto 85kg",24,IF(Atletas!D182="Adulto 90kg",25,IF(Atletas!D182="Adulto +90kg",26,""))))))))))))))))))))))))))))</f>
        <v/>
      </c>
      <c r="AO186" s="10" t="str">
        <f>IF(Atletas!E182="","",IF(Atletas!B182="Feminino",100,IF(Atletas!B182="Masculino",200,""))+(IF(Atletas!E182="Juvenil 44kg",1,IF(Atletas!E182="Juvenil 48kg",2,IF(Atletas!E182="Juvenil 52kg",3,IF(Atletas!E182="Juvenil 56kg",4,IF(Atletas!E182="Juvenil 60kg",5,IF(Atletas!E182="Juvenil 65kg",6,IF(Atletas!E182="Juvenil 70kg",7,IF(Atletas!E182="Juvenil 75kg",8,IF(Atletas!E182="Juvenil 82kg",9,IF(Atletas!E182="Juvenil 90kg",10,IF(Atletas!E182="Juvenil 100kg",11,IF(Atletas!E182="Adulto 48kg",12,IF(Atletas!E182="Adulto 52kg",13,IF(Atletas!E182="Adulto 56kg",14,IF(Atletas!E182="Adulto 60kg",15,IF(Atletas!E182="Adulto 65kg",16,IF(Atletas!E182="Adulto 70kg",17,IF(Atletas!E182="Adulto 75kg",18,IF(Atletas!E182="Adulto 82kg",19,IF(Atletas!E182="Adulto 90kg",20,IF(Atletas!E182="Adulto 100kg",21,IF(Atletas!E182="Adulto +100kg",22,""))))))))))))))))))))))))</f>
        <v/>
      </c>
      <c r="AT186" s="10" t="str">
        <f>IF(Atletas!F182="","",IF(Atletas!B182="Feminino",100,IF(Atletas!B182="Masculino",200,""))+(IF(Atletas!F182="Adulto 48kg",1,IF(Atletas!F182="Adulto 56kg",2,IF(Atletas!F182="Adulto 65kg",3,IF(Atletas!F182="Adulto 75kg",4,IF(Atletas!F182="Adulto +75kg",5,IF(Atletas!F182="Adulto 52kg",6,IF(Atletas!F182="Adulto 60kg",7,IF(Atletas!F182="Adulto 70kg",8,IF(Atletas!F182="Adulto 80kg",9,IF(Atletas!F182="Adulto 90kg",10,IF(Atletas!F182="Adulto +90kg",11,"")))))))))))))</f>
        <v/>
      </c>
      <c r="AY186" s="46" t="str">
        <f>IF(Atletas!G182="","",IF(Atletas!B182="Feminino",100,IF(Atletas!B182="Masculino",200,""))+(IF(Atletas!G182="Changquan Mirim",1,IF(Atletas!G182="Nanquan Mirim",2,IF(Atletas!G182="Taijiquan Mirim",3,IF(Atletas!G182="Changquan Grupo C",4,IF(Atletas!G182="Nanquan Grupo C",5,IF(Atletas!G182="Taijiquan Grupo C",6,IF(Atletas!G182="Changquan Grupo B",7,IF(Atletas!G182="Nanquan Grupo B",8,IF(Atletas!G182="Taijiquan Grupo B",9,IF(Atletas!G182="Changquan Grupo A",10,IF(Atletas!G182="Nanquan Grupo A",11,IF(Atletas!G182="Taijiquan Grupo A",12,IF(Atletas!G182="Changquan Opcional",13,IF(Atletas!G182="Nanquan Opcional",14,IF(Atletas!G182="Taijiquan Opcional",15,IF(Atletas!G182="Changquan Adulto",16,IF(Atletas!G182="Nanquan Adulto",17,IF(Atletas!G182="Taijiquan Adulto",18,""))))))))))))))))))))</f>
        <v/>
      </c>
      <c r="AZ186" s="46" t="str">
        <f>IF(Atletas!H182="","",IF(Atletas!B182="Feminino",100,IF(Atletas!B182="Masculino",200,""))+(IF(Atletas!H182="Daoshu Mirim",19,IF(Atletas!H182="Jianshu Mirim",20,IF(Atletas!H182="Nandao Mirim",21,IF(Atletas!H182="Taijijian Mirim",22,IF(Atletas!H182="Daoshu Grupo C",23,IF(Atletas!H182="Jianshu Grupo C",24,IF(Atletas!H182="Nandao Grupo C",25,IF(Atletas!H182="Taijijian Grupo C",26,IF(Atletas!H182="Daoshu Grupo B",27,IF(Atletas!H182="Jianshu Grupo B",28,IF(Atletas!H182="Nandao Grupo B",29,IF(Atletas!H182="Taijijian Grupo B",30,IF(Atletas!H182="Daoshu Grupo A",31,IF(Atletas!H182="Jianshu Grupo A",32,IF(Atletas!H182="Nandao Grupo A",33,IF(Atletas!H182="Taijijian Grupo A",34,IF(Atletas!H182="Daoshu Opcional",35,IF(Atletas!H182="Jianshu Opcional",36,IF(Atletas!H182="Nandao Opcional",37,IF(Atletas!H182="Taijijian Opcional",38,IF(Atletas!H182="Daoshu Adulto",39,IF(Atletas!H182="Jianshu Adulto",40,IF(Atletas!H182="Nandao Adulto",41,IF(Atletas!H182="Taijijian Adulto",42,""))))))))))))))))))))))))))</f>
        <v/>
      </c>
      <c r="BA186" s="46" t="str">
        <f>IF(Atletas!I182="","",IF(Atletas!B182="Feminino",100,IF(Atletas!B182="Masculino",200,""))+(IF(Atletas!I182="Gunshu Mirim",43,IF(Atletas!I182="Qiangshu Mirim",44,IF(Atletas!I182="Nangun Mirim",45,IF(Atletas!I182="Gunshu Grupo C",46,IF(Atletas!I182="Qiangshu Grupo C",47,IF(Atletas!I182="Nangun Grupo C",48,IF(Atletas!I182="Gunshu Grupo B",49,IF(Atletas!I182="Qiangshu Grupo B",50,IF(Atletas!I182="Nangun Grupo B",51,IF(Atletas!I182="Gunshu Grupo A",52,IF(Atletas!I182="Qiangshu Grupo A",53,IF(Atletas!I182="Nangun Grupo A",54,IF(Atletas!I182="Gunshu Opcional",55,IF(Atletas!I182="Qiangshu Opcional",56,IF(Atletas!I182="Nangun Opcional",57,IF(Atletas!I182="Gunshu Adulto",58,IF(Atletas!I182="Qiangshu Adulto",59,IF(Atletas!I182="Nangun Adulto",60,""))))))))))))))))))))</f>
        <v/>
      </c>
      <c r="BF186" s="52" t="str">
        <f>IF(Atletas!J182="","",IF(Atletas!B182="Feminino",100,IF(Atletas!B182="Masculino",200,""))+(IF(Atletas!J182="Equipe 1 Grupo B",1,IF(Atletas!J182="Equipe 2 Grupo B",2,IF(Atletas!J182="Equipe 1 Grupo A",3,IF(Atletas!J182="Equipe 2 Grupo A",4,IF(Atletas!J182="Equipe 1 Adulto",5,IF(Atletas!J182="Equipe 2 Adulto",6,""))))))))</f>
        <v/>
      </c>
      <c r="BK186" s="52" t="str">
        <f>IF(Atletas!K182="","",IF(Atletas!W182&lt;&gt;"",10000,0)+(IF(Atletas!B182="Feminino",1000,IF(Atletas!B182="Masculino",2000,""))+IF(Atletas!K182="Choylayfut A",1,IF(Atletas!K182="Hunggar A",2,IF(Atletas!K182="Wuzuquan A",3,IF(Atletas!K182="Wingchun A",4,IF(Atletas!K182="Outra Mão de Sul A",5,IF(Atletas!K182="Choylayfut B",6,IF(Atletas!K182="Hunggar B",7,IF(Atletas!K182="Wuzuquan B",8,IF(Atletas!K182="Wingchun B",9,IF(Atletas!K182="Outra Mão de Sul B",10,IF(Atletas!K182="Choylayfut C",11,IF(Atletas!K182="Hunggar C",12,IF(Atletas!K182="Wuzuquan C",13,IF(Atletas!K182="Wingchun C",14,IF(Atletas!K182="Outra Mão de Sul C",15,IF(Atletas!K182="Choylayfut D",16,IF(Atletas!K182="Hunggar D",17,IF(Atletas!K182="Wuzuquan D",18,IF(Atletas!K182="Wingchun D",19,IF(Atletas!K182="Outra Mão de Sul D",20,IF(Atletas!K182="Choylayfut E",21,IF(Atletas!K182="Hunggar E",22,IF(Atletas!K182="Wuzuquan E",23,IF(Atletas!K182="Wingchun E",24,IF(Atletas!K182="Outra Mão de Sul E",25,IF(Atletas!K182="Choylayfut F",26,IF(Atletas!K182="Hunggar F",27,IF(Atletas!K182="Wuzuquan F",28,IF(Atletas!K182="Wingchun F",29,IF(Atletas!K182="Outra Mão de Sul F",30,""))))))))))))))))))))))))))))))))</f>
        <v/>
      </c>
      <c r="BL186" s="52" t="str">
        <f>IF(Atletas!L182="","",IF(Atletas!W182&lt;&gt;"",10000,0)+(IF(Atletas!B182="Feminino",1000,IF(Atletas!B182="Masculino",2000,""))+(IF(Atletas!L182="Chaquan A",101,IF(Atletas!L182="Emeiquan A",102,IF(Atletas!L182="Fanziquan A",103,IF(Atletas!L182="Huaquan A",104,IF(Atletas!L182="Hongquan A",105,IF(Atletas!L182="Paochui A",106,IF(Atletas!L182="Piguaquan A",107,IF(Atletas!L182="Shaolinquan A",108,IF(Atletas!L182="Tanglangquan A",109,IF(Atletas!L182="Yinzhaophai A",110,IF(Atletas!L182="Tongbeiquan A",111,IF(Atletas!L182="Wudangquan A",112,IF(Atletas!L182="Outros Estilos A",113,IF(Atletas!L182="Chaquan B",114,IF(Atletas!L182="Emeiquan B",115,IF(Atletas!L182="Fanziquan B",116,IF(Atletas!L182="Huaquan B",117,IF(Atletas!L182="Hongquan B",118,IF(Atletas!L182="Paochui B",119,IF(Atletas!L182="Piguaquan B",120,IF(Atletas!L182="Shaolinquan B",121,IF(Atletas!L182="Tanglangquan B",122,IF(Atletas!L182="Yinzhaophai B",123,IF(Atletas!L182="Tongbeiquan B",124,IF(Atletas!L182="Wudangquan B",125,IF(Atletas!L182="Outros Estilos B",126,IF(Atletas!L182="Chaquan C",127,IF(Atletas!L182="Emeiquan C",128,IF(Atletas!L182="Fanziquan C",129,IF(Atletas!L182="Huaquan C",130,IF(Atletas!L182="Hongquan C",131,IF(Atletas!L182="Paochui C",132,IF(Atletas!L182="Piguaquan C",133,IF(Atletas!L182="Shaolinquan C",134,IF(Atletas!L182="Tanglangquan C",135,IF(Atletas!L182="Yinzhaophai C",136,IF(Atletas!L182="Tongbeiquan C",137,IF(Atletas!L182="Wudangquan C",138,IF(Atletas!L182="Outros Estilos C",139,0))))))))))))))))))))))))))))))))))))))))))</f>
        <v/>
      </c>
      <c r="BM186" s="52" t="str">
        <f>IF(Atletas!L182="","",IF(Atletas!W182&lt;&gt;"",10000,0)+(IF(Atletas!B182="Feminino",1000,IF(Atletas!B182="Masculino",2000,""))+(IF(Atletas!L182="Chaquan D",140,IF(Atletas!L182="Emeiquan D",141,IF(Atletas!L182="Fanziquan D",142,IF(Atletas!L182="Huaquan D",143,IF(Atletas!L182="Hongquan D",144,IF(Atletas!L182="Paochui D",145,IF(Atletas!L182="Piguaquan D",146,IF(Atletas!L182="Shaolinquan D",147,IF(Atletas!L182="Tanglangquan D",148,IF(Atletas!L182="Yinzhaophai D",149,IF(Atletas!L182="Tongbeiquan D",150,IF(Atletas!L182="Wudangquan D",151,IF(Atletas!L182="Outros Estilos D",152,IF(Atletas!L182="Chaquan E",153,IF(Atletas!L182="Emeiquan E",154,IF(Atletas!L182="Fanziquan E",155,IF(Atletas!L182="Huaquan E",156,IF(Atletas!L182="Hongquan E",157,IF(Atletas!L182="Paochui E",158,IF(Atletas!L182="Piguaquan E",159,IF(Atletas!L182="Shaolinquan E",160,IF(Atletas!L182="Tanglangquan E",161,IF(Atletas!L182="Yinzhaophai E",162,IF(Atletas!L182="Tongbeiquan E",163,IF(Atletas!L182="Wudangquan E",164,IF(Atletas!L182="Outros Estilos E",165,IF(Atletas!L182="Chaquan F",166,IF(Atletas!L182="Emeiquan F",167,IF(Atletas!L182="Fanziquan F",168,IF(Atletas!L182="Huaquan F",169,IF(Atletas!L182="Hongquan F",170,IF(Atletas!L182="Paochui F",171,IF(Atletas!L182="Piguaquan F",172,IF(Atletas!L182="Shaolinquan F",173,IF(Atletas!L182="Tanglangquan F",174,IF(Atletas!L182="Yinzhaophai F",175,IF(Atletas!L182="Tongbeiquan F",176,IF(Atletas!L182="Wudangquan F",177,IF(Atletas!L182="Outros Estilos F",178,0))))))))))))))))))))))))))))))))))))))))))</f>
        <v/>
      </c>
      <c r="BN186" s="52" t="str">
        <f>IF(Atletas!M182="","",IF(Atletas!W182&lt;&gt;"",10000,0)+(IF(Atletas!B182="Feminino",1000,IF(Atletas!B182="Masculino",2000,""))+(IF(Atletas!M182="Ditangquan A",201,IF(Atletas!M182="Houquan A",202,IF(Atletas!M182="Zuiquan A",203,IF(Atletas!M182="Ditangquan B",204,IF(Atletas!M182="Houquan B",205,IF(Atletas!M182="Zuiquan B",206,IF(Atletas!M182="Ditangquan C",207,IF(Atletas!M182="Houquan C",208,IF(Atletas!M182="Zuiquan C",209,IF(Atletas!M182="Ditangquan D",210,IF(Atletas!M182="Houquan D",211,IF(Atletas!M182="Zuiquan D",212,IF(Atletas!M182="Ditangquan E",213,IF(Atletas!M182="Houquan E",214,IF(Atletas!M182="Zuiquan E",215,IF(Atletas!M182="Ditangquan F",216,IF(Atletas!M182="Houquan F",217,IF(Atletas!M182="Zuiquan F",218,"")))))))))))))))))))))</f>
        <v/>
      </c>
      <c r="BO186" s="52" t="str">
        <f>IF(Atletas!N182="","",IF(Atletas!W182&lt;&gt;"",10000,0)+IF(Atletas!B182="Feminino",1000,IF(Atletas!B182="Masculino",2000,""))+IF(Atletas!N182="Yang A",301,IF(Atletas!N182="Chen A",30,IF(Atletas!N182="Sun A",303,IF(Atletas!N182="Wu A",304,IF(Atletas!N182="Wu-Hao A",305,IF(Atletas!N182="Outro Taijiquan A",306,IF(Atletas!N182="Yang B",307,IF(Atletas!N182="Chen B",308,IF(Atletas!N182="Sun B",309,IF(Atletas!N182="Wu B",310,IF(Atletas!N182="Wu-Hao B",311,IF(Atletas!N182="Outro Taijiquan B",312,IF(Atletas!N182="Yang C",313,IF(Atletas!N182="Chen C",314,IF(Atletas!N182="Sun C",315,IF(Atletas!N182="Wu C",316,IF(Atletas!N182="Wu-Hao C",317,IF(Atletas!N182="Outro Taijiquan C",318,IF(Atletas!N182="Yang D",319,IF(Atletas!N182="Chen D",320,IF(Atletas!N182="Sun D",321,IF(Atletas!N182="Wu D",322,IF(Atletas!N182="Wu-Hao D",323,IF(Atletas!N182="Outro Taijiquan D",324,IF(Atletas!N182="Yang E",325,IF(Atletas!N182="Chen E",326,IF(Atletas!N182="Sun E",327,IF(Atletas!N182="Wu E",328,IF(Atletas!N182="Wu-Hao E",329,IF(Atletas!N182="Outro Taijiquan E",330,IF(Atletas!N182="Yang F",331,IF(Atletas!N182="Chen F",332,IF(Atletas!N182="Sun F",333,IF(Atletas!N182="Wu F",334,IF(Atletas!N182="Wu-Hao F",335,IF(Atletas!N182="Outro Taijiquan F",336,"")))))))))))))))))))))))))))))))))))))</f>
        <v/>
      </c>
      <c r="BP186" s="52" t="str">
        <f>IF(Atletas!O182="","",IF(Atletas!W182&lt;&gt;"",10000,0)+IF(Atletas!B182="Feminino",1000,IF(Atletas!B182="Masculino",2000,""))+IF(OR(Atletas!O182="Yang 26 A",Atletas!O182="Yang 40 A"),401,IF(OR(Atletas!O182="Chen 25 A",Atletas!O182="Chen 36 A",Atletas!O182="Chen 56 A"),402,IF(Atletas!O182="Sun 73 A",403,IF(Atletas!O182="Wu 45 A",404,IF(Atletas!O182="Wu-Hao 46 A",405,IF(OR(Atletas!O182="Taijiquan 16 A",Atletas!O182="Taijiquan 24 A",Atletas!O182="Taijiquan 32 A",Atletas!O182="Taijiquan 42 A"),406,IF(OR(Atletas!O182="Yang 26 B",Atletas!O182="Yang 40 B"),407,IF(OR(Atletas!O182="Chen 25 B",Atletas!O182="Chen 36 B",Atletas!O182="Chen 56 B"),408,IF(Atletas!O182="Sun 73 B",409,IF(Atletas!O182="Wu 45 B",410,IF(Atletas!O182="Wu-Hao 46 B",411,IF(OR(Atletas!O182="Taijiquan 16 B",Atletas!O182="Taijiquan 24 B",Atletas!O182="Taijiquan 32 B",Atletas!O182="Taijiquan 42 B"),412,IF(OR(Atletas!O182="Yang 26 C",Atletas!O182="Yang 40 C"),413,IF(OR(Atletas!O182="Chen 25 C",Atletas!O182="Chen 36 C",Atletas!O182="Chen 56 C"),414,IF(Atletas!O182="Sun 73 C",415,IF(Atletas!O182="Wu 45 C",416,IF(Atletas!O182="Wu-Hao 46 C",417,IF(OR(Atletas!O182="Taijiquan 16 C",Atletas!O182="Taijiquan 24 C",Atletas!O182="Taijiquan 32 C",Atletas!O182="Taijiquan 42 C"),418,0)))))))))))))))))))</f>
        <v/>
      </c>
      <c r="BQ186" s="52" t="str">
        <f>IF(Atletas!O182="","",IF(Atletas!W182&lt;&gt;"",10000,0)+IF(Atletas!B182="Feminino",1000,IF(Atletas!B182="Masculino",2000,""))+IF(OR(Atletas!O182="Yang 26 D",Atletas!O182="Yang 40 D"),419,IF(OR(Atletas!O182="Chen 25 D",Atletas!O182="Chen 36 D",Atletas!O182="Chen 56 D"),420,IF(Atletas!O182="Sun 73 D",421,IF(Atletas!O182="Wu 45 D",422,IF(Atletas!O182="Wu-Hao 46 D",423,IF(OR(Atletas!O182="Taijiquan 16 D",Atletas!O182="Taijiquan 24 D",Atletas!O182="Taijiquan 32 D",Atletas!O182="Taijiquan 42 D"),424,IF(OR(Atletas!O182="Yang 26 E",Atletas!O182="Yang 40 E"),425,IF(OR(Atletas!O182="Chen 25 E",Atletas!O182="Chen 36 E",Atletas!O182="Chen 56 E"),426,IF(Atletas!O182="Sun 73 E",427,IF(Atletas!O182="Wu 45 E",428,IF(Atletas!O182="Wu-Hao 46 E",429,IF(OR(Atletas!O182="Taijiquan 16 E",Atletas!O182="Taijiquan 24 E",Atletas!O182="Taijiquan 32 E",Atletas!O182="Taijiquan 42 E"),430,IF(OR(Atletas!O182="Yang 26 F",Atletas!O182="Yang 40 F"),431,IF(OR(Atletas!O182="Chen 25 F",Atletas!O182="Chen 36 F",Atletas!O182="Chen 56 F"),432,IF(Atletas!O182="Sun 73 F",433,IF(Atletas!O182="Wu 45 F",434,IF(Atletas!O182="Wu-Hao 46 F",435,IF(OR(Atletas!O182="Taijiquan 16 F",Atletas!O182="Taijiquan 24 F",Atletas!O182="Taijiquan 32 F",Atletas!O182="Taijiquan 42 F"),436,0)))))))))))))))))))</f>
        <v/>
      </c>
      <c r="BR186" s="52" t="str">
        <f>IF(Atletas!P182="","",IF(Atletas!W182&lt;&gt;"",10000,0)+IF(Atletas!B182="Feminino",1000,IF(Atletas!B182="Masculino",2000,""))+IF(Atletas!P182="Xingyiquan A",501,IF(Atletas!P182="Baguazhang A",502,IF(Atletas!P182="Outro Estilo Interno A",503,IF(Atletas!P182="Xingyiquan B",504,IF(Atletas!P182="Baguazhang B",505,IF(Atletas!P182="Outro Estilo Interno B",506,IF(Atletas!P182="Xingyiquan C",507,IF(Atletas!P182="Baguazhang C",508,IF(Atletas!P182="Outro Estilo Interno C",509,IF(Atletas!P182="Xingyiquan D",510,IF(Atletas!P182="Baguazhang D",511,IF(Atletas!P182="Outro Estilo Interno D",512,IF(Atletas!P182="Xingyiquan E",513,IF(Atletas!P182="Baguazhang E",514,IF(Atletas!P182="Outro Estilo Interno E",515,IF(Atletas!P182="Xingyiquan F",516,IF(Atletas!P182="Baguazhang F",517,IF(Atletas!P182="Outro Estilo Interno F",518, "")))))))))))))))))))</f>
        <v/>
      </c>
      <c r="BS186" s="52" t="str">
        <f>IF(Atletas!Q182="","",IF(Atletas!W182&lt;&gt;"",10000,0)+IF(Atletas!B182="Feminino",1000,IF(Atletas!B182="Masculino",2000,""))+IF(Atletas!Q182="Dao A",601,IF(Atletas!Q182="Jian A",602,IF(Atletas!Q182="Bishou A",603,IF(Atletas!Q182="Shan A",604,IF(Atletas!Q182="Outra Arma Curta A",605,IF(Atletas!Q182="Dao B",606,IF(Atletas!Q182="Jian B",607,IF(Atletas!Q182="Bishou B",608,IF(Atletas!Q182="Shan B",609,IF(Atletas!Q182="Outra Arma Curta B",610,IF(Atletas!Q182="Dao C",611,IF(Atletas!Q182="Jian C",612,IF(Atletas!Q182="Bishou C",613,IF(Atletas!Q182="Shan C",614,IF(Atletas!Q182="Outra Arma Curta C",615,IF(Atletas!Q182="Dao D",616,IF(Atletas!Q182="Jian D",617,IF(Atletas!Q182="Bishou D",618,IF(Atletas!Q182="Shan D",619,IF(Atletas!Q182="Outra Arma Curta D",620,IF(Atletas!Q182="Dao E",621,IF(Atletas!Q182="Jian E",622,IF(Atletas!Q182="Bishou E",623,IF(Atletas!Q182="Shan E",624,IF(Atletas!Q182="Outra Arma Curta E",625,IF(Atletas!Q182="Dao F",626,IF(Atletas!Q182="Jian F",627,IF(Atletas!Q182="Bishou F",628,IF(Atletas!Q182="Shan F",629,IF(Atletas!Q182="Outra Arma Curta F",630, "")))))))))))))))))))))))))))))))</f>
        <v/>
      </c>
      <c r="BT186" s="52" t="str">
        <f>IF(Atletas!R182="","",IF(Atletas!W182&lt;&gt;"",10000,0)+IF(Atletas!B182="Feminino",1000,IF(Atletas!B182="Masculino",2000,""))+IF(Atletas!R182="Gun A",701,IF(Atletas!R182="Qiang A",702,IF(Atletas!R182="Pudao / Guandao A",703,IF(Atletas!R182="Outra Arma Longa A",704,IF(Atletas!R182="Gun B",705,IF(Atletas!R182="Qiang B",706,IF(Atletas!R182="Pudao / Guandao B",707,IF(Atletas!R182="Outra Arma Longa B",708,IF(Atletas!R182="Gun C",709,IF(Atletas!R182="Qiang C",710,IF(Atletas!R182="Pudao / Guandao C",711,IF(Atletas!R182="Outra Arma Longa C",712,IF(Atletas!R182="Gun D",713,IF(Atletas!R182="Qiang D",714,IF(Atletas!R182="Pudao / Guandao D",715,IF(Atletas!R182="Outra Arma Longa D",716,IF(Atletas!R182="Gun E",717,IF(Atletas!R182="Qiang E",718,IF(Atletas!R182="Pudao / Guandao E",719,IF(Atletas!R182="Outra Arma Longa E",720,IF(Atletas!R182="Gun F",721,IF(Atletas!R182="Qiang F",722,IF(Atletas!R182="Pudao / Guandao F",723,IF(Atletas!R182="Outra Arma Longa F",724,"")))))))))))))))))))))))))</f>
        <v/>
      </c>
      <c r="BU186" s="52" t="str">
        <f>IF(Atletas!S182="","",IF(Atletas!W182&lt;&gt;"",10000,0)+IF(Atletas!B182="Feminino",1000,IF(Atletas!B182="Masculino",2000,""))+IF(Atletas!S182="Arma Dupla A",801,IF(Atletas!S182="Arma Maleável A",802,IF(Atletas!S182="Arma Dupla B",803,IF(Atletas!S182="Arma Maleável B",804,IF(Atletas!S182="Arma Dupla C",805,IF(Atletas!S182="Arma Maleável C",806,IF(Atletas!S182="Arma Dupla D",807,IF(Atletas!S182="Arma Maleável D",808,IF(Atletas!S182="Arma Dupla E",809,IF(Atletas!S182="Arma Maleável E",810,IF(Atletas!S182="Arma Dupla F",811,IF(Atletas!S182="Arma Maleável F",812, "")))))))))))))</f>
        <v/>
      </c>
      <c r="BV186" s="52" t="str">
        <f>IF(Atletas!T182="","",IF(Atletas!W182&lt;&gt;"",10000,0)+IF(Atletas!B182="Feminino",1000,IF(Atletas!B182="Masculino",2000,""))+IF(Atletas!T182="Taijijian Yang A",901,IF(Atletas!T182="Taijijian Chen A",902,IF(Atletas!T182="Taijijian Sun A",903,IF(Atletas!T182="Taijijian Wu A",904,IF(Atletas!T182="Taijijian Wu-Hao A",905,IF(Atletas!T182="Taijijian 32 A",906,IF(Atletas!T182="Taijijian 42 A",907,IF(Atletas!T182="Taijijian Yang B",908,IF(Atletas!T182="Taijijian Chen B",909,IF(Atletas!T182="Taijijian Sun B",910,IF(Atletas!T182="Taijijian Wu B",911,IF(Atletas!T182="Taijijian Wu-Hao B",912,IF(Atletas!T182="Taijijian 32 B",913,IF(Atletas!T182="Taijijian 42 B",914,IF(Atletas!T182="Taijijian Yang C",915,IF(Atletas!T182="Taijijian Chen C",916,IF(Atletas!T182="Taijijian Sun C",917,IF(Atletas!T182="Taijijian Wu C",918,IF(Atletas!T182="Taijijian Wu-Hao C",919,IF(Atletas!T182="Taijijian 32 C",920,IF(Atletas!T182="Taijijian 42 C",921,IF(Atletas!T182="Taijijian Yang D",922,IF(Atletas!T182="Taijijian Chen D",923,IF(Atletas!T182="Taijijian Sun D",924,IF(Atletas!T182="Taijijian Wu D",925,IF(Atletas!T182="Taijijian Wu-Hao D",926,IF(Atletas!T182="Taijijian 32 D",927,IF(Atletas!T182="Taijijian 42 D",928,IF(Atletas!T182="Taijijian Yang E",929,IF(Atletas!T182="Taijijian Chen E",930,IF(Atletas!T182="Taijijian Sun E",931,IF(Atletas!T182="Taijijian Wu E",932,IF(Atletas!T182="Taijijian Wu-Hao E",933,IF(Atletas!T182="Taijijian 32 E",934,IF(Atletas!T182="Taijijian 42 E",935,IF(Atletas!T182="Taijijian Yang F",936,IF(Atletas!T182="Taijijian Chen F",937,IF(Atletas!T182="Taijijian Sun F",938,IF(Atletas!T182="Taijijian Wu F",939,IF(Atletas!T182="Taijijian Wu-Hao F",940,IF(Atletas!T182="Taijijian 32 F",941,IF(Atletas!T182="Taijijian 42 F",942,"")))))))))))))))))))))))))))))))))))))))))))</f>
        <v/>
      </c>
      <c r="BW186" s="52" t="str">
        <f>IF(Atletas!U182="","",IF(Atletas!W182&lt;&gt;"",10000,0)+IF(Atletas!B182="Feminino",1000,IF(Atletas!B182="Masculino",2000,""))+IF(Atletas!T182="Taijijian 42 F",942,IF(Atletas!U182="Taijidao A",943,IF(Atletas!U182="Taijishan A",944,IF(Atletas!U182="Taijiqiang A",945,IF(Atletas!U182="Taijidao B",946,IF(Atletas!U182="Taijishan B",947,IF(Atletas!U182="Taijiqiang B",948,IF(Atletas!U182="Taijidao C",949,IF(Atletas!U182="Taijishan C",950,IF(Atletas!U182="Taijiqiang C",951,IF(Atletas!U182="Taijidao D",952,IF(Atletas!U182="Taijishan D",953,IF(Atletas!U182="Taijiqiang D",954,IF(Atletas!U182="Taijidao E",955,IF(Atletas!U182="Taijishan E",956,IF(Atletas!U182="Taijiqiang E",957,IF(Atletas!U182="Taijidao F",958,IF(Atletas!U182="Taijishan F",959,IF(Atletas!U182="Taijiqiang F",960))))))))))))))))))))</f>
        <v/>
      </c>
      <c r="BX186" s="72" t="str">
        <f>IF(BY186&lt;&gt;"","TJQ Padr. Combinado C","")</f>
        <v/>
      </c>
      <c r="BY186" s="72" t="str">
        <f>IF(COUNTIF(BK:BW,1418)&gt;0,COUNTIF(BK:BW,1418),"")</f>
        <v/>
      </c>
      <c r="BZ186" s="72" t="str">
        <f>IF(CA186&lt;&gt;"","TJQ Padr. Combinado C","")</f>
        <v/>
      </c>
      <c r="CA186" s="72" t="str">
        <f>IF(COUNTIF(BK:BW,2418)&gt;0,COUNTIF(BK:BW,2418),"")</f>
        <v/>
      </c>
      <c r="CB186" s="72" t="str">
        <f>IF(CC186&lt;&gt;"","Yang Novo B","")</f>
        <v/>
      </c>
      <c r="CC186" s="64" t="str">
        <f>IF(COUNTIF(BK:BW,11418)&gt;0,COUNTIF(BK:BW,11418),"")</f>
        <v/>
      </c>
      <c r="CD186" s="64" t="str">
        <f>IF(CE186&lt;&gt;"","Yang Novo B","")</f>
        <v/>
      </c>
      <c r="CE186" s="64" t="str">
        <f>IF(COUNTIF(BK:BW,12418)&gt;0,COUNTIF(BK:BW,12418),"")</f>
        <v/>
      </c>
      <c r="CF186" s="52" t="str">
        <f xml:space="preserve"> IF(Atletas!V182="","",IF(Atletas!V182="Duilian de Mãos AB - Equipe 1",1,IF(Atletas!V182="Duilian de Mãos AB - Equipe 2",2,IF(Atletas!V182="Duilian de Armas AB - Equipe 1",3,IF(Atletas!V182="Duilian de Armas AB - Equipe 2",4,IF(Atletas!V182="Duilian de Tuishou - Equipe 1",5,IF(Atletas!V182="Duilian de Tuishou - Equipe 2",6,IF(Atletas!V182="Grupo Externo AB - Equipe 1",7,IF(Atletas!V182="Grupo Externo AB - Equipe 2",8,IF(Atletas!V182="Grupo Interno AB - Equipe 1",9,IF(Atletas!V182="Grupo Interno AB - Equipe 2",10,IF(Atletas!V182="Duilian de Mãos CD - Equipe 1",11,IF(Atletas!V182="Duilian de Mãos CD - Equipe 2",12,IF(Atletas!V182="Duilian de Armas CD - Equipe 1",13,IF(Atletas!V182="Duilian de Armas CD - Equipe 2",14,IF(Atletas!V182="Duilian de Tuishou - Equipe 1",15,IF(Atletas!V182="Duilian de Tuishou - Equipe 2",16,IF(Atletas!V182="Grupo Externo CDEF - Equipe 1",17,IF(Atletas!V182="Grupo Externo CDEF - Equipe 2",18,IF(Atletas!V182="Grupo Interno CDEF - Equipe 1",19,IF(Atletas!V182="Grupo Interno CDEF - Equipe 2",20,IF(Atletas!V182="Duilian de Mãos EF - Equipe 1",21,IF(Atletas!V182="Duilian de Mãos EF - Equipe 2",22,IF(Atletas!V182="Duilian de Armas EF - Equipe 1",23,IF(Atletas!V182="Duilian de Armas EF - Equipe 2",24,IF(Atletas!V182="Duilian de Tuishou - Equipe 1",25,IF(Atletas!V182="Duilian de Tuishou - Equipe 2",26,"")))))))))))))))))))))))))))</f>
        <v/>
      </c>
    </row>
    <row r="187" spans="2:84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 t="str">
        <f t="array" ref="V187">IFERROR(INDEX(BX$7:BX$336,SMALL(IF(BX$7:BX$336&lt;&gt;"",ROW(BX$7:BX$336)-ROW(BX$7)+1),ROWS(BX$7:BX186))),"")</f>
        <v/>
      </c>
      <c r="W187" s="4" t="str">
        <f t="array" ref="W187">IFERROR(INDEX(BY$7:BY$336,SMALL(IF(BY$7:BY$336&lt;&gt;"",ROW(BY$7:BY$336)-ROW(BY$7)+1),ROWS(BY$7:BY186))),"")</f>
        <v/>
      </c>
      <c r="X187" s="4" t="str">
        <f t="array" ref="X187">IFERROR(INDEX(BZ$7:BZ$336,SMALL(IF(BZ$7:BZ$336&lt;&gt;"",ROW(BZ$7:BZ$336)-ROW(BZ$7)+1),ROWS(BZ$7:BZ186))),"")</f>
        <v/>
      </c>
      <c r="Y187" s="4" t="str">
        <f t="array" ref="Y187">IFERROR(INDEX(CA$7:CA$336,SMALL(IF(CA$7:CA$336&lt;&gt;"",ROW(CA$7:CA$336)-ROW(CA$7)+1),ROWS(CA$7:CA186))),"")</f>
        <v/>
      </c>
      <c r="Z187" s="4" t="str">
        <f t="array" ref="Z187">IFERROR(INDEX(CB$7:CB$378,SMALL(IF(CB$7:CB$378&lt;&gt;"",ROW(CB$7:CB$378)-ROW(CB$7)+1),ROWS(CB$7:CB186))),"")</f>
        <v/>
      </c>
      <c r="AA187" s="4" t="str">
        <f t="array" ref="AA187">IFERROR(INDEX(CC$7:CC$378,SMALL(IF(CC$7:CC$378&lt;&gt;"",ROW(CC$7:CC$378)-ROW(CC$7)+1),ROWS(CC$7:CC186))),"")</f>
        <v/>
      </c>
      <c r="AB187" s="4" t="str">
        <f t="array" ref="AB187">IFERROR(INDEX(CD$7:CD$378,SMALL(IF(CD$7:CD$378&lt;&gt;"",ROW(CD$7:CD$378)-ROW(CD$7)+1),ROWS(CD$7:CD186))),"")</f>
        <v/>
      </c>
      <c r="AC187" s="4" t="str">
        <f t="array" ref="AC187">IFERROR(INDEX(CE$7:CE$378,SMALL(IF(CE$7:CE$378&lt;&gt;"",ROW(CE$7:CE$378)-ROW(CE$7)+1),ROWS(CE$7:CE186))),"")</f>
        <v/>
      </c>
      <c r="AD187" s="4"/>
      <c r="AE187" s="4"/>
      <c r="AF187" s="4"/>
      <c r="AG187" s="4"/>
      <c r="AH187" s="4"/>
      <c r="AI187" s="4"/>
      <c r="AJ187" s="46" t="str">
        <f>IF(Atletas!D183="","",IF(Atletas!B183="Feminino",100,IF(Atletas!B183="Masculino",200,""))+(IF(Atletas!D183="Infantil 39kg",1,IF(Atletas!D183="Infantil 42kg",2,IF(Atletas!D183="Infantil 45kg",3,IF(Atletas!D183="Infantil 48kg",4,IF(Atletas!D183="Infantil 52kg",5,IF(Atletas!D183="Infantil 56kg",6,IF(Atletas!D183="Infantil 60kg",7,IF(Atletas!D183="Juvenil 48kg",8,IF(Atletas!D183="Juvenil 52kg",9,IF(Atletas!D183="Juvenil 56kg",10,IF(Atletas!D183="Juvenil 60kg",11,IF(Atletas!D183="Juvenil 65kg",12,IF(Atletas!D183="Juvenil 70kg",13,IF(Atletas!D183="Juvenil 75kg",14,IF(Atletas!D183="Juvenil 80kg",15,IF(Atletas!D183="Adulto 48kg",16,IF(Atletas!D183="Adulto 52kg",17,IF(Atletas!D183="Adulto 56kg",18,IF(Atletas!D183="Adulto 60kg",19,IF(Atletas!D183="Adulto 65kg",20,IF(Atletas!D183="Adulto 70kg",21,IF(Atletas!D183="Adulto 75kg",22,IF(Atletas!D183="Adulto 80kg",23,IF(Atletas!D183="Adulto 85kg",24,IF(Atletas!D183="Adulto 90kg",25,IF(Atletas!D183="Adulto +90kg",26,""))))))))))))))))))))))))))))</f>
        <v/>
      </c>
      <c r="AO187" s="10" t="str">
        <f>IF(Atletas!E183="","",IF(Atletas!B183="Feminino",100,IF(Atletas!B183="Masculino",200,""))+(IF(Atletas!E183="Juvenil 44kg",1,IF(Atletas!E183="Juvenil 48kg",2,IF(Atletas!E183="Juvenil 52kg",3,IF(Atletas!E183="Juvenil 56kg",4,IF(Atletas!E183="Juvenil 60kg",5,IF(Atletas!E183="Juvenil 65kg",6,IF(Atletas!E183="Juvenil 70kg",7,IF(Atletas!E183="Juvenil 75kg",8,IF(Atletas!E183="Juvenil 82kg",9,IF(Atletas!E183="Juvenil 90kg",10,IF(Atletas!E183="Juvenil 100kg",11,IF(Atletas!E183="Adulto 48kg",12,IF(Atletas!E183="Adulto 52kg",13,IF(Atletas!E183="Adulto 56kg",14,IF(Atletas!E183="Adulto 60kg",15,IF(Atletas!E183="Adulto 65kg",16,IF(Atletas!E183="Adulto 70kg",17,IF(Atletas!E183="Adulto 75kg",18,IF(Atletas!E183="Adulto 82kg",19,IF(Atletas!E183="Adulto 90kg",20,IF(Atletas!E183="Adulto 100kg",21,IF(Atletas!E183="Adulto +100kg",22,""))))))))))))))))))))))))</f>
        <v/>
      </c>
      <c r="AT187" s="10" t="str">
        <f>IF(Atletas!F183="","",IF(Atletas!B183="Feminino",100,IF(Atletas!B183="Masculino",200,""))+(IF(Atletas!F183="Adulto 48kg",1,IF(Atletas!F183="Adulto 56kg",2,IF(Atletas!F183="Adulto 65kg",3,IF(Atletas!F183="Adulto 75kg",4,IF(Atletas!F183="Adulto +75kg",5,IF(Atletas!F183="Adulto 52kg",6,IF(Atletas!F183="Adulto 60kg",7,IF(Atletas!F183="Adulto 70kg",8,IF(Atletas!F183="Adulto 80kg",9,IF(Atletas!F183="Adulto 90kg",10,IF(Atletas!F183="Adulto +90kg",11,"")))))))))))))</f>
        <v/>
      </c>
      <c r="AY187" s="46" t="str">
        <f>IF(Atletas!G183="","",IF(Atletas!B183="Feminino",100,IF(Atletas!B183="Masculino",200,""))+(IF(Atletas!G183="Changquan Mirim",1,IF(Atletas!G183="Nanquan Mirim",2,IF(Atletas!G183="Taijiquan Mirim",3,IF(Atletas!G183="Changquan Grupo C",4,IF(Atletas!G183="Nanquan Grupo C",5,IF(Atletas!G183="Taijiquan Grupo C",6,IF(Atletas!G183="Changquan Grupo B",7,IF(Atletas!G183="Nanquan Grupo B",8,IF(Atletas!G183="Taijiquan Grupo B",9,IF(Atletas!G183="Changquan Grupo A",10,IF(Atletas!G183="Nanquan Grupo A",11,IF(Atletas!G183="Taijiquan Grupo A",12,IF(Atletas!G183="Changquan Opcional",13,IF(Atletas!G183="Nanquan Opcional",14,IF(Atletas!G183="Taijiquan Opcional",15,IF(Atletas!G183="Changquan Adulto",16,IF(Atletas!G183="Nanquan Adulto",17,IF(Atletas!G183="Taijiquan Adulto",18,""))))))))))))))))))))</f>
        <v/>
      </c>
      <c r="AZ187" s="46" t="str">
        <f>IF(Atletas!H183="","",IF(Atletas!B183="Feminino",100,IF(Atletas!B183="Masculino",200,""))+(IF(Atletas!H183="Daoshu Mirim",19,IF(Atletas!H183="Jianshu Mirim",20,IF(Atletas!H183="Nandao Mirim",21,IF(Atletas!H183="Taijijian Mirim",22,IF(Atletas!H183="Daoshu Grupo C",23,IF(Atletas!H183="Jianshu Grupo C",24,IF(Atletas!H183="Nandao Grupo C",25,IF(Atletas!H183="Taijijian Grupo C",26,IF(Atletas!H183="Daoshu Grupo B",27,IF(Atletas!H183="Jianshu Grupo B",28,IF(Atletas!H183="Nandao Grupo B",29,IF(Atletas!H183="Taijijian Grupo B",30,IF(Atletas!H183="Daoshu Grupo A",31,IF(Atletas!H183="Jianshu Grupo A",32,IF(Atletas!H183="Nandao Grupo A",33,IF(Atletas!H183="Taijijian Grupo A",34,IF(Atletas!H183="Daoshu Opcional",35,IF(Atletas!H183="Jianshu Opcional",36,IF(Atletas!H183="Nandao Opcional",37,IF(Atletas!H183="Taijijian Opcional",38,IF(Atletas!H183="Daoshu Adulto",39,IF(Atletas!H183="Jianshu Adulto",40,IF(Atletas!H183="Nandao Adulto",41,IF(Atletas!H183="Taijijian Adulto",42,""))))))))))))))))))))))))))</f>
        <v/>
      </c>
      <c r="BA187" s="46" t="str">
        <f>IF(Atletas!I183="","",IF(Atletas!B183="Feminino",100,IF(Atletas!B183="Masculino",200,""))+(IF(Atletas!I183="Gunshu Mirim",43,IF(Atletas!I183="Qiangshu Mirim",44,IF(Atletas!I183="Nangun Mirim",45,IF(Atletas!I183="Gunshu Grupo C",46,IF(Atletas!I183="Qiangshu Grupo C",47,IF(Atletas!I183="Nangun Grupo C",48,IF(Atletas!I183="Gunshu Grupo B",49,IF(Atletas!I183="Qiangshu Grupo B",50,IF(Atletas!I183="Nangun Grupo B",51,IF(Atletas!I183="Gunshu Grupo A",52,IF(Atletas!I183="Qiangshu Grupo A",53,IF(Atletas!I183="Nangun Grupo A",54,IF(Atletas!I183="Gunshu Opcional",55,IF(Atletas!I183="Qiangshu Opcional",56,IF(Atletas!I183="Nangun Opcional",57,IF(Atletas!I183="Gunshu Adulto",58,IF(Atletas!I183="Qiangshu Adulto",59,IF(Atletas!I183="Nangun Adulto",60,""))))))))))))))))))))</f>
        <v/>
      </c>
      <c r="BF187" s="52" t="str">
        <f>IF(Atletas!J183="","",IF(Atletas!B183="Feminino",100,IF(Atletas!B183="Masculino",200,""))+(IF(Atletas!J183="Equipe 1 Grupo B",1,IF(Atletas!J183="Equipe 2 Grupo B",2,IF(Atletas!J183="Equipe 1 Grupo A",3,IF(Atletas!J183="Equipe 2 Grupo A",4,IF(Atletas!J183="Equipe 1 Adulto",5,IF(Atletas!J183="Equipe 2 Adulto",6,""))))))))</f>
        <v/>
      </c>
      <c r="BK187" s="52" t="str">
        <f>IF(Atletas!K183="","",IF(Atletas!W183&lt;&gt;"",10000,0)+(IF(Atletas!B183="Feminino",1000,IF(Atletas!B183="Masculino",2000,""))+IF(Atletas!K183="Choylayfut A",1,IF(Atletas!K183="Hunggar A",2,IF(Atletas!K183="Wuzuquan A",3,IF(Atletas!K183="Wingchun A",4,IF(Atletas!K183="Outra Mão de Sul A",5,IF(Atletas!K183="Choylayfut B",6,IF(Atletas!K183="Hunggar B",7,IF(Atletas!K183="Wuzuquan B",8,IF(Atletas!K183="Wingchun B",9,IF(Atletas!K183="Outra Mão de Sul B",10,IF(Atletas!K183="Choylayfut C",11,IF(Atletas!K183="Hunggar C",12,IF(Atletas!K183="Wuzuquan C",13,IF(Atletas!K183="Wingchun C",14,IF(Atletas!K183="Outra Mão de Sul C",15,IF(Atletas!K183="Choylayfut D",16,IF(Atletas!K183="Hunggar D",17,IF(Atletas!K183="Wuzuquan D",18,IF(Atletas!K183="Wingchun D",19,IF(Atletas!K183="Outra Mão de Sul D",20,IF(Atletas!K183="Choylayfut E",21,IF(Atletas!K183="Hunggar E",22,IF(Atletas!K183="Wuzuquan E",23,IF(Atletas!K183="Wingchun E",24,IF(Atletas!K183="Outra Mão de Sul E",25,IF(Atletas!K183="Choylayfut F",26,IF(Atletas!K183="Hunggar F",27,IF(Atletas!K183="Wuzuquan F",28,IF(Atletas!K183="Wingchun F",29,IF(Atletas!K183="Outra Mão de Sul F",30,""))))))))))))))))))))))))))))))))</f>
        <v/>
      </c>
      <c r="BL187" s="52" t="str">
        <f>IF(Atletas!L183="","",IF(Atletas!W183&lt;&gt;"",10000,0)+(IF(Atletas!B183="Feminino",1000,IF(Atletas!B183="Masculino",2000,""))+(IF(Atletas!L183="Chaquan A",101,IF(Atletas!L183="Emeiquan A",102,IF(Atletas!L183="Fanziquan A",103,IF(Atletas!L183="Huaquan A",104,IF(Atletas!L183="Hongquan A",105,IF(Atletas!L183="Paochui A",106,IF(Atletas!L183="Piguaquan A",107,IF(Atletas!L183="Shaolinquan A",108,IF(Atletas!L183="Tanglangquan A",109,IF(Atletas!L183="Yinzhaophai A",110,IF(Atletas!L183="Tongbeiquan A",111,IF(Atletas!L183="Wudangquan A",112,IF(Atletas!L183="Outros Estilos A",113,IF(Atletas!L183="Chaquan B",114,IF(Atletas!L183="Emeiquan B",115,IF(Atletas!L183="Fanziquan B",116,IF(Atletas!L183="Huaquan B",117,IF(Atletas!L183="Hongquan B",118,IF(Atletas!L183="Paochui B",119,IF(Atletas!L183="Piguaquan B",120,IF(Atletas!L183="Shaolinquan B",121,IF(Atletas!L183="Tanglangquan B",122,IF(Atletas!L183="Yinzhaophai B",123,IF(Atletas!L183="Tongbeiquan B",124,IF(Atletas!L183="Wudangquan B",125,IF(Atletas!L183="Outros Estilos B",126,IF(Atletas!L183="Chaquan C",127,IF(Atletas!L183="Emeiquan C",128,IF(Atletas!L183="Fanziquan C",129,IF(Atletas!L183="Huaquan C",130,IF(Atletas!L183="Hongquan C",131,IF(Atletas!L183="Paochui C",132,IF(Atletas!L183="Piguaquan C",133,IF(Atletas!L183="Shaolinquan C",134,IF(Atletas!L183="Tanglangquan C",135,IF(Atletas!L183="Yinzhaophai C",136,IF(Atletas!L183="Tongbeiquan C",137,IF(Atletas!L183="Wudangquan C",138,IF(Atletas!L183="Outros Estilos C",139,0))))))))))))))))))))))))))))))))))))))))))</f>
        <v/>
      </c>
      <c r="BM187" s="52" t="str">
        <f>IF(Atletas!L183="","",IF(Atletas!W183&lt;&gt;"",10000,0)+(IF(Atletas!B183="Feminino",1000,IF(Atletas!B183="Masculino",2000,""))+(IF(Atletas!L183="Chaquan D",140,IF(Atletas!L183="Emeiquan D",141,IF(Atletas!L183="Fanziquan D",142,IF(Atletas!L183="Huaquan D",143,IF(Atletas!L183="Hongquan D",144,IF(Atletas!L183="Paochui D",145,IF(Atletas!L183="Piguaquan D",146,IF(Atletas!L183="Shaolinquan D",147,IF(Atletas!L183="Tanglangquan D",148,IF(Atletas!L183="Yinzhaophai D",149,IF(Atletas!L183="Tongbeiquan D",150,IF(Atletas!L183="Wudangquan D",151,IF(Atletas!L183="Outros Estilos D",152,IF(Atletas!L183="Chaquan E",153,IF(Atletas!L183="Emeiquan E",154,IF(Atletas!L183="Fanziquan E",155,IF(Atletas!L183="Huaquan E",156,IF(Atletas!L183="Hongquan E",157,IF(Atletas!L183="Paochui E",158,IF(Atletas!L183="Piguaquan E",159,IF(Atletas!L183="Shaolinquan E",160,IF(Atletas!L183="Tanglangquan E",161,IF(Atletas!L183="Yinzhaophai E",162,IF(Atletas!L183="Tongbeiquan E",163,IF(Atletas!L183="Wudangquan E",164,IF(Atletas!L183="Outros Estilos E",165,IF(Atletas!L183="Chaquan F",166,IF(Atletas!L183="Emeiquan F",167,IF(Atletas!L183="Fanziquan F",168,IF(Atletas!L183="Huaquan F",169,IF(Atletas!L183="Hongquan F",170,IF(Atletas!L183="Paochui F",171,IF(Atletas!L183="Piguaquan F",172,IF(Atletas!L183="Shaolinquan F",173,IF(Atletas!L183="Tanglangquan F",174,IF(Atletas!L183="Yinzhaophai F",175,IF(Atletas!L183="Tongbeiquan F",176,IF(Atletas!L183="Wudangquan F",177,IF(Atletas!L183="Outros Estilos F",178,0))))))))))))))))))))))))))))))))))))))))))</f>
        <v/>
      </c>
      <c r="BN187" s="52" t="str">
        <f>IF(Atletas!M183="","",IF(Atletas!W183&lt;&gt;"",10000,0)+(IF(Atletas!B183="Feminino",1000,IF(Atletas!B183="Masculino",2000,""))+(IF(Atletas!M183="Ditangquan A",201,IF(Atletas!M183="Houquan A",202,IF(Atletas!M183="Zuiquan A",203,IF(Atletas!M183="Ditangquan B",204,IF(Atletas!M183="Houquan B",205,IF(Atletas!M183="Zuiquan B",206,IF(Atletas!M183="Ditangquan C",207,IF(Atletas!M183="Houquan C",208,IF(Atletas!M183="Zuiquan C",209,IF(Atletas!M183="Ditangquan D",210,IF(Atletas!M183="Houquan D",211,IF(Atletas!M183="Zuiquan D",212,IF(Atletas!M183="Ditangquan E",213,IF(Atletas!M183="Houquan E",214,IF(Atletas!M183="Zuiquan E",215,IF(Atletas!M183="Ditangquan F",216,IF(Atletas!M183="Houquan F",217,IF(Atletas!M183="Zuiquan F",218,"")))))))))))))))))))))</f>
        <v/>
      </c>
      <c r="BO187" s="52" t="str">
        <f>IF(Atletas!N183="","",IF(Atletas!W183&lt;&gt;"",10000,0)+IF(Atletas!B183="Feminino",1000,IF(Atletas!B183="Masculino",2000,""))+IF(Atletas!N183="Yang A",301,IF(Atletas!N183="Chen A",30,IF(Atletas!N183="Sun A",303,IF(Atletas!N183="Wu A",304,IF(Atletas!N183="Wu-Hao A",305,IF(Atletas!N183="Outro Taijiquan A",306,IF(Atletas!N183="Yang B",307,IF(Atletas!N183="Chen B",308,IF(Atletas!N183="Sun B",309,IF(Atletas!N183="Wu B",310,IF(Atletas!N183="Wu-Hao B",311,IF(Atletas!N183="Outro Taijiquan B",312,IF(Atletas!N183="Yang C",313,IF(Atletas!N183="Chen C",314,IF(Atletas!N183="Sun C",315,IF(Atletas!N183="Wu C",316,IF(Atletas!N183="Wu-Hao C",317,IF(Atletas!N183="Outro Taijiquan C",318,IF(Atletas!N183="Yang D",319,IF(Atletas!N183="Chen D",320,IF(Atletas!N183="Sun D",321,IF(Atletas!N183="Wu D",322,IF(Atletas!N183="Wu-Hao D",323,IF(Atletas!N183="Outro Taijiquan D",324,IF(Atletas!N183="Yang E",325,IF(Atletas!N183="Chen E",326,IF(Atletas!N183="Sun E",327,IF(Atletas!N183="Wu E",328,IF(Atletas!N183="Wu-Hao E",329,IF(Atletas!N183="Outro Taijiquan E",330,IF(Atletas!N183="Yang F",331,IF(Atletas!N183="Chen F",332,IF(Atletas!N183="Sun F",333,IF(Atletas!N183="Wu F",334,IF(Atletas!N183="Wu-Hao F",335,IF(Atletas!N183="Outro Taijiquan F",336,"")))))))))))))))))))))))))))))))))))))</f>
        <v/>
      </c>
      <c r="BP187" s="52" t="str">
        <f>IF(Atletas!O183="","",IF(Atletas!W183&lt;&gt;"",10000,0)+IF(Atletas!B183="Feminino",1000,IF(Atletas!B183="Masculino",2000,""))+IF(OR(Atletas!O183="Yang 26 A",Atletas!O183="Yang 40 A"),401,IF(OR(Atletas!O183="Chen 25 A",Atletas!O183="Chen 36 A",Atletas!O183="Chen 56 A"),402,IF(Atletas!O183="Sun 73 A",403,IF(Atletas!O183="Wu 45 A",404,IF(Atletas!O183="Wu-Hao 46 A",405,IF(OR(Atletas!O183="Taijiquan 16 A",Atletas!O183="Taijiquan 24 A",Atletas!O183="Taijiquan 32 A",Atletas!O183="Taijiquan 42 A"),406,IF(OR(Atletas!O183="Yang 26 B",Atletas!O183="Yang 40 B"),407,IF(OR(Atletas!O183="Chen 25 B",Atletas!O183="Chen 36 B",Atletas!O183="Chen 56 B"),408,IF(Atletas!O183="Sun 73 B",409,IF(Atletas!O183="Wu 45 B",410,IF(Atletas!O183="Wu-Hao 46 B",411,IF(OR(Atletas!O183="Taijiquan 16 B",Atletas!O183="Taijiquan 24 B",Atletas!O183="Taijiquan 32 B",Atletas!O183="Taijiquan 42 B"),412,IF(OR(Atletas!O183="Yang 26 C",Atletas!O183="Yang 40 C"),413,IF(OR(Atletas!O183="Chen 25 C",Atletas!O183="Chen 36 C",Atletas!O183="Chen 56 C"),414,IF(Atletas!O183="Sun 73 C",415,IF(Atletas!O183="Wu 45 C",416,IF(Atletas!O183="Wu-Hao 46 C",417,IF(OR(Atletas!O183="Taijiquan 16 C",Atletas!O183="Taijiquan 24 C",Atletas!O183="Taijiquan 32 C",Atletas!O183="Taijiquan 42 C"),418,0)))))))))))))))))))</f>
        <v/>
      </c>
      <c r="BQ187" s="52" t="str">
        <f>IF(Atletas!O183="","",IF(Atletas!W183&lt;&gt;"",10000,0)+IF(Atletas!B183="Feminino",1000,IF(Atletas!B183="Masculino",2000,""))+IF(OR(Atletas!O183="Yang 26 D",Atletas!O183="Yang 40 D"),419,IF(OR(Atletas!O183="Chen 25 D",Atletas!O183="Chen 36 D",Atletas!O183="Chen 56 D"),420,IF(Atletas!O183="Sun 73 D",421,IF(Atletas!O183="Wu 45 D",422,IF(Atletas!O183="Wu-Hao 46 D",423,IF(OR(Atletas!O183="Taijiquan 16 D",Atletas!O183="Taijiquan 24 D",Atletas!O183="Taijiquan 32 D",Atletas!O183="Taijiquan 42 D"),424,IF(OR(Atletas!O183="Yang 26 E",Atletas!O183="Yang 40 E"),425,IF(OR(Atletas!O183="Chen 25 E",Atletas!O183="Chen 36 E",Atletas!O183="Chen 56 E"),426,IF(Atletas!O183="Sun 73 E",427,IF(Atletas!O183="Wu 45 E",428,IF(Atletas!O183="Wu-Hao 46 E",429,IF(OR(Atletas!O183="Taijiquan 16 E",Atletas!O183="Taijiquan 24 E",Atletas!O183="Taijiquan 32 E",Atletas!O183="Taijiquan 42 E"),430,IF(OR(Atletas!O183="Yang 26 F",Atletas!O183="Yang 40 F"),431,IF(OR(Atletas!O183="Chen 25 F",Atletas!O183="Chen 36 F",Atletas!O183="Chen 56 F"),432,IF(Atletas!O183="Sun 73 F",433,IF(Atletas!O183="Wu 45 F",434,IF(Atletas!O183="Wu-Hao 46 F",435,IF(OR(Atletas!O183="Taijiquan 16 F",Atletas!O183="Taijiquan 24 F",Atletas!O183="Taijiquan 32 F",Atletas!O183="Taijiquan 42 F"),436,0)))))))))))))))))))</f>
        <v/>
      </c>
      <c r="BR187" s="52" t="str">
        <f>IF(Atletas!P183="","",IF(Atletas!W183&lt;&gt;"",10000,0)+IF(Atletas!B183="Feminino",1000,IF(Atletas!B183="Masculino",2000,""))+IF(Atletas!P183="Xingyiquan A",501,IF(Atletas!P183="Baguazhang A",502,IF(Atletas!P183="Outro Estilo Interno A",503,IF(Atletas!P183="Xingyiquan B",504,IF(Atletas!P183="Baguazhang B",505,IF(Atletas!P183="Outro Estilo Interno B",506,IF(Atletas!P183="Xingyiquan C",507,IF(Atletas!P183="Baguazhang C",508,IF(Atletas!P183="Outro Estilo Interno C",509,IF(Atletas!P183="Xingyiquan D",510,IF(Atletas!P183="Baguazhang D",511,IF(Atletas!P183="Outro Estilo Interno D",512,IF(Atletas!P183="Xingyiquan E",513,IF(Atletas!P183="Baguazhang E",514,IF(Atletas!P183="Outro Estilo Interno E",515,IF(Atletas!P183="Xingyiquan F",516,IF(Atletas!P183="Baguazhang F",517,IF(Atletas!P183="Outro Estilo Interno F",518, "")))))))))))))))))))</f>
        <v/>
      </c>
      <c r="BS187" s="52" t="str">
        <f>IF(Atletas!Q183="","",IF(Atletas!W183&lt;&gt;"",10000,0)+IF(Atletas!B183="Feminino",1000,IF(Atletas!B183="Masculino",2000,""))+IF(Atletas!Q183="Dao A",601,IF(Atletas!Q183="Jian A",602,IF(Atletas!Q183="Bishou A",603,IF(Atletas!Q183="Shan A",604,IF(Atletas!Q183="Outra Arma Curta A",605,IF(Atletas!Q183="Dao B",606,IF(Atletas!Q183="Jian B",607,IF(Atletas!Q183="Bishou B",608,IF(Atletas!Q183="Shan B",609,IF(Atletas!Q183="Outra Arma Curta B",610,IF(Atletas!Q183="Dao C",611,IF(Atletas!Q183="Jian C",612,IF(Atletas!Q183="Bishou C",613,IF(Atletas!Q183="Shan C",614,IF(Atletas!Q183="Outra Arma Curta C",615,IF(Atletas!Q183="Dao D",616,IF(Atletas!Q183="Jian D",617,IF(Atletas!Q183="Bishou D",618,IF(Atletas!Q183="Shan D",619,IF(Atletas!Q183="Outra Arma Curta D",620,IF(Atletas!Q183="Dao E",621,IF(Atletas!Q183="Jian E",622,IF(Atletas!Q183="Bishou E",623,IF(Atletas!Q183="Shan E",624,IF(Atletas!Q183="Outra Arma Curta E",625,IF(Atletas!Q183="Dao F",626,IF(Atletas!Q183="Jian F",627,IF(Atletas!Q183="Bishou F",628,IF(Atletas!Q183="Shan F",629,IF(Atletas!Q183="Outra Arma Curta F",630, "")))))))))))))))))))))))))))))))</f>
        <v/>
      </c>
      <c r="BT187" s="52" t="str">
        <f>IF(Atletas!R183="","",IF(Atletas!W183&lt;&gt;"",10000,0)+IF(Atletas!B183="Feminino",1000,IF(Atletas!B183="Masculino",2000,""))+IF(Atletas!R183="Gun A",701,IF(Atletas!R183="Qiang A",702,IF(Atletas!R183="Pudao / Guandao A",703,IF(Atletas!R183="Outra Arma Longa A",704,IF(Atletas!R183="Gun B",705,IF(Atletas!R183="Qiang B",706,IF(Atletas!R183="Pudao / Guandao B",707,IF(Atletas!R183="Outra Arma Longa B",708,IF(Atletas!R183="Gun C",709,IF(Atletas!R183="Qiang C",710,IF(Atletas!R183="Pudao / Guandao C",711,IF(Atletas!R183="Outra Arma Longa C",712,IF(Atletas!R183="Gun D",713,IF(Atletas!R183="Qiang D",714,IF(Atletas!R183="Pudao / Guandao D",715,IF(Atletas!R183="Outra Arma Longa D",716,IF(Atletas!R183="Gun E",717,IF(Atletas!R183="Qiang E",718,IF(Atletas!R183="Pudao / Guandao E",719,IF(Atletas!R183="Outra Arma Longa E",720,IF(Atletas!R183="Gun F",721,IF(Atletas!R183="Qiang F",722,IF(Atletas!R183="Pudao / Guandao F",723,IF(Atletas!R183="Outra Arma Longa F",724,"")))))))))))))))))))))))))</f>
        <v/>
      </c>
      <c r="BU187" s="52" t="str">
        <f>IF(Atletas!S183="","",IF(Atletas!W183&lt;&gt;"",10000,0)+IF(Atletas!B183="Feminino",1000,IF(Atletas!B183="Masculino",2000,""))+IF(Atletas!S183="Arma Dupla A",801,IF(Atletas!S183="Arma Maleável A",802,IF(Atletas!S183="Arma Dupla B",803,IF(Atletas!S183="Arma Maleável B",804,IF(Atletas!S183="Arma Dupla C",805,IF(Atletas!S183="Arma Maleável C",806,IF(Atletas!S183="Arma Dupla D",807,IF(Atletas!S183="Arma Maleável D",808,IF(Atletas!S183="Arma Dupla E",809,IF(Atletas!S183="Arma Maleável E",810,IF(Atletas!S183="Arma Dupla F",811,IF(Atletas!S183="Arma Maleável F",812, "")))))))))))))</f>
        <v/>
      </c>
      <c r="BV187" s="52" t="str">
        <f>IF(Atletas!T183="","",IF(Atletas!W183&lt;&gt;"",10000,0)+IF(Atletas!B183="Feminino",1000,IF(Atletas!B183="Masculino",2000,""))+IF(Atletas!T183="Taijijian Yang A",901,IF(Atletas!T183="Taijijian Chen A",902,IF(Atletas!T183="Taijijian Sun A",903,IF(Atletas!T183="Taijijian Wu A",904,IF(Atletas!T183="Taijijian Wu-Hao A",905,IF(Atletas!T183="Taijijian 32 A",906,IF(Atletas!T183="Taijijian 42 A",907,IF(Atletas!T183="Taijijian Yang B",908,IF(Atletas!T183="Taijijian Chen B",909,IF(Atletas!T183="Taijijian Sun B",910,IF(Atletas!T183="Taijijian Wu B",911,IF(Atletas!T183="Taijijian Wu-Hao B",912,IF(Atletas!T183="Taijijian 32 B",913,IF(Atletas!T183="Taijijian 42 B",914,IF(Atletas!T183="Taijijian Yang C",915,IF(Atletas!T183="Taijijian Chen C",916,IF(Atletas!T183="Taijijian Sun C",917,IF(Atletas!T183="Taijijian Wu C",918,IF(Atletas!T183="Taijijian Wu-Hao C",919,IF(Atletas!T183="Taijijian 32 C",920,IF(Atletas!T183="Taijijian 42 C",921,IF(Atletas!T183="Taijijian Yang D",922,IF(Atletas!T183="Taijijian Chen D",923,IF(Atletas!T183="Taijijian Sun D",924,IF(Atletas!T183="Taijijian Wu D",925,IF(Atletas!T183="Taijijian Wu-Hao D",926,IF(Atletas!T183="Taijijian 32 D",927,IF(Atletas!T183="Taijijian 42 D",928,IF(Atletas!T183="Taijijian Yang E",929,IF(Atletas!T183="Taijijian Chen E",930,IF(Atletas!T183="Taijijian Sun E",931,IF(Atletas!T183="Taijijian Wu E",932,IF(Atletas!T183="Taijijian Wu-Hao E",933,IF(Atletas!T183="Taijijian 32 E",934,IF(Atletas!T183="Taijijian 42 E",935,IF(Atletas!T183="Taijijian Yang F",936,IF(Atletas!T183="Taijijian Chen F",937,IF(Atletas!T183="Taijijian Sun F",938,IF(Atletas!T183="Taijijian Wu F",939,IF(Atletas!T183="Taijijian Wu-Hao F",940,IF(Atletas!T183="Taijijian 32 F",941,IF(Atletas!T183="Taijijian 42 F",942,"")))))))))))))))))))))))))))))))))))))))))))</f>
        <v/>
      </c>
      <c r="BW187" s="52" t="str">
        <f>IF(Atletas!U183="","",IF(Atletas!W183&lt;&gt;"",10000,0)+IF(Atletas!B183="Feminino",1000,IF(Atletas!B183="Masculino",2000,""))+IF(Atletas!T183="Taijijian 42 F",942,IF(Atletas!U183="Taijidao A",943,IF(Atletas!U183="Taijishan A",944,IF(Atletas!U183="Taijiqiang A",945,IF(Atletas!U183="Taijidao B",946,IF(Atletas!U183="Taijishan B",947,IF(Atletas!U183="Taijiqiang B",948,IF(Atletas!U183="Taijidao C",949,IF(Atletas!U183="Taijishan C",950,IF(Atletas!U183="Taijiqiang C",951,IF(Atletas!U183="Taijidao D",952,IF(Atletas!U183="Taijishan D",953,IF(Atletas!U183="Taijiqiang D",954,IF(Atletas!U183="Taijidao E",955,IF(Atletas!U183="Taijishan E",956,IF(Atletas!U183="Taijiqiang E",957,IF(Atletas!U183="Taijidao F",958,IF(Atletas!U183="Taijishan F",959,IF(Atletas!U183="Taijiqiang F",960))))))))))))))))))))</f>
        <v/>
      </c>
      <c r="BX187" s="72" t="str">
        <f>IF(BY187&lt;&gt;"","TJQ Padr. Yang D","")</f>
        <v/>
      </c>
      <c r="BY187" s="72" t="str">
        <f>IF(COUNTIF(BK:BW,1419)&gt;0,COUNTIF(BK:BW,1419),"")</f>
        <v/>
      </c>
      <c r="BZ187" s="72" t="str">
        <f>IF(CA187&lt;&gt;"","TJQ Padr. Yang D","")</f>
        <v/>
      </c>
      <c r="CA187" s="72" t="str">
        <f>IF(COUNTIF(BK:BW,2419)&gt;0,COUNTIF(BK:BW,2419),"")</f>
        <v/>
      </c>
      <c r="CB187" s="72" t="str">
        <f>IF(CC187&lt;&gt;"","Cheng 56 B","")</f>
        <v/>
      </c>
      <c r="CC187" s="64" t="str">
        <f>IF(COUNTIF(BK:BW,11419)&gt;0,COUNTIF(BK:BW,11419),"")</f>
        <v/>
      </c>
      <c r="CD187" s="64" t="str">
        <f>IF(CE187&lt;&gt;"","Cheng 56 B","")</f>
        <v/>
      </c>
      <c r="CE187" s="64" t="str">
        <f>IF(COUNTIF(BK:BW,12419)&gt;0,COUNTIF(BK:BW,12419),"")</f>
        <v/>
      </c>
      <c r="CF187" s="52" t="str">
        <f xml:space="preserve"> IF(Atletas!V183="","",IF(Atletas!V183="Duilian de Mãos AB - Equipe 1",1,IF(Atletas!V183="Duilian de Mãos AB - Equipe 2",2,IF(Atletas!V183="Duilian de Armas AB - Equipe 1",3,IF(Atletas!V183="Duilian de Armas AB - Equipe 2",4,IF(Atletas!V183="Duilian de Tuishou - Equipe 1",5,IF(Atletas!V183="Duilian de Tuishou - Equipe 2",6,IF(Atletas!V183="Grupo Externo AB - Equipe 1",7,IF(Atletas!V183="Grupo Externo AB - Equipe 2",8,IF(Atletas!V183="Grupo Interno AB - Equipe 1",9,IF(Atletas!V183="Grupo Interno AB - Equipe 2",10,IF(Atletas!V183="Duilian de Mãos CD - Equipe 1",11,IF(Atletas!V183="Duilian de Mãos CD - Equipe 2",12,IF(Atletas!V183="Duilian de Armas CD - Equipe 1",13,IF(Atletas!V183="Duilian de Armas CD - Equipe 2",14,IF(Atletas!V183="Duilian de Tuishou - Equipe 1",15,IF(Atletas!V183="Duilian de Tuishou - Equipe 2",16,IF(Atletas!V183="Grupo Externo CDEF - Equipe 1",17,IF(Atletas!V183="Grupo Externo CDEF - Equipe 2",18,IF(Atletas!V183="Grupo Interno CDEF - Equipe 1",19,IF(Atletas!V183="Grupo Interno CDEF - Equipe 2",20,IF(Atletas!V183="Duilian de Mãos EF - Equipe 1",21,IF(Atletas!V183="Duilian de Mãos EF - Equipe 2",22,IF(Atletas!V183="Duilian de Armas EF - Equipe 1",23,IF(Atletas!V183="Duilian de Armas EF - Equipe 2",24,IF(Atletas!V183="Duilian de Tuishou - Equipe 1",25,IF(Atletas!V183="Duilian de Tuishou - Equipe 2",26,"")))))))))))))))))))))))))))</f>
        <v/>
      </c>
    </row>
    <row r="188" spans="2:84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 t="str">
        <f t="array" ref="V188">IFERROR(INDEX(BX$7:BX$336,SMALL(IF(BX$7:BX$336&lt;&gt;"",ROW(BX$7:BX$336)-ROW(BX$7)+1),ROWS(BX$7:BX187))),"")</f>
        <v/>
      </c>
      <c r="W188" s="4" t="str">
        <f t="array" ref="W188">IFERROR(INDEX(BY$7:BY$336,SMALL(IF(BY$7:BY$336&lt;&gt;"",ROW(BY$7:BY$336)-ROW(BY$7)+1),ROWS(BY$7:BY187))),"")</f>
        <v/>
      </c>
      <c r="X188" s="4" t="str">
        <f t="array" ref="X188">IFERROR(INDEX(BZ$7:BZ$336,SMALL(IF(BZ$7:BZ$336&lt;&gt;"",ROW(BZ$7:BZ$336)-ROW(BZ$7)+1),ROWS(BZ$7:BZ187))),"")</f>
        <v/>
      </c>
      <c r="Y188" s="4" t="str">
        <f t="array" ref="Y188">IFERROR(INDEX(CA$7:CA$336,SMALL(IF(CA$7:CA$336&lt;&gt;"",ROW(CA$7:CA$336)-ROW(CA$7)+1),ROWS(CA$7:CA187))),"")</f>
        <v/>
      </c>
      <c r="Z188" s="4" t="str">
        <f t="array" ref="Z188">IFERROR(INDEX(CB$7:CB$378,SMALL(IF(CB$7:CB$378&lt;&gt;"",ROW(CB$7:CB$378)-ROW(CB$7)+1),ROWS(CB$7:CB187))),"")</f>
        <v/>
      </c>
      <c r="AA188" s="4" t="str">
        <f t="array" ref="AA188">IFERROR(INDEX(CC$7:CC$378,SMALL(IF(CC$7:CC$378&lt;&gt;"",ROW(CC$7:CC$378)-ROW(CC$7)+1),ROWS(CC$7:CC187))),"")</f>
        <v/>
      </c>
      <c r="AB188" s="4" t="str">
        <f t="array" ref="AB188">IFERROR(INDEX(CD$7:CD$378,SMALL(IF(CD$7:CD$378&lt;&gt;"",ROW(CD$7:CD$378)-ROW(CD$7)+1),ROWS(CD$7:CD187))),"")</f>
        <v/>
      </c>
      <c r="AC188" s="4" t="str">
        <f t="array" ref="AC188">IFERROR(INDEX(CE$7:CE$378,SMALL(IF(CE$7:CE$378&lt;&gt;"",ROW(CE$7:CE$378)-ROW(CE$7)+1),ROWS(CE$7:CE187))),"")</f>
        <v/>
      </c>
      <c r="AD188" s="4"/>
      <c r="AE188" s="4"/>
      <c r="AF188" s="4"/>
      <c r="AG188" s="4"/>
      <c r="AH188" s="4"/>
      <c r="AI188" s="4"/>
      <c r="AJ188" s="46" t="str">
        <f>IF(Atletas!D184="","",IF(Atletas!B184="Feminino",100,IF(Atletas!B184="Masculino",200,""))+(IF(Atletas!D184="Infantil 39kg",1,IF(Atletas!D184="Infantil 42kg",2,IF(Atletas!D184="Infantil 45kg",3,IF(Atletas!D184="Infantil 48kg",4,IF(Atletas!D184="Infantil 52kg",5,IF(Atletas!D184="Infantil 56kg",6,IF(Atletas!D184="Infantil 60kg",7,IF(Atletas!D184="Juvenil 48kg",8,IF(Atletas!D184="Juvenil 52kg",9,IF(Atletas!D184="Juvenil 56kg",10,IF(Atletas!D184="Juvenil 60kg",11,IF(Atletas!D184="Juvenil 65kg",12,IF(Atletas!D184="Juvenil 70kg",13,IF(Atletas!D184="Juvenil 75kg",14,IF(Atletas!D184="Juvenil 80kg",15,IF(Atletas!D184="Adulto 48kg",16,IF(Atletas!D184="Adulto 52kg",17,IF(Atletas!D184="Adulto 56kg",18,IF(Atletas!D184="Adulto 60kg",19,IF(Atletas!D184="Adulto 65kg",20,IF(Atletas!D184="Adulto 70kg",21,IF(Atletas!D184="Adulto 75kg",22,IF(Atletas!D184="Adulto 80kg",23,IF(Atletas!D184="Adulto 85kg",24,IF(Atletas!D184="Adulto 90kg",25,IF(Atletas!D184="Adulto +90kg",26,""))))))))))))))))))))))))))))</f>
        <v/>
      </c>
      <c r="AO188" s="10" t="str">
        <f>IF(Atletas!E184="","",IF(Atletas!B184="Feminino",100,IF(Atletas!B184="Masculino",200,""))+(IF(Atletas!E184="Juvenil 44kg",1,IF(Atletas!E184="Juvenil 48kg",2,IF(Atletas!E184="Juvenil 52kg",3,IF(Atletas!E184="Juvenil 56kg",4,IF(Atletas!E184="Juvenil 60kg",5,IF(Atletas!E184="Juvenil 65kg",6,IF(Atletas!E184="Juvenil 70kg",7,IF(Atletas!E184="Juvenil 75kg",8,IF(Atletas!E184="Juvenil 82kg",9,IF(Atletas!E184="Juvenil 90kg",10,IF(Atletas!E184="Juvenil 100kg",11,IF(Atletas!E184="Adulto 48kg",12,IF(Atletas!E184="Adulto 52kg",13,IF(Atletas!E184="Adulto 56kg",14,IF(Atletas!E184="Adulto 60kg",15,IF(Atletas!E184="Adulto 65kg",16,IF(Atletas!E184="Adulto 70kg",17,IF(Atletas!E184="Adulto 75kg",18,IF(Atletas!E184="Adulto 82kg",19,IF(Atletas!E184="Adulto 90kg",20,IF(Atletas!E184="Adulto 100kg",21,IF(Atletas!E184="Adulto +100kg",22,""))))))))))))))))))))))))</f>
        <v/>
      </c>
      <c r="AT188" s="10" t="str">
        <f>IF(Atletas!F184="","",IF(Atletas!B184="Feminino",100,IF(Atletas!B184="Masculino",200,""))+(IF(Atletas!F184="Adulto 48kg",1,IF(Atletas!F184="Adulto 56kg",2,IF(Atletas!F184="Adulto 65kg",3,IF(Atletas!F184="Adulto 75kg",4,IF(Atletas!F184="Adulto +75kg",5,IF(Atletas!F184="Adulto 52kg",6,IF(Atletas!F184="Adulto 60kg",7,IF(Atletas!F184="Adulto 70kg",8,IF(Atletas!F184="Adulto 80kg",9,IF(Atletas!F184="Adulto 90kg",10,IF(Atletas!F184="Adulto +90kg",11,"")))))))))))))</f>
        <v/>
      </c>
      <c r="AY188" s="46" t="str">
        <f>IF(Atletas!G184="","",IF(Atletas!B184="Feminino",100,IF(Atletas!B184="Masculino",200,""))+(IF(Atletas!G184="Changquan Mirim",1,IF(Atletas!G184="Nanquan Mirim",2,IF(Atletas!G184="Taijiquan Mirim",3,IF(Atletas!G184="Changquan Grupo C",4,IF(Atletas!G184="Nanquan Grupo C",5,IF(Atletas!G184="Taijiquan Grupo C",6,IF(Atletas!G184="Changquan Grupo B",7,IF(Atletas!G184="Nanquan Grupo B",8,IF(Atletas!G184="Taijiquan Grupo B",9,IF(Atletas!G184="Changquan Grupo A",10,IF(Atletas!G184="Nanquan Grupo A",11,IF(Atletas!G184="Taijiquan Grupo A",12,IF(Atletas!G184="Changquan Opcional",13,IF(Atletas!G184="Nanquan Opcional",14,IF(Atletas!G184="Taijiquan Opcional",15,IF(Atletas!G184="Changquan Adulto",16,IF(Atletas!G184="Nanquan Adulto",17,IF(Atletas!G184="Taijiquan Adulto",18,""))))))))))))))))))))</f>
        <v/>
      </c>
      <c r="AZ188" s="46" t="str">
        <f>IF(Atletas!H184="","",IF(Atletas!B184="Feminino",100,IF(Atletas!B184="Masculino",200,""))+(IF(Atletas!H184="Daoshu Mirim",19,IF(Atletas!H184="Jianshu Mirim",20,IF(Atletas!H184="Nandao Mirim",21,IF(Atletas!H184="Taijijian Mirim",22,IF(Atletas!H184="Daoshu Grupo C",23,IF(Atletas!H184="Jianshu Grupo C",24,IF(Atletas!H184="Nandao Grupo C",25,IF(Atletas!H184="Taijijian Grupo C",26,IF(Atletas!H184="Daoshu Grupo B",27,IF(Atletas!H184="Jianshu Grupo B",28,IF(Atletas!H184="Nandao Grupo B",29,IF(Atletas!H184="Taijijian Grupo B",30,IF(Atletas!H184="Daoshu Grupo A",31,IF(Atletas!H184="Jianshu Grupo A",32,IF(Atletas!H184="Nandao Grupo A",33,IF(Atletas!H184="Taijijian Grupo A",34,IF(Atletas!H184="Daoshu Opcional",35,IF(Atletas!H184="Jianshu Opcional",36,IF(Atletas!H184="Nandao Opcional",37,IF(Atletas!H184="Taijijian Opcional",38,IF(Atletas!H184="Daoshu Adulto",39,IF(Atletas!H184="Jianshu Adulto",40,IF(Atletas!H184="Nandao Adulto",41,IF(Atletas!H184="Taijijian Adulto",42,""))))))))))))))))))))))))))</f>
        <v/>
      </c>
      <c r="BA188" s="46" t="str">
        <f>IF(Atletas!I184="","",IF(Atletas!B184="Feminino",100,IF(Atletas!B184="Masculino",200,""))+(IF(Atletas!I184="Gunshu Mirim",43,IF(Atletas!I184="Qiangshu Mirim",44,IF(Atletas!I184="Nangun Mirim",45,IF(Atletas!I184="Gunshu Grupo C",46,IF(Atletas!I184="Qiangshu Grupo C",47,IF(Atletas!I184="Nangun Grupo C",48,IF(Atletas!I184="Gunshu Grupo B",49,IF(Atletas!I184="Qiangshu Grupo B",50,IF(Atletas!I184="Nangun Grupo B",51,IF(Atletas!I184="Gunshu Grupo A",52,IF(Atletas!I184="Qiangshu Grupo A",53,IF(Atletas!I184="Nangun Grupo A",54,IF(Atletas!I184="Gunshu Opcional",55,IF(Atletas!I184="Qiangshu Opcional",56,IF(Atletas!I184="Nangun Opcional",57,IF(Atletas!I184="Gunshu Adulto",58,IF(Atletas!I184="Qiangshu Adulto",59,IF(Atletas!I184="Nangun Adulto",60,""))))))))))))))))))))</f>
        <v/>
      </c>
      <c r="BF188" s="52" t="str">
        <f>IF(Atletas!J184="","",IF(Atletas!B184="Feminino",100,IF(Atletas!B184="Masculino",200,""))+(IF(Atletas!J184="Equipe 1 Grupo B",1,IF(Atletas!J184="Equipe 2 Grupo B",2,IF(Atletas!J184="Equipe 1 Grupo A",3,IF(Atletas!J184="Equipe 2 Grupo A",4,IF(Atletas!J184="Equipe 1 Adulto",5,IF(Atletas!J184="Equipe 2 Adulto",6,""))))))))</f>
        <v/>
      </c>
      <c r="BK188" s="52" t="str">
        <f>IF(Atletas!K184="","",IF(Atletas!W184&lt;&gt;"",10000,0)+(IF(Atletas!B184="Feminino",1000,IF(Atletas!B184="Masculino",2000,""))+IF(Atletas!K184="Choylayfut A",1,IF(Atletas!K184="Hunggar A",2,IF(Atletas!K184="Wuzuquan A",3,IF(Atletas!K184="Wingchun A",4,IF(Atletas!K184="Outra Mão de Sul A",5,IF(Atletas!K184="Choylayfut B",6,IF(Atletas!K184="Hunggar B",7,IF(Atletas!K184="Wuzuquan B",8,IF(Atletas!K184="Wingchun B",9,IF(Atletas!K184="Outra Mão de Sul B",10,IF(Atletas!K184="Choylayfut C",11,IF(Atletas!K184="Hunggar C",12,IF(Atletas!K184="Wuzuquan C",13,IF(Atletas!K184="Wingchun C",14,IF(Atletas!K184="Outra Mão de Sul C",15,IF(Atletas!K184="Choylayfut D",16,IF(Atletas!K184="Hunggar D",17,IF(Atletas!K184="Wuzuquan D",18,IF(Atletas!K184="Wingchun D",19,IF(Atletas!K184="Outra Mão de Sul D",20,IF(Atletas!K184="Choylayfut E",21,IF(Atletas!K184="Hunggar E",22,IF(Atletas!K184="Wuzuquan E",23,IF(Atletas!K184="Wingchun E",24,IF(Atletas!K184="Outra Mão de Sul E",25,IF(Atletas!K184="Choylayfut F",26,IF(Atletas!K184="Hunggar F",27,IF(Atletas!K184="Wuzuquan F",28,IF(Atletas!K184="Wingchun F",29,IF(Atletas!K184="Outra Mão de Sul F",30,""))))))))))))))))))))))))))))))))</f>
        <v/>
      </c>
      <c r="BL188" s="52" t="str">
        <f>IF(Atletas!L184="","",IF(Atletas!W184&lt;&gt;"",10000,0)+(IF(Atletas!B184="Feminino",1000,IF(Atletas!B184="Masculino",2000,""))+(IF(Atletas!L184="Chaquan A",101,IF(Atletas!L184="Emeiquan A",102,IF(Atletas!L184="Fanziquan A",103,IF(Atletas!L184="Huaquan A",104,IF(Atletas!L184="Hongquan A",105,IF(Atletas!L184="Paochui A",106,IF(Atletas!L184="Piguaquan A",107,IF(Atletas!L184="Shaolinquan A",108,IF(Atletas!L184="Tanglangquan A",109,IF(Atletas!L184="Yinzhaophai A",110,IF(Atletas!L184="Tongbeiquan A",111,IF(Atletas!L184="Wudangquan A",112,IF(Atletas!L184="Outros Estilos A",113,IF(Atletas!L184="Chaquan B",114,IF(Atletas!L184="Emeiquan B",115,IF(Atletas!L184="Fanziquan B",116,IF(Atletas!L184="Huaquan B",117,IF(Atletas!L184="Hongquan B",118,IF(Atletas!L184="Paochui B",119,IF(Atletas!L184="Piguaquan B",120,IF(Atletas!L184="Shaolinquan B",121,IF(Atletas!L184="Tanglangquan B",122,IF(Atletas!L184="Yinzhaophai B",123,IF(Atletas!L184="Tongbeiquan B",124,IF(Atletas!L184="Wudangquan B",125,IF(Atletas!L184="Outros Estilos B",126,IF(Atletas!L184="Chaquan C",127,IF(Atletas!L184="Emeiquan C",128,IF(Atletas!L184="Fanziquan C",129,IF(Atletas!L184="Huaquan C",130,IF(Atletas!L184="Hongquan C",131,IF(Atletas!L184="Paochui C",132,IF(Atletas!L184="Piguaquan C",133,IF(Atletas!L184="Shaolinquan C",134,IF(Atletas!L184="Tanglangquan C",135,IF(Atletas!L184="Yinzhaophai C",136,IF(Atletas!L184="Tongbeiquan C",137,IF(Atletas!L184="Wudangquan C",138,IF(Atletas!L184="Outros Estilos C",139,0))))))))))))))))))))))))))))))))))))))))))</f>
        <v/>
      </c>
      <c r="BM188" s="52" t="str">
        <f>IF(Atletas!L184="","",IF(Atletas!W184&lt;&gt;"",10000,0)+(IF(Atletas!B184="Feminino",1000,IF(Atletas!B184="Masculino",2000,""))+(IF(Atletas!L184="Chaquan D",140,IF(Atletas!L184="Emeiquan D",141,IF(Atletas!L184="Fanziquan D",142,IF(Atletas!L184="Huaquan D",143,IF(Atletas!L184="Hongquan D",144,IF(Atletas!L184="Paochui D",145,IF(Atletas!L184="Piguaquan D",146,IF(Atletas!L184="Shaolinquan D",147,IF(Atletas!L184="Tanglangquan D",148,IF(Atletas!L184="Yinzhaophai D",149,IF(Atletas!L184="Tongbeiquan D",150,IF(Atletas!L184="Wudangquan D",151,IF(Atletas!L184="Outros Estilos D",152,IF(Atletas!L184="Chaquan E",153,IF(Atletas!L184="Emeiquan E",154,IF(Atletas!L184="Fanziquan E",155,IF(Atletas!L184="Huaquan E",156,IF(Atletas!L184="Hongquan E",157,IF(Atletas!L184="Paochui E",158,IF(Atletas!L184="Piguaquan E",159,IF(Atletas!L184="Shaolinquan E",160,IF(Atletas!L184="Tanglangquan E",161,IF(Atletas!L184="Yinzhaophai E",162,IF(Atletas!L184="Tongbeiquan E",163,IF(Atletas!L184="Wudangquan E",164,IF(Atletas!L184="Outros Estilos E",165,IF(Atletas!L184="Chaquan F",166,IF(Atletas!L184="Emeiquan F",167,IF(Atletas!L184="Fanziquan F",168,IF(Atletas!L184="Huaquan F",169,IF(Atletas!L184="Hongquan F",170,IF(Atletas!L184="Paochui F",171,IF(Atletas!L184="Piguaquan F",172,IF(Atletas!L184="Shaolinquan F",173,IF(Atletas!L184="Tanglangquan F",174,IF(Atletas!L184="Yinzhaophai F",175,IF(Atletas!L184="Tongbeiquan F",176,IF(Atletas!L184="Wudangquan F",177,IF(Atletas!L184="Outros Estilos F",178,0))))))))))))))))))))))))))))))))))))))))))</f>
        <v/>
      </c>
      <c r="BN188" s="52" t="str">
        <f>IF(Atletas!M184="","",IF(Atletas!W184&lt;&gt;"",10000,0)+(IF(Atletas!B184="Feminino",1000,IF(Atletas!B184="Masculino",2000,""))+(IF(Atletas!M184="Ditangquan A",201,IF(Atletas!M184="Houquan A",202,IF(Atletas!M184="Zuiquan A",203,IF(Atletas!M184="Ditangquan B",204,IF(Atletas!M184="Houquan B",205,IF(Atletas!M184="Zuiquan B",206,IF(Atletas!M184="Ditangquan C",207,IF(Atletas!M184="Houquan C",208,IF(Atletas!M184="Zuiquan C",209,IF(Atletas!M184="Ditangquan D",210,IF(Atletas!M184="Houquan D",211,IF(Atletas!M184="Zuiquan D",212,IF(Atletas!M184="Ditangquan E",213,IF(Atletas!M184="Houquan E",214,IF(Atletas!M184="Zuiquan E",215,IF(Atletas!M184="Ditangquan F",216,IF(Atletas!M184="Houquan F",217,IF(Atletas!M184="Zuiquan F",218,"")))))))))))))))))))))</f>
        <v/>
      </c>
      <c r="BO188" s="52" t="str">
        <f>IF(Atletas!N184="","",IF(Atletas!W184&lt;&gt;"",10000,0)+IF(Atletas!B184="Feminino",1000,IF(Atletas!B184="Masculino",2000,""))+IF(Atletas!N184="Yang A",301,IF(Atletas!N184="Chen A",30,IF(Atletas!N184="Sun A",303,IF(Atletas!N184="Wu A",304,IF(Atletas!N184="Wu-Hao A",305,IF(Atletas!N184="Outro Taijiquan A",306,IF(Atletas!N184="Yang B",307,IF(Atletas!N184="Chen B",308,IF(Atletas!N184="Sun B",309,IF(Atletas!N184="Wu B",310,IF(Atletas!N184="Wu-Hao B",311,IF(Atletas!N184="Outro Taijiquan B",312,IF(Atletas!N184="Yang C",313,IF(Atletas!N184="Chen C",314,IF(Atletas!N184="Sun C",315,IF(Atletas!N184="Wu C",316,IF(Atletas!N184="Wu-Hao C",317,IF(Atletas!N184="Outro Taijiquan C",318,IF(Atletas!N184="Yang D",319,IF(Atletas!N184="Chen D",320,IF(Atletas!N184="Sun D",321,IF(Atletas!N184="Wu D",322,IF(Atletas!N184="Wu-Hao D",323,IF(Atletas!N184="Outro Taijiquan D",324,IF(Atletas!N184="Yang E",325,IF(Atletas!N184="Chen E",326,IF(Atletas!N184="Sun E",327,IF(Atletas!N184="Wu E",328,IF(Atletas!N184="Wu-Hao E",329,IF(Atletas!N184="Outro Taijiquan E",330,IF(Atletas!N184="Yang F",331,IF(Atletas!N184="Chen F",332,IF(Atletas!N184="Sun F",333,IF(Atletas!N184="Wu F",334,IF(Atletas!N184="Wu-Hao F",335,IF(Atletas!N184="Outro Taijiquan F",336,"")))))))))))))))))))))))))))))))))))))</f>
        <v/>
      </c>
      <c r="BP188" s="52" t="str">
        <f>IF(Atletas!O184="","",IF(Atletas!W184&lt;&gt;"",10000,0)+IF(Atletas!B184="Feminino",1000,IF(Atletas!B184="Masculino",2000,""))+IF(OR(Atletas!O184="Yang 26 A",Atletas!O184="Yang 40 A"),401,IF(OR(Atletas!O184="Chen 25 A",Atletas!O184="Chen 36 A",Atletas!O184="Chen 56 A"),402,IF(Atletas!O184="Sun 73 A",403,IF(Atletas!O184="Wu 45 A",404,IF(Atletas!O184="Wu-Hao 46 A",405,IF(OR(Atletas!O184="Taijiquan 16 A",Atletas!O184="Taijiquan 24 A",Atletas!O184="Taijiquan 32 A",Atletas!O184="Taijiquan 42 A"),406,IF(OR(Atletas!O184="Yang 26 B",Atletas!O184="Yang 40 B"),407,IF(OR(Atletas!O184="Chen 25 B",Atletas!O184="Chen 36 B",Atletas!O184="Chen 56 B"),408,IF(Atletas!O184="Sun 73 B",409,IF(Atletas!O184="Wu 45 B",410,IF(Atletas!O184="Wu-Hao 46 B",411,IF(OR(Atletas!O184="Taijiquan 16 B",Atletas!O184="Taijiquan 24 B",Atletas!O184="Taijiquan 32 B",Atletas!O184="Taijiquan 42 B"),412,IF(OR(Atletas!O184="Yang 26 C",Atletas!O184="Yang 40 C"),413,IF(OR(Atletas!O184="Chen 25 C",Atletas!O184="Chen 36 C",Atletas!O184="Chen 56 C"),414,IF(Atletas!O184="Sun 73 C",415,IF(Atletas!O184="Wu 45 C",416,IF(Atletas!O184="Wu-Hao 46 C",417,IF(OR(Atletas!O184="Taijiquan 16 C",Atletas!O184="Taijiquan 24 C",Atletas!O184="Taijiquan 32 C",Atletas!O184="Taijiquan 42 C"),418,0)))))))))))))))))))</f>
        <v/>
      </c>
      <c r="BQ188" s="52" t="str">
        <f>IF(Atletas!O184="","",IF(Atletas!W184&lt;&gt;"",10000,0)+IF(Atletas!B184="Feminino",1000,IF(Atletas!B184="Masculino",2000,""))+IF(OR(Atletas!O184="Yang 26 D",Atletas!O184="Yang 40 D"),419,IF(OR(Atletas!O184="Chen 25 D",Atletas!O184="Chen 36 D",Atletas!O184="Chen 56 D"),420,IF(Atletas!O184="Sun 73 D",421,IF(Atletas!O184="Wu 45 D",422,IF(Atletas!O184="Wu-Hao 46 D",423,IF(OR(Atletas!O184="Taijiquan 16 D",Atletas!O184="Taijiquan 24 D",Atletas!O184="Taijiquan 32 D",Atletas!O184="Taijiquan 42 D"),424,IF(OR(Atletas!O184="Yang 26 E",Atletas!O184="Yang 40 E"),425,IF(OR(Atletas!O184="Chen 25 E",Atletas!O184="Chen 36 E",Atletas!O184="Chen 56 E"),426,IF(Atletas!O184="Sun 73 E",427,IF(Atletas!O184="Wu 45 E",428,IF(Atletas!O184="Wu-Hao 46 E",429,IF(OR(Atletas!O184="Taijiquan 16 E",Atletas!O184="Taijiquan 24 E",Atletas!O184="Taijiquan 32 E",Atletas!O184="Taijiquan 42 E"),430,IF(OR(Atletas!O184="Yang 26 F",Atletas!O184="Yang 40 F"),431,IF(OR(Atletas!O184="Chen 25 F",Atletas!O184="Chen 36 F",Atletas!O184="Chen 56 F"),432,IF(Atletas!O184="Sun 73 F",433,IF(Atletas!O184="Wu 45 F",434,IF(Atletas!O184="Wu-Hao 46 F",435,IF(OR(Atletas!O184="Taijiquan 16 F",Atletas!O184="Taijiquan 24 F",Atletas!O184="Taijiquan 32 F",Atletas!O184="Taijiquan 42 F"),436,0)))))))))))))))))))</f>
        <v/>
      </c>
      <c r="BR188" s="52" t="str">
        <f>IF(Atletas!P184="","",IF(Atletas!W184&lt;&gt;"",10000,0)+IF(Atletas!B184="Feminino",1000,IF(Atletas!B184="Masculino",2000,""))+IF(Atletas!P184="Xingyiquan A",501,IF(Atletas!P184="Baguazhang A",502,IF(Atletas!P184="Outro Estilo Interno A",503,IF(Atletas!P184="Xingyiquan B",504,IF(Atletas!P184="Baguazhang B",505,IF(Atletas!P184="Outro Estilo Interno B",506,IF(Atletas!P184="Xingyiquan C",507,IF(Atletas!P184="Baguazhang C",508,IF(Atletas!P184="Outro Estilo Interno C",509,IF(Atletas!P184="Xingyiquan D",510,IF(Atletas!P184="Baguazhang D",511,IF(Atletas!P184="Outro Estilo Interno D",512,IF(Atletas!P184="Xingyiquan E",513,IF(Atletas!P184="Baguazhang E",514,IF(Atletas!P184="Outro Estilo Interno E",515,IF(Atletas!P184="Xingyiquan F",516,IF(Atletas!P184="Baguazhang F",517,IF(Atletas!P184="Outro Estilo Interno F",518, "")))))))))))))))))))</f>
        <v/>
      </c>
      <c r="BS188" s="52" t="str">
        <f>IF(Atletas!Q184="","",IF(Atletas!W184&lt;&gt;"",10000,0)+IF(Atletas!B184="Feminino",1000,IF(Atletas!B184="Masculino",2000,""))+IF(Atletas!Q184="Dao A",601,IF(Atletas!Q184="Jian A",602,IF(Atletas!Q184="Bishou A",603,IF(Atletas!Q184="Shan A",604,IF(Atletas!Q184="Outra Arma Curta A",605,IF(Atletas!Q184="Dao B",606,IF(Atletas!Q184="Jian B",607,IF(Atletas!Q184="Bishou B",608,IF(Atletas!Q184="Shan B",609,IF(Atletas!Q184="Outra Arma Curta B",610,IF(Atletas!Q184="Dao C",611,IF(Atletas!Q184="Jian C",612,IF(Atletas!Q184="Bishou C",613,IF(Atletas!Q184="Shan C",614,IF(Atletas!Q184="Outra Arma Curta C",615,IF(Atletas!Q184="Dao D",616,IF(Atletas!Q184="Jian D",617,IF(Atletas!Q184="Bishou D",618,IF(Atletas!Q184="Shan D",619,IF(Atletas!Q184="Outra Arma Curta D",620,IF(Atletas!Q184="Dao E",621,IF(Atletas!Q184="Jian E",622,IF(Atletas!Q184="Bishou E",623,IF(Atletas!Q184="Shan E",624,IF(Atletas!Q184="Outra Arma Curta E",625,IF(Atletas!Q184="Dao F",626,IF(Atletas!Q184="Jian F",627,IF(Atletas!Q184="Bishou F",628,IF(Atletas!Q184="Shan F",629,IF(Atletas!Q184="Outra Arma Curta F",630, "")))))))))))))))))))))))))))))))</f>
        <v/>
      </c>
      <c r="BT188" s="52" t="str">
        <f>IF(Atletas!R184="","",IF(Atletas!W184&lt;&gt;"",10000,0)+IF(Atletas!B184="Feminino",1000,IF(Atletas!B184="Masculino",2000,""))+IF(Atletas!R184="Gun A",701,IF(Atletas!R184="Qiang A",702,IF(Atletas!R184="Pudao / Guandao A",703,IF(Atletas!R184="Outra Arma Longa A",704,IF(Atletas!R184="Gun B",705,IF(Atletas!R184="Qiang B",706,IF(Atletas!R184="Pudao / Guandao B",707,IF(Atletas!R184="Outra Arma Longa B",708,IF(Atletas!R184="Gun C",709,IF(Atletas!R184="Qiang C",710,IF(Atletas!R184="Pudao / Guandao C",711,IF(Atletas!R184="Outra Arma Longa C",712,IF(Atletas!R184="Gun D",713,IF(Atletas!R184="Qiang D",714,IF(Atletas!R184="Pudao / Guandao D",715,IF(Atletas!R184="Outra Arma Longa D",716,IF(Atletas!R184="Gun E",717,IF(Atletas!R184="Qiang E",718,IF(Atletas!R184="Pudao / Guandao E",719,IF(Atletas!R184="Outra Arma Longa E",720,IF(Atletas!R184="Gun F",721,IF(Atletas!R184="Qiang F",722,IF(Atletas!R184="Pudao / Guandao F",723,IF(Atletas!R184="Outra Arma Longa F",724,"")))))))))))))))))))))))))</f>
        <v/>
      </c>
      <c r="BU188" s="52" t="str">
        <f>IF(Atletas!S184="","",IF(Atletas!W184&lt;&gt;"",10000,0)+IF(Atletas!B184="Feminino",1000,IF(Atletas!B184="Masculino",2000,""))+IF(Atletas!S184="Arma Dupla A",801,IF(Atletas!S184="Arma Maleável A",802,IF(Atletas!S184="Arma Dupla B",803,IF(Atletas!S184="Arma Maleável B",804,IF(Atletas!S184="Arma Dupla C",805,IF(Atletas!S184="Arma Maleável C",806,IF(Atletas!S184="Arma Dupla D",807,IF(Atletas!S184="Arma Maleável D",808,IF(Atletas!S184="Arma Dupla E",809,IF(Atletas!S184="Arma Maleável E",810,IF(Atletas!S184="Arma Dupla F",811,IF(Atletas!S184="Arma Maleável F",812, "")))))))))))))</f>
        <v/>
      </c>
      <c r="BV188" s="52" t="str">
        <f>IF(Atletas!T184="","",IF(Atletas!W184&lt;&gt;"",10000,0)+IF(Atletas!B184="Feminino",1000,IF(Atletas!B184="Masculino",2000,""))+IF(Atletas!T184="Taijijian Yang A",901,IF(Atletas!T184="Taijijian Chen A",902,IF(Atletas!T184="Taijijian Sun A",903,IF(Atletas!T184="Taijijian Wu A",904,IF(Atletas!T184="Taijijian Wu-Hao A",905,IF(Atletas!T184="Taijijian 32 A",906,IF(Atletas!T184="Taijijian 42 A",907,IF(Atletas!T184="Taijijian Yang B",908,IF(Atletas!T184="Taijijian Chen B",909,IF(Atletas!T184="Taijijian Sun B",910,IF(Atletas!T184="Taijijian Wu B",911,IF(Atletas!T184="Taijijian Wu-Hao B",912,IF(Atletas!T184="Taijijian 32 B",913,IF(Atletas!T184="Taijijian 42 B",914,IF(Atletas!T184="Taijijian Yang C",915,IF(Atletas!T184="Taijijian Chen C",916,IF(Atletas!T184="Taijijian Sun C",917,IF(Atletas!T184="Taijijian Wu C",918,IF(Atletas!T184="Taijijian Wu-Hao C",919,IF(Atletas!T184="Taijijian 32 C",920,IF(Atletas!T184="Taijijian 42 C",921,IF(Atletas!T184="Taijijian Yang D",922,IF(Atletas!T184="Taijijian Chen D",923,IF(Atletas!T184="Taijijian Sun D",924,IF(Atletas!T184="Taijijian Wu D",925,IF(Atletas!T184="Taijijian Wu-Hao D",926,IF(Atletas!T184="Taijijian 32 D",927,IF(Atletas!T184="Taijijian 42 D",928,IF(Atletas!T184="Taijijian Yang E",929,IF(Atletas!T184="Taijijian Chen E",930,IF(Atletas!T184="Taijijian Sun E",931,IF(Atletas!T184="Taijijian Wu E",932,IF(Atletas!T184="Taijijian Wu-Hao E",933,IF(Atletas!T184="Taijijian 32 E",934,IF(Atletas!T184="Taijijian 42 E",935,IF(Atletas!T184="Taijijian Yang F",936,IF(Atletas!T184="Taijijian Chen F",937,IF(Atletas!T184="Taijijian Sun F",938,IF(Atletas!T184="Taijijian Wu F",939,IF(Atletas!T184="Taijijian Wu-Hao F",940,IF(Atletas!T184="Taijijian 32 F",941,IF(Atletas!T184="Taijijian 42 F",942,"")))))))))))))))))))))))))))))))))))))))))))</f>
        <v/>
      </c>
      <c r="BW188" s="52" t="str">
        <f>IF(Atletas!U184="","",IF(Atletas!W184&lt;&gt;"",10000,0)+IF(Atletas!B184="Feminino",1000,IF(Atletas!B184="Masculino",2000,""))+IF(Atletas!T184="Taijijian 42 F",942,IF(Atletas!U184="Taijidao A",943,IF(Atletas!U184="Taijishan A",944,IF(Atletas!U184="Taijiqiang A",945,IF(Atletas!U184="Taijidao B",946,IF(Atletas!U184="Taijishan B",947,IF(Atletas!U184="Taijiqiang B",948,IF(Atletas!U184="Taijidao C",949,IF(Atletas!U184="Taijishan C",950,IF(Atletas!U184="Taijiqiang C",951,IF(Atletas!U184="Taijidao D",952,IF(Atletas!U184="Taijishan D",953,IF(Atletas!U184="Taijiqiang D",954,IF(Atletas!U184="Taijidao E",955,IF(Atletas!U184="Taijishan E",956,IF(Atletas!U184="Taijiqiang E",957,IF(Atletas!U184="Taijidao F",958,IF(Atletas!U184="Taijishan F",959,IF(Atletas!U184="Taijiqiang F",960))))))))))))))))))))</f>
        <v/>
      </c>
      <c r="BX188" s="72" t="str">
        <f>IF(BY188&lt;&gt;"","TJQ Padr. Chen D","")</f>
        <v/>
      </c>
      <c r="BY188" s="72" t="str">
        <f>IF(COUNTIF(BK:BW,1420)&gt;0,COUNTIF(BK:BW,1420),"")</f>
        <v/>
      </c>
      <c r="BZ188" s="72" t="str">
        <f>IF(CA188&lt;&gt;"","TJQ Padr. Chen D","")</f>
        <v/>
      </c>
      <c r="CA188" s="72" t="str">
        <f>IF(COUNTIF(BK:BW,2420)&gt;0,COUNTIF(BK:BW,2420),"")</f>
        <v/>
      </c>
      <c r="CB188" s="72" t="str">
        <f>IF(CC188&lt;&gt;"","Cheng Novo B","")</f>
        <v/>
      </c>
      <c r="CC188" s="64" t="str">
        <f>IF(COUNTIF(BK:BW,11420)&gt;0,COUNTIF(BK:BW,11420),"")</f>
        <v/>
      </c>
      <c r="CD188" s="64" t="str">
        <f>IF(CE188&lt;&gt;"","Cheng Novo B","")</f>
        <v/>
      </c>
      <c r="CE188" s="64" t="str">
        <f>IF(COUNTIF(BK:BW,12420)&gt;0,COUNTIF(BK:BW,12420),"")</f>
        <v/>
      </c>
      <c r="CF188" s="52" t="str">
        <f xml:space="preserve"> IF(Atletas!V184="","",IF(Atletas!V184="Duilian de Mãos AB - Equipe 1",1,IF(Atletas!V184="Duilian de Mãos AB - Equipe 2",2,IF(Atletas!V184="Duilian de Armas AB - Equipe 1",3,IF(Atletas!V184="Duilian de Armas AB - Equipe 2",4,IF(Atletas!V184="Duilian de Tuishou - Equipe 1",5,IF(Atletas!V184="Duilian de Tuishou - Equipe 2",6,IF(Atletas!V184="Grupo Externo AB - Equipe 1",7,IF(Atletas!V184="Grupo Externo AB - Equipe 2",8,IF(Atletas!V184="Grupo Interno AB - Equipe 1",9,IF(Atletas!V184="Grupo Interno AB - Equipe 2",10,IF(Atletas!V184="Duilian de Mãos CD - Equipe 1",11,IF(Atletas!V184="Duilian de Mãos CD - Equipe 2",12,IF(Atletas!V184="Duilian de Armas CD - Equipe 1",13,IF(Atletas!V184="Duilian de Armas CD - Equipe 2",14,IF(Atletas!V184="Duilian de Tuishou - Equipe 1",15,IF(Atletas!V184="Duilian de Tuishou - Equipe 2",16,IF(Atletas!V184="Grupo Externo CDEF - Equipe 1",17,IF(Atletas!V184="Grupo Externo CDEF - Equipe 2",18,IF(Atletas!V184="Grupo Interno CDEF - Equipe 1",19,IF(Atletas!V184="Grupo Interno CDEF - Equipe 2",20,IF(Atletas!V184="Duilian de Mãos EF - Equipe 1",21,IF(Atletas!V184="Duilian de Mãos EF - Equipe 2",22,IF(Atletas!V184="Duilian de Armas EF - Equipe 1",23,IF(Atletas!V184="Duilian de Armas EF - Equipe 2",24,IF(Atletas!V184="Duilian de Tuishou - Equipe 1",25,IF(Atletas!V184="Duilian de Tuishou - Equipe 2",26,"")))))))))))))))))))))))))))</f>
        <v/>
      </c>
    </row>
    <row r="189" spans="2:84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 t="str">
        <f t="array" ref="V189">IFERROR(INDEX(BX$7:BX$336,SMALL(IF(BX$7:BX$336&lt;&gt;"",ROW(BX$7:BX$336)-ROW(BX$7)+1),ROWS(BX$7:BX188))),"")</f>
        <v/>
      </c>
      <c r="W189" s="4" t="str">
        <f t="array" ref="W189">IFERROR(INDEX(BY$7:BY$336,SMALL(IF(BY$7:BY$336&lt;&gt;"",ROW(BY$7:BY$336)-ROW(BY$7)+1),ROWS(BY$7:BY188))),"")</f>
        <v/>
      </c>
      <c r="X189" s="4" t="str">
        <f t="array" ref="X189">IFERROR(INDEX(BZ$7:BZ$336,SMALL(IF(BZ$7:BZ$336&lt;&gt;"",ROW(BZ$7:BZ$336)-ROW(BZ$7)+1),ROWS(BZ$7:BZ188))),"")</f>
        <v/>
      </c>
      <c r="Y189" s="4" t="str">
        <f t="array" ref="Y189">IFERROR(INDEX(CA$7:CA$336,SMALL(IF(CA$7:CA$336&lt;&gt;"",ROW(CA$7:CA$336)-ROW(CA$7)+1),ROWS(CA$7:CA188))),"")</f>
        <v/>
      </c>
      <c r="Z189" s="4" t="str">
        <f t="array" ref="Z189">IFERROR(INDEX(CB$7:CB$378,SMALL(IF(CB$7:CB$378&lt;&gt;"",ROW(CB$7:CB$378)-ROW(CB$7)+1),ROWS(CB$7:CB188))),"")</f>
        <v/>
      </c>
      <c r="AA189" s="4" t="str">
        <f t="array" ref="AA189">IFERROR(INDEX(CC$7:CC$378,SMALL(IF(CC$7:CC$378&lt;&gt;"",ROW(CC$7:CC$378)-ROW(CC$7)+1),ROWS(CC$7:CC188))),"")</f>
        <v/>
      </c>
      <c r="AB189" s="4" t="str">
        <f t="array" ref="AB189">IFERROR(INDEX(CD$7:CD$378,SMALL(IF(CD$7:CD$378&lt;&gt;"",ROW(CD$7:CD$378)-ROW(CD$7)+1),ROWS(CD$7:CD188))),"")</f>
        <v/>
      </c>
      <c r="AC189" s="4" t="str">
        <f t="array" ref="AC189">IFERROR(INDEX(CE$7:CE$378,SMALL(IF(CE$7:CE$378&lt;&gt;"",ROW(CE$7:CE$378)-ROW(CE$7)+1),ROWS(CE$7:CE188))),"")</f>
        <v/>
      </c>
      <c r="AD189" s="4"/>
      <c r="AE189" s="4"/>
      <c r="AF189" s="4"/>
      <c r="AG189" s="4"/>
      <c r="AH189" s="4"/>
      <c r="AI189" s="4"/>
      <c r="AJ189" s="46" t="str">
        <f>IF(Atletas!D185="","",IF(Atletas!B185="Feminino",100,IF(Atletas!B185="Masculino",200,""))+(IF(Atletas!D185="Infantil 39kg",1,IF(Atletas!D185="Infantil 42kg",2,IF(Atletas!D185="Infantil 45kg",3,IF(Atletas!D185="Infantil 48kg",4,IF(Atletas!D185="Infantil 52kg",5,IF(Atletas!D185="Infantil 56kg",6,IF(Atletas!D185="Infantil 60kg",7,IF(Atletas!D185="Juvenil 48kg",8,IF(Atletas!D185="Juvenil 52kg",9,IF(Atletas!D185="Juvenil 56kg",10,IF(Atletas!D185="Juvenil 60kg",11,IF(Atletas!D185="Juvenil 65kg",12,IF(Atletas!D185="Juvenil 70kg",13,IF(Atletas!D185="Juvenil 75kg",14,IF(Atletas!D185="Juvenil 80kg",15,IF(Atletas!D185="Adulto 48kg",16,IF(Atletas!D185="Adulto 52kg",17,IF(Atletas!D185="Adulto 56kg",18,IF(Atletas!D185="Adulto 60kg",19,IF(Atletas!D185="Adulto 65kg",20,IF(Atletas!D185="Adulto 70kg",21,IF(Atletas!D185="Adulto 75kg",22,IF(Atletas!D185="Adulto 80kg",23,IF(Atletas!D185="Adulto 85kg",24,IF(Atletas!D185="Adulto 90kg",25,IF(Atletas!D185="Adulto +90kg",26,""))))))))))))))))))))))))))))</f>
        <v/>
      </c>
      <c r="AO189" s="10" t="str">
        <f>IF(Atletas!E185="","",IF(Atletas!B185="Feminino",100,IF(Atletas!B185="Masculino",200,""))+(IF(Atletas!E185="Juvenil 44kg",1,IF(Atletas!E185="Juvenil 48kg",2,IF(Atletas!E185="Juvenil 52kg",3,IF(Atletas!E185="Juvenil 56kg",4,IF(Atletas!E185="Juvenil 60kg",5,IF(Atletas!E185="Juvenil 65kg",6,IF(Atletas!E185="Juvenil 70kg",7,IF(Atletas!E185="Juvenil 75kg",8,IF(Atletas!E185="Juvenil 82kg",9,IF(Atletas!E185="Juvenil 90kg",10,IF(Atletas!E185="Juvenil 100kg",11,IF(Atletas!E185="Adulto 48kg",12,IF(Atletas!E185="Adulto 52kg",13,IF(Atletas!E185="Adulto 56kg",14,IF(Atletas!E185="Adulto 60kg",15,IF(Atletas!E185="Adulto 65kg",16,IF(Atletas!E185="Adulto 70kg",17,IF(Atletas!E185="Adulto 75kg",18,IF(Atletas!E185="Adulto 82kg",19,IF(Atletas!E185="Adulto 90kg",20,IF(Atletas!E185="Adulto 100kg",21,IF(Atletas!E185="Adulto +100kg",22,""))))))))))))))))))))))))</f>
        <v/>
      </c>
      <c r="AT189" s="10" t="str">
        <f>IF(Atletas!F185="","",IF(Atletas!B185="Feminino",100,IF(Atletas!B185="Masculino",200,""))+(IF(Atletas!F185="Adulto 48kg",1,IF(Atletas!F185="Adulto 56kg",2,IF(Atletas!F185="Adulto 65kg",3,IF(Atletas!F185="Adulto 75kg",4,IF(Atletas!F185="Adulto +75kg",5,IF(Atletas!F185="Adulto 52kg",6,IF(Atletas!F185="Adulto 60kg",7,IF(Atletas!F185="Adulto 70kg",8,IF(Atletas!F185="Adulto 80kg",9,IF(Atletas!F185="Adulto 90kg",10,IF(Atletas!F185="Adulto +90kg",11,"")))))))))))))</f>
        <v/>
      </c>
      <c r="AY189" s="46" t="str">
        <f>IF(Atletas!G185="","",IF(Atletas!B185="Feminino",100,IF(Atletas!B185="Masculino",200,""))+(IF(Atletas!G185="Changquan Mirim",1,IF(Atletas!G185="Nanquan Mirim",2,IF(Atletas!G185="Taijiquan Mirim",3,IF(Atletas!G185="Changquan Grupo C",4,IF(Atletas!G185="Nanquan Grupo C",5,IF(Atletas!G185="Taijiquan Grupo C",6,IF(Atletas!G185="Changquan Grupo B",7,IF(Atletas!G185="Nanquan Grupo B",8,IF(Atletas!G185="Taijiquan Grupo B",9,IF(Atletas!G185="Changquan Grupo A",10,IF(Atletas!G185="Nanquan Grupo A",11,IF(Atletas!G185="Taijiquan Grupo A",12,IF(Atletas!G185="Changquan Opcional",13,IF(Atletas!G185="Nanquan Opcional",14,IF(Atletas!G185="Taijiquan Opcional",15,IF(Atletas!G185="Changquan Adulto",16,IF(Atletas!G185="Nanquan Adulto",17,IF(Atletas!G185="Taijiquan Adulto",18,""))))))))))))))))))))</f>
        <v/>
      </c>
      <c r="AZ189" s="46" t="str">
        <f>IF(Atletas!H185="","",IF(Atletas!B185="Feminino",100,IF(Atletas!B185="Masculino",200,""))+(IF(Atletas!H185="Daoshu Mirim",19,IF(Atletas!H185="Jianshu Mirim",20,IF(Atletas!H185="Nandao Mirim",21,IF(Atletas!H185="Taijijian Mirim",22,IF(Atletas!H185="Daoshu Grupo C",23,IF(Atletas!H185="Jianshu Grupo C",24,IF(Atletas!H185="Nandao Grupo C",25,IF(Atletas!H185="Taijijian Grupo C",26,IF(Atletas!H185="Daoshu Grupo B",27,IF(Atletas!H185="Jianshu Grupo B",28,IF(Atletas!H185="Nandao Grupo B",29,IF(Atletas!H185="Taijijian Grupo B",30,IF(Atletas!H185="Daoshu Grupo A",31,IF(Atletas!H185="Jianshu Grupo A",32,IF(Atletas!H185="Nandao Grupo A",33,IF(Atletas!H185="Taijijian Grupo A",34,IF(Atletas!H185="Daoshu Opcional",35,IF(Atletas!H185="Jianshu Opcional",36,IF(Atletas!H185="Nandao Opcional",37,IF(Atletas!H185="Taijijian Opcional",38,IF(Atletas!H185="Daoshu Adulto",39,IF(Atletas!H185="Jianshu Adulto",40,IF(Atletas!H185="Nandao Adulto",41,IF(Atletas!H185="Taijijian Adulto",42,""))))))))))))))))))))))))))</f>
        <v/>
      </c>
      <c r="BA189" s="46" t="str">
        <f>IF(Atletas!I185="","",IF(Atletas!B185="Feminino",100,IF(Atletas!B185="Masculino",200,""))+(IF(Atletas!I185="Gunshu Mirim",43,IF(Atletas!I185="Qiangshu Mirim",44,IF(Atletas!I185="Nangun Mirim",45,IF(Atletas!I185="Gunshu Grupo C",46,IF(Atletas!I185="Qiangshu Grupo C",47,IF(Atletas!I185="Nangun Grupo C",48,IF(Atletas!I185="Gunshu Grupo B",49,IF(Atletas!I185="Qiangshu Grupo B",50,IF(Atletas!I185="Nangun Grupo B",51,IF(Atletas!I185="Gunshu Grupo A",52,IF(Atletas!I185="Qiangshu Grupo A",53,IF(Atletas!I185="Nangun Grupo A",54,IF(Atletas!I185="Gunshu Opcional",55,IF(Atletas!I185="Qiangshu Opcional",56,IF(Atletas!I185="Nangun Opcional",57,IF(Atletas!I185="Gunshu Adulto",58,IF(Atletas!I185="Qiangshu Adulto",59,IF(Atletas!I185="Nangun Adulto",60,""))))))))))))))))))))</f>
        <v/>
      </c>
      <c r="BF189" s="52" t="str">
        <f>IF(Atletas!J185="","",IF(Atletas!B185="Feminino",100,IF(Atletas!B185="Masculino",200,""))+(IF(Atletas!J185="Equipe 1 Grupo B",1,IF(Atletas!J185="Equipe 2 Grupo B",2,IF(Atletas!J185="Equipe 1 Grupo A",3,IF(Atletas!J185="Equipe 2 Grupo A",4,IF(Atletas!J185="Equipe 1 Adulto",5,IF(Atletas!J185="Equipe 2 Adulto",6,""))))))))</f>
        <v/>
      </c>
      <c r="BK189" s="52" t="str">
        <f>IF(Atletas!K185="","",IF(Atletas!W185&lt;&gt;"",10000,0)+(IF(Atletas!B185="Feminino",1000,IF(Atletas!B185="Masculino",2000,""))+IF(Atletas!K185="Choylayfut A",1,IF(Atletas!K185="Hunggar A",2,IF(Atletas!K185="Wuzuquan A",3,IF(Atletas!K185="Wingchun A",4,IF(Atletas!K185="Outra Mão de Sul A",5,IF(Atletas!K185="Choylayfut B",6,IF(Atletas!K185="Hunggar B",7,IF(Atletas!K185="Wuzuquan B",8,IF(Atletas!K185="Wingchun B",9,IF(Atletas!K185="Outra Mão de Sul B",10,IF(Atletas!K185="Choylayfut C",11,IF(Atletas!K185="Hunggar C",12,IF(Atletas!K185="Wuzuquan C",13,IF(Atletas!K185="Wingchun C",14,IF(Atletas!K185="Outra Mão de Sul C",15,IF(Atletas!K185="Choylayfut D",16,IF(Atletas!K185="Hunggar D",17,IF(Atletas!K185="Wuzuquan D",18,IF(Atletas!K185="Wingchun D",19,IF(Atletas!K185="Outra Mão de Sul D",20,IF(Atletas!K185="Choylayfut E",21,IF(Atletas!K185="Hunggar E",22,IF(Atletas!K185="Wuzuquan E",23,IF(Atletas!K185="Wingchun E",24,IF(Atletas!K185="Outra Mão de Sul E",25,IF(Atletas!K185="Choylayfut F",26,IF(Atletas!K185="Hunggar F",27,IF(Atletas!K185="Wuzuquan F",28,IF(Atletas!K185="Wingchun F",29,IF(Atletas!K185="Outra Mão de Sul F",30,""))))))))))))))))))))))))))))))))</f>
        <v/>
      </c>
      <c r="BL189" s="52" t="str">
        <f>IF(Atletas!L185="","",IF(Atletas!W185&lt;&gt;"",10000,0)+(IF(Atletas!B185="Feminino",1000,IF(Atletas!B185="Masculino",2000,""))+(IF(Atletas!L185="Chaquan A",101,IF(Atletas!L185="Emeiquan A",102,IF(Atletas!L185="Fanziquan A",103,IF(Atletas!L185="Huaquan A",104,IF(Atletas!L185="Hongquan A",105,IF(Atletas!L185="Paochui A",106,IF(Atletas!L185="Piguaquan A",107,IF(Atletas!L185="Shaolinquan A",108,IF(Atletas!L185="Tanglangquan A",109,IF(Atletas!L185="Yinzhaophai A",110,IF(Atletas!L185="Tongbeiquan A",111,IF(Atletas!L185="Wudangquan A",112,IF(Atletas!L185="Outros Estilos A",113,IF(Atletas!L185="Chaquan B",114,IF(Atletas!L185="Emeiquan B",115,IF(Atletas!L185="Fanziquan B",116,IF(Atletas!L185="Huaquan B",117,IF(Atletas!L185="Hongquan B",118,IF(Atletas!L185="Paochui B",119,IF(Atletas!L185="Piguaquan B",120,IF(Atletas!L185="Shaolinquan B",121,IF(Atletas!L185="Tanglangquan B",122,IF(Atletas!L185="Yinzhaophai B",123,IF(Atletas!L185="Tongbeiquan B",124,IF(Atletas!L185="Wudangquan B",125,IF(Atletas!L185="Outros Estilos B",126,IF(Atletas!L185="Chaquan C",127,IF(Atletas!L185="Emeiquan C",128,IF(Atletas!L185="Fanziquan C",129,IF(Atletas!L185="Huaquan C",130,IF(Atletas!L185="Hongquan C",131,IF(Atletas!L185="Paochui C",132,IF(Atletas!L185="Piguaquan C",133,IF(Atletas!L185="Shaolinquan C",134,IF(Atletas!L185="Tanglangquan C",135,IF(Atletas!L185="Yinzhaophai C",136,IF(Atletas!L185="Tongbeiquan C",137,IF(Atletas!L185="Wudangquan C",138,IF(Atletas!L185="Outros Estilos C",139,0))))))))))))))))))))))))))))))))))))))))))</f>
        <v/>
      </c>
      <c r="BM189" s="52" t="str">
        <f>IF(Atletas!L185="","",IF(Atletas!W185&lt;&gt;"",10000,0)+(IF(Atletas!B185="Feminino",1000,IF(Atletas!B185="Masculino",2000,""))+(IF(Atletas!L185="Chaquan D",140,IF(Atletas!L185="Emeiquan D",141,IF(Atletas!L185="Fanziquan D",142,IF(Atletas!L185="Huaquan D",143,IF(Atletas!L185="Hongquan D",144,IF(Atletas!L185="Paochui D",145,IF(Atletas!L185="Piguaquan D",146,IF(Atletas!L185="Shaolinquan D",147,IF(Atletas!L185="Tanglangquan D",148,IF(Atletas!L185="Yinzhaophai D",149,IF(Atletas!L185="Tongbeiquan D",150,IF(Atletas!L185="Wudangquan D",151,IF(Atletas!L185="Outros Estilos D",152,IF(Atletas!L185="Chaquan E",153,IF(Atletas!L185="Emeiquan E",154,IF(Atletas!L185="Fanziquan E",155,IF(Atletas!L185="Huaquan E",156,IF(Atletas!L185="Hongquan E",157,IF(Atletas!L185="Paochui E",158,IF(Atletas!L185="Piguaquan E",159,IF(Atletas!L185="Shaolinquan E",160,IF(Atletas!L185="Tanglangquan E",161,IF(Atletas!L185="Yinzhaophai E",162,IF(Atletas!L185="Tongbeiquan E",163,IF(Atletas!L185="Wudangquan E",164,IF(Atletas!L185="Outros Estilos E",165,IF(Atletas!L185="Chaquan F",166,IF(Atletas!L185="Emeiquan F",167,IF(Atletas!L185="Fanziquan F",168,IF(Atletas!L185="Huaquan F",169,IF(Atletas!L185="Hongquan F",170,IF(Atletas!L185="Paochui F",171,IF(Atletas!L185="Piguaquan F",172,IF(Atletas!L185="Shaolinquan F",173,IF(Atletas!L185="Tanglangquan F",174,IF(Atletas!L185="Yinzhaophai F",175,IF(Atletas!L185="Tongbeiquan F",176,IF(Atletas!L185="Wudangquan F",177,IF(Atletas!L185="Outros Estilos F",178,0))))))))))))))))))))))))))))))))))))))))))</f>
        <v/>
      </c>
      <c r="BN189" s="52" t="str">
        <f>IF(Atletas!M185="","",IF(Atletas!W185&lt;&gt;"",10000,0)+(IF(Atletas!B185="Feminino",1000,IF(Atletas!B185="Masculino",2000,""))+(IF(Atletas!M185="Ditangquan A",201,IF(Atletas!M185="Houquan A",202,IF(Atletas!M185="Zuiquan A",203,IF(Atletas!M185="Ditangquan B",204,IF(Atletas!M185="Houquan B",205,IF(Atletas!M185="Zuiquan B",206,IF(Atletas!M185="Ditangquan C",207,IF(Atletas!M185="Houquan C",208,IF(Atletas!M185="Zuiquan C",209,IF(Atletas!M185="Ditangquan D",210,IF(Atletas!M185="Houquan D",211,IF(Atletas!M185="Zuiquan D",212,IF(Atletas!M185="Ditangquan E",213,IF(Atletas!M185="Houquan E",214,IF(Atletas!M185="Zuiquan E",215,IF(Atletas!M185="Ditangquan F",216,IF(Atletas!M185="Houquan F",217,IF(Atletas!M185="Zuiquan F",218,"")))))))))))))))))))))</f>
        <v/>
      </c>
      <c r="BO189" s="52" t="str">
        <f>IF(Atletas!N185="","",IF(Atletas!W185&lt;&gt;"",10000,0)+IF(Atletas!B185="Feminino",1000,IF(Atletas!B185="Masculino",2000,""))+IF(Atletas!N185="Yang A",301,IF(Atletas!N185="Chen A",30,IF(Atletas!N185="Sun A",303,IF(Atletas!N185="Wu A",304,IF(Atletas!N185="Wu-Hao A",305,IF(Atletas!N185="Outro Taijiquan A",306,IF(Atletas!N185="Yang B",307,IF(Atletas!N185="Chen B",308,IF(Atletas!N185="Sun B",309,IF(Atletas!N185="Wu B",310,IF(Atletas!N185="Wu-Hao B",311,IF(Atletas!N185="Outro Taijiquan B",312,IF(Atletas!N185="Yang C",313,IF(Atletas!N185="Chen C",314,IF(Atletas!N185="Sun C",315,IF(Atletas!N185="Wu C",316,IF(Atletas!N185="Wu-Hao C",317,IF(Atletas!N185="Outro Taijiquan C",318,IF(Atletas!N185="Yang D",319,IF(Atletas!N185="Chen D",320,IF(Atletas!N185="Sun D",321,IF(Atletas!N185="Wu D",322,IF(Atletas!N185="Wu-Hao D",323,IF(Atletas!N185="Outro Taijiquan D",324,IF(Atletas!N185="Yang E",325,IF(Atletas!N185="Chen E",326,IF(Atletas!N185="Sun E",327,IF(Atletas!N185="Wu E",328,IF(Atletas!N185="Wu-Hao E",329,IF(Atletas!N185="Outro Taijiquan E",330,IF(Atletas!N185="Yang F",331,IF(Atletas!N185="Chen F",332,IF(Atletas!N185="Sun F",333,IF(Atletas!N185="Wu F",334,IF(Atletas!N185="Wu-Hao F",335,IF(Atletas!N185="Outro Taijiquan F",336,"")))))))))))))))))))))))))))))))))))))</f>
        <v/>
      </c>
      <c r="BP189" s="52" t="str">
        <f>IF(Atletas!O185="","",IF(Atletas!W185&lt;&gt;"",10000,0)+IF(Atletas!B185="Feminino",1000,IF(Atletas!B185="Masculino",2000,""))+IF(OR(Atletas!O185="Yang 26 A",Atletas!O185="Yang 40 A"),401,IF(OR(Atletas!O185="Chen 25 A",Atletas!O185="Chen 36 A",Atletas!O185="Chen 56 A"),402,IF(Atletas!O185="Sun 73 A",403,IF(Atletas!O185="Wu 45 A",404,IF(Atletas!O185="Wu-Hao 46 A",405,IF(OR(Atletas!O185="Taijiquan 16 A",Atletas!O185="Taijiquan 24 A",Atletas!O185="Taijiquan 32 A",Atletas!O185="Taijiquan 42 A"),406,IF(OR(Atletas!O185="Yang 26 B",Atletas!O185="Yang 40 B"),407,IF(OR(Atletas!O185="Chen 25 B",Atletas!O185="Chen 36 B",Atletas!O185="Chen 56 B"),408,IF(Atletas!O185="Sun 73 B",409,IF(Atletas!O185="Wu 45 B",410,IF(Atletas!O185="Wu-Hao 46 B",411,IF(OR(Atletas!O185="Taijiquan 16 B",Atletas!O185="Taijiquan 24 B",Atletas!O185="Taijiquan 32 B",Atletas!O185="Taijiquan 42 B"),412,IF(OR(Atletas!O185="Yang 26 C",Atletas!O185="Yang 40 C"),413,IF(OR(Atletas!O185="Chen 25 C",Atletas!O185="Chen 36 C",Atletas!O185="Chen 56 C"),414,IF(Atletas!O185="Sun 73 C",415,IF(Atletas!O185="Wu 45 C",416,IF(Atletas!O185="Wu-Hao 46 C",417,IF(OR(Atletas!O185="Taijiquan 16 C",Atletas!O185="Taijiquan 24 C",Atletas!O185="Taijiquan 32 C",Atletas!O185="Taijiquan 42 C"),418,0)))))))))))))))))))</f>
        <v/>
      </c>
      <c r="BQ189" s="52" t="str">
        <f>IF(Atletas!O185="","",IF(Atletas!W185&lt;&gt;"",10000,0)+IF(Atletas!B185="Feminino",1000,IF(Atletas!B185="Masculino",2000,""))+IF(OR(Atletas!O185="Yang 26 D",Atletas!O185="Yang 40 D"),419,IF(OR(Atletas!O185="Chen 25 D",Atletas!O185="Chen 36 D",Atletas!O185="Chen 56 D"),420,IF(Atletas!O185="Sun 73 D",421,IF(Atletas!O185="Wu 45 D",422,IF(Atletas!O185="Wu-Hao 46 D",423,IF(OR(Atletas!O185="Taijiquan 16 D",Atletas!O185="Taijiquan 24 D",Atletas!O185="Taijiquan 32 D",Atletas!O185="Taijiquan 42 D"),424,IF(OR(Atletas!O185="Yang 26 E",Atletas!O185="Yang 40 E"),425,IF(OR(Atletas!O185="Chen 25 E",Atletas!O185="Chen 36 E",Atletas!O185="Chen 56 E"),426,IF(Atletas!O185="Sun 73 E",427,IF(Atletas!O185="Wu 45 E",428,IF(Atletas!O185="Wu-Hao 46 E",429,IF(OR(Atletas!O185="Taijiquan 16 E",Atletas!O185="Taijiquan 24 E",Atletas!O185="Taijiquan 32 E",Atletas!O185="Taijiquan 42 E"),430,IF(OR(Atletas!O185="Yang 26 F",Atletas!O185="Yang 40 F"),431,IF(OR(Atletas!O185="Chen 25 F",Atletas!O185="Chen 36 F",Atletas!O185="Chen 56 F"),432,IF(Atletas!O185="Sun 73 F",433,IF(Atletas!O185="Wu 45 F",434,IF(Atletas!O185="Wu-Hao 46 F",435,IF(OR(Atletas!O185="Taijiquan 16 F",Atletas!O185="Taijiquan 24 F",Atletas!O185="Taijiquan 32 F",Atletas!O185="Taijiquan 42 F"),436,0)))))))))))))))))))</f>
        <v/>
      </c>
      <c r="BR189" s="52" t="str">
        <f>IF(Atletas!P185="","",IF(Atletas!W185&lt;&gt;"",10000,0)+IF(Atletas!B185="Feminino",1000,IF(Atletas!B185="Masculino",2000,""))+IF(Atletas!P185="Xingyiquan A",501,IF(Atletas!P185="Baguazhang A",502,IF(Atletas!P185="Outro Estilo Interno A",503,IF(Atletas!P185="Xingyiquan B",504,IF(Atletas!P185="Baguazhang B",505,IF(Atletas!P185="Outro Estilo Interno B",506,IF(Atletas!P185="Xingyiquan C",507,IF(Atletas!P185="Baguazhang C",508,IF(Atletas!P185="Outro Estilo Interno C",509,IF(Atletas!P185="Xingyiquan D",510,IF(Atletas!P185="Baguazhang D",511,IF(Atletas!P185="Outro Estilo Interno D",512,IF(Atletas!P185="Xingyiquan E",513,IF(Atletas!P185="Baguazhang E",514,IF(Atletas!P185="Outro Estilo Interno E",515,IF(Atletas!P185="Xingyiquan F",516,IF(Atletas!P185="Baguazhang F",517,IF(Atletas!P185="Outro Estilo Interno F",518, "")))))))))))))))))))</f>
        <v/>
      </c>
      <c r="BS189" s="52" t="str">
        <f>IF(Atletas!Q185="","",IF(Atletas!W185&lt;&gt;"",10000,0)+IF(Atletas!B185="Feminino",1000,IF(Atletas!B185="Masculino",2000,""))+IF(Atletas!Q185="Dao A",601,IF(Atletas!Q185="Jian A",602,IF(Atletas!Q185="Bishou A",603,IF(Atletas!Q185="Shan A",604,IF(Atletas!Q185="Outra Arma Curta A",605,IF(Atletas!Q185="Dao B",606,IF(Atletas!Q185="Jian B",607,IF(Atletas!Q185="Bishou B",608,IF(Atletas!Q185="Shan B",609,IF(Atletas!Q185="Outra Arma Curta B",610,IF(Atletas!Q185="Dao C",611,IF(Atletas!Q185="Jian C",612,IF(Atletas!Q185="Bishou C",613,IF(Atletas!Q185="Shan C",614,IF(Atletas!Q185="Outra Arma Curta C",615,IF(Atletas!Q185="Dao D",616,IF(Atletas!Q185="Jian D",617,IF(Atletas!Q185="Bishou D",618,IF(Atletas!Q185="Shan D",619,IF(Atletas!Q185="Outra Arma Curta D",620,IF(Atletas!Q185="Dao E",621,IF(Atletas!Q185="Jian E",622,IF(Atletas!Q185="Bishou E",623,IF(Atletas!Q185="Shan E",624,IF(Atletas!Q185="Outra Arma Curta E",625,IF(Atletas!Q185="Dao F",626,IF(Atletas!Q185="Jian F",627,IF(Atletas!Q185="Bishou F",628,IF(Atletas!Q185="Shan F",629,IF(Atletas!Q185="Outra Arma Curta F",630, "")))))))))))))))))))))))))))))))</f>
        <v/>
      </c>
      <c r="BT189" s="52" t="str">
        <f>IF(Atletas!R185="","",IF(Atletas!W185&lt;&gt;"",10000,0)+IF(Atletas!B185="Feminino",1000,IF(Atletas!B185="Masculino",2000,""))+IF(Atletas!R185="Gun A",701,IF(Atletas!R185="Qiang A",702,IF(Atletas!R185="Pudao / Guandao A",703,IF(Atletas!R185="Outra Arma Longa A",704,IF(Atletas!R185="Gun B",705,IF(Atletas!R185="Qiang B",706,IF(Atletas!R185="Pudao / Guandao B",707,IF(Atletas!R185="Outra Arma Longa B",708,IF(Atletas!R185="Gun C",709,IF(Atletas!R185="Qiang C",710,IF(Atletas!R185="Pudao / Guandao C",711,IF(Atletas!R185="Outra Arma Longa C",712,IF(Atletas!R185="Gun D",713,IF(Atletas!R185="Qiang D",714,IF(Atletas!R185="Pudao / Guandao D",715,IF(Atletas!R185="Outra Arma Longa D",716,IF(Atletas!R185="Gun E",717,IF(Atletas!R185="Qiang E",718,IF(Atletas!R185="Pudao / Guandao E",719,IF(Atletas!R185="Outra Arma Longa E",720,IF(Atletas!R185="Gun F",721,IF(Atletas!R185="Qiang F",722,IF(Atletas!R185="Pudao / Guandao F",723,IF(Atletas!R185="Outra Arma Longa F",724,"")))))))))))))))))))))))))</f>
        <v/>
      </c>
      <c r="BU189" s="52" t="str">
        <f>IF(Atletas!S185="","",IF(Atletas!W185&lt;&gt;"",10000,0)+IF(Atletas!B185="Feminino",1000,IF(Atletas!B185="Masculino",2000,""))+IF(Atletas!S185="Arma Dupla A",801,IF(Atletas!S185="Arma Maleável A",802,IF(Atletas!S185="Arma Dupla B",803,IF(Atletas!S185="Arma Maleável B",804,IF(Atletas!S185="Arma Dupla C",805,IF(Atletas!S185="Arma Maleável C",806,IF(Atletas!S185="Arma Dupla D",807,IF(Atletas!S185="Arma Maleável D",808,IF(Atletas!S185="Arma Dupla E",809,IF(Atletas!S185="Arma Maleável E",810,IF(Atletas!S185="Arma Dupla F",811,IF(Atletas!S185="Arma Maleável F",812, "")))))))))))))</f>
        <v/>
      </c>
      <c r="BV189" s="52" t="str">
        <f>IF(Atletas!T185="","",IF(Atletas!W185&lt;&gt;"",10000,0)+IF(Atletas!B185="Feminino",1000,IF(Atletas!B185="Masculino",2000,""))+IF(Atletas!T185="Taijijian Yang A",901,IF(Atletas!T185="Taijijian Chen A",902,IF(Atletas!T185="Taijijian Sun A",903,IF(Atletas!T185="Taijijian Wu A",904,IF(Atletas!T185="Taijijian Wu-Hao A",905,IF(Atletas!T185="Taijijian 32 A",906,IF(Atletas!T185="Taijijian 42 A",907,IF(Atletas!T185="Taijijian Yang B",908,IF(Atletas!T185="Taijijian Chen B",909,IF(Atletas!T185="Taijijian Sun B",910,IF(Atletas!T185="Taijijian Wu B",911,IF(Atletas!T185="Taijijian Wu-Hao B",912,IF(Atletas!T185="Taijijian 32 B",913,IF(Atletas!T185="Taijijian 42 B",914,IF(Atletas!T185="Taijijian Yang C",915,IF(Atletas!T185="Taijijian Chen C",916,IF(Atletas!T185="Taijijian Sun C",917,IF(Atletas!T185="Taijijian Wu C",918,IF(Atletas!T185="Taijijian Wu-Hao C",919,IF(Atletas!T185="Taijijian 32 C",920,IF(Atletas!T185="Taijijian 42 C",921,IF(Atletas!T185="Taijijian Yang D",922,IF(Atletas!T185="Taijijian Chen D",923,IF(Atletas!T185="Taijijian Sun D",924,IF(Atletas!T185="Taijijian Wu D",925,IF(Atletas!T185="Taijijian Wu-Hao D",926,IF(Atletas!T185="Taijijian 32 D",927,IF(Atletas!T185="Taijijian 42 D",928,IF(Atletas!T185="Taijijian Yang E",929,IF(Atletas!T185="Taijijian Chen E",930,IF(Atletas!T185="Taijijian Sun E",931,IF(Atletas!T185="Taijijian Wu E",932,IF(Atletas!T185="Taijijian Wu-Hao E",933,IF(Atletas!T185="Taijijian 32 E",934,IF(Atletas!T185="Taijijian 42 E",935,IF(Atletas!T185="Taijijian Yang F",936,IF(Atletas!T185="Taijijian Chen F",937,IF(Atletas!T185="Taijijian Sun F",938,IF(Atletas!T185="Taijijian Wu F",939,IF(Atletas!T185="Taijijian Wu-Hao F",940,IF(Atletas!T185="Taijijian 32 F",941,IF(Atletas!T185="Taijijian 42 F",942,"")))))))))))))))))))))))))))))))))))))))))))</f>
        <v/>
      </c>
      <c r="BW189" s="52" t="str">
        <f>IF(Atletas!U185="","",IF(Atletas!W185&lt;&gt;"",10000,0)+IF(Atletas!B185="Feminino",1000,IF(Atletas!B185="Masculino",2000,""))+IF(Atletas!T185="Taijijian 42 F",942,IF(Atletas!U185="Taijidao A",943,IF(Atletas!U185="Taijishan A",944,IF(Atletas!U185="Taijiqiang A",945,IF(Atletas!U185="Taijidao B",946,IF(Atletas!U185="Taijishan B",947,IF(Atletas!U185="Taijiqiang B",948,IF(Atletas!U185="Taijidao C",949,IF(Atletas!U185="Taijishan C",950,IF(Atletas!U185="Taijiqiang C",951,IF(Atletas!U185="Taijidao D",952,IF(Atletas!U185="Taijishan D",953,IF(Atletas!U185="Taijiqiang D",954,IF(Atletas!U185="Taijidao E",955,IF(Atletas!U185="Taijishan E",956,IF(Atletas!U185="Taijiqiang E",957,IF(Atletas!U185="Taijidao F",958,IF(Atletas!U185="Taijishan F",959,IF(Atletas!U185="Taijiqiang F",960))))))))))))))))))))</f>
        <v/>
      </c>
      <c r="BX189" s="72" t="str">
        <f>IF(BY189&lt;&gt;"","TJQ Padr. Sun D","")</f>
        <v/>
      </c>
      <c r="BY189" s="72" t="str">
        <f>IF(COUNTIF(BK:BW,1421)&gt;0,COUNTIF(BK:BW,1421),"")</f>
        <v/>
      </c>
      <c r="BZ189" s="72" t="str">
        <f>IF(CA189&lt;&gt;"","TJQ Padr. Sun D","")</f>
        <v/>
      </c>
      <c r="CA189" s="72" t="str">
        <f>IF(COUNTIF(BK:BW,2421)&gt;0,COUNTIF(BK:BW,2421),"")</f>
        <v/>
      </c>
      <c r="CB189" s="72" t="str">
        <f>IF(CC189&lt;&gt;"","Wu 45 B","")</f>
        <v/>
      </c>
      <c r="CC189" s="64" t="str">
        <f>IF(COUNTIF(BK:BW,11421)&gt;0,COUNTIF(BK:BW,11421),"")</f>
        <v/>
      </c>
      <c r="CD189" s="64" t="str">
        <f>IF(CE189&lt;&gt;"","Wu 45 B","")</f>
        <v/>
      </c>
      <c r="CE189" s="64" t="str">
        <f>IF(COUNTIF(BK:BW,12421)&gt;0,COUNTIF(BK:BW,12421),"")</f>
        <v/>
      </c>
      <c r="CF189" s="52" t="str">
        <f xml:space="preserve"> IF(Atletas!V185="","",IF(Atletas!V185="Duilian de Mãos AB - Equipe 1",1,IF(Atletas!V185="Duilian de Mãos AB - Equipe 2",2,IF(Atletas!V185="Duilian de Armas AB - Equipe 1",3,IF(Atletas!V185="Duilian de Armas AB - Equipe 2",4,IF(Atletas!V185="Duilian de Tuishou - Equipe 1",5,IF(Atletas!V185="Duilian de Tuishou - Equipe 2",6,IF(Atletas!V185="Grupo Externo AB - Equipe 1",7,IF(Atletas!V185="Grupo Externo AB - Equipe 2",8,IF(Atletas!V185="Grupo Interno AB - Equipe 1",9,IF(Atletas!V185="Grupo Interno AB - Equipe 2",10,IF(Atletas!V185="Duilian de Mãos CD - Equipe 1",11,IF(Atletas!V185="Duilian de Mãos CD - Equipe 2",12,IF(Atletas!V185="Duilian de Armas CD - Equipe 1",13,IF(Atletas!V185="Duilian de Armas CD - Equipe 2",14,IF(Atletas!V185="Duilian de Tuishou - Equipe 1",15,IF(Atletas!V185="Duilian de Tuishou - Equipe 2",16,IF(Atletas!V185="Grupo Externo CDEF - Equipe 1",17,IF(Atletas!V185="Grupo Externo CDEF - Equipe 2",18,IF(Atletas!V185="Grupo Interno CDEF - Equipe 1",19,IF(Atletas!V185="Grupo Interno CDEF - Equipe 2",20,IF(Atletas!V185="Duilian de Mãos EF - Equipe 1",21,IF(Atletas!V185="Duilian de Mãos EF - Equipe 2",22,IF(Atletas!V185="Duilian de Armas EF - Equipe 1",23,IF(Atletas!V185="Duilian de Armas EF - Equipe 2",24,IF(Atletas!V185="Duilian de Tuishou - Equipe 1",25,IF(Atletas!V185="Duilian de Tuishou - Equipe 2",26,"")))))))))))))))))))))))))))</f>
        <v/>
      </c>
    </row>
    <row r="190" spans="2:84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 t="str">
        <f t="array" ref="V190">IFERROR(INDEX(BX$7:BX$336,SMALL(IF(BX$7:BX$336&lt;&gt;"",ROW(BX$7:BX$336)-ROW(BX$7)+1),ROWS(BX$7:BX189))),"")</f>
        <v/>
      </c>
      <c r="W190" s="4" t="str">
        <f t="array" ref="W190">IFERROR(INDEX(BY$7:BY$336,SMALL(IF(BY$7:BY$336&lt;&gt;"",ROW(BY$7:BY$336)-ROW(BY$7)+1),ROWS(BY$7:BY189))),"")</f>
        <v/>
      </c>
      <c r="X190" s="4" t="str">
        <f t="array" ref="X190">IFERROR(INDEX(BZ$7:BZ$336,SMALL(IF(BZ$7:BZ$336&lt;&gt;"",ROW(BZ$7:BZ$336)-ROW(BZ$7)+1),ROWS(BZ$7:BZ189))),"")</f>
        <v/>
      </c>
      <c r="Y190" s="4" t="str">
        <f t="array" ref="Y190">IFERROR(INDEX(CA$7:CA$336,SMALL(IF(CA$7:CA$336&lt;&gt;"",ROW(CA$7:CA$336)-ROW(CA$7)+1),ROWS(CA$7:CA189))),"")</f>
        <v/>
      </c>
      <c r="Z190" s="4" t="str">
        <f t="array" ref="Z190">IFERROR(INDEX(CB$7:CB$378,SMALL(IF(CB$7:CB$378&lt;&gt;"",ROW(CB$7:CB$378)-ROW(CB$7)+1),ROWS(CB$7:CB189))),"")</f>
        <v/>
      </c>
      <c r="AA190" s="4" t="str">
        <f t="array" ref="AA190">IFERROR(INDEX(CC$7:CC$378,SMALL(IF(CC$7:CC$378&lt;&gt;"",ROW(CC$7:CC$378)-ROW(CC$7)+1),ROWS(CC$7:CC189))),"")</f>
        <v/>
      </c>
      <c r="AB190" s="4" t="str">
        <f t="array" ref="AB190">IFERROR(INDEX(CD$7:CD$378,SMALL(IF(CD$7:CD$378&lt;&gt;"",ROW(CD$7:CD$378)-ROW(CD$7)+1),ROWS(CD$7:CD189))),"")</f>
        <v/>
      </c>
      <c r="AC190" s="4" t="str">
        <f t="array" ref="AC190">IFERROR(INDEX(CE$7:CE$378,SMALL(IF(CE$7:CE$378&lt;&gt;"",ROW(CE$7:CE$378)-ROW(CE$7)+1),ROWS(CE$7:CE189))),"")</f>
        <v/>
      </c>
      <c r="AD190" s="4"/>
      <c r="AE190" s="4"/>
      <c r="AF190" s="4"/>
      <c r="AG190" s="4"/>
      <c r="AH190" s="4"/>
      <c r="AI190" s="4"/>
      <c r="AJ190" s="46" t="str">
        <f>IF(Atletas!D186="","",IF(Atletas!B186="Feminino",100,IF(Atletas!B186="Masculino",200,""))+(IF(Atletas!D186="Infantil 39kg",1,IF(Atletas!D186="Infantil 42kg",2,IF(Atletas!D186="Infantil 45kg",3,IF(Atletas!D186="Infantil 48kg",4,IF(Atletas!D186="Infantil 52kg",5,IF(Atletas!D186="Infantil 56kg",6,IF(Atletas!D186="Infantil 60kg",7,IF(Atletas!D186="Juvenil 48kg",8,IF(Atletas!D186="Juvenil 52kg",9,IF(Atletas!D186="Juvenil 56kg",10,IF(Atletas!D186="Juvenil 60kg",11,IF(Atletas!D186="Juvenil 65kg",12,IF(Atletas!D186="Juvenil 70kg",13,IF(Atletas!D186="Juvenil 75kg",14,IF(Atletas!D186="Juvenil 80kg",15,IF(Atletas!D186="Adulto 48kg",16,IF(Atletas!D186="Adulto 52kg",17,IF(Atletas!D186="Adulto 56kg",18,IF(Atletas!D186="Adulto 60kg",19,IF(Atletas!D186="Adulto 65kg",20,IF(Atletas!D186="Adulto 70kg",21,IF(Atletas!D186="Adulto 75kg",22,IF(Atletas!D186="Adulto 80kg",23,IF(Atletas!D186="Adulto 85kg",24,IF(Atletas!D186="Adulto 90kg",25,IF(Atletas!D186="Adulto +90kg",26,""))))))))))))))))))))))))))))</f>
        <v/>
      </c>
      <c r="AO190" s="10" t="str">
        <f>IF(Atletas!E186="","",IF(Atletas!B186="Feminino",100,IF(Atletas!B186="Masculino",200,""))+(IF(Atletas!E186="Juvenil 44kg",1,IF(Atletas!E186="Juvenil 48kg",2,IF(Atletas!E186="Juvenil 52kg",3,IF(Atletas!E186="Juvenil 56kg",4,IF(Atletas!E186="Juvenil 60kg",5,IF(Atletas!E186="Juvenil 65kg",6,IF(Atletas!E186="Juvenil 70kg",7,IF(Atletas!E186="Juvenil 75kg",8,IF(Atletas!E186="Juvenil 82kg",9,IF(Atletas!E186="Juvenil 90kg",10,IF(Atletas!E186="Juvenil 100kg",11,IF(Atletas!E186="Adulto 48kg",12,IF(Atletas!E186="Adulto 52kg",13,IF(Atletas!E186="Adulto 56kg",14,IF(Atletas!E186="Adulto 60kg",15,IF(Atletas!E186="Adulto 65kg",16,IF(Atletas!E186="Adulto 70kg",17,IF(Atletas!E186="Adulto 75kg",18,IF(Atletas!E186="Adulto 82kg",19,IF(Atletas!E186="Adulto 90kg",20,IF(Atletas!E186="Adulto 100kg",21,IF(Atletas!E186="Adulto +100kg",22,""))))))))))))))))))))))))</f>
        <v/>
      </c>
      <c r="AT190" s="10" t="str">
        <f>IF(Atletas!F186="","",IF(Atletas!B186="Feminino",100,IF(Atletas!B186="Masculino",200,""))+(IF(Atletas!F186="Adulto 48kg",1,IF(Atletas!F186="Adulto 56kg",2,IF(Atletas!F186="Adulto 65kg",3,IF(Atletas!F186="Adulto 75kg",4,IF(Atletas!F186="Adulto +75kg",5,IF(Atletas!F186="Adulto 52kg",6,IF(Atletas!F186="Adulto 60kg",7,IF(Atletas!F186="Adulto 70kg",8,IF(Atletas!F186="Adulto 80kg",9,IF(Atletas!F186="Adulto 90kg",10,IF(Atletas!F186="Adulto +90kg",11,"")))))))))))))</f>
        <v/>
      </c>
      <c r="AY190" s="46" t="str">
        <f>IF(Atletas!G186="","",IF(Atletas!B186="Feminino",100,IF(Atletas!B186="Masculino",200,""))+(IF(Atletas!G186="Changquan Mirim",1,IF(Atletas!G186="Nanquan Mirim",2,IF(Atletas!G186="Taijiquan Mirim",3,IF(Atletas!G186="Changquan Grupo C",4,IF(Atletas!G186="Nanquan Grupo C",5,IF(Atletas!G186="Taijiquan Grupo C",6,IF(Atletas!G186="Changquan Grupo B",7,IF(Atletas!G186="Nanquan Grupo B",8,IF(Atletas!G186="Taijiquan Grupo B",9,IF(Atletas!G186="Changquan Grupo A",10,IF(Atletas!G186="Nanquan Grupo A",11,IF(Atletas!G186="Taijiquan Grupo A",12,IF(Atletas!G186="Changquan Opcional",13,IF(Atletas!G186="Nanquan Opcional",14,IF(Atletas!G186="Taijiquan Opcional",15,IF(Atletas!G186="Changquan Adulto",16,IF(Atletas!G186="Nanquan Adulto",17,IF(Atletas!G186="Taijiquan Adulto",18,""))))))))))))))))))))</f>
        <v/>
      </c>
      <c r="AZ190" s="46" t="str">
        <f>IF(Atletas!H186="","",IF(Atletas!B186="Feminino",100,IF(Atletas!B186="Masculino",200,""))+(IF(Atletas!H186="Daoshu Mirim",19,IF(Atletas!H186="Jianshu Mirim",20,IF(Atletas!H186="Nandao Mirim",21,IF(Atletas!H186="Taijijian Mirim",22,IF(Atletas!H186="Daoshu Grupo C",23,IF(Atletas!H186="Jianshu Grupo C",24,IF(Atletas!H186="Nandao Grupo C",25,IF(Atletas!H186="Taijijian Grupo C",26,IF(Atletas!H186="Daoshu Grupo B",27,IF(Atletas!H186="Jianshu Grupo B",28,IF(Atletas!H186="Nandao Grupo B",29,IF(Atletas!H186="Taijijian Grupo B",30,IF(Atletas!H186="Daoshu Grupo A",31,IF(Atletas!H186="Jianshu Grupo A",32,IF(Atletas!H186="Nandao Grupo A",33,IF(Atletas!H186="Taijijian Grupo A",34,IF(Atletas!H186="Daoshu Opcional",35,IF(Atletas!H186="Jianshu Opcional",36,IF(Atletas!H186="Nandao Opcional",37,IF(Atletas!H186="Taijijian Opcional",38,IF(Atletas!H186="Daoshu Adulto",39,IF(Atletas!H186="Jianshu Adulto",40,IF(Atletas!H186="Nandao Adulto",41,IF(Atletas!H186="Taijijian Adulto",42,""))))))))))))))))))))))))))</f>
        <v/>
      </c>
      <c r="BA190" s="46" t="str">
        <f>IF(Atletas!I186="","",IF(Atletas!B186="Feminino",100,IF(Atletas!B186="Masculino",200,""))+(IF(Atletas!I186="Gunshu Mirim",43,IF(Atletas!I186="Qiangshu Mirim",44,IF(Atletas!I186="Nangun Mirim",45,IF(Atletas!I186="Gunshu Grupo C",46,IF(Atletas!I186="Qiangshu Grupo C",47,IF(Atletas!I186="Nangun Grupo C",48,IF(Atletas!I186="Gunshu Grupo B",49,IF(Atletas!I186="Qiangshu Grupo B",50,IF(Atletas!I186="Nangun Grupo B",51,IF(Atletas!I186="Gunshu Grupo A",52,IF(Atletas!I186="Qiangshu Grupo A",53,IF(Atletas!I186="Nangun Grupo A",54,IF(Atletas!I186="Gunshu Opcional",55,IF(Atletas!I186="Qiangshu Opcional",56,IF(Atletas!I186="Nangun Opcional",57,IF(Atletas!I186="Gunshu Adulto",58,IF(Atletas!I186="Qiangshu Adulto",59,IF(Atletas!I186="Nangun Adulto",60,""))))))))))))))))))))</f>
        <v/>
      </c>
      <c r="BF190" s="52" t="str">
        <f>IF(Atletas!J186="","",IF(Atletas!B186="Feminino",100,IF(Atletas!B186="Masculino",200,""))+(IF(Atletas!J186="Equipe 1 Grupo B",1,IF(Atletas!J186="Equipe 2 Grupo B",2,IF(Atletas!J186="Equipe 1 Grupo A",3,IF(Atletas!J186="Equipe 2 Grupo A",4,IF(Atletas!J186="Equipe 1 Adulto",5,IF(Atletas!J186="Equipe 2 Adulto",6,""))))))))</f>
        <v/>
      </c>
      <c r="BK190" s="52" t="str">
        <f>IF(Atletas!K186="","",IF(Atletas!W186&lt;&gt;"",10000,0)+(IF(Atletas!B186="Feminino",1000,IF(Atletas!B186="Masculino",2000,""))+IF(Atletas!K186="Choylayfut A",1,IF(Atletas!K186="Hunggar A",2,IF(Atletas!K186="Wuzuquan A",3,IF(Atletas!K186="Wingchun A",4,IF(Atletas!K186="Outra Mão de Sul A",5,IF(Atletas!K186="Choylayfut B",6,IF(Atletas!K186="Hunggar B",7,IF(Atletas!K186="Wuzuquan B",8,IF(Atletas!K186="Wingchun B",9,IF(Atletas!K186="Outra Mão de Sul B",10,IF(Atletas!K186="Choylayfut C",11,IF(Atletas!K186="Hunggar C",12,IF(Atletas!K186="Wuzuquan C",13,IF(Atletas!K186="Wingchun C",14,IF(Atletas!K186="Outra Mão de Sul C",15,IF(Atletas!K186="Choylayfut D",16,IF(Atletas!K186="Hunggar D",17,IF(Atletas!K186="Wuzuquan D",18,IF(Atletas!K186="Wingchun D",19,IF(Atletas!K186="Outra Mão de Sul D",20,IF(Atletas!K186="Choylayfut E",21,IF(Atletas!K186="Hunggar E",22,IF(Atletas!K186="Wuzuquan E",23,IF(Atletas!K186="Wingchun E",24,IF(Atletas!K186="Outra Mão de Sul E",25,IF(Atletas!K186="Choylayfut F",26,IF(Atletas!K186="Hunggar F",27,IF(Atletas!K186="Wuzuquan F",28,IF(Atletas!K186="Wingchun F",29,IF(Atletas!K186="Outra Mão de Sul F",30,""))))))))))))))))))))))))))))))))</f>
        <v/>
      </c>
      <c r="BL190" s="52" t="str">
        <f>IF(Atletas!L186="","",IF(Atletas!W186&lt;&gt;"",10000,0)+(IF(Atletas!B186="Feminino",1000,IF(Atletas!B186="Masculino",2000,""))+(IF(Atletas!L186="Chaquan A",101,IF(Atletas!L186="Emeiquan A",102,IF(Atletas!L186="Fanziquan A",103,IF(Atletas!L186="Huaquan A",104,IF(Atletas!L186="Hongquan A",105,IF(Atletas!L186="Paochui A",106,IF(Atletas!L186="Piguaquan A",107,IF(Atletas!L186="Shaolinquan A",108,IF(Atletas!L186="Tanglangquan A",109,IF(Atletas!L186="Yinzhaophai A",110,IF(Atletas!L186="Tongbeiquan A",111,IF(Atletas!L186="Wudangquan A",112,IF(Atletas!L186="Outros Estilos A",113,IF(Atletas!L186="Chaquan B",114,IF(Atletas!L186="Emeiquan B",115,IF(Atletas!L186="Fanziquan B",116,IF(Atletas!L186="Huaquan B",117,IF(Atletas!L186="Hongquan B",118,IF(Atletas!L186="Paochui B",119,IF(Atletas!L186="Piguaquan B",120,IF(Atletas!L186="Shaolinquan B",121,IF(Atletas!L186="Tanglangquan B",122,IF(Atletas!L186="Yinzhaophai B",123,IF(Atletas!L186="Tongbeiquan B",124,IF(Atletas!L186="Wudangquan B",125,IF(Atletas!L186="Outros Estilos B",126,IF(Atletas!L186="Chaquan C",127,IF(Atletas!L186="Emeiquan C",128,IF(Atletas!L186="Fanziquan C",129,IF(Atletas!L186="Huaquan C",130,IF(Atletas!L186="Hongquan C",131,IF(Atletas!L186="Paochui C",132,IF(Atletas!L186="Piguaquan C",133,IF(Atletas!L186="Shaolinquan C",134,IF(Atletas!L186="Tanglangquan C",135,IF(Atletas!L186="Yinzhaophai C",136,IF(Atletas!L186="Tongbeiquan C",137,IF(Atletas!L186="Wudangquan C",138,IF(Atletas!L186="Outros Estilos C",139,0))))))))))))))))))))))))))))))))))))))))))</f>
        <v/>
      </c>
      <c r="BM190" s="52" t="str">
        <f>IF(Atletas!L186="","",IF(Atletas!W186&lt;&gt;"",10000,0)+(IF(Atletas!B186="Feminino",1000,IF(Atletas!B186="Masculino",2000,""))+(IF(Atletas!L186="Chaquan D",140,IF(Atletas!L186="Emeiquan D",141,IF(Atletas!L186="Fanziquan D",142,IF(Atletas!L186="Huaquan D",143,IF(Atletas!L186="Hongquan D",144,IF(Atletas!L186="Paochui D",145,IF(Atletas!L186="Piguaquan D",146,IF(Atletas!L186="Shaolinquan D",147,IF(Atletas!L186="Tanglangquan D",148,IF(Atletas!L186="Yinzhaophai D",149,IF(Atletas!L186="Tongbeiquan D",150,IF(Atletas!L186="Wudangquan D",151,IF(Atletas!L186="Outros Estilos D",152,IF(Atletas!L186="Chaquan E",153,IF(Atletas!L186="Emeiquan E",154,IF(Atletas!L186="Fanziquan E",155,IF(Atletas!L186="Huaquan E",156,IF(Atletas!L186="Hongquan E",157,IF(Atletas!L186="Paochui E",158,IF(Atletas!L186="Piguaquan E",159,IF(Atletas!L186="Shaolinquan E",160,IF(Atletas!L186="Tanglangquan E",161,IF(Atletas!L186="Yinzhaophai E",162,IF(Atletas!L186="Tongbeiquan E",163,IF(Atletas!L186="Wudangquan E",164,IF(Atletas!L186="Outros Estilos E",165,IF(Atletas!L186="Chaquan F",166,IF(Atletas!L186="Emeiquan F",167,IF(Atletas!L186="Fanziquan F",168,IF(Atletas!L186="Huaquan F",169,IF(Atletas!L186="Hongquan F",170,IF(Atletas!L186="Paochui F",171,IF(Atletas!L186="Piguaquan F",172,IF(Atletas!L186="Shaolinquan F",173,IF(Atletas!L186="Tanglangquan F",174,IF(Atletas!L186="Yinzhaophai F",175,IF(Atletas!L186="Tongbeiquan F",176,IF(Atletas!L186="Wudangquan F",177,IF(Atletas!L186="Outros Estilos F",178,0))))))))))))))))))))))))))))))))))))))))))</f>
        <v/>
      </c>
      <c r="BN190" s="52" t="str">
        <f>IF(Atletas!M186="","",IF(Atletas!W186&lt;&gt;"",10000,0)+(IF(Atletas!B186="Feminino",1000,IF(Atletas!B186="Masculino",2000,""))+(IF(Atletas!M186="Ditangquan A",201,IF(Atletas!M186="Houquan A",202,IF(Atletas!M186="Zuiquan A",203,IF(Atletas!M186="Ditangquan B",204,IF(Atletas!M186="Houquan B",205,IF(Atletas!M186="Zuiquan B",206,IF(Atletas!M186="Ditangquan C",207,IF(Atletas!M186="Houquan C",208,IF(Atletas!M186="Zuiquan C",209,IF(Atletas!M186="Ditangquan D",210,IF(Atletas!M186="Houquan D",211,IF(Atletas!M186="Zuiquan D",212,IF(Atletas!M186="Ditangquan E",213,IF(Atletas!M186="Houquan E",214,IF(Atletas!M186="Zuiquan E",215,IF(Atletas!M186="Ditangquan F",216,IF(Atletas!M186="Houquan F",217,IF(Atletas!M186="Zuiquan F",218,"")))))))))))))))))))))</f>
        <v/>
      </c>
      <c r="BO190" s="52" t="str">
        <f>IF(Atletas!N186="","",IF(Atletas!W186&lt;&gt;"",10000,0)+IF(Atletas!B186="Feminino",1000,IF(Atletas!B186="Masculino",2000,""))+IF(Atletas!N186="Yang A",301,IF(Atletas!N186="Chen A",30,IF(Atletas!N186="Sun A",303,IF(Atletas!N186="Wu A",304,IF(Atletas!N186="Wu-Hao A",305,IF(Atletas!N186="Outro Taijiquan A",306,IF(Atletas!N186="Yang B",307,IF(Atletas!N186="Chen B",308,IF(Atletas!N186="Sun B",309,IF(Atletas!N186="Wu B",310,IF(Atletas!N186="Wu-Hao B",311,IF(Atletas!N186="Outro Taijiquan B",312,IF(Atletas!N186="Yang C",313,IF(Atletas!N186="Chen C",314,IF(Atletas!N186="Sun C",315,IF(Atletas!N186="Wu C",316,IF(Atletas!N186="Wu-Hao C",317,IF(Atletas!N186="Outro Taijiquan C",318,IF(Atletas!N186="Yang D",319,IF(Atletas!N186="Chen D",320,IF(Atletas!N186="Sun D",321,IF(Atletas!N186="Wu D",322,IF(Atletas!N186="Wu-Hao D",323,IF(Atletas!N186="Outro Taijiquan D",324,IF(Atletas!N186="Yang E",325,IF(Atletas!N186="Chen E",326,IF(Atletas!N186="Sun E",327,IF(Atletas!N186="Wu E",328,IF(Atletas!N186="Wu-Hao E",329,IF(Atletas!N186="Outro Taijiquan E",330,IF(Atletas!N186="Yang F",331,IF(Atletas!N186="Chen F",332,IF(Atletas!N186="Sun F",333,IF(Atletas!N186="Wu F",334,IF(Atletas!N186="Wu-Hao F",335,IF(Atletas!N186="Outro Taijiquan F",336,"")))))))))))))))))))))))))))))))))))))</f>
        <v/>
      </c>
      <c r="BP190" s="52" t="str">
        <f>IF(Atletas!O186="","",IF(Atletas!W186&lt;&gt;"",10000,0)+IF(Atletas!B186="Feminino",1000,IF(Atletas!B186="Masculino",2000,""))+IF(OR(Atletas!O186="Yang 26 A",Atletas!O186="Yang 40 A"),401,IF(OR(Atletas!O186="Chen 25 A",Atletas!O186="Chen 36 A",Atletas!O186="Chen 56 A"),402,IF(Atletas!O186="Sun 73 A",403,IF(Atletas!O186="Wu 45 A",404,IF(Atletas!O186="Wu-Hao 46 A",405,IF(OR(Atletas!O186="Taijiquan 16 A",Atletas!O186="Taijiquan 24 A",Atletas!O186="Taijiquan 32 A",Atletas!O186="Taijiquan 42 A"),406,IF(OR(Atletas!O186="Yang 26 B",Atletas!O186="Yang 40 B"),407,IF(OR(Atletas!O186="Chen 25 B",Atletas!O186="Chen 36 B",Atletas!O186="Chen 56 B"),408,IF(Atletas!O186="Sun 73 B",409,IF(Atletas!O186="Wu 45 B",410,IF(Atletas!O186="Wu-Hao 46 B",411,IF(OR(Atletas!O186="Taijiquan 16 B",Atletas!O186="Taijiquan 24 B",Atletas!O186="Taijiquan 32 B",Atletas!O186="Taijiquan 42 B"),412,IF(OR(Atletas!O186="Yang 26 C",Atletas!O186="Yang 40 C"),413,IF(OR(Atletas!O186="Chen 25 C",Atletas!O186="Chen 36 C",Atletas!O186="Chen 56 C"),414,IF(Atletas!O186="Sun 73 C",415,IF(Atletas!O186="Wu 45 C",416,IF(Atletas!O186="Wu-Hao 46 C",417,IF(OR(Atletas!O186="Taijiquan 16 C",Atletas!O186="Taijiquan 24 C",Atletas!O186="Taijiquan 32 C",Atletas!O186="Taijiquan 42 C"),418,0)))))))))))))))))))</f>
        <v/>
      </c>
      <c r="BQ190" s="52" t="str">
        <f>IF(Atletas!O186="","",IF(Atletas!W186&lt;&gt;"",10000,0)+IF(Atletas!B186="Feminino",1000,IF(Atletas!B186="Masculino",2000,""))+IF(OR(Atletas!O186="Yang 26 D",Atletas!O186="Yang 40 D"),419,IF(OR(Atletas!O186="Chen 25 D",Atletas!O186="Chen 36 D",Atletas!O186="Chen 56 D"),420,IF(Atletas!O186="Sun 73 D",421,IF(Atletas!O186="Wu 45 D",422,IF(Atletas!O186="Wu-Hao 46 D",423,IF(OR(Atletas!O186="Taijiquan 16 D",Atletas!O186="Taijiquan 24 D",Atletas!O186="Taijiquan 32 D",Atletas!O186="Taijiquan 42 D"),424,IF(OR(Atletas!O186="Yang 26 E",Atletas!O186="Yang 40 E"),425,IF(OR(Atletas!O186="Chen 25 E",Atletas!O186="Chen 36 E",Atletas!O186="Chen 56 E"),426,IF(Atletas!O186="Sun 73 E",427,IF(Atletas!O186="Wu 45 E",428,IF(Atletas!O186="Wu-Hao 46 E",429,IF(OR(Atletas!O186="Taijiquan 16 E",Atletas!O186="Taijiquan 24 E",Atletas!O186="Taijiquan 32 E",Atletas!O186="Taijiquan 42 E"),430,IF(OR(Atletas!O186="Yang 26 F",Atletas!O186="Yang 40 F"),431,IF(OR(Atletas!O186="Chen 25 F",Atletas!O186="Chen 36 F",Atletas!O186="Chen 56 F"),432,IF(Atletas!O186="Sun 73 F",433,IF(Atletas!O186="Wu 45 F",434,IF(Atletas!O186="Wu-Hao 46 F",435,IF(OR(Atletas!O186="Taijiquan 16 F",Atletas!O186="Taijiquan 24 F",Atletas!O186="Taijiquan 32 F",Atletas!O186="Taijiquan 42 F"),436,0)))))))))))))))))))</f>
        <v/>
      </c>
      <c r="BR190" s="52" t="str">
        <f>IF(Atletas!P186="","",IF(Atletas!W186&lt;&gt;"",10000,0)+IF(Atletas!B186="Feminino",1000,IF(Atletas!B186="Masculino",2000,""))+IF(Atletas!P186="Xingyiquan A",501,IF(Atletas!P186="Baguazhang A",502,IF(Atletas!P186="Outro Estilo Interno A",503,IF(Atletas!P186="Xingyiquan B",504,IF(Atletas!P186="Baguazhang B",505,IF(Atletas!P186="Outro Estilo Interno B",506,IF(Atletas!P186="Xingyiquan C",507,IF(Atletas!P186="Baguazhang C",508,IF(Atletas!P186="Outro Estilo Interno C",509,IF(Atletas!P186="Xingyiquan D",510,IF(Atletas!P186="Baguazhang D",511,IF(Atletas!P186="Outro Estilo Interno D",512,IF(Atletas!P186="Xingyiquan E",513,IF(Atletas!P186="Baguazhang E",514,IF(Atletas!P186="Outro Estilo Interno E",515,IF(Atletas!P186="Xingyiquan F",516,IF(Atletas!P186="Baguazhang F",517,IF(Atletas!P186="Outro Estilo Interno F",518, "")))))))))))))))))))</f>
        <v/>
      </c>
      <c r="BS190" s="52" t="str">
        <f>IF(Atletas!Q186="","",IF(Atletas!W186&lt;&gt;"",10000,0)+IF(Atletas!B186="Feminino",1000,IF(Atletas!B186="Masculino",2000,""))+IF(Atletas!Q186="Dao A",601,IF(Atletas!Q186="Jian A",602,IF(Atletas!Q186="Bishou A",603,IF(Atletas!Q186="Shan A",604,IF(Atletas!Q186="Outra Arma Curta A",605,IF(Atletas!Q186="Dao B",606,IF(Atletas!Q186="Jian B",607,IF(Atletas!Q186="Bishou B",608,IF(Atletas!Q186="Shan B",609,IF(Atletas!Q186="Outra Arma Curta B",610,IF(Atletas!Q186="Dao C",611,IF(Atletas!Q186="Jian C",612,IF(Atletas!Q186="Bishou C",613,IF(Atletas!Q186="Shan C",614,IF(Atletas!Q186="Outra Arma Curta C",615,IF(Atletas!Q186="Dao D",616,IF(Atletas!Q186="Jian D",617,IF(Atletas!Q186="Bishou D",618,IF(Atletas!Q186="Shan D",619,IF(Atletas!Q186="Outra Arma Curta D",620,IF(Atletas!Q186="Dao E",621,IF(Atletas!Q186="Jian E",622,IF(Atletas!Q186="Bishou E",623,IF(Atletas!Q186="Shan E",624,IF(Atletas!Q186="Outra Arma Curta E",625,IF(Atletas!Q186="Dao F",626,IF(Atletas!Q186="Jian F",627,IF(Atletas!Q186="Bishou F",628,IF(Atletas!Q186="Shan F",629,IF(Atletas!Q186="Outra Arma Curta F",630, "")))))))))))))))))))))))))))))))</f>
        <v/>
      </c>
      <c r="BT190" s="52" t="str">
        <f>IF(Atletas!R186="","",IF(Atletas!W186&lt;&gt;"",10000,0)+IF(Atletas!B186="Feminino",1000,IF(Atletas!B186="Masculino",2000,""))+IF(Atletas!R186="Gun A",701,IF(Atletas!R186="Qiang A",702,IF(Atletas!R186="Pudao / Guandao A",703,IF(Atletas!R186="Outra Arma Longa A",704,IF(Atletas!R186="Gun B",705,IF(Atletas!R186="Qiang B",706,IF(Atletas!R186="Pudao / Guandao B",707,IF(Atletas!R186="Outra Arma Longa B",708,IF(Atletas!R186="Gun C",709,IF(Atletas!R186="Qiang C",710,IF(Atletas!R186="Pudao / Guandao C",711,IF(Atletas!R186="Outra Arma Longa C",712,IF(Atletas!R186="Gun D",713,IF(Atletas!R186="Qiang D",714,IF(Atletas!R186="Pudao / Guandao D",715,IF(Atletas!R186="Outra Arma Longa D",716,IF(Atletas!R186="Gun E",717,IF(Atletas!R186="Qiang E",718,IF(Atletas!R186="Pudao / Guandao E",719,IF(Atletas!R186="Outra Arma Longa E",720,IF(Atletas!R186="Gun F",721,IF(Atletas!R186="Qiang F",722,IF(Atletas!R186="Pudao / Guandao F",723,IF(Atletas!R186="Outra Arma Longa F",724,"")))))))))))))))))))))))))</f>
        <v/>
      </c>
      <c r="BU190" s="52" t="str">
        <f>IF(Atletas!S186="","",IF(Atletas!W186&lt;&gt;"",10000,0)+IF(Atletas!B186="Feminino",1000,IF(Atletas!B186="Masculino",2000,""))+IF(Atletas!S186="Arma Dupla A",801,IF(Atletas!S186="Arma Maleável A",802,IF(Atletas!S186="Arma Dupla B",803,IF(Atletas!S186="Arma Maleável B",804,IF(Atletas!S186="Arma Dupla C",805,IF(Atletas!S186="Arma Maleável C",806,IF(Atletas!S186="Arma Dupla D",807,IF(Atletas!S186="Arma Maleável D",808,IF(Atletas!S186="Arma Dupla E",809,IF(Atletas!S186="Arma Maleável E",810,IF(Atletas!S186="Arma Dupla F",811,IF(Atletas!S186="Arma Maleável F",812, "")))))))))))))</f>
        <v/>
      </c>
      <c r="BV190" s="52" t="str">
        <f>IF(Atletas!T186="","",IF(Atletas!W186&lt;&gt;"",10000,0)+IF(Atletas!B186="Feminino",1000,IF(Atletas!B186="Masculino",2000,""))+IF(Atletas!T186="Taijijian Yang A",901,IF(Atletas!T186="Taijijian Chen A",902,IF(Atletas!T186="Taijijian Sun A",903,IF(Atletas!T186="Taijijian Wu A",904,IF(Atletas!T186="Taijijian Wu-Hao A",905,IF(Atletas!T186="Taijijian 32 A",906,IF(Atletas!T186="Taijijian 42 A",907,IF(Atletas!T186="Taijijian Yang B",908,IF(Atletas!T186="Taijijian Chen B",909,IF(Atletas!T186="Taijijian Sun B",910,IF(Atletas!T186="Taijijian Wu B",911,IF(Atletas!T186="Taijijian Wu-Hao B",912,IF(Atletas!T186="Taijijian 32 B",913,IF(Atletas!T186="Taijijian 42 B",914,IF(Atletas!T186="Taijijian Yang C",915,IF(Atletas!T186="Taijijian Chen C",916,IF(Atletas!T186="Taijijian Sun C",917,IF(Atletas!T186="Taijijian Wu C",918,IF(Atletas!T186="Taijijian Wu-Hao C",919,IF(Atletas!T186="Taijijian 32 C",920,IF(Atletas!T186="Taijijian 42 C",921,IF(Atletas!T186="Taijijian Yang D",922,IF(Atletas!T186="Taijijian Chen D",923,IF(Atletas!T186="Taijijian Sun D",924,IF(Atletas!T186="Taijijian Wu D",925,IF(Atletas!T186="Taijijian Wu-Hao D",926,IF(Atletas!T186="Taijijian 32 D",927,IF(Atletas!T186="Taijijian 42 D",928,IF(Atletas!T186="Taijijian Yang E",929,IF(Atletas!T186="Taijijian Chen E",930,IF(Atletas!T186="Taijijian Sun E",931,IF(Atletas!T186="Taijijian Wu E",932,IF(Atletas!T186="Taijijian Wu-Hao E",933,IF(Atletas!T186="Taijijian 32 E",934,IF(Atletas!T186="Taijijian 42 E",935,IF(Atletas!T186="Taijijian Yang F",936,IF(Atletas!T186="Taijijian Chen F",937,IF(Atletas!T186="Taijijian Sun F",938,IF(Atletas!T186="Taijijian Wu F",939,IF(Atletas!T186="Taijijian Wu-Hao F",940,IF(Atletas!T186="Taijijian 32 F",941,IF(Atletas!T186="Taijijian 42 F",942,"")))))))))))))))))))))))))))))))))))))))))))</f>
        <v/>
      </c>
      <c r="BW190" s="52" t="str">
        <f>IF(Atletas!U186="","",IF(Atletas!W186&lt;&gt;"",10000,0)+IF(Atletas!B186="Feminino",1000,IF(Atletas!B186="Masculino",2000,""))+IF(Atletas!T186="Taijijian 42 F",942,IF(Atletas!U186="Taijidao A",943,IF(Atletas!U186="Taijishan A",944,IF(Atletas!U186="Taijiqiang A",945,IF(Atletas!U186="Taijidao B",946,IF(Atletas!U186="Taijishan B",947,IF(Atletas!U186="Taijiqiang B",948,IF(Atletas!U186="Taijidao C",949,IF(Atletas!U186="Taijishan C",950,IF(Atletas!U186="Taijiqiang C",951,IF(Atletas!U186="Taijidao D",952,IF(Atletas!U186="Taijishan D",953,IF(Atletas!U186="Taijiqiang D",954,IF(Atletas!U186="Taijidao E",955,IF(Atletas!U186="Taijishan E",956,IF(Atletas!U186="Taijiqiang E",957,IF(Atletas!U186="Taijidao F",958,IF(Atletas!U186="Taijishan F",959,IF(Atletas!U186="Taijiqiang F",960))))))))))))))))))))</f>
        <v/>
      </c>
      <c r="BX190" s="72" t="str">
        <f>IF(BY190&lt;&gt;"","TJQ Padr. Wu D","")</f>
        <v/>
      </c>
      <c r="BY190" s="72" t="str">
        <f>IF(COUNTIF(BK:BW,1422)&gt;0,COUNTIF(BK:BW,1422),"")</f>
        <v/>
      </c>
      <c r="BZ190" s="72" t="str">
        <f>IF(CA190&lt;&gt;"","TJQ Padr. Wu D","")</f>
        <v/>
      </c>
      <c r="CA190" s="72" t="str">
        <f>IF(COUNTIF(BK:BW,2422)&gt;0,COUNTIF(BK:BW,2422),"")</f>
        <v/>
      </c>
      <c r="CB190" s="72" t="str">
        <f>IF(CC190&lt;&gt;"","Wu Novo B","")</f>
        <v/>
      </c>
      <c r="CC190" s="64" t="str">
        <f>IF(COUNTIF(BK:BW,11422)&gt;0,COUNTIF(BK:BW,11422),"")</f>
        <v/>
      </c>
      <c r="CD190" s="64" t="str">
        <f>IF(CE190&lt;&gt;"","Wu Novo B","")</f>
        <v/>
      </c>
      <c r="CE190" s="64" t="str">
        <f>IF(COUNTIF(BK:BW,12422)&gt;0,COUNTIF(BK:BW,12422),"")</f>
        <v/>
      </c>
      <c r="CF190" s="52" t="str">
        <f xml:space="preserve"> IF(Atletas!V186="","",IF(Atletas!V186="Duilian de Mãos AB - Equipe 1",1,IF(Atletas!V186="Duilian de Mãos AB - Equipe 2",2,IF(Atletas!V186="Duilian de Armas AB - Equipe 1",3,IF(Atletas!V186="Duilian de Armas AB - Equipe 2",4,IF(Atletas!V186="Duilian de Tuishou - Equipe 1",5,IF(Atletas!V186="Duilian de Tuishou - Equipe 2",6,IF(Atletas!V186="Grupo Externo AB - Equipe 1",7,IF(Atletas!V186="Grupo Externo AB - Equipe 2",8,IF(Atletas!V186="Grupo Interno AB - Equipe 1",9,IF(Atletas!V186="Grupo Interno AB - Equipe 2",10,IF(Atletas!V186="Duilian de Mãos CD - Equipe 1",11,IF(Atletas!V186="Duilian de Mãos CD - Equipe 2",12,IF(Atletas!V186="Duilian de Armas CD - Equipe 1",13,IF(Atletas!V186="Duilian de Armas CD - Equipe 2",14,IF(Atletas!V186="Duilian de Tuishou - Equipe 1",15,IF(Atletas!V186="Duilian de Tuishou - Equipe 2",16,IF(Atletas!V186="Grupo Externo CDEF - Equipe 1",17,IF(Atletas!V186="Grupo Externo CDEF - Equipe 2",18,IF(Atletas!V186="Grupo Interno CDEF - Equipe 1",19,IF(Atletas!V186="Grupo Interno CDEF - Equipe 2",20,IF(Atletas!V186="Duilian de Mãos EF - Equipe 1",21,IF(Atletas!V186="Duilian de Mãos EF - Equipe 2",22,IF(Atletas!V186="Duilian de Armas EF - Equipe 1",23,IF(Atletas!V186="Duilian de Armas EF - Equipe 2",24,IF(Atletas!V186="Duilian de Tuishou - Equipe 1",25,IF(Atletas!V186="Duilian de Tuishou - Equipe 2",26,"")))))))))))))))))))))))))))</f>
        <v/>
      </c>
    </row>
    <row r="191" spans="2:84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 t="str">
        <f t="array" ref="V191">IFERROR(INDEX(BX$7:BX$336,SMALL(IF(BX$7:BX$336&lt;&gt;"",ROW(BX$7:BX$336)-ROW(BX$7)+1),ROWS(BX$7:BX190))),"")</f>
        <v/>
      </c>
      <c r="W191" s="4" t="str">
        <f t="array" ref="W191">IFERROR(INDEX(BY$7:BY$336,SMALL(IF(BY$7:BY$336&lt;&gt;"",ROW(BY$7:BY$336)-ROW(BY$7)+1),ROWS(BY$7:BY190))),"")</f>
        <v/>
      </c>
      <c r="X191" s="4" t="str">
        <f t="array" ref="X191">IFERROR(INDEX(BZ$7:BZ$336,SMALL(IF(BZ$7:BZ$336&lt;&gt;"",ROW(BZ$7:BZ$336)-ROW(BZ$7)+1),ROWS(BZ$7:BZ190))),"")</f>
        <v/>
      </c>
      <c r="Y191" s="4" t="str">
        <f t="array" ref="Y191">IFERROR(INDEX(CA$7:CA$336,SMALL(IF(CA$7:CA$336&lt;&gt;"",ROW(CA$7:CA$336)-ROW(CA$7)+1),ROWS(CA$7:CA190))),"")</f>
        <v/>
      </c>
      <c r="Z191" s="4" t="str">
        <f t="array" ref="Z191">IFERROR(INDEX(CB$7:CB$378,SMALL(IF(CB$7:CB$378&lt;&gt;"",ROW(CB$7:CB$378)-ROW(CB$7)+1),ROWS(CB$7:CB190))),"")</f>
        <v/>
      </c>
      <c r="AA191" s="4" t="str">
        <f t="array" ref="AA191">IFERROR(INDEX(CC$7:CC$378,SMALL(IF(CC$7:CC$378&lt;&gt;"",ROW(CC$7:CC$378)-ROW(CC$7)+1),ROWS(CC$7:CC190))),"")</f>
        <v/>
      </c>
      <c r="AB191" s="4" t="str">
        <f t="array" ref="AB191">IFERROR(INDEX(CD$7:CD$378,SMALL(IF(CD$7:CD$378&lt;&gt;"",ROW(CD$7:CD$378)-ROW(CD$7)+1),ROWS(CD$7:CD190))),"")</f>
        <v/>
      </c>
      <c r="AC191" s="4" t="str">
        <f t="array" ref="AC191">IFERROR(INDEX(CE$7:CE$378,SMALL(IF(CE$7:CE$378&lt;&gt;"",ROW(CE$7:CE$378)-ROW(CE$7)+1),ROWS(CE$7:CE190))),"")</f>
        <v/>
      </c>
      <c r="AD191" s="4"/>
      <c r="AE191" s="4"/>
      <c r="AF191" s="4"/>
      <c r="AG191" s="4"/>
      <c r="AH191" s="4"/>
      <c r="AI191" s="4"/>
      <c r="AJ191" s="46" t="str">
        <f>IF(Atletas!D187="","",IF(Atletas!B187="Feminino",100,IF(Atletas!B187="Masculino",200,""))+(IF(Atletas!D187="Infantil 39kg",1,IF(Atletas!D187="Infantil 42kg",2,IF(Atletas!D187="Infantil 45kg",3,IF(Atletas!D187="Infantil 48kg",4,IF(Atletas!D187="Infantil 52kg",5,IF(Atletas!D187="Infantil 56kg",6,IF(Atletas!D187="Infantil 60kg",7,IF(Atletas!D187="Juvenil 48kg",8,IF(Atletas!D187="Juvenil 52kg",9,IF(Atletas!D187="Juvenil 56kg",10,IF(Atletas!D187="Juvenil 60kg",11,IF(Atletas!D187="Juvenil 65kg",12,IF(Atletas!D187="Juvenil 70kg",13,IF(Atletas!D187="Juvenil 75kg",14,IF(Atletas!D187="Juvenil 80kg",15,IF(Atletas!D187="Adulto 48kg",16,IF(Atletas!D187="Adulto 52kg",17,IF(Atletas!D187="Adulto 56kg",18,IF(Atletas!D187="Adulto 60kg",19,IF(Atletas!D187="Adulto 65kg",20,IF(Atletas!D187="Adulto 70kg",21,IF(Atletas!D187="Adulto 75kg",22,IF(Atletas!D187="Adulto 80kg",23,IF(Atletas!D187="Adulto 85kg",24,IF(Atletas!D187="Adulto 90kg",25,IF(Atletas!D187="Adulto +90kg",26,""))))))))))))))))))))))))))))</f>
        <v/>
      </c>
      <c r="AO191" s="10" t="str">
        <f>IF(Atletas!E187="","",IF(Atletas!B187="Feminino",100,IF(Atletas!B187="Masculino",200,""))+(IF(Atletas!E187="Juvenil 44kg",1,IF(Atletas!E187="Juvenil 48kg",2,IF(Atletas!E187="Juvenil 52kg",3,IF(Atletas!E187="Juvenil 56kg",4,IF(Atletas!E187="Juvenil 60kg",5,IF(Atletas!E187="Juvenil 65kg",6,IF(Atletas!E187="Juvenil 70kg",7,IF(Atletas!E187="Juvenil 75kg",8,IF(Atletas!E187="Juvenil 82kg",9,IF(Atletas!E187="Juvenil 90kg",10,IF(Atletas!E187="Juvenil 100kg",11,IF(Atletas!E187="Adulto 48kg",12,IF(Atletas!E187="Adulto 52kg",13,IF(Atletas!E187="Adulto 56kg",14,IF(Atletas!E187="Adulto 60kg",15,IF(Atletas!E187="Adulto 65kg",16,IF(Atletas!E187="Adulto 70kg",17,IF(Atletas!E187="Adulto 75kg",18,IF(Atletas!E187="Adulto 82kg",19,IF(Atletas!E187="Adulto 90kg",20,IF(Atletas!E187="Adulto 100kg",21,IF(Atletas!E187="Adulto +100kg",22,""))))))))))))))))))))))))</f>
        <v/>
      </c>
      <c r="AT191" s="10" t="str">
        <f>IF(Atletas!F187="","",IF(Atletas!B187="Feminino",100,IF(Atletas!B187="Masculino",200,""))+(IF(Atletas!F187="Adulto 48kg",1,IF(Atletas!F187="Adulto 56kg",2,IF(Atletas!F187="Adulto 65kg",3,IF(Atletas!F187="Adulto 75kg",4,IF(Atletas!F187="Adulto +75kg",5,IF(Atletas!F187="Adulto 52kg",6,IF(Atletas!F187="Adulto 60kg",7,IF(Atletas!F187="Adulto 70kg",8,IF(Atletas!F187="Adulto 80kg",9,IF(Atletas!F187="Adulto 90kg",10,IF(Atletas!F187="Adulto +90kg",11,"")))))))))))))</f>
        <v/>
      </c>
      <c r="AY191" s="46" t="str">
        <f>IF(Atletas!G187="","",IF(Atletas!B187="Feminino",100,IF(Atletas!B187="Masculino",200,""))+(IF(Atletas!G187="Changquan Mirim",1,IF(Atletas!G187="Nanquan Mirim",2,IF(Atletas!G187="Taijiquan Mirim",3,IF(Atletas!G187="Changquan Grupo C",4,IF(Atletas!G187="Nanquan Grupo C",5,IF(Atletas!G187="Taijiquan Grupo C",6,IF(Atletas!G187="Changquan Grupo B",7,IF(Atletas!G187="Nanquan Grupo B",8,IF(Atletas!G187="Taijiquan Grupo B",9,IF(Atletas!G187="Changquan Grupo A",10,IF(Atletas!G187="Nanquan Grupo A",11,IF(Atletas!G187="Taijiquan Grupo A",12,IF(Atletas!G187="Changquan Opcional",13,IF(Atletas!G187="Nanquan Opcional",14,IF(Atletas!G187="Taijiquan Opcional",15,IF(Atletas!G187="Changquan Adulto",16,IF(Atletas!G187="Nanquan Adulto",17,IF(Atletas!G187="Taijiquan Adulto",18,""))))))))))))))))))))</f>
        <v/>
      </c>
      <c r="AZ191" s="46" t="str">
        <f>IF(Atletas!H187="","",IF(Atletas!B187="Feminino",100,IF(Atletas!B187="Masculino",200,""))+(IF(Atletas!H187="Daoshu Mirim",19,IF(Atletas!H187="Jianshu Mirim",20,IF(Atletas!H187="Nandao Mirim",21,IF(Atletas!H187="Taijijian Mirim",22,IF(Atletas!H187="Daoshu Grupo C",23,IF(Atletas!H187="Jianshu Grupo C",24,IF(Atletas!H187="Nandao Grupo C",25,IF(Atletas!H187="Taijijian Grupo C",26,IF(Atletas!H187="Daoshu Grupo B",27,IF(Atletas!H187="Jianshu Grupo B",28,IF(Atletas!H187="Nandao Grupo B",29,IF(Atletas!H187="Taijijian Grupo B",30,IF(Atletas!H187="Daoshu Grupo A",31,IF(Atletas!H187="Jianshu Grupo A",32,IF(Atletas!H187="Nandao Grupo A",33,IF(Atletas!H187="Taijijian Grupo A",34,IF(Atletas!H187="Daoshu Opcional",35,IF(Atletas!H187="Jianshu Opcional",36,IF(Atletas!H187="Nandao Opcional",37,IF(Atletas!H187="Taijijian Opcional",38,IF(Atletas!H187="Daoshu Adulto",39,IF(Atletas!H187="Jianshu Adulto",40,IF(Atletas!H187="Nandao Adulto",41,IF(Atletas!H187="Taijijian Adulto",42,""))))))))))))))))))))))))))</f>
        <v/>
      </c>
      <c r="BA191" s="46" t="str">
        <f>IF(Atletas!I187="","",IF(Atletas!B187="Feminino",100,IF(Atletas!B187="Masculino",200,""))+(IF(Atletas!I187="Gunshu Mirim",43,IF(Atletas!I187="Qiangshu Mirim",44,IF(Atletas!I187="Nangun Mirim",45,IF(Atletas!I187="Gunshu Grupo C",46,IF(Atletas!I187="Qiangshu Grupo C",47,IF(Atletas!I187="Nangun Grupo C",48,IF(Atletas!I187="Gunshu Grupo B",49,IF(Atletas!I187="Qiangshu Grupo B",50,IF(Atletas!I187="Nangun Grupo B",51,IF(Atletas!I187="Gunshu Grupo A",52,IF(Atletas!I187="Qiangshu Grupo A",53,IF(Atletas!I187="Nangun Grupo A",54,IF(Atletas!I187="Gunshu Opcional",55,IF(Atletas!I187="Qiangshu Opcional",56,IF(Atletas!I187="Nangun Opcional",57,IF(Atletas!I187="Gunshu Adulto",58,IF(Atletas!I187="Qiangshu Adulto",59,IF(Atletas!I187="Nangun Adulto",60,""))))))))))))))))))))</f>
        <v/>
      </c>
      <c r="BF191" s="52" t="str">
        <f>IF(Atletas!J187="","",IF(Atletas!B187="Feminino",100,IF(Atletas!B187="Masculino",200,""))+(IF(Atletas!J187="Equipe 1 Grupo B",1,IF(Atletas!J187="Equipe 2 Grupo B",2,IF(Atletas!J187="Equipe 1 Grupo A",3,IF(Atletas!J187="Equipe 2 Grupo A",4,IF(Atletas!J187="Equipe 1 Adulto",5,IF(Atletas!J187="Equipe 2 Adulto",6,""))))))))</f>
        <v/>
      </c>
      <c r="BK191" s="52" t="str">
        <f>IF(Atletas!K187="","",IF(Atletas!W187&lt;&gt;"",10000,0)+(IF(Atletas!B187="Feminino",1000,IF(Atletas!B187="Masculino",2000,""))+IF(Atletas!K187="Choylayfut A",1,IF(Atletas!K187="Hunggar A",2,IF(Atletas!K187="Wuzuquan A",3,IF(Atletas!K187="Wingchun A",4,IF(Atletas!K187="Outra Mão de Sul A",5,IF(Atletas!K187="Choylayfut B",6,IF(Atletas!K187="Hunggar B",7,IF(Atletas!K187="Wuzuquan B",8,IF(Atletas!K187="Wingchun B",9,IF(Atletas!K187="Outra Mão de Sul B",10,IF(Atletas!K187="Choylayfut C",11,IF(Atletas!K187="Hunggar C",12,IF(Atletas!K187="Wuzuquan C",13,IF(Atletas!K187="Wingchun C",14,IF(Atletas!K187="Outra Mão de Sul C",15,IF(Atletas!K187="Choylayfut D",16,IF(Atletas!K187="Hunggar D",17,IF(Atletas!K187="Wuzuquan D",18,IF(Atletas!K187="Wingchun D",19,IF(Atletas!K187="Outra Mão de Sul D",20,IF(Atletas!K187="Choylayfut E",21,IF(Atletas!K187="Hunggar E",22,IF(Atletas!K187="Wuzuquan E",23,IF(Atletas!K187="Wingchun E",24,IF(Atletas!K187="Outra Mão de Sul E",25,IF(Atletas!K187="Choylayfut F",26,IF(Atletas!K187="Hunggar F",27,IF(Atletas!K187="Wuzuquan F",28,IF(Atletas!K187="Wingchun F",29,IF(Atletas!K187="Outra Mão de Sul F",30,""))))))))))))))))))))))))))))))))</f>
        <v/>
      </c>
      <c r="BL191" s="52" t="str">
        <f>IF(Atletas!L187="","",IF(Atletas!W187&lt;&gt;"",10000,0)+(IF(Atletas!B187="Feminino",1000,IF(Atletas!B187="Masculino",2000,""))+(IF(Atletas!L187="Chaquan A",101,IF(Atletas!L187="Emeiquan A",102,IF(Atletas!L187="Fanziquan A",103,IF(Atletas!L187="Huaquan A",104,IF(Atletas!L187="Hongquan A",105,IF(Atletas!L187="Paochui A",106,IF(Atletas!L187="Piguaquan A",107,IF(Atletas!L187="Shaolinquan A",108,IF(Atletas!L187="Tanglangquan A",109,IF(Atletas!L187="Yinzhaophai A",110,IF(Atletas!L187="Tongbeiquan A",111,IF(Atletas!L187="Wudangquan A",112,IF(Atletas!L187="Outros Estilos A",113,IF(Atletas!L187="Chaquan B",114,IF(Atletas!L187="Emeiquan B",115,IF(Atletas!L187="Fanziquan B",116,IF(Atletas!L187="Huaquan B",117,IF(Atletas!L187="Hongquan B",118,IF(Atletas!L187="Paochui B",119,IF(Atletas!L187="Piguaquan B",120,IF(Atletas!L187="Shaolinquan B",121,IF(Atletas!L187="Tanglangquan B",122,IF(Atletas!L187="Yinzhaophai B",123,IF(Atletas!L187="Tongbeiquan B",124,IF(Atletas!L187="Wudangquan B",125,IF(Atletas!L187="Outros Estilos B",126,IF(Atletas!L187="Chaquan C",127,IF(Atletas!L187="Emeiquan C",128,IF(Atletas!L187="Fanziquan C",129,IF(Atletas!L187="Huaquan C",130,IF(Atletas!L187="Hongquan C",131,IF(Atletas!L187="Paochui C",132,IF(Atletas!L187="Piguaquan C",133,IF(Atletas!L187="Shaolinquan C",134,IF(Atletas!L187="Tanglangquan C",135,IF(Atletas!L187="Yinzhaophai C",136,IF(Atletas!L187="Tongbeiquan C",137,IF(Atletas!L187="Wudangquan C",138,IF(Atletas!L187="Outros Estilos C",139,0))))))))))))))))))))))))))))))))))))))))))</f>
        <v/>
      </c>
      <c r="BM191" s="52" t="str">
        <f>IF(Atletas!L187="","",IF(Atletas!W187&lt;&gt;"",10000,0)+(IF(Atletas!B187="Feminino",1000,IF(Atletas!B187="Masculino",2000,""))+(IF(Atletas!L187="Chaquan D",140,IF(Atletas!L187="Emeiquan D",141,IF(Atletas!L187="Fanziquan D",142,IF(Atletas!L187="Huaquan D",143,IF(Atletas!L187="Hongquan D",144,IF(Atletas!L187="Paochui D",145,IF(Atletas!L187="Piguaquan D",146,IF(Atletas!L187="Shaolinquan D",147,IF(Atletas!L187="Tanglangquan D",148,IF(Atletas!L187="Yinzhaophai D",149,IF(Atletas!L187="Tongbeiquan D",150,IF(Atletas!L187="Wudangquan D",151,IF(Atletas!L187="Outros Estilos D",152,IF(Atletas!L187="Chaquan E",153,IF(Atletas!L187="Emeiquan E",154,IF(Atletas!L187="Fanziquan E",155,IF(Atletas!L187="Huaquan E",156,IF(Atletas!L187="Hongquan E",157,IF(Atletas!L187="Paochui E",158,IF(Atletas!L187="Piguaquan E",159,IF(Atletas!L187="Shaolinquan E",160,IF(Atletas!L187="Tanglangquan E",161,IF(Atletas!L187="Yinzhaophai E",162,IF(Atletas!L187="Tongbeiquan E",163,IF(Atletas!L187="Wudangquan E",164,IF(Atletas!L187="Outros Estilos E",165,IF(Atletas!L187="Chaquan F",166,IF(Atletas!L187="Emeiquan F",167,IF(Atletas!L187="Fanziquan F",168,IF(Atletas!L187="Huaquan F",169,IF(Atletas!L187="Hongquan F",170,IF(Atletas!L187="Paochui F",171,IF(Atletas!L187="Piguaquan F",172,IF(Atletas!L187="Shaolinquan F",173,IF(Atletas!L187="Tanglangquan F",174,IF(Atletas!L187="Yinzhaophai F",175,IF(Atletas!L187="Tongbeiquan F",176,IF(Atletas!L187="Wudangquan F",177,IF(Atletas!L187="Outros Estilos F",178,0))))))))))))))))))))))))))))))))))))))))))</f>
        <v/>
      </c>
      <c r="BN191" s="52" t="str">
        <f>IF(Atletas!M187="","",IF(Atletas!W187&lt;&gt;"",10000,0)+(IF(Atletas!B187="Feminino",1000,IF(Atletas!B187="Masculino",2000,""))+(IF(Atletas!M187="Ditangquan A",201,IF(Atletas!M187="Houquan A",202,IF(Atletas!M187="Zuiquan A",203,IF(Atletas!M187="Ditangquan B",204,IF(Atletas!M187="Houquan B",205,IF(Atletas!M187="Zuiquan B",206,IF(Atletas!M187="Ditangquan C",207,IF(Atletas!M187="Houquan C",208,IF(Atletas!M187="Zuiquan C",209,IF(Atletas!M187="Ditangquan D",210,IF(Atletas!M187="Houquan D",211,IF(Atletas!M187="Zuiquan D",212,IF(Atletas!M187="Ditangquan E",213,IF(Atletas!M187="Houquan E",214,IF(Atletas!M187="Zuiquan E",215,IF(Atletas!M187="Ditangquan F",216,IF(Atletas!M187="Houquan F",217,IF(Atletas!M187="Zuiquan F",218,"")))))))))))))))))))))</f>
        <v/>
      </c>
      <c r="BO191" s="52" t="str">
        <f>IF(Atletas!N187="","",IF(Atletas!W187&lt;&gt;"",10000,0)+IF(Atletas!B187="Feminino",1000,IF(Atletas!B187="Masculino",2000,""))+IF(Atletas!N187="Yang A",301,IF(Atletas!N187="Chen A",30,IF(Atletas!N187="Sun A",303,IF(Atletas!N187="Wu A",304,IF(Atletas!N187="Wu-Hao A",305,IF(Atletas!N187="Outro Taijiquan A",306,IF(Atletas!N187="Yang B",307,IF(Atletas!N187="Chen B",308,IF(Atletas!N187="Sun B",309,IF(Atletas!N187="Wu B",310,IF(Atletas!N187="Wu-Hao B",311,IF(Atletas!N187="Outro Taijiquan B",312,IF(Atletas!N187="Yang C",313,IF(Atletas!N187="Chen C",314,IF(Atletas!N187="Sun C",315,IF(Atletas!N187="Wu C",316,IF(Atletas!N187="Wu-Hao C",317,IF(Atletas!N187="Outro Taijiquan C",318,IF(Atletas!N187="Yang D",319,IF(Atletas!N187="Chen D",320,IF(Atletas!N187="Sun D",321,IF(Atletas!N187="Wu D",322,IF(Atletas!N187="Wu-Hao D",323,IF(Atletas!N187="Outro Taijiquan D",324,IF(Atletas!N187="Yang E",325,IF(Atletas!N187="Chen E",326,IF(Atletas!N187="Sun E",327,IF(Atletas!N187="Wu E",328,IF(Atletas!N187="Wu-Hao E",329,IF(Atletas!N187="Outro Taijiquan E",330,IF(Atletas!N187="Yang F",331,IF(Atletas!N187="Chen F",332,IF(Atletas!N187="Sun F",333,IF(Atletas!N187="Wu F",334,IF(Atletas!N187="Wu-Hao F",335,IF(Atletas!N187="Outro Taijiquan F",336,"")))))))))))))))))))))))))))))))))))))</f>
        <v/>
      </c>
      <c r="BP191" s="52" t="str">
        <f>IF(Atletas!O187="","",IF(Atletas!W187&lt;&gt;"",10000,0)+IF(Atletas!B187="Feminino",1000,IF(Atletas!B187="Masculino",2000,""))+IF(OR(Atletas!O187="Yang 26 A",Atletas!O187="Yang 40 A"),401,IF(OR(Atletas!O187="Chen 25 A",Atletas!O187="Chen 36 A",Atletas!O187="Chen 56 A"),402,IF(Atletas!O187="Sun 73 A",403,IF(Atletas!O187="Wu 45 A",404,IF(Atletas!O187="Wu-Hao 46 A",405,IF(OR(Atletas!O187="Taijiquan 16 A",Atletas!O187="Taijiquan 24 A",Atletas!O187="Taijiquan 32 A",Atletas!O187="Taijiquan 42 A"),406,IF(OR(Atletas!O187="Yang 26 B",Atletas!O187="Yang 40 B"),407,IF(OR(Atletas!O187="Chen 25 B",Atletas!O187="Chen 36 B",Atletas!O187="Chen 56 B"),408,IF(Atletas!O187="Sun 73 B",409,IF(Atletas!O187="Wu 45 B",410,IF(Atletas!O187="Wu-Hao 46 B",411,IF(OR(Atletas!O187="Taijiquan 16 B",Atletas!O187="Taijiquan 24 B",Atletas!O187="Taijiquan 32 B",Atletas!O187="Taijiquan 42 B"),412,IF(OR(Atletas!O187="Yang 26 C",Atletas!O187="Yang 40 C"),413,IF(OR(Atletas!O187="Chen 25 C",Atletas!O187="Chen 36 C",Atletas!O187="Chen 56 C"),414,IF(Atletas!O187="Sun 73 C",415,IF(Atletas!O187="Wu 45 C",416,IF(Atletas!O187="Wu-Hao 46 C",417,IF(OR(Atletas!O187="Taijiquan 16 C",Atletas!O187="Taijiquan 24 C",Atletas!O187="Taijiquan 32 C",Atletas!O187="Taijiquan 42 C"),418,0)))))))))))))))))))</f>
        <v/>
      </c>
      <c r="BQ191" s="52" t="str">
        <f>IF(Atletas!O187="","",IF(Atletas!W187&lt;&gt;"",10000,0)+IF(Atletas!B187="Feminino",1000,IF(Atletas!B187="Masculino",2000,""))+IF(OR(Atletas!O187="Yang 26 D",Atletas!O187="Yang 40 D"),419,IF(OR(Atletas!O187="Chen 25 D",Atletas!O187="Chen 36 D",Atletas!O187="Chen 56 D"),420,IF(Atletas!O187="Sun 73 D",421,IF(Atletas!O187="Wu 45 D",422,IF(Atletas!O187="Wu-Hao 46 D",423,IF(OR(Atletas!O187="Taijiquan 16 D",Atletas!O187="Taijiquan 24 D",Atletas!O187="Taijiquan 32 D",Atletas!O187="Taijiquan 42 D"),424,IF(OR(Atletas!O187="Yang 26 E",Atletas!O187="Yang 40 E"),425,IF(OR(Atletas!O187="Chen 25 E",Atletas!O187="Chen 36 E",Atletas!O187="Chen 56 E"),426,IF(Atletas!O187="Sun 73 E",427,IF(Atletas!O187="Wu 45 E",428,IF(Atletas!O187="Wu-Hao 46 E",429,IF(OR(Atletas!O187="Taijiquan 16 E",Atletas!O187="Taijiquan 24 E",Atletas!O187="Taijiquan 32 E",Atletas!O187="Taijiquan 42 E"),430,IF(OR(Atletas!O187="Yang 26 F",Atletas!O187="Yang 40 F"),431,IF(OR(Atletas!O187="Chen 25 F",Atletas!O187="Chen 36 F",Atletas!O187="Chen 56 F"),432,IF(Atletas!O187="Sun 73 F",433,IF(Atletas!O187="Wu 45 F",434,IF(Atletas!O187="Wu-Hao 46 F",435,IF(OR(Atletas!O187="Taijiquan 16 F",Atletas!O187="Taijiquan 24 F",Atletas!O187="Taijiquan 32 F",Atletas!O187="Taijiquan 42 F"),436,0)))))))))))))))))))</f>
        <v/>
      </c>
      <c r="BR191" s="52" t="str">
        <f>IF(Atletas!P187="","",IF(Atletas!W187&lt;&gt;"",10000,0)+IF(Atletas!B187="Feminino",1000,IF(Atletas!B187="Masculino",2000,""))+IF(Atletas!P187="Xingyiquan A",501,IF(Atletas!P187="Baguazhang A",502,IF(Atletas!P187="Outro Estilo Interno A",503,IF(Atletas!P187="Xingyiquan B",504,IF(Atletas!P187="Baguazhang B",505,IF(Atletas!P187="Outro Estilo Interno B",506,IF(Atletas!P187="Xingyiquan C",507,IF(Atletas!P187="Baguazhang C",508,IF(Atletas!P187="Outro Estilo Interno C",509,IF(Atletas!P187="Xingyiquan D",510,IF(Atletas!P187="Baguazhang D",511,IF(Atletas!P187="Outro Estilo Interno D",512,IF(Atletas!P187="Xingyiquan E",513,IF(Atletas!P187="Baguazhang E",514,IF(Atletas!P187="Outro Estilo Interno E",515,IF(Atletas!P187="Xingyiquan F",516,IF(Atletas!P187="Baguazhang F",517,IF(Atletas!P187="Outro Estilo Interno F",518, "")))))))))))))))))))</f>
        <v/>
      </c>
      <c r="BS191" s="52" t="str">
        <f>IF(Atletas!Q187="","",IF(Atletas!W187&lt;&gt;"",10000,0)+IF(Atletas!B187="Feminino",1000,IF(Atletas!B187="Masculino",2000,""))+IF(Atletas!Q187="Dao A",601,IF(Atletas!Q187="Jian A",602,IF(Atletas!Q187="Bishou A",603,IF(Atletas!Q187="Shan A",604,IF(Atletas!Q187="Outra Arma Curta A",605,IF(Atletas!Q187="Dao B",606,IF(Atletas!Q187="Jian B",607,IF(Atletas!Q187="Bishou B",608,IF(Atletas!Q187="Shan B",609,IF(Atletas!Q187="Outra Arma Curta B",610,IF(Atletas!Q187="Dao C",611,IF(Atletas!Q187="Jian C",612,IF(Atletas!Q187="Bishou C",613,IF(Atletas!Q187="Shan C",614,IF(Atletas!Q187="Outra Arma Curta C",615,IF(Atletas!Q187="Dao D",616,IF(Atletas!Q187="Jian D",617,IF(Atletas!Q187="Bishou D",618,IF(Atletas!Q187="Shan D",619,IF(Atletas!Q187="Outra Arma Curta D",620,IF(Atletas!Q187="Dao E",621,IF(Atletas!Q187="Jian E",622,IF(Atletas!Q187="Bishou E",623,IF(Atletas!Q187="Shan E",624,IF(Atletas!Q187="Outra Arma Curta E",625,IF(Atletas!Q187="Dao F",626,IF(Atletas!Q187="Jian F",627,IF(Atletas!Q187="Bishou F",628,IF(Atletas!Q187="Shan F",629,IF(Atletas!Q187="Outra Arma Curta F",630, "")))))))))))))))))))))))))))))))</f>
        <v/>
      </c>
      <c r="BT191" s="52" t="str">
        <f>IF(Atletas!R187="","",IF(Atletas!W187&lt;&gt;"",10000,0)+IF(Atletas!B187="Feminino",1000,IF(Atletas!B187="Masculino",2000,""))+IF(Atletas!R187="Gun A",701,IF(Atletas!R187="Qiang A",702,IF(Atletas!R187="Pudao / Guandao A",703,IF(Atletas!R187="Outra Arma Longa A",704,IF(Atletas!R187="Gun B",705,IF(Atletas!R187="Qiang B",706,IF(Atletas!R187="Pudao / Guandao B",707,IF(Atletas!R187="Outra Arma Longa B",708,IF(Atletas!R187="Gun C",709,IF(Atletas!R187="Qiang C",710,IF(Atletas!R187="Pudao / Guandao C",711,IF(Atletas!R187="Outra Arma Longa C",712,IF(Atletas!R187="Gun D",713,IF(Atletas!R187="Qiang D",714,IF(Atletas!R187="Pudao / Guandao D",715,IF(Atletas!R187="Outra Arma Longa D",716,IF(Atletas!R187="Gun E",717,IF(Atletas!R187="Qiang E",718,IF(Atletas!R187="Pudao / Guandao E",719,IF(Atletas!R187="Outra Arma Longa E",720,IF(Atletas!R187="Gun F",721,IF(Atletas!R187="Qiang F",722,IF(Atletas!R187="Pudao / Guandao F",723,IF(Atletas!R187="Outra Arma Longa F",724,"")))))))))))))))))))))))))</f>
        <v/>
      </c>
      <c r="BU191" s="52" t="str">
        <f>IF(Atletas!S187="","",IF(Atletas!W187&lt;&gt;"",10000,0)+IF(Atletas!B187="Feminino",1000,IF(Atletas!B187="Masculino",2000,""))+IF(Atletas!S187="Arma Dupla A",801,IF(Atletas!S187="Arma Maleável A",802,IF(Atletas!S187="Arma Dupla B",803,IF(Atletas!S187="Arma Maleável B",804,IF(Atletas!S187="Arma Dupla C",805,IF(Atletas!S187="Arma Maleável C",806,IF(Atletas!S187="Arma Dupla D",807,IF(Atletas!S187="Arma Maleável D",808,IF(Atletas!S187="Arma Dupla E",809,IF(Atletas!S187="Arma Maleável E",810,IF(Atletas!S187="Arma Dupla F",811,IF(Atletas!S187="Arma Maleável F",812, "")))))))))))))</f>
        <v/>
      </c>
      <c r="BV191" s="52" t="str">
        <f>IF(Atletas!T187="","",IF(Atletas!W187&lt;&gt;"",10000,0)+IF(Atletas!B187="Feminino",1000,IF(Atletas!B187="Masculino",2000,""))+IF(Atletas!T187="Taijijian Yang A",901,IF(Atletas!T187="Taijijian Chen A",902,IF(Atletas!T187="Taijijian Sun A",903,IF(Atletas!T187="Taijijian Wu A",904,IF(Atletas!T187="Taijijian Wu-Hao A",905,IF(Atletas!T187="Taijijian 32 A",906,IF(Atletas!T187="Taijijian 42 A",907,IF(Atletas!T187="Taijijian Yang B",908,IF(Atletas!T187="Taijijian Chen B",909,IF(Atletas!T187="Taijijian Sun B",910,IF(Atletas!T187="Taijijian Wu B",911,IF(Atletas!T187="Taijijian Wu-Hao B",912,IF(Atletas!T187="Taijijian 32 B",913,IF(Atletas!T187="Taijijian 42 B",914,IF(Atletas!T187="Taijijian Yang C",915,IF(Atletas!T187="Taijijian Chen C",916,IF(Atletas!T187="Taijijian Sun C",917,IF(Atletas!T187="Taijijian Wu C",918,IF(Atletas!T187="Taijijian Wu-Hao C",919,IF(Atletas!T187="Taijijian 32 C",920,IF(Atletas!T187="Taijijian 42 C",921,IF(Atletas!T187="Taijijian Yang D",922,IF(Atletas!T187="Taijijian Chen D",923,IF(Atletas!T187="Taijijian Sun D",924,IF(Atletas!T187="Taijijian Wu D",925,IF(Atletas!T187="Taijijian Wu-Hao D",926,IF(Atletas!T187="Taijijian 32 D",927,IF(Atletas!T187="Taijijian 42 D",928,IF(Atletas!T187="Taijijian Yang E",929,IF(Atletas!T187="Taijijian Chen E",930,IF(Atletas!T187="Taijijian Sun E",931,IF(Atletas!T187="Taijijian Wu E",932,IF(Atletas!T187="Taijijian Wu-Hao E",933,IF(Atletas!T187="Taijijian 32 E",934,IF(Atletas!T187="Taijijian 42 E",935,IF(Atletas!T187="Taijijian Yang F",936,IF(Atletas!T187="Taijijian Chen F",937,IF(Atletas!T187="Taijijian Sun F",938,IF(Atletas!T187="Taijijian Wu F",939,IF(Atletas!T187="Taijijian Wu-Hao F",940,IF(Atletas!T187="Taijijian 32 F",941,IF(Atletas!T187="Taijijian 42 F",942,"")))))))))))))))))))))))))))))))))))))))))))</f>
        <v/>
      </c>
      <c r="BW191" s="52" t="str">
        <f>IF(Atletas!U187="","",IF(Atletas!W187&lt;&gt;"",10000,0)+IF(Atletas!B187="Feminino",1000,IF(Atletas!B187="Masculino",2000,""))+IF(Atletas!T187="Taijijian 42 F",942,IF(Atletas!U187="Taijidao A",943,IF(Atletas!U187="Taijishan A",944,IF(Atletas!U187="Taijiqiang A",945,IF(Atletas!U187="Taijidao B",946,IF(Atletas!U187="Taijishan B",947,IF(Atletas!U187="Taijiqiang B",948,IF(Atletas!U187="Taijidao C",949,IF(Atletas!U187="Taijishan C",950,IF(Atletas!U187="Taijiqiang C",951,IF(Atletas!U187="Taijidao D",952,IF(Atletas!U187="Taijishan D",953,IF(Atletas!U187="Taijiqiang D",954,IF(Atletas!U187="Taijidao E",955,IF(Atletas!U187="Taijishan E",956,IF(Atletas!U187="Taijiqiang E",957,IF(Atletas!U187="Taijidao F",958,IF(Atletas!U187="Taijishan F",959,IF(Atletas!U187="Taijiqiang F",960))))))))))))))))))))</f>
        <v/>
      </c>
      <c r="BX191" s="72" t="str">
        <f>IF(BY191&lt;&gt;"","TJQ Padr. Wu-Hao D","")</f>
        <v/>
      </c>
      <c r="BY191" s="72" t="str">
        <f>IF(COUNTIF(BK:BW,1423)&gt;0,COUNTIF(BK:BW,1423),"")</f>
        <v/>
      </c>
      <c r="BZ191" s="72" t="str">
        <f>IF(CA191&lt;&gt;"","TJQ Padr. Wu-Hao D","")</f>
        <v/>
      </c>
      <c r="CA191" s="72" t="str">
        <f>IF(COUNTIF(BK:BW,2423)&gt;0,COUNTIF(BK:BW,2423),"")</f>
        <v/>
      </c>
      <c r="CB191" s="72" t="str">
        <f>IF(CC191&lt;&gt;"","Wu-Hao 46 B","")</f>
        <v/>
      </c>
      <c r="CC191" s="64" t="str">
        <f>IF(COUNTIF(BK:BW,11423)&gt;0,COUNTIF(BK:BW,11423),"")</f>
        <v/>
      </c>
      <c r="CD191" s="64" t="str">
        <f>IF(CE191&lt;&gt;"","Wu-Hao 46 B","")</f>
        <v/>
      </c>
      <c r="CE191" s="64" t="str">
        <f>IF(COUNTIF(BK:BW,12423)&gt;0,COUNTIF(BK:BW,12423),"")</f>
        <v/>
      </c>
      <c r="CF191" s="52" t="str">
        <f xml:space="preserve"> IF(Atletas!V187="","",IF(Atletas!V187="Duilian de Mãos AB - Equipe 1",1,IF(Atletas!V187="Duilian de Mãos AB - Equipe 2",2,IF(Atletas!V187="Duilian de Armas AB - Equipe 1",3,IF(Atletas!V187="Duilian de Armas AB - Equipe 2",4,IF(Atletas!V187="Duilian de Tuishou - Equipe 1",5,IF(Atletas!V187="Duilian de Tuishou - Equipe 2",6,IF(Atletas!V187="Grupo Externo AB - Equipe 1",7,IF(Atletas!V187="Grupo Externo AB - Equipe 2",8,IF(Atletas!V187="Grupo Interno AB - Equipe 1",9,IF(Atletas!V187="Grupo Interno AB - Equipe 2",10,IF(Atletas!V187="Duilian de Mãos CD - Equipe 1",11,IF(Atletas!V187="Duilian de Mãos CD - Equipe 2",12,IF(Atletas!V187="Duilian de Armas CD - Equipe 1",13,IF(Atletas!V187="Duilian de Armas CD - Equipe 2",14,IF(Atletas!V187="Duilian de Tuishou - Equipe 1",15,IF(Atletas!V187="Duilian de Tuishou - Equipe 2",16,IF(Atletas!V187="Grupo Externo CDEF - Equipe 1",17,IF(Atletas!V187="Grupo Externo CDEF - Equipe 2",18,IF(Atletas!V187="Grupo Interno CDEF - Equipe 1",19,IF(Atletas!V187="Grupo Interno CDEF - Equipe 2",20,IF(Atletas!V187="Duilian de Mãos EF - Equipe 1",21,IF(Atletas!V187="Duilian de Mãos EF - Equipe 2",22,IF(Atletas!V187="Duilian de Armas EF - Equipe 1",23,IF(Atletas!V187="Duilian de Armas EF - Equipe 2",24,IF(Atletas!V187="Duilian de Tuishou - Equipe 1",25,IF(Atletas!V187="Duilian de Tuishou - Equipe 2",26,"")))))))))))))))))))))))))))</f>
        <v/>
      </c>
    </row>
    <row r="192" spans="2:84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 t="str">
        <f t="array" ref="V192">IFERROR(INDEX(BX$7:BX$336,SMALL(IF(BX$7:BX$336&lt;&gt;"",ROW(BX$7:BX$336)-ROW(BX$7)+1),ROWS(BX$7:BX191))),"")</f>
        <v/>
      </c>
      <c r="W192" s="4" t="str">
        <f t="array" ref="W192">IFERROR(INDEX(BY$7:BY$336,SMALL(IF(BY$7:BY$336&lt;&gt;"",ROW(BY$7:BY$336)-ROW(BY$7)+1),ROWS(BY$7:BY191))),"")</f>
        <v/>
      </c>
      <c r="X192" s="4" t="str">
        <f t="array" ref="X192">IFERROR(INDEX(BZ$7:BZ$336,SMALL(IF(BZ$7:BZ$336&lt;&gt;"",ROW(BZ$7:BZ$336)-ROW(BZ$7)+1),ROWS(BZ$7:BZ191))),"")</f>
        <v/>
      </c>
      <c r="Y192" s="4" t="str">
        <f t="array" ref="Y192">IFERROR(INDEX(CA$7:CA$336,SMALL(IF(CA$7:CA$336&lt;&gt;"",ROW(CA$7:CA$336)-ROW(CA$7)+1),ROWS(CA$7:CA191))),"")</f>
        <v/>
      </c>
      <c r="Z192" s="4" t="str">
        <f t="array" ref="Z192">IFERROR(INDEX(CB$7:CB$378,SMALL(IF(CB$7:CB$378&lt;&gt;"",ROW(CB$7:CB$378)-ROW(CB$7)+1),ROWS(CB$7:CB191))),"")</f>
        <v/>
      </c>
      <c r="AA192" s="4" t="str">
        <f t="array" ref="AA192">IFERROR(INDEX(CC$7:CC$378,SMALL(IF(CC$7:CC$378&lt;&gt;"",ROW(CC$7:CC$378)-ROW(CC$7)+1),ROWS(CC$7:CC191))),"")</f>
        <v/>
      </c>
      <c r="AB192" s="4" t="str">
        <f t="array" ref="AB192">IFERROR(INDEX(CD$7:CD$378,SMALL(IF(CD$7:CD$378&lt;&gt;"",ROW(CD$7:CD$378)-ROW(CD$7)+1),ROWS(CD$7:CD191))),"")</f>
        <v/>
      </c>
      <c r="AC192" s="4" t="str">
        <f t="array" ref="AC192">IFERROR(INDEX(CE$7:CE$378,SMALL(IF(CE$7:CE$378&lt;&gt;"",ROW(CE$7:CE$378)-ROW(CE$7)+1),ROWS(CE$7:CE191))),"")</f>
        <v/>
      </c>
      <c r="AD192" s="4"/>
      <c r="AE192" s="4"/>
      <c r="AF192" s="4"/>
      <c r="AG192" s="4"/>
      <c r="AH192" s="4"/>
      <c r="AI192" s="4"/>
      <c r="AJ192" s="46" t="str">
        <f>IF(Atletas!D188="","",IF(Atletas!B188="Feminino",100,IF(Atletas!B188="Masculino",200,""))+(IF(Atletas!D188="Infantil 39kg",1,IF(Atletas!D188="Infantil 42kg",2,IF(Atletas!D188="Infantil 45kg",3,IF(Atletas!D188="Infantil 48kg",4,IF(Atletas!D188="Infantil 52kg",5,IF(Atletas!D188="Infantil 56kg",6,IF(Atletas!D188="Infantil 60kg",7,IF(Atletas!D188="Juvenil 48kg",8,IF(Atletas!D188="Juvenil 52kg",9,IF(Atletas!D188="Juvenil 56kg",10,IF(Atletas!D188="Juvenil 60kg",11,IF(Atletas!D188="Juvenil 65kg",12,IF(Atletas!D188="Juvenil 70kg",13,IF(Atletas!D188="Juvenil 75kg",14,IF(Atletas!D188="Juvenil 80kg",15,IF(Atletas!D188="Adulto 48kg",16,IF(Atletas!D188="Adulto 52kg",17,IF(Atletas!D188="Adulto 56kg",18,IF(Atletas!D188="Adulto 60kg",19,IF(Atletas!D188="Adulto 65kg",20,IF(Atletas!D188="Adulto 70kg",21,IF(Atletas!D188="Adulto 75kg",22,IF(Atletas!D188="Adulto 80kg",23,IF(Atletas!D188="Adulto 85kg",24,IF(Atletas!D188="Adulto 90kg",25,IF(Atletas!D188="Adulto +90kg",26,""))))))))))))))))))))))))))))</f>
        <v/>
      </c>
      <c r="AO192" s="10" t="str">
        <f>IF(Atletas!E188="","",IF(Atletas!B188="Feminino",100,IF(Atletas!B188="Masculino",200,""))+(IF(Atletas!E188="Juvenil 44kg",1,IF(Atletas!E188="Juvenil 48kg",2,IF(Atletas!E188="Juvenil 52kg",3,IF(Atletas!E188="Juvenil 56kg",4,IF(Atletas!E188="Juvenil 60kg",5,IF(Atletas!E188="Juvenil 65kg",6,IF(Atletas!E188="Juvenil 70kg",7,IF(Atletas!E188="Juvenil 75kg",8,IF(Atletas!E188="Juvenil 82kg",9,IF(Atletas!E188="Juvenil 90kg",10,IF(Atletas!E188="Juvenil 100kg",11,IF(Atletas!E188="Adulto 48kg",12,IF(Atletas!E188="Adulto 52kg",13,IF(Atletas!E188="Adulto 56kg",14,IF(Atletas!E188="Adulto 60kg",15,IF(Atletas!E188="Adulto 65kg",16,IF(Atletas!E188="Adulto 70kg",17,IF(Atletas!E188="Adulto 75kg",18,IF(Atletas!E188="Adulto 82kg",19,IF(Atletas!E188="Adulto 90kg",20,IF(Atletas!E188="Adulto 100kg",21,IF(Atletas!E188="Adulto +100kg",22,""))))))))))))))))))))))))</f>
        <v/>
      </c>
      <c r="AT192" s="10" t="str">
        <f>IF(Atletas!F188="","",IF(Atletas!B188="Feminino",100,IF(Atletas!B188="Masculino",200,""))+(IF(Atletas!F188="Adulto 48kg",1,IF(Atletas!F188="Adulto 56kg",2,IF(Atletas!F188="Adulto 65kg",3,IF(Atletas!F188="Adulto 75kg",4,IF(Atletas!F188="Adulto +75kg",5,IF(Atletas!F188="Adulto 52kg",6,IF(Atletas!F188="Adulto 60kg",7,IF(Atletas!F188="Adulto 70kg",8,IF(Atletas!F188="Adulto 80kg",9,IF(Atletas!F188="Adulto 90kg",10,IF(Atletas!F188="Adulto +90kg",11,"")))))))))))))</f>
        <v/>
      </c>
      <c r="AY192" s="46" t="str">
        <f>IF(Atletas!G188="","",IF(Atletas!B188="Feminino",100,IF(Atletas!B188="Masculino",200,""))+(IF(Atletas!G188="Changquan Mirim",1,IF(Atletas!G188="Nanquan Mirim",2,IF(Atletas!G188="Taijiquan Mirim",3,IF(Atletas!G188="Changquan Grupo C",4,IF(Atletas!G188="Nanquan Grupo C",5,IF(Atletas!G188="Taijiquan Grupo C",6,IF(Atletas!G188="Changquan Grupo B",7,IF(Atletas!G188="Nanquan Grupo B",8,IF(Atletas!G188="Taijiquan Grupo B",9,IF(Atletas!G188="Changquan Grupo A",10,IF(Atletas!G188="Nanquan Grupo A",11,IF(Atletas!G188="Taijiquan Grupo A",12,IF(Atletas!G188="Changquan Opcional",13,IF(Atletas!G188="Nanquan Opcional",14,IF(Atletas!G188="Taijiquan Opcional",15,IF(Atletas!G188="Changquan Adulto",16,IF(Atletas!G188="Nanquan Adulto",17,IF(Atletas!G188="Taijiquan Adulto",18,""))))))))))))))))))))</f>
        <v/>
      </c>
      <c r="AZ192" s="46" t="str">
        <f>IF(Atletas!H188="","",IF(Atletas!B188="Feminino",100,IF(Atletas!B188="Masculino",200,""))+(IF(Atletas!H188="Daoshu Mirim",19,IF(Atletas!H188="Jianshu Mirim",20,IF(Atletas!H188="Nandao Mirim",21,IF(Atletas!H188="Taijijian Mirim",22,IF(Atletas!H188="Daoshu Grupo C",23,IF(Atletas!H188="Jianshu Grupo C",24,IF(Atletas!H188="Nandao Grupo C",25,IF(Atletas!H188="Taijijian Grupo C",26,IF(Atletas!H188="Daoshu Grupo B",27,IF(Atletas!H188="Jianshu Grupo B",28,IF(Atletas!H188="Nandao Grupo B",29,IF(Atletas!H188="Taijijian Grupo B",30,IF(Atletas!H188="Daoshu Grupo A",31,IF(Atletas!H188="Jianshu Grupo A",32,IF(Atletas!H188="Nandao Grupo A",33,IF(Atletas!H188="Taijijian Grupo A",34,IF(Atletas!H188="Daoshu Opcional",35,IF(Atletas!H188="Jianshu Opcional",36,IF(Atletas!H188="Nandao Opcional",37,IF(Atletas!H188="Taijijian Opcional",38,IF(Atletas!H188="Daoshu Adulto",39,IF(Atletas!H188="Jianshu Adulto",40,IF(Atletas!H188="Nandao Adulto",41,IF(Atletas!H188="Taijijian Adulto",42,""))))))))))))))))))))))))))</f>
        <v/>
      </c>
      <c r="BA192" s="46" t="str">
        <f>IF(Atletas!I188="","",IF(Atletas!B188="Feminino",100,IF(Atletas!B188="Masculino",200,""))+(IF(Atletas!I188="Gunshu Mirim",43,IF(Atletas!I188="Qiangshu Mirim",44,IF(Atletas!I188="Nangun Mirim",45,IF(Atletas!I188="Gunshu Grupo C",46,IF(Atletas!I188="Qiangshu Grupo C",47,IF(Atletas!I188="Nangun Grupo C",48,IF(Atletas!I188="Gunshu Grupo B",49,IF(Atletas!I188="Qiangshu Grupo B",50,IF(Atletas!I188="Nangun Grupo B",51,IF(Atletas!I188="Gunshu Grupo A",52,IF(Atletas!I188="Qiangshu Grupo A",53,IF(Atletas!I188="Nangun Grupo A",54,IF(Atletas!I188="Gunshu Opcional",55,IF(Atletas!I188="Qiangshu Opcional",56,IF(Atletas!I188="Nangun Opcional",57,IF(Atletas!I188="Gunshu Adulto",58,IF(Atletas!I188="Qiangshu Adulto",59,IF(Atletas!I188="Nangun Adulto",60,""))))))))))))))))))))</f>
        <v/>
      </c>
      <c r="BF192" s="52" t="str">
        <f>IF(Atletas!J188="","",IF(Atletas!B188="Feminino",100,IF(Atletas!B188="Masculino",200,""))+(IF(Atletas!J188="Equipe 1 Grupo B",1,IF(Atletas!J188="Equipe 2 Grupo B",2,IF(Atletas!J188="Equipe 1 Grupo A",3,IF(Atletas!J188="Equipe 2 Grupo A",4,IF(Atletas!J188="Equipe 1 Adulto",5,IF(Atletas!J188="Equipe 2 Adulto",6,""))))))))</f>
        <v/>
      </c>
      <c r="BK192" s="52" t="str">
        <f>IF(Atletas!K188="","",IF(Atletas!W188&lt;&gt;"",10000,0)+(IF(Atletas!B188="Feminino",1000,IF(Atletas!B188="Masculino",2000,""))+IF(Atletas!K188="Choylayfut A",1,IF(Atletas!K188="Hunggar A",2,IF(Atletas!K188="Wuzuquan A",3,IF(Atletas!K188="Wingchun A",4,IF(Atletas!K188="Outra Mão de Sul A",5,IF(Atletas!K188="Choylayfut B",6,IF(Atletas!K188="Hunggar B",7,IF(Atletas!K188="Wuzuquan B",8,IF(Atletas!K188="Wingchun B",9,IF(Atletas!K188="Outra Mão de Sul B",10,IF(Atletas!K188="Choylayfut C",11,IF(Atletas!K188="Hunggar C",12,IF(Atletas!K188="Wuzuquan C",13,IF(Atletas!K188="Wingchun C",14,IF(Atletas!K188="Outra Mão de Sul C",15,IF(Atletas!K188="Choylayfut D",16,IF(Atletas!K188="Hunggar D",17,IF(Atletas!K188="Wuzuquan D",18,IF(Atletas!K188="Wingchun D",19,IF(Atletas!K188="Outra Mão de Sul D",20,IF(Atletas!K188="Choylayfut E",21,IF(Atletas!K188="Hunggar E",22,IF(Atletas!K188="Wuzuquan E",23,IF(Atletas!K188="Wingchun E",24,IF(Atletas!K188="Outra Mão de Sul E",25,IF(Atletas!K188="Choylayfut F",26,IF(Atletas!K188="Hunggar F",27,IF(Atletas!K188="Wuzuquan F",28,IF(Atletas!K188="Wingchun F",29,IF(Atletas!K188="Outra Mão de Sul F",30,""))))))))))))))))))))))))))))))))</f>
        <v/>
      </c>
      <c r="BL192" s="52" t="str">
        <f>IF(Atletas!L188="","",IF(Atletas!W188&lt;&gt;"",10000,0)+(IF(Atletas!B188="Feminino",1000,IF(Atletas!B188="Masculino",2000,""))+(IF(Atletas!L188="Chaquan A",101,IF(Atletas!L188="Emeiquan A",102,IF(Atletas!L188="Fanziquan A",103,IF(Atletas!L188="Huaquan A",104,IF(Atletas!L188="Hongquan A",105,IF(Atletas!L188="Paochui A",106,IF(Atletas!L188="Piguaquan A",107,IF(Atletas!L188="Shaolinquan A",108,IF(Atletas!L188="Tanglangquan A",109,IF(Atletas!L188="Yinzhaophai A",110,IF(Atletas!L188="Tongbeiquan A",111,IF(Atletas!L188="Wudangquan A",112,IF(Atletas!L188="Outros Estilos A",113,IF(Atletas!L188="Chaquan B",114,IF(Atletas!L188="Emeiquan B",115,IF(Atletas!L188="Fanziquan B",116,IF(Atletas!L188="Huaquan B",117,IF(Atletas!L188="Hongquan B",118,IF(Atletas!L188="Paochui B",119,IF(Atletas!L188="Piguaquan B",120,IF(Atletas!L188="Shaolinquan B",121,IF(Atletas!L188="Tanglangquan B",122,IF(Atletas!L188="Yinzhaophai B",123,IF(Atletas!L188="Tongbeiquan B",124,IF(Atletas!L188="Wudangquan B",125,IF(Atletas!L188="Outros Estilos B",126,IF(Atletas!L188="Chaquan C",127,IF(Atletas!L188="Emeiquan C",128,IF(Atletas!L188="Fanziquan C",129,IF(Atletas!L188="Huaquan C",130,IF(Atletas!L188="Hongquan C",131,IF(Atletas!L188="Paochui C",132,IF(Atletas!L188="Piguaquan C",133,IF(Atletas!L188="Shaolinquan C",134,IF(Atletas!L188="Tanglangquan C",135,IF(Atletas!L188="Yinzhaophai C",136,IF(Atletas!L188="Tongbeiquan C",137,IF(Atletas!L188="Wudangquan C",138,IF(Atletas!L188="Outros Estilos C",139,0))))))))))))))))))))))))))))))))))))))))))</f>
        <v/>
      </c>
      <c r="BM192" s="52" t="str">
        <f>IF(Atletas!L188="","",IF(Atletas!W188&lt;&gt;"",10000,0)+(IF(Atletas!B188="Feminino",1000,IF(Atletas!B188="Masculino",2000,""))+(IF(Atletas!L188="Chaquan D",140,IF(Atletas!L188="Emeiquan D",141,IF(Atletas!L188="Fanziquan D",142,IF(Atletas!L188="Huaquan D",143,IF(Atletas!L188="Hongquan D",144,IF(Atletas!L188="Paochui D",145,IF(Atletas!L188="Piguaquan D",146,IF(Atletas!L188="Shaolinquan D",147,IF(Atletas!L188="Tanglangquan D",148,IF(Atletas!L188="Yinzhaophai D",149,IF(Atletas!L188="Tongbeiquan D",150,IF(Atletas!L188="Wudangquan D",151,IF(Atletas!L188="Outros Estilos D",152,IF(Atletas!L188="Chaquan E",153,IF(Atletas!L188="Emeiquan E",154,IF(Atletas!L188="Fanziquan E",155,IF(Atletas!L188="Huaquan E",156,IF(Atletas!L188="Hongquan E",157,IF(Atletas!L188="Paochui E",158,IF(Atletas!L188="Piguaquan E",159,IF(Atletas!L188="Shaolinquan E",160,IF(Atletas!L188="Tanglangquan E",161,IF(Atletas!L188="Yinzhaophai E",162,IF(Atletas!L188="Tongbeiquan E",163,IF(Atletas!L188="Wudangquan E",164,IF(Atletas!L188="Outros Estilos E",165,IF(Atletas!L188="Chaquan F",166,IF(Atletas!L188="Emeiquan F",167,IF(Atletas!L188="Fanziquan F",168,IF(Atletas!L188="Huaquan F",169,IF(Atletas!L188="Hongquan F",170,IF(Atletas!L188="Paochui F",171,IF(Atletas!L188="Piguaquan F",172,IF(Atletas!L188="Shaolinquan F",173,IF(Atletas!L188="Tanglangquan F",174,IF(Atletas!L188="Yinzhaophai F",175,IF(Atletas!L188="Tongbeiquan F",176,IF(Atletas!L188="Wudangquan F",177,IF(Atletas!L188="Outros Estilos F",178,0))))))))))))))))))))))))))))))))))))))))))</f>
        <v/>
      </c>
      <c r="BN192" s="52" t="str">
        <f>IF(Atletas!M188="","",IF(Atletas!W188&lt;&gt;"",10000,0)+(IF(Atletas!B188="Feminino",1000,IF(Atletas!B188="Masculino",2000,""))+(IF(Atletas!M188="Ditangquan A",201,IF(Atletas!M188="Houquan A",202,IF(Atletas!M188="Zuiquan A",203,IF(Atletas!M188="Ditangquan B",204,IF(Atletas!M188="Houquan B",205,IF(Atletas!M188="Zuiquan B",206,IF(Atletas!M188="Ditangquan C",207,IF(Atletas!M188="Houquan C",208,IF(Atletas!M188="Zuiquan C",209,IF(Atletas!M188="Ditangquan D",210,IF(Atletas!M188="Houquan D",211,IF(Atletas!M188="Zuiquan D",212,IF(Atletas!M188="Ditangquan E",213,IF(Atletas!M188="Houquan E",214,IF(Atletas!M188="Zuiquan E",215,IF(Atletas!M188="Ditangquan F",216,IF(Atletas!M188="Houquan F",217,IF(Atletas!M188="Zuiquan F",218,"")))))))))))))))))))))</f>
        <v/>
      </c>
      <c r="BO192" s="52" t="str">
        <f>IF(Atletas!N188="","",IF(Atletas!W188&lt;&gt;"",10000,0)+IF(Atletas!B188="Feminino",1000,IF(Atletas!B188="Masculino",2000,""))+IF(Atletas!N188="Yang A",301,IF(Atletas!N188="Chen A",30,IF(Atletas!N188="Sun A",303,IF(Atletas!N188="Wu A",304,IF(Atletas!N188="Wu-Hao A",305,IF(Atletas!N188="Outro Taijiquan A",306,IF(Atletas!N188="Yang B",307,IF(Atletas!N188="Chen B",308,IF(Atletas!N188="Sun B",309,IF(Atletas!N188="Wu B",310,IF(Atletas!N188="Wu-Hao B",311,IF(Atletas!N188="Outro Taijiquan B",312,IF(Atletas!N188="Yang C",313,IF(Atletas!N188="Chen C",314,IF(Atletas!N188="Sun C",315,IF(Atletas!N188="Wu C",316,IF(Atletas!N188="Wu-Hao C",317,IF(Atletas!N188="Outro Taijiquan C",318,IF(Atletas!N188="Yang D",319,IF(Atletas!N188="Chen D",320,IF(Atletas!N188="Sun D",321,IF(Atletas!N188="Wu D",322,IF(Atletas!N188="Wu-Hao D",323,IF(Atletas!N188="Outro Taijiquan D",324,IF(Atletas!N188="Yang E",325,IF(Atletas!N188="Chen E",326,IF(Atletas!N188="Sun E",327,IF(Atletas!N188="Wu E",328,IF(Atletas!N188="Wu-Hao E",329,IF(Atletas!N188="Outro Taijiquan E",330,IF(Atletas!N188="Yang F",331,IF(Atletas!N188="Chen F",332,IF(Atletas!N188="Sun F",333,IF(Atletas!N188="Wu F",334,IF(Atletas!N188="Wu-Hao F",335,IF(Atletas!N188="Outro Taijiquan F",336,"")))))))))))))))))))))))))))))))))))))</f>
        <v/>
      </c>
      <c r="BP192" s="52" t="str">
        <f>IF(Atletas!O188="","",IF(Atletas!W188&lt;&gt;"",10000,0)+IF(Atletas!B188="Feminino",1000,IF(Atletas!B188="Masculino",2000,""))+IF(OR(Atletas!O188="Yang 26 A",Atletas!O188="Yang 40 A"),401,IF(OR(Atletas!O188="Chen 25 A",Atletas!O188="Chen 36 A",Atletas!O188="Chen 56 A"),402,IF(Atletas!O188="Sun 73 A",403,IF(Atletas!O188="Wu 45 A",404,IF(Atletas!O188="Wu-Hao 46 A",405,IF(OR(Atletas!O188="Taijiquan 16 A",Atletas!O188="Taijiquan 24 A",Atletas!O188="Taijiquan 32 A",Atletas!O188="Taijiquan 42 A"),406,IF(OR(Atletas!O188="Yang 26 B",Atletas!O188="Yang 40 B"),407,IF(OR(Atletas!O188="Chen 25 B",Atletas!O188="Chen 36 B",Atletas!O188="Chen 56 B"),408,IF(Atletas!O188="Sun 73 B",409,IF(Atletas!O188="Wu 45 B",410,IF(Atletas!O188="Wu-Hao 46 B",411,IF(OR(Atletas!O188="Taijiquan 16 B",Atletas!O188="Taijiquan 24 B",Atletas!O188="Taijiquan 32 B",Atletas!O188="Taijiquan 42 B"),412,IF(OR(Atletas!O188="Yang 26 C",Atletas!O188="Yang 40 C"),413,IF(OR(Atletas!O188="Chen 25 C",Atletas!O188="Chen 36 C",Atletas!O188="Chen 56 C"),414,IF(Atletas!O188="Sun 73 C",415,IF(Atletas!O188="Wu 45 C",416,IF(Atletas!O188="Wu-Hao 46 C",417,IF(OR(Atletas!O188="Taijiquan 16 C",Atletas!O188="Taijiquan 24 C",Atletas!O188="Taijiquan 32 C",Atletas!O188="Taijiquan 42 C"),418,0)))))))))))))))))))</f>
        <v/>
      </c>
      <c r="BQ192" s="52" t="str">
        <f>IF(Atletas!O188="","",IF(Atletas!W188&lt;&gt;"",10000,0)+IF(Atletas!B188="Feminino",1000,IF(Atletas!B188="Masculino",2000,""))+IF(OR(Atletas!O188="Yang 26 D",Atletas!O188="Yang 40 D"),419,IF(OR(Atletas!O188="Chen 25 D",Atletas!O188="Chen 36 D",Atletas!O188="Chen 56 D"),420,IF(Atletas!O188="Sun 73 D",421,IF(Atletas!O188="Wu 45 D",422,IF(Atletas!O188="Wu-Hao 46 D",423,IF(OR(Atletas!O188="Taijiquan 16 D",Atletas!O188="Taijiquan 24 D",Atletas!O188="Taijiquan 32 D",Atletas!O188="Taijiquan 42 D"),424,IF(OR(Atletas!O188="Yang 26 E",Atletas!O188="Yang 40 E"),425,IF(OR(Atletas!O188="Chen 25 E",Atletas!O188="Chen 36 E",Atletas!O188="Chen 56 E"),426,IF(Atletas!O188="Sun 73 E",427,IF(Atletas!O188="Wu 45 E",428,IF(Atletas!O188="Wu-Hao 46 E",429,IF(OR(Atletas!O188="Taijiquan 16 E",Atletas!O188="Taijiquan 24 E",Atletas!O188="Taijiquan 32 E",Atletas!O188="Taijiquan 42 E"),430,IF(OR(Atletas!O188="Yang 26 F",Atletas!O188="Yang 40 F"),431,IF(OR(Atletas!O188="Chen 25 F",Atletas!O188="Chen 36 F",Atletas!O188="Chen 56 F"),432,IF(Atletas!O188="Sun 73 F",433,IF(Atletas!O188="Wu 45 F",434,IF(Atletas!O188="Wu-Hao 46 F",435,IF(OR(Atletas!O188="Taijiquan 16 F",Atletas!O188="Taijiquan 24 F",Atletas!O188="Taijiquan 32 F",Atletas!O188="Taijiquan 42 F"),436,0)))))))))))))))))))</f>
        <v/>
      </c>
      <c r="BR192" s="52" t="str">
        <f>IF(Atletas!P188="","",IF(Atletas!W188&lt;&gt;"",10000,0)+IF(Atletas!B188="Feminino",1000,IF(Atletas!B188="Masculino",2000,""))+IF(Atletas!P188="Xingyiquan A",501,IF(Atletas!P188="Baguazhang A",502,IF(Atletas!P188="Outro Estilo Interno A",503,IF(Atletas!P188="Xingyiquan B",504,IF(Atletas!P188="Baguazhang B",505,IF(Atletas!P188="Outro Estilo Interno B",506,IF(Atletas!P188="Xingyiquan C",507,IF(Atletas!P188="Baguazhang C",508,IF(Atletas!P188="Outro Estilo Interno C",509,IF(Atletas!P188="Xingyiquan D",510,IF(Atletas!P188="Baguazhang D",511,IF(Atletas!P188="Outro Estilo Interno D",512,IF(Atletas!P188="Xingyiquan E",513,IF(Atletas!P188="Baguazhang E",514,IF(Atletas!P188="Outro Estilo Interno E",515,IF(Atletas!P188="Xingyiquan F",516,IF(Atletas!P188="Baguazhang F",517,IF(Atletas!P188="Outro Estilo Interno F",518, "")))))))))))))))))))</f>
        <v/>
      </c>
      <c r="BS192" s="52" t="str">
        <f>IF(Atletas!Q188="","",IF(Atletas!W188&lt;&gt;"",10000,0)+IF(Atletas!B188="Feminino",1000,IF(Atletas!B188="Masculino",2000,""))+IF(Atletas!Q188="Dao A",601,IF(Atletas!Q188="Jian A",602,IF(Atletas!Q188="Bishou A",603,IF(Atletas!Q188="Shan A",604,IF(Atletas!Q188="Outra Arma Curta A",605,IF(Atletas!Q188="Dao B",606,IF(Atletas!Q188="Jian B",607,IF(Atletas!Q188="Bishou B",608,IF(Atletas!Q188="Shan B",609,IF(Atletas!Q188="Outra Arma Curta B",610,IF(Atletas!Q188="Dao C",611,IF(Atletas!Q188="Jian C",612,IF(Atletas!Q188="Bishou C",613,IF(Atletas!Q188="Shan C",614,IF(Atletas!Q188="Outra Arma Curta C",615,IF(Atletas!Q188="Dao D",616,IF(Atletas!Q188="Jian D",617,IF(Atletas!Q188="Bishou D",618,IF(Atletas!Q188="Shan D",619,IF(Atletas!Q188="Outra Arma Curta D",620,IF(Atletas!Q188="Dao E",621,IF(Atletas!Q188="Jian E",622,IF(Atletas!Q188="Bishou E",623,IF(Atletas!Q188="Shan E",624,IF(Atletas!Q188="Outra Arma Curta E",625,IF(Atletas!Q188="Dao F",626,IF(Atletas!Q188="Jian F",627,IF(Atletas!Q188="Bishou F",628,IF(Atletas!Q188="Shan F",629,IF(Atletas!Q188="Outra Arma Curta F",630, "")))))))))))))))))))))))))))))))</f>
        <v/>
      </c>
      <c r="BT192" s="52" t="str">
        <f>IF(Atletas!R188="","",IF(Atletas!W188&lt;&gt;"",10000,0)+IF(Atletas!B188="Feminino",1000,IF(Atletas!B188="Masculino",2000,""))+IF(Atletas!R188="Gun A",701,IF(Atletas!R188="Qiang A",702,IF(Atletas!R188="Pudao / Guandao A",703,IF(Atletas!R188="Outra Arma Longa A",704,IF(Atletas!R188="Gun B",705,IF(Atletas!R188="Qiang B",706,IF(Atletas!R188="Pudao / Guandao B",707,IF(Atletas!R188="Outra Arma Longa B",708,IF(Atletas!R188="Gun C",709,IF(Atletas!R188="Qiang C",710,IF(Atletas!R188="Pudao / Guandao C",711,IF(Atletas!R188="Outra Arma Longa C",712,IF(Atletas!R188="Gun D",713,IF(Atletas!R188="Qiang D",714,IF(Atletas!R188="Pudao / Guandao D",715,IF(Atletas!R188="Outra Arma Longa D",716,IF(Atletas!R188="Gun E",717,IF(Atletas!R188="Qiang E",718,IF(Atletas!R188="Pudao / Guandao E",719,IF(Atletas!R188="Outra Arma Longa E",720,IF(Atletas!R188="Gun F",721,IF(Atletas!R188="Qiang F",722,IF(Atletas!R188="Pudao / Guandao F",723,IF(Atletas!R188="Outra Arma Longa F",724,"")))))))))))))))))))))))))</f>
        <v/>
      </c>
      <c r="BU192" s="52" t="str">
        <f>IF(Atletas!S188="","",IF(Atletas!W188&lt;&gt;"",10000,0)+IF(Atletas!B188="Feminino",1000,IF(Atletas!B188="Masculino",2000,""))+IF(Atletas!S188="Arma Dupla A",801,IF(Atletas!S188="Arma Maleável A",802,IF(Atletas!S188="Arma Dupla B",803,IF(Atletas!S188="Arma Maleável B",804,IF(Atletas!S188="Arma Dupla C",805,IF(Atletas!S188="Arma Maleável C",806,IF(Atletas!S188="Arma Dupla D",807,IF(Atletas!S188="Arma Maleável D",808,IF(Atletas!S188="Arma Dupla E",809,IF(Atletas!S188="Arma Maleável E",810,IF(Atletas!S188="Arma Dupla F",811,IF(Atletas!S188="Arma Maleável F",812, "")))))))))))))</f>
        <v/>
      </c>
      <c r="BV192" s="52" t="str">
        <f>IF(Atletas!T188="","",IF(Atletas!W188&lt;&gt;"",10000,0)+IF(Atletas!B188="Feminino",1000,IF(Atletas!B188="Masculino",2000,""))+IF(Atletas!T188="Taijijian Yang A",901,IF(Atletas!T188="Taijijian Chen A",902,IF(Atletas!T188="Taijijian Sun A",903,IF(Atletas!T188="Taijijian Wu A",904,IF(Atletas!T188="Taijijian Wu-Hao A",905,IF(Atletas!T188="Taijijian 32 A",906,IF(Atletas!T188="Taijijian 42 A",907,IF(Atletas!T188="Taijijian Yang B",908,IF(Atletas!T188="Taijijian Chen B",909,IF(Atletas!T188="Taijijian Sun B",910,IF(Atletas!T188="Taijijian Wu B",911,IF(Atletas!T188="Taijijian Wu-Hao B",912,IF(Atletas!T188="Taijijian 32 B",913,IF(Atletas!T188="Taijijian 42 B",914,IF(Atletas!T188="Taijijian Yang C",915,IF(Atletas!T188="Taijijian Chen C",916,IF(Atletas!T188="Taijijian Sun C",917,IF(Atletas!T188="Taijijian Wu C",918,IF(Atletas!T188="Taijijian Wu-Hao C",919,IF(Atletas!T188="Taijijian 32 C",920,IF(Atletas!T188="Taijijian 42 C",921,IF(Atletas!T188="Taijijian Yang D",922,IF(Atletas!T188="Taijijian Chen D",923,IF(Atletas!T188="Taijijian Sun D",924,IF(Atletas!T188="Taijijian Wu D",925,IF(Atletas!T188="Taijijian Wu-Hao D",926,IF(Atletas!T188="Taijijian 32 D",927,IF(Atletas!T188="Taijijian 42 D",928,IF(Atletas!T188="Taijijian Yang E",929,IF(Atletas!T188="Taijijian Chen E",930,IF(Atletas!T188="Taijijian Sun E",931,IF(Atletas!T188="Taijijian Wu E",932,IF(Atletas!T188="Taijijian Wu-Hao E",933,IF(Atletas!T188="Taijijian 32 E",934,IF(Atletas!T188="Taijijian 42 E",935,IF(Atletas!T188="Taijijian Yang F",936,IF(Atletas!T188="Taijijian Chen F",937,IF(Atletas!T188="Taijijian Sun F",938,IF(Atletas!T188="Taijijian Wu F",939,IF(Atletas!T188="Taijijian Wu-Hao F",940,IF(Atletas!T188="Taijijian 32 F",941,IF(Atletas!T188="Taijijian 42 F",942,"")))))))))))))))))))))))))))))))))))))))))))</f>
        <v/>
      </c>
      <c r="BW192" s="52" t="str">
        <f>IF(Atletas!U188="","",IF(Atletas!W188&lt;&gt;"",10000,0)+IF(Atletas!B188="Feminino",1000,IF(Atletas!B188="Masculino",2000,""))+IF(Atletas!T188="Taijijian 42 F",942,IF(Atletas!U188="Taijidao A",943,IF(Atletas!U188="Taijishan A",944,IF(Atletas!U188="Taijiqiang A",945,IF(Atletas!U188="Taijidao B",946,IF(Atletas!U188="Taijishan B",947,IF(Atletas!U188="Taijiqiang B",948,IF(Atletas!U188="Taijidao C",949,IF(Atletas!U188="Taijishan C",950,IF(Atletas!U188="Taijiqiang C",951,IF(Atletas!U188="Taijidao D",952,IF(Atletas!U188="Taijishan D",953,IF(Atletas!U188="Taijiqiang D",954,IF(Atletas!U188="Taijidao E",955,IF(Atletas!U188="Taijishan E",956,IF(Atletas!U188="Taijiqiang E",957,IF(Atletas!U188="Taijidao F",958,IF(Atletas!U188="Taijishan F",959,IF(Atletas!U188="Taijiqiang F",960))))))))))))))))))))</f>
        <v/>
      </c>
      <c r="BX192" s="72" t="str">
        <f>IF(BY192&lt;&gt;"","TJQ Padr. Combinado D","")</f>
        <v/>
      </c>
      <c r="BY192" s="72" t="str">
        <f>IF(COUNTIF(BK:BW,1424)&gt;0,COUNTIF(BK:BW,1424),"")</f>
        <v/>
      </c>
      <c r="BZ192" s="72" t="str">
        <f>IF(CA192&lt;&gt;"","TJQ Padr. Combinado D","")</f>
        <v/>
      </c>
      <c r="CA192" s="72" t="str">
        <f>IF(COUNTIF(BK:BW,2424)&gt;0,COUNTIF(BK:BW,2424),"")</f>
        <v/>
      </c>
      <c r="CB192" s="72" t="str">
        <f>IF(CC192&lt;&gt;"","Wu-Hao Novo B","")</f>
        <v/>
      </c>
      <c r="CC192" s="64" t="str">
        <f>IF(COUNTIF(BK:BW,11424)&gt;0,COUNTIF(BK:BW,11424),"")</f>
        <v/>
      </c>
      <c r="CD192" s="64" t="str">
        <f>IF(CE192&lt;&gt;"","Wu-Hao Novo B","")</f>
        <v/>
      </c>
      <c r="CE192" s="64" t="str">
        <f>IF(COUNTIF(BK:BW,12424)&gt;0,COUNTIF(BK:BW,12424),"")</f>
        <v/>
      </c>
      <c r="CF192" s="52" t="str">
        <f xml:space="preserve"> IF(Atletas!V188="","",IF(Atletas!V188="Duilian de Mãos AB - Equipe 1",1,IF(Atletas!V188="Duilian de Mãos AB - Equipe 2",2,IF(Atletas!V188="Duilian de Armas AB - Equipe 1",3,IF(Atletas!V188="Duilian de Armas AB - Equipe 2",4,IF(Atletas!V188="Duilian de Tuishou - Equipe 1",5,IF(Atletas!V188="Duilian de Tuishou - Equipe 2",6,IF(Atletas!V188="Grupo Externo AB - Equipe 1",7,IF(Atletas!V188="Grupo Externo AB - Equipe 2",8,IF(Atletas!V188="Grupo Interno AB - Equipe 1",9,IF(Atletas!V188="Grupo Interno AB - Equipe 2",10,IF(Atletas!V188="Duilian de Mãos CD - Equipe 1",11,IF(Atletas!V188="Duilian de Mãos CD - Equipe 2",12,IF(Atletas!V188="Duilian de Armas CD - Equipe 1",13,IF(Atletas!V188="Duilian de Armas CD - Equipe 2",14,IF(Atletas!V188="Duilian de Tuishou - Equipe 1",15,IF(Atletas!V188="Duilian de Tuishou - Equipe 2",16,IF(Atletas!V188="Grupo Externo CDEF - Equipe 1",17,IF(Atletas!V188="Grupo Externo CDEF - Equipe 2",18,IF(Atletas!V188="Grupo Interno CDEF - Equipe 1",19,IF(Atletas!V188="Grupo Interno CDEF - Equipe 2",20,IF(Atletas!V188="Duilian de Mãos EF - Equipe 1",21,IF(Atletas!V188="Duilian de Mãos EF - Equipe 2",22,IF(Atletas!V188="Duilian de Armas EF - Equipe 1",23,IF(Atletas!V188="Duilian de Armas EF - Equipe 2",24,IF(Atletas!V188="Duilian de Tuishou - Equipe 1",25,IF(Atletas!V188="Duilian de Tuishou - Equipe 2",26,"")))))))))))))))))))))))))))</f>
        <v/>
      </c>
    </row>
    <row r="193" spans="2:84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 t="str">
        <f t="array" ref="V193">IFERROR(INDEX(BX$7:BX$336,SMALL(IF(BX$7:BX$336&lt;&gt;"",ROW(BX$7:BX$336)-ROW(BX$7)+1),ROWS(BX$7:BX192))),"")</f>
        <v/>
      </c>
      <c r="W193" s="4" t="str">
        <f t="array" ref="W193">IFERROR(INDEX(BY$7:BY$336,SMALL(IF(BY$7:BY$336&lt;&gt;"",ROW(BY$7:BY$336)-ROW(BY$7)+1),ROWS(BY$7:BY192))),"")</f>
        <v/>
      </c>
      <c r="X193" s="4" t="str">
        <f t="array" ref="X193">IFERROR(INDEX(BZ$7:BZ$336,SMALL(IF(BZ$7:BZ$336&lt;&gt;"",ROW(BZ$7:BZ$336)-ROW(BZ$7)+1),ROWS(BZ$7:BZ192))),"")</f>
        <v/>
      </c>
      <c r="Y193" s="4" t="str">
        <f t="array" ref="Y193">IFERROR(INDEX(CA$7:CA$336,SMALL(IF(CA$7:CA$336&lt;&gt;"",ROW(CA$7:CA$336)-ROW(CA$7)+1),ROWS(CA$7:CA192))),"")</f>
        <v/>
      </c>
      <c r="Z193" s="4" t="str">
        <f t="array" ref="Z193">IFERROR(INDEX(CB$7:CB$378,SMALL(IF(CB$7:CB$378&lt;&gt;"",ROW(CB$7:CB$378)-ROW(CB$7)+1),ROWS(CB$7:CB192))),"")</f>
        <v/>
      </c>
      <c r="AA193" s="4" t="str">
        <f t="array" ref="AA193">IFERROR(INDEX(CC$7:CC$378,SMALL(IF(CC$7:CC$378&lt;&gt;"",ROW(CC$7:CC$378)-ROW(CC$7)+1),ROWS(CC$7:CC192))),"")</f>
        <v/>
      </c>
      <c r="AB193" s="4" t="str">
        <f t="array" ref="AB193">IFERROR(INDEX(CD$7:CD$378,SMALL(IF(CD$7:CD$378&lt;&gt;"",ROW(CD$7:CD$378)-ROW(CD$7)+1),ROWS(CD$7:CD192))),"")</f>
        <v/>
      </c>
      <c r="AC193" s="4" t="str">
        <f t="array" ref="AC193">IFERROR(INDEX(CE$7:CE$378,SMALL(IF(CE$7:CE$378&lt;&gt;"",ROW(CE$7:CE$378)-ROW(CE$7)+1),ROWS(CE$7:CE192))),"")</f>
        <v/>
      </c>
      <c r="AD193" s="4"/>
      <c r="AE193" s="4"/>
      <c r="AF193" s="4"/>
      <c r="AG193" s="4"/>
      <c r="AH193" s="4"/>
      <c r="AI193" s="4"/>
      <c r="AJ193" s="46" t="str">
        <f>IF(Atletas!D189="","",IF(Atletas!B189="Feminino",100,IF(Atletas!B189="Masculino",200,""))+(IF(Atletas!D189="Infantil 39kg",1,IF(Atletas!D189="Infantil 42kg",2,IF(Atletas!D189="Infantil 45kg",3,IF(Atletas!D189="Infantil 48kg",4,IF(Atletas!D189="Infantil 52kg",5,IF(Atletas!D189="Infantil 56kg",6,IF(Atletas!D189="Infantil 60kg",7,IF(Atletas!D189="Juvenil 48kg",8,IF(Atletas!D189="Juvenil 52kg",9,IF(Atletas!D189="Juvenil 56kg",10,IF(Atletas!D189="Juvenil 60kg",11,IF(Atletas!D189="Juvenil 65kg",12,IF(Atletas!D189="Juvenil 70kg",13,IF(Atletas!D189="Juvenil 75kg",14,IF(Atletas!D189="Juvenil 80kg",15,IF(Atletas!D189="Adulto 48kg",16,IF(Atletas!D189="Adulto 52kg",17,IF(Atletas!D189="Adulto 56kg",18,IF(Atletas!D189="Adulto 60kg",19,IF(Atletas!D189="Adulto 65kg",20,IF(Atletas!D189="Adulto 70kg",21,IF(Atletas!D189="Adulto 75kg",22,IF(Atletas!D189="Adulto 80kg",23,IF(Atletas!D189="Adulto 85kg",24,IF(Atletas!D189="Adulto 90kg",25,IF(Atletas!D189="Adulto +90kg",26,""))))))))))))))))))))))))))))</f>
        <v/>
      </c>
      <c r="AO193" s="10" t="str">
        <f>IF(Atletas!E189="","",IF(Atletas!B189="Feminino",100,IF(Atletas!B189="Masculino",200,""))+(IF(Atletas!E189="Juvenil 44kg",1,IF(Atletas!E189="Juvenil 48kg",2,IF(Atletas!E189="Juvenil 52kg",3,IF(Atletas!E189="Juvenil 56kg",4,IF(Atletas!E189="Juvenil 60kg",5,IF(Atletas!E189="Juvenil 65kg",6,IF(Atletas!E189="Juvenil 70kg",7,IF(Atletas!E189="Juvenil 75kg",8,IF(Atletas!E189="Juvenil 82kg",9,IF(Atletas!E189="Juvenil 90kg",10,IF(Atletas!E189="Juvenil 100kg",11,IF(Atletas!E189="Adulto 48kg",12,IF(Atletas!E189="Adulto 52kg",13,IF(Atletas!E189="Adulto 56kg",14,IF(Atletas!E189="Adulto 60kg",15,IF(Atletas!E189="Adulto 65kg",16,IF(Atletas!E189="Adulto 70kg",17,IF(Atletas!E189="Adulto 75kg",18,IF(Atletas!E189="Adulto 82kg",19,IF(Atletas!E189="Adulto 90kg",20,IF(Atletas!E189="Adulto 100kg",21,IF(Atletas!E189="Adulto +100kg",22,""))))))))))))))))))))))))</f>
        <v/>
      </c>
      <c r="AT193" s="10" t="str">
        <f>IF(Atletas!F189="","",IF(Atletas!B189="Feminino",100,IF(Atletas!B189="Masculino",200,""))+(IF(Atletas!F189="Adulto 48kg",1,IF(Atletas!F189="Adulto 56kg",2,IF(Atletas!F189="Adulto 65kg",3,IF(Atletas!F189="Adulto 75kg",4,IF(Atletas!F189="Adulto +75kg",5,IF(Atletas!F189="Adulto 52kg",6,IF(Atletas!F189="Adulto 60kg",7,IF(Atletas!F189="Adulto 70kg",8,IF(Atletas!F189="Adulto 80kg",9,IF(Atletas!F189="Adulto 90kg",10,IF(Atletas!F189="Adulto +90kg",11,"")))))))))))))</f>
        <v/>
      </c>
      <c r="AY193" s="46" t="str">
        <f>IF(Atletas!G189="","",IF(Atletas!B189="Feminino",100,IF(Atletas!B189="Masculino",200,""))+(IF(Atletas!G189="Changquan Mirim",1,IF(Atletas!G189="Nanquan Mirim",2,IF(Atletas!G189="Taijiquan Mirim",3,IF(Atletas!G189="Changquan Grupo C",4,IF(Atletas!G189="Nanquan Grupo C",5,IF(Atletas!G189="Taijiquan Grupo C",6,IF(Atletas!G189="Changquan Grupo B",7,IF(Atletas!G189="Nanquan Grupo B",8,IF(Atletas!G189="Taijiquan Grupo B",9,IF(Atletas!G189="Changquan Grupo A",10,IF(Atletas!G189="Nanquan Grupo A",11,IF(Atletas!G189="Taijiquan Grupo A",12,IF(Atletas!G189="Changquan Opcional",13,IF(Atletas!G189="Nanquan Opcional",14,IF(Atletas!G189="Taijiquan Opcional",15,IF(Atletas!G189="Changquan Adulto",16,IF(Atletas!G189="Nanquan Adulto",17,IF(Atletas!G189="Taijiquan Adulto",18,""))))))))))))))))))))</f>
        <v/>
      </c>
      <c r="AZ193" s="46" t="str">
        <f>IF(Atletas!H189="","",IF(Atletas!B189="Feminino",100,IF(Atletas!B189="Masculino",200,""))+(IF(Atletas!H189="Daoshu Mirim",19,IF(Atletas!H189="Jianshu Mirim",20,IF(Atletas!H189="Nandao Mirim",21,IF(Atletas!H189="Taijijian Mirim",22,IF(Atletas!H189="Daoshu Grupo C",23,IF(Atletas!H189="Jianshu Grupo C",24,IF(Atletas!H189="Nandao Grupo C",25,IF(Atletas!H189="Taijijian Grupo C",26,IF(Atletas!H189="Daoshu Grupo B",27,IF(Atletas!H189="Jianshu Grupo B",28,IF(Atletas!H189="Nandao Grupo B",29,IF(Atletas!H189="Taijijian Grupo B",30,IF(Atletas!H189="Daoshu Grupo A",31,IF(Atletas!H189="Jianshu Grupo A",32,IF(Atletas!H189="Nandao Grupo A",33,IF(Atletas!H189="Taijijian Grupo A",34,IF(Atletas!H189="Daoshu Opcional",35,IF(Atletas!H189="Jianshu Opcional",36,IF(Atletas!H189="Nandao Opcional",37,IF(Atletas!H189="Taijijian Opcional",38,IF(Atletas!H189="Daoshu Adulto",39,IF(Atletas!H189="Jianshu Adulto",40,IF(Atletas!H189="Nandao Adulto",41,IF(Atletas!H189="Taijijian Adulto",42,""))))))))))))))))))))))))))</f>
        <v/>
      </c>
      <c r="BA193" s="46" t="str">
        <f>IF(Atletas!I189="","",IF(Atletas!B189="Feminino",100,IF(Atletas!B189="Masculino",200,""))+(IF(Atletas!I189="Gunshu Mirim",43,IF(Atletas!I189="Qiangshu Mirim",44,IF(Atletas!I189="Nangun Mirim",45,IF(Atletas!I189="Gunshu Grupo C",46,IF(Atletas!I189="Qiangshu Grupo C",47,IF(Atletas!I189="Nangun Grupo C",48,IF(Atletas!I189="Gunshu Grupo B",49,IF(Atletas!I189="Qiangshu Grupo B",50,IF(Atletas!I189="Nangun Grupo B",51,IF(Atletas!I189="Gunshu Grupo A",52,IF(Atletas!I189="Qiangshu Grupo A",53,IF(Atletas!I189="Nangun Grupo A",54,IF(Atletas!I189="Gunshu Opcional",55,IF(Atletas!I189="Qiangshu Opcional",56,IF(Atletas!I189="Nangun Opcional",57,IF(Atletas!I189="Gunshu Adulto",58,IF(Atletas!I189="Qiangshu Adulto",59,IF(Atletas!I189="Nangun Adulto",60,""))))))))))))))))))))</f>
        <v/>
      </c>
      <c r="BF193" s="52" t="str">
        <f>IF(Atletas!J189="","",IF(Atletas!B189="Feminino",100,IF(Atletas!B189="Masculino",200,""))+(IF(Atletas!J189="Equipe 1 Grupo B",1,IF(Atletas!J189="Equipe 2 Grupo B",2,IF(Atletas!J189="Equipe 1 Grupo A",3,IF(Atletas!J189="Equipe 2 Grupo A",4,IF(Atletas!J189="Equipe 1 Adulto",5,IF(Atletas!J189="Equipe 2 Adulto",6,""))))))))</f>
        <v/>
      </c>
      <c r="BK193" s="52" t="str">
        <f>IF(Atletas!K189="","",IF(Atletas!W189&lt;&gt;"",10000,0)+(IF(Atletas!B189="Feminino",1000,IF(Atletas!B189="Masculino",2000,""))+IF(Atletas!K189="Choylayfut A",1,IF(Atletas!K189="Hunggar A",2,IF(Atletas!K189="Wuzuquan A",3,IF(Atletas!K189="Wingchun A",4,IF(Atletas!K189="Outra Mão de Sul A",5,IF(Atletas!K189="Choylayfut B",6,IF(Atletas!K189="Hunggar B",7,IF(Atletas!K189="Wuzuquan B",8,IF(Atletas!K189="Wingchun B",9,IF(Atletas!K189="Outra Mão de Sul B",10,IF(Atletas!K189="Choylayfut C",11,IF(Atletas!K189="Hunggar C",12,IF(Atletas!K189="Wuzuquan C",13,IF(Atletas!K189="Wingchun C",14,IF(Atletas!K189="Outra Mão de Sul C",15,IF(Atletas!K189="Choylayfut D",16,IF(Atletas!K189="Hunggar D",17,IF(Atletas!K189="Wuzuquan D",18,IF(Atletas!K189="Wingchun D",19,IF(Atletas!K189="Outra Mão de Sul D",20,IF(Atletas!K189="Choylayfut E",21,IF(Atletas!K189="Hunggar E",22,IF(Atletas!K189="Wuzuquan E",23,IF(Atletas!K189="Wingchun E",24,IF(Atletas!K189="Outra Mão de Sul E",25,IF(Atletas!K189="Choylayfut F",26,IF(Atletas!K189="Hunggar F",27,IF(Atletas!K189="Wuzuquan F",28,IF(Atletas!K189="Wingchun F",29,IF(Atletas!K189="Outra Mão de Sul F",30,""))))))))))))))))))))))))))))))))</f>
        <v/>
      </c>
      <c r="BL193" s="52" t="str">
        <f>IF(Atletas!L189="","",IF(Atletas!W189&lt;&gt;"",10000,0)+(IF(Atletas!B189="Feminino",1000,IF(Atletas!B189="Masculino",2000,""))+(IF(Atletas!L189="Chaquan A",101,IF(Atletas!L189="Emeiquan A",102,IF(Atletas!L189="Fanziquan A",103,IF(Atletas!L189="Huaquan A",104,IF(Atletas!L189="Hongquan A",105,IF(Atletas!L189="Paochui A",106,IF(Atletas!L189="Piguaquan A",107,IF(Atletas!L189="Shaolinquan A",108,IF(Atletas!L189="Tanglangquan A",109,IF(Atletas!L189="Yinzhaophai A",110,IF(Atletas!L189="Tongbeiquan A",111,IF(Atletas!L189="Wudangquan A",112,IF(Atletas!L189="Outros Estilos A",113,IF(Atletas!L189="Chaquan B",114,IF(Atletas!L189="Emeiquan B",115,IF(Atletas!L189="Fanziquan B",116,IF(Atletas!L189="Huaquan B",117,IF(Atletas!L189="Hongquan B",118,IF(Atletas!L189="Paochui B",119,IF(Atletas!L189="Piguaquan B",120,IF(Atletas!L189="Shaolinquan B",121,IF(Atletas!L189="Tanglangquan B",122,IF(Atletas!L189="Yinzhaophai B",123,IF(Atletas!L189="Tongbeiquan B",124,IF(Atletas!L189="Wudangquan B",125,IF(Atletas!L189="Outros Estilos B",126,IF(Atletas!L189="Chaquan C",127,IF(Atletas!L189="Emeiquan C",128,IF(Atletas!L189="Fanziquan C",129,IF(Atletas!L189="Huaquan C",130,IF(Atletas!L189="Hongquan C",131,IF(Atletas!L189="Paochui C",132,IF(Atletas!L189="Piguaquan C",133,IF(Atletas!L189="Shaolinquan C",134,IF(Atletas!L189="Tanglangquan C",135,IF(Atletas!L189="Yinzhaophai C",136,IF(Atletas!L189="Tongbeiquan C",137,IF(Atletas!L189="Wudangquan C",138,IF(Atletas!L189="Outros Estilos C",139,0))))))))))))))))))))))))))))))))))))))))))</f>
        <v/>
      </c>
      <c r="BM193" s="52" t="str">
        <f>IF(Atletas!L189="","",IF(Atletas!W189&lt;&gt;"",10000,0)+(IF(Atletas!B189="Feminino",1000,IF(Atletas!B189="Masculino",2000,""))+(IF(Atletas!L189="Chaquan D",140,IF(Atletas!L189="Emeiquan D",141,IF(Atletas!L189="Fanziquan D",142,IF(Atletas!L189="Huaquan D",143,IF(Atletas!L189="Hongquan D",144,IF(Atletas!L189="Paochui D",145,IF(Atletas!L189="Piguaquan D",146,IF(Atletas!L189="Shaolinquan D",147,IF(Atletas!L189="Tanglangquan D",148,IF(Atletas!L189="Yinzhaophai D",149,IF(Atletas!L189="Tongbeiquan D",150,IF(Atletas!L189="Wudangquan D",151,IF(Atletas!L189="Outros Estilos D",152,IF(Atletas!L189="Chaquan E",153,IF(Atletas!L189="Emeiquan E",154,IF(Atletas!L189="Fanziquan E",155,IF(Atletas!L189="Huaquan E",156,IF(Atletas!L189="Hongquan E",157,IF(Atletas!L189="Paochui E",158,IF(Atletas!L189="Piguaquan E",159,IF(Atletas!L189="Shaolinquan E",160,IF(Atletas!L189="Tanglangquan E",161,IF(Atletas!L189="Yinzhaophai E",162,IF(Atletas!L189="Tongbeiquan E",163,IF(Atletas!L189="Wudangquan E",164,IF(Atletas!L189="Outros Estilos E",165,IF(Atletas!L189="Chaquan F",166,IF(Atletas!L189="Emeiquan F",167,IF(Atletas!L189="Fanziquan F",168,IF(Atletas!L189="Huaquan F",169,IF(Atletas!L189="Hongquan F",170,IF(Atletas!L189="Paochui F",171,IF(Atletas!L189="Piguaquan F",172,IF(Atletas!L189="Shaolinquan F",173,IF(Atletas!L189="Tanglangquan F",174,IF(Atletas!L189="Yinzhaophai F",175,IF(Atletas!L189="Tongbeiquan F",176,IF(Atletas!L189="Wudangquan F",177,IF(Atletas!L189="Outros Estilos F",178,0))))))))))))))))))))))))))))))))))))))))))</f>
        <v/>
      </c>
      <c r="BN193" s="52" t="str">
        <f>IF(Atletas!M189="","",IF(Atletas!W189&lt;&gt;"",10000,0)+(IF(Atletas!B189="Feminino",1000,IF(Atletas!B189="Masculino",2000,""))+(IF(Atletas!M189="Ditangquan A",201,IF(Atletas!M189="Houquan A",202,IF(Atletas!M189="Zuiquan A",203,IF(Atletas!M189="Ditangquan B",204,IF(Atletas!M189="Houquan B",205,IF(Atletas!M189="Zuiquan B",206,IF(Atletas!M189="Ditangquan C",207,IF(Atletas!M189="Houquan C",208,IF(Atletas!M189="Zuiquan C",209,IF(Atletas!M189="Ditangquan D",210,IF(Atletas!M189="Houquan D",211,IF(Atletas!M189="Zuiquan D",212,IF(Atletas!M189="Ditangquan E",213,IF(Atletas!M189="Houquan E",214,IF(Atletas!M189="Zuiquan E",215,IF(Atletas!M189="Ditangquan F",216,IF(Atletas!M189="Houquan F",217,IF(Atletas!M189="Zuiquan F",218,"")))))))))))))))))))))</f>
        <v/>
      </c>
      <c r="BO193" s="52" t="str">
        <f>IF(Atletas!N189="","",IF(Atletas!W189&lt;&gt;"",10000,0)+IF(Atletas!B189="Feminino",1000,IF(Atletas!B189="Masculino",2000,""))+IF(Atletas!N189="Yang A",301,IF(Atletas!N189="Chen A",30,IF(Atletas!N189="Sun A",303,IF(Atletas!N189="Wu A",304,IF(Atletas!N189="Wu-Hao A",305,IF(Atletas!N189="Outro Taijiquan A",306,IF(Atletas!N189="Yang B",307,IF(Atletas!N189="Chen B",308,IF(Atletas!N189="Sun B",309,IF(Atletas!N189="Wu B",310,IF(Atletas!N189="Wu-Hao B",311,IF(Atletas!N189="Outro Taijiquan B",312,IF(Atletas!N189="Yang C",313,IF(Atletas!N189="Chen C",314,IF(Atletas!N189="Sun C",315,IF(Atletas!N189="Wu C",316,IF(Atletas!N189="Wu-Hao C",317,IF(Atletas!N189="Outro Taijiquan C",318,IF(Atletas!N189="Yang D",319,IF(Atletas!N189="Chen D",320,IF(Atletas!N189="Sun D",321,IF(Atletas!N189="Wu D",322,IF(Atletas!N189="Wu-Hao D",323,IF(Atletas!N189="Outro Taijiquan D",324,IF(Atletas!N189="Yang E",325,IF(Atletas!N189="Chen E",326,IF(Atletas!N189="Sun E",327,IF(Atletas!N189="Wu E",328,IF(Atletas!N189="Wu-Hao E",329,IF(Atletas!N189="Outro Taijiquan E",330,IF(Atletas!N189="Yang F",331,IF(Atletas!N189="Chen F",332,IF(Atletas!N189="Sun F",333,IF(Atletas!N189="Wu F",334,IF(Atletas!N189="Wu-Hao F",335,IF(Atletas!N189="Outro Taijiquan F",336,"")))))))))))))))))))))))))))))))))))))</f>
        <v/>
      </c>
      <c r="BP193" s="52" t="str">
        <f>IF(Atletas!O189="","",IF(Atletas!W189&lt;&gt;"",10000,0)+IF(Atletas!B189="Feminino",1000,IF(Atletas!B189="Masculino",2000,""))+IF(OR(Atletas!O189="Yang 26 A",Atletas!O189="Yang 40 A"),401,IF(OR(Atletas!O189="Chen 25 A",Atletas!O189="Chen 36 A",Atletas!O189="Chen 56 A"),402,IF(Atletas!O189="Sun 73 A",403,IF(Atletas!O189="Wu 45 A",404,IF(Atletas!O189="Wu-Hao 46 A",405,IF(OR(Atletas!O189="Taijiquan 16 A",Atletas!O189="Taijiquan 24 A",Atletas!O189="Taijiquan 32 A",Atletas!O189="Taijiquan 42 A"),406,IF(OR(Atletas!O189="Yang 26 B",Atletas!O189="Yang 40 B"),407,IF(OR(Atletas!O189="Chen 25 B",Atletas!O189="Chen 36 B",Atletas!O189="Chen 56 B"),408,IF(Atletas!O189="Sun 73 B",409,IF(Atletas!O189="Wu 45 B",410,IF(Atletas!O189="Wu-Hao 46 B",411,IF(OR(Atletas!O189="Taijiquan 16 B",Atletas!O189="Taijiquan 24 B",Atletas!O189="Taijiquan 32 B",Atletas!O189="Taijiquan 42 B"),412,IF(OR(Atletas!O189="Yang 26 C",Atletas!O189="Yang 40 C"),413,IF(OR(Atletas!O189="Chen 25 C",Atletas!O189="Chen 36 C",Atletas!O189="Chen 56 C"),414,IF(Atletas!O189="Sun 73 C",415,IF(Atletas!O189="Wu 45 C",416,IF(Atletas!O189="Wu-Hao 46 C",417,IF(OR(Atletas!O189="Taijiquan 16 C",Atletas!O189="Taijiquan 24 C",Atletas!O189="Taijiquan 32 C",Atletas!O189="Taijiquan 42 C"),418,0)))))))))))))))))))</f>
        <v/>
      </c>
      <c r="BQ193" s="52" t="str">
        <f>IF(Atletas!O189="","",IF(Atletas!W189&lt;&gt;"",10000,0)+IF(Atletas!B189="Feminino",1000,IF(Atletas!B189="Masculino",2000,""))+IF(OR(Atletas!O189="Yang 26 D",Atletas!O189="Yang 40 D"),419,IF(OR(Atletas!O189="Chen 25 D",Atletas!O189="Chen 36 D",Atletas!O189="Chen 56 D"),420,IF(Atletas!O189="Sun 73 D",421,IF(Atletas!O189="Wu 45 D",422,IF(Atletas!O189="Wu-Hao 46 D",423,IF(OR(Atletas!O189="Taijiquan 16 D",Atletas!O189="Taijiquan 24 D",Atletas!O189="Taijiquan 32 D",Atletas!O189="Taijiquan 42 D"),424,IF(OR(Atletas!O189="Yang 26 E",Atletas!O189="Yang 40 E"),425,IF(OR(Atletas!O189="Chen 25 E",Atletas!O189="Chen 36 E",Atletas!O189="Chen 56 E"),426,IF(Atletas!O189="Sun 73 E",427,IF(Atletas!O189="Wu 45 E",428,IF(Atletas!O189="Wu-Hao 46 E",429,IF(OR(Atletas!O189="Taijiquan 16 E",Atletas!O189="Taijiquan 24 E",Atletas!O189="Taijiquan 32 E",Atletas!O189="Taijiquan 42 E"),430,IF(OR(Atletas!O189="Yang 26 F",Atletas!O189="Yang 40 F"),431,IF(OR(Atletas!O189="Chen 25 F",Atletas!O189="Chen 36 F",Atletas!O189="Chen 56 F"),432,IF(Atletas!O189="Sun 73 F",433,IF(Atletas!O189="Wu 45 F",434,IF(Atletas!O189="Wu-Hao 46 F",435,IF(OR(Atletas!O189="Taijiquan 16 F",Atletas!O189="Taijiquan 24 F",Atletas!O189="Taijiquan 32 F",Atletas!O189="Taijiquan 42 F"),436,0)))))))))))))))))))</f>
        <v/>
      </c>
      <c r="BR193" s="52" t="str">
        <f>IF(Atletas!P189="","",IF(Atletas!W189&lt;&gt;"",10000,0)+IF(Atletas!B189="Feminino",1000,IF(Atletas!B189="Masculino",2000,""))+IF(Atletas!P189="Xingyiquan A",501,IF(Atletas!P189="Baguazhang A",502,IF(Atletas!P189="Outro Estilo Interno A",503,IF(Atletas!P189="Xingyiquan B",504,IF(Atletas!P189="Baguazhang B",505,IF(Atletas!P189="Outro Estilo Interno B",506,IF(Atletas!P189="Xingyiquan C",507,IF(Atletas!P189="Baguazhang C",508,IF(Atletas!P189="Outro Estilo Interno C",509,IF(Atletas!P189="Xingyiquan D",510,IF(Atletas!P189="Baguazhang D",511,IF(Atletas!P189="Outro Estilo Interno D",512,IF(Atletas!P189="Xingyiquan E",513,IF(Atletas!P189="Baguazhang E",514,IF(Atletas!P189="Outro Estilo Interno E",515,IF(Atletas!P189="Xingyiquan F",516,IF(Atletas!P189="Baguazhang F",517,IF(Atletas!P189="Outro Estilo Interno F",518, "")))))))))))))))))))</f>
        <v/>
      </c>
      <c r="BS193" s="52" t="str">
        <f>IF(Atletas!Q189="","",IF(Atletas!W189&lt;&gt;"",10000,0)+IF(Atletas!B189="Feminino",1000,IF(Atletas!B189="Masculino",2000,""))+IF(Atletas!Q189="Dao A",601,IF(Atletas!Q189="Jian A",602,IF(Atletas!Q189="Bishou A",603,IF(Atletas!Q189="Shan A",604,IF(Atletas!Q189="Outra Arma Curta A",605,IF(Atletas!Q189="Dao B",606,IF(Atletas!Q189="Jian B",607,IF(Atletas!Q189="Bishou B",608,IF(Atletas!Q189="Shan B",609,IF(Atletas!Q189="Outra Arma Curta B",610,IF(Atletas!Q189="Dao C",611,IF(Atletas!Q189="Jian C",612,IF(Atletas!Q189="Bishou C",613,IF(Atletas!Q189="Shan C",614,IF(Atletas!Q189="Outra Arma Curta C",615,IF(Atletas!Q189="Dao D",616,IF(Atletas!Q189="Jian D",617,IF(Atletas!Q189="Bishou D",618,IF(Atletas!Q189="Shan D",619,IF(Atletas!Q189="Outra Arma Curta D",620,IF(Atletas!Q189="Dao E",621,IF(Atletas!Q189="Jian E",622,IF(Atletas!Q189="Bishou E",623,IF(Atletas!Q189="Shan E",624,IF(Atletas!Q189="Outra Arma Curta E",625,IF(Atletas!Q189="Dao F",626,IF(Atletas!Q189="Jian F",627,IF(Atletas!Q189="Bishou F",628,IF(Atletas!Q189="Shan F",629,IF(Atletas!Q189="Outra Arma Curta F",630, "")))))))))))))))))))))))))))))))</f>
        <v/>
      </c>
      <c r="BT193" s="52" t="str">
        <f>IF(Atletas!R189="","",IF(Atletas!W189&lt;&gt;"",10000,0)+IF(Atletas!B189="Feminino",1000,IF(Atletas!B189="Masculino",2000,""))+IF(Atletas!R189="Gun A",701,IF(Atletas!R189="Qiang A",702,IF(Atletas!R189="Pudao / Guandao A",703,IF(Atletas!R189="Outra Arma Longa A",704,IF(Atletas!R189="Gun B",705,IF(Atletas!R189="Qiang B",706,IF(Atletas!R189="Pudao / Guandao B",707,IF(Atletas!R189="Outra Arma Longa B",708,IF(Atletas!R189="Gun C",709,IF(Atletas!R189="Qiang C",710,IF(Atletas!R189="Pudao / Guandao C",711,IF(Atletas!R189="Outra Arma Longa C",712,IF(Atletas!R189="Gun D",713,IF(Atletas!R189="Qiang D",714,IF(Atletas!R189="Pudao / Guandao D",715,IF(Atletas!R189="Outra Arma Longa D",716,IF(Atletas!R189="Gun E",717,IF(Atletas!R189="Qiang E",718,IF(Atletas!R189="Pudao / Guandao E",719,IF(Atletas!R189="Outra Arma Longa E",720,IF(Atletas!R189="Gun F",721,IF(Atletas!R189="Qiang F",722,IF(Atletas!R189="Pudao / Guandao F",723,IF(Atletas!R189="Outra Arma Longa F",724,"")))))))))))))))))))))))))</f>
        <v/>
      </c>
      <c r="BU193" s="52" t="str">
        <f>IF(Atletas!S189="","",IF(Atletas!W189&lt;&gt;"",10000,0)+IF(Atletas!B189="Feminino",1000,IF(Atletas!B189="Masculino",2000,""))+IF(Atletas!S189="Arma Dupla A",801,IF(Atletas!S189="Arma Maleável A",802,IF(Atletas!S189="Arma Dupla B",803,IF(Atletas!S189="Arma Maleável B",804,IF(Atletas!S189="Arma Dupla C",805,IF(Atletas!S189="Arma Maleável C",806,IF(Atletas!S189="Arma Dupla D",807,IF(Atletas!S189="Arma Maleável D",808,IF(Atletas!S189="Arma Dupla E",809,IF(Atletas!S189="Arma Maleável E",810,IF(Atletas!S189="Arma Dupla F",811,IF(Atletas!S189="Arma Maleável F",812, "")))))))))))))</f>
        <v/>
      </c>
      <c r="BV193" s="52" t="str">
        <f>IF(Atletas!T189="","",IF(Atletas!W189&lt;&gt;"",10000,0)+IF(Atletas!B189="Feminino",1000,IF(Atletas!B189="Masculino",2000,""))+IF(Atletas!T189="Taijijian Yang A",901,IF(Atletas!T189="Taijijian Chen A",902,IF(Atletas!T189="Taijijian Sun A",903,IF(Atletas!T189="Taijijian Wu A",904,IF(Atletas!T189="Taijijian Wu-Hao A",905,IF(Atletas!T189="Taijijian 32 A",906,IF(Atletas!T189="Taijijian 42 A",907,IF(Atletas!T189="Taijijian Yang B",908,IF(Atletas!T189="Taijijian Chen B",909,IF(Atletas!T189="Taijijian Sun B",910,IF(Atletas!T189="Taijijian Wu B",911,IF(Atletas!T189="Taijijian Wu-Hao B",912,IF(Atletas!T189="Taijijian 32 B",913,IF(Atletas!T189="Taijijian 42 B",914,IF(Atletas!T189="Taijijian Yang C",915,IF(Atletas!T189="Taijijian Chen C",916,IF(Atletas!T189="Taijijian Sun C",917,IF(Atletas!T189="Taijijian Wu C",918,IF(Atletas!T189="Taijijian Wu-Hao C",919,IF(Atletas!T189="Taijijian 32 C",920,IF(Atletas!T189="Taijijian 42 C",921,IF(Atletas!T189="Taijijian Yang D",922,IF(Atletas!T189="Taijijian Chen D",923,IF(Atletas!T189="Taijijian Sun D",924,IF(Atletas!T189="Taijijian Wu D",925,IF(Atletas!T189="Taijijian Wu-Hao D",926,IF(Atletas!T189="Taijijian 32 D",927,IF(Atletas!T189="Taijijian 42 D",928,IF(Atletas!T189="Taijijian Yang E",929,IF(Atletas!T189="Taijijian Chen E",930,IF(Atletas!T189="Taijijian Sun E",931,IF(Atletas!T189="Taijijian Wu E",932,IF(Atletas!T189="Taijijian Wu-Hao E",933,IF(Atletas!T189="Taijijian 32 E",934,IF(Atletas!T189="Taijijian 42 E",935,IF(Atletas!T189="Taijijian Yang F",936,IF(Atletas!T189="Taijijian Chen F",937,IF(Atletas!T189="Taijijian Sun F",938,IF(Atletas!T189="Taijijian Wu F",939,IF(Atletas!T189="Taijijian Wu-Hao F",940,IF(Atletas!T189="Taijijian 32 F",941,IF(Atletas!T189="Taijijian 42 F",942,"")))))))))))))))))))))))))))))))))))))))))))</f>
        <v/>
      </c>
      <c r="BW193" s="52" t="str">
        <f>IF(Atletas!U189="","",IF(Atletas!W189&lt;&gt;"",10000,0)+IF(Atletas!B189="Feminino",1000,IF(Atletas!B189="Masculino",2000,""))+IF(Atletas!T189="Taijijian 42 F",942,IF(Atletas!U189="Taijidao A",943,IF(Atletas!U189="Taijishan A",944,IF(Atletas!U189="Taijiqiang A",945,IF(Atletas!U189="Taijidao B",946,IF(Atletas!U189="Taijishan B",947,IF(Atletas!U189="Taijiqiang B",948,IF(Atletas!U189="Taijidao C",949,IF(Atletas!U189="Taijishan C",950,IF(Atletas!U189="Taijiqiang C",951,IF(Atletas!U189="Taijidao D",952,IF(Atletas!U189="Taijishan D",953,IF(Atletas!U189="Taijiqiang D",954,IF(Atletas!U189="Taijidao E",955,IF(Atletas!U189="Taijishan E",956,IF(Atletas!U189="Taijiqiang E",957,IF(Atletas!U189="Taijidao F",958,IF(Atletas!U189="Taijishan F",959,IF(Atletas!U189="Taijiqiang F",960))))))))))))))))))))</f>
        <v/>
      </c>
      <c r="BX193" s="72" t="str">
        <f>IF(BY193&lt;&gt;"","TJQ Padr. Yang E","")</f>
        <v/>
      </c>
      <c r="BY193" s="72" t="str">
        <f>IF(COUNTIF(BK:BW,1425)&gt;0,COUNTIF(BK:BW,1425),"")</f>
        <v/>
      </c>
      <c r="BZ193" s="72" t="str">
        <f>IF(CA193&lt;&gt;"","TJQ Padr. Yang E","")</f>
        <v/>
      </c>
      <c r="CA193" s="72" t="str">
        <f>IF(COUNTIF(BK:BW,2425)&gt;0,COUNTIF(BK:BW,2425),"")</f>
        <v/>
      </c>
      <c r="CB193" s="72" t="str">
        <f>IF(CC193&lt;&gt;"","Sun 73 B","")</f>
        <v/>
      </c>
      <c r="CC193" s="64" t="str">
        <f>IF(COUNTIF(BK:BW,11425)&gt;0,COUNTIF(BK:BW,11425),"")</f>
        <v/>
      </c>
      <c r="CD193" s="64" t="str">
        <f>IF(CE193&lt;&gt;"","Sun 73 B","")</f>
        <v/>
      </c>
      <c r="CE193" s="64" t="str">
        <f>IF(COUNTIF(BK:BW,12425)&gt;0,COUNTIF(BK:BW,12425),"")</f>
        <v/>
      </c>
      <c r="CF193" s="52" t="str">
        <f xml:space="preserve"> IF(Atletas!V189="","",IF(Atletas!V189="Duilian de Mãos AB - Equipe 1",1,IF(Atletas!V189="Duilian de Mãos AB - Equipe 2",2,IF(Atletas!V189="Duilian de Armas AB - Equipe 1",3,IF(Atletas!V189="Duilian de Armas AB - Equipe 2",4,IF(Atletas!V189="Duilian de Tuishou - Equipe 1",5,IF(Atletas!V189="Duilian de Tuishou - Equipe 2",6,IF(Atletas!V189="Grupo Externo AB - Equipe 1",7,IF(Atletas!V189="Grupo Externo AB - Equipe 2",8,IF(Atletas!V189="Grupo Interno AB - Equipe 1",9,IF(Atletas!V189="Grupo Interno AB - Equipe 2",10,IF(Atletas!V189="Duilian de Mãos CD - Equipe 1",11,IF(Atletas!V189="Duilian de Mãos CD - Equipe 2",12,IF(Atletas!V189="Duilian de Armas CD - Equipe 1",13,IF(Atletas!V189="Duilian de Armas CD - Equipe 2",14,IF(Atletas!V189="Duilian de Tuishou - Equipe 1",15,IF(Atletas!V189="Duilian de Tuishou - Equipe 2",16,IF(Atletas!V189="Grupo Externo CDEF - Equipe 1",17,IF(Atletas!V189="Grupo Externo CDEF - Equipe 2",18,IF(Atletas!V189="Grupo Interno CDEF - Equipe 1",19,IF(Atletas!V189="Grupo Interno CDEF - Equipe 2",20,IF(Atletas!V189="Duilian de Mãos EF - Equipe 1",21,IF(Atletas!V189="Duilian de Mãos EF - Equipe 2",22,IF(Atletas!V189="Duilian de Armas EF - Equipe 1",23,IF(Atletas!V189="Duilian de Armas EF - Equipe 2",24,IF(Atletas!V189="Duilian de Tuishou - Equipe 1",25,IF(Atletas!V189="Duilian de Tuishou - Equipe 2",26,"")))))))))))))))))))))))))))</f>
        <v/>
      </c>
    </row>
    <row r="194" spans="2:84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 t="str">
        <f t="array" ref="V194">IFERROR(INDEX(BX$7:BX$336,SMALL(IF(BX$7:BX$336&lt;&gt;"",ROW(BX$7:BX$336)-ROW(BX$7)+1),ROWS(BX$7:BX193))),"")</f>
        <v/>
      </c>
      <c r="W194" s="4" t="str">
        <f t="array" ref="W194">IFERROR(INDEX(BY$7:BY$336,SMALL(IF(BY$7:BY$336&lt;&gt;"",ROW(BY$7:BY$336)-ROW(BY$7)+1),ROWS(BY$7:BY193))),"")</f>
        <v/>
      </c>
      <c r="X194" s="4" t="str">
        <f t="array" ref="X194">IFERROR(INDEX(BZ$7:BZ$336,SMALL(IF(BZ$7:BZ$336&lt;&gt;"",ROW(BZ$7:BZ$336)-ROW(BZ$7)+1),ROWS(BZ$7:BZ193))),"")</f>
        <v/>
      </c>
      <c r="Y194" s="4" t="str">
        <f t="array" ref="Y194">IFERROR(INDEX(CA$7:CA$336,SMALL(IF(CA$7:CA$336&lt;&gt;"",ROW(CA$7:CA$336)-ROW(CA$7)+1),ROWS(CA$7:CA193))),"")</f>
        <v/>
      </c>
      <c r="Z194" s="4" t="str">
        <f t="array" ref="Z194">IFERROR(INDEX(CB$7:CB$378,SMALL(IF(CB$7:CB$378&lt;&gt;"",ROW(CB$7:CB$378)-ROW(CB$7)+1),ROWS(CB$7:CB193))),"")</f>
        <v/>
      </c>
      <c r="AA194" s="4" t="str">
        <f t="array" ref="AA194">IFERROR(INDEX(CC$7:CC$378,SMALL(IF(CC$7:CC$378&lt;&gt;"",ROW(CC$7:CC$378)-ROW(CC$7)+1),ROWS(CC$7:CC193))),"")</f>
        <v/>
      </c>
      <c r="AB194" s="4" t="str">
        <f t="array" ref="AB194">IFERROR(INDEX(CD$7:CD$378,SMALL(IF(CD$7:CD$378&lt;&gt;"",ROW(CD$7:CD$378)-ROW(CD$7)+1),ROWS(CD$7:CD193))),"")</f>
        <v/>
      </c>
      <c r="AC194" s="4" t="str">
        <f t="array" ref="AC194">IFERROR(INDEX(CE$7:CE$378,SMALL(IF(CE$7:CE$378&lt;&gt;"",ROW(CE$7:CE$378)-ROW(CE$7)+1),ROWS(CE$7:CE193))),"")</f>
        <v/>
      </c>
      <c r="AD194" s="4"/>
      <c r="AE194" s="4"/>
      <c r="AF194" s="4"/>
      <c r="AG194" s="4"/>
      <c r="AH194" s="4"/>
      <c r="AI194" s="4"/>
      <c r="AJ194" s="46" t="str">
        <f>IF(Atletas!D190="","",IF(Atletas!B190="Feminino",100,IF(Atletas!B190="Masculino",200,""))+(IF(Atletas!D190="Infantil 39kg",1,IF(Atletas!D190="Infantil 42kg",2,IF(Atletas!D190="Infantil 45kg",3,IF(Atletas!D190="Infantil 48kg",4,IF(Atletas!D190="Infantil 52kg",5,IF(Atletas!D190="Infantil 56kg",6,IF(Atletas!D190="Infantil 60kg",7,IF(Atletas!D190="Juvenil 48kg",8,IF(Atletas!D190="Juvenil 52kg",9,IF(Atletas!D190="Juvenil 56kg",10,IF(Atletas!D190="Juvenil 60kg",11,IF(Atletas!D190="Juvenil 65kg",12,IF(Atletas!D190="Juvenil 70kg",13,IF(Atletas!D190="Juvenil 75kg",14,IF(Atletas!D190="Juvenil 80kg",15,IF(Atletas!D190="Adulto 48kg",16,IF(Atletas!D190="Adulto 52kg",17,IF(Atletas!D190="Adulto 56kg",18,IF(Atletas!D190="Adulto 60kg",19,IF(Atletas!D190="Adulto 65kg",20,IF(Atletas!D190="Adulto 70kg",21,IF(Atletas!D190="Adulto 75kg",22,IF(Atletas!D190="Adulto 80kg",23,IF(Atletas!D190="Adulto 85kg",24,IF(Atletas!D190="Adulto 90kg",25,IF(Atletas!D190="Adulto +90kg",26,""))))))))))))))))))))))))))))</f>
        <v/>
      </c>
      <c r="AO194" s="10" t="str">
        <f>IF(Atletas!E190="","",IF(Atletas!B190="Feminino",100,IF(Atletas!B190="Masculino",200,""))+(IF(Atletas!E190="Juvenil 44kg",1,IF(Atletas!E190="Juvenil 48kg",2,IF(Atletas!E190="Juvenil 52kg",3,IF(Atletas!E190="Juvenil 56kg",4,IF(Atletas!E190="Juvenil 60kg",5,IF(Atletas!E190="Juvenil 65kg",6,IF(Atletas!E190="Juvenil 70kg",7,IF(Atletas!E190="Juvenil 75kg",8,IF(Atletas!E190="Juvenil 82kg",9,IF(Atletas!E190="Juvenil 90kg",10,IF(Atletas!E190="Juvenil 100kg",11,IF(Atletas!E190="Adulto 48kg",12,IF(Atletas!E190="Adulto 52kg",13,IF(Atletas!E190="Adulto 56kg",14,IF(Atletas!E190="Adulto 60kg",15,IF(Atletas!E190="Adulto 65kg",16,IF(Atletas!E190="Adulto 70kg",17,IF(Atletas!E190="Adulto 75kg",18,IF(Atletas!E190="Adulto 82kg",19,IF(Atletas!E190="Adulto 90kg",20,IF(Atletas!E190="Adulto 100kg",21,IF(Atletas!E190="Adulto +100kg",22,""))))))))))))))))))))))))</f>
        <v/>
      </c>
      <c r="AT194" s="10" t="str">
        <f>IF(Atletas!F190="","",IF(Atletas!B190="Feminino",100,IF(Atletas!B190="Masculino",200,""))+(IF(Atletas!F190="Adulto 48kg",1,IF(Atletas!F190="Adulto 56kg",2,IF(Atletas!F190="Adulto 65kg",3,IF(Atletas!F190="Adulto 75kg",4,IF(Atletas!F190="Adulto +75kg",5,IF(Atletas!F190="Adulto 52kg",6,IF(Atletas!F190="Adulto 60kg",7,IF(Atletas!F190="Adulto 70kg",8,IF(Atletas!F190="Adulto 80kg",9,IF(Atletas!F190="Adulto 90kg",10,IF(Atletas!F190="Adulto +90kg",11,"")))))))))))))</f>
        <v/>
      </c>
      <c r="AY194" s="46" t="str">
        <f>IF(Atletas!G190="","",IF(Atletas!B190="Feminino",100,IF(Atletas!B190="Masculino",200,""))+(IF(Atletas!G190="Changquan Mirim",1,IF(Atletas!G190="Nanquan Mirim",2,IF(Atletas!G190="Taijiquan Mirim",3,IF(Atletas!G190="Changquan Grupo C",4,IF(Atletas!G190="Nanquan Grupo C",5,IF(Atletas!G190="Taijiquan Grupo C",6,IF(Atletas!G190="Changquan Grupo B",7,IF(Atletas!G190="Nanquan Grupo B",8,IF(Atletas!G190="Taijiquan Grupo B",9,IF(Atletas!G190="Changquan Grupo A",10,IF(Atletas!G190="Nanquan Grupo A",11,IF(Atletas!G190="Taijiquan Grupo A",12,IF(Atletas!G190="Changquan Opcional",13,IF(Atletas!G190="Nanquan Opcional",14,IF(Atletas!G190="Taijiquan Opcional",15,IF(Atletas!G190="Changquan Adulto",16,IF(Atletas!G190="Nanquan Adulto",17,IF(Atletas!G190="Taijiquan Adulto",18,""))))))))))))))))))))</f>
        <v/>
      </c>
      <c r="AZ194" s="46" t="str">
        <f>IF(Atletas!H190="","",IF(Atletas!B190="Feminino",100,IF(Atletas!B190="Masculino",200,""))+(IF(Atletas!H190="Daoshu Mirim",19,IF(Atletas!H190="Jianshu Mirim",20,IF(Atletas!H190="Nandao Mirim",21,IF(Atletas!H190="Taijijian Mirim",22,IF(Atletas!H190="Daoshu Grupo C",23,IF(Atletas!H190="Jianshu Grupo C",24,IF(Atletas!H190="Nandao Grupo C",25,IF(Atletas!H190="Taijijian Grupo C",26,IF(Atletas!H190="Daoshu Grupo B",27,IF(Atletas!H190="Jianshu Grupo B",28,IF(Atletas!H190="Nandao Grupo B",29,IF(Atletas!H190="Taijijian Grupo B",30,IF(Atletas!H190="Daoshu Grupo A",31,IF(Atletas!H190="Jianshu Grupo A",32,IF(Atletas!H190="Nandao Grupo A",33,IF(Atletas!H190="Taijijian Grupo A",34,IF(Atletas!H190="Daoshu Opcional",35,IF(Atletas!H190="Jianshu Opcional",36,IF(Atletas!H190="Nandao Opcional",37,IF(Atletas!H190="Taijijian Opcional",38,IF(Atletas!H190="Daoshu Adulto",39,IF(Atletas!H190="Jianshu Adulto",40,IF(Atletas!H190="Nandao Adulto",41,IF(Atletas!H190="Taijijian Adulto",42,""))))))))))))))))))))))))))</f>
        <v/>
      </c>
      <c r="BA194" s="46" t="str">
        <f>IF(Atletas!I190="","",IF(Atletas!B190="Feminino",100,IF(Atletas!B190="Masculino",200,""))+(IF(Atletas!I190="Gunshu Mirim",43,IF(Atletas!I190="Qiangshu Mirim",44,IF(Atletas!I190="Nangun Mirim",45,IF(Atletas!I190="Gunshu Grupo C",46,IF(Atletas!I190="Qiangshu Grupo C",47,IF(Atletas!I190="Nangun Grupo C",48,IF(Atletas!I190="Gunshu Grupo B",49,IF(Atletas!I190="Qiangshu Grupo B",50,IF(Atletas!I190="Nangun Grupo B",51,IF(Atletas!I190="Gunshu Grupo A",52,IF(Atletas!I190="Qiangshu Grupo A",53,IF(Atletas!I190="Nangun Grupo A",54,IF(Atletas!I190="Gunshu Opcional",55,IF(Atletas!I190="Qiangshu Opcional",56,IF(Atletas!I190="Nangun Opcional",57,IF(Atletas!I190="Gunshu Adulto",58,IF(Atletas!I190="Qiangshu Adulto",59,IF(Atletas!I190="Nangun Adulto",60,""))))))))))))))))))))</f>
        <v/>
      </c>
      <c r="BF194" s="52" t="str">
        <f>IF(Atletas!J190="","",IF(Atletas!B190="Feminino",100,IF(Atletas!B190="Masculino",200,""))+(IF(Atletas!J190="Equipe 1 Grupo B",1,IF(Atletas!J190="Equipe 2 Grupo B",2,IF(Atletas!J190="Equipe 1 Grupo A",3,IF(Atletas!J190="Equipe 2 Grupo A",4,IF(Atletas!J190="Equipe 1 Adulto",5,IF(Atletas!J190="Equipe 2 Adulto",6,""))))))))</f>
        <v/>
      </c>
      <c r="BK194" s="52" t="str">
        <f>IF(Atletas!K190="","",IF(Atletas!W190&lt;&gt;"",10000,0)+(IF(Atletas!B190="Feminino",1000,IF(Atletas!B190="Masculino",2000,""))+IF(Atletas!K190="Choylayfut A",1,IF(Atletas!K190="Hunggar A",2,IF(Atletas!K190="Wuzuquan A",3,IF(Atletas!K190="Wingchun A",4,IF(Atletas!K190="Outra Mão de Sul A",5,IF(Atletas!K190="Choylayfut B",6,IF(Atletas!K190="Hunggar B",7,IF(Atletas!K190="Wuzuquan B",8,IF(Atletas!K190="Wingchun B",9,IF(Atletas!K190="Outra Mão de Sul B",10,IF(Atletas!K190="Choylayfut C",11,IF(Atletas!K190="Hunggar C",12,IF(Atletas!K190="Wuzuquan C",13,IF(Atletas!K190="Wingchun C",14,IF(Atletas!K190="Outra Mão de Sul C",15,IF(Atletas!K190="Choylayfut D",16,IF(Atletas!K190="Hunggar D",17,IF(Atletas!K190="Wuzuquan D",18,IF(Atletas!K190="Wingchun D",19,IF(Atletas!K190="Outra Mão de Sul D",20,IF(Atletas!K190="Choylayfut E",21,IF(Atletas!K190="Hunggar E",22,IF(Atletas!K190="Wuzuquan E",23,IF(Atletas!K190="Wingchun E",24,IF(Atletas!K190="Outra Mão de Sul E",25,IF(Atletas!K190="Choylayfut F",26,IF(Atletas!K190="Hunggar F",27,IF(Atletas!K190="Wuzuquan F",28,IF(Atletas!K190="Wingchun F",29,IF(Atletas!K190="Outra Mão de Sul F",30,""))))))))))))))))))))))))))))))))</f>
        <v/>
      </c>
      <c r="BL194" s="52" t="str">
        <f>IF(Atletas!L190="","",IF(Atletas!W190&lt;&gt;"",10000,0)+(IF(Atletas!B190="Feminino",1000,IF(Atletas!B190="Masculino",2000,""))+(IF(Atletas!L190="Chaquan A",101,IF(Atletas!L190="Emeiquan A",102,IF(Atletas!L190="Fanziquan A",103,IF(Atletas!L190="Huaquan A",104,IF(Atletas!L190="Hongquan A",105,IF(Atletas!L190="Paochui A",106,IF(Atletas!L190="Piguaquan A",107,IF(Atletas!L190="Shaolinquan A",108,IF(Atletas!L190="Tanglangquan A",109,IF(Atletas!L190="Yinzhaophai A",110,IF(Atletas!L190="Tongbeiquan A",111,IF(Atletas!L190="Wudangquan A",112,IF(Atletas!L190="Outros Estilos A",113,IF(Atletas!L190="Chaquan B",114,IF(Atletas!L190="Emeiquan B",115,IF(Atletas!L190="Fanziquan B",116,IF(Atletas!L190="Huaquan B",117,IF(Atletas!L190="Hongquan B",118,IF(Atletas!L190="Paochui B",119,IF(Atletas!L190="Piguaquan B",120,IF(Atletas!L190="Shaolinquan B",121,IF(Atletas!L190="Tanglangquan B",122,IF(Atletas!L190="Yinzhaophai B",123,IF(Atletas!L190="Tongbeiquan B",124,IF(Atletas!L190="Wudangquan B",125,IF(Atletas!L190="Outros Estilos B",126,IF(Atletas!L190="Chaquan C",127,IF(Atletas!L190="Emeiquan C",128,IF(Atletas!L190="Fanziquan C",129,IF(Atletas!L190="Huaquan C",130,IF(Atletas!L190="Hongquan C",131,IF(Atletas!L190="Paochui C",132,IF(Atletas!L190="Piguaquan C",133,IF(Atletas!L190="Shaolinquan C",134,IF(Atletas!L190="Tanglangquan C",135,IF(Atletas!L190="Yinzhaophai C",136,IF(Atletas!L190="Tongbeiquan C",137,IF(Atletas!L190="Wudangquan C",138,IF(Atletas!L190="Outros Estilos C",139,0))))))))))))))))))))))))))))))))))))))))))</f>
        <v/>
      </c>
      <c r="BM194" s="52" t="str">
        <f>IF(Atletas!L190="","",IF(Atletas!W190&lt;&gt;"",10000,0)+(IF(Atletas!B190="Feminino",1000,IF(Atletas!B190="Masculino",2000,""))+(IF(Atletas!L190="Chaquan D",140,IF(Atletas!L190="Emeiquan D",141,IF(Atletas!L190="Fanziquan D",142,IF(Atletas!L190="Huaquan D",143,IF(Atletas!L190="Hongquan D",144,IF(Atletas!L190="Paochui D",145,IF(Atletas!L190="Piguaquan D",146,IF(Atletas!L190="Shaolinquan D",147,IF(Atletas!L190="Tanglangquan D",148,IF(Atletas!L190="Yinzhaophai D",149,IF(Atletas!L190="Tongbeiquan D",150,IF(Atletas!L190="Wudangquan D",151,IF(Atletas!L190="Outros Estilos D",152,IF(Atletas!L190="Chaquan E",153,IF(Atletas!L190="Emeiquan E",154,IF(Atletas!L190="Fanziquan E",155,IF(Atletas!L190="Huaquan E",156,IF(Atletas!L190="Hongquan E",157,IF(Atletas!L190="Paochui E",158,IF(Atletas!L190="Piguaquan E",159,IF(Atletas!L190="Shaolinquan E",160,IF(Atletas!L190="Tanglangquan E",161,IF(Atletas!L190="Yinzhaophai E",162,IF(Atletas!L190="Tongbeiquan E",163,IF(Atletas!L190="Wudangquan E",164,IF(Atletas!L190="Outros Estilos E",165,IF(Atletas!L190="Chaquan F",166,IF(Atletas!L190="Emeiquan F",167,IF(Atletas!L190="Fanziquan F",168,IF(Atletas!L190="Huaquan F",169,IF(Atletas!L190="Hongquan F",170,IF(Atletas!L190="Paochui F",171,IF(Atletas!L190="Piguaquan F",172,IF(Atletas!L190="Shaolinquan F",173,IF(Atletas!L190="Tanglangquan F",174,IF(Atletas!L190="Yinzhaophai F",175,IF(Atletas!L190="Tongbeiquan F",176,IF(Atletas!L190="Wudangquan F",177,IF(Atletas!L190="Outros Estilos F",178,0))))))))))))))))))))))))))))))))))))))))))</f>
        <v/>
      </c>
      <c r="BN194" s="52" t="str">
        <f>IF(Atletas!M190="","",IF(Atletas!W190&lt;&gt;"",10000,0)+(IF(Atletas!B190="Feminino",1000,IF(Atletas!B190="Masculino",2000,""))+(IF(Atletas!M190="Ditangquan A",201,IF(Atletas!M190="Houquan A",202,IF(Atletas!M190="Zuiquan A",203,IF(Atletas!M190="Ditangquan B",204,IF(Atletas!M190="Houquan B",205,IF(Atletas!M190="Zuiquan B",206,IF(Atletas!M190="Ditangquan C",207,IF(Atletas!M190="Houquan C",208,IF(Atletas!M190="Zuiquan C",209,IF(Atletas!M190="Ditangquan D",210,IF(Atletas!M190="Houquan D",211,IF(Atletas!M190="Zuiquan D",212,IF(Atletas!M190="Ditangquan E",213,IF(Atletas!M190="Houquan E",214,IF(Atletas!M190="Zuiquan E",215,IF(Atletas!M190="Ditangquan F",216,IF(Atletas!M190="Houquan F",217,IF(Atletas!M190="Zuiquan F",218,"")))))))))))))))))))))</f>
        <v/>
      </c>
      <c r="BO194" s="52" t="str">
        <f>IF(Atletas!N190="","",IF(Atletas!W190&lt;&gt;"",10000,0)+IF(Atletas!B190="Feminino",1000,IF(Atletas!B190="Masculino",2000,""))+IF(Atletas!N190="Yang A",301,IF(Atletas!N190="Chen A",30,IF(Atletas!N190="Sun A",303,IF(Atletas!N190="Wu A",304,IF(Atletas!N190="Wu-Hao A",305,IF(Atletas!N190="Outro Taijiquan A",306,IF(Atletas!N190="Yang B",307,IF(Atletas!N190="Chen B",308,IF(Atletas!N190="Sun B",309,IF(Atletas!N190="Wu B",310,IF(Atletas!N190="Wu-Hao B",311,IF(Atletas!N190="Outro Taijiquan B",312,IF(Atletas!N190="Yang C",313,IF(Atletas!N190="Chen C",314,IF(Atletas!N190="Sun C",315,IF(Atletas!N190="Wu C",316,IF(Atletas!N190="Wu-Hao C",317,IF(Atletas!N190="Outro Taijiquan C",318,IF(Atletas!N190="Yang D",319,IF(Atletas!N190="Chen D",320,IF(Atletas!N190="Sun D",321,IF(Atletas!N190="Wu D",322,IF(Atletas!N190="Wu-Hao D",323,IF(Atletas!N190="Outro Taijiquan D",324,IF(Atletas!N190="Yang E",325,IF(Atletas!N190="Chen E",326,IF(Atletas!N190="Sun E",327,IF(Atletas!N190="Wu E",328,IF(Atletas!N190="Wu-Hao E",329,IF(Atletas!N190="Outro Taijiquan E",330,IF(Atletas!N190="Yang F",331,IF(Atletas!N190="Chen F",332,IF(Atletas!N190="Sun F",333,IF(Atletas!N190="Wu F",334,IF(Atletas!N190="Wu-Hao F",335,IF(Atletas!N190="Outro Taijiquan F",336,"")))))))))))))))))))))))))))))))))))))</f>
        <v/>
      </c>
      <c r="BP194" s="52" t="str">
        <f>IF(Atletas!O190="","",IF(Atletas!W190&lt;&gt;"",10000,0)+IF(Atletas!B190="Feminino",1000,IF(Atletas!B190="Masculino",2000,""))+IF(OR(Atletas!O190="Yang 26 A",Atletas!O190="Yang 40 A"),401,IF(OR(Atletas!O190="Chen 25 A",Atletas!O190="Chen 36 A",Atletas!O190="Chen 56 A"),402,IF(Atletas!O190="Sun 73 A",403,IF(Atletas!O190="Wu 45 A",404,IF(Atletas!O190="Wu-Hao 46 A",405,IF(OR(Atletas!O190="Taijiquan 16 A",Atletas!O190="Taijiquan 24 A",Atletas!O190="Taijiquan 32 A",Atletas!O190="Taijiquan 42 A"),406,IF(OR(Atletas!O190="Yang 26 B",Atletas!O190="Yang 40 B"),407,IF(OR(Atletas!O190="Chen 25 B",Atletas!O190="Chen 36 B",Atletas!O190="Chen 56 B"),408,IF(Atletas!O190="Sun 73 B",409,IF(Atletas!O190="Wu 45 B",410,IF(Atletas!O190="Wu-Hao 46 B",411,IF(OR(Atletas!O190="Taijiquan 16 B",Atletas!O190="Taijiquan 24 B",Atletas!O190="Taijiquan 32 B",Atletas!O190="Taijiquan 42 B"),412,IF(OR(Atletas!O190="Yang 26 C",Atletas!O190="Yang 40 C"),413,IF(OR(Atletas!O190="Chen 25 C",Atletas!O190="Chen 36 C",Atletas!O190="Chen 56 C"),414,IF(Atletas!O190="Sun 73 C",415,IF(Atletas!O190="Wu 45 C",416,IF(Atletas!O190="Wu-Hao 46 C",417,IF(OR(Atletas!O190="Taijiquan 16 C",Atletas!O190="Taijiquan 24 C",Atletas!O190="Taijiquan 32 C",Atletas!O190="Taijiquan 42 C"),418,0)))))))))))))))))))</f>
        <v/>
      </c>
      <c r="BQ194" s="52" t="str">
        <f>IF(Atletas!O190="","",IF(Atletas!W190&lt;&gt;"",10000,0)+IF(Atletas!B190="Feminino",1000,IF(Atletas!B190="Masculino",2000,""))+IF(OR(Atletas!O190="Yang 26 D",Atletas!O190="Yang 40 D"),419,IF(OR(Atletas!O190="Chen 25 D",Atletas!O190="Chen 36 D",Atletas!O190="Chen 56 D"),420,IF(Atletas!O190="Sun 73 D",421,IF(Atletas!O190="Wu 45 D",422,IF(Atletas!O190="Wu-Hao 46 D",423,IF(OR(Atletas!O190="Taijiquan 16 D",Atletas!O190="Taijiquan 24 D",Atletas!O190="Taijiquan 32 D",Atletas!O190="Taijiquan 42 D"),424,IF(OR(Atletas!O190="Yang 26 E",Atletas!O190="Yang 40 E"),425,IF(OR(Atletas!O190="Chen 25 E",Atletas!O190="Chen 36 E",Atletas!O190="Chen 56 E"),426,IF(Atletas!O190="Sun 73 E",427,IF(Atletas!O190="Wu 45 E",428,IF(Atletas!O190="Wu-Hao 46 E",429,IF(OR(Atletas!O190="Taijiquan 16 E",Atletas!O190="Taijiquan 24 E",Atletas!O190="Taijiquan 32 E",Atletas!O190="Taijiquan 42 E"),430,IF(OR(Atletas!O190="Yang 26 F",Atletas!O190="Yang 40 F"),431,IF(OR(Atletas!O190="Chen 25 F",Atletas!O190="Chen 36 F",Atletas!O190="Chen 56 F"),432,IF(Atletas!O190="Sun 73 F",433,IF(Atletas!O190="Wu 45 F",434,IF(Atletas!O190="Wu-Hao 46 F",435,IF(OR(Atletas!O190="Taijiquan 16 F",Atletas!O190="Taijiquan 24 F",Atletas!O190="Taijiquan 32 F",Atletas!O190="Taijiquan 42 F"),436,0)))))))))))))))))))</f>
        <v/>
      </c>
      <c r="BR194" s="52" t="str">
        <f>IF(Atletas!P190="","",IF(Atletas!W190&lt;&gt;"",10000,0)+IF(Atletas!B190="Feminino",1000,IF(Atletas!B190="Masculino",2000,""))+IF(Atletas!P190="Xingyiquan A",501,IF(Atletas!P190="Baguazhang A",502,IF(Atletas!P190="Outro Estilo Interno A",503,IF(Atletas!P190="Xingyiquan B",504,IF(Atletas!P190="Baguazhang B",505,IF(Atletas!P190="Outro Estilo Interno B",506,IF(Atletas!P190="Xingyiquan C",507,IF(Atletas!P190="Baguazhang C",508,IF(Atletas!P190="Outro Estilo Interno C",509,IF(Atletas!P190="Xingyiquan D",510,IF(Atletas!P190="Baguazhang D",511,IF(Atletas!P190="Outro Estilo Interno D",512,IF(Atletas!P190="Xingyiquan E",513,IF(Atletas!P190="Baguazhang E",514,IF(Atletas!P190="Outro Estilo Interno E",515,IF(Atletas!P190="Xingyiquan F",516,IF(Atletas!P190="Baguazhang F",517,IF(Atletas!P190="Outro Estilo Interno F",518, "")))))))))))))))))))</f>
        <v/>
      </c>
      <c r="BS194" s="52" t="str">
        <f>IF(Atletas!Q190="","",IF(Atletas!W190&lt;&gt;"",10000,0)+IF(Atletas!B190="Feminino",1000,IF(Atletas!B190="Masculino",2000,""))+IF(Atletas!Q190="Dao A",601,IF(Atletas!Q190="Jian A",602,IF(Atletas!Q190="Bishou A",603,IF(Atletas!Q190="Shan A",604,IF(Atletas!Q190="Outra Arma Curta A",605,IF(Atletas!Q190="Dao B",606,IF(Atletas!Q190="Jian B",607,IF(Atletas!Q190="Bishou B",608,IF(Atletas!Q190="Shan B",609,IF(Atletas!Q190="Outra Arma Curta B",610,IF(Atletas!Q190="Dao C",611,IF(Atletas!Q190="Jian C",612,IF(Atletas!Q190="Bishou C",613,IF(Atletas!Q190="Shan C",614,IF(Atletas!Q190="Outra Arma Curta C",615,IF(Atletas!Q190="Dao D",616,IF(Atletas!Q190="Jian D",617,IF(Atletas!Q190="Bishou D",618,IF(Atletas!Q190="Shan D",619,IF(Atletas!Q190="Outra Arma Curta D",620,IF(Atletas!Q190="Dao E",621,IF(Atletas!Q190="Jian E",622,IF(Atletas!Q190="Bishou E",623,IF(Atletas!Q190="Shan E",624,IF(Atletas!Q190="Outra Arma Curta E",625,IF(Atletas!Q190="Dao F",626,IF(Atletas!Q190="Jian F",627,IF(Atletas!Q190="Bishou F",628,IF(Atletas!Q190="Shan F",629,IF(Atletas!Q190="Outra Arma Curta F",630, "")))))))))))))))))))))))))))))))</f>
        <v/>
      </c>
      <c r="BT194" s="52" t="str">
        <f>IF(Atletas!R190="","",IF(Atletas!W190&lt;&gt;"",10000,0)+IF(Atletas!B190="Feminino",1000,IF(Atletas!B190="Masculino",2000,""))+IF(Atletas!R190="Gun A",701,IF(Atletas!R190="Qiang A",702,IF(Atletas!R190="Pudao / Guandao A",703,IF(Atletas!R190="Outra Arma Longa A",704,IF(Atletas!R190="Gun B",705,IF(Atletas!R190="Qiang B",706,IF(Atletas!R190="Pudao / Guandao B",707,IF(Atletas!R190="Outra Arma Longa B",708,IF(Atletas!R190="Gun C",709,IF(Atletas!R190="Qiang C",710,IF(Atletas!R190="Pudao / Guandao C",711,IF(Atletas!R190="Outra Arma Longa C",712,IF(Atletas!R190="Gun D",713,IF(Atletas!R190="Qiang D",714,IF(Atletas!R190="Pudao / Guandao D",715,IF(Atletas!R190="Outra Arma Longa D",716,IF(Atletas!R190="Gun E",717,IF(Atletas!R190="Qiang E",718,IF(Atletas!R190="Pudao / Guandao E",719,IF(Atletas!R190="Outra Arma Longa E",720,IF(Atletas!R190="Gun F",721,IF(Atletas!R190="Qiang F",722,IF(Atletas!R190="Pudao / Guandao F",723,IF(Atletas!R190="Outra Arma Longa F",724,"")))))))))))))))))))))))))</f>
        <v/>
      </c>
      <c r="BU194" s="52" t="str">
        <f>IF(Atletas!S190="","",IF(Atletas!W190&lt;&gt;"",10000,0)+IF(Atletas!B190="Feminino",1000,IF(Atletas!B190="Masculino",2000,""))+IF(Atletas!S190="Arma Dupla A",801,IF(Atletas!S190="Arma Maleável A",802,IF(Atletas!S190="Arma Dupla B",803,IF(Atletas!S190="Arma Maleável B",804,IF(Atletas!S190="Arma Dupla C",805,IF(Atletas!S190="Arma Maleável C",806,IF(Atletas!S190="Arma Dupla D",807,IF(Atletas!S190="Arma Maleável D",808,IF(Atletas!S190="Arma Dupla E",809,IF(Atletas!S190="Arma Maleável E",810,IF(Atletas!S190="Arma Dupla F",811,IF(Atletas!S190="Arma Maleável F",812, "")))))))))))))</f>
        <v/>
      </c>
      <c r="BV194" s="52" t="str">
        <f>IF(Atletas!T190="","",IF(Atletas!W190&lt;&gt;"",10000,0)+IF(Atletas!B190="Feminino",1000,IF(Atletas!B190="Masculino",2000,""))+IF(Atletas!T190="Taijijian Yang A",901,IF(Atletas!T190="Taijijian Chen A",902,IF(Atletas!T190="Taijijian Sun A",903,IF(Atletas!T190="Taijijian Wu A",904,IF(Atletas!T190="Taijijian Wu-Hao A",905,IF(Atletas!T190="Taijijian 32 A",906,IF(Atletas!T190="Taijijian 42 A",907,IF(Atletas!T190="Taijijian Yang B",908,IF(Atletas!T190="Taijijian Chen B",909,IF(Atletas!T190="Taijijian Sun B",910,IF(Atletas!T190="Taijijian Wu B",911,IF(Atletas!T190="Taijijian Wu-Hao B",912,IF(Atletas!T190="Taijijian 32 B",913,IF(Atletas!T190="Taijijian 42 B",914,IF(Atletas!T190="Taijijian Yang C",915,IF(Atletas!T190="Taijijian Chen C",916,IF(Atletas!T190="Taijijian Sun C",917,IF(Atletas!T190="Taijijian Wu C",918,IF(Atletas!T190="Taijijian Wu-Hao C",919,IF(Atletas!T190="Taijijian 32 C",920,IF(Atletas!T190="Taijijian 42 C",921,IF(Atletas!T190="Taijijian Yang D",922,IF(Atletas!T190="Taijijian Chen D",923,IF(Atletas!T190="Taijijian Sun D",924,IF(Atletas!T190="Taijijian Wu D",925,IF(Atletas!T190="Taijijian Wu-Hao D",926,IF(Atletas!T190="Taijijian 32 D",927,IF(Atletas!T190="Taijijian 42 D",928,IF(Atletas!T190="Taijijian Yang E",929,IF(Atletas!T190="Taijijian Chen E",930,IF(Atletas!T190="Taijijian Sun E",931,IF(Atletas!T190="Taijijian Wu E",932,IF(Atletas!T190="Taijijian Wu-Hao E",933,IF(Atletas!T190="Taijijian 32 E",934,IF(Atletas!T190="Taijijian 42 E",935,IF(Atletas!T190="Taijijian Yang F",936,IF(Atletas!T190="Taijijian Chen F",937,IF(Atletas!T190="Taijijian Sun F",938,IF(Atletas!T190="Taijijian Wu F",939,IF(Atletas!T190="Taijijian Wu-Hao F",940,IF(Atletas!T190="Taijijian 32 F",941,IF(Atletas!T190="Taijijian 42 F",942,"")))))))))))))))))))))))))))))))))))))))))))</f>
        <v/>
      </c>
      <c r="BW194" s="52" t="str">
        <f>IF(Atletas!U190="","",IF(Atletas!W190&lt;&gt;"",10000,0)+IF(Atletas!B190="Feminino",1000,IF(Atletas!B190="Masculino",2000,""))+IF(Atletas!T190="Taijijian 42 F",942,IF(Atletas!U190="Taijidao A",943,IF(Atletas!U190="Taijishan A",944,IF(Atletas!U190="Taijiqiang A",945,IF(Atletas!U190="Taijidao B",946,IF(Atletas!U190="Taijishan B",947,IF(Atletas!U190="Taijiqiang B",948,IF(Atletas!U190="Taijidao C",949,IF(Atletas!U190="Taijishan C",950,IF(Atletas!U190="Taijiqiang C",951,IF(Atletas!U190="Taijidao D",952,IF(Atletas!U190="Taijishan D",953,IF(Atletas!U190="Taijiqiang D",954,IF(Atletas!U190="Taijidao E",955,IF(Atletas!U190="Taijishan E",956,IF(Atletas!U190="Taijiqiang E",957,IF(Atletas!U190="Taijidao F",958,IF(Atletas!U190="Taijishan F",959,IF(Atletas!U190="Taijiqiang F",960))))))))))))))))))))</f>
        <v/>
      </c>
      <c r="BX194" s="72" t="str">
        <f>IF(BY194&lt;&gt;"","TJQ Padr. Chen E","")</f>
        <v/>
      </c>
      <c r="BY194" s="72" t="str">
        <f>IF(COUNTIF(BK:BW,1426)&gt;0,COUNTIF(BK:BW,1426),"")</f>
        <v/>
      </c>
      <c r="BZ194" s="72" t="str">
        <f>IF(CA194&lt;&gt;"","TJQ Padr. Chen E","")</f>
        <v/>
      </c>
      <c r="CA194" s="72" t="str">
        <f>IF(COUNTIF(BK:BW,2426)&gt;0,COUNTIF(BK:BW,2426),"")</f>
        <v/>
      </c>
      <c r="CB194" s="72" t="str">
        <f>IF(CC194&lt;&gt;"","Sun Novo B","")</f>
        <v/>
      </c>
      <c r="CC194" s="64" t="str">
        <f>IF(COUNTIF(BK:BW,11426)&gt;0,COUNTIF(BK:BW,11426),"")</f>
        <v/>
      </c>
      <c r="CD194" s="64" t="str">
        <f>IF(CE194&lt;&gt;"","Sun Novo B","")</f>
        <v/>
      </c>
      <c r="CE194" s="64" t="str">
        <f>IF(COUNTIF(BK:BW,12426)&gt;0,COUNTIF(BK:BW,12426),"")</f>
        <v/>
      </c>
      <c r="CF194" s="52" t="str">
        <f xml:space="preserve"> IF(Atletas!V190="","",IF(Atletas!V190="Duilian de Mãos AB - Equipe 1",1,IF(Atletas!V190="Duilian de Mãos AB - Equipe 2",2,IF(Atletas!V190="Duilian de Armas AB - Equipe 1",3,IF(Atletas!V190="Duilian de Armas AB - Equipe 2",4,IF(Atletas!V190="Duilian de Tuishou - Equipe 1",5,IF(Atletas!V190="Duilian de Tuishou - Equipe 2",6,IF(Atletas!V190="Grupo Externo AB - Equipe 1",7,IF(Atletas!V190="Grupo Externo AB - Equipe 2",8,IF(Atletas!V190="Grupo Interno AB - Equipe 1",9,IF(Atletas!V190="Grupo Interno AB - Equipe 2",10,IF(Atletas!V190="Duilian de Mãos CD - Equipe 1",11,IF(Atletas!V190="Duilian de Mãos CD - Equipe 2",12,IF(Atletas!V190="Duilian de Armas CD - Equipe 1",13,IF(Atletas!V190="Duilian de Armas CD - Equipe 2",14,IF(Atletas!V190="Duilian de Tuishou - Equipe 1",15,IF(Atletas!V190="Duilian de Tuishou - Equipe 2",16,IF(Atletas!V190="Grupo Externo CDEF - Equipe 1",17,IF(Atletas!V190="Grupo Externo CDEF - Equipe 2",18,IF(Atletas!V190="Grupo Interno CDEF - Equipe 1",19,IF(Atletas!V190="Grupo Interno CDEF - Equipe 2",20,IF(Atletas!V190="Duilian de Mãos EF - Equipe 1",21,IF(Atletas!V190="Duilian de Mãos EF - Equipe 2",22,IF(Atletas!V190="Duilian de Armas EF - Equipe 1",23,IF(Atletas!V190="Duilian de Armas EF - Equipe 2",24,IF(Atletas!V190="Duilian de Tuishou - Equipe 1",25,IF(Atletas!V190="Duilian de Tuishou - Equipe 2",26,"")))))))))))))))))))))))))))</f>
        <v/>
      </c>
    </row>
    <row r="195" spans="2:84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 t="str">
        <f t="array" ref="V195">IFERROR(INDEX(BX$7:BX$336,SMALL(IF(BX$7:BX$336&lt;&gt;"",ROW(BX$7:BX$336)-ROW(BX$7)+1),ROWS(BX$7:BX194))),"")</f>
        <v/>
      </c>
      <c r="W195" s="4" t="str">
        <f t="array" ref="W195">IFERROR(INDEX(BY$7:BY$336,SMALL(IF(BY$7:BY$336&lt;&gt;"",ROW(BY$7:BY$336)-ROW(BY$7)+1),ROWS(BY$7:BY194))),"")</f>
        <v/>
      </c>
      <c r="X195" s="4" t="str">
        <f t="array" ref="X195">IFERROR(INDEX(BZ$7:BZ$336,SMALL(IF(BZ$7:BZ$336&lt;&gt;"",ROW(BZ$7:BZ$336)-ROW(BZ$7)+1),ROWS(BZ$7:BZ194))),"")</f>
        <v/>
      </c>
      <c r="Y195" s="4" t="str">
        <f t="array" ref="Y195">IFERROR(INDEX(CA$7:CA$336,SMALL(IF(CA$7:CA$336&lt;&gt;"",ROW(CA$7:CA$336)-ROW(CA$7)+1),ROWS(CA$7:CA194))),"")</f>
        <v/>
      </c>
      <c r="Z195" s="4" t="str">
        <f t="array" ref="Z195">IFERROR(INDEX(CB$7:CB$378,SMALL(IF(CB$7:CB$378&lt;&gt;"",ROW(CB$7:CB$378)-ROW(CB$7)+1),ROWS(CB$7:CB194))),"")</f>
        <v/>
      </c>
      <c r="AA195" s="4" t="str">
        <f t="array" ref="AA195">IFERROR(INDEX(CC$7:CC$378,SMALL(IF(CC$7:CC$378&lt;&gt;"",ROW(CC$7:CC$378)-ROW(CC$7)+1),ROWS(CC$7:CC194))),"")</f>
        <v/>
      </c>
      <c r="AB195" s="4" t="str">
        <f t="array" ref="AB195">IFERROR(INDEX(CD$7:CD$378,SMALL(IF(CD$7:CD$378&lt;&gt;"",ROW(CD$7:CD$378)-ROW(CD$7)+1),ROWS(CD$7:CD194))),"")</f>
        <v/>
      </c>
      <c r="AC195" s="4" t="str">
        <f t="array" ref="AC195">IFERROR(INDEX(CE$7:CE$378,SMALL(IF(CE$7:CE$378&lt;&gt;"",ROW(CE$7:CE$378)-ROW(CE$7)+1),ROWS(CE$7:CE194))),"")</f>
        <v/>
      </c>
      <c r="AD195" s="4"/>
      <c r="AE195" s="4"/>
      <c r="AF195" s="4"/>
      <c r="AG195" s="4"/>
      <c r="AH195" s="4"/>
      <c r="AI195" s="4"/>
      <c r="AJ195" s="46" t="str">
        <f>IF(Atletas!D191="","",IF(Atletas!B191="Feminino",100,IF(Atletas!B191="Masculino",200,""))+(IF(Atletas!D191="Infantil 39kg",1,IF(Atletas!D191="Infantil 42kg",2,IF(Atletas!D191="Infantil 45kg",3,IF(Atletas!D191="Infantil 48kg",4,IF(Atletas!D191="Infantil 52kg",5,IF(Atletas!D191="Infantil 56kg",6,IF(Atletas!D191="Infantil 60kg",7,IF(Atletas!D191="Juvenil 48kg",8,IF(Atletas!D191="Juvenil 52kg",9,IF(Atletas!D191="Juvenil 56kg",10,IF(Atletas!D191="Juvenil 60kg",11,IF(Atletas!D191="Juvenil 65kg",12,IF(Atletas!D191="Juvenil 70kg",13,IF(Atletas!D191="Juvenil 75kg",14,IF(Atletas!D191="Juvenil 80kg",15,IF(Atletas!D191="Adulto 48kg",16,IF(Atletas!D191="Adulto 52kg",17,IF(Atletas!D191="Adulto 56kg",18,IF(Atletas!D191="Adulto 60kg",19,IF(Atletas!D191="Adulto 65kg",20,IF(Atletas!D191="Adulto 70kg",21,IF(Atletas!D191="Adulto 75kg",22,IF(Atletas!D191="Adulto 80kg",23,IF(Atletas!D191="Adulto 85kg",24,IF(Atletas!D191="Adulto 90kg",25,IF(Atletas!D191="Adulto +90kg",26,""))))))))))))))))))))))))))))</f>
        <v/>
      </c>
      <c r="AO195" s="10" t="str">
        <f>IF(Atletas!E191="","",IF(Atletas!B191="Feminino",100,IF(Atletas!B191="Masculino",200,""))+(IF(Atletas!E191="Juvenil 44kg",1,IF(Atletas!E191="Juvenil 48kg",2,IF(Atletas!E191="Juvenil 52kg",3,IF(Atletas!E191="Juvenil 56kg",4,IF(Atletas!E191="Juvenil 60kg",5,IF(Atletas!E191="Juvenil 65kg",6,IF(Atletas!E191="Juvenil 70kg",7,IF(Atletas!E191="Juvenil 75kg",8,IF(Atletas!E191="Juvenil 82kg",9,IF(Atletas!E191="Juvenil 90kg",10,IF(Atletas!E191="Juvenil 100kg",11,IF(Atletas!E191="Adulto 48kg",12,IF(Atletas!E191="Adulto 52kg",13,IF(Atletas!E191="Adulto 56kg",14,IF(Atletas!E191="Adulto 60kg",15,IF(Atletas!E191="Adulto 65kg",16,IF(Atletas!E191="Adulto 70kg",17,IF(Atletas!E191="Adulto 75kg",18,IF(Atletas!E191="Adulto 82kg",19,IF(Atletas!E191="Adulto 90kg",20,IF(Atletas!E191="Adulto 100kg",21,IF(Atletas!E191="Adulto +100kg",22,""))))))))))))))))))))))))</f>
        <v/>
      </c>
      <c r="AT195" s="10" t="str">
        <f>IF(Atletas!F191="","",IF(Atletas!B191="Feminino",100,IF(Atletas!B191="Masculino",200,""))+(IF(Atletas!F191="Adulto 48kg",1,IF(Atletas!F191="Adulto 56kg",2,IF(Atletas!F191="Adulto 65kg",3,IF(Atletas!F191="Adulto 75kg",4,IF(Atletas!F191="Adulto +75kg",5,IF(Atletas!F191="Adulto 52kg",6,IF(Atletas!F191="Adulto 60kg",7,IF(Atletas!F191="Adulto 70kg",8,IF(Atletas!F191="Adulto 80kg",9,IF(Atletas!F191="Adulto 90kg",10,IF(Atletas!F191="Adulto +90kg",11,"")))))))))))))</f>
        <v/>
      </c>
      <c r="AY195" s="46" t="str">
        <f>IF(Atletas!G191="","",IF(Atletas!B191="Feminino",100,IF(Atletas!B191="Masculino",200,""))+(IF(Atletas!G191="Changquan Mirim",1,IF(Atletas!G191="Nanquan Mirim",2,IF(Atletas!G191="Taijiquan Mirim",3,IF(Atletas!G191="Changquan Grupo C",4,IF(Atletas!G191="Nanquan Grupo C",5,IF(Atletas!G191="Taijiquan Grupo C",6,IF(Atletas!G191="Changquan Grupo B",7,IF(Atletas!G191="Nanquan Grupo B",8,IF(Atletas!G191="Taijiquan Grupo B",9,IF(Atletas!G191="Changquan Grupo A",10,IF(Atletas!G191="Nanquan Grupo A",11,IF(Atletas!G191="Taijiquan Grupo A",12,IF(Atletas!G191="Changquan Opcional",13,IF(Atletas!G191="Nanquan Opcional",14,IF(Atletas!G191="Taijiquan Opcional",15,IF(Atletas!G191="Changquan Adulto",16,IF(Atletas!G191="Nanquan Adulto",17,IF(Atletas!G191="Taijiquan Adulto",18,""))))))))))))))))))))</f>
        <v/>
      </c>
      <c r="AZ195" s="46" t="str">
        <f>IF(Atletas!H191="","",IF(Atletas!B191="Feminino",100,IF(Atletas!B191="Masculino",200,""))+(IF(Atletas!H191="Daoshu Mirim",19,IF(Atletas!H191="Jianshu Mirim",20,IF(Atletas!H191="Nandao Mirim",21,IF(Atletas!H191="Taijijian Mirim",22,IF(Atletas!H191="Daoshu Grupo C",23,IF(Atletas!H191="Jianshu Grupo C",24,IF(Atletas!H191="Nandao Grupo C",25,IF(Atletas!H191="Taijijian Grupo C",26,IF(Atletas!H191="Daoshu Grupo B",27,IF(Atletas!H191="Jianshu Grupo B",28,IF(Atletas!H191="Nandao Grupo B",29,IF(Atletas!H191="Taijijian Grupo B",30,IF(Atletas!H191="Daoshu Grupo A",31,IF(Atletas!H191="Jianshu Grupo A",32,IF(Atletas!H191="Nandao Grupo A",33,IF(Atletas!H191="Taijijian Grupo A",34,IF(Atletas!H191="Daoshu Opcional",35,IF(Atletas!H191="Jianshu Opcional",36,IF(Atletas!H191="Nandao Opcional",37,IF(Atletas!H191="Taijijian Opcional",38,IF(Atletas!H191="Daoshu Adulto",39,IF(Atletas!H191="Jianshu Adulto",40,IF(Atletas!H191="Nandao Adulto",41,IF(Atletas!H191="Taijijian Adulto",42,""))))))))))))))))))))))))))</f>
        <v/>
      </c>
      <c r="BA195" s="46" t="str">
        <f>IF(Atletas!I191="","",IF(Atletas!B191="Feminino",100,IF(Atletas!B191="Masculino",200,""))+(IF(Atletas!I191="Gunshu Mirim",43,IF(Atletas!I191="Qiangshu Mirim",44,IF(Atletas!I191="Nangun Mirim",45,IF(Atletas!I191="Gunshu Grupo C",46,IF(Atletas!I191="Qiangshu Grupo C",47,IF(Atletas!I191="Nangun Grupo C",48,IF(Atletas!I191="Gunshu Grupo B",49,IF(Atletas!I191="Qiangshu Grupo B",50,IF(Atletas!I191="Nangun Grupo B",51,IF(Atletas!I191="Gunshu Grupo A",52,IF(Atletas!I191="Qiangshu Grupo A",53,IF(Atletas!I191="Nangun Grupo A",54,IF(Atletas!I191="Gunshu Opcional",55,IF(Atletas!I191="Qiangshu Opcional",56,IF(Atletas!I191="Nangun Opcional",57,IF(Atletas!I191="Gunshu Adulto",58,IF(Atletas!I191="Qiangshu Adulto",59,IF(Atletas!I191="Nangun Adulto",60,""))))))))))))))))))))</f>
        <v/>
      </c>
      <c r="BF195" s="52" t="str">
        <f>IF(Atletas!J191="","",IF(Atletas!B191="Feminino",100,IF(Atletas!B191="Masculino",200,""))+(IF(Atletas!J191="Equipe 1 Grupo B",1,IF(Atletas!J191="Equipe 2 Grupo B",2,IF(Atletas!J191="Equipe 1 Grupo A",3,IF(Atletas!J191="Equipe 2 Grupo A",4,IF(Atletas!J191="Equipe 1 Adulto",5,IF(Atletas!J191="Equipe 2 Adulto",6,""))))))))</f>
        <v/>
      </c>
      <c r="BK195" s="52" t="str">
        <f>IF(Atletas!K191="","",IF(Atletas!W191&lt;&gt;"",10000,0)+(IF(Atletas!B191="Feminino",1000,IF(Atletas!B191="Masculino",2000,""))+IF(Atletas!K191="Choylayfut A",1,IF(Atletas!K191="Hunggar A",2,IF(Atletas!K191="Wuzuquan A",3,IF(Atletas!K191="Wingchun A",4,IF(Atletas!K191="Outra Mão de Sul A",5,IF(Atletas!K191="Choylayfut B",6,IF(Atletas!K191="Hunggar B",7,IF(Atletas!K191="Wuzuquan B",8,IF(Atletas!K191="Wingchun B",9,IF(Atletas!K191="Outra Mão de Sul B",10,IF(Atletas!K191="Choylayfut C",11,IF(Atletas!K191="Hunggar C",12,IF(Atletas!K191="Wuzuquan C",13,IF(Atletas!K191="Wingchun C",14,IF(Atletas!K191="Outra Mão de Sul C",15,IF(Atletas!K191="Choylayfut D",16,IF(Atletas!K191="Hunggar D",17,IF(Atletas!K191="Wuzuquan D",18,IF(Atletas!K191="Wingchun D",19,IF(Atletas!K191="Outra Mão de Sul D",20,IF(Atletas!K191="Choylayfut E",21,IF(Atletas!K191="Hunggar E",22,IF(Atletas!K191="Wuzuquan E",23,IF(Atletas!K191="Wingchun E",24,IF(Atletas!K191="Outra Mão de Sul E",25,IF(Atletas!K191="Choylayfut F",26,IF(Atletas!K191="Hunggar F",27,IF(Atletas!K191="Wuzuquan F",28,IF(Atletas!K191="Wingchun F",29,IF(Atletas!K191="Outra Mão de Sul F",30,""))))))))))))))))))))))))))))))))</f>
        <v/>
      </c>
      <c r="BL195" s="52" t="str">
        <f>IF(Atletas!L191="","",IF(Atletas!W191&lt;&gt;"",10000,0)+(IF(Atletas!B191="Feminino",1000,IF(Atletas!B191="Masculino",2000,""))+(IF(Atletas!L191="Chaquan A",101,IF(Atletas!L191="Emeiquan A",102,IF(Atletas!L191="Fanziquan A",103,IF(Atletas!L191="Huaquan A",104,IF(Atletas!L191="Hongquan A",105,IF(Atletas!L191="Paochui A",106,IF(Atletas!L191="Piguaquan A",107,IF(Atletas!L191="Shaolinquan A",108,IF(Atletas!L191="Tanglangquan A",109,IF(Atletas!L191="Yinzhaophai A",110,IF(Atletas!L191="Tongbeiquan A",111,IF(Atletas!L191="Wudangquan A",112,IF(Atletas!L191="Outros Estilos A",113,IF(Atletas!L191="Chaquan B",114,IF(Atletas!L191="Emeiquan B",115,IF(Atletas!L191="Fanziquan B",116,IF(Atletas!L191="Huaquan B",117,IF(Atletas!L191="Hongquan B",118,IF(Atletas!L191="Paochui B",119,IF(Atletas!L191="Piguaquan B",120,IF(Atletas!L191="Shaolinquan B",121,IF(Atletas!L191="Tanglangquan B",122,IF(Atletas!L191="Yinzhaophai B",123,IF(Atletas!L191="Tongbeiquan B",124,IF(Atletas!L191="Wudangquan B",125,IF(Atletas!L191="Outros Estilos B",126,IF(Atletas!L191="Chaquan C",127,IF(Atletas!L191="Emeiquan C",128,IF(Atletas!L191="Fanziquan C",129,IF(Atletas!L191="Huaquan C",130,IF(Atletas!L191="Hongquan C",131,IF(Atletas!L191="Paochui C",132,IF(Atletas!L191="Piguaquan C",133,IF(Atletas!L191="Shaolinquan C",134,IF(Atletas!L191="Tanglangquan C",135,IF(Atletas!L191="Yinzhaophai C",136,IF(Atletas!L191="Tongbeiquan C",137,IF(Atletas!L191="Wudangquan C",138,IF(Atletas!L191="Outros Estilos C",139,0))))))))))))))))))))))))))))))))))))))))))</f>
        <v/>
      </c>
      <c r="BM195" s="52" t="str">
        <f>IF(Atletas!L191="","",IF(Atletas!W191&lt;&gt;"",10000,0)+(IF(Atletas!B191="Feminino",1000,IF(Atletas!B191="Masculino",2000,""))+(IF(Atletas!L191="Chaquan D",140,IF(Atletas!L191="Emeiquan D",141,IF(Atletas!L191="Fanziquan D",142,IF(Atletas!L191="Huaquan D",143,IF(Atletas!L191="Hongquan D",144,IF(Atletas!L191="Paochui D",145,IF(Atletas!L191="Piguaquan D",146,IF(Atletas!L191="Shaolinquan D",147,IF(Atletas!L191="Tanglangquan D",148,IF(Atletas!L191="Yinzhaophai D",149,IF(Atletas!L191="Tongbeiquan D",150,IF(Atletas!L191="Wudangquan D",151,IF(Atletas!L191="Outros Estilos D",152,IF(Atletas!L191="Chaquan E",153,IF(Atletas!L191="Emeiquan E",154,IF(Atletas!L191="Fanziquan E",155,IF(Atletas!L191="Huaquan E",156,IF(Atletas!L191="Hongquan E",157,IF(Atletas!L191="Paochui E",158,IF(Atletas!L191="Piguaquan E",159,IF(Atletas!L191="Shaolinquan E",160,IF(Atletas!L191="Tanglangquan E",161,IF(Atletas!L191="Yinzhaophai E",162,IF(Atletas!L191="Tongbeiquan E",163,IF(Atletas!L191="Wudangquan E",164,IF(Atletas!L191="Outros Estilos E",165,IF(Atletas!L191="Chaquan F",166,IF(Atletas!L191="Emeiquan F",167,IF(Atletas!L191="Fanziquan F",168,IF(Atletas!L191="Huaquan F",169,IF(Atletas!L191="Hongquan F",170,IF(Atletas!L191="Paochui F",171,IF(Atletas!L191="Piguaquan F",172,IF(Atletas!L191="Shaolinquan F",173,IF(Atletas!L191="Tanglangquan F",174,IF(Atletas!L191="Yinzhaophai F",175,IF(Atletas!L191="Tongbeiquan F",176,IF(Atletas!L191="Wudangquan F",177,IF(Atletas!L191="Outros Estilos F",178,0))))))))))))))))))))))))))))))))))))))))))</f>
        <v/>
      </c>
      <c r="BN195" s="52" t="str">
        <f>IF(Atletas!M191="","",IF(Atletas!W191&lt;&gt;"",10000,0)+(IF(Atletas!B191="Feminino",1000,IF(Atletas!B191="Masculino",2000,""))+(IF(Atletas!M191="Ditangquan A",201,IF(Atletas!M191="Houquan A",202,IF(Atletas!M191="Zuiquan A",203,IF(Atletas!M191="Ditangquan B",204,IF(Atletas!M191="Houquan B",205,IF(Atletas!M191="Zuiquan B",206,IF(Atletas!M191="Ditangquan C",207,IF(Atletas!M191="Houquan C",208,IF(Atletas!M191="Zuiquan C",209,IF(Atletas!M191="Ditangquan D",210,IF(Atletas!M191="Houquan D",211,IF(Atletas!M191="Zuiquan D",212,IF(Atletas!M191="Ditangquan E",213,IF(Atletas!M191="Houquan E",214,IF(Atletas!M191="Zuiquan E",215,IF(Atletas!M191="Ditangquan F",216,IF(Atletas!M191="Houquan F",217,IF(Atletas!M191="Zuiquan F",218,"")))))))))))))))))))))</f>
        <v/>
      </c>
      <c r="BO195" s="52" t="str">
        <f>IF(Atletas!N191="","",IF(Atletas!W191&lt;&gt;"",10000,0)+IF(Atletas!B191="Feminino",1000,IF(Atletas!B191="Masculino",2000,""))+IF(Atletas!N191="Yang A",301,IF(Atletas!N191="Chen A",30,IF(Atletas!N191="Sun A",303,IF(Atletas!N191="Wu A",304,IF(Atletas!N191="Wu-Hao A",305,IF(Atletas!N191="Outro Taijiquan A",306,IF(Atletas!N191="Yang B",307,IF(Atletas!N191="Chen B",308,IF(Atletas!N191="Sun B",309,IF(Atletas!N191="Wu B",310,IF(Atletas!N191="Wu-Hao B",311,IF(Atletas!N191="Outro Taijiquan B",312,IF(Atletas!N191="Yang C",313,IF(Atletas!N191="Chen C",314,IF(Atletas!N191="Sun C",315,IF(Atletas!N191="Wu C",316,IF(Atletas!N191="Wu-Hao C",317,IF(Atletas!N191="Outro Taijiquan C",318,IF(Atletas!N191="Yang D",319,IF(Atletas!N191="Chen D",320,IF(Atletas!N191="Sun D",321,IF(Atletas!N191="Wu D",322,IF(Atletas!N191="Wu-Hao D",323,IF(Atletas!N191="Outro Taijiquan D",324,IF(Atletas!N191="Yang E",325,IF(Atletas!N191="Chen E",326,IF(Atletas!N191="Sun E",327,IF(Atletas!N191="Wu E",328,IF(Atletas!N191="Wu-Hao E",329,IF(Atletas!N191="Outro Taijiquan E",330,IF(Atletas!N191="Yang F",331,IF(Atletas!N191="Chen F",332,IF(Atletas!N191="Sun F",333,IF(Atletas!N191="Wu F",334,IF(Atletas!N191="Wu-Hao F",335,IF(Atletas!N191="Outro Taijiquan F",336,"")))))))))))))))))))))))))))))))))))))</f>
        <v/>
      </c>
      <c r="BP195" s="52" t="str">
        <f>IF(Atletas!O191="","",IF(Atletas!W191&lt;&gt;"",10000,0)+IF(Atletas!B191="Feminino",1000,IF(Atletas!B191="Masculino",2000,""))+IF(OR(Atletas!O191="Yang 26 A",Atletas!O191="Yang 40 A"),401,IF(OR(Atletas!O191="Chen 25 A",Atletas!O191="Chen 36 A",Atletas!O191="Chen 56 A"),402,IF(Atletas!O191="Sun 73 A",403,IF(Atletas!O191="Wu 45 A",404,IF(Atletas!O191="Wu-Hao 46 A",405,IF(OR(Atletas!O191="Taijiquan 16 A",Atletas!O191="Taijiquan 24 A",Atletas!O191="Taijiquan 32 A",Atletas!O191="Taijiquan 42 A"),406,IF(OR(Atletas!O191="Yang 26 B",Atletas!O191="Yang 40 B"),407,IF(OR(Atletas!O191="Chen 25 B",Atletas!O191="Chen 36 B",Atletas!O191="Chen 56 B"),408,IF(Atletas!O191="Sun 73 B",409,IF(Atletas!O191="Wu 45 B",410,IF(Atletas!O191="Wu-Hao 46 B",411,IF(OR(Atletas!O191="Taijiquan 16 B",Atletas!O191="Taijiquan 24 B",Atletas!O191="Taijiquan 32 B",Atletas!O191="Taijiquan 42 B"),412,IF(OR(Atletas!O191="Yang 26 C",Atletas!O191="Yang 40 C"),413,IF(OR(Atletas!O191="Chen 25 C",Atletas!O191="Chen 36 C",Atletas!O191="Chen 56 C"),414,IF(Atletas!O191="Sun 73 C",415,IF(Atletas!O191="Wu 45 C",416,IF(Atletas!O191="Wu-Hao 46 C",417,IF(OR(Atletas!O191="Taijiquan 16 C",Atletas!O191="Taijiquan 24 C",Atletas!O191="Taijiquan 32 C",Atletas!O191="Taijiquan 42 C"),418,0)))))))))))))))))))</f>
        <v/>
      </c>
      <c r="BQ195" s="52" t="str">
        <f>IF(Atletas!O191="","",IF(Atletas!W191&lt;&gt;"",10000,0)+IF(Atletas!B191="Feminino",1000,IF(Atletas!B191="Masculino",2000,""))+IF(OR(Atletas!O191="Yang 26 D",Atletas!O191="Yang 40 D"),419,IF(OR(Atletas!O191="Chen 25 D",Atletas!O191="Chen 36 D",Atletas!O191="Chen 56 D"),420,IF(Atletas!O191="Sun 73 D",421,IF(Atletas!O191="Wu 45 D",422,IF(Atletas!O191="Wu-Hao 46 D",423,IF(OR(Atletas!O191="Taijiquan 16 D",Atletas!O191="Taijiquan 24 D",Atletas!O191="Taijiquan 32 D",Atletas!O191="Taijiquan 42 D"),424,IF(OR(Atletas!O191="Yang 26 E",Atletas!O191="Yang 40 E"),425,IF(OR(Atletas!O191="Chen 25 E",Atletas!O191="Chen 36 E",Atletas!O191="Chen 56 E"),426,IF(Atletas!O191="Sun 73 E",427,IF(Atletas!O191="Wu 45 E",428,IF(Atletas!O191="Wu-Hao 46 E",429,IF(OR(Atletas!O191="Taijiquan 16 E",Atletas!O191="Taijiquan 24 E",Atletas!O191="Taijiquan 32 E",Atletas!O191="Taijiquan 42 E"),430,IF(OR(Atletas!O191="Yang 26 F",Atletas!O191="Yang 40 F"),431,IF(OR(Atletas!O191="Chen 25 F",Atletas!O191="Chen 36 F",Atletas!O191="Chen 56 F"),432,IF(Atletas!O191="Sun 73 F",433,IF(Atletas!O191="Wu 45 F",434,IF(Atletas!O191="Wu-Hao 46 F",435,IF(OR(Atletas!O191="Taijiquan 16 F",Atletas!O191="Taijiquan 24 F",Atletas!O191="Taijiquan 32 F",Atletas!O191="Taijiquan 42 F"),436,0)))))))))))))))))))</f>
        <v/>
      </c>
      <c r="BR195" s="52" t="str">
        <f>IF(Atletas!P191="","",IF(Atletas!W191&lt;&gt;"",10000,0)+IF(Atletas!B191="Feminino",1000,IF(Atletas!B191="Masculino",2000,""))+IF(Atletas!P191="Xingyiquan A",501,IF(Atletas!P191="Baguazhang A",502,IF(Atletas!P191="Outro Estilo Interno A",503,IF(Atletas!P191="Xingyiquan B",504,IF(Atletas!P191="Baguazhang B",505,IF(Atletas!P191="Outro Estilo Interno B",506,IF(Atletas!P191="Xingyiquan C",507,IF(Atletas!P191="Baguazhang C",508,IF(Atletas!P191="Outro Estilo Interno C",509,IF(Atletas!P191="Xingyiquan D",510,IF(Atletas!P191="Baguazhang D",511,IF(Atletas!P191="Outro Estilo Interno D",512,IF(Atletas!P191="Xingyiquan E",513,IF(Atletas!P191="Baguazhang E",514,IF(Atletas!P191="Outro Estilo Interno E",515,IF(Atletas!P191="Xingyiquan F",516,IF(Atletas!P191="Baguazhang F",517,IF(Atletas!P191="Outro Estilo Interno F",518, "")))))))))))))))))))</f>
        <v/>
      </c>
      <c r="BS195" s="52" t="str">
        <f>IF(Atletas!Q191="","",IF(Atletas!W191&lt;&gt;"",10000,0)+IF(Atletas!B191="Feminino",1000,IF(Atletas!B191="Masculino",2000,""))+IF(Atletas!Q191="Dao A",601,IF(Atletas!Q191="Jian A",602,IF(Atletas!Q191="Bishou A",603,IF(Atletas!Q191="Shan A",604,IF(Atletas!Q191="Outra Arma Curta A",605,IF(Atletas!Q191="Dao B",606,IF(Atletas!Q191="Jian B",607,IF(Atletas!Q191="Bishou B",608,IF(Atletas!Q191="Shan B",609,IF(Atletas!Q191="Outra Arma Curta B",610,IF(Atletas!Q191="Dao C",611,IF(Atletas!Q191="Jian C",612,IF(Atletas!Q191="Bishou C",613,IF(Atletas!Q191="Shan C",614,IF(Atletas!Q191="Outra Arma Curta C",615,IF(Atletas!Q191="Dao D",616,IF(Atletas!Q191="Jian D",617,IF(Atletas!Q191="Bishou D",618,IF(Atletas!Q191="Shan D",619,IF(Atletas!Q191="Outra Arma Curta D",620,IF(Atletas!Q191="Dao E",621,IF(Atletas!Q191="Jian E",622,IF(Atletas!Q191="Bishou E",623,IF(Atletas!Q191="Shan E",624,IF(Atletas!Q191="Outra Arma Curta E",625,IF(Atletas!Q191="Dao F",626,IF(Atletas!Q191="Jian F",627,IF(Atletas!Q191="Bishou F",628,IF(Atletas!Q191="Shan F",629,IF(Atletas!Q191="Outra Arma Curta F",630, "")))))))))))))))))))))))))))))))</f>
        <v/>
      </c>
      <c r="BT195" s="52" t="str">
        <f>IF(Atletas!R191="","",IF(Atletas!W191&lt;&gt;"",10000,0)+IF(Atletas!B191="Feminino",1000,IF(Atletas!B191="Masculino",2000,""))+IF(Atletas!R191="Gun A",701,IF(Atletas!R191="Qiang A",702,IF(Atletas!R191="Pudao / Guandao A",703,IF(Atletas!R191="Outra Arma Longa A",704,IF(Atletas!R191="Gun B",705,IF(Atletas!R191="Qiang B",706,IF(Atletas!R191="Pudao / Guandao B",707,IF(Atletas!R191="Outra Arma Longa B",708,IF(Atletas!R191="Gun C",709,IF(Atletas!R191="Qiang C",710,IF(Atletas!R191="Pudao / Guandao C",711,IF(Atletas!R191="Outra Arma Longa C",712,IF(Atletas!R191="Gun D",713,IF(Atletas!R191="Qiang D",714,IF(Atletas!R191="Pudao / Guandao D",715,IF(Atletas!R191="Outra Arma Longa D",716,IF(Atletas!R191="Gun E",717,IF(Atletas!R191="Qiang E",718,IF(Atletas!R191="Pudao / Guandao E",719,IF(Atletas!R191="Outra Arma Longa E",720,IF(Atletas!R191="Gun F",721,IF(Atletas!R191="Qiang F",722,IF(Atletas!R191="Pudao / Guandao F",723,IF(Atletas!R191="Outra Arma Longa F",724,"")))))))))))))))))))))))))</f>
        <v/>
      </c>
      <c r="BU195" s="52" t="str">
        <f>IF(Atletas!S191="","",IF(Atletas!W191&lt;&gt;"",10000,0)+IF(Atletas!B191="Feminino",1000,IF(Atletas!B191="Masculino",2000,""))+IF(Atletas!S191="Arma Dupla A",801,IF(Atletas!S191="Arma Maleável A",802,IF(Atletas!S191="Arma Dupla B",803,IF(Atletas!S191="Arma Maleável B",804,IF(Atletas!S191="Arma Dupla C",805,IF(Atletas!S191="Arma Maleável C",806,IF(Atletas!S191="Arma Dupla D",807,IF(Atletas!S191="Arma Maleável D",808,IF(Atletas!S191="Arma Dupla E",809,IF(Atletas!S191="Arma Maleável E",810,IF(Atletas!S191="Arma Dupla F",811,IF(Atletas!S191="Arma Maleável F",812, "")))))))))))))</f>
        <v/>
      </c>
      <c r="BV195" s="52" t="str">
        <f>IF(Atletas!T191="","",IF(Atletas!W191&lt;&gt;"",10000,0)+IF(Atletas!B191="Feminino",1000,IF(Atletas!B191="Masculino",2000,""))+IF(Atletas!T191="Taijijian Yang A",901,IF(Atletas!T191="Taijijian Chen A",902,IF(Atletas!T191="Taijijian Sun A",903,IF(Atletas!T191="Taijijian Wu A",904,IF(Atletas!T191="Taijijian Wu-Hao A",905,IF(Atletas!T191="Taijijian 32 A",906,IF(Atletas!T191="Taijijian 42 A",907,IF(Atletas!T191="Taijijian Yang B",908,IF(Atletas!T191="Taijijian Chen B",909,IF(Atletas!T191="Taijijian Sun B",910,IF(Atletas!T191="Taijijian Wu B",911,IF(Atletas!T191="Taijijian Wu-Hao B",912,IF(Atletas!T191="Taijijian 32 B",913,IF(Atletas!T191="Taijijian 42 B",914,IF(Atletas!T191="Taijijian Yang C",915,IF(Atletas!T191="Taijijian Chen C",916,IF(Atletas!T191="Taijijian Sun C",917,IF(Atletas!T191="Taijijian Wu C",918,IF(Atletas!T191="Taijijian Wu-Hao C",919,IF(Atletas!T191="Taijijian 32 C",920,IF(Atletas!T191="Taijijian 42 C",921,IF(Atletas!T191="Taijijian Yang D",922,IF(Atletas!T191="Taijijian Chen D",923,IF(Atletas!T191="Taijijian Sun D",924,IF(Atletas!T191="Taijijian Wu D",925,IF(Atletas!T191="Taijijian Wu-Hao D",926,IF(Atletas!T191="Taijijian 32 D",927,IF(Atletas!T191="Taijijian 42 D",928,IF(Atletas!T191="Taijijian Yang E",929,IF(Atletas!T191="Taijijian Chen E",930,IF(Atletas!T191="Taijijian Sun E",931,IF(Atletas!T191="Taijijian Wu E",932,IF(Atletas!T191="Taijijian Wu-Hao E",933,IF(Atletas!T191="Taijijian 32 E",934,IF(Atletas!T191="Taijijian 42 E",935,IF(Atletas!T191="Taijijian Yang F",936,IF(Atletas!T191="Taijijian Chen F",937,IF(Atletas!T191="Taijijian Sun F",938,IF(Atletas!T191="Taijijian Wu F",939,IF(Atletas!T191="Taijijian Wu-Hao F",940,IF(Atletas!T191="Taijijian 32 F",941,IF(Atletas!T191="Taijijian 42 F",942,"")))))))))))))))))))))))))))))))))))))))))))</f>
        <v/>
      </c>
      <c r="BW195" s="52" t="str">
        <f>IF(Atletas!U191="","",IF(Atletas!W191&lt;&gt;"",10000,0)+IF(Atletas!B191="Feminino",1000,IF(Atletas!B191="Masculino",2000,""))+IF(Atletas!T191="Taijijian 42 F",942,IF(Atletas!U191="Taijidao A",943,IF(Atletas!U191="Taijishan A",944,IF(Atletas!U191="Taijiqiang A",945,IF(Atletas!U191="Taijidao B",946,IF(Atletas!U191="Taijishan B",947,IF(Atletas!U191="Taijiqiang B",948,IF(Atletas!U191="Taijidao C",949,IF(Atletas!U191="Taijishan C",950,IF(Atletas!U191="Taijiqiang C",951,IF(Atletas!U191="Taijidao D",952,IF(Atletas!U191="Taijishan D",953,IF(Atletas!U191="Taijiqiang D",954,IF(Atletas!U191="Taijidao E",955,IF(Atletas!U191="Taijishan E",956,IF(Atletas!U191="Taijiqiang E",957,IF(Atletas!U191="Taijidao F",958,IF(Atletas!U191="Taijishan F",959,IF(Atletas!U191="Taijiqiang F",960))))))))))))))))))))</f>
        <v/>
      </c>
      <c r="BX195" s="72" t="str">
        <f>IF(BY195&lt;&gt;"","TJQ Padr. Sun E","")</f>
        <v/>
      </c>
      <c r="BY195" s="72" t="str">
        <f>IF(COUNTIF(BK:BW,1427)&gt;0,COUNTIF(BK:BW,1427),"")</f>
        <v/>
      </c>
      <c r="BZ195" s="72" t="str">
        <f>IF(CA195&lt;&gt;"","TJQ Padr. Sun E","")</f>
        <v/>
      </c>
      <c r="CA195" s="72" t="str">
        <f>IF(COUNTIF(BK:BW,2427)&gt;0,COUNTIF(BK:BW,2427),"")</f>
        <v/>
      </c>
      <c r="CB195" s="72" t="str">
        <f>IF(CC195&lt;&gt;"","Taijiquan 24 C","")</f>
        <v/>
      </c>
      <c r="CC195" s="64" t="str">
        <f>IF(COUNTIF(BK:BW,11427)&gt;0,COUNTIF(BK:BW,11427),"")</f>
        <v/>
      </c>
      <c r="CD195" s="64" t="str">
        <f>IF(CE195&lt;&gt;"","Taijiquan 24 C","")</f>
        <v/>
      </c>
      <c r="CE195" s="64" t="str">
        <f>IF(COUNTIF(BK:BW,12427)&gt;0,COUNTIF(BK:BW,12427),"")</f>
        <v/>
      </c>
      <c r="CF195" s="52" t="str">
        <f xml:space="preserve"> IF(Atletas!V191="","",IF(Atletas!V191="Duilian de Mãos AB - Equipe 1",1,IF(Atletas!V191="Duilian de Mãos AB - Equipe 2",2,IF(Atletas!V191="Duilian de Armas AB - Equipe 1",3,IF(Atletas!V191="Duilian de Armas AB - Equipe 2",4,IF(Atletas!V191="Duilian de Tuishou - Equipe 1",5,IF(Atletas!V191="Duilian de Tuishou - Equipe 2",6,IF(Atletas!V191="Grupo Externo AB - Equipe 1",7,IF(Atletas!V191="Grupo Externo AB - Equipe 2",8,IF(Atletas!V191="Grupo Interno AB - Equipe 1",9,IF(Atletas!V191="Grupo Interno AB - Equipe 2",10,IF(Atletas!V191="Duilian de Mãos CD - Equipe 1",11,IF(Atletas!V191="Duilian de Mãos CD - Equipe 2",12,IF(Atletas!V191="Duilian de Armas CD - Equipe 1",13,IF(Atletas!V191="Duilian de Armas CD - Equipe 2",14,IF(Atletas!V191="Duilian de Tuishou - Equipe 1",15,IF(Atletas!V191="Duilian de Tuishou - Equipe 2",16,IF(Atletas!V191="Grupo Externo CDEF - Equipe 1",17,IF(Atletas!V191="Grupo Externo CDEF - Equipe 2",18,IF(Atletas!V191="Grupo Interno CDEF - Equipe 1",19,IF(Atletas!V191="Grupo Interno CDEF - Equipe 2",20,IF(Atletas!V191="Duilian de Mãos EF - Equipe 1",21,IF(Atletas!V191="Duilian de Mãos EF - Equipe 2",22,IF(Atletas!V191="Duilian de Armas EF - Equipe 1",23,IF(Atletas!V191="Duilian de Armas EF - Equipe 2",24,IF(Atletas!V191="Duilian de Tuishou - Equipe 1",25,IF(Atletas!V191="Duilian de Tuishou - Equipe 2",26,"")))))))))))))))))))))))))))</f>
        <v/>
      </c>
    </row>
    <row r="196" spans="2:84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 t="str">
        <f t="array" ref="V196">IFERROR(INDEX(BX$7:BX$336,SMALL(IF(BX$7:BX$336&lt;&gt;"",ROW(BX$7:BX$336)-ROW(BX$7)+1),ROWS(BX$7:BX195))),"")</f>
        <v/>
      </c>
      <c r="W196" s="4" t="str">
        <f t="array" ref="W196">IFERROR(INDEX(BY$7:BY$336,SMALL(IF(BY$7:BY$336&lt;&gt;"",ROW(BY$7:BY$336)-ROW(BY$7)+1),ROWS(BY$7:BY195))),"")</f>
        <v/>
      </c>
      <c r="X196" s="4" t="str">
        <f t="array" ref="X196">IFERROR(INDEX(BZ$7:BZ$336,SMALL(IF(BZ$7:BZ$336&lt;&gt;"",ROW(BZ$7:BZ$336)-ROW(BZ$7)+1),ROWS(BZ$7:BZ195))),"")</f>
        <v/>
      </c>
      <c r="Y196" s="4" t="str">
        <f t="array" ref="Y196">IFERROR(INDEX(CA$7:CA$336,SMALL(IF(CA$7:CA$336&lt;&gt;"",ROW(CA$7:CA$336)-ROW(CA$7)+1),ROWS(CA$7:CA195))),"")</f>
        <v/>
      </c>
      <c r="Z196" s="4" t="str">
        <f t="array" ref="Z196">IFERROR(INDEX(CB$7:CB$378,SMALL(IF(CB$7:CB$378&lt;&gt;"",ROW(CB$7:CB$378)-ROW(CB$7)+1),ROWS(CB$7:CB195))),"")</f>
        <v/>
      </c>
      <c r="AA196" s="4" t="str">
        <f t="array" ref="AA196">IFERROR(INDEX(CC$7:CC$378,SMALL(IF(CC$7:CC$378&lt;&gt;"",ROW(CC$7:CC$378)-ROW(CC$7)+1),ROWS(CC$7:CC195))),"")</f>
        <v/>
      </c>
      <c r="AB196" s="4" t="str">
        <f t="array" ref="AB196">IFERROR(INDEX(CD$7:CD$378,SMALL(IF(CD$7:CD$378&lt;&gt;"",ROW(CD$7:CD$378)-ROW(CD$7)+1),ROWS(CD$7:CD195))),"")</f>
        <v/>
      </c>
      <c r="AC196" s="4" t="str">
        <f t="array" ref="AC196">IFERROR(INDEX(CE$7:CE$378,SMALL(IF(CE$7:CE$378&lt;&gt;"",ROW(CE$7:CE$378)-ROW(CE$7)+1),ROWS(CE$7:CE195))),"")</f>
        <v/>
      </c>
      <c r="AD196" s="4"/>
      <c r="AE196" s="4"/>
      <c r="AF196" s="4"/>
      <c r="AG196" s="4"/>
      <c r="AH196" s="4"/>
      <c r="AI196" s="4"/>
      <c r="AJ196" s="46" t="str">
        <f>IF(Atletas!D192="","",IF(Atletas!B192="Feminino",100,IF(Atletas!B192="Masculino",200,""))+(IF(Atletas!D192="Infantil 39kg",1,IF(Atletas!D192="Infantil 42kg",2,IF(Atletas!D192="Infantil 45kg",3,IF(Atletas!D192="Infantil 48kg",4,IF(Atletas!D192="Infantil 52kg",5,IF(Atletas!D192="Infantil 56kg",6,IF(Atletas!D192="Infantil 60kg",7,IF(Atletas!D192="Juvenil 48kg",8,IF(Atletas!D192="Juvenil 52kg",9,IF(Atletas!D192="Juvenil 56kg",10,IF(Atletas!D192="Juvenil 60kg",11,IF(Atletas!D192="Juvenil 65kg",12,IF(Atletas!D192="Juvenil 70kg",13,IF(Atletas!D192="Juvenil 75kg",14,IF(Atletas!D192="Juvenil 80kg",15,IF(Atletas!D192="Adulto 48kg",16,IF(Atletas!D192="Adulto 52kg",17,IF(Atletas!D192="Adulto 56kg",18,IF(Atletas!D192="Adulto 60kg",19,IF(Atletas!D192="Adulto 65kg",20,IF(Atletas!D192="Adulto 70kg",21,IF(Atletas!D192="Adulto 75kg",22,IF(Atletas!D192="Adulto 80kg",23,IF(Atletas!D192="Adulto 85kg",24,IF(Atletas!D192="Adulto 90kg",25,IF(Atletas!D192="Adulto +90kg",26,""))))))))))))))))))))))))))))</f>
        <v/>
      </c>
      <c r="AO196" s="10" t="str">
        <f>IF(Atletas!E192="","",IF(Atletas!B192="Feminino",100,IF(Atletas!B192="Masculino",200,""))+(IF(Atletas!E192="Juvenil 44kg",1,IF(Atletas!E192="Juvenil 48kg",2,IF(Atletas!E192="Juvenil 52kg",3,IF(Atletas!E192="Juvenil 56kg",4,IF(Atletas!E192="Juvenil 60kg",5,IF(Atletas!E192="Juvenil 65kg",6,IF(Atletas!E192="Juvenil 70kg",7,IF(Atletas!E192="Juvenil 75kg",8,IF(Atletas!E192="Juvenil 82kg",9,IF(Atletas!E192="Juvenil 90kg",10,IF(Atletas!E192="Juvenil 100kg",11,IF(Atletas!E192="Adulto 48kg",12,IF(Atletas!E192="Adulto 52kg",13,IF(Atletas!E192="Adulto 56kg",14,IF(Atletas!E192="Adulto 60kg",15,IF(Atletas!E192="Adulto 65kg",16,IF(Atletas!E192="Adulto 70kg",17,IF(Atletas!E192="Adulto 75kg",18,IF(Atletas!E192="Adulto 82kg",19,IF(Atletas!E192="Adulto 90kg",20,IF(Atletas!E192="Adulto 100kg",21,IF(Atletas!E192="Adulto +100kg",22,""))))))))))))))))))))))))</f>
        <v/>
      </c>
      <c r="AT196" s="10" t="str">
        <f>IF(Atletas!F192="","",IF(Atletas!B192="Feminino",100,IF(Atletas!B192="Masculino",200,""))+(IF(Atletas!F192="Adulto 48kg",1,IF(Atletas!F192="Adulto 56kg",2,IF(Atletas!F192="Adulto 65kg",3,IF(Atletas!F192="Adulto 75kg",4,IF(Atletas!F192="Adulto +75kg",5,IF(Atletas!F192="Adulto 52kg",6,IF(Atletas!F192="Adulto 60kg",7,IF(Atletas!F192="Adulto 70kg",8,IF(Atletas!F192="Adulto 80kg",9,IF(Atletas!F192="Adulto 90kg",10,IF(Atletas!F192="Adulto +90kg",11,"")))))))))))))</f>
        <v/>
      </c>
      <c r="AY196" s="46" t="str">
        <f>IF(Atletas!G192="","",IF(Atletas!B192="Feminino",100,IF(Atletas!B192="Masculino",200,""))+(IF(Atletas!G192="Changquan Mirim",1,IF(Atletas!G192="Nanquan Mirim",2,IF(Atletas!G192="Taijiquan Mirim",3,IF(Atletas!G192="Changquan Grupo C",4,IF(Atletas!G192="Nanquan Grupo C",5,IF(Atletas!G192="Taijiquan Grupo C",6,IF(Atletas!G192="Changquan Grupo B",7,IF(Atletas!G192="Nanquan Grupo B",8,IF(Atletas!G192="Taijiquan Grupo B",9,IF(Atletas!G192="Changquan Grupo A",10,IF(Atletas!G192="Nanquan Grupo A",11,IF(Atletas!G192="Taijiquan Grupo A",12,IF(Atletas!G192="Changquan Opcional",13,IF(Atletas!G192="Nanquan Opcional",14,IF(Atletas!G192="Taijiquan Opcional",15,IF(Atletas!G192="Changquan Adulto",16,IF(Atletas!G192="Nanquan Adulto",17,IF(Atletas!G192="Taijiquan Adulto",18,""))))))))))))))))))))</f>
        <v/>
      </c>
      <c r="AZ196" s="46" t="str">
        <f>IF(Atletas!H192="","",IF(Atletas!B192="Feminino",100,IF(Atletas!B192="Masculino",200,""))+(IF(Atletas!H192="Daoshu Mirim",19,IF(Atletas!H192="Jianshu Mirim",20,IF(Atletas!H192="Nandao Mirim",21,IF(Atletas!H192="Taijijian Mirim",22,IF(Atletas!H192="Daoshu Grupo C",23,IF(Atletas!H192="Jianshu Grupo C",24,IF(Atletas!H192="Nandao Grupo C",25,IF(Atletas!H192="Taijijian Grupo C",26,IF(Atletas!H192="Daoshu Grupo B",27,IF(Atletas!H192="Jianshu Grupo B",28,IF(Atletas!H192="Nandao Grupo B",29,IF(Atletas!H192="Taijijian Grupo B",30,IF(Atletas!H192="Daoshu Grupo A",31,IF(Atletas!H192="Jianshu Grupo A",32,IF(Atletas!H192="Nandao Grupo A",33,IF(Atletas!H192="Taijijian Grupo A",34,IF(Atletas!H192="Daoshu Opcional",35,IF(Atletas!H192="Jianshu Opcional",36,IF(Atletas!H192="Nandao Opcional",37,IF(Atletas!H192="Taijijian Opcional",38,IF(Atletas!H192="Daoshu Adulto",39,IF(Atletas!H192="Jianshu Adulto",40,IF(Atletas!H192="Nandao Adulto",41,IF(Atletas!H192="Taijijian Adulto",42,""))))))))))))))))))))))))))</f>
        <v/>
      </c>
      <c r="BA196" s="46" t="str">
        <f>IF(Atletas!I192="","",IF(Atletas!B192="Feminino",100,IF(Atletas!B192="Masculino",200,""))+(IF(Atletas!I192="Gunshu Mirim",43,IF(Atletas!I192="Qiangshu Mirim",44,IF(Atletas!I192="Nangun Mirim",45,IF(Atletas!I192="Gunshu Grupo C",46,IF(Atletas!I192="Qiangshu Grupo C",47,IF(Atletas!I192="Nangun Grupo C",48,IF(Atletas!I192="Gunshu Grupo B",49,IF(Atletas!I192="Qiangshu Grupo B",50,IF(Atletas!I192="Nangun Grupo B",51,IF(Atletas!I192="Gunshu Grupo A",52,IF(Atletas!I192="Qiangshu Grupo A",53,IF(Atletas!I192="Nangun Grupo A",54,IF(Atletas!I192="Gunshu Opcional",55,IF(Atletas!I192="Qiangshu Opcional",56,IF(Atletas!I192="Nangun Opcional",57,IF(Atletas!I192="Gunshu Adulto",58,IF(Atletas!I192="Qiangshu Adulto",59,IF(Atletas!I192="Nangun Adulto",60,""))))))))))))))))))))</f>
        <v/>
      </c>
      <c r="BF196" s="52" t="str">
        <f>IF(Atletas!J192="","",IF(Atletas!B192="Feminino",100,IF(Atletas!B192="Masculino",200,""))+(IF(Atletas!J192="Equipe 1 Grupo B",1,IF(Atletas!J192="Equipe 2 Grupo B",2,IF(Atletas!J192="Equipe 1 Grupo A",3,IF(Atletas!J192="Equipe 2 Grupo A",4,IF(Atletas!J192="Equipe 1 Adulto",5,IF(Atletas!J192="Equipe 2 Adulto",6,""))))))))</f>
        <v/>
      </c>
      <c r="BK196" s="52" t="str">
        <f>IF(Atletas!K192="","",IF(Atletas!W192&lt;&gt;"",10000,0)+(IF(Atletas!B192="Feminino",1000,IF(Atletas!B192="Masculino",2000,""))+IF(Atletas!K192="Choylayfut A",1,IF(Atletas!K192="Hunggar A",2,IF(Atletas!K192="Wuzuquan A",3,IF(Atletas!K192="Wingchun A",4,IF(Atletas!K192="Outra Mão de Sul A",5,IF(Atletas!K192="Choylayfut B",6,IF(Atletas!K192="Hunggar B",7,IF(Atletas!K192="Wuzuquan B",8,IF(Atletas!K192="Wingchun B",9,IF(Atletas!K192="Outra Mão de Sul B",10,IF(Atletas!K192="Choylayfut C",11,IF(Atletas!K192="Hunggar C",12,IF(Atletas!K192="Wuzuquan C",13,IF(Atletas!K192="Wingchun C",14,IF(Atletas!K192="Outra Mão de Sul C",15,IF(Atletas!K192="Choylayfut D",16,IF(Atletas!K192="Hunggar D",17,IF(Atletas!K192="Wuzuquan D",18,IF(Atletas!K192="Wingchun D",19,IF(Atletas!K192="Outra Mão de Sul D",20,IF(Atletas!K192="Choylayfut E",21,IF(Atletas!K192="Hunggar E",22,IF(Atletas!K192="Wuzuquan E",23,IF(Atletas!K192="Wingchun E",24,IF(Atletas!K192="Outra Mão de Sul E",25,IF(Atletas!K192="Choylayfut F",26,IF(Atletas!K192="Hunggar F",27,IF(Atletas!K192="Wuzuquan F",28,IF(Atletas!K192="Wingchun F",29,IF(Atletas!K192="Outra Mão de Sul F",30,""))))))))))))))))))))))))))))))))</f>
        <v/>
      </c>
      <c r="BL196" s="52" t="str">
        <f>IF(Atletas!L192="","",IF(Atletas!W192&lt;&gt;"",10000,0)+(IF(Atletas!B192="Feminino",1000,IF(Atletas!B192="Masculino",2000,""))+(IF(Atletas!L192="Chaquan A",101,IF(Atletas!L192="Emeiquan A",102,IF(Atletas!L192="Fanziquan A",103,IF(Atletas!L192="Huaquan A",104,IF(Atletas!L192="Hongquan A",105,IF(Atletas!L192="Paochui A",106,IF(Atletas!L192="Piguaquan A",107,IF(Atletas!L192="Shaolinquan A",108,IF(Atletas!L192="Tanglangquan A",109,IF(Atletas!L192="Yinzhaophai A",110,IF(Atletas!L192="Tongbeiquan A",111,IF(Atletas!L192="Wudangquan A",112,IF(Atletas!L192="Outros Estilos A",113,IF(Atletas!L192="Chaquan B",114,IF(Atletas!L192="Emeiquan B",115,IF(Atletas!L192="Fanziquan B",116,IF(Atletas!L192="Huaquan B",117,IF(Atletas!L192="Hongquan B",118,IF(Atletas!L192="Paochui B",119,IF(Atletas!L192="Piguaquan B",120,IF(Atletas!L192="Shaolinquan B",121,IF(Atletas!L192="Tanglangquan B",122,IF(Atletas!L192="Yinzhaophai B",123,IF(Atletas!L192="Tongbeiquan B",124,IF(Atletas!L192="Wudangquan B",125,IF(Atletas!L192="Outros Estilos B",126,IF(Atletas!L192="Chaquan C",127,IF(Atletas!L192="Emeiquan C",128,IF(Atletas!L192="Fanziquan C",129,IF(Atletas!L192="Huaquan C",130,IF(Atletas!L192="Hongquan C",131,IF(Atletas!L192="Paochui C",132,IF(Atletas!L192="Piguaquan C",133,IF(Atletas!L192="Shaolinquan C",134,IF(Atletas!L192="Tanglangquan C",135,IF(Atletas!L192="Yinzhaophai C",136,IF(Atletas!L192="Tongbeiquan C",137,IF(Atletas!L192="Wudangquan C",138,IF(Atletas!L192="Outros Estilos C",139,0))))))))))))))))))))))))))))))))))))))))))</f>
        <v/>
      </c>
      <c r="BM196" s="52" t="str">
        <f>IF(Atletas!L192="","",IF(Atletas!W192&lt;&gt;"",10000,0)+(IF(Atletas!B192="Feminino",1000,IF(Atletas!B192="Masculino",2000,""))+(IF(Atletas!L192="Chaquan D",140,IF(Atletas!L192="Emeiquan D",141,IF(Atletas!L192="Fanziquan D",142,IF(Atletas!L192="Huaquan D",143,IF(Atletas!L192="Hongquan D",144,IF(Atletas!L192="Paochui D",145,IF(Atletas!L192="Piguaquan D",146,IF(Atletas!L192="Shaolinquan D",147,IF(Atletas!L192="Tanglangquan D",148,IF(Atletas!L192="Yinzhaophai D",149,IF(Atletas!L192="Tongbeiquan D",150,IF(Atletas!L192="Wudangquan D",151,IF(Atletas!L192="Outros Estilos D",152,IF(Atletas!L192="Chaquan E",153,IF(Atletas!L192="Emeiquan E",154,IF(Atletas!L192="Fanziquan E",155,IF(Atletas!L192="Huaquan E",156,IF(Atletas!L192="Hongquan E",157,IF(Atletas!L192="Paochui E",158,IF(Atletas!L192="Piguaquan E",159,IF(Atletas!L192="Shaolinquan E",160,IF(Atletas!L192="Tanglangquan E",161,IF(Atletas!L192="Yinzhaophai E",162,IF(Atletas!L192="Tongbeiquan E",163,IF(Atletas!L192="Wudangquan E",164,IF(Atletas!L192="Outros Estilos E",165,IF(Atletas!L192="Chaquan F",166,IF(Atletas!L192="Emeiquan F",167,IF(Atletas!L192="Fanziquan F",168,IF(Atletas!L192="Huaquan F",169,IF(Atletas!L192="Hongquan F",170,IF(Atletas!L192="Paochui F",171,IF(Atletas!L192="Piguaquan F",172,IF(Atletas!L192="Shaolinquan F",173,IF(Atletas!L192="Tanglangquan F",174,IF(Atletas!L192="Yinzhaophai F",175,IF(Atletas!L192="Tongbeiquan F",176,IF(Atletas!L192="Wudangquan F",177,IF(Atletas!L192="Outros Estilos F",178,0))))))))))))))))))))))))))))))))))))))))))</f>
        <v/>
      </c>
      <c r="BN196" s="52" t="str">
        <f>IF(Atletas!M192="","",IF(Atletas!W192&lt;&gt;"",10000,0)+(IF(Atletas!B192="Feminino",1000,IF(Atletas!B192="Masculino",2000,""))+(IF(Atletas!M192="Ditangquan A",201,IF(Atletas!M192="Houquan A",202,IF(Atletas!M192="Zuiquan A",203,IF(Atletas!M192="Ditangquan B",204,IF(Atletas!M192="Houquan B",205,IF(Atletas!M192="Zuiquan B",206,IF(Atletas!M192="Ditangquan C",207,IF(Atletas!M192="Houquan C",208,IF(Atletas!M192="Zuiquan C",209,IF(Atletas!M192="Ditangquan D",210,IF(Atletas!M192="Houquan D",211,IF(Atletas!M192="Zuiquan D",212,IF(Atletas!M192="Ditangquan E",213,IF(Atletas!M192="Houquan E",214,IF(Atletas!M192="Zuiquan E",215,IF(Atletas!M192="Ditangquan F",216,IF(Atletas!M192="Houquan F",217,IF(Atletas!M192="Zuiquan F",218,"")))))))))))))))))))))</f>
        <v/>
      </c>
      <c r="BO196" s="52" t="str">
        <f>IF(Atletas!N192="","",IF(Atletas!W192&lt;&gt;"",10000,0)+IF(Atletas!B192="Feminino",1000,IF(Atletas!B192="Masculino",2000,""))+IF(Atletas!N192="Yang A",301,IF(Atletas!N192="Chen A",30,IF(Atletas!N192="Sun A",303,IF(Atletas!N192="Wu A",304,IF(Atletas!N192="Wu-Hao A",305,IF(Atletas!N192="Outro Taijiquan A",306,IF(Atletas!N192="Yang B",307,IF(Atletas!N192="Chen B",308,IF(Atletas!N192="Sun B",309,IF(Atletas!N192="Wu B",310,IF(Atletas!N192="Wu-Hao B",311,IF(Atletas!N192="Outro Taijiquan B",312,IF(Atletas!N192="Yang C",313,IF(Atletas!N192="Chen C",314,IF(Atletas!N192="Sun C",315,IF(Atletas!N192="Wu C",316,IF(Atletas!N192="Wu-Hao C",317,IF(Atletas!N192="Outro Taijiquan C",318,IF(Atletas!N192="Yang D",319,IF(Atletas!N192="Chen D",320,IF(Atletas!N192="Sun D",321,IF(Atletas!N192="Wu D",322,IF(Atletas!N192="Wu-Hao D",323,IF(Atletas!N192="Outro Taijiquan D",324,IF(Atletas!N192="Yang E",325,IF(Atletas!N192="Chen E",326,IF(Atletas!N192="Sun E",327,IF(Atletas!N192="Wu E",328,IF(Atletas!N192="Wu-Hao E",329,IF(Atletas!N192="Outro Taijiquan E",330,IF(Atletas!N192="Yang F",331,IF(Atletas!N192="Chen F",332,IF(Atletas!N192="Sun F",333,IF(Atletas!N192="Wu F",334,IF(Atletas!N192="Wu-Hao F",335,IF(Atletas!N192="Outro Taijiquan F",336,"")))))))))))))))))))))))))))))))))))))</f>
        <v/>
      </c>
      <c r="BP196" s="52" t="str">
        <f>IF(Atletas!O192="","",IF(Atletas!W192&lt;&gt;"",10000,0)+IF(Atletas!B192="Feminino",1000,IF(Atletas!B192="Masculino",2000,""))+IF(OR(Atletas!O192="Yang 26 A",Atletas!O192="Yang 40 A"),401,IF(OR(Atletas!O192="Chen 25 A",Atletas!O192="Chen 36 A",Atletas!O192="Chen 56 A"),402,IF(Atletas!O192="Sun 73 A",403,IF(Atletas!O192="Wu 45 A",404,IF(Atletas!O192="Wu-Hao 46 A",405,IF(OR(Atletas!O192="Taijiquan 16 A",Atletas!O192="Taijiquan 24 A",Atletas!O192="Taijiquan 32 A",Atletas!O192="Taijiquan 42 A"),406,IF(OR(Atletas!O192="Yang 26 B",Atletas!O192="Yang 40 B"),407,IF(OR(Atletas!O192="Chen 25 B",Atletas!O192="Chen 36 B",Atletas!O192="Chen 56 B"),408,IF(Atletas!O192="Sun 73 B",409,IF(Atletas!O192="Wu 45 B",410,IF(Atletas!O192="Wu-Hao 46 B",411,IF(OR(Atletas!O192="Taijiquan 16 B",Atletas!O192="Taijiquan 24 B",Atletas!O192="Taijiquan 32 B",Atletas!O192="Taijiquan 42 B"),412,IF(OR(Atletas!O192="Yang 26 C",Atletas!O192="Yang 40 C"),413,IF(OR(Atletas!O192="Chen 25 C",Atletas!O192="Chen 36 C",Atletas!O192="Chen 56 C"),414,IF(Atletas!O192="Sun 73 C",415,IF(Atletas!O192="Wu 45 C",416,IF(Atletas!O192="Wu-Hao 46 C",417,IF(OR(Atletas!O192="Taijiquan 16 C",Atletas!O192="Taijiquan 24 C",Atletas!O192="Taijiquan 32 C",Atletas!O192="Taijiquan 42 C"),418,0)))))))))))))))))))</f>
        <v/>
      </c>
      <c r="BQ196" s="52" t="str">
        <f>IF(Atletas!O192="","",IF(Atletas!W192&lt;&gt;"",10000,0)+IF(Atletas!B192="Feminino",1000,IF(Atletas!B192="Masculino",2000,""))+IF(OR(Atletas!O192="Yang 26 D",Atletas!O192="Yang 40 D"),419,IF(OR(Atletas!O192="Chen 25 D",Atletas!O192="Chen 36 D",Atletas!O192="Chen 56 D"),420,IF(Atletas!O192="Sun 73 D",421,IF(Atletas!O192="Wu 45 D",422,IF(Atletas!O192="Wu-Hao 46 D",423,IF(OR(Atletas!O192="Taijiquan 16 D",Atletas!O192="Taijiquan 24 D",Atletas!O192="Taijiquan 32 D",Atletas!O192="Taijiquan 42 D"),424,IF(OR(Atletas!O192="Yang 26 E",Atletas!O192="Yang 40 E"),425,IF(OR(Atletas!O192="Chen 25 E",Atletas!O192="Chen 36 E",Atletas!O192="Chen 56 E"),426,IF(Atletas!O192="Sun 73 E",427,IF(Atletas!O192="Wu 45 E",428,IF(Atletas!O192="Wu-Hao 46 E",429,IF(OR(Atletas!O192="Taijiquan 16 E",Atletas!O192="Taijiquan 24 E",Atletas!O192="Taijiquan 32 E",Atletas!O192="Taijiquan 42 E"),430,IF(OR(Atletas!O192="Yang 26 F",Atletas!O192="Yang 40 F"),431,IF(OR(Atletas!O192="Chen 25 F",Atletas!O192="Chen 36 F",Atletas!O192="Chen 56 F"),432,IF(Atletas!O192="Sun 73 F",433,IF(Atletas!O192="Wu 45 F",434,IF(Atletas!O192="Wu-Hao 46 F",435,IF(OR(Atletas!O192="Taijiquan 16 F",Atletas!O192="Taijiquan 24 F",Atletas!O192="Taijiquan 32 F",Atletas!O192="Taijiquan 42 F"),436,0)))))))))))))))))))</f>
        <v/>
      </c>
      <c r="BR196" s="52" t="str">
        <f>IF(Atletas!P192="","",IF(Atletas!W192&lt;&gt;"",10000,0)+IF(Atletas!B192="Feminino",1000,IF(Atletas!B192="Masculino",2000,""))+IF(Atletas!P192="Xingyiquan A",501,IF(Atletas!P192="Baguazhang A",502,IF(Atletas!P192="Outro Estilo Interno A",503,IF(Atletas!P192="Xingyiquan B",504,IF(Atletas!P192="Baguazhang B",505,IF(Atletas!P192="Outro Estilo Interno B",506,IF(Atletas!P192="Xingyiquan C",507,IF(Atletas!P192="Baguazhang C",508,IF(Atletas!P192="Outro Estilo Interno C",509,IF(Atletas!P192="Xingyiquan D",510,IF(Atletas!P192="Baguazhang D",511,IF(Atletas!P192="Outro Estilo Interno D",512,IF(Atletas!P192="Xingyiquan E",513,IF(Atletas!P192="Baguazhang E",514,IF(Atletas!P192="Outro Estilo Interno E",515,IF(Atletas!P192="Xingyiquan F",516,IF(Atletas!P192="Baguazhang F",517,IF(Atletas!P192="Outro Estilo Interno F",518, "")))))))))))))))))))</f>
        <v/>
      </c>
      <c r="BS196" s="52" t="str">
        <f>IF(Atletas!Q192="","",IF(Atletas!W192&lt;&gt;"",10000,0)+IF(Atletas!B192="Feminino",1000,IF(Atletas!B192="Masculino",2000,""))+IF(Atletas!Q192="Dao A",601,IF(Atletas!Q192="Jian A",602,IF(Atletas!Q192="Bishou A",603,IF(Atletas!Q192="Shan A",604,IF(Atletas!Q192="Outra Arma Curta A",605,IF(Atletas!Q192="Dao B",606,IF(Atletas!Q192="Jian B",607,IF(Atletas!Q192="Bishou B",608,IF(Atletas!Q192="Shan B",609,IF(Atletas!Q192="Outra Arma Curta B",610,IF(Atletas!Q192="Dao C",611,IF(Atletas!Q192="Jian C",612,IF(Atletas!Q192="Bishou C",613,IF(Atletas!Q192="Shan C",614,IF(Atletas!Q192="Outra Arma Curta C",615,IF(Atletas!Q192="Dao D",616,IF(Atletas!Q192="Jian D",617,IF(Atletas!Q192="Bishou D",618,IF(Atletas!Q192="Shan D",619,IF(Atletas!Q192="Outra Arma Curta D",620,IF(Atletas!Q192="Dao E",621,IF(Atletas!Q192="Jian E",622,IF(Atletas!Q192="Bishou E",623,IF(Atletas!Q192="Shan E",624,IF(Atletas!Q192="Outra Arma Curta E",625,IF(Atletas!Q192="Dao F",626,IF(Atletas!Q192="Jian F",627,IF(Atletas!Q192="Bishou F",628,IF(Atletas!Q192="Shan F",629,IF(Atletas!Q192="Outra Arma Curta F",630, "")))))))))))))))))))))))))))))))</f>
        <v/>
      </c>
      <c r="BT196" s="52" t="str">
        <f>IF(Atletas!R192="","",IF(Atletas!W192&lt;&gt;"",10000,0)+IF(Atletas!B192="Feminino",1000,IF(Atletas!B192="Masculino",2000,""))+IF(Atletas!R192="Gun A",701,IF(Atletas!R192="Qiang A",702,IF(Atletas!R192="Pudao / Guandao A",703,IF(Atletas!R192="Outra Arma Longa A",704,IF(Atletas!R192="Gun B",705,IF(Atletas!R192="Qiang B",706,IF(Atletas!R192="Pudao / Guandao B",707,IF(Atletas!R192="Outra Arma Longa B",708,IF(Atletas!R192="Gun C",709,IF(Atletas!R192="Qiang C",710,IF(Atletas!R192="Pudao / Guandao C",711,IF(Atletas!R192="Outra Arma Longa C",712,IF(Atletas!R192="Gun D",713,IF(Atletas!R192="Qiang D",714,IF(Atletas!R192="Pudao / Guandao D",715,IF(Atletas!R192="Outra Arma Longa D",716,IF(Atletas!R192="Gun E",717,IF(Atletas!R192="Qiang E",718,IF(Atletas!R192="Pudao / Guandao E",719,IF(Atletas!R192="Outra Arma Longa E",720,IF(Atletas!R192="Gun F",721,IF(Atletas!R192="Qiang F",722,IF(Atletas!R192="Pudao / Guandao F",723,IF(Atletas!R192="Outra Arma Longa F",724,"")))))))))))))))))))))))))</f>
        <v/>
      </c>
      <c r="BU196" s="52" t="str">
        <f>IF(Atletas!S192="","",IF(Atletas!W192&lt;&gt;"",10000,0)+IF(Atletas!B192="Feminino",1000,IF(Atletas!B192="Masculino",2000,""))+IF(Atletas!S192="Arma Dupla A",801,IF(Atletas!S192="Arma Maleável A",802,IF(Atletas!S192="Arma Dupla B",803,IF(Atletas!S192="Arma Maleável B",804,IF(Atletas!S192="Arma Dupla C",805,IF(Atletas!S192="Arma Maleável C",806,IF(Atletas!S192="Arma Dupla D",807,IF(Atletas!S192="Arma Maleável D",808,IF(Atletas!S192="Arma Dupla E",809,IF(Atletas!S192="Arma Maleável E",810,IF(Atletas!S192="Arma Dupla F",811,IF(Atletas!S192="Arma Maleável F",812, "")))))))))))))</f>
        <v/>
      </c>
      <c r="BV196" s="52" t="str">
        <f>IF(Atletas!T192="","",IF(Atletas!W192&lt;&gt;"",10000,0)+IF(Atletas!B192="Feminino",1000,IF(Atletas!B192="Masculino",2000,""))+IF(Atletas!T192="Taijijian Yang A",901,IF(Atletas!T192="Taijijian Chen A",902,IF(Atletas!T192="Taijijian Sun A",903,IF(Atletas!T192="Taijijian Wu A",904,IF(Atletas!T192="Taijijian Wu-Hao A",905,IF(Atletas!T192="Taijijian 32 A",906,IF(Atletas!T192="Taijijian 42 A",907,IF(Atletas!T192="Taijijian Yang B",908,IF(Atletas!T192="Taijijian Chen B",909,IF(Atletas!T192="Taijijian Sun B",910,IF(Atletas!T192="Taijijian Wu B",911,IF(Atletas!T192="Taijijian Wu-Hao B",912,IF(Atletas!T192="Taijijian 32 B",913,IF(Atletas!T192="Taijijian 42 B",914,IF(Atletas!T192="Taijijian Yang C",915,IF(Atletas!T192="Taijijian Chen C",916,IF(Atletas!T192="Taijijian Sun C",917,IF(Atletas!T192="Taijijian Wu C",918,IF(Atletas!T192="Taijijian Wu-Hao C",919,IF(Atletas!T192="Taijijian 32 C",920,IF(Atletas!T192="Taijijian 42 C",921,IF(Atletas!T192="Taijijian Yang D",922,IF(Atletas!T192="Taijijian Chen D",923,IF(Atletas!T192="Taijijian Sun D",924,IF(Atletas!T192="Taijijian Wu D",925,IF(Atletas!T192="Taijijian Wu-Hao D",926,IF(Atletas!T192="Taijijian 32 D",927,IF(Atletas!T192="Taijijian 42 D",928,IF(Atletas!T192="Taijijian Yang E",929,IF(Atletas!T192="Taijijian Chen E",930,IF(Atletas!T192="Taijijian Sun E",931,IF(Atletas!T192="Taijijian Wu E",932,IF(Atletas!T192="Taijijian Wu-Hao E",933,IF(Atletas!T192="Taijijian 32 E",934,IF(Atletas!T192="Taijijian 42 E",935,IF(Atletas!T192="Taijijian Yang F",936,IF(Atletas!T192="Taijijian Chen F",937,IF(Atletas!T192="Taijijian Sun F",938,IF(Atletas!T192="Taijijian Wu F",939,IF(Atletas!T192="Taijijian Wu-Hao F",940,IF(Atletas!T192="Taijijian 32 F",941,IF(Atletas!T192="Taijijian 42 F",942,"")))))))))))))))))))))))))))))))))))))))))))</f>
        <v/>
      </c>
      <c r="BW196" s="52" t="str">
        <f>IF(Atletas!U192="","",IF(Atletas!W192&lt;&gt;"",10000,0)+IF(Atletas!B192="Feminino",1000,IF(Atletas!B192="Masculino",2000,""))+IF(Atletas!T192="Taijijian 42 F",942,IF(Atletas!U192="Taijidao A",943,IF(Atletas!U192="Taijishan A",944,IF(Atletas!U192="Taijiqiang A",945,IF(Atletas!U192="Taijidao B",946,IF(Atletas!U192="Taijishan B",947,IF(Atletas!U192="Taijiqiang B",948,IF(Atletas!U192="Taijidao C",949,IF(Atletas!U192="Taijishan C",950,IF(Atletas!U192="Taijiqiang C",951,IF(Atletas!U192="Taijidao D",952,IF(Atletas!U192="Taijishan D",953,IF(Atletas!U192="Taijiqiang D",954,IF(Atletas!U192="Taijidao E",955,IF(Atletas!U192="Taijishan E",956,IF(Atletas!U192="Taijiqiang E",957,IF(Atletas!U192="Taijidao F",958,IF(Atletas!U192="Taijishan F",959,IF(Atletas!U192="Taijiqiang F",960))))))))))))))))))))</f>
        <v/>
      </c>
      <c r="BX196" s="72" t="str">
        <f>IF(BY196&lt;&gt;"","TJQ Padr. Wu E","")</f>
        <v/>
      </c>
      <c r="BY196" s="72" t="str">
        <f>IF(COUNTIF(BK:BW,1428)&gt;0,COUNTIF(BK:BW,1428),"")</f>
        <v/>
      </c>
      <c r="BZ196" s="72" t="str">
        <f>IF(CA196&lt;&gt;"","TJQ Padr. Wu E","")</f>
        <v/>
      </c>
      <c r="CA196" s="72" t="str">
        <f>IF(COUNTIF(BK:BW,2428)&gt;0,COUNTIF(BK:BW,2428),"")</f>
        <v/>
      </c>
      <c r="CB196" s="72" t="str">
        <f>IF(CC196&lt;&gt;"","Taijiquan 32 C","")</f>
        <v/>
      </c>
      <c r="CC196" s="64" t="str">
        <f>IF(COUNTIF(BK:BW,11428)&gt;0,COUNTIF(BK:BW,11428),"")</f>
        <v/>
      </c>
      <c r="CD196" s="64" t="str">
        <f>IF(CE196&lt;&gt;"","Taijiquan 32 C","")</f>
        <v/>
      </c>
      <c r="CE196" s="64" t="str">
        <f>IF(COUNTIF(BK:BW,12428)&gt;0,COUNTIF(BK:BW,12428),"")</f>
        <v/>
      </c>
      <c r="CF196" s="52" t="str">
        <f xml:space="preserve"> IF(Atletas!V192="","",IF(Atletas!V192="Duilian de Mãos AB - Equipe 1",1,IF(Atletas!V192="Duilian de Mãos AB - Equipe 2",2,IF(Atletas!V192="Duilian de Armas AB - Equipe 1",3,IF(Atletas!V192="Duilian de Armas AB - Equipe 2",4,IF(Atletas!V192="Duilian de Tuishou - Equipe 1",5,IF(Atletas!V192="Duilian de Tuishou - Equipe 2",6,IF(Atletas!V192="Grupo Externo AB - Equipe 1",7,IF(Atletas!V192="Grupo Externo AB - Equipe 2",8,IF(Atletas!V192="Grupo Interno AB - Equipe 1",9,IF(Atletas!V192="Grupo Interno AB - Equipe 2",10,IF(Atletas!V192="Duilian de Mãos CD - Equipe 1",11,IF(Atletas!V192="Duilian de Mãos CD - Equipe 2",12,IF(Atletas!V192="Duilian de Armas CD - Equipe 1",13,IF(Atletas!V192="Duilian de Armas CD - Equipe 2",14,IF(Atletas!V192="Duilian de Tuishou - Equipe 1",15,IF(Atletas!V192="Duilian de Tuishou - Equipe 2",16,IF(Atletas!V192="Grupo Externo CDEF - Equipe 1",17,IF(Atletas!V192="Grupo Externo CDEF - Equipe 2",18,IF(Atletas!V192="Grupo Interno CDEF - Equipe 1",19,IF(Atletas!V192="Grupo Interno CDEF - Equipe 2",20,IF(Atletas!V192="Duilian de Mãos EF - Equipe 1",21,IF(Atletas!V192="Duilian de Mãos EF - Equipe 2",22,IF(Atletas!V192="Duilian de Armas EF - Equipe 1",23,IF(Atletas!V192="Duilian de Armas EF - Equipe 2",24,IF(Atletas!V192="Duilian de Tuishou - Equipe 1",25,IF(Atletas!V192="Duilian de Tuishou - Equipe 2",26,"")))))))))))))))))))))))))))</f>
        <v/>
      </c>
    </row>
    <row r="197" spans="2:84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 t="str">
        <f t="array" ref="V197">IFERROR(INDEX(BX$7:BX$336,SMALL(IF(BX$7:BX$336&lt;&gt;"",ROW(BX$7:BX$336)-ROW(BX$7)+1),ROWS(BX$7:BX196))),"")</f>
        <v/>
      </c>
      <c r="W197" s="4" t="str">
        <f t="array" ref="W197">IFERROR(INDEX(BY$7:BY$336,SMALL(IF(BY$7:BY$336&lt;&gt;"",ROW(BY$7:BY$336)-ROW(BY$7)+1),ROWS(BY$7:BY196))),"")</f>
        <v/>
      </c>
      <c r="X197" s="4" t="str">
        <f t="array" ref="X197">IFERROR(INDEX(BZ$7:BZ$336,SMALL(IF(BZ$7:BZ$336&lt;&gt;"",ROW(BZ$7:BZ$336)-ROW(BZ$7)+1),ROWS(BZ$7:BZ196))),"")</f>
        <v/>
      </c>
      <c r="Y197" s="4" t="str">
        <f t="array" ref="Y197">IFERROR(INDEX(CA$7:CA$336,SMALL(IF(CA$7:CA$336&lt;&gt;"",ROW(CA$7:CA$336)-ROW(CA$7)+1),ROWS(CA$7:CA196))),"")</f>
        <v/>
      </c>
      <c r="Z197" s="4" t="str">
        <f t="array" ref="Z197">IFERROR(INDEX(CB$7:CB$378,SMALL(IF(CB$7:CB$378&lt;&gt;"",ROW(CB$7:CB$378)-ROW(CB$7)+1),ROWS(CB$7:CB196))),"")</f>
        <v/>
      </c>
      <c r="AA197" s="4" t="str">
        <f t="array" ref="AA197">IFERROR(INDEX(CC$7:CC$378,SMALL(IF(CC$7:CC$378&lt;&gt;"",ROW(CC$7:CC$378)-ROW(CC$7)+1),ROWS(CC$7:CC196))),"")</f>
        <v/>
      </c>
      <c r="AB197" s="4" t="str">
        <f t="array" ref="AB197">IFERROR(INDEX(CD$7:CD$378,SMALL(IF(CD$7:CD$378&lt;&gt;"",ROW(CD$7:CD$378)-ROW(CD$7)+1),ROWS(CD$7:CD196))),"")</f>
        <v/>
      </c>
      <c r="AC197" s="4" t="str">
        <f t="array" ref="AC197">IFERROR(INDEX(CE$7:CE$378,SMALL(IF(CE$7:CE$378&lt;&gt;"",ROW(CE$7:CE$378)-ROW(CE$7)+1),ROWS(CE$7:CE196))),"")</f>
        <v/>
      </c>
      <c r="AD197" s="4"/>
      <c r="AE197" s="4"/>
      <c r="AF197" s="4"/>
      <c r="AG197" s="4"/>
      <c r="AH197" s="4"/>
      <c r="AI197" s="4"/>
      <c r="AJ197" s="46" t="str">
        <f>IF(Atletas!D193="","",IF(Atletas!B193="Feminino",100,IF(Atletas!B193="Masculino",200,""))+(IF(Atletas!D193="Infantil 39kg",1,IF(Atletas!D193="Infantil 42kg",2,IF(Atletas!D193="Infantil 45kg",3,IF(Atletas!D193="Infantil 48kg",4,IF(Atletas!D193="Infantil 52kg",5,IF(Atletas!D193="Infantil 56kg",6,IF(Atletas!D193="Infantil 60kg",7,IF(Atletas!D193="Juvenil 48kg",8,IF(Atletas!D193="Juvenil 52kg",9,IF(Atletas!D193="Juvenil 56kg",10,IF(Atletas!D193="Juvenil 60kg",11,IF(Atletas!D193="Juvenil 65kg",12,IF(Atletas!D193="Juvenil 70kg",13,IF(Atletas!D193="Juvenil 75kg",14,IF(Atletas!D193="Juvenil 80kg",15,IF(Atletas!D193="Adulto 48kg",16,IF(Atletas!D193="Adulto 52kg",17,IF(Atletas!D193="Adulto 56kg",18,IF(Atletas!D193="Adulto 60kg",19,IF(Atletas!D193="Adulto 65kg",20,IF(Atletas!D193="Adulto 70kg",21,IF(Atletas!D193="Adulto 75kg",22,IF(Atletas!D193="Adulto 80kg",23,IF(Atletas!D193="Adulto 85kg",24,IF(Atletas!D193="Adulto 90kg",25,IF(Atletas!D193="Adulto +90kg",26,""))))))))))))))))))))))))))))</f>
        <v/>
      </c>
      <c r="AO197" s="10" t="str">
        <f>IF(Atletas!E193="","",IF(Atletas!B193="Feminino",100,IF(Atletas!B193="Masculino",200,""))+(IF(Atletas!E193="Juvenil 44kg",1,IF(Atletas!E193="Juvenil 48kg",2,IF(Atletas!E193="Juvenil 52kg",3,IF(Atletas!E193="Juvenil 56kg",4,IF(Atletas!E193="Juvenil 60kg",5,IF(Atletas!E193="Juvenil 65kg",6,IF(Atletas!E193="Juvenil 70kg",7,IF(Atletas!E193="Juvenil 75kg",8,IF(Atletas!E193="Juvenil 82kg",9,IF(Atletas!E193="Juvenil 90kg",10,IF(Atletas!E193="Juvenil 100kg",11,IF(Atletas!E193="Adulto 48kg",12,IF(Atletas!E193="Adulto 52kg",13,IF(Atletas!E193="Adulto 56kg",14,IF(Atletas!E193="Adulto 60kg",15,IF(Atletas!E193="Adulto 65kg",16,IF(Atletas!E193="Adulto 70kg",17,IF(Atletas!E193="Adulto 75kg",18,IF(Atletas!E193="Adulto 82kg",19,IF(Atletas!E193="Adulto 90kg",20,IF(Atletas!E193="Adulto 100kg",21,IF(Atletas!E193="Adulto +100kg",22,""))))))))))))))))))))))))</f>
        <v/>
      </c>
      <c r="AT197" s="10" t="str">
        <f>IF(Atletas!F193="","",IF(Atletas!B193="Feminino",100,IF(Atletas!B193="Masculino",200,""))+(IF(Atletas!F193="Adulto 48kg",1,IF(Atletas!F193="Adulto 56kg",2,IF(Atletas!F193="Adulto 65kg",3,IF(Atletas!F193="Adulto 75kg",4,IF(Atletas!F193="Adulto +75kg",5,IF(Atletas!F193="Adulto 52kg",6,IF(Atletas!F193="Adulto 60kg",7,IF(Atletas!F193="Adulto 70kg",8,IF(Atletas!F193="Adulto 80kg",9,IF(Atletas!F193="Adulto 90kg",10,IF(Atletas!F193="Adulto +90kg",11,"")))))))))))))</f>
        <v/>
      </c>
      <c r="AY197" s="46" t="str">
        <f>IF(Atletas!G193="","",IF(Atletas!B193="Feminino",100,IF(Atletas!B193="Masculino",200,""))+(IF(Atletas!G193="Changquan Mirim",1,IF(Atletas!G193="Nanquan Mirim",2,IF(Atletas!G193="Taijiquan Mirim",3,IF(Atletas!G193="Changquan Grupo C",4,IF(Atletas!G193="Nanquan Grupo C",5,IF(Atletas!G193="Taijiquan Grupo C",6,IF(Atletas!G193="Changquan Grupo B",7,IF(Atletas!G193="Nanquan Grupo B",8,IF(Atletas!G193="Taijiquan Grupo B",9,IF(Atletas!G193="Changquan Grupo A",10,IF(Atletas!G193="Nanquan Grupo A",11,IF(Atletas!G193="Taijiquan Grupo A",12,IF(Atletas!G193="Changquan Opcional",13,IF(Atletas!G193="Nanquan Opcional",14,IF(Atletas!G193="Taijiquan Opcional",15,IF(Atletas!G193="Changquan Adulto",16,IF(Atletas!G193="Nanquan Adulto",17,IF(Atletas!G193="Taijiquan Adulto",18,""))))))))))))))))))))</f>
        <v/>
      </c>
      <c r="AZ197" s="46" t="str">
        <f>IF(Atletas!H193="","",IF(Atletas!B193="Feminino",100,IF(Atletas!B193="Masculino",200,""))+(IF(Atletas!H193="Daoshu Mirim",19,IF(Atletas!H193="Jianshu Mirim",20,IF(Atletas!H193="Nandao Mirim",21,IF(Atletas!H193="Taijijian Mirim",22,IF(Atletas!H193="Daoshu Grupo C",23,IF(Atletas!H193="Jianshu Grupo C",24,IF(Atletas!H193="Nandao Grupo C",25,IF(Atletas!H193="Taijijian Grupo C",26,IF(Atletas!H193="Daoshu Grupo B",27,IF(Atletas!H193="Jianshu Grupo B",28,IF(Atletas!H193="Nandao Grupo B",29,IF(Atletas!H193="Taijijian Grupo B",30,IF(Atletas!H193="Daoshu Grupo A",31,IF(Atletas!H193="Jianshu Grupo A",32,IF(Atletas!H193="Nandao Grupo A",33,IF(Atletas!H193="Taijijian Grupo A",34,IF(Atletas!H193="Daoshu Opcional",35,IF(Atletas!H193="Jianshu Opcional",36,IF(Atletas!H193="Nandao Opcional",37,IF(Atletas!H193="Taijijian Opcional",38,IF(Atletas!H193="Daoshu Adulto",39,IF(Atletas!H193="Jianshu Adulto",40,IF(Atletas!H193="Nandao Adulto",41,IF(Atletas!H193="Taijijian Adulto",42,""))))))))))))))))))))))))))</f>
        <v/>
      </c>
      <c r="BA197" s="46" t="str">
        <f>IF(Atletas!I193="","",IF(Atletas!B193="Feminino",100,IF(Atletas!B193="Masculino",200,""))+(IF(Atletas!I193="Gunshu Mirim",43,IF(Atletas!I193="Qiangshu Mirim",44,IF(Atletas!I193="Nangun Mirim",45,IF(Atletas!I193="Gunshu Grupo C",46,IF(Atletas!I193="Qiangshu Grupo C",47,IF(Atletas!I193="Nangun Grupo C",48,IF(Atletas!I193="Gunshu Grupo B",49,IF(Atletas!I193="Qiangshu Grupo B",50,IF(Atletas!I193="Nangun Grupo B",51,IF(Atletas!I193="Gunshu Grupo A",52,IF(Atletas!I193="Qiangshu Grupo A",53,IF(Atletas!I193="Nangun Grupo A",54,IF(Atletas!I193="Gunshu Opcional",55,IF(Atletas!I193="Qiangshu Opcional",56,IF(Atletas!I193="Nangun Opcional",57,IF(Atletas!I193="Gunshu Adulto",58,IF(Atletas!I193="Qiangshu Adulto",59,IF(Atletas!I193="Nangun Adulto",60,""))))))))))))))))))))</f>
        <v/>
      </c>
      <c r="BF197" s="52" t="str">
        <f>IF(Atletas!J193="","",IF(Atletas!B193="Feminino",100,IF(Atletas!B193="Masculino",200,""))+(IF(Atletas!J193="Equipe 1 Grupo B",1,IF(Atletas!J193="Equipe 2 Grupo B",2,IF(Atletas!J193="Equipe 1 Grupo A",3,IF(Atletas!J193="Equipe 2 Grupo A",4,IF(Atletas!J193="Equipe 1 Adulto",5,IF(Atletas!J193="Equipe 2 Adulto",6,""))))))))</f>
        <v/>
      </c>
      <c r="BK197" s="52" t="str">
        <f>IF(Atletas!K193="","",IF(Atletas!W193&lt;&gt;"",10000,0)+(IF(Atletas!B193="Feminino",1000,IF(Atletas!B193="Masculino",2000,""))+IF(Atletas!K193="Choylayfut A",1,IF(Atletas!K193="Hunggar A",2,IF(Atletas!K193="Wuzuquan A",3,IF(Atletas!K193="Wingchun A",4,IF(Atletas!K193="Outra Mão de Sul A",5,IF(Atletas!K193="Choylayfut B",6,IF(Atletas!K193="Hunggar B",7,IF(Atletas!K193="Wuzuquan B",8,IF(Atletas!K193="Wingchun B",9,IF(Atletas!K193="Outra Mão de Sul B",10,IF(Atletas!K193="Choylayfut C",11,IF(Atletas!K193="Hunggar C",12,IF(Atletas!K193="Wuzuquan C",13,IF(Atletas!K193="Wingchun C",14,IF(Atletas!K193="Outra Mão de Sul C",15,IF(Atletas!K193="Choylayfut D",16,IF(Atletas!K193="Hunggar D",17,IF(Atletas!K193="Wuzuquan D",18,IF(Atletas!K193="Wingchun D",19,IF(Atletas!K193="Outra Mão de Sul D",20,IF(Atletas!K193="Choylayfut E",21,IF(Atletas!K193="Hunggar E",22,IF(Atletas!K193="Wuzuquan E",23,IF(Atletas!K193="Wingchun E",24,IF(Atletas!K193="Outra Mão de Sul E",25,IF(Atletas!K193="Choylayfut F",26,IF(Atletas!K193="Hunggar F",27,IF(Atletas!K193="Wuzuquan F",28,IF(Atletas!K193="Wingchun F",29,IF(Atletas!K193="Outra Mão de Sul F",30,""))))))))))))))))))))))))))))))))</f>
        <v/>
      </c>
      <c r="BL197" s="52" t="str">
        <f>IF(Atletas!L193="","",IF(Atletas!W193&lt;&gt;"",10000,0)+(IF(Atletas!B193="Feminino",1000,IF(Atletas!B193="Masculino",2000,""))+(IF(Atletas!L193="Chaquan A",101,IF(Atletas!L193="Emeiquan A",102,IF(Atletas!L193="Fanziquan A",103,IF(Atletas!L193="Huaquan A",104,IF(Atletas!L193="Hongquan A",105,IF(Atletas!L193="Paochui A",106,IF(Atletas!L193="Piguaquan A",107,IF(Atletas!L193="Shaolinquan A",108,IF(Atletas!L193="Tanglangquan A",109,IF(Atletas!L193="Yinzhaophai A",110,IF(Atletas!L193="Tongbeiquan A",111,IF(Atletas!L193="Wudangquan A",112,IF(Atletas!L193="Outros Estilos A",113,IF(Atletas!L193="Chaquan B",114,IF(Atletas!L193="Emeiquan B",115,IF(Atletas!L193="Fanziquan B",116,IF(Atletas!L193="Huaquan B",117,IF(Atletas!L193="Hongquan B",118,IF(Atletas!L193="Paochui B",119,IF(Atletas!L193="Piguaquan B",120,IF(Atletas!L193="Shaolinquan B",121,IF(Atletas!L193="Tanglangquan B",122,IF(Atletas!L193="Yinzhaophai B",123,IF(Atletas!L193="Tongbeiquan B",124,IF(Atletas!L193="Wudangquan B",125,IF(Atletas!L193="Outros Estilos B",126,IF(Atletas!L193="Chaquan C",127,IF(Atletas!L193="Emeiquan C",128,IF(Atletas!L193="Fanziquan C",129,IF(Atletas!L193="Huaquan C",130,IF(Atletas!L193="Hongquan C",131,IF(Atletas!L193="Paochui C",132,IF(Atletas!L193="Piguaquan C",133,IF(Atletas!L193="Shaolinquan C",134,IF(Atletas!L193="Tanglangquan C",135,IF(Atletas!L193="Yinzhaophai C",136,IF(Atletas!L193="Tongbeiquan C",137,IF(Atletas!L193="Wudangquan C",138,IF(Atletas!L193="Outros Estilos C",139,0))))))))))))))))))))))))))))))))))))))))))</f>
        <v/>
      </c>
      <c r="BM197" s="52" t="str">
        <f>IF(Atletas!L193="","",IF(Atletas!W193&lt;&gt;"",10000,0)+(IF(Atletas!B193="Feminino",1000,IF(Atletas!B193="Masculino",2000,""))+(IF(Atletas!L193="Chaquan D",140,IF(Atletas!L193="Emeiquan D",141,IF(Atletas!L193="Fanziquan D",142,IF(Atletas!L193="Huaquan D",143,IF(Atletas!L193="Hongquan D",144,IF(Atletas!L193="Paochui D",145,IF(Atletas!L193="Piguaquan D",146,IF(Atletas!L193="Shaolinquan D",147,IF(Atletas!L193="Tanglangquan D",148,IF(Atletas!L193="Yinzhaophai D",149,IF(Atletas!L193="Tongbeiquan D",150,IF(Atletas!L193="Wudangquan D",151,IF(Atletas!L193="Outros Estilos D",152,IF(Atletas!L193="Chaquan E",153,IF(Atletas!L193="Emeiquan E",154,IF(Atletas!L193="Fanziquan E",155,IF(Atletas!L193="Huaquan E",156,IF(Atletas!L193="Hongquan E",157,IF(Atletas!L193="Paochui E",158,IF(Atletas!L193="Piguaquan E",159,IF(Atletas!L193="Shaolinquan E",160,IF(Atletas!L193="Tanglangquan E",161,IF(Atletas!L193="Yinzhaophai E",162,IF(Atletas!L193="Tongbeiquan E",163,IF(Atletas!L193="Wudangquan E",164,IF(Atletas!L193="Outros Estilos E",165,IF(Atletas!L193="Chaquan F",166,IF(Atletas!L193="Emeiquan F",167,IF(Atletas!L193="Fanziquan F",168,IF(Atletas!L193="Huaquan F",169,IF(Atletas!L193="Hongquan F",170,IF(Atletas!L193="Paochui F",171,IF(Atletas!L193="Piguaquan F",172,IF(Atletas!L193="Shaolinquan F",173,IF(Atletas!L193="Tanglangquan F",174,IF(Atletas!L193="Yinzhaophai F",175,IF(Atletas!L193="Tongbeiquan F",176,IF(Atletas!L193="Wudangquan F",177,IF(Atletas!L193="Outros Estilos F",178,0))))))))))))))))))))))))))))))))))))))))))</f>
        <v/>
      </c>
      <c r="BN197" s="52" t="str">
        <f>IF(Atletas!M193="","",IF(Atletas!W193&lt;&gt;"",10000,0)+(IF(Atletas!B193="Feminino",1000,IF(Atletas!B193="Masculino",2000,""))+(IF(Atletas!M193="Ditangquan A",201,IF(Atletas!M193="Houquan A",202,IF(Atletas!M193="Zuiquan A",203,IF(Atletas!M193="Ditangquan B",204,IF(Atletas!M193="Houquan B",205,IF(Atletas!M193="Zuiquan B",206,IF(Atletas!M193="Ditangquan C",207,IF(Atletas!M193="Houquan C",208,IF(Atletas!M193="Zuiquan C",209,IF(Atletas!M193="Ditangquan D",210,IF(Atletas!M193="Houquan D",211,IF(Atletas!M193="Zuiquan D",212,IF(Atletas!M193="Ditangquan E",213,IF(Atletas!M193="Houquan E",214,IF(Atletas!M193="Zuiquan E",215,IF(Atletas!M193="Ditangquan F",216,IF(Atletas!M193="Houquan F",217,IF(Atletas!M193="Zuiquan F",218,"")))))))))))))))))))))</f>
        <v/>
      </c>
      <c r="BO197" s="52" t="str">
        <f>IF(Atletas!N193="","",IF(Atletas!W193&lt;&gt;"",10000,0)+IF(Atletas!B193="Feminino",1000,IF(Atletas!B193="Masculino",2000,""))+IF(Atletas!N193="Yang A",301,IF(Atletas!N193="Chen A",30,IF(Atletas!N193="Sun A",303,IF(Atletas!N193="Wu A",304,IF(Atletas!N193="Wu-Hao A",305,IF(Atletas!N193="Outro Taijiquan A",306,IF(Atletas!N193="Yang B",307,IF(Atletas!N193="Chen B",308,IF(Atletas!N193="Sun B",309,IF(Atletas!N193="Wu B",310,IF(Atletas!N193="Wu-Hao B",311,IF(Atletas!N193="Outro Taijiquan B",312,IF(Atletas!N193="Yang C",313,IF(Atletas!N193="Chen C",314,IF(Atletas!N193="Sun C",315,IF(Atletas!N193="Wu C",316,IF(Atletas!N193="Wu-Hao C",317,IF(Atletas!N193="Outro Taijiquan C",318,IF(Atletas!N193="Yang D",319,IF(Atletas!N193="Chen D",320,IF(Atletas!N193="Sun D",321,IF(Atletas!N193="Wu D",322,IF(Atletas!N193="Wu-Hao D",323,IF(Atletas!N193="Outro Taijiquan D",324,IF(Atletas!N193="Yang E",325,IF(Atletas!N193="Chen E",326,IF(Atletas!N193="Sun E",327,IF(Atletas!N193="Wu E",328,IF(Atletas!N193="Wu-Hao E",329,IF(Atletas!N193="Outro Taijiquan E",330,IF(Atletas!N193="Yang F",331,IF(Atletas!N193="Chen F",332,IF(Atletas!N193="Sun F",333,IF(Atletas!N193="Wu F",334,IF(Atletas!N193="Wu-Hao F",335,IF(Atletas!N193="Outro Taijiquan F",336,"")))))))))))))))))))))))))))))))))))))</f>
        <v/>
      </c>
      <c r="BP197" s="52" t="str">
        <f>IF(Atletas!O193="","",IF(Atletas!W193&lt;&gt;"",10000,0)+IF(Atletas!B193="Feminino",1000,IF(Atletas!B193="Masculino",2000,""))+IF(OR(Atletas!O193="Yang 26 A",Atletas!O193="Yang 40 A"),401,IF(OR(Atletas!O193="Chen 25 A",Atletas!O193="Chen 36 A",Atletas!O193="Chen 56 A"),402,IF(Atletas!O193="Sun 73 A",403,IF(Atletas!O193="Wu 45 A",404,IF(Atletas!O193="Wu-Hao 46 A",405,IF(OR(Atletas!O193="Taijiquan 16 A",Atletas!O193="Taijiquan 24 A",Atletas!O193="Taijiquan 32 A",Atletas!O193="Taijiquan 42 A"),406,IF(OR(Atletas!O193="Yang 26 B",Atletas!O193="Yang 40 B"),407,IF(OR(Atletas!O193="Chen 25 B",Atletas!O193="Chen 36 B",Atletas!O193="Chen 56 B"),408,IF(Atletas!O193="Sun 73 B",409,IF(Atletas!O193="Wu 45 B",410,IF(Atletas!O193="Wu-Hao 46 B",411,IF(OR(Atletas!O193="Taijiquan 16 B",Atletas!O193="Taijiquan 24 B",Atletas!O193="Taijiquan 32 B",Atletas!O193="Taijiquan 42 B"),412,IF(OR(Atletas!O193="Yang 26 C",Atletas!O193="Yang 40 C"),413,IF(OR(Atletas!O193="Chen 25 C",Atletas!O193="Chen 36 C",Atletas!O193="Chen 56 C"),414,IF(Atletas!O193="Sun 73 C",415,IF(Atletas!O193="Wu 45 C",416,IF(Atletas!O193="Wu-Hao 46 C",417,IF(OR(Atletas!O193="Taijiquan 16 C",Atletas!O193="Taijiquan 24 C",Atletas!O193="Taijiquan 32 C",Atletas!O193="Taijiquan 42 C"),418,0)))))))))))))))))))</f>
        <v/>
      </c>
      <c r="BQ197" s="52" t="str">
        <f>IF(Atletas!O193="","",IF(Atletas!W193&lt;&gt;"",10000,0)+IF(Atletas!B193="Feminino",1000,IF(Atletas!B193="Masculino",2000,""))+IF(OR(Atletas!O193="Yang 26 D",Atletas!O193="Yang 40 D"),419,IF(OR(Atletas!O193="Chen 25 D",Atletas!O193="Chen 36 D",Atletas!O193="Chen 56 D"),420,IF(Atletas!O193="Sun 73 D",421,IF(Atletas!O193="Wu 45 D",422,IF(Atletas!O193="Wu-Hao 46 D",423,IF(OR(Atletas!O193="Taijiquan 16 D",Atletas!O193="Taijiquan 24 D",Atletas!O193="Taijiquan 32 D",Atletas!O193="Taijiquan 42 D"),424,IF(OR(Atletas!O193="Yang 26 E",Atletas!O193="Yang 40 E"),425,IF(OR(Atletas!O193="Chen 25 E",Atletas!O193="Chen 36 E",Atletas!O193="Chen 56 E"),426,IF(Atletas!O193="Sun 73 E",427,IF(Atletas!O193="Wu 45 E",428,IF(Atletas!O193="Wu-Hao 46 E",429,IF(OR(Atletas!O193="Taijiquan 16 E",Atletas!O193="Taijiquan 24 E",Atletas!O193="Taijiquan 32 E",Atletas!O193="Taijiquan 42 E"),430,IF(OR(Atletas!O193="Yang 26 F",Atletas!O193="Yang 40 F"),431,IF(OR(Atletas!O193="Chen 25 F",Atletas!O193="Chen 36 F",Atletas!O193="Chen 56 F"),432,IF(Atletas!O193="Sun 73 F",433,IF(Atletas!O193="Wu 45 F",434,IF(Atletas!O193="Wu-Hao 46 F",435,IF(OR(Atletas!O193="Taijiquan 16 F",Atletas!O193="Taijiquan 24 F",Atletas!O193="Taijiquan 32 F",Atletas!O193="Taijiquan 42 F"),436,0)))))))))))))))))))</f>
        <v/>
      </c>
      <c r="BR197" s="52" t="str">
        <f>IF(Atletas!P193="","",IF(Atletas!W193&lt;&gt;"",10000,0)+IF(Atletas!B193="Feminino",1000,IF(Atletas!B193="Masculino",2000,""))+IF(Atletas!P193="Xingyiquan A",501,IF(Atletas!P193="Baguazhang A",502,IF(Atletas!P193="Outro Estilo Interno A",503,IF(Atletas!P193="Xingyiquan B",504,IF(Atletas!P193="Baguazhang B",505,IF(Atletas!P193="Outro Estilo Interno B",506,IF(Atletas!P193="Xingyiquan C",507,IF(Atletas!P193="Baguazhang C",508,IF(Atletas!P193="Outro Estilo Interno C",509,IF(Atletas!P193="Xingyiquan D",510,IF(Atletas!P193="Baguazhang D",511,IF(Atletas!P193="Outro Estilo Interno D",512,IF(Atletas!P193="Xingyiquan E",513,IF(Atletas!P193="Baguazhang E",514,IF(Atletas!P193="Outro Estilo Interno E",515,IF(Atletas!P193="Xingyiquan F",516,IF(Atletas!P193="Baguazhang F",517,IF(Atletas!P193="Outro Estilo Interno F",518, "")))))))))))))))))))</f>
        <v/>
      </c>
      <c r="BS197" s="52" t="str">
        <f>IF(Atletas!Q193="","",IF(Atletas!W193&lt;&gt;"",10000,0)+IF(Atletas!B193="Feminino",1000,IF(Atletas!B193="Masculino",2000,""))+IF(Atletas!Q193="Dao A",601,IF(Atletas!Q193="Jian A",602,IF(Atletas!Q193="Bishou A",603,IF(Atletas!Q193="Shan A",604,IF(Atletas!Q193="Outra Arma Curta A",605,IF(Atletas!Q193="Dao B",606,IF(Atletas!Q193="Jian B",607,IF(Atletas!Q193="Bishou B",608,IF(Atletas!Q193="Shan B",609,IF(Atletas!Q193="Outra Arma Curta B",610,IF(Atletas!Q193="Dao C",611,IF(Atletas!Q193="Jian C",612,IF(Atletas!Q193="Bishou C",613,IF(Atletas!Q193="Shan C",614,IF(Atletas!Q193="Outra Arma Curta C",615,IF(Atletas!Q193="Dao D",616,IF(Atletas!Q193="Jian D",617,IF(Atletas!Q193="Bishou D",618,IF(Atletas!Q193="Shan D",619,IF(Atletas!Q193="Outra Arma Curta D",620,IF(Atletas!Q193="Dao E",621,IF(Atletas!Q193="Jian E",622,IF(Atletas!Q193="Bishou E",623,IF(Atletas!Q193="Shan E",624,IF(Atletas!Q193="Outra Arma Curta E",625,IF(Atletas!Q193="Dao F",626,IF(Atletas!Q193="Jian F",627,IF(Atletas!Q193="Bishou F",628,IF(Atletas!Q193="Shan F",629,IF(Atletas!Q193="Outra Arma Curta F",630, "")))))))))))))))))))))))))))))))</f>
        <v/>
      </c>
      <c r="BT197" s="52" t="str">
        <f>IF(Atletas!R193="","",IF(Atletas!W193&lt;&gt;"",10000,0)+IF(Atletas!B193="Feminino",1000,IF(Atletas!B193="Masculino",2000,""))+IF(Atletas!R193="Gun A",701,IF(Atletas!R193="Qiang A",702,IF(Atletas!R193="Pudao / Guandao A",703,IF(Atletas!R193="Outra Arma Longa A",704,IF(Atletas!R193="Gun B",705,IF(Atletas!R193="Qiang B",706,IF(Atletas!R193="Pudao / Guandao B",707,IF(Atletas!R193="Outra Arma Longa B",708,IF(Atletas!R193="Gun C",709,IF(Atletas!R193="Qiang C",710,IF(Atletas!R193="Pudao / Guandao C",711,IF(Atletas!R193="Outra Arma Longa C",712,IF(Atletas!R193="Gun D",713,IF(Atletas!R193="Qiang D",714,IF(Atletas!R193="Pudao / Guandao D",715,IF(Atletas!R193="Outra Arma Longa D",716,IF(Atletas!R193="Gun E",717,IF(Atletas!R193="Qiang E",718,IF(Atletas!R193="Pudao / Guandao E",719,IF(Atletas!R193="Outra Arma Longa E",720,IF(Atletas!R193="Gun F",721,IF(Atletas!R193="Qiang F",722,IF(Atletas!R193="Pudao / Guandao F",723,IF(Atletas!R193="Outra Arma Longa F",724,"")))))))))))))))))))))))))</f>
        <v/>
      </c>
      <c r="BU197" s="52" t="str">
        <f>IF(Atletas!S193="","",IF(Atletas!W193&lt;&gt;"",10000,0)+IF(Atletas!B193="Feminino",1000,IF(Atletas!B193="Masculino",2000,""))+IF(Atletas!S193="Arma Dupla A",801,IF(Atletas!S193="Arma Maleável A",802,IF(Atletas!S193="Arma Dupla B",803,IF(Atletas!S193="Arma Maleável B",804,IF(Atletas!S193="Arma Dupla C",805,IF(Atletas!S193="Arma Maleável C",806,IF(Atletas!S193="Arma Dupla D",807,IF(Atletas!S193="Arma Maleável D",808,IF(Atletas!S193="Arma Dupla E",809,IF(Atletas!S193="Arma Maleável E",810,IF(Atletas!S193="Arma Dupla F",811,IF(Atletas!S193="Arma Maleável F",812, "")))))))))))))</f>
        <v/>
      </c>
      <c r="BV197" s="52" t="str">
        <f>IF(Atletas!T193="","",IF(Atletas!W193&lt;&gt;"",10000,0)+IF(Atletas!B193="Feminino",1000,IF(Atletas!B193="Masculino",2000,""))+IF(Atletas!T193="Taijijian Yang A",901,IF(Atletas!T193="Taijijian Chen A",902,IF(Atletas!T193="Taijijian Sun A",903,IF(Atletas!T193="Taijijian Wu A",904,IF(Atletas!T193="Taijijian Wu-Hao A",905,IF(Atletas!T193="Taijijian 32 A",906,IF(Atletas!T193="Taijijian 42 A",907,IF(Atletas!T193="Taijijian Yang B",908,IF(Atletas!T193="Taijijian Chen B",909,IF(Atletas!T193="Taijijian Sun B",910,IF(Atletas!T193="Taijijian Wu B",911,IF(Atletas!T193="Taijijian Wu-Hao B",912,IF(Atletas!T193="Taijijian 32 B",913,IF(Atletas!T193="Taijijian 42 B",914,IF(Atletas!T193="Taijijian Yang C",915,IF(Atletas!T193="Taijijian Chen C",916,IF(Atletas!T193="Taijijian Sun C",917,IF(Atletas!T193="Taijijian Wu C",918,IF(Atletas!T193="Taijijian Wu-Hao C",919,IF(Atletas!T193="Taijijian 32 C",920,IF(Atletas!T193="Taijijian 42 C",921,IF(Atletas!T193="Taijijian Yang D",922,IF(Atletas!T193="Taijijian Chen D",923,IF(Atletas!T193="Taijijian Sun D",924,IF(Atletas!T193="Taijijian Wu D",925,IF(Atletas!T193="Taijijian Wu-Hao D",926,IF(Atletas!T193="Taijijian 32 D",927,IF(Atletas!T193="Taijijian 42 D",928,IF(Atletas!T193="Taijijian Yang E",929,IF(Atletas!T193="Taijijian Chen E",930,IF(Atletas!T193="Taijijian Sun E",931,IF(Atletas!T193="Taijijian Wu E",932,IF(Atletas!T193="Taijijian Wu-Hao E",933,IF(Atletas!T193="Taijijian 32 E",934,IF(Atletas!T193="Taijijian 42 E",935,IF(Atletas!T193="Taijijian Yang F",936,IF(Atletas!T193="Taijijian Chen F",937,IF(Atletas!T193="Taijijian Sun F",938,IF(Atletas!T193="Taijijian Wu F",939,IF(Atletas!T193="Taijijian Wu-Hao F",940,IF(Atletas!T193="Taijijian 32 F",941,IF(Atletas!T193="Taijijian 42 F",942,"")))))))))))))))))))))))))))))))))))))))))))</f>
        <v/>
      </c>
      <c r="BW197" s="52" t="str">
        <f>IF(Atletas!U193="","",IF(Atletas!W193&lt;&gt;"",10000,0)+IF(Atletas!B193="Feminino",1000,IF(Atletas!B193="Masculino",2000,""))+IF(Atletas!T193="Taijijian 42 F",942,IF(Atletas!U193="Taijidao A",943,IF(Atletas!U193="Taijishan A",944,IF(Atletas!U193="Taijiqiang A",945,IF(Atletas!U193="Taijidao B",946,IF(Atletas!U193="Taijishan B",947,IF(Atletas!U193="Taijiqiang B",948,IF(Atletas!U193="Taijidao C",949,IF(Atletas!U193="Taijishan C",950,IF(Atletas!U193="Taijiqiang C",951,IF(Atletas!U193="Taijidao D",952,IF(Atletas!U193="Taijishan D",953,IF(Atletas!U193="Taijiqiang D",954,IF(Atletas!U193="Taijidao E",955,IF(Atletas!U193="Taijishan E",956,IF(Atletas!U193="Taijiqiang E",957,IF(Atletas!U193="Taijidao F",958,IF(Atletas!U193="Taijishan F",959,IF(Atletas!U193="Taijiqiang F",960))))))))))))))))))))</f>
        <v/>
      </c>
      <c r="BX197" s="72" t="str">
        <f>IF(BY197&lt;&gt;"","TJQ Padr. Wu-Hao E","")</f>
        <v/>
      </c>
      <c r="BY197" s="72" t="str">
        <f>IF(COUNTIF(BK:BW,1429)&gt;0,COUNTIF(BK:BW,1429),"")</f>
        <v/>
      </c>
      <c r="BZ197" s="72" t="str">
        <f>IF(CA197&lt;&gt;"","TJQ Padr. Wu-Hao E","")</f>
        <v/>
      </c>
      <c r="CA197" s="72" t="str">
        <f>IF(COUNTIF(BK:BW,2429)&gt;0,COUNTIF(BK:BW,2429),"")</f>
        <v/>
      </c>
      <c r="CB197" s="72" t="str">
        <f>IF(CC197&lt;&gt;"","Taijiquan 42 C","")</f>
        <v/>
      </c>
      <c r="CC197" s="64" t="str">
        <f>IF(COUNTIF(BK:BW,11429)&gt;0,COUNTIF(BK:BW,11429),"")</f>
        <v/>
      </c>
      <c r="CD197" s="64" t="str">
        <f>IF(CE197&lt;&gt;"","Taijiquan 42 C","")</f>
        <v/>
      </c>
      <c r="CE197" s="64" t="str">
        <f>IF(COUNTIF(BK:BW,12429)&gt;0,COUNTIF(BK:BW,12429),"")</f>
        <v/>
      </c>
      <c r="CF197" s="52" t="str">
        <f xml:space="preserve"> IF(Atletas!V193="","",IF(Atletas!V193="Duilian de Mãos AB - Equipe 1",1,IF(Atletas!V193="Duilian de Mãos AB - Equipe 2",2,IF(Atletas!V193="Duilian de Armas AB - Equipe 1",3,IF(Atletas!V193="Duilian de Armas AB - Equipe 2",4,IF(Atletas!V193="Duilian de Tuishou - Equipe 1",5,IF(Atletas!V193="Duilian de Tuishou - Equipe 2",6,IF(Atletas!V193="Grupo Externo AB - Equipe 1",7,IF(Atletas!V193="Grupo Externo AB - Equipe 2",8,IF(Atletas!V193="Grupo Interno AB - Equipe 1",9,IF(Atletas!V193="Grupo Interno AB - Equipe 2",10,IF(Atletas!V193="Duilian de Mãos CD - Equipe 1",11,IF(Atletas!V193="Duilian de Mãos CD - Equipe 2",12,IF(Atletas!V193="Duilian de Armas CD - Equipe 1",13,IF(Atletas!V193="Duilian de Armas CD - Equipe 2",14,IF(Atletas!V193="Duilian de Tuishou - Equipe 1",15,IF(Atletas!V193="Duilian de Tuishou - Equipe 2",16,IF(Atletas!V193="Grupo Externo CDEF - Equipe 1",17,IF(Atletas!V193="Grupo Externo CDEF - Equipe 2",18,IF(Atletas!V193="Grupo Interno CDEF - Equipe 1",19,IF(Atletas!V193="Grupo Interno CDEF - Equipe 2",20,IF(Atletas!V193="Duilian de Mãos EF - Equipe 1",21,IF(Atletas!V193="Duilian de Mãos EF - Equipe 2",22,IF(Atletas!V193="Duilian de Armas EF - Equipe 1",23,IF(Atletas!V193="Duilian de Armas EF - Equipe 2",24,IF(Atletas!V193="Duilian de Tuishou - Equipe 1",25,IF(Atletas!V193="Duilian de Tuishou - Equipe 2",26,"")))))))))))))))))))))))))))</f>
        <v/>
      </c>
    </row>
    <row r="198" spans="2:84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 t="str">
        <f t="array" ref="V198">IFERROR(INDEX(BX$7:BX$336,SMALL(IF(BX$7:BX$336&lt;&gt;"",ROW(BX$7:BX$336)-ROW(BX$7)+1),ROWS(BX$7:BX197))),"")</f>
        <v/>
      </c>
      <c r="W198" s="4" t="str">
        <f t="array" ref="W198">IFERROR(INDEX(BY$7:BY$336,SMALL(IF(BY$7:BY$336&lt;&gt;"",ROW(BY$7:BY$336)-ROW(BY$7)+1),ROWS(BY$7:BY197))),"")</f>
        <v/>
      </c>
      <c r="X198" s="4" t="str">
        <f t="array" ref="X198">IFERROR(INDEX(BZ$7:BZ$336,SMALL(IF(BZ$7:BZ$336&lt;&gt;"",ROW(BZ$7:BZ$336)-ROW(BZ$7)+1),ROWS(BZ$7:BZ197))),"")</f>
        <v/>
      </c>
      <c r="Y198" s="4" t="str">
        <f t="array" ref="Y198">IFERROR(INDEX(CA$7:CA$336,SMALL(IF(CA$7:CA$336&lt;&gt;"",ROW(CA$7:CA$336)-ROW(CA$7)+1),ROWS(CA$7:CA197))),"")</f>
        <v/>
      </c>
      <c r="Z198" s="4" t="str">
        <f t="array" ref="Z198">IFERROR(INDEX(CB$7:CB$378,SMALL(IF(CB$7:CB$378&lt;&gt;"",ROW(CB$7:CB$378)-ROW(CB$7)+1),ROWS(CB$7:CB197))),"")</f>
        <v/>
      </c>
      <c r="AA198" s="4" t="str">
        <f t="array" ref="AA198">IFERROR(INDEX(CC$7:CC$378,SMALL(IF(CC$7:CC$378&lt;&gt;"",ROW(CC$7:CC$378)-ROW(CC$7)+1),ROWS(CC$7:CC197))),"")</f>
        <v/>
      </c>
      <c r="AB198" s="4" t="str">
        <f t="array" ref="AB198">IFERROR(INDEX(CD$7:CD$378,SMALL(IF(CD$7:CD$378&lt;&gt;"",ROW(CD$7:CD$378)-ROW(CD$7)+1),ROWS(CD$7:CD197))),"")</f>
        <v/>
      </c>
      <c r="AC198" s="4" t="str">
        <f t="array" ref="AC198">IFERROR(INDEX(CE$7:CE$378,SMALL(IF(CE$7:CE$378&lt;&gt;"",ROW(CE$7:CE$378)-ROW(CE$7)+1),ROWS(CE$7:CE197))),"")</f>
        <v/>
      </c>
      <c r="AD198" s="4"/>
      <c r="AE198" s="4"/>
      <c r="AF198" s="4"/>
      <c r="AG198" s="4"/>
      <c r="AH198" s="4"/>
      <c r="AI198" s="4"/>
      <c r="AJ198" s="46" t="str">
        <f>IF(Atletas!D194="","",IF(Atletas!B194="Feminino",100,IF(Atletas!B194="Masculino",200,""))+(IF(Atletas!D194="Infantil 39kg",1,IF(Atletas!D194="Infantil 42kg",2,IF(Atletas!D194="Infantil 45kg",3,IF(Atletas!D194="Infantil 48kg",4,IF(Atletas!D194="Infantil 52kg",5,IF(Atletas!D194="Infantil 56kg",6,IF(Atletas!D194="Infantil 60kg",7,IF(Atletas!D194="Juvenil 48kg",8,IF(Atletas!D194="Juvenil 52kg",9,IF(Atletas!D194="Juvenil 56kg",10,IF(Atletas!D194="Juvenil 60kg",11,IF(Atletas!D194="Juvenil 65kg",12,IF(Atletas!D194="Juvenil 70kg",13,IF(Atletas!D194="Juvenil 75kg",14,IF(Atletas!D194="Juvenil 80kg",15,IF(Atletas!D194="Adulto 48kg",16,IF(Atletas!D194="Adulto 52kg",17,IF(Atletas!D194="Adulto 56kg",18,IF(Atletas!D194="Adulto 60kg",19,IF(Atletas!D194="Adulto 65kg",20,IF(Atletas!D194="Adulto 70kg",21,IF(Atletas!D194="Adulto 75kg",22,IF(Atletas!D194="Adulto 80kg",23,IF(Atletas!D194="Adulto 85kg",24,IF(Atletas!D194="Adulto 90kg",25,IF(Atletas!D194="Adulto +90kg",26,""))))))))))))))))))))))))))))</f>
        <v/>
      </c>
      <c r="AO198" s="10" t="str">
        <f>IF(Atletas!E194="","",IF(Atletas!B194="Feminino",100,IF(Atletas!B194="Masculino",200,""))+(IF(Atletas!E194="Juvenil 44kg",1,IF(Atletas!E194="Juvenil 48kg",2,IF(Atletas!E194="Juvenil 52kg",3,IF(Atletas!E194="Juvenil 56kg",4,IF(Atletas!E194="Juvenil 60kg",5,IF(Atletas!E194="Juvenil 65kg",6,IF(Atletas!E194="Juvenil 70kg",7,IF(Atletas!E194="Juvenil 75kg",8,IF(Atletas!E194="Juvenil 82kg",9,IF(Atletas!E194="Juvenil 90kg",10,IF(Atletas!E194="Juvenil 100kg",11,IF(Atletas!E194="Adulto 48kg",12,IF(Atletas!E194="Adulto 52kg",13,IF(Atletas!E194="Adulto 56kg",14,IF(Atletas!E194="Adulto 60kg",15,IF(Atletas!E194="Adulto 65kg",16,IF(Atletas!E194="Adulto 70kg",17,IF(Atletas!E194="Adulto 75kg",18,IF(Atletas!E194="Adulto 82kg",19,IF(Atletas!E194="Adulto 90kg",20,IF(Atletas!E194="Adulto 100kg",21,IF(Atletas!E194="Adulto +100kg",22,""))))))))))))))))))))))))</f>
        <v/>
      </c>
      <c r="AT198" s="10" t="str">
        <f>IF(Atletas!F194="","",IF(Atletas!B194="Feminino",100,IF(Atletas!B194="Masculino",200,""))+(IF(Atletas!F194="Adulto 48kg",1,IF(Atletas!F194="Adulto 56kg",2,IF(Atletas!F194="Adulto 65kg",3,IF(Atletas!F194="Adulto 75kg",4,IF(Atletas!F194="Adulto +75kg",5,IF(Atletas!F194="Adulto 52kg",6,IF(Atletas!F194="Adulto 60kg",7,IF(Atletas!F194="Adulto 70kg",8,IF(Atletas!F194="Adulto 80kg",9,IF(Atletas!F194="Adulto 90kg",10,IF(Atletas!F194="Adulto +90kg",11,"")))))))))))))</f>
        <v/>
      </c>
      <c r="AY198" s="46" t="str">
        <f>IF(Atletas!G194="","",IF(Atletas!B194="Feminino",100,IF(Atletas!B194="Masculino",200,""))+(IF(Atletas!G194="Changquan Mirim",1,IF(Atletas!G194="Nanquan Mirim",2,IF(Atletas!G194="Taijiquan Mirim",3,IF(Atletas!G194="Changquan Grupo C",4,IF(Atletas!G194="Nanquan Grupo C",5,IF(Atletas!G194="Taijiquan Grupo C",6,IF(Atletas!G194="Changquan Grupo B",7,IF(Atletas!G194="Nanquan Grupo B",8,IF(Atletas!G194="Taijiquan Grupo B",9,IF(Atletas!G194="Changquan Grupo A",10,IF(Atletas!G194="Nanquan Grupo A",11,IF(Atletas!G194="Taijiquan Grupo A",12,IF(Atletas!G194="Changquan Opcional",13,IF(Atletas!G194="Nanquan Opcional",14,IF(Atletas!G194="Taijiquan Opcional",15,IF(Atletas!G194="Changquan Adulto",16,IF(Atletas!G194="Nanquan Adulto",17,IF(Atletas!G194="Taijiquan Adulto",18,""))))))))))))))))))))</f>
        <v/>
      </c>
      <c r="AZ198" s="46" t="str">
        <f>IF(Atletas!H194="","",IF(Atletas!B194="Feminino",100,IF(Atletas!B194="Masculino",200,""))+(IF(Atletas!H194="Daoshu Mirim",19,IF(Atletas!H194="Jianshu Mirim",20,IF(Atletas!H194="Nandao Mirim",21,IF(Atletas!H194="Taijijian Mirim",22,IF(Atletas!H194="Daoshu Grupo C",23,IF(Atletas!H194="Jianshu Grupo C",24,IF(Atletas!H194="Nandao Grupo C",25,IF(Atletas!H194="Taijijian Grupo C",26,IF(Atletas!H194="Daoshu Grupo B",27,IF(Atletas!H194="Jianshu Grupo B",28,IF(Atletas!H194="Nandao Grupo B",29,IF(Atletas!H194="Taijijian Grupo B",30,IF(Atletas!H194="Daoshu Grupo A",31,IF(Atletas!H194="Jianshu Grupo A",32,IF(Atletas!H194="Nandao Grupo A",33,IF(Atletas!H194="Taijijian Grupo A",34,IF(Atletas!H194="Daoshu Opcional",35,IF(Atletas!H194="Jianshu Opcional",36,IF(Atletas!H194="Nandao Opcional",37,IF(Atletas!H194="Taijijian Opcional",38,IF(Atletas!H194="Daoshu Adulto",39,IF(Atletas!H194="Jianshu Adulto",40,IF(Atletas!H194="Nandao Adulto",41,IF(Atletas!H194="Taijijian Adulto",42,""))))))))))))))))))))))))))</f>
        <v/>
      </c>
      <c r="BA198" s="46" t="str">
        <f>IF(Atletas!I194="","",IF(Atletas!B194="Feminino",100,IF(Atletas!B194="Masculino",200,""))+(IF(Atletas!I194="Gunshu Mirim",43,IF(Atletas!I194="Qiangshu Mirim",44,IF(Atletas!I194="Nangun Mirim",45,IF(Atletas!I194="Gunshu Grupo C",46,IF(Atletas!I194="Qiangshu Grupo C",47,IF(Atletas!I194="Nangun Grupo C",48,IF(Atletas!I194="Gunshu Grupo B",49,IF(Atletas!I194="Qiangshu Grupo B",50,IF(Atletas!I194="Nangun Grupo B",51,IF(Atletas!I194="Gunshu Grupo A",52,IF(Atletas!I194="Qiangshu Grupo A",53,IF(Atletas!I194="Nangun Grupo A",54,IF(Atletas!I194="Gunshu Opcional",55,IF(Atletas!I194="Qiangshu Opcional",56,IF(Atletas!I194="Nangun Opcional",57,IF(Atletas!I194="Gunshu Adulto",58,IF(Atletas!I194="Qiangshu Adulto",59,IF(Atletas!I194="Nangun Adulto",60,""))))))))))))))))))))</f>
        <v/>
      </c>
      <c r="BF198" s="52" t="str">
        <f>IF(Atletas!J194="","",IF(Atletas!B194="Feminino",100,IF(Atletas!B194="Masculino",200,""))+(IF(Atletas!J194="Equipe 1 Grupo B",1,IF(Atletas!J194="Equipe 2 Grupo B",2,IF(Atletas!J194="Equipe 1 Grupo A",3,IF(Atletas!J194="Equipe 2 Grupo A",4,IF(Atletas!J194="Equipe 1 Adulto",5,IF(Atletas!J194="Equipe 2 Adulto",6,""))))))))</f>
        <v/>
      </c>
      <c r="BK198" s="52" t="str">
        <f>IF(Atletas!K194="","",IF(Atletas!W194&lt;&gt;"",10000,0)+(IF(Atletas!B194="Feminino",1000,IF(Atletas!B194="Masculino",2000,""))+IF(Atletas!K194="Choylayfut A",1,IF(Atletas!K194="Hunggar A",2,IF(Atletas!K194="Wuzuquan A",3,IF(Atletas!K194="Wingchun A",4,IF(Atletas!K194="Outra Mão de Sul A",5,IF(Atletas!K194="Choylayfut B",6,IF(Atletas!K194="Hunggar B",7,IF(Atletas!K194="Wuzuquan B",8,IF(Atletas!K194="Wingchun B",9,IF(Atletas!K194="Outra Mão de Sul B",10,IF(Atletas!K194="Choylayfut C",11,IF(Atletas!K194="Hunggar C",12,IF(Atletas!K194="Wuzuquan C",13,IF(Atletas!K194="Wingchun C",14,IF(Atletas!K194="Outra Mão de Sul C",15,IF(Atletas!K194="Choylayfut D",16,IF(Atletas!K194="Hunggar D",17,IF(Atletas!K194="Wuzuquan D",18,IF(Atletas!K194="Wingchun D",19,IF(Atletas!K194="Outra Mão de Sul D",20,IF(Atletas!K194="Choylayfut E",21,IF(Atletas!K194="Hunggar E",22,IF(Atletas!K194="Wuzuquan E",23,IF(Atletas!K194="Wingchun E",24,IF(Atletas!K194="Outra Mão de Sul E",25,IF(Atletas!K194="Choylayfut F",26,IF(Atletas!K194="Hunggar F",27,IF(Atletas!K194="Wuzuquan F",28,IF(Atletas!K194="Wingchun F",29,IF(Atletas!K194="Outra Mão de Sul F",30,""))))))))))))))))))))))))))))))))</f>
        <v/>
      </c>
      <c r="BL198" s="52" t="str">
        <f>IF(Atletas!L194="","",IF(Atletas!W194&lt;&gt;"",10000,0)+(IF(Atletas!B194="Feminino",1000,IF(Atletas!B194="Masculino",2000,""))+(IF(Atletas!L194="Chaquan A",101,IF(Atletas!L194="Emeiquan A",102,IF(Atletas!L194="Fanziquan A",103,IF(Atletas!L194="Huaquan A",104,IF(Atletas!L194="Hongquan A",105,IF(Atletas!L194="Paochui A",106,IF(Atletas!L194="Piguaquan A",107,IF(Atletas!L194="Shaolinquan A",108,IF(Atletas!L194="Tanglangquan A",109,IF(Atletas!L194="Yinzhaophai A",110,IF(Atletas!L194="Tongbeiquan A",111,IF(Atletas!L194="Wudangquan A",112,IF(Atletas!L194="Outros Estilos A",113,IF(Atletas!L194="Chaquan B",114,IF(Atletas!L194="Emeiquan B",115,IF(Atletas!L194="Fanziquan B",116,IF(Atletas!L194="Huaquan B",117,IF(Atletas!L194="Hongquan B",118,IF(Atletas!L194="Paochui B",119,IF(Atletas!L194="Piguaquan B",120,IF(Atletas!L194="Shaolinquan B",121,IF(Atletas!L194="Tanglangquan B",122,IF(Atletas!L194="Yinzhaophai B",123,IF(Atletas!L194="Tongbeiquan B",124,IF(Atletas!L194="Wudangquan B",125,IF(Atletas!L194="Outros Estilos B",126,IF(Atletas!L194="Chaquan C",127,IF(Atletas!L194="Emeiquan C",128,IF(Atletas!L194="Fanziquan C",129,IF(Atletas!L194="Huaquan C",130,IF(Atletas!L194="Hongquan C",131,IF(Atletas!L194="Paochui C",132,IF(Atletas!L194="Piguaquan C",133,IF(Atletas!L194="Shaolinquan C",134,IF(Atletas!L194="Tanglangquan C",135,IF(Atletas!L194="Yinzhaophai C",136,IF(Atletas!L194="Tongbeiquan C",137,IF(Atletas!L194="Wudangquan C",138,IF(Atletas!L194="Outros Estilos C",139,0))))))))))))))))))))))))))))))))))))))))))</f>
        <v/>
      </c>
      <c r="BM198" s="52" t="str">
        <f>IF(Atletas!L194="","",IF(Atletas!W194&lt;&gt;"",10000,0)+(IF(Atletas!B194="Feminino",1000,IF(Atletas!B194="Masculino",2000,""))+(IF(Atletas!L194="Chaquan D",140,IF(Atletas!L194="Emeiquan D",141,IF(Atletas!L194="Fanziquan D",142,IF(Atletas!L194="Huaquan D",143,IF(Atletas!L194="Hongquan D",144,IF(Atletas!L194="Paochui D",145,IF(Atletas!L194="Piguaquan D",146,IF(Atletas!L194="Shaolinquan D",147,IF(Atletas!L194="Tanglangquan D",148,IF(Atletas!L194="Yinzhaophai D",149,IF(Atletas!L194="Tongbeiquan D",150,IF(Atletas!L194="Wudangquan D",151,IF(Atletas!L194="Outros Estilos D",152,IF(Atletas!L194="Chaquan E",153,IF(Atletas!L194="Emeiquan E",154,IF(Atletas!L194="Fanziquan E",155,IF(Atletas!L194="Huaquan E",156,IF(Atletas!L194="Hongquan E",157,IF(Atletas!L194="Paochui E",158,IF(Atletas!L194="Piguaquan E",159,IF(Atletas!L194="Shaolinquan E",160,IF(Atletas!L194="Tanglangquan E",161,IF(Atletas!L194="Yinzhaophai E",162,IF(Atletas!L194="Tongbeiquan E",163,IF(Atletas!L194="Wudangquan E",164,IF(Atletas!L194="Outros Estilos E",165,IF(Atletas!L194="Chaquan F",166,IF(Atletas!L194="Emeiquan F",167,IF(Atletas!L194="Fanziquan F",168,IF(Atletas!L194="Huaquan F",169,IF(Atletas!L194="Hongquan F",170,IF(Atletas!L194="Paochui F",171,IF(Atletas!L194="Piguaquan F",172,IF(Atletas!L194="Shaolinquan F",173,IF(Atletas!L194="Tanglangquan F",174,IF(Atletas!L194="Yinzhaophai F",175,IF(Atletas!L194="Tongbeiquan F",176,IF(Atletas!L194="Wudangquan F",177,IF(Atletas!L194="Outros Estilos F",178,0))))))))))))))))))))))))))))))))))))))))))</f>
        <v/>
      </c>
      <c r="BN198" s="52" t="str">
        <f>IF(Atletas!M194="","",IF(Atletas!W194&lt;&gt;"",10000,0)+(IF(Atletas!B194="Feminino",1000,IF(Atletas!B194="Masculino",2000,""))+(IF(Atletas!M194="Ditangquan A",201,IF(Atletas!M194="Houquan A",202,IF(Atletas!M194="Zuiquan A",203,IF(Atletas!M194="Ditangquan B",204,IF(Atletas!M194="Houquan B",205,IF(Atletas!M194="Zuiquan B",206,IF(Atletas!M194="Ditangquan C",207,IF(Atletas!M194="Houquan C",208,IF(Atletas!M194="Zuiquan C",209,IF(Atletas!M194="Ditangquan D",210,IF(Atletas!M194="Houquan D",211,IF(Atletas!M194="Zuiquan D",212,IF(Atletas!M194="Ditangquan E",213,IF(Atletas!M194="Houquan E",214,IF(Atletas!M194="Zuiquan E",215,IF(Atletas!M194="Ditangquan F",216,IF(Atletas!M194="Houquan F",217,IF(Atletas!M194="Zuiquan F",218,"")))))))))))))))))))))</f>
        <v/>
      </c>
      <c r="BO198" s="52" t="str">
        <f>IF(Atletas!N194="","",IF(Atletas!W194&lt;&gt;"",10000,0)+IF(Atletas!B194="Feminino",1000,IF(Atletas!B194="Masculino",2000,""))+IF(Atletas!N194="Yang A",301,IF(Atletas!N194="Chen A",30,IF(Atletas!N194="Sun A",303,IF(Atletas!N194="Wu A",304,IF(Atletas!N194="Wu-Hao A",305,IF(Atletas!N194="Outro Taijiquan A",306,IF(Atletas!N194="Yang B",307,IF(Atletas!N194="Chen B",308,IF(Atletas!N194="Sun B",309,IF(Atletas!N194="Wu B",310,IF(Atletas!N194="Wu-Hao B",311,IF(Atletas!N194="Outro Taijiquan B",312,IF(Atletas!N194="Yang C",313,IF(Atletas!N194="Chen C",314,IF(Atletas!N194="Sun C",315,IF(Atletas!N194="Wu C",316,IF(Atletas!N194="Wu-Hao C",317,IF(Atletas!N194="Outro Taijiquan C",318,IF(Atletas!N194="Yang D",319,IF(Atletas!N194="Chen D",320,IF(Atletas!N194="Sun D",321,IF(Atletas!N194="Wu D",322,IF(Atletas!N194="Wu-Hao D",323,IF(Atletas!N194="Outro Taijiquan D",324,IF(Atletas!N194="Yang E",325,IF(Atletas!N194="Chen E",326,IF(Atletas!N194="Sun E",327,IF(Atletas!N194="Wu E",328,IF(Atletas!N194="Wu-Hao E",329,IF(Atletas!N194="Outro Taijiquan E",330,IF(Atletas!N194="Yang F",331,IF(Atletas!N194="Chen F",332,IF(Atletas!N194="Sun F",333,IF(Atletas!N194="Wu F",334,IF(Atletas!N194="Wu-Hao F",335,IF(Atletas!N194="Outro Taijiquan F",336,"")))))))))))))))))))))))))))))))))))))</f>
        <v/>
      </c>
      <c r="BP198" s="52" t="str">
        <f>IF(Atletas!O194="","",IF(Atletas!W194&lt;&gt;"",10000,0)+IF(Atletas!B194="Feminino",1000,IF(Atletas!B194="Masculino",2000,""))+IF(OR(Atletas!O194="Yang 26 A",Atletas!O194="Yang 40 A"),401,IF(OR(Atletas!O194="Chen 25 A",Atletas!O194="Chen 36 A",Atletas!O194="Chen 56 A"),402,IF(Atletas!O194="Sun 73 A",403,IF(Atletas!O194="Wu 45 A",404,IF(Atletas!O194="Wu-Hao 46 A",405,IF(OR(Atletas!O194="Taijiquan 16 A",Atletas!O194="Taijiquan 24 A",Atletas!O194="Taijiquan 32 A",Atletas!O194="Taijiquan 42 A"),406,IF(OR(Atletas!O194="Yang 26 B",Atletas!O194="Yang 40 B"),407,IF(OR(Atletas!O194="Chen 25 B",Atletas!O194="Chen 36 B",Atletas!O194="Chen 56 B"),408,IF(Atletas!O194="Sun 73 B",409,IF(Atletas!O194="Wu 45 B",410,IF(Atletas!O194="Wu-Hao 46 B",411,IF(OR(Atletas!O194="Taijiquan 16 B",Atletas!O194="Taijiquan 24 B",Atletas!O194="Taijiquan 32 B",Atletas!O194="Taijiquan 42 B"),412,IF(OR(Atletas!O194="Yang 26 C",Atletas!O194="Yang 40 C"),413,IF(OR(Atletas!O194="Chen 25 C",Atletas!O194="Chen 36 C",Atletas!O194="Chen 56 C"),414,IF(Atletas!O194="Sun 73 C",415,IF(Atletas!O194="Wu 45 C",416,IF(Atletas!O194="Wu-Hao 46 C",417,IF(OR(Atletas!O194="Taijiquan 16 C",Atletas!O194="Taijiquan 24 C",Atletas!O194="Taijiquan 32 C",Atletas!O194="Taijiquan 42 C"),418,0)))))))))))))))))))</f>
        <v/>
      </c>
      <c r="BQ198" s="52" t="str">
        <f>IF(Atletas!O194="","",IF(Atletas!W194&lt;&gt;"",10000,0)+IF(Atletas!B194="Feminino",1000,IF(Atletas!B194="Masculino",2000,""))+IF(OR(Atletas!O194="Yang 26 D",Atletas!O194="Yang 40 D"),419,IF(OR(Atletas!O194="Chen 25 D",Atletas!O194="Chen 36 D",Atletas!O194="Chen 56 D"),420,IF(Atletas!O194="Sun 73 D",421,IF(Atletas!O194="Wu 45 D",422,IF(Atletas!O194="Wu-Hao 46 D",423,IF(OR(Atletas!O194="Taijiquan 16 D",Atletas!O194="Taijiquan 24 D",Atletas!O194="Taijiquan 32 D",Atletas!O194="Taijiquan 42 D"),424,IF(OR(Atletas!O194="Yang 26 E",Atletas!O194="Yang 40 E"),425,IF(OR(Atletas!O194="Chen 25 E",Atletas!O194="Chen 36 E",Atletas!O194="Chen 56 E"),426,IF(Atletas!O194="Sun 73 E",427,IF(Atletas!O194="Wu 45 E",428,IF(Atletas!O194="Wu-Hao 46 E",429,IF(OR(Atletas!O194="Taijiquan 16 E",Atletas!O194="Taijiquan 24 E",Atletas!O194="Taijiquan 32 E",Atletas!O194="Taijiquan 42 E"),430,IF(OR(Atletas!O194="Yang 26 F",Atletas!O194="Yang 40 F"),431,IF(OR(Atletas!O194="Chen 25 F",Atletas!O194="Chen 36 F",Atletas!O194="Chen 56 F"),432,IF(Atletas!O194="Sun 73 F",433,IF(Atletas!O194="Wu 45 F",434,IF(Atletas!O194="Wu-Hao 46 F",435,IF(OR(Atletas!O194="Taijiquan 16 F",Atletas!O194="Taijiquan 24 F",Atletas!O194="Taijiquan 32 F",Atletas!O194="Taijiquan 42 F"),436,0)))))))))))))))))))</f>
        <v/>
      </c>
      <c r="BR198" s="52" t="str">
        <f>IF(Atletas!P194="","",IF(Atletas!W194&lt;&gt;"",10000,0)+IF(Atletas!B194="Feminino",1000,IF(Atletas!B194="Masculino",2000,""))+IF(Atletas!P194="Xingyiquan A",501,IF(Atletas!P194="Baguazhang A",502,IF(Atletas!P194="Outro Estilo Interno A",503,IF(Atletas!P194="Xingyiquan B",504,IF(Atletas!P194="Baguazhang B",505,IF(Atletas!P194="Outro Estilo Interno B",506,IF(Atletas!P194="Xingyiquan C",507,IF(Atletas!P194="Baguazhang C",508,IF(Atletas!P194="Outro Estilo Interno C",509,IF(Atletas!P194="Xingyiquan D",510,IF(Atletas!P194="Baguazhang D",511,IF(Atletas!P194="Outro Estilo Interno D",512,IF(Atletas!P194="Xingyiquan E",513,IF(Atletas!P194="Baguazhang E",514,IF(Atletas!P194="Outro Estilo Interno E",515,IF(Atletas!P194="Xingyiquan F",516,IF(Atletas!P194="Baguazhang F",517,IF(Atletas!P194="Outro Estilo Interno F",518, "")))))))))))))))))))</f>
        <v/>
      </c>
      <c r="BS198" s="52" t="str">
        <f>IF(Atletas!Q194="","",IF(Atletas!W194&lt;&gt;"",10000,0)+IF(Atletas!B194="Feminino",1000,IF(Atletas!B194="Masculino",2000,""))+IF(Atletas!Q194="Dao A",601,IF(Atletas!Q194="Jian A",602,IF(Atletas!Q194="Bishou A",603,IF(Atletas!Q194="Shan A",604,IF(Atletas!Q194="Outra Arma Curta A",605,IF(Atletas!Q194="Dao B",606,IF(Atletas!Q194="Jian B",607,IF(Atletas!Q194="Bishou B",608,IF(Atletas!Q194="Shan B",609,IF(Atletas!Q194="Outra Arma Curta B",610,IF(Atletas!Q194="Dao C",611,IF(Atletas!Q194="Jian C",612,IF(Atletas!Q194="Bishou C",613,IF(Atletas!Q194="Shan C",614,IF(Atletas!Q194="Outra Arma Curta C",615,IF(Atletas!Q194="Dao D",616,IF(Atletas!Q194="Jian D",617,IF(Atletas!Q194="Bishou D",618,IF(Atletas!Q194="Shan D",619,IF(Atletas!Q194="Outra Arma Curta D",620,IF(Atletas!Q194="Dao E",621,IF(Atletas!Q194="Jian E",622,IF(Atletas!Q194="Bishou E",623,IF(Atletas!Q194="Shan E",624,IF(Atletas!Q194="Outra Arma Curta E",625,IF(Atletas!Q194="Dao F",626,IF(Atletas!Q194="Jian F",627,IF(Atletas!Q194="Bishou F",628,IF(Atletas!Q194="Shan F",629,IF(Atletas!Q194="Outra Arma Curta F",630, "")))))))))))))))))))))))))))))))</f>
        <v/>
      </c>
      <c r="BT198" s="52" t="str">
        <f>IF(Atletas!R194="","",IF(Atletas!W194&lt;&gt;"",10000,0)+IF(Atletas!B194="Feminino",1000,IF(Atletas!B194="Masculino",2000,""))+IF(Atletas!R194="Gun A",701,IF(Atletas!R194="Qiang A",702,IF(Atletas!R194="Pudao / Guandao A",703,IF(Atletas!R194="Outra Arma Longa A",704,IF(Atletas!R194="Gun B",705,IF(Atletas!R194="Qiang B",706,IF(Atletas!R194="Pudao / Guandao B",707,IF(Atletas!R194="Outra Arma Longa B",708,IF(Atletas!R194="Gun C",709,IF(Atletas!R194="Qiang C",710,IF(Atletas!R194="Pudao / Guandao C",711,IF(Atletas!R194="Outra Arma Longa C",712,IF(Atletas!R194="Gun D",713,IF(Atletas!R194="Qiang D",714,IF(Atletas!R194="Pudao / Guandao D",715,IF(Atletas!R194="Outra Arma Longa D",716,IF(Atletas!R194="Gun E",717,IF(Atletas!R194="Qiang E",718,IF(Atletas!R194="Pudao / Guandao E",719,IF(Atletas!R194="Outra Arma Longa E",720,IF(Atletas!R194="Gun F",721,IF(Atletas!R194="Qiang F",722,IF(Atletas!R194="Pudao / Guandao F",723,IF(Atletas!R194="Outra Arma Longa F",724,"")))))))))))))))))))))))))</f>
        <v/>
      </c>
      <c r="BU198" s="52" t="str">
        <f>IF(Atletas!S194="","",IF(Atletas!W194&lt;&gt;"",10000,0)+IF(Atletas!B194="Feminino",1000,IF(Atletas!B194="Masculino",2000,""))+IF(Atletas!S194="Arma Dupla A",801,IF(Atletas!S194="Arma Maleável A",802,IF(Atletas!S194="Arma Dupla B",803,IF(Atletas!S194="Arma Maleável B",804,IF(Atletas!S194="Arma Dupla C",805,IF(Atletas!S194="Arma Maleável C",806,IF(Atletas!S194="Arma Dupla D",807,IF(Atletas!S194="Arma Maleável D",808,IF(Atletas!S194="Arma Dupla E",809,IF(Atletas!S194="Arma Maleável E",810,IF(Atletas!S194="Arma Dupla F",811,IF(Atletas!S194="Arma Maleável F",812, "")))))))))))))</f>
        <v/>
      </c>
      <c r="BV198" s="52" t="str">
        <f>IF(Atletas!T194="","",IF(Atletas!W194&lt;&gt;"",10000,0)+IF(Atletas!B194="Feminino",1000,IF(Atletas!B194="Masculino",2000,""))+IF(Atletas!T194="Taijijian Yang A",901,IF(Atletas!T194="Taijijian Chen A",902,IF(Atletas!T194="Taijijian Sun A",903,IF(Atletas!T194="Taijijian Wu A",904,IF(Atletas!T194="Taijijian Wu-Hao A",905,IF(Atletas!T194="Taijijian 32 A",906,IF(Atletas!T194="Taijijian 42 A",907,IF(Atletas!T194="Taijijian Yang B",908,IF(Atletas!T194="Taijijian Chen B",909,IF(Atletas!T194="Taijijian Sun B",910,IF(Atletas!T194="Taijijian Wu B",911,IF(Atletas!T194="Taijijian Wu-Hao B",912,IF(Atletas!T194="Taijijian 32 B",913,IF(Atletas!T194="Taijijian 42 B",914,IF(Atletas!T194="Taijijian Yang C",915,IF(Atletas!T194="Taijijian Chen C",916,IF(Atletas!T194="Taijijian Sun C",917,IF(Atletas!T194="Taijijian Wu C",918,IF(Atletas!T194="Taijijian Wu-Hao C",919,IF(Atletas!T194="Taijijian 32 C",920,IF(Atletas!T194="Taijijian 42 C",921,IF(Atletas!T194="Taijijian Yang D",922,IF(Atletas!T194="Taijijian Chen D",923,IF(Atletas!T194="Taijijian Sun D",924,IF(Atletas!T194="Taijijian Wu D",925,IF(Atletas!T194="Taijijian Wu-Hao D",926,IF(Atletas!T194="Taijijian 32 D",927,IF(Atletas!T194="Taijijian 42 D",928,IF(Atletas!T194="Taijijian Yang E",929,IF(Atletas!T194="Taijijian Chen E",930,IF(Atletas!T194="Taijijian Sun E",931,IF(Atletas!T194="Taijijian Wu E",932,IF(Atletas!T194="Taijijian Wu-Hao E",933,IF(Atletas!T194="Taijijian 32 E",934,IF(Atletas!T194="Taijijian 42 E",935,IF(Atletas!T194="Taijijian Yang F",936,IF(Atletas!T194="Taijijian Chen F",937,IF(Atletas!T194="Taijijian Sun F",938,IF(Atletas!T194="Taijijian Wu F",939,IF(Atletas!T194="Taijijian Wu-Hao F",940,IF(Atletas!T194="Taijijian 32 F",941,IF(Atletas!T194="Taijijian 42 F",942,"")))))))))))))))))))))))))))))))))))))))))))</f>
        <v/>
      </c>
      <c r="BW198" s="52" t="str">
        <f>IF(Atletas!U194="","",IF(Atletas!W194&lt;&gt;"",10000,0)+IF(Atletas!B194="Feminino",1000,IF(Atletas!B194="Masculino",2000,""))+IF(Atletas!T194="Taijijian 42 F",942,IF(Atletas!U194="Taijidao A",943,IF(Atletas!U194="Taijishan A",944,IF(Atletas!U194="Taijiqiang A",945,IF(Atletas!U194="Taijidao B",946,IF(Atletas!U194="Taijishan B",947,IF(Atletas!U194="Taijiqiang B",948,IF(Atletas!U194="Taijidao C",949,IF(Atletas!U194="Taijishan C",950,IF(Atletas!U194="Taijiqiang C",951,IF(Atletas!U194="Taijidao D",952,IF(Atletas!U194="Taijishan D",953,IF(Atletas!U194="Taijiqiang D",954,IF(Atletas!U194="Taijidao E",955,IF(Atletas!U194="Taijishan E",956,IF(Atletas!U194="Taijiqiang E",957,IF(Atletas!U194="Taijidao F",958,IF(Atletas!U194="Taijishan F",959,IF(Atletas!U194="Taijiqiang F",960))))))))))))))))))))</f>
        <v/>
      </c>
      <c r="BX198" s="72" t="str">
        <f>IF(BY198&lt;&gt;"","TJQ Padr. Combinado E","")</f>
        <v/>
      </c>
      <c r="BY198" s="72" t="str">
        <f>IF(COUNTIF(BK:BW,1430)&gt;0,COUNTIF(BK:BW,1430),"")</f>
        <v/>
      </c>
      <c r="BZ198" s="72" t="str">
        <f>IF(CA198&lt;&gt;"","TJQ Padr. Combinado E","")</f>
        <v/>
      </c>
      <c r="CA198" s="72" t="str">
        <f>IF(COUNTIF(BK:BW,2430)&gt;0,COUNTIF(BK:BW,2430),"")</f>
        <v/>
      </c>
      <c r="CB198" s="72" t="str">
        <f>IF(CC198&lt;&gt;"","Yang 50 C","")</f>
        <v/>
      </c>
      <c r="CC198" s="64" t="str">
        <f>IF(COUNTIF(BK:BW,11430)&gt;0,COUNTIF(BK:BW,11430),"")</f>
        <v/>
      </c>
      <c r="CD198" s="64" t="str">
        <f>IF(CE198&lt;&gt;"","Yang 50 C","")</f>
        <v/>
      </c>
      <c r="CE198" s="64" t="str">
        <f>IF(COUNTIF(BK:BW,12430)&gt;0,COUNTIF(BK:BW,12430),"")</f>
        <v/>
      </c>
      <c r="CF198" s="52" t="str">
        <f xml:space="preserve"> IF(Atletas!V194="","",IF(Atletas!V194="Duilian de Mãos AB - Equipe 1",1,IF(Atletas!V194="Duilian de Mãos AB - Equipe 2",2,IF(Atletas!V194="Duilian de Armas AB - Equipe 1",3,IF(Atletas!V194="Duilian de Armas AB - Equipe 2",4,IF(Atletas!V194="Duilian de Tuishou - Equipe 1",5,IF(Atletas!V194="Duilian de Tuishou - Equipe 2",6,IF(Atletas!V194="Grupo Externo AB - Equipe 1",7,IF(Atletas!V194="Grupo Externo AB - Equipe 2",8,IF(Atletas!V194="Grupo Interno AB - Equipe 1",9,IF(Atletas!V194="Grupo Interno AB - Equipe 2",10,IF(Atletas!V194="Duilian de Mãos CD - Equipe 1",11,IF(Atletas!V194="Duilian de Mãos CD - Equipe 2",12,IF(Atletas!V194="Duilian de Armas CD - Equipe 1",13,IF(Atletas!V194="Duilian de Armas CD - Equipe 2",14,IF(Atletas!V194="Duilian de Tuishou - Equipe 1",15,IF(Atletas!V194="Duilian de Tuishou - Equipe 2",16,IF(Atletas!V194="Grupo Externo CDEF - Equipe 1",17,IF(Atletas!V194="Grupo Externo CDEF - Equipe 2",18,IF(Atletas!V194="Grupo Interno CDEF - Equipe 1",19,IF(Atletas!V194="Grupo Interno CDEF - Equipe 2",20,IF(Atletas!V194="Duilian de Mãos EF - Equipe 1",21,IF(Atletas!V194="Duilian de Mãos EF - Equipe 2",22,IF(Atletas!V194="Duilian de Armas EF - Equipe 1",23,IF(Atletas!V194="Duilian de Armas EF - Equipe 2",24,IF(Atletas!V194="Duilian de Tuishou - Equipe 1",25,IF(Atletas!V194="Duilian de Tuishou - Equipe 2",26,"")))))))))))))))))))))))))))</f>
        <v/>
      </c>
    </row>
    <row r="199" spans="2:84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 t="str">
        <f t="array" ref="V199">IFERROR(INDEX(BX$7:BX$336,SMALL(IF(BX$7:BX$336&lt;&gt;"",ROW(BX$7:BX$336)-ROW(BX$7)+1),ROWS(BX$7:BX198))),"")</f>
        <v/>
      </c>
      <c r="W199" s="4" t="str">
        <f t="array" ref="W199">IFERROR(INDEX(BY$7:BY$336,SMALL(IF(BY$7:BY$336&lt;&gt;"",ROW(BY$7:BY$336)-ROW(BY$7)+1),ROWS(BY$7:BY198))),"")</f>
        <v/>
      </c>
      <c r="X199" s="4" t="str">
        <f t="array" ref="X199">IFERROR(INDEX(BZ$7:BZ$336,SMALL(IF(BZ$7:BZ$336&lt;&gt;"",ROW(BZ$7:BZ$336)-ROW(BZ$7)+1),ROWS(BZ$7:BZ198))),"")</f>
        <v/>
      </c>
      <c r="Y199" s="4" t="str">
        <f t="array" ref="Y199">IFERROR(INDEX(CA$7:CA$336,SMALL(IF(CA$7:CA$336&lt;&gt;"",ROW(CA$7:CA$336)-ROW(CA$7)+1),ROWS(CA$7:CA198))),"")</f>
        <v/>
      </c>
      <c r="Z199" s="4" t="str">
        <f t="array" ref="Z199">IFERROR(INDEX(CB$7:CB$378,SMALL(IF(CB$7:CB$378&lt;&gt;"",ROW(CB$7:CB$378)-ROW(CB$7)+1),ROWS(CB$7:CB198))),"")</f>
        <v/>
      </c>
      <c r="AA199" s="4" t="str">
        <f t="array" ref="AA199">IFERROR(INDEX(CC$7:CC$378,SMALL(IF(CC$7:CC$378&lt;&gt;"",ROW(CC$7:CC$378)-ROW(CC$7)+1),ROWS(CC$7:CC198))),"")</f>
        <v/>
      </c>
      <c r="AB199" s="4" t="str">
        <f t="array" ref="AB199">IFERROR(INDEX(CD$7:CD$378,SMALL(IF(CD$7:CD$378&lt;&gt;"",ROW(CD$7:CD$378)-ROW(CD$7)+1),ROWS(CD$7:CD198))),"")</f>
        <v/>
      </c>
      <c r="AC199" s="4" t="str">
        <f t="array" ref="AC199">IFERROR(INDEX(CE$7:CE$378,SMALL(IF(CE$7:CE$378&lt;&gt;"",ROW(CE$7:CE$378)-ROW(CE$7)+1),ROWS(CE$7:CE198))),"")</f>
        <v/>
      </c>
      <c r="AD199" s="4"/>
      <c r="AE199" s="4"/>
      <c r="AF199" s="4"/>
      <c r="AG199" s="4"/>
      <c r="AH199" s="4"/>
      <c r="AI199" s="4"/>
      <c r="AJ199" s="46" t="str">
        <f>IF(Atletas!D195="","",IF(Atletas!B195="Feminino",100,IF(Atletas!B195="Masculino",200,""))+(IF(Atletas!D195="Infantil 39kg",1,IF(Atletas!D195="Infantil 42kg",2,IF(Atletas!D195="Infantil 45kg",3,IF(Atletas!D195="Infantil 48kg",4,IF(Atletas!D195="Infantil 52kg",5,IF(Atletas!D195="Infantil 56kg",6,IF(Atletas!D195="Infantil 60kg",7,IF(Atletas!D195="Juvenil 48kg",8,IF(Atletas!D195="Juvenil 52kg",9,IF(Atletas!D195="Juvenil 56kg",10,IF(Atletas!D195="Juvenil 60kg",11,IF(Atletas!D195="Juvenil 65kg",12,IF(Atletas!D195="Juvenil 70kg",13,IF(Atletas!D195="Juvenil 75kg",14,IF(Atletas!D195="Juvenil 80kg",15,IF(Atletas!D195="Adulto 48kg",16,IF(Atletas!D195="Adulto 52kg",17,IF(Atletas!D195="Adulto 56kg",18,IF(Atletas!D195="Adulto 60kg",19,IF(Atletas!D195="Adulto 65kg",20,IF(Atletas!D195="Adulto 70kg",21,IF(Atletas!D195="Adulto 75kg",22,IF(Atletas!D195="Adulto 80kg",23,IF(Atletas!D195="Adulto 85kg",24,IF(Atletas!D195="Adulto 90kg",25,IF(Atletas!D195="Adulto +90kg",26,""))))))))))))))))))))))))))))</f>
        <v/>
      </c>
      <c r="AO199" s="10" t="str">
        <f>IF(Atletas!E195="","",IF(Atletas!B195="Feminino",100,IF(Atletas!B195="Masculino",200,""))+(IF(Atletas!E195="Juvenil 44kg",1,IF(Atletas!E195="Juvenil 48kg",2,IF(Atletas!E195="Juvenil 52kg",3,IF(Atletas!E195="Juvenil 56kg",4,IF(Atletas!E195="Juvenil 60kg",5,IF(Atletas!E195="Juvenil 65kg",6,IF(Atletas!E195="Juvenil 70kg",7,IF(Atletas!E195="Juvenil 75kg",8,IF(Atletas!E195="Juvenil 82kg",9,IF(Atletas!E195="Juvenil 90kg",10,IF(Atletas!E195="Juvenil 100kg",11,IF(Atletas!E195="Adulto 48kg",12,IF(Atletas!E195="Adulto 52kg",13,IF(Atletas!E195="Adulto 56kg",14,IF(Atletas!E195="Adulto 60kg",15,IF(Atletas!E195="Adulto 65kg",16,IF(Atletas!E195="Adulto 70kg",17,IF(Atletas!E195="Adulto 75kg",18,IF(Atletas!E195="Adulto 82kg",19,IF(Atletas!E195="Adulto 90kg",20,IF(Atletas!E195="Adulto 100kg",21,IF(Atletas!E195="Adulto +100kg",22,""))))))))))))))))))))))))</f>
        <v/>
      </c>
      <c r="AT199" s="10" t="str">
        <f>IF(Atletas!F195="","",IF(Atletas!B195="Feminino",100,IF(Atletas!B195="Masculino",200,""))+(IF(Atletas!F195="Adulto 48kg",1,IF(Atletas!F195="Adulto 56kg",2,IF(Atletas!F195="Adulto 65kg",3,IF(Atletas!F195="Adulto 75kg",4,IF(Atletas!F195="Adulto +75kg",5,IF(Atletas!F195="Adulto 52kg",6,IF(Atletas!F195="Adulto 60kg",7,IF(Atletas!F195="Adulto 70kg",8,IF(Atletas!F195="Adulto 80kg",9,IF(Atletas!F195="Adulto 90kg",10,IF(Atletas!F195="Adulto +90kg",11,"")))))))))))))</f>
        <v/>
      </c>
      <c r="AY199" s="46" t="str">
        <f>IF(Atletas!G195="","",IF(Atletas!B195="Feminino",100,IF(Atletas!B195="Masculino",200,""))+(IF(Atletas!G195="Changquan Mirim",1,IF(Atletas!G195="Nanquan Mirim",2,IF(Atletas!G195="Taijiquan Mirim",3,IF(Atletas!G195="Changquan Grupo C",4,IF(Atletas!G195="Nanquan Grupo C",5,IF(Atletas!G195="Taijiquan Grupo C",6,IF(Atletas!G195="Changquan Grupo B",7,IF(Atletas!G195="Nanquan Grupo B",8,IF(Atletas!G195="Taijiquan Grupo B",9,IF(Atletas!G195="Changquan Grupo A",10,IF(Atletas!G195="Nanquan Grupo A",11,IF(Atletas!G195="Taijiquan Grupo A",12,IF(Atletas!G195="Changquan Opcional",13,IF(Atletas!G195="Nanquan Opcional",14,IF(Atletas!G195="Taijiquan Opcional",15,IF(Atletas!G195="Changquan Adulto",16,IF(Atletas!G195="Nanquan Adulto",17,IF(Atletas!G195="Taijiquan Adulto",18,""))))))))))))))))))))</f>
        <v/>
      </c>
      <c r="AZ199" s="46" t="str">
        <f>IF(Atletas!H195="","",IF(Atletas!B195="Feminino",100,IF(Atletas!B195="Masculino",200,""))+(IF(Atletas!H195="Daoshu Mirim",19,IF(Atletas!H195="Jianshu Mirim",20,IF(Atletas!H195="Nandao Mirim",21,IF(Atletas!H195="Taijijian Mirim",22,IF(Atletas!H195="Daoshu Grupo C",23,IF(Atletas!H195="Jianshu Grupo C",24,IF(Atletas!H195="Nandao Grupo C",25,IF(Atletas!H195="Taijijian Grupo C",26,IF(Atletas!H195="Daoshu Grupo B",27,IF(Atletas!H195="Jianshu Grupo B",28,IF(Atletas!H195="Nandao Grupo B",29,IF(Atletas!H195="Taijijian Grupo B",30,IF(Atletas!H195="Daoshu Grupo A",31,IF(Atletas!H195="Jianshu Grupo A",32,IF(Atletas!H195="Nandao Grupo A",33,IF(Atletas!H195="Taijijian Grupo A",34,IF(Atletas!H195="Daoshu Opcional",35,IF(Atletas!H195="Jianshu Opcional",36,IF(Atletas!H195="Nandao Opcional",37,IF(Atletas!H195="Taijijian Opcional",38,IF(Atletas!H195="Daoshu Adulto",39,IF(Atletas!H195="Jianshu Adulto",40,IF(Atletas!H195="Nandao Adulto",41,IF(Atletas!H195="Taijijian Adulto",42,""))))))))))))))))))))))))))</f>
        <v/>
      </c>
      <c r="BA199" s="46" t="str">
        <f>IF(Atletas!I195="","",IF(Atletas!B195="Feminino",100,IF(Atletas!B195="Masculino",200,""))+(IF(Atletas!I195="Gunshu Mirim",43,IF(Atletas!I195="Qiangshu Mirim",44,IF(Atletas!I195="Nangun Mirim",45,IF(Atletas!I195="Gunshu Grupo C",46,IF(Atletas!I195="Qiangshu Grupo C",47,IF(Atletas!I195="Nangun Grupo C",48,IF(Atletas!I195="Gunshu Grupo B",49,IF(Atletas!I195="Qiangshu Grupo B",50,IF(Atletas!I195="Nangun Grupo B",51,IF(Atletas!I195="Gunshu Grupo A",52,IF(Atletas!I195="Qiangshu Grupo A",53,IF(Atletas!I195="Nangun Grupo A",54,IF(Atletas!I195="Gunshu Opcional",55,IF(Atletas!I195="Qiangshu Opcional",56,IF(Atletas!I195="Nangun Opcional",57,IF(Atletas!I195="Gunshu Adulto",58,IF(Atletas!I195="Qiangshu Adulto",59,IF(Atletas!I195="Nangun Adulto",60,""))))))))))))))))))))</f>
        <v/>
      </c>
      <c r="BF199" s="52" t="str">
        <f>IF(Atletas!J195="","",IF(Atletas!B195="Feminino",100,IF(Atletas!B195="Masculino",200,""))+(IF(Atletas!J195="Equipe 1 Grupo B",1,IF(Atletas!J195="Equipe 2 Grupo B",2,IF(Atletas!J195="Equipe 1 Grupo A",3,IF(Atletas!J195="Equipe 2 Grupo A",4,IF(Atletas!J195="Equipe 1 Adulto",5,IF(Atletas!J195="Equipe 2 Adulto",6,""))))))))</f>
        <v/>
      </c>
      <c r="BK199" s="52" t="str">
        <f>IF(Atletas!K195="","",IF(Atletas!W195&lt;&gt;"",10000,0)+(IF(Atletas!B195="Feminino",1000,IF(Atletas!B195="Masculino",2000,""))+IF(Atletas!K195="Choylayfut A",1,IF(Atletas!K195="Hunggar A",2,IF(Atletas!K195="Wuzuquan A",3,IF(Atletas!K195="Wingchun A",4,IF(Atletas!K195="Outra Mão de Sul A",5,IF(Atletas!K195="Choylayfut B",6,IF(Atletas!K195="Hunggar B",7,IF(Atletas!K195="Wuzuquan B",8,IF(Atletas!K195="Wingchun B",9,IF(Atletas!K195="Outra Mão de Sul B",10,IF(Atletas!K195="Choylayfut C",11,IF(Atletas!K195="Hunggar C",12,IF(Atletas!K195="Wuzuquan C",13,IF(Atletas!K195="Wingchun C",14,IF(Atletas!K195="Outra Mão de Sul C",15,IF(Atletas!K195="Choylayfut D",16,IF(Atletas!K195="Hunggar D",17,IF(Atletas!K195="Wuzuquan D",18,IF(Atletas!K195="Wingchun D",19,IF(Atletas!K195="Outra Mão de Sul D",20,IF(Atletas!K195="Choylayfut E",21,IF(Atletas!K195="Hunggar E",22,IF(Atletas!K195="Wuzuquan E",23,IF(Atletas!K195="Wingchun E",24,IF(Atletas!K195="Outra Mão de Sul E",25,IF(Atletas!K195="Choylayfut F",26,IF(Atletas!K195="Hunggar F",27,IF(Atletas!K195="Wuzuquan F",28,IF(Atletas!K195="Wingchun F",29,IF(Atletas!K195="Outra Mão de Sul F",30,""))))))))))))))))))))))))))))))))</f>
        <v/>
      </c>
      <c r="BL199" s="52" t="str">
        <f>IF(Atletas!L195="","",IF(Atletas!W195&lt;&gt;"",10000,0)+(IF(Atletas!B195="Feminino",1000,IF(Atletas!B195="Masculino",2000,""))+(IF(Atletas!L195="Chaquan A",101,IF(Atletas!L195="Emeiquan A",102,IF(Atletas!L195="Fanziquan A",103,IF(Atletas!L195="Huaquan A",104,IF(Atletas!L195="Hongquan A",105,IF(Atletas!L195="Paochui A",106,IF(Atletas!L195="Piguaquan A",107,IF(Atletas!L195="Shaolinquan A",108,IF(Atletas!L195="Tanglangquan A",109,IF(Atletas!L195="Yinzhaophai A",110,IF(Atletas!L195="Tongbeiquan A",111,IF(Atletas!L195="Wudangquan A",112,IF(Atletas!L195="Outros Estilos A",113,IF(Atletas!L195="Chaquan B",114,IF(Atletas!L195="Emeiquan B",115,IF(Atletas!L195="Fanziquan B",116,IF(Atletas!L195="Huaquan B",117,IF(Atletas!L195="Hongquan B",118,IF(Atletas!L195="Paochui B",119,IF(Atletas!L195="Piguaquan B",120,IF(Atletas!L195="Shaolinquan B",121,IF(Atletas!L195="Tanglangquan B",122,IF(Atletas!L195="Yinzhaophai B",123,IF(Atletas!L195="Tongbeiquan B",124,IF(Atletas!L195="Wudangquan B",125,IF(Atletas!L195="Outros Estilos B",126,IF(Atletas!L195="Chaquan C",127,IF(Atletas!L195="Emeiquan C",128,IF(Atletas!L195="Fanziquan C",129,IF(Atletas!L195="Huaquan C",130,IF(Atletas!L195="Hongquan C",131,IF(Atletas!L195="Paochui C",132,IF(Atletas!L195="Piguaquan C",133,IF(Atletas!L195="Shaolinquan C",134,IF(Atletas!L195="Tanglangquan C",135,IF(Atletas!L195="Yinzhaophai C",136,IF(Atletas!L195="Tongbeiquan C",137,IF(Atletas!L195="Wudangquan C",138,IF(Atletas!L195="Outros Estilos C",139,0))))))))))))))))))))))))))))))))))))))))))</f>
        <v/>
      </c>
      <c r="BM199" s="52" t="str">
        <f>IF(Atletas!L195="","",IF(Atletas!W195&lt;&gt;"",10000,0)+(IF(Atletas!B195="Feminino",1000,IF(Atletas!B195="Masculino",2000,""))+(IF(Atletas!L195="Chaquan D",140,IF(Atletas!L195="Emeiquan D",141,IF(Atletas!L195="Fanziquan D",142,IF(Atletas!L195="Huaquan D",143,IF(Atletas!L195="Hongquan D",144,IF(Atletas!L195="Paochui D",145,IF(Atletas!L195="Piguaquan D",146,IF(Atletas!L195="Shaolinquan D",147,IF(Atletas!L195="Tanglangquan D",148,IF(Atletas!L195="Yinzhaophai D",149,IF(Atletas!L195="Tongbeiquan D",150,IF(Atletas!L195="Wudangquan D",151,IF(Atletas!L195="Outros Estilos D",152,IF(Atletas!L195="Chaquan E",153,IF(Atletas!L195="Emeiquan E",154,IF(Atletas!L195="Fanziquan E",155,IF(Atletas!L195="Huaquan E",156,IF(Atletas!L195="Hongquan E",157,IF(Atletas!L195="Paochui E",158,IF(Atletas!L195="Piguaquan E",159,IF(Atletas!L195="Shaolinquan E",160,IF(Atletas!L195="Tanglangquan E",161,IF(Atletas!L195="Yinzhaophai E",162,IF(Atletas!L195="Tongbeiquan E",163,IF(Atletas!L195="Wudangquan E",164,IF(Atletas!L195="Outros Estilos E",165,IF(Atletas!L195="Chaquan F",166,IF(Atletas!L195="Emeiquan F",167,IF(Atletas!L195="Fanziquan F",168,IF(Atletas!L195="Huaquan F",169,IF(Atletas!L195="Hongquan F",170,IF(Atletas!L195="Paochui F",171,IF(Atletas!L195="Piguaquan F",172,IF(Atletas!L195="Shaolinquan F",173,IF(Atletas!L195="Tanglangquan F",174,IF(Atletas!L195="Yinzhaophai F",175,IF(Atletas!L195="Tongbeiquan F",176,IF(Atletas!L195="Wudangquan F",177,IF(Atletas!L195="Outros Estilos F",178,0))))))))))))))))))))))))))))))))))))))))))</f>
        <v/>
      </c>
      <c r="BN199" s="52" t="str">
        <f>IF(Atletas!M195="","",IF(Atletas!W195&lt;&gt;"",10000,0)+(IF(Atletas!B195="Feminino",1000,IF(Atletas!B195="Masculino",2000,""))+(IF(Atletas!M195="Ditangquan A",201,IF(Atletas!M195="Houquan A",202,IF(Atletas!M195="Zuiquan A",203,IF(Atletas!M195="Ditangquan B",204,IF(Atletas!M195="Houquan B",205,IF(Atletas!M195="Zuiquan B",206,IF(Atletas!M195="Ditangquan C",207,IF(Atletas!M195="Houquan C",208,IF(Atletas!M195="Zuiquan C",209,IF(Atletas!M195="Ditangquan D",210,IF(Atletas!M195="Houquan D",211,IF(Atletas!M195="Zuiquan D",212,IF(Atletas!M195="Ditangquan E",213,IF(Atletas!M195="Houquan E",214,IF(Atletas!M195="Zuiquan E",215,IF(Atletas!M195="Ditangquan F",216,IF(Atletas!M195="Houquan F",217,IF(Atletas!M195="Zuiquan F",218,"")))))))))))))))))))))</f>
        <v/>
      </c>
      <c r="BO199" s="52" t="str">
        <f>IF(Atletas!N195="","",IF(Atletas!W195&lt;&gt;"",10000,0)+IF(Atletas!B195="Feminino",1000,IF(Atletas!B195="Masculino",2000,""))+IF(Atletas!N195="Yang A",301,IF(Atletas!N195="Chen A",30,IF(Atletas!N195="Sun A",303,IF(Atletas!N195="Wu A",304,IF(Atletas!N195="Wu-Hao A",305,IF(Atletas!N195="Outro Taijiquan A",306,IF(Atletas!N195="Yang B",307,IF(Atletas!N195="Chen B",308,IF(Atletas!N195="Sun B",309,IF(Atletas!N195="Wu B",310,IF(Atletas!N195="Wu-Hao B",311,IF(Atletas!N195="Outro Taijiquan B",312,IF(Atletas!N195="Yang C",313,IF(Atletas!N195="Chen C",314,IF(Atletas!N195="Sun C",315,IF(Atletas!N195="Wu C",316,IF(Atletas!N195="Wu-Hao C",317,IF(Atletas!N195="Outro Taijiquan C",318,IF(Atletas!N195="Yang D",319,IF(Atletas!N195="Chen D",320,IF(Atletas!N195="Sun D",321,IF(Atletas!N195="Wu D",322,IF(Atletas!N195="Wu-Hao D",323,IF(Atletas!N195="Outro Taijiquan D",324,IF(Atletas!N195="Yang E",325,IF(Atletas!N195="Chen E",326,IF(Atletas!N195="Sun E",327,IF(Atletas!N195="Wu E",328,IF(Atletas!N195="Wu-Hao E",329,IF(Atletas!N195="Outro Taijiquan E",330,IF(Atletas!N195="Yang F",331,IF(Atletas!N195="Chen F",332,IF(Atletas!N195="Sun F",333,IF(Atletas!N195="Wu F",334,IF(Atletas!N195="Wu-Hao F",335,IF(Atletas!N195="Outro Taijiquan F",336,"")))))))))))))))))))))))))))))))))))))</f>
        <v/>
      </c>
      <c r="BP199" s="52" t="str">
        <f>IF(Atletas!O195="","",IF(Atletas!W195&lt;&gt;"",10000,0)+IF(Atletas!B195="Feminino",1000,IF(Atletas!B195="Masculino",2000,""))+IF(OR(Atletas!O195="Yang 26 A",Atletas!O195="Yang 40 A"),401,IF(OR(Atletas!O195="Chen 25 A",Atletas!O195="Chen 36 A",Atletas!O195="Chen 56 A"),402,IF(Atletas!O195="Sun 73 A",403,IF(Atletas!O195="Wu 45 A",404,IF(Atletas!O195="Wu-Hao 46 A",405,IF(OR(Atletas!O195="Taijiquan 16 A",Atletas!O195="Taijiquan 24 A",Atletas!O195="Taijiquan 32 A",Atletas!O195="Taijiquan 42 A"),406,IF(OR(Atletas!O195="Yang 26 B",Atletas!O195="Yang 40 B"),407,IF(OR(Atletas!O195="Chen 25 B",Atletas!O195="Chen 36 B",Atletas!O195="Chen 56 B"),408,IF(Atletas!O195="Sun 73 B",409,IF(Atletas!O195="Wu 45 B",410,IF(Atletas!O195="Wu-Hao 46 B",411,IF(OR(Atletas!O195="Taijiquan 16 B",Atletas!O195="Taijiquan 24 B",Atletas!O195="Taijiquan 32 B",Atletas!O195="Taijiquan 42 B"),412,IF(OR(Atletas!O195="Yang 26 C",Atletas!O195="Yang 40 C"),413,IF(OR(Atletas!O195="Chen 25 C",Atletas!O195="Chen 36 C",Atletas!O195="Chen 56 C"),414,IF(Atletas!O195="Sun 73 C",415,IF(Atletas!O195="Wu 45 C",416,IF(Atletas!O195="Wu-Hao 46 C",417,IF(OR(Atletas!O195="Taijiquan 16 C",Atletas!O195="Taijiquan 24 C",Atletas!O195="Taijiquan 32 C",Atletas!O195="Taijiquan 42 C"),418,0)))))))))))))))))))</f>
        <v/>
      </c>
      <c r="BQ199" s="52" t="str">
        <f>IF(Atletas!O195="","",IF(Atletas!W195&lt;&gt;"",10000,0)+IF(Atletas!B195="Feminino",1000,IF(Atletas!B195="Masculino",2000,""))+IF(OR(Atletas!O195="Yang 26 D",Atletas!O195="Yang 40 D"),419,IF(OR(Atletas!O195="Chen 25 D",Atletas!O195="Chen 36 D",Atletas!O195="Chen 56 D"),420,IF(Atletas!O195="Sun 73 D",421,IF(Atletas!O195="Wu 45 D",422,IF(Atletas!O195="Wu-Hao 46 D",423,IF(OR(Atletas!O195="Taijiquan 16 D",Atletas!O195="Taijiquan 24 D",Atletas!O195="Taijiquan 32 D",Atletas!O195="Taijiquan 42 D"),424,IF(OR(Atletas!O195="Yang 26 E",Atletas!O195="Yang 40 E"),425,IF(OR(Atletas!O195="Chen 25 E",Atletas!O195="Chen 36 E",Atletas!O195="Chen 56 E"),426,IF(Atletas!O195="Sun 73 E",427,IF(Atletas!O195="Wu 45 E",428,IF(Atletas!O195="Wu-Hao 46 E",429,IF(OR(Atletas!O195="Taijiquan 16 E",Atletas!O195="Taijiquan 24 E",Atletas!O195="Taijiquan 32 E",Atletas!O195="Taijiquan 42 E"),430,IF(OR(Atletas!O195="Yang 26 F",Atletas!O195="Yang 40 F"),431,IF(OR(Atletas!O195="Chen 25 F",Atletas!O195="Chen 36 F",Atletas!O195="Chen 56 F"),432,IF(Atletas!O195="Sun 73 F",433,IF(Atletas!O195="Wu 45 F",434,IF(Atletas!O195="Wu-Hao 46 F",435,IF(OR(Atletas!O195="Taijiquan 16 F",Atletas!O195="Taijiquan 24 F",Atletas!O195="Taijiquan 32 F",Atletas!O195="Taijiquan 42 F"),436,0)))))))))))))))))))</f>
        <v/>
      </c>
      <c r="BR199" s="52" t="str">
        <f>IF(Atletas!P195="","",IF(Atletas!W195&lt;&gt;"",10000,0)+IF(Atletas!B195="Feminino",1000,IF(Atletas!B195="Masculino",2000,""))+IF(Atletas!P195="Xingyiquan A",501,IF(Atletas!P195="Baguazhang A",502,IF(Atletas!P195="Outro Estilo Interno A",503,IF(Atletas!P195="Xingyiquan B",504,IF(Atletas!P195="Baguazhang B",505,IF(Atletas!P195="Outro Estilo Interno B",506,IF(Atletas!P195="Xingyiquan C",507,IF(Atletas!P195="Baguazhang C",508,IF(Atletas!P195="Outro Estilo Interno C",509,IF(Atletas!P195="Xingyiquan D",510,IF(Atletas!P195="Baguazhang D",511,IF(Atletas!P195="Outro Estilo Interno D",512,IF(Atletas!P195="Xingyiquan E",513,IF(Atletas!P195="Baguazhang E",514,IF(Atletas!P195="Outro Estilo Interno E",515,IF(Atletas!P195="Xingyiquan F",516,IF(Atletas!P195="Baguazhang F",517,IF(Atletas!P195="Outro Estilo Interno F",518, "")))))))))))))))))))</f>
        <v/>
      </c>
      <c r="BS199" s="52" t="str">
        <f>IF(Atletas!Q195="","",IF(Atletas!W195&lt;&gt;"",10000,0)+IF(Atletas!B195="Feminino",1000,IF(Atletas!B195="Masculino",2000,""))+IF(Atletas!Q195="Dao A",601,IF(Atletas!Q195="Jian A",602,IF(Atletas!Q195="Bishou A",603,IF(Atletas!Q195="Shan A",604,IF(Atletas!Q195="Outra Arma Curta A",605,IF(Atletas!Q195="Dao B",606,IF(Atletas!Q195="Jian B",607,IF(Atletas!Q195="Bishou B",608,IF(Atletas!Q195="Shan B",609,IF(Atletas!Q195="Outra Arma Curta B",610,IF(Atletas!Q195="Dao C",611,IF(Atletas!Q195="Jian C",612,IF(Atletas!Q195="Bishou C",613,IF(Atletas!Q195="Shan C",614,IF(Atletas!Q195="Outra Arma Curta C",615,IF(Atletas!Q195="Dao D",616,IF(Atletas!Q195="Jian D",617,IF(Atletas!Q195="Bishou D",618,IF(Atletas!Q195="Shan D",619,IF(Atletas!Q195="Outra Arma Curta D",620,IF(Atletas!Q195="Dao E",621,IF(Atletas!Q195="Jian E",622,IF(Atletas!Q195="Bishou E",623,IF(Atletas!Q195="Shan E",624,IF(Atletas!Q195="Outra Arma Curta E",625,IF(Atletas!Q195="Dao F",626,IF(Atletas!Q195="Jian F",627,IF(Atletas!Q195="Bishou F",628,IF(Atletas!Q195="Shan F",629,IF(Atletas!Q195="Outra Arma Curta F",630, "")))))))))))))))))))))))))))))))</f>
        <v/>
      </c>
      <c r="BT199" s="52" t="str">
        <f>IF(Atletas!R195="","",IF(Atletas!W195&lt;&gt;"",10000,0)+IF(Atletas!B195="Feminino",1000,IF(Atletas!B195="Masculino",2000,""))+IF(Atletas!R195="Gun A",701,IF(Atletas!R195="Qiang A",702,IF(Atletas!R195="Pudao / Guandao A",703,IF(Atletas!R195="Outra Arma Longa A",704,IF(Atletas!R195="Gun B",705,IF(Atletas!R195="Qiang B",706,IF(Atletas!R195="Pudao / Guandao B",707,IF(Atletas!R195="Outra Arma Longa B",708,IF(Atletas!R195="Gun C",709,IF(Atletas!R195="Qiang C",710,IF(Atletas!R195="Pudao / Guandao C",711,IF(Atletas!R195="Outra Arma Longa C",712,IF(Atletas!R195="Gun D",713,IF(Atletas!R195="Qiang D",714,IF(Atletas!R195="Pudao / Guandao D",715,IF(Atletas!R195="Outra Arma Longa D",716,IF(Atletas!R195="Gun E",717,IF(Atletas!R195="Qiang E",718,IF(Atletas!R195="Pudao / Guandao E",719,IF(Atletas!R195="Outra Arma Longa E",720,IF(Atletas!R195="Gun F",721,IF(Atletas!R195="Qiang F",722,IF(Atletas!R195="Pudao / Guandao F",723,IF(Atletas!R195="Outra Arma Longa F",724,"")))))))))))))))))))))))))</f>
        <v/>
      </c>
      <c r="BU199" s="52" t="str">
        <f>IF(Atletas!S195="","",IF(Atletas!W195&lt;&gt;"",10000,0)+IF(Atletas!B195="Feminino",1000,IF(Atletas!B195="Masculino",2000,""))+IF(Atletas!S195="Arma Dupla A",801,IF(Atletas!S195="Arma Maleável A",802,IF(Atletas!S195="Arma Dupla B",803,IF(Atletas!S195="Arma Maleável B",804,IF(Atletas!S195="Arma Dupla C",805,IF(Atletas!S195="Arma Maleável C",806,IF(Atletas!S195="Arma Dupla D",807,IF(Atletas!S195="Arma Maleável D",808,IF(Atletas!S195="Arma Dupla E",809,IF(Atletas!S195="Arma Maleável E",810,IF(Atletas!S195="Arma Dupla F",811,IF(Atletas!S195="Arma Maleável F",812, "")))))))))))))</f>
        <v/>
      </c>
      <c r="BV199" s="52" t="str">
        <f>IF(Atletas!T195="","",IF(Atletas!W195&lt;&gt;"",10000,0)+IF(Atletas!B195="Feminino",1000,IF(Atletas!B195="Masculino",2000,""))+IF(Atletas!T195="Taijijian Yang A",901,IF(Atletas!T195="Taijijian Chen A",902,IF(Atletas!T195="Taijijian Sun A",903,IF(Atletas!T195="Taijijian Wu A",904,IF(Atletas!T195="Taijijian Wu-Hao A",905,IF(Atletas!T195="Taijijian 32 A",906,IF(Atletas!T195="Taijijian 42 A",907,IF(Atletas!T195="Taijijian Yang B",908,IF(Atletas!T195="Taijijian Chen B",909,IF(Atletas!T195="Taijijian Sun B",910,IF(Atletas!T195="Taijijian Wu B",911,IF(Atletas!T195="Taijijian Wu-Hao B",912,IF(Atletas!T195="Taijijian 32 B",913,IF(Atletas!T195="Taijijian 42 B",914,IF(Atletas!T195="Taijijian Yang C",915,IF(Atletas!T195="Taijijian Chen C",916,IF(Atletas!T195="Taijijian Sun C",917,IF(Atletas!T195="Taijijian Wu C",918,IF(Atletas!T195="Taijijian Wu-Hao C",919,IF(Atletas!T195="Taijijian 32 C",920,IF(Atletas!T195="Taijijian 42 C",921,IF(Atletas!T195="Taijijian Yang D",922,IF(Atletas!T195="Taijijian Chen D",923,IF(Atletas!T195="Taijijian Sun D",924,IF(Atletas!T195="Taijijian Wu D",925,IF(Atletas!T195="Taijijian Wu-Hao D",926,IF(Atletas!T195="Taijijian 32 D",927,IF(Atletas!T195="Taijijian 42 D",928,IF(Atletas!T195="Taijijian Yang E",929,IF(Atletas!T195="Taijijian Chen E",930,IF(Atletas!T195="Taijijian Sun E",931,IF(Atletas!T195="Taijijian Wu E",932,IF(Atletas!T195="Taijijian Wu-Hao E",933,IF(Atletas!T195="Taijijian 32 E",934,IF(Atletas!T195="Taijijian 42 E",935,IF(Atletas!T195="Taijijian Yang F",936,IF(Atletas!T195="Taijijian Chen F",937,IF(Atletas!T195="Taijijian Sun F",938,IF(Atletas!T195="Taijijian Wu F",939,IF(Atletas!T195="Taijijian Wu-Hao F",940,IF(Atletas!T195="Taijijian 32 F",941,IF(Atletas!T195="Taijijian 42 F",942,"")))))))))))))))))))))))))))))))))))))))))))</f>
        <v/>
      </c>
      <c r="BW199" s="52" t="str">
        <f>IF(Atletas!U195="","",IF(Atletas!W195&lt;&gt;"",10000,0)+IF(Atletas!B195="Feminino",1000,IF(Atletas!B195="Masculino",2000,""))+IF(Atletas!T195="Taijijian 42 F",942,IF(Atletas!U195="Taijidao A",943,IF(Atletas!U195="Taijishan A",944,IF(Atletas!U195="Taijiqiang A",945,IF(Atletas!U195="Taijidao B",946,IF(Atletas!U195="Taijishan B",947,IF(Atletas!U195="Taijiqiang B",948,IF(Atletas!U195="Taijidao C",949,IF(Atletas!U195="Taijishan C",950,IF(Atletas!U195="Taijiqiang C",951,IF(Atletas!U195="Taijidao D",952,IF(Atletas!U195="Taijishan D",953,IF(Atletas!U195="Taijiqiang D",954,IF(Atletas!U195="Taijidao E",955,IF(Atletas!U195="Taijishan E",956,IF(Atletas!U195="Taijiqiang E",957,IF(Atletas!U195="Taijidao F",958,IF(Atletas!U195="Taijishan F",959,IF(Atletas!U195="Taijiqiang F",960))))))))))))))))))))</f>
        <v/>
      </c>
      <c r="BX199" s="72" t="str">
        <f>IF(BY199&lt;&gt;"","TJQ Padr. Yang F","")</f>
        <v/>
      </c>
      <c r="BY199" s="72" t="str">
        <f>IF(COUNTIF(BK:BW,1431)&gt;0,COUNTIF(BK:BW,1431),"")</f>
        <v/>
      </c>
      <c r="BZ199" s="72" t="str">
        <f>IF(CA199&lt;&gt;"","TJQ Padr. Yang F","")</f>
        <v/>
      </c>
      <c r="CA199" s="72" t="str">
        <f>IF(COUNTIF(BK:BW,2431)&gt;0,COUNTIF(BK:BW,2431),"")</f>
        <v/>
      </c>
      <c r="CB199" s="72" t="str">
        <f>IF(CC199&lt;&gt;"","Yang Novo C","")</f>
        <v/>
      </c>
      <c r="CC199" s="64" t="str">
        <f>IF(COUNTIF(BK:BW,11431)&gt;0,COUNTIF(BK:BW,11431),"")</f>
        <v/>
      </c>
      <c r="CD199" s="64" t="str">
        <f>IF(CE199&lt;&gt;"","Yang Novo C","")</f>
        <v/>
      </c>
      <c r="CE199" s="64" t="str">
        <f>IF(COUNTIF(BK:BW,12431)&gt;0,COUNTIF(BK:BW,12431),"")</f>
        <v/>
      </c>
      <c r="CF199" s="52" t="str">
        <f xml:space="preserve"> IF(Atletas!V195="","",IF(Atletas!V195="Duilian de Mãos AB - Equipe 1",1,IF(Atletas!V195="Duilian de Mãos AB - Equipe 2",2,IF(Atletas!V195="Duilian de Armas AB - Equipe 1",3,IF(Atletas!V195="Duilian de Armas AB - Equipe 2",4,IF(Atletas!V195="Duilian de Tuishou - Equipe 1",5,IF(Atletas!V195="Duilian de Tuishou - Equipe 2",6,IF(Atletas!V195="Grupo Externo AB - Equipe 1",7,IF(Atletas!V195="Grupo Externo AB - Equipe 2",8,IF(Atletas!V195="Grupo Interno AB - Equipe 1",9,IF(Atletas!V195="Grupo Interno AB - Equipe 2",10,IF(Atletas!V195="Duilian de Mãos CD - Equipe 1",11,IF(Atletas!V195="Duilian de Mãos CD - Equipe 2",12,IF(Atletas!V195="Duilian de Armas CD - Equipe 1",13,IF(Atletas!V195="Duilian de Armas CD - Equipe 2",14,IF(Atletas!V195="Duilian de Tuishou - Equipe 1",15,IF(Atletas!V195="Duilian de Tuishou - Equipe 2",16,IF(Atletas!V195="Grupo Externo CDEF - Equipe 1",17,IF(Atletas!V195="Grupo Externo CDEF - Equipe 2",18,IF(Atletas!V195="Grupo Interno CDEF - Equipe 1",19,IF(Atletas!V195="Grupo Interno CDEF - Equipe 2",20,IF(Atletas!V195="Duilian de Mãos EF - Equipe 1",21,IF(Atletas!V195="Duilian de Mãos EF - Equipe 2",22,IF(Atletas!V195="Duilian de Armas EF - Equipe 1",23,IF(Atletas!V195="Duilian de Armas EF - Equipe 2",24,IF(Atletas!V195="Duilian de Tuishou - Equipe 1",25,IF(Atletas!V195="Duilian de Tuishou - Equipe 2",26,"")))))))))))))))))))))))))))</f>
        <v/>
      </c>
    </row>
    <row r="200" spans="2:84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 t="str">
        <f t="array" ref="V200">IFERROR(INDEX(BX$7:BX$336,SMALL(IF(BX$7:BX$336&lt;&gt;"",ROW(BX$7:BX$336)-ROW(BX$7)+1),ROWS(BX$7:BX199))),"")</f>
        <v/>
      </c>
      <c r="W200" s="4" t="str">
        <f t="array" ref="W200">IFERROR(INDEX(BY$7:BY$336,SMALL(IF(BY$7:BY$336&lt;&gt;"",ROW(BY$7:BY$336)-ROW(BY$7)+1),ROWS(BY$7:BY199))),"")</f>
        <v/>
      </c>
      <c r="X200" s="4" t="str">
        <f t="array" ref="X200">IFERROR(INDEX(BZ$7:BZ$336,SMALL(IF(BZ$7:BZ$336&lt;&gt;"",ROW(BZ$7:BZ$336)-ROW(BZ$7)+1),ROWS(BZ$7:BZ199))),"")</f>
        <v/>
      </c>
      <c r="Y200" s="4" t="str">
        <f t="array" ref="Y200">IFERROR(INDEX(CA$7:CA$336,SMALL(IF(CA$7:CA$336&lt;&gt;"",ROW(CA$7:CA$336)-ROW(CA$7)+1),ROWS(CA$7:CA199))),"")</f>
        <v/>
      </c>
      <c r="Z200" s="4" t="str">
        <f t="array" ref="Z200">IFERROR(INDEX(CB$7:CB$378,SMALL(IF(CB$7:CB$378&lt;&gt;"",ROW(CB$7:CB$378)-ROW(CB$7)+1),ROWS(CB$7:CB199))),"")</f>
        <v/>
      </c>
      <c r="AA200" s="4" t="str">
        <f t="array" ref="AA200">IFERROR(INDEX(CC$7:CC$378,SMALL(IF(CC$7:CC$378&lt;&gt;"",ROW(CC$7:CC$378)-ROW(CC$7)+1),ROWS(CC$7:CC199))),"")</f>
        <v/>
      </c>
      <c r="AB200" s="4" t="str">
        <f t="array" ref="AB200">IFERROR(INDEX(CD$7:CD$378,SMALL(IF(CD$7:CD$378&lt;&gt;"",ROW(CD$7:CD$378)-ROW(CD$7)+1),ROWS(CD$7:CD199))),"")</f>
        <v/>
      </c>
      <c r="AC200" s="4" t="str">
        <f t="array" ref="AC200">IFERROR(INDEX(CE$7:CE$378,SMALL(IF(CE$7:CE$378&lt;&gt;"",ROW(CE$7:CE$378)-ROW(CE$7)+1),ROWS(CE$7:CE199))),"")</f>
        <v/>
      </c>
      <c r="AD200" s="4"/>
      <c r="AE200" s="4"/>
      <c r="AF200" s="4"/>
      <c r="AG200" s="4"/>
      <c r="AH200" s="4"/>
      <c r="AI200" s="4"/>
      <c r="AJ200" s="46" t="str">
        <f>IF(Atletas!D196="","",IF(Atletas!B196="Feminino",100,IF(Atletas!B196="Masculino",200,""))+(IF(Atletas!D196="Infantil 39kg",1,IF(Atletas!D196="Infantil 42kg",2,IF(Atletas!D196="Infantil 45kg",3,IF(Atletas!D196="Infantil 48kg",4,IF(Atletas!D196="Infantil 52kg",5,IF(Atletas!D196="Infantil 56kg",6,IF(Atletas!D196="Infantil 60kg",7,IF(Atletas!D196="Juvenil 48kg",8,IF(Atletas!D196="Juvenil 52kg",9,IF(Atletas!D196="Juvenil 56kg",10,IF(Atletas!D196="Juvenil 60kg",11,IF(Atletas!D196="Juvenil 65kg",12,IF(Atletas!D196="Juvenil 70kg",13,IF(Atletas!D196="Juvenil 75kg",14,IF(Atletas!D196="Juvenil 80kg",15,IF(Atletas!D196="Adulto 48kg",16,IF(Atletas!D196="Adulto 52kg",17,IF(Atletas!D196="Adulto 56kg",18,IF(Atletas!D196="Adulto 60kg",19,IF(Atletas!D196="Adulto 65kg",20,IF(Atletas!D196="Adulto 70kg",21,IF(Atletas!D196="Adulto 75kg",22,IF(Atletas!D196="Adulto 80kg",23,IF(Atletas!D196="Adulto 85kg",24,IF(Atletas!D196="Adulto 90kg",25,IF(Atletas!D196="Adulto +90kg",26,""))))))))))))))))))))))))))))</f>
        <v/>
      </c>
      <c r="AO200" s="10" t="str">
        <f>IF(Atletas!E196="","",IF(Atletas!B196="Feminino",100,IF(Atletas!B196="Masculino",200,""))+(IF(Atletas!E196="Juvenil 44kg",1,IF(Atletas!E196="Juvenil 48kg",2,IF(Atletas!E196="Juvenil 52kg",3,IF(Atletas!E196="Juvenil 56kg",4,IF(Atletas!E196="Juvenil 60kg",5,IF(Atletas!E196="Juvenil 65kg",6,IF(Atletas!E196="Juvenil 70kg",7,IF(Atletas!E196="Juvenil 75kg",8,IF(Atletas!E196="Juvenil 82kg",9,IF(Atletas!E196="Juvenil 90kg",10,IF(Atletas!E196="Juvenil 100kg",11,IF(Atletas!E196="Adulto 48kg",12,IF(Atletas!E196="Adulto 52kg",13,IF(Atletas!E196="Adulto 56kg",14,IF(Atletas!E196="Adulto 60kg",15,IF(Atletas!E196="Adulto 65kg",16,IF(Atletas!E196="Adulto 70kg",17,IF(Atletas!E196="Adulto 75kg",18,IF(Atletas!E196="Adulto 82kg",19,IF(Atletas!E196="Adulto 90kg",20,IF(Atletas!E196="Adulto 100kg",21,IF(Atletas!E196="Adulto +100kg",22,""))))))))))))))))))))))))</f>
        <v/>
      </c>
      <c r="AT200" s="10" t="str">
        <f>IF(Atletas!F196="","",IF(Atletas!B196="Feminino",100,IF(Atletas!B196="Masculino",200,""))+(IF(Atletas!F196="Adulto 48kg",1,IF(Atletas!F196="Adulto 56kg",2,IF(Atletas!F196="Adulto 65kg",3,IF(Atletas!F196="Adulto 75kg",4,IF(Atletas!F196="Adulto +75kg",5,IF(Atletas!F196="Adulto 52kg",6,IF(Atletas!F196="Adulto 60kg",7,IF(Atletas!F196="Adulto 70kg",8,IF(Atletas!F196="Adulto 80kg",9,IF(Atletas!F196="Adulto 90kg",10,IF(Atletas!F196="Adulto +90kg",11,"")))))))))))))</f>
        <v/>
      </c>
      <c r="AY200" s="46" t="str">
        <f>IF(Atletas!G196="","",IF(Atletas!B196="Feminino",100,IF(Atletas!B196="Masculino",200,""))+(IF(Atletas!G196="Changquan Mirim",1,IF(Atletas!G196="Nanquan Mirim",2,IF(Atletas!G196="Taijiquan Mirim",3,IF(Atletas!G196="Changquan Grupo C",4,IF(Atletas!G196="Nanquan Grupo C",5,IF(Atletas!G196="Taijiquan Grupo C",6,IF(Atletas!G196="Changquan Grupo B",7,IF(Atletas!G196="Nanquan Grupo B",8,IF(Atletas!G196="Taijiquan Grupo B",9,IF(Atletas!G196="Changquan Grupo A",10,IF(Atletas!G196="Nanquan Grupo A",11,IF(Atletas!G196="Taijiquan Grupo A",12,IF(Atletas!G196="Changquan Opcional",13,IF(Atletas!G196="Nanquan Opcional",14,IF(Atletas!G196="Taijiquan Opcional",15,IF(Atletas!G196="Changquan Adulto",16,IF(Atletas!G196="Nanquan Adulto",17,IF(Atletas!G196="Taijiquan Adulto",18,""))))))))))))))))))))</f>
        <v/>
      </c>
      <c r="AZ200" s="46" t="str">
        <f>IF(Atletas!H196="","",IF(Atletas!B196="Feminino",100,IF(Atletas!B196="Masculino",200,""))+(IF(Atletas!H196="Daoshu Mirim",19,IF(Atletas!H196="Jianshu Mirim",20,IF(Atletas!H196="Nandao Mirim",21,IF(Atletas!H196="Taijijian Mirim",22,IF(Atletas!H196="Daoshu Grupo C",23,IF(Atletas!H196="Jianshu Grupo C",24,IF(Atletas!H196="Nandao Grupo C",25,IF(Atletas!H196="Taijijian Grupo C",26,IF(Atletas!H196="Daoshu Grupo B",27,IF(Atletas!H196="Jianshu Grupo B",28,IF(Atletas!H196="Nandao Grupo B",29,IF(Atletas!H196="Taijijian Grupo B",30,IF(Atletas!H196="Daoshu Grupo A",31,IF(Atletas!H196="Jianshu Grupo A",32,IF(Atletas!H196="Nandao Grupo A",33,IF(Atletas!H196="Taijijian Grupo A",34,IF(Atletas!H196="Daoshu Opcional",35,IF(Atletas!H196="Jianshu Opcional",36,IF(Atletas!H196="Nandao Opcional",37,IF(Atletas!H196="Taijijian Opcional",38,IF(Atletas!H196="Daoshu Adulto",39,IF(Atletas!H196="Jianshu Adulto",40,IF(Atletas!H196="Nandao Adulto",41,IF(Atletas!H196="Taijijian Adulto",42,""))))))))))))))))))))))))))</f>
        <v/>
      </c>
      <c r="BA200" s="46" t="str">
        <f>IF(Atletas!I196="","",IF(Atletas!B196="Feminino",100,IF(Atletas!B196="Masculino",200,""))+(IF(Atletas!I196="Gunshu Mirim",43,IF(Atletas!I196="Qiangshu Mirim",44,IF(Atletas!I196="Nangun Mirim",45,IF(Atletas!I196="Gunshu Grupo C",46,IF(Atletas!I196="Qiangshu Grupo C",47,IF(Atletas!I196="Nangun Grupo C",48,IF(Atletas!I196="Gunshu Grupo B",49,IF(Atletas!I196="Qiangshu Grupo B",50,IF(Atletas!I196="Nangun Grupo B",51,IF(Atletas!I196="Gunshu Grupo A",52,IF(Atletas!I196="Qiangshu Grupo A",53,IF(Atletas!I196="Nangun Grupo A",54,IF(Atletas!I196="Gunshu Opcional",55,IF(Atletas!I196="Qiangshu Opcional",56,IF(Atletas!I196="Nangun Opcional",57,IF(Atletas!I196="Gunshu Adulto",58,IF(Atletas!I196="Qiangshu Adulto",59,IF(Atletas!I196="Nangun Adulto",60,""))))))))))))))))))))</f>
        <v/>
      </c>
      <c r="BF200" s="52" t="str">
        <f>IF(Atletas!J196="","",IF(Atletas!B196="Feminino",100,IF(Atletas!B196="Masculino",200,""))+(IF(Atletas!J196="Equipe 1 Grupo B",1,IF(Atletas!J196="Equipe 2 Grupo B",2,IF(Atletas!J196="Equipe 1 Grupo A",3,IF(Atletas!J196="Equipe 2 Grupo A",4,IF(Atletas!J196="Equipe 1 Adulto",5,IF(Atletas!J196="Equipe 2 Adulto",6,""))))))))</f>
        <v/>
      </c>
      <c r="BK200" s="52" t="str">
        <f>IF(Atletas!K196="","",IF(Atletas!W196&lt;&gt;"",10000,0)+(IF(Atletas!B196="Feminino",1000,IF(Atletas!B196="Masculino",2000,""))+IF(Atletas!K196="Choylayfut A",1,IF(Atletas!K196="Hunggar A",2,IF(Atletas!K196="Wuzuquan A",3,IF(Atletas!K196="Wingchun A",4,IF(Atletas!K196="Outra Mão de Sul A",5,IF(Atletas!K196="Choylayfut B",6,IF(Atletas!K196="Hunggar B",7,IF(Atletas!K196="Wuzuquan B",8,IF(Atletas!K196="Wingchun B",9,IF(Atletas!K196="Outra Mão de Sul B",10,IF(Atletas!K196="Choylayfut C",11,IF(Atletas!K196="Hunggar C",12,IF(Atletas!K196="Wuzuquan C",13,IF(Atletas!K196="Wingchun C",14,IF(Atletas!K196="Outra Mão de Sul C",15,IF(Atletas!K196="Choylayfut D",16,IF(Atletas!K196="Hunggar D",17,IF(Atletas!K196="Wuzuquan D",18,IF(Atletas!K196="Wingchun D",19,IF(Atletas!K196="Outra Mão de Sul D",20,IF(Atletas!K196="Choylayfut E",21,IF(Atletas!K196="Hunggar E",22,IF(Atletas!K196="Wuzuquan E",23,IF(Atletas!K196="Wingchun E",24,IF(Atletas!K196="Outra Mão de Sul E",25,IF(Atletas!K196="Choylayfut F",26,IF(Atletas!K196="Hunggar F",27,IF(Atletas!K196="Wuzuquan F",28,IF(Atletas!K196="Wingchun F",29,IF(Atletas!K196="Outra Mão de Sul F",30,""))))))))))))))))))))))))))))))))</f>
        <v/>
      </c>
      <c r="BL200" s="52" t="str">
        <f>IF(Atletas!L196="","",IF(Atletas!W196&lt;&gt;"",10000,0)+(IF(Atletas!B196="Feminino",1000,IF(Atletas!B196="Masculino",2000,""))+(IF(Atletas!L196="Chaquan A",101,IF(Atletas!L196="Emeiquan A",102,IF(Atletas!L196="Fanziquan A",103,IF(Atletas!L196="Huaquan A",104,IF(Atletas!L196="Hongquan A",105,IF(Atletas!L196="Paochui A",106,IF(Atletas!L196="Piguaquan A",107,IF(Atletas!L196="Shaolinquan A",108,IF(Atletas!L196="Tanglangquan A",109,IF(Atletas!L196="Yinzhaophai A",110,IF(Atletas!L196="Tongbeiquan A",111,IF(Atletas!L196="Wudangquan A",112,IF(Atletas!L196="Outros Estilos A",113,IF(Atletas!L196="Chaquan B",114,IF(Atletas!L196="Emeiquan B",115,IF(Atletas!L196="Fanziquan B",116,IF(Atletas!L196="Huaquan B",117,IF(Atletas!L196="Hongquan B",118,IF(Atletas!L196="Paochui B",119,IF(Atletas!L196="Piguaquan B",120,IF(Atletas!L196="Shaolinquan B",121,IF(Atletas!L196="Tanglangquan B",122,IF(Atletas!L196="Yinzhaophai B",123,IF(Atletas!L196="Tongbeiquan B",124,IF(Atletas!L196="Wudangquan B",125,IF(Atletas!L196="Outros Estilos B",126,IF(Atletas!L196="Chaquan C",127,IF(Atletas!L196="Emeiquan C",128,IF(Atletas!L196="Fanziquan C",129,IF(Atletas!L196="Huaquan C",130,IF(Atletas!L196="Hongquan C",131,IF(Atletas!L196="Paochui C",132,IF(Atletas!L196="Piguaquan C",133,IF(Atletas!L196="Shaolinquan C",134,IF(Atletas!L196="Tanglangquan C",135,IF(Atletas!L196="Yinzhaophai C",136,IF(Atletas!L196="Tongbeiquan C",137,IF(Atletas!L196="Wudangquan C",138,IF(Atletas!L196="Outros Estilos C",139,0))))))))))))))))))))))))))))))))))))))))))</f>
        <v/>
      </c>
      <c r="BM200" s="52" t="str">
        <f>IF(Atletas!L196="","",IF(Atletas!W196&lt;&gt;"",10000,0)+(IF(Atletas!B196="Feminino",1000,IF(Atletas!B196="Masculino",2000,""))+(IF(Atletas!L196="Chaquan D",140,IF(Atletas!L196="Emeiquan D",141,IF(Atletas!L196="Fanziquan D",142,IF(Atletas!L196="Huaquan D",143,IF(Atletas!L196="Hongquan D",144,IF(Atletas!L196="Paochui D",145,IF(Atletas!L196="Piguaquan D",146,IF(Atletas!L196="Shaolinquan D",147,IF(Atletas!L196="Tanglangquan D",148,IF(Atletas!L196="Yinzhaophai D",149,IF(Atletas!L196="Tongbeiquan D",150,IF(Atletas!L196="Wudangquan D",151,IF(Atletas!L196="Outros Estilos D",152,IF(Atletas!L196="Chaquan E",153,IF(Atletas!L196="Emeiquan E",154,IF(Atletas!L196="Fanziquan E",155,IF(Atletas!L196="Huaquan E",156,IF(Atletas!L196="Hongquan E",157,IF(Atletas!L196="Paochui E",158,IF(Atletas!L196="Piguaquan E",159,IF(Atletas!L196="Shaolinquan E",160,IF(Atletas!L196="Tanglangquan E",161,IF(Atletas!L196="Yinzhaophai E",162,IF(Atletas!L196="Tongbeiquan E",163,IF(Atletas!L196="Wudangquan E",164,IF(Atletas!L196="Outros Estilos E",165,IF(Atletas!L196="Chaquan F",166,IF(Atletas!L196="Emeiquan F",167,IF(Atletas!L196="Fanziquan F",168,IF(Atletas!L196="Huaquan F",169,IF(Atletas!L196="Hongquan F",170,IF(Atletas!L196="Paochui F",171,IF(Atletas!L196="Piguaquan F",172,IF(Atletas!L196="Shaolinquan F",173,IF(Atletas!L196="Tanglangquan F",174,IF(Atletas!L196="Yinzhaophai F",175,IF(Atletas!L196="Tongbeiquan F",176,IF(Atletas!L196="Wudangquan F",177,IF(Atletas!L196="Outros Estilos F",178,0))))))))))))))))))))))))))))))))))))))))))</f>
        <v/>
      </c>
      <c r="BN200" s="52" t="str">
        <f>IF(Atletas!M196="","",IF(Atletas!W196&lt;&gt;"",10000,0)+(IF(Atletas!B196="Feminino",1000,IF(Atletas!B196="Masculino",2000,""))+(IF(Atletas!M196="Ditangquan A",201,IF(Atletas!M196="Houquan A",202,IF(Atletas!M196="Zuiquan A",203,IF(Atletas!M196="Ditangquan B",204,IF(Atletas!M196="Houquan B",205,IF(Atletas!M196="Zuiquan B",206,IF(Atletas!M196="Ditangquan C",207,IF(Atletas!M196="Houquan C",208,IF(Atletas!M196="Zuiquan C",209,IF(Atletas!M196="Ditangquan D",210,IF(Atletas!M196="Houquan D",211,IF(Atletas!M196="Zuiquan D",212,IF(Atletas!M196="Ditangquan E",213,IF(Atletas!M196="Houquan E",214,IF(Atletas!M196="Zuiquan E",215,IF(Atletas!M196="Ditangquan F",216,IF(Atletas!M196="Houquan F",217,IF(Atletas!M196="Zuiquan F",218,"")))))))))))))))))))))</f>
        <v/>
      </c>
      <c r="BO200" s="52" t="str">
        <f>IF(Atletas!N196="","",IF(Atletas!W196&lt;&gt;"",10000,0)+IF(Atletas!B196="Feminino",1000,IF(Atletas!B196="Masculino",2000,""))+IF(Atletas!N196="Yang A",301,IF(Atletas!N196="Chen A",30,IF(Atletas!N196="Sun A",303,IF(Atletas!N196="Wu A",304,IF(Atletas!N196="Wu-Hao A",305,IF(Atletas!N196="Outro Taijiquan A",306,IF(Atletas!N196="Yang B",307,IF(Atletas!N196="Chen B",308,IF(Atletas!N196="Sun B",309,IF(Atletas!N196="Wu B",310,IF(Atletas!N196="Wu-Hao B",311,IF(Atletas!N196="Outro Taijiquan B",312,IF(Atletas!N196="Yang C",313,IF(Atletas!N196="Chen C",314,IF(Atletas!N196="Sun C",315,IF(Atletas!N196="Wu C",316,IF(Atletas!N196="Wu-Hao C",317,IF(Atletas!N196="Outro Taijiquan C",318,IF(Atletas!N196="Yang D",319,IF(Atletas!N196="Chen D",320,IF(Atletas!N196="Sun D",321,IF(Atletas!N196="Wu D",322,IF(Atletas!N196="Wu-Hao D",323,IF(Atletas!N196="Outro Taijiquan D",324,IF(Atletas!N196="Yang E",325,IF(Atletas!N196="Chen E",326,IF(Atletas!N196="Sun E",327,IF(Atletas!N196="Wu E",328,IF(Atletas!N196="Wu-Hao E",329,IF(Atletas!N196="Outro Taijiquan E",330,IF(Atletas!N196="Yang F",331,IF(Atletas!N196="Chen F",332,IF(Atletas!N196="Sun F",333,IF(Atletas!N196="Wu F",334,IF(Atletas!N196="Wu-Hao F",335,IF(Atletas!N196="Outro Taijiquan F",336,"")))))))))))))))))))))))))))))))))))))</f>
        <v/>
      </c>
      <c r="BP200" s="52" t="str">
        <f>IF(Atletas!O196="","",IF(Atletas!W196&lt;&gt;"",10000,0)+IF(Atletas!B196="Feminino",1000,IF(Atletas!B196="Masculino",2000,""))+IF(OR(Atletas!O196="Yang 26 A",Atletas!O196="Yang 40 A"),401,IF(OR(Atletas!O196="Chen 25 A",Atletas!O196="Chen 36 A",Atletas!O196="Chen 56 A"),402,IF(Atletas!O196="Sun 73 A",403,IF(Atletas!O196="Wu 45 A",404,IF(Atletas!O196="Wu-Hao 46 A",405,IF(OR(Atletas!O196="Taijiquan 16 A",Atletas!O196="Taijiquan 24 A",Atletas!O196="Taijiquan 32 A",Atletas!O196="Taijiquan 42 A"),406,IF(OR(Atletas!O196="Yang 26 B",Atletas!O196="Yang 40 B"),407,IF(OR(Atletas!O196="Chen 25 B",Atletas!O196="Chen 36 B",Atletas!O196="Chen 56 B"),408,IF(Atletas!O196="Sun 73 B",409,IF(Atletas!O196="Wu 45 B",410,IF(Atletas!O196="Wu-Hao 46 B",411,IF(OR(Atletas!O196="Taijiquan 16 B",Atletas!O196="Taijiquan 24 B",Atletas!O196="Taijiquan 32 B",Atletas!O196="Taijiquan 42 B"),412,IF(OR(Atletas!O196="Yang 26 C",Atletas!O196="Yang 40 C"),413,IF(OR(Atletas!O196="Chen 25 C",Atletas!O196="Chen 36 C",Atletas!O196="Chen 56 C"),414,IF(Atletas!O196="Sun 73 C",415,IF(Atletas!O196="Wu 45 C",416,IF(Atletas!O196="Wu-Hao 46 C",417,IF(OR(Atletas!O196="Taijiquan 16 C",Atletas!O196="Taijiquan 24 C",Atletas!O196="Taijiquan 32 C",Atletas!O196="Taijiquan 42 C"),418,0)))))))))))))))))))</f>
        <v/>
      </c>
      <c r="BQ200" s="52" t="str">
        <f>IF(Atletas!O196="","",IF(Atletas!W196&lt;&gt;"",10000,0)+IF(Atletas!B196="Feminino",1000,IF(Atletas!B196="Masculino",2000,""))+IF(OR(Atletas!O196="Yang 26 D",Atletas!O196="Yang 40 D"),419,IF(OR(Atletas!O196="Chen 25 D",Atletas!O196="Chen 36 D",Atletas!O196="Chen 56 D"),420,IF(Atletas!O196="Sun 73 D",421,IF(Atletas!O196="Wu 45 D",422,IF(Atletas!O196="Wu-Hao 46 D",423,IF(OR(Atletas!O196="Taijiquan 16 D",Atletas!O196="Taijiquan 24 D",Atletas!O196="Taijiquan 32 D",Atletas!O196="Taijiquan 42 D"),424,IF(OR(Atletas!O196="Yang 26 E",Atletas!O196="Yang 40 E"),425,IF(OR(Atletas!O196="Chen 25 E",Atletas!O196="Chen 36 E",Atletas!O196="Chen 56 E"),426,IF(Atletas!O196="Sun 73 E",427,IF(Atletas!O196="Wu 45 E",428,IF(Atletas!O196="Wu-Hao 46 E",429,IF(OR(Atletas!O196="Taijiquan 16 E",Atletas!O196="Taijiquan 24 E",Atletas!O196="Taijiquan 32 E",Atletas!O196="Taijiquan 42 E"),430,IF(OR(Atletas!O196="Yang 26 F",Atletas!O196="Yang 40 F"),431,IF(OR(Atletas!O196="Chen 25 F",Atletas!O196="Chen 36 F",Atletas!O196="Chen 56 F"),432,IF(Atletas!O196="Sun 73 F",433,IF(Atletas!O196="Wu 45 F",434,IF(Atletas!O196="Wu-Hao 46 F",435,IF(OR(Atletas!O196="Taijiquan 16 F",Atletas!O196="Taijiquan 24 F",Atletas!O196="Taijiquan 32 F",Atletas!O196="Taijiquan 42 F"),436,0)))))))))))))))))))</f>
        <v/>
      </c>
      <c r="BR200" s="52" t="str">
        <f>IF(Atletas!P196="","",IF(Atletas!W196&lt;&gt;"",10000,0)+IF(Atletas!B196="Feminino",1000,IF(Atletas!B196="Masculino",2000,""))+IF(Atletas!P196="Xingyiquan A",501,IF(Atletas!P196="Baguazhang A",502,IF(Atletas!P196="Outro Estilo Interno A",503,IF(Atletas!P196="Xingyiquan B",504,IF(Atletas!P196="Baguazhang B",505,IF(Atletas!P196="Outro Estilo Interno B",506,IF(Atletas!P196="Xingyiquan C",507,IF(Atletas!P196="Baguazhang C",508,IF(Atletas!P196="Outro Estilo Interno C",509,IF(Atletas!P196="Xingyiquan D",510,IF(Atletas!P196="Baguazhang D",511,IF(Atletas!P196="Outro Estilo Interno D",512,IF(Atletas!P196="Xingyiquan E",513,IF(Atletas!P196="Baguazhang E",514,IF(Atletas!P196="Outro Estilo Interno E",515,IF(Atletas!P196="Xingyiquan F",516,IF(Atletas!P196="Baguazhang F",517,IF(Atletas!P196="Outro Estilo Interno F",518, "")))))))))))))))))))</f>
        <v/>
      </c>
      <c r="BS200" s="52" t="str">
        <f>IF(Atletas!Q196="","",IF(Atletas!W196&lt;&gt;"",10000,0)+IF(Atletas!B196="Feminino",1000,IF(Atletas!B196="Masculino",2000,""))+IF(Atletas!Q196="Dao A",601,IF(Atletas!Q196="Jian A",602,IF(Atletas!Q196="Bishou A",603,IF(Atletas!Q196="Shan A",604,IF(Atletas!Q196="Outra Arma Curta A",605,IF(Atletas!Q196="Dao B",606,IF(Atletas!Q196="Jian B",607,IF(Atletas!Q196="Bishou B",608,IF(Atletas!Q196="Shan B",609,IF(Atletas!Q196="Outra Arma Curta B",610,IF(Atletas!Q196="Dao C",611,IF(Atletas!Q196="Jian C",612,IF(Atletas!Q196="Bishou C",613,IF(Atletas!Q196="Shan C",614,IF(Atletas!Q196="Outra Arma Curta C",615,IF(Atletas!Q196="Dao D",616,IF(Atletas!Q196="Jian D",617,IF(Atletas!Q196="Bishou D",618,IF(Atletas!Q196="Shan D",619,IF(Atletas!Q196="Outra Arma Curta D",620,IF(Atletas!Q196="Dao E",621,IF(Atletas!Q196="Jian E",622,IF(Atletas!Q196="Bishou E",623,IF(Atletas!Q196="Shan E",624,IF(Atletas!Q196="Outra Arma Curta E",625,IF(Atletas!Q196="Dao F",626,IF(Atletas!Q196="Jian F",627,IF(Atletas!Q196="Bishou F",628,IF(Atletas!Q196="Shan F",629,IF(Atletas!Q196="Outra Arma Curta F",630, "")))))))))))))))))))))))))))))))</f>
        <v/>
      </c>
      <c r="BT200" s="52" t="str">
        <f>IF(Atletas!R196="","",IF(Atletas!W196&lt;&gt;"",10000,0)+IF(Atletas!B196="Feminino",1000,IF(Atletas!B196="Masculino",2000,""))+IF(Atletas!R196="Gun A",701,IF(Atletas!R196="Qiang A",702,IF(Atletas!R196="Pudao / Guandao A",703,IF(Atletas!R196="Outra Arma Longa A",704,IF(Atletas!R196="Gun B",705,IF(Atletas!R196="Qiang B",706,IF(Atletas!R196="Pudao / Guandao B",707,IF(Atletas!R196="Outra Arma Longa B",708,IF(Atletas!R196="Gun C",709,IF(Atletas!R196="Qiang C",710,IF(Atletas!R196="Pudao / Guandao C",711,IF(Atletas!R196="Outra Arma Longa C",712,IF(Atletas!R196="Gun D",713,IF(Atletas!R196="Qiang D",714,IF(Atletas!R196="Pudao / Guandao D",715,IF(Atletas!R196="Outra Arma Longa D",716,IF(Atletas!R196="Gun E",717,IF(Atletas!R196="Qiang E",718,IF(Atletas!R196="Pudao / Guandao E",719,IF(Atletas!R196="Outra Arma Longa E",720,IF(Atletas!R196="Gun F",721,IF(Atletas!R196="Qiang F",722,IF(Atletas!R196="Pudao / Guandao F",723,IF(Atletas!R196="Outra Arma Longa F",724,"")))))))))))))))))))))))))</f>
        <v/>
      </c>
      <c r="BU200" s="52" t="str">
        <f>IF(Atletas!S196="","",IF(Atletas!W196&lt;&gt;"",10000,0)+IF(Atletas!B196="Feminino",1000,IF(Atletas!B196="Masculino",2000,""))+IF(Atletas!S196="Arma Dupla A",801,IF(Atletas!S196="Arma Maleável A",802,IF(Atletas!S196="Arma Dupla B",803,IF(Atletas!S196="Arma Maleável B",804,IF(Atletas!S196="Arma Dupla C",805,IF(Atletas!S196="Arma Maleável C",806,IF(Atletas!S196="Arma Dupla D",807,IF(Atletas!S196="Arma Maleável D",808,IF(Atletas!S196="Arma Dupla E",809,IF(Atletas!S196="Arma Maleável E",810,IF(Atletas!S196="Arma Dupla F",811,IF(Atletas!S196="Arma Maleável F",812, "")))))))))))))</f>
        <v/>
      </c>
      <c r="BV200" s="52" t="str">
        <f>IF(Atletas!T196="","",IF(Atletas!W196&lt;&gt;"",10000,0)+IF(Atletas!B196="Feminino",1000,IF(Atletas!B196="Masculino",2000,""))+IF(Atletas!T196="Taijijian Yang A",901,IF(Atletas!T196="Taijijian Chen A",902,IF(Atletas!T196="Taijijian Sun A",903,IF(Atletas!T196="Taijijian Wu A",904,IF(Atletas!T196="Taijijian Wu-Hao A",905,IF(Atletas!T196="Taijijian 32 A",906,IF(Atletas!T196="Taijijian 42 A",907,IF(Atletas!T196="Taijijian Yang B",908,IF(Atletas!T196="Taijijian Chen B",909,IF(Atletas!T196="Taijijian Sun B",910,IF(Atletas!T196="Taijijian Wu B",911,IF(Atletas!T196="Taijijian Wu-Hao B",912,IF(Atletas!T196="Taijijian 32 B",913,IF(Atletas!T196="Taijijian 42 B",914,IF(Atletas!T196="Taijijian Yang C",915,IF(Atletas!T196="Taijijian Chen C",916,IF(Atletas!T196="Taijijian Sun C",917,IF(Atletas!T196="Taijijian Wu C",918,IF(Atletas!T196="Taijijian Wu-Hao C",919,IF(Atletas!T196="Taijijian 32 C",920,IF(Atletas!T196="Taijijian 42 C",921,IF(Atletas!T196="Taijijian Yang D",922,IF(Atletas!T196="Taijijian Chen D",923,IF(Atletas!T196="Taijijian Sun D",924,IF(Atletas!T196="Taijijian Wu D",925,IF(Atletas!T196="Taijijian Wu-Hao D",926,IF(Atletas!T196="Taijijian 32 D",927,IF(Atletas!T196="Taijijian 42 D",928,IF(Atletas!T196="Taijijian Yang E",929,IF(Atletas!T196="Taijijian Chen E",930,IF(Atletas!T196="Taijijian Sun E",931,IF(Atletas!T196="Taijijian Wu E",932,IF(Atletas!T196="Taijijian Wu-Hao E",933,IF(Atletas!T196="Taijijian 32 E",934,IF(Atletas!T196="Taijijian 42 E",935,IF(Atletas!T196="Taijijian Yang F",936,IF(Atletas!T196="Taijijian Chen F",937,IF(Atletas!T196="Taijijian Sun F",938,IF(Atletas!T196="Taijijian Wu F",939,IF(Atletas!T196="Taijijian Wu-Hao F",940,IF(Atletas!T196="Taijijian 32 F",941,IF(Atletas!T196="Taijijian 42 F",942,"")))))))))))))))))))))))))))))))))))))))))))</f>
        <v/>
      </c>
      <c r="BW200" s="52" t="str">
        <f>IF(Atletas!U196="","",IF(Atletas!W196&lt;&gt;"",10000,0)+IF(Atletas!B196="Feminino",1000,IF(Atletas!B196="Masculino",2000,""))+IF(Atletas!T196="Taijijian 42 F",942,IF(Atletas!U196="Taijidao A",943,IF(Atletas!U196="Taijishan A",944,IF(Atletas!U196="Taijiqiang A",945,IF(Atletas!U196="Taijidao B",946,IF(Atletas!U196="Taijishan B",947,IF(Atletas!U196="Taijiqiang B",948,IF(Atletas!U196="Taijidao C",949,IF(Atletas!U196="Taijishan C",950,IF(Atletas!U196="Taijiqiang C",951,IF(Atletas!U196="Taijidao D",952,IF(Atletas!U196="Taijishan D",953,IF(Atletas!U196="Taijiqiang D",954,IF(Atletas!U196="Taijidao E",955,IF(Atletas!U196="Taijishan E",956,IF(Atletas!U196="Taijiqiang E",957,IF(Atletas!U196="Taijidao F",958,IF(Atletas!U196="Taijishan F",959,IF(Atletas!U196="Taijiqiang F",960))))))))))))))))))))</f>
        <v/>
      </c>
      <c r="BX200" s="72" t="str">
        <f>IF(BY200&lt;&gt;"","TJQ Padr. Chen F","")</f>
        <v/>
      </c>
      <c r="BY200" s="72" t="str">
        <f>IF(COUNTIF(BK:BW,1432)&gt;0,COUNTIF(BK:BW,1432),"")</f>
        <v/>
      </c>
      <c r="BZ200" s="72" t="str">
        <f>IF(CA200&lt;&gt;"","TJQ Padr. Chen F","")</f>
        <v/>
      </c>
      <c r="CA200" s="72" t="str">
        <f>IF(COUNTIF(BK:BW,2432)&gt;0,COUNTIF(BK:BW,2432),"")</f>
        <v/>
      </c>
      <c r="CB200" s="72" t="str">
        <f>IF(CC200&lt;&gt;"","Cheng 56 C","")</f>
        <v/>
      </c>
      <c r="CC200" s="64" t="str">
        <f>IF(COUNTIF(BK:BW,11432)&gt;0,COUNTIF(BK:BW,11432),"")</f>
        <v/>
      </c>
      <c r="CD200" s="64" t="str">
        <f>IF(CE200&lt;&gt;"","Cheng 56 C","")</f>
        <v/>
      </c>
      <c r="CE200" s="64" t="str">
        <f>IF(COUNTIF(BK:BW,12432)&gt;0,COUNTIF(BK:BW,12432),"")</f>
        <v/>
      </c>
      <c r="CF200" s="52" t="str">
        <f xml:space="preserve"> IF(Atletas!V196="","",IF(Atletas!V196="Duilian de Mãos AB - Equipe 1",1,IF(Atletas!V196="Duilian de Mãos AB - Equipe 2",2,IF(Atletas!V196="Duilian de Armas AB - Equipe 1",3,IF(Atletas!V196="Duilian de Armas AB - Equipe 2",4,IF(Atletas!V196="Duilian de Tuishou - Equipe 1",5,IF(Atletas!V196="Duilian de Tuishou - Equipe 2",6,IF(Atletas!V196="Grupo Externo AB - Equipe 1",7,IF(Atletas!V196="Grupo Externo AB - Equipe 2",8,IF(Atletas!V196="Grupo Interno AB - Equipe 1",9,IF(Atletas!V196="Grupo Interno AB - Equipe 2",10,IF(Atletas!V196="Duilian de Mãos CD - Equipe 1",11,IF(Atletas!V196="Duilian de Mãos CD - Equipe 2",12,IF(Atletas!V196="Duilian de Armas CD - Equipe 1",13,IF(Atletas!V196="Duilian de Armas CD - Equipe 2",14,IF(Atletas!V196="Duilian de Tuishou - Equipe 1",15,IF(Atletas!V196="Duilian de Tuishou - Equipe 2",16,IF(Atletas!V196="Grupo Externo CDEF - Equipe 1",17,IF(Atletas!V196="Grupo Externo CDEF - Equipe 2",18,IF(Atletas!V196="Grupo Interno CDEF - Equipe 1",19,IF(Atletas!V196="Grupo Interno CDEF - Equipe 2",20,IF(Atletas!V196="Duilian de Mãos EF - Equipe 1",21,IF(Atletas!V196="Duilian de Mãos EF - Equipe 2",22,IF(Atletas!V196="Duilian de Armas EF - Equipe 1",23,IF(Atletas!V196="Duilian de Armas EF - Equipe 2",24,IF(Atletas!V196="Duilian de Tuishou - Equipe 1",25,IF(Atletas!V196="Duilian de Tuishou - Equipe 2",26,"")))))))))))))))))))))))))))</f>
        <v/>
      </c>
    </row>
    <row r="201" spans="2:84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 t="str">
        <f t="array" ref="V201">IFERROR(INDEX(BX$7:BX$336,SMALL(IF(BX$7:BX$336&lt;&gt;"",ROW(BX$7:BX$336)-ROW(BX$7)+1),ROWS(BX$7:BX200))),"")</f>
        <v/>
      </c>
      <c r="W201" s="4" t="str">
        <f t="array" ref="W201">IFERROR(INDEX(BY$7:BY$336,SMALL(IF(BY$7:BY$336&lt;&gt;"",ROW(BY$7:BY$336)-ROW(BY$7)+1),ROWS(BY$7:BY200))),"")</f>
        <v/>
      </c>
      <c r="X201" s="4" t="str">
        <f t="array" ref="X201">IFERROR(INDEX(BZ$7:BZ$336,SMALL(IF(BZ$7:BZ$336&lt;&gt;"",ROW(BZ$7:BZ$336)-ROW(BZ$7)+1),ROWS(BZ$7:BZ200))),"")</f>
        <v/>
      </c>
      <c r="Y201" s="4" t="str">
        <f t="array" ref="Y201">IFERROR(INDEX(CA$7:CA$336,SMALL(IF(CA$7:CA$336&lt;&gt;"",ROW(CA$7:CA$336)-ROW(CA$7)+1),ROWS(CA$7:CA200))),"")</f>
        <v/>
      </c>
      <c r="Z201" s="4" t="str">
        <f t="array" ref="Z201">IFERROR(INDEX(CB$7:CB$378,SMALL(IF(CB$7:CB$378&lt;&gt;"",ROW(CB$7:CB$378)-ROW(CB$7)+1),ROWS(CB$7:CB200))),"")</f>
        <v/>
      </c>
      <c r="AA201" s="4" t="str">
        <f t="array" ref="AA201">IFERROR(INDEX(CC$7:CC$378,SMALL(IF(CC$7:CC$378&lt;&gt;"",ROW(CC$7:CC$378)-ROW(CC$7)+1),ROWS(CC$7:CC200))),"")</f>
        <v/>
      </c>
      <c r="AB201" s="4" t="str">
        <f t="array" ref="AB201">IFERROR(INDEX(CD$7:CD$378,SMALL(IF(CD$7:CD$378&lt;&gt;"",ROW(CD$7:CD$378)-ROW(CD$7)+1),ROWS(CD$7:CD200))),"")</f>
        <v/>
      </c>
      <c r="AC201" s="4" t="str">
        <f t="array" ref="AC201">IFERROR(INDEX(CE$7:CE$378,SMALL(IF(CE$7:CE$378&lt;&gt;"",ROW(CE$7:CE$378)-ROW(CE$7)+1),ROWS(CE$7:CE200))),"")</f>
        <v/>
      </c>
      <c r="AD201" s="4"/>
      <c r="AE201" s="4"/>
      <c r="AF201" s="4"/>
      <c r="AG201" s="4"/>
      <c r="AH201" s="4"/>
      <c r="AI201" s="4"/>
      <c r="AJ201" s="46" t="str">
        <f>IF(Atletas!D197="","",IF(Atletas!B197="Feminino",100,IF(Atletas!B197="Masculino",200,""))+(IF(Atletas!D197="Infantil 39kg",1,IF(Atletas!D197="Infantil 42kg",2,IF(Atletas!D197="Infantil 45kg",3,IF(Atletas!D197="Infantil 48kg",4,IF(Atletas!D197="Infantil 52kg",5,IF(Atletas!D197="Infantil 56kg",6,IF(Atletas!D197="Infantil 60kg",7,IF(Atletas!D197="Juvenil 48kg",8,IF(Atletas!D197="Juvenil 52kg",9,IF(Atletas!D197="Juvenil 56kg",10,IF(Atletas!D197="Juvenil 60kg",11,IF(Atletas!D197="Juvenil 65kg",12,IF(Atletas!D197="Juvenil 70kg",13,IF(Atletas!D197="Juvenil 75kg",14,IF(Atletas!D197="Juvenil 80kg",15,IF(Atletas!D197="Adulto 48kg",16,IF(Atletas!D197="Adulto 52kg",17,IF(Atletas!D197="Adulto 56kg",18,IF(Atletas!D197="Adulto 60kg",19,IF(Atletas!D197="Adulto 65kg",20,IF(Atletas!D197="Adulto 70kg",21,IF(Atletas!D197="Adulto 75kg",22,IF(Atletas!D197="Adulto 80kg",23,IF(Atletas!D197="Adulto 85kg",24,IF(Atletas!D197="Adulto 90kg",25,IF(Atletas!D197="Adulto +90kg",26,""))))))))))))))))))))))))))))</f>
        <v/>
      </c>
      <c r="AO201" s="10" t="str">
        <f>IF(Atletas!E197="","",IF(Atletas!B197="Feminino",100,IF(Atletas!B197="Masculino",200,""))+(IF(Atletas!E197="Juvenil 44kg",1,IF(Atletas!E197="Juvenil 48kg",2,IF(Atletas!E197="Juvenil 52kg",3,IF(Atletas!E197="Juvenil 56kg",4,IF(Atletas!E197="Juvenil 60kg",5,IF(Atletas!E197="Juvenil 65kg",6,IF(Atletas!E197="Juvenil 70kg",7,IF(Atletas!E197="Juvenil 75kg",8,IF(Atletas!E197="Juvenil 82kg",9,IF(Atletas!E197="Juvenil 90kg",10,IF(Atletas!E197="Juvenil 100kg",11,IF(Atletas!E197="Adulto 48kg",12,IF(Atletas!E197="Adulto 52kg",13,IF(Atletas!E197="Adulto 56kg",14,IF(Atletas!E197="Adulto 60kg",15,IF(Atletas!E197="Adulto 65kg",16,IF(Atletas!E197="Adulto 70kg",17,IF(Atletas!E197="Adulto 75kg",18,IF(Atletas!E197="Adulto 82kg",19,IF(Atletas!E197="Adulto 90kg",20,IF(Atletas!E197="Adulto 100kg",21,IF(Atletas!E197="Adulto +100kg",22,""))))))))))))))))))))))))</f>
        <v/>
      </c>
      <c r="AT201" s="10" t="str">
        <f>IF(Atletas!F197="","",IF(Atletas!B197="Feminino",100,IF(Atletas!B197="Masculino",200,""))+(IF(Atletas!F197="Adulto 48kg",1,IF(Atletas!F197="Adulto 56kg",2,IF(Atletas!F197="Adulto 65kg",3,IF(Atletas!F197="Adulto 75kg",4,IF(Atletas!F197="Adulto +75kg",5,IF(Atletas!F197="Adulto 52kg",6,IF(Atletas!F197="Adulto 60kg",7,IF(Atletas!F197="Adulto 70kg",8,IF(Atletas!F197="Adulto 80kg",9,IF(Atletas!F197="Adulto 90kg",10,IF(Atletas!F197="Adulto +90kg",11,"")))))))))))))</f>
        <v/>
      </c>
      <c r="AY201" s="46" t="str">
        <f>IF(Atletas!G197="","",IF(Atletas!B197="Feminino",100,IF(Atletas!B197="Masculino",200,""))+(IF(Atletas!G197="Changquan Mirim",1,IF(Atletas!G197="Nanquan Mirim",2,IF(Atletas!G197="Taijiquan Mirim",3,IF(Atletas!G197="Changquan Grupo C",4,IF(Atletas!G197="Nanquan Grupo C",5,IF(Atletas!G197="Taijiquan Grupo C",6,IF(Atletas!G197="Changquan Grupo B",7,IF(Atletas!G197="Nanquan Grupo B",8,IF(Atletas!G197="Taijiquan Grupo B",9,IF(Atletas!G197="Changquan Grupo A",10,IF(Atletas!G197="Nanquan Grupo A",11,IF(Atletas!G197="Taijiquan Grupo A",12,IF(Atletas!G197="Changquan Opcional",13,IF(Atletas!G197="Nanquan Opcional",14,IF(Atletas!G197="Taijiquan Opcional",15,IF(Atletas!G197="Changquan Adulto",16,IF(Atletas!G197="Nanquan Adulto",17,IF(Atletas!G197="Taijiquan Adulto",18,""))))))))))))))))))))</f>
        <v/>
      </c>
      <c r="AZ201" s="46" t="str">
        <f>IF(Atletas!H197="","",IF(Atletas!B197="Feminino",100,IF(Atletas!B197="Masculino",200,""))+(IF(Atletas!H197="Daoshu Mirim",19,IF(Atletas!H197="Jianshu Mirim",20,IF(Atletas!H197="Nandao Mirim",21,IF(Atletas!H197="Taijijian Mirim",22,IF(Atletas!H197="Daoshu Grupo C",23,IF(Atletas!H197="Jianshu Grupo C",24,IF(Atletas!H197="Nandao Grupo C",25,IF(Atletas!H197="Taijijian Grupo C",26,IF(Atletas!H197="Daoshu Grupo B",27,IF(Atletas!H197="Jianshu Grupo B",28,IF(Atletas!H197="Nandao Grupo B",29,IF(Atletas!H197="Taijijian Grupo B",30,IF(Atletas!H197="Daoshu Grupo A",31,IF(Atletas!H197="Jianshu Grupo A",32,IF(Atletas!H197="Nandao Grupo A",33,IF(Atletas!H197="Taijijian Grupo A",34,IF(Atletas!H197="Daoshu Opcional",35,IF(Atletas!H197="Jianshu Opcional",36,IF(Atletas!H197="Nandao Opcional",37,IF(Atletas!H197="Taijijian Opcional",38,IF(Atletas!H197="Daoshu Adulto",39,IF(Atletas!H197="Jianshu Adulto",40,IF(Atletas!H197="Nandao Adulto",41,IF(Atletas!H197="Taijijian Adulto",42,""))))))))))))))))))))))))))</f>
        <v/>
      </c>
      <c r="BA201" s="46" t="str">
        <f>IF(Atletas!I197="","",IF(Atletas!B197="Feminino",100,IF(Atletas!B197="Masculino",200,""))+(IF(Atletas!I197="Gunshu Mirim",43,IF(Atletas!I197="Qiangshu Mirim",44,IF(Atletas!I197="Nangun Mirim",45,IF(Atletas!I197="Gunshu Grupo C",46,IF(Atletas!I197="Qiangshu Grupo C",47,IF(Atletas!I197="Nangun Grupo C",48,IF(Atletas!I197="Gunshu Grupo B",49,IF(Atletas!I197="Qiangshu Grupo B",50,IF(Atletas!I197="Nangun Grupo B",51,IF(Atletas!I197="Gunshu Grupo A",52,IF(Atletas!I197="Qiangshu Grupo A",53,IF(Atletas!I197="Nangun Grupo A",54,IF(Atletas!I197="Gunshu Opcional",55,IF(Atletas!I197="Qiangshu Opcional",56,IF(Atletas!I197="Nangun Opcional",57,IF(Atletas!I197="Gunshu Adulto",58,IF(Atletas!I197="Qiangshu Adulto",59,IF(Atletas!I197="Nangun Adulto",60,""))))))))))))))))))))</f>
        <v/>
      </c>
      <c r="BF201" s="52" t="str">
        <f>IF(Atletas!J197="","",IF(Atletas!B197="Feminino",100,IF(Atletas!B197="Masculino",200,""))+(IF(Atletas!J197="Equipe 1 Grupo B",1,IF(Atletas!J197="Equipe 2 Grupo B",2,IF(Atletas!J197="Equipe 1 Grupo A",3,IF(Atletas!J197="Equipe 2 Grupo A",4,IF(Atletas!J197="Equipe 1 Adulto",5,IF(Atletas!J197="Equipe 2 Adulto",6,""))))))))</f>
        <v/>
      </c>
      <c r="BK201" s="52" t="str">
        <f>IF(Atletas!K197="","",IF(Atletas!W197&lt;&gt;"",10000,0)+(IF(Atletas!B197="Feminino",1000,IF(Atletas!B197="Masculino",2000,""))+IF(Atletas!K197="Choylayfut A",1,IF(Atletas!K197="Hunggar A",2,IF(Atletas!K197="Wuzuquan A",3,IF(Atletas!K197="Wingchun A",4,IF(Atletas!K197="Outra Mão de Sul A",5,IF(Atletas!K197="Choylayfut B",6,IF(Atletas!K197="Hunggar B",7,IF(Atletas!K197="Wuzuquan B",8,IF(Atletas!K197="Wingchun B",9,IF(Atletas!K197="Outra Mão de Sul B",10,IF(Atletas!K197="Choylayfut C",11,IF(Atletas!K197="Hunggar C",12,IF(Atletas!K197="Wuzuquan C",13,IF(Atletas!K197="Wingchun C",14,IF(Atletas!K197="Outra Mão de Sul C",15,IF(Atletas!K197="Choylayfut D",16,IF(Atletas!K197="Hunggar D",17,IF(Atletas!K197="Wuzuquan D",18,IF(Atletas!K197="Wingchun D",19,IF(Atletas!K197="Outra Mão de Sul D",20,IF(Atletas!K197="Choylayfut E",21,IF(Atletas!K197="Hunggar E",22,IF(Atletas!K197="Wuzuquan E",23,IF(Atletas!K197="Wingchun E",24,IF(Atletas!K197="Outra Mão de Sul E",25,IF(Atletas!K197="Choylayfut F",26,IF(Atletas!K197="Hunggar F",27,IF(Atletas!K197="Wuzuquan F",28,IF(Atletas!K197="Wingchun F",29,IF(Atletas!K197="Outra Mão de Sul F",30,""))))))))))))))))))))))))))))))))</f>
        <v/>
      </c>
      <c r="BL201" s="52" t="str">
        <f>IF(Atletas!L197="","",IF(Atletas!W197&lt;&gt;"",10000,0)+(IF(Atletas!B197="Feminino",1000,IF(Atletas!B197="Masculino",2000,""))+(IF(Atletas!L197="Chaquan A",101,IF(Atletas!L197="Emeiquan A",102,IF(Atletas!L197="Fanziquan A",103,IF(Atletas!L197="Huaquan A",104,IF(Atletas!L197="Hongquan A",105,IF(Atletas!L197="Paochui A",106,IF(Atletas!L197="Piguaquan A",107,IF(Atletas!L197="Shaolinquan A",108,IF(Atletas!L197="Tanglangquan A",109,IF(Atletas!L197="Yinzhaophai A",110,IF(Atletas!L197="Tongbeiquan A",111,IF(Atletas!L197="Wudangquan A",112,IF(Atletas!L197="Outros Estilos A",113,IF(Atletas!L197="Chaquan B",114,IF(Atletas!L197="Emeiquan B",115,IF(Atletas!L197="Fanziquan B",116,IF(Atletas!L197="Huaquan B",117,IF(Atletas!L197="Hongquan B",118,IF(Atletas!L197="Paochui B",119,IF(Atletas!L197="Piguaquan B",120,IF(Atletas!L197="Shaolinquan B",121,IF(Atletas!L197="Tanglangquan B",122,IF(Atletas!L197="Yinzhaophai B",123,IF(Atletas!L197="Tongbeiquan B",124,IF(Atletas!L197="Wudangquan B",125,IF(Atletas!L197="Outros Estilos B",126,IF(Atletas!L197="Chaquan C",127,IF(Atletas!L197="Emeiquan C",128,IF(Atletas!L197="Fanziquan C",129,IF(Atletas!L197="Huaquan C",130,IF(Atletas!L197="Hongquan C",131,IF(Atletas!L197="Paochui C",132,IF(Atletas!L197="Piguaquan C",133,IF(Atletas!L197="Shaolinquan C",134,IF(Atletas!L197="Tanglangquan C",135,IF(Atletas!L197="Yinzhaophai C",136,IF(Atletas!L197="Tongbeiquan C",137,IF(Atletas!L197="Wudangquan C",138,IF(Atletas!L197="Outros Estilos C",139,0))))))))))))))))))))))))))))))))))))))))))</f>
        <v/>
      </c>
      <c r="BM201" s="52" t="str">
        <f>IF(Atletas!L197="","",IF(Atletas!W197&lt;&gt;"",10000,0)+(IF(Atletas!B197="Feminino",1000,IF(Atletas!B197="Masculino",2000,""))+(IF(Atletas!L197="Chaquan D",140,IF(Atletas!L197="Emeiquan D",141,IF(Atletas!L197="Fanziquan D",142,IF(Atletas!L197="Huaquan D",143,IF(Atletas!L197="Hongquan D",144,IF(Atletas!L197="Paochui D",145,IF(Atletas!L197="Piguaquan D",146,IF(Atletas!L197="Shaolinquan D",147,IF(Atletas!L197="Tanglangquan D",148,IF(Atletas!L197="Yinzhaophai D",149,IF(Atletas!L197="Tongbeiquan D",150,IF(Atletas!L197="Wudangquan D",151,IF(Atletas!L197="Outros Estilos D",152,IF(Atletas!L197="Chaquan E",153,IF(Atletas!L197="Emeiquan E",154,IF(Atletas!L197="Fanziquan E",155,IF(Atletas!L197="Huaquan E",156,IF(Atletas!L197="Hongquan E",157,IF(Atletas!L197="Paochui E",158,IF(Atletas!L197="Piguaquan E",159,IF(Atletas!L197="Shaolinquan E",160,IF(Atletas!L197="Tanglangquan E",161,IF(Atletas!L197="Yinzhaophai E",162,IF(Atletas!L197="Tongbeiquan E",163,IF(Atletas!L197="Wudangquan E",164,IF(Atletas!L197="Outros Estilos E",165,IF(Atletas!L197="Chaquan F",166,IF(Atletas!L197="Emeiquan F",167,IF(Atletas!L197="Fanziquan F",168,IF(Atletas!L197="Huaquan F",169,IF(Atletas!L197="Hongquan F",170,IF(Atletas!L197="Paochui F",171,IF(Atletas!L197="Piguaquan F",172,IF(Atletas!L197="Shaolinquan F",173,IF(Atletas!L197="Tanglangquan F",174,IF(Atletas!L197="Yinzhaophai F",175,IF(Atletas!L197="Tongbeiquan F",176,IF(Atletas!L197="Wudangquan F",177,IF(Atletas!L197="Outros Estilos F",178,0))))))))))))))))))))))))))))))))))))))))))</f>
        <v/>
      </c>
      <c r="BN201" s="52" t="str">
        <f>IF(Atletas!M197="","",IF(Atletas!W197&lt;&gt;"",10000,0)+(IF(Atletas!B197="Feminino",1000,IF(Atletas!B197="Masculino",2000,""))+(IF(Atletas!M197="Ditangquan A",201,IF(Atletas!M197="Houquan A",202,IF(Atletas!M197="Zuiquan A",203,IF(Atletas!M197="Ditangquan B",204,IF(Atletas!M197="Houquan B",205,IF(Atletas!M197="Zuiquan B",206,IF(Atletas!M197="Ditangquan C",207,IF(Atletas!M197="Houquan C",208,IF(Atletas!M197="Zuiquan C",209,IF(Atletas!M197="Ditangquan D",210,IF(Atletas!M197="Houquan D",211,IF(Atletas!M197="Zuiquan D",212,IF(Atletas!M197="Ditangquan E",213,IF(Atletas!M197="Houquan E",214,IF(Atletas!M197="Zuiquan E",215,IF(Atletas!M197="Ditangquan F",216,IF(Atletas!M197="Houquan F",217,IF(Atletas!M197="Zuiquan F",218,"")))))))))))))))))))))</f>
        <v/>
      </c>
      <c r="BO201" s="52" t="str">
        <f>IF(Atletas!N197="","",IF(Atletas!W197&lt;&gt;"",10000,0)+IF(Atletas!B197="Feminino",1000,IF(Atletas!B197="Masculino",2000,""))+IF(Atletas!N197="Yang A",301,IF(Atletas!N197="Chen A",30,IF(Atletas!N197="Sun A",303,IF(Atletas!N197="Wu A",304,IF(Atletas!N197="Wu-Hao A",305,IF(Atletas!N197="Outro Taijiquan A",306,IF(Atletas!N197="Yang B",307,IF(Atletas!N197="Chen B",308,IF(Atletas!N197="Sun B",309,IF(Atletas!N197="Wu B",310,IF(Atletas!N197="Wu-Hao B",311,IF(Atletas!N197="Outro Taijiquan B",312,IF(Atletas!N197="Yang C",313,IF(Atletas!N197="Chen C",314,IF(Atletas!N197="Sun C",315,IF(Atletas!N197="Wu C",316,IF(Atletas!N197="Wu-Hao C",317,IF(Atletas!N197="Outro Taijiquan C",318,IF(Atletas!N197="Yang D",319,IF(Atletas!N197="Chen D",320,IF(Atletas!N197="Sun D",321,IF(Atletas!N197="Wu D",322,IF(Atletas!N197="Wu-Hao D",323,IF(Atletas!N197="Outro Taijiquan D",324,IF(Atletas!N197="Yang E",325,IF(Atletas!N197="Chen E",326,IF(Atletas!N197="Sun E",327,IF(Atletas!N197="Wu E",328,IF(Atletas!N197="Wu-Hao E",329,IF(Atletas!N197="Outro Taijiquan E",330,IF(Atletas!N197="Yang F",331,IF(Atletas!N197="Chen F",332,IF(Atletas!N197="Sun F",333,IF(Atletas!N197="Wu F",334,IF(Atletas!N197="Wu-Hao F",335,IF(Atletas!N197="Outro Taijiquan F",336,"")))))))))))))))))))))))))))))))))))))</f>
        <v/>
      </c>
      <c r="BP201" s="52" t="str">
        <f>IF(Atletas!O197="","",IF(Atletas!W197&lt;&gt;"",10000,0)+IF(Atletas!B197="Feminino",1000,IF(Atletas!B197="Masculino",2000,""))+IF(OR(Atletas!O197="Yang 26 A",Atletas!O197="Yang 40 A"),401,IF(OR(Atletas!O197="Chen 25 A",Atletas!O197="Chen 36 A",Atletas!O197="Chen 56 A"),402,IF(Atletas!O197="Sun 73 A",403,IF(Atletas!O197="Wu 45 A",404,IF(Atletas!O197="Wu-Hao 46 A",405,IF(OR(Atletas!O197="Taijiquan 16 A",Atletas!O197="Taijiquan 24 A",Atletas!O197="Taijiquan 32 A",Atletas!O197="Taijiquan 42 A"),406,IF(OR(Atletas!O197="Yang 26 B",Atletas!O197="Yang 40 B"),407,IF(OR(Atletas!O197="Chen 25 B",Atletas!O197="Chen 36 B",Atletas!O197="Chen 56 B"),408,IF(Atletas!O197="Sun 73 B",409,IF(Atletas!O197="Wu 45 B",410,IF(Atletas!O197="Wu-Hao 46 B",411,IF(OR(Atletas!O197="Taijiquan 16 B",Atletas!O197="Taijiquan 24 B",Atletas!O197="Taijiquan 32 B",Atletas!O197="Taijiquan 42 B"),412,IF(OR(Atletas!O197="Yang 26 C",Atletas!O197="Yang 40 C"),413,IF(OR(Atletas!O197="Chen 25 C",Atletas!O197="Chen 36 C",Atletas!O197="Chen 56 C"),414,IF(Atletas!O197="Sun 73 C",415,IF(Atletas!O197="Wu 45 C",416,IF(Atletas!O197="Wu-Hao 46 C",417,IF(OR(Atletas!O197="Taijiquan 16 C",Atletas!O197="Taijiquan 24 C",Atletas!O197="Taijiquan 32 C",Atletas!O197="Taijiquan 42 C"),418,0)))))))))))))))))))</f>
        <v/>
      </c>
      <c r="BQ201" s="52" t="str">
        <f>IF(Atletas!O197="","",IF(Atletas!W197&lt;&gt;"",10000,0)+IF(Atletas!B197="Feminino",1000,IF(Atletas!B197="Masculino",2000,""))+IF(OR(Atletas!O197="Yang 26 D",Atletas!O197="Yang 40 D"),419,IF(OR(Atletas!O197="Chen 25 D",Atletas!O197="Chen 36 D",Atletas!O197="Chen 56 D"),420,IF(Atletas!O197="Sun 73 D",421,IF(Atletas!O197="Wu 45 D",422,IF(Atletas!O197="Wu-Hao 46 D",423,IF(OR(Atletas!O197="Taijiquan 16 D",Atletas!O197="Taijiquan 24 D",Atletas!O197="Taijiquan 32 D",Atletas!O197="Taijiquan 42 D"),424,IF(OR(Atletas!O197="Yang 26 E",Atletas!O197="Yang 40 E"),425,IF(OR(Atletas!O197="Chen 25 E",Atletas!O197="Chen 36 E",Atletas!O197="Chen 56 E"),426,IF(Atletas!O197="Sun 73 E",427,IF(Atletas!O197="Wu 45 E",428,IF(Atletas!O197="Wu-Hao 46 E",429,IF(OR(Atletas!O197="Taijiquan 16 E",Atletas!O197="Taijiquan 24 E",Atletas!O197="Taijiquan 32 E",Atletas!O197="Taijiquan 42 E"),430,IF(OR(Atletas!O197="Yang 26 F",Atletas!O197="Yang 40 F"),431,IF(OR(Atletas!O197="Chen 25 F",Atletas!O197="Chen 36 F",Atletas!O197="Chen 56 F"),432,IF(Atletas!O197="Sun 73 F",433,IF(Atletas!O197="Wu 45 F",434,IF(Atletas!O197="Wu-Hao 46 F",435,IF(OR(Atletas!O197="Taijiquan 16 F",Atletas!O197="Taijiquan 24 F",Atletas!O197="Taijiquan 32 F",Atletas!O197="Taijiquan 42 F"),436,0)))))))))))))))))))</f>
        <v/>
      </c>
      <c r="BR201" s="52" t="str">
        <f>IF(Atletas!P197="","",IF(Atletas!W197&lt;&gt;"",10000,0)+IF(Atletas!B197="Feminino",1000,IF(Atletas!B197="Masculino",2000,""))+IF(Atletas!P197="Xingyiquan A",501,IF(Atletas!P197="Baguazhang A",502,IF(Atletas!P197="Outro Estilo Interno A",503,IF(Atletas!P197="Xingyiquan B",504,IF(Atletas!P197="Baguazhang B",505,IF(Atletas!P197="Outro Estilo Interno B",506,IF(Atletas!P197="Xingyiquan C",507,IF(Atletas!P197="Baguazhang C",508,IF(Atletas!P197="Outro Estilo Interno C",509,IF(Atletas!P197="Xingyiquan D",510,IF(Atletas!P197="Baguazhang D",511,IF(Atletas!P197="Outro Estilo Interno D",512,IF(Atletas!P197="Xingyiquan E",513,IF(Atletas!P197="Baguazhang E",514,IF(Atletas!P197="Outro Estilo Interno E",515,IF(Atletas!P197="Xingyiquan F",516,IF(Atletas!P197="Baguazhang F",517,IF(Atletas!P197="Outro Estilo Interno F",518, "")))))))))))))))))))</f>
        <v/>
      </c>
      <c r="BS201" s="52" t="str">
        <f>IF(Atletas!Q197="","",IF(Atletas!W197&lt;&gt;"",10000,0)+IF(Atletas!B197="Feminino",1000,IF(Atletas!B197="Masculino",2000,""))+IF(Atletas!Q197="Dao A",601,IF(Atletas!Q197="Jian A",602,IF(Atletas!Q197="Bishou A",603,IF(Atletas!Q197="Shan A",604,IF(Atletas!Q197="Outra Arma Curta A",605,IF(Atletas!Q197="Dao B",606,IF(Atletas!Q197="Jian B",607,IF(Atletas!Q197="Bishou B",608,IF(Atletas!Q197="Shan B",609,IF(Atletas!Q197="Outra Arma Curta B",610,IF(Atletas!Q197="Dao C",611,IF(Atletas!Q197="Jian C",612,IF(Atletas!Q197="Bishou C",613,IF(Atletas!Q197="Shan C",614,IF(Atletas!Q197="Outra Arma Curta C",615,IF(Atletas!Q197="Dao D",616,IF(Atletas!Q197="Jian D",617,IF(Atletas!Q197="Bishou D",618,IF(Atletas!Q197="Shan D",619,IF(Atletas!Q197="Outra Arma Curta D",620,IF(Atletas!Q197="Dao E",621,IF(Atletas!Q197="Jian E",622,IF(Atletas!Q197="Bishou E",623,IF(Atletas!Q197="Shan E",624,IF(Atletas!Q197="Outra Arma Curta E",625,IF(Atletas!Q197="Dao F",626,IF(Atletas!Q197="Jian F",627,IF(Atletas!Q197="Bishou F",628,IF(Atletas!Q197="Shan F",629,IF(Atletas!Q197="Outra Arma Curta F",630, "")))))))))))))))))))))))))))))))</f>
        <v/>
      </c>
      <c r="BT201" s="52" t="str">
        <f>IF(Atletas!R197="","",IF(Atletas!W197&lt;&gt;"",10000,0)+IF(Atletas!B197="Feminino",1000,IF(Atletas!B197="Masculino",2000,""))+IF(Atletas!R197="Gun A",701,IF(Atletas!R197="Qiang A",702,IF(Atletas!R197="Pudao / Guandao A",703,IF(Atletas!R197="Outra Arma Longa A",704,IF(Atletas!R197="Gun B",705,IF(Atletas!R197="Qiang B",706,IF(Atletas!R197="Pudao / Guandao B",707,IF(Atletas!R197="Outra Arma Longa B",708,IF(Atletas!R197="Gun C",709,IF(Atletas!R197="Qiang C",710,IF(Atletas!R197="Pudao / Guandao C",711,IF(Atletas!R197="Outra Arma Longa C",712,IF(Atletas!R197="Gun D",713,IF(Atletas!R197="Qiang D",714,IF(Atletas!R197="Pudao / Guandao D",715,IF(Atletas!R197="Outra Arma Longa D",716,IF(Atletas!R197="Gun E",717,IF(Atletas!R197="Qiang E",718,IF(Atletas!R197="Pudao / Guandao E",719,IF(Atletas!R197="Outra Arma Longa E",720,IF(Atletas!R197="Gun F",721,IF(Atletas!R197="Qiang F",722,IF(Atletas!R197="Pudao / Guandao F",723,IF(Atletas!R197="Outra Arma Longa F",724,"")))))))))))))))))))))))))</f>
        <v/>
      </c>
      <c r="BU201" s="52" t="str">
        <f>IF(Atletas!S197="","",IF(Atletas!W197&lt;&gt;"",10000,0)+IF(Atletas!B197="Feminino",1000,IF(Atletas!B197="Masculino",2000,""))+IF(Atletas!S197="Arma Dupla A",801,IF(Atletas!S197="Arma Maleável A",802,IF(Atletas!S197="Arma Dupla B",803,IF(Atletas!S197="Arma Maleável B",804,IF(Atletas!S197="Arma Dupla C",805,IF(Atletas!S197="Arma Maleável C",806,IF(Atletas!S197="Arma Dupla D",807,IF(Atletas!S197="Arma Maleável D",808,IF(Atletas!S197="Arma Dupla E",809,IF(Atletas!S197="Arma Maleável E",810,IF(Atletas!S197="Arma Dupla F",811,IF(Atletas!S197="Arma Maleável F",812, "")))))))))))))</f>
        <v/>
      </c>
      <c r="BV201" s="52" t="str">
        <f>IF(Atletas!T197="","",IF(Atletas!W197&lt;&gt;"",10000,0)+IF(Atletas!B197="Feminino",1000,IF(Atletas!B197="Masculino",2000,""))+IF(Atletas!T197="Taijijian Yang A",901,IF(Atletas!T197="Taijijian Chen A",902,IF(Atletas!T197="Taijijian Sun A",903,IF(Atletas!T197="Taijijian Wu A",904,IF(Atletas!T197="Taijijian Wu-Hao A",905,IF(Atletas!T197="Taijijian 32 A",906,IF(Atletas!T197="Taijijian 42 A",907,IF(Atletas!T197="Taijijian Yang B",908,IF(Atletas!T197="Taijijian Chen B",909,IF(Atletas!T197="Taijijian Sun B",910,IF(Atletas!T197="Taijijian Wu B",911,IF(Atletas!T197="Taijijian Wu-Hao B",912,IF(Atletas!T197="Taijijian 32 B",913,IF(Atletas!T197="Taijijian 42 B",914,IF(Atletas!T197="Taijijian Yang C",915,IF(Atletas!T197="Taijijian Chen C",916,IF(Atletas!T197="Taijijian Sun C",917,IF(Atletas!T197="Taijijian Wu C",918,IF(Atletas!T197="Taijijian Wu-Hao C",919,IF(Atletas!T197="Taijijian 32 C",920,IF(Atletas!T197="Taijijian 42 C",921,IF(Atletas!T197="Taijijian Yang D",922,IF(Atletas!T197="Taijijian Chen D",923,IF(Atletas!T197="Taijijian Sun D",924,IF(Atletas!T197="Taijijian Wu D",925,IF(Atletas!T197="Taijijian Wu-Hao D",926,IF(Atletas!T197="Taijijian 32 D",927,IF(Atletas!T197="Taijijian 42 D",928,IF(Atletas!T197="Taijijian Yang E",929,IF(Atletas!T197="Taijijian Chen E",930,IF(Atletas!T197="Taijijian Sun E",931,IF(Atletas!T197="Taijijian Wu E",932,IF(Atletas!T197="Taijijian Wu-Hao E",933,IF(Atletas!T197="Taijijian 32 E",934,IF(Atletas!T197="Taijijian 42 E",935,IF(Atletas!T197="Taijijian Yang F",936,IF(Atletas!T197="Taijijian Chen F",937,IF(Atletas!T197="Taijijian Sun F",938,IF(Atletas!T197="Taijijian Wu F",939,IF(Atletas!T197="Taijijian Wu-Hao F",940,IF(Atletas!T197="Taijijian 32 F",941,IF(Atletas!T197="Taijijian 42 F",942,"")))))))))))))))))))))))))))))))))))))))))))</f>
        <v/>
      </c>
      <c r="BW201" s="52" t="str">
        <f>IF(Atletas!U197="","",IF(Atletas!W197&lt;&gt;"",10000,0)+IF(Atletas!B197="Feminino",1000,IF(Atletas!B197="Masculino",2000,""))+IF(Atletas!T197="Taijijian 42 F",942,IF(Atletas!U197="Taijidao A",943,IF(Atletas!U197="Taijishan A",944,IF(Atletas!U197="Taijiqiang A",945,IF(Atletas!U197="Taijidao B",946,IF(Atletas!U197="Taijishan B",947,IF(Atletas!U197="Taijiqiang B",948,IF(Atletas!U197="Taijidao C",949,IF(Atletas!U197="Taijishan C",950,IF(Atletas!U197="Taijiqiang C",951,IF(Atletas!U197="Taijidao D",952,IF(Atletas!U197="Taijishan D",953,IF(Atletas!U197="Taijiqiang D",954,IF(Atletas!U197="Taijidao E",955,IF(Atletas!U197="Taijishan E",956,IF(Atletas!U197="Taijiqiang E",957,IF(Atletas!U197="Taijidao F",958,IF(Atletas!U197="Taijishan F",959,IF(Atletas!U197="Taijiqiang F",960))))))))))))))))))))</f>
        <v/>
      </c>
      <c r="BX201" s="72" t="str">
        <f>IF(BY201&lt;&gt;"","TJQ Padr. Sun F","")</f>
        <v/>
      </c>
      <c r="BY201" s="72" t="str">
        <f>IF(COUNTIF(BK:BW,1433)&gt;0,COUNTIF(BK:BW,1433),"")</f>
        <v/>
      </c>
      <c r="BZ201" s="72" t="str">
        <f>IF(CA201&lt;&gt;"","TJQ Padr. Sun F","")</f>
        <v/>
      </c>
      <c r="CA201" s="72" t="str">
        <f>IF(COUNTIF(BK:BW,2433)&gt;0,COUNTIF(BK:BW,2433),"")</f>
        <v/>
      </c>
      <c r="CB201" s="72" t="str">
        <f>IF(CC201&lt;&gt;"","Cheng Novo C","")</f>
        <v/>
      </c>
      <c r="CC201" s="64" t="str">
        <f>IF(COUNTIF(BK:BW,11433)&gt;0,COUNTIF(BK:BW,11433),"")</f>
        <v/>
      </c>
      <c r="CD201" s="64" t="str">
        <f>IF(CE201&lt;&gt;"","Cheng Novo C","")</f>
        <v/>
      </c>
      <c r="CE201" s="64" t="str">
        <f>IF(COUNTIF(BK:BW,12433)&gt;0,COUNTIF(BK:BW,12433),"")</f>
        <v/>
      </c>
      <c r="CF201" s="52" t="str">
        <f xml:space="preserve"> IF(Atletas!V197="","",IF(Atletas!V197="Duilian de Mãos AB - Equipe 1",1,IF(Atletas!V197="Duilian de Mãos AB - Equipe 2",2,IF(Atletas!V197="Duilian de Armas AB - Equipe 1",3,IF(Atletas!V197="Duilian de Armas AB - Equipe 2",4,IF(Atletas!V197="Duilian de Tuishou - Equipe 1",5,IF(Atletas!V197="Duilian de Tuishou - Equipe 2",6,IF(Atletas!V197="Grupo Externo AB - Equipe 1",7,IF(Atletas!V197="Grupo Externo AB - Equipe 2",8,IF(Atletas!V197="Grupo Interno AB - Equipe 1",9,IF(Atletas!V197="Grupo Interno AB - Equipe 2",10,IF(Atletas!V197="Duilian de Mãos CD - Equipe 1",11,IF(Atletas!V197="Duilian de Mãos CD - Equipe 2",12,IF(Atletas!V197="Duilian de Armas CD - Equipe 1",13,IF(Atletas!V197="Duilian de Armas CD - Equipe 2",14,IF(Atletas!V197="Duilian de Tuishou - Equipe 1",15,IF(Atletas!V197="Duilian de Tuishou - Equipe 2",16,IF(Atletas!V197="Grupo Externo CDEF - Equipe 1",17,IF(Atletas!V197="Grupo Externo CDEF - Equipe 2",18,IF(Atletas!V197="Grupo Interno CDEF - Equipe 1",19,IF(Atletas!V197="Grupo Interno CDEF - Equipe 2",20,IF(Atletas!V197="Duilian de Mãos EF - Equipe 1",21,IF(Atletas!V197="Duilian de Mãos EF - Equipe 2",22,IF(Atletas!V197="Duilian de Armas EF - Equipe 1",23,IF(Atletas!V197="Duilian de Armas EF - Equipe 2",24,IF(Atletas!V197="Duilian de Tuishou - Equipe 1",25,IF(Atletas!V197="Duilian de Tuishou - Equipe 2",26,"")))))))))))))))))))))))))))</f>
        <v/>
      </c>
    </row>
    <row r="202" spans="2:84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 t="str">
        <f t="array" ref="V202">IFERROR(INDEX(BX$7:BX$336,SMALL(IF(BX$7:BX$336&lt;&gt;"",ROW(BX$7:BX$336)-ROW(BX$7)+1),ROWS(BX$7:BX201))),"")</f>
        <v/>
      </c>
      <c r="W202" s="4" t="str">
        <f t="array" ref="W202">IFERROR(INDEX(BY$7:BY$336,SMALL(IF(BY$7:BY$336&lt;&gt;"",ROW(BY$7:BY$336)-ROW(BY$7)+1),ROWS(BY$7:BY201))),"")</f>
        <v/>
      </c>
      <c r="X202" s="4" t="str">
        <f t="array" ref="X202">IFERROR(INDEX(BZ$7:BZ$336,SMALL(IF(BZ$7:BZ$336&lt;&gt;"",ROW(BZ$7:BZ$336)-ROW(BZ$7)+1),ROWS(BZ$7:BZ201))),"")</f>
        <v/>
      </c>
      <c r="Y202" s="4" t="str">
        <f t="array" ref="Y202">IFERROR(INDEX(CA$7:CA$336,SMALL(IF(CA$7:CA$336&lt;&gt;"",ROW(CA$7:CA$336)-ROW(CA$7)+1),ROWS(CA$7:CA201))),"")</f>
        <v/>
      </c>
      <c r="Z202" s="4" t="str">
        <f t="array" ref="Z202">IFERROR(INDEX(CB$7:CB$378,SMALL(IF(CB$7:CB$378&lt;&gt;"",ROW(CB$7:CB$378)-ROW(CB$7)+1),ROWS(CB$7:CB201))),"")</f>
        <v/>
      </c>
      <c r="AA202" s="4" t="str">
        <f t="array" ref="AA202">IFERROR(INDEX(CC$7:CC$378,SMALL(IF(CC$7:CC$378&lt;&gt;"",ROW(CC$7:CC$378)-ROW(CC$7)+1),ROWS(CC$7:CC201))),"")</f>
        <v/>
      </c>
      <c r="AB202" s="4" t="str">
        <f t="array" ref="AB202">IFERROR(INDEX(CD$7:CD$378,SMALL(IF(CD$7:CD$378&lt;&gt;"",ROW(CD$7:CD$378)-ROW(CD$7)+1),ROWS(CD$7:CD201))),"")</f>
        <v/>
      </c>
      <c r="AC202" s="4" t="str">
        <f t="array" ref="AC202">IFERROR(INDEX(CE$7:CE$378,SMALL(IF(CE$7:CE$378&lt;&gt;"",ROW(CE$7:CE$378)-ROW(CE$7)+1),ROWS(CE$7:CE201))),"")</f>
        <v/>
      </c>
      <c r="AD202" s="4"/>
      <c r="AE202" s="4"/>
      <c r="AF202" s="4"/>
      <c r="AG202" s="4"/>
      <c r="AH202" s="4"/>
      <c r="AI202" s="4"/>
      <c r="AJ202" s="46" t="str">
        <f>IF(Atletas!D198="","",IF(Atletas!B198="Feminino",100,IF(Atletas!B198="Masculino",200,""))+(IF(Atletas!D198="Infantil 39kg",1,IF(Atletas!D198="Infantil 42kg",2,IF(Atletas!D198="Infantil 45kg",3,IF(Atletas!D198="Infantil 48kg",4,IF(Atletas!D198="Infantil 52kg",5,IF(Atletas!D198="Infantil 56kg",6,IF(Atletas!D198="Infantil 60kg",7,IF(Atletas!D198="Juvenil 48kg",8,IF(Atletas!D198="Juvenil 52kg",9,IF(Atletas!D198="Juvenil 56kg",10,IF(Atletas!D198="Juvenil 60kg",11,IF(Atletas!D198="Juvenil 65kg",12,IF(Atletas!D198="Juvenil 70kg",13,IF(Atletas!D198="Juvenil 75kg",14,IF(Atletas!D198="Juvenil 80kg",15,IF(Atletas!D198="Adulto 48kg",16,IF(Atletas!D198="Adulto 52kg",17,IF(Atletas!D198="Adulto 56kg",18,IF(Atletas!D198="Adulto 60kg",19,IF(Atletas!D198="Adulto 65kg",20,IF(Atletas!D198="Adulto 70kg",21,IF(Atletas!D198="Adulto 75kg",22,IF(Atletas!D198="Adulto 80kg",23,IF(Atletas!D198="Adulto 85kg",24,IF(Atletas!D198="Adulto 90kg",25,IF(Atletas!D198="Adulto +90kg",26,""))))))))))))))))))))))))))))</f>
        <v/>
      </c>
      <c r="AO202" s="10" t="str">
        <f>IF(Atletas!E198="","",IF(Atletas!B198="Feminino",100,IF(Atletas!B198="Masculino",200,""))+(IF(Atletas!E198="Juvenil 44kg",1,IF(Atletas!E198="Juvenil 48kg",2,IF(Atletas!E198="Juvenil 52kg",3,IF(Atletas!E198="Juvenil 56kg",4,IF(Atletas!E198="Juvenil 60kg",5,IF(Atletas!E198="Juvenil 65kg",6,IF(Atletas!E198="Juvenil 70kg",7,IF(Atletas!E198="Juvenil 75kg",8,IF(Atletas!E198="Juvenil 82kg",9,IF(Atletas!E198="Juvenil 90kg",10,IF(Atletas!E198="Juvenil 100kg",11,IF(Atletas!E198="Adulto 48kg",12,IF(Atletas!E198="Adulto 52kg",13,IF(Atletas!E198="Adulto 56kg",14,IF(Atletas!E198="Adulto 60kg",15,IF(Atletas!E198="Adulto 65kg",16,IF(Atletas!E198="Adulto 70kg",17,IF(Atletas!E198="Adulto 75kg",18,IF(Atletas!E198="Adulto 82kg",19,IF(Atletas!E198="Adulto 90kg",20,IF(Atletas!E198="Adulto 100kg",21,IF(Atletas!E198="Adulto +100kg",22,""))))))))))))))))))))))))</f>
        <v/>
      </c>
      <c r="AT202" s="10" t="str">
        <f>IF(Atletas!F198="","",IF(Atletas!B198="Feminino",100,IF(Atletas!B198="Masculino",200,""))+(IF(Atletas!F198="Adulto 48kg",1,IF(Atletas!F198="Adulto 56kg",2,IF(Atletas!F198="Adulto 65kg",3,IF(Atletas!F198="Adulto 75kg",4,IF(Atletas!F198="Adulto +75kg",5,IF(Atletas!F198="Adulto 52kg",6,IF(Atletas!F198="Adulto 60kg",7,IF(Atletas!F198="Adulto 70kg",8,IF(Atletas!F198="Adulto 80kg",9,IF(Atletas!F198="Adulto 90kg",10,IF(Atletas!F198="Adulto +90kg",11,"")))))))))))))</f>
        <v/>
      </c>
      <c r="AY202" s="46" t="str">
        <f>IF(Atletas!G198="","",IF(Atletas!B198="Feminino",100,IF(Atletas!B198="Masculino",200,""))+(IF(Atletas!G198="Changquan Mirim",1,IF(Atletas!G198="Nanquan Mirim",2,IF(Atletas!G198="Taijiquan Mirim",3,IF(Atletas!G198="Changquan Grupo C",4,IF(Atletas!G198="Nanquan Grupo C",5,IF(Atletas!G198="Taijiquan Grupo C",6,IF(Atletas!G198="Changquan Grupo B",7,IF(Atletas!G198="Nanquan Grupo B",8,IF(Atletas!G198="Taijiquan Grupo B",9,IF(Atletas!G198="Changquan Grupo A",10,IF(Atletas!G198="Nanquan Grupo A",11,IF(Atletas!G198="Taijiquan Grupo A",12,IF(Atletas!G198="Changquan Opcional",13,IF(Atletas!G198="Nanquan Opcional",14,IF(Atletas!G198="Taijiquan Opcional",15,IF(Atletas!G198="Changquan Adulto",16,IF(Atletas!G198="Nanquan Adulto",17,IF(Atletas!G198="Taijiquan Adulto",18,""))))))))))))))))))))</f>
        <v/>
      </c>
      <c r="AZ202" s="46" t="str">
        <f>IF(Atletas!H198="","",IF(Atletas!B198="Feminino",100,IF(Atletas!B198="Masculino",200,""))+(IF(Atletas!H198="Daoshu Mirim",19,IF(Atletas!H198="Jianshu Mirim",20,IF(Atletas!H198="Nandao Mirim",21,IF(Atletas!H198="Taijijian Mirim",22,IF(Atletas!H198="Daoshu Grupo C",23,IF(Atletas!H198="Jianshu Grupo C",24,IF(Atletas!H198="Nandao Grupo C",25,IF(Atletas!H198="Taijijian Grupo C",26,IF(Atletas!H198="Daoshu Grupo B",27,IF(Atletas!H198="Jianshu Grupo B",28,IF(Atletas!H198="Nandao Grupo B",29,IF(Atletas!H198="Taijijian Grupo B",30,IF(Atletas!H198="Daoshu Grupo A",31,IF(Atletas!H198="Jianshu Grupo A",32,IF(Atletas!H198="Nandao Grupo A",33,IF(Atletas!H198="Taijijian Grupo A",34,IF(Atletas!H198="Daoshu Opcional",35,IF(Atletas!H198="Jianshu Opcional",36,IF(Atletas!H198="Nandao Opcional",37,IF(Atletas!H198="Taijijian Opcional",38,IF(Atletas!H198="Daoshu Adulto",39,IF(Atletas!H198="Jianshu Adulto",40,IF(Atletas!H198="Nandao Adulto",41,IF(Atletas!H198="Taijijian Adulto",42,""))))))))))))))))))))))))))</f>
        <v/>
      </c>
      <c r="BA202" s="46" t="str">
        <f>IF(Atletas!I198="","",IF(Atletas!B198="Feminino",100,IF(Atletas!B198="Masculino",200,""))+(IF(Atletas!I198="Gunshu Mirim",43,IF(Atletas!I198="Qiangshu Mirim",44,IF(Atletas!I198="Nangun Mirim",45,IF(Atletas!I198="Gunshu Grupo C",46,IF(Atletas!I198="Qiangshu Grupo C",47,IF(Atletas!I198="Nangun Grupo C",48,IF(Atletas!I198="Gunshu Grupo B",49,IF(Atletas!I198="Qiangshu Grupo B",50,IF(Atletas!I198="Nangun Grupo B",51,IF(Atletas!I198="Gunshu Grupo A",52,IF(Atletas!I198="Qiangshu Grupo A",53,IF(Atletas!I198="Nangun Grupo A",54,IF(Atletas!I198="Gunshu Opcional",55,IF(Atletas!I198="Qiangshu Opcional",56,IF(Atletas!I198="Nangun Opcional",57,IF(Atletas!I198="Gunshu Adulto",58,IF(Atletas!I198="Qiangshu Adulto",59,IF(Atletas!I198="Nangun Adulto",60,""))))))))))))))))))))</f>
        <v/>
      </c>
      <c r="BF202" s="52" t="str">
        <f>IF(Atletas!J198="","",IF(Atletas!B198="Feminino",100,IF(Atletas!B198="Masculino",200,""))+(IF(Atletas!J198="Equipe 1 Grupo B",1,IF(Atletas!J198="Equipe 2 Grupo B",2,IF(Atletas!J198="Equipe 1 Grupo A",3,IF(Atletas!J198="Equipe 2 Grupo A",4,IF(Atletas!J198="Equipe 1 Adulto",5,IF(Atletas!J198="Equipe 2 Adulto",6,""))))))))</f>
        <v/>
      </c>
      <c r="BK202" s="52" t="str">
        <f>IF(Atletas!K198="","",IF(Atletas!W198&lt;&gt;"",10000,0)+(IF(Atletas!B198="Feminino",1000,IF(Atletas!B198="Masculino",2000,""))+IF(Atletas!K198="Choylayfut A",1,IF(Atletas!K198="Hunggar A",2,IF(Atletas!K198="Wuzuquan A",3,IF(Atletas!K198="Wingchun A",4,IF(Atletas!K198="Outra Mão de Sul A",5,IF(Atletas!K198="Choylayfut B",6,IF(Atletas!K198="Hunggar B",7,IF(Atletas!K198="Wuzuquan B",8,IF(Atletas!K198="Wingchun B",9,IF(Atletas!K198="Outra Mão de Sul B",10,IF(Atletas!K198="Choylayfut C",11,IF(Atletas!K198="Hunggar C",12,IF(Atletas!K198="Wuzuquan C",13,IF(Atletas!K198="Wingchun C",14,IF(Atletas!K198="Outra Mão de Sul C",15,IF(Atletas!K198="Choylayfut D",16,IF(Atletas!K198="Hunggar D",17,IF(Atletas!K198="Wuzuquan D",18,IF(Atletas!K198="Wingchun D",19,IF(Atletas!K198="Outra Mão de Sul D",20,IF(Atletas!K198="Choylayfut E",21,IF(Atletas!K198="Hunggar E",22,IF(Atletas!K198="Wuzuquan E",23,IF(Atletas!K198="Wingchun E",24,IF(Atletas!K198="Outra Mão de Sul E",25,IF(Atletas!K198="Choylayfut F",26,IF(Atletas!K198="Hunggar F",27,IF(Atletas!K198="Wuzuquan F",28,IF(Atletas!K198="Wingchun F",29,IF(Atletas!K198="Outra Mão de Sul F",30,""))))))))))))))))))))))))))))))))</f>
        <v/>
      </c>
      <c r="BL202" s="52" t="str">
        <f>IF(Atletas!L198="","",IF(Atletas!W198&lt;&gt;"",10000,0)+(IF(Atletas!B198="Feminino",1000,IF(Atletas!B198="Masculino",2000,""))+(IF(Atletas!L198="Chaquan A",101,IF(Atletas!L198="Emeiquan A",102,IF(Atletas!L198="Fanziquan A",103,IF(Atletas!L198="Huaquan A",104,IF(Atletas!L198="Hongquan A",105,IF(Atletas!L198="Paochui A",106,IF(Atletas!L198="Piguaquan A",107,IF(Atletas!L198="Shaolinquan A",108,IF(Atletas!L198="Tanglangquan A",109,IF(Atletas!L198="Yinzhaophai A",110,IF(Atletas!L198="Tongbeiquan A",111,IF(Atletas!L198="Wudangquan A",112,IF(Atletas!L198="Outros Estilos A",113,IF(Atletas!L198="Chaquan B",114,IF(Atletas!L198="Emeiquan B",115,IF(Atletas!L198="Fanziquan B",116,IF(Atletas!L198="Huaquan B",117,IF(Atletas!L198="Hongquan B",118,IF(Atletas!L198="Paochui B",119,IF(Atletas!L198="Piguaquan B",120,IF(Atletas!L198="Shaolinquan B",121,IF(Atletas!L198="Tanglangquan B",122,IF(Atletas!L198="Yinzhaophai B",123,IF(Atletas!L198="Tongbeiquan B",124,IF(Atletas!L198="Wudangquan B",125,IF(Atletas!L198="Outros Estilos B",126,IF(Atletas!L198="Chaquan C",127,IF(Atletas!L198="Emeiquan C",128,IF(Atletas!L198="Fanziquan C",129,IF(Atletas!L198="Huaquan C",130,IF(Atletas!L198="Hongquan C",131,IF(Atletas!L198="Paochui C",132,IF(Atletas!L198="Piguaquan C",133,IF(Atletas!L198="Shaolinquan C",134,IF(Atletas!L198="Tanglangquan C",135,IF(Atletas!L198="Yinzhaophai C",136,IF(Atletas!L198="Tongbeiquan C",137,IF(Atletas!L198="Wudangquan C",138,IF(Atletas!L198="Outros Estilos C",139,0))))))))))))))))))))))))))))))))))))))))))</f>
        <v/>
      </c>
      <c r="BM202" s="52" t="str">
        <f>IF(Atletas!L198="","",IF(Atletas!W198&lt;&gt;"",10000,0)+(IF(Atletas!B198="Feminino",1000,IF(Atletas!B198="Masculino",2000,""))+(IF(Atletas!L198="Chaquan D",140,IF(Atletas!L198="Emeiquan D",141,IF(Atletas!L198="Fanziquan D",142,IF(Atletas!L198="Huaquan D",143,IF(Atletas!L198="Hongquan D",144,IF(Atletas!L198="Paochui D",145,IF(Atletas!L198="Piguaquan D",146,IF(Atletas!L198="Shaolinquan D",147,IF(Atletas!L198="Tanglangquan D",148,IF(Atletas!L198="Yinzhaophai D",149,IF(Atletas!L198="Tongbeiquan D",150,IF(Atletas!L198="Wudangquan D",151,IF(Atletas!L198="Outros Estilos D",152,IF(Atletas!L198="Chaquan E",153,IF(Atletas!L198="Emeiquan E",154,IF(Atletas!L198="Fanziquan E",155,IF(Atletas!L198="Huaquan E",156,IF(Atletas!L198="Hongquan E",157,IF(Atletas!L198="Paochui E",158,IF(Atletas!L198="Piguaquan E",159,IF(Atletas!L198="Shaolinquan E",160,IF(Atletas!L198="Tanglangquan E",161,IF(Atletas!L198="Yinzhaophai E",162,IF(Atletas!L198="Tongbeiquan E",163,IF(Atletas!L198="Wudangquan E",164,IF(Atletas!L198="Outros Estilos E",165,IF(Atletas!L198="Chaquan F",166,IF(Atletas!L198="Emeiquan F",167,IF(Atletas!L198="Fanziquan F",168,IF(Atletas!L198="Huaquan F",169,IF(Atletas!L198="Hongquan F",170,IF(Atletas!L198="Paochui F",171,IF(Atletas!L198="Piguaquan F",172,IF(Atletas!L198="Shaolinquan F",173,IF(Atletas!L198="Tanglangquan F",174,IF(Atletas!L198="Yinzhaophai F",175,IF(Atletas!L198="Tongbeiquan F",176,IF(Atletas!L198="Wudangquan F",177,IF(Atletas!L198="Outros Estilos F",178,0))))))))))))))))))))))))))))))))))))))))))</f>
        <v/>
      </c>
      <c r="BN202" s="52" t="str">
        <f>IF(Atletas!M198="","",IF(Atletas!W198&lt;&gt;"",10000,0)+(IF(Atletas!B198="Feminino",1000,IF(Atletas!B198="Masculino",2000,""))+(IF(Atletas!M198="Ditangquan A",201,IF(Atletas!M198="Houquan A",202,IF(Atletas!M198="Zuiquan A",203,IF(Atletas!M198="Ditangquan B",204,IF(Atletas!M198="Houquan B",205,IF(Atletas!M198="Zuiquan B",206,IF(Atletas!M198="Ditangquan C",207,IF(Atletas!M198="Houquan C",208,IF(Atletas!M198="Zuiquan C",209,IF(Atletas!M198="Ditangquan D",210,IF(Atletas!M198="Houquan D",211,IF(Atletas!M198="Zuiquan D",212,IF(Atletas!M198="Ditangquan E",213,IF(Atletas!M198="Houquan E",214,IF(Atletas!M198="Zuiquan E",215,IF(Atletas!M198="Ditangquan F",216,IF(Atletas!M198="Houquan F",217,IF(Atletas!M198="Zuiquan F",218,"")))))))))))))))))))))</f>
        <v/>
      </c>
      <c r="BO202" s="52" t="str">
        <f>IF(Atletas!N198="","",IF(Atletas!W198&lt;&gt;"",10000,0)+IF(Atletas!B198="Feminino",1000,IF(Atletas!B198="Masculino",2000,""))+IF(Atletas!N198="Yang A",301,IF(Atletas!N198="Chen A",30,IF(Atletas!N198="Sun A",303,IF(Atletas!N198="Wu A",304,IF(Atletas!N198="Wu-Hao A",305,IF(Atletas!N198="Outro Taijiquan A",306,IF(Atletas!N198="Yang B",307,IF(Atletas!N198="Chen B",308,IF(Atletas!N198="Sun B",309,IF(Atletas!N198="Wu B",310,IF(Atletas!N198="Wu-Hao B",311,IF(Atletas!N198="Outro Taijiquan B",312,IF(Atletas!N198="Yang C",313,IF(Atletas!N198="Chen C",314,IF(Atletas!N198="Sun C",315,IF(Atletas!N198="Wu C",316,IF(Atletas!N198="Wu-Hao C",317,IF(Atletas!N198="Outro Taijiquan C",318,IF(Atletas!N198="Yang D",319,IF(Atletas!N198="Chen D",320,IF(Atletas!N198="Sun D",321,IF(Atletas!N198="Wu D",322,IF(Atletas!N198="Wu-Hao D",323,IF(Atletas!N198="Outro Taijiquan D",324,IF(Atletas!N198="Yang E",325,IF(Atletas!N198="Chen E",326,IF(Atletas!N198="Sun E",327,IF(Atletas!N198="Wu E",328,IF(Atletas!N198="Wu-Hao E",329,IF(Atletas!N198="Outro Taijiquan E",330,IF(Atletas!N198="Yang F",331,IF(Atletas!N198="Chen F",332,IF(Atletas!N198="Sun F",333,IF(Atletas!N198="Wu F",334,IF(Atletas!N198="Wu-Hao F",335,IF(Atletas!N198="Outro Taijiquan F",336,"")))))))))))))))))))))))))))))))))))))</f>
        <v/>
      </c>
      <c r="BP202" s="52" t="str">
        <f>IF(Atletas!O198="","",IF(Atletas!W198&lt;&gt;"",10000,0)+IF(Atletas!B198="Feminino",1000,IF(Atletas!B198="Masculino",2000,""))+IF(OR(Atletas!O198="Yang 26 A",Atletas!O198="Yang 40 A"),401,IF(OR(Atletas!O198="Chen 25 A",Atletas!O198="Chen 36 A",Atletas!O198="Chen 56 A"),402,IF(Atletas!O198="Sun 73 A",403,IF(Atletas!O198="Wu 45 A",404,IF(Atletas!O198="Wu-Hao 46 A",405,IF(OR(Atletas!O198="Taijiquan 16 A",Atletas!O198="Taijiquan 24 A",Atletas!O198="Taijiquan 32 A",Atletas!O198="Taijiquan 42 A"),406,IF(OR(Atletas!O198="Yang 26 B",Atletas!O198="Yang 40 B"),407,IF(OR(Atletas!O198="Chen 25 B",Atletas!O198="Chen 36 B",Atletas!O198="Chen 56 B"),408,IF(Atletas!O198="Sun 73 B",409,IF(Atletas!O198="Wu 45 B",410,IF(Atletas!O198="Wu-Hao 46 B",411,IF(OR(Atletas!O198="Taijiquan 16 B",Atletas!O198="Taijiquan 24 B",Atletas!O198="Taijiquan 32 B",Atletas!O198="Taijiquan 42 B"),412,IF(OR(Atletas!O198="Yang 26 C",Atletas!O198="Yang 40 C"),413,IF(OR(Atletas!O198="Chen 25 C",Atletas!O198="Chen 36 C",Atletas!O198="Chen 56 C"),414,IF(Atletas!O198="Sun 73 C",415,IF(Atletas!O198="Wu 45 C",416,IF(Atletas!O198="Wu-Hao 46 C",417,IF(OR(Atletas!O198="Taijiquan 16 C",Atletas!O198="Taijiquan 24 C",Atletas!O198="Taijiquan 32 C",Atletas!O198="Taijiquan 42 C"),418,0)))))))))))))))))))</f>
        <v/>
      </c>
      <c r="BQ202" s="52" t="str">
        <f>IF(Atletas!O198="","",IF(Atletas!W198&lt;&gt;"",10000,0)+IF(Atletas!B198="Feminino",1000,IF(Atletas!B198="Masculino",2000,""))+IF(OR(Atletas!O198="Yang 26 D",Atletas!O198="Yang 40 D"),419,IF(OR(Atletas!O198="Chen 25 D",Atletas!O198="Chen 36 D",Atletas!O198="Chen 56 D"),420,IF(Atletas!O198="Sun 73 D",421,IF(Atletas!O198="Wu 45 D",422,IF(Atletas!O198="Wu-Hao 46 D",423,IF(OR(Atletas!O198="Taijiquan 16 D",Atletas!O198="Taijiquan 24 D",Atletas!O198="Taijiquan 32 D",Atletas!O198="Taijiquan 42 D"),424,IF(OR(Atletas!O198="Yang 26 E",Atletas!O198="Yang 40 E"),425,IF(OR(Atletas!O198="Chen 25 E",Atletas!O198="Chen 36 E",Atletas!O198="Chen 56 E"),426,IF(Atletas!O198="Sun 73 E",427,IF(Atletas!O198="Wu 45 E",428,IF(Atletas!O198="Wu-Hao 46 E",429,IF(OR(Atletas!O198="Taijiquan 16 E",Atletas!O198="Taijiquan 24 E",Atletas!O198="Taijiquan 32 E",Atletas!O198="Taijiquan 42 E"),430,IF(OR(Atletas!O198="Yang 26 F",Atletas!O198="Yang 40 F"),431,IF(OR(Atletas!O198="Chen 25 F",Atletas!O198="Chen 36 F",Atletas!O198="Chen 56 F"),432,IF(Atletas!O198="Sun 73 F",433,IF(Atletas!O198="Wu 45 F",434,IF(Atletas!O198="Wu-Hao 46 F",435,IF(OR(Atletas!O198="Taijiquan 16 F",Atletas!O198="Taijiquan 24 F",Atletas!O198="Taijiquan 32 F",Atletas!O198="Taijiquan 42 F"),436,0)))))))))))))))))))</f>
        <v/>
      </c>
      <c r="BR202" s="52" t="str">
        <f>IF(Atletas!P198="","",IF(Atletas!W198&lt;&gt;"",10000,0)+IF(Atletas!B198="Feminino",1000,IF(Atletas!B198="Masculino",2000,""))+IF(Atletas!P198="Xingyiquan A",501,IF(Atletas!P198="Baguazhang A",502,IF(Atletas!P198="Outro Estilo Interno A",503,IF(Atletas!P198="Xingyiquan B",504,IF(Atletas!P198="Baguazhang B",505,IF(Atletas!P198="Outro Estilo Interno B",506,IF(Atletas!P198="Xingyiquan C",507,IF(Atletas!P198="Baguazhang C",508,IF(Atletas!P198="Outro Estilo Interno C",509,IF(Atletas!P198="Xingyiquan D",510,IF(Atletas!P198="Baguazhang D",511,IF(Atletas!P198="Outro Estilo Interno D",512,IF(Atletas!P198="Xingyiquan E",513,IF(Atletas!P198="Baguazhang E",514,IF(Atletas!P198="Outro Estilo Interno E",515,IF(Atletas!P198="Xingyiquan F",516,IF(Atletas!P198="Baguazhang F",517,IF(Atletas!P198="Outro Estilo Interno F",518, "")))))))))))))))))))</f>
        <v/>
      </c>
      <c r="BS202" s="52" t="str">
        <f>IF(Atletas!Q198="","",IF(Atletas!W198&lt;&gt;"",10000,0)+IF(Atletas!B198="Feminino",1000,IF(Atletas!B198="Masculino",2000,""))+IF(Atletas!Q198="Dao A",601,IF(Atletas!Q198="Jian A",602,IF(Atletas!Q198="Bishou A",603,IF(Atletas!Q198="Shan A",604,IF(Atletas!Q198="Outra Arma Curta A",605,IF(Atletas!Q198="Dao B",606,IF(Atletas!Q198="Jian B",607,IF(Atletas!Q198="Bishou B",608,IF(Atletas!Q198="Shan B",609,IF(Atletas!Q198="Outra Arma Curta B",610,IF(Atletas!Q198="Dao C",611,IF(Atletas!Q198="Jian C",612,IF(Atletas!Q198="Bishou C",613,IF(Atletas!Q198="Shan C",614,IF(Atletas!Q198="Outra Arma Curta C",615,IF(Atletas!Q198="Dao D",616,IF(Atletas!Q198="Jian D",617,IF(Atletas!Q198="Bishou D",618,IF(Atletas!Q198="Shan D",619,IF(Atletas!Q198="Outra Arma Curta D",620,IF(Atletas!Q198="Dao E",621,IF(Atletas!Q198="Jian E",622,IF(Atletas!Q198="Bishou E",623,IF(Atletas!Q198="Shan E",624,IF(Atletas!Q198="Outra Arma Curta E",625,IF(Atletas!Q198="Dao F",626,IF(Atletas!Q198="Jian F",627,IF(Atletas!Q198="Bishou F",628,IF(Atletas!Q198="Shan F",629,IF(Atletas!Q198="Outra Arma Curta F",630, "")))))))))))))))))))))))))))))))</f>
        <v/>
      </c>
      <c r="BT202" s="52" t="str">
        <f>IF(Atletas!R198="","",IF(Atletas!W198&lt;&gt;"",10000,0)+IF(Atletas!B198="Feminino",1000,IF(Atletas!B198="Masculino",2000,""))+IF(Atletas!R198="Gun A",701,IF(Atletas!R198="Qiang A",702,IF(Atletas!R198="Pudao / Guandao A",703,IF(Atletas!R198="Outra Arma Longa A",704,IF(Atletas!R198="Gun B",705,IF(Atletas!R198="Qiang B",706,IF(Atletas!R198="Pudao / Guandao B",707,IF(Atletas!R198="Outra Arma Longa B",708,IF(Atletas!R198="Gun C",709,IF(Atletas!R198="Qiang C",710,IF(Atletas!R198="Pudao / Guandao C",711,IF(Atletas!R198="Outra Arma Longa C",712,IF(Atletas!R198="Gun D",713,IF(Atletas!R198="Qiang D",714,IF(Atletas!R198="Pudao / Guandao D",715,IF(Atletas!R198="Outra Arma Longa D",716,IF(Atletas!R198="Gun E",717,IF(Atletas!R198="Qiang E",718,IF(Atletas!R198="Pudao / Guandao E",719,IF(Atletas!R198="Outra Arma Longa E",720,IF(Atletas!R198="Gun F",721,IF(Atletas!R198="Qiang F",722,IF(Atletas!R198="Pudao / Guandao F",723,IF(Atletas!R198="Outra Arma Longa F",724,"")))))))))))))))))))))))))</f>
        <v/>
      </c>
      <c r="BU202" s="52" t="str">
        <f>IF(Atletas!S198="","",IF(Atletas!W198&lt;&gt;"",10000,0)+IF(Atletas!B198="Feminino",1000,IF(Atletas!B198="Masculino",2000,""))+IF(Atletas!S198="Arma Dupla A",801,IF(Atletas!S198="Arma Maleável A",802,IF(Atletas!S198="Arma Dupla B",803,IF(Atletas!S198="Arma Maleável B",804,IF(Atletas!S198="Arma Dupla C",805,IF(Atletas!S198="Arma Maleável C",806,IF(Atletas!S198="Arma Dupla D",807,IF(Atletas!S198="Arma Maleável D",808,IF(Atletas!S198="Arma Dupla E",809,IF(Atletas!S198="Arma Maleável E",810,IF(Atletas!S198="Arma Dupla F",811,IF(Atletas!S198="Arma Maleável F",812, "")))))))))))))</f>
        <v/>
      </c>
      <c r="BV202" s="52" t="str">
        <f>IF(Atletas!T198="","",IF(Atletas!W198&lt;&gt;"",10000,0)+IF(Atletas!B198="Feminino",1000,IF(Atletas!B198="Masculino",2000,""))+IF(Atletas!T198="Taijijian Yang A",901,IF(Atletas!T198="Taijijian Chen A",902,IF(Atletas!T198="Taijijian Sun A",903,IF(Atletas!T198="Taijijian Wu A",904,IF(Atletas!T198="Taijijian Wu-Hao A",905,IF(Atletas!T198="Taijijian 32 A",906,IF(Atletas!T198="Taijijian 42 A",907,IF(Atletas!T198="Taijijian Yang B",908,IF(Atletas!T198="Taijijian Chen B",909,IF(Atletas!T198="Taijijian Sun B",910,IF(Atletas!T198="Taijijian Wu B",911,IF(Atletas!T198="Taijijian Wu-Hao B",912,IF(Atletas!T198="Taijijian 32 B",913,IF(Atletas!T198="Taijijian 42 B",914,IF(Atletas!T198="Taijijian Yang C",915,IF(Atletas!T198="Taijijian Chen C",916,IF(Atletas!T198="Taijijian Sun C",917,IF(Atletas!T198="Taijijian Wu C",918,IF(Atletas!T198="Taijijian Wu-Hao C",919,IF(Atletas!T198="Taijijian 32 C",920,IF(Atletas!T198="Taijijian 42 C",921,IF(Atletas!T198="Taijijian Yang D",922,IF(Atletas!T198="Taijijian Chen D",923,IF(Atletas!T198="Taijijian Sun D",924,IF(Atletas!T198="Taijijian Wu D",925,IF(Atletas!T198="Taijijian Wu-Hao D",926,IF(Atletas!T198="Taijijian 32 D",927,IF(Atletas!T198="Taijijian 42 D",928,IF(Atletas!T198="Taijijian Yang E",929,IF(Atletas!T198="Taijijian Chen E",930,IF(Atletas!T198="Taijijian Sun E",931,IF(Atletas!T198="Taijijian Wu E",932,IF(Atletas!T198="Taijijian Wu-Hao E",933,IF(Atletas!T198="Taijijian 32 E",934,IF(Atletas!T198="Taijijian 42 E",935,IF(Atletas!T198="Taijijian Yang F",936,IF(Atletas!T198="Taijijian Chen F",937,IF(Atletas!T198="Taijijian Sun F",938,IF(Atletas!T198="Taijijian Wu F",939,IF(Atletas!T198="Taijijian Wu-Hao F",940,IF(Atletas!T198="Taijijian 32 F",941,IF(Atletas!T198="Taijijian 42 F",942,"")))))))))))))))))))))))))))))))))))))))))))</f>
        <v/>
      </c>
      <c r="BW202" s="52" t="str">
        <f>IF(Atletas!U198="","",IF(Atletas!W198&lt;&gt;"",10000,0)+IF(Atletas!B198="Feminino",1000,IF(Atletas!B198="Masculino",2000,""))+IF(Atletas!T198="Taijijian 42 F",942,IF(Atletas!U198="Taijidao A",943,IF(Atletas!U198="Taijishan A",944,IF(Atletas!U198="Taijiqiang A",945,IF(Atletas!U198="Taijidao B",946,IF(Atletas!U198="Taijishan B",947,IF(Atletas!U198="Taijiqiang B",948,IF(Atletas!U198="Taijidao C",949,IF(Atletas!U198="Taijishan C",950,IF(Atletas!U198="Taijiqiang C",951,IF(Atletas!U198="Taijidao D",952,IF(Atletas!U198="Taijishan D",953,IF(Atletas!U198="Taijiqiang D",954,IF(Atletas!U198="Taijidao E",955,IF(Atletas!U198="Taijishan E",956,IF(Atletas!U198="Taijiqiang E",957,IF(Atletas!U198="Taijidao F",958,IF(Atletas!U198="Taijishan F",959,IF(Atletas!U198="Taijiqiang F",960))))))))))))))))))))</f>
        <v/>
      </c>
      <c r="BX202" s="72" t="str">
        <f>IF(BY202&lt;&gt;"","TJQ Padr. Wu F","")</f>
        <v/>
      </c>
      <c r="BY202" s="72" t="str">
        <f>IF(COUNTIF(BK:BW,1434)&gt;0,COUNTIF(BK:BW,1434),"")</f>
        <v/>
      </c>
      <c r="BZ202" s="72" t="str">
        <f>IF(CA202&lt;&gt;"","TJQ Padr. Wu F","")</f>
        <v/>
      </c>
      <c r="CA202" s="72" t="str">
        <f>IF(COUNTIF(BK:BW,2434)&gt;0,COUNTIF(BK:BW,2434),"")</f>
        <v/>
      </c>
      <c r="CB202" s="72" t="str">
        <f>IF(CC202&lt;&gt;"","Wu 45 C","")</f>
        <v/>
      </c>
      <c r="CC202" s="64" t="str">
        <f>IF(COUNTIF(BK:BW,11434)&gt;0,COUNTIF(BK:BW,11434),"")</f>
        <v/>
      </c>
      <c r="CD202" s="64" t="str">
        <f>IF(CE202&lt;&gt;"","Wu 45 C","")</f>
        <v/>
      </c>
      <c r="CE202" s="64" t="str">
        <f>IF(COUNTIF(BK:BW,12434)&gt;0,COUNTIF(BK:BW,12434),"")</f>
        <v/>
      </c>
      <c r="CF202" s="52" t="str">
        <f xml:space="preserve"> IF(Atletas!V198="","",IF(Atletas!V198="Duilian de Mãos AB - Equipe 1",1,IF(Atletas!V198="Duilian de Mãos AB - Equipe 2",2,IF(Atletas!V198="Duilian de Armas AB - Equipe 1",3,IF(Atletas!V198="Duilian de Armas AB - Equipe 2",4,IF(Atletas!V198="Duilian de Tuishou - Equipe 1",5,IF(Atletas!V198="Duilian de Tuishou - Equipe 2",6,IF(Atletas!V198="Grupo Externo AB - Equipe 1",7,IF(Atletas!V198="Grupo Externo AB - Equipe 2",8,IF(Atletas!V198="Grupo Interno AB - Equipe 1",9,IF(Atletas!V198="Grupo Interno AB - Equipe 2",10,IF(Atletas!V198="Duilian de Mãos CD - Equipe 1",11,IF(Atletas!V198="Duilian de Mãos CD - Equipe 2",12,IF(Atletas!V198="Duilian de Armas CD - Equipe 1",13,IF(Atletas!V198="Duilian de Armas CD - Equipe 2",14,IF(Atletas!V198="Duilian de Tuishou - Equipe 1",15,IF(Atletas!V198="Duilian de Tuishou - Equipe 2",16,IF(Atletas!V198="Grupo Externo CDEF - Equipe 1",17,IF(Atletas!V198="Grupo Externo CDEF - Equipe 2",18,IF(Atletas!V198="Grupo Interno CDEF - Equipe 1",19,IF(Atletas!V198="Grupo Interno CDEF - Equipe 2",20,IF(Atletas!V198="Duilian de Mãos EF - Equipe 1",21,IF(Atletas!V198="Duilian de Mãos EF - Equipe 2",22,IF(Atletas!V198="Duilian de Armas EF - Equipe 1",23,IF(Atletas!V198="Duilian de Armas EF - Equipe 2",24,IF(Atletas!V198="Duilian de Tuishou - Equipe 1",25,IF(Atletas!V198="Duilian de Tuishou - Equipe 2",26,"")))))))))))))))))))))))))))</f>
        <v/>
      </c>
    </row>
    <row r="203" spans="2:84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 t="str">
        <f t="array" ref="V203">IFERROR(INDEX(BX$7:BX$336,SMALL(IF(BX$7:BX$336&lt;&gt;"",ROW(BX$7:BX$336)-ROW(BX$7)+1),ROWS(BX$7:BX202))),"")</f>
        <v/>
      </c>
      <c r="W203" s="4" t="str">
        <f t="array" ref="W203">IFERROR(INDEX(BY$7:BY$336,SMALL(IF(BY$7:BY$336&lt;&gt;"",ROW(BY$7:BY$336)-ROW(BY$7)+1),ROWS(BY$7:BY202))),"")</f>
        <v/>
      </c>
      <c r="X203" s="4" t="str">
        <f t="array" ref="X203">IFERROR(INDEX(BZ$7:BZ$336,SMALL(IF(BZ$7:BZ$336&lt;&gt;"",ROW(BZ$7:BZ$336)-ROW(BZ$7)+1),ROWS(BZ$7:BZ202))),"")</f>
        <v/>
      </c>
      <c r="Y203" s="4" t="str">
        <f t="array" ref="Y203">IFERROR(INDEX(CA$7:CA$336,SMALL(IF(CA$7:CA$336&lt;&gt;"",ROW(CA$7:CA$336)-ROW(CA$7)+1),ROWS(CA$7:CA202))),"")</f>
        <v/>
      </c>
      <c r="Z203" s="4" t="str">
        <f t="array" ref="Z203">IFERROR(INDEX(CB$7:CB$378,SMALL(IF(CB$7:CB$378&lt;&gt;"",ROW(CB$7:CB$378)-ROW(CB$7)+1),ROWS(CB$7:CB202))),"")</f>
        <v/>
      </c>
      <c r="AA203" s="4" t="str">
        <f t="array" ref="AA203">IFERROR(INDEX(CC$7:CC$378,SMALL(IF(CC$7:CC$378&lt;&gt;"",ROW(CC$7:CC$378)-ROW(CC$7)+1),ROWS(CC$7:CC202))),"")</f>
        <v/>
      </c>
      <c r="AB203" s="4" t="str">
        <f t="array" ref="AB203">IFERROR(INDEX(CD$7:CD$378,SMALL(IF(CD$7:CD$378&lt;&gt;"",ROW(CD$7:CD$378)-ROW(CD$7)+1),ROWS(CD$7:CD202))),"")</f>
        <v/>
      </c>
      <c r="AC203" s="4" t="str">
        <f t="array" ref="AC203">IFERROR(INDEX(CE$7:CE$378,SMALL(IF(CE$7:CE$378&lt;&gt;"",ROW(CE$7:CE$378)-ROW(CE$7)+1),ROWS(CE$7:CE202))),"")</f>
        <v/>
      </c>
      <c r="AD203" s="4"/>
      <c r="AE203" s="4"/>
      <c r="AF203" s="4"/>
      <c r="AG203" s="4"/>
      <c r="AH203" s="4"/>
      <c r="AI203" s="4"/>
      <c r="AJ203" s="46" t="str">
        <f>IF(Atletas!D199="","",IF(Atletas!B199="Feminino",100,IF(Atletas!B199="Masculino",200,""))+(IF(Atletas!D199="Infantil 39kg",1,IF(Atletas!D199="Infantil 42kg",2,IF(Atletas!D199="Infantil 45kg",3,IF(Atletas!D199="Infantil 48kg",4,IF(Atletas!D199="Infantil 52kg",5,IF(Atletas!D199="Infantil 56kg",6,IF(Atletas!D199="Infantil 60kg",7,IF(Atletas!D199="Juvenil 48kg",8,IF(Atletas!D199="Juvenil 52kg",9,IF(Atletas!D199="Juvenil 56kg",10,IF(Atletas!D199="Juvenil 60kg",11,IF(Atletas!D199="Juvenil 65kg",12,IF(Atletas!D199="Juvenil 70kg",13,IF(Atletas!D199="Juvenil 75kg",14,IF(Atletas!D199="Juvenil 80kg",15,IF(Atletas!D199="Adulto 48kg",16,IF(Atletas!D199="Adulto 52kg",17,IF(Atletas!D199="Adulto 56kg",18,IF(Atletas!D199="Adulto 60kg",19,IF(Atletas!D199="Adulto 65kg",20,IF(Atletas!D199="Adulto 70kg",21,IF(Atletas!D199="Adulto 75kg",22,IF(Atletas!D199="Adulto 80kg",23,IF(Atletas!D199="Adulto 85kg",24,IF(Atletas!D199="Adulto 90kg",25,IF(Atletas!D199="Adulto +90kg",26,""))))))))))))))))))))))))))))</f>
        <v/>
      </c>
      <c r="AO203" s="10" t="str">
        <f>IF(Atletas!E199="","",IF(Atletas!B199="Feminino",100,IF(Atletas!B199="Masculino",200,""))+(IF(Atletas!E199="Juvenil 44kg",1,IF(Atletas!E199="Juvenil 48kg",2,IF(Atletas!E199="Juvenil 52kg",3,IF(Atletas!E199="Juvenil 56kg",4,IF(Atletas!E199="Juvenil 60kg",5,IF(Atletas!E199="Juvenil 65kg",6,IF(Atletas!E199="Juvenil 70kg",7,IF(Atletas!E199="Juvenil 75kg",8,IF(Atletas!E199="Juvenil 82kg",9,IF(Atletas!E199="Juvenil 90kg",10,IF(Atletas!E199="Juvenil 100kg",11,IF(Atletas!E199="Adulto 48kg",12,IF(Atletas!E199="Adulto 52kg",13,IF(Atletas!E199="Adulto 56kg",14,IF(Atletas!E199="Adulto 60kg",15,IF(Atletas!E199="Adulto 65kg",16,IF(Atletas!E199="Adulto 70kg",17,IF(Atletas!E199="Adulto 75kg",18,IF(Atletas!E199="Adulto 82kg",19,IF(Atletas!E199="Adulto 90kg",20,IF(Atletas!E199="Adulto 100kg",21,IF(Atletas!E199="Adulto +100kg",22,""))))))))))))))))))))))))</f>
        <v/>
      </c>
      <c r="AT203" s="10" t="str">
        <f>IF(Atletas!F199="","",IF(Atletas!B199="Feminino",100,IF(Atletas!B199="Masculino",200,""))+(IF(Atletas!F199="Adulto 48kg",1,IF(Atletas!F199="Adulto 56kg",2,IF(Atletas!F199="Adulto 65kg",3,IF(Atletas!F199="Adulto 75kg",4,IF(Atletas!F199="Adulto +75kg",5,IF(Atletas!F199="Adulto 52kg",6,IF(Atletas!F199="Adulto 60kg",7,IF(Atletas!F199="Adulto 70kg",8,IF(Atletas!F199="Adulto 80kg",9,IF(Atletas!F199="Adulto 90kg",10,IF(Atletas!F199="Adulto +90kg",11,"")))))))))))))</f>
        <v/>
      </c>
      <c r="AY203" s="46" t="str">
        <f>IF(Atletas!G199="","",IF(Atletas!B199="Feminino",100,IF(Atletas!B199="Masculino",200,""))+(IF(Atletas!G199="Changquan Mirim",1,IF(Atletas!G199="Nanquan Mirim",2,IF(Atletas!G199="Taijiquan Mirim",3,IF(Atletas!G199="Changquan Grupo C",4,IF(Atletas!G199="Nanquan Grupo C",5,IF(Atletas!G199="Taijiquan Grupo C",6,IF(Atletas!G199="Changquan Grupo B",7,IF(Atletas!G199="Nanquan Grupo B",8,IF(Atletas!G199="Taijiquan Grupo B",9,IF(Atletas!G199="Changquan Grupo A",10,IF(Atletas!G199="Nanquan Grupo A",11,IF(Atletas!G199="Taijiquan Grupo A",12,IF(Atletas!G199="Changquan Opcional",13,IF(Atletas!G199="Nanquan Opcional",14,IF(Atletas!G199="Taijiquan Opcional",15,IF(Atletas!G199="Changquan Adulto",16,IF(Atletas!G199="Nanquan Adulto",17,IF(Atletas!G199="Taijiquan Adulto",18,""))))))))))))))))))))</f>
        <v/>
      </c>
      <c r="AZ203" s="46" t="str">
        <f>IF(Atletas!H199="","",IF(Atletas!B199="Feminino",100,IF(Atletas!B199="Masculino",200,""))+(IF(Atletas!H199="Daoshu Mirim",19,IF(Atletas!H199="Jianshu Mirim",20,IF(Atletas!H199="Nandao Mirim",21,IF(Atletas!H199="Taijijian Mirim",22,IF(Atletas!H199="Daoshu Grupo C",23,IF(Atletas!H199="Jianshu Grupo C",24,IF(Atletas!H199="Nandao Grupo C",25,IF(Atletas!H199="Taijijian Grupo C",26,IF(Atletas!H199="Daoshu Grupo B",27,IF(Atletas!H199="Jianshu Grupo B",28,IF(Atletas!H199="Nandao Grupo B",29,IF(Atletas!H199="Taijijian Grupo B",30,IF(Atletas!H199="Daoshu Grupo A",31,IF(Atletas!H199="Jianshu Grupo A",32,IF(Atletas!H199="Nandao Grupo A",33,IF(Atletas!H199="Taijijian Grupo A",34,IF(Atletas!H199="Daoshu Opcional",35,IF(Atletas!H199="Jianshu Opcional",36,IF(Atletas!H199="Nandao Opcional",37,IF(Atletas!H199="Taijijian Opcional",38,IF(Atletas!H199="Daoshu Adulto",39,IF(Atletas!H199="Jianshu Adulto",40,IF(Atletas!H199="Nandao Adulto",41,IF(Atletas!H199="Taijijian Adulto",42,""))))))))))))))))))))))))))</f>
        <v/>
      </c>
      <c r="BA203" s="46" t="str">
        <f>IF(Atletas!I199="","",IF(Atletas!B199="Feminino",100,IF(Atletas!B199="Masculino",200,""))+(IF(Atletas!I199="Gunshu Mirim",43,IF(Atletas!I199="Qiangshu Mirim",44,IF(Atletas!I199="Nangun Mirim",45,IF(Atletas!I199="Gunshu Grupo C",46,IF(Atletas!I199="Qiangshu Grupo C",47,IF(Atletas!I199="Nangun Grupo C",48,IF(Atletas!I199="Gunshu Grupo B",49,IF(Atletas!I199="Qiangshu Grupo B",50,IF(Atletas!I199="Nangun Grupo B",51,IF(Atletas!I199="Gunshu Grupo A",52,IF(Atletas!I199="Qiangshu Grupo A",53,IF(Atletas!I199="Nangun Grupo A",54,IF(Atletas!I199="Gunshu Opcional",55,IF(Atletas!I199="Qiangshu Opcional",56,IF(Atletas!I199="Nangun Opcional",57,IF(Atletas!I199="Gunshu Adulto",58,IF(Atletas!I199="Qiangshu Adulto",59,IF(Atletas!I199="Nangun Adulto",60,""))))))))))))))))))))</f>
        <v/>
      </c>
      <c r="BF203" s="52" t="str">
        <f>IF(Atletas!J199="","",IF(Atletas!B199="Feminino",100,IF(Atletas!B199="Masculino",200,""))+(IF(Atletas!J199="Equipe 1 Grupo B",1,IF(Atletas!J199="Equipe 2 Grupo B",2,IF(Atletas!J199="Equipe 1 Grupo A",3,IF(Atletas!J199="Equipe 2 Grupo A",4,IF(Atletas!J199="Equipe 1 Adulto",5,IF(Atletas!J199="Equipe 2 Adulto",6,""))))))))</f>
        <v/>
      </c>
      <c r="BK203" s="52" t="str">
        <f>IF(Atletas!K199="","",IF(Atletas!W199&lt;&gt;"",10000,0)+(IF(Atletas!B199="Feminino",1000,IF(Atletas!B199="Masculino",2000,""))+IF(Atletas!K199="Choylayfut A",1,IF(Atletas!K199="Hunggar A",2,IF(Atletas!K199="Wuzuquan A",3,IF(Atletas!K199="Wingchun A",4,IF(Atletas!K199="Outra Mão de Sul A",5,IF(Atletas!K199="Choylayfut B",6,IF(Atletas!K199="Hunggar B",7,IF(Atletas!K199="Wuzuquan B",8,IF(Atletas!K199="Wingchun B",9,IF(Atletas!K199="Outra Mão de Sul B",10,IF(Atletas!K199="Choylayfut C",11,IF(Atletas!K199="Hunggar C",12,IF(Atletas!K199="Wuzuquan C",13,IF(Atletas!K199="Wingchun C",14,IF(Atletas!K199="Outra Mão de Sul C",15,IF(Atletas!K199="Choylayfut D",16,IF(Atletas!K199="Hunggar D",17,IF(Atletas!K199="Wuzuquan D",18,IF(Atletas!K199="Wingchun D",19,IF(Atletas!K199="Outra Mão de Sul D",20,IF(Atletas!K199="Choylayfut E",21,IF(Atletas!K199="Hunggar E",22,IF(Atletas!K199="Wuzuquan E",23,IF(Atletas!K199="Wingchun E",24,IF(Atletas!K199="Outra Mão de Sul E",25,IF(Atletas!K199="Choylayfut F",26,IF(Atletas!K199="Hunggar F",27,IF(Atletas!K199="Wuzuquan F",28,IF(Atletas!K199="Wingchun F",29,IF(Atletas!K199="Outra Mão de Sul F",30,""))))))))))))))))))))))))))))))))</f>
        <v/>
      </c>
      <c r="BL203" s="52" t="str">
        <f>IF(Atletas!L199="","",IF(Atletas!W199&lt;&gt;"",10000,0)+(IF(Atletas!B199="Feminino",1000,IF(Atletas!B199="Masculino",2000,""))+(IF(Atletas!L199="Chaquan A",101,IF(Atletas!L199="Emeiquan A",102,IF(Atletas!L199="Fanziquan A",103,IF(Atletas!L199="Huaquan A",104,IF(Atletas!L199="Hongquan A",105,IF(Atletas!L199="Paochui A",106,IF(Atletas!L199="Piguaquan A",107,IF(Atletas!L199="Shaolinquan A",108,IF(Atletas!L199="Tanglangquan A",109,IF(Atletas!L199="Yinzhaophai A",110,IF(Atletas!L199="Tongbeiquan A",111,IF(Atletas!L199="Wudangquan A",112,IF(Atletas!L199="Outros Estilos A",113,IF(Atletas!L199="Chaquan B",114,IF(Atletas!L199="Emeiquan B",115,IF(Atletas!L199="Fanziquan B",116,IF(Atletas!L199="Huaquan B",117,IF(Atletas!L199="Hongquan B",118,IF(Atletas!L199="Paochui B",119,IF(Atletas!L199="Piguaquan B",120,IF(Atletas!L199="Shaolinquan B",121,IF(Atletas!L199="Tanglangquan B",122,IF(Atletas!L199="Yinzhaophai B",123,IF(Atletas!L199="Tongbeiquan B",124,IF(Atletas!L199="Wudangquan B",125,IF(Atletas!L199="Outros Estilos B",126,IF(Atletas!L199="Chaquan C",127,IF(Atletas!L199="Emeiquan C",128,IF(Atletas!L199="Fanziquan C",129,IF(Atletas!L199="Huaquan C",130,IF(Atletas!L199="Hongquan C",131,IF(Atletas!L199="Paochui C",132,IF(Atletas!L199="Piguaquan C",133,IF(Atletas!L199="Shaolinquan C",134,IF(Atletas!L199="Tanglangquan C",135,IF(Atletas!L199="Yinzhaophai C",136,IF(Atletas!L199="Tongbeiquan C",137,IF(Atletas!L199="Wudangquan C",138,IF(Atletas!L199="Outros Estilos C",139,0))))))))))))))))))))))))))))))))))))))))))</f>
        <v/>
      </c>
      <c r="BM203" s="52" t="str">
        <f>IF(Atletas!L199="","",IF(Atletas!W199&lt;&gt;"",10000,0)+(IF(Atletas!B199="Feminino",1000,IF(Atletas!B199="Masculino",2000,""))+(IF(Atletas!L199="Chaquan D",140,IF(Atletas!L199="Emeiquan D",141,IF(Atletas!L199="Fanziquan D",142,IF(Atletas!L199="Huaquan D",143,IF(Atletas!L199="Hongquan D",144,IF(Atletas!L199="Paochui D",145,IF(Atletas!L199="Piguaquan D",146,IF(Atletas!L199="Shaolinquan D",147,IF(Atletas!L199="Tanglangquan D",148,IF(Atletas!L199="Yinzhaophai D",149,IF(Atletas!L199="Tongbeiquan D",150,IF(Atletas!L199="Wudangquan D",151,IF(Atletas!L199="Outros Estilos D",152,IF(Atletas!L199="Chaquan E",153,IF(Atletas!L199="Emeiquan E",154,IF(Atletas!L199="Fanziquan E",155,IF(Atletas!L199="Huaquan E",156,IF(Atletas!L199="Hongquan E",157,IF(Atletas!L199="Paochui E",158,IF(Atletas!L199="Piguaquan E",159,IF(Atletas!L199="Shaolinquan E",160,IF(Atletas!L199="Tanglangquan E",161,IF(Atletas!L199="Yinzhaophai E",162,IF(Atletas!L199="Tongbeiquan E",163,IF(Atletas!L199="Wudangquan E",164,IF(Atletas!L199="Outros Estilos E",165,IF(Atletas!L199="Chaquan F",166,IF(Atletas!L199="Emeiquan F",167,IF(Atletas!L199="Fanziquan F",168,IF(Atletas!L199="Huaquan F",169,IF(Atletas!L199="Hongquan F",170,IF(Atletas!L199="Paochui F",171,IF(Atletas!L199="Piguaquan F",172,IF(Atletas!L199="Shaolinquan F",173,IF(Atletas!L199="Tanglangquan F",174,IF(Atletas!L199="Yinzhaophai F",175,IF(Atletas!L199="Tongbeiquan F",176,IF(Atletas!L199="Wudangquan F",177,IF(Atletas!L199="Outros Estilos F",178,0))))))))))))))))))))))))))))))))))))))))))</f>
        <v/>
      </c>
      <c r="BN203" s="52" t="str">
        <f>IF(Atletas!M199="","",IF(Atletas!W199&lt;&gt;"",10000,0)+(IF(Atletas!B199="Feminino",1000,IF(Atletas!B199="Masculino",2000,""))+(IF(Atletas!M199="Ditangquan A",201,IF(Atletas!M199="Houquan A",202,IF(Atletas!M199="Zuiquan A",203,IF(Atletas!M199="Ditangquan B",204,IF(Atletas!M199="Houquan B",205,IF(Atletas!M199="Zuiquan B",206,IF(Atletas!M199="Ditangquan C",207,IF(Atletas!M199="Houquan C",208,IF(Atletas!M199="Zuiquan C",209,IF(Atletas!M199="Ditangquan D",210,IF(Atletas!M199="Houquan D",211,IF(Atletas!M199="Zuiquan D",212,IF(Atletas!M199="Ditangquan E",213,IF(Atletas!M199="Houquan E",214,IF(Atletas!M199="Zuiquan E",215,IF(Atletas!M199="Ditangquan F",216,IF(Atletas!M199="Houquan F",217,IF(Atletas!M199="Zuiquan F",218,"")))))))))))))))))))))</f>
        <v/>
      </c>
      <c r="BO203" s="52" t="str">
        <f>IF(Atletas!N199="","",IF(Atletas!W199&lt;&gt;"",10000,0)+IF(Atletas!B199="Feminino",1000,IF(Atletas!B199="Masculino",2000,""))+IF(Atletas!N199="Yang A",301,IF(Atletas!N199="Chen A",30,IF(Atletas!N199="Sun A",303,IF(Atletas!N199="Wu A",304,IF(Atletas!N199="Wu-Hao A",305,IF(Atletas!N199="Outro Taijiquan A",306,IF(Atletas!N199="Yang B",307,IF(Atletas!N199="Chen B",308,IF(Atletas!N199="Sun B",309,IF(Atletas!N199="Wu B",310,IF(Atletas!N199="Wu-Hao B",311,IF(Atletas!N199="Outro Taijiquan B",312,IF(Atletas!N199="Yang C",313,IF(Atletas!N199="Chen C",314,IF(Atletas!N199="Sun C",315,IF(Atletas!N199="Wu C",316,IF(Atletas!N199="Wu-Hao C",317,IF(Atletas!N199="Outro Taijiquan C",318,IF(Atletas!N199="Yang D",319,IF(Atletas!N199="Chen D",320,IF(Atletas!N199="Sun D",321,IF(Atletas!N199="Wu D",322,IF(Atletas!N199="Wu-Hao D",323,IF(Atletas!N199="Outro Taijiquan D",324,IF(Atletas!N199="Yang E",325,IF(Atletas!N199="Chen E",326,IF(Atletas!N199="Sun E",327,IF(Atletas!N199="Wu E",328,IF(Atletas!N199="Wu-Hao E",329,IF(Atletas!N199="Outro Taijiquan E",330,IF(Atletas!N199="Yang F",331,IF(Atletas!N199="Chen F",332,IF(Atletas!N199="Sun F",333,IF(Atletas!N199="Wu F",334,IF(Atletas!N199="Wu-Hao F",335,IF(Atletas!N199="Outro Taijiquan F",336,"")))))))))))))))))))))))))))))))))))))</f>
        <v/>
      </c>
      <c r="BP203" s="52" t="str">
        <f>IF(Atletas!O199="","",IF(Atletas!W199&lt;&gt;"",10000,0)+IF(Atletas!B199="Feminino",1000,IF(Atletas!B199="Masculino",2000,""))+IF(OR(Atletas!O199="Yang 26 A",Atletas!O199="Yang 40 A"),401,IF(OR(Atletas!O199="Chen 25 A",Atletas!O199="Chen 36 A",Atletas!O199="Chen 56 A"),402,IF(Atletas!O199="Sun 73 A",403,IF(Atletas!O199="Wu 45 A",404,IF(Atletas!O199="Wu-Hao 46 A",405,IF(OR(Atletas!O199="Taijiquan 16 A",Atletas!O199="Taijiquan 24 A",Atletas!O199="Taijiquan 32 A",Atletas!O199="Taijiquan 42 A"),406,IF(OR(Atletas!O199="Yang 26 B",Atletas!O199="Yang 40 B"),407,IF(OR(Atletas!O199="Chen 25 B",Atletas!O199="Chen 36 B",Atletas!O199="Chen 56 B"),408,IF(Atletas!O199="Sun 73 B",409,IF(Atletas!O199="Wu 45 B",410,IF(Atletas!O199="Wu-Hao 46 B",411,IF(OR(Atletas!O199="Taijiquan 16 B",Atletas!O199="Taijiquan 24 B",Atletas!O199="Taijiquan 32 B",Atletas!O199="Taijiquan 42 B"),412,IF(OR(Atletas!O199="Yang 26 C",Atletas!O199="Yang 40 C"),413,IF(OR(Atletas!O199="Chen 25 C",Atletas!O199="Chen 36 C",Atletas!O199="Chen 56 C"),414,IF(Atletas!O199="Sun 73 C",415,IF(Atletas!O199="Wu 45 C",416,IF(Atletas!O199="Wu-Hao 46 C",417,IF(OR(Atletas!O199="Taijiquan 16 C",Atletas!O199="Taijiquan 24 C",Atletas!O199="Taijiquan 32 C",Atletas!O199="Taijiquan 42 C"),418,0)))))))))))))))))))</f>
        <v/>
      </c>
      <c r="BQ203" s="52" t="str">
        <f>IF(Atletas!O199="","",IF(Atletas!W199&lt;&gt;"",10000,0)+IF(Atletas!B199="Feminino",1000,IF(Atletas!B199="Masculino",2000,""))+IF(OR(Atletas!O199="Yang 26 D",Atletas!O199="Yang 40 D"),419,IF(OR(Atletas!O199="Chen 25 D",Atletas!O199="Chen 36 D",Atletas!O199="Chen 56 D"),420,IF(Atletas!O199="Sun 73 D",421,IF(Atletas!O199="Wu 45 D",422,IF(Atletas!O199="Wu-Hao 46 D",423,IF(OR(Atletas!O199="Taijiquan 16 D",Atletas!O199="Taijiquan 24 D",Atletas!O199="Taijiquan 32 D",Atletas!O199="Taijiquan 42 D"),424,IF(OR(Atletas!O199="Yang 26 E",Atletas!O199="Yang 40 E"),425,IF(OR(Atletas!O199="Chen 25 E",Atletas!O199="Chen 36 E",Atletas!O199="Chen 56 E"),426,IF(Atletas!O199="Sun 73 E",427,IF(Atletas!O199="Wu 45 E",428,IF(Atletas!O199="Wu-Hao 46 E",429,IF(OR(Atletas!O199="Taijiquan 16 E",Atletas!O199="Taijiquan 24 E",Atletas!O199="Taijiquan 32 E",Atletas!O199="Taijiquan 42 E"),430,IF(OR(Atletas!O199="Yang 26 F",Atletas!O199="Yang 40 F"),431,IF(OR(Atletas!O199="Chen 25 F",Atletas!O199="Chen 36 F",Atletas!O199="Chen 56 F"),432,IF(Atletas!O199="Sun 73 F",433,IF(Atletas!O199="Wu 45 F",434,IF(Atletas!O199="Wu-Hao 46 F",435,IF(OR(Atletas!O199="Taijiquan 16 F",Atletas!O199="Taijiquan 24 F",Atletas!O199="Taijiquan 32 F",Atletas!O199="Taijiquan 42 F"),436,0)))))))))))))))))))</f>
        <v/>
      </c>
      <c r="BR203" s="52" t="str">
        <f>IF(Atletas!P199="","",IF(Atletas!W199&lt;&gt;"",10000,0)+IF(Atletas!B199="Feminino",1000,IF(Atletas!B199="Masculino",2000,""))+IF(Atletas!P199="Xingyiquan A",501,IF(Atletas!P199="Baguazhang A",502,IF(Atletas!P199="Outro Estilo Interno A",503,IF(Atletas!P199="Xingyiquan B",504,IF(Atletas!P199="Baguazhang B",505,IF(Atletas!P199="Outro Estilo Interno B",506,IF(Atletas!P199="Xingyiquan C",507,IF(Atletas!P199="Baguazhang C",508,IF(Atletas!P199="Outro Estilo Interno C",509,IF(Atletas!P199="Xingyiquan D",510,IF(Atletas!P199="Baguazhang D",511,IF(Atletas!P199="Outro Estilo Interno D",512,IF(Atletas!P199="Xingyiquan E",513,IF(Atletas!P199="Baguazhang E",514,IF(Atletas!P199="Outro Estilo Interno E",515,IF(Atletas!P199="Xingyiquan F",516,IF(Atletas!P199="Baguazhang F",517,IF(Atletas!P199="Outro Estilo Interno F",518, "")))))))))))))))))))</f>
        <v/>
      </c>
      <c r="BS203" s="52" t="str">
        <f>IF(Atletas!Q199="","",IF(Atletas!W199&lt;&gt;"",10000,0)+IF(Atletas!B199="Feminino",1000,IF(Atletas!B199="Masculino",2000,""))+IF(Atletas!Q199="Dao A",601,IF(Atletas!Q199="Jian A",602,IF(Atletas!Q199="Bishou A",603,IF(Atletas!Q199="Shan A",604,IF(Atletas!Q199="Outra Arma Curta A",605,IF(Atletas!Q199="Dao B",606,IF(Atletas!Q199="Jian B",607,IF(Atletas!Q199="Bishou B",608,IF(Atletas!Q199="Shan B",609,IF(Atletas!Q199="Outra Arma Curta B",610,IF(Atletas!Q199="Dao C",611,IF(Atletas!Q199="Jian C",612,IF(Atletas!Q199="Bishou C",613,IF(Atletas!Q199="Shan C",614,IF(Atletas!Q199="Outra Arma Curta C",615,IF(Atletas!Q199="Dao D",616,IF(Atletas!Q199="Jian D",617,IF(Atletas!Q199="Bishou D",618,IF(Atletas!Q199="Shan D",619,IF(Atletas!Q199="Outra Arma Curta D",620,IF(Atletas!Q199="Dao E",621,IF(Atletas!Q199="Jian E",622,IF(Atletas!Q199="Bishou E",623,IF(Atletas!Q199="Shan E",624,IF(Atletas!Q199="Outra Arma Curta E",625,IF(Atletas!Q199="Dao F",626,IF(Atletas!Q199="Jian F",627,IF(Atletas!Q199="Bishou F",628,IF(Atletas!Q199="Shan F",629,IF(Atletas!Q199="Outra Arma Curta F",630, "")))))))))))))))))))))))))))))))</f>
        <v/>
      </c>
      <c r="BT203" s="52" t="str">
        <f>IF(Atletas!R199="","",IF(Atletas!W199&lt;&gt;"",10000,0)+IF(Atletas!B199="Feminino",1000,IF(Atletas!B199="Masculino",2000,""))+IF(Atletas!R199="Gun A",701,IF(Atletas!R199="Qiang A",702,IF(Atletas!R199="Pudao / Guandao A",703,IF(Atletas!R199="Outra Arma Longa A",704,IF(Atletas!R199="Gun B",705,IF(Atletas!R199="Qiang B",706,IF(Atletas!R199="Pudao / Guandao B",707,IF(Atletas!R199="Outra Arma Longa B",708,IF(Atletas!R199="Gun C",709,IF(Atletas!R199="Qiang C",710,IF(Atletas!R199="Pudao / Guandao C",711,IF(Atletas!R199="Outra Arma Longa C",712,IF(Atletas!R199="Gun D",713,IF(Atletas!R199="Qiang D",714,IF(Atletas!R199="Pudao / Guandao D",715,IF(Atletas!R199="Outra Arma Longa D",716,IF(Atletas!R199="Gun E",717,IF(Atletas!R199="Qiang E",718,IF(Atletas!R199="Pudao / Guandao E",719,IF(Atletas!R199="Outra Arma Longa E",720,IF(Atletas!R199="Gun F",721,IF(Atletas!R199="Qiang F",722,IF(Atletas!R199="Pudao / Guandao F",723,IF(Atletas!R199="Outra Arma Longa F",724,"")))))))))))))))))))))))))</f>
        <v/>
      </c>
      <c r="BU203" s="52" t="str">
        <f>IF(Atletas!S199="","",IF(Atletas!W199&lt;&gt;"",10000,0)+IF(Atletas!B199="Feminino",1000,IF(Atletas!B199="Masculino",2000,""))+IF(Atletas!S199="Arma Dupla A",801,IF(Atletas!S199="Arma Maleável A",802,IF(Atletas!S199="Arma Dupla B",803,IF(Atletas!S199="Arma Maleável B",804,IF(Atletas!S199="Arma Dupla C",805,IF(Atletas!S199="Arma Maleável C",806,IF(Atletas!S199="Arma Dupla D",807,IF(Atletas!S199="Arma Maleável D",808,IF(Atletas!S199="Arma Dupla E",809,IF(Atletas!S199="Arma Maleável E",810,IF(Atletas!S199="Arma Dupla F",811,IF(Atletas!S199="Arma Maleável F",812, "")))))))))))))</f>
        <v/>
      </c>
      <c r="BV203" s="52" t="str">
        <f>IF(Atletas!T199="","",IF(Atletas!W199&lt;&gt;"",10000,0)+IF(Atletas!B199="Feminino",1000,IF(Atletas!B199="Masculino",2000,""))+IF(Atletas!T199="Taijijian Yang A",901,IF(Atletas!T199="Taijijian Chen A",902,IF(Atletas!T199="Taijijian Sun A",903,IF(Atletas!T199="Taijijian Wu A",904,IF(Atletas!T199="Taijijian Wu-Hao A",905,IF(Atletas!T199="Taijijian 32 A",906,IF(Atletas!T199="Taijijian 42 A",907,IF(Atletas!T199="Taijijian Yang B",908,IF(Atletas!T199="Taijijian Chen B",909,IF(Atletas!T199="Taijijian Sun B",910,IF(Atletas!T199="Taijijian Wu B",911,IF(Atletas!T199="Taijijian Wu-Hao B",912,IF(Atletas!T199="Taijijian 32 B",913,IF(Atletas!T199="Taijijian 42 B",914,IF(Atletas!T199="Taijijian Yang C",915,IF(Atletas!T199="Taijijian Chen C",916,IF(Atletas!T199="Taijijian Sun C",917,IF(Atletas!T199="Taijijian Wu C",918,IF(Atletas!T199="Taijijian Wu-Hao C",919,IF(Atletas!T199="Taijijian 32 C",920,IF(Atletas!T199="Taijijian 42 C",921,IF(Atletas!T199="Taijijian Yang D",922,IF(Atletas!T199="Taijijian Chen D",923,IF(Atletas!T199="Taijijian Sun D",924,IF(Atletas!T199="Taijijian Wu D",925,IF(Atletas!T199="Taijijian Wu-Hao D",926,IF(Atletas!T199="Taijijian 32 D",927,IF(Atletas!T199="Taijijian 42 D",928,IF(Atletas!T199="Taijijian Yang E",929,IF(Atletas!T199="Taijijian Chen E",930,IF(Atletas!T199="Taijijian Sun E",931,IF(Atletas!T199="Taijijian Wu E",932,IF(Atletas!T199="Taijijian Wu-Hao E",933,IF(Atletas!T199="Taijijian 32 E",934,IF(Atletas!T199="Taijijian 42 E",935,IF(Atletas!T199="Taijijian Yang F",936,IF(Atletas!T199="Taijijian Chen F",937,IF(Atletas!T199="Taijijian Sun F",938,IF(Atletas!T199="Taijijian Wu F",939,IF(Atletas!T199="Taijijian Wu-Hao F",940,IF(Atletas!T199="Taijijian 32 F",941,IF(Atletas!T199="Taijijian 42 F",942,"")))))))))))))))))))))))))))))))))))))))))))</f>
        <v/>
      </c>
      <c r="BW203" s="52" t="str">
        <f>IF(Atletas!U199="","",IF(Atletas!W199&lt;&gt;"",10000,0)+IF(Atletas!B199="Feminino",1000,IF(Atletas!B199="Masculino",2000,""))+IF(Atletas!T199="Taijijian 42 F",942,IF(Atletas!U199="Taijidao A",943,IF(Atletas!U199="Taijishan A",944,IF(Atletas!U199="Taijiqiang A",945,IF(Atletas!U199="Taijidao B",946,IF(Atletas!U199="Taijishan B",947,IF(Atletas!U199="Taijiqiang B",948,IF(Atletas!U199="Taijidao C",949,IF(Atletas!U199="Taijishan C",950,IF(Atletas!U199="Taijiqiang C",951,IF(Atletas!U199="Taijidao D",952,IF(Atletas!U199="Taijishan D",953,IF(Atletas!U199="Taijiqiang D",954,IF(Atletas!U199="Taijidao E",955,IF(Atletas!U199="Taijishan E",956,IF(Atletas!U199="Taijiqiang E",957,IF(Atletas!U199="Taijidao F",958,IF(Atletas!U199="Taijishan F",959,IF(Atletas!U199="Taijiqiang F",960))))))))))))))))))))</f>
        <v/>
      </c>
      <c r="BX203" s="72" t="str">
        <f>IF(BY203&lt;&gt;"","TJQ Padr. Wu-Hao F","")</f>
        <v/>
      </c>
      <c r="BY203" s="72" t="str">
        <f>IF(COUNTIF(BK:BW,1435)&gt;0,COUNTIF(BK:BW,1435),"")</f>
        <v/>
      </c>
      <c r="BZ203" s="72" t="str">
        <f>IF(CA203&lt;&gt;"","TJQ Padr. Wu-Hao F","")</f>
        <v/>
      </c>
      <c r="CA203" s="72" t="str">
        <f>IF(COUNTIF(BK:BW,2435)&gt;0,COUNTIF(BK:BW,2435),"")</f>
        <v/>
      </c>
      <c r="CB203" s="72" t="str">
        <f>IF(CC203&lt;&gt;"","Wu Novo C","")</f>
        <v/>
      </c>
      <c r="CC203" s="64" t="str">
        <f>IF(COUNTIF(BK:BW,11435)&gt;0,COUNTIF(BK:BW,11435),"")</f>
        <v/>
      </c>
      <c r="CD203" s="64" t="str">
        <f>IF(CE203&lt;&gt;"","Wu Novo C","")</f>
        <v/>
      </c>
      <c r="CE203" s="64" t="str">
        <f>IF(COUNTIF(BK:BW,12435)&gt;0,COUNTIF(BK:BW,12435),"")</f>
        <v/>
      </c>
      <c r="CF203" s="52" t="str">
        <f xml:space="preserve"> IF(Atletas!V199="","",IF(Atletas!V199="Duilian de Mãos AB - Equipe 1",1,IF(Atletas!V199="Duilian de Mãos AB - Equipe 2",2,IF(Atletas!V199="Duilian de Armas AB - Equipe 1",3,IF(Atletas!V199="Duilian de Armas AB - Equipe 2",4,IF(Atletas!V199="Duilian de Tuishou - Equipe 1",5,IF(Atletas!V199="Duilian de Tuishou - Equipe 2",6,IF(Atletas!V199="Grupo Externo AB - Equipe 1",7,IF(Atletas!V199="Grupo Externo AB - Equipe 2",8,IF(Atletas!V199="Grupo Interno AB - Equipe 1",9,IF(Atletas!V199="Grupo Interno AB - Equipe 2",10,IF(Atletas!V199="Duilian de Mãos CD - Equipe 1",11,IF(Atletas!V199="Duilian de Mãos CD - Equipe 2",12,IF(Atletas!V199="Duilian de Armas CD - Equipe 1",13,IF(Atletas!V199="Duilian de Armas CD - Equipe 2",14,IF(Atletas!V199="Duilian de Tuishou - Equipe 1",15,IF(Atletas!V199="Duilian de Tuishou - Equipe 2",16,IF(Atletas!V199="Grupo Externo CDEF - Equipe 1",17,IF(Atletas!V199="Grupo Externo CDEF - Equipe 2",18,IF(Atletas!V199="Grupo Interno CDEF - Equipe 1",19,IF(Atletas!V199="Grupo Interno CDEF - Equipe 2",20,IF(Atletas!V199="Duilian de Mãos EF - Equipe 1",21,IF(Atletas!V199="Duilian de Mãos EF - Equipe 2",22,IF(Atletas!V199="Duilian de Armas EF - Equipe 1",23,IF(Atletas!V199="Duilian de Armas EF - Equipe 2",24,IF(Atletas!V199="Duilian de Tuishou - Equipe 1",25,IF(Atletas!V199="Duilian de Tuishou - Equipe 2",26,"")))))))))))))))))))))))))))</f>
        <v/>
      </c>
    </row>
    <row r="204" spans="2:84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 t="str">
        <f t="array" ref="V204">IFERROR(INDEX(BX$7:BX$336,SMALL(IF(BX$7:BX$336&lt;&gt;"",ROW(BX$7:BX$336)-ROW(BX$7)+1),ROWS(BX$7:BX203))),"")</f>
        <v/>
      </c>
      <c r="W204" s="4" t="str">
        <f t="array" ref="W204">IFERROR(INDEX(BY$7:BY$336,SMALL(IF(BY$7:BY$336&lt;&gt;"",ROW(BY$7:BY$336)-ROW(BY$7)+1),ROWS(BY$7:BY203))),"")</f>
        <v/>
      </c>
      <c r="X204" s="4" t="str">
        <f t="array" ref="X204">IFERROR(INDEX(BZ$7:BZ$336,SMALL(IF(BZ$7:BZ$336&lt;&gt;"",ROW(BZ$7:BZ$336)-ROW(BZ$7)+1),ROWS(BZ$7:BZ203))),"")</f>
        <v/>
      </c>
      <c r="Y204" s="4" t="str">
        <f t="array" ref="Y204">IFERROR(INDEX(CA$7:CA$336,SMALL(IF(CA$7:CA$336&lt;&gt;"",ROW(CA$7:CA$336)-ROW(CA$7)+1),ROWS(CA$7:CA203))),"")</f>
        <v/>
      </c>
      <c r="Z204" s="4" t="str">
        <f t="array" ref="Z204">IFERROR(INDEX(CB$7:CB$378,SMALL(IF(CB$7:CB$378&lt;&gt;"",ROW(CB$7:CB$378)-ROW(CB$7)+1),ROWS(CB$7:CB203))),"")</f>
        <v/>
      </c>
      <c r="AA204" s="4" t="str">
        <f t="array" ref="AA204">IFERROR(INDEX(CC$7:CC$378,SMALL(IF(CC$7:CC$378&lt;&gt;"",ROW(CC$7:CC$378)-ROW(CC$7)+1),ROWS(CC$7:CC203))),"")</f>
        <v/>
      </c>
      <c r="AB204" s="4" t="str">
        <f t="array" ref="AB204">IFERROR(INDEX(CD$7:CD$378,SMALL(IF(CD$7:CD$378&lt;&gt;"",ROW(CD$7:CD$378)-ROW(CD$7)+1),ROWS(CD$7:CD203))),"")</f>
        <v/>
      </c>
      <c r="AC204" s="4" t="str">
        <f t="array" ref="AC204">IFERROR(INDEX(CE$7:CE$378,SMALL(IF(CE$7:CE$378&lt;&gt;"",ROW(CE$7:CE$378)-ROW(CE$7)+1),ROWS(CE$7:CE203))),"")</f>
        <v/>
      </c>
      <c r="AD204" s="4"/>
      <c r="AE204" s="4"/>
      <c r="AF204" s="4"/>
      <c r="AG204" s="4"/>
      <c r="AH204" s="4"/>
      <c r="AI204" s="4"/>
      <c r="AJ204" s="46" t="str">
        <f>IF(Atletas!D200="","",IF(Atletas!B200="Feminino",100,IF(Atletas!B200="Masculino",200,""))+(IF(Atletas!D200="Infantil 39kg",1,IF(Atletas!D200="Infantil 42kg",2,IF(Atletas!D200="Infantil 45kg",3,IF(Atletas!D200="Infantil 48kg",4,IF(Atletas!D200="Infantil 52kg",5,IF(Atletas!D200="Infantil 56kg",6,IF(Atletas!D200="Infantil 60kg",7,IF(Atletas!D200="Juvenil 48kg",8,IF(Atletas!D200="Juvenil 52kg",9,IF(Atletas!D200="Juvenil 56kg",10,IF(Atletas!D200="Juvenil 60kg",11,IF(Atletas!D200="Juvenil 65kg",12,IF(Atletas!D200="Juvenil 70kg",13,IF(Atletas!D200="Juvenil 75kg",14,IF(Atletas!D200="Juvenil 80kg",15,IF(Atletas!D200="Adulto 48kg",16,IF(Atletas!D200="Adulto 52kg",17,IF(Atletas!D200="Adulto 56kg",18,IF(Atletas!D200="Adulto 60kg",19,IF(Atletas!D200="Adulto 65kg",20,IF(Atletas!D200="Adulto 70kg",21,IF(Atletas!D200="Adulto 75kg",22,IF(Atletas!D200="Adulto 80kg",23,IF(Atletas!D200="Adulto 85kg",24,IF(Atletas!D200="Adulto 90kg",25,IF(Atletas!D200="Adulto +90kg",26,""))))))))))))))))))))))))))))</f>
        <v/>
      </c>
      <c r="AO204" s="10" t="str">
        <f>IF(Atletas!E200="","",IF(Atletas!B200="Feminino",100,IF(Atletas!B200="Masculino",200,""))+(IF(Atletas!E200="Juvenil 44kg",1,IF(Atletas!E200="Juvenil 48kg",2,IF(Atletas!E200="Juvenil 52kg",3,IF(Atletas!E200="Juvenil 56kg",4,IF(Atletas!E200="Juvenil 60kg",5,IF(Atletas!E200="Juvenil 65kg",6,IF(Atletas!E200="Juvenil 70kg",7,IF(Atletas!E200="Juvenil 75kg",8,IF(Atletas!E200="Juvenil 82kg",9,IF(Atletas!E200="Juvenil 90kg",10,IF(Atletas!E200="Juvenil 100kg",11,IF(Atletas!E200="Adulto 48kg",12,IF(Atletas!E200="Adulto 52kg",13,IF(Atletas!E200="Adulto 56kg",14,IF(Atletas!E200="Adulto 60kg",15,IF(Atletas!E200="Adulto 65kg",16,IF(Atletas!E200="Adulto 70kg",17,IF(Atletas!E200="Adulto 75kg",18,IF(Atletas!E200="Adulto 82kg",19,IF(Atletas!E200="Adulto 90kg",20,IF(Atletas!E200="Adulto 100kg",21,IF(Atletas!E200="Adulto +100kg",22,""))))))))))))))))))))))))</f>
        <v/>
      </c>
      <c r="AT204" s="10" t="str">
        <f>IF(Atletas!F200="","",IF(Atletas!B200="Feminino",100,IF(Atletas!B200="Masculino",200,""))+(IF(Atletas!F200="Adulto 48kg",1,IF(Atletas!F200="Adulto 56kg",2,IF(Atletas!F200="Adulto 65kg",3,IF(Atletas!F200="Adulto 75kg",4,IF(Atletas!F200="Adulto +75kg",5,IF(Atletas!F200="Adulto 52kg",6,IF(Atletas!F200="Adulto 60kg",7,IF(Atletas!F200="Adulto 70kg",8,IF(Atletas!F200="Adulto 80kg",9,IF(Atletas!F200="Adulto 90kg",10,IF(Atletas!F200="Adulto +90kg",11,"")))))))))))))</f>
        <v/>
      </c>
      <c r="AY204" s="46" t="str">
        <f>IF(Atletas!G200="","",IF(Atletas!B200="Feminino",100,IF(Atletas!B200="Masculino",200,""))+(IF(Atletas!G200="Changquan Mirim",1,IF(Atletas!G200="Nanquan Mirim",2,IF(Atletas!G200="Taijiquan Mirim",3,IF(Atletas!G200="Changquan Grupo C",4,IF(Atletas!G200="Nanquan Grupo C",5,IF(Atletas!G200="Taijiquan Grupo C",6,IF(Atletas!G200="Changquan Grupo B",7,IF(Atletas!G200="Nanquan Grupo B",8,IF(Atletas!G200="Taijiquan Grupo B",9,IF(Atletas!G200="Changquan Grupo A",10,IF(Atletas!G200="Nanquan Grupo A",11,IF(Atletas!G200="Taijiquan Grupo A",12,IF(Atletas!G200="Changquan Opcional",13,IF(Atletas!G200="Nanquan Opcional",14,IF(Atletas!G200="Taijiquan Opcional",15,IF(Atletas!G200="Changquan Adulto",16,IF(Atletas!G200="Nanquan Adulto",17,IF(Atletas!G200="Taijiquan Adulto",18,""))))))))))))))))))))</f>
        <v/>
      </c>
      <c r="AZ204" s="46" t="str">
        <f>IF(Atletas!H200="","",IF(Atletas!B200="Feminino",100,IF(Atletas!B200="Masculino",200,""))+(IF(Atletas!H200="Daoshu Mirim",19,IF(Atletas!H200="Jianshu Mirim",20,IF(Atletas!H200="Nandao Mirim",21,IF(Atletas!H200="Taijijian Mirim",22,IF(Atletas!H200="Daoshu Grupo C",23,IF(Atletas!H200="Jianshu Grupo C",24,IF(Atletas!H200="Nandao Grupo C",25,IF(Atletas!H200="Taijijian Grupo C",26,IF(Atletas!H200="Daoshu Grupo B",27,IF(Atletas!H200="Jianshu Grupo B",28,IF(Atletas!H200="Nandao Grupo B",29,IF(Atletas!H200="Taijijian Grupo B",30,IF(Atletas!H200="Daoshu Grupo A",31,IF(Atletas!H200="Jianshu Grupo A",32,IF(Atletas!H200="Nandao Grupo A",33,IF(Atletas!H200="Taijijian Grupo A",34,IF(Atletas!H200="Daoshu Opcional",35,IF(Atletas!H200="Jianshu Opcional",36,IF(Atletas!H200="Nandao Opcional",37,IF(Atletas!H200="Taijijian Opcional",38,IF(Atletas!H200="Daoshu Adulto",39,IF(Atletas!H200="Jianshu Adulto",40,IF(Atletas!H200="Nandao Adulto",41,IF(Atletas!H200="Taijijian Adulto",42,""))))))))))))))))))))))))))</f>
        <v/>
      </c>
      <c r="BA204" s="46" t="str">
        <f>IF(Atletas!I200="","",IF(Atletas!B200="Feminino",100,IF(Atletas!B200="Masculino",200,""))+(IF(Atletas!I200="Gunshu Mirim",43,IF(Atletas!I200="Qiangshu Mirim",44,IF(Atletas!I200="Nangun Mirim",45,IF(Atletas!I200="Gunshu Grupo C",46,IF(Atletas!I200="Qiangshu Grupo C",47,IF(Atletas!I200="Nangun Grupo C",48,IF(Atletas!I200="Gunshu Grupo B",49,IF(Atletas!I200="Qiangshu Grupo B",50,IF(Atletas!I200="Nangun Grupo B",51,IF(Atletas!I200="Gunshu Grupo A",52,IF(Atletas!I200="Qiangshu Grupo A",53,IF(Atletas!I200="Nangun Grupo A",54,IF(Atletas!I200="Gunshu Opcional",55,IF(Atletas!I200="Qiangshu Opcional",56,IF(Atletas!I200="Nangun Opcional",57,IF(Atletas!I200="Gunshu Adulto",58,IF(Atletas!I200="Qiangshu Adulto",59,IF(Atletas!I200="Nangun Adulto",60,""))))))))))))))))))))</f>
        <v/>
      </c>
      <c r="BF204" s="52" t="str">
        <f>IF(Atletas!J200="","",IF(Atletas!B200="Feminino",100,IF(Atletas!B200="Masculino",200,""))+(IF(Atletas!J200="Equipe 1 Grupo B",1,IF(Atletas!J200="Equipe 2 Grupo B",2,IF(Atletas!J200="Equipe 1 Grupo A",3,IF(Atletas!J200="Equipe 2 Grupo A",4,IF(Atletas!J200="Equipe 1 Adulto",5,IF(Atletas!J200="Equipe 2 Adulto",6,""))))))))</f>
        <v/>
      </c>
      <c r="BK204" s="52" t="str">
        <f>IF(Atletas!K200="","",IF(Atletas!W200&lt;&gt;"",10000,0)+(IF(Atletas!B200="Feminino",1000,IF(Atletas!B200="Masculino",2000,""))+IF(Atletas!K200="Choylayfut A",1,IF(Atletas!K200="Hunggar A",2,IF(Atletas!K200="Wuzuquan A",3,IF(Atletas!K200="Wingchun A",4,IF(Atletas!K200="Outra Mão de Sul A",5,IF(Atletas!K200="Choylayfut B",6,IF(Atletas!K200="Hunggar B",7,IF(Atletas!K200="Wuzuquan B",8,IF(Atletas!K200="Wingchun B",9,IF(Atletas!K200="Outra Mão de Sul B",10,IF(Atletas!K200="Choylayfut C",11,IF(Atletas!K200="Hunggar C",12,IF(Atletas!K200="Wuzuquan C",13,IF(Atletas!K200="Wingchun C",14,IF(Atletas!K200="Outra Mão de Sul C",15,IF(Atletas!K200="Choylayfut D",16,IF(Atletas!K200="Hunggar D",17,IF(Atletas!K200="Wuzuquan D",18,IF(Atletas!K200="Wingchun D",19,IF(Atletas!K200="Outra Mão de Sul D",20,IF(Atletas!K200="Choylayfut E",21,IF(Atletas!K200="Hunggar E",22,IF(Atletas!K200="Wuzuquan E",23,IF(Atletas!K200="Wingchun E",24,IF(Atletas!K200="Outra Mão de Sul E",25,IF(Atletas!K200="Choylayfut F",26,IF(Atletas!K200="Hunggar F",27,IF(Atletas!K200="Wuzuquan F",28,IF(Atletas!K200="Wingchun F",29,IF(Atletas!K200="Outra Mão de Sul F",30,""))))))))))))))))))))))))))))))))</f>
        <v/>
      </c>
      <c r="BL204" s="52" t="str">
        <f>IF(Atletas!L200="","",IF(Atletas!W200&lt;&gt;"",10000,0)+(IF(Atletas!B200="Feminino",1000,IF(Atletas!B200="Masculino",2000,""))+(IF(Atletas!L200="Chaquan A",101,IF(Atletas!L200="Emeiquan A",102,IF(Atletas!L200="Fanziquan A",103,IF(Atletas!L200="Huaquan A",104,IF(Atletas!L200="Hongquan A",105,IF(Atletas!L200="Paochui A",106,IF(Atletas!L200="Piguaquan A",107,IF(Atletas!L200="Shaolinquan A",108,IF(Atletas!L200="Tanglangquan A",109,IF(Atletas!L200="Yinzhaophai A",110,IF(Atletas!L200="Tongbeiquan A",111,IF(Atletas!L200="Wudangquan A",112,IF(Atletas!L200="Outros Estilos A",113,IF(Atletas!L200="Chaquan B",114,IF(Atletas!L200="Emeiquan B",115,IF(Atletas!L200="Fanziquan B",116,IF(Atletas!L200="Huaquan B",117,IF(Atletas!L200="Hongquan B",118,IF(Atletas!L200="Paochui B",119,IF(Atletas!L200="Piguaquan B",120,IF(Atletas!L200="Shaolinquan B",121,IF(Atletas!L200="Tanglangquan B",122,IF(Atletas!L200="Yinzhaophai B",123,IF(Atletas!L200="Tongbeiquan B",124,IF(Atletas!L200="Wudangquan B",125,IF(Atletas!L200="Outros Estilos B",126,IF(Atletas!L200="Chaquan C",127,IF(Atletas!L200="Emeiquan C",128,IF(Atletas!L200="Fanziquan C",129,IF(Atletas!L200="Huaquan C",130,IF(Atletas!L200="Hongquan C",131,IF(Atletas!L200="Paochui C",132,IF(Atletas!L200="Piguaquan C",133,IF(Atletas!L200="Shaolinquan C",134,IF(Atletas!L200="Tanglangquan C",135,IF(Atletas!L200="Yinzhaophai C",136,IF(Atletas!L200="Tongbeiquan C",137,IF(Atletas!L200="Wudangquan C",138,IF(Atletas!L200="Outros Estilos C",139,0))))))))))))))))))))))))))))))))))))))))))</f>
        <v/>
      </c>
      <c r="BM204" s="52" t="str">
        <f>IF(Atletas!L200="","",IF(Atletas!W200&lt;&gt;"",10000,0)+(IF(Atletas!B200="Feminino",1000,IF(Atletas!B200="Masculino",2000,""))+(IF(Atletas!L200="Chaquan D",140,IF(Atletas!L200="Emeiquan D",141,IF(Atletas!L200="Fanziquan D",142,IF(Atletas!L200="Huaquan D",143,IF(Atletas!L200="Hongquan D",144,IF(Atletas!L200="Paochui D",145,IF(Atletas!L200="Piguaquan D",146,IF(Atletas!L200="Shaolinquan D",147,IF(Atletas!L200="Tanglangquan D",148,IF(Atletas!L200="Yinzhaophai D",149,IF(Atletas!L200="Tongbeiquan D",150,IF(Atletas!L200="Wudangquan D",151,IF(Atletas!L200="Outros Estilos D",152,IF(Atletas!L200="Chaquan E",153,IF(Atletas!L200="Emeiquan E",154,IF(Atletas!L200="Fanziquan E",155,IF(Atletas!L200="Huaquan E",156,IF(Atletas!L200="Hongquan E",157,IF(Atletas!L200="Paochui E",158,IF(Atletas!L200="Piguaquan E",159,IF(Atletas!L200="Shaolinquan E",160,IF(Atletas!L200="Tanglangquan E",161,IF(Atletas!L200="Yinzhaophai E",162,IF(Atletas!L200="Tongbeiquan E",163,IF(Atletas!L200="Wudangquan E",164,IF(Atletas!L200="Outros Estilos E",165,IF(Atletas!L200="Chaquan F",166,IF(Atletas!L200="Emeiquan F",167,IF(Atletas!L200="Fanziquan F",168,IF(Atletas!L200="Huaquan F",169,IF(Atletas!L200="Hongquan F",170,IF(Atletas!L200="Paochui F",171,IF(Atletas!L200="Piguaquan F",172,IF(Atletas!L200="Shaolinquan F",173,IF(Atletas!L200="Tanglangquan F",174,IF(Atletas!L200="Yinzhaophai F",175,IF(Atletas!L200="Tongbeiquan F",176,IF(Atletas!L200="Wudangquan F",177,IF(Atletas!L200="Outros Estilos F",178,0))))))))))))))))))))))))))))))))))))))))))</f>
        <v/>
      </c>
      <c r="BN204" s="52" t="str">
        <f>IF(Atletas!M200="","",IF(Atletas!W200&lt;&gt;"",10000,0)+(IF(Atletas!B200="Feminino",1000,IF(Atletas!B200="Masculino",2000,""))+(IF(Atletas!M200="Ditangquan A",201,IF(Atletas!M200="Houquan A",202,IF(Atletas!M200="Zuiquan A",203,IF(Atletas!M200="Ditangquan B",204,IF(Atletas!M200="Houquan B",205,IF(Atletas!M200="Zuiquan B",206,IF(Atletas!M200="Ditangquan C",207,IF(Atletas!M200="Houquan C",208,IF(Atletas!M200="Zuiquan C",209,IF(Atletas!M200="Ditangquan D",210,IF(Atletas!M200="Houquan D",211,IF(Atletas!M200="Zuiquan D",212,IF(Atletas!M200="Ditangquan E",213,IF(Atletas!M200="Houquan E",214,IF(Atletas!M200="Zuiquan E",215,IF(Atletas!M200="Ditangquan F",216,IF(Atletas!M200="Houquan F",217,IF(Atletas!M200="Zuiquan F",218,"")))))))))))))))))))))</f>
        <v/>
      </c>
      <c r="BO204" s="52" t="str">
        <f>IF(Atletas!N200="","",IF(Atletas!W200&lt;&gt;"",10000,0)+IF(Atletas!B200="Feminino",1000,IF(Atletas!B200="Masculino",2000,""))+IF(Atletas!N200="Yang A",301,IF(Atletas!N200="Chen A",30,IF(Atletas!N200="Sun A",303,IF(Atletas!N200="Wu A",304,IF(Atletas!N200="Wu-Hao A",305,IF(Atletas!N200="Outro Taijiquan A",306,IF(Atletas!N200="Yang B",307,IF(Atletas!N200="Chen B",308,IF(Atletas!N200="Sun B",309,IF(Atletas!N200="Wu B",310,IF(Atletas!N200="Wu-Hao B",311,IF(Atletas!N200="Outro Taijiquan B",312,IF(Atletas!N200="Yang C",313,IF(Atletas!N200="Chen C",314,IF(Atletas!N200="Sun C",315,IF(Atletas!N200="Wu C",316,IF(Atletas!N200="Wu-Hao C",317,IF(Atletas!N200="Outro Taijiquan C",318,IF(Atletas!N200="Yang D",319,IF(Atletas!N200="Chen D",320,IF(Atletas!N200="Sun D",321,IF(Atletas!N200="Wu D",322,IF(Atletas!N200="Wu-Hao D",323,IF(Atletas!N200="Outro Taijiquan D",324,IF(Atletas!N200="Yang E",325,IF(Atletas!N200="Chen E",326,IF(Atletas!N200="Sun E",327,IF(Atletas!N200="Wu E",328,IF(Atletas!N200="Wu-Hao E",329,IF(Atletas!N200="Outro Taijiquan E",330,IF(Atletas!N200="Yang F",331,IF(Atletas!N200="Chen F",332,IF(Atletas!N200="Sun F",333,IF(Atletas!N200="Wu F",334,IF(Atletas!N200="Wu-Hao F",335,IF(Atletas!N200="Outro Taijiquan F",336,"")))))))))))))))))))))))))))))))))))))</f>
        <v/>
      </c>
      <c r="BP204" s="52" t="str">
        <f>IF(Atletas!O200="","",IF(Atletas!W200&lt;&gt;"",10000,0)+IF(Atletas!B200="Feminino",1000,IF(Atletas!B200="Masculino",2000,""))+IF(OR(Atletas!O200="Yang 26 A",Atletas!O200="Yang 40 A"),401,IF(OR(Atletas!O200="Chen 25 A",Atletas!O200="Chen 36 A",Atletas!O200="Chen 56 A"),402,IF(Atletas!O200="Sun 73 A",403,IF(Atletas!O200="Wu 45 A",404,IF(Atletas!O200="Wu-Hao 46 A",405,IF(OR(Atletas!O200="Taijiquan 16 A",Atletas!O200="Taijiquan 24 A",Atletas!O200="Taijiquan 32 A",Atletas!O200="Taijiquan 42 A"),406,IF(OR(Atletas!O200="Yang 26 B",Atletas!O200="Yang 40 B"),407,IF(OR(Atletas!O200="Chen 25 B",Atletas!O200="Chen 36 B",Atletas!O200="Chen 56 B"),408,IF(Atletas!O200="Sun 73 B",409,IF(Atletas!O200="Wu 45 B",410,IF(Atletas!O200="Wu-Hao 46 B",411,IF(OR(Atletas!O200="Taijiquan 16 B",Atletas!O200="Taijiquan 24 B",Atletas!O200="Taijiquan 32 B",Atletas!O200="Taijiquan 42 B"),412,IF(OR(Atletas!O200="Yang 26 C",Atletas!O200="Yang 40 C"),413,IF(OR(Atletas!O200="Chen 25 C",Atletas!O200="Chen 36 C",Atletas!O200="Chen 56 C"),414,IF(Atletas!O200="Sun 73 C",415,IF(Atletas!O200="Wu 45 C",416,IF(Atletas!O200="Wu-Hao 46 C",417,IF(OR(Atletas!O200="Taijiquan 16 C",Atletas!O200="Taijiquan 24 C",Atletas!O200="Taijiquan 32 C",Atletas!O200="Taijiquan 42 C"),418,0)))))))))))))))))))</f>
        <v/>
      </c>
      <c r="BQ204" s="52" t="str">
        <f>IF(Atletas!O200="","",IF(Atletas!W200&lt;&gt;"",10000,0)+IF(Atletas!B200="Feminino",1000,IF(Atletas!B200="Masculino",2000,""))+IF(OR(Atletas!O200="Yang 26 D",Atletas!O200="Yang 40 D"),419,IF(OR(Atletas!O200="Chen 25 D",Atletas!O200="Chen 36 D",Atletas!O200="Chen 56 D"),420,IF(Atletas!O200="Sun 73 D",421,IF(Atletas!O200="Wu 45 D",422,IF(Atletas!O200="Wu-Hao 46 D",423,IF(OR(Atletas!O200="Taijiquan 16 D",Atletas!O200="Taijiquan 24 D",Atletas!O200="Taijiquan 32 D",Atletas!O200="Taijiquan 42 D"),424,IF(OR(Atletas!O200="Yang 26 E",Atletas!O200="Yang 40 E"),425,IF(OR(Atletas!O200="Chen 25 E",Atletas!O200="Chen 36 E",Atletas!O200="Chen 56 E"),426,IF(Atletas!O200="Sun 73 E",427,IF(Atletas!O200="Wu 45 E",428,IF(Atletas!O200="Wu-Hao 46 E",429,IF(OR(Atletas!O200="Taijiquan 16 E",Atletas!O200="Taijiquan 24 E",Atletas!O200="Taijiquan 32 E",Atletas!O200="Taijiquan 42 E"),430,IF(OR(Atletas!O200="Yang 26 F",Atletas!O200="Yang 40 F"),431,IF(OR(Atletas!O200="Chen 25 F",Atletas!O200="Chen 36 F",Atletas!O200="Chen 56 F"),432,IF(Atletas!O200="Sun 73 F",433,IF(Atletas!O200="Wu 45 F",434,IF(Atletas!O200="Wu-Hao 46 F",435,IF(OR(Atletas!O200="Taijiquan 16 F",Atletas!O200="Taijiquan 24 F",Atletas!O200="Taijiquan 32 F",Atletas!O200="Taijiquan 42 F"),436,0)))))))))))))))))))</f>
        <v/>
      </c>
      <c r="BR204" s="52" t="str">
        <f>IF(Atletas!P200="","",IF(Atletas!W200&lt;&gt;"",10000,0)+IF(Atletas!B200="Feminino",1000,IF(Atletas!B200="Masculino",2000,""))+IF(Atletas!P200="Xingyiquan A",501,IF(Atletas!P200="Baguazhang A",502,IF(Atletas!P200="Outro Estilo Interno A",503,IF(Atletas!P200="Xingyiquan B",504,IF(Atletas!P200="Baguazhang B",505,IF(Atletas!P200="Outro Estilo Interno B",506,IF(Atletas!P200="Xingyiquan C",507,IF(Atletas!P200="Baguazhang C",508,IF(Atletas!P200="Outro Estilo Interno C",509,IF(Atletas!P200="Xingyiquan D",510,IF(Atletas!P200="Baguazhang D",511,IF(Atletas!P200="Outro Estilo Interno D",512,IF(Atletas!P200="Xingyiquan E",513,IF(Atletas!P200="Baguazhang E",514,IF(Atletas!P200="Outro Estilo Interno E",515,IF(Atletas!P200="Xingyiquan F",516,IF(Atletas!P200="Baguazhang F",517,IF(Atletas!P200="Outro Estilo Interno F",518, "")))))))))))))))))))</f>
        <v/>
      </c>
      <c r="BS204" s="52" t="str">
        <f>IF(Atletas!Q200="","",IF(Atletas!W200&lt;&gt;"",10000,0)+IF(Atletas!B200="Feminino",1000,IF(Atletas!B200="Masculino",2000,""))+IF(Atletas!Q200="Dao A",601,IF(Atletas!Q200="Jian A",602,IF(Atletas!Q200="Bishou A",603,IF(Atletas!Q200="Shan A",604,IF(Atletas!Q200="Outra Arma Curta A",605,IF(Atletas!Q200="Dao B",606,IF(Atletas!Q200="Jian B",607,IF(Atletas!Q200="Bishou B",608,IF(Atletas!Q200="Shan B",609,IF(Atletas!Q200="Outra Arma Curta B",610,IF(Atletas!Q200="Dao C",611,IF(Atletas!Q200="Jian C",612,IF(Atletas!Q200="Bishou C",613,IF(Atletas!Q200="Shan C",614,IF(Atletas!Q200="Outra Arma Curta C",615,IF(Atletas!Q200="Dao D",616,IF(Atletas!Q200="Jian D",617,IF(Atletas!Q200="Bishou D",618,IF(Atletas!Q200="Shan D",619,IF(Atletas!Q200="Outra Arma Curta D",620,IF(Atletas!Q200="Dao E",621,IF(Atletas!Q200="Jian E",622,IF(Atletas!Q200="Bishou E",623,IF(Atletas!Q200="Shan E",624,IF(Atletas!Q200="Outra Arma Curta E",625,IF(Atletas!Q200="Dao F",626,IF(Atletas!Q200="Jian F",627,IF(Atletas!Q200="Bishou F",628,IF(Atletas!Q200="Shan F",629,IF(Atletas!Q200="Outra Arma Curta F",630, "")))))))))))))))))))))))))))))))</f>
        <v/>
      </c>
      <c r="BT204" s="52" t="str">
        <f>IF(Atletas!R200="","",IF(Atletas!W200&lt;&gt;"",10000,0)+IF(Atletas!B200="Feminino",1000,IF(Atletas!B200="Masculino",2000,""))+IF(Atletas!R200="Gun A",701,IF(Atletas!R200="Qiang A",702,IF(Atletas!R200="Pudao / Guandao A",703,IF(Atletas!R200="Outra Arma Longa A",704,IF(Atletas!R200="Gun B",705,IF(Atletas!R200="Qiang B",706,IF(Atletas!R200="Pudao / Guandao B",707,IF(Atletas!R200="Outra Arma Longa B",708,IF(Atletas!R200="Gun C",709,IF(Atletas!R200="Qiang C",710,IF(Atletas!R200="Pudao / Guandao C",711,IF(Atletas!R200="Outra Arma Longa C",712,IF(Atletas!R200="Gun D",713,IF(Atletas!R200="Qiang D",714,IF(Atletas!R200="Pudao / Guandao D",715,IF(Atletas!R200="Outra Arma Longa D",716,IF(Atletas!R200="Gun E",717,IF(Atletas!R200="Qiang E",718,IF(Atletas!R200="Pudao / Guandao E",719,IF(Atletas!R200="Outra Arma Longa E",720,IF(Atletas!R200="Gun F",721,IF(Atletas!R200="Qiang F",722,IF(Atletas!R200="Pudao / Guandao F",723,IF(Atletas!R200="Outra Arma Longa F",724,"")))))))))))))))))))))))))</f>
        <v/>
      </c>
      <c r="BU204" s="52" t="str">
        <f>IF(Atletas!S200="","",IF(Atletas!W200&lt;&gt;"",10000,0)+IF(Atletas!B200="Feminino",1000,IF(Atletas!B200="Masculino",2000,""))+IF(Atletas!S200="Arma Dupla A",801,IF(Atletas!S200="Arma Maleável A",802,IF(Atletas!S200="Arma Dupla B",803,IF(Atletas!S200="Arma Maleável B",804,IF(Atletas!S200="Arma Dupla C",805,IF(Atletas!S200="Arma Maleável C",806,IF(Atletas!S200="Arma Dupla D",807,IF(Atletas!S200="Arma Maleável D",808,IF(Atletas!S200="Arma Dupla E",809,IF(Atletas!S200="Arma Maleável E",810,IF(Atletas!S200="Arma Dupla F",811,IF(Atletas!S200="Arma Maleável F",812, "")))))))))))))</f>
        <v/>
      </c>
      <c r="BV204" s="52" t="str">
        <f>IF(Atletas!T200="","",IF(Atletas!W200&lt;&gt;"",10000,0)+IF(Atletas!B200="Feminino",1000,IF(Atletas!B200="Masculino",2000,""))+IF(Atletas!T200="Taijijian Yang A",901,IF(Atletas!T200="Taijijian Chen A",902,IF(Atletas!T200="Taijijian Sun A",903,IF(Atletas!T200="Taijijian Wu A",904,IF(Atletas!T200="Taijijian Wu-Hao A",905,IF(Atletas!T200="Taijijian 32 A",906,IF(Atletas!T200="Taijijian 42 A",907,IF(Atletas!T200="Taijijian Yang B",908,IF(Atletas!T200="Taijijian Chen B",909,IF(Atletas!T200="Taijijian Sun B",910,IF(Atletas!T200="Taijijian Wu B",911,IF(Atletas!T200="Taijijian Wu-Hao B",912,IF(Atletas!T200="Taijijian 32 B",913,IF(Atletas!T200="Taijijian 42 B",914,IF(Atletas!T200="Taijijian Yang C",915,IF(Atletas!T200="Taijijian Chen C",916,IF(Atletas!T200="Taijijian Sun C",917,IF(Atletas!T200="Taijijian Wu C",918,IF(Atletas!T200="Taijijian Wu-Hao C",919,IF(Atletas!T200="Taijijian 32 C",920,IF(Atletas!T200="Taijijian 42 C",921,IF(Atletas!T200="Taijijian Yang D",922,IF(Atletas!T200="Taijijian Chen D",923,IF(Atletas!T200="Taijijian Sun D",924,IF(Atletas!T200="Taijijian Wu D",925,IF(Atletas!T200="Taijijian Wu-Hao D",926,IF(Atletas!T200="Taijijian 32 D",927,IF(Atletas!T200="Taijijian 42 D",928,IF(Atletas!T200="Taijijian Yang E",929,IF(Atletas!T200="Taijijian Chen E",930,IF(Atletas!T200="Taijijian Sun E",931,IF(Atletas!T200="Taijijian Wu E",932,IF(Atletas!T200="Taijijian Wu-Hao E",933,IF(Atletas!T200="Taijijian 32 E",934,IF(Atletas!T200="Taijijian 42 E",935,IF(Atletas!T200="Taijijian Yang F",936,IF(Atletas!T200="Taijijian Chen F",937,IF(Atletas!T200="Taijijian Sun F",938,IF(Atletas!T200="Taijijian Wu F",939,IF(Atletas!T200="Taijijian Wu-Hao F",940,IF(Atletas!T200="Taijijian 32 F",941,IF(Atletas!T200="Taijijian 42 F",942,"")))))))))))))))))))))))))))))))))))))))))))</f>
        <v/>
      </c>
      <c r="BW204" s="52" t="str">
        <f>IF(Atletas!U200="","",IF(Atletas!W200&lt;&gt;"",10000,0)+IF(Atletas!B200="Feminino",1000,IF(Atletas!B200="Masculino",2000,""))+IF(Atletas!T200="Taijijian 42 F",942,IF(Atletas!U200="Taijidao A",943,IF(Atletas!U200="Taijishan A",944,IF(Atletas!U200="Taijiqiang A",945,IF(Atletas!U200="Taijidao B",946,IF(Atletas!U200="Taijishan B",947,IF(Atletas!U200="Taijiqiang B",948,IF(Atletas!U200="Taijidao C",949,IF(Atletas!U200="Taijishan C",950,IF(Atletas!U200="Taijiqiang C",951,IF(Atletas!U200="Taijidao D",952,IF(Atletas!U200="Taijishan D",953,IF(Atletas!U200="Taijiqiang D",954,IF(Atletas!U200="Taijidao E",955,IF(Atletas!U200="Taijishan E",956,IF(Atletas!U200="Taijiqiang E",957,IF(Atletas!U200="Taijidao F",958,IF(Atletas!U200="Taijishan F",959,IF(Atletas!U200="Taijiqiang F",960))))))))))))))))))))</f>
        <v/>
      </c>
      <c r="BX204" s="72" t="str">
        <f>IF(BY204&lt;&gt;"","TJQ Padr. Combinado F","")</f>
        <v/>
      </c>
      <c r="BY204" s="72" t="str">
        <f>IF(COUNTIF(BK:BW,1436)&gt;0,COUNTIF(BK:BW,1436),"")</f>
        <v/>
      </c>
      <c r="BZ204" s="72" t="str">
        <f>IF(CA204&lt;&gt;"","TJQ Padr. Combinado F","")</f>
        <v/>
      </c>
      <c r="CA204" s="72" t="str">
        <f>IF(COUNTIF(BK:BW,2436)&gt;0,COUNTIF(BK:BW,2436),"")</f>
        <v/>
      </c>
      <c r="CB204" s="72" t="str">
        <f>IF(CC204&lt;&gt;"","Wu-Hao 46 C","")</f>
        <v/>
      </c>
      <c r="CC204" s="64" t="str">
        <f>IF(COUNTIF(BK:BW,11436)&gt;0,COUNTIF(BK:BW,11436),"")</f>
        <v/>
      </c>
      <c r="CD204" s="64" t="str">
        <f>IF(CE204&lt;&gt;"","Wu-Hao 46 C","")</f>
        <v/>
      </c>
      <c r="CE204" s="64" t="str">
        <f>IF(COUNTIF(BK:BW,12436)&gt;0,COUNTIF(BK:BW,12436),"")</f>
        <v/>
      </c>
      <c r="CF204" s="52" t="str">
        <f xml:space="preserve"> IF(Atletas!V200="","",IF(Atletas!V200="Duilian de Mãos AB - Equipe 1",1,IF(Atletas!V200="Duilian de Mãos AB - Equipe 2",2,IF(Atletas!V200="Duilian de Armas AB - Equipe 1",3,IF(Atletas!V200="Duilian de Armas AB - Equipe 2",4,IF(Atletas!V200="Duilian de Tuishou - Equipe 1",5,IF(Atletas!V200="Duilian de Tuishou - Equipe 2",6,IF(Atletas!V200="Grupo Externo AB - Equipe 1",7,IF(Atletas!V200="Grupo Externo AB - Equipe 2",8,IF(Atletas!V200="Grupo Interno AB - Equipe 1",9,IF(Atletas!V200="Grupo Interno AB - Equipe 2",10,IF(Atletas!V200="Duilian de Mãos CD - Equipe 1",11,IF(Atletas!V200="Duilian de Mãos CD - Equipe 2",12,IF(Atletas!V200="Duilian de Armas CD - Equipe 1",13,IF(Atletas!V200="Duilian de Armas CD - Equipe 2",14,IF(Atletas!V200="Duilian de Tuishou - Equipe 1",15,IF(Atletas!V200="Duilian de Tuishou - Equipe 2",16,IF(Atletas!V200="Grupo Externo CDEF - Equipe 1",17,IF(Atletas!V200="Grupo Externo CDEF - Equipe 2",18,IF(Atletas!V200="Grupo Interno CDEF - Equipe 1",19,IF(Atletas!V200="Grupo Interno CDEF - Equipe 2",20,IF(Atletas!V200="Duilian de Mãos EF - Equipe 1",21,IF(Atletas!V200="Duilian de Mãos EF - Equipe 2",22,IF(Atletas!V200="Duilian de Armas EF - Equipe 1",23,IF(Atletas!V200="Duilian de Armas EF - Equipe 2",24,IF(Atletas!V200="Duilian de Tuishou - Equipe 1",25,IF(Atletas!V200="Duilian de Tuishou - Equipe 2",26,"")))))))))))))))))))))))))))</f>
        <v/>
      </c>
    </row>
    <row r="205" spans="2:84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 t="str">
        <f t="array" ref="V205">IFERROR(INDEX(BX$7:BX$336,SMALL(IF(BX$7:BX$336&lt;&gt;"",ROW(BX$7:BX$336)-ROW(BX$7)+1),ROWS(BX$7:BX204))),"")</f>
        <v/>
      </c>
      <c r="W205" s="4" t="str">
        <f t="array" ref="W205">IFERROR(INDEX(BY$7:BY$336,SMALL(IF(BY$7:BY$336&lt;&gt;"",ROW(BY$7:BY$336)-ROW(BY$7)+1),ROWS(BY$7:BY204))),"")</f>
        <v/>
      </c>
      <c r="X205" s="4" t="str">
        <f t="array" ref="X205">IFERROR(INDEX(BZ$7:BZ$336,SMALL(IF(BZ$7:BZ$336&lt;&gt;"",ROW(BZ$7:BZ$336)-ROW(BZ$7)+1),ROWS(BZ$7:BZ204))),"")</f>
        <v/>
      </c>
      <c r="Y205" s="4" t="str">
        <f t="array" ref="Y205">IFERROR(INDEX(CA$7:CA$336,SMALL(IF(CA$7:CA$336&lt;&gt;"",ROW(CA$7:CA$336)-ROW(CA$7)+1),ROWS(CA$7:CA204))),"")</f>
        <v/>
      </c>
      <c r="Z205" s="4" t="str">
        <f t="array" ref="Z205">IFERROR(INDEX(CB$7:CB$378,SMALL(IF(CB$7:CB$378&lt;&gt;"",ROW(CB$7:CB$378)-ROW(CB$7)+1),ROWS(CB$7:CB204))),"")</f>
        <v/>
      </c>
      <c r="AA205" s="4" t="str">
        <f t="array" ref="AA205">IFERROR(INDEX(CC$7:CC$378,SMALL(IF(CC$7:CC$378&lt;&gt;"",ROW(CC$7:CC$378)-ROW(CC$7)+1),ROWS(CC$7:CC204))),"")</f>
        <v/>
      </c>
      <c r="AB205" s="4" t="str">
        <f t="array" ref="AB205">IFERROR(INDEX(CD$7:CD$378,SMALL(IF(CD$7:CD$378&lt;&gt;"",ROW(CD$7:CD$378)-ROW(CD$7)+1),ROWS(CD$7:CD204))),"")</f>
        <v/>
      </c>
      <c r="AC205" s="4" t="str">
        <f t="array" ref="AC205">IFERROR(INDEX(CE$7:CE$378,SMALL(IF(CE$7:CE$378&lt;&gt;"",ROW(CE$7:CE$378)-ROW(CE$7)+1),ROWS(CE$7:CE204))),"")</f>
        <v/>
      </c>
      <c r="AD205" s="4"/>
      <c r="AE205" s="4"/>
      <c r="AF205" s="4"/>
      <c r="AG205" s="4"/>
      <c r="AH205" s="4"/>
      <c r="AI205" s="4"/>
      <c r="AJ205" s="46" t="str">
        <f>IF(Atletas!D201="","",IF(Atletas!B201="Feminino",100,IF(Atletas!B201="Masculino",200,""))+(IF(Atletas!D201="Infantil 39kg",1,IF(Atletas!D201="Infantil 42kg",2,IF(Atletas!D201="Infantil 45kg",3,IF(Atletas!D201="Infantil 48kg",4,IF(Atletas!D201="Infantil 52kg",5,IF(Atletas!D201="Infantil 56kg",6,IF(Atletas!D201="Infantil 60kg",7,IF(Atletas!D201="Juvenil 48kg",8,IF(Atletas!D201="Juvenil 52kg",9,IF(Atletas!D201="Juvenil 56kg",10,IF(Atletas!D201="Juvenil 60kg",11,IF(Atletas!D201="Juvenil 65kg",12,IF(Atletas!D201="Juvenil 70kg",13,IF(Atletas!D201="Juvenil 75kg",14,IF(Atletas!D201="Juvenil 80kg",15,IF(Atletas!D201="Adulto 48kg",16,IF(Atletas!D201="Adulto 52kg",17,IF(Atletas!D201="Adulto 56kg",18,IF(Atletas!D201="Adulto 60kg",19,IF(Atletas!D201="Adulto 65kg",20,IF(Atletas!D201="Adulto 70kg",21,IF(Atletas!D201="Adulto 75kg",22,IF(Atletas!D201="Adulto 80kg",23,IF(Atletas!D201="Adulto 85kg",24,IF(Atletas!D201="Adulto 90kg",25,IF(Atletas!D201="Adulto +90kg",26,""))))))))))))))))))))))))))))</f>
        <v/>
      </c>
      <c r="AO205" s="10" t="str">
        <f>IF(Atletas!E201="","",IF(Atletas!B201="Feminino",100,IF(Atletas!B201="Masculino",200,""))+(IF(Atletas!E201="Juvenil 44kg",1,IF(Atletas!E201="Juvenil 48kg",2,IF(Atletas!E201="Juvenil 52kg",3,IF(Atletas!E201="Juvenil 56kg",4,IF(Atletas!E201="Juvenil 60kg",5,IF(Atletas!E201="Juvenil 65kg",6,IF(Atletas!E201="Juvenil 70kg",7,IF(Atletas!E201="Juvenil 75kg",8,IF(Atletas!E201="Juvenil 82kg",9,IF(Atletas!E201="Juvenil 90kg",10,IF(Atletas!E201="Juvenil 100kg",11,IF(Atletas!E201="Adulto 48kg",12,IF(Atletas!E201="Adulto 52kg",13,IF(Atletas!E201="Adulto 56kg",14,IF(Atletas!E201="Adulto 60kg",15,IF(Atletas!E201="Adulto 65kg",16,IF(Atletas!E201="Adulto 70kg",17,IF(Atletas!E201="Adulto 75kg",18,IF(Atletas!E201="Adulto 82kg",19,IF(Atletas!E201="Adulto 90kg",20,IF(Atletas!E201="Adulto 100kg",21,IF(Atletas!E201="Adulto +100kg",22,""))))))))))))))))))))))))</f>
        <v/>
      </c>
      <c r="AT205" s="10" t="str">
        <f>IF(Atletas!F201="","",IF(Atletas!B201="Feminino",100,IF(Atletas!B201="Masculino",200,""))+(IF(Atletas!F201="Adulto 48kg",1,IF(Atletas!F201="Adulto 56kg",2,IF(Atletas!F201="Adulto 65kg",3,IF(Atletas!F201="Adulto 75kg",4,IF(Atletas!F201="Adulto +75kg",5,IF(Atletas!F201="Adulto 52kg",6,IF(Atletas!F201="Adulto 60kg",7,IF(Atletas!F201="Adulto 70kg",8,IF(Atletas!F201="Adulto 80kg",9,IF(Atletas!F201="Adulto 90kg",10,IF(Atletas!F201="Adulto +90kg",11,"")))))))))))))</f>
        <v/>
      </c>
      <c r="AY205" s="46" t="str">
        <f>IF(Atletas!G201="","",IF(Atletas!B201="Feminino",100,IF(Atletas!B201="Masculino",200,""))+(IF(Atletas!G201="Changquan Mirim",1,IF(Atletas!G201="Nanquan Mirim",2,IF(Atletas!G201="Taijiquan Mirim",3,IF(Atletas!G201="Changquan Grupo C",4,IF(Atletas!G201="Nanquan Grupo C",5,IF(Atletas!G201="Taijiquan Grupo C",6,IF(Atletas!G201="Changquan Grupo B",7,IF(Atletas!G201="Nanquan Grupo B",8,IF(Atletas!G201="Taijiquan Grupo B",9,IF(Atletas!G201="Changquan Grupo A",10,IF(Atletas!G201="Nanquan Grupo A",11,IF(Atletas!G201="Taijiquan Grupo A",12,IF(Atletas!G201="Changquan Opcional",13,IF(Atletas!G201="Nanquan Opcional",14,IF(Atletas!G201="Taijiquan Opcional",15,IF(Atletas!G201="Changquan Adulto",16,IF(Atletas!G201="Nanquan Adulto",17,IF(Atletas!G201="Taijiquan Adulto",18,""))))))))))))))))))))</f>
        <v/>
      </c>
      <c r="AZ205" s="46" t="str">
        <f>IF(Atletas!H201="","",IF(Atletas!B201="Feminino",100,IF(Atletas!B201="Masculino",200,""))+(IF(Atletas!H201="Daoshu Mirim",19,IF(Atletas!H201="Jianshu Mirim",20,IF(Atletas!H201="Nandao Mirim",21,IF(Atletas!H201="Taijijian Mirim",22,IF(Atletas!H201="Daoshu Grupo C",23,IF(Atletas!H201="Jianshu Grupo C",24,IF(Atletas!H201="Nandao Grupo C",25,IF(Atletas!H201="Taijijian Grupo C",26,IF(Atletas!H201="Daoshu Grupo B",27,IF(Atletas!H201="Jianshu Grupo B",28,IF(Atletas!H201="Nandao Grupo B",29,IF(Atletas!H201="Taijijian Grupo B",30,IF(Atletas!H201="Daoshu Grupo A",31,IF(Atletas!H201="Jianshu Grupo A",32,IF(Atletas!H201="Nandao Grupo A",33,IF(Atletas!H201="Taijijian Grupo A",34,IF(Atletas!H201="Daoshu Opcional",35,IF(Atletas!H201="Jianshu Opcional",36,IF(Atletas!H201="Nandao Opcional",37,IF(Atletas!H201="Taijijian Opcional",38,IF(Atletas!H201="Daoshu Adulto",39,IF(Atletas!H201="Jianshu Adulto",40,IF(Atletas!H201="Nandao Adulto",41,IF(Atletas!H201="Taijijian Adulto",42,""))))))))))))))))))))))))))</f>
        <v/>
      </c>
      <c r="BA205" s="46" t="str">
        <f>IF(Atletas!I201="","",IF(Atletas!B201="Feminino",100,IF(Atletas!B201="Masculino",200,""))+(IF(Atletas!I201="Gunshu Mirim",43,IF(Atletas!I201="Qiangshu Mirim",44,IF(Atletas!I201="Nangun Mirim",45,IF(Atletas!I201="Gunshu Grupo C",46,IF(Atletas!I201="Qiangshu Grupo C",47,IF(Atletas!I201="Nangun Grupo C",48,IF(Atletas!I201="Gunshu Grupo B",49,IF(Atletas!I201="Qiangshu Grupo B",50,IF(Atletas!I201="Nangun Grupo B",51,IF(Atletas!I201="Gunshu Grupo A",52,IF(Atletas!I201="Qiangshu Grupo A",53,IF(Atletas!I201="Nangun Grupo A",54,IF(Atletas!I201="Gunshu Opcional",55,IF(Atletas!I201="Qiangshu Opcional",56,IF(Atletas!I201="Nangun Opcional",57,IF(Atletas!I201="Gunshu Adulto",58,IF(Atletas!I201="Qiangshu Adulto",59,IF(Atletas!I201="Nangun Adulto",60,""))))))))))))))))))))</f>
        <v/>
      </c>
      <c r="BF205" s="52" t="str">
        <f>IF(Atletas!J201="","",IF(Atletas!B201="Feminino",100,IF(Atletas!B201="Masculino",200,""))+(IF(Atletas!J201="Equipe 1 Grupo B",1,IF(Atletas!J201="Equipe 2 Grupo B",2,IF(Atletas!J201="Equipe 1 Grupo A",3,IF(Atletas!J201="Equipe 2 Grupo A",4,IF(Atletas!J201="Equipe 1 Adulto",5,IF(Atletas!J201="Equipe 2 Adulto",6,""))))))))</f>
        <v/>
      </c>
      <c r="BK205" s="52" t="str">
        <f>IF(Atletas!K201="","",IF(Atletas!W201&lt;&gt;"",10000,0)+(IF(Atletas!B201="Feminino",1000,IF(Atletas!B201="Masculino",2000,""))+IF(Atletas!K201="Choylayfut A",1,IF(Atletas!K201="Hunggar A",2,IF(Atletas!K201="Wuzuquan A",3,IF(Atletas!K201="Wingchun A",4,IF(Atletas!K201="Outra Mão de Sul A",5,IF(Atletas!K201="Choylayfut B",6,IF(Atletas!K201="Hunggar B",7,IF(Atletas!K201="Wuzuquan B",8,IF(Atletas!K201="Wingchun B",9,IF(Atletas!K201="Outra Mão de Sul B",10,IF(Atletas!K201="Choylayfut C",11,IF(Atletas!K201="Hunggar C",12,IF(Atletas!K201="Wuzuquan C",13,IF(Atletas!K201="Wingchun C",14,IF(Atletas!K201="Outra Mão de Sul C",15,IF(Atletas!K201="Choylayfut D",16,IF(Atletas!K201="Hunggar D",17,IF(Atletas!K201="Wuzuquan D",18,IF(Atletas!K201="Wingchun D",19,IF(Atletas!K201="Outra Mão de Sul D",20,IF(Atletas!K201="Choylayfut E",21,IF(Atletas!K201="Hunggar E",22,IF(Atletas!K201="Wuzuquan E",23,IF(Atletas!K201="Wingchun E",24,IF(Atletas!K201="Outra Mão de Sul E",25,IF(Atletas!K201="Choylayfut F",26,IF(Atletas!K201="Hunggar F",27,IF(Atletas!K201="Wuzuquan F",28,IF(Atletas!K201="Wingchun F",29,IF(Atletas!K201="Outra Mão de Sul F",30,""))))))))))))))))))))))))))))))))</f>
        <v/>
      </c>
      <c r="BL205" s="52" t="str">
        <f>IF(Atletas!L201="","",IF(Atletas!W201&lt;&gt;"",10000,0)+(IF(Atletas!B201="Feminino",1000,IF(Atletas!B201="Masculino",2000,""))+(IF(Atletas!L201="Chaquan A",101,IF(Atletas!L201="Emeiquan A",102,IF(Atletas!L201="Fanziquan A",103,IF(Atletas!L201="Huaquan A",104,IF(Atletas!L201="Hongquan A",105,IF(Atletas!L201="Paochui A",106,IF(Atletas!L201="Piguaquan A",107,IF(Atletas!L201="Shaolinquan A",108,IF(Atletas!L201="Tanglangquan A",109,IF(Atletas!L201="Yinzhaophai A",110,IF(Atletas!L201="Tongbeiquan A",111,IF(Atletas!L201="Wudangquan A",112,IF(Atletas!L201="Outros Estilos A",113,IF(Atletas!L201="Chaquan B",114,IF(Atletas!L201="Emeiquan B",115,IF(Atletas!L201="Fanziquan B",116,IF(Atletas!L201="Huaquan B",117,IF(Atletas!L201="Hongquan B",118,IF(Atletas!L201="Paochui B",119,IF(Atletas!L201="Piguaquan B",120,IF(Atletas!L201="Shaolinquan B",121,IF(Atletas!L201="Tanglangquan B",122,IF(Atletas!L201="Yinzhaophai B",123,IF(Atletas!L201="Tongbeiquan B",124,IF(Atletas!L201="Wudangquan B",125,IF(Atletas!L201="Outros Estilos B",126,IF(Atletas!L201="Chaquan C",127,IF(Atletas!L201="Emeiquan C",128,IF(Atletas!L201="Fanziquan C",129,IF(Atletas!L201="Huaquan C",130,IF(Atletas!L201="Hongquan C",131,IF(Atletas!L201="Paochui C",132,IF(Atletas!L201="Piguaquan C",133,IF(Atletas!L201="Shaolinquan C",134,IF(Atletas!L201="Tanglangquan C",135,IF(Atletas!L201="Yinzhaophai C",136,IF(Atletas!L201="Tongbeiquan C",137,IF(Atletas!L201="Wudangquan C",138,IF(Atletas!L201="Outros Estilos C",139,0))))))))))))))))))))))))))))))))))))))))))</f>
        <v/>
      </c>
      <c r="BM205" s="52" t="str">
        <f>IF(Atletas!L201="","",IF(Atletas!W201&lt;&gt;"",10000,0)+(IF(Atletas!B201="Feminino",1000,IF(Atletas!B201="Masculino",2000,""))+(IF(Atletas!L201="Chaquan D",140,IF(Atletas!L201="Emeiquan D",141,IF(Atletas!L201="Fanziquan D",142,IF(Atletas!L201="Huaquan D",143,IF(Atletas!L201="Hongquan D",144,IF(Atletas!L201="Paochui D",145,IF(Atletas!L201="Piguaquan D",146,IF(Atletas!L201="Shaolinquan D",147,IF(Atletas!L201="Tanglangquan D",148,IF(Atletas!L201="Yinzhaophai D",149,IF(Atletas!L201="Tongbeiquan D",150,IF(Atletas!L201="Wudangquan D",151,IF(Atletas!L201="Outros Estilos D",152,IF(Atletas!L201="Chaquan E",153,IF(Atletas!L201="Emeiquan E",154,IF(Atletas!L201="Fanziquan E",155,IF(Atletas!L201="Huaquan E",156,IF(Atletas!L201="Hongquan E",157,IF(Atletas!L201="Paochui E",158,IF(Atletas!L201="Piguaquan E",159,IF(Atletas!L201="Shaolinquan E",160,IF(Atletas!L201="Tanglangquan E",161,IF(Atletas!L201="Yinzhaophai E",162,IF(Atletas!L201="Tongbeiquan E",163,IF(Atletas!L201="Wudangquan E",164,IF(Atletas!L201="Outros Estilos E",165,IF(Atletas!L201="Chaquan F",166,IF(Atletas!L201="Emeiquan F",167,IF(Atletas!L201="Fanziquan F",168,IF(Atletas!L201="Huaquan F",169,IF(Atletas!L201="Hongquan F",170,IF(Atletas!L201="Paochui F",171,IF(Atletas!L201="Piguaquan F",172,IF(Atletas!L201="Shaolinquan F",173,IF(Atletas!L201="Tanglangquan F",174,IF(Atletas!L201="Yinzhaophai F",175,IF(Atletas!L201="Tongbeiquan F",176,IF(Atletas!L201="Wudangquan F",177,IF(Atletas!L201="Outros Estilos F",178,0))))))))))))))))))))))))))))))))))))))))))</f>
        <v/>
      </c>
      <c r="BN205" s="52" t="str">
        <f>IF(Atletas!M201="","",IF(Atletas!W201&lt;&gt;"",10000,0)+(IF(Atletas!B201="Feminino",1000,IF(Atletas!B201="Masculino",2000,""))+(IF(Atletas!M201="Ditangquan A",201,IF(Atletas!M201="Houquan A",202,IF(Atletas!M201="Zuiquan A",203,IF(Atletas!M201="Ditangquan B",204,IF(Atletas!M201="Houquan B",205,IF(Atletas!M201="Zuiquan B",206,IF(Atletas!M201="Ditangquan C",207,IF(Atletas!M201="Houquan C",208,IF(Atletas!M201="Zuiquan C",209,IF(Atletas!M201="Ditangquan D",210,IF(Atletas!M201="Houquan D",211,IF(Atletas!M201="Zuiquan D",212,IF(Atletas!M201="Ditangquan E",213,IF(Atletas!M201="Houquan E",214,IF(Atletas!M201="Zuiquan E",215,IF(Atletas!M201="Ditangquan F",216,IF(Atletas!M201="Houquan F",217,IF(Atletas!M201="Zuiquan F",218,"")))))))))))))))))))))</f>
        <v/>
      </c>
      <c r="BO205" s="52" t="str">
        <f>IF(Atletas!N201="","",IF(Atletas!W201&lt;&gt;"",10000,0)+IF(Atletas!B201="Feminino",1000,IF(Atletas!B201="Masculino",2000,""))+IF(Atletas!N201="Yang A",301,IF(Atletas!N201="Chen A",30,IF(Atletas!N201="Sun A",303,IF(Atletas!N201="Wu A",304,IF(Atletas!N201="Wu-Hao A",305,IF(Atletas!N201="Outro Taijiquan A",306,IF(Atletas!N201="Yang B",307,IF(Atletas!N201="Chen B",308,IF(Atletas!N201="Sun B",309,IF(Atletas!N201="Wu B",310,IF(Atletas!N201="Wu-Hao B",311,IF(Atletas!N201="Outro Taijiquan B",312,IF(Atletas!N201="Yang C",313,IF(Atletas!N201="Chen C",314,IF(Atletas!N201="Sun C",315,IF(Atletas!N201="Wu C",316,IF(Atletas!N201="Wu-Hao C",317,IF(Atletas!N201="Outro Taijiquan C",318,IF(Atletas!N201="Yang D",319,IF(Atletas!N201="Chen D",320,IF(Atletas!N201="Sun D",321,IF(Atletas!N201="Wu D",322,IF(Atletas!N201="Wu-Hao D",323,IF(Atletas!N201="Outro Taijiquan D",324,IF(Atletas!N201="Yang E",325,IF(Atletas!N201="Chen E",326,IF(Atletas!N201="Sun E",327,IF(Atletas!N201="Wu E",328,IF(Atletas!N201="Wu-Hao E",329,IF(Atletas!N201="Outro Taijiquan E",330,IF(Atletas!N201="Yang F",331,IF(Atletas!N201="Chen F",332,IF(Atletas!N201="Sun F",333,IF(Atletas!N201="Wu F",334,IF(Atletas!N201="Wu-Hao F",335,IF(Atletas!N201="Outro Taijiquan F",336,"")))))))))))))))))))))))))))))))))))))</f>
        <v/>
      </c>
      <c r="BP205" s="52" t="str">
        <f>IF(Atletas!O201="","",IF(Atletas!W201&lt;&gt;"",10000,0)+IF(Atletas!B201="Feminino",1000,IF(Atletas!B201="Masculino",2000,""))+IF(OR(Atletas!O201="Yang 26 A",Atletas!O201="Yang 40 A"),401,IF(OR(Atletas!O201="Chen 25 A",Atletas!O201="Chen 36 A",Atletas!O201="Chen 56 A"),402,IF(Atletas!O201="Sun 73 A",403,IF(Atletas!O201="Wu 45 A",404,IF(Atletas!O201="Wu-Hao 46 A",405,IF(OR(Atletas!O201="Taijiquan 16 A",Atletas!O201="Taijiquan 24 A",Atletas!O201="Taijiquan 32 A",Atletas!O201="Taijiquan 42 A"),406,IF(OR(Atletas!O201="Yang 26 B",Atletas!O201="Yang 40 B"),407,IF(OR(Atletas!O201="Chen 25 B",Atletas!O201="Chen 36 B",Atletas!O201="Chen 56 B"),408,IF(Atletas!O201="Sun 73 B",409,IF(Atletas!O201="Wu 45 B",410,IF(Atletas!O201="Wu-Hao 46 B",411,IF(OR(Atletas!O201="Taijiquan 16 B",Atletas!O201="Taijiquan 24 B",Atletas!O201="Taijiquan 32 B",Atletas!O201="Taijiquan 42 B"),412,IF(OR(Atletas!O201="Yang 26 C",Atletas!O201="Yang 40 C"),413,IF(OR(Atletas!O201="Chen 25 C",Atletas!O201="Chen 36 C",Atletas!O201="Chen 56 C"),414,IF(Atletas!O201="Sun 73 C",415,IF(Atletas!O201="Wu 45 C",416,IF(Atletas!O201="Wu-Hao 46 C",417,IF(OR(Atletas!O201="Taijiquan 16 C",Atletas!O201="Taijiquan 24 C",Atletas!O201="Taijiquan 32 C",Atletas!O201="Taijiquan 42 C"),418,0)))))))))))))))))))</f>
        <v/>
      </c>
      <c r="BQ205" s="52" t="str">
        <f>IF(Atletas!O201="","",IF(Atletas!W201&lt;&gt;"",10000,0)+IF(Atletas!B201="Feminino",1000,IF(Atletas!B201="Masculino",2000,""))+IF(OR(Atletas!O201="Yang 26 D",Atletas!O201="Yang 40 D"),419,IF(OR(Atletas!O201="Chen 25 D",Atletas!O201="Chen 36 D",Atletas!O201="Chen 56 D"),420,IF(Atletas!O201="Sun 73 D",421,IF(Atletas!O201="Wu 45 D",422,IF(Atletas!O201="Wu-Hao 46 D",423,IF(OR(Atletas!O201="Taijiquan 16 D",Atletas!O201="Taijiquan 24 D",Atletas!O201="Taijiquan 32 D",Atletas!O201="Taijiquan 42 D"),424,IF(OR(Atletas!O201="Yang 26 E",Atletas!O201="Yang 40 E"),425,IF(OR(Atletas!O201="Chen 25 E",Atletas!O201="Chen 36 E",Atletas!O201="Chen 56 E"),426,IF(Atletas!O201="Sun 73 E",427,IF(Atletas!O201="Wu 45 E",428,IF(Atletas!O201="Wu-Hao 46 E",429,IF(OR(Atletas!O201="Taijiquan 16 E",Atletas!O201="Taijiquan 24 E",Atletas!O201="Taijiquan 32 E",Atletas!O201="Taijiquan 42 E"),430,IF(OR(Atletas!O201="Yang 26 F",Atletas!O201="Yang 40 F"),431,IF(OR(Atletas!O201="Chen 25 F",Atletas!O201="Chen 36 F",Atletas!O201="Chen 56 F"),432,IF(Atletas!O201="Sun 73 F",433,IF(Atletas!O201="Wu 45 F",434,IF(Atletas!O201="Wu-Hao 46 F",435,IF(OR(Atletas!O201="Taijiquan 16 F",Atletas!O201="Taijiquan 24 F",Atletas!O201="Taijiquan 32 F",Atletas!O201="Taijiquan 42 F"),436,0)))))))))))))))))))</f>
        <v/>
      </c>
      <c r="BR205" s="52" t="str">
        <f>IF(Atletas!P201="","",IF(Atletas!W201&lt;&gt;"",10000,0)+IF(Atletas!B201="Feminino",1000,IF(Atletas!B201="Masculino",2000,""))+IF(Atletas!P201="Xingyiquan A",501,IF(Atletas!P201="Baguazhang A",502,IF(Atletas!P201="Outro Estilo Interno A",503,IF(Atletas!P201="Xingyiquan B",504,IF(Atletas!P201="Baguazhang B",505,IF(Atletas!P201="Outro Estilo Interno B",506,IF(Atletas!P201="Xingyiquan C",507,IF(Atletas!P201="Baguazhang C",508,IF(Atletas!P201="Outro Estilo Interno C",509,IF(Atletas!P201="Xingyiquan D",510,IF(Atletas!P201="Baguazhang D",511,IF(Atletas!P201="Outro Estilo Interno D",512,IF(Atletas!P201="Xingyiquan E",513,IF(Atletas!P201="Baguazhang E",514,IF(Atletas!P201="Outro Estilo Interno E",515,IF(Atletas!P201="Xingyiquan F",516,IF(Atletas!P201="Baguazhang F",517,IF(Atletas!P201="Outro Estilo Interno F",518, "")))))))))))))))))))</f>
        <v/>
      </c>
      <c r="BS205" s="52" t="str">
        <f>IF(Atletas!Q201="","",IF(Atletas!W201&lt;&gt;"",10000,0)+IF(Atletas!B201="Feminino",1000,IF(Atletas!B201="Masculino",2000,""))+IF(Atletas!Q201="Dao A",601,IF(Atletas!Q201="Jian A",602,IF(Atletas!Q201="Bishou A",603,IF(Atletas!Q201="Shan A",604,IF(Atletas!Q201="Outra Arma Curta A",605,IF(Atletas!Q201="Dao B",606,IF(Atletas!Q201="Jian B",607,IF(Atletas!Q201="Bishou B",608,IF(Atletas!Q201="Shan B",609,IF(Atletas!Q201="Outra Arma Curta B",610,IF(Atletas!Q201="Dao C",611,IF(Atletas!Q201="Jian C",612,IF(Atletas!Q201="Bishou C",613,IF(Atletas!Q201="Shan C",614,IF(Atletas!Q201="Outra Arma Curta C",615,IF(Atletas!Q201="Dao D",616,IF(Atletas!Q201="Jian D",617,IF(Atletas!Q201="Bishou D",618,IF(Atletas!Q201="Shan D",619,IF(Atletas!Q201="Outra Arma Curta D",620,IF(Atletas!Q201="Dao E",621,IF(Atletas!Q201="Jian E",622,IF(Atletas!Q201="Bishou E",623,IF(Atletas!Q201="Shan E",624,IF(Atletas!Q201="Outra Arma Curta E",625,IF(Atletas!Q201="Dao F",626,IF(Atletas!Q201="Jian F",627,IF(Atletas!Q201="Bishou F",628,IF(Atletas!Q201="Shan F",629,IF(Atletas!Q201="Outra Arma Curta F",630, "")))))))))))))))))))))))))))))))</f>
        <v/>
      </c>
      <c r="BT205" s="52" t="str">
        <f>IF(Atletas!R201="","",IF(Atletas!W201&lt;&gt;"",10000,0)+IF(Atletas!B201="Feminino",1000,IF(Atletas!B201="Masculino",2000,""))+IF(Atletas!R201="Gun A",701,IF(Atletas!R201="Qiang A",702,IF(Atletas!R201="Pudao / Guandao A",703,IF(Atletas!R201="Outra Arma Longa A",704,IF(Atletas!R201="Gun B",705,IF(Atletas!R201="Qiang B",706,IF(Atletas!R201="Pudao / Guandao B",707,IF(Atletas!R201="Outra Arma Longa B",708,IF(Atletas!R201="Gun C",709,IF(Atletas!R201="Qiang C",710,IF(Atletas!R201="Pudao / Guandao C",711,IF(Atletas!R201="Outra Arma Longa C",712,IF(Atletas!R201="Gun D",713,IF(Atletas!R201="Qiang D",714,IF(Atletas!R201="Pudao / Guandao D",715,IF(Atletas!R201="Outra Arma Longa D",716,IF(Atletas!R201="Gun E",717,IF(Atletas!R201="Qiang E",718,IF(Atletas!R201="Pudao / Guandao E",719,IF(Atletas!R201="Outra Arma Longa E",720,IF(Atletas!R201="Gun F",721,IF(Atletas!R201="Qiang F",722,IF(Atletas!R201="Pudao / Guandao F",723,IF(Atletas!R201="Outra Arma Longa F",724,"")))))))))))))))))))))))))</f>
        <v/>
      </c>
      <c r="BU205" s="52" t="str">
        <f>IF(Atletas!S201="","",IF(Atletas!W201&lt;&gt;"",10000,0)+IF(Atletas!B201="Feminino",1000,IF(Atletas!B201="Masculino",2000,""))+IF(Atletas!S201="Arma Dupla A",801,IF(Atletas!S201="Arma Maleável A",802,IF(Atletas!S201="Arma Dupla B",803,IF(Atletas!S201="Arma Maleável B",804,IF(Atletas!S201="Arma Dupla C",805,IF(Atletas!S201="Arma Maleável C",806,IF(Atletas!S201="Arma Dupla D",807,IF(Atletas!S201="Arma Maleável D",808,IF(Atletas!S201="Arma Dupla E",809,IF(Atletas!S201="Arma Maleável E",810,IF(Atletas!S201="Arma Dupla F",811,IF(Atletas!S201="Arma Maleável F",812, "")))))))))))))</f>
        <v/>
      </c>
      <c r="BV205" s="52" t="str">
        <f>IF(Atletas!T201="","",IF(Atletas!W201&lt;&gt;"",10000,0)+IF(Atletas!B201="Feminino",1000,IF(Atletas!B201="Masculino",2000,""))+IF(Atletas!T201="Taijijian Yang A",901,IF(Atletas!T201="Taijijian Chen A",902,IF(Atletas!T201="Taijijian Sun A",903,IF(Atletas!T201="Taijijian Wu A",904,IF(Atletas!T201="Taijijian Wu-Hao A",905,IF(Atletas!T201="Taijijian 32 A",906,IF(Atletas!T201="Taijijian 42 A",907,IF(Atletas!T201="Taijijian Yang B",908,IF(Atletas!T201="Taijijian Chen B",909,IF(Atletas!T201="Taijijian Sun B",910,IF(Atletas!T201="Taijijian Wu B",911,IF(Atletas!T201="Taijijian Wu-Hao B",912,IF(Atletas!T201="Taijijian 32 B",913,IF(Atletas!T201="Taijijian 42 B",914,IF(Atletas!T201="Taijijian Yang C",915,IF(Atletas!T201="Taijijian Chen C",916,IF(Atletas!T201="Taijijian Sun C",917,IF(Atletas!T201="Taijijian Wu C",918,IF(Atletas!T201="Taijijian Wu-Hao C",919,IF(Atletas!T201="Taijijian 32 C",920,IF(Atletas!T201="Taijijian 42 C",921,IF(Atletas!T201="Taijijian Yang D",922,IF(Atletas!T201="Taijijian Chen D",923,IF(Atletas!T201="Taijijian Sun D",924,IF(Atletas!T201="Taijijian Wu D",925,IF(Atletas!T201="Taijijian Wu-Hao D",926,IF(Atletas!T201="Taijijian 32 D",927,IF(Atletas!T201="Taijijian 42 D",928,IF(Atletas!T201="Taijijian Yang E",929,IF(Atletas!T201="Taijijian Chen E",930,IF(Atletas!T201="Taijijian Sun E",931,IF(Atletas!T201="Taijijian Wu E",932,IF(Atletas!T201="Taijijian Wu-Hao E",933,IF(Atletas!T201="Taijijian 32 E",934,IF(Atletas!T201="Taijijian 42 E",935,IF(Atletas!T201="Taijijian Yang F",936,IF(Atletas!T201="Taijijian Chen F",937,IF(Atletas!T201="Taijijian Sun F",938,IF(Atletas!T201="Taijijian Wu F",939,IF(Atletas!T201="Taijijian Wu-Hao F",940,IF(Atletas!T201="Taijijian 32 F",941,IF(Atletas!T201="Taijijian 42 F",942,"")))))))))))))))))))))))))))))))))))))))))))</f>
        <v/>
      </c>
      <c r="BW205" s="52" t="str">
        <f>IF(Atletas!U201="","",IF(Atletas!W201&lt;&gt;"",10000,0)+IF(Atletas!B201="Feminino",1000,IF(Atletas!B201="Masculino",2000,""))+IF(Atletas!T201="Taijijian 42 F",942,IF(Atletas!U201="Taijidao A",943,IF(Atletas!U201="Taijishan A",944,IF(Atletas!U201="Taijiqiang A",945,IF(Atletas!U201="Taijidao B",946,IF(Atletas!U201="Taijishan B",947,IF(Atletas!U201="Taijiqiang B",948,IF(Atletas!U201="Taijidao C",949,IF(Atletas!U201="Taijishan C",950,IF(Atletas!U201="Taijiqiang C",951,IF(Atletas!U201="Taijidao D",952,IF(Atletas!U201="Taijishan D",953,IF(Atletas!U201="Taijiqiang D",954,IF(Atletas!U201="Taijidao E",955,IF(Atletas!U201="Taijishan E",956,IF(Atletas!U201="Taijiqiang E",957,IF(Atletas!U201="Taijidao F",958,IF(Atletas!U201="Taijishan F",959,IF(Atletas!U201="Taijiqiang F",960))))))))))))))))))))</f>
        <v/>
      </c>
      <c r="BX205" s="72" t="str">
        <f>IF(BY205&lt;&gt;"","Xingyiquan A","")</f>
        <v/>
      </c>
      <c r="BY205" s="72" t="str">
        <f>IF(COUNTIF(BK:BW,1501)&gt;0,COUNTIF(BK:BW,1501),"")</f>
        <v/>
      </c>
      <c r="BZ205" s="72" t="str">
        <f>IF(CA205&lt;&gt;"","Xingyiquan A","")</f>
        <v/>
      </c>
      <c r="CA205" s="72" t="str">
        <f>IF(COUNTIF(BK:BW,2501)&gt;0,COUNTIF(BK:BW,2501),"")</f>
        <v/>
      </c>
      <c r="CB205" s="72" t="str">
        <f>IF(CC205&lt;&gt;"","Wu-Hao Novo C","")</f>
        <v/>
      </c>
      <c r="CC205" s="64" t="str">
        <f>IF(COUNTIF(BK:BW,11437)&gt;0,COUNTIF(BK:BW,11437),"")</f>
        <v/>
      </c>
      <c r="CD205" s="64" t="str">
        <f>IF(CE205&lt;&gt;"","Wu-Hao Novo C","")</f>
        <v/>
      </c>
      <c r="CE205" s="64" t="str">
        <f>IF(COUNTIF(BK:BW,12437)&gt;0,COUNTIF(BK:BW,12437),"")</f>
        <v/>
      </c>
      <c r="CF205" s="52" t="str">
        <f xml:space="preserve"> IF(Atletas!V201="","",IF(Atletas!V201="Duilian de Mãos AB - Equipe 1",1,IF(Atletas!V201="Duilian de Mãos AB - Equipe 2",2,IF(Atletas!V201="Duilian de Armas AB - Equipe 1",3,IF(Atletas!V201="Duilian de Armas AB - Equipe 2",4,IF(Atletas!V201="Duilian de Tuishou - Equipe 1",5,IF(Atletas!V201="Duilian de Tuishou - Equipe 2",6,IF(Atletas!V201="Grupo Externo AB - Equipe 1",7,IF(Atletas!V201="Grupo Externo AB - Equipe 2",8,IF(Atletas!V201="Grupo Interno AB - Equipe 1",9,IF(Atletas!V201="Grupo Interno AB - Equipe 2",10,IF(Atletas!V201="Duilian de Mãos CD - Equipe 1",11,IF(Atletas!V201="Duilian de Mãos CD - Equipe 2",12,IF(Atletas!V201="Duilian de Armas CD - Equipe 1",13,IF(Atletas!V201="Duilian de Armas CD - Equipe 2",14,IF(Atletas!V201="Duilian de Tuishou - Equipe 1",15,IF(Atletas!V201="Duilian de Tuishou - Equipe 2",16,IF(Atletas!V201="Grupo Externo CDEF - Equipe 1",17,IF(Atletas!V201="Grupo Externo CDEF - Equipe 2",18,IF(Atletas!V201="Grupo Interno CDEF - Equipe 1",19,IF(Atletas!V201="Grupo Interno CDEF - Equipe 2",20,IF(Atletas!V201="Duilian de Mãos EF - Equipe 1",21,IF(Atletas!V201="Duilian de Mãos EF - Equipe 2",22,IF(Atletas!V201="Duilian de Armas EF - Equipe 1",23,IF(Atletas!V201="Duilian de Armas EF - Equipe 2",24,IF(Atletas!V201="Duilian de Tuishou - Equipe 1",25,IF(Atletas!V201="Duilian de Tuishou - Equipe 2",26,"")))))))))))))))))))))))))))</f>
        <v/>
      </c>
    </row>
    <row r="206" spans="2:84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 t="str">
        <f t="array" ref="V206">IFERROR(INDEX(BX$7:BX$336,SMALL(IF(BX$7:BX$336&lt;&gt;"",ROW(BX$7:BX$336)-ROW(BX$7)+1),ROWS(BX$7:BX204))),"")</f>
        <v/>
      </c>
      <c r="W206" s="4" t="str">
        <f t="array" ref="W206">IFERROR(INDEX(BY$7:BY$336,SMALL(IF(BY$7:BY$336&lt;&gt;"",ROW(BY$7:BY$336)-ROW(BY$7)+1),ROWS(BY$7:BY204))),"")</f>
        <v/>
      </c>
      <c r="X206" s="4" t="str">
        <f t="array" ref="X206">IFERROR(INDEX(BZ$7:BZ$336,SMALL(IF(BZ$7:BZ$336&lt;&gt;"",ROW(BZ$7:BZ$336)-ROW(BZ$7)+1),ROWS(BZ$7:BZ204))),"")</f>
        <v/>
      </c>
      <c r="Y206" s="4" t="str">
        <f t="array" ref="Y206">IFERROR(INDEX(CA$7:CA$336,SMALL(IF(CA$7:CA$336&lt;&gt;"",ROW(CA$7:CA$336)-ROW(CA$7)+1),ROWS(CA$7:CA204))),"")</f>
        <v/>
      </c>
      <c r="Z206" s="4" t="str">
        <f t="array" ref="Z206">IFERROR(INDEX(CB$7:CB$378,SMALL(IF(CB$7:CB$378&lt;&gt;"",ROW(CB$7:CB$378)-ROW(CB$7)+1),ROWS(CB$7:CB205))),"")</f>
        <v/>
      </c>
      <c r="AA206" s="4" t="str">
        <f t="array" ref="AA206">IFERROR(INDEX(CC$7:CC$378,SMALL(IF(CC$7:CC$378&lt;&gt;"",ROW(CC$7:CC$378)-ROW(CC$7)+1),ROWS(CC$7:CC205))),"")</f>
        <v/>
      </c>
      <c r="AB206" s="4" t="str">
        <f t="array" ref="AB206">IFERROR(INDEX(CD$7:CD$378,SMALL(IF(CD$7:CD$378&lt;&gt;"",ROW(CD$7:CD$378)-ROW(CD$7)+1),ROWS(CD$7:CD205))),"")</f>
        <v/>
      </c>
      <c r="AC206" s="4" t="str">
        <f t="array" ref="AC206">IFERROR(INDEX(CE$7:CE$378,SMALL(IF(CE$7:CE$378&lt;&gt;"",ROW(CE$7:CE$378)-ROW(CE$7)+1),ROWS(CE$7:CE205))),"")</f>
        <v/>
      </c>
      <c r="AD206" s="4"/>
      <c r="AE206" s="4"/>
      <c r="AF206" s="4"/>
      <c r="AG206" s="4"/>
      <c r="AH206" s="4"/>
      <c r="AI206" s="4"/>
      <c r="AJ206" s="46" t="str">
        <f>IF(Atletas!D202="","",IF(Atletas!B202="Feminino",100,IF(Atletas!B202="Masculino",200,""))+(IF(Atletas!D202="Infantil 39kg",1,IF(Atletas!D202="Infantil 42kg",2,IF(Atletas!D202="Infantil 45kg",3,IF(Atletas!D202="Infantil 48kg",4,IF(Atletas!D202="Infantil 52kg",5,IF(Atletas!D202="Infantil 56kg",6,IF(Atletas!D202="Infantil 60kg",7,IF(Atletas!D202="Juvenil 48kg",8,IF(Atletas!D202="Juvenil 52kg",9,IF(Atletas!D202="Juvenil 56kg",10,IF(Atletas!D202="Juvenil 60kg",11,IF(Atletas!D202="Juvenil 65kg",12,IF(Atletas!D202="Juvenil 70kg",13,IF(Atletas!D202="Juvenil 75kg",14,IF(Atletas!D202="Juvenil 80kg",15,IF(Atletas!D202="Adulto 48kg",16,IF(Atletas!D202="Adulto 52kg",17,IF(Atletas!D202="Adulto 56kg",18,IF(Atletas!D202="Adulto 60kg",19,IF(Atletas!D202="Adulto 65kg",20,IF(Atletas!D202="Adulto 70kg",21,IF(Atletas!D202="Adulto 75kg",22,IF(Atletas!D202="Adulto 80kg",23,IF(Atletas!D202="Adulto 85kg",24,IF(Atletas!D202="Adulto 90kg",25,IF(Atletas!D202="Adulto +90kg",26,""))))))))))))))))))))))))))))</f>
        <v/>
      </c>
      <c r="AO206" s="10" t="str">
        <f>IF(Atletas!E202="","",IF(Atletas!B202="Feminino",100,IF(Atletas!B202="Masculino",200,""))+(IF(Atletas!E202="Juvenil 44kg",1,IF(Atletas!E202="Juvenil 48kg",2,IF(Atletas!E202="Juvenil 52kg",3,IF(Atletas!E202="Juvenil 56kg",4,IF(Atletas!E202="Juvenil 60kg",5,IF(Atletas!E202="Juvenil 65kg",6,IF(Atletas!E202="Juvenil 70kg",7,IF(Atletas!E202="Juvenil 75kg",8,IF(Atletas!E202="Juvenil 82kg",9,IF(Atletas!E202="Juvenil 90kg",10,IF(Atletas!E202="Juvenil 100kg",11,IF(Atletas!E202="Adulto 48kg",12,IF(Atletas!E202="Adulto 52kg",13,IF(Atletas!E202="Adulto 56kg",14,IF(Atletas!E202="Adulto 60kg",15,IF(Atletas!E202="Adulto 65kg",16,IF(Atletas!E202="Adulto 70kg",17,IF(Atletas!E202="Adulto 75kg",18,IF(Atletas!E202="Adulto 82kg",19,IF(Atletas!E202="Adulto 90kg",20,IF(Atletas!E202="Adulto 100kg",21,IF(Atletas!E202="Adulto +100kg",22,""))))))))))))))))))))))))</f>
        <v/>
      </c>
      <c r="AT206" s="10" t="str">
        <f>IF(Atletas!F202="","",IF(Atletas!B202="Feminino",100,IF(Atletas!B202="Masculino",200,""))+(IF(Atletas!F202="Adulto 48kg",1,IF(Atletas!F202="Adulto 56kg",2,IF(Atletas!F202="Adulto 65kg",3,IF(Atletas!F202="Adulto 75kg",4,IF(Atletas!F202="Adulto +75kg",5,IF(Atletas!F202="Adulto 52kg",6,IF(Atletas!F202="Adulto 60kg",7,IF(Atletas!F202="Adulto 70kg",8,IF(Atletas!F202="Adulto 80kg",9,IF(Atletas!F202="Adulto 90kg",10,IF(Atletas!F202="Adulto +90kg",11,"")))))))))))))</f>
        <v/>
      </c>
      <c r="AY206" s="46" t="str">
        <f>IF(Atletas!G202="","",IF(Atletas!B202="Feminino",100,IF(Atletas!B202="Masculino",200,""))+(IF(Atletas!G202="Changquan Mirim",1,IF(Atletas!G202="Nanquan Mirim",2,IF(Atletas!G202="Taijiquan Mirim",3,IF(Atletas!G202="Changquan Grupo C",4,IF(Atletas!G202="Nanquan Grupo C",5,IF(Atletas!G202="Taijiquan Grupo C",6,IF(Atletas!G202="Changquan Grupo B",7,IF(Atletas!G202="Nanquan Grupo B",8,IF(Atletas!G202="Taijiquan Grupo B",9,IF(Atletas!G202="Changquan Grupo A",10,IF(Atletas!G202="Nanquan Grupo A",11,IF(Atletas!G202="Taijiquan Grupo A",12,IF(Atletas!G202="Changquan Opcional",13,IF(Atletas!G202="Nanquan Opcional",14,IF(Atletas!G202="Taijiquan Opcional",15,IF(Atletas!G202="Changquan Adulto",16,IF(Atletas!G202="Nanquan Adulto",17,IF(Atletas!G202="Taijiquan Adulto",18,""))))))))))))))))))))</f>
        <v/>
      </c>
      <c r="AZ206" s="46" t="str">
        <f>IF(Atletas!H202="","",IF(Atletas!B202="Feminino",100,IF(Atletas!B202="Masculino",200,""))+(IF(Atletas!H202="Daoshu Mirim",19,IF(Atletas!H202="Jianshu Mirim",20,IF(Atletas!H202="Nandao Mirim",21,IF(Atletas!H202="Taijijian Mirim",22,IF(Atletas!H202="Daoshu Grupo C",23,IF(Atletas!H202="Jianshu Grupo C",24,IF(Atletas!H202="Nandao Grupo C",25,IF(Atletas!H202="Taijijian Grupo C",26,IF(Atletas!H202="Daoshu Grupo B",27,IF(Atletas!H202="Jianshu Grupo B",28,IF(Atletas!H202="Nandao Grupo B",29,IF(Atletas!H202="Taijijian Grupo B",30,IF(Atletas!H202="Daoshu Grupo A",31,IF(Atletas!H202="Jianshu Grupo A",32,IF(Atletas!H202="Nandao Grupo A",33,IF(Atletas!H202="Taijijian Grupo A",34,IF(Atletas!H202="Daoshu Opcional",35,IF(Atletas!H202="Jianshu Opcional",36,IF(Atletas!H202="Nandao Opcional",37,IF(Atletas!H202="Taijijian Opcional",38,IF(Atletas!H202="Daoshu Adulto",39,IF(Atletas!H202="Jianshu Adulto",40,IF(Atletas!H202="Nandao Adulto",41,IF(Atletas!H202="Taijijian Adulto",42,""))))))))))))))))))))))))))</f>
        <v/>
      </c>
      <c r="BA206" s="46" t="str">
        <f>IF(Atletas!I202="","",IF(Atletas!B202="Feminino",100,IF(Atletas!B202="Masculino",200,""))+(IF(Atletas!I202="Gunshu Mirim",43,IF(Atletas!I202="Qiangshu Mirim",44,IF(Atletas!I202="Nangun Mirim",45,IF(Atletas!I202="Gunshu Grupo C",46,IF(Atletas!I202="Qiangshu Grupo C",47,IF(Atletas!I202="Nangun Grupo C",48,IF(Atletas!I202="Gunshu Grupo B",49,IF(Atletas!I202="Qiangshu Grupo B",50,IF(Atletas!I202="Nangun Grupo B",51,IF(Atletas!I202="Gunshu Grupo A",52,IF(Atletas!I202="Qiangshu Grupo A",53,IF(Atletas!I202="Nangun Grupo A",54,IF(Atletas!I202="Gunshu Opcional",55,IF(Atletas!I202="Qiangshu Opcional",56,IF(Atletas!I202="Nangun Opcional",57,IF(Atletas!I202="Gunshu Adulto",58,IF(Atletas!I202="Qiangshu Adulto",59,IF(Atletas!I202="Nangun Adulto",60,""))))))))))))))))))))</f>
        <v/>
      </c>
      <c r="BF206" s="52" t="str">
        <f>IF(Atletas!J202="","",IF(Atletas!B202="Feminino",100,IF(Atletas!B202="Masculino",200,""))+(IF(Atletas!J202="Equipe 1 Grupo B",1,IF(Atletas!J202="Equipe 2 Grupo B",2,IF(Atletas!J202="Equipe 1 Grupo A",3,IF(Atletas!J202="Equipe 2 Grupo A",4,IF(Atletas!J202="Equipe 1 Adulto",5,IF(Atletas!J202="Equipe 2 Adulto",6,""))))))))</f>
        <v/>
      </c>
      <c r="BK206" s="52" t="str">
        <f>IF(Atletas!K202="","",IF(Atletas!W202&lt;&gt;"",10000,0)+(IF(Atletas!B202="Feminino",1000,IF(Atletas!B202="Masculino",2000,""))+IF(Atletas!K202="Choylayfut A",1,IF(Atletas!K202="Hunggar A",2,IF(Atletas!K202="Wuzuquan A",3,IF(Atletas!K202="Wingchun A",4,IF(Atletas!K202="Outra Mão de Sul A",5,IF(Atletas!K202="Choylayfut B",6,IF(Atletas!K202="Hunggar B",7,IF(Atletas!K202="Wuzuquan B",8,IF(Atletas!K202="Wingchun B",9,IF(Atletas!K202="Outra Mão de Sul B",10,IF(Atletas!K202="Choylayfut C",11,IF(Atletas!K202="Hunggar C",12,IF(Atletas!K202="Wuzuquan C",13,IF(Atletas!K202="Wingchun C",14,IF(Atletas!K202="Outra Mão de Sul C",15,IF(Atletas!K202="Choylayfut D",16,IF(Atletas!K202="Hunggar D",17,IF(Atletas!K202="Wuzuquan D",18,IF(Atletas!K202="Wingchun D",19,IF(Atletas!K202="Outra Mão de Sul D",20,IF(Atletas!K202="Choylayfut E",21,IF(Atletas!K202="Hunggar E",22,IF(Atletas!K202="Wuzuquan E",23,IF(Atletas!K202="Wingchun E",24,IF(Atletas!K202="Outra Mão de Sul E",25,IF(Atletas!K202="Choylayfut F",26,IF(Atletas!K202="Hunggar F",27,IF(Atletas!K202="Wuzuquan F",28,IF(Atletas!K202="Wingchun F",29,IF(Atletas!K202="Outra Mão de Sul F",30,""))))))))))))))))))))))))))))))))</f>
        <v/>
      </c>
      <c r="BL206" s="52" t="str">
        <f>IF(Atletas!L202="","",IF(Atletas!W202&lt;&gt;"",10000,0)+(IF(Atletas!B202="Feminino",1000,IF(Atletas!B202="Masculino",2000,""))+(IF(Atletas!L202="Chaquan A",101,IF(Atletas!L202="Emeiquan A",102,IF(Atletas!L202="Fanziquan A",103,IF(Atletas!L202="Huaquan A",104,IF(Atletas!L202="Hongquan A",105,IF(Atletas!L202="Paochui A",106,IF(Atletas!L202="Piguaquan A",107,IF(Atletas!L202="Shaolinquan A",108,IF(Atletas!L202="Tanglangquan A",109,IF(Atletas!L202="Yinzhaophai A",110,IF(Atletas!L202="Tongbeiquan A",111,IF(Atletas!L202="Wudangquan A",112,IF(Atletas!L202="Outros Estilos A",113,IF(Atletas!L202="Chaquan B",114,IF(Atletas!L202="Emeiquan B",115,IF(Atletas!L202="Fanziquan B",116,IF(Atletas!L202="Huaquan B",117,IF(Atletas!L202="Hongquan B",118,IF(Atletas!L202="Paochui B",119,IF(Atletas!L202="Piguaquan B",120,IF(Atletas!L202="Shaolinquan B",121,IF(Atletas!L202="Tanglangquan B",122,IF(Atletas!L202="Yinzhaophai B",123,IF(Atletas!L202="Tongbeiquan B",124,IF(Atletas!L202="Wudangquan B",125,IF(Atletas!L202="Outros Estilos B",126,IF(Atletas!L202="Chaquan C",127,IF(Atletas!L202="Emeiquan C",128,IF(Atletas!L202="Fanziquan C",129,IF(Atletas!L202="Huaquan C",130,IF(Atletas!L202="Hongquan C",131,IF(Atletas!L202="Paochui C",132,IF(Atletas!L202="Piguaquan C",133,IF(Atletas!L202="Shaolinquan C",134,IF(Atletas!L202="Tanglangquan C",135,IF(Atletas!L202="Yinzhaophai C",136,IF(Atletas!L202="Tongbeiquan C",137,IF(Atletas!L202="Wudangquan C",138,IF(Atletas!L202="Outros Estilos C",139,0))))))))))))))))))))))))))))))))))))))))))</f>
        <v/>
      </c>
      <c r="BM206" s="52" t="str">
        <f>IF(Atletas!L202="","",IF(Atletas!W202&lt;&gt;"",10000,0)+(IF(Atletas!B202="Feminino",1000,IF(Atletas!B202="Masculino",2000,""))+(IF(Atletas!L202="Chaquan D",140,IF(Atletas!L202="Emeiquan D",141,IF(Atletas!L202="Fanziquan D",142,IF(Atletas!L202="Huaquan D",143,IF(Atletas!L202="Hongquan D",144,IF(Atletas!L202="Paochui D",145,IF(Atletas!L202="Piguaquan D",146,IF(Atletas!L202="Shaolinquan D",147,IF(Atletas!L202="Tanglangquan D",148,IF(Atletas!L202="Yinzhaophai D",149,IF(Atletas!L202="Tongbeiquan D",150,IF(Atletas!L202="Wudangquan D",151,IF(Atletas!L202="Outros Estilos D",152,IF(Atletas!L202="Chaquan E",153,IF(Atletas!L202="Emeiquan E",154,IF(Atletas!L202="Fanziquan E",155,IF(Atletas!L202="Huaquan E",156,IF(Atletas!L202="Hongquan E",157,IF(Atletas!L202="Paochui E",158,IF(Atletas!L202="Piguaquan E",159,IF(Atletas!L202="Shaolinquan E",160,IF(Atletas!L202="Tanglangquan E",161,IF(Atletas!L202="Yinzhaophai E",162,IF(Atletas!L202="Tongbeiquan E",163,IF(Atletas!L202="Wudangquan E",164,IF(Atletas!L202="Outros Estilos E",165,IF(Atletas!L202="Chaquan F",166,IF(Atletas!L202="Emeiquan F",167,IF(Atletas!L202="Fanziquan F",168,IF(Atletas!L202="Huaquan F",169,IF(Atletas!L202="Hongquan F",170,IF(Atletas!L202="Paochui F",171,IF(Atletas!L202="Piguaquan F",172,IF(Atletas!L202="Shaolinquan F",173,IF(Atletas!L202="Tanglangquan F",174,IF(Atletas!L202="Yinzhaophai F",175,IF(Atletas!L202="Tongbeiquan F",176,IF(Atletas!L202="Wudangquan F",177,IF(Atletas!L202="Outros Estilos F",178,0))))))))))))))))))))))))))))))))))))))))))</f>
        <v/>
      </c>
      <c r="BN206" s="52" t="str">
        <f>IF(Atletas!M202="","",IF(Atletas!W202&lt;&gt;"",10000,0)+(IF(Atletas!B202="Feminino",1000,IF(Atletas!B202="Masculino",2000,""))+(IF(Atletas!M202="Ditangquan A",201,IF(Atletas!M202="Houquan A",202,IF(Atletas!M202="Zuiquan A",203,IF(Atletas!M202="Ditangquan B",204,IF(Atletas!M202="Houquan B",205,IF(Atletas!M202="Zuiquan B",206,IF(Atletas!M202="Ditangquan C",207,IF(Atletas!M202="Houquan C",208,IF(Atletas!M202="Zuiquan C",209,IF(Atletas!M202="Ditangquan D",210,IF(Atletas!M202="Houquan D",211,IF(Atletas!M202="Zuiquan D",212,IF(Atletas!M202="Ditangquan E",213,IF(Atletas!M202="Houquan E",214,IF(Atletas!M202="Zuiquan E",215,IF(Atletas!M202="Ditangquan F",216,IF(Atletas!M202="Houquan F",217,IF(Atletas!M202="Zuiquan F",218,"")))))))))))))))))))))</f>
        <v/>
      </c>
      <c r="BO206" s="52" t="str">
        <f>IF(Atletas!N202="","",IF(Atletas!W202&lt;&gt;"",10000,0)+IF(Atletas!B202="Feminino",1000,IF(Atletas!B202="Masculino",2000,""))+IF(Atletas!N202="Yang A",301,IF(Atletas!N202="Chen A",30,IF(Atletas!N202="Sun A",303,IF(Atletas!N202="Wu A",304,IF(Atletas!N202="Wu-Hao A",305,IF(Atletas!N202="Outro Taijiquan A",306,IF(Atletas!N202="Yang B",307,IF(Atletas!N202="Chen B",308,IF(Atletas!N202="Sun B",309,IF(Atletas!N202="Wu B",310,IF(Atletas!N202="Wu-Hao B",311,IF(Atletas!N202="Outro Taijiquan B",312,IF(Atletas!N202="Yang C",313,IF(Atletas!N202="Chen C",314,IF(Atletas!N202="Sun C",315,IF(Atletas!N202="Wu C",316,IF(Atletas!N202="Wu-Hao C",317,IF(Atletas!N202="Outro Taijiquan C",318,IF(Atletas!N202="Yang D",319,IF(Atletas!N202="Chen D",320,IF(Atletas!N202="Sun D",321,IF(Atletas!N202="Wu D",322,IF(Atletas!N202="Wu-Hao D",323,IF(Atletas!N202="Outro Taijiquan D",324,IF(Atletas!N202="Yang E",325,IF(Atletas!N202="Chen E",326,IF(Atletas!N202="Sun E",327,IF(Atletas!N202="Wu E",328,IF(Atletas!N202="Wu-Hao E",329,IF(Atletas!N202="Outro Taijiquan E",330,IF(Atletas!N202="Yang F",331,IF(Atletas!N202="Chen F",332,IF(Atletas!N202="Sun F",333,IF(Atletas!N202="Wu F",334,IF(Atletas!N202="Wu-Hao F",335,IF(Atletas!N202="Outro Taijiquan F",336,"")))))))))))))))))))))))))))))))))))))</f>
        <v/>
      </c>
      <c r="BP206" s="52" t="str">
        <f>IF(Atletas!O202="","",IF(Atletas!W202&lt;&gt;"",10000,0)+IF(Atletas!B202="Feminino",1000,IF(Atletas!B202="Masculino",2000,""))+IF(OR(Atletas!O202="Yang 26 A",Atletas!O202="Yang 40 A"),401,IF(OR(Atletas!O202="Chen 25 A",Atletas!O202="Chen 36 A",Atletas!O202="Chen 56 A"),402,IF(Atletas!O202="Sun 73 A",403,IF(Atletas!O202="Wu 45 A",404,IF(Atletas!O202="Wu-Hao 46 A",405,IF(OR(Atletas!O202="Taijiquan 16 A",Atletas!O202="Taijiquan 24 A",Atletas!O202="Taijiquan 32 A",Atletas!O202="Taijiquan 42 A"),406,IF(OR(Atletas!O202="Yang 26 B",Atletas!O202="Yang 40 B"),407,IF(OR(Atletas!O202="Chen 25 B",Atletas!O202="Chen 36 B",Atletas!O202="Chen 56 B"),408,IF(Atletas!O202="Sun 73 B",409,IF(Atletas!O202="Wu 45 B",410,IF(Atletas!O202="Wu-Hao 46 B",411,IF(OR(Atletas!O202="Taijiquan 16 B",Atletas!O202="Taijiquan 24 B",Atletas!O202="Taijiquan 32 B",Atletas!O202="Taijiquan 42 B"),412,IF(OR(Atletas!O202="Yang 26 C",Atletas!O202="Yang 40 C"),413,IF(OR(Atletas!O202="Chen 25 C",Atletas!O202="Chen 36 C",Atletas!O202="Chen 56 C"),414,IF(Atletas!O202="Sun 73 C",415,IF(Atletas!O202="Wu 45 C",416,IF(Atletas!O202="Wu-Hao 46 C",417,IF(OR(Atletas!O202="Taijiquan 16 C",Atletas!O202="Taijiquan 24 C",Atletas!O202="Taijiquan 32 C",Atletas!O202="Taijiquan 42 C"),418,0)))))))))))))))))))</f>
        <v/>
      </c>
      <c r="BQ206" s="52" t="str">
        <f>IF(Atletas!O202="","",IF(Atletas!W202&lt;&gt;"",10000,0)+IF(Atletas!B202="Feminino",1000,IF(Atletas!B202="Masculino",2000,""))+IF(OR(Atletas!O202="Yang 26 D",Atletas!O202="Yang 40 D"),419,IF(OR(Atletas!O202="Chen 25 D",Atletas!O202="Chen 36 D",Atletas!O202="Chen 56 D"),420,IF(Atletas!O202="Sun 73 D",421,IF(Atletas!O202="Wu 45 D",422,IF(Atletas!O202="Wu-Hao 46 D",423,IF(OR(Atletas!O202="Taijiquan 16 D",Atletas!O202="Taijiquan 24 D",Atletas!O202="Taijiquan 32 D",Atletas!O202="Taijiquan 42 D"),424,IF(OR(Atletas!O202="Yang 26 E",Atletas!O202="Yang 40 E"),425,IF(OR(Atletas!O202="Chen 25 E",Atletas!O202="Chen 36 E",Atletas!O202="Chen 56 E"),426,IF(Atletas!O202="Sun 73 E",427,IF(Atletas!O202="Wu 45 E",428,IF(Atletas!O202="Wu-Hao 46 E",429,IF(OR(Atletas!O202="Taijiquan 16 E",Atletas!O202="Taijiquan 24 E",Atletas!O202="Taijiquan 32 E",Atletas!O202="Taijiquan 42 E"),430,IF(OR(Atletas!O202="Yang 26 F",Atletas!O202="Yang 40 F"),431,IF(OR(Atletas!O202="Chen 25 F",Atletas!O202="Chen 36 F",Atletas!O202="Chen 56 F"),432,IF(Atletas!O202="Sun 73 F",433,IF(Atletas!O202="Wu 45 F",434,IF(Atletas!O202="Wu-Hao 46 F",435,IF(OR(Atletas!O202="Taijiquan 16 F",Atletas!O202="Taijiquan 24 F",Atletas!O202="Taijiquan 32 F",Atletas!O202="Taijiquan 42 F"),436,0)))))))))))))))))))</f>
        <v/>
      </c>
      <c r="BR206" s="52" t="str">
        <f>IF(Atletas!P202="","",IF(Atletas!W202&lt;&gt;"",10000,0)+IF(Atletas!B202="Feminino",1000,IF(Atletas!B202="Masculino",2000,""))+IF(Atletas!P202="Xingyiquan A",501,IF(Atletas!P202="Baguazhang A",502,IF(Atletas!P202="Outro Estilo Interno A",503,IF(Atletas!P202="Xingyiquan B",504,IF(Atletas!P202="Baguazhang B",505,IF(Atletas!P202="Outro Estilo Interno B",506,IF(Atletas!P202="Xingyiquan C",507,IF(Atletas!P202="Baguazhang C",508,IF(Atletas!P202="Outro Estilo Interno C",509,IF(Atletas!P202="Xingyiquan D",510,IF(Atletas!P202="Baguazhang D",511,IF(Atletas!P202="Outro Estilo Interno D",512,IF(Atletas!P202="Xingyiquan E",513,IF(Atletas!P202="Baguazhang E",514,IF(Atletas!P202="Outro Estilo Interno E",515,IF(Atletas!P202="Xingyiquan F",516,IF(Atletas!P202="Baguazhang F",517,IF(Atletas!P202="Outro Estilo Interno F",518, "")))))))))))))))))))</f>
        <v/>
      </c>
      <c r="BS206" s="52" t="str">
        <f>IF(Atletas!Q202="","",IF(Atletas!W202&lt;&gt;"",10000,0)+IF(Atletas!B202="Feminino",1000,IF(Atletas!B202="Masculino",2000,""))+IF(Atletas!Q202="Dao A",601,IF(Atletas!Q202="Jian A",602,IF(Atletas!Q202="Bishou A",603,IF(Atletas!Q202="Shan A",604,IF(Atletas!Q202="Outra Arma Curta A",605,IF(Atletas!Q202="Dao B",606,IF(Atletas!Q202="Jian B",607,IF(Atletas!Q202="Bishou B",608,IF(Atletas!Q202="Shan B",609,IF(Atletas!Q202="Outra Arma Curta B",610,IF(Atletas!Q202="Dao C",611,IF(Atletas!Q202="Jian C",612,IF(Atletas!Q202="Bishou C",613,IF(Atletas!Q202="Shan C",614,IF(Atletas!Q202="Outra Arma Curta C",615,IF(Atletas!Q202="Dao D",616,IF(Atletas!Q202="Jian D",617,IF(Atletas!Q202="Bishou D",618,IF(Atletas!Q202="Shan D",619,IF(Atletas!Q202="Outra Arma Curta D",620,IF(Atletas!Q202="Dao E",621,IF(Atletas!Q202="Jian E",622,IF(Atletas!Q202="Bishou E",623,IF(Atletas!Q202="Shan E",624,IF(Atletas!Q202="Outra Arma Curta E",625,IF(Atletas!Q202="Dao F",626,IF(Atletas!Q202="Jian F",627,IF(Atletas!Q202="Bishou F",628,IF(Atletas!Q202="Shan F",629,IF(Atletas!Q202="Outra Arma Curta F",630, "")))))))))))))))))))))))))))))))</f>
        <v/>
      </c>
      <c r="BT206" s="52" t="str">
        <f>IF(Atletas!R202="","",IF(Atletas!W202&lt;&gt;"",10000,0)+IF(Atletas!B202="Feminino",1000,IF(Atletas!B202="Masculino",2000,""))+IF(Atletas!R202="Gun A",701,IF(Atletas!R202="Qiang A",702,IF(Atletas!R202="Pudao / Guandao A",703,IF(Atletas!R202="Outra Arma Longa A",704,IF(Atletas!R202="Gun B",705,IF(Atletas!R202="Qiang B",706,IF(Atletas!R202="Pudao / Guandao B",707,IF(Atletas!R202="Outra Arma Longa B",708,IF(Atletas!R202="Gun C",709,IF(Atletas!R202="Qiang C",710,IF(Atletas!R202="Pudao / Guandao C",711,IF(Atletas!R202="Outra Arma Longa C",712,IF(Atletas!R202="Gun D",713,IF(Atletas!R202="Qiang D",714,IF(Atletas!R202="Pudao / Guandao D",715,IF(Atletas!R202="Outra Arma Longa D",716,IF(Atletas!R202="Gun E",717,IF(Atletas!R202="Qiang E",718,IF(Atletas!R202="Pudao / Guandao E",719,IF(Atletas!R202="Outra Arma Longa E",720,IF(Atletas!R202="Gun F",721,IF(Atletas!R202="Qiang F",722,IF(Atletas!R202="Pudao / Guandao F",723,IF(Atletas!R202="Outra Arma Longa F",724,"")))))))))))))))))))))))))</f>
        <v/>
      </c>
      <c r="BU206" s="52" t="str">
        <f>IF(Atletas!S202="","",IF(Atletas!W202&lt;&gt;"",10000,0)+IF(Atletas!B202="Feminino",1000,IF(Atletas!B202="Masculino",2000,""))+IF(Atletas!S202="Arma Dupla A",801,IF(Atletas!S202="Arma Maleável A",802,IF(Atletas!S202="Arma Dupla B",803,IF(Atletas!S202="Arma Maleável B",804,IF(Atletas!S202="Arma Dupla C",805,IF(Atletas!S202="Arma Maleável C",806,IF(Atletas!S202="Arma Dupla D",807,IF(Atletas!S202="Arma Maleável D",808,IF(Atletas!S202="Arma Dupla E",809,IF(Atletas!S202="Arma Maleável E",810,IF(Atletas!S202="Arma Dupla F",811,IF(Atletas!S202="Arma Maleável F",812, "")))))))))))))</f>
        <v/>
      </c>
      <c r="BV206" s="52" t="str">
        <f>IF(Atletas!T202="","",IF(Atletas!W202&lt;&gt;"",10000,0)+IF(Atletas!B202="Feminino",1000,IF(Atletas!B202="Masculino",2000,""))+IF(Atletas!T202="Taijijian Yang A",901,IF(Atletas!T202="Taijijian Chen A",902,IF(Atletas!T202="Taijijian Sun A",903,IF(Atletas!T202="Taijijian Wu A",904,IF(Atletas!T202="Taijijian Wu-Hao A",905,IF(Atletas!T202="Taijijian 32 A",906,IF(Atletas!T202="Taijijian 42 A",907,IF(Atletas!T202="Taijijian Yang B",908,IF(Atletas!T202="Taijijian Chen B",909,IF(Atletas!T202="Taijijian Sun B",910,IF(Atletas!T202="Taijijian Wu B",911,IF(Atletas!T202="Taijijian Wu-Hao B",912,IF(Atletas!T202="Taijijian 32 B",913,IF(Atletas!T202="Taijijian 42 B",914,IF(Atletas!T202="Taijijian Yang C",915,IF(Atletas!T202="Taijijian Chen C",916,IF(Atletas!T202="Taijijian Sun C",917,IF(Atletas!T202="Taijijian Wu C",918,IF(Atletas!T202="Taijijian Wu-Hao C",919,IF(Atletas!T202="Taijijian 32 C",920,IF(Atletas!T202="Taijijian 42 C",921,IF(Atletas!T202="Taijijian Yang D",922,IF(Atletas!T202="Taijijian Chen D",923,IF(Atletas!T202="Taijijian Sun D",924,IF(Atletas!T202="Taijijian Wu D",925,IF(Atletas!T202="Taijijian Wu-Hao D",926,IF(Atletas!T202="Taijijian 32 D",927,IF(Atletas!T202="Taijijian 42 D",928,IF(Atletas!T202="Taijijian Yang E",929,IF(Atletas!T202="Taijijian Chen E",930,IF(Atletas!T202="Taijijian Sun E",931,IF(Atletas!T202="Taijijian Wu E",932,IF(Atletas!T202="Taijijian Wu-Hao E",933,IF(Atletas!T202="Taijijian 32 E",934,IF(Atletas!T202="Taijijian 42 E",935,IF(Atletas!T202="Taijijian Yang F",936,IF(Atletas!T202="Taijijian Chen F",937,IF(Atletas!T202="Taijijian Sun F",938,IF(Atletas!T202="Taijijian Wu F",939,IF(Atletas!T202="Taijijian Wu-Hao F",940,IF(Atletas!T202="Taijijian 32 F",941,IF(Atletas!T202="Taijijian 42 F",942,"")))))))))))))))))))))))))))))))))))))))))))</f>
        <v/>
      </c>
      <c r="BW206" s="52" t="str">
        <f>IF(Atletas!U202="","",IF(Atletas!W202&lt;&gt;"",10000,0)+IF(Atletas!B202="Feminino",1000,IF(Atletas!B202="Masculino",2000,""))+IF(Atletas!T202="Taijijian 42 F",942,IF(Atletas!U202="Taijidao A",943,IF(Atletas!U202="Taijishan A",944,IF(Atletas!U202="Taijiqiang A",945,IF(Atletas!U202="Taijidao B",946,IF(Atletas!U202="Taijishan B",947,IF(Atletas!U202="Taijiqiang B",948,IF(Atletas!U202="Taijidao C",949,IF(Atletas!U202="Taijishan C",950,IF(Atletas!U202="Taijiqiang C",951,IF(Atletas!U202="Taijidao D",952,IF(Atletas!U202="Taijishan D",953,IF(Atletas!U202="Taijiqiang D",954,IF(Atletas!U202="Taijidao E",955,IF(Atletas!U202="Taijishan E",956,IF(Atletas!U202="Taijiqiang E",957,IF(Atletas!U202="Taijidao F",958,IF(Atletas!U202="Taijishan F",959,IF(Atletas!U202="Taijiqiang F",960))))))))))))))))))))</f>
        <v/>
      </c>
      <c r="BX206" s="72" t="str">
        <f>IF(BY206&lt;&gt;"","Baguazhang A ","")</f>
        <v/>
      </c>
      <c r="BY206" s="72" t="str">
        <f>IF(COUNTIF(BK:BW,1502)&gt;0,COUNTIF(BK:BW,1502),"")</f>
        <v/>
      </c>
      <c r="BZ206" s="72" t="str">
        <f>IF(CA206&lt;&gt;"","Baguazhang A ","")</f>
        <v/>
      </c>
      <c r="CA206" s="72" t="str">
        <f>IF(COUNTIF(BK:BW,2502)&gt;0,COUNTIF(BK:BW,2502),"")</f>
        <v/>
      </c>
      <c r="CB206" s="72" t="str">
        <f>IF(CC206&lt;&gt;"","Sun 73 C","")</f>
        <v/>
      </c>
      <c r="CC206" s="64" t="str">
        <f>IF(COUNTIF(BK:BW,11438)&gt;0,COUNTIF(BK:BW,11438),"")</f>
        <v/>
      </c>
      <c r="CD206" s="64" t="str">
        <f>IF(CE206&lt;&gt;"","Sun 73 C","")</f>
        <v/>
      </c>
      <c r="CE206" s="64" t="str">
        <f>IF(COUNTIF(BK:BW,12438)&gt;0,COUNTIF(BK:BW,12438),"")</f>
        <v/>
      </c>
      <c r="CF206" s="52" t="str">
        <f xml:space="preserve"> IF(Atletas!V202="","",IF(Atletas!V202="Duilian de Mãos AB - Equipe 1",1,IF(Atletas!V202="Duilian de Mãos AB - Equipe 2",2,IF(Atletas!V202="Duilian de Armas AB - Equipe 1",3,IF(Atletas!V202="Duilian de Armas AB - Equipe 2",4,IF(Atletas!V202="Duilian de Tuishou - Equipe 1",5,IF(Atletas!V202="Duilian de Tuishou - Equipe 2",6,IF(Atletas!V202="Grupo Externo AB - Equipe 1",7,IF(Atletas!V202="Grupo Externo AB - Equipe 2",8,IF(Atletas!V202="Grupo Interno AB - Equipe 1",9,IF(Atletas!V202="Grupo Interno AB - Equipe 2",10,IF(Atletas!V202="Duilian de Mãos CD - Equipe 1",11,IF(Atletas!V202="Duilian de Mãos CD - Equipe 2",12,IF(Atletas!V202="Duilian de Armas CD - Equipe 1",13,IF(Atletas!V202="Duilian de Armas CD - Equipe 2",14,IF(Atletas!V202="Duilian de Tuishou - Equipe 1",15,IF(Atletas!V202="Duilian de Tuishou - Equipe 2",16,IF(Atletas!V202="Grupo Externo CDEF - Equipe 1",17,IF(Atletas!V202="Grupo Externo CDEF - Equipe 2",18,IF(Atletas!V202="Grupo Interno CDEF - Equipe 1",19,IF(Atletas!V202="Grupo Interno CDEF - Equipe 2",20,IF(Atletas!V202="Duilian de Mãos EF - Equipe 1",21,IF(Atletas!V202="Duilian de Mãos EF - Equipe 2",22,IF(Atletas!V202="Duilian de Armas EF - Equipe 1",23,IF(Atletas!V202="Duilian de Armas EF - Equipe 2",24,IF(Atletas!V202="Duilian de Tuishou - Equipe 1",25,IF(Atletas!V202="Duilian de Tuishou - Equipe 2",26,"")))))))))))))))))))))))))))</f>
        <v/>
      </c>
    </row>
    <row r="207" spans="2:84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 t="str">
        <f t="array" ref="V207">IFERROR(INDEX(BX$7:BX$336,SMALL(IF(BX$7:BX$336&lt;&gt;"",ROW(BX$7:BX$336)-ROW(BX$7)+1),ROWS(BX$7:BX204))),"")</f>
        <v/>
      </c>
      <c r="W207" s="4" t="str">
        <f t="array" ref="W207">IFERROR(INDEX(BY$7:BY$336,SMALL(IF(BY$7:BY$336&lt;&gt;"",ROW(BY$7:BY$336)-ROW(BY$7)+1),ROWS(BY$7:BY204))),"")</f>
        <v/>
      </c>
      <c r="X207" s="4" t="str">
        <f t="array" ref="X207">IFERROR(INDEX(BZ$7:BZ$336,SMALL(IF(BZ$7:BZ$336&lt;&gt;"",ROW(BZ$7:BZ$336)-ROW(BZ$7)+1),ROWS(BZ$7:BZ204))),"")</f>
        <v/>
      </c>
      <c r="Y207" s="4" t="str">
        <f t="array" ref="Y207">IFERROR(INDEX(CA$7:CA$336,SMALL(IF(CA$7:CA$336&lt;&gt;"",ROW(CA$7:CA$336)-ROW(CA$7)+1),ROWS(CA$7:CA204))),"")</f>
        <v/>
      </c>
      <c r="Z207" s="4" t="str">
        <f t="array" ref="Z207">IFERROR(INDEX(CB$7:CB$378,SMALL(IF(CB$7:CB$378&lt;&gt;"",ROW(CB$7:CB$378)-ROW(CB$7)+1),ROWS(CB$7:CB206))),"")</f>
        <v/>
      </c>
      <c r="AA207" s="4" t="str">
        <f t="array" ref="AA207">IFERROR(INDEX(CC$7:CC$378,SMALL(IF(CC$7:CC$378&lt;&gt;"",ROW(CC$7:CC$378)-ROW(CC$7)+1),ROWS(CC$7:CC206))),"")</f>
        <v/>
      </c>
      <c r="AB207" s="4" t="str">
        <f t="array" ref="AB207">IFERROR(INDEX(CD$7:CD$378,SMALL(IF(CD$7:CD$378&lt;&gt;"",ROW(CD$7:CD$378)-ROW(CD$7)+1),ROWS(CD$7:CD206))),"")</f>
        <v/>
      </c>
      <c r="AC207" s="4" t="str">
        <f t="array" ref="AC207">IFERROR(INDEX(CE$7:CE$378,SMALL(IF(CE$7:CE$378&lt;&gt;"",ROW(CE$7:CE$378)-ROW(CE$7)+1),ROWS(CE$7:CE206))),"")</f>
        <v/>
      </c>
      <c r="AD207" s="4"/>
      <c r="AE207" s="4"/>
      <c r="AF207" s="4"/>
      <c r="AG207" s="4"/>
      <c r="AH207" s="4"/>
      <c r="AI207" s="4"/>
      <c r="AJ207" s="46" t="str">
        <f>IF(Atletas!D203="","",IF(Atletas!B203="Feminino",100,IF(Atletas!B203="Masculino",200,""))+(IF(Atletas!D203="Infantil 39kg",1,IF(Atletas!D203="Infantil 42kg",2,IF(Atletas!D203="Infantil 45kg",3,IF(Atletas!D203="Infantil 48kg",4,IF(Atletas!D203="Infantil 52kg",5,IF(Atletas!D203="Infantil 56kg",6,IF(Atletas!D203="Infantil 60kg",7,IF(Atletas!D203="Juvenil 48kg",8,IF(Atletas!D203="Juvenil 52kg",9,IF(Atletas!D203="Juvenil 56kg",10,IF(Atletas!D203="Juvenil 60kg",11,IF(Atletas!D203="Juvenil 65kg",12,IF(Atletas!D203="Juvenil 70kg",13,IF(Atletas!D203="Juvenil 75kg",14,IF(Atletas!D203="Juvenil 80kg",15,IF(Atletas!D203="Adulto 48kg",16,IF(Atletas!D203="Adulto 52kg",17,IF(Atletas!D203="Adulto 56kg",18,IF(Atletas!D203="Adulto 60kg",19,IF(Atletas!D203="Adulto 65kg",20,IF(Atletas!D203="Adulto 70kg",21,IF(Atletas!D203="Adulto 75kg",22,IF(Atletas!D203="Adulto 80kg",23,IF(Atletas!D203="Adulto 85kg",24,IF(Atletas!D203="Adulto 90kg",25,IF(Atletas!D203="Adulto +90kg",26,""))))))))))))))))))))))))))))</f>
        <v/>
      </c>
      <c r="AO207" s="10" t="str">
        <f>IF(Atletas!E203="","",IF(Atletas!B203="Feminino",100,IF(Atletas!B203="Masculino",200,""))+(IF(Atletas!E203="Juvenil 44kg",1,IF(Atletas!E203="Juvenil 48kg",2,IF(Atletas!E203="Juvenil 52kg",3,IF(Atletas!E203="Juvenil 56kg",4,IF(Atletas!E203="Juvenil 60kg",5,IF(Atletas!E203="Juvenil 65kg",6,IF(Atletas!E203="Juvenil 70kg",7,IF(Atletas!E203="Juvenil 75kg",8,IF(Atletas!E203="Juvenil 82kg",9,IF(Atletas!E203="Juvenil 90kg",10,IF(Atletas!E203="Juvenil 100kg",11,IF(Atletas!E203="Adulto 48kg",12,IF(Atletas!E203="Adulto 52kg",13,IF(Atletas!E203="Adulto 56kg",14,IF(Atletas!E203="Adulto 60kg",15,IF(Atletas!E203="Adulto 65kg",16,IF(Atletas!E203="Adulto 70kg",17,IF(Atletas!E203="Adulto 75kg",18,IF(Atletas!E203="Adulto 82kg",19,IF(Atletas!E203="Adulto 90kg",20,IF(Atletas!E203="Adulto 100kg",21,IF(Atletas!E203="Adulto +100kg",22,""))))))))))))))))))))))))</f>
        <v/>
      </c>
      <c r="AT207" s="10" t="str">
        <f>IF(Atletas!F203="","",IF(Atletas!B203="Feminino",100,IF(Atletas!B203="Masculino",200,""))+(IF(Atletas!F203="Adulto 48kg",1,IF(Atletas!F203="Adulto 56kg",2,IF(Atletas!F203="Adulto 65kg",3,IF(Atletas!F203="Adulto 75kg",4,IF(Atletas!F203="Adulto +75kg",5,IF(Atletas!F203="Adulto 52kg",6,IF(Atletas!F203="Adulto 60kg",7,IF(Atletas!F203="Adulto 70kg",8,IF(Atletas!F203="Adulto 80kg",9,IF(Atletas!F203="Adulto 90kg",10,IF(Atletas!F203="Adulto +90kg",11,"")))))))))))))</f>
        <v/>
      </c>
      <c r="AY207" s="46" t="str">
        <f>IF(Atletas!G203="","",IF(Atletas!B203="Feminino",100,IF(Atletas!B203="Masculino",200,""))+(IF(Atletas!G203="Changquan Mirim",1,IF(Atletas!G203="Nanquan Mirim",2,IF(Atletas!G203="Taijiquan Mirim",3,IF(Atletas!G203="Changquan Grupo C",4,IF(Atletas!G203="Nanquan Grupo C",5,IF(Atletas!G203="Taijiquan Grupo C",6,IF(Atletas!G203="Changquan Grupo B",7,IF(Atletas!G203="Nanquan Grupo B",8,IF(Atletas!G203="Taijiquan Grupo B",9,IF(Atletas!G203="Changquan Grupo A",10,IF(Atletas!G203="Nanquan Grupo A",11,IF(Atletas!G203="Taijiquan Grupo A",12,IF(Atletas!G203="Changquan Opcional",13,IF(Atletas!G203="Nanquan Opcional",14,IF(Atletas!G203="Taijiquan Opcional",15,IF(Atletas!G203="Changquan Adulto",16,IF(Atletas!G203="Nanquan Adulto",17,IF(Atletas!G203="Taijiquan Adulto",18,""))))))))))))))))))))</f>
        <v/>
      </c>
      <c r="AZ207" s="46" t="str">
        <f>IF(Atletas!H203="","",IF(Atletas!B203="Feminino",100,IF(Atletas!B203="Masculino",200,""))+(IF(Atletas!H203="Daoshu Mirim",19,IF(Atletas!H203="Jianshu Mirim",20,IF(Atletas!H203="Nandao Mirim",21,IF(Atletas!H203="Taijijian Mirim",22,IF(Atletas!H203="Daoshu Grupo C",23,IF(Atletas!H203="Jianshu Grupo C",24,IF(Atletas!H203="Nandao Grupo C",25,IF(Atletas!H203="Taijijian Grupo C",26,IF(Atletas!H203="Daoshu Grupo B",27,IF(Atletas!H203="Jianshu Grupo B",28,IF(Atletas!H203="Nandao Grupo B",29,IF(Atletas!H203="Taijijian Grupo B",30,IF(Atletas!H203="Daoshu Grupo A",31,IF(Atletas!H203="Jianshu Grupo A",32,IF(Atletas!H203="Nandao Grupo A",33,IF(Atletas!H203="Taijijian Grupo A",34,IF(Atletas!H203="Daoshu Opcional",35,IF(Atletas!H203="Jianshu Opcional",36,IF(Atletas!H203="Nandao Opcional",37,IF(Atletas!H203="Taijijian Opcional",38,IF(Atletas!H203="Daoshu Adulto",39,IF(Atletas!H203="Jianshu Adulto",40,IF(Atletas!H203="Nandao Adulto",41,IF(Atletas!H203="Taijijian Adulto",42,""))))))))))))))))))))))))))</f>
        <v/>
      </c>
      <c r="BA207" s="46" t="str">
        <f>IF(Atletas!I203="","",IF(Atletas!B203="Feminino",100,IF(Atletas!B203="Masculino",200,""))+(IF(Atletas!I203="Gunshu Mirim",43,IF(Atletas!I203="Qiangshu Mirim",44,IF(Atletas!I203="Nangun Mirim",45,IF(Atletas!I203="Gunshu Grupo C",46,IF(Atletas!I203="Qiangshu Grupo C",47,IF(Atletas!I203="Nangun Grupo C",48,IF(Atletas!I203="Gunshu Grupo B",49,IF(Atletas!I203="Qiangshu Grupo B",50,IF(Atletas!I203="Nangun Grupo B",51,IF(Atletas!I203="Gunshu Grupo A",52,IF(Atletas!I203="Qiangshu Grupo A",53,IF(Atletas!I203="Nangun Grupo A",54,IF(Atletas!I203="Gunshu Opcional",55,IF(Atletas!I203="Qiangshu Opcional",56,IF(Atletas!I203="Nangun Opcional",57,IF(Atletas!I203="Gunshu Adulto",58,IF(Atletas!I203="Qiangshu Adulto",59,IF(Atletas!I203="Nangun Adulto",60,""))))))))))))))))))))</f>
        <v/>
      </c>
      <c r="BF207" s="52" t="str">
        <f>IF(Atletas!J203="","",IF(Atletas!B203="Feminino",100,IF(Atletas!B203="Masculino",200,""))+(IF(Atletas!J203="Equipe 1 Grupo B",1,IF(Atletas!J203="Equipe 2 Grupo B",2,IF(Atletas!J203="Equipe 1 Grupo A",3,IF(Atletas!J203="Equipe 2 Grupo A",4,IF(Atletas!J203="Equipe 1 Adulto",5,IF(Atletas!J203="Equipe 2 Adulto",6,""))))))))</f>
        <v/>
      </c>
      <c r="BK207" s="52" t="str">
        <f>IF(Atletas!K203="","",IF(Atletas!W203&lt;&gt;"",10000,0)+(IF(Atletas!B203="Feminino",1000,IF(Atletas!B203="Masculino",2000,""))+IF(Atletas!K203="Choylayfut A",1,IF(Atletas!K203="Hunggar A",2,IF(Atletas!K203="Wuzuquan A",3,IF(Atletas!K203="Wingchun A",4,IF(Atletas!K203="Outra Mão de Sul A",5,IF(Atletas!K203="Choylayfut B",6,IF(Atletas!K203="Hunggar B",7,IF(Atletas!K203="Wuzuquan B",8,IF(Atletas!K203="Wingchun B",9,IF(Atletas!K203="Outra Mão de Sul B",10,IF(Atletas!K203="Choylayfut C",11,IF(Atletas!K203="Hunggar C",12,IF(Atletas!K203="Wuzuquan C",13,IF(Atletas!K203="Wingchun C",14,IF(Atletas!K203="Outra Mão de Sul C",15,IF(Atletas!K203="Choylayfut D",16,IF(Atletas!K203="Hunggar D",17,IF(Atletas!K203="Wuzuquan D",18,IF(Atletas!K203="Wingchun D",19,IF(Atletas!K203="Outra Mão de Sul D",20,IF(Atletas!K203="Choylayfut E",21,IF(Atletas!K203="Hunggar E",22,IF(Atletas!K203="Wuzuquan E",23,IF(Atletas!K203="Wingchun E",24,IF(Atletas!K203="Outra Mão de Sul E",25,IF(Atletas!K203="Choylayfut F",26,IF(Atletas!K203="Hunggar F",27,IF(Atletas!K203="Wuzuquan F",28,IF(Atletas!K203="Wingchun F",29,IF(Atletas!K203="Outra Mão de Sul F",30,""))))))))))))))))))))))))))))))))</f>
        <v/>
      </c>
      <c r="BL207" s="52" t="str">
        <f>IF(Atletas!L203="","",IF(Atletas!W203&lt;&gt;"",10000,0)+(IF(Atletas!B203="Feminino",1000,IF(Atletas!B203="Masculino",2000,""))+(IF(Atletas!L203="Chaquan A",101,IF(Atletas!L203="Emeiquan A",102,IF(Atletas!L203="Fanziquan A",103,IF(Atletas!L203="Huaquan A",104,IF(Atletas!L203="Hongquan A",105,IF(Atletas!L203="Paochui A",106,IF(Atletas!L203="Piguaquan A",107,IF(Atletas!L203="Shaolinquan A",108,IF(Atletas!L203="Tanglangquan A",109,IF(Atletas!L203="Yinzhaophai A",110,IF(Atletas!L203="Tongbeiquan A",111,IF(Atletas!L203="Wudangquan A",112,IF(Atletas!L203="Outros Estilos A",113,IF(Atletas!L203="Chaquan B",114,IF(Atletas!L203="Emeiquan B",115,IF(Atletas!L203="Fanziquan B",116,IF(Atletas!L203="Huaquan B",117,IF(Atletas!L203="Hongquan B",118,IF(Atletas!L203="Paochui B",119,IF(Atletas!L203="Piguaquan B",120,IF(Atletas!L203="Shaolinquan B",121,IF(Atletas!L203="Tanglangquan B",122,IF(Atletas!L203="Yinzhaophai B",123,IF(Atletas!L203="Tongbeiquan B",124,IF(Atletas!L203="Wudangquan B",125,IF(Atletas!L203="Outros Estilos B",126,IF(Atletas!L203="Chaquan C",127,IF(Atletas!L203="Emeiquan C",128,IF(Atletas!L203="Fanziquan C",129,IF(Atletas!L203="Huaquan C",130,IF(Atletas!L203="Hongquan C",131,IF(Atletas!L203="Paochui C",132,IF(Atletas!L203="Piguaquan C",133,IF(Atletas!L203="Shaolinquan C",134,IF(Atletas!L203="Tanglangquan C",135,IF(Atletas!L203="Yinzhaophai C",136,IF(Atletas!L203="Tongbeiquan C",137,IF(Atletas!L203="Wudangquan C",138,IF(Atletas!L203="Outros Estilos C",139,0))))))))))))))))))))))))))))))))))))))))))</f>
        <v/>
      </c>
      <c r="BM207" s="52" t="str">
        <f>IF(Atletas!L203="","",IF(Atletas!W203&lt;&gt;"",10000,0)+(IF(Atletas!B203="Feminino",1000,IF(Atletas!B203="Masculino",2000,""))+(IF(Atletas!L203="Chaquan D",140,IF(Atletas!L203="Emeiquan D",141,IF(Atletas!L203="Fanziquan D",142,IF(Atletas!L203="Huaquan D",143,IF(Atletas!L203="Hongquan D",144,IF(Atletas!L203="Paochui D",145,IF(Atletas!L203="Piguaquan D",146,IF(Atletas!L203="Shaolinquan D",147,IF(Atletas!L203="Tanglangquan D",148,IF(Atletas!L203="Yinzhaophai D",149,IF(Atletas!L203="Tongbeiquan D",150,IF(Atletas!L203="Wudangquan D",151,IF(Atletas!L203="Outros Estilos D",152,IF(Atletas!L203="Chaquan E",153,IF(Atletas!L203="Emeiquan E",154,IF(Atletas!L203="Fanziquan E",155,IF(Atletas!L203="Huaquan E",156,IF(Atletas!L203="Hongquan E",157,IF(Atletas!L203="Paochui E",158,IF(Atletas!L203="Piguaquan E",159,IF(Atletas!L203="Shaolinquan E",160,IF(Atletas!L203="Tanglangquan E",161,IF(Atletas!L203="Yinzhaophai E",162,IF(Atletas!L203="Tongbeiquan E",163,IF(Atletas!L203="Wudangquan E",164,IF(Atletas!L203="Outros Estilos E",165,IF(Atletas!L203="Chaquan F",166,IF(Atletas!L203="Emeiquan F",167,IF(Atletas!L203="Fanziquan F",168,IF(Atletas!L203="Huaquan F",169,IF(Atletas!L203="Hongquan F",170,IF(Atletas!L203="Paochui F",171,IF(Atletas!L203="Piguaquan F",172,IF(Atletas!L203="Shaolinquan F",173,IF(Atletas!L203="Tanglangquan F",174,IF(Atletas!L203="Yinzhaophai F",175,IF(Atletas!L203="Tongbeiquan F",176,IF(Atletas!L203="Wudangquan F",177,IF(Atletas!L203="Outros Estilos F",178,0))))))))))))))))))))))))))))))))))))))))))</f>
        <v/>
      </c>
      <c r="BN207" s="52" t="str">
        <f>IF(Atletas!M203="","",IF(Atletas!W203&lt;&gt;"",10000,0)+(IF(Atletas!B203="Feminino",1000,IF(Atletas!B203="Masculino",2000,""))+(IF(Atletas!M203="Ditangquan A",201,IF(Atletas!M203="Houquan A",202,IF(Atletas!M203="Zuiquan A",203,IF(Atletas!M203="Ditangquan B",204,IF(Atletas!M203="Houquan B",205,IF(Atletas!M203="Zuiquan B",206,IF(Atletas!M203="Ditangquan C",207,IF(Atletas!M203="Houquan C",208,IF(Atletas!M203="Zuiquan C",209,IF(Atletas!M203="Ditangquan D",210,IF(Atletas!M203="Houquan D",211,IF(Atletas!M203="Zuiquan D",212,IF(Atletas!M203="Ditangquan E",213,IF(Atletas!M203="Houquan E",214,IF(Atletas!M203="Zuiquan E",215,IF(Atletas!M203="Ditangquan F",216,IF(Atletas!M203="Houquan F",217,IF(Atletas!M203="Zuiquan F",218,"")))))))))))))))))))))</f>
        <v/>
      </c>
      <c r="BO207" s="52" t="str">
        <f>IF(Atletas!N203="","",IF(Atletas!W203&lt;&gt;"",10000,0)+IF(Atletas!B203="Feminino",1000,IF(Atletas!B203="Masculino",2000,""))+IF(Atletas!N203="Yang A",301,IF(Atletas!N203="Chen A",30,IF(Atletas!N203="Sun A",303,IF(Atletas!N203="Wu A",304,IF(Atletas!N203="Wu-Hao A",305,IF(Atletas!N203="Outro Taijiquan A",306,IF(Atletas!N203="Yang B",307,IF(Atletas!N203="Chen B",308,IF(Atletas!N203="Sun B",309,IF(Atletas!N203="Wu B",310,IF(Atletas!N203="Wu-Hao B",311,IF(Atletas!N203="Outro Taijiquan B",312,IF(Atletas!N203="Yang C",313,IF(Atletas!N203="Chen C",314,IF(Atletas!N203="Sun C",315,IF(Atletas!N203="Wu C",316,IF(Atletas!N203="Wu-Hao C",317,IF(Atletas!N203="Outro Taijiquan C",318,IF(Atletas!N203="Yang D",319,IF(Atletas!N203="Chen D",320,IF(Atletas!N203="Sun D",321,IF(Atletas!N203="Wu D",322,IF(Atletas!N203="Wu-Hao D",323,IF(Atletas!N203="Outro Taijiquan D",324,IF(Atletas!N203="Yang E",325,IF(Atletas!N203="Chen E",326,IF(Atletas!N203="Sun E",327,IF(Atletas!N203="Wu E",328,IF(Atletas!N203="Wu-Hao E",329,IF(Atletas!N203="Outro Taijiquan E",330,IF(Atletas!N203="Yang F",331,IF(Atletas!N203="Chen F",332,IF(Atletas!N203="Sun F",333,IF(Atletas!N203="Wu F",334,IF(Atletas!N203="Wu-Hao F",335,IF(Atletas!N203="Outro Taijiquan F",336,"")))))))))))))))))))))))))))))))))))))</f>
        <v/>
      </c>
      <c r="BP207" s="52" t="str">
        <f>IF(Atletas!O203="","",IF(Atletas!W203&lt;&gt;"",10000,0)+IF(Atletas!B203="Feminino",1000,IF(Atletas!B203="Masculino",2000,""))+IF(OR(Atletas!O203="Yang 26 A",Atletas!O203="Yang 40 A"),401,IF(OR(Atletas!O203="Chen 25 A",Atletas!O203="Chen 36 A",Atletas!O203="Chen 56 A"),402,IF(Atletas!O203="Sun 73 A",403,IF(Atletas!O203="Wu 45 A",404,IF(Atletas!O203="Wu-Hao 46 A",405,IF(OR(Atletas!O203="Taijiquan 16 A",Atletas!O203="Taijiquan 24 A",Atletas!O203="Taijiquan 32 A",Atletas!O203="Taijiquan 42 A"),406,IF(OR(Atletas!O203="Yang 26 B",Atletas!O203="Yang 40 B"),407,IF(OR(Atletas!O203="Chen 25 B",Atletas!O203="Chen 36 B",Atletas!O203="Chen 56 B"),408,IF(Atletas!O203="Sun 73 B",409,IF(Atletas!O203="Wu 45 B",410,IF(Atletas!O203="Wu-Hao 46 B",411,IF(OR(Atletas!O203="Taijiquan 16 B",Atletas!O203="Taijiquan 24 B",Atletas!O203="Taijiquan 32 B",Atletas!O203="Taijiquan 42 B"),412,IF(OR(Atletas!O203="Yang 26 C",Atletas!O203="Yang 40 C"),413,IF(OR(Atletas!O203="Chen 25 C",Atletas!O203="Chen 36 C",Atletas!O203="Chen 56 C"),414,IF(Atletas!O203="Sun 73 C",415,IF(Atletas!O203="Wu 45 C",416,IF(Atletas!O203="Wu-Hao 46 C",417,IF(OR(Atletas!O203="Taijiquan 16 C",Atletas!O203="Taijiquan 24 C",Atletas!O203="Taijiquan 32 C",Atletas!O203="Taijiquan 42 C"),418,0)))))))))))))))))))</f>
        <v/>
      </c>
      <c r="BQ207" s="52" t="str">
        <f>IF(Atletas!O203="","",IF(Atletas!W203&lt;&gt;"",10000,0)+IF(Atletas!B203="Feminino",1000,IF(Atletas!B203="Masculino",2000,""))+IF(OR(Atletas!O203="Yang 26 D",Atletas!O203="Yang 40 D"),419,IF(OR(Atletas!O203="Chen 25 D",Atletas!O203="Chen 36 D",Atletas!O203="Chen 56 D"),420,IF(Atletas!O203="Sun 73 D",421,IF(Atletas!O203="Wu 45 D",422,IF(Atletas!O203="Wu-Hao 46 D",423,IF(OR(Atletas!O203="Taijiquan 16 D",Atletas!O203="Taijiquan 24 D",Atletas!O203="Taijiquan 32 D",Atletas!O203="Taijiquan 42 D"),424,IF(OR(Atletas!O203="Yang 26 E",Atletas!O203="Yang 40 E"),425,IF(OR(Atletas!O203="Chen 25 E",Atletas!O203="Chen 36 E",Atletas!O203="Chen 56 E"),426,IF(Atletas!O203="Sun 73 E",427,IF(Atletas!O203="Wu 45 E",428,IF(Atletas!O203="Wu-Hao 46 E",429,IF(OR(Atletas!O203="Taijiquan 16 E",Atletas!O203="Taijiquan 24 E",Atletas!O203="Taijiquan 32 E",Atletas!O203="Taijiquan 42 E"),430,IF(OR(Atletas!O203="Yang 26 F",Atletas!O203="Yang 40 F"),431,IF(OR(Atletas!O203="Chen 25 F",Atletas!O203="Chen 36 F",Atletas!O203="Chen 56 F"),432,IF(Atletas!O203="Sun 73 F",433,IF(Atletas!O203="Wu 45 F",434,IF(Atletas!O203="Wu-Hao 46 F",435,IF(OR(Atletas!O203="Taijiquan 16 F",Atletas!O203="Taijiquan 24 F",Atletas!O203="Taijiquan 32 F",Atletas!O203="Taijiquan 42 F"),436,0)))))))))))))))))))</f>
        <v/>
      </c>
      <c r="BR207" s="52" t="str">
        <f>IF(Atletas!P203="","",IF(Atletas!W203&lt;&gt;"",10000,0)+IF(Atletas!B203="Feminino",1000,IF(Atletas!B203="Masculino",2000,""))+IF(Atletas!P203="Xingyiquan A",501,IF(Atletas!P203="Baguazhang A",502,IF(Atletas!P203="Outro Estilo Interno A",503,IF(Atletas!P203="Xingyiquan B",504,IF(Atletas!P203="Baguazhang B",505,IF(Atletas!P203="Outro Estilo Interno B",506,IF(Atletas!P203="Xingyiquan C",507,IF(Atletas!P203="Baguazhang C",508,IF(Atletas!P203="Outro Estilo Interno C",509,IF(Atletas!P203="Xingyiquan D",510,IF(Atletas!P203="Baguazhang D",511,IF(Atletas!P203="Outro Estilo Interno D",512,IF(Atletas!P203="Xingyiquan E",513,IF(Atletas!P203="Baguazhang E",514,IF(Atletas!P203="Outro Estilo Interno E",515,IF(Atletas!P203="Xingyiquan F",516,IF(Atletas!P203="Baguazhang F",517,IF(Atletas!P203="Outro Estilo Interno F",518, "")))))))))))))))))))</f>
        <v/>
      </c>
      <c r="BS207" s="52" t="str">
        <f>IF(Atletas!Q203="","",IF(Atletas!W203&lt;&gt;"",10000,0)+IF(Atletas!B203="Feminino",1000,IF(Atletas!B203="Masculino",2000,""))+IF(Atletas!Q203="Dao A",601,IF(Atletas!Q203="Jian A",602,IF(Atletas!Q203="Bishou A",603,IF(Atletas!Q203="Shan A",604,IF(Atletas!Q203="Outra Arma Curta A",605,IF(Atletas!Q203="Dao B",606,IF(Atletas!Q203="Jian B",607,IF(Atletas!Q203="Bishou B",608,IF(Atletas!Q203="Shan B",609,IF(Atletas!Q203="Outra Arma Curta B",610,IF(Atletas!Q203="Dao C",611,IF(Atletas!Q203="Jian C",612,IF(Atletas!Q203="Bishou C",613,IF(Atletas!Q203="Shan C",614,IF(Atletas!Q203="Outra Arma Curta C",615,IF(Atletas!Q203="Dao D",616,IF(Atletas!Q203="Jian D",617,IF(Atletas!Q203="Bishou D",618,IF(Atletas!Q203="Shan D",619,IF(Atletas!Q203="Outra Arma Curta D",620,IF(Atletas!Q203="Dao E",621,IF(Atletas!Q203="Jian E",622,IF(Atletas!Q203="Bishou E",623,IF(Atletas!Q203="Shan E",624,IF(Atletas!Q203="Outra Arma Curta E",625,IF(Atletas!Q203="Dao F",626,IF(Atletas!Q203="Jian F",627,IF(Atletas!Q203="Bishou F",628,IF(Atletas!Q203="Shan F",629,IF(Atletas!Q203="Outra Arma Curta F",630, "")))))))))))))))))))))))))))))))</f>
        <v/>
      </c>
      <c r="BT207" s="52" t="str">
        <f>IF(Atletas!R203="","",IF(Atletas!W203&lt;&gt;"",10000,0)+IF(Atletas!B203="Feminino",1000,IF(Atletas!B203="Masculino",2000,""))+IF(Atletas!R203="Gun A",701,IF(Atletas!R203="Qiang A",702,IF(Atletas!R203="Pudao / Guandao A",703,IF(Atletas!R203="Outra Arma Longa A",704,IF(Atletas!R203="Gun B",705,IF(Atletas!R203="Qiang B",706,IF(Atletas!R203="Pudao / Guandao B",707,IF(Atletas!R203="Outra Arma Longa B",708,IF(Atletas!R203="Gun C",709,IF(Atletas!R203="Qiang C",710,IF(Atletas!R203="Pudao / Guandao C",711,IF(Atletas!R203="Outra Arma Longa C",712,IF(Atletas!R203="Gun D",713,IF(Atletas!R203="Qiang D",714,IF(Atletas!R203="Pudao / Guandao D",715,IF(Atletas!R203="Outra Arma Longa D",716,IF(Atletas!R203="Gun E",717,IF(Atletas!R203="Qiang E",718,IF(Atletas!R203="Pudao / Guandao E",719,IF(Atletas!R203="Outra Arma Longa E",720,IF(Atletas!R203="Gun F",721,IF(Atletas!R203="Qiang F",722,IF(Atletas!R203="Pudao / Guandao F",723,IF(Atletas!R203="Outra Arma Longa F",724,"")))))))))))))))))))))))))</f>
        <v/>
      </c>
      <c r="BU207" s="52" t="str">
        <f>IF(Atletas!S203="","",IF(Atletas!W203&lt;&gt;"",10000,0)+IF(Atletas!B203="Feminino",1000,IF(Atletas!B203="Masculino",2000,""))+IF(Atletas!S203="Arma Dupla A",801,IF(Atletas!S203="Arma Maleável A",802,IF(Atletas!S203="Arma Dupla B",803,IF(Atletas!S203="Arma Maleável B",804,IF(Atletas!S203="Arma Dupla C",805,IF(Atletas!S203="Arma Maleável C",806,IF(Atletas!S203="Arma Dupla D",807,IF(Atletas!S203="Arma Maleável D",808,IF(Atletas!S203="Arma Dupla E",809,IF(Atletas!S203="Arma Maleável E",810,IF(Atletas!S203="Arma Dupla F",811,IF(Atletas!S203="Arma Maleável F",812, "")))))))))))))</f>
        <v/>
      </c>
      <c r="BV207" s="52" t="str">
        <f>IF(Atletas!T203="","",IF(Atletas!W203&lt;&gt;"",10000,0)+IF(Atletas!B203="Feminino",1000,IF(Atletas!B203="Masculino",2000,""))+IF(Atletas!T203="Taijijian Yang A",901,IF(Atletas!T203="Taijijian Chen A",902,IF(Atletas!T203="Taijijian Sun A",903,IF(Atletas!T203="Taijijian Wu A",904,IF(Atletas!T203="Taijijian Wu-Hao A",905,IF(Atletas!T203="Taijijian 32 A",906,IF(Atletas!T203="Taijijian 42 A",907,IF(Atletas!T203="Taijijian Yang B",908,IF(Atletas!T203="Taijijian Chen B",909,IF(Atletas!T203="Taijijian Sun B",910,IF(Atletas!T203="Taijijian Wu B",911,IF(Atletas!T203="Taijijian Wu-Hao B",912,IF(Atletas!T203="Taijijian 32 B",913,IF(Atletas!T203="Taijijian 42 B",914,IF(Atletas!T203="Taijijian Yang C",915,IF(Atletas!T203="Taijijian Chen C",916,IF(Atletas!T203="Taijijian Sun C",917,IF(Atletas!T203="Taijijian Wu C",918,IF(Atletas!T203="Taijijian Wu-Hao C",919,IF(Atletas!T203="Taijijian 32 C",920,IF(Atletas!T203="Taijijian 42 C",921,IF(Atletas!T203="Taijijian Yang D",922,IF(Atletas!T203="Taijijian Chen D",923,IF(Atletas!T203="Taijijian Sun D",924,IF(Atletas!T203="Taijijian Wu D",925,IF(Atletas!T203="Taijijian Wu-Hao D",926,IF(Atletas!T203="Taijijian 32 D",927,IF(Atletas!T203="Taijijian 42 D",928,IF(Atletas!T203="Taijijian Yang E",929,IF(Atletas!T203="Taijijian Chen E",930,IF(Atletas!T203="Taijijian Sun E",931,IF(Atletas!T203="Taijijian Wu E",932,IF(Atletas!T203="Taijijian Wu-Hao E",933,IF(Atletas!T203="Taijijian 32 E",934,IF(Atletas!T203="Taijijian 42 E",935,IF(Atletas!T203="Taijijian Yang F",936,IF(Atletas!T203="Taijijian Chen F",937,IF(Atletas!T203="Taijijian Sun F",938,IF(Atletas!T203="Taijijian Wu F",939,IF(Atletas!T203="Taijijian Wu-Hao F",940,IF(Atletas!T203="Taijijian 32 F",941,IF(Atletas!T203="Taijijian 42 F",942,"")))))))))))))))))))))))))))))))))))))))))))</f>
        <v/>
      </c>
      <c r="BW207" s="52" t="str">
        <f>IF(Atletas!U203="","",IF(Atletas!W203&lt;&gt;"",10000,0)+IF(Atletas!B203="Feminino",1000,IF(Atletas!B203="Masculino",2000,""))+IF(Atletas!T203="Taijijian 42 F",942,IF(Atletas!U203="Taijidao A",943,IF(Atletas!U203="Taijishan A",944,IF(Atletas!U203="Taijiqiang A",945,IF(Atletas!U203="Taijidao B",946,IF(Atletas!U203="Taijishan B",947,IF(Atletas!U203="Taijiqiang B",948,IF(Atletas!U203="Taijidao C",949,IF(Atletas!U203="Taijishan C",950,IF(Atletas!U203="Taijiqiang C",951,IF(Atletas!U203="Taijidao D",952,IF(Atletas!U203="Taijishan D",953,IF(Atletas!U203="Taijiqiang D",954,IF(Atletas!U203="Taijidao E",955,IF(Atletas!U203="Taijishan E",956,IF(Atletas!U203="Taijiqiang E",957,IF(Atletas!U203="Taijidao F",958,IF(Atletas!U203="Taijishan F",959,IF(Atletas!U203="Taijiqiang F",960))))))))))))))))))))</f>
        <v/>
      </c>
      <c r="BX207" s="72" t="str">
        <f>IF(BY207&lt;&gt;"","Outro Estilo Interno A","")</f>
        <v/>
      </c>
      <c r="BY207" s="72" t="str">
        <f>IF(COUNTIF(BK:BW,1503)&gt;0,COUNTIF(BK:BW,1503),"")</f>
        <v/>
      </c>
      <c r="BZ207" s="72" t="str">
        <f>IF(CA207&lt;&gt;"","Outro Estilo Interno A","")</f>
        <v/>
      </c>
      <c r="CA207" s="72" t="str">
        <f>IF(COUNTIF(BK:BW,2503)&gt;0,COUNTIF(BK:BW,2503),"")</f>
        <v/>
      </c>
      <c r="CB207" s="72" t="str">
        <f>IF(CC207&lt;&gt;"","Sun Novo C","")</f>
        <v/>
      </c>
      <c r="CC207" s="64" t="str">
        <f>IF(COUNTIF(BK:BW,11439)&gt;0,COUNTIF(BK:BW,11439),"")</f>
        <v/>
      </c>
      <c r="CD207" s="64" t="str">
        <f>IF(CE207&lt;&gt;"","Sun Novo C","")</f>
        <v/>
      </c>
      <c r="CE207" s="64" t="str">
        <f>IF(COUNTIF(BK:BW,12439)&gt;0,COUNTIF(BK:BW,12439),"")</f>
        <v/>
      </c>
      <c r="CF207" s="52" t="str">
        <f xml:space="preserve"> IF(Atletas!V203="","",IF(Atletas!V203="Duilian de Mãos AB - Equipe 1",1,IF(Atletas!V203="Duilian de Mãos AB - Equipe 2",2,IF(Atletas!V203="Duilian de Armas AB - Equipe 1",3,IF(Atletas!V203="Duilian de Armas AB - Equipe 2",4,IF(Atletas!V203="Duilian de Tuishou - Equipe 1",5,IF(Atletas!V203="Duilian de Tuishou - Equipe 2",6,IF(Atletas!V203="Grupo Externo AB - Equipe 1",7,IF(Atletas!V203="Grupo Externo AB - Equipe 2",8,IF(Atletas!V203="Grupo Interno AB - Equipe 1",9,IF(Atletas!V203="Grupo Interno AB - Equipe 2",10,IF(Atletas!V203="Duilian de Mãos CD - Equipe 1",11,IF(Atletas!V203="Duilian de Mãos CD - Equipe 2",12,IF(Atletas!V203="Duilian de Armas CD - Equipe 1",13,IF(Atletas!V203="Duilian de Armas CD - Equipe 2",14,IF(Atletas!V203="Duilian de Tuishou - Equipe 1",15,IF(Atletas!V203="Duilian de Tuishou - Equipe 2",16,IF(Atletas!V203="Grupo Externo CDEF - Equipe 1",17,IF(Atletas!V203="Grupo Externo CDEF - Equipe 2",18,IF(Atletas!V203="Grupo Interno CDEF - Equipe 1",19,IF(Atletas!V203="Grupo Interno CDEF - Equipe 2",20,IF(Atletas!V203="Duilian de Mãos EF - Equipe 1",21,IF(Atletas!V203="Duilian de Mãos EF - Equipe 2",22,IF(Atletas!V203="Duilian de Armas EF - Equipe 1",23,IF(Atletas!V203="Duilian de Armas EF - Equipe 2",24,IF(Atletas!V203="Duilian de Tuishou - Equipe 1",25,IF(Atletas!V203="Duilian de Tuishou - Equipe 2",26,"")))))))))))))))))))))))))))</f>
        <v/>
      </c>
    </row>
    <row r="208" spans="2:84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 t="str">
        <f t="array" ref="V208">IFERROR(INDEX(BX$7:BX$336,SMALL(IF(BX$7:BX$336&lt;&gt;"",ROW(BX$7:BX$336)-ROW(BX$7)+1),ROWS(BX$7:BX204))),"")</f>
        <v/>
      </c>
      <c r="W208" s="4" t="str">
        <f t="array" ref="W208">IFERROR(INDEX(BY$7:BY$336,SMALL(IF(BY$7:BY$336&lt;&gt;"",ROW(BY$7:BY$336)-ROW(BY$7)+1),ROWS(BY$7:BY204))),"")</f>
        <v/>
      </c>
      <c r="X208" s="4" t="str">
        <f t="array" ref="X208">IFERROR(INDEX(BZ$7:BZ$336,SMALL(IF(BZ$7:BZ$336&lt;&gt;"",ROW(BZ$7:BZ$336)-ROW(BZ$7)+1),ROWS(BZ$7:BZ204))),"")</f>
        <v/>
      </c>
      <c r="Y208" s="4" t="str">
        <f t="array" ref="Y208">IFERROR(INDEX(CA$7:CA$336,SMALL(IF(CA$7:CA$336&lt;&gt;"",ROW(CA$7:CA$336)-ROW(CA$7)+1),ROWS(CA$7:CA204))),"")</f>
        <v/>
      </c>
      <c r="Z208" s="4" t="str">
        <f t="array" ref="Z208">IFERROR(INDEX(CB$7:CB$378,SMALL(IF(CB$7:CB$378&lt;&gt;"",ROW(CB$7:CB$378)-ROW(CB$7)+1),ROWS(CB$7:CB207))),"")</f>
        <v/>
      </c>
      <c r="AA208" s="4" t="str">
        <f t="array" ref="AA208">IFERROR(INDEX(CC$7:CC$378,SMALL(IF(CC$7:CC$378&lt;&gt;"",ROW(CC$7:CC$378)-ROW(CC$7)+1),ROWS(CC$7:CC207))),"")</f>
        <v/>
      </c>
      <c r="AB208" s="4" t="str">
        <f t="array" ref="AB208">IFERROR(INDEX(CD$7:CD$378,SMALL(IF(CD$7:CD$378&lt;&gt;"",ROW(CD$7:CD$378)-ROW(CD$7)+1),ROWS(CD$7:CD207))),"")</f>
        <v/>
      </c>
      <c r="AC208" s="4" t="str">
        <f t="array" ref="AC208">IFERROR(INDEX(CE$7:CE$378,SMALL(IF(CE$7:CE$378&lt;&gt;"",ROW(CE$7:CE$378)-ROW(CE$7)+1),ROWS(CE$7:CE207))),"")</f>
        <v/>
      </c>
      <c r="AD208" s="4"/>
      <c r="AE208" s="4"/>
      <c r="AF208" s="4"/>
      <c r="AG208" s="4"/>
      <c r="AH208" s="4"/>
      <c r="AI208" s="4"/>
      <c r="AJ208" s="46" t="str">
        <f>IF(Atletas!D204="","",IF(Atletas!B204="Feminino",100,IF(Atletas!B204="Masculino",200,""))+(IF(Atletas!D204="Infantil 39kg",1,IF(Atletas!D204="Infantil 42kg",2,IF(Atletas!D204="Infantil 45kg",3,IF(Atletas!D204="Infantil 48kg",4,IF(Atletas!D204="Infantil 52kg",5,IF(Atletas!D204="Infantil 56kg",6,IF(Atletas!D204="Infantil 60kg",7,IF(Atletas!D204="Juvenil 48kg",8,IF(Atletas!D204="Juvenil 52kg",9,IF(Atletas!D204="Juvenil 56kg",10,IF(Atletas!D204="Juvenil 60kg",11,IF(Atletas!D204="Juvenil 65kg",12,IF(Atletas!D204="Juvenil 70kg",13,IF(Atletas!D204="Juvenil 75kg",14,IF(Atletas!D204="Juvenil 80kg",15,IF(Atletas!D204="Adulto 48kg",16,IF(Atletas!D204="Adulto 52kg",17,IF(Atletas!D204="Adulto 56kg",18,IF(Atletas!D204="Adulto 60kg",19,IF(Atletas!D204="Adulto 65kg",20,IF(Atletas!D204="Adulto 70kg",21,IF(Atletas!D204="Adulto 75kg",22,IF(Atletas!D204="Adulto 80kg",23,IF(Atletas!D204="Adulto 85kg",24,IF(Atletas!D204="Adulto 90kg",25,IF(Atletas!D204="Adulto +90kg",26,""))))))))))))))))))))))))))))</f>
        <v/>
      </c>
      <c r="AO208" s="10" t="str">
        <f>IF(Atletas!E204="","",IF(Atletas!B204="Feminino",100,IF(Atletas!B204="Masculino",200,""))+(IF(Atletas!E204="Juvenil 44kg",1,IF(Atletas!E204="Juvenil 48kg",2,IF(Atletas!E204="Juvenil 52kg",3,IF(Atletas!E204="Juvenil 56kg",4,IF(Atletas!E204="Juvenil 60kg",5,IF(Atletas!E204="Juvenil 65kg",6,IF(Atletas!E204="Juvenil 70kg",7,IF(Atletas!E204="Juvenil 75kg",8,IF(Atletas!E204="Juvenil 82kg",9,IF(Atletas!E204="Juvenil 90kg",10,IF(Atletas!E204="Juvenil 100kg",11,IF(Atletas!E204="Adulto 48kg",12,IF(Atletas!E204="Adulto 52kg",13,IF(Atletas!E204="Adulto 56kg",14,IF(Atletas!E204="Adulto 60kg",15,IF(Atletas!E204="Adulto 65kg",16,IF(Atletas!E204="Adulto 70kg",17,IF(Atletas!E204="Adulto 75kg",18,IF(Atletas!E204="Adulto 82kg",19,IF(Atletas!E204="Adulto 90kg",20,IF(Atletas!E204="Adulto 100kg",21,IF(Atletas!E204="Adulto +100kg",22,""))))))))))))))))))))))))</f>
        <v/>
      </c>
      <c r="AT208" s="10" t="str">
        <f>IF(Atletas!F204="","",IF(Atletas!B204="Feminino",100,IF(Atletas!B204="Masculino",200,""))+(IF(Atletas!F204="Adulto 48kg",1,IF(Atletas!F204="Adulto 56kg",2,IF(Atletas!F204="Adulto 65kg",3,IF(Atletas!F204="Adulto 75kg",4,IF(Atletas!F204="Adulto +75kg",5,IF(Atletas!F204="Adulto 52kg",6,IF(Atletas!F204="Adulto 60kg",7,IF(Atletas!F204="Adulto 70kg",8,IF(Atletas!F204="Adulto 80kg",9,IF(Atletas!F204="Adulto 90kg",10,IF(Atletas!F204="Adulto +90kg",11,"")))))))))))))</f>
        <v/>
      </c>
      <c r="AY208" s="46" t="str">
        <f>IF(Atletas!G204="","",IF(Atletas!B204="Feminino",100,IF(Atletas!B204="Masculino",200,""))+(IF(Atletas!G204="Changquan Mirim",1,IF(Atletas!G204="Nanquan Mirim",2,IF(Atletas!G204="Taijiquan Mirim",3,IF(Atletas!G204="Changquan Grupo C",4,IF(Atletas!G204="Nanquan Grupo C",5,IF(Atletas!G204="Taijiquan Grupo C",6,IF(Atletas!G204="Changquan Grupo B",7,IF(Atletas!G204="Nanquan Grupo B",8,IF(Atletas!G204="Taijiquan Grupo B",9,IF(Atletas!G204="Changquan Grupo A",10,IF(Atletas!G204="Nanquan Grupo A",11,IF(Atletas!G204="Taijiquan Grupo A",12,IF(Atletas!G204="Changquan Opcional",13,IF(Atletas!G204="Nanquan Opcional",14,IF(Atletas!G204="Taijiquan Opcional",15,IF(Atletas!G204="Changquan Adulto",16,IF(Atletas!G204="Nanquan Adulto",17,IF(Atletas!G204="Taijiquan Adulto",18,""))))))))))))))))))))</f>
        <v/>
      </c>
      <c r="AZ208" s="46" t="str">
        <f>IF(Atletas!H204="","",IF(Atletas!B204="Feminino",100,IF(Atletas!B204="Masculino",200,""))+(IF(Atletas!H204="Daoshu Mirim",19,IF(Atletas!H204="Jianshu Mirim",20,IF(Atletas!H204="Nandao Mirim",21,IF(Atletas!H204="Taijijian Mirim",22,IF(Atletas!H204="Daoshu Grupo C",23,IF(Atletas!H204="Jianshu Grupo C",24,IF(Atletas!H204="Nandao Grupo C",25,IF(Atletas!H204="Taijijian Grupo C",26,IF(Atletas!H204="Daoshu Grupo B",27,IF(Atletas!H204="Jianshu Grupo B",28,IF(Atletas!H204="Nandao Grupo B",29,IF(Atletas!H204="Taijijian Grupo B",30,IF(Atletas!H204="Daoshu Grupo A",31,IF(Atletas!H204="Jianshu Grupo A",32,IF(Atletas!H204="Nandao Grupo A",33,IF(Atletas!H204="Taijijian Grupo A",34,IF(Atletas!H204="Daoshu Opcional",35,IF(Atletas!H204="Jianshu Opcional",36,IF(Atletas!H204="Nandao Opcional",37,IF(Atletas!H204="Taijijian Opcional",38,IF(Atletas!H204="Daoshu Adulto",39,IF(Atletas!H204="Jianshu Adulto",40,IF(Atletas!H204="Nandao Adulto",41,IF(Atletas!H204="Taijijian Adulto",42,""))))))))))))))))))))))))))</f>
        <v/>
      </c>
      <c r="BA208" s="46" t="str">
        <f>IF(Atletas!I204="","",IF(Atletas!B204="Feminino",100,IF(Atletas!B204="Masculino",200,""))+(IF(Atletas!I204="Gunshu Mirim",43,IF(Atletas!I204="Qiangshu Mirim",44,IF(Atletas!I204="Nangun Mirim",45,IF(Atletas!I204="Gunshu Grupo C",46,IF(Atletas!I204="Qiangshu Grupo C",47,IF(Atletas!I204="Nangun Grupo C",48,IF(Atletas!I204="Gunshu Grupo B",49,IF(Atletas!I204="Qiangshu Grupo B",50,IF(Atletas!I204="Nangun Grupo B",51,IF(Atletas!I204="Gunshu Grupo A",52,IF(Atletas!I204="Qiangshu Grupo A",53,IF(Atletas!I204="Nangun Grupo A",54,IF(Atletas!I204="Gunshu Opcional",55,IF(Atletas!I204="Qiangshu Opcional",56,IF(Atletas!I204="Nangun Opcional",57,IF(Atletas!I204="Gunshu Adulto",58,IF(Atletas!I204="Qiangshu Adulto",59,IF(Atletas!I204="Nangun Adulto",60,""))))))))))))))))))))</f>
        <v/>
      </c>
      <c r="BF208" s="52" t="str">
        <f>IF(Atletas!J204="","",IF(Atletas!B204="Feminino",100,IF(Atletas!B204="Masculino",200,""))+(IF(Atletas!J204="Equipe 1 Grupo B",1,IF(Atletas!J204="Equipe 2 Grupo B",2,IF(Atletas!J204="Equipe 1 Grupo A",3,IF(Atletas!J204="Equipe 2 Grupo A",4,IF(Atletas!J204="Equipe 1 Adulto",5,IF(Atletas!J204="Equipe 2 Adulto",6,""))))))))</f>
        <v/>
      </c>
      <c r="BK208" s="52" t="str">
        <f>IF(Atletas!K204="","",IF(Atletas!W204&lt;&gt;"",10000,0)+(IF(Atletas!B204="Feminino",1000,IF(Atletas!B204="Masculino",2000,""))+IF(Atletas!K204="Choylayfut A",1,IF(Atletas!K204="Hunggar A",2,IF(Atletas!K204="Wuzuquan A",3,IF(Atletas!K204="Wingchun A",4,IF(Atletas!K204="Outra Mão de Sul A",5,IF(Atletas!K204="Choylayfut B",6,IF(Atletas!K204="Hunggar B",7,IF(Atletas!K204="Wuzuquan B",8,IF(Atletas!K204="Wingchun B",9,IF(Atletas!K204="Outra Mão de Sul B",10,IF(Atletas!K204="Choylayfut C",11,IF(Atletas!K204="Hunggar C",12,IF(Atletas!K204="Wuzuquan C",13,IF(Atletas!K204="Wingchun C",14,IF(Atletas!K204="Outra Mão de Sul C",15,IF(Atletas!K204="Choylayfut D",16,IF(Atletas!K204="Hunggar D",17,IF(Atletas!K204="Wuzuquan D",18,IF(Atletas!K204="Wingchun D",19,IF(Atletas!K204="Outra Mão de Sul D",20,IF(Atletas!K204="Choylayfut E",21,IF(Atletas!K204="Hunggar E",22,IF(Atletas!K204="Wuzuquan E",23,IF(Atletas!K204="Wingchun E",24,IF(Atletas!K204="Outra Mão de Sul E",25,IF(Atletas!K204="Choylayfut F",26,IF(Atletas!K204="Hunggar F",27,IF(Atletas!K204="Wuzuquan F",28,IF(Atletas!K204="Wingchun F",29,IF(Atletas!K204="Outra Mão de Sul F",30,""))))))))))))))))))))))))))))))))</f>
        <v/>
      </c>
      <c r="BL208" s="52" t="str">
        <f>IF(Atletas!L204="","",IF(Atletas!W204&lt;&gt;"",10000,0)+(IF(Atletas!B204="Feminino",1000,IF(Atletas!B204="Masculino",2000,""))+(IF(Atletas!L204="Chaquan A",101,IF(Atletas!L204="Emeiquan A",102,IF(Atletas!L204="Fanziquan A",103,IF(Atletas!L204="Huaquan A",104,IF(Atletas!L204="Hongquan A",105,IF(Atletas!L204="Paochui A",106,IF(Atletas!L204="Piguaquan A",107,IF(Atletas!L204="Shaolinquan A",108,IF(Atletas!L204="Tanglangquan A",109,IF(Atletas!L204="Yinzhaophai A",110,IF(Atletas!L204="Tongbeiquan A",111,IF(Atletas!L204="Wudangquan A",112,IF(Atletas!L204="Outros Estilos A",113,IF(Atletas!L204="Chaquan B",114,IF(Atletas!L204="Emeiquan B",115,IF(Atletas!L204="Fanziquan B",116,IF(Atletas!L204="Huaquan B",117,IF(Atletas!L204="Hongquan B",118,IF(Atletas!L204="Paochui B",119,IF(Atletas!L204="Piguaquan B",120,IF(Atletas!L204="Shaolinquan B",121,IF(Atletas!L204="Tanglangquan B",122,IF(Atletas!L204="Yinzhaophai B",123,IF(Atletas!L204="Tongbeiquan B",124,IF(Atletas!L204="Wudangquan B",125,IF(Atletas!L204="Outros Estilos B",126,IF(Atletas!L204="Chaquan C",127,IF(Atletas!L204="Emeiquan C",128,IF(Atletas!L204="Fanziquan C",129,IF(Atletas!L204="Huaquan C",130,IF(Atletas!L204="Hongquan C",131,IF(Atletas!L204="Paochui C",132,IF(Atletas!L204="Piguaquan C",133,IF(Atletas!L204="Shaolinquan C",134,IF(Atletas!L204="Tanglangquan C",135,IF(Atletas!L204="Yinzhaophai C",136,IF(Atletas!L204="Tongbeiquan C",137,IF(Atletas!L204="Wudangquan C",138,IF(Atletas!L204="Outros Estilos C",139,0))))))))))))))))))))))))))))))))))))))))))</f>
        <v/>
      </c>
      <c r="BM208" s="52" t="str">
        <f>IF(Atletas!L204="","",IF(Atletas!W204&lt;&gt;"",10000,0)+(IF(Atletas!B204="Feminino",1000,IF(Atletas!B204="Masculino",2000,""))+(IF(Atletas!L204="Chaquan D",140,IF(Atletas!L204="Emeiquan D",141,IF(Atletas!L204="Fanziquan D",142,IF(Atletas!L204="Huaquan D",143,IF(Atletas!L204="Hongquan D",144,IF(Atletas!L204="Paochui D",145,IF(Atletas!L204="Piguaquan D",146,IF(Atletas!L204="Shaolinquan D",147,IF(Atletas!L204="Tanglangquan D",148,IF(Atletas!L204="Yinzhaophai D",149,IF(Atletas!L204="Tongbeiquan D",150,IF(Atletas!L204="Wudangquan D",151,IF(Atletas!L204="Outros Estilos D",152,IF(Atletas!L204="Chaquan E",153,IF(Atletas!L204="Emeiquan E",154,IF(Atletas!L204="Fanziquan E",155,IF(Atletas!L204="Huaquan E",156,IF(Atletas!L204="Hongquan E",157,IF(Atletas!L204="Paochui E",158,IF(Atletas!L204="Piguaquan E",159,IF(Atletas!L204="Shaolinquan E",160,IF(Atletas!L204="Tanglangquan E",161,IF(Atletas!L204="Yinzhaophai E",162,IF(Atletas!L204="Tongbeiquan E",163,IF(Atletas!L204="Wudangquan E",164,IF(Atletas!L204="Outros Estilos E",165,IF(Atletas!L204="Chaquan F",166,IF(Atletas!L204="Emeiquan F",167,IF(Atletas!L204="Fanziquan F",168,IF(Atletas!L204="Huaquan F",169,IF(Atletas!L204="Hongquan F",170,IF(Atletas!L204="Paochui F",171,IF(Atletas!L204="Piguaquan F",172,IF(Atletas!L204="Shaolinquan F",173,IF(Atletas!L204="Tanglangquan F",174,IF(Atletas!L204="Yinzhaophai F",175,IF(Atletas!L204="Tongbeiquan F",176,IF(Atletas!L204="Wudangquan F",177,IF(Atletas!L204="Outros Estilos F",178,0))))))))))))))))))))))))))))))))))))))))))</f>
        <v/>
      </c>
      <c r="BN208" s="52" t="str">
        <f>IF(Atletas!M204="","",IF(Atletas!W204&lt;&gt;"",10000,0)+(IF(Atletas!B204="Feminino",1000,IF(Atletas!B204="Masculino",2000,""))+(IF(Atletas!M204="Ditangquan A",201,IF(Atletas!M204="Houquan A",202,IF(Atletas!M204="Zuiquan A",203,IF(Atletas!M204="Ditangquan B",204,IF(Atletas!M204="Houquan B",205,IF(Atletas!M204="Zuiquan B",206,IF(Atletas!M204="Ditangquan C",207,IF(Atletas!M204="Houquan C",208,IF(Atletas!M204="Zuiquan C",209,IF(Atletas!M204="Ditangquan D",210,IF(Atletas!M204="Houquan D",211,IF(Atletas!M204="Zuiquan D",212,IF(Atletas!M204="Ditangquan E",213,IF(Atletas!M204="Houquan E",214,IF(Atletas!M204="Zuiquan E",215,IF(Atletas!M204="Ditangquan F",216,IF(Atletas!M204="Houquan F",217,IF(Atletas!M204="Zuiquan F",218,"")))))))))))))))))))))</f>
        <v/>
      </c>
      <c r="BO208" s="52" t="str">
        <f>IF(Atletas!N204="","",IF(Atletas!W204&lt;&gt;"",10000,0)+IF(Atletas!B204="Feminino",1000,IF(Atletas!B204="Masculino",2000,""))+IF(Atletas!N204="Yang A",301,IF(Atletas!N204="Chen A",30,IF(Atletas!N204="Sun A",303,IF(Atletas!N204="Wu A",304,IF(Atletas!N204="Wu-Hao A",305,IF(Atletas!N204="Outro Taijiquan A",306,IF(Atletas!N204="Yang B",307,IF(Atletas!N204="Chen B",308,IF(Atletas!N204="Sun B",309,IF(Atletas!N204="Wu B",310,IF(Atletas!N204="Wu-Hao B",311,IF(Atletas!N204="Outro Taijiquan B",312,IF(Atletas!N204="Yang C",313,IF(Atletas!N204="Chen C",314,IF(Atletas!N204="Sun C",315,IF(Atletas!N204="Wu C",316,IF(Atletas!N204="Wu-Hao C",317,IF(Atletas!N204="Outro Taijiquan C",318,IF(Atletas!N204="Yang D",319,IF(Atletas!N204="Chen D",320,IF(Atletas!N204="Sun D",321,IF(Atletas!N204="Wu D",322,IF(Atletas!N204="Wu-Hao D",323,IF(Atletas!N204="Outro Taijiquan D",324,IF(Atletas!N204="Yang E",325,IF(Atletas!N204="Chen E",326,IF(Atletas!N204="Sun E",327,IF(Atletas!N204="Wu E",328,IF(Atletas!N204="Wu-Hao E",329,IF(Atletas!N204="Outro Taijiquan E",330,IF(Atletas!N204="Yang F",331,IF(Atletas!N204="Chen F",332,IF(Atletas!N204="Sun F",333,IF(Atletas!N204="Wu F",334,IF(Atletas!N204="Wu-Hao F",335,IF(Atletas!N204="Outro Taijiquan F",336,"")))))))))))))))))))))))))))))))))))))</f>
        <v/>
      </c>
      <c r="BP208" s="52" t="str">
        <f>IF(Atletas!O204="","",IF(Atletas!W204&lt;&gt;"",10000,0)+IF(Atletas!B204="Feminino",1000,IF(Atletas!B204="Masculino",2000,""))+IF(OR(Atletas!O204="Yang 26 A",Atletas!O204="Yang 40 A"),401,IF(OR(Atletas!O204="Chen 25 A",Atletas!O204="Chen 36 A",Atletas!O204="Chen 56 A"),402,IF(Atletas!O204="Sun 73 A",403,IF(Atletas!O204="Wu 45 A",404,IF(Atletas!O204="Wu-Hao 46 A",405,IF(OR(Atletas!O204="Taijiquan 16 A",Atletas!O204="Taijiquan 24 A",Atletas!O204="Taijiquan 32 A",Atletas!O204="Taijiquan 42 A"),406,IF(OR(Atletas!O204="Yang 26 B",Atletas!O204="Yang 40 B"),407,IF(OR(Atletas!O204="Chen 25 B",Atletas!O204="Chen 36 B",Atletas!O204="Chen 56 B"),408,IF(Atletas!O204="Sun 73 B",409,IF(Atletas!O204="Wu 45 B",410,IF(Atletas!O204="Wu-Hao 46 B",411,IF(OR(Atletas!O204="Taijiquan 16 B",Atletas!O204="Taijiquan 24 B",Atletas!O204="Taijiquan 32 B",Atletas!O204="Taijiquan 42 B"),412,IF(OR(Atletas!O204="Yang 26 C",Atletas!O204="Yang 40 C"),413,IF(OR(Atletas!O204="Chen 25 C",Atletas!O204="Chen 36 C",Atletas!O204="Chen 56 C"),414,IF(Atletas!O204="Sun 73 C",415,IF(Atletas!O204="Wu 45 C",416,IF(Atletas!O204="Wu-Hao 46 C",417,IF(OR(Atletas!O204="Taijiquan 16 C",Atletas!O204="Taijiquan 24 C",Atletas!O204="Taijiquan 32 C",Atletas!O204="Taijiquan 42 C"),418,0)))))))))))))))))))</f>
        <v/>
      </c>
      <c r="BQ208" s="52" t="str">
        <f>IF(Atletas!O204="","",IF(Atletas!W204&lt;&gt;"",10000,0)+IF(Atletas!B204="Feminino",1000,IF(Atletas!B204="Masculino",2000,""))+IF(OR(Atletas!O204="Yang 26 D",Atletas!O204="Yang 40 D"),419,IF(OR(Atletas!O204="Chen 25 D",Atletas!O204="Chen 36 D",Atletas!O204="Chen 56 D"),420,IF(Atletas!O204="Sun 73 D",421,IF(Atletas!O204="Wu 45 D",422,IF(Atletas!O204="Wu-Hao 46 D",423,IF(OR(Atletas!O204="Taijiquan 16 D",Atletas!O204="Taijiquan 24 D",Atletas!O204="Taijiquan 32 D",Atletas!O204="Taijiquan 42 D"),424,IF(OR(Atletas!O204="Yang 26 E",Atletas!O204="Yang 40 E"),425,IF(OR(Atletas!O204="Chen 25 E",Atletas!O204="Chen 36 E",Atletas!O204="Chen 56 E"),426,IF(Atletas!O204="Sun 73 E",427,IF(Atletas!O204="Wu 45 E",428,IF(Atletas!O204="Wu-Hao 46 E",429,IF(OR(Atletas!O204="Taijiquan 16 E",Atletas!O204="Taijiquan 24 E",Atletas!O204="Taijiquan 32 E",Atletas!O204="Taijiquan 42 E"),430,IF(OR(Atletas!O204="Yang 26 F",Atletas!O204="Yang 40 F"),431,IF(OR(Atletas!O204="Chen 25 F",Atletas!O204="Chen 36 F",Atletas!O204="Chen 56 F"),432,IF(Atletas!O204="Sun 73 F",433,IF(Atletas!O204="Wu 45 F",434,IF(Atletas!O204="Wu-Hao 46 F",435,IF(OR(Atletas!O204="Taijiquan 16 F",Atletas!O204="Taijiquan 24 F",Atletas!O204="Taijiquan 32 F",Atletas!O204="Taijiquan 42 F"),436,0)))))))))))))))))))</f>
        <v/>
      </c>
      <c r="BR208" s="52" t="str">
        <f>IF(Atletas!P204="","",IF(Atletas!W204&lt;&gt;"",10000,0)+IF(Atletas!B204="Feminino",1000,IF(Atletas!B204="Masculino",2000,""))+IF(Atletas!P204="Xingyiquan A",501,IF(Atletas!P204="Baguazhang A",502,IF(Atletas!P204="Outro Estilo Interno A",503,IF(Atletas!P204="Xingyiquan B",504,IF(Atletas!P204="Baguazhang B",505,IF(Atletas!P204="Outro Estilo Interno B",506,IF(Atletas!P204="Xingyiquan C",507,IF(Atletas!P204="Baguazhang C",508,IF(Atletas!P204="Outro Estilo Interno C",509,IF(Atletas!P204="Xingyiquan D",510,IF(Atletas!P204="Baguazhang D",511,IF(Atletas!P204="Outro Estilo Interno D",512,IF(Atletas!P204="Xingyiquan E",513,IF(Atletas!P204="Baguazhang E",514,IF(Atletas!P204="Outro Estilo Interno E",515,IF(Atletas!P204="Xingyiquan F",516,IF(Atletas!P204="Baguazhang F",517,IF(Atletas!P204="Outro Estilo Interno F",518, "")))))))))))))))))))</f>
        <v/>
      </c>
      <c r="BS208" s="52" t="str">
        <f>IF(Atletas!Q204="","",IF(Atletas!W204&lt;&gt;"",10000,0)+IF(Atletas!B204="Feminino",1000,IF(Atletas!B204="Masculino",2000,""))+IF(Atletas!Q204="Dao A",601,IF(Atletas!Q204="Jian A",602,IF(Atletas!Q204="Bishou A",603,IF(Atletas!Q204="Shan A",604,IF(Atletas!Q204="Outra Arma Curta A",605,IF(Atletas!Q204="Dao B",606,IF(Atletas!Q204="Jian B",607,IF(Atletas!Q204="Bishou B",608,IF(Atletas!Q204="Shan B",609,IF(Atletas!Q204="Outra Arma Curta B",610,IF(Atletas!Q204="Dao C",611,IF(Atletas!Q204="Jian C",612,IF(Atletas!Q204="Bishou C",613,IF(Atletas!Q204="Shan C",614,IF(Atletas!Q204="Outra Arma Curta C",615,IF(Atletas!Q204="Dao D",616,IF(Atletas!Q204="Jian D",617,IF(Atletas!Q204="Bishou D",618,IF(Atletas!Q204="Shan D",619,IF(Atletas!Q204="Outra Arma Curta D",620,IF(Atletas!Q204="Dao E",621,IF(Atletas!Q204="Jian E",622,IF(Atletas!Q204="Bishou E",623,IF(Atletas!Q204="Shan E",624,IF(Atletas!Q204="Outra Arma Curta E",625,IF(Atletas!Q204="Dao F",626,IF(Atletas!Q204="Jian F",627,IF(Atletas!Q204="Bishou F",628,IF(Atletas!Q204="Shan F",629,IF(Atletas!Q204="Outra Arma Curta F",630, "")))))))))))))))))))))))))))))))</f>
        <v/>
      </c>
      <c r="BT208" s="52" t="str">
        <f>IF(Atletas!R204="","",IF(Atletas!W204&lt;&gt;"",10000,0)+IF(Atletas!B204="Feminino",1000,IF(Atletas!B204="Masculino",2000,""))+IF(Atletas!R204="Gun A",701,IF(Atletas!R204="Qiang A",702,IF(Atletas!R204="Pudao / Guandao A",703,IF(Atletas!R204="Outra Arma Longa A",704,IF(Atletas!R204="Gun B",705,IF(Atletas!R204="Qiang B",706,IF(Atletas!R204="Pudao / Guandao B",707,IF(Atletas!R204="Outra Arma Longa B",708,IF(Atletas!R204="Gun C",709,IF(Atletas!R204="Qiang C",710,IF(Atletas!R204="Pudao / Guandao C",711,IF(Atletas!R204="Outra Arma Longa C",712,IF(Atletas!R204="Gun D",713,IF(Atletas!R204="Qiang D",714,IF(Atletas!R204="Pudao / Guandao D",715,IF(Atletas!R204="Outra Arma Longa D",716,IF(Atletas!R204="Gun E",717,IF(Atletas!R204="Qiang E",718,IF(Atletas!R204="Pudao / Guandao E",719,IF(Atletas!R204="Outra Arma Longa E",720,IF(Atletas!R204="Gun F",721,IF(Atletas!R204="Qiang F",722,IF(Atletas!R204="Pudao / Guandao F",723,IF(Atletas!R204="Outra Arma Longa F",724,"")))))))))))))))))))))))))</f>
        <v/>
      </c>
      <c r="BU208" s="52" t="str">
        <f>IF(Atletas!S204="","",IF(Atletas!W204&lt;&gt;"",10000,0)+IF(Atletas!B204="Feminino",1000,IF(Atletas!B204="Masculino",2000,""))+IF(Atletas!S204="Arma Dupla A",801,IF(Atletas!S204="Arma Maleável A",802,IF(Atletas!S204="Arma Dupla B",803,IF(Atletas!S204="Arma Maleável B",804,IF(Atletas!S204="Arma Dupla C",805,IF(Atletas!S204="Arma Maleável C",806,IF(Atletas!S204="Arma Dupla D",807,IF(Atletas!S204="Arma Maleável D",808,IF(Atletas!S204="Arma Dupla E",809,IF(Atletas!S204="Arma Maleável E",810,IF(Atletas!S204="Arma Dupla F",811,IF(Atletas!S204="Arma Maleável F",812, "")))))))))))))</f>
        <v/>
      </c>
      <c r="BV208" s="52" t="str">
        <f>IF(Atletas!T204="","",IF(Atletas!W204&lt;&gt;"",10000,0)+IF(Atletas!B204="Feminino",1000,IF(Atletas!B204="Masculino",2000,""))+IF(Atletas!T204="Taijijian Yang A",901,IF(Atletas!T204="Taijijian Chen A",902,IF(Atletas!T204="Taijijian Sun A",903,IF(Atletas!T204="Taijijian Wu A",904,IF(Atletas!T204="Taijijian Wu-Hao A",905,IF(Atletas!T204="Taijijian 32 A",906,IF(Atletas!T204="Taijijian 42 A",907,IF(Atletas!T204="Taijijian Yang B",908,IF(Atletas!T204="Taijijian Chen B",909,IF(Atletas!T204="Taijijian Sun B",910,IF(Atletas!T204="Taijijian Wu B",911,IF(Atletas!T204="Taijijian Wu-Hao B",912,IF(Atletas!T204="Taijijian 32 B",913,IF(Atletas!T204="Taijijian 42 B",914,IF(Atletas!T204="Taijijian Yang C",915,IF(Atletas!T204="Taijijian Chen C",916,IF(Atletas!T204="Taijijian Sun C",917,IF(Atletas!T204="Taijijian Wu C",918,IF(Atletas!T204="Taijijian Wu-Hao C",919,IF(Atletas!T204="Taijijian 32 C",920,IF(Atletas!T204="Taijijian 42 C",921,IF(Atletas!T204="Taijijian Yang D",922,IF(Atletas!T204="Taijijian Chen D",923,IF(Atletas!T204="Taijijian Sun D",924,IF(Atletas!T204="Taijijian Wu D",925,IF(Atletas!T204="Taijijian Wu-Hao D",926,IF(Atletas!T204="Taijijian 32 D",927,IF(Atletas!T204="Taijijian 42 D",928,IF(Atletas!T204="Taijijian Yang E",929,IF(Atletas!T204="Taijijian Chen E",930,IF(Atletas!T204="Taijijian Sun E",931,IF(Atletas!T204="Taijijian Wu E",932,IF(Atletas!T204="Taijijian Wu-Hao E",933,IF(Atletas!T204="Taijijian 32 E",934,IF(Atletas!T204="Taijijian 42 E",935,IF(Atletas!T204="Taijijian Yang F",936,IF(Atletas!T204="Taijijian Chen F",937,IF(Atletas!T204="Taijijian Sun F",938,IF(Atletas!T204="Taijijian Wu F",939,IF(Atletas!T204="Taijijian Wu-Hao F",940,IF(Atletas!T204="Taijijian 32 F",941,IF(Atletas!T204="Taijijian 42 F",942,"")))))))))))))))))))))))))))))))))))))))))))</f>
        <v/>
      </c>
      <c r="BW208" s="52" t="str">
        <f>IF(Atletas!U204="","",IF(Atletas!W204&lt;&gt;"",10000,0)+IF(Atletas!B204="Feminino",1000,IF(Atletas!B204="Masculino",2000,""))+IF(Atletas!T204="Taijijian 42 F",942,IF(Atletas!U204="Taijidao A",943,IF(Atletas!U204="Taijishan A",944,IF(Atletas!U204="Taijiqiang A",945,IF(Atletas!U204="Taijidao B",946,IF(Atletas!U204="Taijishan B",947,IF(Atletas!U204="Taijiqiang B",948,IF(Atletas!U204="Taijidao C",949,IF(Atletas!U204="Taijishan C",950,IF(Atletas!U204="Taijiqiang C",951,IF(Atletas!U204="Taijidao D",952,IF(Atletas!U204="Taijishan D",953,IF(Atletas!U204="Taijiqiang D",954,IF(Atletas!U204="Taijidao E",955,IF(Atletas!U204="Taijishan E",956,IF(Atletas!U204="Taijiqiang E",957,IF(Atletas!U204="Taijidao F",958,IF(Atletas!U204="Taijishan F",959,IF(Atletas!U204="Taijiqiang F",960))))))))))))))))))))</f>
        <v/>
      </c>
      <c r="BX208" s="72" t="str">
        <f>IF(BY208&lt;&gt;"","Xingyiquan B","")</f>
        <v/>
      </c>
      <c r="BY208" s="72" t="str">
        <f>IF(COUNTIF(BK:BW,1504)&gt;0,COUNTIF(BK:BW,1504),"")</f>
        <v/>
      </c>
      <c r="BZ208" s="72" t="str">
        <f>IF(CA208&lt;&gt;"","Xingyiquan B","")</f>
        <v/>
      </c>
      <c r="CA208" s="72" t="str">
        <f>IF(COUNTIF(BK:BW,2504)&gt;0,COUNTIF(BK:BW,2504),"")</f>
        <v/>
      </c>
      <c r="CB208" s="72" t="str">
        <f>IF(CC208&lt;&gt;"","Taijiquan 24 D","")</f>
        <v/>
      </c>
      <c r="CC208" s="64" t="str">
        <f>IF(COUNTIF(BK:BW,11440)&gt;0,COUNTIF(BK:BW,11440),"")</f>
        <v/>
      </c>
      <c r="CD208" s="64" t="str">
        <f>IF(CE208&lt;&gt;"","Taijiquan 24 D","")</f>
        <v/>
      </c>
      <c r="CE208" s="64" t="str">
        <f>IF(COUNTIF(BK:BW,12440)&gt;0,COUNTIF(BK:BW,12440),"")</f>
        <v/>
      </c>
      <c r="CF208" s="52" t="str">
        <f xml:space="preserve"> IF(Atletas!V204="","",IF(Atletas!V204="Duilian de Mãos AB - Equipe 1",1,IF(Atletas!V204="Duilian de Mãos AB - Equipe 2",2,IF(Atletas!V204="Duilian de Armas AB - Equipe 1",3,IF(Atletas!V204="Duilian de Armas AB - Equipe 2",4,IF(Atletas!V204="Duilian de Tuishou - Equipe 1",5,IF(Atletas!V204="Duilian de Tuishou - Equipe 2",6,IF(Atletas!V204="Grupo Externo AB - Equipe 1",7,IF(Atletas!V204="Grupo Externo AB - Equipe 2",8,IF(Atletas!V204="Grupo Interno AB - Equipe 1",9,IF(Atletas!V204="Grupo Interno AB - Equipe 2",10,IF(Atletas!V204="Duilian de Mãos CD - Equipe 1",11,IF(Atletas!V204="Duilian de Mãos CD - Equipe 2",12,IF(Atletas!V204="Duilian de Armas CD - Equipe 1",13,IF(Atletas!V204="Duilian de Armas CD - Equipe 2",14,IF(Atletas!V204="Duilian de Tuishou - Equipe 1",15,IF(Atletas!V204="Duilian de Tuishou - Equipe 2",16,IF(Atletas!V204="Grupo Externo CDEF - Equipe 1",17,IF(Atletas!V204="Grupo Externo CDEF - Equipe 2",18,IF(Atletas!V204="Grupo Interno CDEF - Equipe 1",19,IF(Atletas!V204="Grupo Interno CDEF - Equipe 2",20,IF(Atletas!V204="Duilian de Mãos EF - Equipe 1",21,IF(Atletas!V204="Duilian de Mãos EF - Equipe 2",22,IF(Atletas!V204="Duilian de Armas EF - Equipe 1",23,IF(Atletas!V204="Duilian de Armas EF - Equipe 2",24,IF(Atletas!V204="Duilian de Tuishou - Equipe 1",25,IF(Atletas!V204="Duilian de Tuishou - Equipe 2",26,"")))))))))))))))))))))))))))</f>
        <v/>
      </c>
    </row>
    <row r="209" spans="2:84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 t="str">
        <f t="array" ref="V209">IFERROR(INDEX(BX$7:BX$336,SMALL(IF(BX$7:BX$336&lt;&gt;"",ROW(BX$7:BX$336)-ROW(BX$7)+1),ROWS(BX$7:BX204))),"")</f>
        <v/>
      </c>
      <c r="W209" s="4" t="str">
        <f t="array" ref="W209">IFERROR(INDEX(BY$7:BY$336,SMALL(IF(BY$7:BY$336&lt;&gt;"",ROW(BY$7:BY$336)-ROW(BY$7)+1),ROWS(BY$7:BY204))),"")</f>
        <v/>
      </c>
      <c r="X209" s="4" t="str">
        <f t="array" ref="X209">IFERROR(INDEX(BZ$7:BZ$336,SMALL(IF(BZ$7:BZ$336&lt;&gt;"",ROW(BZ$7:BZ$336)-ROW(BZ$7)+1),ROWS(BZ$7:BZ204))),"")</f>
        <v/>
      </c>
      <c r="Y209" s="4" t="str">
        <f t="array" ref="Y209">IFERROR(INDEX(CA$7:CA$336,SMALL(IF(CA$7:CA$336&lt;&gt;"",ROW(CA$7:CA$336)-ROW(CA$7)+1),ROWS(CA$7:CA204))),"")</f>
        <v/>
      </c>
      <c r="Z209" s="4" t="str">
        <f t="array" ref="Z209">IFERROR(INDEX(CB$7:CB$378,SMALL(IF(CB$7:CB$378&lt;&gt;"",ROW(CB$7:CB$378)-ROW(CB$7)+1),ROWS(CB$7:CB208))),"")</f>
        <v/>
      </c>
      <c r="AA209" s="4" t="str">
        <f t="array" ref="AA209">IFERROR(INDEX(CC$7:CC$378,SMALL(IF(CC$7:CC$378&lt;&gt;"",ROW(CC$7:CC$378)-ROW(CC$7)+1),ROWS(CC$7:CC208))),"")</f>
        <v/>
      </c>
      <c r="AB209" s="4" t="str">
        <f t="array" ref="AB209">IFERROR(INDEX(CD$7:CD$378,SMALL(IF(CD$7:CD$378&lt;&gt;"",ROW(CD$7:CD$378)-ROW(CD$7)+1),ROWS(CD$7:CD208))),"")</f>
        <v/>
      </c>
      <c r="AC209" s="4" t="str">
        <f t="array" ref="AC209">IFERROR(INDEX(CE$7:CE$378,SMALL(IF(CE$7:CE$378&lt;&gt;"",ROW(CE$7:CE$378)-ROW(CE$7)+1),ROWS(CE$7:CE208))),"")</f>
        <v/>
      </c>
      <c r="AD209" s="4"/>
      <c r="AE209" s="4"/>
      <c r="AF209" s="4"/>
      <c r="AG209" s="4"/>
      <c r="AH209" s="4"/>
      <c r="AI209" s="4"/>
      <c r="AJ209" s="46" t="str">
        <f>IF(Atletas!D205="","",IF(Atletas!B205="Feminino",100,IF(Atletas!B205="Masculino",200,""))+(IF(Atletas!D205="Infantil 39kg",1,IF(Atletas!D205="Infantil 42kg",2,IF(Atletas!D205="Infantil 45kg",3,IF(Atletas!D205="Infantil 48kg",4,IF(Atletas!D205="Infantil 52kg",5,IF(Atletas!D205="Infantil 56kg",6,IF(Atletas!D205="Infantil 60kg",7,IF(Atletas!D205="Juvenil 48kg",8,IF(Atletas!D205="Juvenil 52kg",9,IF(Atletas!D205="Juvenil 56kg",10,IF(Atletas!D205="Juvenil 60kg",11,IF(Atletas!D205="Juvenil 65kg",12,IF(Atletas!D205="Juvenil 70kg",13,IF(Atletas!D205="Juvenil 75kg",14,IF(Atletas!D205="Juvenil 80kg",15,IF(Atletas!D205="Adulto 48kg",16,IF(Atletas!D205="Adulto 52kg",17,IF(Atletas!D205="Adulto 56kg",18,IF(Atletas!D205="Adulto 60kg",19,IF(Atletas!D205="Adulto 65kg",20,IF(Atletas!D205="Adulto 70kg",21,IF(Atletas!D205="Adulto 75kg",22,IF(Atletas!D205="Adulto 80kg",23,IF(Atletas!D205="Adulto 85kg",24,IF(Atletas!D205="Adulto 90kg",25,IF(Atletas!D205="Adulto +90kg",26,""))))))))))))))))))))))))))))</f>
        <v/>
      </c>
      <c r="AO209" s="10" t="str">
        <f>IF(Atletas!E205="","",IF(Atletas!B205="Feminino",100,IF(Atletas!B205="Masculino",200,""))+(IF(Atletas!E205="Juvenil 44kg",1,IF(Atletas!E205="Juvenil 48kg",2,IF(Atletas!E205="Juvenil 52kg",3,IF(Atletas!E205="Juvenil 56kg",4,IF(Atletas!E205="Juvenil 60kg",5,IF(Atletas!E205="Juvenil 65kg",6,IF(Atletas!E205="Juvenil 70kg",7,IF(Atletas!E205="Juvenil 75kg",8,IF(Atletas!E205="Juvenil 82kg",9,IF(Atletas!E205="Juvenil 90kg",10,IF(Atletas!E205="Juvenil 100kg",11,IF(Atletas!E205="Adulto 48kg",12,IF(Atletas!E205="Adulto 52kg",13,IF(Atletas!E205="Adulto 56kg",14,IF(Atletas!E205="Adulto 60kg",15,IF(Atletas!E205="Adulto 65kg",16,IF(Atletas!E205="Adulto 70kg",17,IF(Atletas!E205="Adulto 75kg",18,IF(Atletas!E205="Adulto 82kg",19,IF(Atletas!E205="Adulto 90kg",20,IF(Atletas!E205="Adulto 100kg",21,IF(Atletas!E205="Adulto +100kg",22,""))))))))))))))))))))))))</f>
        <v/>
      </c>
      <c r="AT209" s="10" t="str">
        <f>IF(Atletas!F205="","",IF(Atletas!B205="Feminino",100,IF(Atletas!B205="Masculino",200,""))+(IF(Atletas!F205="Adulto 48kg",1,IF(Atletas!F205="Adulto 56kg",2,IF(Atletas!F205="Adulto 65kg",3,IF(Atletas!F205="Adulto 75kg",4,IF(Atletas!F205="Adulto +75kg",5,IF(Atletas!F205="Adulto 52kg",6,IF(Atletas!F205="Adulto 60kg",7,IF(Atletas!F205="Adulto 70kg",8,IF(Atletas!F205="Adulto 80kg",9,IF(Atletas!F205="Adulto 90kg",10,IF(Atletas!F205="Adulto +90kg",11,"")))))))))))))</f>
        <v/>
      </c>
      <c r="AY209" s="46" t="str">
        <f>IF(Atletas!G205="","",IF(Atletas!B205="Feminino",100,IF(Atletas!B205="Masculino",200,""))+(IF(Atletas!G205="Changquan Mirim",1,IF(Atletas!G205="Nanquan Mirim",2,IF(Atletas!G205="Taijiquan Mirim",3,IF(Atletas!G205="Changquan Grupo C",4,IF(Atletas!G205="Nanquan Grupo C",5,IF(Atletas!G205="Taijiquan Grupo C",6,IF(Atletas!G205="Changquan Grupo B",7,IF(Atletas!G205="Nanquan Grupo B",8,IF(Atletas!G205="Taijiquan Grupo B",9,IF(Atletas!G205="Changquan Grupo A",10,IF(Atletas!G205="Nanquan Grupo A",11,IF(Atletas!G205="Taijiquan Grupo A",12,IF(Atletas!G205="Changquan Opcional",13,IF(Atletas!G205="Nanquan Opcional",14,IF(Atletas!G205="Taijiquan Opcional",15,IF(Atletas!G205="Changquan Adulto",16,IF(Atletas!G205="Nanquan Adulto",17,IF(Atletas!G205="Taijiquan Adulto",18,""))))))))))))))))))))</f>
        <v/>
      </c>
      <c r="AZ209" s="46" t="str">
        <f>IF(Atletas!H205="","",IF(Atletas!B205="Feminino",100,IF(Atletas!B205="Masculino",200,""))+(IF(Atletas!H205="Daoshu Mirim",19,IF(Atletas!H205="Jianshu Mirim",20,IF(Atletas!H205="Nandao Mirim",21,IF(Atletas!H205="Taijijian Mirim",22,IF(Atletas!H205="Daoshu Grupo C",23,IF(Atletas!H205="Jianshu Grupo C",24,IF(Atletas!H205="Nandao Grupo C",25,IF(Atletas!H205="Taijijian Grupo C",26,IF(Atletas!H205="Daoshu Grupo B",27,IF(Atletas!H205="Jianshu Grupo B",28,IF(Atletas!H205="Nandao Grupo B",29,IF(Atletas!H205="Taijijian Grupo B",30,IF(Atletas!H205="Daoshu Grupo A",31,IF(Atletas!H205="Jianshu Grupo A",32,IF(Atletas!H205="Nandao Grupo A",33,IF(Atletas!H205="Taijijian Grupo A",34,IF(Atletas!H205="Daoshu Opcional",35,IF(Atletas!H205="Jianshu Opcional",36,IF(Atletas!H205="Nandao Opcional",37,IF(Atletas!H205="Taijijian Opcional",38,IF(Atletas!H205="Daoshu Adulto",39,IF(Atletas!H205="Jianshu Adulto",40,IF(Atletas!H205="Nandao Adulto",41,IF(Atletas!H205="Taijijian Adulto",42,""))))))))))))))))))))))))))</f>
        <v/>
      </c>
      <c r="BA209" s="46" t="str">
        <f>IF(Atletas!I205="","",IF(Atletas!B205="Feminino",100,IF(Atletas!B205="Masculino",200,""))+(IF(Atletas!I205="Gunshu Mirim",43,IF(Atletas!I205="Qiangshu Mirim",44,IF(Atletas!I205="Nangun Mirim",45,IF(Atletas!I205="Gunshu Grupo C",46,IF(Atletas!I205="Qiangshu Grupo C",47,IF(Atletas!I205="Nangun Grupo C",48,IF(Atletas!I205="Gunshu Grupo B",49,IF(Atletas!I205="Qiangshu Grupo B",50,IF(Atletas!I205="Nangun Grupo B",51,IF(Atletas!I205="Gunshu Grupo A",52,IF(Atletas!I205="Qiangshu Grupo A",53,IF(Atletas!I205="Nangun Grupo A",54,IF(Atletas!I205="Gunshu Opcional",55,IF(Atletas!I205="Qiangshu Opcional",56,IF(Atletas!I205="Nangun Opcional",57,IF(Atletas!I205="Gunshu Adulto",58,IF(Atletas!I205="Qiangshu Adulto",59,IF(Atletas!I205="Nangun Adulto",60,""))))))))))))))))))))</f>
        <v/>
      </c>
      <c r="BF209" s="52" t="str">
        <f>IF(Atletas!J205="","",IF(Atletas!B205="Feminino",100,IF(Atletas!B205="Masculino",200,""))+(IF(Atletas!J205="Equipe 1 Grupo B",1,IF(Atletas!J205="Equipe 2 Grupo B",2,IF(Atletas!J205="Equipe 1 Grupo A",3,IF(Atletas!J205="Equipe 2 Grupo A",4,IF(Atletas!J205="Equipe 1 Adulto",5,IF(Atletas!J205="Equipe 2 Adulto",6,""))))))))</f>
        <v/>
      </c>
      <c r="BK209" s="52" t="str">
        <f>IF(Atletas!K205="","",IF(Atletas!W205&lt;&gt;"",10000,0)+(IF(Atletas!B205="Feminino",1000,IF(Atletas!B205="Masculino",2000,""))+IF(Atletas!K205="Choylayfut A",1,IF(Atletas!K205="Hunggar A",2,IF(Atletas!K205="Wuzuquan A",3,IF(Atletas!K205="Wingchun A",4,IF(Atletas!K205="Outra Mão de Sul A",5,IF(Atletas!K205="Choylayfut B",6,IF(Atletas!K205="Hunggar B",7,IF(Atletas!K205="Wuzuquan B",8,IF(Atletas!K205="Wingchun B",9,IF(Atletas!K205="Outra Mão de Sul B",10,IF(Atletas!K205="Choylayfut C",11,IF(Atletas!K205="Hunggar C",12,IF(Atletas!K205="Wuzuquan C",13,IF(Atletas!K205="Wingchun C",14,IF(Atletas!K205="Outra Mão de Sul C",15,IF(Atletas!K205="Choylayfut D",16,IF(Atletas!K205="Hunggar D",17,IF(Atletas!K205="Wuzuquan D",18,IF(Atletas!K205="Wingchun D",19,IF(Atletas!K205="Outra Mão de Sul D",20,IF(Atletas!K205="Choylayfut E",21,IF(Atletas!K205="Hunggar E",22,IF(Atletas!K205="Wuzuquan E",23,IF(Atletas!K205="Wingchun E",24,IF(Atletas!K205="Outra Mão de Sul E",25,IF(Atletas!K205="Choylayfut F",26,IF(Atletas!K205="Hunggar F",27,IF(Atletas!K205="Wuzuquan F",28,IF(Atletas!K205="Wingchun F",29,IF(Atletas!K205="Outra Mão de Sul F",30,""))))))))))))))))))))))))))))))))</f>
        <v/>
      </c>
      <c r="BL209" s="52" t="str">
        <f>IF(Atletas!L205="","",IF(Atletas!W205&lt;&gt;"",10000,0)+(IF(Atletas!B205="Feminino",1000,IF(Atletas!B205="Masculino",2000,""))+(IF(Atletas!L205="Chaquan A",101,IF(Atletas!L205="Emeiquan A",102,IF(Atletas!L205="Fanziquan A",103,IF(Atletas!L205="Huaquan A",104,IF(Atletas!L205="Hongquan A",105,IF(Atletas!L205="Paochui A",106,IF(Atletas!L205="Piguaquan A",107,IF(Atletas!L205="Shaolinquan A",108,IF(Atletas!L205="Tanglangquan A",109,IF(Atletas!L205="Yinzhaophai A",110,IF(Atletas!L205="Tongbeiquan A",111,IF(Atletas!L205="Wudangquan A",112,IF(Atletas!L205="Outros Estilos A",113,IF(Atletas!L205="Chaquan B",114,IF(Atletas!L205="Emeiquan B",115,IF(Atletas!L205="Fanziquan B",116,IF(Atletas!L205="Huaquan B",117,IF(Atletas!L205="Hongquan B",118,IF(Atletas!L205="Paochui B",119,IF(Atletas!L205="Piguaquan B",120,IF(Atletas!L205="Shaolinquan B",121,IF(Atletas!L205="Tanglangquan B",122,IF(Atletas!L205="Yinzhaophai B",123,IF(Atletas!L205="Tongbeiquan B",124,IF(Atletas!L205="Wudangquan B",125,IF(Atletas!L205="Outros Estilos B",126,IF(Atletas!L205="Chaquan C",127,IF(Atletas!L205="Emeiquan C",128,IF(Atletas!L205="Fanziquan C",129,IF(Atletas!L205="Huaquan C",130,IF(Atletas!L205="Hongquan C",131,IF(Atletas!L205="Paochui C",132,IF(Atletas!L205="Piguaquan C",133,IF(Atletas!L205="Shaolinquan C",134,IF(Atletas!L205="Tanglangquan C",135,IF(Atletas!L205="Yinzhaophai C",136,IF(Atletas!L205="Tongbeiquan C",137,IF(Atletas!L205="Wudangquan C",138,IF(Atletas!L205="Outros Estilos C",139,0))))))))))))))))))))))))))))))))))))))))))</f>
        <v/>
      </c>
      <c r="BM209" s="52" t="str">
        <f>IF(Atletas!L205="","",IF(Atletas!W205&lt;&gt;"",10000,0)+(IF(Atletas!B205="Feminino",1000,IF(Atletas!B205="Masculino",2000,""))+(IF(Atletas!L205="Chaquan D",140,IF(Atletas!L205="Emeiquan D",141,IF(Atletas!L205="Fanziquan D",142,IF(Atletas!L205="Huaquan D",143,IF(Atletas!L205="Hongquan D",144,IF(Atletas!L205="Paochui D",145,IF(Atletas!L205="Piguaquan D",146,IF(Atletas!L205="Shaolinquan D",147,IF(Atletas!L205="Tanglangquan D",148,IF(Atletas!L205="Yinzhaophai D",149,IF(Atletas!L205="Tongbeiquan D",150,IF(Atletas!L205="Wudangquan D",151,IF(Atletas!L205="Outros Estilos D",152,IF(Atletas!L205="Chaquan E",153,IF(Atletas!L205="Emeiquan E",154,IF(Atletas!L205="Fanziquan E",155,IF(Atletas!L205="Huaquan E",156,IF(Atletas!L205="Hongquan E",157,IF(Atletas!L205="Paochui E",158,IF(Atletas!L205="Piguaquan E",159,IF(Atletas!L205="Shaolinquan E",160,IF(Atletas!L205="Tanglangquan E",161,IF(Atletas!L205="Yinzhaophai E",162,IF(Atletas!L205="Tongbeiquan E",163,IF(Atletas!L205="Wudangquan E",164,IF(Atletas!L205="Outros Estilos E",165,IF(Atletas!L205="Chaquan F",166,IF(Atletas!L205="Emeiquan F",167,IF(Atletas!L205="Fanziquan F",168,IF(Atletas!L205="Huaquan F",169,IF(Atletas!L205="Hongquan F",170,IF(Atletas!L205="Paochui F",171,IF(Atletas!L205="Piguaquan F",172,IF(Atletas!L205="Shaolinquan F",173,IF(Atletas!L205="Tanglangquan F",174,IF(Atletas!L205="Yinzhaophai F",175,IF(Atletas!L205="Tongbeiquan F",176,IF(Atletas!L205="Wudangquan F",177,IF(Atletas!L205="Outros Estilos F",178,0))))))))))))))))))))))))))))))))))))))))))</f>
        <v/>
      </c>
      <c r="BN209" s="52" t="str">
        <f>IF(Atletas!M205="","",IF(Atletas!W205&lt;&gt;"",10000,0)+(IF(Atletas!B205="Feminino",1000,IF(Atletas!B205="Masculino",2000,""))+(IF(Atletas!M205="Ditangquan A",201,IF(Atletas!M205="Houquan A",202,IF(Atletas!M205="Zuiquan A",203,IF(Atletas!M205="Ditangquan B",204,IF(Atletas!M205="Houquan B",205,IF(Atletas!M205="Zuiquan B",206,IF(Atletas!M205="Ditangquan C",207,IF(Atletas!M205="Houquan C",208,IF(Atletas!M205="Zuiquan C",209,IF(Atletas!M205="Ditangquan D",210,IF(Atletas!M205="Houquan D",211,IF(Atletas!M205="Zuiquan D",212,IF(Atletas!M205="Ditangquan E",213,IF(Atletas!M205="Houquan E",214,IF(Atletas!M205="Zuiquan E",215,IF(Atletas!M205="Ditangquan F",216,IF(Atletas!M205="Houquan F",217,IF(Atletas!M205="Zuiquan F",218,"")))))))))))))))))))))</f>
        <v/>
      </c>
      <c r="BO209" s="52" t="str">
        <f>IF(Atletas!N205="","",IF(Atletas!W205&lt;&gt;"",10000,0)+IF(Atletas!B205="Feminino",1000,IF(Atletas!B205="Masculino",2000,""))+IF(Atletas!N205="Yang A",301,IF(Atletas!N205="Chen A",30,IF(Atletas!N205="Sun A",303,IF(Atletas!N205="Wu A",304,IF(Atletas!N205="Wu-Hao A",305,IF(Atletas!N205="Outro Taijiquan A",306,IF(Atletas!N205="Yang B",307,IF(Atletas!N205="Chen B",308,IF(Atletas!N205="Sun B",309,IF(Atletas!N205="Wu B",310,IF(Atletas!N205="Wu-Hao B",311,IF(Atletas!N205="Outro Taijiquan B",312,IF(Atletas!N205="Yang C",313,IF(Atletas!N205="Chen C",314,IF(Atletas!N205="Sun C",315,IF(Atletas!N205="Wu C",316,IF(Atletas!N205="Wu-Hao C",317,IF(Atletas!N205="Outro Taijiquan C",318,IF(Atletas!N205="Yang D",319,IF(Atletas!N205="Chen D",320,IF(Atletas!N205="Sun D",321,IF(Atletas!N205="Wu D",322,IF(Atletas!N205="Wu-Hao D",323,IF(Atletas!N205="Outro Taijiquan D",324,IF(Atletas!N205="Yang E",325,IF(Atletas!N205="Chen E",326,IF(Atletas!N205="Sun E",327,IF(Atletas!N205="Wu E",328,IF(Atletas!N205="Wu-Hao E",329,IF(Atletas!N205="Outro Taijiquan E",330,IF(Atletas!N205="Yang F",331,IF(Atletas!N205="Chen F",332,IF(Atletas!N205="Sun F",333,IF(Atletas!N205="Wu F",334,IF(Atletas!N205="Wu-Hao F",335,IF(Atletas!N205="Outro Taijiquan F",336,"")))))))))))))))))))))))))))))))))))))</f>
        <v/>
      </c>
      <c r="BP209" s="52" t="str">
        <f>IF(Atletas!O205="","",IF(Atletas!W205&lt;&gt;"",10000,0)+IF(Atletas!B205="Feminino",1000,IF(Atletas!B205="Masculino",2000,""))+IF(OR(Atletas!O205="Yang 26 A",Atletas!O205="Yang 40 A"),401,IF(OR(Atletas!O205="Chen 25 A",Atletas!O205="Chen 36 A",Atletas!O205="Chen 56 A"),402,IF(Atletas!O205="Sun 73 A",403,IF(Atletas!O205="Wu 45 A",404,IF(Atletas!O205="Wu-Hao 46 A",405,IF(OR(Atletas!O205="Taijiquan 16 A",Atletas!O205="Taijiquan 24 A",Atletas!O205="Taijiquan 32 A",Atletas!O205="Taijiquan 42 A"),406,IF(OR(Atletas!O205="Yang 26 B",Atletas!O205="Yang 40 B"),407,IF(OR(Atletas!O205="Chen 25 B",Atletas!O205="Chen 36 B",Atletas!O205="Chen 56 B"),408,IF(Atletas!O205="Sun 73 B",409,IF(Atletas!O205="Wu 45 B",410,IF(Atletas!O205="Wu-Hao 46 B",411,IF(OR(Atletas!O205="Taijiquan 16 B",Atletas!O205="Taijiquan 24 B",Atletas!O205="Taijiquan 32 B",Atletas!O205="Taijiquan 42 B"),412,IF(OR(Atletas!O205="Yang 26 C",Atletas!O205="Yang 40 C"),413,IF(OR(Atletas!O205="Chen 25 C",Atletas!O205="Chen 36 C",Atletas!O205="Chen 56 C"),414,IF(Atletas!O205="Sun 73 C",415,IF(Atletas!O205="Wu 45 C",416,IF(Atletas!O205="Wu-Hao 46 C",417,IF(OR(Atletas!O205="Taijiquan 16 C",Atletas!O205="Taijiquan 24 C",Atletas!O205="Taijiquan 32 C",Atletas!O205="Taijiquan 42 C"),418,0)))))))))))))))))))</f>
        <v/>
      </c>
      <c r="BQ209" s="52" t="str">
        <f>IF(Atletas!O205="","",IF(Atletas!W205&lt;&gt;"",10000,0)+IF(Atletas!B205="Feminino",1000,IF(Atletas!B205="Masculino",2000,""))+IF(OR(Atletas!O205="Yang 26 D",Atletas!O205="Yang 40 D"),419,IF(OR(Atletas!O205="Chen 25 D",Atletas!O205="Chen 36 D",Atletas!O205="Chen 56 D"),420,IF(Atletas!O205="Sun 73 D",421,IF(Atletas!O205="Wu 45 D",422,IF(Atletas!O205="Wu-Hao 46 D",423,IF(OR(Atletas!O205="Taijiquan 16 D",Atletas!O205="Taijiquan 24 D",Atletas!O205="Taijiquan 32 D",Atletas!O205="Taijiquan 42 D"),424,IF(OR(Atletas!O205="Yang 26 E",Atletas!O205="Yang 40 E"),425,IF(OR(Atletas!O205="Chen 25 E",Atletas!O205="Chen 36 E",Atletas!O205="Chen 56 E"),426,IF(Atletas!O205="Sun 73 E",427,IF(Atletas!O205="Wu 45 E",428,IF(Atletas!O205="Wu-Hao 46 E",429,IF(OR(Atletas!O205="Taijiquan 16 E",Atletas!O205="Taijiquan 24 E",Atletas!O205="Taijiquan 32 E",Atletas!O205="Taijiquan 42 E"),430,IF(OR(Atletas!O205="Yang 26 F",Atletas!O205="Yang 40 F"),431,IF(OR(Atletas!O205="Chen 25 F",Atletas!O205="Chen 36 F",Atletas!O205="Chen 56 F"),432,IF(Atletas!O205="Sun 73 F",433,IF(Atletas!O205="Wu 45 F",434,IF(Atletas!O205="Wu-Hao 46 F",435,IF(OR(Atletas!O205="Taijiquan 16 F",Atletas!O205="Taijiquan 24 F",Atletas!O205="Taijiquan 32 F",Atletas!O205="Taijiquan 42 F"),436,0)))))))))))))))))))</f>
        <v/>
      </c>
      <c r="BR209" s="52" t="str">
        <f>IF(Atletas!P205="","",IF(Atletas!W205&lt;&gt;"",10000,0)+IF(Atletas!B205="Feminino",1000,IF(Atletas!B205="Masculino",2000,""))+IF(Atletas!P205="Xingyiquan A",501,IF(Atletas!P205="Baguazhang A",502,IF(Atletas!P205="Outro Estilo Interno A",503,IF(Atletas!P205="Xingyiquan B",504,IF(Atletas!P205="Baguazhang B",505,IF(Atletas!P205="Outro Estilo Interno B",506,IF(Atletas!P205="Xingyiquan C",507,IF(Atletas!P205="Baguazhang C",508,IF(Atletas!P205="Outro Estilo Interno C",509,IF(Atletas!P205="Xingyiquan D",510,IF(Atletas!P205="Baguazhang D",511,IF(Atletas!P205="Outro Estilo Interno D",512,IF(Atletas!P205="Xingyiquan E",513,IF(Atletas!P205="Baguazhang E",514,IF(Atletas!P205="Outro Estilo Interno E",515,IF(Atletas!P205="Xingyiquan F",516,IF(Atletas!P205="Baguazhang F",517,IF(Atletas!P205="Outro Estilo Interno F",518, "")))))))))))))))))))</f>
        <v/>
      </c>
      <c r="BS209" s="52" t="str">
        <f>IF(Atletas!Q205="","",IF(Atletas!W205&lt;&gt;"",10000,0)+IF(Atletas!B205="Feminino",1000,IF(Atletas!B205="Masculino",2000,""))+IF(Atletas!Q205="Dao A",601,IF(Atletas!Q205="Jian A",602,IF(Atletas!Q205="Bishou A",603,IF(Atletas!Q205="Shan A",604,IF(Atletas!Q205="Outra Arma Curta A",605,IF(Atletas!Q205="Dao B",606,IF(Atletas!Q205="Jian B",607,IF(Atletas!Q205="Bishou B",608,IF(Atletas!Q205="Shan B",609,IF(Atletas!Q205="Outra Arma Curta B",610,IF(Atletas!Q205="Dao C",611,IF(Atletas!Q205="Jian C",612,IF(Atletas!Q205="Bishou C",613,IF(Atletas!Q205="Shan C",614,IF(Atletas!Q205="Outra Arma Curta C",615,IF(Atletas!Q205="Dao D",616,IF(Atletas!Q205="Jian D",617,IF(Atletas!Q205="Bishou D",618,IF(Atletas!Q205="Shan D",619,IF(Atletas!Q205="Outra Arma Curta D",620,IF(Atletas!Q205="Dao E",621,IF(Atletas!Q205="Jian E",622,IF(Atletas!Q205="Bishou E",623,IF(Atletas!Q205="Shan E",624,IF(Atletas!Q205="Outra Arma Curta E",625,IF(Atletas!Q205="Dao F",626,IF(Atletas!Q205="Jian F",627,IF(Atletas!Q205="Bishou F",628,IF(Atletas!Q205="Shan F",629,IF(Atletas!Q205="Outra Arma Curta F",630, "")))))))))))))))))))))))))))))))</f>
        <v/>
      </c>
      <c r="BT209" s="52" t="str">
        <f>IF(Atletas!R205="","",IF(Atletas!W205&lt;&gt;"",10000,0)+IF(Atletas!B205="Feminino",1000,IF(Atletas!B205="Masculino",2000,""))+IF(Atletas!R205="Gun A",701,IF(Atletas!R205="Qiang A",702,IF(Atletas!R205="Pudao / Guandao A",703,IF(Atletas!R205="Outra Arma Longa A",704,IF(Atletas!R205="Gun B",705,IF(Atletas!R205="Qiang B",706,IF(Atletas!R205="Pudao / Guandao B",707,IF(Atletas!R205="Outra Arma Longa B",708,IF(Atletas!R205="Gun C",709,IF(Atletas!R205="Qiang C",710,IF(Atletas!R205="Pudao / Guandao C",711,IF(Atletas!R205="Outra Arma Longa C",712,IF(Atletas!R205="Gun D",713,IF(Atletas!R205="Qiang D",714,IF(Atletas!R205="Pudao / Guandao D",715,IF(Atletas!R205="Outra Arma Longa D",716,IF(Atletas!R205="Gun E",717,IF(Atletas!R205="Qiang E",718,IF(Atletas!R205="Pudao / Guandao E",719,IF(Atletas!R205="Outra Arma Longa E",720,IF(Atletas!R205="Gun F",721,IF(Atletas!R205="Qiang F",722,IF(Atletas!R205="Pudao / Guandao F",723,IF(Atletas!R205="Outra Arma Longa F",724,"")))))))))))))))))))))))))</f>
        <v/>
      </c>
      <c r="BU209" s="52" t="str">
        <f>IF(Atletas!S205="","",IF(Atletas!W205&lt;&gt;"",10000,0)+IF(Atletas!B205="Feminino",1000,IF(Atletas!B205="Masculino",2000,""))+IF(Atletas!S205="Arma Dupla A",801,IF(Atletas!S205="Arma Maleável A",802,IF(Atletas!S205="Arma Dupla B",803,IF(Atletas!S205="Arma Maleável B",804,IF(Atletas!S205="Arma Dupla C",805,IF(Atletas!S205="Arma Maleável C",806,IF(Atletas!S205="Arma Dupla D",807,IF(Atletas!S205="Arma Maleável D",808,IF(Atletas!S205="Arma Dupla E",809,IF(Atletas!S205="Arma Maleável E",810,IF(Atletas!S205="Arma Dupla F",811,IF(Atletas!S205="Arma Maleável F",812, "")))))))))))))</f>
        <v/>
      </c>
      <c r="BV209" s="52" t="str">
        <f>IF(Atletas!T205="","",IF(Atletas!W205&lt;&gt;"",10000,0)+IF(Atletas!B205="Feminino",1000,IF(Atletas!B205="Masculino",2000,""))+IF(Atletas!T205="Taijijian Yang A",901,IF(Atletas!T205="Taijijian Chen A",902,IF(Atletas!T205="Taijijian Sun A",903,IF(Atletas!T205="Taijijian Wu A",904,IF(Atletas!T205="Taijijian Wu-Hao A",905,IF(Atletas!T205="Taijijian 32 A",906,IF(Atletas!T205="Taijijian 42 A",907,IF(Atletas!T205="Taijijian Yang B",908,IF(Atletas!T205="Taijijian Chen B",909,IF(Atletas!T205="Taijijian Sun B",910,IF(Atletas!T205="Taijijian Wu B",911,IF(Atletas!T205="Taijijian Wu-Hao B",912,IF(Atletas!T205="Taijijian 32 B",913,IF(Atletas!T205="Taijijian 42 B",914,IF(Atletas!T205="Taijijian Yang C",915,IF(Atletas!T205="Taijijian Chen C",916,IF(Atletas!T205="Taijijian Sun C",917,IF(Atletas!T205="Taijijian Wu C",918,IF(Atletas!T205="Taijijian Wu-Hao C",919,IF(Atletas!T205="Taijijian 32 C",920,IF(Atletas!T205="Taijijian 42 C",921,IF(Atletas!T205="Taijijian Yang D",922,IF(Atletas!T205="Taijijian Chen D",923,IF(Atletas!T205="Taijijian Sun D",924,IF(Atletas!T205="Taijijian Wu D",925,IF(Atletas!T205="Taijijian Wu-Hao D",926,IF(Atletas!T205="Taijijian 32 D",927,IF(Atletas!T205="Taijijian 42 D",928,IF(Atletas!T205="Taijijian Yang E",929,IF(Atletas!T205="Taijijian Chen E",930,IF(Atletas!T205="Taijijian Sun E",931,IF(Atletas!T205="Taijijian Wu E",932,IF(Atletas!T205="Taijijian Wu-Hao E",933,IF(Atletas!T205="Taijijian 32 E",934,IF(Atletas!T205="Taijijian 42 E",935,IF(Atletas!T205="Taijijian Yang F",936,IF(Atletas!T205="Taijijian Chen F",937,IF(Atletas!T205="Taijijian Sun F",938,IF(Atletas!T205="Taijijian Wu F",939,IF(Atletas!T205="Taijijian Wu-Hao F",940,IF(Atletas!T205="Taijijian 32 F",941,IF(Atletas!T205="Taijijian 42 F",942,"")))))))))))))))))))))))))))))))))))))))))))</f>
        <v/>
      </c>
      <c r="BW209" s="52" t="str">
        <f>IF(Atletas!U205="","",IF(Atletas!W205&lt;&gt;"",10000,0)+IF(Atletas!B205="Feminino",1000,IF(Atletas!B205="Masculino",2000,""))+IF(Atletas!T205="Taijijian 42 F",942,IF(Atletas!U205="Taijidao A",943,IF(Atletas!U205="Taijishan A",944,IF(Atletas!U205="Taijiqiang A",945,IF(Atletas!U205="Taijidao B",946,IF(Atletas!U205="Taijishan B",947,IF(Atletas!U205="Taijiqiang B",948,IF(Atletas!U205="Taijidao C",949,IF(Atletas!U205="Taijishan C",950,IF(Atletas!U205="Taijiqiang C",951,IF(Atletas!U205="Taijidao D",952,IF(Atletas!U205="Taijishan D",953,IF(Atletas!U205="Taijiqiang D",954,IF(Atletas!U205="Taijidao E",955,IF(Atletas!U205="Taijishan E",956,IF(Atletas!U205="Taijiqiang E",957,IF(Atletas!U205="Taijidao F",958,IF(Atletas!U205="Taijishan F",959,IF(Atletas!U205="Taijiqiang F",960))))))))))))))))))))</f>
        <v/>
      </c>
      <c r="BX209" s="72" t="str">
        <f>IF(BY209&lt;&gt;"","Baguazhang B ","")</f>
        <v/>
      </c>
      <c r="BY209" s="72" t="str">
        <f>IF(COUNTIF(BK:BW,1505)&gt;0,COUNTIF(BK:BW,1505),"")</f>
        <v/>
      </c>
      <c r="BZ209" s="72" t="str">
        <f>IF(CA209&lt;&gt;"","Baguazhang B ","")</f>
        <v/>
      </c>
      <c r="CA209" s="72" t="str">
        <f>IF(COUNTIF(BK:BW,2505)&gt;0,COUNTIF(BK:BW,2505),"")</f>
        <v/>
      </c>
      <c r="CB209" s="72" t="str">
        <f>IF(CC209&lt;&gt;"","Taijiquan 32 D","")</f>
        <v/>
      </c>
      <c r="CC209" s="64" t="str">
        <f>IF(COUNTIF(BK:BW,11441)&gt;0,COUNTIF(BK:BW,11441),"")</f>
        <v/>
      </c>
      <c r="CD209" s="64" t="str">
        <f>IF(CE209&lt;&gt;"","Taijiquan 32 D","")</f>
        <v/>
      </c>
      <c r="CE209" s="64" t="str">
        <f>IF(COUNTIF(BK:BW,12441)&gt;0,COUNTIF(BK:BW,12441),"")</f>
        <v/>
      </c>
      <c r="CF209" s="52" t="str">
        <f xml:space="preserve"> IF(Atletas!V205="","",IF(Atletas!V205="Duilian de Mãos AB - Equipe 1",1,IF(Atletas!V205="Duilian de Mãos AB - Equipe 2",2,IF(Atletas!V205="Duilian de Armas AB - Equipe 1",3,IF(Atletas!V205="Duilian de Armas AB - Equipe 2",4,IF(Atletas!V205="Duilian de Tuishou - Equipe 1",5,IF(Atletas!V205="Duilian de Tuishou - Equipe 2",6,IF(Atletas!V205="Grupo Externo AB - Equipe 1",7,IF(Atletas!V205="Grupo Externo AB - Equipe 2",8,IF(Atletas!V205="Grupo Interno AB - Equipe 1",9,IF(Atletas!V205="Grupo Interno AB - Equipe 2",10,IF(Atletas!V205="Duilian de Mãos CD - Equipe 1",11,IF(Atletas!V205="Duilian de Mãos CD - Equipe 2",12,IF(Atletas!V205="Duilian de Armas CD - Equipe 1",13,IF(Atletas!V205="Duilian de Armas CD - Equipe 2",14,IF(Atletas!V205="Duilian de Tuishou - Equipe 1",15,IF(Atletas!V205="Duilian de Tuishou - Equipe 2",16,IF(Atletas!V205="Grupo Externo CDEF - Equipe 1",17,IF(Atletas!V205="Grupo Externo CDEF - Equipe 2",18,IF(Atletas!V205="Grupo Interno CDEF - Equipe 1",19,IF(Atletas!V205="Grupo Interno CDEF - Equipe 2",20,IF(Atletas!V205="Duilian de Mãos EF - Equipe 1",21,IF(Atletas!V205="Duilian de Mãos EF - Equipe 2",22,IF(Atletas!V205="Duilian de Armas EF - Equipe 1",23,IF(Atletas!V205="Duilian de Armas EF - Equipe 2",24,IF(Atletas!V205="Duilian de Tuishou - Equipe 1",25,IF(Atletas!V205="Duilian de Tuishou - Equipe 2",26,"")))))))))))))))))))))))))))</f>
        <v/>
      </c>
    </row>
    <row r="210" spans="2:84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 t="str">
        <f t="array" ref="V210">IFERROR(INDEX(BX$7:BX$336,SMALL(IF(BX$7:BX$336&lt;&gt;"",ROW(BX$7:BX$336)-ROW(BX$7)+1),ROWS(BX$7:BX204))),"")</f>
        <v/>
      </c>
      <c r="W210" s="4" t="str">
        <f t="array" ref="W210">IFERROR(INDEX(BY$7:BY$336,SMALL(IF(BY$7:BY$336&lt;&gt;"",ROW(BY$7:BY$336)-ROW(BY$7)+1),ROWS(BY$7:BY204))),"")</f>
        <v/>
      </c>
      <c r="X210" s="4" t="str">
        <f t="array" ref="X210">IFERROR(INDEX(BZ$7:BZ$336,SMALL(IF(BZ$7:BZ$336&lt;&gt;"",ROW(BZ$7:BZ$336)-ROW(BZ$7)+1),ROWS(BZ$7:BZ204))),"")</f>
        <v/>
      </c>
      <c r="Y210" s="4" t="str">
        <f t="array" ref="Y210">IFERROR(INDEX(CA$7:CA$336,SMALL(IF(CA$7:CA$336&lt;&gt;"",ROW(CA$7:CA$336)-ROW(CA$7)+1),ROWS(CA$7:CA204))),"")</f>
        <v/>
      </c>
      <c r="Z210" s="4" t="str">
        <f t="array" ref="Z210">IFERROR(INDEX(CB$7:CB$378,SMALL(IF(CB$7:CB$378&lt;&gt;"",ROW(CB$7:CB$378)-ROW(CB$7)+1),ROWS(CB$7:CB209))),"")</f>
        <v/>
      </c>
      <c r="AA210" s="4" t="str">
        <f t="array" ref="AA210">IFERROR(INDEX(CC$7:CC$378,SMALL(IF(CC$7:CC$378&lt;&gt;"",ROW(CC$7:CC$378)-ROW(CC$7)+1),ROWS(CC$7:CC209))),"")</f>
        <v/>
      </c>
      <c r="AB210" s="4" t="str">
        <f t="array" ref="AB210">IFERROR(INDEX(CD$7:CD$378,SMALL(IF(CD$7:CD$378&lt;&gt;"",ROW(CD$7:CD$378)-ROW(CD$7)+1),ROWS(CD$7:CD209))),"")</f>
        <v/>
      </c>
      <c r="AC210" s="4" t="str">
        <f t="array" ref="AC210">IFERROR(INDEX(CE$7:CE$378,SMALL(IF(CE$7:CE$378&lt;&gt;"",ROW(CE$7:CE$378)-ROW(CE$7)+1),ROWS(CE$7:CE209))),"")</f>
        <v/>
      </c>
      <c r="AD210" s="4"/>
      <c r="AE210" s="4"/>
      <c r="AF210" s="4"/>
      <c r="AG210" s="4"/>
      <c r="AH210" s="4"/>
      <c r="AI210" s="4"/>
      <c r="AJ210" s="46" t="str">
        <f>IF(Atletas!D206="","",IF(Atletas!B206="Feminino",100,IF(Atletas!B206="Masculino",200,""))+(IF(Atletas!D206="Infantil 39kg",1,IF(Atletas!D206="Infantil 42kg",2,IF(Atletas!D206="Infantil 45kg",3,IF(Atletas!D206="Infantil 48kg",4,IF(Atletas!D206="Infantil 52kg",5,IF(Atletas!D206="Infantil 56kg",6,IF(Atletas!D206="Infantil 60kg",7,IF(Atletas!D206="Juvenil 48kg",8,IF(Atletas!D206="Juvenil 52kg",9,IF(Atletas!D206="Juvenil 56kg",10,IF(Atletas!D206="Juvenil 60kg",11,IF(Atletas!D206="Juvenil 65kg",12,IF(Atletas!D206="Juvenil 70kg",13,IF(Atletas!D206="Juvenil 75kg",14,IF(Atletas!D206="Juvenil 80kg",15,IF(Atletas!D206="Adulto 48kg",16,IF(Atletas!D206="Adulto 52kg",17,IF(Atletas!D206="Adulto 56kg",18,IF(Atletas!D206="Adulto 60kg",19,IF(Atletas!D206="Adulto 65kg",20,IF(Atletas!D206="Adulto 70kg",21,IF(Atletas!D206="Adulto 75kg",22,IF(Atletas!D206="Adulto 80kg",23,IF(Atletas!D206="Adulto 85kg",24,IF(Atletas!D206="Adulto 90kg",25,IF(Atletas!D206="Adulto +90kg",26,""))))))))))))))))))))))))))))</f>
        <v/>
      </c>
      <c r="AO210" s="10" t="str">
        <f>IF(Atletas!E206="","",IF(Atletas!B206="Feminino",100,IF(Atletas!B206="Masculino",200,""))+(IF(Atletas!E206="Juvenil 44kg",1,IF(Atletas!E206="Juvenil 48kg",2,IF(Atletas!E206="Juvenil 52kg",3,IF(Atletas!E206="Juvenil 56kg",4,IF(Atletas!E206="Juvenil 60kg",5,IF(Atletas!E206="Juvenil 65kg",6,IF(Atletas!E206="Juvenil 70kg",7,IF(Atletas!E206="Juvenil 75kg",8,IF(Atletas!E206="Juvenil 82kg",9,IF(Atletas!E206="Juvenil 90kg",10,IF(Atletas!E206="Juvenil 100kg",11,IF(Atletas!E206="Adulto 48kg",12,IF(Atletas!E206="Adulto 52kg",13,IF(Atletas!E206="Adulto 56kg",14,IF(Atletas!E206="Adulto 60kg",15,IF(Atletas!E206="Adulto 65kg",16,IF(Atletas!E206="Adulto 70kg",17,IF(Atletas!E206="Adulto 75kg",18,IF(Atletas!E206="Adulto 82kg",19,IF(Atletas!E206="Adulto 90kg",20,IF(Atletas!E206="Adulto 100kg",21,IF(Atletas!E206="Adulto +100kg",22,""))))))))))))))))))))))))</f>
        <v/>
      </c>
      <c r="AT210" s="10" t="str">
        <f>IF(Atletas!F206="","",IF(Atletas!B206="Feminino",100,IF(Atletas!B206="Masculino",200,""))+(IF(Atletas!F206="Adulto 48kg",1,IF(Atletas!F206="Adulto 56kg",2,IF(Atletas!F206="Adulto 65kg",3,IF(Atletas!F206="Adulto 75kg",4,IF(Atletas!F206="Adulto +75kg",5,IF(Atletas!F206="Adulto 52kg",6,IF(Atletas!F206="Adulto 60kg",7,IF(Atletas!F206="Adulto 70kg",8,IF(Atletas!F206="Adulto 80kg",9,IF(Atletas!F206="Adulto 90kg",10,IF(Atletas!F206="Adulto +90kg",11,"")))))))))))))</f>
        <v/>
      </c>
      <c r="AY210" s="46" t="str">
        <f>IF(Atletas!G206="","",IF(Atletas!B206="Feminino",100,IF(Atletas!B206="Masculino",200,""))+(IF(Atletas!G206="Changquan Mirim",1,IF(Atletas!G206="Nanquan Mirim",2,IF(Atletas!G206="Taijiquan Mirim",3,IF(Atletas!G206="Changquan Grupo C",4,IF(Atletas!G206="Nanquan Grupo C",5,IF(Atletas!G206="Taijiquan Grupo C",6,IF(Atletas!G206="Changquan Grupo B",7,IF(Atletas!G206="Nanquan Grupo B",8,IF(Atletas!G206="Taijiquan Grupo B",9,IF(Atletas!G206="Changquan Grupo A",10,IF(Atletas!G206="Nanquan Grupo A",11,IF(Atletas!G206="Taijiquan Grupo A",12,IF(Atletas!G206="Changquan Opcional",13,IF(Atletas!G206="Nanquan Opcional",14,IF(Atletas!G206="Taijiquan Opcional",15,IF(Atletas!G206="Changquan Adulto",16,IF(Atletas!G206="Nanquan Adulto",17,IF(Atletas!G206="Taijiquan Adulto",18,""))))))))))))))))))))</f>
        <v/>
      </c>
      <c r="AZ210" s="46" t="str">
        <f>IF(Atletas!H206="","",IF(Atletas!B206="Feminino",100,IF(Atletas!B206="Masculino",200,""))+(IF(Atletas!H206="Daoshu Mirim",19,IF(Atletas!H206="Jianshu Mirim",20,IF(Atletas!H206="Nandao Mirim",21,IF(Atletas!H206="Taijijian Mirim",22,IF(Atletas!H206="Daoshu Grupo C",23,IF(Atletas!H206="Jianshu Grupo C",24,IF(Atletas!H206="Nandao Grupo C",25,IF(Atletas!H206="Taijijian Grupo C",26,IF(Atletas!H206="Daoshu Grupo B",27,IF(Atletas!H206="Jianshu Grupo B",28,IF(Atletas!H206="Nandao Grupo B",29,IF(Atletas!H206="Taijijian Grupo B",30,IF(Atletas!H206="Daoshu Grupo A",31,IF(Atletas!H206="Jianshu Grupo A",32,IF(Atletas!H206="Nandao Grupo A",33,IF(Atletas!H206="Taijijian Grupo A",34,IF(Atletas!H206="Daoshu Opcional",35,IF(Atletas!H206="Jianshu Opcional",36,IF(Atletas!H206="Nandao Opcional",37,IF(Atletas!H206="Taijijian Opcional",38,IF(Atletas!H206="Daoshu Adulto",39,IF(Atletas!H206="Jianshu Adulto",40,IF(Atletas!H206="Nandao Adulto",41,IF(Atletas!H206="Taijijian Adulto",42,""))))))))))))))))))))))))))</f>
        <v/>
      </c>
      <c r="BA210" s="46" t="str">
        <f>IF(Atletas!I206="","",IF(Atletas!B206="Feminino",100,IF(Atletas!B206="Masculino",200,""))+(IF(Atletas!I206="Gunshu Mirim",43,IF(Atletas!I206="Qiangshu Mirim",44,IF(Atletas!I206="Nangun Mirim",45,IF(Atletas!I206="Gunshu Grupo C",46,IF(Atletas!I206="Qiangshu Grupo C",47,IF(Atletas!I206="Nangun Grupo C",48,IF(Atletas!I206="Gunshu Grupo B",49,IF(Atletas!I206="Qiangshu Grupo B",50,IF(Atletas!I206="Nangun Grupo B",51,IF(Atletas!I206="Gunshu Grupo A",52,IF(Atletas!I206="Qiangshu Grupo A",53,IF(Atletas!I206="Nangun Grupo A",54,IF(Atletas!I206="Gunshu Opcional",55,IF(Atletas!I206="Qiangshu Opcional",56,IF(Atletas!I206="Nangun Opcional",57,IF(Atletas!I206="Gunshu Adulto",58,IF(Atletas!I206="Qiangshu Adulto",59,IF(Atletas!I206="Nangun Adulto",60,""))))))))))))))))))))</f>
        <v/>
      </c>
      <c r="BF210" s="52" t="str">
        <f>IF(Atletas!J206="","",IF(Atletas!B206="Feminino",100,IF(Atletas!B206="Masculino",200,""))+(IF(Atletas!J206="Equipe 1 Grupo B",1,IF(Atletas!J206="Equipe 2 Grupo B",2,IF(Atletas!J206="Equipe 1 Grupo A",3,IF(Atletas!J206="Equipe 2 Grupo A",4,IF(Atletas!J206="Equipe 1 Adulto",5,IF(Atletas!J206="Equipe 2 Adulto",6,""))))))))</f>
        <v/>
      </c>
      <c r="BK210" s="52" t="str">
        <f>IF(Atletas!K206="","",IF(Atletas!W206&lt;&gt;"",10000,0)+(IF(Atletas!B206="Feminino",1000,IF(Atletas!B206="Masculino",2000,""))+IF(Atletas!K206="Choylayfut A",1,IF(Atletas!K206="Hunggar A",2,IF(Atletas!K206="Wuzuquan A",3,IF(Atletas!K206="Wingchun A",4,IF(Atletas!K206="Outra Mão de Sul A",5,IF(Atletas!K206="Choylayfut B",6,IF(Atletas!K206="Hunggar B",7,IF(Atletas!K206="Wuzuquan B",8,IF(Atletas!K206="Wingchun B",9,IF(Atletas!K206="Outra Mão de Sul B",10,IF(Atletas!K206="Choylayfut C",11,IF(Atletas!K206="Hunggar C",12,IF(Atletas!K206="Wuzuquan C",13,IF(Atletas!K206="Wingchun C",14,IF(Atletas!K206="Outra Mão de Sul C",15,IF(Atletas!K206="Choylayfut D",16,IF(Atletas!K206="Hunggar D",17,IF(Atletas!K206="Wuzuquan D",18,IF(Atletas!K206="Wingchun D",19,IF(Atletas!K206="Outra Mão de Sul D",20,IF(Atletas!K206="Choylayfut E",21,IF(Atletas!K206="Hunggar E",22,IF(Atletas!K206="Wuzuquan E",23,IF(Atletas!K206="Wingchun E",24,IF(Atletas!K206="Outra Mão de Sul E",25,IF(Atletas!K206="Choylayfut F",26,IF(Atletas!K206="Hunggar F",27,IF(Atletas!K206="Wuzuquan F",28,IF(Atletas!K206="Wingchun F",29,IF(Atletas!K206="Outra Mão de Sul F",30,""))))))))))))))))))))))))))))))))</f>
        <v/>
      </c>
      <c r="BL210" s="52" t="str">
        <f>IF(Atletas!L206="","",IF(Atletas!W206&lt;&gt;"",10000,0)+(IF(Atletas!B206="Feminino",1000,IF(Atletas!B206="Masculino",2000,""))+(IF(Atletas!L206="Chaquan A",101,IF(Atletas!L206="Emeiquan A",102,IF(Atletas!L206="Fanziquan A",103,IF(Atletas!L206="Huaquan A",104,IF(Atletas!L206="Hongquan A",105,IF(Atletas!L206="Paochui A",106,IF(Atletas!L206="Piguaquan A",107,IF(Atletas!L206="Shaolinquan A",108,IF(Atletas!L206="Tanglangquan A",109,IF(Atletas!L206="Yinzhaophai A",110,IF(Atletas!L206="Tongbeiquan A",111,IF(Atletas!L206="Wudangquan A",112,IF(Atletas!L206="Outros Estilos A",113,IF(Atletas!L206="Chaquan B",114,IF(Atletas!L206="Emeiquan B",115,IF(Atletas!L206="Fanziquan B",116,IF(Atletas!L206="Huaquan B",117,IF(Atletas!L206="Hongquan B",118,IF(Atletas!L206="Paochui B",119,IF(Atletas!L206="Piguaquan B",120,IF(Atletas!L206="Shaolinquan B",121,IF(Atletas!L206="Tanglangquan B",122,IF(Atletas!L206="Yinzhaophai B",123,IF(Atletas!L206="Tongbeiquan B",124,IF(Atletas!L206="Wudangquan B",125,IF(Atletas!L206="Outros Estilos B",126,IF(Atletas!L206="Chaquan C",127,IF(Atletas!L206="Emeiquan C",128,IF(Atletas!L206="Fanziquan C",129,IF(Atletas!L206="Huaquan C",130,IF(Atletas!L206="Hongquan C",131,IF(Atletas!L206="Paochui C",132,IF(Atletas!L206="Piguaquan C",133,IF(Atletas!L206="Shaolinquan C",134,IF(Atletas!L206="Tanglangquan C",135,IF(Atletas!L206="Yinzhaophai C",136,IF(Atletas!L206="Tongbeiquan C",137,IF(Atletas!L206="Wudangquan C",138,IF(Atletas!L206="Outros Estilos C",139,0))))))))))))))))))))))))))))))))))))))))))</f>
        <v/>
      </c>
      <c r="BM210" s="52" t="str">
        <f>IF(Atletas!L206="","",IF(Atletas!W206&lt;&gt;"",10000,0)+(IF(Atletas!B206="Feminino",1000,IF(Atletas!B206="Masculino",2000,""))+(IF(Atletas!L206="Chaquan D",140,IF(Atletas!L206="Emeiquan D",141,IF(Atletas!L206="Fanziquan D",142,IF(Atletas!L206="Huaquan D",143,IF(Atletas!L206="Hongquan D",144,IF(Atletas!L206="Paochui D",145,IF(Atletas!L206="Piguaquan D",146,IF(Atletas!L206="Shaolinquan D",147,IF(Atletas!L206="Tanglangquan D",148,IF(Atletas!L206="Yinzhaophai D",149,IF(Atletas!L206="Tongbeiquan D",150,IF(Atletas!L206="Wudangquan D",151,IF(Atletas!L206="Outros Estilos D",152,IF(Atletas!L206="Chaquan E",153,IF(Atletas!L206="Emeiquan E",154,IF(Atletas!L206="Fanziquan E",155,IF(Atletas!L206="Huaquan E",156,IF(Atletas!L206="Hongquan E",157,IF(Atletas!L206="Paochui E",158,IF(Atletas!L206="Piguaquan E",159,IF(Atletas!L206="Shaolinquan E",160,IF(Atletas!L206="Tanglangquan E",161,IF(Atletas!L206="Yinzhaophai E",162,IF(Atletas!L206="Tongbeiquan E",163,IF(Atletas!L206="Wudangquan E",164,IF(Atletas!L206="Outros Estilos E",165,IF(Atletas!L206="Chaquan F",166,IF(Atletas!L206="Emeiquan F",167,IF(Atletas!L206="Fanziquan F",168,IF(Atletas!L206="Huaquan F",169,IF(Atletas!L206="Hongquan F",170,IF(Atletas!L206="Paochui F",171,IF(Atletas!L206="Piguaquan F",172,IF(Atletas!L206="Shaolinquan F",173,IF(Atletas!L206="Tanglangquan F",174,IF(Atletas!L206="Yinzhaophai F",175,IF(Atletas!L206="Tongbeiquan F",176,IF(Atletas!L206="Wudangquan F",177,IF(Atletas!L206="Outros Estilos F",178,0))))))))))))))))))))))))))))))))))))))))))</f>
        <v/>
      </c>
      <c r="BN210" s="52" t="str">
        <f>IF(Atletas!M206="","",IF(Atletas!W206&lt;&gt;"",10000,0)+(IF(Atletas!B206="Feminino",1000,IF(Atletas!B206="Masculino",2000,""))+(IF(Atletas!M206="Ditangquan A",201,IF(Atletas!M206="Houquan A",202,IF(Atletas!M206="Zuiquan A",203,IF(Atletas!M206="Ditangquan B",204,IF(Atletas!M206="Houquan B",205,IF(Atletas!M206="Zuiquan B",206,IF(Atletas!M206="Ditangquan C",207,IF(Atletas!M206="Houquan C",208,IF(Atletas!M206="Zuiquan C",209,IF(Atletas!M206="Ditangquan D",210,IF(Atletas!M206="Houquan D",211,IF(Atletas!M206="Zuiquan D",212,IF(Atletas!M206="Ditangquan E",213,IF(Atletas!M206="Houquan E",214,IF(Atletas!M206="Zuiquan E",215,IF(Atletas!M206="Ditangquan F",216,IF(Atletas!M206="Houquan F",217,IF(Atletas!M206="Zuiquan F",218,"")))))))))))))))))))))</f>
        <v/>
      </c>
      <c r="BO210" s="52" t="str">
        <f>IF(Atletas!N206="","",IF(Atletas!W206&lt;&gt;"",10000,0)+IF(Atletas!B206="Feminino",1000,IF(Atletas!B206="Masculino",2000,""))+IF(Atletas!N206="Yang A",301,IF(Atletas!N206="Chen A",30,IF(Atletas!N206="Sun A",303,IF(Atletas!N206="Wu A",304,IF(Atletas!N206="Wu-Hao A",305,IF(Atletas!N206="Outro Taijiquan A",306,IF(Atletas!N206="Yang B",307,IF(Atletas!N206="Chen B",308,IF(Atletas!N206="Sun B",309,IF(Atletas!N206="Wu B",310,IF(Atletas!N206="Wu-Hao B",311,IF(Atletas!N206="Outro Taijiquan B",312,IF(Atletas!N206="Yang C",313,IF(Atletas!N206="Chen C",314,IF(Atletas!N206="Sun C",315,IF(Atletas!N206="Wu C",316,IF(Atletas!N206="Wu-Hao C",317,IF(Atletas!N206="Outro Taijiquan C",318,IF(Atletas!N206="Yang D",319,IF(Atletas!N206="Chen D",320,IF(Atletas!N206="Sun D",321,IF(Atletas!N206="Wu D",322,IF(Atletas!N206="Wu-Hao D",323,IF(Atletas!N206="Outro Taijiquan D",324,IF(Atletas!N206="Yang E",325,IF(Atletas!N206="Chen E",326,IF(Atletas!N206="Sun E",327,IF(Atletas!N206="Wu E",328,IF(Atletas!N206="Wu-Hao E",329,IF(Atletas!N206="Outro Taijiquan E",330,IF(Atletas!N206="Yang F",331,IF(Atletas!N206="Chen F",332,IF(Atletas!N206="Sun F",333,IF(Atletas!N206="Wu F",334,IF(Atletas!N206="Wu-Hao F",335,IF(Atletas!N206="Outro Taijiquan F",336,"")))))))))))))))))))))))))))))))))))))</f>
        <v/>
      </c>
      <c r="BP210" s="52" t="str">
        <f>IF(Atletas!O206="","",IF(Atletas!W206&lt;&gt;"",10000,0)+IF(Atletas!B206="Feminino",1000,IF(Atletas!B206="Masculino",2000,""))+IF(OR(Atletas!O206="Yang 26 A",Atletas!O206="Yang 40 A"),401,IF(OR(Atletas!O206="Chen 25 A",Atletas!O206="Chen 36 A",Atletas!O206="Chen 56 A"),402,IF(Atletas!O206="Sun 73 A",403,IF(Atletas!O206="Wu 45 A",404,IF(Atletas!O206="Wu-Hao 46 A",405,IF(OR(Atletas!O206="Taijiquan 16 A",Atletas!O206="Taijiquan 24 A",Atletas!O206="Taijiquan 32 A",Atletas!O206="Taijiquan 42 A"),406,IF(OR(Atletas!O206="Yang 26 B",Atletas!O206="Yang 40 B"),407,IF(OR(Atletas!O206="Chen 25 B",Atletas!O206="Chen 36 B",Atletas!O206="Chen 56 B"),408,IF(Atletas!O206="Sun 73 B",409,IF(Atletas!O206="Wu 45 B",410,IF(Atletas!O206="Wu-Hao 46 B",411,IF(OR(Atletas!O206="Taijiquan 16 B",Atletas!O206="Taijiquan 24 B",Atletas!O206="Taijiquan 32 B",Atletas!O206="Taijiquan 42 B"),412,IF(OR(Atletas!O206="Yang 26 C",Atletas!O206="Yang 40 C"),413,IF(OR(Atletas!O206="Chen 25 C",Atletas!O206="Chen 36 C",Atletas!O206="Chen 56 C"),414,IF(Atletas!O206="Sun 73 C",415,IF(Atletas!O206="Wu 45 C",416,IF(Atletas!O206="Wu-Hao 46 C",417,IF(OR(Atletas!O206="Taijiquan 16 C",Atletas!O206="Taijiquan 24 C",Atletas!O206="Taijiquan 32 C",Atletas!O206="Taijiquan 42 C"),418,0)))))))))))))))))))</f>
        <v/>
      </c>
      <c r="BQ210" s="52" t="str">
        <f>IF(Atletas!O206="","",IF(Atletas!W206&lt;&gt;"",10000,0)+IF(Atletas!B206="Feminino",1000,IF(Atletas!B206="Masculino",2000,""))+IF(OR(Atletas!O206="Yang 26 D",Atletas!O206="Yang 40 D"),419,IF(OR(Atletas!O206="Chen 25 D",Atletas!O206="Chen 36 D",Atletas!O206="Chen 56 D"),420,IF(Atletas!O206="Sun 73 D",421,IF(Atletas!O206="Wu 45 D",422,IF(Atletas!O206="Wu-Hao 46 D",423,IF(OR(Atletas!O206="Taijiquan 16 D",Atletas!O206="Taijiquan 24 D",Atletas!O206="Taijiquan 32 D",Atletas!O206="Taijiquan 42 D"),424,IF(OR(Atletas!O206="Yang 26 E",Atletas!O206="Yang 40 E"),425,IF(OR(Atletas!O206="Chen 25 E",Atletas!O206="Chen 36 E",Atletas!O206="Chen 56 E"),426,IF(Atletas!O206="Sun 73 E",427,IF(Atletas!O206="Wu 45 E",428,IF(Atletas!O206="Wu-Hao 46 E",429,IF(OR(Atletas!O206="Taijiquan 16 E",Atletas!O206="Taijiquan 24 E",Atletas!O206="Taijiquan 32 E",Atletas!O206="Taijiquan 42 E"),430,IF(OR(Atletas!O206="Yang 26 F",Atletas!O206="Yang 40 F"),431,IF(OR(Atletas!O206="Chen 25 F",Atletas!O206="Chen 36 F",Atletas!O206="Chen 56 F"),432,IF(Atletas!O206="Sun 73 F",433,IF(Atletas!O206="Wu 45 F",434,IF(Atletas!O206="Wu-Hao 46 F",435,IF(OR(Atletas!O206="Taijiquan 16 F",Atletas!O206="Taijiquan 24 F",Atletas!O206="Taijiquan 32 F",Atletas!O206="Taijiquan 42 F"),436,0)))))))))))))))))))</f>
        <v/>
      </c>
      <c r="BR210" s="52" t="str">
        <f>IF(Atletas!P206="","",IF(Atletas!W206&lt;&gt;"",10000,0)+IF(Atletas!B206="Feminino",1000,IF(Atletas!B206="Masculino",2000,""))+IF(Atletas!P206="Xingyiquan A",501,IF(Atletas!P206="Baguazhang A",502,IF(Atletas!P206="Outro Estilo Interno A",503,IF(Atletas!P206="Xingyiquan B",504,IF(Atletas!P206="Baguazhang B",505,IF(Atletas!P206="Outro Estilo Interno B",506,IF(Atletas!P206="Xingyiquan C",507,IF(Atletas!P206="Baguazhang C",508,IF(Atletas!P206="Outro Estilo Interno C",509,IF(Atletas!P206="Xingyiquan D",510,IF(Atletas!P206="Baguazhang D",511,IF(Atletas!P206="Outro Estilo Interno D",512,IF(Atletas!P206="Xingyiquan E",513,IF(Atletas!P206="Baguazhang E",514,IF(Atletas!P206="Outro Estilo Interno E",515,IF(Atletas!P206="Xingyiquan F",516,IF(Atletas!P206="Baguazhang F",517,IF(Atletas!P206="Outro Estilo Interno F",518, "")))))))))))))))))))</f>
        <v/>
      </c>
      <c r="BS210" s="52" t="str">
        <f>IF(Atletas!Q206="","",IF(Atletas!W206&lt;&gt;"",10000,0)+IF(Atletas!B206="Feminino",1000,IF(Atletas!B206="Masculino",2000,""))+IF(Atletas!Q206="Dao A",601,IF(Atletas!Q206="Jian A",602,IF(Atletas!Q206="Bishou A",603,IF(Atletas!Q206="Shan A",604,IF(Atletas!Q206="Outra Arma Curta A",605,IF(Atletas!Q206="Dao B",606,IF(Atletas!Q206="Jian B",607,IF(Atletas!Q206="Bishou B",608,IF(Atletas!Q206="Shan B",609,IF(Atletas!Q206="Outra Arma Curta B",610,IF(Atletas!Q206="Dao C",611,IF(Atletas!Q206="Jian C",612,IF(Atletas!Q206="Bishou C",613,IF(Atletas!Q206="Shan C",614,IF(Atletas!Q206="Outra Arma Curta C",615,IF(Atletas!Q206="Dao D",616,IF(Atletas!Q206="Jian D",617,IF(Atletas!Q206="Bishou D",618,IF(Atletas!Q206="Shan D",619,IF(Atletas!Q206="Outra Arma Curta D",620,IF(Atletas!Q206="Dao E",621,IF(Atletas!Q206="Jian E",622,IF(Atletas!Q206="Bishou E",623,IF(Atletas!Q206="Shan E",624,IF(Atletas!Q206="Outra Arma Curta E",625,IF(Atletas!Q206="Dao F",626,IF(Atletas!Q206="Jian F",627,IF(Atletas!Q206="Bishou F",628,IF(Atletas!Q206="Shan F",629,IF(Atletas!Q206="Outra Arma Curta F",630, "")))))))))))))))))))))))))))))))</f>
        <v/>
      </c>
      <c r="BT210" s="52" t="str">
        <f>IF(Atletas!R206="","",IF(Atletas!W206&lt;&gt;"",10000,0)+IF(Atletas!B206="Feminino",1000,IF(Atletas!B206="Masculino",2000,""))+IF(Atletas!R206="Gun A",701,IF(Atletas!R206="Qiang A",702,IF(Atletas!R206="Pudao / Guandao A",703,IF(Atletas!R206="Outra Arma Longa A",704,IF(Atletas!R206="Gun B",705,IF(Atletas!R206="Qiang B",706,IF(Atletas!R206="Pudao / Guandao B",707,IF(Atletas!R206="Outra Arma Longa B",708,IF(Atletas!R206="Gun C",709,IF(Atletas!R206="Qiang C",710,IF(Atletas!R206="Pudao / Guandao C",711,IF(Atletas!R206="Outra Arma Longa C",712,IF(Atletas!R206="Gun D",713,IF(Atletas!R206="Qiang D",714,IF(Atletas!R206="Pudao / Guandao D",715,IF(Atletas!R206="Outra Arma Longa D",716,IF(Atletas!R206="Gun E",717,IF(Atletas!R206="Qiang E",718,IF(Atletas!R206="Pudao / Guandao E",719,IF(Atletas!R206="Outra Arma Longa E",720,IF(Atletas!R206="Gun F",721,IF(Atletas!R206="Qiang F",722,IF(Atletas!R206="Pudao / Guandao F",723,IF(Atletas!R206="Outra Arma Longa F",724,"")))))))))))))))))))))))))</f>
        <v/>
      </c>
      <c r="BU210" s="52" t="str">
        <f>IF(Atletas!S206="","",IF(Atletas!W206&lt;&gt;"",10000,0)+IF(Atletas!B206="Feminino",1000,IF(Atletas!B206="Masculino",2000,""))+IF(Atletas!S206="Arma Dupla A",801,IF(Atletas!S206="Arma Maleável A",802,IF(Atletas!S206="Arma Dupla B",803,IF(Atletas!S206="Arma Maleável B",804,IF(Atletas!S206="Arma Dupla C",805,IF(Atletas!S206="Arma Maleável C",806,IF(Atletas!S206="Arma Dupla D",807,IF(Atletas!S206="Arma Maleável D",808,IF(Atletas!S206="Arma Dupla E",809,IF(Atletas!S206="Arma Maleável E",810,IF(Atletas!S206="Arma Dupla F",811,IF(Atletas!S206="Arma Maleável F",812, "")))))))))))))</f>
        <v/>
      </c>
      <c r="BV210" s="52" t="str">
        <f>IF(Atletas!T206="","",IF(Atletas!W206&lt;&gt;"",10000,0)+IF(Atletas!B206="Feminino",1000,IF(Atletas!B206="Masculino",2000,""))+IF(Atletas!T206="Taijijian Yang A",901,IF(Atletas!T206="Taijijian Chen A",902,IF(Atletas!T206="Taijijian Sun A",903,IF(Atletas!T206="Taijijian Wu A",904,IF(Atletas!T206="Taijijian Wu-Hao A",905,IF(Atletas!T206="Taijijian 32 A",906,IF(Atletas!T206="Taijijian 42 A",907,IF(Atletas!T206="Taijijian Yang B",908,IF(Atletas!T206="Taijijian Chen B",909,IF(Atletas!T206="Taijijian Sun B",910,IF(Atletas!T206="Taijijian Wu B",911,IF(Atletas!T206="Taijijian Wu-Hao B",912,IF(Atletas!T206="Taijijian 32 B",913,IF(Atletas!T206="Taijijian 42 B",914,IF(Atletas!T206="Taijijian Yang C",915,IF(Atletas!T206="Taijijian Chen C",916,IF(Atletas!T206="Taijijian Sun C",917,IF(Atletas!T206="Taijijian Wu C",918,IF(Atletas!T206="Taijijian Wu-Hao C",919,IF(Atletas!T206="Taijijian 32 C",920,IF(Atletas!T206="Taijijian 42 C",921,IF(Atletas!T206="Taijijian Yang D",922,IF(Atletas!T206="Taijijian Chen D",923,IF(Atletas!T206="Taijijian Sun D",924,IF(Atletas!T206="Taijijian Wu D",925,IF(Atletas!T206="Taijijian Wu-Hao D",926,IF(Atletas!T206="Taijijian 32 D",927,IF(Atletas!T206="Taijijian 42 D",928,IF(Atletas!T206="Taijijian Yang E",929,IF(Atletas!T206="Taijijian Chen E",930,IF(Atletas!T206="Taijijian Sun E",931,IF(Atletas!T206="Taijijian Wu E",932,IF(Atletas!T206="Taijijian Wu-Hao E",933,IF(Atletas!T206="Taijijian 32 E",934,IF(Atletas!T206="Taijijian 42 E",935,IF(Atletas!T206="Taijijian Yang F",936,IF(Atletas!T206="Taijijian Chen F",937,IF(Atletas!T206="Taijijian Sun F",938,IF(Atletas!T206="Taijijian Wu F",939,IF(Atletas!T206="Taijijian Wu-Hao F",940,IF(Atletas!T206="Taijijian 32 F",941,IF(Atletas!T206="Taijijian 42 F",942,"")))))))))))))))))))))))))))))))))))))))))))</f>
        <v/>
      </c>
      <c r="BW210" s="52" t="str">
        <f>IF(Atletas!U206="","",IF(Atletas!W206&lt;&gt;"",10000,0)+IF(Atletas!B206="Feminino",1000,IF(Atletas!B206="Masculino",2000,""))+IF(Atletas!T206="Taijijian 42 F",942,IF(Atletas!U206="Taijidao A",943,IF(Atletas!U206="Taijishan A",944,IF(Atletas!U206="Taijiqiang A",945,IF(Atletas!U206="Taijidao B",946,IF(Atletas!U206="Taijishan B",947,IF(Atletas!U206="Taijiqiang B",948,IF(Atletas!U206="Taijidao C",949,IF(Atletas!U206="Taijishan C",950,IF(Atletas!U206="Taijiqiang C",951,IF(Atletas!U206="Taijidao D",952,IF(Atletas!U206="Taijishan D",953,IF(Atletas!U206="Taijiqiang D",954,IF(Atletas!U206="Taijidao E",955,IF(Atletas!U206="Taijishan E",956,IF(Atletas!U206="Taijiqiang E",957,IF(Atletas!U206="Taijidao F",958,IF(Atletas!U206="Taijishan F",959,IF(Atletas!U206="Taijiqiang F",960))))))))))))))))))))</f>
        <v/>
      </c>
      <c r="BX210" s="72" t="str">
        <f>IF(BY210&lt;&gt;"","Outro Estilo Interno B","")</f>
        <v/>
      </c>
      <c r="BY210" s="72" t="str">
        <f>IF(COUNTIF(BK:BW,1506)&gt;0,COUNTIF(BK:BW,1506),"")</f>
        <v/>
      </c>
      <c r="BZ210" s="72" t="str">
        <f>IF(CA210&lt;&gt;"","Outro Estilo Interno B","")</f>
        <v/>
      </c>
      <c r="CA210" s="72" t="str">
        <f>IF(COUNTIF(BK:BW,2506)&gt;0,COUNTIF(BK:BW,2506),"")</f>
        <v/>
      </c>
      <c r="CB210" s="72" t="str">
        <f>IF(CC210&lt;&gt;"","Taijiquan 42 D","")</f>
        <v/>
      </c>
      <c r="CC210" s="64" t="str">
        <f>IF(COUNTIF(BK:BW,11442)&gt;0,COUNTIF(BK:BW,11442),"")</f>
        <v/>
      </c>
      <c r="CD210" s="64" t="str">
        <f>IF(CE210&lt;&gt;"","Taijiquan 42 D","")</f>
        <v/>
      </c>
      <c r="CE210" s="64" t="str">
        <f>IF(COUNTIF(BK:BW,12442)&gt;0,COUNTIF(BK:BW,12442),"")</f>
        <v/>
      </c>
      <c r="CF210" s="52" t="str">
        <f xml:space="preserve"> IF(Atletas!V206="","",IF(Atletas!V206="Duilian de Mãos AB - Equipe 1",1,IF(Atletas!V206="Duilian de Mãos AB - Equipe 2",2,IF(Atletas!V206="Duilian de Armas AB - Equipe 1",3,IF(Atletas!V206="Duilian de Armas AB - Equipe 2",4,IF(Atletas!V206="Duilian de Tuishou - Equipe 1",5,IF(Atletas!V206="Duilian de Tuishou - Equipe 2",6,IF(Atletas!V206="Grupo Externo AB - Equipe 1",7,IF(Atletas!V206="Grupo Externo AB - Equipe 2",8,IF(Atletas!V206="Grupo Interno AB - Equipe 1",9,IF(Atletas!V206="Grupo Interno AB - Equipe 2",10,IF(Atletas!V206="Duilian de Mãos CD - Equipe 1",11,IF(Atletas!V206="Duilian de Mãos CD - Equipe 2",12,IF(Atletas!V206="Duilian de Armas CD - Equipe 1",13,IF(Atletas!V206="Duilian de Armas CD - Equipe 2",14,IF(Atletas!V206="Duilian de Tuishou - Equipe 1",15,IF(Atletas!V206="Duilian de Tuishou - Equipe 2",16,IF(Atletas!V206="Grupo Externo CDEF - Equipe 1",17,IF(Atletas!V206="Grupo Externo CDEF - Equipe 2",18,IF(Atletas!V206="Grupo Interno CDEF - Equipe 1",19,IF(Atletas!V206="Grupo Interno CDEF - Equipe 2",20,IF(Atletas!V206="Duilian de Mãos EF - Equipe 1",21,IF(Atletas!V206="Duilian de Mãos EF - Equipe 2",22,IF(Atletas!V206="Duilian de Armas EF - Equipe 1",23,IF(Atletas!V206="Duilian de Armas EF - Equipe 2",24,IF(Atletas!V206="Duilian de Tuishou - Equipe 1",25,IF(Atletas!V206="Duilian de Tuishou - Equipe 2",26,"")))))))))))))))))))))))))))</f>
        <v/>
      </c>
    </row>
    <row r="211" spans="2:84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 t="str">
        <f t="array" ref="V211">IFERROR(INDEX(BX$7:BX$336,SMALL(IF(BX$7:BX$336&lt;&gt;"",ROW(BX$7:BX$336)-ROW(BX$7)+1),ROWS(BX$7:BX204))),"")</f>
        <v/>
      </c>
      <c r="W211" s="4" t="str">
        <f t="array" ref="W211">IFERROR(INDEX(BY$7:BY$336,SMALL(IF(BY$7:BY$336&lt;&gt;"",ROW(BY$7:BY$336)-ROW(BY$7)+1),ROWS(BY$7:BY204))),"")</f>
        <v/>
      </c>
      <c r="X211" s="4" t="str">
        <f t="array" ref="X211">IFERROR(INDEX(BZ$7:BZ$336,SMALL(IF(BZ$7:BZ$336&lt;&gt;"",ROW(BZ$7:BZ$336)-ROW(BZ$7)+1),ROWS(BZ$7:BZ204))),"")</f>
        <v/>
      </c>
      <c r="Y211" s="4" t="str">
        <f t="array" ref="Y211">IFERROR(INDEX(CA$7:CA$336,SMALL(IF(CA$7:CA$336&lt;&gt;"",ROW(CA$7:CA$336)-ROW(CA$7)+1),ROWS(CA$7:CA204))),"")</f>
        <v/>
      </c>
      <c r="Z211" s="4" t="str">
        <f t="array" ref="Z211">IFERROR(INDEX(CB$7:CB$378,SMALL(IF(CB$7:CB$378&lt;&gt;"",ROW(CB$7:CB$378)-ROW(CB$7)+1),ROWS(CB$7:CB210))),"")</f>
        <v/>
      </c>
      <c r="AA211" s="4" t="str">
        <f t="array" ref="AA211">IFERROR(INDEX(CC$7:CC$378,SMALL(IF(CC$7:CC$378&lt;&gt;"",ROW(CC$7:CC$378)-ROW(CC$7)+1),ROWS(CC$7:CC210))),"")</f>
        <v/>
      </c>
      <c r="AB211" s="4" t="str">
        <f t="array" ref="AB211">IFERROR(INDEX(CD$7:CD$378,SMALL(IF(CD$7:CD$378&lt;&gt;"",ROW(CD$7:CD$378)-ROW(CD$7)+1),ROWS(CD$7:CD210))),"")</f>
        <v/>
      </c>
      <c r="AC211" s="4" t="str">
        <f t="array" ref="AC211">IFERROR(INDEX(CE$7:CE$378,SMALL(IF(CE$7:CE$378&lt;&gt;"",ROW(CE$7:CE$378)-ROW(CE$7)+1),ROWS(CE$7:CE210))),"")</f>
        <v/>
      </c>
      <c r="AD211" s="4"/>
      <c r="AE211" s="4"/>
      <c r="AF211" s="4"/>
      <c r="AG211" s="4"/>
      <c r="AH211" s="4"/>
      <c r="AI211" s="4"/>
      <c r="AJ211" s="46" t="str">
        <f>IF(Atletas!D207="","",IF(Atletas!B207="Feminino",100,IF(Atletas!B207="Masculino",200,""))+(IF(Atletas!D207="Infantil 39kg",1,IF(Atletas!D207="Infantil 42kg",2,IF(Atletas!D207="Infantil 45kg",3,IF(Atletas!D207="Infantil 48kg",4,IF(Atletas!D207="Infantil 52kg",5,IF(Atletas!D207="Infantil 56kg",6,IF(Atletas!D207="Infantil 60kg",7,IF(Atletas!D207="Juvenil 48kg",8,IF(Atletas!D207="Juvenil 52kg",9,IF(Atletas!D207="Juvenil 56kg",10,IF(Atletas!D207="Juvenil 60kg",11,IF(Atletas!D207="Juvenil 65kg",12,IF(Atletas!D207="Juvenil 70kg",13,IF(Atletas!D207="Juvenil 75kg",14,IF(Atletas!D207="Juvenil 80kg",15,IF(Atletas!D207="Adulto 48kg",16,IF(Atletas!D207="Adulto 52kg",17,IF(Atletas!D207="Adulto 56kg",18,IF(Atletas!D207="Adulto 60kg",19,IF(Atletas!D207="Adulto 65kg",20,IF(Atletas!D207="Adulto 70kg",21,IF(Atletas!D207="Adulto 75kg",22,IF(Atletas!D207="Adulto 80kg",23,IF(Atletas!D207="Adulto 85kg",24,IF(Atletas!D207="Adulto 90kg",25,IF(Atletas!D207="Adulto +90kg",26,""))))))))))))))))))))))))))))</f>
        <v/>
      </c>
      <c r="AO211" s="10" t="str">
        <f>IF(Atletas!E207="","",IF(Atletas!B207="Feminino",100,IF(Atletas!B207="Masculino",200,""))+(IF(Atletas!E207="Juvenil 44kg",1,IF(Atletas!E207="Juvenil 48kg",2,IF(Atletas!E207="Juvenil 52kg",3,IF(Atletas!E207="Juvenil 56kg",4,IF(Atletas!E207="Juvenil 60kg",5,IF(Atletas!E207="Juvenil 65kg",6,IF(Atletas!E207="Juvenil 70kg",7,IF(Atletas!E207="Juvenil 75kg",8,IF(Atletas!E207="Juvenil 82kg",9,IF(Atletas!E207="Juvenil 90kg",10,IF(Atletas!E207="Juvenil 100kg",11,IF(Atletas!E207="Adulto 48kg",12,IF(Atletas!E207="Adulto 52kg",13,IF(Atletas!E207="Adulto 56kg",14,IF(Atletas!E207="Adulto 60kg",15,IF(Atletas!E207="Adulto 65kg",16,IF(Atletas!E207="Adulto 70kg",17,IF(Atletas!E207="Adulto 75kg",18,IF(Atletas!E207="Adulto 82kg",19,IF(Atletas!E207="Adulto 90kg",20,IF(Atletas!E207="Adulto 100kg",21,IF(Atletas!E207="Adulto +100kg",22,""))))))))))))))))))))))))</f>
        <v/>
      </c>
      <c r="AT211" s="10" t="str">
        <f>IF(Atletas!F207="","",IF(Atletas!B207="Feminino",100,IF(Atletas!B207="Masculino",200,""))+(IF(Atletas!F207="Adulto 48kg",1,IF(Atletas!F207="Adulto 56kg",2,IF(Atletas!F207="Adulto 65kg",3,IF(Atletas!F207="Adulto 75kg",4,IF(Atletas!F207="Adulto +75kg",5,IF(Atletas!F207="Adulto 52kg",6,IF(Atletas!F207="Adulto 60kg",7,IF(Atletas!F207="Adulto 70kg",8,IF(Atletas!F207="Adulto 80kg",9,IF(Atletas!F207="Adulto 90kg",10,IF(Atletas!F207="Adulto +90kg",11,"")))))))))))))</f>
        <v/>
      </c>
      <c r="AY211" s="46" t="str">
        <f>IF(Atletas!G207="","",IF(Atletas!B207="Feminino",100,IF(Atletas!B207="Masculino",200,""))+(IF(Atletas!G207="Changquan Mirim",1,IF(Atletas!G207="Nanquan Mirim",2,IF(Atletas!G207="Taijiquan Mirim",3,IF(Atletas!G207="Changquan Grupo C",4,IF(Atletas!G207="Nanquan Grupo C",5,IF(Atletas!G207="Taijiquan Grupo C",6,IF(Atletas!G207="Changquan Grupo B",7,IF(Atletas!G207="Nanquan Grupo B",8,IF(Atletas!G207="Taijiquan Grupo B",9,IF(Atletas!G207="Changquan Grupo A",10,IF(Atletas!G207="Nanquan Grupo A",11,IF(Atletas!G207="Taijiquan Grupo A",12,IF(Atletas!G207="Changquan Opcional",13,IF(Atletas!G207="Nanquan Opcional",14,IF(Atletas!G207="Taijiquan Opcional",15,IF(Atletas!G207="Changquan Adulto",16,IF(Atletas!G207="Nanquan Adulto",17,IF(Atletas!G207="Taijiquan Adulto",18,""))))))))))))))))))))</f>
        <v/>
      </c>
      <c r="AZ211" s="46" t="str">
        <f>IF(Atletas!H207="","",IF(Atletas!B207="Feminino",100,IF(Atletas!B207="Masculino",200,""))+(IF(Atletas!H207="Daoshu Mirim",19,IF(Atletas!H207="Jianshu Mirim",20,IF(Atletas!H207="Nandao Mirim",21,IF(Atletas!H207="Taijijian Mirim",22,IF(Atletas!H207="Daoshu Grupo C",23,IF(Atletas!H207="Jianshu Grupo C",24,IF(Atletas!H207="Nandao Grupo C",25,IF(Atletas!H207="Taijijian Grupo C",26,IF(Atletas!H207="Daoshu Grupo B",27,IF(Atletas!H207="Jianshu Grupo B",28,IF(Atletas!H207="Nandao Grupo B",29,IF(Atletas!H207="Taijijian Grupo B",30,IF(Atletas!H207="Daoshu Grupo A",31,IF(Atletas!H207="Jianshu Grupo A",32,IF(Atletas!H207="Nandao Grupo A",33,IF(Atletas!H207="Taijijian Grupo A",34,IF(Atletas!H207="Daoshu Opcional",35,IF(Atletas!H207="Jianshu Opcional",36,IF(Atletas!H207="Nandao Opcional",37,IF(Atletas!H207="Taijijian Opcional",38,IF(Atletas!H207="Daoshu Adulto",39,IF(Atletas!H207="Jianshu Adulto",40,IF(Atletas!H207="Nandao Adulto",41,IF(Atletas!H207="Taijijian Adulto",42,""))))))))))))))))))))))))))</f>
        <v/>
      </c>
      <c r="BA211" s="46" t="str">
        <f>IF(Atletas!I207="","",IF(Atletas!B207="Feminino",100,IF(Atletas!B207="Masculino",200,""))+(IF(Atletas!I207="Gunshu Mirim",43,IF(Atletas!I207="Qiangshu Mirim",44,IF(Atletas!I207="Nangun Mirim",45,IF(Atletas!I207="Gunshu Grupo C",46,IF(Atletas!I207="Qiangshu Grupo C",47,IF(Atletas!I207="Nangun Grupo C",48,IF(Atletas!I207="Gunshu Grupo B",49,IF(Atletas!I207="Qiangshu Grupo B",50,IF(Atletas!I207="Nangun Grupo B",51,IF(Atletas!I207="Gunshu Grupo A",52,IF(Atletas!I207="Qiangshu Grupo A",53,IF(Atletas!I207="Nangun Grupo A",54,IF(Atletas!I207="Gunshu Opcional",55,IF(Atletas!I207="Qiangshu Opcional",56,IF(Atletas!I207="Nangun Opcional",57,IF(Atletas!I207="Gunshu Adulto",58,IF(Atletas!I207="Qiangshu Adulto",59,IF(Atletas!I207="Nangun Adulto",60,""))))))))))))))))))))</f>
        <v/>
      </c>
      <c r="BF211" s="52" t="str">
        <f>IF(Atletas!J207="","",IF(Atletas!B207="Feminino",100,IF(Atletas!B207="Masculino",200,""))+(IF(Atletas!J207="Equipe 1 Grupo B",1,IF(Atletas!J207="Equipe 2 Grupo B",2,IF(Atletas!J207="Equipe 1 Grupo A",3,IF(Atletas!J207="Equipe 2 Grupo A",4,IF(Atletas!J207="Equipe 1 Adulto",5,IF(Atletas!J207="Equipe 2 Adulto",6,""))))))))</f>
        <v/>
      </c>
      <c r="BK211" s="52" t="str">
        <f>IF(Atletas!K207="","",IF(Atletas!W207&lt;&gt;"",10000,0)+(IF(Atletas!B207="Feminino",1000,IF(Atletas!B207="Masculino",2000,""))+IF(Atletas!K207="Choylayfut A",1,IF(Atletas!K207="Hunggar A",2,IF(Atletas!K207="Wuzuquan A",3,IF(Atletas!K207="Wingchun A",4,IF(Atletas!K207="Outra Mão de Sul A",5,IF(Atletas!K207="Choylayfut B",6,IF(Atletas!K207="Hunggar B",7,IF(Atletas!K207="Wuzuquan B",8,IF(Atletas!K207="Wingchun B",9,IF(Atletas!K207="Outra Mão de Sul B",10,IF(Atletas!K207="Choylayfut C",11,IF(Atletas!K207="Hunggar C",12,IF(Atletas!K207="Wuzuquan C",13,IF(Atletas!K207="Wingchun C",14,IF(Atletas!K207="Outra Mão de Sul C",15,IF(Atletas!K207="Choylayfut D",16,IF(Atletas!K207="Hunggar D",17,IF(Atletas!K207="Wuzuquan D",18,IF(Atletas!K207="Wingchun D",19,IF(Atletas!K207="Outra Mão de Sul D",20,IF(Atletas!K207="Choylayfut E",21,IF(Atletas!K207="Hunggar E",22,IF(Atletas!K207="Wuzuquan E",23,IF(Atletas!K207="Wingchun E",24,IF(Atletas!K207="Outra Mão de Sul E",25,IF(Atletas!K207="Choylayfut F",26,IF(Atletas!K207="Hunggar F",27,IF(Atletas!K207="Wuzuquan F",28,IF(Atletas!K207="Wingchun F",29,IF(Atletas!K207="Outra Mão de Sul F",30,""))))))))))))))))))))))))))))))))</f>
        <v/>
      </c>
      <c r="BL211" s="52" t="str">
        <f>IF(Atletas!L207="","",IF(Atletas!W207&lt;&gt;"",10000,0)+(IF(Atletas!B207="Feminino",1000,IF(Atletas!B207="Masculino",2000,""))+(IF(Atletas!L207="Chaquan A",101,IF(Atletas!L207="Emeiquan A",102,IF(Atletas!L207="Fanziquan A",103,IF(Atletas!L207="Huaquan A",104,IF(Atletas!L207="Hongquan A",105,IF(Atletas!L207="Paochui A",106,IF(Atletas!L207="Piguaquan A",107,IF(Atletas!L207="Shaolinquan A",108,IF(Atletas!L207="Tanglangquan A",109,IF(Atletas!L207="Yinzhaophai A",110,IF(Atletas!L207="Tongbeiquan A",111,IF(Atletas!L207="Wudangquan A",112,IF(Atletas!L207="Outros Estilos A",113,IF(Atletas!L207="Chaquan B",114,IF(Atletas!L207="Emeiquan B",115,IF(Atletas!L207="Fanziquan B",116,IF(Atletas!L207="Huaquan B",117,IF(Atletas!L207="Hongquan B",118,IF(Atletas!L207="Paochui B",119,IF(Atletas!L207="Piguaquan B",120,IF(Atletas!L207="Shaolinquan B",121,IF(Atletas!L207="Tanglangquan B",122,IF(Atletas!L207="Yinzhaophai B",123,IF(Atletas!L207="Tongbeiquan B",124,IF(Atletas!L207="Wudangquan B",125,IF(Atletas!L207="Outros Estilos B",126,IF(Atletas!L207="Chaquan C",127,IF(Atletas!L207="Emeiquan C",128,IF(Atletas!L207="Fanziquan C",129,IF(Atletas!L207="Huaquan C",130,IF(Atletas!L207="Hongquan C",131,IF(Atletas!L207="Paochui C",132,IF(Atletas!L207="Piguaquan C",133,IF(Atletas!L207="Shaolinquan C",134,IF(Atletas!L207="Tanglangquan C",135,IF(Atletas!L207="Yinzhaophai C",136,IF(Atletas!L207="Tongbeiquan C",137,IF(Atletas!L207="Wudangquan C",138,IF(Atletas!L207="Outros Estilos C",139,0))))))))))))))))))))))))))))))))))))))))))</f>
        <v/>
      </c>
      <c r="BM211" s="52" t="str">
        <f>IF(Atletas!L207="","",IF(Atletas!W207&lt;&gt;"",10000,0)+(IF(Atletas!B207="Feminino",1000,IF(Atletas!B207="Masculino",2000,""))+(IF(Atletas!L207="Chaquan D",140,IF(Atletas!L207="Emeiquan D",141,IF(Atletas!L207="Fanziquan D",142,IF(Atletas!L207="Huaquan D",143,IF(Atletas!L207="Hongquan D",144,IF(Atletas!L207="Paochui D",145,IF(Atletas!L207="Piguaquan D",146,IF(Atletas!L207="Shaolinquan D",147,IF(Atletas!L207="Tanglangquan D",148,IF(Atletas!L207="Yinzhaophai D",149,IF(Atletas!L207="Tongbeiquan D",150,IF(Atletas!L207="Wudangquan D",151,IF(Atletas!L207="Outros Estilos D",152,IF(Atletas!L207="Chaquan E",153,IF(Atletas!L207="Emeiquan E",154,IF(Atletas!L207="Fanziquan E",155,IF(Atletas!L207="Huaquan E",156,IF(Atletas!L207="Hongquan E",157,IF(Atletas!L207="Paochui E",158,IF(Atletas!L207="Piguaquan E",159,IF(Atletas!L207="Shaolinquan E",160,IF(Atletas!L207="Tanglangquan E",161,IF(Atletas!L207="Yinzhaophai E",162,IF(Atletas!L207="Tongbeiquan E",163,IF(Atletas!L207="Wudangquan E",164,IF(Atletas!L207="Outros Estilos E",165,IF(Atletas!L207="Chaquan F",166,IF(Atletas!L207="Emeiquan F",167,IF(Atletas!L207="Fanziquan F",168,IF(Atletas!L207="Huaquan F",169,IF(Atletas!L207="Hongquan F",170,IF(Atletas!L207="Paochui F",171,IF(Atletas!L207="Piguaquan F",172,IF(Atletas!L207="Shaolinquan F",173,IF(Atletas!L207="Tanglangquan F",174,IF(Atletas!L207="Yinzhaophai F",175,IF(Atletas!L207="Tongbeiquan F",176,IF(Atletas!L207="Wudangquan F",177,IF(Atletas!L207="Outros Estilos F",178,0))))))))))))))))))))))))))))))))))))))))))</f>
        <v/>
      </c>
      <c r="BN211" s="52" t="str">
        <f>IF(Atletas!M207="","",IF(Atletas!W207&lt;&gt;"",10000,0)+(IF(Atletas!B207="Feminino",1000,IF(Atletas!B207="Masculino",2000,""))+(IF(Atletas!M207="Ditangquan A",201,IF(Atletas!M207="Houquan A",202,IF(Atletas!M207="Zuiquan A",203,IF(Atletas!M207="Ditangquan B",204,IF(Atletas!M207="Houquan B",205,IF(Atletas!M207="Zuiquan B",206,IF(Atletas!M207="Ditangquan C",207,IF(Atletas!M207="Houquan C",208,IF(Atletas!M207="Zuiquan C",209,IF(Atletas!M207="Ditangquan D",210,IF(Atletas!M207="Houquan D",211,IF(Atletas!M207="Zuiquan D",212,IF(Atletas!M207="Ditangquan E",213,IF(Atletas!M207="Houquan E",214,IF(Atletas!M207="Zuiquan E",215,IF(Atletas!M207="Ditangquan F",216,IF(Atletas!M207="Houquan F",217,IF(Atletas!M207="Zuiquan F",218,"")))))))))))))))))))))</f>
        <v/>
      </c>
      <c r="BO211" s="52" t="str">
        <f>IF(Atletas!N207="","",IF(Atletas!W207&lt;&gt;"",10000,0)+IF(Atletas!B207="Feminino",1000,IF(Atletas!B207="Masculino",2000,""))+IF(Atletas!N207="Yang A",301,IF(Atletas!N207="Chen A",30,IF(Atletas!N207="Sun A",303,IF(Atletas!N207="Wu A",304,IF(Atletas!N207="Wu-Hao A",305,IF(Atletas!N207="Outro Taijiquan A",306,IF(Atletas!N207="Yang B",307,IF(Atletas!N207="Chen B",308,IF(Atletas!N207="Sun B",309,IF(Atletas!N207="Wu B",310,IF(Atletas!N207="Wu-Hao B",311,IF(Atletas!N207="Outro Taijiquan B",312,IF(Atletas!N207="Yang C",313,IF(Atletas!N207="Chen C",314,IF(Atletas!N207="Sun C",315,IF(Atletas!N207="Wu C",316,IF(Atletas!N207="Wu-Hao C",317,IF(Atletas!N207="Outro Taijiquan C",318,IF(Atletas!N207="Yang D",319,IF(Atletas!N207="Chen D",320,IF(Atletas!N207="Sun D",321,IF(Atletas!N207="Wu D",322,IF(Atletas!N207="Wu-Hao D",323,IF(Atletas!N207="Outro Taijiquan D",324,IF(Atletas!N207="Yang E",325,IF(Atletas!N207="Chen E",326,IF(Atletas!N207="Sun E",327,IF(Atletas!N207="Wu E",328,IF(Atletas!N207="Wu-Hao E",329,IF(Atletas!N207="Outro Taijiquan E",330,IF(Atletas!N207="Yang F",331,IF(Atletas!N207="Chen F",332,IF(Atletas!N207="Sun F",333,IF(Atletas!N207="Wu F",334,IF(Atletas!N207="Wu-Hao F",335,IF(Atletas!N207="Outro Taijiquan F",336,"")))))))))))))))))))))))))))))))))))))</f>
        <v/>
      </c>
      <c r="BP211" s="52" t="str">
        <f>IF(Atletas!O207="","",IF(Atletas!W207&lt;&gt;"",10000,0)+IF(Atletas!B207="Feminino",1000,IF(Atletas!B207="Masculino",2000,""))+IF(OR(Atletas!O207="Yang 26 A",Atletas!O207="Yang 40 A"),401,IF(OR(Atletas!O207="Chen 25 A",Atletas!O207="Chen 36 A",Atletas!O207="Chen 56 A"),402,IF(Atletas!O207="Sun 73 A",403,IF(Atletas!O207="Wu 45 A",404,IF(Atletas!O207="Wu-Hao 46 A",405,IF(OR(Atletas!O207="Taijiquan 16 A",Atletas!O207="Taijiquan 24 A",Atletas!O207="Taijiquan 32 A",Atletas!O207="Taijiquan 42 A"),406,IF(OR(Atletas!O207="Yang 26 B",Atletas!O207="Yang 40 B"),407,IF(OR(Atletas!O207="Chen 25 B",Atletas!O207="Chen 36 B",Atletas!O207="Chen 56 B"),408,IF(Atletas!O207="Sun 73 B",409,IF(Atletas!O207="Wu 45 B",410,IF(Atletas!O207="Wu-Hao 46 B",411,IF(OR(Atletas!O207="Taijiquan 16 B",Atletas!O207="Taijiquan 24 B",Atletas!O207="Taijiquan 32 B",Atletas!O207="Taijiquan 42 B"),412,IF(OR(Atletas!O207="Yang 26 C",Atletas!O207="Yang 40 C"),413,IF(OR(Atletas!O207="Chen 25 C",Atletas!O207="Chen 36 C",Atletas!O207="Chen 56 C"),414,IF(Atletas!O207="Sun 73 C",415,IF(Atletas!O207="Wu 45 C",416,IF(Atletas!O207="Wu-Hao 46 C",417,IF(OR(Atletas!O207="Taijiquan 16 C",Atletas!O207="Taijiquan 24 C",Atletas!O207="Taijiquan 32 C",Atletas!O207="Taijiquan 42 C"),418,0)))))))))))))))))))</f>
        <v/>
      </c>
      <c r="BQ211" s="52" t="str">
        <f>IF(Atletas!O207="","",IF(Atletas!W207&lt;&gt;"",10000,0)+IF(Atletas!B207="Feminino",1000,IF(Atletas!B207="Masculino",2000,""))+IF(OR(Atletas!O207="Yang 26 D",Atletas!O207="Yang 40 D"),419,IF(OR(Atletas!O207="Chen 25 D",Atletas!O207="Chen 36 D",Atletas!O207="Chen 56 D"),420,IF(Atletas!O207="Sun 73 D",421,IF(Atletas!O207="Wu 45 D",422,IF(Atletas!O207="Wu-Hao 46 D",423,IF(OR(Atletas!O207="Taijiquan 16 D",Atletas!O207="Taijiquan 24 D",Atletas!O207="Taijiquan 32 D",Atletas!O207="Taijiquan 42 D"),424,IF(OR(Atletas!O207="Yang 26 E",Atletas!O207="Yang 40 E"),425,IF(OR(Atletas!O207="Chen 25 E",Atletas!O207="Chen 36 E",Atletas!O207="Chen 56 E"),426,IF(Atletas!O207="Sun 73 E",427,IF(Atletas!O207="Wu 45 E",428,IF(Atletas!O207="Wu-Hao 46 E",429,IF(OR(Atletas!O207="Taijiquan 16 E",Atletas!O207="Taijiquan 24 E",Atletas!O207="Taijiquan 32 E",Atletas!O207="Taijiquan 42 E"),430,IF(OR(Atletas!O207="Yang 26 F",Atletas!O207="Yang 40 F"),431,IF(OR(Atletas!O207="Chen 25 F",Atletas!O207="Chen 36 F",Atletas!O207="Chen 56 F"),432,IF(Atletas!O207="Sun 73 F",433,IF(Atletas!O207="Wu 45 F",434,IF(Atletas!O207="Wu-Hao 46 F",435,IF(OR(Atletas!O207="Taijiquan 16 F",Atletas!O207="Taijiquan 24 F",Atletas!O207="Taijiquan 32 F",Atletas!O207="Taijiquan 42 F"),436,0)))))))))))))))))))</f>
        <v/>
      </c>
      <c r="BR211" s="52" t="str">
        <f>IF(Atletas!P207="","",IF(Atletas!W207&lt;&gt;"",10000,0)+IF(Atletas!B207="Feminino",1000,IF(Atletas!B207="Masculino",2000,""))+IF(Atletas!P207="Xingyiquan A",501,IF(Atletas!P207="Baguazhang A",502,IF(Atletas!P207="Outro Estilo Interno A",503,IF(Atletas!P207="Xingyiquan B",504,IF(Atletas!P207="Baguazhang B",505,IF(Atletas!P207="Outro Estilo Interno B",506,IF(Atletas!P207="Xingyiquan C",507,IF(Atletas!P207="Baguazhang C",508,IF(Atletas!P207="Outro Estilo Interno C",509,IF(Atletas!P207="Xingyiquan D",510,IF(Atletas!P207="Baguazhang D",511,IF(Atletas!P207="Outro Estilo Interno D",512,IF(Atletas!P207="Xingyiquan E",513,IF(Atletas!P207="Baguazhang E",514,IF(Atletas!P207="Outro Estilo Interno E",515,IF(Atletas!P207="Xingyiquan F",516,IF(Atletas!P207="Baguazhang F",517,IF(Atletas!P207="Outro Estilo Interno F",518, "")))))))))))))))))))</f>
        <v/>
      </c>
      <c r="BS211" s="52" t="str">
        <f>IF(Atletas!Q207="","",IF(Atletas!W207&lt;&gt;"",10000,0)+IF(Atletas!B207="Feminino",1000,IF(Atletas!B207="Masculino",2000,""))+IF(Atletas!Q207="Dao A",601,IF(Atletas!Q207="Jian A",602,IF(Atletas!Q207="Bishou A",603,IF(Atletas!Q207="Shan A",604,IF(Atletas!Q207="Outra Arma Curta A",605,IF(Atletas!Q207="Dao B",606,IF(Atletas!Q207="Jian B",607,IF(Atletas!Q207="Bishou B",608,IF(Atletas!Q207="Shan B",609,IF(Atletas!Q207="Outra Arma Curta B",610,IF(Atletas!Q207="Dao C",611,IF(Atletas!Q207="Jian C",612,IF(Atletas!Q207="Bishou C",613,IF(Atletas!Q207="Shan C",614,IF(Atletas!Q207="Outra Arma Curta C",615,IF(Atletas!Q207="Dao D",616,IF(Atletas!Q207="Jian D",617,IF(Atletas!Q207="Bishou D",618,IF(Atletas!Q207="Shan D",619,IF(Atletas!Q207="Outra Arma Curta D",620,IF(Atletas!Q207="Dao E",621,IF(Atletas!Q207="Jian E",622,IF(Atletas!Q207="Bishou E",623,IF(Atletas!Q207="Shan E",624,IF(Atletas!Q207="Outra Arma Curta E",625,IF(Atletas!Q207="Dao F",626,IF(Atletas!Q207="Jian F",627,IF(Atletas!Q207="Bishou F",628,IF(Atletas!Q207="Shan F",629,IF(Atletas!Q207="Outra Arma Curta F",630, "")))))))))))))))))))))))))))))))</f>
        <v/>
      </c>
      <c r="BT211" s="52" t="str">
        <f>IF(Atletas!R207="","",IF(Atletas!W207&lt;&gt;"",10000,0)+IF(Atletas!B207="Feminino",1000,IF(Atletas!B207="Masculino",2000,""))+IF(Atletas!R207="Gun A",701,IF(Atletas!R207="Qiang A",702,IF(Atletas!R207="Pudao / Guandao A",703,IF(Atletas!R207="Outra Arma Longa A",704,IF(Atletas!R207="Gun B",705,IF(Atletas!R207="Qiang B",706,IF(Atletas!R207="Pudao / Guandao B",707,IF(Atletas!R207="Outra Arma Longa B",708,IF(Atletas!R207="Gun C",709,IF(Atletas!R207="Qiang C",710,IF(Atletas!R207="Pudao / Guandao C",711,IF(Atletas!R207="Outra Arma Longa C",712,IF(Atletas!R207="Gun D",713,IF(Atletas!R207="Qiang D",714,IF(Atletas!R207="Pudao / Guandao D",715,IF(Atletas!R207="Outra Arma Longa D",716,IF(Atletas!R207="Gun E",717,IF(Atletas!R207="Qiang E",718,IF(Atletas!R207="Pudao / Guandao E",719,IF(Atletas!R207="Outra Arma Longa E",720,IF(Atletas!R207="Gun F",721,IF(Atletas!R207="Qiang F",722,IF(Atletas!R207="Pudao / Guandao F",723,IF(Atletas!R207="Outra Arma Longa F",724,"")))))))))))))))))))))))))</f>
        <v/>
      </c>
      <c r="BU211" s="52" t="str">
        <f>IF(Atletas!S207="","",IF(Atletas!W207&lt;&gt;"",10000,0)+IF(Atletas!B207="Feminino",1000,IF(Atletas!B207="Masculino",2000,""))+IF(Atletas!S207="Arma Dupla A",801,IF(Atletas!S207="Arma Maleável A",802,IF(Atletas!S207="Arma Dupla B",803,IF(Atletas!S207="Arma Maleável B",804,IF(Atletas!S207="Arma Dupla C",805,IF(Atletas!S207="Arma Maleável C",806,IF(Atletas!S207="Arma Dupla D",807,IF(Atletas!S207="Arma Maleável D",808,IF(Atletas!S207="Arma Dupla E",809,IF(Atletas!S207="Arma Maleável E",810,IF(Atletas!S207="Arma Dupla F",811,IF(Atletas!S207="Arma Maleável F",812, "")))))))))))))</f>
        <v/>
      </c>
      <c r="BV211" s="52" t="str">
        <f>IF(Atletas!T207="","",IF(Atletas!W207&lt;&gt;"",10000,0)+IF(Atletas!B207="Feminino",1000,IF(Atletas!B207="Masculino",2000,""))+IF(Atletas!T207="Taijijian Yang A",901,IF(Atletas!T207="Taijijian Chen A",902,IF(Atletas!T207="Taijijian Sun A",903,IF(Atletas!T207="Taijijian Wu A",904,IF(Atletas!T207="Taijijian Wu-Hao A",905,IF(Atletas!T207="Taijijian 32 A",906,IF(Atletas!T207="Taijijian 42 A",907,IF(Atletas!T207="Taijijian Yang B",908,IF(Atletas!T207="Taijijian Chen B",909,IF(Atletas!T207="Taijijian Sun B",910,IF(Atletas!T207="Taijijian Wu B",911,IF(Atletas!T207="Taijijian Wu-Hao B",912,IF(Atletas!T207="Taijijian 32 B",913,IF(Atletas!T207="Taijijian 42 B",914,IF(Atletas!T207="Taijijian Yang C",915,IF(Atletas!T207="Taijijian Chen C",916,IF(Atletas!T207="Taijijian Sun C",917,IF(Atletas!T207="Taijijian Wu C",918,IF(Atletas!T207="Taijijian Wu-Hao C",919,IF(Atletas!T207="Taijijian 32 C",920,IF(Atletas!T207="Taijijian 42 C",921,IF(Atletas!T207="Taijijian Yang D",922,IF(Atletas!T207="Taijijian Chen D",923,IF(Atletas!T207="Taijijian Sun D",924,IF(Atletas!T207="Taijijian Wu D",925,IF(Atletas!T207="Taijijian Wu-Hao D",926,IF(Atletas!T207="Taijijian 32 D",927,IF(Atletas!T207="Taijijian 42 D",928,IF(Atletas!T207="Taijijian Yang E",929,IF(Atletas!T207="Taijijian Chen E",930,IF(Atletas!T207="Taijijian Sun E",931,IF(Atletas!T207="Taijijian Wu E",932,IF(Atletas!T207="Taijijian Wu-Hao E",933,IF(Atletas!T207="Taijijian 32 E",934,IF(Atletas!T207="Taijijian 42 E",935,IF(Atletas!T207="Taijijian Yang F",936,IF(Atletas!T207="Taijijian Chen F",937,IF(Atletas!T207="Taijijian Sun F",938,IF(Atletas!T207="Taijijian Wu F",939,IF(Atletas!T207="Taijijian Wu-Hao F",940,IF(Atletas!T207="Taijijian 32 F",941,IF(Atletas!T207="Taijijian 42 F",942,"")))))))))))))))))))))))))))))))))))))))))))</f>
        <v/>
      </c>
      <c r="BW211" s="52" t="str">
        <f>IF(Atletas!U207="","",IF(Atletas!W207&lt;&gt;"",10000,0)+IF(Atletas!B207="Feminino",1000,IF(Atletas!B207="Masculino",2000,""))+IF(Atletas!T207="Taijijian 42 F",942,IF(Atletas!U207="Taijidao A",943,IF(Atletas!U207="Taijishan A",944,IF(Atletas!U207="Taijiqiang A",945,IF(Atletas!U207="Taijidao B",946,IF(Atletas!U207="Taijishan B",947,IF(Atletas!U207="Taijiqiang B",948,IF(Atletas!U207="Taijidao C",949,IF(Atletas!U207="Taijishan C",950,IF(Atletas!U207="Taijiqiang C",951,IF(Atletas!U207="Taijidao D",952,IF(Atletas!U207="Taijishan D",953,IF(Atletas!U207="Taijiqiang D",954,IF(Atletas!U207="Taijidao E",955,IF(Atletas!U207="Taijishan E",956,IF(Atletas!U207="Taijiqiang E",957,IF(Atletas!U207="Taijidao F",958,IF(Atletas!U207="Taijishan F",959,IF(Atletas!U207="Taijiqiang F",960))))))))))))))))))))</f>
        <v/>
      </c>
      <c r="BX211" s="72" t="str">
        <f>IF(BY211&lt;&gt;"","Xingyiquan C","")</f>
        <v/>
      </c>
      <c r="BY211" s="72" t="str">
        <f>IF(COUNTIF(BK:BW,1507)&gt;0,COUNTIF(BK:BW,1507),"")</f>
        <v/>
      </c>
      <c r="BZ211" s="72" t="str">
        <f>IF(CA211&lt;&gt;"","Xingyiquan C","")</f>
        <v/>
      </c>
      <c r="CA211" s="72" t="str">
        <f>IF(COUNTIF(BK:BW,2507)&gt;0,COUNTIF(BK:BW,2507),"")</f>
        <v/>
      </c>
      <c r="CB211" s="72" t="str">
        <f>IF(CC211&lt;&gt;"","Yang 50 D","")</f>
        <v/>
      </c>
      <c r="CC211" s="64" t="str">
        <f>IF(COUNTIF(BK:BW,11443)&gt;0,COUNTIF(BK:BW,11443),"")</f>
        <v/>
      </c>
      <c r="CD211" s="64" t="str">
        <f>IF(CE211&lt;&gt;"","Yang 50 D","")</f>
        <v/>
      </c>
      <c r="CE211" s="64" t="str">
        <f>IF(COUNTIF(BK:BW,12443)&gt;0,COUNTIF(BK:BW,12443),"")</f>
        <v/>
      </c>
      <c r="CF211" s="52" t="str">
        <f xml:space="preserve"> IF(Atletas!V207="","",IF(Atletas!V207="Duilian de Mãos AB - Equipe 1",1,IF(Atletas!V207="Duilian de Mãos AB - Equipe 2",2,IF(Atletas!V207="Duilian de Armas AB - Equipe 1",3,IF(Atletas!V207="Duilian de Armas AB - Equipe 2",4,IF(Atletas!V207="Duilian de Tuishou - Equipe 1",5,IF(Atletas!V207="Duilian de Tuishou - Equipe 2",6,IF(Atletas!V207="Grupo Externo AB - Equipe 1",7,IF(Atletas!V207="Grupo Externo AB - Equipe 2",8,IF(Atletas!V207="Grupo Interno AB - Equipe 1",9,IF(Atletas!V207="Grupo Interno AB - Equipe 2",10,IF(Atletas!V207="Duilian de Mãos CD - Equipe 1",11,IF(Atletas!V207="Duilian de Mãos CD - Equipe 2",12,IF(Atletas!V207="Duilian de Armas CD - Equipe 1",13,IF(Atletas!V207="Duilian de Armas CD - Equipe 2",14,IF(Atletas!V207="Duilian de Tuishou - Equipe 1",15,IF(Atletas!V207="Duilian de Tuishou - Equipe 2",16,IF(Atletas!V207="Grupo Externo CDEF - Equipe 1",17,IF(Atletas!V207="Grupo Externo CDEF - Equipe 2",18,IF(Atletas!V207="Grupo Interno CDEF - Equipe 1",19,IF(Atletas!V207="Grupo Interno CDEF - Equipe 2",20,IF(Atletas!V207="Duilian de Mãos EF - Equipe 1",21,IF(Atletas!V207="Duilian de Mãos EF - Equipe 2",22,IF(Atletas!V207="Duilian de Armas EF - Equipe 1",23,IF(Atletas!V207="Duilian de Armas EF - Equipe 2",24,IF(Atletas!V207="Duilian de Tuishou - Equipe 1",25,IF(Atletas!V207="Duilian de Tuishou - Equipe 2",26,"")))))))))))))))))))))))))))</f>
        <v/>
      </c>
    </row>
    <row r="212" spans="2:84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 t="str">
        <f t="array" ref="V212">IFERROR(INDEX(BX$7:BX$336,SMALL(IF(BX$7:BX$336&lt;&gt;"",ROW(BX$7:BX$336)-ROW(BX$7)+1),ROWS(BX$7:BX204))),"")</f>
        <v/>
      </c>
      <c r="W212" s="4" t="str">
        <f t="array" ref="W212">IFERROR(INDEX(BY$7:BY$336,SMALL(IF(BY$7:BY$336&lt;&gt;"",ROW(BY$7:BY$336)-ROW(BY$7)+1),ROWS(BY$7:BY204))),"")</f>
        <v/>
      </c>
      <c r="X212" s="4" t="str">
        <f t="array" ref="X212">IFERROR(INDEX(BZ$7:BZ$336,SMALL(IF(BZ$7:BZ$336&lt;&gt;"",ROW(BZ$7:BZ$336)-ROW(BZ$7)+1),ROWS(BZ$7:BZ204))),"")</f>
        <v/>
      </c>
      <c r="Y212" s="4" t="str">
        <f t="array" ref="Y212">IFERROR(INDEX(CA$7:CA$336,SMALL(IF(CA$7:CA$336&lt;&gt;"",ROW(CA$7:CA$336)-ROW(CA$7)+1),ROWS(CA$7:CA204))),"")</f>
        <v/>
      </c>
      <c r="Z212" s="4" t="str">
        <f t="array" ref="Z212">IFERROR(INDEX(CB$7:CB$378,SMALL(IF(CB$7:CB$378&lt;&gt;"",ROW(CB$7:CB$378)-ROW(CB$7)+1),ROWS(CB$7:CB211))),"")</f>
        <v/>
      </c>
      <c r="AA212" s="4" t="str">
        <f t="array" ref="AA212">IFERROR(INDEX(CC$7:CC$378,SMALL(IF(CC$7:CC$378&lt;&gt;"",ROW(CC$7:CC$378)-ROW(CC$7)+1),ROWS(CC$7:CC211))),"")</f>
        <v/>
      </c>
      <c r="AB212" s="4" t="str">
        <f t="array" ref="AB212">IFERROR(INDEX(CD$7:CD$378,SMALL(IF(CD$7:CD$378&lt;&gt;"",ROW(CD$7:CD$378)-ROW(CD$7)+1),ROWS(CD$7:CD211))),"")</f>
        <v/>
      </c>
      <c r="AC212" s="4" t="str">
        <f t="array" ref="AC212">IFERROR(INDEX(CE$7:CE$378,SMALL(IF(CE$7:CE$378&lt;&gt;"",ROW(CE$7:CE$378)-ROW(CE$7)+1),ROWS(CE$7:CE211))),"")</f>
        <v/>
      </c>
      <c r="AD212" s="4"/>
      <c r="AE212" s="4"/>
      <c r="AF212" s="4"/>
      <c r="AG212" s="4"/>
      <c r="AH212" s="4"/>
      <c r="AI212" s="4"/>
      <c r="AJ212" s="46" t="str">
        <f>IF(Atletas!D208="","",IF(Atletas!B208="Feminino",100,IF(Atletas!B208="Masculino",200,""))+(IF(Atletas!D208="Infantil 39kg",1,IF(Atletas!D208="Infantil 42kg",2,IF(Atletas!D208="Infantil 45kg",3,IF(Atletas!D208="Infantil 48kg",4,IF(Atletas!D208="Infantil 52kg",5,IF(Atletas!D208="Infantil 56kg",6,IF(Atletas!D208="Infantil 60kg",7,IF(Atletas!D208="Juvenil 48kg",8,IF(Atletas!D208="Juvenil 52kg",9,IF(Atletas!D208="Juvenil 56kg",10,IF(Atletas!D208="Juvenil 60kg",11,IF(Atletas!D208="Juvenil 65kg",12,IF(Atletas!D208="Juvenil 70kg",13,IF(Atletas!D208="Juvenil 75kg",14,IF(Atletas!D208="Juvenil 80kg",15,IF(Atletas!D208="Adulto 48kg",16,IF(Atletas!D208="Adulto 52kg",17,IF(Atletas!D208="Adulto 56kg",18,IF(Atletas!D208="Adulto 60kg",19,IF(Atletas!D208="Adulto 65kg",20,IF(Atletas!D208="Adulto 70kg",21,IF(Atletas!D208="Adulto 75kg",22,IF(Atletas!D208="Adulto 80kg",23,IF(Atletas!D208="Adulto 85kg",24,IF(Atletas!D208="Adulto 90kg",25,IF(Atletas!D208="Adulto +90kg",26,""))))))))))))))))))))))))))))</f>
        <v/>
      </c>
      <c r="AO212" s="10" t="str">
        <f>IF(Atletas!E208="","",IF(Atletas!B208="Feminino",100,IF(Atletas!B208="Masculino",200,""))+(IF(Atletas!E208="Juvenil 44kg",1,IF(Atletas!E208="Juvenil 48kg",2,IF(Atletas!E208="Juvenil 52kg",3,IF(Atletas!E208="Juvenil 56kg",4,IF(Atletas!E208="Juvenil 60kg",5,IF(Atletas!E208="Juvenil 65kg",6,IF(Atletas!E208="Juvenil 70kg",7,IF(Atletas!E208="Juvenil 75kg",8,IF(Atletas!E208="Juvenil 82kg",9,IF(Atletas!E208="Juvenil 90kg",10,IF(Atletas!E208="Juvenil 100kg",11,IF(Atletas!E208="Adulto 48kg",12,IF(Atletas!E208="Adulto 52kg",13,IF(Atletas!E208="Adulto 56kg",14,IF(Atletas!E208="Adulto 60kg",15,IF(Atletas!E208="Adulto 65kg",16,IF(Atletas!E208="Adulto 70kg",17,IF(Atletas!E208="Adulto 75kg",18,IF(Atletas!E208="Adulto 82kg",19,IF(Atletas!E208="Adulto 90kg",20,IF(Atletas!E208="Adulto 100kg",21,IF(Atletas!E208="Adulto +100kg",22,""))))))))))))))))))))))))</f>
        <v/>
      </c>
      <c r="AT212" s="10" t="str">
        <f>IF(Atletas!F208="","",IF(Atletas!B208="Feminino",100,IF(Atletas!B208="Masculino",200,""))+(IF(Atletas!F208="Adulto 48kg",1,IF(Atletas!F208="Adulto 56kg",2,IF(Atletas!F208="Adulto 65kg",3,IF(Atletas!F208="Adulto 75kg",4,IF(Atletas!F208="Adulto +75kg",5,IF(Atletas!F208="Adulto 52kg",6,IF(Atletas!F208="Adulto 60kg",7,IF(Atletas!F208="Adulto 70kg",8,IF(Atletas!F208="Adulto 80kg",9,IF(Atletas!F208="Adulto 90kg",10,IF(Atletas!F208="Adulto +90kg",11,"")))))))))))))</f>
        <v/>
      </c>
      <c r="AY212" s="46" t="str">
        <f>IF(Atletas!G208="","",IF(Atletas!B208="Feminino",100,IF(Atletas!B208="Masculino",200,""))+(IF(Atletas!G208="Changquan Mirim",1,IF(Atletas!G208="Nanquan Mirim",2,IF(Atletas!G208="Taijiquan Mirim",3,IF(Atletas!G208="Changquan Grupo C",4,IF(Atletas!G208="Nanquan Grupo C",5,IF(Atletas!G208="Taijiquan Grupo C",6,IF(Atletas!G208="Changquan Grupo B",7,IF(Atletas!G208="Nanquan Grupo B",8,IF(Atletas!G208="Taijiquan Grupo B",9,IF(Atletas!G208="Changquan Grupo A",10,IF(Atletas!G208="Nanquan Grupo A",11,IF(Atletas!G208="Taijiquan Grupo A",12,IF(Atletas!G208="Changquan Opcional",13,IF(Atletas!G208="Nanquan Opcional",14,IF(Atletas!G208="Taijiquan Opcional",15,IF(Atletas!G208="Changquan Adulto",16,IF(Atletas!G208="Nanquan Adulto",17,IF(Atletas!G208="Taijiquan Adulto",18,""))))))))))))))))))))</f>
        <v/>
      </c>
      <c r="AZ212" s="46" t="str">
        <f>IF(Atletas!H208="","",IF(Atletas!B208="Feminino",100,IF(Atletas!B208="Masculino",200,""))+(IF(Atletas!H208="Daoshu Mirim",19,IF(Atletas!H208="Jianshu Mirim",20,IF(Atletas!H208="Nandao Mirim",21,IF(Atletas!H208="Taijijian Mirim",22,IF(Atletas!H208="Daoshu Grupo C",23,IF(Atletas!H208="Jianshu Grupo C",24,IF(Atletas!H208="Nandao Grupo C",25,IF(Atletas!H208="Taijijian Grupo C",26,IF(Atletas!H208="Daoshu Grupo B",27,IF(Atletas!H208="Jianshu Grupo B",28,IF(Atletas!H208="Nandao Grupo B",29,IF(Atletas!H208="Taijijian Grupo B",30,IF(Atletas!H208="Daoshu Grupo A",31,IF(Atletas!H208="Jianshu Grupo A",32,IF(Atletas!H208="Nandao Grupo A",33,IF(Atletas!H208="Taijijian Grupo A",34,IF(Atletas!H208="Daoshu Opcional",35,IF(Atletas!H208="Jianshu Opcional",36,IF(Atletas!H208="Nandao Opcional",37,IF(Atletas!H208="Taijijian Opcional",38,IF(Atletas!H208="Daoshu Adulto",39,IF(Atletas!H208="Jianshu Adulto",40,IF(Atletas!H208="Nandao Adulto",41,IF(Atletas!H208="Taijijian Adulto",42,""))))))))))))))))))))))))))</f>
        <v/>
      </c>
      <c r="BA212" s="46" t="str">
        <f>IF(Atletas!I208="","",IF(Atletas!B208="Feminino",100,IF(Atletas!B208="Masculino",200,""))+(IF(Atletas!I208="Gunshu Mirim",43,IF(Atletas!I208="Qiangshu Mirim",44,IF(Atletas!I208="Nangun Mirim",45,IF(Atletas!I208="Gunshu Grupo C",46,IF(Atletas!I208="Qiangshu Grupo C",47,IF(Atletas!I208="Nangun Grupo C",48,IF(Atletas!I208="Gunshu Grupo B",49,IF(Atletas!I208="Qiangshu Grupo B",50,IF(Atletas!I208="Nangun Grupo B",51,IF(Atletas!I208="Gunshu Grupo A",52,IF(Atletas!I208="Qiangshu Grupo A",53,IF(Atletas!I208="Nangun Grupo A",54,IF(Atletas!I208="Gunshu Opcional",55,IF(Atletas!I208="Qiangshu Opcional",56,IF(Atletas!I208="Nangun Opcional",57,IF(Atletas!I208="Gunshu Adulto",58,IF(Atletas!I208="Qiangshu Adulto",59,IF(Atletas!I208="Nangun Adulto",60,""))))))))))))))))))))</f>
        <v/>
      </c>
      <c r="BF212" s="52" t="str">
        <f>IF(Atletas!J208="","",IF(Atletas!B208="Feminino",100,IF(Atletas!B208="Masculino",200,""))+(IF(Atletas!J208="Equipe 1 Grupo B",1,IF(Atletas!J208="Equipe 2 Grupo B",2,IF(Atletas!J208="Equipe 1 Grupo A",3,IF(Atletas!J208="Equipe 2 Grupo A",4,IF(Atletas!J208="Equipe 1 Adulto",5,IF(Atletas!J208="Equipe 2 Adulto",6,""))))))))</f>
        <v/>
      </c>
      <c r="BK212" s="52" t="str">
        <f>IF(Atletas!K208="","",IF(Atletas!W208&lt;&gt;"",10000,0)+(IF(Atletas!B208="Feminino",1000,IF(Atletas!B208="Masculino",2000,""))+IF(Atletas!K208="Choylayfut A",1,IF(Atletas!K208="Hunggar A",2,IF(Atletas!K208="Wuzuquan A",3,IF(Atletas!K208="Wingchun A",4,IF(Atletas!K208="Outra Mão de Sul A",5,IF(Atletas!K208="Choylayfut B",6,IF(Atletas!K208="Hunggar B",7,IF(Atletas!K208="Wuzuquan B",8,IF(Atletas!K208="Wingchun B",9,IF(Atletas!K208="Outra Mão de Sul B",10,IF(Atletas!K208="Choylayfut C",11,IF(Atletas!K208="Hunggar C",12,IF(Atletas!K208="Wuzuquan C",13,IF(Atletas!K208="Wingchun C",14,IF(Atletas!K208="Outra Mão de Sul C",15,IF(Atletas!K208="Choylayfut D",16,IF(Atletas!K208="Hunggar D",17,IF(Atletas!K208="Wuzuquan D",18,IF(Atletas!K208="Wingchun D",19,IF(Atletas!K208="Outra Mão de Sul D",20,IF(Atletas!K208="Choylayfut E",21,IF(Atletas!K208="Hunggar E",22,IF(Atletas!K208="Wuzuquan E",23,IF(Atletas!K208="Wingchun E",24,IF(Atletas!K208="Outra Mão de Sul E",25,IF(Atletas!K208="Choylayfut F",26,IF(Atletas!K208="Hunggar F",27,IF(Atletas!K208="Wuzuquan F",28,IF(Atletas!K208="Wingchun F",29,IF(Atletas!K208="Outra Mão de Sul F",30,""))))))))))))))))))))))))))))))))</f>
        <v/>
      </c>
      <c r="BL212" s="52" t="str">
        <f>IF(Atletas!L208="","",IF(Atletas!W208&lt;&gt;"",10000,0)+(IF(Atletas!B208="Feminino",1000,IF(Atletas!B208="Masculino",2000,""))+(IF(Atletas!L208="Chaquan A",101,IF(Atletas!L208="Emeiquan A",102,IF(Atletas!L208="Fanziquan A",103,IF(Atletas!L208="Huaquan A",104,IF(Atletas!L208="Hongquan A",105,IF(Atletas!L208="Paochui A",106,IF(Atletas!L208="Piguaquan A",107,IF(Atletas!L208="Shaolinquan A",108,IF(Atletas!L208="Tanglangquan A",109,IF(Atletas!L208="Yinzhaophai A",110,IF(Atletas!L208="Tongbeiquan A",111,IF(Atletas!L208="Wudangquan A",112,IF(Atletas!L208="Outros Estilos A",113,IF(Atletas!L208="Chaquan B",114,IF(Atletas!L208="Emeiquan B",115,IF(Atletas!L208="Fanziquan B",116,IF(Atletas!L208="Huaquan B",117,IF(Atletas!L208="Hongquan B",118,IF(Atletas!L208="Paochui B",119,IF(Atletas!L208="Piguaquan B",120,IF(Atletas!L208="Shaolinquan B",121,IF(Atletas!L208="Tanglangquan B",122,IF(Atletas!L208="Yinzhaophai B",123,IF(Atletas!L208="Tongbeiquan B",124,IF(Atletas!L208="Wudangquan B",125,IF(Atletas!L208="Outros Estilos B",126,IF(Atletas!L208="Chaquan C",127,IF(Atletas!L208="Emeiquan C",128,IF(Atletas!L208="Fanziquan C",129,IF(Atletas!L208="Huaquan C",130,IF(Atletas!L208="Hongquan C",131,IF(Atletas!L208="Paochui C",132,IF(Atletas!L208="Piguaquan C",133,IF(Atletas!L208="Shaolinquan C",134,IF(Atletas!L208="Tanglangquan C",135,IF(Atletas!L208="Yinzhaophai C",136,IF(Atletas!L208="Tongbeiquan C",137,IF(Atletas!L208="Wudangquan C",138,IF(Atletas!L208="Outros Estilos C",139,0))))))))))))))))))))))))))))))))))))))))))</f>
        <v/>
      </c>
      <c r="BM212" s="52" t="str">
        <f>IF(Atletas!L208="","",IF(Atletas!W208&lt;&gt;"",10000,0)+(IF(Atletas!B208="Feminino",1000,IF(Atletas!B208="Masculino",2000,""))+(IF(Atletas!L208="Chaquan D",140,IF(Atletas!L208="Emeiquan D",141,IF(Atletas!L208="Fanziquan D",142,IF(Atletas!L208="Huaquan D",143,IF(Atletas!L208="Hongquan D",144,IF(Atletas!L208="Paochui D",145,IF(Atletas!L208="Piguaquan D",146,IF(Atletas!L208="Shaolinquan D",147,IF(Atletas!L208="Tanglangquan D",148,IF(Atletas!L208="Yinzhaophai D",149,IF(Atletas!L208="Tongbeiquan D",150,IF(Atletas!L208="Wudangquan D",151,IF(Atletas!L208="Outros Estilos D",152,IF(Atletas!L208="Chaquan E",153,IF(Atletas!L208="Emeiquan E",154,IF(Atletas!L208="Fanziquan E",155,IF(Atletas!L208="Huaquan E",156,IF(Atletas!L208="Hongquan E",157,IF(Atletas!L208="Paochui E",158,IF(Atletas!L208="Piguaquan E",159,IF(Atletas!L208="Shaolinquan E",160,IF(Atletas!L208="Tanglangquan E",161,IF(Atletas!L208="Yinzhaophai E",162,IF(Atletas!L208="Tongbeiquan E",163,IF(Atletas!L208="Wudangquan E",164,IF(Atletas!L208="Outros Estilos E",165,IF(Atletas!L208="Chaquan F",166,IF(Atletas!L208="Emeiquan F",167,IF(Atletas!L208="Fanziquan F",168,IF(Atletas!L208="Huaquan F",169,IF(Atletas!L208="Hongquan F",170,IF(Atletas!L208="Paochui F",171,IF(Atletas!L208="Piguaquan F",172,IF(Atletas!L208="Shaolinquan F",173,IF(Atletas!L208="Tanglangquan F",174,IF(Atletas!L208="Yinzhaophai F",175,IF(Atletas!L208="Tongbeiquan F",176,IF(Atletas!L208="Wudangquan F",177,IF(Atletas!L208="Outros Estilos F",178,0))))))))))))))))))))))))))))))))))))))))))</f>
        <v/>
      </c>
      <c r="BN212" s="52" t="str">
        <f>IF(Atletas!M208="","",IF(Atletas!W208&lt;&gt;"",10000,0)+(IF(Atletas!B208="Feminino",1000,IF(Atletas!B208="Masculino",2000,""))+(IF(Atletas!M208="Ditangquan A",201,IF(Atletas!M208="Houquan A",202,IF(Atletas!M208="Zuiquan A",203,IF(Atletas!M208="Ditangquan B",204,IF(Atletas!M208="Houquan B",205,IF(Atletas!M208="Zuiquan B",206,IF(Atletas!M208="Ditangquan C",207,IF(Atletas!M208="Houquan C",208,IF(Atletas!M208="Zuiquan C",209,IF(Atletas!M208="Ditangquan D",210,IF(Atletas!M208="Houquan D",211,IF(Atletas!M208="Zuiquan D",212,IF(Atletas!M208="Ditangquan E",213,IF(Atletas!M208="Houquan E",214,IF(Atletas!M208="Zuiquan E",215,IF(Atletas!M208="Ditangquan F",216,IF(Atletas!M208="Houquan F",217,IF(Atletas!M208="Zuiquan F",218,"")))))))))))))))))))))</f>
        <v/>
      </c>
      <c r="BO212" s="52" t="str">
        <f>IF(Atletas!N208="","",IF(Atletas!W208&lt;&gt;"",10000,0)+IF(Atletas!B208="Feminino",1000,IF(Atletas!B208="Masculino",2000,""))+IF(Atletas!N208="Yang A",301,IF(Atletas!N208="Chen A",30,IF(Atletas!N208="Sun A",303,IF(Atletas!N208="Wu A",304,IF(Atletas!N208="Wu-Hao A",305,IF(Atletas!N208="Outro Taijiquan A",306,IF(Atletas!N208="Yang B",307,IF(Atletas!N208="Chen B",308,IF(Atletas!N208="Sun B",309,IF(Atletas!N208="Wu B",310,IF(Atletas!N208="Wu-Hao B",311,IF(Atletas!N208="Outro Taijiquan B",312,IF(Atletas!N208="Yang C",313,IF(Atletas!N208="Chen C",314,IF(Atletas!N208="Sun C",315,IF(Atletas!N208="Wu C",316,IF(Atletas!N208="Wu-Hao C",317,IF(Atletas!N208="Outro Taijiquan C",318,IF(Atletas!N208="Yang D",319,IF(Atletas!N208="Chen D",320,IF(Atletas!N208="Sun D",321,IF(Atletas!N208="Wu D",322,IF(Atletas!N208="Wu-Hao D",323,IF(Atletas!N208="Outro Taijiquan D",324,IF(Atletas!N208="Yang E",325,IF(Atletas!N208="Chen E",326,IF(Atletas!N208="Sun E",327,IF(Atletas!N208="Wu E",328,IF(Atletas!N208="Wu-Hao E",329,IF(Atletas!N208="Outro Taijiquan E",330,IF(Atletas!N208="Yang F",331,IF(Atletas!N208="Chen F",332,IF(Atletas!N208="Sun F",333,IF(Atletas!N208="Wu F",334,IF(Atletas!N208="Wu-Hao F",335,IF(Atletas!N208="Outro Taijiquan F",336,"")))))))))))))))))))))))))))))))))))))</f>
        <v/>
      </c>
      <c r="BP212" s="52" t="str">
        <f>IF(Atletas!O208="","",IF(Atletas!W208&lt;&gt;"",10000,0)+IF(Atletas!B208="Feminino",1000,IF(Atletas!B208="Masculino",2000,""))+IF(OR(Atletas!O208="Yang 26 A",Atletas!O208="Yang 40 A"),401,IF(OR(Atletas!O208="Chen 25 A",Atletas!O208="Chen 36 A",Atletas!O208="Chen 56 A"),402,IF(Atletas!O208="Sun 73 A",403,IF(Atletas!O208="Wu 45 A",404,IF(Atletas!O208="Wu-Hao 46 A",405,IF(OR(Atletas!O208="Taijiquan 16 A",Atletas!O208="Taijiquan 24 A",Atletas!O208="Taijiquan 32 A",Atletas!O208="Taijiquan 42 A"),406,IF(OR(Atletas!O208="Yang 26 B",Atletas!O208="Yang 40 B"),407,IF(OR(Atletas!O208="Chen 25 B",Atletas!O208="Chen 36 B",Atletas!O208="Chen 56 B"),408,IF(Atletas!O208="Sun 73 B",409,IF(Atletas!O208="Wu 45 B",410,IF(Atletas!O208="Wu-Hao 46 B",411,IF(OR(Atletas!O208="Taijiquan 16 B",Atletas!O208="Taijiquan 24 B",Atletas!O208="Taijiquan 32 B",Atletas!O208="Taijiquan 42 B"),412,IF(OR(Atletas!O208="Yang 26 C",Atletas!O208="Yang 40 C"),413,IF(OR(Atletas!O208="Chen 25 C",Atletas!O208="Chen 36 C",Atletas!O208="Chen 56 C"),414,IF(Atletas!O208="Sun 73 C",415,IF(Atletas!O208="Wu 45 C",416,IF(Atletas!O208="Wu-Hao 46 C",417,IF(OR(Atletas!O208="Taijiquan 16 C",Atletas!O208="Taijiquan 24 C",Atletas!O208="Taijiquan 32 C",Atletas!O208="Taijiquan 42 C"),418,0)))))))))))))))))))</f>
        <v/>
      </c>
      <c r="BQ212" s="52" t="str">
        <f>IF(Atletas!O208="","",IF(Atletas!W208&lt;&gt;"",10000,0)+IF(Atletas!B208="Feminino",1000,IF(Atletas!B208="Masculino",2000,""))+IF(OR(Atletas!O208="Yang 26 D",Atletas!O208="Yang 40 D"),419,IF(OR(Atletas!O208="Chen 25 D",Atletas!O208="Chen 36 D",Atletas!O208="Chen 56 D"),420,IF(Atletas!O208="Sun 73 D",421,IF(Atletas!O208="Wu 45 D",422,IF(Atletas!O208="Wu-Hao 46 D",423,IF(OR(Atletas!O208="Taijiquan 16 D",Atletas!O208="Taijiquan 24 D",Atletas!O208="Taijiquan 32 D",Atletas!O208="Taijiquan 42 D"),424,IF(OR(Atletas!O208="Yang 26 E",Atletas!O208="Yang 40 E"),425,IF(OR(Atletas!O208="Chen 25 E",Atletas!O208="Chen 36 E",Atletas!O208="Chen 56 E"),426,IF(Atletas!O208="Sun 73 E",427,IF(Atletas!O208="Wu 45 E",428,IF(Atletas!O208="Wu-Hao 46 E",429,IF(OR(Atletas!O208="Taijiquan 16 E",Atletas!O208="Taijiquan 24 E",Atletas!O208="Taijiquan 32 E",Atletas!O208="Taijiquan 42 E"),430,IF(OR(Atletas!O208="Yang 26 F",Atletas!O208="Yang 40 F"),431,IF(OR(Atletas!O208="Chen 25 F",Atletas!O208="Chen 36 F",Atletas!O208="Chen 56 F"),432,IF(Atletas!O208="Sun 73 F",433,IF(Atletas!O208="Wu 45 F",434,IF(Atletas!O208="Wu-Hao 46 F",435,IF(OR(Atletas!O208="Taijiquan 16 F",Atletas!O208="Taijiquan 24 F",Atletas!O208="Taijiquan 32 F",Atletas!O208="Taijiquan 42 F"),436,0)))))))))))))))))))</f>
        <v/>
      </c>
      <c r="BR212" s="52" t="str">
        <f>IF(Atletas!P208="","",IF(Atletas!W208&lt;&gt;"",10000,0)+IF(Atletas!B208="Feminino",1000,IF(Atletas!B208="Masculino",2000,""))+IF(Atletas!P208="Xingyiquan A",501,IF(Atletas!P208="Baguazhang A",502,IF(Atletas!P208="Outro Estilo Interno A",503,IF(Atletas!P208="Xingyiquan B",504,IF(Atletas!P208="Baguazhang B",505,IF(Atletas!P208="Outro Estilo Interno B",506,IF(Atletas!P208="Xingyiquan C",507,IF(Atletas!P208="Baguazhang C",508,IF(Atletas!P208="Outro Estilo Interno C",509,IF(Atletas!P208="Xingyiquan D",510,IF(Atletas!P208="Baguazhang D",511,IF(Atletas!P208="Outro Estilo Interno D",512,IF(Atletas!P208="Xingyiquan E",513,IF(Atletas!P208="Baguazhang E",514,IF(Atletas!P208="Outro Estilo Interno E",515,IF(Atletas!P208="Xingyiquan F",516,IF(Atletas!P208="Baguazhang F",517,IF(Atletas!P208="Outro Estilo Interno F",518, "")))))))))))))))))))</f>
        <v/>
      </c>
      <c r="BS212" s="52" t="str">
        <f>IF(Atletas!Q208="","",IF(Atletas!W208&lt;&gt;"",10000,0)+IF(Atletas!B208="Feminino",1000,IF(Atletas!B208="Masculino",2000,""))+IF(Atletas!Q208="Dao A",601,IF(Atletas!Q208="Jian A",602,IF(Atletas!Q208="Bishou A",603,IF(Atletas!Q208="Shan A",604,IF(Atletas!Q208="Outra Arma Curta A",605,IF(Atletas!Q208="Dao B",606,IF(Atletas!Q208="Jian B",607,IF(Atletas!Q208="Bishou B",608,IF(Atletas!Q208="Shan B",609,IF(Atletas!Q208="Outra Arma Curta B",610,IF(Atletas!Q208="Dao C",611,IF(Atletas!Q208="Jian C",612,IF(Atletas!Q208="Bishou C",613,IF(Atletas!Q208="Shan C",614,IF(Atletas!Q208="Outra Arma Curta C",615,IF(Atletas!Q208="Dao D",616,IF(Atletas!Q208="Jian D",617,IF(Atletas!Q208="Bishou D",618,IF(Atletas!Q208="Shan D",619,IF(Atletas!Q208="Outra Arma Curta D",620,IF(Atletas!Q208="Dao E",621,IF(Atletas!Q208="Jian E",622,IF(Atletas!Q208="Bishou E",623,IF(Atletas!Q208="Shan E",624,IF(Atletas!Q208="Outra Arma Curta E",625,IF(Atletas!Q208="Dao F",626,IF(Atletas!Q208="Jian F",627,IF(Atletas!Q208="Bishou F",628,IF(Atletas!Q208="Shan F",629,IF(Atletas!Q208="Outra Arma Curta F",630, "")))))))))))))))))))))))))))))))</f>
        <v/>
      </c>
      <c r="BT212" s="52" t="str">
        <f>IF(Atletas!R208="","",IF(Atletas!W208&lt;&gt;"",10000,0)+IF(Atletas!B208="Feminino",1000,IF(Atletas!B208="Masculino",2000,""))+IF(Atletas!R208="Gun A",701,IF(Atletas!R208="Qiang A",702,IF(Atletas!R208="Pudao / Guandao A",703,IF(Atletas!R208="Outra Arma Longa A",704,IF(Atletas!R208="Gun B",705,IF(Atletas!R208="Qiang B",706,IF(Atletas!R208="Pudao / Guandao B",707,IF(Atletas!R208="Outra Arma Longa B",708,IF(Atletas!R208="Gun C",709,IF(Atletas!R208="Qiang C",710,IF(Atletas!R208="Pudao / Guandao C",711,IF(Atletas!R208="Outra Arma Longa C",712,IF(Atletas!R208="Gun D",713,IF(Atletas!R208="Qiang D",714,IF(Atletas!R208="Pudao / Guandao D",715,IF(Atletas!R208="Outra Arma Longa D",716,IF(Atletas!R208="Gun E",717,IF(Atletas!R208="Qiang E",718,IF(Atletas!R208="Pudao / Guandao E",719,IF(Atletas!R208="Outra Arma Longa E",720,IF(Atletas!R208="Gun F",721,IF(Atletas!R208="Qiang F",722,IF(Atletas!R208="Pudao / Guandao F",723,IF(Atletas!R208="Outra Arma Longa F",724,"")))))))))))))))))))))))))</f>
        <v/>
      </c>
      <c r="BU212" s="52" t="str">
        <f>IF(Atletas!S208="","",IF(Atletas!W208&lt;&gt;"",10000,0)+IF(Atletas!B208="Feminino",1000,IF(Atletas!B208="Masculino",2000,""))+IF(Atletas!S208="Arma Dupla A",801,IF(Atletas!S208="Arma Maleável A",802,IF(Atletas!S208="Arma Dupla B",803,IF(Atletas!S208="Arma Maleável B",804,IF(Atletas!S208="Arma Dupla C",805,IF(Atletas!S208="Arma Maleável C",806,IF(Atletas!S208="Arma Dupla D",807,IF(Atletas!S208="Arma Maleável D",808,IF(Atletas!S208="Arma Dupla E",809,IF(Atletas!S208="Arma Maleável E",810,IF(Atletas!S208="Arma Dupla F",811,IF(Atletas!S208="Arma Maleável F",812, "")))))))))))))</f>
        <v/>
      </c>
      <c r="BV212" s="52" t="str">
        <f>IF(Atletas!T208="","",IF(Atletas!W208&lt;&gt;"",10000,0)+IF(Atletas!B208="Feminino",1000,IF(Atletas!B208="Masculino",2000,""))+IF(Atletas!T208="Taijijian Yang A",901,IF(Atletas!T208="Taijijian Chen A",902,IF(Atletas!T208="Taijijian Sun A",903,IF(Atletas!T208="Taijijian Wu A",904,IF(Atletas!T208="Taijijian Wu-Hao A",905,IF(Atletas!T208="Taijijian 32 A",906,IF(Atletas!T208="Taijijian 42 A",907,IF(Atletas!T208="Taijijian Yang B",908,IF(Atletas!T208="Taijijian Chen B",909,IF(Atletas!T208="Taijijian Sun B",910,IF(Atletas!T208="Taijijian Wu B",911,IF(Atletas!T208="Taijijian Wu-Hao B",912,IF(Atletas!T208="Taijijian 32 B",913,IF(Atletas!T208="Taijijian 42 B",914,IF(Atletas!T208="Taijijian Yang C",915,IF(Atletas!T208="Taijijian Chen C",916,IF(Atletas!T208="Taijijian Sun C",917,IF(Atletas!T208="Taijijian Wu C",918,IF(Atletas!T208="Taijijian Wu-Hao C",919,IF(Atletas!T208="Taijijian 32 C",920,IF(Atletas!T208="Taijijian 42 C",921,IF(Atletas!T208="Taijijian Yang D",922,IF(Atletas!T208="Taijijian Chen D",923,IF(Atletas!T208="Taijijian Sun D",924,IF(Atletas!T208="Taijijian Wu D",925,IF(Atletas!T208="Taijijian Wu-Hao D",926,IF(Atletas!T208="Taijijian 32 D",927,IF(Atletas!T208="Taijijian 42 D",928,IF(Atletas!T208="Taijijian Yang E",929,IF(Atletas!T208="Taijijian Chen E",930,IF(Atletas!T208="Taijijian Sun E",931,IF(Atletas!T208="Taijijian Wu E",932,IF(Atletas!T208="Taijijian Wu-Hao E",933,IF(Atletas!T208="Taijijian 32 E",934,IF(Atletas!T208="Taijijian 42 E",935,IF(Atletas!T208="Taijijian Yang F",936,IF(Atletas!T208="Taijijian Chen F",937,IF(Atletas!T208="Taijijian Sun F",938,IF(Atletas!T208="Taijijian Wu F",939,IF(Atletas!T208="Taijijian Wu-Hao F",940,IF(Atletas!T208="Taijijian 32 F",941,IF(Atletas!T208="Taijijian 42 F",942,"")))))))))))))))))))))))))))))))))))))))))))</f>
        <v/>
      </c>
      <c r="BW212" s="52" t="str">
        <f>IF(Atletas!U208="","",IF(Atletas!W208&lt;&gt;"",10000,0)+IF(Atletas!B208="Feminino",1000,IF(Atletas!B208="Masculino",2000,""))+IF(Atletas!T208="Taijijian 42 F",942,IF(Atletas!U208="Taijidao A",943,IF(Atletas!U208="Taijishan A",944,IF(Atletas!U208="Taijiqiang A",945,IF(Atletas!U208="Taijidao B",946,IF(Atletas!U208="Taijishan B",947,IF(Atletas!U208="Taijiqiang B",948,IF(Atletas!U208="Taijidao C",949,IF(Atletas!U208="Taijishan C",950,IF(Atletas!U208="Taijiqiang C",951,IF(Atletas!U208="Taijidao D",952,IF(Atletas!U208="Taijishan D",953,IF(Atletas!U208="Taijiqiang D",954,IF(Atletas!U208="Taijidao E",955,IF(Atletas!U208="Taijishan E",956,IF(Atletas!U208="Taijiqiang E",957,IF(Atletas!U208="Taijidao F",958,IF(Atletas!U208="Taijishan F",959,IF(Atletas!U208="Taijiqiang F",960))))))))))))))))))))</f>
        <v/>
      </c>
      <c r="BX212" s="72" t="str">
        <f>IF(BY212&lt;&gt;"","Baguazhang C ","")</f>
        <v/>
      </c>
      <c r="BY212" s="72" t="str">
        <f>IF(COUNTIF(BK:BW,1508)&gt;0,COUNTIF(BK:BW,1508),"")</f>
        <v/>
      </c>
      <c r="BZ212" s="72" t="str">
        <f>IF(CA212&lt;&gt;"","Baguazhang C ","")</f>
        <v/>
      </c>
      <c r="CA212" s="72" t="str">
        <f>IF(COUNTIF(BK:BW,2508)&gt;0,COUNTIF(BK:BW,2508),"")</f>
        <v/>
      </c>
      <c r="CB212" s="72" t="str">
        <f>IF(CC212&lt;&gt;"","Yang Novo D","")</f>
        <v/>
      </c>
      <c r="CC212" s="64" t="str">
        <f>IF(COUNTIF(BK:BW,11444)&gt;0,COUNTIF(BK:BW,11444),"")</f>
        <v/>
      </c>
      <c r="CD212" s="64" t="str">
        <f>IF(CE212&lt;&gt;"","Yang Novo D","")</f>
        <v/>
      </c>
      <c r="CE212" s="64" t="str">
        <f>IF(COUNTIF(BK:BW,12444)&gt;0,COUNTIF(BK:BW,12444),"")</f>
        <v/>
      </c>
      <c r="CF212" s="52" t="str">
        <f xml:space="preserve"> IF(Atletas!V208="","",IF(Atletas!V208="Duilian de Mãos AB - Equipe 1",1,IF(Atletas!V208="Duilian de Mãos AB - Equipe 2",2,IF(Atletas!V208="Duilian de Armas AB - Equipe 1",3,IF(Atletas!V208="Duilian de Armas AB - Equipe 2",4,IF(Atletas!V208="Duilian de Tuishou - Equipe 1",5,IF(Atletas!V208="Duilian de Tuishou - Equipe 2",6,IF(Atletas!V208="Grupo Externo AB - Equipe 1",7,IF(Atletas!V208="Grupo Externo AB - Equipe 2",8,IF(Atletas!V208="Grupo Interno AB - Equipe 1",9,IF(Atletas!V208="Grupo Interno AB - Equipe 2",10,IF(Atletas!V208="Duilian de Mãos CD - Equipe 1",11,IF(Atletas!V208="Duilian de Mãos CD - Equipe 2",12,IF(Atletas!V208="Duilian de Armas CD - Equipe 1",13,IF(Atletas!V208="Duilian de Armas CD - Equipe 2",14,IF(Atletas!V208="Duilian de Tuishou - Equipe 1",15,IF(Atletas!V208="Duilian de Tuishou - Equipe 2",16,IF(Atletas!V208="Grupo Externo CDEF - Equipe 1",17,IF(Atletas!V208="Grupo Externo CDEF - Equipe 2",18,IF(Atletas!V208="Grupo Interno CDEF - Equipe 1",19,IF(Atletas!V208="Grupo Interno CDEF - Equipe 2",20,IF(Atletas!V208="Duilian de Mãos EF - Equipe 1",21,IF(Atletas!V208="Duilian de Mãos EF - Equipe 2",22,IF(Atletas!V208="Duilian de Armas EF - Equipe 1",23,IF(Atletas!V208="Duilian de Armas EF - Equipe 2",24,IF(Atletas!V208="Duilian de Tuishou - Equipe 1",25,IF(Atletas!V208="Duilian de Tuishou - Equipe 2",26,"")))))))))))))))))))))))))))</f>
        <v/>
      </c>
    </row>
    <row r="213" spans="2:84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 t="str">
        <f t="array" ref="V213">IFERROR(INDEX(BX$7:BX$336,SMALL(IF(BX$7:BX$336&lt;&gt;"",ROW(BX$7:BX$336)-ROW(BX$7)+1),ROWS(BX$7:BX204))),"")</f>
        <v/>
      </c>
      <c r="W213" s="4" t="str">
        <f t="array" ref="W213">IFERROR(INDEX(BY$7:BY$336,SMALL(IF(BY$7:BY$336&lt;&gt;"",ROW(BY$7:BY$336)-ROW(BY$7)+1),ROWS(BY$7:BY204))),"")</f>
        <v/>
      </c>
      <c r="X213" s="4" t="str">
        <f t="array" ref="X213">IFERROR(INDEX(BZ$7:BZ$336,SMALL(IF(BZ$7:BZ$336&lt;&gt;"",ROW(BZ$7:BZ$336)-ROW(BZ$7)+1),ROWS(BZ$7:BZ204))),"")</f>
        <v/>
      </c>
      <c r="Y213" s="4" t="str">
        <f t="array" ref="Y213">IFERROR(INDEX(CA$7:CA$336,SMALL(IF(CA$7:CA$336&lt;&gt;"",ROW(CA$7:CA$336)-ROW(CA$7)+1),ROWS(CA$7:CA204))),"")</f>
        <v/>
      </c>
      <c r="Z213" s="4" t="str">
        <f t="array" ref="Z213">IFERROR(INDEX(CB$7:CB$378,SMALL(IF(CB$7:CB$378&lt;&gt;"",ROW(CB$7:CB$378)-ROW(CB$7)+1),ROWS(CB$7:CB212))),"")</f>
        <v/>
      </c>
      <c r="AA213" s="4" t="str">
        <f t="array" ref="AA213">IFERROR(INDEX(CC$7:CC$378,SMALL(IF(CC$7:CC$378&lt;&gt;"",ROW(CC$7:CC$378)-ROW(CC$7)+1),ROWS(CC$7:CC212))),"")</f>
        <v/>
      </c>
      <c r="AB213" s="4" t="str">
        <f t="array" ref="AB213">IFERROR(INDEX(CD$7:CD$378,SMALL(IF(CD$7:CD$378&lt;&gt;"",ROW(CD$7:CD$378)-ROW(CD$7)+1),ROWS(CD$7:CD212))),"")</f>
        <v/>
      </c>
      <c r="AC213" s="4" t="str">
        <f t="array" ref="AC213">IFERROR(INDEX(CE$7:CE$378,SMALL(IF(CE$7:CE$378&lt;&gt;"",ROW(CE$7:CE$378)-ROW(CE$7)+1),ROWS(CE$7:CE212))),"")</f>
        <v/>
      </c>
      <c r="AD213" s="4"/>
      <c r="AE213" s="4"/>
      <c r="AF213" s="4"/>
      <c r="AG213" s="4"/>
      <c r="AH213" s="4"/>
      <c r="AI213" s="4"/>
      <c r="AJ213" s="46" t="str">
        <f>IF(Atletas!D209="","",IF(Atletas!B209="Feminino",100,IF(Atletas!B209="Masculino",200,""))+(IF(Atletas!D209="Infantil 39kg",1,IF(Atletas!D209="Infantil 42kg",2,IF(Atletas!D209="Infantil 45kg",3,IF(Atletas!D209="Infantil 48kg",4,IF(Atletas!D209="Infantil 52kg",5,IF(Atletas!D209="Infantil 56kg",6,IF(Atletas!D209="Infantil 60kg",7,IF(Atletas!D209="Juvenil 48kg",8,IF(Atletas!D209="Juvenil 52kg",9,IF(Atletas!D209="Juvenil 56kg",10,IF(Atletas!D209="Juvenil 60kg",11,IF(Atletas!D209="Juvenil 65kg",12,IF(Atletas!D209="Juvenil 70kg",13,IF(Atletas!D209="Juvenil 75kg",14,IF(Atletas!D209="Juvenil 80kg",15,IF(Atletas!D209="Adulto 48kg",16,IF(Atletas!D209="Adulto 52kg",17,IF(Atletas!D209="Adulto 56kg",18,IF(Atletas!D209="Adulto 60kg",19,IF(Atletas!D209="Adulto 65kg",20,IF(Atletas!D209="Adulto 70kg",21,IF(Atletas!D209="Adulto 75kg",22,IF(Atletas!D209="Adulto 80kg",23,IF(Atletas!D209="Adulto 85kg",24,IF(Atletas!D209="Adulto 90kg",25,IF(Atletas!D209="Adulto +90kg",26,""))))))))))))))))))))))))))))</f>
        <v/>
      </c>
      <c r="AO213" s="10" t="str">
        <f>IF(Atletas!E209="","",IF(Atletas!B209="Feminino",100,IF(Atletas!B209="Masculino",200,""))+(IF(Atletas!E209="Juvenil 44kg",1,IF(Atletas!E209="Juvenil 48kg",2,IF(Atletas!E209="Juvenil 52kg",3,IF(Atletas!E209="Juvenil 56kg",4,IF(Atletas!E209="Juvenil 60kg",5,IF(Atletas!E209="Juvenil 65kg",6,IF(Atletas!E209="Juvenil 70kg",7,IF(Atletas!E209="Juvenil 75kg",8,IF(Atletas!E209="Juvenil 82kg",9,IF(Atletas!E209="Juvenil 90kg",10,IF(Atletas!E209="Juvenil 100kg",11,IF(Atletas!E209="Adulto 48kg",12,IF(Atletas!E209="Adulto 52kg",13,IF(Atletas!E209="Adulto 56kg",14,IF(Atletas!E209="Adulto 60kg",15,IF(Atletas!E209="Adulto 65kg",16,IF(Atletas!E209="Adulto 70kg",17,IF(Atletas!E209="Adulto 75kg",18,IF(Atletas!E209="Adulto 82kg",19,IF(Atletas!E209="Adulto 90kg",20,IF(Atletas!E209="Adulto 100kg",21,IF(Atletas!E209="Adulto +100kg",22,""))))))))))))))))))))))))</f>
        <v/>
      </c>
      <c r="AT213" s="10" t="str">
        <f>IF(Atletas!F209="","",IF(Atletas!B209="Feminino",100,IF(Atletas!B209="Masculino",200,""))+(IF(Atletas!F209="Adulto 48kg",1,IF(Atletas!F209="Adulto 56kg",2,IF(Atletas!F209="Adulto 65kg",3,IF(Atletas!F209="Adulto 75kg",4,IF(Atletas!F209="Adulto +75kg",5,IF(Atletas!F209="Adulto 52kg",6,IF(Atletas!F209="Adulto 60kg",7,IF(Atletas!F209="Adulto 70kg",8,IF(Atletas!F209="Adulto 80kg",9,IF(Atletas!F209="Adulto 90kg",10,IF(Atletas!F209="Adulto +90kg",11,"")))))))))))))</f>
        <v/>
      </c>
      <c r="AY213" s="46" t="str">
        <f>IF(Atletas!G209="","",IF(Atletas!B209="Feminino",100,IF(Atletas!B209="Masculino",200,""))+(IF(Atletas!G209="Changquan Mirim",1,IF(Atletas!G209="Nanquan Mirim",2,IF(Atletas!G209="Taijiquan Mirim",3,IF(Atletas!G209="Changquan Grupo C",4,IF(Atletas!G209="Nanquan Grupo C",5,IF(Atletas!G209="Taijiquan Grupo C",6,IF(Atletas!G209="Changquan Grupo B",7,IF(Atletas!G209="Nanquan Grupo B",8,IF(Atletas!G209="Taijiquan Grupo B",9,IF(Atletas!G209="Changquan Grupo A",10,IF(Atletas!G209="Nanquan Grupo A",11,IF(Atletas!G209="Taijiquan Grupo A",12,IF(Atletas!G209="Changquan Opcional",13,IF(Atletas!G209="Nanquan Opcional",14,IF(Atletas!G209="Taijiquan Opcional",15,IF(Atletas!G209="Changquan Adulto",16,IF(Atletas!G209="Nanquan Adulto",17,IF(Atletas!G209="Taijiquan Adulto",18,""))))))))))))))))))))</f>
        <v/>
      </c>
      <c r="AZ213" s="46" t="str">
        <f>IF(Atletas!H209="","",IF(Atletas!B209="Feminino",100,IF(Atletas!B209="Masculino",200,""))+(IF(Atletas!H209="Daoshu Mirim",19,IF(Atletas!H209="Jianshu Mirim",20,IF(Atletas!H209="Nandao Mirim",21,IF(Atletas!H209="Taijijian Mirim",22,IF(Atletas!H209="Daoshu Grupo C",23,IF(Atletas!H209="Jianshu Grupo C",24,IF(Atletas!H209="Nandao Grupo C",25,IF(Atletas!H209="Taijijian Grupo C",26,IF(Atletas!H209="Daoshu Grupo B",27,IF(Atletas!H209="Jianshu Grupo B",28,IF(Atletas!H209="Nandao Grupo B",29,IF(Atletas!H209="Taijijian Grupo B",30,IF(Atletas!H209="Daoshu Grupo A",31,IF(Atletas!H209="Jianshu Grupo A",32,IF(Atletas!H209="Nandao Grupo A",33,IF(Atletas!H209="Taijijian Grupo A",34,IF(Atletas!H209="Daoshu Opcional",35,IF(Atletas!H209="Jianshu Opcional",36,IF(Atletas!H209="Nandao Opcional",37,IF(Atletas!H209="Taijijian Opcional",38,IF(Atletas!H209="Daoshu Adulto",39,IF(Atletas!H209="Jianshu Adulto",40,IF(Atletas!H209="Nandao Adulto",41,IF(Atletas!H209="Taijijian Adulto",42,""))))))))))))))))))))))))))</f>
        <v/>
      </c>
      <c r="BA213" s="46" t="str">
        <f>IF(Atletas!I209="","",IF(Atletas!B209="Feminino",100,IF(Atletas!B209="Masculino",200,""))+(IF(Atletas!I209="Gunshu Mirim",43,IF(Atletas!I209="Qiangshu Mirim",44,IF(Atletas!I209="Nangun Mirim",45,IF(Atletas!I209="Gunshu Grupo C",46,IF(Atletas!I209="Qiangshu Grupo C",47,IF(Atletas!I209="Nangun Grupo C",48,IF(Atletas!I209="Gunshu Grupo B",49,IF(Atletas!I209="Qiangshu Grupo B",50,IF(Atletas!I209="Nangun Grupo B",51,IF(Atletas!I209="Gunshu Grupo A",52,IF(Atletas!I209="Qiangshu Grupo A",53,IF(Atletas!I209="Nangun Grupo A",54,IF(Atletas!I209="Gunshu Opcional",55,IF(Atletas!I209="Qiangshu Opcional",56,IF(Atletas!I209="Nangun Opcional",57,IF(Atletas!I209="Gunshu Adulto",58,IF(Atletas!I209="Qiangshu Adulto",59,IF(Atletas!I209="Nangun Adulto",60,""))))))))))))))))))))</f>
        <v/>
      </c>
      <c r="BF213" s="52" t="str">
        <f>IF(Atletas!J209="","",IF(Atletas!B209="Feminino",100,IF(Atletas!B209="Masculino",200,""))+(IF(Atletas!J209="Equipe 1 Grupo B",1,IF(Atletas!J209="Equipe 2 Grupo B",2,IF(Atletas!J209="Equipe 1 Grupo A",3,IF(Atletas!J209="Equipe 2 Grupo A",4,IF(Atletas!J209="Equipe 1 Adulto",5,IF(Atletas!J209="Equipe 2 Adulto",6,""))))))))</f>
        <v/>
      </c>
      <c r="BK213" s="52" t="str">
        <f>IF(Atletas!K209="","",IF(Atletas!W209&lt;&gt;"",10000,0)+(IF(Atletas!B209="Feminino",1000,IF(Atletas!B209="Masculino",2000,""))+IF(Atletas!K209="Choylayfut A",1,IF(Atletas!K209="Hunggar A",2,IF(Atletas!K209="Wuzuquan A",3,IF(Atletas!K209="Wingchun A",4,IF(Atletas!K209="Outra Mão de Sul A",5,IF(Atletas!K209="Choylayfut B",6,IF(Atletas!K209="Hunggar B",7,IF(Atletas!K209="Wuzuquan B",8,IF(Atletas!K209="Wingchun B",9,IF(Atletas!K209="Outra Mão de Sul B",10,IF(Atletas!K209="Choylayfut C",11,IF(Atletas!K209="Hunggar C",12,IF(Atletas!K209="Wuzuquan C",13,IF(Atletas!K209="Wingchun C",14,IF(Atletas!K209="Outra Mão de Sul C",15,IF(Atletas!K209="Choylayfut D",16,IF(Atletas!K209="Hunggar D",17,IF(Atletas!K209="Wuzuquan D",18,IF(Atletas!K209="Wingchun D",19,IF(Atletas!K209="Outra Mão de Sul D",20,IF(Atletas!K209="Choylayfut E",21,IF(Atletas!K209="Hunggar E",22,IF(Atletas!K209="Wuzuquan E",23,IF(Atletas!K209="Wingchun E",24,IF(Atletas!K209="Outra Mão de Sul E",25,IF(Atletas!K209="Choylayfut F",26,IF(Atletas!K209="Hunggar F",27,IF(Atletas!K209="Wuzuquan F",28,IF(Atletas!K209="Wingchun F",29,IF(Atletas!K209="Outra Mão de Sul F",30,""))))))))))))))))))))))))))))))))</f>
        <v/>
      </c>
      <c r="BL213" s="52" t="str">
        <f>IF(Atletas!L209="","",IF(Atletas!W209&lt;&gt;"",10000,0)+(IF(Atletas!B209="Feminino",1000,IF(Atletas!B209="Masculino",2000,""))+(IF(Atletas!L209="Chaquan A",101,IF(Atletas!L209="Emeiquan A",102,IF(Atletas!L209="Fanziquan A",103,IF(Atletas!L209="Huaquan A",104,IF(Atletas!L209="Hongquan A",105,IF(Atletas!L209="Paochui A",106,IF(Atletas!L209="Piguaquan A",107,IF(Atletas!L209="Shaolinquan A",108,IF(Atletas!L209="Tanglangquan A",109,IF(Atletas!L209="Yinzhaophai A",110,IF(Atletas!L209="Tongbeiquan A",111,IF(Atletas!L209="Wudangquan A",112,IF(Atletas!L209="Outros Estilos A",113,IF(Atletas!L209="Chaquan B",114,IF(Atletas!L209="Emeiquan B",115,IF(Atletas!L209="Fanziquan B",116,IF(Atletas!L209="Huaquan B",117,IF(Atletas!L209="Hongquan B",118,IF(Atletas!L209="Paochui B",119,IF(Atletas!L209="Piguaquan B",120,IF(Atletas!L209="Shaolinquan B",121,IF(Atletas!L209="Tanglangquan B",122,IF(Atletas!L209="Yinzhaophai B",123,IF(Atletas!L209="Tongbeiquan B",124,IF(Atletas!L209="Wudangquan B",125,IF(Atletas!L209="Outros Estilos B",126,IF(Atletas!L209="Chaquan C",127,IF(Atletas!L209="Emeiquan C",128,IF(Atletas!L209="Fanziquan C",129,IF(Atletas!L209="Huaquan C",130,IF(Atletas!L209="Hongquan C",131,IF(Atletas!L209="Paochui C",132,IF(Atletas!L209="Piguaquan C",133,IF(Atletas!L209="Shaolinquan C",134,IF(Atletas!L209="Tanglangquan C",135,IF(Atletas!L209="Yinzhaophai C",136,IF(Atletas!L209="Tongbeiquan C",137,IF(Atletas!L209="Wudangquan C",138,IF(Atletas!L209="Outros Estilos C",139,0))))))))))))))))))))))))))))))))))))))))))</f>
        <v/>
      </c>
      <c r="BM213" s="52" t="str">
        <f>IF(Atletas!L209="","",IF(Atletas!W209&lt;&gt;"",10000,0)+(IF(Atletas!B209="Feminino",1000,IF(Atletas!B209="Masculino",2000,""))+(IF(Atletas!L209="Chaquan D",140,IF(Atletas!L209="Emeiquan D",141,IF(Atletas!L209="Fanziquan D",142,IF(Atletas!L209="Huaquan D",143,IF(Atletas!L209="Hongquan D",144,IF(Atletas!L209="Paochui D",145,IF(Atletas!L209="Piguaquan D",146,IF(Atletas!L209="Shaolinquan D",147,IF(Atletas!L209="Tanglangquan D",148,IF(Atletas!L209="Yinzhaophai D",149,IF(Atletas!L209="Tongbeiquan D",150,IF(Atletas!L209="Wudangquan D",151,IF(Atletas!L209="Outros Estilos D",152,IF(Atletas!L209="Chaquan E",153,IF(Atletas!L209="Emeiquan E",154,IF(Atletas!L209="Fanziquan E",155,IF(Atletas!L209="Huaquan E",156,IF(Atletas!L209="Hongquan E",157,IF(Atletas!L209="Paochui E",158,IF(Atletas!L209="Piguaquan E",159,IF(Atletas!L209="Shaolinquan E",160,IF(Atletas!L209="Tanglangquan E",161,IF(Atletas!L209="Yinzhaophai E",162,IF(Atletas!L209="Tongbeiquan E",163,IF(Atletas!L209="Wudangquan E",164,IF(Atletas!L209="Outros Estilos E",165,IF(Atletas!L209="Chaquan F",166,IF(Atletas!L209="Emeiquan F",167,IF(Atletas!L209="Fanziquan F",168,IF(Atletas!L209="Huaquan F",169,IF(Atletas!L209="Hongquan F",170,IF(Atletas!L209="Paochui F",171,IF(Atletas!L209="Piguaquan F",172,IF(Atletas!L209="Shaolinquan F",173,IF(Atletas!L209="Tanglangquan F",174,IF(Atletas!L209="Yinzhaophai F",175,IF(Atletas!L209="Tongbeiquan F",176,IF(Atletas!L209="Wudangquan F",177,IF(Atletas!L209="Outros Estilos F",178,0))))))))))))))))))))))))))))))))))))))))))</f>
        <v/>
      </c>
      <c r="BN213" s="52" t="str">
        <f>IF(Atletas!M209="","",IF(Atletas!W209&lt;&gt;"",10000,0)+(IF(Atletas!B209="Feminino",1000,IF(Atletas!B209="Masculino",2000,""))+(IF(Atletas!M209="Ditangquan A",201,IF(Atletas!M209="Houquan A",202,IF(Atletas!M209="Zuiquan A",203,IF(Atletas!M209="Ditangquan B",204,IF(Atletas!M209="Houquan B",205,IF(Atletas!M209="Zuiquan B",206,IF(Atletas!M209="Ditangquan C",207,IF(Atletas!M209="Houquan C",208,IF(Atletas!M209="Zuiquan C",209,IF(Atletas!M209="Ditangquan D",210,IF(Atletas!M209="Houquan D",211,IF(Atletas!M209="Zuiquan D",212,IF(Atletas!M209="Ditangquan E",213,IF(Atletas!M209="Houquan E",214,IF(Atletas!M209="Zuiquan E",215,IF(Atletas!M209="Ditangquan F",216,IF(Atletas!M209="Houquan F",217,IF(Atletas!M209="Zuiquan F",218,"")))))))))))))))))))))</f>
        <v/>
      </c>
      <c r="BO213" s="52" t="str">
        <f>IF(Atletas!N209="","",IF(Atletas!W209&lt;&gt;"",10000,0)+IF(Atletas!B209="Feminino",1000,IF(Atletas!B209="Masculino",2000,""))+IF(Atletas!N209="Yang A",301,IF(Atletas!N209="Chen A",30,IF(Atletas!N209="Sun A",303,IF(Atletas!N209="Wu A",304,IF(Atletas!N209="Wu-Hao A",305,IF(Atletas!N209="Outro Taijiquan A",306,IF(Atletas!N209="Yang B",307,IF(Atletas!N209="Chen B",308,IF(Atletas!N209="Sun B",309,IF(Atletas!N209="Wu B",310,IF(Atletas!N209="Wu-Hao B",311,IF(Atletas!N209="Outro Taijiquan B",312,IF(Atletas!N209="Yang C",313,IF(Atletas!N209="Chen C",314,IF(Atletas!N209="Sun C",315,IF(Atletas!N209="Wu C",316,IF(Atletas!N209="Wu-Hao C",317,IF(Atletas!N209="Outro Taijiquan C",318,IF(Atletas!N209="Yang D",319,IF(Atletas!N209="Chen D",320,IF(Atletas!N209="Sun D",321,IF(Atletas!N209="Wu D",322,IF(Atletas!N209="Wu-Hao D",323,IF(Atletas!N209="Outro Taijiquan D",324,IF(Atletas!N209="Yang E",325,IF(Atletas!N209="Chen E",326,IF(Atletas!N209="Sun E",327,IF(Atletas!N209="Wu E",328,IF(Atletas!N209="Wu-Hao E",329,IF(Atletas!N209="Outro Taijiquan E",330,IF(Atletas!N209="Yang F",331,IF(Atletas!N209="Chen F",332,IF(Atletas!N209="Sun F",333,IF(Atletas!N209="Wu F",334,IF(Atletas!N209="Wu-Hao F",335,IF(Atletas!N209="Outro Taijiquan F",336,"")))))))))))))))))))))))))))))))))))))</f>
        <v/>
      </c>
      <c r="BP213" s="52" t="str">
        <f>IF(Atletas!O209="","",IF(Atletas!W209&lt;&gt;"",10000,0)+IF(Atletas!B209="Feminino",1000,IF(Atletas!B209="Masculino",2000,""))+IF(OR(Atletas!O209="Yang 26 A",Atletas!O209="Yang 40 A"),401,IF(OR(Atletas!O209="Chen 25 A",Atletas!O209="Chen 36 A",Atletas!O209="Chen 56 A"),402,IF(Atletas!O209="Sun 73 A",403,IF(Atletas!O209="Wu 45 A",404,IF(Atletas!O209="Wu-Hao 46 A",405,IF(OR(Atletas!O209="Taijiquan 16 A",Atletas!O209="Taijiquan 24 A",Atletas!O209="Taijiquan 32 A",Atletas!O209="Taijiquan 42 A"),406,IF(OR(Atletas!O209="Yang 26 B",Atletas!O209="Yang 40 B"),407,IF(OR(Atletas!O209="Chen 25 B",Atletas!O209="Chen 36 B",Atletas!O209="Chen 56 B"),408,IF(Atletas!O209="Sun 73 B",409,IF(Atletas!O209="Wu 45 B",410,IF(Atletas!O209="Wu-Hao 46 B",411,IF(OR(Atletas!O209="Taijiquan 16 B",Atletas!O209="Taijiquan 24 B",Atletas!O209="Taijiquan 32 B",Atletas!O209="Taijiquan 42 B"),412,IF(OR(Atletas!O209="Yang 26 C",Atletas!O209="Yang 40 C"),413,IF(OR(Atletas!O209="Chen 25 C",Atletas!O209="Chen 36 C",Atletas!O209="Chen 56 C"),414,IF(Atletas!O209="Sun 73 C",415,IF(Atletas!O209="Wu 45 C",416,IF(Atletas!O209="Wu-Hao 46 C",417,IF(OR(Atletas!O209="Taijiquan 16 C",Atletas!O209="Taijiquan 24 C",Atletas!O209="Taijiquan 32 C",Atletas!O209="Taijiquan 42 C"),418,0)))))))))))))))))))</f>
        <v/>
      </c>
      <c r="BQ213" s="52" t="str">
        <f>IF(Atletas!O209="","",IF(Atletas!W209&lt;&gt;"",10000,0)+IF(Atletas!B209="Feminino",1000,IF(Atletas!B209="Masculino",2000,""))+IF(OR(Atletas!O209="Yang 26 D",Atletas!O209="Yang 40 D"),419,IF(OR(Atletas!O209="Chen 25 D",Atletas!O209="Chen 36 D",Atletas!O209="Chen 56 D"),420,IF(Atletas!O209="Sun 73 D",421,IF(Atletas!O209="Wu 45 D",422,IF(Atletas!O209="Wu-Hao 46 D",423,IF(OR(Atletas!O209="Taijiquan 16 D",Atletas!O209="Taijiquan 24 D",Atletas!O209="Taijiquan 32 D",Atletas!O209="Taijiquan 42 D"),424,IF(OR(Atletas!O209="Yang 26 E",Atletas!O209="Yang 40 E"),425,IF(OR(Atletas!O209="Chen 25 E",Atletas!O209="Chen 36 E",Atletas!O209="Chen 56 E"),426,IF(Atletas!O209="Sun 73 E",427,IF(Atletas!O209="Wu 45 E",428,IF(Atletas!O209="Wu-Hao 46 E",429,IF(OR(Atletas!O209="Taijiquan 16 E",Atletas!O209="Taijiquan 24 E",Atletas!O209="Taijiquan 32 E",Atletas!O209="Taijiquan 42 E"),430,IF(OR(Atletas!O209="Yang 26 F",Atletas!O209="Yang 40 F"),431,IF(OR(Atletas!O209="Chen 25 F",Atletas!O209="Chen 36 F",Atletas!O209="Chen 56 F"),432,IF(Atletas!O209="Sun 73 F",433,IF(Atletas!O209="Wu 45 F",434,IF(Atletas!O209="Wu-Hao 46 F",435,IF(OR(Atletas!O209="Taijiquan 16 F",Atletas!O209="Taijiquan 24 F",Atletas!O209="Taijiquan 32 F",Atletas!O209="Taijiquan 42 F"),436,0)))))))))))))))))))</f>
        <v/>
      </c>
      <c r="BR213" s="52" t="str">
        <f>IF(Atletas!P209="","",IF(Atletas!W209&lt;&gt;"",10000,0)+IF(Atletas!B209="Feminino",1000,IF(Atletas!B209="Masculino",2000,""))+IF(Atletas!P209="Xingyiquan A",501,IF(Atletas!P209="Baguazhang A",502,IF(Atletas!P209="Outro Estilo Interno A",503,IF(Atletas!P209="Xingyiquan B",504,IF(Atletas!P209="Baguazhang B",505,IF(Atletas!P209="Outro Estilo Interno B",506,IF(Atletas!P209="Xingyiquan C",507,IF(Atletas!P209="Baguazhang C",508,IF(Atletas!P209="Outro Estilo Interno C",509,IF(Atletas!P209="Xingyiquan D",510,IF(Atletas!P209="Baguazhang D",511,IF(Atletas!P209="Outro Estilo Interno D",512,IF(Atletas!P209="Xingyiquan E",513,IF(Atletas!P209="Baguazhang E",514,IF(Atletas!P209="Outro Estilo Interno E",515,IF(Atletas!P209="Xingyiquan F",516,IF(Atletas!P209="Baguazhang F",517,IF(Atletas!P209="Outro Estilo Interno F",518, "")))))))))))))))))))</f>
        <v/>
      </c>
      <c r="BS213" s="52" t="str">
        <f>IF(Atletas!Q209="","",IF(Atletas!W209&lt;&gt;"",10000,0)+IF(Atletas!B209="Feminino",1000,IF(Atletas!B209="Masculino",2000,""))+IF(Atletas!Q209="Dao A",601,IF(Atletas!Q209="Jian A",602,IF(Atletas!Q209="Bishou A",603,IF(Atletas!Q209="Shan A",604,IF(Atletas!Q209="Outra Arma Curta A",605,IF(Atletas!Q209="Dao B",606,IF(Atletas!Q209="Jian B",607,IF(Atletas!Q209="Bishou B",608,IF(Atletas!Q209="Shan B",609,IF(Atletas!Q209="Outra Arma Curta B",610,IF(Atletas!Q209="Dao C",611,IF(Atletas!Q209="Jian C",612,IF(Atletas!Q209="Bishou C",613,IF(Atletas!Q209="Shan C",614,IF(Atletas!Q209="Outra Arma Curta C",615,IF(Atletas!Q209="Dao D",616,IF(Atletas!Q209="Jian D",617,IF(Atletas!Q209="Bishou D",618,IF(Atletas!Q209="Shan D",619,IF(Atletas!Q209="Outra Arma Curta D",620,IF(Atletas!Q209="Dao E",621,IF(Atletas!Q209="Jian E",622,IF(Atletas!Q209="Bishou E",623,IF(Atletas!Q209="Shan E",624,IF(Atletas!Q209="Outra Arma Curta E",625,IF(Atletas!Q209="Dao F",626,IF(Atletas!Q209="Jian F",627,IF(Atletas!Q209="Bishou F",628,IF(Atletas!Q209="Shan F",629,IF(Atletas!Q209="Outra Arma Curta F",630, "")))))))))))))))))))))))))))))))</f>
        <v/>
      </c>
      <c r="BT213" s="52" t="str">
        <f>IF(Atletas!R209="","",IF(Atletas!W209&lt;&gt;"",10000,0)+IF(Atletas!B209="Feminino",1000,IF(Atletas!B209="Masculino",2000,""))+IF(Atletas!R209="Gun A",701,IF(Atletas!R209="Qiang A",702,IF(Atletas!R209="Pudao / Guandao A",703,IF(Atletas!R209="Outra Arma Longa A",704,IF(Atletas!R209="Gun B",705,IF(Atletas!R209="Qiang B",706,IF(Atletas!R209="Pudao / Guandao B",707,IF(Atletas!R209="Outra Arma Longa B",708,IF(Atletas!R209="Gun C",709,IF(Atletas!R209="Qiang C",710,IF(Atletas!R209="Pudao / Guandao C",711,IF(Atletas!R209="Outra Arma Longa C",712,IF(Atletas!R209="Gun D",713,IF(Atletas!R209="Qiang D",714,IF(Atletas!R209="Pudao / Guandao D",715,IF(Atletas!R209="Outra Arma Longa D",716,IF(Atletas!R209="Gun E",717,IF(Atletas!R209="Qiang E",718,IF(Atletas!R209="Pudao / Guandao E",719,IF(Atletas!R209="Outra Arma Longa E",720,IF(Atletas!R209="Gun F",721,IF(Atletas!R209="Qiang F",722,IF(Atletas!R209="Pudao / Guandao F",723,IF(Atletas!R209="Outra Arma Longa F",724,"")))))))))))))))))))))))))</f>
        <v/>
      </c>
      <c r="BU213" s="52" t="str">
        <f>IF(Atletas!S209="","",IF(Atletas!W209&lt;&gt;"",10000,0)+IF(Atletas!B209="Feminino",1000,IF(Atletas!B209="Masculino",2000,""))+IF(Atletas!S209="Arma Dupla A",801,IF(Atletas!S209="Arma Maleável A",802,IF(Atletas!S209="Arma Dupla B",803,IF(Atletas!S209="Arma Maleável B",804,IF(Atletas!S209="Arma Dupla C",805,IF(Atletas!S209="Arma Maleável C",806,IF(Atletas!S209="Arma Dupla D",807,IF(Atletas!S209="Arma Maleável D",808,IF(Atletas!S209="Arma Dupla E",809,IF(Atletas!S209="Arma Maleável E",810,IF(Atletas!S209="Arma Dupla F",811,IF(Atletas!S209="Arma Maleável F",812, "")))))))))))))</f>
        <v/>
      </c>
      <c r="BV213" s="52" t="str">
        <f>IF(Atletas!T209="","",IF(Atletas!W209&lt;&gt;"",10000,0)+IF(Atletas!B209="Feminino",1000,IF(Atletas!B209="Masculino",2000,""))+IF(Atletas!T209="Taijijian Yang A",901,IF(Atletas!T209="Taijijian Chen A",902,IF(Atletas!T209="Taijijian Sun A",903,IF(Atletas!T209="Taijijian Wu A",904,IF(Atletas!T209="Taijijian Wu-Hao A",905,IF(Atletas!T209="Taijijian 32 A",906,IF(Atletas!T209="Taijijian 42 A",907,IF(Atletas!T209="Taijijian Yang B",908,IF(Atletas!T209="Taijijian Chen B",909,IF(Atletas!T209="Taijijian Sun B",910,IF(Atletas!T209="Taijijian Wu B",911,IF(Atletas!T209="Taijijian Wu-Hao B",912,IF(Atletas!T209="Taijijian 32 B",913,IF(Atletas!T209="Taijijian 42 B",914,IF(Atletas!T209="Taijijian Yang C",915,IF(Atletas!T209="Taijijian Chen C",916,IF(Atletas!T209="Taijijian Sun C",917,IF(Atletas!T209="Taijijian Wu C",918,IF(Atletas!T209="Taijijian Wu-Hao C",919,IF(Atletas!T209="Taijijian 32 C",920,IF(Atletas!T209="Taijijian 42 C",921,IF(Atletas!T209="Taijijian Yang D",922,IF(Atletas!T209="Taijijian Chen D",923,IF(Atletas!T209="Taijijian Sun D",924,IF(Atletas!T209="Taijijian Wu D",925,IF(Atletas!T209="Taijijian Wu-Hao D",926,IF(Atletas!T209="Taijijian 32 D",927,IF(Atletas!T209="Taijijian 42 D",928,IF(Atletas!T209="Taijijian Yang E",929,IF(Atletas!T209="Taijijian Chen E",930,IF(Atletas!T209="Taijijian Sun E",931,IF(Atletas!T209="Taijijian Wu E",932,IF(Atletas!T209="Taijijian Wu-Hao E",933,IF(Atletas!T209="Taijijian 32 E",934,IF(Atletas!T209="Taijijian 42 E",935,IF(Atletas!T209="Taijijian Yang F",936,IF(Atletas!T209="Taijijian Chen F",937,IF(Atletas!T209="Taijijian Sun F",938,IF(Atletas!T209="Taijijian Wu F",939,IF(Atletas!T209="Taijijian Wu-Hao F",940,IF(Atletas!T209="Taijijian 32 F",941,IF(Atletas!T209="Taijijian 42 F",942,"")))))))))))))))))))))))))))))))))))))))))))</f>
        <v/>
      </c>
      <c r="BW213" s="52" t="str">
        <f>IF(Atletas!U209="","",IF(Atletas!W209&lt;&gt;"",10000,0)+IF(Atletas!B209="Feminino",1000,IF(Atletas!B209="Masculino",2000,""))+IF(Atletas!T209="Taijijian 42 F",942,IF(Atletas!U209="Taijidao A",943,IF(Atletas!U209="Taijishan A",944,IF(Atletas!U209="Taijiqiang A",945,IF(Atletas!U209="Taijidao B",946,IF(Atletas!U209="Taijishan B",947,IF(Atletas!U209="Taijiqiang B",948,IF(Atletas!U209="Taijidao C",949,IF(Atletas!U209="Taijishan C",950,IF(Atletas!U209="Taijiqiang C",951,IF(Atletas!U209="Taijidao D",952,IF(Atletas!U209="Taijishan D",953,IF(Atletas!U209="Taijiqiang D",954,IF(Atletas!U209="Taijidao E",955,IF(Atletas!U209="Taijishan E",956,IF(Atletas!U209="Taijiqiang E",957,IF(Atletas!U209="Taijidao F",958,IF(Atletas!U209="Taijishan F",959,IF(Atletas!U209="Taijiqiang F",960))))))))))))))))))))</f>
        <v/>
      </c>
      <c r="BX213" s="72" t="str">
        <f>IF(BY213&lt;&gt;"","Outro Estilo Interno C","")</f>
        <v/>
      </c>
      <c r="BY213" s="72" t="str">
        <f>IF(COUNTIF(BK:BW,1509)&gt;0,COUNTIF(BK:BW,1509),"")</f>
        <v/>
      </c>
      <c r="BZ213" s="72" t="str">
        <f>IF(CA213&lt;&gt;"","Outro Estilo Interno C","")</f>
        <v/>
      </c>
      <c r="CA213" s="72" t="str">
        <f>IF(COUNTIF(BK:BW,2509)&gt;0,COUNTIF(BK:BW,2509),"")</f>
        <v/>
      </c>
      <c r="CB213" s="72" t="str">
        <f>IF(CC213&lt;&gt;"","Cheng 56 D","")</f>
        <v/>
      </c>
      <c r="CC213" s="64" t="str">
        <f>IF(COUNTIF(BK:BW,11445)&gt;0,COUNTIF(BK:BW,11445),"")</f>
        <v/>
      </c>
      <c r="CD213" s="64" t="str">
        <f>IF(CE213&lt;&gt;"","Cheng 56 D","")</f>
        <v/>
      </c>
      <c r="CE213" s="64" t="str">
        <f>IF(COUNTIF(BK:BW,12445)&gt;0,COUNTIF(BK:BW,12445),"")</f>
        <v/>
      </c>
      <c r="CF213" s="52" t="str">
        <f xml:space="preserve"> IF(Atletas!V209="","",IF(Atletas!V209="Duilian de Mãos AB - Equipe 1",1,IF(Atletas!V209="Duilian de Mãos AB - Equipe 2",2,IF(Atletas!V209="Duilian de Armas AB - Equipe 1",3,IF(Atletas!V209="Duilian de Armas AB - Equipe 2",4,IF(Atletas!V209="Duilian de Tuishou - Equipe 1",5,IF(Atletas!V209="Duilian de Tuishou - Equipe 2",6,IF(Atletas!V209="Grupo Externo AB - Equipe 1",7,IF(Atletas!V209="Grupo Externo AB - Equipe 2",8,IF(Atletas!V209="Grupo Interno AB - Equipe 1",9,IF(Atletas!V209="Grupo Interno AB - Equipe 2",10,IF(Atletas!V209="Duilian de Mãos CD - Equipe 1",11,IF(Atletas!V209="Duilian de Mãos CD - Equipe 2",12,IF(Atletas!V209="Duilian de Armas CD - Equipe 1",13,IF(Atletas!V209="Duilian de Armas CD - Equipe 2",14,IF(Atletas!V209="Duilian de Tuishou - Equipe 1",15,IF(Atletas!V209="Duilian de Tuishou - Equipe 2",16,IF(Atletas!V209="Grupo Externo CDEF - Equipe 1",17,IF(Atletas!V209="Grupo Externo CDEF - Equipe 2",18,IF(Atletas!V209="Grupo Interno CDEF - Equipe 1",19,IF(Atletas!V209="Grupo Interno CDEF - Equipe 2",20,IF(Atletas!V209="Duilian de Mãos EF - Equipe 1",21,IF(Atletas!V209="Duilian de Mãos EF - Equipe 2",22,IF(Atletas!V209="Duilian de Armas EF - Equipe 1",23,IF(Atletas!V209="Duilian de Armas EF - Equipe 2",24,IF(Atletas!V209="Duilian de Tuishou - Equipe 1",25,IF(Atletas!V209="Duilian de Tuishou - Equipe 2",26,"")))))))))))))))))))))))))))</f>
        <v/>
      </c>
    </row>
    <row r="214" spans="2:84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 t="str">
        <f t="array" ref="V214">IFERROR(INDEX(BX$7:BX$336,SMALL(IF(BX$7:BX$336&lt;&gt;"",ROW(BX$7:BX$336)-ROW(BX$7)+1),ROWS(BX$7:BX204))),"")</f>
        <v/>
      </c>
      <c r="W214" s="4" t="str">
        <f t="array" ref="W214">IFERROR(INDEX(BY$7:BY$336,SMALL(IF(BY$7:BY$336&lt;&gt;"",ROW(BY$7:BY$336)-ROW(BY$7)+1),ROWS(BY$7:BY204))),"")</f>
        <v/>
      </c>
      <c r="X214" s="4" t="str">
        <f t="array" ref="X214">IFERROR(INDEX(BZ$7:BZ$336,SMALL(IF(BZ$7:BZ$336&lt;&gt;"",ROW(BZ$7:BZ$336)-ROW(BZ$7)+1),ROWS(BZ$7:BZ204))),"")</f>
        <v/>
      </c>
      <c r="Y214" s="4" t="str">
        <f t="array" ref="Y214">IFERROR(INDEX(CA$7:CA$336,SMALL(IF(CA$7:CA$336&lt;&gt;"",ROW(CA$7:CA$336)-ROW(CA$7)+1),ROWS(CA$7:CA204))),"")</f>
        <v/>
      </c>
      <c r="Z214" s="4" t="str">
        <f t="array" ref="Z214">IFERROR(INDEX(CB$7:CB$378,SMALL(IF(CB$7:CB$378&lt;&gt;"",ROW(CB$7:CB$378)-ROW(CB$7)+1),ROWS(CB$7:CB213))),"")</f>
        <v/>
      </c>
      <c r="AA214" s="4" t="str">
        <f t="array" ref="AA214">IFERROR(INDEX(CC$7:CC$378,SMALL(IF(CC$7:CC$378&lt;&gt;"",ROW(CC$7:CC$378)-ROW(CC$7)+1),ROWS(CC$7:CC213))),"")</f>
        <v/>
      </c>
      <c r="AB214" s="4" t="str">
        <f t="array" ref="AB214">IFERROR(INDEX(CD$7:CD$378,SMALL(IF(CD$7:CD$378&lt;&gt;"",ROW(CD$7:CD$378)-ROW(CD$7)+1),ROWS(CD$7:CD213))),"")</f>
        <v/>
      </c>
      <c r="AC214" s="4" t="str">
        <f t="array" ref="AC214">IFERROR(INDEX(CE$7:CE$378,SMALL(IF(CE$7:CE$378&lt;&gt;"",ROW(CE$7:CE$378)-ROW(CE$7)+1),ROWS(CE$7:CE213))),"")</f>
        <v/>
      </c>
      <c r="AD214" s="4"/>
      <c r="AE214" s="4"/>
      <c r="AF214" s="4"/>
      <c r="AG214" s="4"/>
      <c r="AH214" s="4"/>
      <c r="AI214" s="4"/>
      <c r="AJ214" s="46" t="str">
        <f>IF(Atletas!D210="","",IF(Atletas!B210="Feminino",100,IF(Atletas!B210="Masculino",200,""))+(IF(Atletas!D210="Infantil 39kg",1,IF(Atletas!D210="Infantil 42kg",2,IF(Atletas!D210="Infantil 45kg",3,IF(Atletas!D210="Infantil 48kg",4,IF(Atletas!D210="Infantil 52kg",5,IF(Atletas!D210="Infantil 56kg",6,IF(Atletas!D210="Infantil 60kg",7,IF(Atletas!D210="Juvenil 48kg",8,IF(Atletas!D210="Juvenil 52kg",9,IF(Atletas!D210="Juvenil 56kg",10,IF(Atletas!D210="Juvenil 60kg",11,IF(Atletas!D210="Juvenil 65kg",12,IF(Atletas!D210="Juvenil 70kg",13,IF(Atletas!D210="Juvenil 75kg",14,IF(Atletas!D210="Juvenil 80kg",15,IF(Atletas!D210="Adulto 48kg",16,IF(Atletas!D210="Adulto 52kg",17,IF(Atletas!D210="Adulto 56kg",18,IF(Atletas!D210="Adulto 60kg",19,IF(Atletas!D210="Adulto 65kg",20,IF(Atletas!D210="Adulto 70kg",21,IF(Atletas!D210="Adulto 75kg",22,IF(Atletas!D210="Adulto 80kg",23,IF(Atletas!D210="Adulto 85kg",24,IF(Atletas!D210="Adulto 90kg",25,IF(Atletas!D210="Adulto +90kg",26,""))))))))))))))))))))))))))))</f>
        <v/>
      </c>
      <c r="AO214" s="10" t="str">
        <f>IF(Atletas!E210="","",IF(Atletas!B210="Feminino",100,IF(Atletas!B210="Masculino",200,""))+(IF(Atletas!E210="Juvenil 44kg",1,IF(Atletas!E210="Juvenil 48kg",2,IF(Atletas!E210="Juvenil 52kg",3,IF(Atletas!E210="Juvenil 56kg",4,IF(Atletas!E210="Juvenil 60kg",5,IF(Atletas!E210="Juvenil 65kg",6,IF(Atletas!E210="Juvenil 70kg",7,IF(Atletas!E210="Juvenil 75kg",8,IF(Atletas!E210="Juvenil 82kg",9,IF(Atletas!E210="Juvenil 90kg",10,IF(Atletas!E210="Juvenil 100kg",11,IF(Atletas!E210="Adulto 48kg",12,IF(Atletas!E210="Adulto 52kg",13,IF(Atletas!E210="Adulto 56kg",14,IF(Atletas!E210="Adulto 60kg",15,IF(Atletas!E210="Adulto 65kg",16,IF(Atletas!E210="Adulto 70kg",17,IF(Atletas!E210="Adulto 75kg",18,IF(Atletas!E210="Adulto 82kg",19,IF(Atletas!E210="Adulto 90kg",20,IF(Atletas!E210="Adulto 100kg",21,IF(Atletas!E210="Adulto +100kg",22,""))))))))))))))))))))))))</f>
        <v/>
      </c>
      <c r="AT214" s="10" t="str">
        <f>IF(Atletas!F210="","",IF(Atletas!B210="Feminino",100,IF(Atletas!B210="Masculino",200,""))+(IF(Atletas!F210="Adulto 48kg",1,IF(Atletas!F210="Adulto 56kg",2,IF(Atletas!F210="Adulto 65kg",3,IF(Atletas!F210="Adulto 75kg",4,IF(Atletas!F210="Adulto +75kg",5,IF(Atletas!F210="Adulto 52kg",6,IF(Atletas!F210="Adulto 60kg",7,IF(Atletas!F210="Adulto 70kg",8,IF(Atletas!F210="Adulto 80kg",9,IF(Atletas!F210="Adulto 90kg",10,IF(Atletas!F210="Adulto +90kg",11,"")))))))))))))</f>
        <v/>
      </c>
      <c r="AY214" s="46" t="str">
        <f>IF(Atletas!G210="","",IF(Atletas!B210="Feminino",100,IF(Atletas!B210="Masculino",200,""))+(IF(Atletas!G210="Changquan Mirim",1,IF(Atletas!G210="Nanquan Mirim",2,IF(Atletas!G210="Taijiquan Mirim",3,IF(Atletas!G210="Changquan Grupo C",4,IF(Atletas!G210="Nanquan Grupo C",5,IF(Atletas!G210="Taijiquan Grupo C",6,IF(Atletas!G210="Changquan Grupo B",7,IF(Atletas!G210="Nanquan Grupo B",8,IF(Atletas!G210="Taijiquan Grupo B",9,IF(Atletas!G210="Changquan Grupo A",10,IF(Atletas!G210="Nanquan Grupo A",11,IF(Atletas!G210="Taijiquan Grupo A",12,IF(Atletas!G210="Changquan Opcional",13,IF(Atletas!G210="Nanquan Opcional",14,IF(Atletas!G210="Taijiquan Opcional",15,IF(Atletas!G210="Changquan Adulto",16,IF(Atletas!G210="Nanquan Adulto",17,IF(Atletas!G210="Taijiquan Adulto",18,""))))))))))))))))))))</f>
        <v/>
      </c>
      <c r="AZ214" s="46" t="str">
        <f>IF(Atletas!H210="","",IF(Atletas!B210="Feminino",100,IF(Atletas!B210="Masculino",200,""))+(IF(Atletas!H210="Daoshu Mirim",19,IF(Atletas!H210="Jianshu Mirim",20,IF(Atletas!H210="Nandao Mirim",21,IF(Atletas!H210="Taijijian Mirim",22,IF(Atletas!H210="Daoshu Grupo C",23,IF(Atletas!H210="Jianshu Grupo C",24,IF(Atletas!H210="Nandao Grupo C",25,IF(Atletas!H210="Taijijian Grupo C",26,IF(Atletas!H210="Daoshu Grupo B",27,IF(Atletas!H210="Jianshu Grupo B",28,IF(Atletas!H210="Nandao Grupo B",29,IF(Atletas!H210="Taijijian Grupo B",30,IF(Atletas!H210="Daoshu Grupo A",31,IF(Atletas!H210="Jianshu Grupo A",32,IF(Atletas!H210="Nandao Grupo A",33,IF(Atletas!H210="Taijijian Grupo A",34,IF(Atletas!H210="Daoshu Opcional",35,IF(Atletas!H210="Jianshu Opcional",36,IF(Atletas!H210="Nandao Opcional",37,IF(Atletas!H210="Taijijian Opcional",38,IF(Atletas!H210="Daoshu Adulto",39,IF(Atletas!H210="Jianshu Adulto",40,IF(Atletas!H210="Nandao Adulto",41,IF(Atletas!H210="Taijijian Adulto",42,""))))))))))))))))))))))))))</f>
        <v/>
      </c>
      <c r="BA214" s="46" t="str">
        <f>IF(Atletas!I210="","",IF(Atletas!B210="Feminino",100,IF(Atletas!B210="Masculino",200,""))+(IF(Atletas!I210="Gunshu Mirim",43,IF(Atletas!I210="Qiangshu Mirim",44,IF(Atletas!I210="Nangun Mirim",45,IF(Atletas!I210="Gunshu Grupo C",46,IF(Atletas!I210="Qiangshu Grupo C",47,IF(Atletas!I210="Nangun Grupo C",48,IF(Atletas!I210="Gunshu Grupo B",49,IF(Atletas!I210="Qiangshu Grupo B",50,IF(Atletas!I210="Nangun Grupo B",51,IF(Atletas!I210="Gunshu Grupo A",52,IF(Atletas!I210="Qiangshu Grupo A",53,IF(Atletas!I210="Nangun Grupo A",54,IF(Atletas!I210="Gunshu Opcional",55,IF(Atletas!I210="Qiangshu Opcional",56,IF(Atletas!I210="Nangun Opcional",57,IF(Atletas!I210="Gunshu Adulto",58,IF(Atletas!I210="Qiangshu Adulto",59,IF(Atletas!I210="Nangun Adulto",60,""))))))))))))))))))))</f>
        <v/>
      </c>
      <c r="BF214" s="52" t="str">
        <f>IF(Atletas!J210="","",IF(Atletas!B210="Feminino",100,IF(Atletas!B210="Masculino",200,""))+(IF(Atletas!J210="Equipe 1 Grupo B",1,IF(Atletas!J210="Equipe 2 Grupo B",2,IF(Atletas!J210="Equipe 1 Grupo A",3,IF(Atletas!J210="Equipe 2 Grupo A",4,IF(Atletas!J210="Equipe 1 Adulto",5,IF(Atletas!J210="Equipe 2 Adulto",6,""))))))))</f>
        <v/>
      </c>
      <c r="BK214" s="52" t="str">
        <f>IF(Atletas!K210="","",IF(Atletas!W210&lt;&gt;"",10000,0)+(IF(Atletas!B210="Feminino",1000,IF(Atletas!B210="Masculino",2000,""))+IF(Atletas!K210="Choylayfut A",1,IF(Atletas!K210="Hunggar A",2,IF(Atletas!K210="Wuzuquan A",3,IF(Atletas!K210="Wingchun A",4,IF(Atletas!K210="Outra Mão de Sul A",5,IF(Atletas!K210="Choylayfut B",6,IF(Atletas!K210="Hunggar B",7,IF(Atletas!K210="Wuzuquan B",8,IF(Atletas!K210="Wingchun B",9,IF(Atletas!K210="Outra Mão de Sul B",10,IF(Atletas!K210="Choylayfut C",11,IF(Atletas!K210="Hunggar C",12,IF(Atletas!K210="Wuzuquan C",13,IF(Atletas!K210="Wingchun C",14,IF(Atletas!K210="Outra Mão de Sul C",15,IF(Atletas!K210="Choylayfut D",16,IF(Atletas!K210="Hunggar D",17,IF(Atletas!K210="Wuzuquan D",18,IF(Atletas!K210="Wingchun D",19,IF(Atletas!K210="Outra Mão de Sul D",20,IF(Atletas!K210="Choylayfut E",21,IF(Atletas!K210="Hunggar E",22,IF(Atletas!K210="Wuzuquan E",23,IF(Atletas!K210="Wingchun E",24,IF(Atletas!K210="Outra Mão de Sul E",25,IF(Atletas!K210="Choylayfut F",26,IF(Atletas!K210="Hunggar F",27,IF(Atletas!K210="Wuzuquan F",28,IF(Atletas!K210="Wingchun F",29,IF(Atletas!K210="Outra Mão de Sul F",30,""))))))))))))))))))))))))))))))))</f>
        <v/>
      </c>
      <c r="BL214" s="52" t="str">
        <f>IF(Atletas!L210="","",IF(Atletas!W210&lt;&gt;"",10000,0)+(IF(Atletas!B210="Feminino",1000,IF(Atletas!B210="Masculino",2000,""))+(IF(Atletas!L210="Chaquan A",101,IF(Atletas!L210="Emeiquan A",102,IF(Atletas!L210="Fanziquan A",103,IF(Atletas!L210="Huaquan A",104,IF(Atletas!L210="Hongquan A",105,IF(Atletas!L210="Paochui A",106,IF(Atletas!L210="Piguaquan A",107,IF(Atletas!L210="Shaolinquan A",108,IF(Atletas!L210="Tanglangquan A",109,IF(Atletas!L210="Yinzhaophai A",110,IF(Atletas!L210="Tongbeiquan A",111,IF(Atletas!L210="Wudangquan A",112,IF(Atletas!L210="Outros Estilos A",113,IF(Atletas!L210="Chaquan B",114,IF(Atletas!L210="Emeiquan B",115,IF(Atletas!L210="Fanziquan B",116,IF(Atletas!L210="Huaquan B",117,IF(Atletas!L210="Hongquan B",118,IF(Atletas!L210="Paochui B",119,IF(Atletas!L210="Piguaquan B",120,IF(Atletas!L210="Shaolinquan B",121,IF(Atletas!L210="Tanglangquan B",122,IF(Atletas!L210="Yinzhaophai B",123,IF(Atletas!L210="Tongbeiquan B",124,IF(Atletas!L210="Wudangquan B",125,IF(Atletas!L210="Outros Estilos B",126,IF(Atletas!L210="Chaquan C",127,IF(Atletas!L210="Emeiquan C",128,IF(Atletas!L210="Fanziquan C",129,IF(Atletas!L210="Huaquan C",130,IF(Atletas!L210="Hongquan C",131,IF(Atletas!L210="Paochui C",132,IF(Atletas!L210="Piguaquan C",133,IF(Atletas!L210="Shaolinquan C",134,IF(Atletas!L210="Tanglangquan C",135,IF(Atletas!L210="Yinzhaophai C",136,IF(Atletas!L210="Tongbeiquan C",137,IF(Atletas!L210="Wudangquan C",138,IF(Atletas!L210="Outros Estilos C",139,0))))))))))))))))))))))))))))))))))))))))))</f>
        <v/>
      </c>
      <c r="BM214" s="52" t="str">
        <f>IF(Atletas!L210="","",IF(Atletas!W210&lt;&gt;"",10000,0)+(IF(Atletas!B210="Feminino",1000,IF(Atletas!B210="Masculino",2000,""))+(IF(Atletas!L210="Chaquan D",140,IF(Atletas!L210="Emeiquan D",141,IF(Atletas!L210="Fanziquan D",142,IF(Atletas!L210="Huaquan D",143,IF(Atletas!L210="Hongquan D",144,IF(Atletas!L210="Paochui D",145,IF(Atletas!L210="Piguaquan D",146,IF(Atletas!L210="Shaolinquan D",147,IF(Atletas!L210="Tanglangquan D",148,IF(Atletas!L210="Yinzhaophai D",149,IF(Atletas!L210="Tongbeiquan D",150,IF(Atletas!L210="Wudangquan D",151,IF(Atletas!L210="Outros Estilos D",152,IF(Atletas!L210="Chaquan E",153,IF(Atletas!L210="Emeiquan E",154,IF(Atletas!L210="Fanziquan E",155,IF(Atletas!L210="Huaquan E",156,IF(Atletas!L210="Hongquan E",157,IF(Atletas!L210="Paochui E",158,IF(Atletas!L210="Piguaquan E",159,IF(Atletas!L210="Shaolinquan E",160,IF(Atletas!L210="Tanglangquan E",161,IF(Atletas!L210="Yinzhaophai E",162,IF(Atletas!L210="Tongbeiquan E",163,IF(Atletas!L210="Wudangquan E",164,IF(Atletas!L210="Outros Estilos E",165,IF(Atletas!L210="Chaquan F",166,IF(Atletas!L210="Emeiquan F",167,IF(Atletas!L210="Fanziquan F",168,IF(Atletas!L210="Huaquan F",169,IF(Atletas!L210="Hongquan F",170,IF(Atletas!L210="Paochui F",171,IF(Atletas!L210="Piguaquan F",172,IF(Atletas!L210="Shaolinquan F",173,IF(Atletas!L210="Tanglangquan F",174,IF(Atletas!L210="Yinzhaophai F",175,IF(Atletas!L210="Tongbeiquan F",176,IF(Atletas!L210="Wudangquan F",177,IF(Atletas!L210="Outros Estilos F",178,0))))))))))))))))))))))))))))))))))))))))))</f>
        <v/>
      </c>
      <c r="BN214" s="52" t="str">
        <f>IF(Atletas!M210="","",IF(Atletas!W210&lt;&gt;"",10000,0)+(IF(Atletas!B210="Feminino",1000,IF(Atletas!B210="Masculino",2000,""))+(IF(Atletas!M210="Ditangquan A",201,IF(Atletas!M210="Houquan A",202,IF(Atletas!M210="Zuiquan A",203,IF(Atletas!M210="Ditangquan B",204,IF(Atletas!M210="Houquan B",205,IF(Atletas!M210="Zuiquan B",206,IF(Atletas!M210="Ditangquan C",207,IF(Atletas!M210="Houquan C",208,IF(Atletas!M210="Zuiquan C",209,IF(Atletas!M210="Ditangquan D",210,IF(Atletas!M210="Houquan D",211,IF(Atletas!M210="Zuiquan D",212,IF(Atletas!M210="Ditangquan E",213,IF(Atletas!M210="Houquan E",214,IF(Atletas!M210="Zuiquan E",215,IF(Atletas!M210="Ditangquan F",216,IF(Atletas!M210="Houquan F",217,IF(Atletas!M210="Zuiquan F",218,"")))))))))))))))))))))</f>
        <v/>
      </c>
      <c r="BO214" s="52" t="str">
        <f>IF(Atletas!N210="","",IF(Atletas!W210&lt;&gt;"",10000,0)+IF(Atletas!B210="Feminino",1000,IF(Atletas!B210="Masculino",2000,""))+IF(Atletas!N210="Yang A",301,IF(Atletas!N210="Chen A",30,IF(Atletas!N210="Sun A",303,IF(Atletas!N210="Wu A",304,IF(Atletas!N210="Wu-Hao A",305,IF(Atletas!N210="Outro Taijiquan A",306,IF(Atletas!N210="Yang B",307,IF(Atletas!N210="Chen B",308,IF(Atletas!N210="Sun B",309,IF(Atletas!N210="Wu B",310,IF(Atletas!N210="Wu-Hao B",311,IF(Atletas!N210="Outro Taijiquan B",312,IF(Atletas!N210="Yang C",313,IF(Atletas!N210="Chen C",314,IF(Atletas!N210="Sun C",315,IF(Atletas!N210="Wu C",316,IF(Atletas!N210="Wu-Hao C",317,IF(Atletas!N210="Outro Taijiquan C",318,IF(Atletas!N210="Yang D",319,IF(Atletas!N210="Chen D",320,IF(Atletas!N210="Sun D",321,IF(Atletas!N210="Wu D",322,IF(Atletas!N210="Wu-Hao D",323,IF(Atletas!N210="Outro Taijiquan D",324,IF(Atletas!N210="Yang E",325,IF(Atletas!N210="Chen E",326,IF(Atletas!N210="Sun E",327,IF(Atletas!N210="Wu E",328,IF(Atletas!N210="Wu-Hao E",329,IF(Atletas!N210="Outro Taijiquan E",330,IF(Atletas!N210="Yang F",331,IF(Atletas!N210="Chen F",332,IF(Atletas!N210="Sun F",333,IF(Atletas!N210="Wu F",334,IF(Atletas!N210="Wu-Hao F",335,IF(Atletas!N210="Outro Taijiquan F",336,"")))))))))))))))))))))))))))))))))))))</f>
        <v/>
      </c>
      <c r="BP214" s="52" t="str">
        <f>IF(Atletas!O210="","",IF(Atletas!W210&lt;&gt;"",10000,0)+IF(Atletas!B210="Feminino",1000,IF(Atletas!B210="Masculino",2000,""))+IF(OR(Atletas!O210="Yang 26 A",Atletas!O210="Yang 40 A"),401,IF(OR(Atletas!O210="Chen 25 A",Atletas!O210="Chen 36 A",Atletas!O210="Chen 56 A"),402,IF(Atletas!O210="Sun 73 A",403,IF(Atletas!O210="Wu 45 A",404,IF(Atletas!O210="Wu-Hao 46 A",405,IF(OR(Atletas!O210="Taijiquan 16 A",Atletas!O210="Taijiquan 24 A",Atletas!O210="Taijiquan 32 A",Atletas!O210="Taijiquan 42 A"),406,IF(OR(Atletas!O210="Yang 26 B",Atletas!O210="Yang 40 B"),407,IF(OR(Atletas!O210="Chen 25 B",Atletas!O210="Chen 36 B",Atletas!O210="Chen 56 B"),408,IF(Atletas!O210="Sun 73 B",409,IF(Atletas!O210="Wu 45 B",410,IF(Atletas!O210="Wu-Hao 46 B",411,IF(OR(Atletas!O210="Taijiquan 16 B",Atletas!O210="Taijiquan 24 B",Atletas!O210="Taijiquan 32 B",Atletas!O210="Taijiquan 42 B"),412,IF(OR(Atletas!O210="Yang 26 C",Atletas!O210="Yang 40 C"),413,IF(OR(Atletas!O210="Chen 25 C",Atletas!O210="Chen 36 C",Atletas!O210="Chen 56 C"),414,IF(Atletas!O210="Sun 73 C",415,IF(Atletas!O210="Wu 45 C",416,IF(Atletas!O210="Wu-Hao 46 C",417,IF(OR(Atletas!O210="Taijiquan 16 C",Atletas!O210="Taijiquan 24 C",Atletas!O210="Taijiquan 32 C",Atletas!O210="Taijiquan 42 C"),418,0)))))))))))))))))))</f>
        <v/>
      </c>
      <c r="BQ214" s="52" t="str">
        <f>IF(Atletas!O210="","",IF(Atletas!W210&lt;&gt;"",10000,0)+IF(Atletas!B210="Feminino",1000,IF(Atletas!B210="Masculino",2000,""))+IF(OR(Atletas!O210="Yang 26 D",Atletas!O210="Yang 40 D"),419,IF(OR(Atletas!O210="Chen 25 D",Atletas!O210="Chen 36 D",Atletas!O210="Chen 56 D"),420,IF(Atletas!O210="Sun 73 D",421,IF(Atletas!O210="Wu 45 D",422,IF(Atletas!O210="Wu-Hao 46 D",423,IF(OR(Atletas!O210="Taijiquan 16 D",Atletas!O210="Taijiquan 24 D",Atletas!O210="Taijiquan 32 D",Atletas!O210="Taijiquan 42 D"),424,IF(OR(Atletas!O210="Yang 26 E",Atletas!O210="Yang 40 E"),425,IF(OR(Atletas!O210="Chen 25 E",Atletas!O210="Chen 36 E",Atletas!O210="Chen 56 E"),426,IF(Atletas!O210="Sun 73 E",427,IF(Atletas!O210="Wu 45 E",428,IF(Atletas!O210="Wu-Hao 46 E",429,IF(OR(Atletas!O210="Taijiquan 16 E",Atletas!O210="Taijiquan 24 E",Atletas!O210="Taijiquan 32 E",Atletas!O210="Taijiquan 42 E"),430,IF(OR(Atletas!O210="Yang 26 F",Atletas!O210="Yang 40 F"),431,IF(OR(Atletas!O210="Chen 25 F",Atletas!O210="Chen 36 F",Atletas!O210="Chen 56 F"),432,IF(Atletas!O210="Sun 73 F",433,IF(Atletas!O210="Wu 45 F",434,IF(Atletas!O210="Wu-Hao 46 F",435,IF(OR(Atletas!O210="Taijiquan 16 F",Atletas!O210="Taijiquan 24 F",Atletas!O210="Taijiquan 32 F",Atletas!O210="Taijiquan 42 F"),436,0)))))))))))))))))))</f>
        <v/>
      </c>
      <c r="BR214" s="52" t="str">
        <f>IF(Atletas!P210="","",IF(Atletas!W210&lt;&gt;"",10000,0)+IF(Atletas!B210="Feminino",1000,IF(Atletas!B210="Masculino",2000,""))+IF(Atletas!P210="Xingyiquan A",501,IF(Atletas!P210="Baguazhang A",502,IF(Atletas!P210="Outro Estilo Interno A",503,IF(Atletas!P210="Xingyiquan B",504,IF(Atletas!P210="Baguazhang B",505,IF(Atletas!P210="Outro Estilo Interno B",506,IF(Atletas!P210="Xingyiquan C",507,IF(Atletas!P210="Baguazhang C",508,IF(Atletas!P210="Outro Estilo Interno C",509,IF(Atletas!P210="Xingyiquan D",510,IF(Atletas!P210="Baguazhang D",511,IF(Atletas!P210="Outro Estilo Interno D",512,IF(Atletas!P210="Xingyiquan E",513,IF(Atletas!P210="Baguazhang E",514,IF(Atletas!P210="Outro Estilo Interno E",515,IF(Atletas!P210="Xingyiquan F",516,IF(Atletas!P210="Baguazhang F",517,IF(Atletas!P210="Outro Estilo Interno F",518, "")))))))))))))))))))</f>
        <v/>
      </c>
      <c r="BS214" s="52" t="str">
        <f>IF(Atletas!Q210="","",IF(Atletas!W210&lt;&gt;"",10000,0)+IF(Atletas!B210="Feminino",1000,IF(Atletas!B210="Masculino",2000,""))+IF(Atletas!Q210="Dao A",601,IF(Atletas!Q210="Jian A",602,IF(Atletas!Q210="Bishou A",603,IF(Atletas!Q210="Shan A",604,IF(Atletas!Q210="Outra Arma Curta A",605,IF(Atletas!Q210="Dao B",606,IF(Atletas!Q210="Jian B",607,IF(Atletas!Q210="Bishou B",608,IF(Atletas!Q210="Shan B",609,IF(Atletas!Q210="Outra Arma Curta B",610,IF(Atletas!Q210="Dao C",611,IF(Atletas!Q210="Jian C",612,IF(Atletas!Q210="Bishou C",613,IF(Atletas!Q210="Shan C",614,IF(Atletas!Q210="Outra Arma Curta C",615,IF(Atletas!Q210="Dao D",616,IF(Atletas!Q210="Jian D",617,IF(Atletas!Q210="Bishou D",618,IF(Atletas!Q210="Shan D",619,IF(Atletas!Q210="Outra Arma Curta D",620,IF(Atletas!Q210="Dao E",621,IF(Atletas!Q210="Jian E",622,IF(Atletas!Q210="Bishou E",623,IF(Atletas!Q210="Shan E",624,IF(Atletas!Q210="Outra Arma Curta E",625,IF(Atletas!Q210="Dao F",626,IF(Atletas!Q210="Jian F",627,IF(Atletas!Q210="Bishou F",628,IF(Atletas!Q210="Shan F",629,IF(Atletas!Q210="Outra Arma Curta F",630, "")))))))))))))))))))))))))))))))</f>
        <v/>
      </c>
      <c r="BT214" s="52" t="str">
        <f>IF(Atletas!R210="","",IF(Atletas!W210&lt;&gt;"",10000,0)+IF(Atletas!B210="Feminino",1000,IF(Atletas!B210="Masculino",2000,""))+IF(Atletas!R210="Gun A",701,IF(Atletas!R210="Qiang A",702,IF(Atletas!R210="Pudao / Guandao A",703,IF(Atletas!R210="Outra Arma Longa A",704,IF(Atletas!R210="Gun B",705,IF(Atletas!R210="Qiang B",706,IF(Atletas!R210="Pudao / Guandao B",707,IF(Atletas!R210="Outra Arma Longa B",708,IF(Atletas!R210="Gun C",709,IF(Atletas!R210="Qiang C",710,IF(Atletas!R210="Pudao / Guandao C",711,IF(Atletas!R210="Outra Arma Longa C",712,IF(Atletas!R210="Gun D",713,IF(Atletas!R210="Qiang D",714,IF(Atletas!R210="Pudao / Guandao D",715,IF(Atletas!R210="Outra Arma Longa D",716,IF(Atletas!R210="Gun E",717,IF(Atletas!R210="Qiang E",718,IF(Atletas!R210="Pudao / Guandao E",719,IF(Atletas!R210="Outra Arma Longa E",720,IF(Atletas!R210="Gun F",721,IF(Atletas!R210="Qiang F",722,IF(Atletas!R210="Pudao / Guandao F",723,IF(Atletas!R210="Outra Arma Longa F",724,"")))))))))))))))))))))))))</f>
        <v/>
      </c>
      <c r="BU214" s="52" t="str">
        <f>IF(Atletas!S210="","",IF(Atletas!W210&lt;&gt;"",10000,0)+IF(Atletas!B210="Feminino",1000,IF(Atletas!B210="Masculino",2000,""))+IF(Atletas!S210="Arma Dupla A",801,IF(Atletas!S210="Arma Maleável A",802,IF(Atletas!S210="Arma Dupla B",803,IF(Atletas!S210="Arma Maleável B",804,IF(Atletas!S210="Arma Dupla C",805,IF(Atletas!S210="Arma Maleável C",806,IF(Atletas!S210="Arma Dupla D",807,IF(Atletas!S210="Arma Maleável D",808,IF(Atletas!S210="Arma Dupla E",809,IF(Atletas!S210="Arma Maleável E",810,IF(Atletas!S210="Arma Dupla F",811,IF(Atletas!S210="Arma Maleável F",812, "")))))))))))))</f>
        <v/>
      </c>
      <c r="BV214" s="52" t="str">
        <f>IF(Atletas!T210="","",IF(Atletas!W210&lt;&gt;"",10000,0)+IF(Atletas!B210="Feminino",1000,IF(Atletas!B210="Masculino",2000,""))+IF(Atletas!T210="Taijijian Yang A",901,IF(Atletas!T210="Taijijian Chen A",902,IF(Atletas!T210="Taijijian Sun A",903,IF(Atletas!T210="Taijijian Wu A",904,IF(Atletas!T210="Taijijian Wu-Hao A",905,IF(Atletas!T210="Taijijian 32 A",906,IF(Atletas!T210="Taijijian 42 A",907,IF(Atletas!T210="Taijijian Yang B",908,IF(Atletas!T210="Taijijian Chen B",909,IF(Atletas!T210="Taijijian Sun B",910,IF(Atletas!T210="Taijijian Wu B",911,IF(Atletas!T210="Taijijian Wu-Hao B",912,IF(Atletas!T210="Taijijian 32 B",913,IF(Atletas!T210="Taijijian 42 B",914,IF(Atletas!T210="Taijijian Yang C",915,IF(Atletas!T210="Taijijian Chen C",916,IF(Atletas!T210="Taijijian Sun C",917,IF(Atletas!T210="Taijijian Wu C",918,IF(Atletas!T210="Taijijian Wu-Hao C",919,IF(Atletas!T210="Taijijian 32 C",920,IF(Atletas!T210="Taijijian 42 C",921,IF(Atletas!T210="Taijijian Yang D",922,IF(Atletas!T210="Taijijian Chen D",923,IF(Atletas!T210="Taijijian Sun D",924,IF(Atletas!T210="Taijijian Wu D",925,IF(Atletas!T210="Taijijian Wu-Hao D",926,IF(Atletas!T210="Taijijian 32 D",927,IF(Atletas!T210="Taijijian 42 D",928,IF(Atletas!T210="Taijijian Yang E",929,IF(Atletas!T210="Taijijian Chen E",930,IF(Atletas!T210="Taijijian Sun E",931,IF(Atletas!T210="Taijijian Wu E",932,IF(Atletas!T210="Taijijian Wu-Hao E",933,IF(Atletas!T210="Taijijian 32 E",934,IF(Atletas!T210="Taijijian 42 E",935,IF(Atletas!T210="Taijijian Yang F",936,IF(Atletas!T210="Taijijian Chen F",937,IF(Atletas!T210="Taijijian Sun F",938,IF(Atletas!T210="Taijijian Wu F",939,IF(Atletas!T210="Taijijian Wu-Hao F",940,IF(Atletas!T210="Taijijian 32 F",941,IF(Atletas!T210="Taijijian 42 F",942,"")))))))))))))))))))))))))))))))))))))))))))</f>
        <v/>
      </c>
      <c r="BW214" s="52" t="str">
        <f>IF(Atletas!U210="","",IF(Atletas!W210&lt;&gt;"",10000,0)+IF(Atletas!B210="Feminino",1000,IF(Atletas!B210="Masculino",2000,""))+IF(Atletas!T210="Taijijian 42 F",942,IF(Atletas!U210="Taijidao A",943,IF(Atletas!U210="Taijishan A",944,IF(Atletas!U210="Taijiqiang A",945,IF(Atletas!U210="Taijidao B",946,IF(Atletas!U210="Taijishan B",947,IF(Atletas!U210="Taijiqiang B",948,IF(Atletas!U210="Taijidao C",949,IF(Atletas!U210="Taijishan C",950,IF(Atletas!U210="Taijiqiang C",951,IF(Atletas!U210="Taijidao D",952,IF(Atletas!U210="Taijishan D",953,IF(Atletas!U210="Taijiqiang D",954,IF(Atletas!U210="Taijidao E",955,IF(Atletas!U210="Taijishan E",956,IF(Atletas!U210="Taijiqiang E",957,IF(Atletas!U210="Taijidao F",958,IF(Atletas!U210="Taijishan F",959,IF(Atletas!U210="Taijiqiang F",960))))))))))))))))))))</f>
        <v/>
      </c>
      <c r="BX214" s="72" t="str">
        <f>IF(BY214&lt;&gt;"","Xingyiquan D","")</f>
        <v/>
      </c>
      <c r="BY214" s="72" t="str">
        <f>IF(COUNTIF(BK:BW,1510)&gt;0,COUNTIF(BK:BW,1510),"")</f>
        <v/>
      </c>
      <c r="BZ214" s="72" t="str">
        <f>IF(CA214&lt;&gt;"","Xingyiquan D","")</f>
        <v/>
      </c>
      <c r="CA214" s="72" t="str">
        <f>IF(COUNTIF(BK:BW,2510)&gt;0,COUNTIF(BK:BW,2510),"")</f>
        <v/>
      </c>
      <c r="CB214" s="72" t="str">
        <f>IF(CC214&lt;&gt;"","Cheng Novo D","")</f>
        <v/>
      </c>
      <c r="CC214" s="64" t="str">
        <f>IF(COUNTIF(BK:BW,11446)&gt;0,COUNTIF(BK:BW,11446),"")</f>
        <v/>
      </c>
      <c r="CD214" s="64" t="str">
        <f>IF(CE214&lt;&gt;"","Cheng Novo D","")</f>
        <v/>
      </c>
      <c r="CE214" s="64" t="str">
        <f>IF(COUNTIF(BK:BW,12446)&gt;0,COUNTIF(BK:BW,12446),"")</f>
        <v/>
      </c>
      <c r="CF214" s="52" t="str">
        <f xml:space="preserve"> IF(Atletas!V210="","",IF(Atletas!V210="Duilian de Mãos AB - Equipe 1",1,IF(Atletas!V210="Duilian de Mãos AB - Equipe 2",2,IF(Atletas!V210="Duilian de Armas AB - Equipe 1",3,IF(Atletas!V210="Duilian de Armas AB - Equipe 2",4,IF(Atletas!V210="Duilian de Tuishou - Equipe 1",5,IF(Atletas!V210="Duilian de Tuishou - Equipe 2",6,IF(Atletas!V210="Grupo Externo AB - Equipe 1",7,IF(Atletas!V210="Grupo Externo AB - Equipe 2",8,IF(Atletas!V210="Grupo Interno AB - Equipe 1",9,IF(Atletas!V210="Grupo Interno AB - Equipe 2",10,IF(Atletas!V210="Duilian de Mãos CD - Equipe 1",11,IF(Atletas!V210="Duilian de Mãos CD - Equipe 2",12,IF(Atletas!V210="Duilian de Armas CD - Equipe 1",13,IF(Atletas!V210="Duilian de Armas CD - Equipe 2",14,IF(Atletas!V210="Duilian de Tuishou - Equipe 1",15,IF(Atletas!V210="Duilian de Tuishou - Equipe 2",16,IF(Atletas!V210="Grupo Externo CDEF - Equipe 1",17,IF(Atletas!V210="Grupo Externo CDEF - Equipe 2",18,IF(Atletas!V210="Grupo Interno CDEF - Equipe 1",19,IF(Atletas!V210="Grupo Interno CDEF - Equipe 2",20,IF(Atletas!V210="Duilian de Mãos EF - Equipe 1",21,IF(Atletas!V210="Duilian de Mãos EF - Equipe 2",22,IF(Atletas!V210="Duilian de Armas EF - Equipe 1",23,IF(Atletas!V210="Duilian de Armas EF - Equipe 2",24,IF(Atletas!V210="Duilian de Tuishou - Equipe 1",25,IF(Atletas!V210="Duilian de Tuishou - Equipe 2",26,"")))))))))))))))))))))))))))</f>
        <v/>
      </c>
    </row>
    <row r="215" spans="2:84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 t="str">
        <f t="array" ref="V215">IFERROR(INDEX(BX$7:BX$336,SMALL(IF(BX$7:BX$336&lt;&gt;"",ROW(BX$7:BX$336)-ROW(BX$7)+1),ROWS(BX$7:BX204))),"")</f>
        <v/>
      </c>
      <c r="W215" s="4" t="str">
        <f t="array" ref="W215">IFERROR(INDEX(BY$7:BY$336,SMALL(IF(BY$7:BY$336&lt;&gt;"",ROW(BY$7:BY$336)-ROW(BY$7)+1),ROWS(BY$7:BY204))),"")</f>
        <v/>
      </c>
      <c r="X215" s="4" t="str">
        <f t="array" ref="X215">IFERROR(INDEX(BZ$7:BZ$336,SMALL(IF(BZ$7:BZ$336&lt;&gt;"",ROW(BZ$7:BZ$336)-ROW(BZ$7)+1),ROWS(BZ$7:BZ204))),"")</f>
        <v/>
      </c>
      <c r="Y215" s="4" t="str">
        <f t="array" ref="Y215">IFERROR(INDEX(CA$7:CA$336,SMALL(IF(CA$7:CA$336&lt;&gt;"",ROW(CA$7:CA$336)-ROW(CA$7)+1),ROWS(CA$7:CA204))),"")</f>
        <v/>
      </c>
      <c r="Z215" s="4" t="str">
        <f t="array" ref="Z215">IFERROR(INDEX(CB$7:CB$378,SMALL(IF(CB$7:CB$378&lt;&gt;"",ROW(CB$7:CB$378)-ROW(CB$7)+1),ROWS(CB$7:CB214))),"")</f>
        <v/>
      </c>
      <c r="AA215" s="4" t="str">
        <f t="array" ref="AA215">IFERROR(INDEX(CC$7:CC$378,SMALL(IF(CC$7:CC$378&lt;&gt;"",ROW(CC$7:CC$378)-ROW(CC$7)+1),ROWS(CC$7:CC214))),"")</f>
        <v/>
      </c>
      <c r="AB215" s="4" t="str">
        <f t="array" ref="AB215">IFERROR(INDEX(CD$7:CD$378,SMALL(IF(CD$7:CD$378&lt;&gt;"",ROW(CD$7:CD$378)-ROW(CD$7)+1),ROWS(CD$7:CD214))),"")</f>
        <v/>
      </c>
      <c r="AC215" s="4" t="str">
        <f t="array" ref="AC215">IFERROR(INDEX(CE$7:CE$378,SMALL(IF(CE$7:CE$378&lt;&gt;"",ROW(CE$7:CE$378)-ROW(CE$7)+1),ROWS(CE$7:CE214))),"")</f>
        <v/>
      </c>
      <c r="AD215" s="4"/>
      <c r="AE215" s="4"/>
      <c r="AF215" s="4"/>
      <c r="AG215" s="4"/>
      <c r="AH215" s="4"/>
      <c r="AI215" s="4"/>
      <c r="AJ215" s="46" t="str">
        <f>IF(Atletas!D211="","",IF(Atletas!B211="Feminino",100,IF(Atletas!B211="Masculino",200,""))+(IF(Atletas!D211="Infantil 39kg",1,IF(Atletas!D211="Infantil 42kg",2,IF(Atletas!D211="Infantil 45kg",3,IF(Atletas!D211="Infantil 48kg",4,IF(Atletas!D211="Infantil 52kg",5,IF(Atletas!D211="Infantil 56kg",6,IF(Atletas!D211="Infantil 60kg",7,IF(Atletas!D211="Juvenil 48kg",8,IF(Atletas!D211="Juvenil 52kg",9,IF(Atletas!D211="Juvenil 56kg",10,IF(Atletas!D211="Juvenil 60kg",11,IF(Atletas!D211="Juvenil 65kg",12,IF(Atletas!D211="Juvenil 70kg",13,IF(Atletas!D211="Juvenil 75kg",14,IF(Atletas!D211="Juvenil 80kg",15,IF(Atletas!D211="Adulto 48kg",16,IF(Atletas!D211="Adulto 52kg",17,IF(Atletas!D211="Adulto 56kg",18,IF(Atletas!D211="Adulto 60kg",19,IF(Atletas!D211="Adulto 65kg",20,IF(Atletas!D211="Adulto 70kg",21,IF(Atletas!D211="Adulto 75kg",22,IF(Atletas!D211="Adulto 80kg",23,IF(Atletas!D211="Adulto 85kg",24,IF(Atletas!D211="Adulto 90kg",25,IF(Atletas!D211="Adulto +90kg",26,""))))))))))))))))))))))))))))</f>
        <v/>
      </c>
      <c r="AO215" s="10" t="str">
        <f>IF(Atletas!E211="","",IF(Atletas!B211="Feminino",100,IF(Atletas!B211="Masculino",200,""))+(IF(Atletas!E211="Juvenil 44kg",1,IF(Atletas!E211="Juvenil 48kg",2,IF(Atletas!E211="Juvenil 52kg",3,IF(Atletas!E211="Juvenil 56kg",4,IF(Atletas!E211="Juvenil 60kg",5,IF(Atletas!E211="Juvenil 65kg",6,IF(Atletas!E211="Juvenil 70kg",7,IF(Atletas!E211="Juvenil 75kg",8,IF(Atletas!E211="Juvenil 82kg",9,IF(Atletas!E211="Juvenil 90kg",10,IF(Atletas!E211="Juvenil 100kg",11,IF(Atletas!E211="Adulto 48kg",12,IF(Atletas!E211="Adulto 52kg",13,IF(Atletas!E211="Adulto 56kg",14,IF(Atletas!E211="Adulto 60kg",15,IF(Atletas!E211="Adulto 65kg",16,IF(Atletas!E211="Adulto 70kg",17,IF(Atletas!E211="Adulto 75kg",18,IF(Atletas!E211="Adulto 82kg",19,IF(Atletas!E211="Adulto 90kg",20,IF(Atletas!E211="Adulto 100kg",21,IF(Atletas!E211="Adulto +100kg",22,""))))))))))))))))))))))))</f>
        <v/>
      </c>
      <c r="AT215" s="10" t="str">
        <f>IF(Atletas!F211="","",IF(Atletas!B211="Feminino",100,IF(Atletas!B211="Masculino",200,""))+(IF(Atletas!F211="Adulto 48kg",1,IF(Atletas!F211="Adulto 56kg",2,IF(Atletas!F211="Adulto 65kg",3,IF(Atletas!F211="Adulto 75kg",4,IF(Atletas!F211="Adulto +75kg",5,IF(Atletas!F211="Adulto 52kg",6,IF(Atletas!F211="Adulto 60kg",7,IF(Atletas!F211="Adulto 70kg",8,IF(Atletas!F211="Adulto 80kg",9,IF(Atletas!F211="Adulto 90kg",10,IF(Atletas!F211="Adulto +90kg",11,"")))))))))))))</f>
        <v/>
      </c>
      <c r="AY215" s="46" t="str">
        <f>IF(Atletas!G211="","",IF(Atletas!B211="Feminino",100,IF(Atletas!B211="Masculino",200,""))+(IF(Atletas!G211="Changquan Mirim",1,IF(Atletas!G211="Nanquan Mirim",2,IF(Atletas!G211="Taijiquan Mirim",3,IF(Atletas!G211="Changquan Grupo C",4,IF(Atletas!G211="Nanquan Grupo C",5,IF(Atletas!G211="Taijiquan Grupo C",6,IF(Atletas!G211="Changquan Grupo B",7,IF(Atletas!G211="Nanquan Grupo B",8,IF(Atletas!G211="Taijiquan Grupo B",9,IF(Atletas!G211="Changquan Grupo A",10,IF(Atletas!G211="Nanquan Grupo A",11,IF(Atletas!G211="Taijiquan Grupo A",12,IF(Atletas!G211="Changquan Opcional",13,IF(Atletas!G211="Nanquan Opcional",14,IF(Atletas!G211="Taijiquan Opcional",15,IF(Atletas!G211="Changquan Adulto",16,IF(Atletas!G211="Nanquan Adulto",17,IF(Atletas!G211="Taijiquan Adulto",18,""))))))))))))))))))))</f>
        <v/>
      </c>
      <c r="AZ215" s="46" t="str">
        <f>IF(Atletas!H211="","",IF(Atletas!B211="Feminino",100,IF(Atletas!B211="Masculino",200,""))+(IF(Atletas!H211="Daoshu Mirim",19,IF(Atletas!H211="Jianshu Mirim",20,IF(Atletas!H211="Nandao Mirim",21,IF(Atletas!H211="Taijijian Mirim",22,IF(Atletas!H211="Daoshu Grupo C",23,IF(Atletas!H211="Jianshu Grupo C",24,IF(Atletas!H211="Nandao Grupo C",25,IF(Atletas!H211="Taijijian Grupo C",26,IF(Atletas!H211="Daoshu Grupo B",27,IF(Atletas!H211="Jianshu Grupo B",28,IF(Atletas!H211="Nandao Grupo B",29,IF(Atletas!H211="Taijijian Grupo B",30,IF(Atletas!H211="Daoshu Grupo A",31,IF(Atletas!H211="Jianshu Grupo A",32,IF(Atletas!H211="Nandao Grupo A",33,IF(Atletas!H211="Taijijian Grupo A",34,IF(Atletas!H211="Daoshu Opcional",35,IF(Atletas!H211="Jianshu Opcional",36,IF(Atletas!H211="Nandao Opcional",37,IF(Atletas!H211="Taijijian Opcional",38,IF(Atletas!H211="Daoshu Adulto",39,IF(Atletas!H211="Jianshu Adulto",40,IF(Atletas!H211="Nandao Adulto",41,IF(Atletas!H211="Taijijian Adulto",42,""))))))))))))))))))))))))))</f>
        <v/>
      </c>
      <c r="BA215" s="46" t="str">
        <f>IF(Atletas!I211="","",IF(Atletas!B211="Feminino",100,IF(Atletas!B211="Masculino",200,""))+(IF(Atletas!I211="Gunshu Mirim",43,IF(Atletas!I211="Qiangshu Mirim",44,IF(Atletas!I211="Nangun Mirim",45,IF(Atletas!I211="Gunshu Grupo C",46,IF(Atletas!I211="Qiangshu Grupo C",47,IF(Atletas!I211="Nangun Grupo C",48,IF(Atletas!I211="Gunshu Grupo B",49,IF(Atletas!I211="Qiangshu Grupo B",50,IF(Atletas!I211="Nangun Grupo B",51,IF(Atletas!I211="Gunshu Grupo A",52,IF(Atletas!I211="Qiangshu Grupo A",53,IF(Atletas!I211="Nangun Grupo A",54,IF(Atletas!I211="Gunshu Opcional",55,IF(Atletas!I211="Qiangshu Opcional",56,IF(Atletas!I211="Nangun Opcional",57,IF(Atletas!I211="Gunshu Adulto",58,IF(Atletas!I211="Qiangshu Adulto",59,IF(Atletas!I211="Nangun Adulto",60,""))))))))))))))))))))</f>
        <v/>
      </c>
      <c r="BF215" s="52" t="str">
        <f>IF(Atletas!J211="","",IF(Atletas!B211="Feminino",100,IF(Atletas!B211="Masculino",200,""))+(IF(Atletas!J211="Equipe 1 Grupo B",1,IF(Atletas!J211="Equipe 2 Grupo B",2,IF(Atletas!J211="Equipe 1 Grupo A",3,IF(Atletas!J211="Equipe 2 Grupo A",4,IF(Atletas!J211="Equipe 1 Adulto",5,IF(Atletas!J211="Equipe 2 Adulto",6,""))))))))</f>
        <v/>
      </c>
      <c r="BK215" s="52" t="str">
        <f>IF(Atletas!K211="","",IF(Atletas!W211&lt;&gt;"",10000,0)+(IF(Atletas!B211="Feminino",1000,IF(Atletas!B211="Masculino",2000,""))+IF(Atletas!K211="Choylayfut A",1,IF(Atletas!K211="Hunggar A",2,IF(Atletas!K211="Wuzuquan A",3,IF(Atletas!K211="Wingchun A",4,IF(Atletas!K211="Outra Mão de Sul A",5,IF(Atletas!K211="Choylayfut B",6,IF(Atletas!K211="Hunggar B",7,IF(Atletas!K211="Wuzuquan B",8,IF(Atletas!K211="Wingchun B",9,IF(Atletas!K211="Outra Mão de Sul B",10,IF(Atletas!K211="Choylayfut C",11,IF(Atletas!K211="Hunggar C",12,IF(Atletas!K211="Wuzuquan C",13,IF(Atletas!K211="Wingchun C",14,IF(Atletas!K211="Outra Mão de Sul C",15,IF(Atletas!K211="Choylayfut D",16,IF(Atletas!K211="Hunggar D",17,IF(Atletas!K211="Wuzuquan D",18,IF(Atletas!K211="Wingchun D",19,IF(Atletas!K211="Outra Mão de Sul D",20,IF(Atletas!K211="Choylayfut E",21,IF(Atletas!K211="Hunggar E",22,IF(Atletas!K211="Wuzuquan E",23,IF(Atletas!K211="Wingchun E",24,IF(Atletas!K211="Outra Mão de Sul E",25,IF(Atletas!K211="Choylayfut F",26,IF(Atletas!K211="Hunggar F",27,IF(Atletas!K211="Wuzuquan F",28,IF(Atletas!K211="Wingchun F",29,IF(Atletas!K211="Outra Mão de Sul F",30,""))))))))))))))))))))))))))))))))</f>
        <v/>
      </c>
      <c r="BL215" s="52" t="str">
        <f>IF(Atletas!L211="","",IF(Atletas!W211&lt;&gt;"",10000,0)+(IF(Atletas!B211="Feminino",1000,IF(Atletas!B211="Masculino",2000,""))+(IF(Atletas!L211="Chaquan A",101,IF(Atletas!L211="Emeiquan A",102,IF(Atletas!L211="Fanziquan A",103,IF(Atletas!L211="Huaquan A",104,IF(Atletas!L211="Hongquan A",105,IF(Atletas!L211="Paochui A",106,IF(Atletas!L211="Piguaquan A",107,IF(Atletas!L211="Shaolinquan A",108,IF(Atletas!L211="Tanglangquan A",109,IF(Atletas!L211="Yinzhaophai A",110,IF(Atletas!L211="Tongbeiquan A",111,IF(Atletas!L211="Wudangquan A",112,IF(Atletas!L211="Outros Estilos A",113,IF(Atletas!L211="Chaquan B",114,IF(Atletas!L211="Emeiquan B",115,IF(Atletas!L211="Fanziquan B",116,IF(Atletas!L211="Huaquan B",117,IF(Atletas!L211="Hongquan B",118,IF(Atletas!L211="Paochui B",119,IF(Atletas!L211="Piguaquan B",120,IF(Atletas!L211="Shaolinquan B",121,IF(Atletas!L211="Tanglangquan B",122,IF(Atletas!L211="Yinzhaophai B",123,IF(Atletas!L211="Tongbeiquan B",124,IF(Atletas!L211="Wudangquan B",125,IF(Atletas!L211="Outros Estilos B",126,IF(Atletas!L211="Chaquan C",127,IF(Atletas!L211="Emeiquan C",128,IF(Atletas!L211="Fanziquan C",129,IF(Atletas!L211="Huaquan C",130,IF(Atletas!L211="Hongquan C",131,IF(Atletas!L211="Paochui C",132,IF(Atletas!L211="Piguaquan C",133,IF(Atletas!L211="Shaolinquan C",134,IF(Atletas!L211="Tanglangquan C",135,IF(Atletas!L211="Yinzhaophai C",136,IF(Atletas!L211="Tongbeiquan C",137,IF(Atletas!L211="Wudangquan C",138,IF(Atletas!L211="Outros Estilos C",139,0))))))))))))))))))))))))))))))))))))))))))</f>
        <v/>
      </c>
      <c r="BM215" s="52" t="str">
        <f>IF(Atletas!L211="","",IF(Atletas!W211&lt;&gt;"",10000,0)+(IF(Atletas!B211="Feminino",1000,IF(Atletas!B211="Masculino",2000,""))+(IF(Atletas!L211="Chaquan D",140,IF(Atletas!L211="Emeiquan D",141,IF(Atletas!L211="Fanziquan D",142,IF(Atletas!L211="Huaquan D",143,IF(Atletas!L211="Hongquan D",144,IF(Atletas!L211="Paochui D",145,IF(Atletas!L211="Piguaquan D",146,IF(Atletas!L211="Shaolinquan D",147,IF(Atletas!L211="Tanglangquan D",148,IF(Atletas!L211="Yinzhaophai D",149,IF(Atletas!L211="Tongbeiquan D",150,IF(Atletas!L211="Wudangquan D",151,IF(Atletas!L211="Outros Estilos D",152,IF(Atletas!L211="Chaquan E",153,IF(Atletas!L211="Emeiquan E",154,IF(Atletas!L211="Fanziquan E",155,IF(Atletas!L211="Huaquan E",156,IF(Atletas!L211="Hongquan E",157,IF(Atletas!L211="Paochui E",158,IF(Atletas!L211="Piguaquan E",159,IF(Atletas!L211="Shaolinquan E",160,IF(Atletas!L211="Tanglangquan E",161,IF(Atletas!L211="Yinzhaophai E",162,IF(Atletas!L211="Tongbeiquan E",163,IF(Atletas!L211="Wudangquan E",164,IF(Atletas!L211="Outros Estilos E",165,IF(Atletas!L211="Chaquan F",166,IF(Atletas!L211="Emeiquan F",167,IF(Atletas!L211="Fanziquan F",168,IF(Atletas!L211="Huaquan F",169,IF(Atletas!L211="Hongquan F",170,IF(Atletas!L211="Paochui F",171,IF(Atletas!L211="Piguaquan F",172,IF(Atletas!L211="Shaolinquan F",173,IF(Atletas!L211="Tanglangquan F",174,IF(Atletas!L211="Yinzhaophai F",175,IF(Atletas!L211="Tongbeiquan F",176,IF(Atletas!L211="Wudangquan F",177,IF(Atletas!L211="Outros Estilos F",178,0))))))))))))))))))))))))))))))))))))))))))</f>
        <v/>
      </c>
      <c r="BN215" s="52" t="str">
        <f>IF(Atletas!M211="","",IF(Atletas!W211&lt;&gt;"",10000,0)+(IF(Atletas!B211="Feminino",1000,IF(Atletas!B211="Masculino",2000,""))+(IF(Atletas!M211="Ditangquan A",201,IF(Atletas!M211="Houquan A",202,IF(Atletas!M211="Zuiquan A",203,IF(Atletas!M211="Ditangquan B",204,IF(Atletas!M211="Houquan B",205,IF(Atletas!M211="Zuiquan B",206,IF(Atletas!M211="Ditangquan C",207,IF(Atletas!M211="Houquan C",208,IF(Atletas!M211="Zuiquan C",209,IF(Atletas!M211="Ditangquan D",210,IF(Atletas!M211="Houquan D",211,IF(Atletas!M211="Zuiquan D",212,IF(Atletas!M211="Ditangquan E",213,IF(Atletas!M211="Houquan E",214,IF(Atletas!M211="Zuiquan E",215,IF(Atletas!M211="Ditangquan F",216,IF(Atletas!M211="Houquan F",217,IF(Atletas!M211="Zuiquan F",218,"")))))))))))))))))))))</f>
        <v/>
      </c>
      <c r="BO215" s="52" t="str">
        <f>IF(Atletas!N211="","",IF(Atletas!W211&lt;&gt;"",10000,0)+IF(Atletas!B211="Feminino",1000,IF(Atletas!B211="Masculino",2000,""))+IF(Atletas!N211="Yang A",301,IF(Atletas!N211="Chen A",30,IF(Atletas!N211="Sun A",303,IF(Atletas!N211="Wu A",304,IF(Atletas!N211="Wu-Hao A",305,IF(Atletas!N211="Outro Taijiquan A",306,IF(Atletas!N211="Yang B",307,IF(Atletas!N211="Chen B",308,IF(Atletas!N211="Sun B",309,IF(Atletas!N211="Wu B",310,IF(Atletas!N211="Wu-Hao B",311,IF(Atletas!N211="Outro Taijiquan B",312,IF(Atletas!N211="Yang C",313,IF(Atletas!N211="Chen C",314,IF(Atletas!N211="Sun C",315,IF(Atletas!N211="Wu C",316,IF(Atletas!N211="Wu-Hao C",317,IF(Atletas!N211="Outro Taijiquan C",318,IF(Atletas!N211="Yang D",319,IF(Atletas!N211="Chen D",320,IF(Atletas!N211="Sun D",321,IF(Atletas!N211="Wu D",322,IF(Atletas!N211="Wu-Hao D",323,IF(Atletas!N211="Outro Taijiquan D",324,IF(Atletas!N211="Yang E",325,IF(Atletas!N211="Chen E",326,IF(Atletas!N211="Sun E",327,IF(Atletas!N211="Wu E",328,IF(Atletas!N211="Wu-Hao E",329,IF(Atletas!N211="Outro Taijiquan E",330,IF(Atletas!N211="Yang F",331,IF(Atletas!N211="Chen F",332,IF(Atletas!N211="Sun F",333,IF(Atletas!N211="Wu F",334,IF(Atletas!N211="Wu-Hao F",335,IF(Atletas!N211="Outro Taijiquan F",336,"")))))))))))))))))))))))))))))))))))))</f>
        <v/>
      </c>
      <c r="BP215" s="52" t="str">
        <f>IF(Atletas!O211="","",IF(Atletas!W211&lt;&gt;"",10000,0)+IF(Atletas!B211="Feminino",1000,IF(Atletas!B211="Masculino",2000,""))+IF(OR(Atletas!O211="Yang 26 A",Atletas!O211="Yang 40 A"),401,IF(OR(Atletas!O211="Chen 25 A",Atletas!O211="Chen 36 A",Atletas!O211="Chen 56 A"),402,IF(Atletas!O211="Sun 73 A",403,IF(Atletas!O211="Wu 45 A",404,IF(Atletas!O211="Wu-Hao 46 A",405,IF(OR(Atletas!O211="Taijiquan 16 A",Atletas!O211="Taijiquan 24 A",Atletas!O211="Taijiquan 32 A",Atletas!O211="Taijiquan 42 A"),406,IF(OR(Atletas!O211="Yang 26 B",Atletas!O211="Yang 40 B"),407,IF(OR(Atletas!O211="Chen 25 B",Atletas!O211="Chen 36 B",Atletas!O211="Chen 56 B"),408,IF(Atletas!O211="Sun 73 B",409,IF(Atletas!O211="Wu 45 B",410,IF(Atletas!O211="Wu-Hao 46 B",411,IF(OR(Atletas!O211="Taijiquan 16 B",Atletas!O211="Taijiquan 24 B",Atletas!O211="Taijiquan 32 B",Atletas!O211="Taijiquan 42 B"),412,IF(OR(Atletas!O211="Yang 26 C",Atletas!O211="Yang 40 C"),413,IF(OR(Atletas!O211="Chen 25 C",Atletas!O211="Chen 36 C",Atletas!O211="Chen 56 C"),414,IF(Atletas!O211="Sun 73 C",415,IF(Atletas!O211="Wu 45 C",416,IF(Atletas!O211="Wu-Hao 46 C",417,IF(OR(Atletas!O211="Taijiquan 16 C",Atletas!O211="Taijiquan 24 C",Atletas!O211="Taijiquan 32 C",Atletas!O211="Taijiquan 42 C"),418,0)))))))))))))))))))</f>
        <v/>
      </c>
      <c r="BQ215" s="52" t="str">
        <f>IF(Atletas!O211="","",IF(Atletas!W211&lt;&gt;"",10000,0)+IF(Atletas!B211="Feminino",1000,IF(Atletas!B211="Masculino",2000,""))+IF(OR(Atletas!O211="Yang 26 D",Atletas!O211="Yang 40 D"),419,IF(OR(Atletas!O211="Chen 25 D",Atletas!O211="Chen 36 D",Atletas!O211="Chen 56 D"),420,IF(Atletas!O211="Sun 73 D",421,IF(Atletas!O211="Wu 45 D",422,IF(Atletas!O211="Wu-Hao 46 D",423,IF(OR(Atletas!O211="Taijiquan 16 D",Atletas!O211="Taijiquan 24 D",Atletas!O211="Taijiquan 32 D",Atletas!O211="Taijiquan 42 D"),424,IF(OR(Atletas!O211="Yang 26 E",Atletas!O211="Yang 40 E"),425,IF(OR(Atletas!O211="Chen 25 E",Atletas!O211="Chen 36 E",Atletas!O211="Chen 56 E"),426,IF(Atletas!O211="Sun 73 E",427,IF(Atletas!O211="Wu 45 E",428,IF(Atletas!O211="Wu-Hao 46 E",429,IF(OR(Atletas!O211="Taijiquan 16 E",Atletas!O211="Taijiquan 24 E",Atletas!O211="Taijiquan 32 E",Atletas!O211="Taijiquan 42 E"),430,IF(OR(Atletas!O211="Yang 26 F",Atletas!O211="Yang 40 F"),431,IF(OR(Atletas!O211="Chen 25 F",Atletas!O211="Chen 36 F",Atletas!O211="Chen 56 F"),432,IF(Atletas!O211="Sun 73 F",433,IF(Atletas!O211="Wu 45 F",434,IF(Atletas!O211="Wu-Hao 46 F",435,IF(OR(Atletas!O211="Taijiquan 16 F",Atletas!O211="Taijiquan 24 F",Atletas!O211="Taijiquan 32 F",Atletas!O211="Taijiquan 42 F"),436,0)))))))))))))))))))</f>
        <v/>
      </c>
      <c r="BR215" s="52" t="str">
        <f>IF(Atletas!P211="","",IF(Atletas!W211&lt;&gt;"",10000,0)+IF(Atletas!B211="Feminino",1000,IF(Atletas!B211="Masculino",2000,""))+IF(Atletas!P211="Xingyiquan A",501,IF(Atletas!P211="Baguazhang A",502,IF(Atletas!P211="Outro Estilo Interno A",503,IF(Atletas!P211="Xingyiquan B",504,IF(Atletas!P211="Baguazhang B",505,IF(Atletas!P211="Outro Estilo Interno B",506,IF(Atletas!P211="Xingyiquan C",507,IF(Atletas!P211="Baguazhang C",508,IF(Atletas!P211="Outro Estilo Interno C",509,IF(Atletas!P211="Xingyiquan D",510,IF(Atletas!P211="Baguazhang D",511,IF(Atletas!P211="Outro Estilo Interno D",512,IF(Atletas!P211="Xingyiquan E",513,IF(Atletas!P211="Baguazhang E",514,IF(Atletas!P211="Outro Estilo Interno E",515,IF(Atletas!P211="Xingyiquan F",516,IF(Atletas!P211="Baguazhang F",517,IF(Atletas!P211="Outro Estilo Interno F",518, "")))))))))))))))))))</f>
        <v/>
      </c>
      <c r="BS215" s="52" t="str">
        <f>IF(Atletas!Q211="","",IF(Atletas!W211&lt;&gt;"",10000,0)+IF(Atletas!B211="Feminino",1000,IF(Atletas!B211="Masculino",2000,""))+IF(Atletas!Q211="Dao A",601,IF(Atletas!Q211="Jian A",602,IF(Atletas!Q211="Bishou A",603,IF(Atletas!Q211="Shan A",604,IF(Atletas!Q211="Outra Arma Curta A",605,IF(Atletas!Q211="Dao B",606,IF(Atletas!Q211="Jian B",607,IF(Atletas!Q211="Bishou B",608,IF(Atletas!Q211="Shan B",609,IF(Atletas!Q211="Outra Arma Curta B",610,IF(Atletas!Q211="Dao C",611,IF(Atletas!Q211="Jian C",612,IF(Atletas!Q211="Bishou C",613,IF(Atletas!Q211="Shan C",614,IF(Atletas!Q211="Outra Arma Curta C",615,IF(Atletas!Q211="Dao D",616,IF(Atletas!Q211="Jian D",617,IF(Atletas!Q211="Bishou D",618,IF(Atletas!Q211="Shan D",619,IF(Atletas!Q211="Outra Arma Curta D",620,IF(Atletas!Q211="Dao E",621,IF(Atletas!Q211="Jian E",622,IF(Atletas!Q211="Bishou E",623,IF(Atletas!Q211="Shan E",624,IF(Atletas!Q211="Outra Arma Curta E",625,IF(Atletas!Q211="Dao F",626,IF(Atletas!Q211="Jian F",627,IF(Atletas!Q211="Bishou F",628,IF(Atletas!Q211="Shan F",629,IF(Atletas!Q211="Outra Arma Curta F",630, "")))))))))))))))))))))))))))))))</f>
        <v/>
      </c>
      <c r="BT215" s="52" t="str">
        <f>IF(Atletas!R211="","",IF(Atletas!W211&lt;&gt;"",10000,0)+IF(Atletas!B211="Feminino",1000,IF(Atletas!B211="Masculino",2000,""))+IF(Atletas!R211="Gun A",701,IF(Atletas!R211="Qiang A",702,IF(Atletas!R211="Pudao / Guandao A",703,IF(Atletas!R211="Outra Arma Longa A",704,IF(Atletas!R211="Gun B",705,IF(Atletas!R211="Qiang B",706,IF(Atletas!R211="Pudao / Guandao B",707,IF(Atletas!R211="Outra Arma Longa B",708,IF(Atletas!R211="Gun C",709,IF(Atletas!R211="Qiang C",710,IF(Atletas!R211="Pudao / Guandao C",711,IF(Atletas!R211="Outra Arma Longa C",712,IF(Atletas!R211="Gun D",713,IF(Atletas!R211="Qiang D",714,IF(Atletas!R211="Pudao / Guandao D",715,IF(Atletas!R211="Outra Arma Longa D",716,IF(Atletas!R211="Gun E",717,IF(Atletas!R211="Qiang E",718,IF(Atletas!R211="Pudao / Guandao E",719,IF(Atletas!R211="Outra Arma Longa E",720,IF(Atletas!R211="Gun F",721,IF(Atletas!R211="Qiang F",722,IF(Atletas!R211="Pudao / Guandao F",723,IF(Atletas!R211="Outra Arma Longa F",724,"")))))))))))))))))))))))))</f>
        <v/>
      </c>
      <c r="BU215" s="52" t="str">
        <f>IF(Atletas!S211="","",IF(Atletas!W211&lt;&gt;"",10000,0)+IF(Atletas!B211="Feminino",1000,IF(Atletas!B211="Masculino",2000,""))+IF(Atletas!S211="Arma Dupla A",801,IF(Atletas!S211="Arma Maleável A",802,IF(Atletas!S211="Arma Dupla B",803,IF(Atletas!S211="Arma Maleável B",804,IF(Atletas!S211="Arma Dupla C",805,IF(Atletas!S211="Arma Maleável C",806,IF(Atletas!S211="Arma Dupla D",807,IF(Atletas!S211="Arma Maleável D",808,IF(Atletas!S211="Arma Dupla E",809,IF(Atletas!S211="Arma Maleável E",810,IF(Atletas!S211="Arma Dupla F",811,IF(Atletas!S211="Arma Maleável F",812, "")))))))))))))</f>
        <v/>
      </c>
      <c r="BV215" s="52" t="str">
        <f>IF(Atletas!T211="","",IF(Atletas!W211&lt;&gt;"",10000,0)+IF(Atletas!B211="Feminino",1000,IF(Atletas!B211="Masculino",2000,""))+IF(Atletas!T211="Taijijian Yang A",901,IF(Atletas!T211="Taijijian Chen A",902,IF(Atletas!T211="Taijijian Sun A",903,IF(Atletas!T211="Taijijian Wu A",904,IF(Atletas!T211="Taijijian Wu-Hao A",905,IF(Atletas!T211="Taijijian 32 A",906,IF(Atletas!T211="Taijijian 42 A",907,IF(Atletas!T211="Taijijian Yang B",908,IF(Atletas!T211="Taijijian Chen B",909,IF(Atletas!T211="Taijijian Sun B",910,IF(Atletas!T211="Taijijian Wu B",911,IF(Atletas!T211="Taijijian Wu-Hao B",912,IF(Atletas!T211="Taijijian 32 B",913,IF(Atletas!T211="Taijijian 42 B",914,IF(Atletas!T211="Taijijian Yang C",915,IF(Atletas!T211="Taijijian Chen C",916,IF(Atletas!T211="Taijijian Sun C",917,IF(Atletas!T211="Taijijian Wu C",918,IF(Atletas!T211="Taijijian Wu-Hao C",919,IF(Atletas!T211="Taijijian 32 C",920,IF(Atletas!T211="Taijijian 42 C",921,IF(Atletas!T211="Taijijian Yang D",922,IF(Atletas!T211="Taijijian Chen D",923,IF(Atletas!T211="Taijijian Sun D",924,IF(Atletas!T211="Taijijian Wu D",925,IF(Atletas!T211="Taijijian Wu-Hao D",926,IF(Atletas!T211="Taijijian 32 D",927,IF(Atletas!T211="Taijijian 42 D",928,IF(Atletas!T211="Taijijian Yang E",929,IF(Atletas!T211="Taijijian Chen E",930,IF(Atletas!T211="Taijijian Sun E",931,IF(Atletas!T211="Taijijian Wu E",932,IF(Atletas!T211="Taijijian Wu-Hao E",933,IF(Atletas!T211="Taijijian 32 E",934,IF(Atletas!T211="Taijijian 42 E",935,IF(Atletas!T211="Taijijian Yang F",936,IF(Atletas!T211="Taijijian Chen F",937,IF(Atletas!T211="Taijijian Sun F",938,IF(Atletas!T211="Taijijian Wu F",939,IF(Atletas!T211="Taijijian Wu-Hao F",940,IF(Atletas!T211="Taijijian 32 F",941,IF(Atletas!T211="Taijijian 42 F",942,"")))))))))))))))))))))))))))))))))))))))))))</f>
        <v/>
      </c>
      <c r="BW215" s="52" t="str">
        <f>IF(Atletas!U211="","",IF(Atletas!W211&lt;&gt;"",10000,0)+IF(Atletas!B211="Feminino",1000,IF(Atletas!B211="Masculino",2000,""))+IF(Atletas!T211="Taijijian 42 F",942,IF(Atletas!U211="Taijidao A",943,IF(Atletas!U211="Taijishan A",944,IF(Atletas!U211="Taijiqiang A",945,IF(Atletas!U211="Taijidao B",946,IF(Atletas!U211="Taijishan B",947,IF(Atletas!U211="Taijiqiang B",948,IF(Atletas!U211="Taijidao C",949,IF(Atletas!U211="Taijishan C",950,IF(Atletas!U211="Taijiqiang C",951,IF(Atletas!U211="Taijidao D",952,IF(Atletas!U211="Taijishan D",953,IF(Atletas!U211="Taijiqiang D",954,IF(Atletas!U211="Taijidao E",955,IF(Atletas!U211="Taijishan E",956,IF(Atletas!U211="Taijiqiang E",957,IF(Atletas!U211="Taijidao F",958,IF(Atletas!U211="Taijishan F",959,IF(Atletas!U211="Taijiqiang F",960))))))))))))))))))))</f>
        <v/>
      </c>
      <c r="BX215" s="72" t="str">
        <f>IF(BY215&lt;&gt;"","Baguazhang D ","")</f>
        <v/>
      </c>
      <c r="BY215" s="72" t="str">
        <f>IF(COUNTIF(BK:BW,1511)&gt;0,COUNTIF(BK:BW,1511),"")</f>
        <v/>
      </c>
      <c r="BZ215" s="72" t="str">
        <f>IF(CA215&lt;&gt;"","Baguazhang D ","")</f>
        <v/>
      </c>
      <c r="CA215" s="72" t="str">
        <f>IF(COUNTIF(BK:BW,2511)&gt;0,COUNTIF(BK:BW,2511),"")</f>
        <v/>
      </c>
      <c r="CB215" s="72" t="str">
        <f>IF(CC215&lt;&gt;"","Wu 45 D","")</f>
        <v/>
      </c>
      <c r="CC215" s="64" t="str">
        <f>IF(COUNTIF(BK:BW,11447)&gt;0,COUNTIF(BK:BW,11447),"")</f>
        <v/>
      </c>
      <c r="CD215" s="64" t="str">
        <f>IF(CE215&lt;&gt;"","Wu 45 D","")</f>
        <v/>
      </c>
      <c r="CE215" s="64" t="str">
        <f>IF(COUNTIF(BK:BW,12447)&gt;0,COUNTIF(BK:BW,12447),"")</f>
        <v/>
      </c>
      <c r="CF215" s="52" t="str">
        <f xml:space="preserve"> IF(Atletas!V211="","",IF(Atletas!V211="Duilian de Mãos AB - Equipe 1",1,IF(Atletas!V211="Duilian de Mãos AB - Equipe 2",2,IF(Atletas!V211="Duilian de Armas AB - Equipe 1",3,IF(Atletas!V211="Duilian de Armas AB - Equipe 2",4,IF(Atletas!V211="Duilian de Tuishou - Equipe 1",5,IF(Atletas!V211="Duilian de Tuishou - Equipe 2",6,IF(Atletas!V211="Grupo Externo AB - Equipe 1",7,IF(Atletas!V211="Grupo Externo AB - Equipe 2",8,IF(Atletas!V211="Grupo Interno AB - Equipe 1",9,IF(Atletas!V211="Grupo Interno AB - Equipe 2",10,IF(Atletas!V211="Duilian de Mãos CD - Equipe 1",11,IF(Atletas!V211="Duilian de Mãos CD - Equipe 2",12,IF(Atletas!V211="Duilian de Armas CD - Equipe 1",13,IF(Atletas!V211="Duilian de Armas CD - Equipe 2",14,IF(Atletas!V211="Duilian de Tuishou - Equipe 1",15,IF(Atletas!V211="Duilian de Tuishou - Equipe 2",16,IF(Atletas!V211="Grupo Externo CDEF - Equipe 1",17,IF(Atletas!V211="Grupo Externo CDEF - Equipe 2",18,IF(Atletas!V211="Grupo Interno CDEF - Equipe 1",19,IF(Atletas!V211="Grupo Interno CDEF - Equipe 2",20,IF(Atletas!V211="Duilian de Mãos EF - Equipe 1",21,IF(Atletas!V211="Duilian de Mãos EF - Equipe 2",22,IF(Atletas!V211="Duilian de Armas EF - Equipe 1",23,IF(Atletas!V211="Duilian de Armas EF - Equipe 2",24,IF(Atletas!V211="Duilian de Tuishou - Equipe 1",25,IF(Atletas!V211="Duilian de Tuishou - Equipe 2",26,"")))))))))))))))))))))))))))</f>
        <v/>
      </c>
    </row>
    <row r="216" spans="2:84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 t="str">
        <f t="array" ref="V216">IFERROR(INDEX(BX$7:BX$336,SMALL(IF(BX$7:BX$336&lt;&gt;"",ROW(BX$7:BX$336)-ROW(BX$7)+1),ROWS(BX$7:BX204))),"")</f>
        <v/>
      </c>
      <c r="W216" s="4" t="str">
        <f t="array" ref="W216">IFERROR(INDEX(BY$7:BY$336,SMALL(IF(BY$7:BY$336&lt;&gt;"",ROW(BY$7:BY$336)-ROW(BY$7)+1),ROWS(BY$7:BY204))),"")</f>
        <v/>
      </c>
      <c r="X216" s="4" t="str">
        <f t="array" ref="X216">IFERROR(INDEX(BZ$7:BZ$336,SMALL(IF(BZ$7:BZ$336&lt;&gt;"",ROW(BZ$7:BZ$336)-ROW(BZ$7)+1),ROWS(BZ$7:BZ204))),"")</f>
        <v/>
      </c>
      <c r="Y216" s="4" t="str">
        <f t="array" ref="Y216">IFERROR(INDEX(CA$7:CA$336,SMALL(IF(CA$7:CA$336&lt;&gt;"",ROW(CA$7:CA$336)-ROW(CA$7)+1),ROWS(CA$7:CA204))),"")</f>
        <v/>
      </c>
      <c r="Z216" s="4" t="str">
        <f t="array" ref="Z216">IFERROR(INDEX(CB$7:CB$378,SMALL(IF(CB$7:CB$378&lt;&gt;"",ROW(CB$7:CB$378)-ROW(CB$7)+1),ROWS(CB$7:CB215))),"")</f>
        <v/>
      </c>
      <c r="AA216" s="4" t="str">
        <f t="array" ref="AA216">IFERROR(INDEX(CC$7:CC$378,SMALL(IF(CC$7:CC$378&lt;&gt;"",ROW(CC$7:CC$378)-ROW(CC$7)+1),ROWS(CC$7:CC215))),"")</f>
        <v/>
      </c>
      <c r="AB216" s="4" t="str">
        <f t="array" ref="AB216">IFERROR(INDEX(CD$7:CD$378,SMALL(IF(CD$7:CD$378&lt;&gt;"",ROW(CD$7:CD$378)-ROW(CD$7)+1),ROWS(CD$7:CD215))),"")</f>
        <v/>
      </c>
      <c r="AC216" s="4" t="str">
        <f t="array" ref="AC216">IFERROR(INDEX(CE$7:CE$378,SMALL(IF(CE$7:CE$378&lt;&gt;"",ROW(CE$7:CE$378)-ROW(CE$7)+1),ROWS(CE$7:CE215))),"")</f>
        <v/>
      </c>
      <c r="AD216" s="4"/>
      <c r="AE216" s="4"/>
      <c r="AF216" s="4"/>
      <c r="AG216" s="4"/>
      <c r="AH216" s="4"/>
      <c r="AI216" s="4"/>
      <c r="AJ216" s="46" t="str">
        <f>IF(Atletas!D212="","",IF(Atletas!B212="Feminino",100,IF(Atletas!B212="Masculino",200,""))+(IF(Atletas!D212="Infantil 39kg",1,IF(Atletas!D212="Infantil 42kg",2,IF(Atletas!D212="Infantil 45kg",3,IF(Atletas!D212="Infantil 48kg",4,IF(Atletas!D212="Infantil 52kg",5,IF(Atletas!D212="Infantil 56kg",6,IF(Atletas!D212="Infantil 60kg",7,IF(Atletas!D212="Juvenil 48kg",8,IF(Atletas!D212="Juvenil 52kg",9,IF(Atletas!D212="Juvenil 56kg",10,IF(Atletas!D212="Juvenil 60kg",11,IF(Atletas!D212="Juvenil 65kg",12,IF(Atletas!D212="Juvenil 70kg",13,IF(Atletas!D212="Juvenil 75kg",14,IF(Atletas!D212="Juvenil 80kg",15,IF(Atletas!D212="Adulto 48kg",16,IF(Atletas!D212="Adulto 52kg",17,IF(Atletas!D212="Adulto 56kg",18,IF(Atletas!D212="Adulto 60kg",19,IF(Atletas!D212="Adulto 65kg",20,IF(Atletas!D212="Adulto 70kg",21,IF(Atletas!D212="Adulto 75kg",22,IF(Atletas!D212="Adulto 80kg",23,IF(Atletas!D212="Adulto 85kg",24,IF(Atletas!D212="Adulto 90kg",25,IF(Atletas!D212="Adulto +90kg",26,""))))))))))))))))))))))))))))</f>
        <v/>
      </c>
      <c r="AO216" s="10" t="str">
        <f>IF(Atletas!E212="","",IF(Atletas!B212="Feminino",100,IF(Atletas!B212="Masculino",200,""))+(IF(Atletas!E212="Juvenil 44kg",1,IF(Atletas!E212="Juvenil 48kg",2,IF(Atletas!E212="Juvenil 52kg",3,IF(Atletas!E212="Juvenil 56kg",4,IF(Atletas!E212="Juvenil 60kg",5,IF(Atletas!E212="Juvenil 65kg",6,IF(Atletas!E212="Juvenil 70kg",7,IF(Atletas!E212="Juvenil 75kg",8,IF(Atletas!E212="Juvenil 82kg",9,IF(Atletas!E212="Juvenil 90kg",10,IF(Atletas!E212="Juvenil 100kg",11,IF(Atletas!E212="Adulto 48kg",12,IF(Atletas!E212="Adulto 52kg",13,IF(Atletas!E212="Adulto 56kg",14,IF(Atletas!E212="Adulto 60kg",15,IF(Atletas!E212="Adulto 65kg",16,IF(Atletas!E212="Adulto 70kg",17,IF(Atletas!E212="Adulto 75kg",18,IF(Atletas!E212="Adulto 82kg",19,IF(Atletas!E212="Adulto 90kg",20,IF(Atletas!E212="Adulto 100kg",21,IF(Atletas!E212="Adulto +100kg",22,""))))))))))))))))))))))))</f>
        <v/>
      </c>
      <c r="AT216" s="10" t="str">
        <f>IF(Atletas!F212="","",IF(Atletas!B212="Feminino",100,IF(Atletas!B212="Masculino",200,""))+(IF(Atletas!F212="Adulto 48kg",1,IF(Atletas!F212="Adulto 56kg",2,IF(Atletas!F212="Adulto 65kg",3,IF(Atletas!F212="Adulto 75kg",4,IF(Atletas!F212="Adulto +75kg",5,IF(Atletas!F212="Adulto 52kg",6,IF(Atletas!F212="Adulto 60kg",7,IF(Atletas!F212="Adulto 70kg",8,IF(Atletas!F212="Adulto 80kg",9,IF(Atletas!F212="Adulto 90kg",10,IF(Atletas!F212="Adulto +90kg",11,"")))))))))))))</f>
        <v/>
      </c>
      <c r="AY216" s="46" t="str">
        <f>IF(Atletas!G212="","",IF(Atletas!B212="Feminino",100,IF(Atletas!B212="Masculino",200,""))+(IF(Atletas!G212="Changquan Mirim",1,IF(Atletas!G212="Nanquan Mirim",2,IF(Atletas!G212="Taijiquan Mirim",3,IF(Atletas!G212="Changquan Grupo C",4,IF(Atletas!G212="Nanquan Grupo C",5,IF(Atletas!G212="Taijiquan Grupo C",6,IF(Atletas!G212="Changquan Grupo B",7,IF(Atletas!G212="Nanquan Grupo B",8,IF(Atletas!G212="Taijiquan Grupo B",9,IF(Atletas!G212="Changquan Grupo A",10,IF(Atletas!G212="Nanquan Grupo A",11,IF(Atletas!G212="Taijiquan Grupo A",12,IF(Atletas!G212="Changquan Opcional",13,IF(Atletas!G212="Nanquan Opcional",14,IF(Atletas!G212="Taijiquan Opcional",15,IF(Atletas!G212="Changquan Adulto",16,IF(Atletas!G212="Nanquan Adulto",17,IF(Atletas!G212="Taijiquan Adulto",18,""))))))))))))))))))))</f>
        <v/>
      </c>
      <c r="AZ216" s="46" t="str">
        <f>IF(Atletas!H212="","",IF(Atletas!B212="Feminino",100,IF(Atletas!B212="Masculino",200,""))+(IF(Atletas!H212="Daoshu Mirim",19,IF(Atletas!H212="Jianshu Mirim",20,IF(Atletas!H212="Nandao Mirim",21,IF(Atletas!H212="Taijijian Mirim",22,IF(Atletas!H212="Daoshu Grupo C",23,IF(Atletas!H212="Jianshu Grupo C",24,IF(Atletas!H212="Nandao Grupo C",25,IF(Atletas!H212="Taijijian Grupo C",26,IF(Atletas!H212="Daoshu Grupo B",27,IF(Atletas!H212="Jianshu Grupo B",28,IF(Atletas!H212="Nandao Grupo B",29,IF(Atletas!H212="Taijijian Grupo B",30,IF(Atletas!H212="Daoshu Grupo A",31,IF(Atletas!H212="Jianshu Grupo A",32,IF(Atletas!H212="Nandao Grupo A",33,IF(Atletas!H212="Taijijian Grupo A",34,IF(Atletas!H212="Daoshu Opcional",35,IF(Atletas!H212="Jianshu Opcional",36,IF(Atletas!H212="Nandao Opcional",37,IF(Atletas!H212="Taijijian Opcional",38,IF(Atletas!H212="Daoshu Adulto",39,IF(Atletas!H212="Jianshu Adulto",40,IF(Atletas!H212="Nandao Adulto",41,IF(Atletas!H212="Taijijian Adulto",42,""))))))))))))))))))))))))))</f>
        <v/>
      </c>
      <c r="BA216" s="46" t="str">
        <f>IF(Atletas!I212="","",IF(Atletas!B212="Feminino",100,IF(Atletas!B212="Masculino",200,""))+(IF(Atletas!I212="Gunshu Mirim",43,IF(Atletas!I212="Qiangshu Mirim",44,IF(Atletas!I212="Nangun Mirim",45,IF(Atletas!I212="Gunshu Grupo C",46,IF(Atletas!I212="Qiangshu Grupo C",47,IF(Atletas!I212="Nangun Grupo C",48,IF(Atletas!I212="Gunshu Grupo B",49,IF(Atletas!I212="Qiangshu Grupo B",50,IF(Atletas!I212="Nangun Grupo B",51,IF(Atletas!I212="Gunshu Grupo A",52,IF(Atletas!I212="Qiangshu Grupo A",53,IF(Atletas!I212="Nangun Grupo A",54,IF(Atletas!I212="Gunshu Opcional",55,IF(Atletas!I212="Qiangshu Opcional",56,IF(Atletas!I212="Nangun Opcional",57,IF(Atletas!I212="Gunshu Adulto",58,IF(Atletas!I212="Qiangshu Adulto",59,IF(Atletas!I212="Nangun Adulto",60,""))))))))))))))))))))</f>
        <v/>
      </c>
      <c r="BF216" s="52" t="str">
        <f>IF(Atletas!J212="","",IF(Atletas!B212="Feminino",100,IF(Atletas!B212="Masculino",200,""))+(IF(Atletas!J212="Equipe 1 Grupo B",1,IF(Atletas!J212="Equipe 2 Grupo B",2,IF(Atletas!J212="Equipe 1 Grupo A",3,IF(Atletas!J212="Equipe 2 Grupo A",4,IF(Atletas!J212="Equipe 1 Adulto",5,IF(Atletas!J212="Equipe 2 Adulto",6,""))))))))</f>
        <v/>
      </c>
      <c r="BK216" s="52" t="str">
        <f>IF(Atletas!K212="","",IF(Atletas!W212&lt;&gt;"",10000,0)+(IF(Atletas!B212="Feminino",1000,IF(Atletas!B212="Masculino",2000,""))+IF(Atletas!K212="Choylayfut A",1,IF(Atletas!K212="Hunggar A",2,IF(Atletas!K212="Wuzuquan A",3,IF(Atletas!K212="Wingchun A",4,IF(Atletas!K212="Outra Mão de Sul A",5,IF(Atletas!K212="Choylayfut B",6,IF(Atletas!K212="Hunggar B",7,IF(Atletas!K212="Wuzuquan B",8,IF(Atletas!K212="Wingchun B",9,IF(Atletas!K212="Outra Mão de Sul B",10,IF(Atletas!K212="Choylayfut C",11,IF(Atletas!K212="Hunggar C",12,IF(Atletas!K212="Wuzuquan C",13,IF(Atletas!K212="Wingchun C",14,IF(Atletas!K212="Outra Mão de Sul C",15,IF(Atletas!K212="Choylayfut D",16,IF(Atletas!K212="Hunggar D",17,IF(Atletas!K212="Wuzuquan D",18,IF(Atletas!K212="Wingchun D",19,IF(Atletas!K212="Outra Mão de Sul D",20,IF(Atletas!K212="Choylayfut E",21,IF(Atletas!K212="Hunggar E",22,IF(Atletas!K212="Wuzuquan E",23,IF(Atletas!K212="Wingchun E",24,IF(Atletas!K212="Outra Mão de Sul E",25,IF(Atletas!K212="Choylayfut F",26,IF(Atletas!K212="Hunggar F",27,IF(Atletas!K212="Wuzuquan F",28,IF(Atletas!K212="Wingchun F",29,IF(Atletas!K212="Outra Mão de Sul F",30,""))))))))))))))))))))))))))))))))</f>
        <v/>
      </c>
      <c r="BL216" s="52" t="str">
        <f>IF(Atletas!L212="","",IF(Atletas!W212&lt;&gt;"",10000,0)+(IF(Atletas!B212="Feminino",1000,IF(Atletas!B212="Masculino",2000,""))+(IF(Atletas!L212="Chaquan A",101,IF(Atletas!L212="Emeiquan A",102,IF(Atletas!L212="Fanziquan A",103,IF(Atletas!L212="Huaquan A",104,IF(Atletas!L212="Hongquan A",105,IF(Atletas!L212="Paochui A",106,IF(Atletas!L212="Piguaquan A",107,IF(Atletas!L212="Shaolinquan A",108,IF(Atletas!L212="Tanglangquan A",109,IF(Atletas!L212="Yinzhaophai A",110,IF(Atletas!L212="Tongbeiquan A",111,IF(Atletas!L212="Wudangquan A",112,IF(Atletas!L212="Outros Estilos A",113,IF(Atletas!L212="Chaquan B",114,IF(Atletas!L212="Emeiquan B",115,IF(Atletas!L212="Fanziquan B",116,IF(Atletas!L212="Huaquan B",117,IF(Atletas!L212="Hongquan B",118,IF(Atletas!L212="Paochui B",119,IF(Atletas!L212="Piguaquan B",120,IF(Atletas!L212="Shaolinquan B",121,IF(Atletas!L212="Tanglangquan B",122,IF(Atletas!L212="Yinzhaophai B",123,IF(Atletas!L212="Tongbeiquan B",124,IF(Atletas!L212="Wudangquan B",125,IF(Atletas!L212="Outros Estilos B",126,IF(Atletas!L212="Chaquan C",127,IF(Atletas!L212="Emeiquan C",128,IF(Atletas!L212="Fanziquan C",129,IF(Atletas!L212="Huaquan C",130,IF(Atletas!L212="Hongquan C",131,IF(Atletas!L212="Paochui C",132,IF(Atletas!L212="Piguaquan C",133,IF(Atletas!L212="Shaolinquan C",134,IF(Atletas!L212="Tanglangquan C",135,IF(Atletas!L212="Yinzhaophai C",136,IF(Atletas!L212="Tongbeiquan C",137,IF(Atletas!L212="Wudangquan C",138,IF(Atletas!L212="Outros Estilos C",139,0))))))))))))))))))))))))))))))))))))))))))</f>
        <v/>
      </c>
      <c r="BM216" s="52" t="str">
        <f>IF(Atletas!L212="","",IF(Atletas!W212&lt;&gt;"",10000,0)+(IF(Atletas!B212="Feminino",1000,IF(Atletas!B212="Masculino",2000,""))+(IF(Atletas!L212="Chaquan D",140,IF(Atletas!L212="Emeiquan D",141,IF(Atletas!L212="Fanziquan D",142,IF(Atletas!L212="Huaquan D",143,IF(Atletas!L212="Hongquan D",144,IF(Atletas!L212="Paochui D",145,IF(Atletas!L212="Piguaquan D",146,IF(Atletas!L212="Shaolinquan D",147,IF(Atletas!L212="Tanglangquan D",148,IF(Atletas!L212="Yinzhaophai D",149,IF(Atletas!L212="Tongbeiquan D",150,IF(Atletas!L212="Wudangquan D",151,IF(Atletas!L212="Outros Estilos D",152,IF(Atletas!L212="Chaquan E",153,IF(Atletas!L212="Emeiquan E",154,IF(Atletas!L212="Fanziquan E",155,IF(Atletas!L212="Huaquan E",156,IF(Atletas!L212="Hongquan E",157,IF(Atletas!L212="Paochui E",158,IF(Atletas!L212="Piguaquan E",159,IF(Atletas!L212="Shaolinquan E",160,IF(Atletas!L212="Tanglangquan E",161,IF(Atletas!L212="Yinzhaophai E",162,IF(Atletas!L212="Tongbeiquan E",163,IF(Atletas!L212="Wudangquan E",164,IF(Atletas!L212="Outros Estilos E",165,IF(Atletas!L212="Chaquan F",166,IF(Atletas!L212="Emeiquan F",167,IF(Atletas!L212="Fanziquan F",168,IF(Atletas!L212="Huaquan F",169,IF(Atletas!L212="Hongquan F",170,IF(Atletas!L212="Paochui F",171,IF(Atletas!L212="Piguaquan F",172,IF(Atletas!L212="Shaolinquan F",173,IF(Atletas!L212="Tanglangquan F",174,IF(Atletas!L212="Yinzhaophai F",175,IF(Atletas!L212="Tongbeiquan F",176,IF(Atletas!L212="Wudangquan F",177,IF(Atletas!L212="Outros Estilos F",178,0))))))))))))))))))))))))))))))))))))))))))</f>
        <v/>
      </c>
      <c r="BN216" s="52" t="str">
        <f>IF(Atletas!M212="","",IF(Atletas!W212&lt;&gt;"",10000,0)+(IF(Atletas!B212="Feminino",1000,IF(Atletas!B212="Masculino",2000,""))+(IF(Atletas!M212="Ditangquan A",201,IF(Atletas!M212="Houquan A",202,IF(Atletas!M212="Zuiquan A",203,IF(Atletas!M212="Ditangquan B",204,IF(Atletas!M212="Houquan B",205,IF(Atletas!M212="Zuiquan B",206,IF(Atletas!M212="Ditangquan C",207,IF(Atletas!M212="Houquan C",208,IF(Atletas!M212="Zuiquan C",209,IF(Atletas!M212="Ditangquan D",210,IF(Atletas!M212="Houquan D",211,IF(Atletas!M212="Zuiquan D",212,IF(Atletas!M212="Ditangquan E",213,IF(Atletas!M212="Houquan E",214,IF(Atletas!M212="Zuiquan E",215,IF(Atletas!M212="Ditangquan F",216,IF(Atletas!M212="Houquan F",217,IF(Atletas!M212="Zuiquan F",218,"")))))))))))))))))))))</f>
        <v/>
      </c>
      <c r="BO216" s="52" t="str">
        <f>IF(Atletas!N212="","",IF(Atletas!W212&lt;&gt;"",10000,0)+IF(Atletas!B212="Feminino",1000,IF(Atletas!B212="Masculino",2000,""))+IF(Atletas!N212="Yang A",301,IF(Atletas!N212="Chen A",30,IF(Atletas!N212="Sun A",303,IF(Atletas!N212="Wu A",304,IF(Atletas!N212="Wu-Hao A",305,IF(Atletas!N212="Outro Taijiquan A",306,IF(Atletas!N212="Yang B",307,IF(Atletas!N212="Chen B",308,IF(Atletas!N212="Sun B",309,IF(Atletas!N212="Wu B",310,IF(Atletas!N212="Wu-Hao B",311,IF(Atletas!N212="Outro Taijiquan B",312,IF(Atletas!N212="Yang C",313,IF(Atletas!N212="Chen C",314,IF(Atletas!N212="Sun C",315,IF(Atletas!N212="Wu C",316,IF(Atletas!N212="Wu-Hao C",317,IF(Atletas!N212="Outro Taijiquan C",318,IF(Atletas!N212="Yang D",319,IF(Atletas!N212="Chen D",320,IF(Atletas!N212="Sun D",321,IF(Atletas!N212="Wu D",322,IF(Atletas!N212="Wu-Hao D",323,IF(Atletas!N212="Outro Taijiquan D",324,IF(Atletas!N212="Yang E",325,IF(Atletas!N212="Chen E",326,IF(Atletas!N212="Sun E",327,IF(Atletas!N212="Wu E",328,IF(Atletas!N212="Wu-Hao E",329,IF(Atletas!N212="Outro Taijiquan E",330,IF(Atletas!N212="Yang F",331,IF(Atletas!N212="Chen F",332,IF(Atletas!N212="Sun F",333,IF(Atletas!N212="Wu F",334,IF(Atletas!N212="Wu-Hao F",335,IF(Atletas!N212="Outro Taijiquan F",336,"")))))))))))))))))))))))))))))))))))))</f>
        <v/>
      </c>
      <c r="BP216" s="52" t="str">
        <f>IF(Atletas!O212="","",IF(Atletas!W212&lt;&gt;"",10000,0)+IF(Atletas!B212="Feminino",1000,IF(Atletas!B212="Masculino",2000,""))+IF(OR(Atletas!O212="Yang 26 A",Atletas!O212="Yang 40 A"),401,IF(OR(Atletas!O212="Chen 25 A",Atletas!O212="Chen 36 A",Atletas!O212="Chen 56 A"),402,IF(Atletas!O212="Sun 73 A",403,IF(Atletas!O212="Wu 45 A",404,IF(Atletas!O212="Wu-Hao 46 A",405,IF(OR(Atletas!O212="Taijiquan 16 A",Atletas!O212="Taijiquan 24 A",Atletas!O212="Taijiquan 32 A",Atletas!O212="Taijiquan 42 A"),406,IF(OR(Atletas!O212="Yang 26 B",Atletas!O212="Yang 40 B"),407,IF(OR(Atletas!O212="Chen 25 B",Atletas!O212="Chen 36 B",Atletas!O212="Chen 56 B"),408,IF(Atletas!O212="Sun 73 B",409,IF(Atletas!O212="Wu 45 B",410,IF(Atletas!O212="Wu-Hao 46 B",411,IF(OR(Atletas!O212="Taijiquan 16 B",Atletas!O212="Taijiquan 24 B",Atletas!O212="Taijiquan 32 B",Atletas!O212="Taijiquan 42 B"),412,IF(OR(Atletas!O212="Yang 26 C",Atletas!O212="Yang 40 C"),413,IF(OR(Atletas!O212="Chen 25 C",Atletas!O212="Chen 36 C",Atletas!O212="Chen 56 C"),414,IF(Atletas!O212="Sun 73 C",415,IF(Atletas!O212="Wu 45 C",416,IF(Atletas!O212="Wu-Hao 46 C",417,IF(OR(Atletas!O212="Taijiquan 16 C",Atletas!O212="Taijiquan 24 C",Atletas!O212="Taijiquan 32 C",Atletas!O212="Taijiquan 42 C"),418,0)))))))))))))))))))</f>
        <v/>
      </c>
      <c r="BQ216" s="52" t="str">
        <f>IF(Atletas!O212="","",IF(Atletas!W212&lt;&gt;"",10000,0)+IF(Atletas!B212="Feminino",1000,IF(Atletas!B212="Masculino",2000,""))+IF(OR(Atletas!O212="Yang 26 D",Atletas!O212="Yang 40 D"),419,IF(OR(Atletas!O212="Chen 25 D",Atletas!O212="Chen 36 D",Atletas!O212="Chen 56 D"),420,IF(Atletas!O212="Sun 73 D",421,IF(Atletas!O212="Wu 45 D",422,IF(Atletas!O212="Wu-Hao 46 D",423,IF(OR(Atletas!O212="Taijiquan 16 D",Atletas!O212="Taijiquan 24 D",Atletas!O212="Taijiquan 32 D",Atletas!O212="Taijiquan 42 D"),424,IF(OR(Atletas!O212="Yang 26 E",Atletas!O212="Yang 40 E"),425,IF(OR(Atletas!O212="Chen 25 E",Atletas!O212="Chen 36 E",Atletas!O212="Chen 56 E"),426,IF(Atletas!O212="Sun 73 E",427,IF(Atletas!O212="Wu 45 E",428,IF(Atletas!O212="Wu-Hao 46 E",429,IF(OR(Atletas!O212="Taijiquan 16 E",Atletas!O212="Taijiquan 24 E",Atletas!O212="Taijiquan 32 E",Atletas!O212="Taijiquan 42 E"),430,IF(OR(Atletas!O212="Yang 26 F",Atletas!O212="Yang 40 F"),431,IF(OR(Atletas!O212="Chen 25 F",Atletas!O212="Chen 36 F",Atletas!O212="Chen 56 F"),432,IF(Atletas!O212="Sun 73 F",433,IF(Atletas!O212="Wu 45 F",434,IF(Atletas!O212="Wu-Hao 46 F",435,IF(OR(Atletas!O212="Taijiquan 16 F",Atletas!O212="Taijiquan 24 F",Atletas!O212="Taijiquan 32 F",Atletas!O212="Taijiquan 42 F"),436,0)))))))))))))))))))</f>
        <v/>
      </c>
      <c r="BR216" s="52" t="str">
        <f>IF(Atletas!P212="","",IF(Atletas!W212&lt;&gt;"",10000,0)+IF(Atletas!B212="Feminino",1000,IF(Atletas!B212="Masculino",2000,""))+IF(Atletas!P212="Xingyiquan A",501,IF(Atletas!P212="Baguazhang A",502,IF(Atletas!P212="Outro Estilo Interno A",503,IF(Atletas!P212="Xingyiquan B",504,IF(Atletas!P212="Baguazhang B",505,IF(Atletas!P212="Outro Estilo Interno B",506,IF(Atletas!P212="Xingyiquan C",507,IF(Atletas!P212="Baguazhang C",508,IF(Atletas!P212="Outro Estilo Interno C",509,IF(Atletas!P212="Xingyiquan D",510,IF(Atletas!P212="Baguazhang D",511,IF(Atletas!P212="Outro Estilo Interno D",512,IF(Atletas!P212="Xingyiquan E",513,IF(Atletas!P212="Baguazhang E",514,IF(Atletas!P212="Outro Estilo Interno E",515,IF(Atletas!P212="Xingyiquan F",516,IF(Atletas!P212="Baguazhang F",517,IF(Atletas!P212="Outro Estilo Interno F",518, "")))))))))))))))))))</f>
        <v/>
      </c>
      <c r="BS216" s="52" t="str">
        <f>IF(Atletas!Q212="","",IF(Atletas!W212&lt;&gt;"",10000,0)+IF(Atletas!B212="Feminino",1000,IF(Atletas!B212="Masculino",2000,""))+IF(Atletas!Q212="Dao A",601,IF(Atletas!Q212="Jian A",602,IF(Atletas!Q212="Bishou A",603,IF(Atletas!Q212="Shan A",604,IF(Atletas!Q212="Outra Arma Curta A",605,IF(Atletas!Q212="Dao B",606,IF(Atletas!Q212="Jian B",607,IF(Atletas!Q212="Bishou B",608,IF(Atletas!Q212="Shan B",609,IF(Atletas!Q212="Outra Arma Curta B",610,IF(Atletas!Q212="Dao C",611,IF(Atletas!Q212="Jian C",612,IF(Atletas!Q212="Bishou C",613,IF(Atletas!Q212="Shan C",614,IF(Atletas!Q212="Outra Arma Curta C",615,IF(Atletas!Q212="Dao D",616,IF(Atletas!Q212="Jian D",617,IF(Atletas!Q212="Bishou D",618,IF(Atletas!Q212="Shan D",619,IF(Atletas!Q212="Outra Arma Curta D",620,IF(Atletas!Q212="Dao E",621,IF(Atletas!Q212="Jian E",622,IF(Atletas!Q212="Bishou E",623,IF(Atletas!Q212="Shan E",624,IF(Atletas!Q212="Outra Arma Curta E",625,IF(Atletas!Q212="Dao F",626,IF(Atletas!Q212="Jian F",627,IF(Atletas!Q212="Bishou F",628,IF(Atletas!Q212="Shan F",629,IF(Atletas!Q212="Outra Arma Curta F",630, "")))))))))))))))))))))))))))))))</f>
        <v/>
      </c>
      <c r="BT216" s="52" t="str">
        <f>IF(Atletas!R212="","",IF(Atletas!W212&lt;&gt;"",10000,0)+IF(Atletas!B212="Feminino",1000,IF(Atletas!B212="Masculino",2000,""))+IF(Atletas!R212="Gun A",701,IF(Atletas!R212="Qiang A",702,IF(Atletas!R212="Pudao / Guandao A",703,IF(Atletas!R212="Outra Arma Longa A",704,IF(Atletas!R212="Gun B",705,IF(Atletas!R212="Qiang B",706,IF(Atletas!R212="Pudao / Guandao B",707,IF(Atletas!R212="Outra Arma Longa B",708,IF(Atletas!R212="Gun C",709,IF(Atletas!R212="Qiang C",710,IF(Atletas!R212="Pudao / Guandao C",711,IF(Atletas!R212="Outra Arma Longa C",712,IF(Atletas!R212="Gun D",713,IF(Atletas!R212="Qiang D",714,IF(Atletas!R212="Pudao / Guandao D",715,IF(Atletas!R212="Outra Arma Longa D",716,IF(Atletas!R212="Gun E",717,IF(Atletas!R212="Qiang E",718,IF(Atletas!R212="Pudao / Guandao E",719,IF(Atletas!R212="Outra Arma Longa E",720,IF(Atletas!R212="Gun F",721,IF(Atletas!R212="Qiang F",722,IF(Atletas!R212="Pudao / Guandao F",723,IF(Atletas!R212="Outra Arma Longa F",724,"")))))))))))))))))))))))))</f>
        <v/>
      </c>
      <c r="BU216" s="52" t="str">
        <f>IF(Atletas!S212="","",IF(Atletas!W212&lt;&gt;"",10000,0)+IF(Atletas!B212="Feminino",1000,IF(Atletas!B212="Masculino",2000,""))+IF(Atletas!S212="Arma Dupla A",801,IF(Atletas!S212="Arma Maleável A",802,IF(Atletas!S212="Arma Dupla B",803,IF(Atletas!S212="Arma Maleável B",804,IF(Atletas!S212="Arma Dupla C",805,IF(Atletas!S212="Arma Maleável C",806,IF(Atletas!S212="Arma Dupla D",807,IF(Atletas!S212="Arma Maleável D",808,IF(Atletas!S212="Arma Dupla E",809,IF(Atletas!S212="Arma Maleável E",810,IF(Atletas!S212="Arma Dupla F",811,IF(Atletas!S212="Arma Maleável F",812, "")))))))))))))</f>
        <v/>
      </c>
      <c r="BV216" s="52" t="str">
        <f>IF(Atletas!T212="","",IF(Atletas!W212&lt;&gt;"",10000,0)+IF(Atletas!B212="Feminino",1000,IF(Atletas!B212="Masculino",2000,""))+IF(Atletas!T212="Taijijian Yang A",901,IF(Atletas!T212="Taijijian Chen A",902,IF(Atletas!T212="Taijijian Sun A",903,IF(Atletas!T212="Taijijian Wu A",904,IF(Atletas!T212="Taijijian Wu-Hao A",905,IF(Atletas!T212="Taijijian 32 A",906,IF(Atletas!T212="Taijijian 42 A",907,IF(Atletas!T212="Taijijian Yang B",908,IF(Atletas!T212="Taijijian Chen B",909,IF(Atletas!T212="Taijijian Sun B",910,IF(Atletas!T212="Taijijian Wu B",911,IF(Atletas!T212="Taijijian Wu-Hao B",912,IF(Atletas!T212="Taijijian 32 B",913,IF(Atletas!T212="Taijijian 42 B",914,IF(Atletas!T212="Taijijian Yang C",915,IF(Atletas!T212="Taijijian Chen C",916,IF(Atletas!T212="Taijijian Sun C",917,IF(Atletas!T212="Taijijian Wu C",918,IF(Atletas!T212="Taijijian Wu-Hao C",919,IF(Atletas!T212="Taijijian 32 C",920,IF(Atletas!T212="Taijijian 42 C",921,IF(Atletas!T212="Taijijian Yang D",922,IF(Atletas!T212="Taijijian Chen D",923,IF(Atletas!T212="Taijijian Sun D",924,IF(Atletas!T212="Taijijian Wu D",925,IF(Atletas!T212="Taijijian Wu-Hao D",926,IF(Atletas!T212="Taijijian 32 D",927,IF(Atletas!T212="Taijijian 42 D",928,IF(Atletas!T212="Taijijian Yang E",929,IF(Atletas!T212="Taijijian Chen E",930,IF(Atletas!T212="Taijijian Sun E",931,IF(Atletas!T212="Taijijian Wu E",932,IF(Atletas!T212="Taijijian Wu-Hao E",933,IF(Atletas!T212="Taijijian 32 E",934,IF(Atletas!T212="Taijijian 42 E",935,IF(Atletas!T212="Taijijian Yang F",936,IF(Atletas!T212="Taijijian Chen F",937,IF(Atletas!T212="Taijijian Sun F",938,IF(Atletas!T212="Taijijian Wu F",939,IF(Atletas!T212="Taijijian Wu-Hao F",940,IF(Atletas!T212="Taijijian 32 F",941,IF(Atletas!T212="Taijijian 42 F",942,"")))))))))))))))))))))))))))))))))))))))))))</f>
        <v/>
      </c>
      <c r="BW216" s="52" t="str">
        <f>IF(Atletas!U212="","",IF(Atletas!W212&lt;&gt;"",10000,0)+IF(Atletas!B212="Feminino",1000,IF(Atletas!B212="Masculino",2000,""))+IF(Atletas!T212="Taijijian 42 F",942,IF(Atletas!U212="Taijidao A",943,IF(Atletas!U212="Taijishan A",944,IF(Atletas!U212="Taijiqiang A",945,IF(Atletas!U212="Taijidao B",946,IF(Atletas!U212="Taijishan B",947,IF(Atletas!U212="Taijiqiang B",948,IF(Atletas!U212="Taijidao C",949,IF(Atletas!U212="Taijishan C",950,IF(Atletas!U212="Taijiqiang C",951,IF(Atletas!U212="Taijidao D",952,IF(Atletas!U212="Taijishan D",953,IF(Atletas!U212="Taijiqiang D",954,IF(Atletas!U212="Taijidao E",955,IF(Atletas!U212="Taijishan E",956,IF(Atletas!U212="Taijiqiang E",957,IF(Atletas!U212="Taijidao F",958,IF(Atletas!U212="Taijishan F",959,IF(Atletas!U212="Taijiqiang F",960))))))))))))))))))))</f>
        <v/>
      </c>
      <c r="BX216" s="72" t="str">
        <f>IF(BY216&lt;&gt;"","Outro Estilo Interno D","")</f>
        <v/>
      </c>
      <c r="BY216" s="72" t="str">
        <f>IF(COUNTIF(BK:BW,1512)&gt;0,COUNTIF(BK:BW,1512),"")</f>
        <v/>
      </c>
      <c r="BZ216" s="72" t="str">
        <f>IF(CA216&lt;&gt;"","Outro Estilo Interno D","")</f>
        <v/>
      </c>
      <c r="CA216" s="72" t="str">
        <f>IF(COUNTIF(BK:BW,2512)&gt;0,COUNTIF(BK:BW,2512),"")</f>
        <v/>
      </c>
      <c r="CB216" s="72" t="str">
        <f>IF(CC216&lt;&gt;"","Wu Novo D","")</f>
        <v/>
      </c>
      <c r="CC216" s="64" t="str">
        <f>IF(COUNTIF(BK:BW,11448)&gt;0,COUNTIF(BK:BW,11448),"")</f>
        <v/>
      </c>
      <c r="CD216" s="64" t="str">
        <f>IF(CE216&lt;&gt;"","Wu Novo D","")</f>
        <v/>
      </c>
      <c r="CE216" s="64" t="str">
        <f>IF(COUNTIF(BK:BW,12448)&gt;0,COUNTIF(BK:BW,12448),"")</f>
        <v/>
      </c>
      <c r="CF216" s="52" t="str">
        <f xml:space="preserve"> IF(Atletas!V212="","",IF(Atletas!V212="Duilian de Mãos AB - Equipe 1",1,IF(Atletas!V212="Duilian de Mãos AB - Equipe 2",2,IF(Atletas!V212="Duilian de Armas AB - Equipe 1",3,IF(Atletas!V212="Duilian de Armas AB - Equipe 2",4,IF(Atletas!V212="Duilian de Tuishou - Equipe 1",5,IF(Atletas!V212="Duilian de Tuishou - Equipe 2",6,IF(Atletas!V212="Grupo Externo AB - Equipe 1",7,IF(Atletas!V212="Grupo Externo AB - Equipe 2",8,IF(Atletas!V212="Grupo Interno AB - Equipe 1",9,IF(Atletas!V212="Grupo Interno AB - Equipe 2",10,IF(Atletas!V212="Duilian de Mãos CD - Equipe 1",11,IF(Atletas!V212="Duilian de Mãos CD - Equipe 2",12,IF(Atletas!V212="Duilian de Armas CD - Equipe 1",13,IF(Atletas!V212="Duilian de Armas CD - Equipe 2",14,IF(Atletas!V212="Duilian de Tuishou - Equipe 1",15,IF(Atletas!V212="Duilian de Tuishou - Equipe 2",16,IF(Atletas!V212="Grupo Externo CDEF - Equipe 1",17,IF(Atletas!V212="Grupo Externo CDEF - Equipe 2",18,IF(Atletas!V212="Grupo Interno CDEF - Equipe 1",19,IF(Atletas!V212="Grupo Interno CDEF - Equipe 2",20,IF(Atletas!V212="Duilian de Mãos EF - Equipe 1",21,IF(Atletas!V212="Duilian de Mãos EF - Equipe 2",22,IF(Atletas!V212="Duilian de Armas EF - Equipe 1",23,IF(Atletas!V212="Duilian de Armas EF - Equipe 2",24,IF(Atletas!V212="Duilian de Tuishou - Equipe 1",25,IF(Atletas!V212="Duilian de Tuishou - Equipe 2",26,"")))))))))))))))))))))))))))</f>
        <v/>
      </c>
    </row>
    <row r="217" spans="2:84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 t="str">
        <f t="array" ref="V217">IFERROR(INDEX(BX$7:BX$336,SMALL(IF(BX$7:BX$336&lt;&gt;"",ROW(BX$7:BX$336)-ROW(BX$7)+1),ROWS(BX$7:BX204))),"")</f>
        <v/>
      </c>
      <c r="W217" s="4" t="str">
        <f t="array" ref="W217">IFERROR(INDEX(BY$7:BY$336,SMALL(IF(BY$7:BY$336&lt;&gt;"",ROW(BY$7:BY$336)-ROW(BY$7)+1),ROWS(BY$7:BY204))),"")</f>
        <v/>
      </c>
      <c r="X217" s="4" t="str">
        <f t="array" ref="X217">IFERROR(INDEX(BZ$7:BZ$336,SMALL(IF(BZ$7:BZ$336&lt;&gt;"",ROW(BZ$7:BZ$336)-ROW(BZ$7)+1),ROWS(BZ$7:BZ204))),"")</f>
        <v/>
      </c>
      <c r="Y217" s="4" t="str">
        <f t="array" ref="Y217">IFERROR(INDEX(CA$7:CA$336,SMALL(IF(CA$7:CA$336&lt;&gt;"",ROW(CA$7:CA$336)-ROW(CA$7)+1),ROWS(CA$7:CA204))),"")</f>
        <v/>
      </c>
      <c r="Z217" s="4" t="str">
        <f t="array" ref="Z217">IFERROR(INDEX(CB$7:CB$378,SMALL(IF(CB$7:CB$378&lt;&gt;"",ROW(CB$7:CB$378)-ROW(CB$7)+1),ROWS(CB$7:CB216))),"")</f>
        <v/>
      </c>
      <c r="AA217" s="4" t="str">
        <f t="array" ref="AA217">IFERROR(INDEX(CC$7:CC$378,SMALL(IF(CC$7:CC$378&lt;&gt;"",ROW(CC$7:CC$378)-ROW(CC$7)+1),ROWS(CC$7:CC216))),"")</f>
        <v/>
      </c>
      <c r="AB217" s="4" t="str">
        <f t="array" ref="AB217">IFERROR(INDEX(CD$7:CD$378,SMALL(IF(CD$7:CD$378&lt;&gt;"",ROW(CD$7:CD$378)-ROW(CD$7)+1),ROWS(CD$7:CD216))),"")</f>
        <v/>
      </c>
      <c r="AC217" s="4" t="str">
        <f t="array" ref="AC217">IFERROR(INDEX(CE$7:CE$378,SMALL(IF(CE$7:CE$378&lt;&gt;"",ROW(CE$7:CE$378)-ROW(CE$7)+1),ROWS(CE$7:CE216))),"")</f>
        <v/>
      </c>
      <c r="AD217" s="4"/>
      <c r="AE217" s="4"/>
      <c r="AF217" s="4"/>
      <c r="AG217" s="4"/>
      <c r="AH217" s="4"/>
      <c r="AI217" s="4"/>
      <c r="AJ217" s="46" t="str">
        <f>IF(Atletas!D213="","",IF(Atletas!B213="Feminino",100,IF(Atletas!B213="Masculino",200,""))+(IF(Atletas!D213="Infantil 39kg",1,IF(Atletas!D213="Infantil 42kg",2,IF(Atletas!D213="Infantil 45kg",3,IF(Atletas!D213="Infantil 48kg",4,IF(Atletas!D213="Infantil 52kg",5,IF(Atletas!D213="Infantil 56kg",6,IF(Atletas!D213="Infantil 60kg",7,IF(Atletas!D213="Juvenil 48kg",8,IF(Atletas!D213="Juvenil 52kg",9,IF(Atletas!D213="Juvenil 56kg",10,IF(Atletas!D213="Juvenil 60kg",11,IF(Atletas!D213="Juvenil 65kg",12,IF(Atletas!D213="Juvenil 70kg",13,IF(Atletas!D213="Juvenil 75kg",14,IF(Atletas!D213="Juvenil 80kg",15,IF(Atletas!D213="Adulto 48kg",16,IF(Atletas!D213="Adulto 52kg",17,IF(Atletas!D213="Adulto 56kg",18,IF(Atletas!D213="Adulto 60kg",19,IF(Atletas!D213="Adulto 65kg",20,IF(Atletas!D213="Adulto 70kg",21,IF(Atletas!D213="Adulto 75kg",22,IF(Atletas!D213="Adulto 80kg",23,IF(Atletas!D213="Adulto 85kg",24,IF(Atletas!D213="Adulto 90kg",25,IF(Atletas!D213="Adulto +90kg",26,""))))))))))))))))))))))))))))</f>
        <v/>
      </c>
      <c r="AO217" s="10" t="str">
        <f>IF(Atletas!E213="","",IF(Atletas!B213="Feminino",100,IF(Atletas!B213="Masculino",200,""))+(IF(Atletas!E213="Juvenil 44kg",1,IF(Atletas!E213="Juvenil 48kg",2,IF(Atletas!E213="Juvenil 52kg",3,IF(Atletas!E213="Juvenil 56kg",4,IF(Atletas!E213="Juvenil 60kg",5,IF(Atletas!E213="Juvenil 65kg",6,IF(Atletas!E213="Juvenil 70kg",7,IF(Atletas!E213="Juvenil 75kg",8,IF(Atletas!E213="Juvenil 82kg",9,IF(Atletas!E213="Juvenil 90kg",10,IF(Atletas!E213="Juvenil 100kg",11,IF(Atletas!E213="Adulto 48kg",12,IF(Atletas!E213="Adulto 52kg",13,IF(Atletas!E213="Adulto 56kg",14,IF(Atletas!E213="Adulto 60kg",15,IF(Atletas!E213="Adulto 65kg",16,IF(Atletas!E213="Adulto 70kg",17,IF(Atletas!E213="Adulto 75kg",18,IF(Atletas!E213="Adulto 82kg",19,IF(Atletas!E213="Adulto 90kg",20,IF(Atletas!E213="Adulto 100kg",21,IF(Atletas!E213="Adulto +100kg",22,""))))))))))))))))))))))))</f>
        <v/>
      </c>
      <c r="AT217" s="10" t="str">
        <f>IF(Atletas!F213="","",IF(Atletas!B213="Feminino",100,IF(Atletas!B213="Masculino",200,""))+(IF(Atletas!F213="Adulto 48kg",1,IF(Atletas!F213="Adulto 56kg",2,IF(Atletas!F213="Adulto 65kg",3,IF(Atletas!F213="Adulto 75kg",4,IF(Atletas!F213="Adulto +75kg",5,IF(Atletas!F213="Adulto 52kg",6,IF(Atletas!F213="Adulto 60kg",7,IF(Atletas!F213="Adulto 70kg",8,IF(Atletas!F213="Adulto 80kg",9,IF(Atletas!F213="Adulto 90kg",10,IF(Atletas!F213="Adulto +90kg",11,"")))))))))))))</f>
        <v/>
      </c>
      <c r="AY217" s="46" t="str">
        <f>IF(Atletas!G213="","",IF(Atletas!B213="Feminino",100,IF(Atletas!B213="Masculino",200,""))+(IF(Atletas!G213="Changquan Mirim",1,IF(Atletas!G213="Nanquan Mirim",2,IF(Atletas!G213="Taijiquan Mirim",3,IF(Atletas!G213="Changquan Grupo C",4,IF(Atletas!G213="Nanquan Grupo C",5,IF(Atletas!G213="Taijiquan Grupo C",6,IF(Atletas!G213="Changquan Grupo B",7,IF(Atletas!G213="Nanquan Grupo B",8,IF(Atletas!G213="Taijiquan Grupo B",9,IF(Atletas!G213="Changquan Grupo A",10,IF(Atletas!G213="Nanquan Grupo A",11,IF(Atletas!G213="Taijiquan Grupo A",12,IF(Atletas!G213="Changquan Opcional",13,IF(Atletas!G213="Nanquan Opcional",14,IF(Atletas!G213="Taijiquan Opcional",15,IF(Atletas!G213="Changquan Adulto",16,IF(Atletas!G213="Nanquan Adulto",17,IF(Atletas!G213="Taijiquan Adulto",18,""))))))))))))))))))))</f>
        <v/>
      </c>
      <c r="AZ217" s="46" t="str">
        <f>IF(Atletas!H213="","",IF(Atletas!B213="Feminino",100,IF(Atletas!B213="Masculino",200,""))+(IF(Atletas!H213="Daoshu Mirim",19,IF(Atletas!H213="Jianshu Mirim",20,IF(Atletas!H213="Nandao Mirim",21,IF(Atletas!H213="Taijijian Mirim",22,IF(Atletas!H213="Daoshu Grupo C",23,IF(Atletas!H213="Jianshu Grupo C",24,IF(Atletas!H213="Nandao Grupo C",25,IF(Atletas!H213="Taijijian Grupo C",26,IF(Atletas!H213="Daoshu Grupo B",27,IF(Atletas!H213="Jianshu Grupo B",28,IF(Atletas!H213="Nandao Grupo B",29,IF(Atletas!H213="Taijijian Grupo B",30,IF(Atletas!H213="Daoshu Grupo A",31,IF(Atletas!H213="Jianshu Grupo A",32,IF(Atletas!H213="Nandao Grupo A",33,IF(Atletas!H213="Taijijian Grupo A",34,IF(Atletas!H213="Daoshu Opcional",35,IF(Atletas!H213="Jianshu Opcional",36,IF(Atletas!H213="Nandao Opcional",37,IF(Atletas!H213="Taijijian Opcional",38,IF(Atletas!H213="Daoshu Adulto",39,IF(Atletas!H213="Jianshu Adulto",40,IF(Atletas!H213="Nandao Adulto",41,IF(Atletas!H213="Taijijian Adulto",42,""))))))))))))))))))))))))))</f>
        <v/>
      </c>
      <c r="BA217" s="46" t="str">
        <f>IF(Atletas!I213="","",IF(Atletas!B213="Feminino",100,IF(Atletas!B213="Masculino",200,""))+(IF(Atletas!I213="Gunshu Mirim",43,IF(Atletas!I213="Qiangshu Mirim",44,IF(Atletas!I213="Nangun Mirim",45,IF(Atletas!I213="Gunshu Grupo C",46,IF(Atletas!I213="Qiangshu Grupo C",47,IF(Atletas!I213="Nangun Grupo C",48,IF(Atletas!I213="Gunshu Grupo B",49,IF(Atletas!I213="Qiangshu Grupo B",50,IF(Atletas!I213="Nangun Grupo B",51,IF(Atletas!I213="Gunshu Grupo A",52,IF(Atletas!I213="Qiangshu Grupo A",53,IF(Atletas!I213="Nangun Grupo A",54,IF(Atletas!I213="Gunshu Opcional",55,IF(Atletas!I213="Qiangshu Opcional",56,IF(Atletas!I213="Nangun Opcional",57,IF(Atletas!I213="Gunshu Adulto",58,IF(Atletas!I213="Qiangshu Adulto",59,IF(Atletas!I213="Nangun Adulto",60,""))))))))))))))))))))</f>
        <v/>
      </c>
      <c r="BF217" s="52" t="str">
        <f>IF(Atletas!J213="","",IF(Atletas!B213="Feminino",100,IF(Atletas!B213="Masculino",200,""))+(IF(Atletas!J213="Equipe 1 Grupo B",1,IF(Atletas!J213="Equipe 2 Grupo B",2,IF(Atletas!J213="Equipe 1 Grupo A",3,IF(Atletas!J213="Equipe 2 Grupo A",4,IF(Atletas!J213="Equipe 1 Adulto",5,IF(Atletas!J213="Equipe 2 Adulto",6,""))))))))</f>
        <v/>
      </c>
      <c r="BK217" s="52" t="str">
        <f>IF(Atletas!K213="","",IF(Atletas!W213&lt;&gt;"",10000,0)+(IF(Atletas!B213="Feminino",1000,IF(Atletas!B213="Masculino",2000,""))+IF(Atletas!K213="Choylayfut A",1,IF(Atletas!K213="Hunggar A",2,IF(Atletas!K213="Wuzuquan A",3,IF(Atletas!K213="Wingchun A",4,IF(Atletas!K213="Outra Mão de Sul A",5,IF(Atletas!K213="Choylayfut B",6,IF(Atletas!K213="Hunggar B",7,IF(Atletas!K213="Wuzuquan B",8,IF(Atletas!K213="Wingchun B",9,IF(Atletas!K213="Outra Mão de Sul B",10,IF(Atletas!K213="Choylayfut C",11,IF(Atletas!K213="Hunggar C",12,IF(Atletas!K213="Wuzuquan C",13,IF(Atletas!K213="Wingchun C",14,IF(Atletas!K213="Outra Mão de Sul C",15,IF(Atletas!K213="Choylayfut D",16,IF(Atletas!K213="Hunggar D",17,IF(Atletas!K213="Wuzuquan D",18,IF(Atletas!K213="Wingchun D",19,IF(Atletas!K213="Outra Mão de Sul D",20,IF(Atletas!K213="Choylayfut E",21,IF(Atletas!K213="Hunggar E",22,IF(Atletas!K213="Wuzuquan E",23,IF(Atletas!K213="Wingchun E",24,IF(Atletas!K213="Outra Mão de Sul E",25,IF(Atletas!K213="Choylayfut F",26,IF(Atletas!K213="Hunggar F",27,IF(Atletas!K213="Wuzuquan F",28,IF(Atletas!K213="Wingchun F",29,IF(Atletas!K213="Outra Mão de Sul F",30,""))))))))))))))))))))))))))))))))</f>
        <v/>
      </c>
      <c r="BL217" s="52" t="str">
        <f>IF(Atletas!L213="","",IF(Atletas!W213&lt;&gt;"",10000,0)+(IF(Atletas!B213="Feminino",1000,IF(Atletas!B213="Masculino",2000,""))+(IF(Atletas!L213="Chaquan A",101,IF(Atletas!L213="Emeiquan A",102,IF(Atletas!L213="Fanziquan A",103,IF(Atletas!L213="Huaquan A",104,IF(Atletas!L213="Hongquan A",105,IF(Atletas!L213="Paochui A",106,IF(Atletas!L213="Piguaquan A",107,IF(Atletas!L213="Shaolinquan A",108,IF(Atletas!L213="Tanglangquan A",109,IF(Atletas!L213="Yinzhaophai A",110,IF(Atletas!L213="Tongbeiquan A",111,IF(Atletas!L213="Wudangquan A",112,IF(Atletas!L213="Outros Estilos A",113,IF(Atletas!L213="Chaquan B",114,IF(Atletas!L213="Emeiquan B",115,IF(Atletas!L213="Fanziquan B",116,IF(Atletas!L213="Huaquan B",117,IF(Atletas!L213="Hongquan B",118,IF(Atletas!L213="Paochui B",119,IF(Atletas!L213="Piguaquan B",120,IF(Atletas!L213="Shaolinquan B",121,IF(Atletas!L213="Tanglangquan B",122,IF(Atletas!L213="Yinzhaophai B",123,IF(Atletas!L213="Tongbeiquan B",124,IF(Atletas!L213="Wudangquan B",125,IF(Atletas!L213="Outros Estilos B",126,IF(Atletas!L213="Chaquan C",127,IF(Atletas!L213="Emeiquan C",128,IF(Atletas!L213="Fanziquan C",129,IF(Atletas!L213="Huaquan C",130,IF(Atletas!L213="Hongquan C",131,IF(Atletas!L213="Paochui C",132,IF(Atletas!L213="Piguaquan C",133,IF(Atletas!L213="Shaolinquan C",134,IF(Atletas!L213="Tanglangquan C",135,IF(Atletas!L213="Yinzhaophai C",136,IF(Atletas!L213="Tongbeiquan C",137,IF(Atletas!L213="Wudangquan C",138,IF(Atletas!L213="Outros Estilos C",139,0))))))))))))))))))))))))))))))))))))))))))</f>
        <v/>
      </c>
      <c r="BM217" s="52" t="str">
        <f>IF(Atletas!L213="","",IF(Atletas!W213&lt;&gt;"",10000,0)+(IF(Atletas!B213="Feminino",1000,IF(Atletas!B213="Masculino",2000,""))+(IF(Atletas!L213="Chaquan D",140,IF(Atletas!L213="Emeiquan D",141,IF(Atletas!L213="Fanziquan D",142,IF(Atletas!L213="Huaquan D",143,IF(Atletas!L213="Hongquan D",144,IF(Atletas!L213="Paochui D",145,IF(Atletas!L213="Piguaquan D",146,IF(Atletas!L213="Shaolinquan D",147,IF(Atletas!L213="Tanglangquan D",148,IF(Atletas!L213="Yinzhaophai D",149,IF(Atletas!L213="Tongbeiquan D",150,IF(Atletas!L213="Wudangquan D",151,IF(Atletas!L213="Outros Estilos D",152,IF(Atletas!L213="Chaquan E",153,IF(Atletas!L213="Emeiquan E",154,IF(Atletas!L213="Fanziquan E",155,IF(Atletas!L213="Huaquan E",156,IF(Atletas!L213="Hongquan E",157,IF(Atletas!L213="Paochui E",158,IF(Atletas!L213="Piguaquan E",159,IF(Atletas!L213="Shaolinquan E",160,IF(Atletas!L213="Tanglangquan E",161,IF(Atletas!L213="Yinzhaophai E",162,IF(Atletas!L213="Tongbeiquan E",163,IF(Atletas!L213="Wudangquan E",164,IF(Atletas!L213="Outros Estilos E",165,IF(Atletas!L213="Chaquan F",166,IF(Atletas!L213="Emeiquan F",167,IF(Atletas!L213="Fanziquan F",168,IF(Atletas!L213="Huaquan F",169,IF(Atletas!L213="Hongquan F",170,IF(Atletas!L213="Paochui F",171,IF(Atletas!L213="Piguaquan F",172,IF(Atletas!L213="Shaolinquan F",173,IF(Atletas!L213="Tanglangquan F",174,IF(Atletas!L213="Yinzhaophai F",175,IF(Atletas!L213="Tongbeiquan F",176,IF(Atletas!L213="Wudangquan F",177,IF(Atletas!L213="Outros Estilos F",178,0))))))))))))))))))))))))))))))))))))))))))</f>
        <v/>
      </c>
      <c r="BN217" s="52" t="str">
        <f>IF(Atletas!M213="","",IF(Atletas!W213&lt;&gt;"",10000,0)+(IF(Atletas!B213="Feminino",1000,IF(Atletas!B213="Masculino",2000,""))+(IF(Atletas!M213="Ditangquan A",201,IF(Atletas!M213="Houquan A",202,IF(Atletas!M213="Zuiquan A",203,IF(Atletas!M213="Ditangquan B",204,IF(Atletas!M213="Houquan B",205,IF(Atletas!M213="Zuiquan B",206,IF(Atletas!M213="Ditangquan C",207,IF(Atletas!M213="Houquan C",208,IF(Atletas!M213="Zuiquan C",209,IF(Atletas!M213="Ditangquan D",210,IF(Atletas!M213="Houquan D",211,IF(Atletas!M213="Zuiquan D",212,IF(Atletas!M213="Ditangquan E",213,IF(Atletas!M213="Houquan E",214,IF(Atletas!M213="Zuiquan E",215,IF(Atletas!M213="Ditangquan F",216,IF(Atletas!M213="Houquan F",217,IF(Atletas!M213="Zuiquan F",218,"")))))))))))))))))))))</f>
        <v/>
      </c>
      <c r="BO217" s="52" t="str">
        <f>IF(Atletas!N213="","",IF(Atletas!W213&lt;&gt;"",10000,0)+IF(Atletas!B213="Feminino",1000,IF(Atletas!B213="Masculino",2000,""))+IF(Atletas!N213="Yang A",301,IF(Atletas!N213="Chen A",30,IF(Atletas!N213="Sun A",303,IF(Atletas!N213="Wu A",304,IF(Atletas!N213="Wu-Hao A",305,IF(Atletas!N213="Outro Taijiquan A",306,IF(Atletas!N213="Yang B",307,IF(Atletas!N213="Chen B",308,IF(Atletas!N213="Sun B",309,IF(Atletas!N213="Wu B",310,IF(Atletas!N213="Wu-Hao B",311,IF(Atletas!N213="Outro Taijiquan B",312,IF(Atletas!N213="Yang C",313,IF(Atletas!N213="Chen C",314,IF(Atletas!N213="Sun C",315,IF(Atletas!N213="Wu C",316,IF(Atletas!N213="Wu-Hao C",317,IF(Atletas!N213="Outro Taijiquan C",318,IF(Atletas!N213="Yang D",319,IF(Atletas!N213="Chen D",320,IF(Atletas!N213="Sun D",321,IF(Atletas!N213="Wu D",322,IF(Atletas!N213="Wu-Hao D",323,IF(Atletas!N213="Outro Taijiquan D",324,IF(Atletas!N213="Yang E",325,IF(Atletas!N213="Chen E",326,IF(Atletas!N213="Sun E",327,IF(Atletas!N213="Wu E",328,IF(Atletas!N213="Wu-Hao E",329,IF(Atletas!N213="Outro Taijiquan E",330,IF(Atletas!N213="Yang F",331,IF(Atletas!N213="Chen F",332,IF(Atletas!N213="Sun F",333,IF(Atletas!N213="Wu F",334,IF(Atletas!N213="Wu-Hao F",335,IF(Atletas!N213="Outro Taijiquan F",336,"")))))))))))))))))))))))))))))))))))))</f>
        <v/>
      </c>
      <c r="BP217" s="52" t="str">
        <f>IF(Atletas!O213="","",IF(Atletas!W213&lt;&gt;"",10000,0)+IF(Atletas!B213="Feminino",1000,IF(Atletas!B213="Masculino",2000,""))+IF(OR(Atletas!O213="Yang 26 A",Atletas!O213="Yang 40 A"),401,IF(OR(Atletas!O213="Chen 25 A",Atletas!O213="Chen 36 A",Atletas!O213="Chen 56 A"),402,IF(Atletas!O213="Sun 73 A",403,IF(Atletas!O213="Wu 45 A",404,IF(Atletas!O213="Wu-Hao 46 A",405,IF(OR(Atletas!O213="Taijiquan 16 A",Atletas!O213="Taijiquan 24 A",Atletas!O213="Taijiquan 32 A",Atletas!O213="Taijiquan 42 A"),406,IF(OR(Atletas!O213="Yang 26 B",Atletas!O213="Yang 40 B"),407,IF(OR(Atletas!O213="Chen 25 B",Atletas!O213="Chen 36 B",Atletas!O213="Chen 56 B"),408,IF(Atletas!O213="Sun 73 B",409,IF(Atletas!O213="Wu 45 B",410,IF(Atletas!O213="Wu-Hao 46 B",411,IF(OR(Atletas!O213="Taijiquan 16 B",Atletas!O213="Taijiquan 24 B",Atletas!O213="Taijiquan 32 B",Atletas!O213="Taijiquan 42 B"),412,IF(OR(Atletas!O213="Yang 26 C",Atletas!O213="Yang 40 C"),413,IF(OR(Atletas!O213="Chen 25 C",Atletas!O213="Chen 36 C",Atletas!O213="Chen 56 C"),414,IF(Atletas!O213="Sun 73 C",415,IF(Atletas!O213="Wu 45 C",416,IF(Atletas!O213="Wu-Hao 46 C",417,IF(OR(Atletas!O213="Taijiquan 16 C",Atletas!O213="Taijiquan 24 C",Atletas!O213="Taijiquan 32 C",Atletas!O213="Taijiquan 42 C"),418,0)))))))))))))))))))</f>
        <v/>
      </c>
      <c r="BQ217" s="52" t="str">
        <f>IF(Atletas!O213="","",IF(Atletas!W213&lt;&gt;"",10000,0)+IF(Atletas!B213="Feminino",1000,IF(Atletas!B213="Masculino",2000,""))+IF(OR(Atletas!O213="Yang 26 D",Atletas!O213="Yang 40 D"),419,IF(OR(Atletas!O213="Chen 25 D",Atletas!O213="Chen 36 D",Atletas!O213="Chen 56 D"),420,IF(Atletas!O213="Sun 73 D",421,IF(Atletas!O213="Wu 45 D",422,IF(Atletas!O213="Wu-Hao 46 D",423,IF(OR(Atletas!O213="Taijiquan 16 D",Atletas!O213="Taijiquan 24 D",Atletas!O213="Taijiquan 32 D",Atletas!O213="Taijiquan 42 D"),424,IF(OR(Atletas!O213="Yang 26 E",Atletas!O213="Yang 40 E"),425,IF(OR(Atletas!O213="Chen 25 E",Atletas!O213="Chen 36 E",Atletas!O213="Chen 56 E"),426,IF(Atletas!O213="Sun 73 E",427,IF(Atletas!O213="Wu 45 E",428,IF(Atletas!O213="Wu-Hao 46 E",429,IF(OR(Atletas!O213="Taijiquan 16 E",Atletas!O213="Taijiquan 24 E",Atletas!O213="Taijiquan 32 E",Atletas!O213="Taijiquan 42 E"),430,IF(OR(Atletas!O213="Yang 26 F",Atletas!O213="Yang 40 F"),431,IF(OR(Atletas!O213="Chen 25 F",Atletas!O213="Chen 36 F",Atletas!O213="Chen 56 F"),432,IF(Atletas!O213="Sun 73 F",433,IF(Atletas!O213="Wu 45 F",434,IF(Atletas!O213="Wu-Hao 46 F",435,IF(OR(Atletas!O213="Taijiquan 16 F",Atletas!O213="Taijiquan 24 F",Atletas!O213="Taijiquan 32 F",Atletas!O213="Taijiquan 42 F"),436,0)))))))))))))))))))</f>
        <v/>
      </c>
      <c r="BR217" s="52" t="str">
        <f>IF(Atletas!P213="","",IF(Atletas!W213&lt;&gt;"",10000,0)+IF(Atletas!B213="Feminino",1000,IF(Atletas!B213="Masculino",2000,""))+IF(Atletas!P213="Xingyiquan A",501,IF(Atletas!P213="Baguazhang A",502,IF(Atletas!P213="Outro Estilo Interno A",503,IF(Atletas!P213="Xingyiquan B",504,IF(Atletas!P213="Baguazhang B",505,IF(Atletas!P213="Outro Estilo Interno B",506,IF(Atletas!P213="Xingyiquan C",507,IF(Atletas!P213="Baguazhang C",508,IF(Atletas!P213="Outro Estilo Interno C",509,IF(Atletas!P213="Xingyiquan D",510,IF(Atletas!P213="Baguazhang D",511,IF(Atletas!P213="Outro Estilo Interno D",512,IF(Atletas!P213="Xingyiquan E",513,IF(Atletas!P213="Baguazhang E",514,IF(Atletas!P213="Outro Estilo Interno E",515,IF(Atletas!P213="Xingyiquan F",516,IF(Atletas!P213="Baguazhang F",517,IF(Atletas!P213="Outro Estilo Interno F",518, "")))))))))))))))))))</f>
        <v/>
      </c>
      <c r="BS217" s="52" t="str">
        <f>IF(Atletas!Q213="","",IF(Atletas!W213&lt;&gt;"",10000,0)+IF(Atletas!B213="Feminino",1000,IF(Atletas!B213="Masculino",2000,""))+IF(Atletas!Q213="Dao A",601,IF(Atletas!Q213="Jian A",602,IF(Atletas!Q213="Bishou A",603,IF(Atletas!Q213="Shan A",604,IF(Atletas!Q213="Outra Arma Curta A",605,IF(Atletas!Q213="Dao B",606,IF(Atletas!Q213="Jian B",607,IF(Atletas!Q213="Bishou B",608,IF(Atletas!Q213="Shan B",609,IF(Atletas!Q213="Outra Arma Curta B",610,IF(Atletas!Q213="Dao C",611,IF(Atletas!Q213="Jian C",612,IF(Atletas!Q213="Bishou C",613,IF(Atletas!Q213="Shan C",614,IF(Atletas!Q213="Outra Arma Curta C",615,IF(Atletas!Q213="Dao D",616,IF(Atletas!Q213="Jian D",617,IF(Atletas!Q213="Bishou D",618,IF(Atletas!Q213="Shan D",619,IF(Atletas!Q213="Outra Arma Curta D",620,IF(Atletas!Q213="Dao E",621,IF(Atletas!Q213="Jian E",622,IF(Atletas!Q213="Bishou E",623,IF(Atletas!Q213="Shan E",624,IF(Atletas!Q213="Outra Arma Curta E",625,IF(Atletas!Q213="Dao F",626,IF(Atletas!Q213="Jian F",627,IF(Atletas!Q213="Bishou F",628,IF(Atletas!Q213="Shan F",629,IF(Atletas!Q213="Outra Arma Curta F",630, "")))))))))))))))))))))))))))))))</f>
        <v/>
      </c>
      <c r="BT217" s="52" t="str">
        <f>IF(Atletas!R213="","",IF(Atletas!W213&lt;&gt;"",10000,0)+IF(Atletas!B213="Feminino",1000,IF(Atletas!B213="Masculino",2000,""))+IF(Atletas!R213="Gun A",701,IF(Atletas!R213="Qiang A",702,IF(Atletas!R213="Pudao / Guandao A",703,IF(Atletas!R213="Outra Arma Longa A",704,IF(Atletas!R213="Gun B",705,IF(Atletas!R213="Qiang B",706,IF(Atletas!R213="Pudao / Guandao B",707,IF(Atletas!R213="Outra Arma Longa B",708,IF(Atletas!R213="Gun C",709,IF(Atletas!R213="Qiang C",710,IF(Atletas!R213="Pudao / Guandao C",711,IF(Atletas!R213="Outra Arma Longa C",712,IF(Atletas!R213="Gun D",713,IF(Atletas!R213="Qiang D",714,IF(Atletas!R213="Pudao / Guandao D",715,IF(Atletas!R213="Outra Arma Longa D",716,IF(Atletas!R213="Gun E",717,IF(Atletas!R213="Qiang E",718,IF(Atletas!R213="Pudao / Guandao E",719,IF(Atletas!R213="Outra Arma Longa E",720,IF(Atletas!R213="Gun F",721,IF(Atletas!R213="Qiang F",722,IF(Atletas!R213="Pudao / Guandao F",723,IF(Atletas!R213="Outra Arma Longa F",724,"")))))))))))))))))))))))))</f>
        <v/>
      </c>
      <c r="BU217" s="52" t="str">
        <f>IF(Atletas!S213="","",IF(Atletas!W213&lt;&gt;"",10000,0)+IF(Atletas!B213="Feminino",1000,IF(Atletas!B213="Masculino",2000,""))+IF(Atletas!S213="Arma Dupla A",801,IF(Atletas!S213="Arma Maleável A",802,IF(Atletas!S213="Arma Dupla B",803,IF(Atletas!S213="Arma Maleável B",804,IF(Atletas!S213="Arma Dupla C",805,IF(Atletas!S213="Arma Maleável C",806,IF(Atletas!S213="Arma Dupla D",807,IF(Atletas!S213="Arma Maleável D",808,IF(Atletas!S213="Arma Dupla E",809,IF(Atletas!S213="Arma Maleável E",810,IF(Atletas!S213="Arma Dupla F",811,IF(Atletas!S213="Arma Maleável F",812, "")))))))))))))</f>
        <v/>
      </c>
      <c r="BV217" s="52" t="str">
        <f>IF(Atletas!T213="","",IF(Atletas!W213&lt;&gt;"",10000,0)+IF(Atletas!B213="Feminino",1000,IF(Atletas!B213="Masculino",2000,""))+IF(Atletas!T213="Taijijian Yang A",901,IF(Atletas!T213="Taijijian Chen A",902,IF(Atletas!T213="Taijijian Sun A",903,IF(Atletas!T213="Taijijian Wu A",904,IF(Atletas!T213="Taijijian Wu-Hao A",905,IF(Atletas!T213="Taijijian 32 A",906,IF(Atletas!T213="Taijijian 42 A",907,IF(Atletas!T213="Taijijian Yang B",908,IF(Atletas!T213="Taijijian Chen B",909,IF(Atletas!T213="Taijijian Sun B",910,IF(Atletas!T213="Taijijian Wu B",911,IF(Atletas!T213="Taijijian Wu-Hao B",912,IF(Atletas!T213="Taijijian 32 B",913,IF(Atletas!T213="Taijijian 42 B",914,IF(Atletas!T213="Taijijian Yang C",915,IF(Atletas!T213="Taijijian Chen C",916,IF(Atletas!T213="Taijijian Sun C",917,IF(Atletas!T213="Taijijian Wu C",918,IF(Atletas!T213="Taijijian Wu-Hao C",919,IF(Atletas!T213="Taijijian 32 C",920,IF(Atletas!T213="Taijijian 42 C",921,IF(Atletas!T213="Taijijian Yang D",922,IF(Atletas!T213="Taijijian Chen D",923,IF(Atletas!T213="Taijijian Sun D",924,IF(Atletas!T213="Taijijian Wu D",925,IF(Atletas!T213="Taijijian Wu-Hao D",926,IF(Atletas!T213="Taijijian 32 D",927,IF(Atletas!T213="Taijijian 42 D",928,IF(Atletas!T213="Taijijian Yang E",929,IF(Atletas!T213="Taijijian Chen E",930,IF(Atletas!T213="Taijijian Sun E",931,IF(Atletas!T213="Taijijian Wu E",932,IF(Atletas!T213="Taijijian Wu-Hao E",933,IF(Atletas!T213="Taijijian 32 E",934,IF(Atletas!T213="Taijijian 42 E",935,IF(Atletas!T213="Taijijian Yang F",936,IF(Atletas!T213="Taijijian Chen F",937,IF(Atletas!T213="Taijijian Sun F",938,IF(Atletas!T213="Taijijian Wu F",939,IF(Atletas!T213="Taijijian Wu-Hao F",940,IF(Atletas!T213="Taijijian 32 F",941,IF(Atletas!T213="Taijijian 42 F",942,"")))))))))))))))))))))))))))))))))))))))))))</f>
        <v/>
      </c>
      <c r="BW217" s="52" t="str">
        <f>IF(Atletas!U213="","",IF(Atletas!W213&lt;&gt;"",10000,0)+IF(Atletas!B213="Feminino",1000,IF(Atletas!B213="Masculino",2000,""))+IF(Atletas!T213="Taijijian 42 F",942,IF(Atletas!U213="Taijidao A",943,IF(Atletas!U213="Taijishan A",944,IF(Atletas!U213="Taijiqiang A",945,IF(Atletas!U213="Taijidao B",946,IF(Atletas!U213="Taijishan B",947,IF(Atletas!U213="Taijiqiang B",948,IF(Atletas!U213="Taijidao C",949,IF(Atletas!U213="Taijishan C",950,IF(Atletas!U213="Taijiqiang C",951,IF(Atletas!U213="Taijidao D",952,IF(Atletas!U213="Taijishan D",953,IF(Atletas!U213="Taijiqiang D",954,IF(Atletas!U213="Taijidao E",955,IF(Atletas!U213="Taijishan E",956,IF(Atletas!U213="Taijiqiang E",957,IF(Atletas!U213="Taijidao F",958,IF(Atletas!U213="Taijishan F",959,IF(Atletas!U213="Taijiqiang F",960))))))))))))))))))))</f>
        <v/>
      </c>
      <c r="BX217" s="72" t="str">
        <f>IF(BY217&lt;&gt;"","Xingyiquan E","")</f>
        <v/>
      </c>
      <c r="BY217" s="72" t="str">
        <f>IF(COUNTIF(BK:BW,1513)&gt;0,COUNTIF(BK:BW,1513),"")</f>
        <v/>
      </c>
      <c r="BZ217" s="72" t="str">
        <f>IF(CA217&lt;&gt;"","Xingyiquan E","")</f>
        <v/>
      </c>
      <c r="CA217" s="72" t="str">
        <f>IF(COUNTIF(BK:BW,2513)&gt;0,COUNTIF(BK:BW,2513),"")</f>
        <v/>
      </c>
      <c r="CB217" s="72" t="str">
        <f>IF(CC217&lt;&gt;"","Wu-Hao 46 D","")</f>
        <v/>
      </c>
      <c r="CC217" s="64" t="str">
        <f>IF(COUNTIF(BK:BW,11449)&gt;0,COUNTIF(BK:BW,11449),"")</f>
        <v/>
      </c>
      <c r="CD217" s="64" t="str">
        <f>IF(CE217&lt;&gt;"","Wu-Hao 46 D","")</f>
        <v/>
      </c>
      <c r="CE217" s="64" t="str">
        <f>IF(COUNTIF(BK:BW,12449)&gt;0,COUNTIF(BK:BW,12449),"")</f>
        <v/>
      </c>
      <c r="CF217" s="52" t="str">
        <f xml:space="preserve"> IF(Atletas!V213="","",IF(Atletas!V213="Duilian de Mãos AB - Equipe 1",1,IF(Atletas!V213="Duilian de Mãos AB - Equipe 2",2,IF(Atletas!V213="Duilian de Armas AB - Equipe 1",3,IF(Atletas!V213="Duilian de Armas AB - Equipe 2",4,IF(Atletas!V213="Duilian de Tuishou - Equipe 1",5,IF(Atletas!V213="Duilian de Tuishou - Equipe 2",6,IF(Atletas!V213="Grupo Externo AB - Equipe 1",7,IF(Atletas!V213="Grupo Externo AB - Equipe 2",8,IF(Atletas!V213="Grupo Interno AB - Equipe 1",9,IF(Atletas!V213="Grupo Interno AB - Equipe 2",10,IF(Atletas!V213="Duilian de Mãos CD - Equipe 1",11,IF(Atletas!V213="Duilian de Mãos CD - Equipe 2",12,IF(Atletas!V213="Duilian de Armas CD - Equipe 1",13,IF(Atletas!V213="Duilian de Armas CD - Equipe 2",14,IF(Atletas!V213="Duilian de Tuishou - Equipe 1",15,IF(Atletas!V213="Duilian de Tuishou - Equipe 2",16,IF(Atletas!V213="Grupo Externo CDEF - Equipe 1",17,IF(Atletas!V213="Grupo Externo CDEF - Equipe 2",18,IF(Atletas!V213="Grupo Interno CDEF - Equipe 1",19,IF(Atletas!V213="Grupo Interno CDEF - Equipe 2",20,IF(Atletas!V213="Duilian de Mãos EF - Equipe 1",21,IF(Atletas!V213="Duilian de Mãos EF - Equipe 2",22,IF(Atletas!V213="Duilian de Armas EF - Equipe 1",23,IF(Atletas!V213="Duilian de Armas EF - Equipe 2",24,IF(Atletas!V213="Duilian de Tuishou - Equipe 1",25,IF(Atletas!V213="Duilian de Tuishou - Equipe 2",26,"")))))))))))))))))))))))))))</f>
        <v/>
      </c>
    </row>
    <row r="218" spans="2:84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 t="str">
        <f t="array" ref="V218">IFERROR(INDEX(BX$7:BX$336,SMALL(IF(BX$7:BX$336&lt;&gt;"",ROW(BX$7:BX$336)-ROW(BX$7)+1),ROWS(BX$7:BX204))),"")</f>
        <v/>
      </c>
      <c r="W218" s="4" t="str">
        <f t="array" ref="W218">IFERROR(INDEX(BY$7:BY$336,SMALL(IF(BY$7:BY$336&lt;&gt;"",ROW(BY$7:BY$336)-ROW(BY$7)+1),ROWS(BY$7:BY204))),"")</f>
        <v/>
      </c>
      <c r="X218" s="4" t="str">
        <f t="array" ref="X218">IFERROR(INDEX(BZ$7:BZ$336,SMALL(IF(BZ$7:BZ$336&lt;&gt;"",ROW(BZ$7:BZ$336)-ROW(BZ$7)+1),ROWS(BZ$7:BZ204))),"")</f>
        <v/>
      </c>
      <c r="Y218" s="4" t="str">
        <f t="array" ref="Y218">IFERROR(INDEX(CA$7:CA$336,SMALL(IF(CA$7:CA$336&lt;&gt;"",ROW(CA$7:CA$336)-ROW(CA$7)+1),ROWS(CA$7:CA204))),"")</f>
        <v/>
      </c>
      <c r="Z218" s="4" t="str">
        <f t="array" ref="Z218">IFERROR(INDEX(CB$7:CB$378,SMALL(IF(CB$7:CB$378&lt;&gt;"",ROW(CB$7:CB$378)-ROW(CB$7)+1),ROWS(CB$7:CB217))),"")</f>
        <v/>
      </c>
      <c r="AA218" s="4" t="str">
        <f t="array" ref="AA218">IFERROR(INDEX(CC$7:CC$378,SMALL(IF(CC$7:CC$378&lt;&gt;"",ROW(CC$7:CC$378)-ROW(CC$7)+1),ROWS(CC$7:CC217))),"")</f>
        <v/>
      </c>
      <c r="AB218" s="4" t="str">
        <f t="array" ref="AB218">IFERROR(INDEX(CD$7:CD$378,SMALL(IF(CD$7:CD$378&lt;&gt;"",ROW(CD$7:CD$378)-ROW(CD$7)+1),ROWS(CD$7:CD217))),"")</f>
        <v/>
      </c>
      <c r="AC218" s="4" t="str">
        <f t="array" ref="AC218">IFERROR(INDEX(CE$7:CE$378,SMALL(IF(CE$7:CE$378&lt;&gt;"",ROW(CE$7:CE$378)-ROW(CE$7)+1),ROWS(CE$7:CE217))),"")</f>
        <v/>
      </c>
      <c r="AD218" s="4"/>
      <c r="AE218" s="4"/>
      <c r="AF218" s="4"/>
      <c r="AG218" s="4"/>
      <c r="AH218" s="4"/>
      <c r="AI218" s="4"/>
      <c r="AJ218" s="46" t="str">
        <f>IF(Atletas!D214="","",IF(Atletas!B214="Feminino",100,IF(Atletas!B214="Masculino",200,""))+(IF(Atletas!D214="Infantil 39kg",1,IF(Atletas!D214="Infantil 42kg",2,IF(Atletas!D214="Infantil 45kg",3,IF(Atletas!D214="Infantil 48kg",4,IF(Atletas!D214="Infantil 52kg",5,IF(Atletas!D214="Infantil 56kg",6,IF(Atletas!D214="Infantil 60kg",7,IF(Atletas!D214="Juvenil 48kg",8,IF(Atletas!D214="Juvenil 52kg",9,IF(Atletas!D214="Juvenil 56kg",10,IF(Atletas!D214="Juvenil 60kg",11,IF(Atletas!D214="Juvenil 65kg",12,IF(Atletas!D214="Juvenil 70kg",13,IF(Atletas!D214="Juvenil 75kg",14,IF(Atletas!D214="Juvenil 80kg",15,IF(Atletas!D214="Adulto 48kg",16,IF(Atletas!D214="Adulto 52kg",17,IF(Atletas!D214="Adulto 56kg",18,IF(Atletas!D214="Adulto 60kg",19,IF(Atletas!D214="Adulto 65kg",20,IF(Atletas!D214="Adulto 70kg",21,IF(Atletas!D214="Adulto 75kg",22,IF(Atletas!D214="Adulto 80kg",23,IF(Atletas!D214="Adulto 85kg",24,IF(Atletas!D214="Adulto 90kg",25,IF(Atletas!D214="Adulto +90kg",26,""))))))))))))))))))))))))))))</f>
        <v/>
      </c>
      <c r="AO218" s="10" t="str">
        <f>IF(Atletas!E214="","",IF(Atletas!B214="Feminino",100,IF(Atletas!B214="Masculino",200,""))+(IF(Atletas!E214="Juvenil 44kg",1,IF(Atletas!E214="Juvenil 48kg",2,IF(Atletas!E214="Juvenil 52kg",3,IF(Atletas!E214="Juvenil 56kg",4,IF(Atletas!E214="Juvenil 60kg",5,IF(Atletas!E214="Juvenil 65kg",6,IF(Atletas!E214="Juvenil 70kg",7,IF(Atletas!E214="Juvenil 75kg",8,IF(Atletas!E214="Juvenil 82kg",9,IF(Atletas!E214="Juvenil 90kg",10,IF(Atletas!E214="Juvenil 100kg",11,IF(Atletas!E214="Adulto 48kg",12,IF(Atletas!E214="Adulto 52kg",13,IF(Atletas!E214="Adulto 56kg",14,IF(Atletas!E214="Adulto 60kg",15,IF(Atletas!E214="Adulto 65kg",16,IF(Atletas!E214="Adulto 70kg",17,IF(Atletas!E214="Adulto 75kg",18,IF(Atletas!E214="Adulto 82kg",19,IF(Atletas!E214="Adulto 90kg",20,IF(Atletas!E214="Adulto 100kg",21,IF(Atletas!E214="Adulto +100kg",22,""))))))))))))))))))))))))</f>
        <v/>
      </c>
      <c r="AT218" s="10" t="str">
        <f>IF(Atletas!F214="","",IF(Atletas!B214="Feminino",100,IF(Atletas!B214="Masculino",200,""))+(IF(Atletas!F214="Adulto 48kg",1,IF(Atletas!F214="Adulto 56kg",2,IF(Atletas!F214="Adulto 65kg",3,IF(Atletas!F214="Adulto 75kg",4,IF(Atletas!F214="Adulto +75kg",5,IF(Atletas!F214="Adulto 52kg",6,IF(Atletas!F214="Adulto 60kg",7,IF(Atletas!F214="Adulto 70kg",8,IF(Atletas!F214="Adulto 80kg",9,IF(Atletas!F214="Adulto 90kg",10,IF(Atletas!F214="Adulto +90kg",11,"")))))))))))))</f>
        <v/>
      </c>
      <c r="AY218" s="46" t="str">
        <f>IF(Atletas!G214="","",IF(Atletas!B214="Feminino",100,IF(Atletas!B214="Masculino",200,""))+(IF(Atletas!G214="Changquan Mirim",1,IF(Atletas!G214="Nanquan Mirim",2,IF(Atletas!G214="Taijiquan Mirim",3,IF(Atletas!G214="Changquan Grupo C",4,IF(Atletas!G214="Nanquan Grupo C",5,IF(Atletas!G214="Taijiquan Grupo C",6,IF(Atletas!G214="Changquan Grupo B",7,IF(Atletas!G214="Nanquan Grupo B",8,IF(Atletas!G214="Taijiquan Grupo B",9,IF(Atletas!G214="Changquan Grupo A",10,IF(Atletas!G214="Nanquan Grupo A",11,IF(Atletas!G214="Taijiquan Grupo A",12,IF(Atletas!G214="Changquan Opcional",13,IF(Atletas!G214="Nanquan Opcional",14,IF(Atletas!G214="Taijiquan Opcional",15,IF(Atletas!G214="Changquan Adulto",16,IF(Atletas!G214="Nanquan Adulto",17,IF(Atletas!G214="Taijiquan Adulto",18,""))))))))))))))))))))</f>
        <v/>
      </c>
      <c r="AZ218" s="46" t="str">
        <f>IF(Atletas!H214="","",IF(Atletas!B214="Feminino",100,IF(Atletas!B214="Masculino",200,""))+(IF(Atletas!H214="Daoshu Mirim",19,IF(Atletas!H214="Jianshu Mirim",20,IF(Atletas!H214="Nandao Mirim",21,IF(Atletas!H214="Taijijian Mirim",22,IF(Atletas!H214="Daoshu Grupo C",23,IF(Atletas!H214="Jianshu Grupo C",24,IF(Atletas!H214="Nandao Grupo C",25,IF(Atletas!H214="Taijijian Grupo C",26,IF(Atletas!H214="Daoshu Grupo B",27,IF(Atletas!H214="Jianshu Grupo B",28,IF(Atletas!H214="Nandao Grupo B",29,IF(Atletas!H214="Taijijian Grupo B",30,IF(Atletas!H214="Daoshu Grupo A",31,IF(Atletas!H214="Jianshu Grupo A",32,IF(Atletas!H214="Nandao Grupo A",33,IF(Atletas!H214="Taijijian Grupo A",34,IF(Atletas!H214="Daoshu Opcional",35,IF(Atletas!H214="Jianshu Opcional",36,IF(Atletas!H214="Nandao Opcional",37,IF(Atletas!H214="Taijijian Opcional",38,IF(Atletas!H214="Daoshu Adulto",39,IF(Atletas!H214="Jianshu Adulto",40,IF(Atletas!H214="Nandao Adulto",41,IF(Atletas!H214="Taijijian Adulto",42,""))))))))))))))))))))))))))</f>
        <v/>
      </c>
      <c r="BA218" s="46" t="str">
        <f>IF(Atletas!I214="","",IF(Atletas!B214="Feminino",100,IF(Atletas!B214="Masculino",200,""))+(IF(Atletas!I214="Gunshu Mirim",43,IF(Atletas!I214="Qiangshu Mirim",44,IF(Atletas!I214="Nangun Mirim",45,IF(Atletas!I214="Gunshu Grupo C",46,IF(Atletas!I214="Qiangshu Grupo C",47,IF(Atletas!I214="Nangun Grupo C",48,IF(Atletas!I214="Gunshu Grupo B",49,IF(Atletas!I214="Qiangshu Grupo B",50,IF(Atletas!I214="Nangun Grupo B",51,IF(Atletas!I214="Gunshu Grupo A",52,IF(Atletas!I214="Qiangshu Grupo A",53,IF(Atletas!I214="Nangun Grupo A",54,IF(Atletas!I214="Gunshu Opcional",55,IF(Atletas!I214="Qiangshu Opcional",56,IF(Atletas!I214="Nangun Opcional",57,IF(Atletas!I214="Gunshu Adulto",58,IF(Atletas!I214="Qiangshu Adulto",59,IF(Atletas!I214="Nangun Adulto",60,""))))))))))))))))))))</f>
        <v/>
      </c>
      <c r="BF218" s="52" t="str">
        <f>IF(Atletas!J214="","",IF(Atletas!B214="Feminino",100,IF(Atletas!B214="Masculino",200,""))+(IF(Atletas!J214="Equipe 1 Grupo B",1,IF(Atletas!J214="Equipe 2 Grupo B",2,IF(Atletas!J214="Equipe 1 Grupo A",3,IF(Atletas!J214="Equipe 2 Grupo A",4,IF(Atletas!J214="Equipe 1 Adulto",5,IF(Atletas!J214="Equipe 2 Adulto",6,""))))))))</f>
        <v/>
      </c>
      <c r="BK218" s="52" t="str">
        <f>IF(Atletas!K214="","",IF(Atletas!W214&lt;&gt;"",10000,0)+(IF(Atletas!B214="Feminino",1000,IF(Atletas!B214="Masculino",2000,""))+IF(Atletas!K214="Choylayfut A",1,IF(Atletas!K214="Hunggar A",2,IF(Atletas!K214="Wuzuquan A",3,IF(Atletas!K214="Wingchun A",4,IF(Atletas!K214="Outra Mão de Sul A",5,IF(Atletas!K214="Choylayfut B",6,IF(Atletas!K214="Hunggar B",7,IF(Atletas!K214="Wuzuquan B",8,IF(Atletas!K214="Wingchun B",9,IF(Atletas!K214="Outra Mão de Sul B",10,IF(Atletas!K214="Choylayfut C",11,IF(Atletas!K214="Hunggar C",12,IF(Atletas!K214="Wuzuquan C",13,IF(Atletas!K214="Wingchun C",14,IF(Atletas!K214="Outra Mão de Sul C",15,IF(Atletas!K214="Choylayfut D",16,IF(Atletas!K214="Hunggar D",17,IF(Atletas!K214="Wuzuquan D",18,IF(Atletas!K214="Wingchun D",19,IF(Atletas!K214="Outra Mão de Sul D",20,IF(Atletas!K214="Choylayfut E",21,IF(Atletas!K214="Hunggar E",22,IF(Atletas!K214="Wuzuquan E",23,IF(Atletas!K214="Wingchun E",24,IF(Atletas!K214="Outra Mão de Sul E",25,IF(Atletas!K214="Choylayfut F",26,IF(Atletas!K214="Hunggar F",27,IF(Atletas!K214="Wuzuquan F",28,IF(Atletas!K214="Wingchun F",29,IF(Atletas!K214="Outra Mão de Sul F",30,""))))))))))))))))))))))))))))))))</f>
        <v/>
      </c>
      <c r="BL218" s="52" t="str">
        <f>IF(Atletas!L214="","",IF(Atletas!W214&lt;&gt;"",10000,0)+(IF(Atletas!B214="Feminino",1000,IF(Atletas!B214="Masculino",2000,""))+(IF(Atletas!L214="Chaquan A",101,IF(Atletas!L214="Emeiquan A",102,IF(Atletas!L214="Fanziquan A",103,IF(Atletas!L214="Huaquan A",104,IF(Atletas!L214="Hongquan A",105,IF(Atletas!L214="Paochui A",106,IF(Atletas!L214="Piguaquan A",107,IF(Atletas!L214="Shaolinquan A",108,IF(Atletas!L214="Tanglangquan A",109,IF(Atletas!L214="Yinzhaophai A",110,IF(Atletas!L214="Tongbeiquan A",111,IF(Atletas!L214="Wudangquan A",112,IF(Atletas!L214="Outros Estilos A",113,IF(Atletas!L214="Chaquan B",114,IF(Atletas!L214="Emeiquan B",115,IF(Atletas!L214="Fanziquan B",116,IF(Atletas!L214="Huaquan B",117,IF(Atletas!L214="Hongquan B",118,IF(Atletas!L214="Paochui B",119,IF(Atletas!L214="Piguaquan B",120,IF(Atletas!L214="Shaolinquan B",121,IF(Atletas!L214="Tanglangquan B",122,IF(Atletas!L214="Yinzhaophai B",123,IF(Atletas!L214="Tongbeiquan B",124,IF(Atletas!L214="Wudangquan B",125,IF(Atletas!L214="Outros Estilos B",126,IF(Atletas!L214="Chaquan C",127,IF(Atletas!L214="Emeiquan C",128,IF(Atletas!L214="Fanziquan C",129,IF(Atletas!L214="Huaquan C",130,IF(Atletas!L214="Hongquan C",131,IF(Atletas!L214="Paochui C",132,IF(Atletas!L214="Piguaquan C",133,IF(Atletas!L214="Shaolinquan C",134,IF(Atletas!L214="Tanglangquan C",135,IF(Atletas!L214="Yinzhaophai C",136,IF(Atletas!L214="Tongbeiquan C",137,IF(Atletas!L214="Wudangquan C",138,IF(Atletas!L214="Outros Estilos C",139,0))))))))))))))))))))))))))))))))))))))))))</f>
        <v/>
      </c>
      <c r="BM218" s="52" t="str">
        <f>IF(Atletas!L214="","",IF(Atletas!W214&lt;&gt;"",10000,0)+(IF(Atletas!B214="Feminino",1000,IF(Atletas!B214="Masculino",2000,""))+(IF(Atletas!L214="Chaquan D",140,IF(Atletas!L214="Emeiquan D",141,IF(Atletas!L214="Fanziquan D",142,IF(Atletas!L214="Huaquan D",143,IF(Atletas!L214="Hongquan D",144,IF(Atletas!L214="Paochui D",145,IF(Atletas!L214="Piguaquan D",146,IF(Atletas!L214="Shaolinquan D",147,IF(Atletas!L214="Tanglangquan D",148,IF(Atletas!L214="Yinzhaophai D",149,IF(Atletas!L214="Tongbeiquan D",150,IF(Atletas!L214="Wudangquan D",151,IF(Atletas!L214="Outros Estilos D",152,IF(Atletas!L214="Chaquan E",153,IF(Atletas!L214="Emeiquan E",154,IF(Atletas!L214="Fanziquan E",155,IF(Atletas!L214="Huaquan E",156,IF(Atletas!L214="Hongquan E",157,IF(Atletas!L214="Paochui E",158,IF(Atletas!L214="Piguaquan E",159,IF(Atletas!L214="Shaolinquan E",160,IF(Atletas!L214="Tanglangquan E",161,IF(Atletas!L214="Yinzhaophai E",162,IF(Atletas!L214="Tongbeiquan E",163,IF(Atletas!L214="Wudangquan E",164,IF(Atletas!L214="Outros Estilos E",165,IF(Atletas!L214="Chaquan F",166,IF(Atletas!L214="Emeiquan F",167,IF(Atletas!L214="Fanziquan F",168,IF(Atletas!L214="Huaquan F",169,IF(Atletas!L214="Hongquan F",170,IF(Atletas!L214="Paochui F",171,IF(Atletas!L214="Piguaquan F",172,IF(Atletas!L214="Shaolinquan F",173,IF(Atletas!L214="Tanglangquan F",174,IF(Atletas!L214="Yinzhaophai F",175,IF(Atletas!L214="Tongbeiquan F",176,IF(Atletas!L214="Wudangquan F",177,IF(Atletas!L214="Outros Estilos F",178,0))))))))))))))))))))))))))))))))))))))))))</f>
        <v/>
      </c>
      <c r="BN218" s="52" t="str">
        <f>IF(Atletas!M214="","",IF(Atletas!W214&lt;&gt;"",10000,0)+(IF(Atletas!B214="Feminino",1000,IF(Atletas!B214="Masculino",2000,""))+(IF(Atletas!M214="Ditangquan A",201,IF(Atletas!M214="Houquan A",202,IF(Atletas!M214="Zuiquan A",203,IF(Atletas!M214="Ditangquan B",204,IF(Atletas!M214="Houquan B",205,IF(Atletas!M214="Zuiquan B",206,IF(Atletas!M214="Ditangquan C",207,IF(Atletas!M214="Houquan C",208,IF(Atletas!M214="Zuiquan C",209,IF(Atletas!M214="Ditangquan D",210,IF(Atletas!M214="Houquan D",211,IF(Atletas!M214="Zuiquan D",212,IF(Atletas!M214="Ditangquan E",213,IF(Atletas!M214="Houquan E",214,IF(Atletas!M214="Zuiquan E",215,IF(Atletas!M214="Ditangquan F",216,IF(Atletas!M214="Houquan F",217,IF(Atletas!M214="Zuiquan F",218,"")))))))))))))))))))))</f>
        <v/>
      </c>
      <c r="BO218" s="52" t="str">
        <f>IF(Atletas!N214="","",IF(Atletas!W214&lt;&gt;"",10000,0)+IF(Atletas!B214="Feminino",1000,IF(Atletas!B214="Masculino",2000,""))+IF(Atletas!N214="Yang A",301,IF(Atletas!N214="Chen A",30,IF(Atletas!N214="Sun A",303,IF(Atletas!N214="Wu A",304,IF(Atletas!N214="Wu-Hao A",305,IF(Atletas!N214="Outro Taijiquan A",306,IF(Atletas!N214="Yang B",307,IF(Atletas!N214="Chen B",308,IF(Atletas!N214="Sun B",309,IF(Atletas!N214="Wu B",310,IF(Atletas!N214="Wu-Hao B",311,IF(Atletas!N214="Outro Taijiquan B",312,IF(Atletas!N214="Yang C",313,IF(Atletas!N214="Chen C",314,IF(Atletas!N214="Sun C",315,IF(Atletas!N214="Wu C",316,IF(Atletas!N214="Wu-Hao C",317,IF(Atletas!N214="Outro Taijiquan C",318,IF(Atletas!N214="Yang D",319,IF(Atletas!N214="Chen D",320,IF(Atletas!N214="Sun D",321,IF(Atletas!N214="Wu D",322,IF(Atletas!N214="Wu-Hao D",323,IF(Atletas!N214="Outro Taijiquan D",324,IF(Atletas!N214="Yang E",325,IF(Atletas!N214="Chen E",326,IF(Atletas!N214="Sun E",327,IF(Atletas!N214="Wu E",328,IF(Atletas!N214="Wu-Hao E",329,IF(Atletas!N214="Outro Taijiquan E",330,IF(Atletas!N214="Yang F",331,IF(Atletas!N214="Chen F",332,IF(Atletas!N214="Sun F",333,IF(Atletas!N214="Wu F",334,IF(Atletas!N214="Wu-Hao F",335,IF(Atletas!N214="Outro Taijiquan F",336,"")))))))))))))))))))))))))))))))))))))</f>
        <v/>
      </c>
      <c r="BP218" s="52" t="str">
        <f>IF(Atletas!O214="","",IF(Atletas!W214&lt;&gt;"",10000,0)+IF(Atletas!B214="Feminino",1000,IF(Atletas!B214="Masculino",2000,""))+IF(OR(Atletas!O214="Yang 26 A",Atletas!O214="Yang 40 A"),401,IF(OR(Atletas!O214="Chen 25 A",Atletas!O214="Chen 36 A",Atletas!O214="Chen 56 A"),402,IF(Atletas!O214="Sun 73 A",403,IF(Atletas!O214="Wu 45 A",404,IF(Atletas!O214="Wu-Hao 46 A",405,IF(OR(Atletas!O214="Taijiquan 16 A",Atletas!O214="Taijiquan 24 A",Atletas!O214="Taijiquan 32 A",Atletas!O214="Taijiquan 42 A"),406,IF(OR(Atletas!O214="Yang 26 B",Atletas!O214="Yang 40 B"),407,IF(OR(Atletas!O214="Chen 25 B",Atletas!O214="Chen 36 B",Atletas!O214="Chen 56 B"),408,IF(Atletas!O214="Sun 73 B",409,IF(Atletas!O214="Wu 45 B",410,IF(Atletas!O214="Wu-Hao 46 B",411,IF(OR(Atletas!O214="Taijiquan 16 B",Atletas!O214="Taijiquan 24 B",Atletas!O214="Taijiquan 32 B",Atletas!O214="Taijiquan 42 B"),412,IF(OR(Atletas!O214="Yang 26 C",Atletas!O214="Yang 40 C"),413,IF(OR(Atletas!O214="Chen 25 C",Atletas!O214="Chen 36 C",Atletas!O214="Chen 56 C"),414,IF(Atletas!O214="Sun 73 C",415,IF(Atletas!O214="Wu 45 C",416,IF(Atletas!O214="Wu-Hao 46 C",417,IF(OR(Atletas!O214="Taijiquan 16 C",Atletas!O214="Taijiquan 24 C",Atletas!O214="Taijiquan 32 C",Atletas!O214="Taijiquan 42 C"),418,0)))))))))))))))))))</f>
        <v/>
      </c>
      <c r="BQ218" s="52" t="str">
        <f>IF(Atletas!O214="","",IF(Atletas!W214&lt;&gt;"",10000,0)+IF(Atletas!B214="Feminino",1000,IF(Atletas!B214="Masculino",2000,""))+IF(OR(Atletas!O214="Yang 26 D",Atletas!O214="Yang 40 D"),419,IF(OR(Atletas!O214="Chen 25 D",Atletas!O214="Chen 36 D",Atletas!O214="Chen 56 D"),420,IF(Atletas!O214="Sun 73 D",421,IF(Atletas!O214="Wu 45 D",422,IF(Atletas!O214="Wu-Hao 46 D",423,IF(OR(Atletas!O214="Taijiquan 16 D",Atletas!O214="Taijiquan 24 D",Atletas!O214="Taijiquan 32 D",Atletas!O214="Taijiquan 42 D"),424,IF(OR(Atletas!O214="Yang 26 E",Atletas!O214="Yang 40 E"),425,IF(OR(Atletas!O214="Chen 25 E",Atletas!O214="Chen 36 E",Atletas!O214="Chen 56 E"),426,IF(Atletas!O214="Sun 73 E",427,IF(Atletas!O214="Wu 45 E",428,IF(Atletas!O214="Wu-Hao 46 E",429,IF(OR(Atletas!O214="Taijiquan 16 E",Atletas!O214="Taijiquan 24 E",Atletas!O214="Taijiquan 32 E",Atletas!O214="Taijiquan 42 E"),430,IF(OR(Atletas!O214="Yang 26 F",Atletas!O214="Yang 40 F"),431,IF(OR(Atletas!O214="Chen 25 F",Atletas!O214="Chen 36 F",Atletas!O214="Chen 56 F"),432,IF(Atletas!O214="Sun 73 F",433,IF(Atletas!O214="Wu 45 F",434,IF(Atletas!O214="Wu-Hao 46 F",435,IF(OR(Atletas!O214="Taijiquan 16 F",Atletas!O214="Taijiquan 24 F",Atletas!O214="Taijiquan 32 F",Atletas!O214="Taijiquan 42 F"),436,0)))))))))))))))))))</f>
        <v/>
      </c>
      <c r="BR218" s="52" t="str">
        <f>IF(Atletas!P214="","",IF(Atletas!W214&lt;&gt;"",10000,0)+IF(Atletas!B214="Feminino",1000,IF(Atletas!B214="Masculino",2000,""))+IF(Atletas!P214="Xingyiquan A",501,IF(Atletas!P214="Baguazhang A",502,IF(Atletas!P214="Outro Estilo Interno A",503,IF(Atletas!P214="Xingyiquan B",504,IF(Atletas!P214="Baguazhang B",505,IF(Atletas!P214="Outro Estilo Interno B",506,IF(Atletas!P214="Xingyiquan C",507,IF(Atletas!P214="Baguazhang C",508,IF(Atletas!P214="Outro Estilo Interno C",509,IF(Atletas!P214="Xingyiquan D",510,IF(Atletas!P214="Baguazhang D",511,IF(Atletas!P214="Outro Estilo Interno D",512,IF(Atletas!P214="Xingyiquan E",513,IF(Atletas!P214="Baguazhang E",514,IF(Atletas!P214="Outro Estilo Interno E",515,IF(Atletas!P214="Xingyiquan F",516,IF(Atletas!P214="Baguazhang F",517,IF(Atletas!P214="Outro Estilo Interno F",518, "")))))))))))))))))))</f>
        <v/>
      </c>
      <c r="BS218" s="52" t="str">
        <f>IF(Atletas!Q214="","",IF(Atletas!W214&lt;&gt;"",10000,0)+IF(Atletas!B214="Feminino",1000,IF(Atletas!B214="Masculino",2000,""))+IF(Atletas!Q214="Dao A",601,IF(Atletas!Q214="Jian A",602,IF(Atletas!Q214="Bishou A",603,IF(Atletas!Q214="Shan A",604,IF(Atletas!Q214="Outra Arma Curta A",605,IF(Atletas!Q214="Dao B",606,IF(Atletas!Q214="Jian B",607,IF(Atletas!Q214="Bishou B",608,IF(Atletas!Q214="Shan B",609,IF(Atletas!Q214="Outra Arma Curta B",610,IF(Atletas!Q214="Dao C",611,IF(Atletas!Q214="Jian C",612,IF(Atletas!Q214="Bishou C",613,IF(Atletas!Q214="Shan C",614,IF(Atletas!Q214="Outra Arma Curta C",615,IF(Atletas!Q214="Dao D",616,IF(Atletas!Q214="Jian D",617,IF(Atletas!Q214="Bishou D",618,IF(Atletas!Q214="Shan D",619,IF(Atletas!Q214="Outra Arma Curta D",620,IF(Atletas!Q214="Dao E",621,IF(Atletas!Q214="Jian E",622,IF(Atletas!Q214="Bishou E",623,IF(Atletas!Q214="Shan E",624,IF(Atletas!Q214="Outra Arma Curta E",625,IF(Atletas!Q214="Dao F",626,IF(Atletas!Q214="Jian F",627,IF(Atletas!Q214="Bishou F",628,IF(Atletas!Q214="Shan F",629,IF(Atletas!Q214="Outra Arma Curta F",630, "")))))))))))))))))))))))))))))))</f>
        <v/>
      </c>
      <c r="BT218" s="52" t="str">
        <f>IF(Atletas!R214="","",IF(Atletas!W214&lt;&gt;"",10000,0)+IF(Atletas!B214="Feminino",1000,IF(Atletas!B214="Masculino",2000,""))+IF(Atletas!R214="Gun A",701,IF(Atletas!R214="Qiang A",702,IF(Atletas!R214="Pudao / Guandao A",703,IF(Atletas!R214="Outra Arma Longa A",704,IF(Atletas!R214="Gun B",705,IF(Atletas!R214="Qiang B",706,IF(Atletas!R214="Pudao / Guandao B",707,IF(Atletas!R214="Outra Arma Longa B",708,IF(Atletas!R214="Gun C",709,IF(Atletas!R214="Qiang C",710,IF(Atletas!R214="Pudao / Guandao C",711,IF(Atletas!R214="Outra Arma Longa C",712,IF(Atletas!R214="Gun D",713,IF(Atletas!R214="Qiang D",714,IF(Atletas!R214="Pudao / Guandao D",715,IF(Atletas!R214="Outra Arma Longa D",716,IF(Atletas!R214="Gun E",717,IF(Atletas!R214="Qiang E",718,IF(Atletas!R214="Pudao / Guandao E",719,IF(Atletas!R214="Outra Arma Longa E",720,IF(Atletas!R214="Gun F",721,IF(Atletas!R214="Qiang F",722,IF(Atletas!R214="Pudao / Guandao F",723,IF(Atletas!R214="Outra Arma Longa F",724,"")))))))))))))))))))))))))</f>
        <v/>
      </c>
      <c r="BU218" s="52" t="str">
        <f>IF(Atletas!S214="","",IF(Atletas!W214&lt;&gt;"",10000,0)+IF(Atletas!B214="Feminino",1000,IF(Atletas!B214="Masculino",2000,""))+IF(Atletas!S214="Arma Dupla A",801,IF(Atletas!S214="Arma Maleável A",802,IF(Atletas!S214="Arma Dupla B",803,IF(Atletas!S214="Arma Maleável B",804,IF(Atletas!S214="Arma Dupla C",805,IF(Atletas!S214="Arma Maleável C",806,IF(Atletas!S214="Arma Dupla D",807,IF(Atletas!S214="Arma Maleável D",808,IF(Atletas!S214="Arma Dupla E",809,IF(Atletas!S214="Arma Maleável E",810,IF(Atletas!S214="Arma Dupla F",811,IF(Atletas!S214="Arma Maleável F",812, "")))))))))))))</f>
        <v/>
      </c>
      <c r="BV218" s="52" t="str">
        <f>IF(Atletas!T214="","",IF(Atletas!W214&lt;&gt;"",10000,0)+IF(Atletas!B214="Feminino",1000,IF(Atletas!B214="Masculino",2000,""))+IF(Atletas!T214="Taijijian Yang A",901,IF(Atletas!T214="Taijijian Chen A",902,IF(Atletas!T214="Taijijian Sun A",903,IF(Atletas!T214="Taijijian Wu A",904,IF(Atletas!T214="Taijijian Wu-Hao A",905,IF(Atletas!T214="Taijijian 32 A",906,IF(Atletas!T214="Taijijian 42 A",907,IF(Atletas!T214="Taijijian Yang B",908,IF(Atletas!T214="Taijijian Chen B",909,IF(Atletas!T214="Taijijian Sun B",910,IF(Atletas!T214="Taijijian Wu B",911,IF(Atletas!T214="Taijijian Wu-Hao B",912,IF(Atletas!T214="Taijijian 32 B",913,IF(Atletas!T214="Taijijian 42 B",914,IF(Atletas!T214="Taijijian Yang C",915,IF(Atletas!T214="Taijijian Chen C",916,IF(Atletas!T214="Taijijian Sun C",917,IF(Atletas!T214="Taijijian Wu C",918,IF(Atletas!T214="Taijijian Wu-Hao C",919,IF(Atletas!T214="Taijijian 32 C",920,IF(Atletas!T214="Taijijian 42 C",921,IF(Atletas!T214="Taijijian Yang D",922,IF(Atletas!T214="Taijijian Chen D",923,IF(Atletas!T214="Taijijian Sun D",924,IF(Atletas!T214="Taijijian Wu D",925,IF(Atletas!T214="Taijijian Wu-Hao D",926,IF(Atletas!T214="Taijijian 32 D",927,IF(Atletas!T214="Taijijian 42 D",928,IF(Atletas!T214="Taijijian Yang E",929,IF(Atletas!T214="Taijijian Chen E",930,IF(Atletas!T214="Taijijian Sun E",931,IF(Atletas!T214="Taijijian Wu E",932,IF(Atletas!T214="Taijijian Wu-Hao E",933,IF(Atletas!T214="Taijijian 32 E",934,IF(Atletas!T214="Taijijian 42 E",935,IF(Atletas!T214="Taijijian Yang F",936,IF(Atletas!T214="Taijijian Chen F",937,IF(Atletas!T214="Taijijian Sun F",938,IF(Atletas!T214="Taijijian Wu F",939,IF(Atletas!T214="Taijijian Wu-Hao F",940,IF(Atletas!T214="Taijijian 32 F",941,IF(Atletas!T214="Taijijian 42 F",942,"")))))))))))))))))))))))))))))))))))))))))))</f>
        <v/>
      </c>
      <c r="BW218" s="52" t="str">
        <f>IF(Atletas!U214="","",IF(Atletas!W214&lt;&gt;"",10000,0)+IF(Atletas!B214="Feminino",1000,IF(Atletas!B214="Masculino",2000,""))+IF(Atletas!T214="Taijijian 42 F",942,IF(Atletas!U214="Taijidao A",943,IF(Atletas!U214="Taijishan A",944,IF(Atletas!U214="Taijiqiang A",945,IF(Atletas!U214="Taijidao B",946,IF(Atletas!U214="Taijishan B",947,IF(Atletas!U214="Taijiqiang B",948,IF(Atletas!U214="Taijidao C",949,IF(Atletas!U214="Taijishan C",950,IF(Atletas!U214="Taijiqiang C",951,IF(Atletas!U214="Taijidao D",952,IF(Atletas!U214="Taijishan D",953,IF(Atletas!U214="Taijiqiang D",954,IF(Atletas!U214="Taijidao E",955,IF(Atletas!U214="Taijishan E",956,IF(Atletas!U214="Taijiqiang E",957,IF(Atletas!U214="Taijidao F",958,IF(Atletas!U214="Taijishan F",959,IF(Atletas!U214="Taijiqiang F",960))))))))))))))))))))</f>
        <v/>
      </c>
      <c r="BX218" s="72" t="str">
        <f>IF(BY218&lt;&gt;"","Baguazhang E ","")</f>
        <v/>
      </c>
      <c r="BY218" s="72" t="str">
        <f>IF(COUNTIF(BK:BW,1514)&gt;0,COUNTIF(BK:BW,1514),"")</f>
        <v/>
      </c>
      <c r="BZ218" s="72" t="str">
        <f>IF(CA218&lt;&gt;"","Baguazhang E ","")</f>
        <v/>
      </c>
      <c r="CA218" s="72" t="str">
        <f>IF(COUNTIF(BK:BW,2514)&gt;0,COUNTIF(BK:BW,2514),"")</f>
        <v/>
      </c>
      <c r="CB218" s="72" t="str">
        <f>IF(CC218&lt;&gt;"","Wu-Hao Novo D","")</f>
        <v/>
      </c>
      <c r="CC218" s="64" t="str">
        <f>IF(COUNTIF(BK:BW,11450)&gt;0,COUNTIF(BK:BW,11450),"")</f>
        <v/>
      </c>
      <c r="CD218" s="64" t="str">
        <f>IF(CE218&lt;&gt;"","Wu-Hao Novo D","")</f>
        <v/>
      </c>
      <c r="CE218" s="64" t="str">
        <f>IF(COUNTIF(BK:BW,12450)&gt;0,COUNTIF(BK:BW,12450),"")</f>
        <v/>
      </c>
      <c r="CF218" s="52" t="str">
        <f xml:space="preserve"> IF(Atletas!V214="","",IF(Atletas!V214="Duilian de Mãos AB - Equipe 1",1,IF(Atletas!V214="Duilian de Mãos AB - Equipe 2",2,IF(Atletas!V214="Duilian de Armas AB - Equipe 1",3,IF(Atletas!V214="Duilian de Armas AB - Equipe 2",4,IF(Atletas!V214="Duilian de Tuishou - Equipe 1",5,IF(Atletas!V214="Duilian de Tuishou - Equipe 2",6,IF(Atletas!V214="Grupo Externo AB - Equipe 1",7,IF(Atletas!V214="Grupo Externo AB - Equipe 2",8,IF(Atletas!V214="Grupo Interno AB - Equipe 1",9,IF(Atletas!V214="Grupo Interno AB - Equipe 2",10,IF(Atletas!V214="Duilian de Mãos CD - Equipe 1",11,IF(Atletas!V214="Duilian de Mãos CD - Equipe 2",12,IF(Atletas!V214="Duilian de Armas CD - Equipe 1",13,IF(Atletas!V214="Duilian de Armas CD - Equipe 2",14,IF(Atletas!V214="Duilian de Tuishou - Equipe 1",15,IF(Atletas!V214="Duilian de Tuishou - Equipe 2",16,IF(Atletas!V214="Grupo Externo CDEF - Equipe 1",17,IF(Atletas!V214="Grupo Externo CDEF - Equipe 2",18,IF(Atletas!V214="Grupo Interno CDEF - Equipe 1",19,IF(Atletas!V214="Grupo Interno CDEF - Equipe 2",20,IF(Atletas!V214="Duilian de Mãos EF - Equipe 1",21,IF(Atletas!V214="Duilian de Mãos EF - Equipe 2",22,IF(Atletas!V214="Duilian de Armas EF - Equipe 1",23,IF(Atletas!V214="Duilian de Armas EF - Equipe 2",24,IF(Atletas!V214="Duilian de Tuishou - Equipe 1",25,IF(Atletas!V214="Duilian de Tuishou - Equipe 2",26,"")))))))))))))))))))))))))))</f>
        <v/>
      </c>
    </row>
    <row r="219" spans="2:84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 t="str">
        <f t="array" ref="V219">IFERROR(INDEX(BX$7:BX$336,SMALL(IF(BX$7:BX$336&lt;&gt;"",ROW(BX$7:BX$336)-ROW(BX$7)+1),ROWS(BX$7:BX204))),"")</f>
        <v/>
      </c>
      <c r="W219" s="4" t="str">
        <f t="array" ref="W219">IFERROR(INDEX(BY$7:BY$336,SMALL(IF(BY$7:BY$336&lt;&gt;"",ROW(BY$7:BY$336)-ROW(BY$7)+1),ROWS(BY$7:BY204))),"")</f>
        <v/>
      </c>
      <c r="X219" s="4" t="str">
        <f t="array" ref="X219">IFERROR(INDEX(BZ$7:BZ$336,SMALL(IF(BZ$7:BZ$336&lt;&gt;"",ROW(BZ$7:BZ$336)-ROW(BZ$7)+1),ROWS(BZ$7:BZ204))),"")</f>
        <v/>
      </c>
      <c r="Y219" s="4" t="str">
        <f t="array" ref="Y219">IFERROR(INDEX(CA$7:CA$336,SMALL(IF(CA$7:CA$336&lt;&gt;"",ROW(CA$7:CA$336)-ROW(CA$7)+1),ROWS(CA$7:CA204))),"")</f>
        <v/>
      </c>
      <c r="Z219" s="4" t="str">
        <f t="array" ref="Z219">IFERROR(INDEX(CB$7:CB$378,SMALL(IF(CB$7:CB$378&lt;&gt;"",ROW(CB$7:CB$378)-ROW(CB$7)+1),ROWS(CB$7:CB218))),"")</f>
        <v/>
      </c>
      <c r="AA219" s="4" t="str">
        <f t="array" ref="AA219">IFERROR(INDEX(CC$7:CC$378,SMALL(IF(CC$7:CC$378&lt;&gt;"",ROW(CC$7:CC$378)-ROW(CC$7)+1),ROWS(CC$7:CC218))),"")</f>
        <v/>
      </c>
      <c r="AB219" s="4" t="str">
        <f t="array" ref="AB219">IFERROR(INDEX(CD$7:CD$378,SMALL(IF(CD$7:CD$378&lt;&gt;"",ROW(CD$7:CD$378)-ROW(CD$7)+1),ROWS(CD$7:CD218))),"")</f>
        <v/>
      </c>
      <c r="AC219" s="4" t="str">
        <f t="array" ref="AC219">IFERROR(INDEX(CE$7:CE$378,SMALL(IF(CE$7:CE$378&lt;&gt;"",ROW(CE$7:CE$378)-ROW(CE$7)+1),ROWS(CE$7:CE218))),"")</f>
        <v/>
      </c>
      <c r="AD219" s="4"/>
      <c r="AE219" s="4"/>
      <c r="AF219" s="4"/>
      <c r="AG219" s="4"/>
      <c r="AH219" s="4"/>
      <c r="AI219" s="4"/>
      <c r="AJ219" s="46" t="str">
        <f>IF(Atletas!D215="","",IF(Atletas!B215="Feminino",100,IF(Atletas!B215="Masculino",200,""))+(IF(Atletas!D215="Infantil 39kg",1,IF(Atletas!D215="Infantil 42kg",2,IF(Atletas!D215="Infantil 45kg",3,IF(Atletas!D215="Infantil 48kg",4,IF(Atletas!D215="Infantil 52kg",5,IF(Atletas!D215="Infantil 56kg",6,IF(Atletas!D215="Infantil 60kg",7,IF(Atletas!D215="Juvenil 48kg",8,IF(Atletas!D215="Juvenil 52kg",9,IF(Atletas!D215="Juvenil 56kg",10,IF(Atletas!D215="Juvenil 60kg",11,IF(Atletas!D215="Juvenil 65kg",12,IF(Atletas!D215="Juvenil 70kg",13,IF(Atletas!D215="Juvenil 75kg",14,IF(Atletas!D215="Juvenil 80kg",15,IF(Atletas!D215="Adulto 48kg",16,IF(Atletas!D215="Adulto 52kg",17,IF(Atletas!D215="Adulto 56kg",18,IF(Atletas!D215="Adulto 60kg",19,IF(Atletas!D215="Adulto 65kg",20,IF(Atletas!D215="Adulto 70kg",21,IF(Atletas!D215="Adulto 75kg",22,IF(Atletas!D215="Adulto 80kg",23,IF(Atletas!D215="Adulto 85kg",24,IF(Atletas!D215="Adulto 90kg",25,IF(Atletas!D215="Adulto +90kg",26,""))))))))))))))))))))))))))))</f>
        <v/>
      </c>
      <c r="AO219" s="10" t="str">
        <f>IF(Atletas!E215="","",IF(Atletas!B215="Feminino",100,IF(Atletas!B215="Masculino",200,""))+(IF(Atletas!E215="Juvenil 44kg",1,IF(Atletas!E215="Juvenil 48kg",2,IF(Atletas!E215="Juvenil 52kg",3,IF(Atletas!E215="Juvenil 56kg",4,IF(Atletas!E215="Juvenil 60kg",5,IF(Atletas!E215="Juvenil 65kg",6,IF(Atletas!E215="Juvenil 70kg",7,IF(Atletas!E215="Juvenil 75kg",8,IF(Atletas!E215="Juvenil 82kg",9,IF(Atletas!E215="Juvenil 90kg",10,IF(Atletas!E215="Juvenil 100kg",11,IF(Atletas!E215="Adulto 48kg",12,IF(Atletas!E215="Adulto 52kg",13,IF(Atletas!E215="Adulto 56kg",14,IF(Atletas!E215="Adulto 60kg",15,IF(Atletas!E215="Adulto 65kg",16,IF(Atletas!E215="Adulto 70kg",17,IF(Atletas!E215="Adulto 75kg",18,IF(Atletas!E215="Adulto 82kg",19,IF(Atletas!E215="Adulto 90kg",20,IF(Atletas!E215="Adulto 100kg",21,IF(Atletas!E215="Adulto +100kg",22,""))))))))))))))))))))))))</f>
        <v/>
      </c>
      <c r="AT219" s="10" t="str">
        <f>IF(Atletas!F215="","",IF(Atletas!B215="Feminino",100,IF(Atletas!B215="Masculino",200,""))+(IF(Atletas!F215="Adulto 48kg",1,IF(Atletas!F215="Adulto 56kg",2,IF(Atletas!F215="Adulto 65kg",3,IF(Atletas!F215="Adulto 75kg",4,IF(Atletas!F215="Adulto +75kg",5,IF(Atletas!F215="Adulto 52kg",6,IF(Atletas!F215="Adulto 60kg",7,IF(Atletas!F215="Adulto 70kg",8,IF(Atletas!F215="Adulto 80kg",9,IF(Atletas!F215="Adulto 90kg",10,IF(Atletas!F215="Adulto +90kg",11,"")))))))))))))</f>
        <v/>
      </c>
      <c r="AY219" s="46" t="str">
        <f>IF(Atletas!G215="","",IF(Atletas!B215="Feminino",100,IF(Atletas!B215="Masculino",200,""))+(IF(Atletas!G215="Changquan Mirim",1,IF(Atletas!G215="Nanquan Mirim",2,IF(Atletas!G215="Taijiquan Mirim",3,IF(Atletas!G215="Changquan Grupo C",4,IF(Atletas!G215="Nanquan Grupo C",5,IF(Atletas!G215="Taijiquan Grupo C",6,IF(Atletas!G215="Changquan Grupo B",7,IF(Atletas!G215="Nanquan Grupo B",8,IF(Atletas!G215="Taijiquan Grupo B",9,IF(Atletas!G215="Changquan Grupo A",10,IF(Atletas!G215="Nanquan Grupo A",11,IF(Atletas!G215="Taijiquan Grupo A",12,IF(Atletas!G215="Changquan Opcional",13,IF(Atletas!G215="Nanquan Opcional",14,IF(Atletas!G215="Taijiquan Opcional",15,IF(Atletas!G215="Changquan Adulto",16,IF(Atletas!G215="Nanquan Adulto",17,IF(Atletas!G215="Taijiquan Adulto",18,""))))))))))))))))))))</f>
        <v/>
      </c>
      <c r="AZ219" s="46" t="str">
        <f>IF(Atletas!H215="","",IF(Atletas!B215="Feminino",100,IF(Atletas!B215="Masculino",200,""))+(IF(Atletas!H215="Daoshu Mirim",19,IF(Atletas!H215="Jianshu Mirim",20,IF(Atletas!H215="Nandao Mirim",21,IF(Atletas!H215="Taijijian Mirim",22,IF(Atletas!H215="Daoshu Grupo C",23,IF(Atletas!H215="Jianshu Grupo C",24,IF(Atletas!H215="Nandao Grupo C",25,IF(Atletas!H215="Taijijian Grupo C",26,IF(Atletas!H215="Daoshu Grupo B",27,IF(Atletas!H215="Jianshu Grupo B",28,IF(Atletas!H215="Nandao Grupo B",29,IF(Atletas!H215="Taijijian Grupo B",30,IF(Atletas!H215="Daoshu Grupo A",31,IF(Atletas!H215="Jianshu Grupo A",32,IF(Atletas!H215="Nandao Grupo A",33,IF(Atletas!H215="Taijijian Grupo A",34,IF(Atletas!H215="Daoshu Opcional",35,IF(Atletas!H215="Jianshu Opcional",36,IF(Atletas!H215="Nandao Opcional",37,IF(Atletas!H215="Taijijian Opcional",38,IF(Atletas!H215="Daoshu Adulto",39,IF(Atletas!H215="Jianshu Adulto",40,IF(Atletas!H215="Nandao Adulto",41,IF(Atletas!H215="Taijijian Adulto",42,""))))))))))))))))))))))))))</f>
        <v/>
      </c>
      <c r="BA219" s="46" t="str">
        <f>IF(Atletas!I215="","",IF(Atletas!B215="Feminino",100,IF(Atletas!B215="Masculino",200,""))+(IF(Atletas!I215="Gunshu Mirim",43,IF(Atletas!I215="Qiangshu Mirim",44,IF(Atletas!I215="Nangun Mirim",45,IF(Atletas!I215="Gunshu Grupo C",46,IF(Atletas!I215="Qiangshu Grupo C",47,IF(Atletas!I215="Nangun Grupo C",48,IF(Atletas!I215="Gunshu Grupo B",49,IF(Atletas!I215="Qiangshu Grupo B",50,IF(Atletas!I215="Nangun Grupo B",51,IF(Atletas!I215="Gunshu Grupo A",52,IF(Atletas!I215="Qiangshu Grupo A",53,IF(Atletas!I215="Nangun Grupo A",54,IF(Atletas!I215="Gunshu Opcional",55,IF(Atletas!I215="Qiangshu Opcional",56,IF(Atletas!I215="Nangun Opcional",57,IF(Atletas!I215="Gunshu Adulto",58,IF(Atletas!I215="Qiangshu Adulto",59,IF(Atletas!I215="Nangun Adulto",60,""))))))))))))))))))))</f>
        <v/>
      </c>
      <c r="BF219" s="52" t="str">
        <f>IF(Atletas!J215="","",IF(Atletas!B215="Feminino",100,IF(Atletas!B215="Masculino",200,""))+(IF(Atletas!J215="Equipe 1 Grupo B",1,IF(Atletas!J215="Equipe 2 Grupo B",2,IF(Atletas!J215="Equipe 1 Grupo A",3,IF(Atletas!J215="Equipe 2 Grupo A",4,IF(Atletas!J215="Equipe 1 Adulto",5,IF(Atletas!J215="Equipe 2 Adulto",6,""))))))))</f>
        <v/>
      </c>
      <c r="BK219" s="52" t="str">
        <f>IF(Atletas!K215="","",IF(Atletas!W215&lt;&gt;"",10000,0)+(IF(Atletas!B215="Feminino",1000,IF(Atletas!B215="Masculino",2000,""))+IF(Atletas!K215="Choylayfut A",1,IF(Atletas!K215="Hunggar A",2,IF(Atletas!K215="Wuzuquan A",3,IF(Atletas!K215="Wingchun A",4,IF(Atletas!K215="Outra Mão de Sul A",5,IF(Atletas!K215="Choylayfut B",6,IF(Atletas!K215="Hunggar B",7,IF(Atletas!K215="Wuzuquan B",8,IF(Atletas!K215="Wingchun B",9,IF(Atletas!K215="Outra Mão de Sul B",10,IF(Atletas!K215="Choylayfut C",11,IF(Atletas!K215="Hunggar C",12,IF(Atletas!K215="Wuzuquan C",13,IF(Atletas!K215="Wingchun C",14,IF(Atletas!K215="Outra Mão de Sul C",15,IF(Atletas!K215="Choylayfut D",16,IF(Atletas!K215="Hunggar D",17,IF(Atletas!K215="Wuzuquan D",18,IF(Atletas!K215="Wingchun D",19,IF(Atletas!K215="Outra Mão de Sul D",20,IF(Atletas!K215="Choylayfut E",21,IF(Atletas!K215="Hunggar E",22,IF(Atletas!K215="Wuzuquan E",23,IF(Atletas!K215="Wingchun E",24,IF(Atletas!K215="Outra Mão de Sul E",25,IF(Atletas!K215="Choylayfut F",26,IF(Atletas!K215="Hunggar F",27,IF(Atletas!K215="Wuzuquan F",28,IF(Atletas!K215="Wingchun F",29,IF(Atletas!K215="Outra Mão de Sul F",30,""))))))))))))))))))))))))))))))))</f>
        <v/>
      </c>
      <c r="BL219" s="52" t="str">
        <f>IF(Atletas!L215="","",IF(Atletas!W215&lt;&gt;"",10000,0)+(IF(Atletas!B215="Feminino",1000,IF(Atletas!B215="Masculino",2000,""))+(IF(Atletas!L215="Chaquan A",101,IF(Atletas!L215="Emeiquan A",102,IF(Atletas!L215="Fanziquan A",103,IF(Atletas!L215="Huaquan A",104,IF(Atletas!L215="Hongquan A",105,IF(Atletas!L215="Paochui A",106,IF(Atletas!L215="Piguaquan A",107,IF(Atletas!L215="Shaolinquan A",108,IF(Atletas!L215="Tanglangquan A",109,IF(Atletas!L215="Yinzhaophai A",110,IF(Atletas!L215="Tongbeiquan A",111,IF(Atletas!L215="Wudangquan A",112,IF(Atletas!L215="Outros Estilos A",113,IF(Atletas!L215="Chaquan B",114,IF(Atletas!L215="Emeiquan B",115,IF(Atletas!L215="Fanziquan B",116,IF(Atletas!L215="Huaquan B",117,IF(Atletas!L215="Hongquan B",118,IF(Atletas!L215="Paochui B",119,IF(Atletas!L215="Piguaquan B",120,IF(Atletas!L215="Shaolinquan B",121,IF(Atletas!L215="Tanglangquan B",122,IF(Atletas!L215="Yinzhaophai B",123,IF(Atletas!L215="Tongbeiquan B",124,IF(Atletas!L215="Wudangquan B",125,IF(Atletas!L215="Outros Estilos B",126,IF(Atletas!L215="Chaquan C",127,IF(Atletas!L215="Emeiquan C",128,IF(Atletas!L215="Fanziquan C",129,IF(Atletas!L215="Huaquan C",130,IF(Atletas!L215="Hongquan C",131,IF(Atletas!L215="Paochui C",132,IF(Atletas!L215="Piguaquan C",133,IF(Atletas!L215="Shaolinquan C",134,IF(Atletas!L215="Tanglangquan C",135,IF(Atletas!L215="Yinzhaophai C",136,IF(Atletas!L215="Tongbeiquan C",137,IF(Atletas!L215="Wudangquan C",138,IF(Atletas!L215="Outros Estilos C",139,0))))))))))))))))))))))))))))))))))))))))))</f>
        <v/>
      </c>
      <c r="BM219" s="52" t="str">
        <f>IF(Atletas!L215="","",IF(Atletas!W215&lt;&gt;"",10000,0)+(IF(Atletas!B215="Feminino",1000,IF(Atletas!B215="Masculino",2000,""))+(IF(Atletas!L215="Chaquan D",140,IF(Atletas!L215="Emeiquan D",141,IF(Atletas!L215="Fanziquan D",142,IF(Atletas!L215="Huaquan D",143,IF(Atletas!L215="Hongquan D",144,IF(Atletas!L215="Paochui D",145,IF(Atletas!L215="Piguaquan D",146,IF(Atletas!L215="Shaolinquan D",147,IF(Atletas!L215="Tanglangquan D",148,IF(Atletas!L215="Yinzhaophai D",149,IF(Atletas!L215="Tongbeiquan D",150,IF(Atletas!L215="Wudangquan D",151,IF(Atletas!L215="Outros Estilos D",152,IF(Atletas!L215="Chaquan E",153,IF(Atletas!L215="Emeiquan E",154,IF(Atletas!L215="Fanziquan E",155,IF(Atletas!L215="Huaquan E",156,IF(Atletas!L215="Hongquan E",157,IF(Atletas!L215="Paochui E",158,IF(Atletas!L215="Piguaquan E",159,IF(Atletas!L215="Shaolinquan E",160,IF(Atletas!L215="Tanglangquan E",161,IF(Atletas!L215="Yinzhaophai E",162,IF(Atletas!L215="Tongbeiquan E",163,IF(Atletas!L215="Wudangquan E",164,IF(Atletas!L215="Outros Estilos E",165,IF(Atletas!L215="Chaquan F",166,IF(Atletas!L215="Emeiquan F",167,IF(Atletas!L215="Fanziquan F",168,IF(Atletas!L215="Huaquan F",169,IF(Atletas!L215="Hongquan F",170,IF(Atletas!L215="Paochui F",171,IF(Atletas!L215="Piguaquan F",172,IF(Atletas!L215="Shaolinquan F",173,IF(Atletas!L215="Tanglangquan F",174,IF(Atletas!L215="Yinzhaophai F",175,IF(Atletas!L215="Tongbeiquan F",176,IF(Atletas!L215="Wudangquan F",177,IF(Atletas!L215="Outros Estilos F",178,0))))))))))))))))))))))))))))))))))))))))))</f>
        <v/>
      </c>
      <c r="BN219" s="52" t="str">
        <f>IF(Atletas!M215="","",IF(Atletas!W215&lt;&gt;"",10000,0)+(IF(Atletas!B215="Feminino",1000,IF(Atletas!B215="Masculino",2000,""))+(IF(Atletas!M215="Ditangquan A",201,IF(Atletas!M215="Houquan A",202,IF(Atletas!M215="Zuiquan A",203,IF(Atletas!M215="Ditangquan B",204,IF(Atletas!M215="Houquan B",205,IF(Atletas!M215="Zuiquan B",206,IF(Atletas!M215="Ditangquan C",207,IF(Atletas!M215="Houquan C",208,IF(Atletas!M215="Zuiquan C",209,IF(Atletas!M215="Ditangquan D",210,IF(Atletas!M215="Houquan D",211,IF(Atletas!M215="Zuiquan D",212,IF(Atletas!M215="Ditangquan E",213,IF(Atletas!M215="Houquan E",214,IF(Atletas!M215="Zuiquan E",215,IF(Atletas!M215="Ditangquan F",216,IF(Atletas!M215="Houquan F",217,IF(Atletas!M215="Zuiquan F",218,"")))))))))))))))))))))</f>
        <v/>
      </c>
      <c r="BO219" s="52" t="str">
        <f>IF(Atletas!N215="","",IF(Atletas!W215&lt;&gt;"",10000,0)+IF(Atletas!B215="Feminino",1000,IF(Atletas!B215="Masculino",2000,""))+IF(Atletas!N215="Yang A",301,IF(Atletas!N215="Chen A",30,IF(Atletas!N215="Sun A",303,IF(Atletas!N215="Wu A",304,IF(Atletas!N215="Wu-Hao A",305,IF(Atletas!N215="Outro Taijiquan A",306,IF(Atletas!N215="Yang B",307,IF(Atletas!N215="Chen B",308,IF(Atletas!N215="Sun B",309,IF(Atletas!N215="Wu B",310,IF(Atletas!N215="Wu-Hao B",311,IF(Atletas!N215="Outro Taijiquan B",312,IF(Atletas!N215="Yang C",313,IF(Atletas!N215="Chen C",314,IF(Atletas!N215="Sun C",315,IF(Atletas!N215="Wu C",316,IF(Atletas!N215="Wu-Hao C",317,IF(Atletas!N215="Outro Taijiquan C",318,IF(Atletas!N215="Yang D",319,IF(Atletas!N215="Chen D",320,IF(Atletas!N215="Sun D",321,IF(Atletas!N215="Wu D",322,IF(Atletas!N215="Wu-Hao D",323,IF(Atletas!N215="Outro Taijiquan D",324,IF(Atletas!N215="Yang E",325,IF(Atletas!N215="Chen E",326,IF(Atletas!N215="Sun E",327,IF(Atletas!N215="Wu E",328,IF(Atletas!N215="Wu-Hao E",329,IF(Atletas!N215="Outro Taijiquan E",330,IF(Atletas!N215="Yang F",331,IF(Atletas!N215="Chen F",332,IF(Atletas!N215="Sun F",333,IF(Atletas!N215="Wu F",334,IF(Atletas!N215="Wu-Hao F",335,IF(Atletas!N215="Outro Taijiquan F",336,"")))))))))))))))))))))))))))))))))))))</f>
        <v/>
      </c>
      <c r="BP219" s="52" t="str">
        <f>IF(Atletas!O215="","",IF(Atletas!W215&lt;&gt;"",10000,0)+IF(Atletas!B215="Feminino",1000,IF(Atletas!B215="Masculino",2000,""))+IF(OR(Atletas!O215="Yang 26 A",Atletas!O215="Yang 40 A"),401,IF(OR(Atletas!O215="Chen 25 A",Atletas!O215="Chen 36 A",Atletas!O215="Chen 56 A"),402,IF(Atletas!O215="Sun 73 A",403,IF(Atletas!O215="Wu 45 A",404,IF(Atletas!O215="Wu-Hao 46 A",405,IF(OR(Atletas!O215="Taijiquan 16 A",Atletas!O215="Taijiquan 24 A",Atletas!O215="Taijiquan 32 A",Atletas!O215="Taijiquan 42 A"),406,IF(OR(Atletas!O215="Yang 26 B",Atletas!O215="Yang 40 B"),407,IF(OR(Atletas!O215="Chen 25 B",Atletas!O215="Chen 36 B",Atletas!O215="Chen 56 B"),408,IF(Atletas!O215="Sun 73 B",409,IF(Atletas!O215="Wu 45 B",410,IF(Atletas!O215="Wu-Hao 46 B",411,IF(OR(Atletas!O215="Taijiquan 16 B",Atletas!O215="Taijiquan 24 B",Atletas!O215="Taijiquan 32 B",Atletas!O215="Taijiquan 42 B"),412,IF(OR(Atletas!O215="Yang 26 C",Atletas!O215="Yang 40 C"),413,IF(OR(Atletas!O215="Chen 25 C",Atletas!O215="Chen 36 C",Atletas!O215="Chen 56 C"),414,IF(Atletas!O215="Sun 73 C",415,IF(Atletas!O215="Wu 45 C",416,IF(Atletas!O215="Wu-Hao 46 C",417,IF(OR(Atletas!O215="Taijiquan 16 C",Atletas!O215="Taijiquan 24 C",Atletas!O215="Taijiquan 32 C",Atletas!O215="Taijiquan 42 C"),418,0)))))))))))))))))))</f>
        <v/>
      </c>
      <c r="BQ219" s="52" t="str">
        <f>IF(Atletas!O215="","",IF(Atletas!W215&lt;&gt;"",10000,0)+IF(Atletas!B215="Feminino",1000,IF(Atletas!B215="Masculino",2000,""))+IF(OR(Atletas!O215="Yang 26 D",Atletas!O215="Yang 40 D"),419,IF(OR(Atletas!O215="Chen 25 D",Atletas!O215="Chen 36 D",Atletas!O215="Chen 56 D"),420,IF(Atletas!O215="Sun 73 D",421,IF(Atletas!O215="Wu 45 D",422,IF(Atletas!O215="Wu-Hao 46 D",423,IF(OR(Atletas!O215="Taijiquan 16 D",Atletas!O215="Taijiquan 24 D",Atletas!O215="Taijiquan 32 D",Atletas!O215="Taijiquan 42 D"),424,IF(OR(Atletas!O215="Yang 26 E",Atletas!O215="Yang 40 E"),425,IF(OR(Atletas!O215="Chen 25 E",Atletas!O215="Chen 36 E",Atletas!O215="Chen 56 E"),426,IF(Atletas!O215="Sun 73 E",427,IF(Atletas!O215="Wu 45 E",428,IF(Atletas!O215="Wu-Hao 46 E",429,IF(OR(Atletas!O215="Taijiquan 16 E",Atletas!O215="Taijiquan 24 E",Atletas!O215="Taijiquan 32 E",Atletas!O215="Taijiquan 42 E"),430,IF(OR(Atletas!O215="Yang 26 F",Atletas!O215="Yang 40 F"),431,IF(OR(Atletas!O215="Chen 25 F",Atletas!O215="Chen 36 F",Atletas!O215="Chen 56 F"),432,IF(Atletas!O215="Sun 73 F",433,IF(Atletas!O215="Wu 45 F",434,IF(Atletas!O215="Wu-Hao 46 F",435,IF(OR(Atletas!O215="Taijiquan 16 F",Atletas!O215="Taijiquan 24 F",Atletas!O215="Taijiquan 32 F",Atletas!O215="Taijiquan 42 F"),436,0)))))))))))))))))))</f>
        <v/>
      </c>
      <c r="BR219" s="52" t="str">
        <f>IF(Atletas!P215="","",IF(Atletas!W215&lt;&gt;"",10000,0)+IF(Atletas!B215="Feminino",1000,IF(Atletas!B215="Masculino",2000,""))+IF(Atletas!P215="Xingyiquan A",501,IF(Atletas!P215="Baguazhang A",502,IF(Atletas!P215="Outro Estilo Interno A",503,IF(Atletas!P215="Xingyiquan B",504,IF(Atletas!P215="Baguazhang B",505,IF(Atletas!P215="Outro Estilo Interno B",506,IF(Atletas!P215="Xingyiquan C",507,IF(Atletas!P215="Baguazhang C",508,IF(Atletas!P215="Outro Estilo Interno C",509,IF(Atletas!P215="Xingyiquan D",510,IF(Atletas!P215="Baguazhang D",511,IF(Atletas!P215="Outro Estilo Interno D",512,IF(Atletas!P215="Xingyiquan E",513,IF(Atletas!P215="Baguazhang E",514,IF(Atletas!P215="Outro Estilo Interno E",515,IF(Atletas!P215="Xingyiquan F",516,IF(Atletas!P215="Baguazhang F",517,IF(Atletas!P215="Outro Estilo Interno F",518, "")))))))))))))))))))</f>
        <v/>
      </c>
      <c r="BS219" s="52" t="str">
        <f>IF(Atletas!Q215="","",IF(Atletas!W215&lt;&gt;"",10000,0)+IF(Atletas!B215="Feminino",1000,IF(Atletas!B215="Masculino",2000,""))+IF(Atletas!Q215="Dao A",601,IF(Atletas!Q215="Jian A",602,IF(Atletas!Q215="Bishou A",603,IF(Atletas!Q215="Shan A",604,IF(Atletas!Q215="Outra Arma Curta A",605,IF(Atletas!Q215="Dao B",606,IF(Atletas!Q215="Jian B",607,IF(Atletas!Q215="Bishou B",608,IF(Atletas!Q215="Shan B",609,IF(Atletas!Q215="Outra Arma Curta B",610,IF(Atletas!Q215="Dao C",611,IF(Atletas!Q215="Jian C",612,IF(Atletas!Q215="Bishou C",613,IF(Atletas!Q215="Shan C",614,IF(Atletas!Q215="Outra Arma Curta C",615,IF(Atletas!Q215="Dao D",616,IF(Atletas!Q215="Jian D",617,IF(Atletas!Q215="Bishou D",618,IF(Atletas!Q215="Shan D",619,IF(Atletas!Q215="Outra Arma Curta D",620,IF(Atletas!Q215="Dao E",621,IF(Atletas!Q215="Jian E",622,IF(Atletas!Q215="Bishou E",623,IF(Atletas!Q215="Shan E",624,IF(Atletas!Q215="Outra Arma Curta E",625,IF(Atletas!Q215="Dao F",626,IF(Atletas!Q215="Jian F",627,IF(Atletas!Q215="Bishou F",628,IF(Atletas!Q215="Shan F",629,IF(Atletas!Q215="Outra Arma Curta F",630, "")))))))))))))))))))))))))))))))</f>
        <v/>
      </c>
      <c r="BT219" s="52" t="str">
        <f>IF(Atletas!R215="","",IF(Atletas!W215&lt;&gt;"",10000,0)+IF(Atletas!B215="Feminino",1000,IF(Atletas!B215="Masculino",2000,""))+IF(Atletas!R215="Gun A",701,IF(Atletas!R215="Qiang A",702,IF(Atletas!R215="Pudao / Guandao A",703,IF(Atletas!R215="Outra Arma Longa A",704,IF(Atletas!R215="Gun B",705,IF(Atletas!R215="Qiang B",706,IF(Atletas!R215="Pudao / Guandao B",707,IF(Atletas!R215="Outra Arma Longa B",708,IF(Atletas!R215="Gun C",709,IF(Atletas!R215="Qiang C",710,IF(Atletas!R215="Pudao / Guandao C",711,IF(Atletas!R215="Outra Arma Longa C",712,IF(Atletas!R215="Gun D",713,IF(Atletas!R215="Qiang D",714,IF(Atletas!R215="Pudao / Guandao D",715,IF(Atletas!R215="Outra Arma Longa D",716,IF(Atletas!R215="Gun E",717,IF(Atletas!R215="Qiang E",718,IF(Atletas!R215="Pudao / Guandao E",719,IF(Atletas!R215="Outra Arma Longa E",720,IF(Atletas!R215="Gun F",721,IF(Atletas!R215="Qiang F",722,IF(Atletas!R215="Pudao / Guandao F",723,IF(Atletas!R215="Outra Arma Longa F",724,"")))))))))))))))))))))))))</f>
        <v/>
      </c>
      <c r="BU219" s="52" t="str">
        <f>IF(Atletas!S215="","",IF(Atletas!W215&lt;&gt;"",10000,0)+IF(Atletas!B215="Feminino",1000,IF(Atletas!B215="Masculino",2000,""))+IF(Atletas!S215="Arma Dupla A",801,IF(Atletas!S215="Arma Maleável A",802,IF(Atletas!S215="Arma Dupla B",803,IF(Atletas!S215="Arma Maleável B",804,IF(Atletas!S215="Arma Dupla C",805,IF(Atletas!S215="Arma Maleável C",806,IF(Atletas!S215="Arma Dupla D",807,IF(Atletas!S215="Arma Maleável D",808,IF(Atletas!S215="Arma Dupla E",809,IF(Atletas!S215="Arma Maleável E",810,IF(Atletas!S215="Arma Dupla F",811,IF(Atletas!S215="Arma Maleável F",812, "")))))))))))))</f>
        <v/>
      </c>
      <c r="BV219" s="52" t="str">
        <f>IF(Atletas!T215="","",IF(Atletas!W215&lt;&gt;"",10000,0)+IF(Atletas!B215="Feminino",1000,IF(Atletas!B215="Masculino",2000,""))+IF(Atletas!T215="Taijijian Yang A",901,IF(Atletas!T215="Taijijian Chen A",902,IF(Atletas!T215="Taijijian Sun A",903,IF(Atletas!T215="Taijijian Wu A",904,IF(Atletas!T215="Taijijian Wu-Hao A",905,IF(Atletas!T215="Taijijian 32 A",906,IF(Atletas!T215="Taijijian 42 A",907,IF(Atletas!T215="Taijijian Yang B",908,IF(Atletas!T215="Taijijian Chen B",909,IF(Atletas!T215="Taijijian Sun B",910,IF(Atletas!T215="Taijijian Wu B",911,IF(Atletas!T215="Taijijian Wu-Hao B",912,IF(Atletas!T215="Taijijian 32 B",913,IF(Atletas!T215="Taijijian 42 B",914,IF(Atletas!T215="Taijijian Yang C",915,IF(Atletas!T215="Taijijian Chen C",916,IF(Atletas!T215="Taijijian Sun C",917,IF(Atletas!T215="Taijijian Wu C",918,IF(Atletas!T215="Taijijian Wu-Hao C",919,IF(Atletas!T215="Taijijian 32 C",920,IF(Atletas!T215="Taijijian 42 C",921,IF(Atletas!T215="Taijijian Yang D",922,IF(Atletas!T215="Taijijian Chen D",923,IF(Atletas!T215="Taijijian Sun D",924,IF(Atletas!T215="Taijijian Wu D",925,IF(Atletas!T215="Taijijian Wu-Hao D",926,IF(Atletas!T215="Taijijian 32 D",927,IF(Atletas!T215="Taijijian 42 D",928,IF(Atletas!T215="Taijijian Yang E",929,IF(Atletas!T215="Taijijian Chen E",930,IF(Atletas!T215="Taijijian Sun E",931,IF(Atletas!T215="Taijijian Wu E",932,IF(Atletas!T215="Taijijian Wu-Hao E",933,IF(Atletas!T215="Taijijian 32 E",934,IF(Atletas!T215="Taijijian 42 E",935,IF(Atletas!T215="Taijijian Yang F",936,IF(Atletas!T215="Taijijian Chen F",937,IF(Atletas!T215="Taijijian Sun F",938,IF(Atletas!T215="Taijijian Wu F",939,IF(Atletas!T215="Taijijian Wu-Hao F",940,IF(Atletas!T215="Taijijian 32 F",941,IF(Atletas!T215="Taijijian 42 F",942,"")))))))))))))))))))))))))))))))))))))))))))</f>
        <v/>
      </c>
      <c r="BW219" s="52" t="str">
        <f>IF(Atletas!U215="","",IF(Atletas!W215&lt;&gt;"",10000,0)+IF(Atletas!B215="Feminino",1000,IF(Atletas!B215="Masculino",2000,""))+IF(Atletas!T215="Taijijian 42 F",942,IF(Atletas!U215="Taijidao A",943,IF(Atletas!U215="Taijishan A",944,IF(Atletas!U215="Taijiqiang A",945,IF(Atletas!U215="Taijidao B",946,IF(Atletas!U215="Taijishan B",947,IF(Atletas!U215="Taijiqiang B",948,IF(Atletas!U215="Taijidao C",949,IF(Atletas!U215="Taijishan C",950,IF(Atletas!U215="Taijiqiang C",951,IF(Atletas!U215="Taijidao D",952,IF(Atletas!U215="Taijishan D",953,IF(Atletas!U215="Taijiqiang D",954,IF(Atletas!U215="Taijidao E",955,IF(Atletas!U215="Taijishan E",956,IF(Atletas!U215="Taijiqiang E",957,IF(Atletas!U215="Taijidao F",958,IF(Atletas!U215="Taijishan F",959,IF(Atletas!U215="Taijiqiang F",960))))))))))))))))))))</f>
        <v/>
      </c>
      <c r="BX219" s="72" t="str">
        <f>IF(BY219&lt;&gt;"","Outro Estilo Interno E","")</f>
        <v/>
      </c>
      <c r="BY219" s="72" t="str">
        <f>IF(COUNTIF(BK:BW,1515)&gt;0,COUNTIF(BK:BW,1515),"")</f>
        <v/>
      </c>
      <c r="BZ219" s="72" t="str">
        <f>IF(CA219&lt;&gt;"","Outro Estilo Interno E","")</f>
        <v/>
      </c>
      <c r="CA219" s="72" t="str">
        <f>IF(COUNTIF(BK:BW,2515)&gt;0,COUNTIF(BK:BW,2515),"")</f>
        <v/>
      </c>
      <c r="CB219" s="72" t="str">
        <f>IF(CC219&lt;&gt;"","Sun 73 D","")</f>
        <v/>
      </c>
      <c r="CC219" s="64" t="str">
        <f>IF(COUNTIF(BK:BW,11451)&gt;0,COUNTIF(BK:BW,11451),"")</f>
        <v/>
      </c>
      <c r="CD219" s="64" t="str">
        <f>IF(CE219&lt;&gt;"","Sun 73 D","")</f>
        <v/>
      </c>
      <c r="CE219" s="64" t="str">
        <f>IF(COUNTIF(BK:BW,12451)&gt;0,COUNTIF(BK:BW,12451),"")</f>
        <v/>
      </c>
      <c r="CF219" s="52" t="str">
        <f xml:space="preserve"> IF(Atletas!V215="","",IF(Atletas!V215="Duilian de Mãos AB - Equipe 1",1,IF(Atletas!V215="Duilian de Mãos AB - Equipe 2",2,IF(Atletas!V215="Duilian de Armas AB - Equipe 1",3,IF(Atletas!V215="Duilian de Armas AB - Equipe 2",4,IF(Atletas!V215="Duilian de Tuishou - Equipe 1",5,IF(Atletas!V215="Duilian de Tuishou - Equipe 2",6,IF(Atletas!V215="Grupo Externo AB - Equipe 1",7,IF(Atletas!V215="Grupo Externo AB - Equipe 2",8,IF(Atletas!V215="Grupo Interno AB - Equipe 1",9,IF(Atletas!V215="Grupo Interno AB - Equipe 2",10,IF(Atletas!V215="Duilian de Mãos CD - Equipe 1",11,IF(Atletas!V215="Duilian de Mãos CD - Equipe 2",12,IF(Atletas!V215="Duilian de Armas CD - Equipe 1",13,IF(Atletas!V215="Duilian de Armas CD - Equipe 2",14,IF(Atletas!V215="Duilian de Tuishou - Equipe 1",15,IF(Atletas!V215="Duilian de Tuishou - Equipe 2",16,IF(Atletas!V215="Grupo Externo CDEF - Equipe 1",17,IF(Atletas!V215="Grupo Externo CDEF - Equipe 2",18,IF(Atletas!V215="Grupo Interno CDEF - Equipe 1",19,IF(Atletas!V215="Grupo Interno CDEF - Equipe 2",20,IF(Atletas!V215="Duilian de Mãos EF - Equipe 1",21,IF(Atletas!V215="Duilian de Mãos EF - Equipe 2",22,IF(Atletas!V215="Duilian de Armas EF - Equipe 1",23,IF(Atletas!V215="Duilian de Armas EF - Equipe 2",24,IF(Atletas!V215="Duilian de Tuishou - Equipe 1",25,IF(Atletas!V215="Duilian de Tuishou - Equipe 2",26,"")))))))))))))))))))))))))))</f>
        <v/>
      </c>
    </row>
    <row r="220" spans="2:84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 t="str">
        <f t="array" ref="V220">IFERROR(INDEX(BX$7:BX$336,SMALL(IF(BX$7:BX$336&lt;&gt;"",ROW(BX$7:BX$336)-ROW(BX$7)+1),ROWS(BX$7:BX204))),"")</f>
        <v/>
      </c>
      <c r="W220" s="4" t="str">
        <f t="array" ref="W220">IFERROR(INDEX(BY$7:BY$336,SMALL(IF(BY$7:BY$336&lt;&gt;"",ROW(BY$7:BY$336)-ROW(BY$7)+1),ROWS(BY$7:BY204))),"")</f>
        <v/>
      </c>
      <c r="X220" s="4" t="str">
        <f t="array" ref="X220">IFERROR(INDEX(BZ$7:BZ$336,SMALL(IF(BZ$7:BZ$336&lt;&gt;"",ROW(BZ$7:BZ$336)-ROW(BZ$7)+1),ROWS(BZ$7:BZ204))),"")</f>
        <v/>
      </c>
      <c r="Y220" s="4" t="str">
        <f t="array" ref="Y220">IFERROR(INDEX(CA$7:CA$336,SMALL(IF(CA$7:CA$336&lt;&gt;"",ROW(CA$7:CA$336)-ROW(CA$7)+1),ROWS(CA$7:CA204))),"")</f>
        <v/>
      </c>
      <c r="Z220" s="4" t="str">
        <f t="array" ref="Z220">IFERROR(INDEX(CB$7:CB$378,SMALL(IF(CB$7:CB$378&lt;&gt;"",ROW(CB$7:CB$378)-ROW(CB$7)+1),ROWS(CB$7:CB219))),"")</f>
        <v/>
      </c>
      <c r="AA220" s="4" t="str">
        <f t="array" ref="AA220">IFERROR(INDEX(CC$7:CC$378,SMALL(IF(CC$7:CC$378&lt;&gt;"",ROW(CC$7:CC$378)-ROW(CC$7)+1),ROWS(CC$7:CC219))),"")</f>
        <v/>
      </c>
      <c r="AB220" s="4" t="str">
        <f t="array" ref="AB220">IFERROR(INDEX(CD$7:CD$378,SMALL(IF(CD$7:CD$378&lt;&gt;"",ROW(CD$7:CD$378)-ROW(CD$7)+1),ROWS(CD$7:CD219))),"")</f>
        <v/>
      </c>
      <c r="AC220" s="4" t="str">
        <f t="array" ref="AC220">IFERROR(INDEX(CE$7:CE$378,SMALL(IF(CE$7:CE$378&lt;&gt;"",ROW(CE$7:CE$378)-ROW(CE$7)+1),ROWS(CE$7:CE219))),"")</f>
        <v/>
      </c>
      <c r="AD220" s="4"/>
      <c r="AE220" s="4"/>
      <c r="AF220" s="4"/>
      <c r="AG220" s="4"/>
      <c r="AH220" s="4"/>
      <c r="AI220" s="4"/>
      <c r="AJ220" s="46" t="str">
        <f>IF(Atletas!D216="","",IF(Atletas!B216="Feminino",100,IF(Atletas!B216="Masculino",200,""))+(IF(Atletas!D216="Infantil 39kg",1,IF(Atletas!D216="Infantil 42kg",2,IF(Atletas!D216="Infantil 45kg",3,IF(Atletas!D216="Infantil 48kg",4,IF(Atletas!D216="Infantil 52kg",5,IF(Atletas!D216="Infantil 56kg",6,IF(Atletas!D216="Infantil 60kg",7,IF(Atletas!D216="Juvenil 48kg",8,IF(Atletas!D216="Juvenil 52kg",9,IF(Atletas!D216="Juvenil 56kg",10,IF(Atletas!D216="Juvenil 60kg",11,IF(Atletas!D216="Juvenil 65kg",12,IF(Atletas!D216="Juvenil 70kg",13,IF(Atletas!D216="Juvenil 75kg",14,IF(Atletas!D216="Juvenil 80kg",15,IF(Atletas!D216="Adulto 48kg",16,IF(Atletas!D216="Adulto 52kg",17,IF(Atletas!D216="Adulto 56kg",18,IF(Atletas!D216="Adulto 60kg",19,IF(Atletas!D216="Adulto 65kg",20,IF(Atletas!D216="Adulto 70kg",21,IF(Atletas!D216="Adulto 75kg",22,IF(Atletas!D216="Adulto 80kg",23,IF(Atletas!D216="Adulto 85kg",24,IF(Atletas!D216="Adulto 90kg",25,IF(Atletas!D216="Adulto +90kg",26,""))))))))))))))))))))))))))))</f>
        <v/>
      </c>
      <c r="AO220" s="10" t="str">
        <f>IF(Atletas!E216="","",IF(Atletas!B216="Feminino",100,IF(Atletas!B216="Masculino",200,""))+(IF(Atletas!E216="Juvenil 44kg",1,IF(Atletas!E216="Juvenil 48kg",2,IF(Atletas!E216="Juvenil 52kg",3,IF(Atletas!E216="Juvenil 56kg",4,IF(Atletas!E216="Juvenil 60kg",5,IF(Atletas!E216="Juvenil 65kg",6,IF(Atletas!E216="Juvenil 70kg",7,IF(Atletas!E216="Juvenil 75kg",8,IF(Atletas!E216="Juvenil 82kg",9,IF(Atletas!E216="Juvenil 90kg",10,IF(Atletas!E216="Juvenil 100kg",11,IF(Atletas!E216="Adulto 48kg",12,IF(Atletas!E216="Adulto 52kg",13,IF(Atletas!E216="Adulto 56kg",14,IF(Atletas!E216="Adulto 60kg",15,IF(Atletas!E216="Adulto 65kg",16,IF(Atletas!E216="Adulto 70kg",17,IF(Atletas!E216="Adulto 75kg",18,IF(Atletas!E216="Adulto 82kg",19,IF(Atletas!E216="Adulto 90kg",20,IF(Atletas!E216="Adulto 100kg",21,IF(Atletas!E216="Adulto +100kg",22,""))))))))))))))))))))))))</f>
        <v/>
      </c>
      <c r="AT220" s="10" t="str">
        <f>IF(Atletas!F216="","",IF(Atletas!B216="Feminino",100,IF(Atletas!B216="Masculino",200,""))+(IF(Atletas!F216="Adulto 48kg",1,IF(Atletas!F216="Adulto 56kg",2,IF(Atletas!F216="Adulto 65kg",3,IF(Atletas!F216="Adulto 75kg",4,IF(Atletas!F216="Adulto +75kg",5,IF(Atletas!F216="Adulto 52kg",6,IF(Atletas!F216="Adulto 60kg",7,IF(Atletas!F216="Adulto 70kg",8,IF(Atletas!F216="Adulto 80kg",9,IF(Atletas!F216="Adulto 90kg",10,IF(Atletas!F216="Adulto +90kg",11,"")))))))))))))</f>
        <v/>
      </c>
      <c r="AY220" s="46" t="str">
        <f>IF(Atletas!G216="","",IF(Atletas!B216="Feminino",100,IF(Atletas!B216="Masculino",200,""))+(IF(Atletas!G216="Changquan Mirim",1,IF(Atletas!G216="Nanquan Mirim",2,IF(Atletas!G216="Taijiquan Mirim",3,IF(Atletas!G216="Changquan Grupo C",4,IF(Atletas!G216="Nanquan Grupo C",5,IF(Atletas!G216="Taijiquan Grupo C",6,IF(Atletas!G216="Changquan Grupo B",7,IF(Atletas!G216="Nanquan Grupo B",8,IF(Atletas!G216="Taijiquan Grupo B",9,IF(Atletas!G216="Changquan Grupo A",10,IF(Atletas!G216="Nanquan Grupo A",11,IF(Atletas!G216="Taijiquan Grupo A",12,IF(Atletas!G216="Changquan Opcional",13,IF(Atletas!G216="Nanquan Opcional",14,IF(Atletas!G216="Taijiquan Opcional",15,IF(Atletas!G216="Changquan Adulto",16,IF(Atletas!G216="Nanquan Adulto",17,IF(Atletas!G216="Taijiquan Adulto",18,""))))))))))))))))))))</f>
        <v/>
      </c>
      <c r="AZ220" s="46" t="str">
        <f>IF(Atletas!H216="","",IF(Atletas!B216="Feminino",100,IF(Atletas!B216="Masculino",200,""))+(IF(Atletas!H216="Daoshu Mirim",19,IF(Atletas!H216="Jianshu Mirim",20,IF(Atletas!H216="Nandao Mirim",21,IF(Atletas!H216="Taijijian Mirim",22,IF(Atletas!H216="Daoshu Grupo C",23,IF(Atletas!H216="Jianshu Grupo C",24,IF(Atletas!H216="Nandao Grupo C",25,IF(Atletas!H216="Taijijian Grupo C",26,IF(Atletas!H216="Daoshu Grupo B",27,IF(Atletas!H216="Jianshu Grupo B",28,IF(Atletas!H216="Nandao Grupo B",29,IF(Atletas!H216="Taijijian Grupo B",30,IF(Atletas!H216="Daoshu Grupo A",31,IF(Atletas!H216="Jianshu Grupo A",32,IF(Atletas!H216="Nandao Grupo A",33,IF(Atletas!H216="Taijijian Grupo A",34,IF(Atletas!H216="Daoshu Opcional",35,IF(Atletas!H216="Jianshu Opcional",36,IF(Atletas!H216="Nandao Opcional",37,IF(Atletas!H216="Taijijian Opcional",38,IF(Atletas!H216="Daoshu Adulto",39,IF(Atletas!H216="Jianshu Adulto",40,IF(Atletas!H216="Nandao Adulto",41,IF(Atletas!H216="Taijijian Adulto",42,""))))))))))))))))))))))))))</f>
        <v/>
      </c>
      <c r="BA220" s="46" t="str">
        <f>IF(Atletas!I216="","",IF(Atletas!B216="Feminino",100,IF(Atletas!B216="Masculino",200,""))+(IF(Atletas!I216="Gunshu Mirim",43,IF(Atletas!I216="Qiangshu Mirim",44,IF(Atletas!I216="Nangun Mirim",45,IF(Atletas!I216="Gunshu Grupo C",46,IF(Atletas!I216="Qiangshu Grupo C",47,IF(Atletas!I216="Nangun Grupo C",48,IF(Atletas!I216="Gunshu Grupo B",49,IF(Atletas!I216="Qiangshu Grupo B",50,IF(Atletas!I216="Nangun Grupo B",51,IF(Atletas!I216="Gunshu Grupo A",52,IF(Atletas!I216="Qiangshu Grupo A",53,IF(Atletas!I216="Nangun Grupo A",54,IF(Atletas!I216="Gunshu Opcional",55,IF(Atletas!I216="Qiangshu Opcional",56,IF(Atletas!I216="Nangun Opcional",57,IF(Atletas!I216="Gunshu Adulto",58,IF(Atletas!I216="Qiangshu Adulto",59,IF(Atletas!I216="Nangun Adulto",60,""))))))))))))))))))))</f>
        <v/>
      </c>
      <c r="BF220" s="52" t="str">
        <f>IF(Atletas!J216="","",IF(Atletas!B216="Feminino",100,IF(Atletas!B216="Masculino",200,""))+(IF(Atletas!J216="Equipe 1 Grupo B",1,IF(Atletas!J216="Equipe 2 Grupo B",2,IF(Atletas!J216="Equipe 1 Grupo A",3,IF(Atletas!J216="Equipe 2 Grupo A",4,IF(Atletas!J216="Equipe 1 Adulto",5,IF(Atletas!J216="Equipe 2 Adulto",6,""))))))))</f>
        <v/>
      </c>
      <c r="BK220" s="52" t="str">
        <f>IF(Atletas!K216="","",IF(Atletas!W216&lt;&gt;"",10000,0)+(IF(Atletas!B216="Feminino",1000,IF(Atletas!B216="Masculino",2000,""))+IF(Atletas!K216="Choylayfut A",1,IF(Atletas!K216="Hunggar A",2,IF(Atletas!K216="Wuzuquan A",3,IF(Atletas!K216="Wingchun A",4,IF(Atletas!K216="Outra Mão de Sul A",5,IF(Atletas!K216="Choylayfut B",6,IF(Atletas!K216="Hunggar B",7,IF(Atletas!K216="Wuzuquan B",8,IF(Atletas!K216="Wingchun B",9,IF(Atletas!K216="Outra Mão de Sul B",10,IF(Atletas!K216="Choylayfut C",11,IF(Atletas!K216="Hunggar C",12,IF(Atletas!K216="Wuzuquan C",13,IF(Atletas!K216="Wingchun C",14,IF(Atletas!K216="Outra Mão de Sul C",15,IF(Atletas!K216="Choylayfut D",16,IF(Atletas!K216="Hunggar D",17,IF(Atletas!K216="Wuzuquan D",18,IF(Atletas!K216="Wingchun D",19,IF(Atletas!K216="Outra Mão de Sul D",20,IF(Atletas!K216="Choylayfut E",21,IF(Atletas!K216="Hunggar E",22,IF(Atletas!K216="Wuzuquan E",23,IF(Atletas!K216="Wingchun E",24,IF(Atletas!K216="Outra Mão de Sul E",25,IF(Atletas!K216="Choylayfut F",26,IF(Atletas!K216="Hunggar F",27,IF(Atletas!K216="Wuzuquan F",28,IF(Atletas!K216="Wingchun F",29,IF(Atletas!K216="Outra Mão de Sul F",30,""))))))))))))))))))))))))))))))))</f>
        <v/>
      </c>
      <c r="BL220" s="52" t="str">
        <f>IF(Atletas!L216="","",IF(Atletas!W216&lt;&gt;"",10000,0)+(IF(Atletas!B216="Feminino",1000,IF(Atletas!B216="Masculino",2000,""))+(IF(Atletas!L216="Chaquan A",101,IF(Atletas!L216="Emeiquan A",102,IF(Atletas!L216="Fanziquan A",103,IF(Atletas!L216="Huaquan A",104,IF(Atletas!L216="Hongquan A",105,IF(Atletas!L216="Paochui A",106,IF(Atletas!L216="Piguaquan A",107,IF(Atletas!L216="Shaolinquan A",108,IF(Atletas!L216="Tanglangquan A",109,IF(Atletas!L216="Yinzhaophai A",110,IF(Atletas!L216="Tongbeiquan A",111,IF(Atletas!L216="Wudangquan A",112,IF(Atletas!L216="Outros Estilos A",113,IF(Atletas!L216="Chaquan B",114,IF(Atletas!L216="Emeiquan B",115,IF(Atletas!L216="Fanziquan B",116,IF(Atletas!L216="Huaquan B",117,IF(Atletas!L216="Hongquan B",118,IF(Atletas!L216="Paochui B",119,IF(Atletas!L216="Piguaquan B",120,IF(Atletas!L216="Shaolinquan B",121,IF(Atletas!L216="Tanglangquan B",122,IF(Atletas!L216="Yinzhaophai B",123,IF(Atletas!L216="Tongbeiquan B",124,IF(Atletas!L216="Wudangquan B",125,IF(Atletas!L216="Outros Estilos B",126,IF(Atletas!L216="Chaquan C",127,IF(Atletas!L216="Emeiquan C",128,IF(Atletas!L216="Fanziquan C",129,IF(Atletas!L216="Huaquan C",130,IF(Atletas!L216="Hongquan C",131,IF(Atletas!L216="Paochui C",132,IF(Atletas!L216="Piguaquan C",133,IF(Atletas!L216="Shaolinquan C",134,IF(Atletas!L216="Tanglangquan C",135,IF(Atletas!L216="Yinzhaophai C",136,IF(Atletas!L216="Tongbeiquan C",137,IF(Atletas!L216="Wudangquan C",138,IF(Atletas!L216="Outros Estilos C",139,0))))))))))))))))))))))))))))))))))))))))))</f>
        <v/>
      </c>
      <c r="BM220" s="52" t="str">
        <f>IF(Atletas!L216="","",IF(Atletas!W216&lt;&gt;"",10000,0)+(IF(Atletas!B216="Feminino",1000,IF(Atletas!B216="Masculino",2000,""))+(IF(Atletas!L216="Chaquan D",140,IF(Atletas!L216="Emeiquan D",141,IF(Atletas!L216="Fanziquan D",142,IF(Atletas!L216="Huaquan D",143,IF(Atletas!L216="Hongquan D",144,IF(Atletas!L216="Paochui D",145,IF(Atletas!L216="Piguaquan D",146,IF(Atletas!L216="Shaolinquan D",147,IF(Atletas!L216="Tanglangquan D",148,IF(Atletas!L216="Yinzhaophai D",149,IF(Atletas!L216="Tongbeiquan D",150,IF(Atletas!L216="Wudangquan D",151,IF(Atletas!L216="Outros Estilos D",152,IF(Atletas!L216="Chaquan E",153,IF(Atletas!L216="Emeiquan E",154,IF(Atletas!L216="Fanziquan E",155,IF(Atletas!L216="Huaquan E",156,IF(Atletas!L216="Hongquan E",157,IF(Atletas!L216="Paochui E",158,IF(Atletas!L216="Piguaquan E",159,IF(Atletas!L216="Shaolinquan E",160,IF(Atletas!L216="Tanglangquan E",161,IF(Atletas!L216="Yinzhaophai E",162,IF(Atletas!L216="Tongbeiquan E",163,IF(Atletas!L216="Wudangquan E",164,IF(Atletas!L216="Outros Estilos E",165,IF(Atletas!L216="Chaquan F",166,IF(Atletas!L216="Emeiquan F",167,IF(Atletas!L216="Fanziquan F",168,IF(Atletas!L216="Huaquan F",169,IF(Atletas!L216="Hongquan F",170,IF(Atletas!L216="Paochui F",171,IF(Atletas!L216="Piguaquan F",172,IF(Atletas!L216="Shaolinquan F",173,IF(Atletas!L216="Tanglangquan F",174,IF(Atletas!L216="Yinzhaophai F",175,IF(Atletas!L216="Tongbeiquan F",176,IF(Atletas!L216="Wudangquan F",177,IF(Atletas!L216="Outros Estilos F",178,0))))))))))))))))))))))))))))))))))))))))))</f>
        <v/>
      </c>
      <c r="BN220" s="52" t="str">
        <f>IF(Atletas!M216="","",IF(Atletas!W216&lt;&gt;"",10000,0)+(IF(Atletas!B216="Feminino",1000,IF(Atletas!B216="Masculino",2000,""))+(IF(Atletas!M216="Ditangquan A",201,IF(Atletas!M216="Houquan A",202,IF(Atletas!M216="Zuiquan A",203,IF(Atletas!M216="Ditangquan B",204,IF(Atletas!M216="Houquan B",205,IF(Atletas!M216="Zuiquan B",206,IF(Atletas!M216="Ditangquan C",207,IF(Atletas!M216="Houquan C",208,IF(Atletas!M216="Zuiquan C",209,IF(Atletas!M216="Ditangquan D",210,IF(Atletas!M216="Houquan D",211,IF(Atletas!M216="Zuiquan D",212,IF(Atletas!M216="Ditangquan E",213,IF(Atletas!M216="Houquan E",214,IF(Atletas!M216="Zuiquan E",215,IF(Atletas!M216="Ditangquan F",216,IF(Atletas!M216="Houquan F",217,IF(Atletas!M216="Zuiquan F",218,"")))))))))))))))))))))</f>
        <v/>
      </c>
      <c r="BO220" s="52" t="str">
        <f>IF(Atletas!N216="","",IF(Atletas!W216&lt;&gt;"",10000,0)+IF(Atletas!B216="Feminino",1000,IF(Atletas!B216="Masculino",2000,""))+IF(Atletas!N216="Yang A",301,IF(Atletas!N216="Chen A",30,IF(Atletas!N216="Sun A",303,IF(Atletas!N216="Wu A",304,IF(Atletas!N216="Wu-Hao A",305,IF(Atletas!N216="Outro Taijiquan A",306,IF(Atletas!N216="Yang B",307,IF(Atletas!N216="Chen B",308,IF(Atletas!N216="Sun B",309,IF(Atletas!N216="Wu B",310,IF(Atletas!N216="Wu-Hao B",311,IF(Atletas!N216="Outro Taijiquan B",312,IF(Atletas!N216="Yang C",313,IF(Atletas!N216="Chen C",314,IF(Atletas!N216="Sun C",315,IF(Atletas!N216="Wu C",316,IF(Atletas!N216="Wu-Hao C",317,IF(Atletas!N216="Outro Taijiquan C",318,IF(Atletas!N216="Yang D",319,IF(Atletas!N216="Chen D",320,IF(Atletas!N216="Sun D",321,IF(Atletas!N216="Wu D",322,IF(Atletas!N216="Wu-Hao D",323,IF(Atletas!N216="Outro Taijiquan D",324,IF(Atletas!N216="Yang E",325,IF(Atletas!N216="Chen E",326,IF(Atletas!N216="Sun E",327,IF(Atletas!N216="Wu E",328,IF(Atletas!N216="Wu-Hao E",329,IF(Atletas!N216="Outro Taijiquan E",330,IF(Atletas!N216="Yang F",331,IF(Atletas!N216="Chen F",332,IF(Atletas!N216="Sun F",333,IF(Atletas!N216="Wu F",334,IF(Atletas!N216="Wu-Hao F",335,IF(Atletas!N216="Outro Taijiquan F",336,"")))))))))))))))))))))))))))))))))))))</f>
        <v/>
      </c>
      <c r="BP220" s="52" t="str">
        <f>IF(Atletas!O216="","",IF(Atletas!W216&lt;&gt;"",10000,0)+IF(Atletas!B216="Feminino",1000,IF(Atletas!B216="Masculino",2000,""))+IF(OR(Atletas!O216="Yang 26 A",Atletas!O216="Yang 40 A"),401,IF(OR(Atletas!O216="Chen 25 A",Atletas!O216="Chen 36 A",Atletas!O216="Chen 56 A"),402,IF(Atletas!O216="Sun 73 A",403,IF(Atletas!O216="Wu 45 A",404,IF(Atletas!O216="Wu-Hao 46 A",405,IF(OR(Atletas!O216="Taijiquan 16 A",Atletas!O216="Taijiquan 24 A",Atletas!O216="Taijiquan 32 A",Atletas!O216="Taijiquan 42 A"),406,IF(OR(Atletas!O216="Yang 26 B",Atletas!O216="Yang 40 B"),407,IF(OR(Atletas!O216="Chen 25 B",Atletas!O216="Chen 36 B",Atletas!O216="Chen 56 B"),408,IF(Atletas!O216="Sun 73 B",409,IF(Atletas!O216="Wu 45 B",410,IF(Atletas!O216="Wu-Hao 46 B",411,IF(OR(Atletas!O216="Taijiquan 16 B",Atletas!O216="Taijiquan 24 B",Atletas!O216="Taijiquan 32 B",Atletas!O216="Taijiquan 42 B"),412,IF(OR(Atletas!O216="Yang 26 C",Atletas!O216="Yang 40 C"),413,IF(OR(Atletas!O216="Chen 25 C",Atletas!O216="Chen 36 C",Atletas!O216="Chen 56 C"),414,IF(Atletas!O216="Sun 73 C",415,IF(Atletas!O216="Wu 45 C",416,IF(Atletas!O216="Wu-Hao 46 C",417,IF(OR(Atletas!O216="Taijiquan 16 C",Atletas!O216="Taijiquan 24 C",Atletas!O216="Taijiquan 32 C",Atletas!O216="Taijiquan 42 C"),418,0)))))))))))))))))))</f>
        <v/>
      </c>
      <c r="BQ220" s="52" t="str">
        <f>IF(Atletas!O216="","",IF(Atletas!W216&lt;&gt;"",10000,0)+IF(Atletas!B216="Feminino",1000,IF(Atletas!B216="Masculino",2000,""))+IF(OR(Atletas!O216="Yang 26 D",Atletas!O216="Yang 40 D"),419,IF(OR(Atletas!O216="Chen 25 D",Atletas!O216="Chen 36 D",Atletas!O216="Chen 56 D"),420,IF(Atletas!O216="Sun 73 D",421,IF(Atletas!O216="Wu 45 D",422,IF(Atletas!O216="Wu-Hao 46 D",423,IF(OR(Atletas!O216="Taijiquan 16 D",Atletas!O216="Taijiquan 24 D",Atletas!O216="Taijiquan 32 D",Atletas!O216="Taijiquan 42 D"),424,IF(OR(Atletas!O216="Yang 26 E",Atletas!O216="Yang 40 E"),425,IF(OR(Atletas!O216="Chen 25 E",Atletas!O216="Chen 36 E",Atletas!O216="Chen 56 E"),426,IF(Atletas!O216="Sun 73 E",427,IF(Atletas!O216="Wu 45 E",428,IF(Atletas!O216="Wu-Hao 46 E",429,IF(OR(Atletas!O216="Taijiquan 16 E",Atletas!O216="Taijiquan 24 E",Atletas!O216="Taijiquan 32 E",Atletas!O216="Taijiquan 42 E"),430,IF(OR(Atletas!O216="Yang 26 F",Atletas!O216="Yang 40 F"),431,IF(OR(Atletas!O216="Chen 25 F",Atletas!O216="Chen 36 F",Atletas!O216="Chen 56 F"),432,IF(Atletas!O216="Sun 73 F",433,IF(Atletas!O216="Wu 45 F",434,IF(Atletas!O216="Wu-Hao 46 F",435,IF(OR(Atletas!O216="Taijiquan 16 F",Atletas!O216="Taijiquan 24 F",Atletas!O216="Taijiquan 32 F",Atletas!O216="Taijiquan 42 F"),436,0)))))))))))))))))))</f>
        <v/>
      </c>
      <c r="BR220" s="52" t="str">
        <f>IF(Atletas!P216="","",IF(Atletas!W216&lt;&gt;"",10000,0)+IF(Atletas!B216="Feminino",1000,IF(Atletas!B216="Masculino",2000,""))+IF(Atletas!P216="Xingyiquan A",501,IF(Atletas!P216="Baguazhang A",502,IF(Atletas!P216="Outro Estilo Interno A",503,IF(Atletas!P216="Xingyiquan B",504,IF(Atletas!P216="Baguazhang B",505,IF(Atletas!P216="Outro Estilo Interno B",506,IF(Atletas!P216="Xingyiquan C",507,IF(Atletas!P216="Baguazhang C",508,IF(Atletas!P216="Outro Estilo Interno C",509,IF(Atletas!P216="Xingyiquan D",510,IF(Atletas!P216="Baguazhang D",511,IF(Atletas!P216="Outro Estilo Interno D",512,IF(Atletas!P216="Xingyiquan E",513,IF(Atletas!P216="Baguazhang E",514,IF(Atletas!P216="Outro Estilo Interno E",515,IF(Atletas!P216="Xingyiquan F",516,IF(Atletas!P216="Baguazhang F",517,IF(Atletas!P216="Outro Estilo Interno F",518, "")))))))))))))))))))</f>
        <v/>
      </c>
      <c r="BS220" s="52" t="str">
        <f>IF(Atletas!Q216="","",IF(Atletas!W216&lt;&gt;"",10000,0)+IF(Atletas!B216="Feminino",1000,IF(Atletas!B216="Masculino",2000,""))+IF(Atletas!Q216="Dao A",601,IF(Atletas!Q216="Jian A",602,IF(Atletas!Q216="Bishou A",603,IF(Atletas!Q216="Shan A",604,IF(Atletas!Q216="Outra Arma Curta A",605,IF(Atletas!Q216="Dao B",606,IF(Atletas!Q216="Jian B",607,IF(Atletas!Q216="Bishou B",608,IF(Atletas!Q216="Shan B",609,IF(Atletas!Q216="Outra Arma Curta B",610,IF(Atletas!Q216="Dao C",611,IF(Atletas!Q216="Jian C",612,IF(Atletas!Q216="Bishou C",613,IF(Atletas!Q216="Shan C",614,IF(Atletas!Q216="Outra Arma Curta C",615,IF(Atletas!Q216="Dao D",616,IF(Atletas!Q216="Jian D",617,IF(Atletas!Q216="Bishou D",618,IF(Atletas!Q216="Shan D",619,IF(Atletas!Q216="Outra Arma Curta D",620,IF(Atletas!Q216="Dao E",621,IF(Atletas!Q216="Jian E",622,IF(Atletas!Q216="Bishou E",623,IF(Atletas!Q216="Shan E",624,IF(Atletas!Q216="Outra Arma Curta E",625,IF(Atletas!Q216="Dao F",626,IF(Atletas!Q216="Jian F",627,IF(Atletas!Q216="Bishou F",628,IF(Atletas!Q216="Shan F",629,IF(Atletas!Q216="Outra Arma Curta F",630, "")))))))))))))))))))))))))))))))</f>
        <v/>
      </c>
      <c r="BT220" s="52" t="str">
        <f>IF(Atletas!R216="","",IF(Atletas!W216&lt;&gt;"",10000,0)+IF(Atletas!B216="Feminino",1000,IF(Atletas!B216="Masculino",2000,""))+IF(Atletas!R216="Gun A",701,IF(Atletas!R216="Qiang A",702,IF(Atletas!R216="Pudao / Guandao A",703,IF(Atletas!R216="Outra Arma Longa A",704,IF(Atletas!R216="Gun B",705,IF(Atletas!R216="Qiang B",706,IF(Atletas!R216="Pudao / Guandao B",707,IF(Atletas!R216="Outra Arma Longa B",708,IF(Atletas!R216="Gun C",709,IF(Atletas!R216="Qiang C",710,IF(Atletas!R216="Pudao / Guandao C",711,IF(Atletas!R216="Outra Arma Longa C",712,IF(Atletas!R216="Gun D",713,IF(Atletas!R216="Qiang D",714,IF(Atletas!R216="Pudao / Guandao D",715,IF(Atletas!R216="Outra Arma Longa D",716,IF(Atletas!R216="Gun E",717,IF(Atletas!R216="Qiang E",718,IF(Atletas!R216="Pudao / Guandao E",719,IF(Atletas!R216="Outra Arma Longa E",720,IF(Atletas!R216="Gun F",721,IF(Atletas!R216="Qiang F",722,IF(Atletas!R216="Pudao / Guandao F",723,IF(Atletas!R216="Outra Arma Longa F",724,"")))))))))))))))))))))))))</f>
        <v/>
      </c>
      <c r="BU220" s="52" t="str">
        <f>IF(Atletas!S216="","",IF(Atletas!W216&lt;&gt;"",10000,0)+IF(Atletas!B216="Feminino",1000,IF(Atletas!B216="Masculino",2000,""))+IF(Atletas!S216="Arma Dupla A",801,IF(Atletas!S216="Arma Maleável A",802,IF(Atletas!S216="Arma Dupla B",803,IF(Atletas!S216="Arma Maleável B",804,IF(Atletas!S216="Arma Dupla C",805,IF(Atletas!S216="Arma Maleável C",806,IF(Atletas!S216="Arma Dupla D",807,IF(Atletas!S216="Arma Maleável D",808,IF(Atletas!S216="Arma Dupla E",809,IF(Atletas!S216="Arma Maleável E",810,IF(Atletas!S216="Arma Dupla F",811,IF(Atletas!S216="Arma Maleável F",812, "")))))))))))))</f>
        <v/>
      </c>
      <c r="BV220" s="52" t="str">
        <f>IF(Atletas!T216="","",IF(Atletas!W216&lt;&gt;"",10000,0)+IF(Atletas!B216="Feminino",1000,IF(Atletas!B216="Masculino",2000,""))+IF(Atletas!T216="Taijijian Yang A",901,IF(Atletas!T216="Taijijian Chen A",902,IF(Atletas!T216="Taijijian Sun A",903,IF(Atletas!T216="Taijijian Wu A",904,IF(Atletas!T216="Taijijian Wu-Hao A",905,IF(Atletas!T216="Taijijian 32 A",906,IF(Atletas!T216="Taijijian 42 A",907,IF(Atletas!T216="Taijijian Yang B",908,IF(Atletas!T216="Taijijian Chen B",909,IF(Atletas!T216="Taijijian Sun B",910,IF(Atletas!T216="Taijijian Wu B",911,IF(Atletas!T216="Taijijian Wu-Hao B",912,IF(Atletas!T216="Taijijian 32 B",913,IF(Atletas!T216="Taijijian 42 B",914,IF(Atletas!T216="Taijijian Yang C",915,IF(Atletas!T216="Taijijian Chen C",916,IF(Atletas!T216="Taijijian Sun C",917,IF(Atletas!T216="Taijijian Wu C",918,IF(Atletas!T216="Taijijian Wu-Hao C",919,IF(Atletas!T216="Taijijian 32 C",920,IF(Atletas!T216="Taijijian 42 C",921,IF(Atletas!T216="Taijijian Yang D",922,IF(Atletas!T216="Taijijian Chen D",923,IF(Atletas!T216="Taijijian Sun D",924,IF(Atletas!T216="Taijijian Wu D",925,IF(Atletas!T216="Taijijian Wu-Hao D",926,IF(Atletas!T216="Taijijian 32 D",927,IF(Atletas!T216="Taijijian 42 D",928,IF(Atletas!T216="Taijijian Yang E",929,IF(Atletas!T216="Taijijian Chen E",930,IF(Atletas!T216="Taijijian Sun E",931,IF(Atletas!T216="Taijijian Wu E",932,IF(Atletas!T216="Taijijian Wu-Hao E",933,IF(Atletas!T216="Taijijian 32 E",934,IF(Atletas!T216="Taijijian 42 E",935,IF(Atletas!T216="Taijijian Yang F",936,IF(Atletas!T216="Taijijian Chen F",937,IF(Atletas!T216="Taijijian Sun F",938,IF(Atletas!T216="Taijijian Wu F",939,IF(Atletas!T216="Taijijian Wu-Hao F",940,IF(Atletas!T216="Taijijian 32 F",941,IF(Atletas!T216="Taijijian 42 F",942,"")))))))))))))))))))))))))))))))))))))))))))</f>
        <v/>
      </c>
      <c r="BW220" s="52" t="str">
        <f>IF(Atletas!U216="","",IF(Atletas!W216&lt;&gt;"",10000,0)+IF(Atletas!B216="Feminino",1000,IF(Atletas!B216="Masculino",2000,""))+IF(Atletas!T216="Taijijian 42 F",942,IF(Atletas!U216="Taijidao A",943,IF(Atletas!U216="Taijishan A",944,IF(Atletas!U216="Taijiqiang A",945,IF(Atletas!U216="Taijidao B",946,IF(Atletas!U216="Taijishan B",947,IF(Atletas!U216="Taijiqiang B",948,IF(Atletas!U216="Taijidao C",949,IF(Atletas!U216="Taijishan C",950,IF(Atletas!U216="Taijiqiang C",951,IF(Atletas!U216="Taijidao D",952,IF(Atletas!U216="Taijishan D",953,IF(Atletas!U216="Taijiqiang D",954,IF(Atletas!U216="Taijidao E",955,IF(Atletas!U216="Taijishan E",956,IF(Atletas!U216="Taijiqiang E",957,IF(Atletas!U216="Taijidao F",958,IF(Atletas!U216="Taijishan F",959,IF(Atletas!U216="Taijiqiang F",960))))))))))))))))))))</f>
        <v/>
      </c>
      <c r="BX220" s="72" t="str">
        <f>IF(BY220&lt;&gt;"","Xingyiquan F","")</f>
        <v/>
      </c>
      <c r="BY220" s="72" t="str">
        <f>IF(COUNTIF(BK:BW,1516)&gt;0,COUNTIF(BK:BW,1516),"")</f>
        <v/>
      </c>
      <c r="BZ220" s="72" t="str">
        <f>IF(CA220&lt;&gt;"","Xingyiquan F","")</f>
        <v/>
      </c>
      <c r="CA220" s="72" t="str">
        <f>IF(COUNTIF(BK:BW,2516)&gt;0,COUNTIF(BK:BW,2516),"")</f>
        <v/>
      </c>
      <c r="CB220" s="72" t="str">
        <f>IF(CC220&lt;&gt;"","Sun Novo D","")</f>
        <v/>
      </c>
      <c r="CC220" s="64" t="str">
        <f>IF(COUNTIF(BK:BW,11452)&gt;0,COUNTIF(BK:BW,11452),"")</f>
        <v/>
      </c>
      <c r="CD220" s="64" t="str">
        <f>IF(CE220&lt;&gt;"","Sun Novo D","")</f>
        <v/>
      </c>
      <c r="CE220" s="64" t="str">
        <f>IF(COUNTIF(BK:BW,12452)&gt;0,COUNTIF(BK:BW,12452),"")</f>
        <v/>
      </c>
      <c r="CF220" s="52" t="str">
        <f xml:space="preserve"> IF(Atletas!V216="","",IF(Atletas!V216="Duilian de Mãos AB - Equipe 1",1,IF(Atletas!V216="Duilian de Mãos AB - Equipe 2",2,IF(Atletas!V216="Duilian de Armas AB - Equipe 1",3,IF(Atletas!V216="Duilian de Armas AB - Equipe 2",4,IF(Atletas!V216="Duilian de Tuishou - Equipe 1",5,IF(Atletas!V216="Duilian de Tuishou - Equipe 2",6,IF(Atletas!V216="Grupo Externo AB - Equipe 1",7,IF(Atletas!V216="Grupo Externo AB - Equipe 2",8,IF(Atletas!V216="Grupo Interno AB - Equipe 1",9,IF(Atletas!V216="Grupo Interno AB - Equipe 2",10,IF(Atletas!V216="Duilian de Mãos CD - Equipe 1",11,IF(Atletas!V216="Duilian de Mãos CD - Equipe 2",12,IF(Atletas!V216="Duilian de Armas CD - Equipe 1",13,IF(Atletas!V216="Duilian de Armas CD - Equipe 2",14,IF(Atletas!V216="Duilian de Tuishou - Equipe 1",15,IF(Atletas!V216="Duilian de Tuishou - Equipe 2",16,IF(Atletas!V216="Grupo Externo CDEF - Equipe 1",17,IF(Atletas!V216="Grupo Externo CDEF - Equipe 2",18,IF(Atletas!V216="Grupo Interno CDEF - Equipe 1",19,IF(Atletas!V216="Grupo Interno CDEF - Equipe 2",20,IF(Atletas!V216="Duilian de Mãos EF - Equipe 1",21,IF(Atletas!V216="Duilian de Mãos EF - Equipe 2",22,IF(Atletas!V216="Duilian de Armas EF - Equipe 1",23,IF(Atletas!V216="Duilian de Armas EF - Equipe 2",24,IF(Atletas!V216="Duilian de Tuishou - Equipe 1",25,IF(Atletas!V216="Duilian de Tuishou - Equipe 2",26,"")))))))))))))))))))))))))))</f>
        <v/>
      </c>
    </row>
    <row r="221" spans="2:84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 t="str">
        <f t="array" ref="V221">IFERROR(INDEX(BX$7:BX$336,SMALL(IF(BX$7:BX$336&lt;&gt;"",ROW(BX$7:BX$336)-ROW(BX$7)+1),ROWS(BX$7:BX204))),"")</f>
        <v/>
      </c>
      <c r="W221" s="4" t="str">
        <f t="array" ref="W221">IFERROR(INDEX(BY$7:BY$336,SMALL(IF(BY$7:BY$336&lt;&gt;"",ROW(BY$7:BY$336)-ROW(BY$7)+1),ROWS(BY$7:BY204))),"")</f>
        <v/>
      </c>
      <c r="X221" s="4" t="str">
        <f t="array" ref="X221">IFERROR(INDEX(BZ$7:BZ$336,SMALL(IF(BZ$7:BZ$336&lt;&gt;"",ROW(BZ$7:BZ$336)-ROW(BZ$7)+1),ROWS(BZ$7:BZ204))),"")</f>
        <v/>
      </c>
      <c r="Y221" s="4" t="str">
        <f t="array" ref="Y221">IFERROR(INDEX(CA$7:CA$336,SMALL(IF(CA$7:CA$336&lt;&gt;"",ROW(CA$7:CA$336)-ROW(CA$7)+1),ROWS(CA$7:CA204))),"")</f>
        <v/>
      </c>
      <c r="Z221" s="4" t="str">
        <f t="array" ref="Z221">IFERROR(INDEX(CB$7:CB$378,SMALL(IF(CB$7:CB$378&lt;&gt;"",ROW(CB$7:CB$378)-ROW(CB$7)+1),ROWS(CB$7:CB220))),"")</f>
        <v/>
      </c>
      <c r="AA221" s="4" t="str">
        <f t="array" ref="AA221">IFERROR(INDEX(CC$7:CC$378,SMALL(IF(CC$7:CC$378&lt;&gt;"",ROW(CC$7:CC$378)-ROW(CC$7)+1),ROWS(CC$7:CC220))),"")</f>
        <v/>
      </c>
      <c r="AB221" s="4" t="str">
        <f t="array" ref="AB221">IFERROR(INDEX(CD$7:CD$378,SMALL(IF(CD$7:CD$378&lt;&gt;"",ROW(CD$7:CD$378)-ROW(CD$7)+1),ROWS(CD$7:CD220))),"")</f>
        <v/>
      </c>
      <c r="AC221" s="4" t="str">
        <f t="array" ref="AC221">IFERROR(INDEX(CE$7:CE$378,SMALL(IF(CE$7:CE$378&lt;&gt;"",ROW(CE$7:CE$378)-ROW(CE$7)+1),ROWS(CE$7:CE220))),"")</f>
        <v/>
      </c>
      <c r="AD221" s="4"/>
      <c r="AE221" s="4"/>
      <c r="AF221" s="4"/>
      <c r="AG221" s="4"/>
      <c r="AH221" s="4"/>
      <c r="AI221" s="4"/>
      <c r="AJ221" s="46" t="str">
        <f>IF(Atletas!D217="","",IF(Atletas!B217="Feminino",100,IF(Atletas!B217="Masculino",200,""))+(IF(Atletas!D217="Infantil 39kg",1,IF(Atletas!D217="Infantil 42kg",2,IF(Atletas!D217="Infantil 45kg",3,IF(Atletas!D217="Infantil 48kg",4,IF(Atletas!D217="Infantil 52kg",5,IF(Atletas!D217="Infantil 56kg",6,IF(Atletas!D217="Infantil 60kg",7,IF(Atletas!D217="Juvenil 48kg",8,IF(Atletas!D217="Juvenil 52kg",9,IF(Atletas!D217="Juvenil 56kg",10,IF(Atletas!D217="Juvenil 60kg",11,IF(Atletas!D217="Juvenil 65kg",12,IF(Atletas!D217="Juvenil 70kg",13,IF(Atletas!D217="Juvenil 75kg",14,IF(Atletas!D217="Juvenil 80kg",15,IF(Atletas!D217="Adulto 48kg",16,IF(Atletas!D217="Adulto 52kg",17,IF(Atletas!D217="Adulto 56kg",18,IF(Atletas!D217="Adulto 60kg",19,IF(Atletas!D217="Adulto 65kg",20,IF(Atletas!D217="Adulto 70kg",21,IF(Atletas!D217="Adulto 75kg",22,IF(Atletas!D217="Adulto 80kg",23,IF(Atletas!D217="Adulto 85kg",24,IF(Atletas!D217="Adulto 90kg",25,IF(Atletas!D217="Adulto +90kg",26,""))))))))))))))))))))))))))))</f>
        <v/>
      </c>
      <c r="AO221" s="10" t="str">
        <f>IF(Atletas!E217="","",IF(Atletas!B217="Feminino",100,IF(Atletas!B217="Masculino",200,""))+(IF(Atletas!E217="Juvenil 44kg",1,IF(Atletas!E217="Juvenil 48kg",2,IF(Atletas!E217="Juvenil 52kg",3,IF(Atletas!E217="Juvenil 56kg",4,IF(Atletas!E217="Juvenil 60kg",5,IF(Atletas!E217="Juvenil 65kg",6,IF(Atletas!E217="Juvenil 70kg",7,IF(Atletas!E217="Juvenil 75kg",8,IF(Atletas!E217="Juvenil 82kg",9,IF(Atletas!E217="Juvenil 90kg",10,IF(Atletas!E217="Juvenil 100kg",11,IF(Atletas!E217="Adulto 48kg",12,IF(Atletas!E217="Adulto 52kg",13,IF(Atletas!E217="Adulto 56kg",14,IF(Atletas!E217="Adulto 60kg",15,IF(Atletas!E217="Adulto 65kg",16,IF(Atletas!E217="Adulto 70kg",17,IF(Atletas!E217="Adulto 75kg",18,IF(Atletas!E217="Adulto 82kg",19,IF(Atletas!E217="Adulto 90kg",20,IF(Atletas!E217="Adulto 100kg",21,IF(Atletas!E217="Adulto +100kg",22,""))))))))))))))))))))))))</f>
        <v/>
      </c>
      <c r="AT221" s="10" t="str">
        <f>IF(Atletas!F217="","",IF(Atletas!B217="Feminino",100,IF(Atletas!B217="Masculino",200,""))+(IF(Atletas!F217="Adulto 48kg",1,IF(Atletas!F217="Adulto 56kg",2,IF(Atletas!F217="Adulto 65kg",3,IF(Atletas!F217="Adulto 75kg",4,IF(Atletas!F217="Adulto +75kg",5,IF(Atletas!F217="Adulto 52kg",6,IF(Atletas!F217="Adulto 60kg",7,IF(Atletas!F217="Adulto 70kg",8,IF(Atletas!F217="Adulto 80kg",9,IF(Atletas!F217="Adulto 90kg",10,IF(Atletas!F217="Adulto +90kg",11,"")))))))))))))</f>
        <v/>
      </c>
      <c r="AY221" s="46" t="str">
        <f>IF(Atletas!G217="","",IF(Atletas!B217="Feminino",100,IF(Atletas!B217="Masculino",200,""))+(IF(Atletas!G217="Changquan Mirim",1,IF(Atletas!G217="Nanquan Mirim",2,IF(Atletas!G217="Taijiquan Mirim",3,IF(Atletas!G217="Changquan Grupo C",4,IF(Atletas!G217="Nanquan Grupo C",5,IF(Atletas!G217="Taijiquan Grupo C",6,IF(Atletas!G217="Changquan Grupo B",7,IF(Atletas!G217="Nanquan Grupo B",8,IF(Atletas!G217="Taijiquan Grupo B",9,IF(Atletas!G217="Changquan Grupo A",10,IF(Atletas!G217="Nanquan Grupo A",11,IF(Atletas!G217="Taijiquan Grupo A",12,IF(Atletas!G217="Changquan Opcional",13,IF(Atletas!G217="Nanquan Opcional",14,IF(Atletas!G217="Taijiquan Opcional",15,IF(Atletas!G217="Changquan Adulto",16,IF(Atletas!G217="Nanquan Adulto",17,IF(Atletas!G217="Taijiquan Adulto",18,""))))))))))))))))))))</f>
        <v/>
      </c>
      <c r="AZ221" s="46" t="str">
        <f>IF(Atletas!H217="","",IF(Atletas!B217="Feminino",100,IF(Atletas!B217="Masculino",200,""))+(IF(Atletas!H217="Daoshu Mirim",19,IF(Atletas!H217="Jianshu Mirim",20,IF(Atletas!H217="Nandao Mirim",21,IF(Atletas!H217="Taijijian Mirim",22,IF(Atletas!H217="Daoshu Grupo C",23,IF(Atletas!H217="Jianshu Grupo C",24,IF(Atletas!H217="Nandao Grupo C",25,IF(Atletas!H217="Taijijian Grupo C",26,IF(Atletas!H217="Daoshu Grupo B",27,IF(Atletas!H217="Jianshu Grupo B",28,IF(Atletas!H217="Nandao Grupo B",29,IF(Atletas!H217="Taijijian Grupo B",30,IF(Atletas!H217="Daoshu Grupo A",31,IF(Atletas!H217="Jianshu Grupo A",32,IF(Atletas!H217="Nandao Grupo A",33,IF(Atletas!H217="Taijijian Grupo A",34,IF(Atletas!H217="Daoshu Opcional",35,IF(Atletas!H217="Jianshu Opcional",36,IF(Atletas!H217="Nandao Opcional",37,IF(Atletas!H217="Taijijian Opcional",38,IF(Atletas!H217="Daoshu Adulto",39,IF(Atletas!H217="Jianshu Adulto",40,IF(Atletas!H217="Nandao Adulto",41,IF(Atletas!H217="Taijijian Adulto",42,""))))))))))))))))))))))))))</f>
        <v/>
      </c>
      <c r="BA221" s="46" t="str">
        <f>IF(Atletas!I217="","",IF(Atletas!B217="Feminino",100,IF(Atletas!B217="Masculino",200,""))+(IF(Atletas!I217="Gunshu Mirim",43,IF(Atletas!I217="Qiangshu Mirim",44,IF(Atletas!I217="Nangun Mirim",45,IF(Atletas!I217="Gunshu Grupo C",46,IF(Atletas!I217="Qiangshu Grupo C",47,IF(Atletas!I217="Nangun Grupo C",48,IF(Atletas!I217="Gunshu Grupo B",49,IF(Atletas!I217="Qiangshu Grupo B",50,IF(Atletas!I217="Nangun Grupo B",51,IF(Atletas!I217="Gunshu Grupo A",52,IF(Atletas!I217="Qiangshu Grupo A",53,IF(Atletas!I217="Nangun Grupo A",54,IF(Atletas!I217="Gunshu Opcional",55,IF(Atletas!I217="Qiangshu Opcional",56,IF(Atletas!I217="Nangun Opcional",57,IF(Atletas!I217="Gunshu Adulto",58,IF(Atletas!I217="Qiangshu Adulto",59,IF(Atletas!I217="Nangun Adulto",60,""))))))))))))))))))))</f>
        <v/>
      </c>
      <c r="BF221" s="52" t="str">
        <f>IF(Atletas!J217="","",IF(Atletas!B217="Feminino",100,IF(Atletas!B217="Masculino",200,""))+(IF(Atletas!J217="Equipe 1 Grupo B",1,IF(Atletas!J217="Equipe 2 Grupo B",2,IF(Atletas!J217="Equipe 1 Grupo A",3,IF(Atletas!J217="Equipe 2 Grupo A",4,IF(Atletas!J217="Equipe 1 Adulto",5,IF(Atletas!J217="Equipe 2 Adulto",6,""))))))))</f>
        <v/>
      </c>
      <c r="BK221" s="52" t="str">
        <f>IF(Atletas!K217="","",IF(Atletas!W217&lt;&gt;"",10000,0)+(IF(Atletas!B217="Feminino",1000,IF(Atletas!B217="Masculino",2000,""))+IF(Atletas!K217="Choylayfut A",1,IF(Atletas!K217="Hunggar A",2,IF(Atletas!K217="Wuzuquan A",3,IF(Atletas!K217="Wingchun A",4,IF(Atletas!K217="Outra Mão de Sul A",5,IF(Atletas!K217="Choylayfut B",6,IF(Atletas!K217="Hunggar B",7,IF(Atletas!K217="Wuzuquan B",8,IF(Atletas!K217="Wingchun B",9,IF(Atletas!K217="Outra Mão de Sul B",10,IF(Atletas!K217="Choylayfut C",11,IF(Atletas!K217="Hunggar C",12,IF(Atletas!K217="Wuzuquan C",13,IF(Atletas!K217="Wingchun C",14,IF(Atletas!K217="Outra Mão de Sul C",15,IF(Atletas!K217="Choylayfut D",16,IF(Atletas!K217="Hunggar D",17,IF(Atletas!K217="Wuzuquan D",18,IF(Atletas!K217="Wingchun D",19,IF(Atletas!K217="Outra Mão de Sul D",20,IF(Atletas!K217="Choylayfut E",21,IF(Atletas!K217="Hunggar E",22,IF(Atletas!K217="Wuzuquan E",23,IF(Atletas!K217="Wingchun E",24,IF(Atletas!K217="Outra Mão de Sul E",25,IF(Atletas!K217="Choylayfut F",26,IF(Atletas!K217="Hunggar F",27,IF(Atletas!K217="Wuzuquan F",28,IF(Atletas!K217="Wingchun F",29,IF(Atletas!K217="Outra Mão de Sul F",30,""))))))))))))))))))))))))))))))))</f>
        <v/>
      </c>
      <c r="BL221" s="52" t="str">
        <f>IF(Atletas!L217="","",IF(Atletas!W217&lt;&gt;"",10000,0)+(IF(Atletas!B217="Feminino",1000,IF(Atletas!B217="Masculino",2000,""))+(IF(Atletas!L217="Chaquan A",101,IF(Atletas!L217="Emeiquan A",102,IF(Atletas!L217="Fanziquan A",103,IF(Atletas!L217="Huaquan A",104,IF(Atletas!L217="Hongquan A",105,IF(Atletas!L217="Paochui A",106,IF(Atletas!L217="Piguaquan A",107,IF(Atletas!L217="Shaolinquan A",108,IF(Atletas!L217="Tanglangquan A",109,IF(Atletas!L217="Yinzhaophai A",110,IF(Atletas!L217="Tongbeiquan A",111,IF(Atletas!L217="Wudangquan A",112,IF(Atletas!L217="Outros Estilos A",113,IF(Atletas!L217="Chaquan B",114,IF(Atletas!L217="Emeiquan B",115,IF(Atletas!L217="Fanziquan B",116,IF(Atletas!L217="Huaquan B",117,IF(Atletas!L217="Hongquan B",118,IF(Atletas!L217="Paochui B",119,IF(Atletas!L217="Piguaquan B",120,IF(Atletas!L217="Shaolinquan B",121,IF(Atletas!L217="Tanglangquan B",122,IF(Atletas!L217="Yinzhaophai B",123,IF(Atletas!L217="Tongbeiquan B",124,IF(Atletas!L217="Wudangquan B",125,IF(Atletas!L217="Outros Estilos B",126,IF(Atletas!L217="Chaquan C",127,IF(Atletas!L217="Emeiquan C",128,IF(Atletas!L217="Fanziquan C",129,IF(Atletas!L217="Huaquan C",130,IF(Atletas!L217="Hongquan C",131,IF(Atletas!L217="Paochui C",132,IF(Atletas!L217="Piguaquan C",133,IF(Atletas!L217="Shaolinquan C",134,IF(Atletas!L217="Tanglangquan C",135,IF(Atletas!L217="Yinzhaophai C",136,IF(Atletas!L217="Tongbeiquan C",137,IF(Atletas!L217="Wudangquan C",138,IF(Atletas!L217="Outros Estilos C",139,0))))))))))))))))))))))))))))))))))))))))))</f>
        <v/>
      </c>
      <c r="BM221" s="52" t="str">
        <f>IF(Atletas!L217="","",IF(Atletas!W217&lt;&gt;"",10000,0)+(IF(Atletas!B217="Feminino",1000,IF(Atletas!B217="Masculino",2000,""))+(IF(Atletas!L217="Chaquan D",140,IF(Atletas!L217="Emeiquan D",141,IF(Atletas!L217="Fanziquan D",142,IF(Atletas!L217="Huaquan D",143,IF(Atletas!L217="Hongquan D",144,IF(Atletas!L217="Paochui D",145,IF(Atletas!L217="Piguaquan D",146,IF(Atletas!L217="Shaolinquan D",147,IF(Atletas!L217="Tanglangquan D",148,IF(Atletas!L217="Yinzhaophai D",149,IF(Atletas!L217="Tongbeiquan D",150,IF(Atletas!L217="Wudangquan D",151,IF(Atletas!L217="Outros Estilos D",152,IF(Atletas!L217="Chaquan E",153,IF(Atletas!L217="Emeiquan E",154,IF(Atletas!L217="Fanziquan E",155,IF(Atletas!L217="Huaquan E",156,IF(Atletas!L217="Hongquan E",157,IF(Atletas!L217="Paochui E",158,IF(Atletas!L217="Piguaquan E",159,IF(Atletas!L217="Shaolinquan E",160,IF(Atletas!L217="Tanglangquan E",161,IF(Atletas!L217="Yinzhaophai E",162,IF(Atletas!L217="Tongbeiquan E",163,IF(Atletas!L217="Wudangquan E",164,IF(Atletas!L217="Outros Estilos E",165,IF(Atletas!L217="Chaquan F",166,IF(Atletas!L217="Emeiquan F",167,IF(Atletas!L217="Fanziquan F",168,IF(Atletas!L217="Huaquan F",169,IF(Atletas!L217="Hongquan F",170,IF(Atletas!L217="Paochui F",171,IF(Atletas!L217="Piguaquan F",172,IF(Atletas!L217="Shaolinquan F",173,IF(Atletas!L217="Tanglangquan F",174,IF(Atletas!L217="Yinzhaophai F",175,IF(Atletas!L217="Tongbeiquan F",176,IF(Atletas!L217="Wudangquan F",177,IF(Atletas!L217="Outros Estilos F",178,0))))))))))))))))))))))))))))))))))))))))))</f>
        <v/>
      </c>
      <c r="BN221" s="52" t="str">
        <f>IF(Atletas!M217="","",IF(Atletas!W217&lt;&gt;"",10000,0)+(IF(Atletas!B217="Feminino",1000,IF(Atletas!B217="Masculino",2000,""))+(IF(Atletas!M217="Ditangquan A",201,IF(Atletas!M217="Houquan A",202,IF(Atletas!M217="Zuiquan A",203,IF(Atletas!M217="Ditangquan B",204,IF(Atletas!M217="Houquan B",205,IF(Atletas!M217="Zuiquan B",206,IF(Atletas!M217="Ditangquan C",207,IF(Atletas!M217="Houquan C",208,IF(Atletas!M217="Zuiquan C",209,IF(Atletas!M217="Ditangquan D",210,IF(Atletas!M217="Houquan D",211,IF(Atletas!M217="Zuiquan D",212,IF(Atletas!M217="Ditangquan E",213,IF(Atletas!M217="Houquan E",214,IF(Atletas!M217="Zuiquan E",215,IF(Atletas!M217="Ditangquan F",216,IF(Atletas!M217="Houquan F",217,IF(Atletas!M217="Zuiquan F",218,"")))))))))))))))))))))</f>
        <v/>
      </c>
      <c r="BO221" s="52" t="str">
        <f>IF(Atletas!N217="","",IF(Atletas!W217&lt;&gt;"",10000,0)+IF(Atletas!B217="Feminino",1000,IF(Atletas!B217="Masculino",2000,""))+IF(Atletas!N217="Yang A",301,IF(Atletas!N217="Chen A",30,IF(Atletas!N217="Sun A",303,IF(Atletas!N217="Wu A",304,IF(Atletas!N217="Wu-Hao A",305,IF(Atletas!N217="Outro Taijiquan A",306,IF(Atletas!N217="Yang B",307,IF(Atletas!N217="Chen B",308,IF(Atletas!N217="Sun B",309,IF(Atletas!N217="Wu B",310,IF(Atletas!N217="Wu-Hao B",311,IF(Atletas!N217="Outro Taijiquan B",312,IF(Atletas!N217="Yang C",313,IF(Atletas!N217="Chen C",314,IF(Atletas!N217="Sun C",315,IF(Atletas!N217="Wu C",316,IF(Atletas!N217="Wu-Hao C",317,IF(Atletas!N217="Outro Taijiquan C",318,IF(Atletas!N217="Yang D",319,IF(Atletas!N217="Chen D",320,IF(Atletas!N217="Sun D",321,IF(Atletas!N217="Wu D",322,IF(Atletas!N217="Wu-Hao D",323,IF(Atletas!N217="Outro Taijiquan D",324,IF(Atletas!N217="Yang E",325,IF(Atletas!N217="Chen E",326,IF(Atletas!N217="Sun E",327,IF(Atletas!N217="Wu E",328,IF(Atletas!N217="Wu-Hao E",329,IF(Atletas!N217="Outro Taijiquan E",330,IF(Atletas!N217="Yang F",331,IF(Atletas!N217="Chen F",332,IF(Atletas!N217="Sun F",333,IF(Atletas!N217="Wu F",334,IF(Atletas!N217="Wu-Hao F",335,IF(Atletas!N217="Outro Taijiquan F",336,"")))))))))))))))))))))))))))))))))))))</f>
        <v/>
      </c>
      <c r="BP221" s="52" t="str">
        <f>IF(Atletas!O217="","",IF(Atletas!W217&lt;&gt;"",10000,0)+IF(Atletas!B217="Feminino",1000,IF(Atletas!B217="Masculino",2000,""))+IF(OR(Atletas!O217="Yang 26 A",Atletas!O217="Yang 40 A"),401,IF(OR(Atletas!O217="Chen 25 A",Atletas!O217="Chen 36 A",Atletas!O217="Chen 56 A"),402,IF(Atletas!O217="Sun 73 A",403,IF(Atletas!O217="Wu 45 A",404,IF(Atletas!O217="Wu-Hao 46 A",405,IF(OR(Atletas!O217="Taijiquan 16 A",Atletas!O217="Taijiquan 24 A",Atletas!O217="Taijiquan 32 A",Atletas!O217="Taijiquan 42 A"),406,IF(OR(Atletas!O217="Yang 26 B",Atletas!O217="Yang 40 B"),407,IF(OR(Atletas!O217="Chen 25 B",Atletas!O217="Chen 36 B",Atletas!O217="Chen 56 B"),408,IF(Atletas!O217="Sun 73 B",409,IF(Atletas!O217="Wu 45 B",410,IF(Atletas!O217="Wu-Hao 46 B",411,IF(OR(Atletas!O217="Taijiquan 16 B",Atletas!O217="Taijiquan 24 B",Atletas!O217="Taijiquan 32 B",Atletas!O217="Taijiquan 42 B"),412,IF(OR(Atletas!O217="Yang 26 C",Atletas!O217="Yang 40 C"),413,IF(OR(Atletas!O217="Chen 25 C",Atletas!O217="Chen 36 C",Atletas!O217="Chen 56 C"),414,IF(Atletas!O217="Sun 73 C",415,IF(Atletas!O217="Wu 45 C",416,IF(Atletas!O217="Wu-Hao 46 C",417,IF(OR(Atletas!O217="Taijiquan 16 C",Atletas!O217="Taijiquan 24 C",Atletas!O217="Taijiquan 32 C",Atletas!O217="Taijiquan 42 C"),418,0)))))))))))))))))))</f>
        <v/>
      </c>
      <c r="BQ221" s="52" t="str">
        <f>IF(Atletas!O217="","",IF(Atletas!W217&lt;&gt;"",10000,0)+IF(Atletas!B217="Feminino",1000,IF(Atletas!B217="Masculino",2000,""))+IF(OR(Atletas!O217="Yang 26 D",Atletas!O217="Yang 40 D"),419,IF(OR(Atletas!O217="Chen 25 D",Atletas!O217="Chen 36 D",Atletas!O217="Chen 56 D"),420,IF(Atletas!O217="Sun 73 D",421,IF(Atletas!O217="Wu 45 D",422,IF(Atletas!O217="Wu-Hao 46 D",423,IF(OR(Atletas!O217="Taijiquan 16 D",Atletas!O217="Taijiquan 24 D",Atletas!O217="Taijiquan 32 D",Atletas!O217="Taijiquan 42 D"),424,IF(OR(Atletas!O217="Yang 26 E",Atletas!O217="Yang 40 E"),425,IF(OR(Atletas!O217="Chen 25 E",Atletas!O217="Chen 36 E",Atletas!O217="Chen 56 E"),426,IF(Atletas!O217="Sun 73 E",427,IF(Atletas!O217="Wu 45 E",428,IF(Atletas!O217="Wu-Hao 46 E",429,IF(OR(Atletas!O217="Taijiquan 16 E",Atletas!O217="Taijiquan 24 E",Atletas!O217="Taijiquan 32 E",Atletas!O217="Taijiquan 42 E"),430,IF(OR(Atletas!O217="Yang 26 F",Atletas!O217="Yang 40 F"),431,IF(OR(Atletas!O217="Chen 25 F",Atletas!O217="Chen 36 F",Atletas!O217="Chen 56 F"),432,IF(Atletas!O217="Sun 73 F",433,IF(Atletas!O217="Wu 45 F",434,IF(Atletas!O217="Wu-Hao 46 F",435,IF(OR(Atletas!O217="Taijiquan 16 F",Atletas!O217="Taijiquan 24 F",Atletas!O217="Taijiquan 32 F",Atletas!O217="Taijiquan 42 F"),436,0)))))))))))))))))))</f>
        <v/>
      </c>
      <c r="BR221" s="52" t="str">
        <f>IF(Atletas!P217="","",IF(Atletas!W217&lt;&gt;"",10000,0)+IF(Atletas!B217="Feminino",1000,IF(Atletas!B217="Masculino",2000,""))+IF(Atletas!P217="Xingyiquan A",501,IF(Atletas!P217="Baguazhang A",502,IF(Atletas!P217="Outro Estilo Interno A",503,IF(Atletas!P217="Xingyiquan B",504,IF(Atletas!P217="Baguazhang B",505,IF(Atletas!P217="Outro Estilo Interno B",506,IF(Atletas!P217="Xingyiquan C",507,IF(Atletas!P217="Baguazhang C",508,IF(Atletas!P217="Outro Estilo Interno C",509,IF(Atletas!P217="Xingyiquan D",510,IF(Atletas!P217="Baguazhang D",511,IF(Atletas!P217="Outro Estilo Interno D",512,IF(Atletas!P217="Xingyiquan E",513,IF(Atletas!P217="Baguazhang E",514,IF(Atletas!P217="Outro Estilo Interno E",515,IF(Atletas!P217="Xingyiquan F",516,IF(Atletas!P217="Baguazhang F",517,IF(Atletas!P217="Outro Estilo Interno F",518, "")))))))))))))))))))</f>
        <v/>
      </c>
      <c r="BS221" s="52" t="str">
        <f>IF(Atletas!Q217="","",IF(Atletas!W217&lt;&gt;"",10000,0)+IF(Atletas!B217="Feminino",1000,IF(Atletas!B217="Masculino",2000,""))+IF(Atletas!Q217="Dao A",601,IF(Atletas!Q217="Jian A",602,IF(Atletas!Q217="Bishou A",603,IF(Atletas!Q217="Shan A",604,IF(Atletas!Q217="Outra Arma Curta A",605,IF(Atletas!Q217="Dao B",606,IF(Atletas!Q217="Jian B",607,IF(Atletas!Q217="Bishou B",608,IF(Atletas!Q217="Shan B",609,IF(Atletas!Q217="Outra Arma Curta B",610,IF(Atletas!Q217="Dao C",611,IF(Atletas!Q217="Jian C",612,IF(Atletas!Q217="Bishou C",613,IF(Atletas!Q217="Shan C",614,IF(Atletas!Q217="Outra Arma Curta C",615,IF(Atletas!Q217="Dao D",616,IF(Atletas!Q217="Jian D",617,IF(Atletas!Q217="Bishou D",618,IF(Atletas!Q217="Shan D",619,IF(Atletas!Q217="Outra Arma Curta D",620,IF(Atletas!Q217="Dao E",621,IF(Atletas!Q217="Jian E",622,IF(Atletas!Q217="Bishou E",623,IF(Atletas!Q217="Shan E",624,IF(Atletas!Q217="Outra Arma Curta E",625,IF(Atletas!Q217="Dao F",626,IF(Atletas!Q217="Jian F",627,IF(Atletas!Q217="Bishou F",628,IF(Atletas!Q217="Shan F",629,IF(Atletas!Q217="Outra Arma Curta F",630, "")))))))))))))))))))))))))))))))</f>
        <v/>
      </c>
      <c r="BT221" s="52" t="str">
        <f>IF(Atletas!R217="","",IF(Atletas!W217&lt;&gt;"",10000,0)+IF(Atletas!B217="Feminino",1000,IF(Atletas!B217="Masculino",2000,""))+IF(Atletas!R217="Gun A",701,IF(Atletas!R217="Qiang A",702,IF(Atletas!R217="Pudao / Guandao A",703,IF(Atletas!R217="Outra Arma Longa A",704,IF(Atletas!R217="Gun B",705,IF(Atletas!R217="Qiang B",706,IF(Atletas!R217="Pudao / Guandao B",707,IF(Atletas!R217="Outra Arma Longa B",708,IF(Atletas!R217="Gun C",709,IF(Atletas!R217="Qiang C",710,IF(Atletas!R217="Pudao / Guandao C",711,IF(Atletas!R217="Outra Arma Longa C",712,IF(Atletas!R217="Gun D",713,IF(Atletas!R217="Qiang D",714,IF(Atletas!R217="Pudao / Guandao D",715,IF(Atletas!R217="Outra Arma Longa D",716,IF(Atletas!R217="Gun E",717,IF(Atletas!R217="Qiang E",718,IF(Atletas!R217="Pudao / Guandao E",719,IF(Atletas!R217="Outra Arma Longa E",720,IF(Atletas!R217="Gun F",721,IF(Atletas!R217="Qiang F",722,IF(Atletas!R217="Pudao / Guandao F",723,IF(Atletas!R217="Outra Arma Longa F",724,"")))))))))))))))))))))))))</f>
        <v/>
      </c>
      <c r="BU221" s="52" t="str">
        <f>IF(Atletas!S217="","",IF(Atletas!W217&lt;&gt;"",10000,0)+IF(Atletas!B217="Feminino",1000,IF(Atletas!B217="Masculino",2000,""))+IF(Atletas!S217="Arma Dupla A",801,IF(Atletas!S217="Arma Maleável A",802,IF(Atletas!S217="Arma Dupla B",803,IF(Atletas!S217="Arma Maleável B",804,IF(Atletas!S217="Arma Dupla C",805,IF(Atletas!S217="Arma Maleável C",806,IF(Atletas!S217="Arma Dupla D",807,IF(Atletas!S217="Arma Maleável D",808,IF(Atletas!S217="Arma Dupla E",809,IF(Atletas!S217="Arma Maleável E",810,IF(Atletas!S217="Arma Dupla F",811,IF(Atletas!S217="Arma Maleável F",812, "")))))))))))))</f>
        <v/>
      </c>
      <c r="BV221" s="52" t="str">
        <f>IF(Atletas!T217="","",IF(Atletas!W217&lt;&gt;"",10000,0)+IF(Atletas!B217="Feminino",1000,IF(Atletas!B217="Masculino",2000,""))+IF(Atletas!T217="Taijijian Yang A",901,IF(Atletas!T217="Taijijian Chen A",902,IF(Atletas!T217="Taijijian Sun A",903,IF(Atletas!T217="Taijijian Wu A",904,IF(Atletas!T217="Taijijian Wu-Hao A",905,IF(Atletas!T217="Taijijian 32 A",906,IF(Atletas!T217="Taijijian 42 A",907,IF(Atletas!T217="Taijijian Yang B",908,IF(Atletas!T217="Taijijian Chen B",909,IF(Atletas!T217="Taijijian Sun B",910,IF(Atletas!T217="Taijijian Wu B",911,IF(Atletas!T217="Taijijian Wu-Hao B",912,IF(Atletas!T217="Taijijian 32 B",913,IF(Atletas!T217="Taijijian 42 B",914,IF(Atletas!T217="Taijijian Yang C",915,IF(Atletas!T217="Taijijian Chen C",916,IF(Atletas!T217="Taijijian Sun C",917,IF(Atletas!T217="Taijijian Wu C",918,IF(Atletas!T217="Taijijian Wu-Hao C",919,IF(Atletas!T217="Taijijian 32 C",920,IF(Atletas!T217="Taijijian 42 C",921,IF(Atletas!T217="Taijijian Yang D",922,IF(Atletas!T217="Taijijian Chen D",923,IF(Atletas!T217="Taijijian Sun D",924,IF(Atletas!T217="Taijijian Wu D",925,IF(Atletas!T217="Taijijian Wu-Hao D",926,IF(Atletas!T217="Taijijian 32 D",927,IF(Atletas!T217="Taijijian 42 D",928,IF(Atletas!T217="Taijijian Yang E",929,IF(Atletas!T217="Taijijian Chen E",930,IF(Atletas!T217="Taijijian Sun E",931,IF(Atletas!T217="Taijijian Wu E",932,IF(Atletas!T217="Taijijian Wu-Hao E",933,IF(Atletas!T217="Taijijian 32 E",934,IF(Atletas!T217="Taijijian 42 E",935,IF(Atletas!T217="Taijijian Yang F",936,IF(Atletas!T217="Taijijian Chen F",937,IF(Atletas!T217="Taijijian Sun F",938,IF(Atletas!T217="Taijijian Wu F",939,IF(Atletas!T217="Taijijian Wu-Hao F",940,IF(Atletas!T217="Taijijian 32 F",941,IF(Atletas!T217="Taijijian 42 F",942,"")))))))))))))))))))))))))))))))))))))))))))</f>
        <v/>
      </c>
      <c r="BW221" s="52" t="str">
        <f>IF(Atletas!U217="","",IF(Atletas!W217&lt;&gt;"",10000,0)+IF(Atletas!B217="Feminino",1000,IF(Atletas!B217="Masculino",2000,""))+IF(Atletas!T217="Taijijian 42 F",942,IF(Atletas!U217="Taijidao A",943,IF(Atletas!U217="Taijishan A",944,IF(Atletas!U217="Taijiqiang A",945,IF(Atletas!U217="Taijidao B",946,IF(Atletas!U217="Taijishan B",947,IF(Atletas!U217="Taijiqiang B",948,IF(Atletas!U217="Taijidao C",949,IF(Atletas!U217="Taijishan C",950,IF(Atletas!U217="Taijiqiang C",951,IF(Atletas!U217="Taijidao D",952,IF(Atletas!U217="Taijishan D",953,IF(Atletas!U217="Taijiqiang D",954,IF(Atletas!U217="Taijidao E",955,IF(Atletas!U217="Taijishan E",956,IF(Atletas!U217="Taijiqiang E",957,IF(Atletas!U217="Taijidao F",958,IF(Atletas!U217="Taijishan F",959,IF(Atletas!U217="Taijiqiang F",960))))))))))))))))))))</f>
        <v/>
      </c>
      <c r="BX221" s="72" t="str">
        <f>IF(BY221&lt;&gt;"","Baguazhang F ","")</f>
        <v/>
      </c>
      <c r="BY221" s="72" t="str">
        <f>IF(COUNTIF(BK:BW,1517)&gt;0,COUNTIF(BK:BW,1517),"")</f>
        <v/>
      </c>
      <c r="BZ221" s="72" t="str">
        <f>IF(CA221&lt;&gt;"","Baguazhang F ","")</f>
        <v/>
      </c>
      <c r="CA221" s="72" t="str">
        <f>IF(COUNTIF(BK:BW,2517)&gt;0,COUNTIF(BK:BW,2517),"")</f>
        <v/>
      </c>
      <c r="CB221" s="72" t="str">
        <f>IF(CC221&lt;&gt;"","Taijiquan 24 E","")</f>
        <v/>
      </c>
      <c r="CC221" s="64" t="str">
        <f>IF(COUNTIF(BK:BW,11453)&gt;0,COUNTIF(BK:BW,11453),"")</f>
        <v/>
      </c>
      <c r="CD221" s="64" t="str">
        <f>IF(CE221&lt;&gt;"","Taijiquan 24 E","")</f>
        <v/>
      </c>
      <c r="CE221" s="64" t="str">
        <f>IF(COUNTIF(BK:BW,12453)&gt;0,COUNTIF(BK:BW,12453),"")</f>
        <v/>
      </c>
      <c r="CF221" s="52" t="str">
        <f xml:space="preserve"> IF(Atletas!V217="","",IF(Atletas!V217="Duilian de Mãos AB - Equipe 1",1,IF(Atletas!V217="Duilian de Mãos AB - Equipe 2",2,IF(Atletas!V217="Duilian de Armas AB - Equipe 1",3,IF(Atletas!V217="Duilian de Armas AB - Equipe 2",4,IF(Atletas!V217="Duilian de Tuishou - Equipe 1",5,IF(Atletas!V217="Duilian de Tuishou - Equipe 2",6,IF(Atletas!V217="Grupo Externo AB - Equipe 1",7,IF(Atletas!V217="Grupo Externo AB - Equipe 2",8,IF(Atletas!V217="Grupo Interno AB - Equipe 1",9,IF(Atletas!V217="Grupo Interno AB - Equipe 2",10,IF(Atletas!V217="Duilian de Mãos CD - Equipe 1",11,IF(Atletas!V217="Duilian de Mãos CD - Equipe 2",12,IF(Atletas!V217="Duilian de Armas CD - Equipe 1",13,IF(Atletas!V217="Duilian de Armas CD - Equipe 2",14,IF(Atletas!V217="Duilian de Tuishou - Equipe 1",15,IF(Atletas!V217="Duilian de Tuishou - Equipe 2",16,IF(Atletas!V217="Grupo Externo CDEF - Equipe 1",17,IF(Atletas!V217="Grupo Externo CDEF - Equipe 2",18,IF(Atletas!V217="Grupo Interno CDEF - Equipe 1",19,IF(Atletas!V217="Grupo Interno CDEF - Equipe 2",20,IF(Atletas!V217="Duilian de Mãos EF - Equipe 1",21,IF(Atletas!V217="Duilian de Mãos EF - Equipe 2",22,IF(Atletas!V217="Duilian de Armas EF - Equipe 1",23,IF(Atletas!V217="Duilian de Armas EF - Equipe 2",24,IF(Atletas!V217="Duilian de Tuishou - Equipe 1",25,IF(Atletas!V217="Duilian de Tuishou - Equipe 2",26,"")))))))))))))))))))))))))))</f>
        <v/>
      </c>
    </row>
    <row r="222" spans="2:84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 t="str">
        <f t="array" ref="V222">IFERROR(INDEX(BX$7:BX$336,SMALL(IF(BX$7:BX$336&lt;&gt;"",ROW(BX$7:BX$336)-ROW(BX$7)+1),ROWS(BX$7:BX204))),"")</f>
        <v/>
      </c>
      <c r="W222" s="4" t="str">
        <f t="array" ref="W222">IFERROR(INDEX(BY$7:BY$336,SMALL(IF(BY$7:BY$336&lt;&gt;"",ROW(BY$7:BY$336)-ROW(BY$7)+1),ROWS(BY$7:BY204))),"")</f>
        <v/>
      </c>
      <c r="X222" s="4" t="str">
        <f t="array" ref="X222">IFERROR(INDEX(BZ$7:BZ$336,SMALL(IF(BZ$7:BZ$336&lt;&gt;"",ROW(BZ$7:BZ$336)-ROW(BZ$7)+1),ROWS(BZ$7:BZ204))),"")</f>
        <v/>
      </c>
      <c r="Y222" s="4" t="str">
        <f t="array" ref="Y222">IFERROR(INDEX(CA$7:CA$336,SMALL(IF(CA$7:CA$336&lt;&gt;"",ROW(CA$7:CA$336)-ROW(CA$7)+1),ROWS(CA$7:CA204))),"")</f>
        <v/>
      </c>
      <c r="Z222" s="4" t="str">
        <f t="array" ref="Z222">IFERROR(INDEX(CB$7:CB$378,SMALL(IF(CB$7:CB$378&lt;&gt;"",ROW(CB$7:CB$378)-ROW(CB$7)+1),ROWS(CB$7:CB221))),"")</f>
        <v/>
      </c>
      <c r="AA222" s="4" t="str">
        <f t="array" ref="AA222">IFERROR(INDEX(CC$7:CC$378,SMALL(IF(CC$7:CC$378&lt;&gt;"",ROW(CC$7:CC$378)-ROW(CC$7)+1),ROWS(CC$7:CC221))),"")</f>
        <v/>
      </c>
      <c r="AB222" s="4" t="str">
        <f t="array" ref="AB222">IFERROR(INDEX(CD$7:CD$378,SMALL(IF(CD$7:CD$378&lt;&gt;"",ROW(CD$7:CD$378)-ROW(CD$7)+1),ROWS(CD$7:CD221))),"")</f>
        <v/>
      </c>
      <c r="AC222" s="4" t="str">
        <f t="array" ref="AC222">IFERROR(INDEX(CE$7:CE$378,SMALL(IF(CE$7:CE$378&lt;&gt;"",ROW(CE$7:CE$378)-ROW(CE$7)+1),ROWS(CE$7:CE221))),"")</f>
        <v/>
      </c>
      <c r="AD222" s="4"/>
      <c r="AE222" s="4"/>
      <c r="AF222" s="4"/>
      <c r="AG222" s="4"/>
      <c r="AH222" s="4"/>
      <c r="AI222" s="4"/>
      <c r="AJ222" s="46" t="str">
        <f>IF(Atletas!D218="","",IF(Atletas!B218="Feminino",100,IF(Atletas!B218="Masculino",200,""))+(IF(Atletas!D218="Infantil 39kg",1,IF(Atletas!D218="Infantil 42kg",2,IF(Atletas!D218="Infantil 45kg",3,IF(Atletas!D218="Infantil 48kg",4,IF(Atletas!D218="Infantil 52kg",5,IF(Atletas!D218="Infantil 56kg",6,IF(Atletas!D218="Infantil 60kg",7,IF(Atletas!D218="Juvenil 48kg",8,IF(Atletas!D218="Juvenil 52kg",9,IF(Atletas!D218="Juvenil 56kg",10,IF(Atletas!D218="Juvenil 60kg",11,IF(Atletas!D218="Juvenil 65kg",12,IF(Atletas!D218="Juvenil 70kg",13,IF(Atletas!D218="Juvenil 75kg",14,IF(Atletas!D218="Juvenil 80kg",15,IF(Atletas!D218="Adulto 48kg",16,IF(Atletas!D218="Adulto 52kg",17,IF(Atletas!D218="Adulto 56kg",18,IF(Atletas!D218="Adulto 60kg",19,IF(Atletas!D218="Adulto 65kg",20,IF(Atletas!D218="Adulto 70kg",21,IF(Atletas!D218="Adulto 75kg",22,IF(Atletas!D218="Adulto 80kg",23,IF(Atletas!D218="Adulto 85kg",24,IF(Atletas!D218="Adulto 90kg",25,IF(Atletas!D218="Adulto +90kg",26,""))))))))))))))))))))))))))))</f>
        <v/>
      </c>
      <c r="AO222" s="10" t="str">
        <f>IF(Atletas!E218="","",IF(Atletas!B218="Feminino",100,IF(Atletas!B218="Masculino",200,""))+(IF(Atletas!E218="Juvenil 44kg",1,IF(Atletas!E218="Juvenil 48kg",2,IF(Atletas!E218="Juvenil 52kg",3,IF(Atletas!E218="Juvenil 56kg",4,IF(Atletas!E218="Juvenil 60kg",5,IF(Atletas!E218="Juvenil 65kg",6,IF(Atletas!E218="Juvenil 70kg",7,IF(Atletas!E218="Juvenil 75kg",8,IF(Atletas!E218="Juvenil 82kg",9,IF(Atletas!E218="Juvenil 90kg",10,IF(Atletas!E218="Juvenil 100kg",11,IF(Atletas!E218="Adulto 48kg",12,IF(Atletas!E218="Adulto 52kg",13,IF(Atletas!E218="Adulto 56kg",14,IF(Atletas!E218="Adulto 60kg",15,IF(Atletas!E218="Adulto 65kg",16,IF(Atletas!E218="Adulto 70kg",17,IF(Atletas!E218="Adulto 75kg",18,IF(Atletas!E218="Adulto 82kg",19,IF(Atletas!E218="Adulto 90kg",20,IF(Atletas!E218="Adulto 100kg",21,IF(Atletas!E218="Adulto +100kg",22,""))))))))))))))))))))))))</f>
        <v/>
      </c>
      <c r="AT222" s="10" t="str">
        <f>IF(Atletas!F218="","",IF(Atletas!B218="Feminino",100,IF(Atletas!B218="Masculino",200,""))+(IF(Atletas!F218="Adulto 48kg",1,IF(Atletas!F218="Adulto 56kg",2,IF(Atletas!F218="Adulto 65kg",3,IF(Atletas!F218="Adulto 75kg",4,IF(Atletas!F218="Adulto +75kg",5,IF(Atletas!F218="Adulto 52kg",6,IF(Atletas!F218="Adulto 60kg",7,IF(Atletas!F218="Adulto 70kg",8,IF(Atletas!F218="Adulto 80kg",9,IF(Atletas!F218="Adulto 90kg",10,IF(Atletas!F218="Adulto +90kg",11,"")))))))))))))</f>
        <v/>
      </c>
      <c r="AY222" s="46" t="str">
        <f>IF(Atletas!G218="","",IF(Atletas!B218="Feminino",100,IF(Atletas!B218="Masculino",200,""))+(IF(Atletas!G218="Changquan Mirim",1,IF(Atletas!G218="Nanquan Mirim",2,IF(Atletas!G218="Taijiquan Mirim",3,IF(Atletas!G218="Changquan Grupo C",4,IF(Atletas!G218="Nanquan Grupo C",5,IF(Atletas!G218="Taijiquan Grupo C",6,IF(Atletas!G218="Changquan Grupo B",7,IF(Atletas!G218="Nanquan Grupo B",8,IF(Atletas!G218="Taijiquan Grupo B",9,IF(Atletas!G218="Changquan Grupo A",10,IF(Atletas!G218="Nanquan Grupo A",11,IF(Atletas!G218="Taijiquan Grupo A",12,IF(Atletas!G218="Changquan Opcional",13,IF(Atletas!G218="Nanquan Opcional",14,IF(Atletas!G218="Taijiquan Opcional",15,IF(Atletas!G218="Changquan Adulto",16,IF(Atletas!G218="Nanquan Adulto",17,IF(Atletas!G218="Taijiquan Adulto",18,""))))))))))))))))))))</f>
        <v/>
      </c>
      <c r="AZ222" s="46" t="str">
        <f>IF(Atletas!H218="","",IF(Atletas!B218="Feminino",100,IF(Atletas!B218="Masculino",200,""))+(IF(Atletas!H218="Daoshu Mirim",19,IF(Atletas!H218="Jianshu Mirim",20,IF(Atletas!H218="Nandao Mirim",21,IF(Atletas!H218="Taijijian Mirim",22,IF(Atletas!H218="Daoshu Grupo C",23,IF(Atletas!H218="Jianshu Grupo C",24,IF(Atletas!H218="Nandao Grupo C",25,IF(Atletas!H218="Taijijian Grupo C",26,IF(Atletas!H218="Daoshu Grupo B",27,IF(Atletas!H218="Jianshu Grupo B",28,IF(Atletas!H218="Nandao Grupo B",29,IF(Atletas!H218="Taijijian Grupo B",30,IF(Atletas!H218="Daoshu Grupo A",31,IF(Atletas!H218="Jianshu Grupo A",32,IF(Atletas!H218="Nandao Grupo A",33,IF(Atletas!H218="Taijijian Grupo A",34,IF(Atletas!H218="Daoshu Opcional",35,IF(Atletas!H218="Jianshu Opcional",36,IF(Atletas!H218="Nandao Opcional",37,IF(Atletas!H218="Taijijian Opcional",38,IF(Atletas!H218="Daoshu Adulto",39,IF(Atletas!H218="Jianshu Adulto",40,IF(Atletas!H218="Nandao Adulto",41,IF(Atletas!H218="Taijijian Adulto",42,""))))))))))))))))))))))))))</f>
        <v/>
      </c>
      <c r="BA222" s="46" t="str">
        <f>IF(Atletas!I218="","",IF(Atletas!B218="Feminino",100,IF(Atletas!B218="Masculino",200,""))+(IF(Atletas!I218="Gunshu Mirim",43,IF(Atletas!I218="Qiangshu Mirim",44,IF(Atletas!I218="Nangun Mirim",45,IF(Atletas!I218="Gunshu Grupo C",46,IF(Atletas!I218="Qiangshu Grupo C",47,IF(Atletas!I218="Nangun Grupo C",48,IF(Atletas!I218="Gunshu Grupo B",49,IF(Atletas!I218="Qiangshu Grupo B",50,IF(Atletas!I218="Nangun Grupo B",51,IF(Atletas!I218="Gunshu Grupo A",52,IF(Atletas!I218="Qiangshu Grupo A",53,IF(Atletas!I218="Nangun Grupo A",54,IF(Atletas!I218="Gunshu Opcional",55,IF(Atletas!I218="Qiangshu Opcional",56,IF(Atletas!I218="Nangun Opcional",57,IF(Atletas!I218="Gunshu Adulto",58,IF(Atletas!I218="Qiangshu Adulto",59,IF(Atletas!I218="Nangun Adulto",60,""))))))))))))))))))))</f>
        <v/>
      </c>
      <c r="BF222" s="52" t="str">
        <f>IF(Atletas!J218="","",IF(Atletas!B218="Feminino",100,IF(Atletas!B218="Masculino",200,""))+(IF(Atletas!J218="Equipe 1 Grupo B",1,IF(Atletas!J218="Equipe 2 Grupo B",2,IF(Atletas!J218="Equipe 1 Grupo A",3,IF(Atletas!J218="Equipe 2 Grupo A",4,IF(Atletas!J218="Equipe 1 Adulto",5,IF(Atletas!J218="Equipe 2 Adulto",6,""))))))))</f>
        <v/>
      </c>
      <c r="BK222" s="52" t="str">
        <f>IF(Atletas!K218="","",IF(Atletas!W218&lt;&gt;"",10000,0)+(IF(Atletas!B218="Feminino",1000,IF(Atletas!B218="Masculino",2000,""))+IF(Atletas!K218="Choylayfut A",1,IF(Atletas!K218="Hunggar A",2,IF(Atletas!K218="Wuzuquan A",3,IF(Atletas!K218="Wingchun A",4,IF(Atletas!K218="Outra Mão de Sul A",5,IF(Atletas!K218="Choylayfut B",6,IF(Atletas!K218="Hunggar B",7,IF(Atletas!K218="Wuzuquan B",8,IF(Atletas!K218="Wingchun B",9,IF(Atletas!K218="Outra Mão de Sul B",10,IF(Atletas!K218="Choylayfut C",11,IF(Atletas!K218="Hunggar C",12,IF(Atletas!K218="Wuzuquan C",13,IF(Atletas!K218="Wingchun C",14,IF(Atletas!K218="Outra Mão de Sul C",15,IF(Atletas!K218="Choylayfut D",16,IF(Atletas!K218="Hunggar D",17,IF(Atletas!K218="Wuzuquan D",18,IF(Atletas!K218="Wingchun D",19,IF(Atletas!K218="Outra Mão de Sul D",20,IF(Atletas!K218="Choylayfut E",21,IF(Atletas!K218="Hunggar E",22,IF(Atletas!K218="Wuzuquan E",23,IF(Atletas!K218="Wingchun E",24,IF(Atletas!K218="Outra Mão de Sul E",25,IF(Atletas!K218="Choylayfut F",26,IF(Atletas!K218="Hunggar F",27,IF(Atletas!K218="Wuzuquan F",28,IF(Atletas!K218="Wingchun F",29,IF(Atletas!K218="Outra Mão de Sul F",30,""))))))))))))))))))))))))))))))))</f>
        <v/>
      </c>
      <c r="BL222" s="52" t="str">
        <f>IF(Atletas!L218="","",IF(Atletas!W218&lt;&gt;"",10000,0)+(IF(Atletas!B218="Feminino",1000,IF(Atletas!B218="Masculino",2000,""))+(IF(Atletas!L218="Chaquan A",101,IF(Atletas!L218="Emeiquan A",102,IF(Atletas!L218="Fanziquan A",103,IF(Atletas!L218="Huaquan A",104,IF(Atletas!L218="Hongquan A",105,IF(Atletas!L218="Paochui A",106,IF(Atletas!L218="Piguaquan A",107,IF(Atletas!L218="Shaolinquan A",108,IF(Atletas!L218="Tanglangquan A",109,IF(Atletas!L218="Yinzhaophai A",110,IF(Atletas!L218="Tongbeiquan A",111,IF(Atletas!L218="Wudangquan A",112,IF(Atletas!L218="Outros Estilos A",113,IF(Atletas!L218="Chaquan B",114,IF(Atletas!L218="Emeiquan B",115,IF(Atletas!L218="Fanziquan B",116,IF(Atletas!L218="Huaquan B",117,IF(Atletas!L218="Hongquan B",118,IF(Atletas!L218="Paochui B",119,IF(Atletas!L218="Piguaquan B",120,IF(Atletas!L218="Shaolinquan B",121,IF(Atletas!L218="Tanglangquan B",122,IF(Atletas!L218="Yinzhaophai B",123,IF(Atletas!L218="Tongbeiquan B",124,IF(Atletas!L218="Wudangquan B",125,IF(Atletas!L218="Outros Estilos B",126,IF(Atletas!L218="Chaquan C",127,IF(Atletas!L218="Emeiquan C",128,IF(Atletas!L218="Fanziquan C",129,IF(Atletas!L218="Huaquan C",130,IF(Atletas!L218="Hongquan C",131,IF(Atletas!L218="Paochui C",132,IF(Atletas!L218="Piguaquan C",133,IF(Atletas!L218="Shaolinquan C",134,IF(Atletas!L218="Tanglangquan C",135,IF(Atletas!L218="Yinzhaophai C",136,IF(Atletas!L218="Tongbeiquan C",137,IF(Atletas!L218="Wudangquan C",138,IF(Atletas!L218="Outros Estilos C",139,0))))))))))))))))))))))))))))))))))))))))))</f>
        <v/>
      </c>
      <c r="BM222" s="52" t="str">
        <f>IF(Atletas!L218="","",IF(Atletas!W218&lt;&gt;"",10000,0)+(IF(Atletas!B218="Feminino",1000,IF(Atletas!B218="Masculino",2000,""))+(IF(Atletas!L218="Chaquan D",140,IF(Atletas!L218="Emeiquan D",141,IF(Atletas!L218="Fanziquan D",142,IF(Atletas!L218="Huaquan D",143,IF(Atletas!L218="Hongquan D",144,IF(Atletas!L218="Paochui D",145,IF(Atletas!L218="Piguaquan D",146,IF(Atletas!L218="Shaolinquan D",147,IF(Atletas!L218="Tanglangquan D",148,IF(Atletas!L218="Yinzhaophai D",149,IF(Atletas!L218="Tongbeiquan D",150,IF(Atletas!L218="Wudangquan D",151,IF(Atletas!L218="Outros Estilos D",152,IF(Atletas!L218="Chaquan E",153,IF(Atletas!L218="Emeiquan E",154,IF(Atletas!L218="Fanziquan E",155,IF(Atletas!L218="Huaquan E",156,IF(Atletas!L218="Hongquan E",157,IF(Atletas!L218="Paochui E",158,IF(Atletas!L218="Piguaquan E",159,IF(Atletas!L218="Shaolinquan E",160,IF(Atletas!L218="Tanglangquan E",161,IF(Atletas!L218="Yinzhaophai E",162,IF(Atletas!L218="Tongbeiquan E",163,IF(Atletas!L218="Wudangquan E",164,IF(Atletas!L218="Outros Estilos E",165,IF(Atletas!L218="Chaquan F",166,IF(Atletas!L218="Emeiquan F",167,IF(Atletas!L218="Fanziquan F",168,IF(Atletas!L218="Huaquan F",169,IF(Atletas!L218="Hongquan F",170,IF(Atletas!L218="Paochui F",171,IF(Atletas!L218="Piguaquan F",172,IF(Atletas!L218="Shaolinquan F",173,IF(Atletas!L218="Tanglangquan F",174,IF(Atletas!L218="Yinzhaophai F",175,IF(Atletas!L218="Tongbeiquan F",176,IF(Atletas!L218="Wudangquan F",177,IF(Atletas!L218="Outros Estilos F",178,0))))))))))))))))))))))))))))))))))))))))))</f>
        <v/>
      </c>
      <c r="BN222" s="52" t="str">
        <f>IF(Atletas!M218="","",IF(Atletas!W218&lt;&gt;"",10000,0)+(IF(Atletas!B218="Feminino",1000,IF(Atletas!B218="Masculino",2000,""))+(IF(Atletas!M218="Ditangquan A",201,IF(Atletas!M218="Houquan A",202,IF(Atletas!M218="Zuiquan A",203,IF(Atletas!M218="Ditangquan B",204,IF(Atletas!M218="Houquan B",205,IF(Atletas!M218="Zuiquan B",206,IF(Atletas!M218="Ditangquan C",207,IF(Atletas!M218="Houquan C",208,IF(Atletas!M218="Zuiquan C",209,IF(Atletas!M218="Ditangquan D",210,IF(Atletas!M218="Houquan D",211,IF(Atletas!M218="Zuiquan D",212,IF(Atletas!M218="Ditangquan E",213,IF(Atletas!M218="Houquan E",214,IF(Atletas!M218="Zuiquan E",215,IF(Atletas!M218="Ditangquan F",216,IF(Atletas!M218="Houquan F",217,IF(Atletas!M218="Zuiquan F",218,"")))))))))))))))))))))</f>
        <v/>
      </c>
      <c r="BO222" s="52" t="str">
        <f>IF(Atletas!N218="","",IF(Atletas!W218&lt;&gt;"",10000,0)+IF(Atletas!B218="Feminino",1000,IF(Atletas!B218="Masculino",2000,""))+IF(Atletas!N218="Yang A",301,IF(Atletas!N218="Chen A",30,IF(Atletas!N218="Sun A",303,IF(Atletas!N218="Wu A",304,IF(Atletas!N218="Wu-Hao A",305,IF(Atletas!N218="Outro Taijiquan A",306,IF(Atletas!N218="Yang B",307,IF(Atletas!N218="Chen B",308,IF(Atletas!N218="Sun B",309,IF(Atletas!N218="Wu B",310,IF(Atletas!N218="Wu-Hao B",311,IF(Atletas!N218="Outro Taijiquan B",312,IF(Atletas!N218="Yang C",313,IF(Atletas!N218="Chen C",314,IF(Atletas!N218="Sun C",315,IF(Atletas!N218="Wu C",316,IF(Atletas!N218="Wu-Hao C",317,IF(Atletas!N218="Outro Taijiquan C",318,IF(Atletas!N218="Yang D",319,IF(Atletas!N218="Chen D",320,IF(Atletas!N218="Sun D",321,IF(Atletas!N218="Wu D",322,IF(Atletas!N218="Wu-Hao D",323,IF(Atletas!N218="Outro Taijiquan D",324,IF(Atletas!N218="Yang E",325,IF(Atletas!N218="Chen E",326,IF(Atletas!N218="Sun E",327,IF(Atletas!N218="Wu E",328,IF(Atletas!N218="Wu-Hao E",329,IF(Atletas!N218="Outro Taijiquan E",330,IF(Atletas!N218="Yang F",331,IF(Atletas!N218="Chen F",332,IF(Atletas!N218="Sun F",333,IF(Atletas!N218="Wu F",334,IF(Atletas!N218="Wu-Hao F",335,IF(Atletas!N218="Outro Taijiquan F",336,"")))))))))))))))))))))))))))))))))))))</f>
        <v/>
      </c>
      <c r="BP222" s="52" t="str">
        <f>IF(Atletas!O218="","",IF(Atletas!W218&lt;&gt;"",10000,0)+IF(Atletas!B218="Feminino",1000,IF(Atletas!B218="Masculino",2000,""))+IF(OR(Atletas!O218="Yang 26 A",Atletas!O218="Yang 40 A"),401,IF(OR(Atletas!O218="Chen 25 A",Atletas!O218="Chen 36 A",Atletas!O218="Chen 56 A"),402,IF(Atletas!O218="Sun 73 A",403,IF(Atletas!O218="Wu 45 A",404,IF(Atletas!O218="Wu-Hao 46 A",405,IF(OR(Atletas!O218="Taijiquan 16 A",Atletas!O218="Taijiquan 24 A",Atletas!O218="Taijiquan 32 A",Atletas!O218="Taijiquan 42 A"),406,IF(OR(Atletas!O218="Yang 26 B",Atletas!O218="Yang 40 B"),407,IF(OR(Atletas!O218="Chen 25 B",Atletas!O218="Chen 36 B",Atletas!O218="Chen 56 B"),408,IF(Atletas!O218="Sun 73 B",409,IF(Atletas!O218="Wu 45 B",410,IF(Atletas!O218="Wu-Hao 46 B",411,IF(OR(Atletas!O218="Taijiquan 16 B",Atletas!O218="Taijiquan 24 B",Atletas!O218="Taijiquan 32 B",Atletas!O218="Taijiquan 42 B"),412,IF(OR(Atletas!O218="Yang 26 C",Atletas!O218="Yang 40 C"),413,IF(OR(Atletas!O218="Chen 25 C",Atletas!O218="Chen 36 C",Atletas!O218="Chen 56 C"),414,IF(Atletas!O218="Sun 73 C",415,IF(Atletas!O218="Wu 45 C",416,IF(Atletas!O218="Wu-Hao 46 C",417,IF(OR(Atletas!O218="Taijiquan 16 C",Atletas!O218="Taijiquan 24 C",Atletas!O218="Taijiquan 32 C",Atletas!O218="Taijiquan 42 C"),418,0)))))))))))))))))))</f>
        <v/>
      </c>
      <c r="BQ222" s="52" t="str">
        <f>IF(Atletas!O218="","",IF(Atletas!W218&lt;&gt;"",10000,0)+IF(Atletas!B218="Feminino",1000,IF(Atletas!B218="Masculino",2000,""))+IF(OR(Atletas!O218="Yang 26 D",Atletas!O218="Yang 40 D"),419,IF(OR(Atletas!O218="Chen 25 D",Atletas!O218="Chen 36 D",Atletas!O218="Chen 56 D"),420,IF(Atletas!O218="Sun 73 D",421,IF(Atletas!O218="Wu 45 D",422,IF(Atletas!O218="Wu-Hao 46 D",423,IF(OR(Atletas!O218="Taijiquan 16 D",Atletas!O218="Taijiquan 24 D",Atletas!O218="Taijiquan 32 D",Atletas!O218="Taijiquan 42 D"),424,IF(OR(Atletas!O218="Yang 26 E",Atletas!O218="Yang 40 E"),425,IF(OR(Atletas!O218="Chen 25 E",Atletas!O218="Chen 36 E",Atletas!O218="Chen 56 E"),426,IF(Atletas!O218="Sun 73 E",427,IF(Atletas!O218="Wu 45 E",428,IF(Atletas!O218="Wu-Hao 46 E",429,IF(OR(Atletas!O218="Taijiquan 16 E",Atletas!O218="Taijiquan 24 E",Atletas!O218="Taijiquan 32 E",Atletas!O218="Taijiquan 42 E"),430,IF(OR(Atletas!O218="Yang 26 F",Atletas!O218="Yang 40 F"),431,IF(OR(Atletas!O218="Chen 25 F",Atletas!O218="Chen 36 F",Atletas!O218="Chen 56 F"),432,IF(Atletas!O218="Sun 73 F",433,IF(Atletas!O218="Wu 45 F",434,IF(Atletas!O218="Wu-Hao 46 F",435,IF(OR(Atletas!O218="Taijiquan 16 F",Atletas!O218="Taijiquan 24 F",Atletas!O218="Taijiquan 32 F",Atletas!O218="Taijiquan 42 F"),436,0)))))))))))))))))))</f>
        <v/>
      </c>
      <c r="BR222" s="52" t="str">
        <f>IF(Atletas!P218="","",IF(Atletas!W218&lt;&gt;"",10000,0)+IF(Atletas!B218="Feminino",1000,IF(Atletas!B218="Masculino",2000,""))+IF(Atletas!P218="Xingyiquan A",501,IF(Atletas!P218="Baguazhang A",502,IF(Atletas!P218="Outro Estilo Interno A",503,IF(Atletas!P218="Xingyiquan B",504,IF(Atletas!P218="Baguazhang B",505,IF(Atletas!P218="Outro Estilo Interno B",506,IF(Atletas!P218="Xingyiquan C",507,IF(Atletas!P218="Baguazhang C",508,IF(Atletas!P218="Outro Estilo Interno C",509,IF(Atletas!P218="Xingyiquan D",510,IF(Atletas!P218="Baguazhang D",511,IF(Atletas!P218="Outro Estilo Interno D",512,IF(Atletas!P218="Xingyiquan E",513,IF(Atletas!P218="Baguazhang E",514,IF(Atletas!P218="Outro Estilo Interno E",515,IF(Atletas!P218="Xingyiquan F",516,IF(Atletas!P218="Baguazhang F",517,IF(Atletas!P218="Outro Estilo Interno F",518, "")))))))))))))))))))</f>
        <v/>
      </c>
      <c r="BS222" s="52" t="str">
        <f>IF(Atletas!Q218="","",IF(Atletas!W218&lt;&gt;"",10000,0)+IF(Atletas!B218="Feminino",1000,IF(Atletas!B218="Masculino",2000,""))+IF(Atletas!Q218="Dao A",601,IF(Atletas!Q218="Jian A",602,IF(Atletas!Q218="Bishou A",603,IF(Atletas!Q218="Shan A",604,IF(Atletas!Q218="Outra Arma Curta A",605,IF(Atletas!Q218="Dao B",606,IF(Atletas!Q218="Jian B",607,IF(Atletas!Q218="Bishou B",608,IF(Atletas!Q218="Shan B",609,IF(Atletas!Q218="Outra Arma Curta B",610,IF(Atletas!Q218="Dao C",611,IF(Atletas!Q218="Jian C",612,IF(Atletas!Q218="Bishou C",613,IF(Atletas!Q218="Shan C",614,IF(Atletas!Q218="Outra Arma Curta C",615,IF(Atletas!Q218="Dao D",616,IF(Atletas!Q218="Jian D",617,IF(Atletas!Q218="Bishou D",618,IF(Atletas!Q218="Shan D",619,IF(Atletas!Q218="Outra Arma Curta D",620,IF(Atletas!Q218="Dao E",621,IF(Atletas!Q218="Jian E",622,IF(Atletas!Q218="Bishou E",623,IF(Atletas!Q218="Shan E",624,IF(Atletas!Q218="Outra Arma Curta E",625,IF(Atletas!Q218="Dao F",626,IF(Atletas!Q218="Jian F",627,IF(Atletas!Q218="Bishou F",628,IF(Atletas!Q218="Shan F",629,IF(Atletas!Q218="Outra Arma Curta F",630, "")))))))))))))))))))))))))))))))</f>
        <v/>
      </c>
      <c r="BT222" s="52" t="str">
        <f>IF(Atletas!R218="","",IF(Atletas!W218&lt;&gt;"",10000,0)+IF(Atletas!B218="Feminino",1000,IF(Atletas!B218="Masculino",2000,""))+IF(Atletas!R218="Gun A",701,IF(Atletas!R218="Qiang A",702,IF(Atletas!R218="Pudao / Guandao A",703,IF(Atletas!R218="Outra Arma Longa A",704,IF(Atletas!R218="Gun B",705,IF(Atletas!R218="Qiang B",706,IF(Atletas!R218="Pudao / Guandao B",707,IF(Atletas!R218="Outra Arma Longa B",708,IF(Atletas!R218="Gun C",709,IF(Atletas!R218="Qiang C",710,IF(Atletas!R218="Pudao / Guandao C",711,IF(Atletas!R218="Outra Arma Longa C",712,IF(Atletas!R218="Gun D",713,IF(Atletas!R218="Qiang D",714,IF(Atletas!R218="Pudao / Guandao D",715,IF(Atletas!R218="Outra Arma Longa D",716,IF(Atletas!R218="Gun E",717,IF(Atletas!R218="Qiang E",718,IF(Atletas!R218="Pudao / Guandao E",719,IF(Atletas!R218="Outra Arma Longa E",720,IF(Atletas!R218="Gun F",721,IF(Atletas!R218="Qiang F",722,IF(Atletas!R218="Pudao / Guandao F",723,IF(Atletas!R218="Outra Arma Longa F",724,"")))))))))))))))))))))))))</f>
        <v/>
      </c>
      <c r="BU222" s="52" t="str">
        <f>IF(Atletas!S218="","",IF(Atletas!W218&lt;&gt;"",10000,0)+IF(Atletas!B218="Feminino",1000,IF(Atletas!B218="Masculino",2000,""))+IF(Atletas!S218="Arma Dupla A",801,IF(Atletas!S218="Arma Maleável A",802,IF(Atletas!S218="Arma Dupla B",803,IF(Atletas!S218="Arma Maleável B",804,IF(Atletas!S218="Arma Dupla C",805,IF(Atletas!S218="Arma Maleável C",806,IF(Atletas!S218="Arma Dupla D",807,IF(Atletas!S218="Arma Maleável D",808,IF(Atletas!S218="Arma Dupla E",809,IF(Atletas!S218="Arma Maleável E",810,IF(Atletas!S218="Arma Dupla F",811,IF(Atletas!S218="Arma Maleável F",812, "")))))))))))))</f>
        <v/>
      </c>
      <c r="BV222" s="52" t="str">
        <f>IF(Atletas!T218="","",IF(Atletas!W218&lt;&gt;"",10000,0)+IF(Atletas!B218="Feminino",1000,IF(Atletas!B218="Masculino",2000,""))+IF(Atletas!T218="Taijijian Yang A",901,IF(Atletas!T218="Taijijian Chen A",902,IF(Atletas!T218="Taijijian Sun A",903,IF(Atletas!T218="Taijijian Wu A",904,IF(Atletas!T218="Taijijian Wu-Hao A",905,IF(Atletas!T218="Taijijian 32 A",906,IF(Atletas!T218="Taijijian 42 A",907,IF(Atletas!T218="Taijijian Yang B",908,IF(Atletas!T218="Taijijian Chen B",909,IF(Atletas!T218="Taijijian Sun B",910,IF(Atletas!T218="Taijijian Wu B",911,IF(Atletas!T218="Taijijian Wu-Hao B",912,IF(Atletas!T218="Taijijian 32 B",913,IF(Atletas!T218="Taijijian 42 B",914,IF(Atletas!T218="Taijijian Yang C",915,IF(Atletas!T218="Taijijian Chen C",916,IF(Atletas!T218="Taijijian Sun C",917,IF(Atletas!T218="Taijijian Wu C",918,IF(Atletas!T218="Taijijian Wu-Hao C",919,IF(Atletas!T218="Taijijian 32 C",920,IF(Atletas!T218="Taijijian 42 C",921,IF(Atletas!T218="Taijijian Yang D",922,IF(Atletas!T218="Taijijian Chen D",923,IF(Atletas!T218="Taijijian Sun D",924,IF(Atletas!T218="Taijijian Wu D",925,IF(Atletas!T218="Taijijian Wu-Hao D",926,IF(Atletas!T218="Taijijian 32 D",927,IF(Atletas!T218="Taijijian 42 D",928,IF(Atletas!T218="Taijijian Yang E",929,IF(Atletas!T218="Taijijian Chen E",930,IF(Atletas!T218="Taijijian Sun E",931,IF(Atletas!T218="Taijijian Wu E",932,IF(Atletas!T218="Taijijian Wu-Hao E",933,IF(Atletas!T218="Taijijian 32 E",934,IF(Atletas!T218="Taijijian 42 E",935,IF(Atletas!T218="Taijijian Yang F",936,IF(Atletas!T218="Taijijian Chen F",937,IF(Atletas!T218="Taijijian Sun F",938,IF(Atletas!T218="Taijijian Wu F",939,IF(Atletas!T218="Taijijian Wu-Hao F",940,IF(Atletas!T218="Taijijian 32 F",941,IF(Atletas!T218="Taijijian 42 F",942,"")))))))))))))))))))))))))))))))))))))))))))</f>
        <v/>
      </c>
      <c r="BW222" s="52" t="str">
        <f>IF(Atletas!U218="","",IF(Atletas!W218&lt;&gt;"",10000,0)+IF(Atletas!B218="Feminino",1000,IF(Atletas!B218="Masculino",2000,""))+IF(Atletas!T218="Taijijian 42 F",942,IF(Atletas!U218="Taijidao A",943,IF(Atletas!U218="Taijishan A",944,IF(Atletas!U218="Taijiqiang A",945,IF(Atletas!U218="Taijidao B",946,IF(Atletas!U218="Taijishan B",947,IF(Atletas!U218="Taijiqiang B",948,IF(Atletas!U218="Taijidao C",949,IF(Atletas!U218="Taijishan C",950,IF(Atletas!U218="Taijiqiang C",951,IF(Atletas!U218="Taijidao D",952,IF(Atletas!U218="Taijishan D",953,IF(Atletas!U218="Taijiqiang D",954,IF(Atletas!U218="Taijidao E",955,IF(Atletas!U218="Taijishan E",956,IF(Atletas!U218="Taijiqiang E",957,IF(Atletas!U218="Taijidao F",958,IF(Atletas!U218="Taijishan F",959,IF(Atletas!U218="Taijiqiang F",960))))))))))))))))))))</f>
        <v/>
      </c>
      <c r="BX222" s="72" t="str">
        <f>IF(BY222&lt;&gt;"","Outro Estilo Interno F","")</f>
        <v/>
      </c>
      <c r="BY222" s="72" t="str">
        <f>IF(COUNTIF(BK:BW,1518)&gt;0,COUNTIF(BK:BW,1518),"")</f>
        <v/>
      </c>
      <c r="BZ222" s="72" t="str">
        <f>IF(CA222&lt;&gt;"","Outro Estilo Interno F","")</f>
        <v/>
      </c>
      <c r="CA222" s="72" t="str">
        <f>IF(COUNTIF(BK:BW,2518)&gt;0,COUNTIF(BK:BW,2518),"")</f>
        <v/>
      </c>
      <c r="CB222" s="72" t="str">
        <f>IF(CC222&lt;&gt;"","Taijiquan 32 E","")</f>
        <v/>
      </c>
      <c r="CC222" s="64" t="str">
        <f>IF(COUNTIF(BK:BW,11454)&gt;0,COUNTIF(BK:BW,11454),"")</f>
        <v/>
      </c>
      <c r="CD222" s="64" t="str">
        <f>IF(CE222&lt;&gt;"","Taijiquan 32 E","")</f>
        <v/>
      </c>
      <c r="CE222" s="64" t="str">
        <f>IF(COUNTIF(BK:BW,12454)&gt;0,COUNTIF(BK:BW,12454),"")</f>
        <v/>
      </c>
      <c r="CF222" s="52" t="str">
        <f xml:space="preserve"> IF(Atletas!V218="","",IF(Atletas!V218="Duilian de Mãos AB - Equipe 1",1,IF(Atletas!V218="Duilian de Mãos AB - Equipe 2",2,IF(Atletas!V218="Duilian de Armas AB - Equipe 1",3,IF(Atletas!V218="Duilian de Armas AB - Equipe 2",4,IF(Atletas!V218="Duilian de Tuishou - Equipe 1",5,IF(Atletas!V218="Duilian de Tuishou - Equipe 2",6,IF(Atletas!V218="Grupo Externo AB - Equipe 1",7,IF(Atletas!V218="Grupo Externo AB - Equipe 2",8,IF(Atletas!V218="Grupo Interno AB - Equipe 1",9,IF(Atletas!V218="Grupo Interno AB - Equipe 2",10,IF(Atletas!V218="Duilian de Mãos CD - Equipe 1",11,IF(Atletas!V218="Duilian de Mãos CD - Equipe 2",12,IF(Atletas!V218="Duilian de Armas CD - Equipe 1",13,IF(Atletas!V218="Duilian de Armas CD - Equipe 2",14,IF(Atletas!V218="Duilian de Tuishou - Equipe 1",15,IF(Atletas!V218="Duilian de Tuishou - Equipe 2",16,IF(Atletas!V218="Grupo Externo CDEF - Equipe 1",17,IF(Atletas!V218="Grupo Externo CDEF - Equipe 2",18,IF(Atletas!V218="Grupo Interno CDEF - Equipe 1",19,IF(Atletas!V218="Grupo Interno CDEF - Equipe 2",20,IF(Atletas!V218="Duilian de Mãos EF - Equipe 1",21,IF(Atletas!V218="Duilian de Mãos EF - Equipe 2",22,IF(Atletas!V218="Duilian de Armas EF - Equipe 1",23,IF(Atletas!V218="Duilian de Armas EF - Equipe 2",24,IF(Atletas!V218="Duilian de Tuishou - Equipe 1",25,IF(Atletas!V218="Duilian de Tuishou - Equipe 2",26,"")))))))))))))))))))))))))))</f>
        <v/>
      </c>
    </row>
    <row r="223" spans="2:84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 t="str">
        <f t="array" ref="V223">IFERROR(INDEX(BX$7:BX$336,SMALL(IF(BX$7:BX$336&lt;&gt;"",ROW(BX$7:BX$336)-ROW(BX$7)+1),ROWS(BX$7:BX204))),"")</f>
        <v/>
      </c>
      <c r="W223" s="4" t="str">
        <f t="array" ref="W223">IFERROR(INDEX(BY$7:BY$336,SMALL(IF(BY$7:BY$336&lt;&gt;"",ROW(BY$7:BY$336)-ROW(BY$7)+1),ROWS(BY$7:BY204))),"")</f>
        <v/>
      </c>
      <c r="X223" s="4" t="str">
        <f t="array" ref="X223">IFERROR(INDEX(BZ$7:BZ$336,SMALL(IF(BZ$7:BZ$336&lt;&gt;"",ROW(BZ$7:BZ$336)-ROW(BZ$7)+1),ROWS(BZ$7:BZ204))),"")</f>
        <v/>
      </c>
      <c r="Y223" s="4" t="str">
        <f t="array" ref="Y223">IFERROR(INDEX(CA$7:CA$336,SMALL(IF(CA$7:CA$336&lt;&gt;"",ROW(CA$7:CA$336)-ROW(CA$7)+1),ROWS(CA$7:CA204))),"")</f>
        <v/>
      </c>
      <c r="Z223" s="4" t="str">
        <f t="array" ref="Z223">IFERROR(INDEX(CB$7:CB$378,SMALL(IF(CB$7:CB$378&lt;&gt;"",ROW(CB$7:CB$378)-ROW(CB$7)+1),ROWS(CB$7:CB222))),"")</f>
        <v/>
      </c>
      <c r="AA223" s="4" t="str">
        <f t="array" ref="AA223">IFERROR(INDEX(CC$7:CC$378,SMALL(IF(CC$7:CC$378&lt;&gt;"",ROW(CC$7:CC$378)-ROW(CC$7)+1),ROWS(CC$7:CC222))),"")</f>
        <v/>
      </c>
      <c r="AB223" s="4" t="str">
        <f t="array" ref="AB223">IFERROR(INDEX(CD$7:CD$378,SMALL(IF(CD$7:CD$378&lt;&gt;"",ROW(CD$7:CD$378)-ROW(CD$7)+1),ROWS(CD$7:CD222))),"")</f>
        <v/>
      </c>
      <c r="AC223" s="4" t="str">
        <f t="array" ref="AC223">IFERROR(INDEX(CE$7:CE$378,SMALL(IF(CE$7:CE$378&lt;&gt;"",ROW(CE$7:CE$378)-ROW(CE$7)+1),ROWS(CE$7:CE222))),"")</f>
        <v/>
      </c>
      <c r="AD223" s="4"/>
      <c r="AE223" s="4"/>
      <c r="AF223" s="4"/>
      <c r="AG223" s="4"/>
      <c r="AH223" s="4"/>
      <c r="AI223" s="4"/>
      <c r="AJ223" s="46" t="str">
        <f>IF(Atletas!D219="","",IF(Atletas!B219="Feminino",100,IF(Atletas!B219="Masculino",200,""))+(IF(Atletas!D219="Infantil 39kg",1,IF(Atletas!D219="Infantil 42kg",2,IF(Atletas!D219="Infantil 45kg",3,IF(Atletas!D219="Infantil 48kg",4,IF(Atletas!D219="Infantil 52kg",5,IF(Atletas!D219="Infantil 56kg",6,IF(Atletas!D219="Infantil 60kg",7,IF(Atletas!D219="Juvenil 48kg",8,IF(Atletas!D219="Juvenil 52kg",9,IF(Atletas!D219="Juvenil 56kg",10,IF(Atletas!D219="Juvenil 60kg",11,IF(Atletas!D219="Juvenil 65kg",12,IF(Atletas!D219="Juvenil 70kg",13,IF(Atletas!D219="Juvenil 75kg",14,IF(Atletas!D219="Juvenil 80kg",15,IF(Atletas!D219="Adulto 48kg",16,IF(Atletas!D219="Adulto 52kg",17,IF(Atletas!D219="Adulto 56kg",18,IF(Atletas!D219="Adulto 60kg",19,IF(Atletas!D219="Adulto 65kg",20,IF(Atletas!D219="Adulto 70kg",21,IF(Atletas!D219="Adulto 75kg",22,IF(Atletas!D219="Adulto 80kg",23,IF(Atletas!D219="Adulto 85kg",24,IF(Atletas!D219="Adulto 90kg",25,IF(Atletas!D219="Adulto +90kg",26,""))))))))))))))))))))))))))))</f>
        <v/>
      </c>
      <c r="AO223" s="10" t="str">
        <f>IF(Atletas!E219="","",IF(Atletas!B219="Feminino",100,IF(Atletas!B219="Masculino",200,""))+(IF(Atletas!E219="Juvenil 44kg",1,IF(Atletas!E219="Juvenil 48kg",2,IF(Atletas!E219="Juvenil 52kg",3,IF(Atletas!E219="Juvenil 56kg",4,IF(Atletas!E219="Juvenil 60kg",5,IF(Atletas!E219="Juvenil 65kg",6,IF(Atletas!E219="Juvenil 70kg",7,IF(Atletas!E219="Juvenil 75kg",8,IF(Atletas!E219="Juvenil 82kg",9,IF(Atletas!E219="Juvenil 90kg",10,IF(Atletas!E219="Juvenil 100kg",11,IF(Atletas!E219="Adulto 48kg",12,IF(Atletas!E219="Adulto 52kg",13,IF(Atletas!E219="Adulto 56kg",14,IF(Atletas!E219="Adulto 60kg",15,IF(Atletas!E219="Adulto 65kg",16,IF(Atletas!E219="Adulto 70kg",17,IF(Atletas!E219="Adulto 75kg",18,IF(Atletas!E219="Adulto 82kg",19,IF(Atletas!E219="Adulto 90kg",20,IF(Atletas!E219="Adulto 100kg",21,IF(Atletas!E219="Adulto +100kg",22,""))))))))))))))))))))))))</f>
        <v/>
      </c>
      <c r="AT223" s="10" t="str">
        <f>IF(Atletas!F219="","",IF(Atletas!B219="Feminino",100,IF(Atletas!B219="Masculino",200,""))+(IF(Atletas!F219="Adulto 48kg",1,IF(Atletas!F219="Adulto 56kg",2,IF(Atletas!F219="Adulto 65kg",3,IF(Atletas!F219="Adulto 75kg",4,IF(Atletas!F219="Adulto +75kg",5,IF(Atletas!F219="Adulto 52kg",6,IF(Atletas!F219="Adulto 60kg",7,IF(Atletas!F219="Adulto 70kg",8,IF(Atletas!F219="Adulto 80kg",9,IF(Atletas!F219="Adulto 90kg",10,IF(Atletas!F219="Adulto +90kg",11,"")))))))))))))</f>
        <v/>
      </c>
      <c r="AY223" s="46" t="str">
        <f>IF(Atletas!G219="","",IF(Atletas!B219="Feminino",100,IF(Atletas!B219="Masculino",200,""))+(IF(Atletas!G219="Changquan Mirim",1,IF(Atletas!G219="Nanquan Mirim",2,IF(Atletas!G219="Taijiquan Mirim",3,IF(Atletas!G219="Changquan Grupo C",4,IF(Atletas!G219="Nanquan Grupo C",5,IF(Atletas!G219="Taijiquan Grupo C",6,IF(Atletas!G219="Changquan Grupo B",7,IF(Atletas!G219="Nanquan Grupo B",8,IF(Atletas!G219="Taijiquan Grupo B",9,IF(Atletas!G219="Changquan Grupo A",10,IF(Atletas!G219="Nanquan Grupo A",11,IF(Atletas!G219="Taijiquan Grupo A",12,IF(Atletas!G219="Changquan Opcional",13,IF(Atletas!G219="Nanquan Opcional",14,IF(Atletas!G219="Taijiquan Opcional",15,IF(Atletas!G219="Changquan Adulto",16,IF(Atletas!G219="Nanquan Adulto",17,IF(Atletas!G219="Taijiquan Adulto",18,""))))))))))))))))))))</f>
        <v/>
      </c>
      <c r="AZ223" s="46" t="str">
        <f>IF(Atletas!H219="","",IF(Atletas!B219="Feminino",100,IF(Atletas!B219="Masculino",200,""))+(IF(Atletas!H219="Daoshu Mirim",19,IF(Atletas!H219="Jianshu Mirim",20,IF(Atletas!H219="Nandao Mirim",21,IF(Atletas!H219="Taijijian Mirim",22,IF(Atletas!H219="Daoshu Grupo C",23,IF(Atletas!H219="Jianshu Grupo C",24,IF(Atletas!H219="Nandao Grupo C",25,IF(Atletas!H219="Taijijian Grupo C",26,IF(Atletas!H219="Daoshu Grupo B",27,IF(Atletas!H219="Jianshu Grupo B",28,IF(Atletas!H219="Nandao Grupo B",29,IF(Atletas!H219="Taijijian Grupo B",30,IF(Atletas!H219="Daoshu Grupo A",31,IF(Atletas!H219="Jianshu Grupo A",32,IF(Atletas!H219="Nandao Grupo A",33,IF(Atletas!H219="Taijijian Grupo A",34,IF(Atletas!H219="Daoshu Opcional",35,IF(Atletas!H219="Jianshu Opcional",36,IF(Atletas!H219="Nandao Opcional",37,IF(Atletas!H219="Taijijian Opcional",38,IF(Atletas!H219="Daoshu Adulto",39,IF(Atletas!H219="Jianshu Adulto",40,IF(Atletas!H219="Nandao Adulto",41,IF(Atletas!H219="Taijijian Adulto",42,""))))))))))))))))))))))))))</f>
        <v/>
      </c>
      <c r="BA223" s="46" t="str">
        <f>IF(Atletas!I219="","",IF(Atletas!B219="Feminino",100,IF(Atletas!B219="Masculino",200,""))+(IF(Atletas!I219="Gunshu Mirim",43,IF(Atletas!I219="Qiangshu Mirim",44,IF(Atletas!I219="Nangun Mirim",45,IF(Atletas!I219="Gunshu Grupo C",46,IF(Atletas!I219="Qiangshu Grupo C",47,IF(Atletas!I219="Nangun Grupo C",48,IF(Atletas!I219="Gunshu Grupo B",49,IF(Atletas!I219="Qiangshu Grupo B",50,IF(Atletas!I219="Nangun Grupo B",51,IF(Atletas!I219="Gunshu Grupo A",52,IF(Atletas!I219="Qiangshu Grupo A",53,IF(Atletas!I219="Nangun Grupo A",54,IF(Atletas!I219="Gunshu Opcional",55,IF(Atletas!I219="Qiangshu Opcional",56,IF(Atletas!I219="Nangun Opcional",57,IF(Atletas!I219="Gunshu Adulto",58,IF(Atletas!I219="Qiangshu Adulto",59,IF(Atletas!I219="Nangun Adulto",60,""))))))))))))))))))))</f>
        <v/>
      </c>
      <c r="BF223" s="52" t="str">
        <f>IF(Atletas!J219="","",IF(Atletas!B219="Feminino",100,IF(Atletas!B219="Masculino",200,""))+(IF(Atletas!J219="Equipe 1 Grupo B",1,IF(Atletas!J219="Equipe 2 Grupo B",2,IF(Atletas!J219="Equipe 1 Grupo A",3,IF(Atletas!J219="Equipe 2 Grupo A",4,IF(Atletas!J219="Equipe 1 Adulto",5,IF(Atletas!J219="Equipe 2 Adulto",6,""))))))))</f>
        <v/>
      </c>
      <c r="BK223" s="52" t="str">
        <f>IF(Atletas!K219="","",IF(Atletas!W219&lt;&gt;"",10000,0)+(IF(Atletas!B219="Feminino",1000,IF(Atletas!B219="Masculino",2000,""))+IF(Atletas!K219="Choylayfut A",1,IF(Atletas!K219="Hunggar A",2,IF(Atletas!K219="Wuzuquan A",3,IF(Atletas!K219="Wingchun A",4,IF(Atletas!K219="Outra Mão de Sul A",5,IF(Atletas!K219="Choylayfut B",6,IF(Atletas!K219="Hunggar B",7,IF(Atletas!K219="Wuzuquan B",8,IF(Atletas!K219="Wingchun B",9,IF(Atletas!K219="Outra Mão de Sul B",10,IF(Atletas!K219="Choylayfut C",11,IF(Atletas!K219="Hunggar C",12,IF(Atletas!K219="Wuzuquan C",13,IF(Atletas!K219="Wingchun C",14,IF(Atletas!K219="Outra Mão de Sul C",15,IF(Atletas!K219="Choylayfut D",16,IF(Atletas!K219="Hunggar D",17,IF(Atletas!K219="Wuzuquan D",18,IF(Atletas!K219="Wingchun D",19,IF(Atletas!K219="Outra Mão de Sul D",20,IF(Atletas!K219="Choylayfut E",21,IF(Atletas!K219="Hunggar E",22,IF(Atletas!K219="Wuzuquan E",23,IF(Atletas!K219="Wingchun E",24,IF(Atletas!K219="Outra Mão de Sul E",25,IF(Atletas!K219="Choylayfut F",26,IF(Atletas!K219="Hunggar F",27,IF(Atletas!K219="Wuzuquan F",28,IF(Atletas!K219="Wingchun F",29,IF(Atletas!K219="Outra Mão de Sul F",30,""))))))))))))))))))))))))))))))))</f>
        <v/>
      </c>
      <c r="BL223" s="52" t="str">
        <f>IF(Atletas!L219="","",IF(Atletas!W219&lt;&gt;"",10000,0)+(IF(Atletas!B219="Feminino",1000,IF(Atletas!B219="Masculino",2000,""))+(IF(Atletas!L219="Chaquan A",101,IF(Atletas!L219="Emeiquan A",102,IF(Atletas!L219="Fanziquan A",103,IF(Atletas!L219="Huaquan A",104,IF(Atletas!L219="Hongquan A",105,IF(Atletas!L219="Paochui A",106,IF(Atletas!L219="Piguaquan A",107,IF(Atletas!L219="Shaolinquan A",108,IF(Atletas!L219="Tanglangquan A",109,IF(Atletas!L219="Yinzhaophai A",110,IF(Atletas!L219="Tongbeiquan A",111,IF(Atletas!L219="Wudangquan A",112,IF(Atletas!L219="Outros Estilos A",113,IF(Atletas!L219="Chaquan B",114,IF(Atletas!L219="Emeiquan B",115,IF(Atletas!L219="Fanziquan B",116,IF(Atletas!L219="Huaquan B",117,IF(Atletas!L219="Hongquan B",118,IF(Atletas!L219="Paochui B",119,IF(Atletas!L219="Piguaquan B",120,IF(Atletas!L219="Shaolinquan B",121,IF(Atletas!L219="Tanglangquan B",122,IF(Atletas!L219="Yinzhaophai B",123,IF(Atletas!L219="Tongbeiquan B",124,IF(Atletas!L219="Wudangquan B",125,IF(Atletas!L219="Outros Estilos B",126,IF(Atletas!L219="Chaquan C",127,IF(Atletas!L219="Emeiquan C",128,IF(Atletas!L219="Fanziquan C",129,IF(Atletas!L219="Huaquan C",130,IF(Atletas!L219="Hongquan C",131,IF(Atletas!L219="Paochui C",132,IF(Atletas!L219="Piguaquan C",133,IF(Atletas!L219="Shaolinquan C",134,IF(Atletas!L219="Tanglangquan C",135,IF(Atletas!L219="Yinzhaophai C",136,IF(Atletas!L219="Tongbeiquan C",137,IF(Atletas!L219="Wudangquan C",138,IF(Atletas!L219="Outros Estilos C",139,0))))))))))))))))))))))))))))))))))))))))))</f>
        <v/>
      </c>
      <c r="BM223" s="52" t="str">
        <f>IF(Atletas!L219="","",IF(Atletas!W219&lt;&gt;"",10000,0)+(IF(Atletas!B219="Feminino",1000,IF(Atletas!B219="Masculino",2000,""))+(IF(Atletas!L219="Chaquan D",140,IF(Atletas!L219="Emeiquan D",141,IF(Atletas!L219="Fanziquan D",142,IF(Atletas!L219="Huaquan D",143,IF(Atletas!L219="Hongquan D",144,IF(Atletas!L219="Paochui D",145,IF(Atletas!L219="Piguaquan D",146,IF(Atletas!L219="Shaolinquan D",147,IF(Atletas!L219="Tanglangquan D",148,IF(Atletas!L219="Yinzhaophai D",149,IF(Atletas!L219="Tongbeiquan D",150,IF(Atletas!L219="Wudangquan D",151,IF(Atletas!L219="Outros Estilos D",152,IF(Atletas!L219="Chaquan E",153,IF(Atletas!L219="Emeiquan E",154,IF(Atletas!L219="Fanziquan E",155,IF(Atletas!L219="Huaquan E",156,IF(Atletas!L219="Hongquan E",157,IF(Atletas!L219="Paochui E",158,IF(Atletas!L219="Piguaquan E",159,IF(Atletas!L219="Shaolinquan E",160,IF(Atletas!L219="Tanglangquan E",161,IF(Atletas!L219="Yinzhaophai E",162,IF(Atletas!L219="Tongbeiquan E",163,IF(Atletas!L219="Wudangquan E",164,IF(Atletas!L219="Outros Estilos E",165,IF(Atletas!L219="Chaquan F",166,IF(Atletas!L219="Emeiquan F",167,IF(Atletas!L219="Fanziquan F",168,IF(Atletas!L219="Huaquan F",169,IF(Atletas!L219="Hongquan F",170,IF(Atletas!L219="Paochui F",171,IF(Atletas!L219="Piguaquan F",172,IF(Atletas!L219="Shaolinquan F",173,IF(Atletas!L219="Tanglangquan F",174,IF(Atletas!L219="Yinzhaophai F",175,IF(Atletas!L219="Tongbeiquan F",176,IF(Atletas!L219="Wudangquan F",177,IF(Atletas!L219="Outros Estilos F",178,0))))))))))))))))))))))))))))))))))))))))))</f>
        <v/>
      </c>
      <c r="BN223" s="52" t="str">
        <f>IF(Atletas!M219="","",IF(Atletas!W219&lt;&gt;"",10000,0)+(IF(Atletas!B219="Feminino",1000,IF(Atletas!B219="Masculino",2000,""))+(IF(Atletas!M219="Ditangquan A",201,IF(Atletas!M219="Houquan A",202,IF(Atletas!M219="Zuiquan A",203,IF(Atletas!M219="Ditangquan B",204,IF(Atletas!M219="Houquan B",205,IF(Atletas!M219="Zuiquan B",206,IF(Atletas!M219="Ditangquan C",207,IF(Atletas!M219="Houquan C",208,IF(Atletas!M219="Zuiquan C",209,IF(Atletas!M219="Ditangquan D",210,IF(Atletas!M219="Houquan D",211,IF(Atletas!M219="Zuiquan D",212,IF(Atletas!M219="Ditangquan E",213,IF(Atletas!M219="Houquan E",214,IF(Atletas!M219="Zuiquan E",215,IF(Atletas!M219="Ditangquan F",216,IF(Atletas!M219="Houquan F",217,IF(Atletas!M219="Zuiquan F",218,"")))))))))))))))))))))</f>
        <v/>
      </c>
      <c r="BO223" s="52" t="str">
        <f>IF(Atletas!N219="","",IF(Atletas!W219&lt;&gt;"",10000,0)+IF(Atletas!B219="Feminino",1000,IF(Atletas!B219="Masculino",2000,""))+IF(Atletas!N219="Yang A",301,IF(Atletas!N219="Chen A",30,IF(Atletas!N219="Sun A",303,IF(Atletas!N219="Wu A",304,IF(Atletas!N219="Wu-Hao A",305,IF(Atletas!N219="Outro Taijiquan A",306,IF(Atletas!N219="Yang B",307,IF(Atletas!N219="Chen B",308,IF(Atletas!N219="Sun B",309,IF(Atletas!N219="Wu B",310,IF(Atletas!N219="Wu-Hao B",311,IF(Atletas!N219="Outro Taijiquan B",312,IF(Atletas!N219="Yang C",313,IF(Atletas!N219="Chen C",314,IF(Atletas!N219="Sun C",315,IF(Atletas!N219="Wu C",316,IF(Atletas!N219="Wu-Hao C",317,IF(Atletas!N219="Outro Taijiquan C",318,IF(Atletas!N219="Yang D",319,IF(Atletas!N219="Chen D",320,IF(Atletas!N219="Sun D",321,IF(Atletas!N219="Wu D",322,IF(Atletas!N219="Wu-Hao D",323,IF(Atletas!N219="Outro Taijiquan D",324,IF(Atletas!N219="Yang E",325,IF(Atletas!N219="Chen E",326,IF(Atletas!N219="Sun E",327,IF(Atletas!N219="Wu E",328,IF(Atletas!N219="Wu-Hao E",329,IF(Atletas!N219="Outro Taijiquan E",330,IF(Atletas!N219="Yang F",331,IF(Atletas!N219="Chen F",332,IF(Atletas!N219="Sun F",333,IF(Atletas!N219="Wu F",334,IF(Atletas!N219="Wu-Hao F",335,IF(Atletas!N219="Outro Taijiquan F",336,"")))))))))))))))))))))))))))))))))))))</f>
        <v/>
      </c>
      <c r="BP223" s="52" t="str">
        <f>IF(Atletas!O219="","",IF(Atletas!W219&lt;&gt;"",10000,0)+IF(Atletas!B219="Feminino",1000,IF(Atletas!B219="Masculino",2000,""))+IF(OR(Atletas!O219="Yang 26 A",Atletas!O219="Yang 40 A"),401,IF(OR(Atletas!O219="Chen 25 A",Atletas!O219="Chen 36 A",Atletas!O219="Chen 56 A"),402,IF(Atletas!O219="Sun 73 A",403,IF(Atletas!O219="Wu 45 A",404,IF(Atletas!O219="Wu-Hao 46 A",405,IF(OR(Atletas!O219="Taijiquan 16 A",Atletas!O219="Taijiquan 24 A",Atletas!O219="Taijiquan 32 A",Atletas!O219="Taijiquan 42 A"),406,IF(OR(Atletas!O219="Yang 26 B",Atletas!O219="Yang 40 B"),407,IF(OR(Atletas!O219="Chen 25 B",Atletas!O219="Chen 36 B",Atletas!O219="Chen 56 B"),408,IF(Atletas!O219="Sun 73 B",409,IF(Atletas!O219="Wu 45 B",410,IF(Atletas!O219="Wu-Hao 46 B",411,IF(OR(Atletas!O219="Taijiquan 16 B",Atletas!O219="Taijiquan 24 B",Atletas!O219="Taijiquan 32 B",Atletas!O219="Taijiquan 42 B"),412,IF(OR(Atletas!O219="Yang 26 C",Atletas!O219="Yang 40 C"),413,IF(OR(Atletas!O219="Chen 25 C",Atletas!O219="Chen 36 C",Atletas!O219="Chen 56 C"),414,IF(Atletas!O219="Sun 73 C",415,IF(Atletas!O219="Wu 45 C",416,IF(Atletas!O219="Wu-Hao 46 C",417,IF(OR(Atletas!O219="Taijiquan 16 C",Atletas!O219="Taijiquan 24 C",Atletas!O219="Taijiquan 32 C",Atletas!O219="Taijiquan 42 C"),418,0)))))))))))))))))))</f>
        <v/>
      </c>
      <c r="BQ223" s="52" t="str">
        <f>IF(Atletas!O219="","",IF(Atletas!W219&lt;&gt;"",10000,0)+IF(Atletas!B219="Feminino",1000,IF(Atletas!B219="Masculino",2000,""))+IF(OR(Atletas!O219="Yang 26 D",Atletas!O219="Yang 40 D"),419,IF(OR(Atletas!O219="Chen 25 D",Atletas!O219="Chen 36 D",Atletas!O219="Chen 56 D"),420,IF(Atletas!O219="Sun 73 D",421,IF(Atletas!O219="Wu 45 D",422,IF(Atletas!O219="Wu-Hao 46 D",423,IF(OR(Atletas!O219="Taijiquan 16 D",Atletas!O219="Taijiquan 24 D",Atletas!O219="Taijiquan 32 D",Atletas!O219="Taijiquan 42 D"),424,IF(OR(Atletas!O219="Yang 26 E",Atletas!O219="Yang 40 E"),425,IF(OR(Atletas!O219="Chen 25 E",Atletas!O219="Chen 36 E",Atletas!O219="Chen 56 E"),426,IF(Atletas!O219="Sun 73 E",427,IF(Atletas!O219="Wu 45 E",428,IF(Atletas!O219="Wu-Hao 46 E",429,IF(OR(Atletas!O219="Taijiquan 16 E",Atletas!O219="Taijiquan 24 E",Atletas!O219="Taijiquan 32 E",Atletas!O219="Taijiquan 42 E"),430,IF(OR(Atletas!O219="Yang 26 F",Atletas!O219="Yang 40 F"),431,IF(OR(Atletas!O219="Chen 25 F",Atletas!O219="Chen 36 F",Atletas!O219="Chen 56 F"),432,IF(Atletas!O219="Sun 73 F",433,IF(Atletas!O219="Wu 45 F",434,IF(Atletas!O219="Wu-Hao 46 F",435,IF(OR(Atletas!O219="Taijiquan 16 F",Atletas!O219="Taijiquan 24 F",Atletas!O219="Taijiquan 32 F",Atletas!O219="Taijiquan 42 F"),436,0)))))))))))))))))))</f>
        <v/>
      </c>
      <c r="BR223" s="52" t="str">
        <f>IF(Atletas!P219="","",IF(Atletas!W219&lt;&gt;"",10000,0)+IF(Atletas!B219="Feminino",1000,IF(Atletas!B219="Masculino",2000,""))+IF(Atletas!P219="Xingyiquan A",501,IF(Atletas!P219="Baguazhang A",502,IF(Atletas!P219="Outro Estilo Interno A",503,IF(Atletas!P219="Xingyiquan B",504,IF(Atletas!P219="Baguazhang B",505,IF(Atletas!P219="Outro Estilo Interno B",506,IF(Atletas!P219="Xingyiquan C",507,IF(Atletas!P219="Baguazhang C",508,IF(Atletas!P219="Outro Estilo Interno C",509,IF(Atletas!P219="Xingyiquan D",510,IF(Atletas!P219="Baguazhang D",511,IF(Atletas!P219="Outro Estilo Interno D",512,IF(Atletas!P219="Xingyiquan E",513,IF(Atletas!P219="Baguazhang E",514,IF(Atletas!P219="Outro Estilo Interno E",515,IF(Atletas!P219="Xingyiquan F",516,IF(Atletas!P219="Baguazhang F",517,IF(Atletas!P219="Outro Estilo Interno F",518, "")))))))))))))))))))</f>
        <v/>
      </c>
      <c r="BS223" s="52" t="str">
        <f>IF(Atletas!Q219="","",IF(Atletas!W219&lt;&gt;"",10000,0)+IF(Atletas!B219="Feminino",1000,IF(Atletas!B219="Masculino",2000,""))+IF(Atletas!Q219="Dao A",601,IF(Atletas!Q219="Jian A",602,IF(Atletas!Q219="Bishou A",603,IF(Atletas!Q219="Shan A",604,IF(Atletas!Q219="Outra Arma Curta A",605,IF(Atletas!Q219="Dao B",606,IF(Atletas!Q219="Jian B",607,IF(Atletas!Q219="Bishou B",608,IF(Atletas!Q219="Shan B",609,IF(Atletas!Q219="Outra Arma Curta B",610,IF(Atletas!Q219="Dao C",611,IF(Atletas!Q219="Jian C",612,IF(Atletas!Q219="Bishou C",613,IF(Atletas!Q219="Shan C",614,IF(Atletas!Q219="Outra Arma Curta C",615,IF(Atletas!Q219="Dao D",616,IF(Atletas!Q219="Jian D",617,IF(Atletas!Q219="Bishou D",618,IF(Atletas!Q219="Shan D",619,IF(Atletas!Q219="Outra Arma Curta D",620,IF(Atletas!Q219="Dao E",621,IF(Atletas!Q219="Jian E",622,IF(Atletas!Q219="Bishou E",623,IF(Atletas!Q219="Shan E",624,IF(Atletas!Q219="Outra Arma Curta E",625,IF(Atletas!Q219="Dao F",626,IF(Atletas!Q219="Jian F",627,IF(Atletas!Q219="Bishou F",628,IF(Atletas!Q219="Shan F",629,IF(Atletas!Q219="Outra Arma Curta F",630, "")))))))))))))))))))))))))))))))</f>
        <v/>
      </c>
      <c r="BT223" s="52" t="str">
        <f>IF(Atletas!R219="","",IF(Atletas!W219&lt;&gt;"",10000,0)+IF(Atletas!B219="Feminino",1000,IF(Atletas!B219="Masculino",2000,""))+IF(Atletas!R219="Gun A",701,IF(Atletas!R219="Qiang A",702,IF(Atletas!R219="Pudao / Guandao A",703,IF(Atletas!R219="Outra Arma Longa A",704,IF(Atletas!R219="Gun B",705,IF(Atletas!R219="Qiang B",706,IF(Atletas!R219="Pudao / Guandao B",707,IF(Atletas!R219="Outra Arma Longa B",708,IF(Atletas!R219="Gun C",709,IF(Atletas!R219="Qiang C",710,IF(Atletas!R219="Pudao / Guandao C",711,IF(Atletas!R219="Outra Arma Longa C",712,IF(Atletas!R219="Gun D",713,IF(Atletas!R219="Qiang D",714,IF(Atletas!R219="Pudao / Guandao D",715,IF(Atletas!R219="Outra Arma Longa D",716,IF(Atletas!R219="Gun E",717,IF(Atletas!R219="Qiang E",718,IF(Atletas!R219="Pudao / Guandao E",719,IF(Atletas!R219="Outra Arma Longa E",720,IF(Atletas!R219="Gun F",721,IF(Atletas!R219="Qiang F",722,IF(Atletas!R219="Pudao / Guandao F",723,IF(Atletas!R219="Outra Arma Longa F",724,"")))))))))))))))))))))))))</f>
        <v/>
      </c>
      <c r="BU223" s="52" t="str">
        <f>IF(Atletas!S219="","",IF(Atletas!W219&lt;&gt;"",10000,0)+IF(Atletas!B219="Feminino",1000,IF(Atletas!B219="Masculino",2000,""))+IF(Atletas!S219="Arma Dupla A",801,IF(Atletas!S219="Arma Maleável A",802,IF(Atletas!S219="Arma Dupla B",803,IF(Atletas!S219="Arma Maleável B",804,IF(Atletas!S219="Arma Dupla C",805,IF(Atletas!S219="Arma Maleável C",806,IF(Atletas!S219="Arma Dupla D",807,IF(Atletas!S219="Arma Maleável D",808,IF(Atletas!S219="Arma Dupla E",809,IF(Atletas!S219="Arma Maleável E",810,IF(Atletas!S219="Arma Dupla F",811,IF(Atletas!S219="Arma Maleável F",812, "")))))))))))))</f>
        <v/>
      </c>
      <c r="BV223" s="52" t="str">
        <f>IF(Atletas!T219="","",IF(Atletas!W219&lt;&gt;"",10000,0)+IF(Atletas!B219="Feminino",1000,IF(Atletas!B219="Masculino",2000,""))+IF(Atletas!T219="Taijijian Yang A",901,IF(Atletas!T219="Taijijian Chen A",902,IF(Atletas!T219="Taijijian Sun A",903,IF(Atletas!T219="Taijijian Wu A",904,IF(Atletas!T219="Taijijian Wu-Hao A",905,IF(Atletas!T219="Taijijian 32 A",906,IF(Atletas!T219="Taijijian 42 A",907,IF(Atletas!T219="Taijijian Yang B",908,IF(Atletas!T219="Taijijian Chen B",909,IF(Atletas!T219="Taijijian Sun B",910,IF(Atletas!T219="Taijijian Wu B",911,IF(Atletas!T219="Taijijian Wu-Hao B",912,IF(Atletas!T219="Taijijian 32 B",913,IF(Atletas!T219="Taijijian 42 B",914,IF(Atletas!T219="Taijijian Yang C",915,IF(Atletas!T219="Taijijian Chen C",916,IF(Atletas!T219="Taijijian Sun C",917,IF(Atletas!T219="Taijijian Wu C",918,IF(Atletas!T219="Taijijian Wu-Hao C",919,IF(Atletas!T219="Taijijian 32 C",920,IF(Atletas!T219="Taijijian 42 C",921,IF(Atletas!T219="Taijijian Yang D",922,IF(Atletas!T219="Taijijian Chen D",923,IF(Atletas!T219="Taijijian Sun D",924,IF(Atletas!T219="Taijijian Wu D",925,IF(Atletas!T219="Taijijian Wu-Hao D",926,IF(Atletas!T219="Taijijian 32 D",927,IF(Atletas!T219="Taijijian 42 D",928,IF(Atletas!T219="Taijijian Yang E",929,IF(Atletas!T219="Taijijian Chen E",930,IF(Atletas!T219="Taijijian Sun E",931,IF(Atletas!T219="Taijijian Wu E",932,IF(Atletas!T219="Taijijian Wu-Hao E",933,IF(Atletas!T219="Taijijian 32 E",934,IF(Atletas!T219="Taijijian 42 E",935,IF(Atletas!T219="Taijijian Yang F",936,IF(Atletas!T219="Taijijian Chen F",937,IF(Atletas!T219="Taijijian Sun F",938,IF(Atletas!T219="Taijijian Wu F",939,IF(Atletas!T219="Taijijian Wu-Hao F",940,IF(Atletas!T219="Taijijian 32 F",941,IF(Atletas!T219="Taijijian 42 F",942,"")))))))))))))))))))))))))))))))))))))))))))</f>
        <v/>
      </c>
      <c r="BW223" s="52" t="str">
        <f>IF(Atletas!U219="","",IF(Atletas!W219&lt;&gt;"",10000,0)+IF(Atletas!B219="Feminino",1000,IF(Atletas!B219="Masculino",2000,""))+IF(Atletas!T219="Taijijian 42 F",942,IF(Atletas!U219="Taijidao A",943,IF(Atletas!U219="Taijishan A",944,IF(Atletas!U219="Taijiqiang A",945,IF(Atletas!U219="Taijidao B",946,IF(Atletas!U219="Taijishan B",947,IF(Atletas!U219="Taijiqiang B",948,IF(Atletas!U219="Taijidao C",949,IF(Atletas!U219="Taijishan C",950,IF(Atletas!U219="Taijiqiang C",951,IF(Atletas!U219="Taijidao D",952,IF(Atletas!U219="Taijishan D",953,IF(Atletas!U219="Taijiqiang D",954,IF(Atletas!U219="Taijidao E",955,IF(Atletas!U219="Taijishan E",956,IF(Atletas!U219="Taijiqiang E",957,IF(Atletas!U219="Taijidao F",958,IF(Atletas!U219="Taijishan F",959,IF(Atletas!U219="Taijiqiang F",960))))))))))))))))))))</f>
        <v/>
      </c>
      <c r="BX223" s="72" t="str">
        <f>IF(BY223&lt;&gt;"","Dao A","")</f>
        <v/>
      </c>
      <c r="BY223" s="72" t="str">
        <f>IF(COUNTIF(BK:BW,1601)&gt;0,COUNTIF(BK:BW,1601),"")</f>
        <v/>
      </c>
      <c r="BZ223" s="72" t="str">
        <f>IF(CA223&lt;&gt;"","Dao A","")</f>
        <v/>
      </c>
      <c r="CA223" s="72" t="str">
        <f>IF(COUNTIF(BK:BW,2601)&gt;0,COUNTIF(BK:BW,2601),"")</f>
        <v/>
      </c>
      <c r="CB223" s="72" t="str">
        <f>IF(CC223&lt;&gt;"","Taijiquan 42 E","")</f>
        <v/>
      </c>
      <c r="CC223" s="64" t="str">
        <f>IF(COUNTIF(BK:BW,11455)&gt;0,COUNTIF(BK:BW,11455),"")</f>
        <v/>
      </c>
      <c r="CD223" s="64" t="str">
        <f>IF(CE223&lt;&gt;"","Taijiquan 42 E","")</f>
        <v/>
      </c>
      <c r="CE223" s="64" t="str">
        <f>IF(COUNTIF(BK:BW,12455)&gt;0,COUNTIF(BK:BW,12455),"")</f>
        <v/>
      </c>
      <c r="CF223" s="52" t="str">
        <f xml:space="preserve"> IF(Atletas!V219="","",IF(Atletas!V219="Duilian de Mãos AB - Equipe 1",1,IF(Atletas!V219="Duilian de Mãos AB - Equipe 2",2,IF(Atletas!V219="Duilian de Armas AB - Equipe 1",3,IF(Atletas!V219="Duilian de Armas AB - Equipe 2",4,IF(Atletas!V219="Duilian de Tuishou - Equipe 1",5,IF(Atletas!V219="Duilian de Tuishou - Equipe 2",6,IF(Atletas!V219="Grupo Externo AB - Equipe 1",7,IF(Atletas!V219="Grupo Externo AB - Equipe 2",8,IF(Atletas!V219="Grupo Interno AB - Equipe 1",9,IF(Atletas!V219="Grupo Interno AB - Equipe 2",10,IF(Atletas!V219="Duilian de Mãos CD - Equipe 1",11,IF(Atletas!V219="Duilian de Mãos CD - Equipe 2",12,IF(Atletas!V219="Duilian de Armas CD - Equipe 1",13,IF(Atletas!V219="Duilian de Armas CD - Equipe 2",14,IF(Atletas!V219="Duilian de Tuishou - Equipe 1",15,IF(Atletas!V219="Duilian de Tuishou - Equipe 2",16,IF(Atletas!V219="Grupo Externo CDEF - Equipe 1",17,IF(Atletas!V219="Grupo Externo CDEF - Equipe 2",18,IF(Atletas!V219="Grupo Interno CDEF - Equipe 1",19,IF(Atletas!V219="Grupo Interno CDEF - Equipe 2",20,IF(Atletas!V219="Duilian de Mãos EF - Equipe 1",21,IF(Atletas!V219="Duilian de Mãos EF - Equipe 2",22,IF(Atletas!V219="Duilian de Armas EF - Equipe 1",23,IF(Atletas!V219="Duilian de Armas EF - Equipe 2",24,IF(Atletas!V219="Duilian de Tuishou - Equipe 1",25,IF(Atletas!V219="Duilian de Tuishou - Equipe 2",26,"")))))))))))))))))))))))))))</f>
        <v/>
      </c>
    </row>
    <row r="224" spans="2:84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 t="str">
        <f t="array" ref="V224">IFERROR(INDEX(BX$7:BX$336,SMALL(IF(BX$7:BX$336&lt;&gt;"",ROW(BX$7:BX$336)-ROW(BX$7)+1),ROWS(BX$7:BX204))),"")</f>
        <v/>
      </c>
      <c r="W224" s="4" t="str">
        <f t="array" ref="W224">IFERROR(INDEX(BY$7:BY$336,SMALL(IF(BY$7:BY$336&lt;&gt;"",ROW(BY$7:BY$336)-ROW(BY$7)+1),ROWS(BY$7:BY204))),"")</f>
        <v/>
      </c>
      <c r="X224" s="4" t="str">
        <f t="array" ref="X224">IFERROR(INDEX(BZ$7:BZ$336,SMALL(IF(BZ$7:BZ$336&lt;&gt;"",ROW(BZ$7:BZ$336)-ROW(BZ$7)+1),ROWS(BZ$7:BZ204))),"")</f>
        <v/>
      </c>
      <c r="Y224" s="4" t="str">
        <f t="array" ref="Y224">IFERROR(INDEX(CA$7:CA$336,SMALL(IF(CA$7:CA$336&lt;&gt;"",ROW(CA$7:CA$336)-ROW(CA$7)+1),ROWS(CA$7:CA204))),"")</f>
        <v/>
      </c>
      <c r="Z224" s="4" t="str">
        <f t="array" ref="Z224">IFERROR(INDEX(CB$7:CB$378,SMALL(IF(CB$7:CB$378&lt;&gt;"",ROW(CB$7:CB$378)-ROW(CB$7)+1),ROWS(CB$7:CB223))),"")</f>
        <v/>
      </c>
      <c r="AA224" s="4" t="str">
        <f t="array" ref="AA224">IFERROR(INDEX(CC$7:CC$378,SMALL(IF(CC$7:CC$378&lt;&gt;"",ROW(CC$7:CC$378)-ROW(CC$7)+1),ROWS(CC$7:CC223))),"")</f>
        <v/>
      </c>
      <c r="AB224" s="4" t="str">
        <f t="array" ref="AB224">IFERROR(INDEX(CD$7:CD$378,SMALL(IF(CD$7:CD$378&lt;&gt;"",ROW(CD$7:CD$378)-ROW(CD$7)+1),ROWS(CD$7:CD223))),"")</f>
        <v/>
      </c>
      <c r="AC224" s="4" t="str">
        <f t="array" ref="AC224">IFERROR(INDEX(CE$7:CE$378,SMALL(IF(CE$7:CE$378&lt;&gt;"",ROW(CE$7:CE$378)-ROW(CE$7)+1),ROWS(CE$7:CE223))),"")</f>
        <v/>
      </c>
      <c r="AD224" s="4"/>
      <c r="AE224" s="4"/>
      <c r="AF224" s="4"/>
      <c r="AG224" s="4"/>
      <c r="AH224" s="4"/>
      <c r="AI224" s="4"/>
      <c r="AJ224" s="46" t="str">
        <f>IF(Atletas!D220="","",IF(Atletas!B220="Feminino",100,IF(Atletas!B220="Masculino",200,""))+(IF(Atletas!D220="Infantil 39kg",1,IF(Atletas!D220="Infantil 42kg",2,IF(Atletas!D220="Infantil 45kg",3,IF(Atletas!D220="Infantil 48kg",4,IF(Atletas!D220="Infantil 52kg",5,IF(Atletas!D220="Infantil 56kg",6,IF(Atletas!D220="Infantil 60kg",7,IF(Atletas!D220="Juvenil 48kg",8,IF(Atletas!D220="Juvenil 52kg",9,IF(Atletas!D220="Juvenil 56kg",10,IF(Atletas!D220="Juvenil 60kg",11,IF(Atletas!D220="Juvenil 65kg",12,IF(Atletas!D220="Juvenil 70kg",13,IF(Atletas!D220="Juvenil 75kg",14,IF(Atletas!D220="Juvenil 80kg",15,IF(Atletas!D220="Adulto 48kg",16,IF(Atletas!D220="Adulto 52kg",17,IF(Atletas!D220="Adulto 56kg",18,IF(Atletas!D220="Adulto 60kg",19,IF(Atletas!D220="Adulto 65kg",20,IF(Atletas!D220="Adulto 70kg",21,IF(Atletas!D220="Adulto 75kg",22,IF(Atletas!D220="Adulto 80kg",23,IF(Atletas!D220="Adulto 85kg",24,IF(Atletas!D220="Adulto 90kg",25,IF(Atletas!D220="Adulto +90kg",26,""))))))))))))))))))))))))))))</f>
        <v/>
      </c>
      <c r="AO224" s="10" t="str">
        <f>IF(Atletas!E220="","",IF(Atletas!B220="Feminino",100,IF(Atletas!B220="Masculino",200,""))+(IF(Atletas!E220="Juvenil 44kg",1,IF(Atletas!E220="Juvenil 48kg",2,IF(Atletas!E220="Juvenil 52kg",3,IF(Atletas!E220="Juvenil 56kg",4,IF(Atletas!E220="Juvenil 60kg",5,IF(Atletas!E220="Juvenil 65kg",6,IF(Atletas!E220="Juvenil 70kg",7,IF(Atletas!E220="Juvenil 75kg",8,IF(Atletas!E220="Juvenil 82kg",9,IF(Atletas!E220="Juvenil 90kg",10,IF(Atletas!E220="Juvenil 100kg",11,IF(Atletas!E220="Adulto 48kg",12,IF(Atletas!E220="Adulto 52kg",13,IF(Atletas!E220="Adulto 56kg",14,IF(Atletas!E220="Adulto 60kg",15,IF(Atletas!E220="Adulto 65kg",16,IF(Atletas!E220="Adulto 70kg",17,IF(Atletas!E220="Adulto 75kg",18,IF(Atletas!E220="Adulto 82kg",19,IF(Atletas!E220="Adulto 90kg",20,IF(Atletas!E220="Adulto 100kg",21,IF(Atletas!E220="Adulto +100kg",22,""))))))))))))))))))))))))</f>
        <v/>
      </c>
      <c r="AT224" s="10" t="str">
        <f>IF(Atletas!F220="","",IF(Atletas!B220="Feminino",100,IF(Atletas!B220="Masculino",200,""))+(IF(Atletas!F220="Adulto 48kg",1,IF(Atletas!F220="Adulto 56kg",2,IF(Atletas!F220="Adulto 65kg",3,IF(Atletas!F220="Adulto 75kg",4,IF(Atletas!F220="Adulto +75kg",5,IF(Atletas!F220="Adulto 52kg",6,IF(Atletas!F220="Adulto 60kg",7,IF(Atletas!F220="Adulto 70kg",8,IF(Atletas!F220="Adulto 80kg",9,IF(Atletas!F220="Adulto 90kg",10,IF(Atletas!F220="Adulto +90kg",11,"")))))))))))))</f>
        <v/>
      </c>
      <c r="AY224" s="46" t="str">
        <f>IF(Atletas!G220="","",IF(Atletas!B220="Feminino",100,IF(Atletas!B220="Masculino",200,""))+(IF(Atletas!G220="Changquan Mirim",1,IF(Atletas!G220="Nanquan Mirim",2,IF(Atletas!G220="Taijiquan Mirim",3,IF(Atletas!G220="Changquan Grupo C",4,IF(Atletas!G220="Nanquan Grupo C",5,IF(Atletas!G220="Taijiquan Grupo C",6,IF(Atletas!G220="Changquan Grupo B",7,IF(Atletas!G220="Nanquan Grupo B",8,IF(Atletas!G220="Taijiquan Grupo B",9,IF(Atletas!G220="Changquan Grupo A",10,IF(Atletas!G220="Nanquan Grupo A",11,IF(Atletas!G220="Taijiquan Grupo A",12,IF(Atletas!G220="Changquan Opcional",13,IF(Atletas!G220="Nanquan Opcional",14,IF(Atletas!G220="Taijiquan Opcional",15,IF(Atletas!G220="Changquan Adulto",16,IF(Atletas!G220="Nanquan Adulto",17,IF(Atletas!G220="Taijiquan Adulto",18,""))))))))))))))))))))</f>
        <v/>
      </c>
      <c r="AZ224" s="46" t="str">
        <f>IF(Atletas!H220="","",IF(Atletas!B220="Feminino",100,IF(Atletas!B220="Masculino",200,""))+(IF(Atletas!H220="Daoshu Mirim",19,IF(Atletas!H220="Jianshu Mirim",20,IF(Atletas!H220="Nandao Mirim",21,IF(Atletas!H220="Taijijian Mirim",22,IF(Atletas!H220="Daoshu Grupo C",23,IF(Atletas!H220="Jianshu Grupo C",24,IF(Atletas!H220="Nandao Grupo C",25,IF(Atletas!H220="Taijijian Grupo C",26,IF(Atletas!H220="Daoshu Grupo B",27,IF(Atletas!H220="Jianshu Grupo B",28,IF(Atletas!H220="Nandao Grupo B",29,IF(Atletas!H220="Taijijian Grupo B",30,IF(Atletas!H220="Daoshu Grupo A",31,IF(Atletas!H220="Jianshu Grupo A",32,IF(Atletas!H220="Nandao Grupo A",33,IF(Atletas!H220="Taijijian Grupo A",34,IF(Atletas!H220="Daoshu Opcional",35,IF(Atletas!H220="Jianshu Opcional",36,IF(Atletas!H220="Nandao Opcional",37,IF(Atletas!H220="Taijijian Opcional",38,IF(Atletas!H220="Daoshu Adulto",39,IF(Atletas!H220="Jianshu Adulto",40,IF(Atletas!H220="Nandao Adulto",41,IF(Atletas!H220="Taijijian Adulto",42,""))))))))))))))))))))))))))</f>
        <v/>
      </c>
      <c r="BA224" s="46" t="str">
        <f>IF(Atletas!I220="","",IF(Atletas!B220="Feminino",100,IF(Atletas!B220="Masculino",200,""))+(IF(Atletas!I220="Gunshu Mirim",43,IF(Atletas!I220="Qiangshu Mirim",44,IF(Atletas!I220="Nangun Mirim",45,IF(Atletas!I220="Gunshu Grupo C",46,IF(Atletas!I220="Qiangshu Grupo C",47,IF(Atletas!I220="Nangun Grupo C",48,IF(Atletas!I220="Gunshu Grupo B",49,IF(Atletas!I220="Qiangshu Grupo B",50,IF(Atletas!I220="Nangun Grupo B",51,IF(Atletas!I220="Gunshu Grupo A",52,IF(Atletas!I220="Qiangshu Grupo A",53,IF(Atletas!I220="Nangun Grupo A",54,IF(Atletas!I220="Gunshu Opcional",55,IF(Atletas!I220="Qiangshu Opcional",56,IF(Atletas!I220="Nangun Opcional",57,IF(Atletas!I220="Gunshu Adulto",58,IF(Atletas!I220="Qiangshu Adulto",59,IF(Atletas!I220="Nangun Adulto",60,""))))))))))))))))))))</f>
        <v/>
      </c>
      <c r="BF224" s="52" t="str">
        <f>IF(Atletas!J220="","",IF(Atletas!B220="Feminino",100,IF(Atletas!B220="Masculino",200,""))+(IF(Atletas!J220="Equipe 1 Grupo B",1,IF(Atletas!J220="Equipe 2 Grupo B",2,IF(Atletas!J220="Equipe 1 Grupo A",3,IF(Atletas!J220="Equipe 2 Grupo A",4,IF(Atletas!J220="Equipe 1 Adulto",5,IF(Atletas!J220="Equipe 2 Adulto",6,""))))))))</f>
        <v/>
      </c>
      <c r="BK224" s="52" t="str">
        <f>IF(Atletas!K220="","",IF(Atletas!W220&lt;&gt;"",10000,0)+(IF(Atletas!B220="Feminino",1000,IF(Atletas!B220="Masculino",2000,""))+IF(Atletas!K220="Choylayfut A",1,IF(Atletas!K220="Hunggar A",2,IF(Atletas!K220="Wuzuquan A",3,IF(Atletas!K220="Wingchun A",4,IF(Atletas!K220="Outra Mão de Sul A",5,IF(Atletas!K220="Choylayfut B",6,IF(Atletas!K220="Hunggar B",7,IF(Atletas!K220="Wuzuquan B",8,IF(Atletas!K220="Wingchun B",9,IF(Atletas!K220="Outra Mão de Sul B",10,IF(Atletas!K220="Choylayfut C",11,IF(Atletas!K220="Hunggar C",12,IF(Atletas!K220="Wuzuquan C",13,IF(Atletas!K220="Wingchun C",14,IF(Atletas!K220="Outra Mão de Sul C",15,IF(Atletas!K220="Choylayfut D",16,IF(Atletas!K220="Hunggar D",17,IF(Atletas!K220="Wuzuquan D",18,IF(Atletas!K220="Wingchun D",19,IF(Atletas!K220="Outra Mão de Sul D",20,IF(Atletas!K220="Choylayfut E",21,IF(Atletas!K220="Hunggar E",22,IF(Atletas!K220="Wuzuquan E",23,IF(Atletas!K220="Wingchun E",24,IF(Atletas!K220="Outra Mão de Sul E",25,IF(Atletas!K220="Choylayfut F",26,IF(Atletas!K220="Hunggar F",27,IF(Atletas!K220="Wuzuquan F",28,IF(Atletas!K220="Wingchun F",29,IF(Atletas!K220="Outra Mão de Sul F",30,""))))))))))))))))))))))))))))))))</f>
        <v/>
      </c>
      <c r="BL224" s="52" t="str">
        <f>IF(Atletas!L220="","",IF(Atletas!W220&lt;&gt;"",10000,0)+(IF(Atletas!B220="Feminino",1000,IF(Atletas!B220="Masculino",2000,""))+(IF(Atletas!L220="Chaquan A",101,IF(Atletas!L220="Emeiquan A",102,IF(Atletas!L220="Fanziquan A",103,IF(Atletas!L220="Huaquan A",104,IF(Atletas!L220="Hongquan A",105,IF(Atletas!L220="Paochui A",106,IF(Atletas!L220="Piguaquan A",107,IF(Atletas!L220="Shaolinquan A",108,IF(Atletas!L220="Tanglangquan A",109,IF(Atletas!L220="Yinzhaophai A",110,IF(Atletas!L220="Tongbeiquan A",111,IF(Atletas!L220="Wudangquan A",112,IF(Atletas!L220="Outros Estilos A",113,IF(Atletas!L220="Chaquan B",114,IF(Atletas!L220="Emeiquan B",115,IF(Atletas!L220="Fanziquan B",116,IF(Atletas!L220="Huaquan B",117,IF(Atletas!L220="Hongquan B",118,IF(Atletas!L220="Paochui B",119,IF(Atletas!L220="Piguaquan B",120,IF(Atletas!L220="Shaolinquan B",121,IF(Atletas!L220="Tanglangquan B",122,IF(Atletas!L220="Yinzhaophai B",123,IF(Atletas!L220="Tongbeiquan B",124,IF(Atletas!L220="Wudangquan B",125,IF(Atletas!L220="Outros Estilos B",126,IF(Atletas!L220="Chaquan C",127,IF(Atletas!L220="Emeiquan C",128,IF(Atletas!L220="Fanziquan C",129,IF(Atletas!L220="Huaquan C",130,IF(Atletas!L220="Hongquan C",131,IF(Atletas!L220="Paochui C",132,IF(Atletas!L220="Piguaquan C",133,IF(Atletas!L220="Shaolinquan C",134,IF(Atletas!L220="Tanglangquan C",135,IF(Atletas!L220="Yinzhaophai C",136,IF(Atletas!L220="Tongbeiquan C",137,IF(Atletas!L220="Wudangquan C",138,IF(Atletas!L220="Outros Estilos C",139,0))))))))))))))))))))))))))))))))))))))))))</f>
        <v/>
      </c>
      <c r="BM224" s="52" t="str">
        <f>IF(Atletas!L220="","",IF(Atletas!W220&lt;&gt;"",10000,0)+(IF(Atletas!B220="Feminino",1000,IF(Atletas!B220="Masculino",2000,""))+(IF(Atletas!L220="Chaquan D",140,IF(Atletas!L220="Emeiquan D",141,IF(Atletas!L220="Fanziquan D",142,IF(Atletas!L220="Huaquan D",143,IF(Atletas!L220="Hongquan D",144,IF(Atletas!L220="Paochui D",145,IF(Atletas!L220="Piguaquan D",146,IF(Atletas!L220="Shaolinquan D",147,IF(Atletas!L220="Tanglangquan D",148,IF(Atletas!L220="Yinzhaophai D",149,IF(Atletas!L220="Tongbeiquan D",150,IF(Atletas!L220="Wudangquan D",151,IF(Atletas!L220="Outros Estilos D",152,IF(Atletas!L220="Chaquan E",153,IF(Atletas!L220="Emeiquan E",154,IF(Atletas!L220="Fanziquan E",155,IF(Atletas!L220="Huaquan E",156,IF(Atletas!L220="Hongquan E",157,IF(Atletas!L220="Paochui E",158,IF(Atletas!L220="Piguaquan E",159,IF(Atletas!L220="Shaolinquan E",160,IF(Atletas!L220="Tanglangquan E",161,IF(Atletas!L220="Yinzhaophai E",162,IF(Atletas!L220="Tongbeiquan E",163,IF(Atletas!L220="Wudangquan E",164,IF(Atletas!L220="Outros Estilos E",165,IF(Atletas!L220="Chaquan F",166,IF(Atletas!L220="Emeiquan F",167,IF(Atletas!L220="Fanziquan F",168,IF(Atletas!L220="Huaquan F",169,IF(Atletas!L220="Hongquan F",170,IF(Atletas!L220="Paochui F",171,IF(Atletas!L220="Piguaquan F",172,IF(Atletas!L220="Shaolinquan F",173,IF(Atletas!L220="Tanglangquan F",174,IF(Atletas!L220="Yinzhaophai F",175,IF(Atletas!L220="Tongbeiquan F",176,IF(Atletas!L220="Wudangquan F",177,IF(Atletas!L220="Outros Estilos F",178,0))))))))))))))))))))))))))))))))))))))))))</f>
        <v/>
      </c>
      <c r="BN224" s="52" t="str">
        <f>IF(Atletas!M220="","",IF(Atletas!W220&lt;&gt;"",10000,0)+(IF(Atletas!B220="Feminino",1000,IF(Atletas!B220="Masculino",2000,""))+(IF(Atletas!M220="Ditangquan A",201,IF(Atletas!M220="Houquan A",202,IF(Atletas!M220="Zuiquan A",203,IF(Atletas!M220="Ditangquan B",204,IF(Atletas!M220="Houquan B",205,IF(Atletas!M220="Zuiquan B",206,IF(Atletas!M220="Ditangquan C",207,IF(Atletas!M220="Houquan C",208,IF(Atletas!M220="Zuiquan C",209,IF(Atletas!M220="Ditangquan D",210,IF(Atletas!M220="Houquan D",211,IF(Atletas!M220="Zuiquan D",212,IF(Atletas!M220="Ditangquan E",213,IF(Atletas!M220="Houquan E",214,IF(Atletas!M220="Zuiquan E",215,IF(Atletas!M220="Ditangquan F",216,IF(Atletas!M220="Houquan F",217,IF(Atletas!M220="Zuiquan F",218,"")))))))))))))))))))))</f>
        <v/>
      </c>
      <c r="BO224" s="52" t="str">
        <f>IF(Atletas!N220="","",IF(Atletas!W220&lt;&gt;"",10000,0)+IF(Atletas!B220="Feminino",1000,IF(Atletas!B220="Masculino",2000,""))+IF(Atletas!N220="Yang A",301,IF(Atletas!N220="Chen A",30,IF(Atletas!N220="Sun A",303,IF(Atletas!N220="Wu A",304,IF(Atletas!N220="Wu-Hao A",305,IF(Atletas!N220="Outro Taijiquan A",306,IF(Atletas!N220="Yang B",307,IF(Atletas!N220="Chen B",308,IF(Atletas!N220="Sun B",309,IF(Atletas!N220="Wu B",310,IF(Atletas!N220="Wu-Hao B",311,IF(Atletas!N220="Outro Taijiquan B",312,IF(Atletas!N220="Yang C",313,IF(Atletas!N220="Chen C",314,IF(Atletas!N220="Sun C",315,IF(Atletas!N220="Wu C",316,IF(Atletas!N220="Wu-Hao C",317,IF(Atletas!N220="Outro Taijiquan C",318,IF(Atletas!N220="Yang D",319,IF(Atletas!N220="Chen D",320,IF(Atletas!N220="Sun D",321,IF(Atletas!N220="Wu D",322,IF(Atletas!N220="Wu-Hao D",323,IF(Atletas!N220="Outro Taijiquan D",324,IF(Atletas!N220="Yang E",325,IF(Atletas!N220="Chen E",326,IF(Atletas!N220="Sun E",327,IF(Atletas!N220="Wu E",328,IF(Atletas!N220="Wu-Hao E",329,IF(Atletas!N220="Outro Taijiquan E",330,IF(Atletas!N220="Yang F",331,IF(Atletas!N220="Chen F",332,IF(Atletas!N220="Sun F",333,IF(Atletas!N220="Wu F",334,IF(Atletas!N220="Wu-Hao F",335,IF(Atletas!N220="Outro Taijiquan F",336,"")))))))))))))))))))))))))))))))))))))</f>
        <v/>
      </c>
      <c r="BP224" s="52" t="str">
        <f>IF(Atletas!O220="","",IF(Atletas!W220&lt;&gt;"",10000,0)+IF(Atletas!B220="Feminino",1000,IF(Atletas!B220="Masculino",2000,""))+IF(OR(Atletas!O220="Yang 26 A",Atletas!O220="Yang 40 A"),401,IF(OR(Atletas!O220="Chen 25 A",Atletas!O220="Chen 36 A",Atletas!O220="Chen 56 A"),402,IF(Atletas!O220="Sun 73 A",403,IF(Atletas!O220="Wu 45 A",404,IF(Atletas!O220="Wu-Hao 46 A",405,IF(OR(Atletas!O220="Taijiquan 16 A",Atletas!O220="Taijiquan 24 A",Atletas!O220="Taijiquan 32 A",Atletas!O220="Taijiquan 42 A"),406,IF(OR(Atletas!O220="Yang 26 B",Atletas!O220="Yang 40 B"),407,IF(OR(Atletas!O220="Chen 25 B",Atletas!O220="Chen 36 B",Atletas!O220="Chen 56 B"),408,IF(Atletas!O220="Sun 73 B",409,IF(Atletas!O220="Wu 45 B",410,IF(Atletas!O220="Wu-Hao 46 B",411,IF(OR(Atletas!O220="Taijiquan 16 B",Atletas!O220="Taijiquan 24 B",Atletas!O220="Taijiquan 32 B",Atletas!O220="Taijiquan 42 B"),412,IF(OR(Atletas!O220="Yang 26 C",Atletas!O220="Yang 40 C"),413,IF(OR(Atletas!O220="Chen 25 C",Atletas!O220="Chen 36 C",Atletas!O220="Chen 56 C"),414,IF(Atletas!O220="Sun 73 C",415,IF(Atletas!O220="Wu 45 C",416,IF(Atletas!O220="Wu-Hao 46 C",417,IF(OR(Atletas!O220="Taijiquan 16 C",Atletas!O220="Taijiquan 24 C",Atletas!O220="Taijiquan 32 C",Atletas!O220="Taijiquan 42 C"),418,0)))))))))))))))))))</f>
        <v/>
      </c>
      <c r="BQ224" s="52" t="str">
        <f>IF(Atletas!O220="","",IF(Atletas!W220&lt;&gt;"",10000,0)+IF(Atletas!B220="Feminino",1000,IF(Atletas!B220="Masculino",2000,""))+IF(OR(Atletas!O220="Yang 26 D",Atletas!O220="Yang 40 D"),419,IF(OR(Atletas!O220="Chen 25 D",Atletas!O220="Chen 36 D",Atletas!O220="Chen 56 D"),420,IF(Atletas!O220="Sun 73 D",421,IF(Atletas!O220="Wu 45 D",422,IF(Atletas!O220="Wu-Hao 46 D",423,IF(OR(Atletas!O220="Taijiquan 16 D",Atletas!O220="Taijiquan 24 D",Atletas!O220="Taijiquan 32 D",Atletas!O220="Taijiquan 42 D"),424,IF(OR(Atletas!O220="Yang 26 E",Atletas!O220="Yang 40 E"),425,IF(OR(Atletas!O220="Chen 25 E",Atletas!O220="Chen 36 E",Atletas!O220="Chen 56 E"),426,IF(Atletas!O220="Sun 73 E",427,IF(Atletas!O220="Wu 45 E",428,IF(Atletas!O220="Wu-Hao 46 E",429,IF(OR(Atletas!O220="Taijiquan 16 E",Atletas!O220="Taijiquan 24 E",Atletas!O220="Taijiquan 32 E",Atletas!O220="Taijiquan 42 E"),430,IF(OR(Atletas!O220="Yang 26 F",Atletas!O220="Yang 40 F"),431,IF(OR(Atletas!O220="Chen 25 F",Atletas!O220="Chen 36 F",Atletas!O220="Chen 56 F"),432,IF(Atletas!O220="Sun 73 F",433,IF(Atletas!O220="Wu 45 F",434,IF(Atletas!O220="Wu-Hao 46 F",435,IF(OR(Atletas!O220="Taijiquan 16 F",Atletas!O220="Taijiquan 24 F",Atletas!O220="Taijiquan 32 F",Atletas!O220="Taijiquan 42 F"),436,0)))))))))))))))))))</f>
        <v/>
      </c>
      <c r="BR224" s="52" t="str">
        <f>IF(Atletas!P220="","",IF(Atletas!W220&lt;&gt;"",10000,0)+IF(Atletas!B220="Feminino",1000,IF(Atletas!B220="Masculino",2000,""))+IF(Atletas!P220="Xingyiquan A",501,IF(Atletas!P220="Baguazhang A",502,IF(Atletas!P220="Outro Estilo Interno A",503,IF(Atletas!P220="Xingyiquan B",504,IF(Atletas!P220="Baguazhang B",505,IF(Atletas!P220="Outro Estilo Interno B",506,IF(Atletas!P220="Xingyiquan C",507,IF(Atletas!P220="Baguazhang C",508,IF(Atletas!P220="Outro Estilo Interno C",509,IF(Atletas!P220="Xingyiquan D",510,IF(Atletas!P220="Baguazhang D",511,IF(Atletas!P220="Outro Estilo Interno D",512,IF(Atletas!P220="Xingyiquan E",513,IF(Atletas!P220="Baguazhang E",514,IF(Atletas!P220="Outro Estilo Interno E",515,IF(Atletas!P220="Xingyiquan F",516,IF(Atletas!P220="Baguazhang F",517,IF(Atletas!P220="Outro Estilo Interno F",518, "")))))))))))))))))))</f>
        <v/>
      </c>
      <c r="BS224" s="52" t="str">
        <f>IF(Atletas!Q220="","",IF(Atletas!W220&lt;&gt;"",10000,0)+IF(Atletas!B220="Feminino",1000,IF(Atletas!B220="Masculino",2000,""))+IF(Atletas!Q220="Dao A",601,IF(Atletas!Q220="Jian A",602,IF(Atletas!Q220="Bishou A",603,IF(Atletas!Q220="Shan A",604,IF(Atletas!Q220="Outra Arma Curta A",605,IF(Atletas!Q220="Dao B",606,IF(Atletas!Q220="Jian B",607,IF(Atletas!Q220="Bishou B",608,IF(Atletas!Q220="Shan B",609,IF(Atletas!Q220="Outra Arma Curta B",610,IF(Atletas!Q220="Dao C",611,IF(Atletas!Q220="Jian C",612,IF(Atletas!Q220="Bishou C",613,IF(Atletas!Q220="Shan C",614,IF(Atletas!Q220="Outra Arma Curta C",615,IF(Atletas!Q220="Dao D",616,IF(Atletas!Q220="Jian D",617,IF(Atletas!Q220="Bishou D",618,IF(Atletas!Q220="Shan D",619,IF(Atletas!Q220="Outra Arma Curta D",620,IF(Atletas!Q220="Dao E",621,IF(Atletas!Q220="Jian E",622,IF(Atletas!Q220="Bishou E",623,IF(Atletas!Q220="Shan E",624,IF(Atletas!Q220="Outra Arma Curta E",625,IF(Atletas!Q220="Dao F",626,IF(Atletas!Q220="Jian F",627,IF(Atletas!Q220="Bishou F",628,IF(Atletas!Q220="Shan F",629,IF(Atletas!Q220="Outra Arma Curta F",630, "")))))))))))))))))))))))))))))))</f>
        <v/>
      </c>
      <c r="BT224" s="52" t="str">
        <f>IF(Atletas!R220="","",IF(Atletas!W220&lt;&gt;"",10000,0)+IF(Atletas!B220="Feminino",1000,IF(Atletas!B220="Masculino",2000,""))+IF(Atletas!R220="Gun A",701,IF(Atletas!R220="Qiang A",702,IF(Atletas!R220="Pudao / Guandao A",703,IF(Atletas!R220="Outra Arma Longa A",704,IF(Atletas!R220="Gun B",705,IF(Atletas!R220="Qiang B",706,IF(Atletas!R220="Pudao / Guandao B",707,IF(Atletas!R220="Outra Arma Longa B",708,IF(Atletas!R220="Gun C",709,IF(Atletas!R220="Qiang C",710,IF(Atletas!R220="Pudao / Guandao C",711,IF(Atletas!R220="Outra Arma Longa C",712,IF(Atletas!R220="Gun D",713,IF(Atletas!R220="Qiang D",714,IF(Atletas!R220="Pudao / Guandao D",715,IF(Atletas!R220="Outra Arma Longa D",716,IF(Atletas!R220="Gun E",717,IF(Atletas!R220="Qiang E",718,IF(Atletas!R220="Pudao / Guandao E",719,IF(Atletas!R220="Outra Arma Longa E",720,IF(Atletas!R220="Gun F",721,IF(Atletas!R220="Qiang F",722,IF(Atletas!R220="Pudao / Guandao F",723,IF(Atletas!R220="Outra Arma Longa F",724,"")))))))))))))))))))))))))</f>
        <v/>
      </c>
      <c r="BU224" s="52" t="str">
        <f>IF(Atletas!S220="","",IF(Atletas!W220&lt;&gt;"",10000,0)+IF(Atletas!B220="Feminino",1000,IF(Atletas!B220="Masculino",2000,""))+IF(Atletas!S220="Arma Dupla A",801,IF(Atletas!S220="Arma Maleável A",802,IF(Atletas!S220="Arma Dupla B",803,IF(Atletas!S220="Arma Maleável B",804,IF(Atletas!S220="Arma Dupla C",805,IF(Atletas!S220="Arma Maleável C",806,IF(Atletas!S220="Arma Dupla D",807,IF(Atletas!S220="Arma Maleável D",808,IF(Atletas!S220="Arma Dupla E",809,IF(Atletas!S220="Arma Maleável E",810,IF(Atletas!S220="Arma Dupla F",811,IF(Atletas!S220="Arma Maleável F",812, "")))))))))))))</f>
        <v/>
      </c>
      <c r="BV224" s="52" t="str">
        <f>IF(Atletas!T220="","",IF(Atletas!W220&lt;&gt;"",10000,0)+IF(Atletas!B220="Feminino",1000,IF(Atletas!B220="Masculino",2000,""))+IF(Atletas!T220="Taijijian Yang A",901,IF(Atletas!T220="Taijijian Chen A",902,IF(Atletas!T220="Taijijian Sun A",903,IF(Atletas!T220="Taijijian Wu A",904,IF(Atletas!T220="Taijijian Wu-Hao A",905,IF(Atletas!T220="Taijijian 32 A",906,IF(Atletas!T220="Taijijian 42 A",907,IF(Atletas!T220="Taijijian Yang B",908,IF(Atletas!T220="Taijijian Chen B",909,IF(Atletas!T220="Taijijian Sun B",910,IF(Atletas!T220="Taijijian Wu B",911,IF(Atletas!T220="Taijijian Wu-Hao B",912,IF(Atletas!T220="Taijijian 32 B",913,IF(Atletas!T220="Taijijian 42 B",914,IF(Atletas!T220="Taijijian Yang C",915,IF(Atletas!T220="Taijijian Chen C",916,IF(Atletas!T220="Taijijian Sun C",917,IF(Atletas!T220="Taijijian Wu C",918,IF(Atletas!T220="Taijijian Wu-Hao C",919,IF(Atletas!T220="Taijijian 32 C",920,IF(Atletas!T220="Taijijian 42 C",921,IF(Atletas!T220="Taijijian Yang D",922,IF(Atletas!T220="Taijijian Chen D",923,IF(Atletas!T220="Taijijian Sun D",924,IF(Atletas!T220="Taijijian Wu D",925,IF(Atletas!T220="Taijijian Wu-Hao D",926,IF(Atletas!T220="Taijijian 32 D",927,IF(Atletas!T220="Taijijian 42 D",928,IF(Atletas!T220="Taijijian Yang E",929,IF(Atletas!T220="Taijijian Chen E",930,IF(Atletas!T220="Taijijian Sun E",931,IF(Atletas!T220="Taijijian Wu E",932,IF(Atletas!T220="Taijijian Wu-Hao E",933,IF(Atletas!T220="Taijijian 32 E",934,IF(Atletas!T220="Taijijian 42 E",935,IF(Atletas!T220="Taijijian Yang F",936,IF(Atletas!T220="Taijijian Chen F",937,IF(Atletas!T220="Taijijian Sun F",938,IF(Atletas!T220="Taijijian Wu F",939,IF(Atletas!T220="Taijijian Wu-Hao F",940,IF(Atletas!T220="Taijijian 32 F",941,IF(Atletas!T220="Taijijian 42 F",942,"")))))))))))))))))))))))))))))))))))))))))))</f>
        <v/>
      </c>
      <c r="BW224" s="52" t="str">
        <f>IF(Atletas!U220="","",IF(Atletas!W220&lt;&gt;"",10000,0)+IF(Atletas!B220="Feminino",1000,IF(Atletas!B220="Masculino",2000,""))+IF(Atletas!T220="Taijijian 42 F",942,IF(Atletas!U220="Taijidao A",943,IF(Atletas!U220="Taijishan A",944,IF(Atletas!U220="Taijiqiang A",945,IF(Atletas!U220="Taijidao B",946,IF(Atletas!U220="Taijishan B",947,IF(Atletas!U220="Taijiqiang B",948,IF(Atletas!U220="Taijidao C",949,IF(Atletas!U220="Taijishan C",950,IF(Atletas!U220="Taijiqiang C",951,IF(Atletas!U220="Taijidao D",952,IF(Atletas!U220="Taijishan D",953,IF(Atletas!U220="Taijiqiang D",954,IF(Atletas!U220="Taijidao E",955,IF(Atletas!U220="Taijishan E",956,IF(Atletas!U220="Taijiqiang E",957,IF(Atletas!U220="Taijidao F",958,IF(Atletas!U220="Taijishan F",959,IF(Atletas!U220="Taijiqiang F",960))))))))))))))))))))</f>
        <v/>
      </c>
      <c r="BX224" s="72" t="str">
        <f>IF(BY224&lt;&gt;"","Jian A","")</f>
        <v/>
      </c>
      <c r="BY224" s="72" t="str">
        <f>IF(COUNTIF(BK:BW,1602)&gt;0,COUNTIF(BK:BW,1602),"")</f>
        <v/>
      </c>
      <c r="BZ224" s="72" t="str">
        <f>IF(CA224&lt;&gt;"","Jian A","")</f>
        <v/>
      </c>
      <c r="CA224" s="72" t="str">
        <f>IF(COUNTIF(BK:BW,2602)&gt;0,COUNTIF(BK:BW,2602),"")</f>
        <v/>
      </c>
      <c r="CB224" s="72" t="str">
        <f>IF(CC224&lt;&gt;"","Yang 50 E","")</f>
        <v/>
      </c>
      <c r="CC224" s="64" t="str">
        <f>IF(COUNTIF(BK:BW,11456)&gt;0,COUNTIF(BK:BW,11456),"")</f>
        <v/>
      </c>
      <c r="CD224" s="64" t="str">
        <f>IF(CE224&lt;&gt;"","Yang 50 E","")</f>
        <v/>
      </c>
      <c r="CE224" s="64" t="str">
        <f>IF(COUNTIF(BK:BW,12456)&gt;0,COUNTIF(BK:BW,12456),"")</f>
        <v/>
      </c>
      <c r="CF224" s="52" t="str">
        <f xml:space="preserve"> IF(Atletas!V220="","",IF(Atletas!V220="Duilian de Mãos AB - Equipe 1",1,IF(Atletas!V220="Duilian de Mãos AB - Equipe 2",2,IF(Atletas!V220="Duilian de Armas AB - Equipe 1",3,IF(Atletas!V220="Duilian de Armas AB - Equipe 2",4,IF(Atletas!V220="Duilian de Tuishou - Equipe 1",5,IF(Atletas!V220="Duilian de Tuishou - Equipe 2",6,IF(Atletas!V220="Grupo Externo AB - Equipe 1",7,IF(Atletas!V220="Grupo Externo AB - Equipe 2",8,IF(Atletas!V220="Grupo Interno AB - Equipe 1",9,IF(Atletas!V220="Grupo Interno AB - Equipe 2",10,IF(Atletas!V220="Duilian de Mãos CD - Equipe 1",11,IF(Atletas!V220="Duilian de Mãos CD - Equipe 2",12,IF(Atletas!V220="Duilian de Armas CD - Equipe 1",13,IF(Atletas!V220="Duilian de Armas CD - Equipe 2",14,IF(Atletas!V220="Duilian de Tuishou - Equipe 1",15,IF(Atletas!V220="Duilian de Tuishou - Equipe 2",16,IF(Atletas!V220="Grupo Externo CDEF - Equipe 1",17,IF(Atletas!V220="Grupo Externo CDEF - Equipe 2",18,IF(Atletas!V220="Grupo Interno CDEF - Equipe 1",19,IF(Atletas!V220="Grupo Interno CDEF - Equipe 2",20,IF(Atletas!V220="Duilian de Mãos EF - Equipe 1",21,IF(Atletas!V220="Duilian de Mãos EF - Equipe 2",22,IF(Atletas!V220="Duilian de Armas EF - Equipe 1",23,IF(Atletas!V220="Duilian de Armas EF - Equipe 2",24,IF(Atletas!V220="Duilian de Tuishou - Equipe 1",25,IF(Atletas!V220="Duilian de Tuishou - Equipe 2",26,"")))))))))))))))))))))))))))</f>
        <v/>
      </c>
    </row>
    <row r="225" spans="2:84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 t="str">
        <f t="array" ref="V225">IFERROR(INDEX(BX$7:BX$336,SMALL(IF(BX$7:BX$336&lt;&gt;"",ROW(BX$7:BX$336)-ROW(BX$7)+1),ROWS(BX$7:BX204))),"")</f>
        <v/>
      </c>
      <c r="W225" s="4" t="str">
        <f t="array" ref="W225">IFERROR(INDEX(BY$7:BY$336,SMALL(IF(BY$7:BY$336&lt;&gt;"",ROW(BY$7:BY$336)-ROW(BY$7)+1),ROWS(BY$7:BY204))),"")</f>
        <v/>
      </c>
      <c r="X225" s="4" t="str">
        <f t="array" ref="X225">IFERROR(INDEX(BZ$7:BZ$336,SMALL(IF(BZ$7:BZ$336&lt;&gt;"",ROW(BZ$7:BZ$336)-ROW(BZ$7)+1),ROWS(BZ$7:BZ204))),"")</f>
        <v/>
      </c>
      <c r="Y225" s="4" t="str">
        <f t="array" ref="Y225">IFERROR(INDEX(CA$7:CA$336,SMALL(IF(CA$7:CA$336&lt;&gt;"",ROW(CA$7:CA$336)-ROW(CA$7)+1),ROWS(CA$7:CA204))),"")</f>
        <v/>
      </c>
      <c r="Z225" s="4" t="str">
        <f t="array" ref="Z225">IFERROR(INDEX(CB$7:CB$378,SMALL(IF(CB$7:CB$378&lt;&gt;"",ROW(CB$7:CB$378)-ROW(CB$7)+1),ROWS(CB$7:CB224))),"")</f>
        <v/>
      </c>
      <c r="AA225" s="4" t="str">
        <f t="array" ref="AA225">IFERROR(INDEX(CC$7:CC$378,SMALL(IF(CC$7:CC$378&lt;&gt;"",ROW(CC$7:CC$378)-ROW(CC$7)+1),ROWS(CC$7:CC224))),"")</f>
        <v/>
      </c>
      <c r="AB225" s="4" t="str">
        <f t="array" ref="AB225">IFERROR(INDEX(CD$7:CD$378,SMALL(IF(CD$7:CD$378&lt;&gt;"",ROW(CD$7:CD$378)-ROW(CD$7)+1),ROWS(CD$7:CD224))),"")</f>
        <v/>
      </c>
      <c r="AC225" s="4" t="str">
        <f t="array" ref="AC225">IFERROR(INDEX(CE$7:CE$378,SMALL(IF(CE$7:CE$378&lt;&gt;"",ROW(CE$7:CE$378)-ROW(CE$7)+1),ROWS(CE$7:CE224))),"")</f>
        <v/>
      </c>
      <c r="AD225" s="4"/>
      <c r="AE225" s="4"/>
      <c r="AF225" s="4"/>
      <c r="AG225" s="4"/>
      <c r="AH225" s="4"/>
      <c r="AI225" s="4"/>
      <c r="AJ225" s="46" t="str">
        <f>IF(Atletas!D221="","",IF(Atletas!B221="Feminino",100,IF(Atletas!B221="Masculino",200,""))+(IF(Atletas!D221="Infantil 39kg",1,IF(Atletas!D221="Infantil 42kg",2,IF(Atletas!D221="Infantil 45kg",3,IF(Atletas!D221="Infantil 48kg",4,IF(Atletas!D221="Infantil 52kg",5,IF(Atletas!D221="Infantil 56kg",6,IF(Atletas!D221="Infantil 60kg",7,IF(Atletas!D221="Juvenil 48kg",8,IF(Atletas!D221="Juvenil 52kg",9,IF(Atletas!D221="Juvenil 56kg",10,IF(Atletas!D221="Juvenil 60kg",11,IF(Atletas!D221="Juvenil 65kg",12,IF(Atletas!D221="Juvenil 70kg",13,IF(Atletas!D221="Juvenil 75kg",14,IF(Atletas!D221="Juvenil 80kg",15,IF(Atletas!D221="Adulto 48kg",16,IF(Atletas!D221="Adulto 52kg",17,IF(Atletas!D221="Adulto 56kg",18,IF(Atletas!D221="Adulto 60kg",19,IF(Atletas!D221="Adulto 65kg",20,IF(Atletas!D221="Adulto 70kg",21,IF(Atletas!D221="Adulto 75kg",22,IF(Atletas!D221="Adulto 80kg",23,IF(Atletas!D221="Adulto 85kg",24,IF(Atletas!D221="Adulto 90kg",25,IF(Atletas!D221="Adulto +90kg",26,""))))))))))))))))))))))))))))</f>
        <v/>
      </c>
      <c r="AO225" s="10" t="str">
        <f>IF(Atletas!E221="","",IF(Atletas!B221="Feminino",100,IF(Atletas!B221="Masculino",200,""))+(IF(Atletas!E221="Juvenil 44kg",1,IF(Atletas!E221="Juvenil 48kg",2,IF(Atletas!E221="Juvenil 52kg",3,IF(Atletas!E221="Juvenil 56kg",4,IF(Atletas!E221="Juvenil 60kg",5,IF(Atletas!E221="Juvenil 65kg",6,IF(Atletas!E221="Juvenil 70kg",7,IF(Atletas!E221="Juvenil 75kg",8,IF(Atletas!E221="Juvenil 82kg",9,IF(Atletas!E221="Juvenil 90kg",10,IF(Atletas!E221="Juvenil 100kg",11,IF(Atletas!E221="Adulto 48kg",12,IF(Atletas!E221="Adulto 52kg",13,IF(Atletas!E221="Adulto 56kg",14,IF(Atletas!E221="Adulto 60kg",15,IF(Atletas!E221="Adulto 65kg",16,IF(Atletas!E221="Adulto 70kg",17,IF(Atletas!E221="Adulto 75kg",18,IF(Atletas!E221="Adulto 82kg",19,IF(Atletas!E221="Adulto 90kg",20,IF(Atletas!E221="Adulto 100kg",21,IF(Atletas!E221="Adulto +100kg",22,""))))))))))))))))))))))))</f>
        <v/>
      </c>
      <c r="AT225" s="10" t="str">
        <f>IF(Atletas!F221="","",IF(Atletas!B221="Feminino",100,IF(Atletas!B221="Masculino",200,""))+(IF(Atletas!F221="Adulto 48kg",1,IF(Atletas!F221="Adulto 56kg",2,IF(Atletas!F221="Adulto 65kg",3,IF(Atletas!F221="Adulto 75kg",4,IF(Atletas!F221="Adulto +75kg",5,IF(Atletas!F221="Adulto 52kg",6,IF(Atletas!F221="Adulto 60kg",7,IF(Atletas!F221="Adulto 70kg",8,IF(Atletas!F221="Adulto 80kg",9,IF(Atletas!F221="Adulto 90kg",10,IF(Atletas!F221="Adulto +90kg",11,"")))))))))))))</f>
        <v/>
      </c>
      <c r="AY225" s="46" t="str">
        <f>IF(Atletas!G221="","",IF(Atletas!B221="Feminino",100,IF(Atletas!B221="Masculino",200,""))+(IF(Atletas!G221="Changquan Mirim",1,IF(Atletas!G221="Nanquan Mirim",2,IF(Atletas!G221="Taijiquan Mirim",3,IF(Atletas!G221="Changquan Grupo C",4,IF(Atletas!G221="Nanquan Grupo C",5,IF(Atletas!G221="Taijiquan Grupo C",6,IF(Atletas!G221="Changquan Grupo B",7,IF(Atletas!G221="Nanquan Grupo B",8,IF(Atletas!G221="Taijiquan Grupo B",9,IF(Atletas!G221="Changquan Grupo A",10,IF(Atletas!G221="Nanquan Grupo A",11,IF(Atletas!G221="Taijiquan Grupo A",12,IF(Atletas!G221="Changquan Opcional",13,IF(Atletas!G221="Nanquan Opcional",14,IF(Atletas!G221="Taijiquan Opcional",15,IF(Atletas!G221="Changquan Adulto",16,IF(Atletas!G221="Nanquan Adulto",17,IF(Atletas!G221="Taijiquan Adulto",18,""))))))))))))))))))))</f>
        <v/>
      </c>
      <c r="AZ225" s="46" t="str">
        <f>IF(Atletas!H221="","",IF(Atletas!B221="Feminino",100,IF(Atletas!B221="Masculino",200,""))+(IF(Atletas!H221="Daoshu Mirim",19,IF(Atletas!H221="Jianshu Mirim",20,IF(Atletas!H221="Nandao Mirim",21,IF(Atletas!H221="Taijijian Mirim",22,IF(Atletas!H221="Daoshu Grupo C",23,IF(Atletas!H221="Jianshu Grupo C",24,IF(Atletas!H221="Nandao Grupo C",25,IF(Atletas!H221="Taijijian Grupo C",26,IF(Atletas!H221="Daoshu Grupo B",27,IF(Atletas!H221="Jianshu Grupo B",28,IF(Atletas!H221="Nandao Grupo B",29,IF(Atletas!H221="Taijijian Grupo B",30,IF(Atletas!H221="Daoshu Grupo A",31,IF(Atletas!H221="Jianshu Grupo A",32,IF(Atletas!H221="Nandao Grupo A",33,IF(Atletas!H221="Taijijian Grupo A",34,IF(Atletas!H221="Daoshu Opcional",35,IF(Atletas!H221="Jianshu Opcional",36,IF(Atletas!H221="Nandao Opcional",37,IF(Atletas!H221="Taijijian Opcional",38,IF(Atletas!H221="Daoshu Adulto",39,IF(Atletas!H221="Jianshu Adulto",40,IF(Atletas!H221="Nandao Adulto",41,IF(Atletas!H221="Taijijian Adulto",42,""))))))))))))))))))))))))))</f>
        <v/>
      </c>
      <c r="BA225" s="46" t="str">
        <f>IF(Atletas!I221="","",IF(Atletas!B221="Feminino",100,IF(Atletas!B221="Masculino",200,""))+(IF(Atletas!I221="Gunshu Mirim",43,IF(Atletas!I221="Qiangshu Mirim",44,IF(Atletas!I221="Nangun Mirim",45,IF(Atletas!I221="Gunshu Grupo C",46,IF(Atletas!I221="Qiangshu Grupo C",47,IF(Atletas!I221="Nangun Grupo C",48,IF(Atletas!I221="Gunshu Grupo B",49,IF(Atletas!I221="Qiangshu Grupo B",50,IF(Atletas!I221="Nangun Grupo B",51,IF(Atletas!I221="Gunshu Grupo A",52,IF(Atletas!I221="Qiangshu Grupo A",53,IF(Atletas!I221="Nangun Grupo A",54,IF(Atletas!I221="Gunshu Opcional",55,IF(Atletas!I221="Qiangshu Opcional",56,IF(Atletas!I221="Nangun Opcional",57,IF(Atletas!I221="Gunshu Adulto",58,IF(Atletas!I221="Qiangshu Adulto",59,IF(Atletas!I221="Nangun Adulto",60,""))))))))))))))))))))</f>
        <v/>
      </c>
      <c r="BF225" s="52" t="str">
        <f>IF(Atletas!J221="","",IF(Atletas!B221="Feminino",100,IF(Atletas!B221="Masculino",200,""))+(IF(Atletas!J221="Equipe 1 Grupo B",1,IF(Atletas!J221="Equipe 2 Grupo B",2,IF(Atletas!J221="Equipe 1 Grupo A",3,IF(Atletas!J221="Equipe 2 Grupo A",4,IF(Atletas!J221="Equipe 1 Adulto",5,IF(Atletas!J221="Equipe 2 Adulto",6,""))))))))</f>
        <v/>
      </c>
      <c r="BK225" s="52" t="str">
        <f>IF(Atletas!K221="","",IF(Atletas!W221&lt;&gt;"",10000,0)+(IF(Atletas!B221="Feminino",1000,IF(Atletas!B221="Masculino",2000,""))+IF(Atletas!K221="Choylayfut A",1,IF(Atletas!K221="Hunggar A",2,IF(Atletas!K221="Wuzuquan A",3,IF(Atletas!K221="Wingchun A",4,IF(Atletas!K221="Outra Mão de Sul A",5,IF(Atletas!K221="Choylayfut B",6,IF(Atletas!K221="Hunggar B",7,IF(Atletas!K221="Wuzuquan B",8,IF(Atletas!K221="Wingchun B",9,IF(Atletas!K221="Outra Mão de Sul B",10,IF(Atletas!K221="Choylayfut C",11,IF(Atletas!K221="Hunggar C",12,IF(Atletas!K221="Wuzuquan C",13,IF(Atletas!K221="Wingchun C",14,IF(Atletas!K221="Outra Mão de Sul C",15,IF(Atletas!K221="Choylayfut D",16,IF(Atletas!K221="Hunggar D",17,IF(Atletas!K221="Wuzuquan D",18,IF(Atletas!K221="Wingchun D",19,IF(Atletas!K221="Outra Mão de Sul D",20,IF(Atletas!K221="Choylayfut E",21,IF(Atletas!K221="Hunggar E",22,IF(Atletas!K221="Wuzuquan E",23,IF(Atletas!K221="Wingchun E",24,IF(Atletas!K221="Outra Mão de Sul E",25,IF(Atletas!K221="Choylayfut F",26,IF(Atletas!K221="Hunggar F",27,IF(Atletas!K221="Wuzuquan F",28,IF(Atletas!K221="Wingchun F",29,IF(Atletas!K221="Outra Mão de Sul F",30,""))))))))))))))))))))))))))))))))</f>
        <v/>
      </c>
      <c r="BL225" s="52" t="str">
        <f>IF(Atletas!L221="","",IF(Atletas!W221&lt;&gt;"",10000,0)+(IF(Atletas!B221="Feminino",1000,IF(Atletas!B221="Masculino",2000,""))+(IF(Atletas!L221="Chaquan A",101,IF(Atletas!L221="Emeiquan A",102,IF(Atletas!L221="Fanziquan A",103,IF(Atletas!L221="Huaquan A",104,IF(Atletas!L221="Hongquan A",105,IF(Atletas!L221="Paochui A",106,IF(Atletas!L221="Piguaquan A",107,IF(Atletas!L221="Shaolinquan A",108,IF(Atletas!L221="Tanglangquan A",109,IF(Atletas!L221="Yinzhaophai A",110,IF(Atletas!L221="Tongbeiquan A",111,IF(Atletas!L221="Wudangquan A",112,IF(Atletas!L221="Outros Estilos A",113,IF(Atletas!L221="Chaquan B",114,IF(Atletas!L221="Emeiquan B",115,IF(Atletas!L221="Fanziquan B",116,IF(Atletas!L221="Huaquan B",117,IF(Atletas!L221="Hongquan B",118,IF(Atletas!L221="Paochui B",119,IF(Atletas!L221="Piguaquan B",120,IF(Atletas!L221="Shaolinquan B",121,IF(Atletas!L221="Tanglangquan B",122,IF(Atletas!L221="Yinzhaophai B",123,IF(Atletas!L221="Tongbeiquan B",124,IF(Atletas!L221="Wudangquan B",125,IF(Atletas!L221="Outros Estilos B",126,IF(Atletas!L221="Chaquan C",127,IF(Atletas!L221="Emeiquan C",128,IF(Atletas!L221="Fanziquan C",129,IF(Atletas!L221="Huaquan C",130,IF(Atletas!L221="Hongquan C",131,IF(Atletas!L221="Paochui C",132,IF(Atletas!L221="Piguaquan C",133,IF(Atletas!L221="Shaolinquan C",134,IF(Atletas!L221="Tanglangquan C",135,IF(Atletas!L221="Yinzhaophai C",136,IF(Atletas!L221="Tongbeiquan C",137,IF(Atletas!L221="Wudangquan C",138,IF(Atletas!L221="Outros Estilos C",139,0))))))))))))))))))))))))))))))))))))))))))</f>
        <v/>
      </c>
      <c r="BM225" s="52" t="str">
        <f>IF(Atletas!L221="","",IF(Atletas!W221&lt;&gt;"",10000,0)+(IF(Atletas!B221="Feminino",1000,IF(Atletas!B221="Masculino",2000,""))+(IF(Atletas!L221="Chaquan D",140,IF(Atletas!L221="Emeiquan D",141,IF(Atletas!L221="Fanziquan D",142,IF(Atletas!L221="Huaquan D",143,IF(Atletas!L221="Hongquan D",144,IF(Atletas!L221="Paochui D",145,IF(Atletas!L221="Piguaquan D",146,IF(Atletas!L221="Shaolinquan D",147,IF(Atletas!L221="Tanglangquan D",148,IF(Atletas!L221="Yinzhaophai D",149,IF(Atletas!L221="Tongbeiquan D",150,IF(Atletas!L221="Wudangquan D",151,IF(Atletas!L221="Outros Estilos D",152,IF(Atletas!L221="Chaquan E",153,IF(Atletas!L221="Emeiquan E",154,IF(Atletas!L221="Fanziquan E",155,IF(Atletas!L221="Huaquan E",156,IF(Atletas!L221="Hongquan E",157,IF(Atletas!L221="Paochui E",158,IF(Atletas!L221="Piguaquan E",159,IF(Atletas!L221="Shaolinquan E",160,IF(Atletas!L221="Tanglangquan E",161,IF(Atletas!L221="Yinzhaophai E",162,IF(Atletas!L221="Tongbeiquan E",163,IF(Atletas!L221="Wudangquan E",164,IF(Atletas!L221="Outros Estilos E",165,IF(Atletas!L221="Chaquan F",166,IF(Atletas!L221="Emeiquan F",167,IF(Atletas!L221="Fanziquan F",168,IF(Atletas!L221="Huaquan F",169,IF(Atletas!L221="Hongquan F",170,IF(Atletas!L221="Paochui F",171,IF(Atletas!L221="Piguaquan F",172,IF(Atletas!L221="Shaolinquan F",173,IF(Atletas!L221="Tanglangquan F",174,IF(Atletas!L221="Yinzhaophai F",175,IF(Atletas!L221="Tongbeiquan F",176,IF(Atletas!L221="Wudangquan F",177,IF(Atletas!L221="Outros Estilos F",178,0))))))))))))))))))))))))))))))))))))))))))</f>
        <v/>
      </c>
      <c r="BN225" s="52" t="str">
        <f>IF(Atletas!M221="","",IF(Atletas!W221&lt;&gt;"",10000,0)+(IF(Atletas!B221="Feminino",1000,IF(Atletas!B221="Masculino",2000,""))+(IF(Atletas!M221="Ditangquan A",201,IF(Atletas!M221="Houquan A",202,IF(Atletas!M221="Zuiquan A",203,IF(Atletas!M221="Ditangquan B",204,IF(Atletas!M221="Houquan B",205,IF(Atletas!M221="Zuiquan B",206,IF(Atletas!M221="Ditangquan C",207,IF(Atletas!M221="Houquan C",208,IF(Atletas!M221="Zuiquan C",209,IF(Atletas!M221="Ditangquan D",210,IF(Atletas!M221="Houquan D",211,IF(Atletas!M221="Zuiquan D",212,IF(Atletas!M221="Ditangquan E",213,IF(Atletas!M221="Houquan E",214,IF(Atletas!M221="Zuiquan E",215,IF(Atletas!M221="Ditangquan F",216,IF(Atletas!M221="Houquan F",217,IF(Atletas!M221="Zuiquan F",218,"")))))))))))))))))))))</f>
        <v/>
      </c>
      <c r="BO225" s="52" t="str">
        <f>IF(Atletas!N221="","",IF(Atletas!W221&lt;&gt;"",10000,0)+IF(Atletas!B221="Feminino",1000,IF(Atletas!B221="Masculino",2000,""))+IF(Atletas!N221="Yang A",301,IF(Atletas!N221="Chen A",30,IF(Atletas!N221="Sun A",303,IF(Atletas!N221="Wu A",304,IF(Atletas!N221="Wu-Hao A",305,IF(Atletas!N221="Outro Taijiquan A",306,IF(Atletas!N221="Yang B",307,IF(Atletas!N221="Chen B",308,IF(Atletas!N221="Sun B",309,IF(Atletas!N221="Wu B",310,IF(Atletas!N221="Wu-Hao B",311,IF(Atletas!N221="Outro Taijiquan B",312,IF(Atletas!N221="Yang C",313,IF(Atletas!N221="Chen C",314,IF(Atletas!N221="Sun C",315,IF(Atletas!N221="Wu C",316,IF(Atletas!N221="Wu-Hao C",317,IF(Atletas!N221="Outro Taijiquan C",318,IF(Atletas!N221="Yang D",319,IF(Atletas!N221="Chen D",320,IF(Atletas!N221="Sun D",321,IF(Atletas!N221="Wu D",322,IF(Atletas!N221="Wu-Hao D",323,IF(Atletas!N221="Outro Taijiquan D",324,IF(Atletas!N221="Yang E",325,IF(Atletas!N221="Chen E",326,IF(Atletas!N221="Sun E",327,IF(Atletas!N221="Wu E",328,IF(Atletas!N221="Wu-Hao E",329,IF(Atletas!N221="Outro Taijiquan E",330,IF(Atletas!N221="Yang F",331,IF(Atletas!N221="Chen F",332,IF(Atletas!N221="Sun F",333,IF(Atletas!N221="Wu F",334,IF(Atletas!N221="Wu-Hao F",335,IF(Atletas!N221="Outro Taijiquan F",336,"")))))))))))))))))))))))))))))))))))))</f>
        <v/>
      </c>
      <c r="BP225" s="52" t="str">
        <f>IF(Atletas!O221="","",IF(Atletas!W221&lt;&gt;"",10000,0)+IF(Atletas!B221="Feminino",1000,IF(Atletas!B221="Masculino",2000,""))+IF(OR(Atletas!O221="Yang 26 A",Atletas!O221="Yang 40 A"),401,IF(OR(Atletas!O221="Chen 25 A",Atletas!O221="Chen 36 A",Atletas!O221="Chen 56 A"),402,IF(Atletas!O221="Sun 73 A",403,IF(Atletas!O221="Wu 45 A",404,IF(Atletas!O221="Wu-Hao 46 A",405,IF(OR(Atletas!O221="Taijiquan 16 A",Atletas!O221="Taijiquan 24 A",Atletas!O221="Taijiquan 32 A",Atletas!O221="Taijiquan 42 A"),406,IF(OR(Atletas!O221="Yang 26 B",Atletas!O221="Yang 40 B"),407,IF(OR(Atletas!O221="Chen 25 B",Atletas!O221="Chen 36 B",Atletas!O221="Chen 56 B"),408,IF(Atletas!O221="Sun 73 B",409,IF(Atletas!O221="Wu 45 B",410,IF(Atletas!O221="Wu-Hao 46 B",411,IF(OR(Atletas!O221="Taijiquan 16 B",Atletas!O221="Taijiquan 24 B",Atletas!O221="Taijiquan 32 B",Atletas!O221="Taijiquan 42 B"),412,IF(OR(Atletas!O221="Yang 26 C",Atletas!O221="Yang 40 C"),413,IF(OR(Atletas!O221="Chen 25 C",Atletas!O221="Chen 36 C",Atletas!O221="Chen 56 C"),414,IF(Atletas!O221="Sun 73 C",415,IF(Atletas!O221="Wu 45 C",416,IF(Atletas!O221="Wu-Hao 46 C",417,IF(OR(Atletas!O221="Taijiquan 16 C",Atletas!O221="Taijiquan 24 C",Atletas!O221="Taijiquan 32 C",Atletas!O221="Taijiquan 42 C"),418,0)))))))))))))))))))</f>
        <v/>
      </c>
      <c r="BQ225" s="52" t="str">
        <f>IF(Atletas!O221="","",IF(Atletas!W221&lt;&gt;"",10000,0)+IF(Atletas!B221="Feminino",1000,IF(Atletas!B221="Masculino",2000,""))+IF(OR(Atletas!O221="Yang 26 D",Atletas!O221="Yang 40 D"),419,IF(OR(Atletas!O221="Chen 25 D",Atletas!O221="Chen 36 D",Atletas!O221="Chen 56 D"),420,IF(Atletas!O221="Sun 73 D",421,IF(Atletas!O221="Wu 45 D",422,IF(Atletas!O221="Wu-Hao 46 D",423,IF(OR(Atletas!O221="Taijiquan 16 D",Atletas!O221="Taijiquan 24 D",Atletas!O221="Taijiquan 32 D",Atletas!O221="Taijiquan 42 D"),424,IF(OR(Atletas!O221="Yang 26 E",Atletas!O221="Yang 40 E"),425,IF(OR(Atletas!O221="Chen 25 E",Atletas!O221="Chen 36 E",Atletas!O221="Chen 56 E"),426,IF(Atletas!O221="Sun 73 E",427,IF(Atletas!O221="Wu 45 E",428,IF(Atletas!O221="Wu-Hao 46 E",429,IF(OR(Atletas!O221="Taijiquan 16 E",Atletas!O221="Taijiquan 24 E",Atletas!O221="Taijiquan 32 E",Atletas!O221="Taijiquan 42 E"),430,IF(OR(Atletas!O221="Yang 26 F",Atletas!O221="Yang 40 F"),431,IF(OR(Atletas!O221="Chen 25 F",Atletas!O221="Chen 36 F",Atletas!O221="Chen 56 F"),432,IF(Atletas!O221="Sun 73 F",433,IF(Atletas!O221="Wu 45 F",434,IF(Atletas!O221="Wu-Hao 46 F",435,IF(OR(Atletas!O221="Taijiquan 16 F",Atletas!O221="Taijiquan 24 F",Atletas!O221="Taijiquan 32 F",Atletas!O221="Taijiquan 42 F"),436,0)))))))))))))))))))</f>
        <v/>
      </c>
      <c r="BR225" s="52" t="str">
        <f>IF(Atletas!P221="","",IF(Atletas!W221&lt;&gt;"",10000,0)+IF(Atletas!B221="Feminino",1000,IF(Atletas!B221="Masculino",2000,""))+IF(Atletas!P221="Xingyiquan A",501,IF(Atletas!P221="Baguazhang A",502,IF(Atletas!P221="Outro Estilo Interno A",503,IF(Atletas!P221="Xingyiquan B",504,IF(Atletas!P221="Baguazhang B",505,IF(Atletas!P221="Outro Estilo Interno B",506,IF(Atletas!P221="Xingyiquan C",507,IF(Atletas!P221="Baguazhang C",508,IF(Atletas!P221="Outro Estilo Interno C",509,IF(Atletas!P221="Xingyiquan D",510,IF(Atletas!P221="Baguazhang D",511,IF(Atletas!P221="Outro Estilo Interno D",512,IF(Atletas!P221="Xingyiquan E",513,IF(Atletas!P221="Baguazhang E",514,IF(Atletas!P221="Outro Estilo Interno E",515,IF(Atletas!P221="Xingyiquan F",516,IF(Atletas!P221="Baguazhang F",517,IF(Atletas!P221="Outro Estilo Interno F",518, "")))))))))))))))))))</f>
        <v/>
      </c>
      <c r="BS225" s="52" t="str">
        <f>IF(Atletas!Q221="","",IF(Atletas!W221&lt;&gt;"",10000,0)+IF(Atletas!B221="Feminino",1000,IF(Atletas!B221="Masculino",2000,""))+IF(Atletas!Q221="Dao A",601,IF(Atletas!Q221="Jian A",602,IF(Atletas!Q221="Bishou A",603,IF(Atletas!Q221="Shan A",604,IF(Atletas!Q221="Outra Arma Curta A",605,IF(Atletas!Q221="Dao B",606,IF(Atletas!Q221="Jian B",607,IF(Atletas!Q221="Bishou B",608,IF(Atletas!Q221="Shan B",609,IF(Atletas!Q221="Outra Arma Curta B",610,IF(Atletas!Q221="Dao C",611,IF(Atletas!Q221="Jian C",612,IF(Atletas!Q221="Bishou C",613,IF(Atletas!Q221="Shan C",614,IF(Atletas!Q221="Outra Arma Curta C",615,IF(Atletas!Q221="Dao D",616,IF(Atletas!Q221="Jian D",617,IF(Atletas!Q221="Bishou D",618,IF(Atletas!Q221="Shan D",619,IF(Atletas!Q221="Outra Arma Curta D",620,IF(Atletas!Q221="Dao E",621,IF(Atletas!Q221="Jian E",622,IF(Atletas!Q221="Bishou E",623,IF(Atletas!Q221="Shan E",624,IF(Atletas!Q221="Outra Arma Curta E",625,IF(Atletas!Q221="Dao F",626,IF(Atletas!Q221="Jian F",627,IF(Atletas!Q221="Bishou F",628,IF(Atletas!Q221="Shan F",629,IF(Atletas!Q221="Outra Arma Curta F",630, "")))))))))))))))))))))))))))))))</f>
        <v/>
      </c>
      <c r="BT225" s="52" t="str">
        <f>IF(Atletas!R221="","",IF(Atletas!W221&lt;&gt;"",10000,0)+IF(Atletas!B221="Feminino",1000,IF(Atletas!B221="Masculino",2000,""))+IF(Atletas!R221="Gun A",701,IF(Atletas!R221="Qiang A",702,IF(Atletas!R221="Pudao / Guandao A",703,IF(Atletas!R221="Outra Arma Longa A",704,IF(Atletas!R221="Gun B",705,IF(Atletas!R221="Qiang B",706,IF(Atletas!R221="Pudao / Guandao B",707,IF(Atletas!R221="Outra Arma Longa B",708,IF(Atletas!R221="Gun C",709,IF(Atletas!R221="Qiang C",710,IF(Atletas!R221="Pudao / Guandao C",711,IF(Atletas!R221="Outra Arma Longa C",712,IF(Atletas!R221="Gun D",713,IF(Atletas!R221="Qiang D",714,IF(Atletas!R221="Pudao / Guandao D",715,IF(Atletas!R221="Outra Arma Longa D",716,IF(Atletas!R221="Gun E",717,IF(Atletas!R221="Qiang E",718,IF(Atletas!R221="Pudao / Guandao E",719,IF(Atletas!R221="Outra Arma Longa E",720,IF(Atletas!R221="Gun F",721,IF(Atletas!R221="Qiang F",722,IF(Atletas!R221="Pudao / Guandao F",723,IF(Atletas!R221="Outra Arma Longa F",724,"")))))))))))))))))))))))))</f>
        <v/>
      </c>
      <c r="BU225" s="52" t="str">
        <f>IF(Atletas!S221="","",IF(Atletas!W221&lt;&gt;"",10000,0)+IF(Atletas!B221="Feminino",1000,IF(Atletas!B221="Masculino",2000,""))+IF(Atletas!S221="Arma Dupla A",801,IF(Atletas!S221="Arma Maleável A",802,IF(Atletas!S221="Arma Dupla B",803,IF(Atletas!S221="Arma Maleável B",804,IF(Atletas!S221="Arma Dupla C",805,IF(Atletas!S221="Arma Maleável C",806,IF(Atletas!S221="Arma Dupla D",807,IF(Atletas!S221="Arma Maleável D",808,IF(Atletas!S221="Arma Dupla E",809,IF(Atletas!S221="Arma Maleável E",810,IF(Atletas!S221="Arma Dupla F",811,IF(Atletas!S221="Arma Maleável F",812, "")))))))))))))</f>
        <v/>
      </c>
      <c r="BV225" s="52" t="str">
        <f>IF(Atletas!T221="","",IF(Atletas!W221&lt;&gt;"",10000,0)+IF(Atletas!B221="Feminino",1000,IF(Atletas!B221="Masculino",2000,""))+IF(Atletas!T221="Taijijian Yang A",901,IF(Atletas!T221="Taijijian Chen A",902,IF(Atletas!T221="Taijijian Sun A",903,IF(Atletas!T221="Taijijian Wu A",904,IF(Atletas!T221="Taijijian Wu-Hao A",905,IF(Atletas!T221="Taijijian 32 A",906,IF(Atletas!T221="Taijijian 42 A",907,IF(Atletas!T221="Taijijian Yang B",908,IF(Atletas!T221="Taijijian Chen B",909,IF(Atletas!T221="Taijijian Sun B",910,IF(Atletas!T221="Taijijian Wu B",911,IF(Atletas!T221="Taijijian Wu-Hao B",912,IF(Atletas!T221="Taijijian 32 B",913,IF(Atletas!T221="Taijijian 42 B",914,IF(Atletas!T221="Taijijian Yang C",915,IF(Atletas!T221="Taijijian Chen C",916,IF(Atletas!T221="Taijijian Sun C",917,IF(Atletas!T221="Taijijian Wu C",918,IF(Atletas!T221="Taijijian Wu-Hao C",919,IF(Atletas!T221="Taijijian 32 C",920,IF(Atletas!T221="Taijijian 42 C",921,IF(Atletas!T221="Taijijian Yang D",922,IF(Atletas!T221="Taijijian Chen D",923,IF(Atletas!T221="Taijijian Sun D",924,IF(Atletas!T221="Taijijian Wu D",925,IF(Atletas!T221="Taijijian Wu-Hao D",926,IF(Atletas!T221="Taijijian 32 D",927,IF(Atletas!T221="Taijijian 42 D",928,IF(Atletas!T221="Taijijian Yang E",929,IF(Atletas!T221="Taijijian Chen E",930,IF(Atletas!T221="Taijijian Sun E",931,IF(Atletas!T221="Taijijian Wu E",932,IF(Atletas!T221="Taijijian Wu-Hao E",933,IF(Atletas!T221="Taijijian 32 E",934,IF(Atletas!T221="Taijijian 42 E",935,IF(Atletas!T221="Taijijian Yang F",936,IF(Atletas!T221="Taijijian Chen F",937,IF(Atletas!T221="Taijijian Sun F",938,IF(Atletas!T221="Taijijian Wu F",939,IF(Atletas!T221="Taijijian Wu-Hao F",940,IF(Atletas!T221="Taijijian 32 F",941,IF(Atletas!T221="Taijijian 42 F",942,"")))))))))))))))))))))))))))))))))))))))))))</f>
        <v/>
      </c>
      <c r="BW225" s="52" t="str">
        <f>IF(Atletas!U221="","",IF(Atletas!W221&lt;&gt;"",10000,0)+IF(Atletas!B221="Feminino",1000,IF(Atletas!B221="Masculino",2000,""))+IF(Atletas!T221="Taijijian 42 F",942,IF(Atletas!U221="Taijidao A",943,IF(Atletas!U221="Taijishan A",944,IF(Atletas!U221="Taijiqiang A",945,IF(Atletas!U221="Taijidao B",946,IF(Atletas!U221="Taijishan B",947,IF(Atletas!U221="Taijiqiang B",948,IF(Atletas!U221="Taijidao C",949,IF(Atletas!U221="Taijishan C",950,IF(Atletas!U221="Taijiqiang C",951,IF(Atletas!U221="Taijidao D",952,IF(Atletas!U221="Taijishan D",953,IF(Atletas!U221="Taijiqiang D",954,IF(Atletas!U221="Taijidao E",955,IF(Atletas!U221="Taijishan E",956,IF(Atletas!U221="Taijiqiang E",957,IF(Atletas!U221="Taijidao F",958,IF(Atletas!U221="Taijishan F",959,IF(Atletas!U221="Taijiqiang F",960))))))))))))))))))))</f>
        <v/>
      </c>
      <c r="BX225" s="72" t="str">
        <f>IF(BY225&lt;&gt;"","Bishou A","")</f>
        <v/>
      </c>
      <c r="BY225" s="72" t="str">
        <f>IF(COUNTIF(BK:BW,1603)&gt;0,COUNTIF(BK:BW,1603),"")</f>
        <v/>
      </c>
      <c r="BZ225" s="72" t="str">
        <f>IF(CA225&lt;&gt;"","Bishou A","")</f>
        <v/>
      </c>
      <c r="CA225" s="72" t="str">
        <f>IF(COUNTIF(BK:BW,2603)&gt;0,COUNTIF(BK:BW,2603),"")</f>
        <v/>
      </c>
      <c r="CB225" s="72" t="str">
        <f>IF(CC225&lt;&gt;"","Yang Novo E","")</f>
        <v/>
      </c>
      <c r="CC225" s="64" t="str">
        <f>IF(COUNTIF(BK:BW,11457)&gt;0,COUNTIF(BK:BW,11457),"")</f>
        <v/>
      </c>
      <c r="CD225" s="64" t="str">
        <f>IF(CE225&lt;&gt;"","Yang Novo E","")</f>
        <v/>
      </c>
      <c r="CE225" s="64" t="str">
        <f>IF(COUNTIF(BK:BW,12457)&gt;0,COUNTIF(BK:BW,12457),"")</f>
        <v/>
      </c>
      <c r="CF225" s="52" t="str">
        <f xml:space="preserve"> IF(Atletas!V221="","",IF(Atletas!V221="Duilian de Mãos AB - Equipe 1",1,IF(Atletas!V221="Duilian de Mãos AB - Equipe 2",2,IF(Atletas!V221="Duilian de Armas AB - Equipe 1",3,IF(Atletas!V221="Duilian de Armas AB - Equipe 2",4,IF(Atletas!V221="Duilian de Tuishou - Equipe 1",5,IF(Atletas!V221="Duilian de Tuishou - Equipe 2",6,IF(Atletas!V221="Grupo Externo AB - Equipe 1",7,IF(Atletas!V221="Grupo Externo AB - Equipe 2",8,IF(Atletas!V221="Grupo Interno AB - Equipe 1",9,IF(Atletas!V221="Grupo Interno AB - Equipe 2",10,IF(Atletas!V221="Duilian de Mãos CD - Equipe 1",11,IF(Atletas!V221="Duilian de Mãos CD - Equipe 2",12,IF(Atletas!V221="Duilian de Armas CD - Equipe 1",13,IF(Atletas!V221="Duilian de Armas CD - Equipe 2",14,IF(Atletas!V221="Duilian de Tuishou - Equipe 1",15,IF(Atletas!V221="Duilian de Tuishou - Equipe 2",16,IF(Atletas!V221="Grupo Externo CDEF - Equipe 1",17,IF(Atletas!V221="Grupo Externo CDEF - Equipe 2",18,IF(Atletas!V221="Grupo Interno CDEF - Equipe 1",19,IF(Atletas!V221="Grupo Interno CDEF - Equipe 2",20,IF(Atletas!V221="Duilian de Mãos EF - Equipe 1",21,IF(Atletas!V221="Duilian de Mãos EF - Equipe 2",22,IF(Atletas!V221="Duilian de Armas EF - Equipe 1",23,IF(Atletas!V221="Duilian de Armas EF - Equipe 2",24,IF(Atletas!V221="Duilian de Tuishou - Equipe 1",25,IF(Atletas!V221="Duilian de Tuishou - Equipe 2",26,"")))))))))))))))))))))))))))</f>
        <v/>
      </c>
    </row>
    <row r="226" spans="2:84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 t="str">
        <f t="array" ref="V226">IFERROR(INDEX(BX$7:BX$336,SMALL(IF(BX$7:BX$336&lt;&gt;"",ROW(BX$7:BX$336)-ROW(BX$7)+1),ROWS(BX$7:BX204))),"")</f>
        <v/>
      </c>
      <c r="W226" s="4" t="str">
        <f t="array" ref="W226">IFERROR(INDEX(BY$7:BY$336,SMALL(IF(BY$7:BY$336&lt;&gt;"",ROW(BY$7:BY$336)-ROW(BY$7)+1),ROWS(BY$7:BY204))),"")</f>
        <v/>
      </c>
      <c r="X226" s="4" t="str">
        <f t="array" ref="X226">IFERROR(INDEX(BZ$7:BZ$336,SMALL(IF(BZ$7:BZ$336&lt;&gt;"",ROW(BZ$7:BZ$336)-ROW(BZ$7)+1),ROWS(BZ$7:BZ204))),"")</f>
        <v/>
      </c>
      <c r="Y226" s="4" t="str">
        <f t="array" ref="Y226">IFERROR(INDEX(CA$7:CA$336,SMALL(IF(CA$7:CA$336&lt;&gt;"",ROW(CA$7:CA$336)-ROW(CA$7)+1),ROWS(CA$7:CA204))),"")</f>
        <v/>
      </c>
      <c r="Z226" s="4" t="str">
        <f t="array" ref="Z226">IFERROR(INDEX(CB$7:CB$378,SMALL(IF(CB$7:CB$378&lt;&gt;"",ROW(CB$7:CB$378)-ROW(CB$7)+1),ROWS(CB$7:CB225))),"")</f>
        <v/>
      </c>
      <c r="AA226" s="4" t="str">
        <f t="array" ref="AA226">IFERROR(INDEX(CC$7:CC$378,SMALL(IF(CC$7:CC$378&lt;&gt;"",ROW(CC$7:CC$378)-ROW(CC$7)+1),ROWS(CC$7:CC225))),"")</f>
        <v/>
      </c>
      <c r="AB226" s="4" t="str">
        <f t="array" ref="AB226">IFERROR(INDEX(CD$7:CD$378,SMALL(IF(CD$7:CD$378&lt;&gt;"",ROW(CD$7:CD$378)-ROW(CD$7)+1),ROWS(CD$7:CD225))),"")</f>
        <v/>
      </c>
      <c r="AC226" s="4" t="str">
        <f t="array" ref="AC226">IFERROR(INDEX(CE$7:CE$378,SMALL(IF(CE$7:CE$378&lt;&gt;"",ROW(CE$7:CE$378)-ROW(CE$7)+1),ROWS(CE$7:CE225))),"")</f>
        <v/>
      </c>
      <c r="AD226" s="4"/>
      <c r="AE226" s="4"/>
      <c r="AF226" s="4"/>
      <c r="AG226" s="4"/>
      <c r="AH226" s="4"/>
      <c r="AI226" s="4"/>
      <c r="AJ226" s="46" t="str">
        <f>IF(Atletas!D222="","",IF(Atletas!B222="Feminino",100,IF(Atletas!B222="Masculino",200,""))+(IF(Atletas!D222="Infantil 39kg",1,IF(Atletas!D222="Infantil 42kg",2,IF(Atletas!D222="Infantil 45kg",3,IF(Atletas!D222="Infantil 48kg",4,IF(Atletas!D222="Infantil 52kg",5,IF(Atletas!D222="Infantil 56kg",6,IF(Atletas!D222="Infantil 60kg",7,IF(Atletas!D222="Juvenil 48kg",8,IF(Atletas!D222="Juvenil 52kg",9,IF(Atletas!D222="Juvenil 56kg",10,IF(Atletas!D222="Juvenil 60kg",11,IF(Atletas!D222="Juvenil 65kg",12,IF(Atletas!D222="Juvenil 70kg",13,IF(Atletas!D222="Juvenil 75kg",14,IF(Atletas!D222="Juvenil 80kg",15,IF(Atletas!D222="Adulto 48kg",16,IF(Atletas!D222="Adulto 52kg",17,IF(Atletas!D222="Adulto 56kg",18,IF(Atletas!D222="Adulto 60kg",19,IF(Atletas!D222="Adulto 65kg",20,IF(Atletas!D222="Adulto 70kg",21,IF(Atletas!D222="Adulto 75kg",22,IF(Atletas!D222="Adulto 80kg",23,IF(Atletas!D222="Adulto 85kg",24,IF(Atletas!D222="Adulto 90kg",25,IF(Atletas!D222="Adulto +90kg",26,""))))))))))))))))))))))))))))</f>
        <v/>
      </c>
      <c r="AO226" s="10" t="str">
        <f>IF(Atletas!E222="","",IF(Atletas!B222="Feminino",100,IF(Atletas!B222="Masculino",200,""))+(IF(Atletas!E222="Juvenil 44kg",1,IF(Atletas!E222="Juvenil 48kg",2,IF(Atletas!E222="Juvenil 52kg",3,IF(Atletas!E222="Juvenil 56kg",4,IF(Atletas!E222="Juvenil 60kg",5,IF(Atletas!E222="Juvenil 65kg",6,IF(Atletas!E222="Juvenil 70kg",7,IF(Atletas!E222="Juvenil 75kg",8,IF(Atletas!E222="Juvenil 82kg",9,IF(Atletas!E222="Juvenil 90kg",10,IF(Atletas!E222="Juvenil 100kg",11,IF(Atletas!E222="Adulto 48kg",12,IF(Atletas!E222="Adulto 52kg",13,IF(Atletas!E222="Adulto 56kg",14,IF(Atletas!E222="Adulto 60kg",15,IF(Atletas!E222="Adulto 65kg",16,IF(Atletas!E222="Adulto 70kg",17,IF(Atletas!E222="Adulto 75kg",18,IF(Atletas!E222="Adulto 82kg",19,IF(Atletas!E222="Adulto 90kg",20,IF(Atletas!E222="Adulto 100kg",21,IF(Atletas!E222="Adulto +100kg",22,""))))))))))))))))))))))))</f>
        <v/>
      </c>
      <c r="AT226" s="10" t="str">
        <f>IF(Atletas!F222="","",IF(Atletas!B222="Feminino",100,IF(Atletas!B222="Masculino",200,""))+(IF(Atletas!F222="Adulto 48kg",1,IF(Atletas!F222="Adulto 56kg",2,IF(Atletas!F222="Adulto 65kg",3,IF(Atletas!F222="Adulto 75kg",4,IF(Atletas!F222="Adulto +75kg",5,IF(Atletas!F222="Adulto 52kg",6,IF(Atletas!F222="Adulto 60kg",7,IF(Atletas!F222="Adulto 70kg",8,IF(Atletas!F222="Adulto 80kg",9,IF(Atletas!F222="Adulto 90kg",10,IF(Atletas!F222="Adulto +90kg",11,"")))))))))))))</f>
        <v/>
      </c>
      <c r="AY226" s="46" t="str">
        <f>IF(Atletas!G222="","",IF(Atletas!B222="Feminino",100,IF(Atletas!B222="Masculino",200,""))+(IF(Atletas!G222="Changquan Mirim",1,IF(Atletas!G222="Nanquan Mirim",2,IF(Atletas!G222="Taijiquan Mirim",3,IF(Atletas!G222="Changquan Grupo C",4,IF(Atletas!G222="Nanquan Grupo C",5,IF(Atletas!G222="Taijiquan Grupo C",6,IF(Atletas!G222="Changquan Grupo B",7,IF(Atletas!G222="Nanquan Grupo B",8,IF(Atletas!G222="Taijiquan Grupo B",9,IF(Atletas!G222="Changquan Grupo A",10,IF(Atletas!G222="Nanquan Grupo A",11,IF(Atletas!G222="Taijiquan Grupo A",12,IF(Atletas!G222="Changquan Opcional",13,IF(Atletas!G222="Nanquan Opcional",14,IF(Atletas!G222="Taijiquan Opcional",15,IF(Atletas!G222="Changquan Adulto",16,IF(Atletas!G222="Nanquan Adulto",17,IF(Atletas!G222="Taijiquan Adulto",18,""))))))))))))))))))))</f>
        <v/>
      </c>
      <c r="AZ226" s="46" t="str">
        <f>IF(Atletas!H222="","",IF(Atletas!B222="Feminino",100,IF(Atletas!B222="Masculino",200,""))+(IF(Atletas!H222="Daoshu Mirim",19,IF(Atletas!H222="Jianshu Mirim",20,IF(Atletas!H222="Nandao Mirim",21,IF(Atletas!H222="Taijijian Mirim",22,IF(Atletas!H222="Daoshu Grupo C",23,IF(Atletas!H222="Jianshu Grupo C",24,IF(Atletas!H222="Nandao Grupo C",25,IF(Atletas!H222="Taijijian Grupo C",26,IF(Atletas!H222="Daoshu Grupo B",27,IF(Atletas!H222="Jianshu Grupo B",28,IF(Atletas!H222="Nandao Grupo B",29,IF(Atletas!H222="Taijijian Grupo B",30,IF(Atletas!H222="Daoshu Grupo A",31,IF(Atletas!H222="Jianshu Grupo A",32,IF(Atletas!H222="Nandao Grupo A",33,IF(Atletas!H222="Taijijian Grupo A",34,IF(Atletas!H222="Daoshu Opcional",35,IF(Atletas!H222="Jianshu Opcional",36,IF(Atletas!H222="Nandao Opcional",37,IF(Atletas!H222="Taijijian Opcional",38,IF(Atletas!H222="Daoshu Adulto",39,IF(Atletas!H222="Jianshu Adulto",40,IF(Atletas!H222="Nandao Adulto",41,IF(Atletas!H222="Taijijian Adulto",42,""))))))))))))))))))))))))))</f>
        <v/>
      </c>
      <c r="BA226" s="46" t="str">
        <f>IF(Atletas!I222="","",IF(Atletas!B222="Feminino",100,IF(Atletas!B222="Masculino",200,""))+(IF(Atletas!I222="Gunshu Mirim",43,IF(Atletas!I222="Qiangshu Mirim",44,IF(Atletas!I222="Nangun Mirim",45,IF(Atletas!I222="Gunshu Grupo C",46,IF(Atletas!I222="Qiangshu Grupo C",47,IF(Atletas!I222="Nangun Grupo C",48,IF(Atletas!I222="Gunshu Grupo B",49,IF(Atletas!I222="Qiangshu Grupo B",50,IF(Atletas!I222="Nangun Grupo B",51,IF(Atletas!I222="Gunshu Grupo A",52,IF(Atletas!I222="Qiangshu Grupo A",53,IF(Atletas!I222="Nangun Grupo A",54,IF(Atletas!I222="Gunshu Opcional",55,IF(Atletas!I222="Qiangshu Opcional",56,IF(Atletas!I222="Nangun Opcional",57,IF(Atletas!I222="Gunshu Adulto",58,IF(Atletas!I222="Qiangshu Adulto",59,IF(Atletas!I222="Nangun Adulto",60,""))))))))))))))))))))</f>
        <v/>
      </c>
      <c r="BF226" s="52" t="str">
        <f>IF(Atletas!J222="","",IF(Atletas!B222="Feminino",100,IF(Atletas!B222="Masculino",200,""))+(IF(Atletas!J222="Equipe 1 Grupo B",1,IF(Atletas!J222="Equipe 2 Grupo B",2,IF(Atletas!J222="Equipe 1 Grupo A",3,IF(Atletas!J222="Equipe 2 Grupo A",4,IF(Atletas!J222="Equipe 1 Adulto",5,IF(Atletas!J222="Equipe 2 Adulto",6,""))))))))</f>
        <v/>
      </c>
      <c r="BK226" s="52" t="str">
        <f>IF(Atletas!K222="","",IF(Atletas!W222&lt;&gt;"",10000,0)+(IF(Atletas!B222="Feminino",1000,IF(Atletas!B222="Masculino",2000,""))+IF(Atletas!K222="Choylayfut A",1,IF(Atletas!K222="Hunggar A",2,IF(Atletas!K222="Wuzuquan A",3,IF(Atletas!K222="Wingchun A",4,IF(Atletas!K222="Outra Mão de Sul A",5,IF(Atletas!K222="Choylayfut B",6,IF(Atletas!K222="Hunggar B",7,IF(Atletas!K222="Wuzuquan B",8,IF(Atletas!K222="Wingchun B",9,IF(Atletas!K222="Outra Mão de Sul B",10,IF(Atletas!K222="Choylayfut C",11,IF(Atletas!K222="Hunggar C",12,IF(Atletas!K222="Wuzuquan C",13,IF(Atletas!K222="Wingchun C",14,IF(Atletas!K222="Outra Mão de Sul C",15,IF(Atletas!K222="Choylayfut D",16,IF(Atletas!K222="Hunggar D",17,IF(Atletas!K222="Wuzuquan D",18,IF(Atletas!K222="Wingchun D",19,IF(Atletas!K222="Outra Mão de Sul D",20,IF(Atletas!K222="Choylayfut E",21,IF(Atletas!K222="Hunggar E",22,IF(Atletas!K222="Wuzuquan E",23,IF(Atletas!K222="Wingchun E",24,IF(Atletas!K222="Outra Mão de Sul E",25,IF(Atletas!K222="Choylayfut F",26,IF(Atletas!K222="Hunggar F",27,IF(Atletas!K222="Wuzuquan F",28,IF(Atletas!K222="Wingchun F",29,IF(Atletas!K222="Outra Mão de Sul F",30,""))))))))))))))))))))))))))))))))</f>
        <v/>
      </c>
      <c r="BL226" s="52" t="str">
        <f>IF(Atletas!L222="","",IF(Atletas!W222&lt;&gt;"",10000,0)+(IF(Atletas!B222="Feminino",1000,IF(Atletas!B222="Masculino",2000,""))+(IF(Atletas!L222="Chaquan A",101,IF(Atletas!L222="Emeiquan A",102,IF(Atletas!L222="Fanziquan A",103,IF(Atletas!L222="Huaquan A",104,IF(Atletas!L222="Hongquan A",105,IF(Atletas!L222="Paochui A",106,IF(Atletas!L222="Piguaquan A",107,IF(Atletas!L222="Shaolinquan A",108,IF(Atletas!L222="Tanglangquan A",109,IF(Atletas!L222="Yinzhaophai A",110,IF(Atletas!L222="Tongbeiquan A",111,IF(Atletas!L222="Wudangquan A",112,IF(Atletas!L222="Outros Estilos A",113,IF(Atletas!L222="Chaquan B",114,IF(Atletas!L222="Emeiquan B",115,IF(Atletas!L222="Fanziquan B",116,IF(Atletas!L222="Huaquan B",117,IF(Atletas!L222="Hongquan B",118,IF(Atletas!L222="Paochui B",119,IF(Atletas!L222="Piguaquan B",120,IF(Atletas!L222="Shaolinquan B",121,IF(Atletas!L222="Tanglangquan B",122,IF(Atletas!L222="Yinzhaophai B",123,IF(Atletas!L222="Tongbeiquan B",124,IF(Atletas!L222="Wudangquan B",125,IF(Atletas!L222="Outros Estilos B",126,IF(Atletas!L222="Chaquan C",127,IF(Atletas!L222="Emeiquan C",128,IF(Atletas!L222="Fanziquan C",129,IF(Atletas!L222="Huaquan C",130,IF(Atletas!L222="Hongquan C",131,IF(Atletas!L222="Paochui C",132,IF(Atletas!L222="Piguaquan C",133,IF(Atletas!L222="Shaolinquan C",134,IF(Atletas!L222="Tanglangquan C",135,IF(Atletas!L222="Yinzhaophai C",136,IF(Atletas!L222="Tongbeiquan C",137,IF(Atletas!L222="Wudangquan C",138,IF(Atletas!L222="Outros Estilos C",139,0))))))))))))))))))))))))))))))))))))))))))</f>
        <v/>
      </c>
      <c r="BM226" s="52" t="str">
        <f>IF(Atletas!L222="","",IF(Atletas!W222&lt;&gt;"",10000,0)+(IF(Atletas!B222="Feminino",1000,IF(Atletas!B222="Masculino",2000,""))+(IF(Atletas!L222="Chaquan D",140,IF(Atletas!L222="Emeiquan D",141,IF(Atletas!L222="Fanziquan D",142,IF(Atletas!L222="Huaquan D",143,IF(Atletas!L222="Hongquan D",144,IF(Atletas!L222="Paochui D",145,IF(Atletas!L222="Piguaquan D",146,IF(Atletas!L222="Shaolinquan D",147,IF(Atletas!L222="Tanglangquan D",148,IF(Atletas!L222="Yinzhaophai D",149,IF(Atletas!L222="Tongbeiquan D",150,IF(Atletas!L222="Wudangquan D",151,IF(Atletas!L222="Outros Estilos D",152,IF(Atletas!L222="Chaquan E",153,IF(Atletas!L222="Emeiquan E",154,IF(Atletas!L222="Fanziquan E",155,IF(Atletas!L222="Huaquan E",156,IF(Atletas!L222="Hongquan E",157,IF(Atletas!L222="Paochui E",158,IF(Atletas!L222="Piguaquan E",159,IF(Atletas!L222="Shaolinquan E",160,IF(Atletas!L222="Tanglangquan E",161,IF(Atletas!L222="Yinzhaophai E",162,IF(Atletas!L222="Tongbeiquan E",163,IF(Atletas!L222="Wudangquan E",164,IF(Atletas!L222="Outros Estilos E",165,IF(Atletas!L222="Chaquan F",166,IF(Atletas!L222="Emeiquan F",167,IF(Atletas!L222="Fanziquan F",168,IF(Atletas!L222="Huaquan F",169,IF(Atletas!L222="Hongquan F",170,IF(Atletas!L222="Paochui F",171,IF(Atletas!L222="Piguaquan F",172,IF(Atletas!L222="Shaolinquan F",173,IF(Atletas!L222="Tanglangquan F",174,IF(Atletas!L222="Yinzhaophai F",175,IF(Atletas!L222="Tongbeiquan F",176,IF(Atletas!L222="Wudangquan F",177,IF(Atletas!L222="Outros Estilos F",178,0))))))))))))))))))))))))))))))))))))))))))</f>
        <v/>
      </c>
      <c r="BN226" s="52" t="str">
        <f>IF(Atletas!M222="","",IF(Atletas!W222&lt;&gt;"",10000,0)+(IF(Atletas!B222="Feminino",1000,IF(Atletas!B222="Masculino",2000,""))+(IF(Atletas!M222="Ditangquan A",201,IF(Atletas!M222="Houquan A",202,IF(Atletas!M222="Zuiquan A",203,IF(Atletas!M222="Ditangquan B",204,IF(Atletas!M222="Houquan B",205,IF(Atletas!M222="Zuiquan B",206,IF(Atletas!M222="Ditangquan C",207,IF(Atletas!M222="Houquan C",208,IF(Atletas!M222="Zuiquan C",209,IF(Atletas!M222="Ditangquan D",210,IF(Atletas!M222="Houquan D",211,IF(Atletas!M222="Zuiquan D",212,IF(Atletas!M222="Ditangquan E",213,IF(Atletas!M222="Houquan E",214,IF(Atletas!M222="Zuiquan E",215,IF(Atletas!M222="Ditangquan F",216,IF(Atletas!M222="Houquan F",217,IF(Atletas!M222="Zuiquan F",218,"")))))))))))))))))))))</f>
        <v/>
      </c>
      <c r="BO226" s="52" t="str">
        <f>IF(Atletas!N222="","",IF(Atletas!W222&lt;&gt;"",10000,0)+IF(Atletas!B222="Feminino",1000,IF(Atletas!B222="Masculino",2000,""))+IF(Atletas!N222="Yang A",301,IF(Atletas!N222="Chen A",30,IF(Atletas!N222="Sun A",303,IF(Atletas!N222="Wu A",304,IF(Atletas!N222="Wu-Hao A",305,IF(Atletas!N222="Outro Taijiquan A",306,IF(Atletas!N222="Yang B",307,IF(Atletas!N222="Chen B",308,IF(Atletas!N222="Sun B",309,IF(Atletas!N222="Wu B",310,IF(Atletas!N222="Wu-Hao B",311,IF(Atletas!N222="Outro Taijiquan B",312,IF(Atletas!N222="Yang C",313,IF(Atletas!N222="Chen C",314,IF(Atletas!N222="Sun C",315,IF(Atletas!N222="Wu C",316,IF(Atletas!N222="Wu-Hao C",317,IF(Atletas!N222="Outro Taijiquan C",318,IF(Atletas!N222="Yang D",319,IF(Atletas!N222="Chen D",320,IF(Atletas!N222="Sun D",321,IF(Atletas!N222="Wu D",322,IF(Atletas!N222="Wu-Hao D",323,IF(Atletas!N222="Outro Taijiquan D",324,IF(Atletas!N222="Yang E",325,IF(Atletas!N222="Chen E",326,IF(Atletas!N222="Sun E",327,IF(Atletas!N222="Wu E",328,IF(Atletas!N222="Wu-Hao E",329,IF(Atletas!N222="Outro Taijiquan E",330,IF(Atletas!N222="Yang F",331,IF(Atletas!N222="Chen F",332,IF(Atletas!N222="Sun F",333,IF(Atletas!N222="Wu F",334,IF(Atletas!N222="Wu-Hao F",335,IF(Atletas!N222="Outro Taijiquan F",336,"")))))))))))))))))))))))))))))))))))))</f>
        <v/>
      </c>
      <c r="BP226" s="52" t="str">
        <f>IF(Atletas!O222="","",IF(Atletas!W222&lt;&gt;"",10000,0)+IF(Atletas!B222="Feminino",1000,IF(Atletas!B222="Masculino",2000,""))+IF(OR(Atletas!O222="Yang 26 A",Atletas!O222="Yang 40 A"),401,IF(OR(Atletas!O222="Chen 25 A",Atletas!O222="Chen 36 A",Atletas!O222="Chen 56 A"),402,IF(Atletas!O222="Sun 73 A",403,IF(Atletas!O222="Wu 45 A",404,IF(Atletas!O222="Wu-Hao 46 A",405,IF(OR(Atletas!O222="Taijiquan 16 A",Atletas!O222="Taijiquan 24 A",Atletas!O222="Taijiquan 32 A",Atletas!O222="Taijiquan 42 A"),406,IF(OR(Atletas!O222="Yang 26 B",Atletas!O222="Yang 40 B"),407,IF(OR(Atletas!O222="Chen 25 B",Atletas!O222="Chen 36 B",Atletas!O222="Chen 56 B"),408,IF(Atletas!O222="Sun 73 B",409,IF(Atletas!O222="Wu 45 B",410,IF(Atletas!O222="Wu-Hao 46 B",411,IF(OR(Atletas!O222="Taijiquan 16 B",Atletas!O222="Taijiquan 24 B",Atletas!O222="Taijiquan 32 B",Atletas!O222="Taijiquan 42 B"),412,IF(OR(Atletas!O222="Yang 26 C",Atletas!O222="Yang 40 C"),413,IF(OR(Atletas!O222="Chen 25 C",Atletas!O222="Chen 36 C",Atletas!O222="Chen 56 C"),414,IF(Atletas!O222="Sun 73 C",415,IF(Atletas!O222="Wu 45 C",416,IF(Atletas!O222="Wu-Hao 46 C",417,IF(OR(Atletas!O222="Taijiquan 16 C",Atletas!O222="Taijiquan 24 C",Atletas!O222="Taijiquan 32 C",Atletas!O222="Taijiquan 42 C"),418,0)))))))))))))))))))</f>
        <v/>
      </c>
      <c r="BQ226" s="52" t="str">
        <f>IF(Atletas!O222="","",IF(Atletas!W222&lt;&gt;"",10000,0)+IF(Atletas!B222="Feminino",1000,IF(Atletas!B222="Masculino",2000,""))+IF(OR(Atletas!O222="Yang 26 D",Atletas!O222="Yang 40 D"),419,IF(OR(Atletas!O222="Chen 25 D",Atletas!O222="Chen 36 D",Atletas!O222="Chen 56 D"),420,IF(Atletas!O222="Sun 73 D",421,IF(Atletas!O222="Wu 45 D",422,IF(Atletas!O222="Wu-Hao 46 D",423,IF(OR(Atletas!O222="Taijiquan 16 D",Atletas!O222="Taijiquan 24 D",Atletas!O222="Taijiquan 32 D",Atletas!O222="Taijiquan 42 D"),424,IF(OR(Atletas!O222="Yang 26 E",Atletas!O222="Yang 40 E"),425,IF(OR(Atletas!O222="Chen 25 E",Atletas!O222="Chen 36 E",Atletas!O222="Chen 56 E"),426,IF(Atletas!O222="Sun 73 E",427,IF(Atletas!O222="Wu 45 E",428,IF(Atletas!O222="Wu-Hao 46 E",429,IF(OR(Atletas!O222="Taijiquan 16 E",Atletas!O222="Taijiquan 24 E",Atletas!O222="Taijiquan 32 E",Atletas!O222="Taijiquan 42 E"),430,IF(OR(Atletas!O222="Yang 26 F",Atletas!O222="Yang 40 F"),431,IF(OR(Atletas!O222="Chen 25 F",Atletas!O222="Chen 36 F",Atletas!O222="Chen 56 F"),432,IF(Atletas!O222="Sun 73 F",433,IF(Atletas!O222="Wu 45 F",434,IF(Atletas!O222="Wu-Hao 46 F",435,IF(OR(Atletas!O222="Taijiquan 16 F",Atletas!O222="Taijiquan 24 F",Atletas!O222="Taijiquan 32 F",Atletas!O222="Taijiquan 42 F"),436,0)))))))))))))))))))</f>
        <v/>
      </c>
      <c r="BR226" s="52" t="str">
        <f>IF(Atletas!P222="","",IF(Atletas!W222&lt;&gt;"",10000,0)+IF(Atletas!B222="Feminino",1000,IF(Atletas!B222="Masculino",2000,""))+IF(Atletas!P222="Xingyiquan A",501,IF(Atletas!P222="Baguazhang A",502,IF(Atletas!P222="Outro Estilo Interno A",503,IF(Atletas!P222="Xingyiquan B",504,IF(Atletas!P222="Baguazhang B",505,IF(Atletas!P222="Outro Estilo Interno B",506,IF(Atletas!P222="Xingyiquan C",507,IF(Atletas!P222="Baguazhang C",508,IF(Atletas!P222="Outro Estilo Interno C",509,IF(Atletas!P222="Xingyiquan D",510,IF(Atletas!P222="Baguazhang D",511,IF(Atletas!P222="Outro Estilo Interno D",512,IF(Atletas!P222="Xingyiquan E",513,IF(Atletas!P222="Baguazhang E",514,IF(Atletas!P222="Outro Estilo Interno E",515,IF(Atletas!P222="Xingyiquan F",516,IF(Atletas!P222="Baguazhang F",517,IF(Atletas!P222="Outro Estilo Interno F",518, "")))))))))))))))))))</f>
        <v/>
      </c>
      <c r="BS226" s="52" t="str">
        <f>IF(Atletas!Q222="","",IF(Atletas!W222&lt;&gt;"",10000,0)+IF(Atletas!B222="Feminino",1000,IF(Atletas!B222="Masculino",2000,""))+IF(Atletas!Q222="Dao A",601,IF(Atletas!Q222="Jian A",602,IF(Atletas!Q222="Bishou A",603,IF(Atletas!Q222="Shan A",604,IF(Atletas!Q222="Outra Arma Curta A",605,IF(Atletas!Q222="Dao B",606,IF(Atletas!Q222="Jian B",607,IF(Atletas!Q222="Bishou B",608,IF(Atletas!Q222="Shan B",609,IF(Atletas!Q222="Outra Arma Curta B",610,IF(Atletas!Q222="Dao C",611,IF(Atletas!Q222="Jian C",612,IF(Atletas!Q222="Bishou C",613,IF(Atletas!Q222="Shan C",614,IF(Atletas!Q222="Outra Arma Curta C",615,IF(Atletas!Q222="Dao D",616,IF(Atletas!Q222="Jian D",617,IF(Atletas!Q222="Bishou D",618,IF(Atletas!Q222="Shan D",619,IF(Atletas!Q222="Outra Arma Curta D",620,IF(Atletas!Q222="Dao E",621,IF(Atletas!Q222="Jian E",622,IF(Atletas!Q222="Bishou E",623,IF(Atletas!Q222="Shan E",624,IF(Atletas!Q222="Outra Arma Curta E",625,IF(Atletas!Q222="Dao F",626,IF(Atletas!Q222="Jian F",627,IF(Atletas!Q222="Bishou F",628,IF(Atletas!Q222="Shan F",629,IF(Atletas!Q222="Outra Arma Curta F",630, "")))))))))))))))))))))))))))))))</f>
        <v/>
      </c>
      <c r="BT226" s="52" t="str">
        <f>IF(Atletas!R222="","",IF(Atletas!W222&lt;&gt;"",10000,0)+IF(Atletas!B222="Feminino",1000,IF(Atletas!B222="Masculino",2000,""))+IF(Atletas!R222="Gun A",701,IF(Atletas!R222="Qiang A",702,IF(Atletas!R222="Pudao / Guandao A",703,IF(Atletas!R222="Outra Arma Longa A",704,IF(Atletas!R222="Gun B",705,IF(Atletas!R222="Qiang B",706,IF(Atletas!R222="Pudao / Guandao B",707,IF(Atletas!R222="Outra Arma Longa B",708,IF(Atletas!R222="Gun C",709,IF(Atletas!R222="Qiang C",710,IF(Atletas!R222="Pudao / Guandao C",711,IF(Atletas!R222="Outra Arma Longa C",712,IF(Atletas!R222="Gun D",713,IF(Atletas!R222="Qiang D",714,IF(Atletas!R222="Pudao / Guandao D",715,IF(Atletas!R222="Outra Arma Longa D",716,IF(Atletas!R222="Gun E",717,IF(Atletas!R222="Qiang E",718,IF(Atletas!R222="Pudao / Guandao E",719,IF(Atletas!R222="Outra Arma Longa E",720,IF(Atletas!R222="Gun F",721,IF(Atletas!R222="Qiang F",722,IF(Atletas!R222="Pudao / Guandao F",723,IF(Atletas!R222="Outra Arma Longa F",724,"")))))))))))))))))))))))))</f>
        <v/>
      </c>
      <c r="BU226" s="52" t="str">
        <f>IF(Atletas!S222="","",IF(Atletas!W222&lt;&gt;"",10000,0)+IF(Atletas!B222="Feminino",1000,IF(Atletas!B222="Masculino",2000,""))+IF(Atletas!S222="Arma Dupla A",801,IF(Atletas!S222="Arma Maleável A",802,IF(Atletas!S222="Arma Dupla B",803,IF(Atletas!S222="Arma Maleável B",804,IF(Atletas!S222="Arma Dupla C",805,IF(Atletas!S222="Arma Maleável C",806,IF(Atletas!S222="Arma Dupla D",807,IF(Atletas!S222="Arma Maleável D",808,IF(Atletas!S222="Arma Dupla E",809,IF(Atletas!S222="Arma Maleável E",810,IF(Atletas!S222="Arma Dupla F",811,IF(Atletas!S222="Arma Maleável F",812, "")))))))))))))</f>
        <v/>
      </c>
      <c r="BV226" s="52" t="str">
        <f>IF(Atletas!T222="","",IF(Atletas!W222&lt;&gt;"",10000,0)+IF(Atletas!B222="Feminino",1000,IF(Atletas!B222="Masculino",2000,""))+IF(Atletas!T222="Taijijian Yang A",901,IF(Atletas!T222="Taijijian Chen A",902,IF(Atletas!T222="Taijijian Sun A",903,IF(Atletas!T222="Taijijian Wu A",904,IF(Atletas!T222="Taijijian Wu-Hao A",905,IF(Atletas!T222="Taijijian 32 A",906,IF(Atletas!T222="Taijijian 42 A",907,IF(Atletas!T222="Taijijian Yang B",908,IF(Atletas!T222="Taijijian Chen B",909,IF(Atletas!T222="Taijijian Sun B",910,IF(Atletas!T222="Taijijian Wu B",911,IF(Atletas!T222="Taijijian Wu-Hao B",912,IF(Atletas!T222="Taijijian 32 B",913,IF(Atletas!T222="Taijijian 42 B",914,IF(Atletas!T222="Taijijian Yang C",915,IF(Atletas!T222="Taijijian Chen C",916,IF(Atletas!T222="Taijijian Sun C",917,IF(Atletas!T222="Taijijian Wu C",918,IF(Atletas!T222="Taijijian Wu-Hao C",919,IF(Atletas!T222="Taijijian 32 C",920,IF(Atletas!T222="Taijijian 42 C",921,IF(Atletas!T222="Taijijian Yang D",922,IF(Atletas!T222="Taijijian Chen D",923,IF(Atletas!T222="Taijijian Sun D",924,IF(Atletas!T222="Taijijian Wu D",925,IF(Atletas!T222="Taijijian Wu-Hao D",926,IF(Atletas!T222="Taijijian 32 D",927,IF(Atletas!T222="Taijijian 42 D",928,IF(Atletas!T222="Taijijian Yang E",929,IF(Atletas!T222="Taijijian Chen E",930,IF(Atletas!T222="Taijijian Sun E",931,IF(Atletas!T222="Taijijian Wu E",932,IF(Atletas!T222="Taijijian Wu-Hao E",933,IF(Atletas!T222="Taijijian 32 E",934,IF(Atletas!T222="Taijijian 42 E",935,IF(Atletas!T222="Taijijian Yang F",936,IF(Atletas!T222="Taijijian Chen F",937,IF(Atletas!T222="Taijijian Sun F",938,IF(Atletas!T222="Taijijian Wu F",939,IF(Atletas!T222="Taijijian Wu-Hao F",940,IF(Atletas!T222="Taijijian 32 F",941,IF(Atletas!T222="Taijijian 42 F",942,"")))))))))))))))))))))))))))))))))))))))))))</f>
        <v/>
      </c>
      <c r="BW226" s="52" t="str">
        <f>IF(Atletas!U222="","",IF(Atletas!W222&lt;&gt;"",10000,0)+IF(Atletas!B222="Feminino",1000,IF(Atletas!B222="Masculino",2000,""))+IF(Atletas!T222="Taijijian 42 F",942,IF(Atletas!U222="Taijidao A",943,IF(Atletas!U222="Taijishan A",944,IF(Atletas!U222="Taijiqiang A",945,IF(Atletas!U222="Taijidao B",946,IF(Atletas!U222="Taijishan B",947,IF(Atletas!U222="Taijiqiang B",948,IF(Atletas!U222="Taijidao C",949,IF(Atletas!U222="Taijishan C",950,IF(Atletas!U222="Taijiqiang C",951,IF(Atletas!U222="Taijidao D",952,IF(Atletas!U222="Taijishan D",953,IF(Atletas!U222="Taijiqiang D",954,IF(Atletas!U222="Taijidao E",955,IF(Atletas!U222="Taijishan E",956,IF(Atletas!U222="Taijiqiang E",957,IF(Atletas!U222="Taijidao F",958,IF(Atletas!U222="Taijishan F",959,IF(Atletas!U222="Taijiqiang F",960))))))))))))))))))))</f>
        <v/>
      </c>
      <c r="BX226" s="72" t="str">
        <f>IF(BY226&lt;&gt;"","Shan A","")</f>
        <v/>
      </c>
      <c r="BY226" s="72" t="str">
        <f>IF(COUNTIF(BK:BW,1604)&gt;0,COUNTIF(BK:BW,1604),"")</f>
        <v/>
      </c>
      <c r="BZ226" s="72" t="str">
        <f>IF(CA226&lt;&gt;"","Shan A","")</f>
        <v/>
      </c>
      <c r="CA226" s="72" t="str">
        <f>IF(COUNTIF(BK:BW,2604)&gt;0,COUNTIF(BK:BW,2604),"")</f>
        <v/>
      </c>
      <c r="CB226" s="72" t="str">
        <f>IF(CC226&lt;&gt;"","Cheng 56 E","")</f>
        <v/>
      </c>
      <c r="CC226" s="64" t="str">
        <f>IF(COUNTIF(BK:BW,11458)&gt;0,COUNTIF(BK:BW,11458),"")</f>
        <v/>
      </c>
      <c r="CD226" s="64" t="str">
        <f>IF(CE226&lt;&gt;"","Cheng 56 E","")</f>
        <v/>
      </c>
      <c r="CE226" s="64" t="str">
        <f>IF(COUNTIF(BK:BW,12458)&gt;0,COUNTIF(BK:BW,12458),"")</f>
        <v/>
      </c>
      <c r="CF226" s="52" t="str">
        <f xml:space="preserve"> IF(Atletas!V222="","",IF(Atletas!V222="Duilian de Mãos AB - Equipe 1",1,IF(Atletas!V222="Duilian de Mãos AB - Equipe 2",2,IF(Atletas!V222="Duilian de Armas AB - Equipe 1",3,IF(Atletas!V222="Duilian de Armas AB - Equipe 2",4,IF(Atletas!V222="Duilian de Tuishou - Equipe 1",5,IF(Atletas!V222="Duilian de Tuishou - Equipe 2",6,IF(Atletas!V222="Grupo Externo AB - Equipe 1",7,IF(Atletas!V222="Grupo Externo AB - Equipe 2",8,IF(Atletas!V222="Grupo Interno AB - Equipe 1",9,IF(Atletas!V222="Grupo Interno AB - Equipe 2",10,IF(Atletas!V222="Duilian de Mãos CD - Equipe 1",11,IF(Atletas!V222="Duilian de Mãos CD - Equipe 2",12,IF(Atletas!V222="Duilian de Armas CD - Equipe 1",13,IF(Atletas!V222="Duilian de Armas CD - Equipe 2",14,IF(Atletas!V222="Duilian de Tuishou - Equipe 1",15,IF(Atletas!V222="Duilian de Tuishou - Equipe 2",16,IF(Atletas!V222="Grupo Externo CDEF - Equipe 1",17,IF(Atletas!V222="Grupo Externo CDEF - Equipe 2",18,IF(Atletas!V222="Grupo Interno CDEF - Equipe 1",19,IF(Atletas!V222="Grupo Interno CDEF - Equipe 2",20,IF(Atletas!V222="Duilian de Mãos EF - Equipe 1",21,IF(Atletas!V222="Duilian de Mãos EF - Equipe 2",22,IF(Atletas!V222="Duilian de Armas EF - Equipe 1",23,IF(Atletas!V222="Duilian de Armas EF - Equipe 2",24,IF(Atletas!V222="Duilian de Tuishou - Equipe 1",25,IF(Atletas!V222="Duilian de Tuishou - Equipe 2",26,"")))))))))))))))))))))))))))</f>
        <v/>
      </c>
    </row>
    <row r="227" spans="2:84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 t="str">
        <f t="array" ref="V227">IFERROR(INDEX(BX$7:BX$336,SMALL(IF(BX$7:BX$336&lt;&gt;"",ROW(BX$7:BX$336)-ROW(BX$7)+1),ROWS(BX$7:BX204))),"")</f>
        <v/>
      </c>
      <c r="W227" s="4" t="str">
        <f t="array" ref="W227">IFERROR(INDEX(BY$7:BY$336,SMALL(IF(BY$7:BY$336&lt;&gt;"",ROW(BY$7:BY$336)-ROW(BY$7)+1),ROWS(BY$7:BY204))),"")</f>
        <v/>
      </c>
      <c r="X227" s="4" t="str">
        <f t="array" ref="X227">IFERROR(INDEX(BZ$7:BZ$336,SMALL(IF(BZ$7:BZ$336&lt;&gt;"",ROW(BZ$7:BZ$336)-ROW(BZ$7)+1),ROWS(BZ$7:BZ204))),"")</f>
        <v/>
      </c>
      <c r="Y227" s="4" t="str">
        <f t="array" ref="Y227">IFERROR(INDEX(CA$7:CA$336,SMALL(IF(CA$7:CA$336&lt;&gt;"",ROW(CA$7:CA$336)-ROW(CA$7)+1),ROWS(CA$7:CA204))),"")</f>
        <v/>
      </c>
      <c r="Z227" s="4" t="str">
        <f t="array" ref="Z227">IFERROR(INDEX(CB$7:CB$378,SMALL(IF(CB$7:CB$378&lt;&gt;"",ROW(CB$7:CB$378)-ROW(CB$7)+1),ROWS(CB$7:CB226))),"")</f>
        <v/>
      </c>
      <c r="AA227" s="4" t="str">
        <f t="array" ref="AA227">IFERROR(INDEX(CC$7:CC$378,SMALL(IF(CC$7:CC$378&lt;&gt;"",ROW(CC$7:CC$378)-ROW(CC$7)+1),ROWS(CC$7:CC226))),"")</f>
        <v/>
      </c>
      <c r="AB227" s="4" t="str">
        <f t="array" ref="AB227">IFERROR(INDEX(CD$7:CD$378,SMALL(IF(CD$7:CD$378&lt;&gt;"",ROW(CD$7:CD$378)-ROW(CD$7)+1),ROWS(CD$7:CD226))),"")</f>
        <v/>
      </c>
      <c r="AC227" s="4" t="str">
        <f t="array" ref="AC227">IFERROR(INDEX(CE$7:CE$378,SMALL(IF(CE$7:CE$378&lt;&gt;"",ROW(CE$7:CE$378)-ROW(CE$7)+1),ROWS(CE$7:CE226))),"")</f>
        <v/>
      </c>
      <c r="AD227" s="4"/>
      <c r="AE227" s="4"/>
      <c r="AF227" s="4"/>
      <c r="AG227" s="4"/>
      <c r="AH227" s="4"/>
      <c r="AI227" s="4"/>
      <c r="AJ227" s="46" t="str">
        <f>IF(Atletas!D223="","",IF(Atletas!B223="Feminino",100,IF(Atletas!B223="Masculino",200,""))+(IF(Atletas!D223="Infantil 39kg",1,IF(Atletas!D223="Infantil 42kg",2,IF(Atletas!D223="Infantil 45kg",3,IF(Atletas!D223="Infantil 48kg",4,IF(Atletas!D223="Infantil 52kg",5,IF(Atletas!D223="Infantil 56kg",6,IF(Atletas!D223="Infantil 60kg",7,IF(Atletas!D223="Juvenil 48kg",8,IF(Atletas!D223="Juvenil 52kg",9,IF(Atletas!D223="Juvenil 56kg",10,IF(Atletas!D223="Juvenil 60kg",11,IF(Atletas!D223="Juvenil 65kg",12,IF(Atletas!D223="Juvenil 70kg",13,IF(Atletas!D223="Juvenil 75kg",14,IF(Atletas!D223="Juvenil 80kg",15,IF(Atletas!D223="Adulto 48kg",16,IF(Atletas!D223="Adulto 52kg",17,IF(Atletas!D223="Adulto 56kg",18,IF(Atletas!D223="Adulto 60kg",19,IF(Atletas!D223="Adulto 65kg",20,IF(Atletas!D223="Adulto 70kg",21,IF(Atletas!D223="Adulto 75kg",22,IF(Atletas!D223="Adulto 80kg",23,IF(Atletas!D223="Adulto 85kg",24,IF(Atletas!D223="Adulto 90kg",25,IF(Atletas!D223="Adulto +90kg",26,""))))))))))))))))))))))))))))</f>
        <v/>
      </c>
      <c r="AO227" s="10" t="str">
        <f>IF(Atletas!E223="","",IF(Atletas!B223="Feminino",100,IF(Atletas!B223="Masculino",200,""))+(IF(Atletas!E223="Juvenil 44kg",1,IF(Atletas!E223="Juvenil 48kg",2,IF(Atletas!E223="Juvenil 52kg",3,IF(Atletas!E223="Juvenil 56kg",4,IF(Atletas!E223="Juvenil 60kg",5,IF(Atletas!E223="Juvenil 65kg",6,IF(Atletas!E223="Juvenil 70kg",7,IF(Atletas!E223="Juvenil 75kg",8,IF(Atletas!E223="Juvenil 82kg",9,IF(Atletas!E223="Juvenil 90kg",10,IF(Atletas!E223="Juvenil 100kg",11,IF(Atletas!E223="Adulto 48kg",12,IF(Atletas!E223="Adulto 52kg",13,IF(Atletas!E223="Adulto 56kg",14,IF(Atletas!E223="Adulto 60kg",15,IF(Atletas!E223="Adulto 65kg",16,IF(Atletas!E223="Adulto 70kg",17,IF(Atletas!E223="Adulto 75kg",18,IF(Atletas!E223="Adulto 82kg",19,IF(Atletas!E223="Adulto 90kg",20,IF(Atletas!E223="Adulto 100kg",21,IF(Atletas!E223="Adulto +100kg",22,""))))))))))))))))))))))))</f>
        <v/>
      </c>
      <c r="AT227" s="10" t="str">
        <f>IF(Atletas!F223="","",IF(Atletas!B223="Feminino",100,IF(Atletas!B223="Masculino",200,""))+(IF(Atletas!F223="Adulto 48kg",1,IF(Atletas!F223="Adulto 56kg",2,IF(Atletas!F223="Adulto 65kg",3,IF(Atletas!F223="Adulto 75kg",4,IF(Atletas!F223="Adulto +75kg",5,IF(Atletas!F223="Adulto 52kg",6,IF(Atletas!F223="Adulto 60kg",7,IF(Atletas!F223="Adulto 70kg",8,IF(Atletas!F223="Adulto 80kg",9,IF(Atletas!F223="Adulto 90kg",10,IF(Atletas!F223="Adulto +90kg",11,"")))))))))))))</f>
        <v/>
      </c>
      <c r="AY227" s="46" t="str">
        <f>IF(Atletas!G223="","",IF(Atletas!B223="Feminino",100,IF(Atletas!B223="Masculino",200,""))+(IF(Atletas!G223="Changquan Mirim",1,IF(Atletas!G223="Nanquan Mirim",2,IF(Atletas!G223="Taijiquan Mirim",3,IF(Atletas!G223="Changquan Grupo C",4,IF(Atletas!G223="Nanquan Grupo C",5,IF(Atletas!G223="Taijiquan Grupo C",6,IF(Atletas!G223="Changquan Grupo B",7,IF(Atletas!G223="Nanquan Grupo B",8,IF(Atletas!G223="Taijiquan Grupo B",9,IF(Atletas!G223="Changquan Grupo A",10,IF(Atletas!G223="Nanquan Grupo A",11,IF(Atletas!G223="Taijiquan Grupo A",12,IF(Atletas!G223="Changquan Opcional",13,IF(Atletas!G223="Nanquan Opcional",14,IF(Atletas!G223="Taijiquan Opcional",15,IF(Atletas!G223="Changquan Adulto",16,IF(Atletas!G223="Nanquan Adulto",17,IF(Atletas!G223="Taijiquan Adulto",18,""))))))))))))))))))))</f>
        <v/>
      </c>
      <c r="AZ227" s="46" t="str">
        <f>IF(Atletas!H223="","",IF(Atletas!B223="Feminino",100,IF(Atletas!B223="Masculino",200,""))+(IF(Atletas!H223="Daoshu Mirim",19,IF(Atletas!H223="Jianshu Mirim",20,IF(Atletas!H223="Nandao Mirim",21,IF(Atletas!H223="Taijijian Mirim",22,IF(Atletas!H223="Daoshu Grupo C",23,IF(Atletas!H223="Jianshu Grupo C",24,IF(Atletas!H223="Nandao Grupo C",25,IF(Atletas!H223="Taijijian Grupo C",26,IF(Atletas!H223="Daoshu Grupo B",27,IF(Atletas!H223="Jianshu Grupo B",28,IF(Atletas!H223="Nandao Grupo B",29,IF(Atletas!H223="Taijijian Grupo B",30,IF(Atletas!H223="Daoshu Grupo A",31,IF(Atletas!H223="Jianshu Grupo A",32,IF(Atletas!H223="Nandao Grupo A",33,IF(Atletas!H223="Taijijian Grupo A",34,IF(Atletas!H223="Daoshu Opcional",35,IF(Atletas!H223="Jianshu Opcional",36,IF(Atletas!H223="Nandao Opcional",37,IF(Atletas!H223="Taijijian Opcional",38,IF(Atletas!H223="Daoshu Adulto",39,IF(Atletas!H223="Jianshu Adulto",40,IF(Atletas!H223="Nandao Adulto",41,IF(Atletas!H223="Taijijian Adulto",42,""))))))))))))))))))))))))))</f>
        <v/>
      </c>
      <c r="BA227" s="46" t="str">
        <f>IF(Atletas!I223="","",IF(Atletas!B223="Feminino",100,IF(Atletas!B223="Masculino",200,""))+(IF(Atletas!I223="Gunshu Mirim",43,IF(Atletas!I223="Qiangshu Mirim",44,IF(Atletas!I223="Nangun Mirim",45,IF(Atletas!I223="Gunshu Grupo C",46,IF(Atletas!I223="Qiangshu Grupo C",47,IF(Atletas!I223="Nangun Grupo C",48,IF(Atletas!I223="Gunshu Grupo B",49,IF(Atletas!I223="Qiangshu Grupo B",50,IF(Atletas!I223="Nangun Grupo B",51,IF(Atletas!I223="Gunshu Grupo A",52,IF(Atletas!I223="Qiangshu Grupo A",53,IF(Atletas!I223="Nangun Grupo A",54,IF(Atletas!I223="Gunshu Opcional",55,IF(Atletas!I223="Qiangshu Opcional",56,IF(Atletas!I223="Nangun Opcional",57,IF(Atletas!I223="Gunshu Adulto",58,IF(Atletas!I223="Qiangshu Adulto",59,IF(Atletas!I223="Nangun Adulto",60,""))))))))))))))))))))</f>
        <v/>
      </c>
      <c r="BF227" s="52" t="str">
        <f>IF(Atletas!J223="","",IF(Atletas!B223="Feminino",100,IF(Atletas!B223="Masculino",200,""))+(IF(Atletas!J223="Equipe 1 Grupo B",1,IF(Atletas!J223="Equipe 2 Grupo B",2,IF(Atletas!J223="Equipe 1 Grupo A",3,IF(Atletas!J223="Equipe 2 Grupo A",4,IF(Atletas!J223="Equipe 1 Adulto",5,IF(Atletas!J223="Equipe 2 Adulto",6,""))))))))</f>
        <v/>
      </c>
      <c r="BK227" s="52" t="str">
        <f>IF(Atletas!K223="","",IF(Atletas!W223&lt;&gt;"",10000,0)+(IF(Atletas!B223="Feminino",1000,IF(Atletas!B223="Masculino",2000,""))+IF(Atletas!K223="Choylayfut A",1,IF(Atletas!K223="Hunggar A",2,IF(Atletas!K223="Wuzuquan A",3,IF(Atletas!K223="Wingchun A",4,IF(Atletas!K223="Outra Mão de Sul A",5,IF(Atletas!K223="Choylayfut B",6,IF(Atletas!K223="Hunggar B",7,IF(Atletas!K223="Wuzuquan B",8,IF(Atletas!K223="Wingchun B",9,IF(Atletas!K223="Outra Mão de Sul B",10,IF(Atletas!K223="Choylayfut C",11,IF(Atletas!K223="Hunggar C",12,IF(Atletas!K223="Wuzuquan C",13,IF(Atletas!K223="Wingchun C",14,IF(Atletas!K223="Outra Mão de Sul C",15,IF(Atletas!K223="Choylayfut D",16,IF(Atletas!K223="Hunggar D",17,IF(Atletas!K223="Wuzuquan D",18,IF(Atletas!K223="Wingchun D",19,IF(Atletas!K223="Outra Mão de Sul D",20,IF(Atletas!K223="Choylayfut E",21,IF(Atletas!K223="Hunggar E",22,IF(Atletas!K223="Wuzuquan E",23,IF(Atletas!K223="Wingchun E",24,IF(Atletas!K223="Outra Mão de Sul E",25,IF(Atletas!K223="Choylayfut F",26,IF(Atletas!K223="Hunggar F",27,IF(Atletas!K223="Wuzuquan F",28,IF(Atletas!K223="Wingchun F",29,IF(Atletas!K223="Outra Mão de Sul F",30,""))))))))))))))))))))))))))))))))</f>
        <v/>
      </c>
      <c r="BL227" s="52" t="str">
        <f>IF(Atletas!L223="","",IF(Atletas!W223&lt;&gt;"",10000,0)+(IF(Atletas!B223="Feminino",1000,IF(Atletas!B223="Masculino",2000,""))+(IF(Atletas!L223="Chaquan A",101,IF(Atletas!L223="Emeiquan A",102,IF(Atletas!L223="Fanziquan A",103,IF(Atletas!L223="Huaquan A",104,IF(Atletas!L223="Hongquan A",105,IF(Atletas!L223="Paochui A",106,IF(Atletas!L223="Piguaquan A",107,IF(Atletas!L223="Shaolinquan A",108,IF(Atletas!L223="Tanglangquan A",109,IF(Atletas!L223="Yinzhaophai A",110,IF(Atletas!L223="Tongbeiquan A",111,IF(Atletas!L223="Wudangquan A",112,IF(Atletas!L223="Outros Estilos A",113,IF(Atletas!L223="Chaquan B",114,IF(Atletas!L223="Emeiquan B",115,IF(Atletas!L223="Fanziquan B",116,IF(Atletas!L223="Huaquan B",117,IF(Atletas!L223="Hongquan B",118,IF(Atletas!L223="Paochui B",119,IF(Atletas!L223="Piguaquan B",120,IF(Atletas!L223="Shaolinquan B",121,IF(Atletas!L223="Tanglangquan B",122,IF(Atletas!L223="Yinzhaophai B",123,IF(Atletas!L223="Tongbeiquan B",124,IF(Atletas!L223="Wudangquan B",125,IF(Atletas!L223="Outros Estilos B",126,IF(Atletas!L223="Chaquan C",127,IF(Atletas!L223="Emeiquan C",128,IF(Atletas!L223="Fanziquan C",129,IF(Atletas!L223="Huaquan C",130,IF(Atletas!L223="Hongquan C",131,IF(Atletas!L223="Paochui C",132,IF(Atletas!L223="Piguaquan C",133,IF(Atletas!L223="Shaolinquan C",134,IF(Atletas!L223="Tanglangquan C",135,IF(Atletas!L223="Yinzhaophai C",136,IF(Atletas!L223="Tongbeiquan C",137,IF(Atletas!L223="Wudangquan C",138,IF(Atletas!L223="Outros Estilos C",139,0))))))))))))))))))))))))))))))))))))))))))</f>
        <v/>
      </c>
      <c r="BM227" s="52" t="str">
        <f>IF(Atletas!L223="","",IF(Atletas!W223&lt;&gt;"",10000,0)+(IF(Atletas!B223="Feminino",1000,IF(Atletas!B223="Masculino",2000,""))+(IF(Atletas!L223="Chaquan D",140,IF(Atletas!L223="Emeiquan D",141,IF(Atletas!L223="Fanziquan D",142,IF(Atletas!L223="Huaquan D",143,IF(Atletas!L223="Hongquan D",144,IF(Atletas!L223="Paochui D",145,IF(Atletas!L223="Piguaquan D",146,IF(Atletas!L223="Shaolinquan D",147,IF(Atletas!L223="Tanglangquan D",148,IF(Atletas!L223="Yinzhaophai D",149,IF(Atletas!L223="Tongbeiquan D",150,IF(Atletas!L223="Wudangquan D",151,IF(Atletas!L223="Outros Estilos D",152,IF(Atletas!L223="Chaquan E",153,IF(Atletas!L223="Emeiquan E",154,IF(Atletas!L223="Fanziquan E",155,IF(Atletas!L223="Huaquan E",156,IF(Atletas!L223="Hongquan E",157,IF(Atletas!L223="Paochui E",158,IF(Atletas!L223="Piguaquan E",159,IF(Atletas!L223="Shaolinquan E",160,IF(Atletas!L223="Tanglangquan E",161,IF(Atletas!L223="Yinzhaophai E",162,IF(Atletas!L223="Tongbeiquan E",163,IF(Atletas!L223="Wudangquan E",164,IF(Atletas!L223="Outros Estilos E",165,IF(Atletas!L223="Chaquan F",166,IF(Atletas!L223="Emeiquan F",167,IF(Atletas!L223="Fanziquan F",168,IF(Atletas!L223="Huaquan F",169,IF(Atletas!L223="Hongquan F",170,IF(Atletas!L223="Paochui F",171,IF(Atletas!L223="Piguaquan F",172,IF(Atletas!L223="Shaolinquan F",173,IF(Atletas!L223="Tanglangquan F",174,IF(Atletas!L223="Yinzhaophai F",175,IF(Atletas!L223="Tongbeiquan F",176,IF(Atletas!L223="Wudangquan F",177,IF(Atletas!L223="Outros Estilos F",178,0))))))))))))))))))))))))))))))))))))))))))</f>
        <v/>
      </c>
      <c r="BN227" s="52" t="str">
        <f>IF(Atletas!M223="","",IF(Atletas!W223&lt;&gt;"",10000,0)+(IF(Atletas!B223="Feminino",1000,IF(Atletas!B223="Masculino",2000,""))+(IF(Atletas!M223="Ditangquan A",201,IF(Atletas!M223="Houquan A",202,IF(Atletas!M223="Zuiquan A",203,IF(Atletas!M223="Ditangquan B",204,IF(Atletas!M223="Houquan B",205,IF(Atletas!M223="Zuiquan B",206,IF(Atletas!M223="Ditangquan C",207,IF(Atletas!M223="Houquan C",208,IF(Atletas!M223="Zuiquan C",209,IF(Atletas!M223="Ditangquan D",210,IF(Atletas!M223="Houquan D",211,IF(Atletas!M223="Zuiquan D",212,IF(Atletas!M223="Ditangquan E",213,IF(Atletas!M223="Houquan E",214,IF(Atletas!M223="Zuiquan E",215,IF(Atletas!M223="Ditangquan F",216,IF(Atletas!M223="Houquan F",217,IF(Atletas!M223="Zuiquan F",218,"")))))))))))))))))))))</f>
        <v/>
      </c>
      <c r="BO227" s="52" t="str">
        <f>IF(Atletas!N223="","",IF(Atletas!W223&lt;&gt;"",10000,0)+IF(Atletas!B223="Feminino",1000,IF(Atletas!B223="Masculino",2000,""))+IF(Atletas!N223="Yang A",301,IF(Atletas!N223="Chen A",30,IF(Atletas!N223="Sun A",303,IF(Atletas!N223="Wu A",304,IF(Atletas!N223="Wu-Hao A",305,IF(Atletas!N223="Outro Taijiquan A",306,IF(Atletas!N223="Yang B",307,IF(Atletas!N223="Chen B",308,IF(Atletas!N223="Sun B",309,IF(Atletas!N223="Wu B",310,IF(Atletas!N223="Wu-Hao B",311,IF(Atletas!N223="Outro Taijiquan B",312,IF(Atletas!N223="Yang C",313,IF(Atletas!N223="Chen C",314,IF(Atletas!N223="Sun C",315,IF(Atletas!N223="Wu C",316,IF(Atletas!N223="Wu-Hao C",317,IF(Atletas!N223="Outro Taijiquan C",318,IF(Atletas!N223="Yang D",319,IF(Atletas!N223="Chen D",320,IF(Atletas!N223="Sun D",321,IF(Atletas!N223="Wu D",322,IF(Atletas!N223="Wu-Hao D",323,IF(Atletas!N223="Outro Taijiquan D",324,IF(Atletas!N223="Yang E",325,IF(Atletas!N223="Chen E",326,IF(Atletas!N223="Sun E",327,IF(Atletas!N223="Wu E",328,IF(Atletas!N223="Wu-Hao E",329,IF(Atletas!N223="Outro Taijiquan E",330,IF(Atletas!N223="Yang F",331,IF(Atletas!N223="Chen F",332,IF(Atletas!N223="Sun F",333,IF(Atletas!N223="Wu F",334,IF(Atletas!N223="Wu-Hao F",335,IF(Atletas!N223="Outro Taijiquan F",336,"")))))))))))))))))))))))))))))))))))))</f>
        <v/>
      </c>
      <c r="BP227" s="52" t="str">
        <f>IF(Atletas!O223="","",IF(Atletas!W223&lt;&gt;"",10000,0)+IF(Atletas!B223="Feminino",1000,IF(Atletas!B223="Masculino",2000,""))+IF(OR(Atletas!O223="Yang 26 A",Atletas!O223="Yang 40 A"),401,IF(OR(Atletas!O223="Chen 25 A",Atletas!O223="Chen 36 A",Atletas!O223="Chen 56 A"),402,IF(Atletas!O223="Sun 73 A",403,IF(Atletas!O223="Wu 45 A",404,IF(Atletas!O223="Wu-Hao 46 A",405,IF(OR(Atletas!O223="Taijiquan 16 A",Atletas!O223="Taijiquan 24 A",Atletas!O223="Taijiquan 32 A",Atletas!O223="Taijiquan 42 A"),406,IF(OR(Atletas!O223="Yang 26 B",Atletas!O223="Yang 40 B"),407,IF(OR(Atletas!O223="Chen 25 B",Atletas!O223="Chen 36 B",Atletas!O223="Chen 56 B"),408,IF(Atletas!O223="Sun 73 B",409,IF(Atletas!O223="Wu 45 B",410,IF(Atletas!O223="Wu-Hao 46 B",411,IF(OR(Atletas!O223="Taijiquan 16 B",Atletas!O223="Taijiquan 24 B",Atletas!O223="Taijiquan 32 B",Atletas!O223="Taijiquan 42 B"),412,IF(OR(Atletas!O223="Yang 26 C",Atletas!O223="Yang 40 C"),413,IF(OR(Atletas!O223="Chen 25 C",Atletas!O223="Chen 36 C",Atletas!O223="Chen 56 C"),414,IF(Atletas!O223="Sun 73 C",415,IF(Atletas!O223="Wu 45 C",416,IF(Atletas!O223="Wu-Hao 46 C",417,IF(OR(Atletas!O223="Taijiquan 16 C",Atletas!O223="Taijiquan 24 C",Atletas!O223="Taijiquan 32 C",Atletas!O223="Taijiquan 42 C"),418,0)))))))))))))))))))</f>
        <v/>
      </c>
      <c r="BQ227" s="52" t="str">
        <f>IF(Atletas!O223="","",IF(Atletas!W223&lt;&gt;"",10000,0)+IF(Atletas!B223="Feminino",1000,IF(Atletas!B223="Masculino",2000,""))+IF(OR(Atletas!O223="Yang 26 D",Atletas!O223="Yang 40 D"),419,IF(OR(Atletas!O223="Chen 25 D",Atletas!O223="Chen 36 D",Atletas!O223="Chen 56 D"),420,IF(Atletas!O223="Sun 73 D",421,IF(Atletas!O223="Wu 45 D",422,IF(Atletas!O223="Wu-Hao 46 D",423,IF(OR(Atletas!O223="Taijiquan 16 D",Atletas!O223="Taijiquan 24 D",Atletas!O223="Taijiquan 32 D",Atletas!O223="Taijiquan 42 D"),424,IF(OR(Atletas!O223="Yang 26 E",Atletas!O223="Yang 40 E"),425,IF(OR(Atletas!O223="Chen 25 E",Atletas!O223="Chen 36 E",Atletas!O223="Chen 56 E"),426,IF(Atletas!O223="Sun 73 E",427,IF(Atletas!O223="Wu 45 E",428,IF(Atletas!O223="Wu-Hao 46 E",429,IF(OR(Atletas!O223="Taijiquan 16 E",Atletas!O223="Taijiquan 24 E",Atletas!O223="Taijiquan 32 E",Atletas!O223="Taijiquan 42 E"),430,IF(OR(Atletas!O223="Yang 26 F",Atletas!O223="Yang 40 F"),431,IF(OR(Atletas!O223="Chen 25 F",Atletas!O223="Chen 36 F",Atletas!O223="Chen 56 F"),432,IF(Atletas!O223="Sun 73 F",433,IF(Atletas!O223="Wu 45 F",434,IF(Atletas!O223="Wu-Hao 46 F",435,IF(OR(Atletas!O223="Taijiquan 16 F",Atletas!O223="Taijiquan 24 F",Atletas!O223="Taijiquan 32 F",Atletas!O223="Taijiquan 42 F"),436,0)))))))))))))))))))</f>
        <v/>
      </c>
      <c r="BR227" s="52" t="str">
        <f>IF(Atletas!P223="","",IF(Atletas!W223&lt;&gt;"",10000,0)+IF(Atletas!B223="Feminino",1000,IF(Atletas!B223="Masculino",2000,""))+IF(Atletas!P223="Xingyiquan A",501,IF(Atletas!P223="Baguazhang A",502,IF(Atletas!P223="Outro Estilo Interno A",503,IF(Atletas!P223="Xingyiquan B",504,IF(Atletas!P223="Baguazhang B",505,IF(Atletas!P223="Outro Estilo Interno B",506,IF(Atletas!P223="Xingyiquan C",507,IF(Atletas!P223="Baguazhang C",508,IF(Atletas!P223="Outro Estilo Interno C",509,IF(Atletas!P223="Xingyiquan D",510,IF(Atletas!P223="Baguazhang D",511,IF(Atletas!P223="Outro Estilo Interno D",512,IF(Atletas!P223="Xingyiquan E",513,IF(Atletas!P223="Baguazhang E",514,IF(Atletas!P223="Outro Estilo Interno E",515,IF(Atletas!P223="Xingyiquan F",516,IF(Atletas!P223="Baguazhang F",517,IF(Atletas!P223="Outro Estilo Interno F",518, "")))))))))))))))))))</f>
        <v/>
      </c>
      <c r="BS227" s="52" t="str">
        <f>IF(Atletas!Q223="","",IF(Atletas!W223&lt;&gt;"",10000,0)+IF(Atletas!B223="Feminino",1000,IF(Atletas!B223="Masculino",2000,""))+IF(Atletas!Q223="Dao A",601,IF(Atletas!Q223="Jian A",602,IF(Atletas!Q223="Bishou A",603,IF(Atletas!Q223="Shan A",604,IF(Atletas!Q223="Outra Arma Curta A",605,IF(Atletas!Q223="Dao B",606,IF(Atletas!Q223="Jian B",607,IF(Atletas!Q223="Bishou B",608,IF(Atletas!Q223="Shan B",609,IF(Atletas!Q223="Outra Arma Curta B",610,IF(Atletas!Q223="Dao C",611,IF(Atletas!Q223="Jian C",612,IF(Atletas!Q223="Bishou C",613,IF(Atletas!Q223="Shan C",614,IF(Atletas!Q223="Outra Arma Curta C",615,IF(Atletas!Q223="Dao D",616,IF(Atletas!Q223="Jian D",617,IF(Atletas!Q223="Bishou D",618,IF(Atletas!Q223="Shan D",619,IF(Atletas!Q223="Outra Arma Curta D",620,IF(Atletas!Q223="Dao E",621,IF(Atletas!Q223="Jian E",622,IF(Atletas!Q223="Bishou E",623,IF(Atletas!Q223="Shan E",624,IF(Atletas!Q223="Outra Arma Curta E",625,IF(Atletas!Q223="Dao F",626,IF(Atletas!Q223="Jian F",627,IF(Atletas!Q223="Bishou F",628,IF(Atletas!Q223="Shan F",629,IF(Atletas!Q223="Outra Arma Curta F",630, "")))))))))))))))))))))))))))))))</f>
        <v/>
      </c>
      <c r="BT227" s="52" t="str">
        <f>IF(Atletas!R223="","",IF(Atletas!W223&lt;&gt;"",10000,0)+IF(Atletas!B223="Feminino",1000,IF(Atletas!B223="Masculino",2000,""))+IF(Atletas!R223="Gun A",701,IF(Atletas!R223="Qiang A",702,IF(Atletas!R223="Pudao / Guandao A",703,IF(Atletas!R223="Outra Arma Longa A",704,IF(Atletas!R223="Gun B",705,IF(Atletas!R223="Qiang B",706,IF(Atletas!R223="Pudao / Guandao B",707,IF(Atletas!R223="Outra Arma Longa B",708,IF(Atletas!R223="Gun C",709,IF(Atletas!R223="Qiang C",710,IF(Atletas!R223="Pudao / Guandao C",711,IF(Atletas!R223="Outra Arma Longa C",712,IF(Atletas!R223="Gun D",713,IF(Atletas!R223="Qiang D",714,IF(Atletas!R223="Pudao / Guandao D",715,IF(Atletas!R223="Outra Arma Longa D",716,IF(Atletas!R223="Gun E",717,IF(Atletas!R223="Qiang E",718,IF(Atletas!R223="Pudao / Guandao E",719,IF(Atletas!R223="Outra Arma Longa E",720,IF(Atletas!R223="Gun F",721,IF(Atletas!R223="Qiang F",722,IF(Atletas!R223="Pudao / Guandao F",723,IF(Atletas!R223="Outra Arma Longa F",724,"")))))))))))))))))))))))))</f>
        <v/>
      </c>
      <c r="BU227" s="52" t="str">
        <f>IF(Atletas!S223="","",IF(Atletas!W223&lt;&gt;"",10000,0)+IF(Atletas!B223="Feminino",1000,IF(Atletas!B223="Masculino",2000,""))+IF(Atletas!S223="Arma Dupla A",801,IF(Atletas!S223="Arma Maleável A",802,IF(Atletas!S223="Arma Dupla B",803,IF(Atletas!S223="Arma Maleável B",804,IF(Atletas!S223="Arma Dupla C",805,IF(Atletas!S223="Arma Maleável C",806,IF(Atletas!S223="Arma Dupla D",807,IF(Atletas!S223="Arma Maleável D",808,IF(Atletas!S223="Arma Dupla E",809,IF(Atletas!S223="Arma Maleável E",810,IF(Atletas!S223="Arma Dupla F",811,IF(Atletas!S223="Arma Maleável F",812, "")))))))))))))</f>
        <v/>
      </c>
      <c r="BV227" s="52" t="str">
        <f>IF(Atletas!T223="","",IF(Atletas!W223&lt;&gt;"",10000,0)+IF(Atletas!B223="Feminino",1000,IF(Atletas!B223="Masculino",2000,""))+IF(Atletas!T223="Taijijian Yang A",901,IF(Atletas!T223="Taijijian Chen A",902,IF(Atletas!T223="Taijijian Sun A",903,IF(Atletas!T223="Taijijian Wu A",904,IF(Atletas!T223="Taijijian Wu-Hao A",905,IF(Atletas!T223="Taijijian 32 A",906,IF(Atletas!T223="Taijijian 42 A",907,IF(Atletas!T223="Taijijian Yang B",908,IF(Atletas!T223="Taijijian Chen B",909,IF(Atletas!T223="Taijijian Sun B",910,IF(Atletas!T223="Taijijian Wu B",911,IF(Atletas!T223="Taijijian Wu-Hao B",912,IF(Atletas!T223="Taijijian 32 B",913,IF(Atletas!T223="Taijijian 42 B",914,IF(Atletas!T223="Taijijian Yang C",915,IF(Atletas!T223="Taijijian Chen C",916,IF(Atletas!T223="Taijijian Sun C",917,IF(Atletas!T223="Taijijian Wu C",918,IF(Atletas!T223="Taijijian Wu-Hao C",919,IF(Atletas!T223="Taijijian 32 C",920,IF(Atletas!T223="Taijijian 42 C",921,IF(Atletas!T223="Taijijian Yang D",922,IF(Atletas!T223="Taijijian Chen D",923,IF(Atletas!T223="Taijijian Sun D",924,IF(Atletas!T223="Taijijian Wu D",925,IF(Atletas!T223="Taijijian Wu-Hao D",926,IF(Atletas!T223="Taijijian 32 D",927,IF(Atletas!T223="Taijijian 42 D",928,IF(Atletas!T223="Taijijian Yang E",929,IF(Atletas!T223="Taijijian Chen E",930,IF(Atletas!T223="Taijijian Sun E",931,IF(Atletas!T223="Taijijian Wu E",932,IF(Atletas!T223="Taijijian Wu-Hao E",933,IF(Atletas!T223="Taijijian 32 E",934,IF(Atletas!T223="Taijijian 42 E",935,IF(Atletas!T223="Taijijian Yang F",936,IF(Atletas!T223="Taijijian Chen F",937,IF(Atletas!T223="Taijijian Sun F",938,IF(Atletas!T223="Taijijian Wu F",939,IF(Atletas!T223="Taijijian Wu-Hao F",940,IF(Atletas!T223="Taijijian 32 F",941,IF(Atletas!T223="Taijijian 42 F",942,"")))))))))))))))))))))))))))))))))))))))))))</f>
        <v/>
      </c>
      <c r="BW227" s="52" t="str">
        <f>IF(Atletas!U223="","",IF(Atletas!W223&lt;&gt;"",10000,0)+IF(Atletas!B223="Feminino",1000,IF(Atletas!B223="Masculino",2000,""))+IF(Atletas!T223="Taijijian 42 F",942,IF(Atletas!U223="Taijidao A",943,IF(Atletas!U223="Taijishan A",944,IF(Atletas!U223="Taijiqiang A",945,IF(Atletas!U223="Taijidao B",946,IF(Atletas!U223="Taijishan B",947,IF(Atletas!U223="Taijiqiang B",948,IF(Atletas!U223="Taijidao C",949,IF(Atletas!U223="Taijishan C",950,IF(Atletas!U223="Taijiqiang C",951,IF(Atletas!U223="Taijidao D",952,IF(Atletas!U223="Taijishan D",953,IF(Atletas!U223="Taijiqiang D",954,IF(Atletas!U223="Taijidao E",955,IF(Atletas!U223="Taijishan E",956,IF(Atletas!U223="Taijiqiang E",957,IF(Atletas!U223="Taijidao F",958,IF(Atletas!U223="Taijishan F",959,IF(Atletas!U223="Taijiqiang F",960))))))))))))))))))))</f>
        <v/>
      </c>
      <c r="BX227" s="72" t="str">
        <f>IF(BY227&lt;&gt;"","Outra Arma Curta A","")</f>
        <v/>
      </c>
      <c r="BY227" s="72" t="str">
        <f>IF(COUNTIF(BK:BW,1605)&gt;0,COUNTIF(BK:BW,1605),"")</f>
        <v/>
      </c>
      <c r="BZ227" s="72" t="str">
        <f>IF(CA227&lt;&gt;"","Outra Arma Curta A","")</f>
        <v/>
      </c>
      <c r="CA227" s="72" t="str">
        <f>IF(COUNTIF(BK:BW,2605)&gt;0,COUNTIF(BK:BW,2605),"")</f>
        <v/>
      </c>
      <c r="CB227" s="72" t="str">
        <f>IF(CC227&lt;&gt;"","Cheng Novo E","")</f>
        <v/>
      </c>
      <c r="CC227" s="64" t="str">
        <f>IF(COUNTIF(BK:BW,11459)&gt;0,COUNTIF(BK:BW,11459),"")</f>
        <v/>
      </c>
      <c r="CD227" s="64" t="str">
        <f>IF(CE227&lt;&gt;"","Cheng Novo E","")</f>
        <v/>
      </c>
      <c r="CE227" s="64" t="str">
        <f>IF(COUNTIF(BK:BW,12459)&gt;0,COUNTIF(BK:BW,12459),"")</f>
        <v/>
      </c>
      <c r="CF227" s="52" t="str">
        <f xml:space="preserve"> IF(Atletas!V223="","",IF(Atletas!V223="Duilian de Mãos AB - Equipe 1",1,IF(Atletas!V223="Duilian de Mãos AB - Equipe 2",2,IF(Atletas!V223="Duilian de Armas AB - Equipe 1",3,IF(Atletas!V223="Duilian de Armas AB - Equipe 2",4,IF(Atletas!V223="Duilian de Tuishou - Equipe 1",5,IF(Atletas!V223="Duilian de Tuishou - Equipe 2",6,IF(Atletas!V223="Grupo Externo AB - Equipe 1",7,IF(Atletas!V223="Grupo Externo AB - Equipe 2",8,IF(Atletas!V223="Grupo Interno AB - Equipe 1",9,IF(Atletas!V223="Grupo Interno AB - Equipe 2",10,IF(Atletas!V223="Duilian de Mãos CD - Equipe 1",11,IF(Atletas!V223="Duilian de Mãos CD - Equipe 2",12,IF(Atletas!V223="Duilian de Armas CD - Equipe 1",13,IF(Atletas!V223="Duilian de Armas CD - Equipe 2",14,IF(Atletas!V223="Duilian de Tuishou - Equipe 1",15,IF(Atletas!V223="Duilian de Tuishou - Equipe 2",16,IF(Atletas!V223="Grupo Externo CDEF - Equipe 1",17,IF(Atletas!V223="Grupo Externo CDEF - Equipe 2",18,IF(Atletas!V223="Grupo Interno CDEF - Equipe 1",19,IF(Atletas!V223="Grupo Interno CDEF - Equipe 2",20,IF(Atletas!V223="Duilian de Mãos EF - Equipe 1",21,IF(Atletas!V223="Duilian de Mãos EF - Equipe 2",22,IF(Atletas!V223="Duilian de Armas EF - Equipe 1",23,IF(Atletas!V223="Duilian de Armas EF - Equipe 2",24,IF(Atletas!V223="Duilian de Tuishou - Equipe 1",25,IF(Atletas!V223="Duilian de Tuishou - Equipe 2",26,"")))))))))))))))))))))))))))</f>
        <v/>
      </c>
    </row>
    <row r="228" spans="2:84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 t="str">
        <f t="array" ref="V228">IFERROR(INDEX(BX$7:BX$336,SMALL(IF(BX$7:BX$336&lt;&gt;"",ROW(BX$7:BX$336)-ROW(BX$7)+1),ROWS(BX$7:BX204))),"")</f>
        <v/>
      </c>
      <c r="W228" s="4" t="str">
        <f t="array" ref="W228">IFERROR(INDEX(BY$7:BY$336,SMALL(IF(BY$7:BY$336&lt;&gt;"",ROW(BY$7:BY$336)-ROW(BY$7)+1),ROWS(BY$7:BY204))),"")</f>
        <v/>
      </c>
      <c r="X228" s="4" t="str">
        <f t="array" ref="X228">IFERROR(INDEX(BZ$7:BZ$336,SMALL(IF(BZ$7:BZ$336&lt;&gt;"",ROW(BZ$7:BZ$336)-ROW(BZ$7)+1),ROWS(BZ$7:BZ204))),"")</f>
        <v/>
      </c>
      <c r="Y228" s="4" t="str">
        <f t="array" ref="Y228">IFERROR(INDEX(CA$7:CA$336,SMALL(IF(CA$7:CA$336&lt;&gt;"",ROW(CA$7:CA$336)-ROW(CA$7)+1),ROWS(CA$7:CA204))),"")</f>
        <v/>
      </c>
      <c r="Z228" s="4" t="str">
        <f t="array" ref="Z228">IFERROR(INDEX(CB$7:CB$378,SMALL(IF(CB$7:CB$378&lt;&gt;"",ROW(CB$7:CB$378)-ROW(CB$7)+1),ROWS(CB$7:CB227))),"")</f>
        <v/>
      </c>
      <c r="AA228" s="4" t="str">
        <f t="array" ref="AA228">IFERROR(INDEX(CC$7:CC$378,SMALL(IF(CC$7:CC$378&lt;&gt;"",ROW(CC$7:CC$378)-ROW(CC$7)+1),ROWS(CC$7:CC227))),"")</f>
        <v/>
      </c>
      <c r="AB228" s="4" t="str">
        <f t="array" ref="AB228">IFERROR(INDEX(CD$7:CD$378,SMALL(IF(CD$7:CD$378&lt;&gt;"",ROW(CD$7:CD$378)-ROW(CD$7)+1),ROWS(CD$7:CD227))),"")</f>
        <v/>
      </c>
      <c r="AC228" s="4" t="str">
        <f t="array" ref="AC228">IFERROR(INDEX(CE$7:CE$378,SMALL(IF(CE$7:CE$378&lt;&gt;"",ROW(CE$7:CE$378)-ROW(CE$7)+1),ROWS(CE$7:CE227))),"")</f>
        <v/>
      </c>
      <c r="AD228" s="4"/>
      <c r="AE228" s="4"/>
      <c r="AF228" s="4"/>
      <c r="AG228" s="4"/>
      <c r="AH228" s="4"/>
      <c r="AI228" s="4"/>
      <c r="AJ228" s="46" t="str">
        <f>IF(Atletas!D224="","",IF(Atletas!B224="Feminino",100,IF(Atletas!B224="Masculino",200,""))+(IF(Atletas!D224="Infantil 39kg",1,IF(Atletas!D224="Infantil 42kg",2,IF(Atletas!D224="Infantil 45kg",3,IF(Atletas!D224="Infantil 48kg",4,IF(Atletas!D224="Infantil 52kg",5,IF(Atletas!D224="Infantil 56kg",6,IF(Atletas!D224="Infantil 60kg",7,IF(Atletas!D224="Juvenil 48kg",8,IF(Atletas!D224="Juvenil 52kg",9,IF(Atletas!D224="Juvenil 56kg",10,IF(Atletas!D224="Juvenil 60kg",11,IF(Atletas!D224="Juvenil 65kg",12,IF(Atletas!D224="Juvenil 70kg",13,IF(Atletas!D224="Juvenil 75kg",14,IF(Atletas!D224="Juvenil 80kg",15,IF(Atletas!D224="Adulto 48kg",16,IF(Atletas!D224="Adulto 52kg",17,IF(Atletas!D224="Adulto 56kg",18,IF(Atletas!D224="Adulto 60kg",19,IF(Atletas!D224="Adulto 65kg",20,IF(Atletas!D224="Adulto 70kg",21,IF(Atletas!D224="Adulto 75kg",22,IF(Atletas!D224="Adulto 80kg",23,IF(Atletas!D224="Adulto 85kg",24,IF(Atletas!D224="Adulto 90kg",25,IF(Atletas!D224="Adulto +90kg",26,""))))))))))))))))))))))))))))</f>
        <v/>
      </c>
      <c r="AO228" s="10" t="str">
        <f>IF(Atletas!E224="","",IF(Atletas!B224="Feminino",100,IF(Atletas!B224="Masculino",200,""))+(IF(Atletas!E224="Juvenil 44kg",1,IF(Atletas!E224="Juvenil 48kg",2,IF(Atletas!E224="Juvenil 52kg",3,IF(Atletas!E224="Juvenil 56kg",4,IF(Atletas!E224="Juvenil 60kg",5,IF(Atletas!E224="Juvenil 65kg",6,IF(Atletas!E224="Juvenil 70kg",7,IF(Atletas!E224="Juvenil 75kg",8,IF(Atletas!E224="Juvenil 82kg",9,IF(Atletas!E224="Juvenil 90kg",10,IF(Atletas!E224="Juvenil 100kg",11,IF(Atletas!E224="Adulto 48kg",12,IF(Atletas!E224="Adulto 52kg",13,IF(Atletas!E224="Adulto 56kg",14,IF(Atletas!E224="Adulto 60kg",15,IF(Atletas!E224="Adulto 65kg",16,IF(Atletas!E224="Adulto 70kg",17,IF(Atletas!E224="Adulto 75kg",18,IF(Atletas!E224="Adulto 82kg",19,IF(Atletas!E224="Adulto 90kg",20,IF(Atletas!E224="Adulto 100kg",21,IF(Atletas!E224="Adulto +100kg",22,""))))))))))))))))))))))))</f>
        <v/>
      </c>
      <c r="AT228" s="10" t="str">
        <f>IF(Atletas!F224="","",IF(Atletas!B224="Feminino",100,IF(Atletas!B224="Masculino",200,""))+(IF(Atletas!F224="Adulto 48kg",1,IF(Atletas!F224="Adulto 56kg",2,IF(Atletas!F224="Adulto 65kg",3,IF(Atletas!F224="Adulto 75kg",4,IF(Atletas!F224="Adulto +75kg",5,IF(Atletas!F224="Adulto 52kg",6,IF(Atletas!F224="Adulto 60kg",7,IF(Atletas!F224="Adulto 70kg",8,IF(Atletas!F224="Adulto 80kg",9,IF(Atletas!F224="Adulto 90kg",10,IF(Atletas!F224="Adulto +90kg",11,"")))))))))))))</f>
        <v/>
      </c>
      <c r="AY228" s="46" t="str">
        <f>IF(Atletas!G224="","",IF(Atletas!B224="Feminino",100,IF(Atletas!B224="Masculino",200,""))+(IF(Atletas!G224="Changquan Mirim",1,IF(Atletas!G224="Nanquan Mirim",2,IF(Atletas!G224="Taijiquan Mirim",3,IF(Atletas!G224="Changquan Grupo C",4,IF(Atletas!G224="Nanquan Grupo C",5,IF(Atletas!G224="Taijiquan Grupo C",6,IF(Atletas!G224="Changquan Grupo B",7,IF(Atletas!G224="Nanquan Grupo B",8,IF(Atletas!G224="Taijiquan Grupo B",9,IF(Atletas!G224="Changquan Grupo A",10,IF(Atletas!G224="Nanquan Grupo A",11,IF(Atletas!G224="Taijiquan Grupo A",12,IF(Atletas!G224="Changquan Opcional",13,IF(Atletas!G224="Nanquan Opcional",14,IF(Atletas!G224="Taijiquan Opcional",15,IF(Atletas!G224="Changquan Adulto",16,IF(Atletas!G224="Nanquan Adulto",17,IF(Atletas!G224="Taijiquan Adulto",18,""))))))))))))))))))))</f>
        <v/>
      </c>
      <c r="AZ228" s="46" t="str">
        <f>IF(Atletas!H224="","",IF(Atletas!B224="Feminino",100,IF(Atletas!B224="Masculino",200,""))+(IF(Atletas!H224="Daoshu Mirim",19,IF(Atletas!H224="Jianshu Mirim",20,IF(Atletas!H224="Nandao Mirim",21,IF(Atletas!H224="Taijijian Mirim",22,IF(Atletas!H224="Daoshu Grupo C",23,IF(Atletas!H224="Jianshu Grupo C",24,IF(Atletas!H224="Nandao Grupo C",25,IF(Atletas!H224="Taijijian Grupo C",26,IF(Atletas!H224="Daoshu Grupo B",27,IF(Atletas!H224="Jianshu Grupo B",28,IF(Atletas!H224="Nandao Grupo B",29,IF(Atletas!H224="Taijijian Grupo B",30,IF(Atletas!H224="Daoshu Grupo A",31,IF(Atletas!H224="Jianshu Grupo A",32,IF(Atletas!H224="Nandao Grupo A",33,IF(Atletas!H224="Taijijian Grupo A",34,IF(Atletas!H224="Daoshu Opcional",35,IF(Atletas!H224="Jianshu Opcional",36,IF(Atletas!H224="Nandao Opcional",37,IF(Atletas!H224="Taijijian Opcional",38,IF(Atletas!H224="Daoshu Adulto",39,IF(Atletas!H224="Jianshu Adulto",40,IF(Atletas!H224="Nandao Adulto",41,IF(Atletas!H224="Taijijian Adulto",42,""))))))))))))))))))))))))))</f>
        <v/>
      </c>
      <c r="BA228" s="46" t="str">
        <f>IF(Atletas!I224="","",IF(Atletas!B224="Feminino",100,IF(Atletas!B224="Masculino",200,""))+(IF(Atletas!I224="Gunshu Mirim",43,IF(Atletas!I224="Qiangshu Mirim",44,IF(Atletas!I224="Nangun Mirim",45,IF(Atletas!I224="Gunshu Grupo C",46,IF(Atletas!I224="Qiangshu Grupo C",47,IF(Atletas!I224="Nangun Grupo C",48,IF(Atletas!I224="Gunshu Grupo B",49,IF(Atletas!I224="Qiangshu Grupo B",50,IF(Atletas!I224="Nangun Grupo B",51,IF(Atletas!I224="Gunshu Grupo A",52,IF(Atletas!I224="Qiangshu Grupo A",53,IF(Atletas!I224="Nangun Grupo A",54,IF(Atletas!I224="Gunshu Opcional",55,IF(Atletas!I224="Qiangshu Opcional",56,IF(Atletas!I224="Nangun Opcional",57,IF(Atletas!I224="Gunshu Adulto",58,IF(Atletas!I224="Qiangshu Adulto",59,IF(Atletas!I224="Nangun Adulto",60,""))))))))))))))))))))</f>
        <v/>
      </c>
      <c r="BF228" s="52" t="str">
        <f>IF(Atletas!J224="","",IF(Atletas!B224="Feminino",100,IF(Atletas!B224="Masculino",200,""))+(IF(Atletas!J224="Equipe 1 Grupo B",1,IF(Atletas!J224="Equipe 2 Grupo B",2,IF(Atletas!J224="Equipe 1 Grupo A",3,IF(Atletas!J224="Equipe 2 Grupo A",4,IF(Atletas!J224="Equipe 1 Adulto",5,IF(Atletas!J224="Equipe 2 Adulto",6,""))))))))</f>
        <v/>
      </c>
      <c r="BK228" s="52" t="str">
        <f>IF(Atletas!K224="","",IF(Atletas!W224&lt;&gt;"",10000,0)+(IF(Atletas!B224="Feminino",1000,IF(Atletas!B224="Masculino",2000,""))+IF(Atletas!K224="Choylayfut A",1,IF(Atletas!K224="Hunggar A",2,IF(Atletas!K224="Wuzuquan A",3,IF(Atletas!K224="Wingchun A",4,IF(Atletas!K224="Outra Mão de Sul A",5,IF(Atletas!K224="Choylayfut B",6,IF(Atletas!K224="Hunggar B",7,IF(Atletas!K224="Wuzuquan B",8,IF(Atletas!K224="Wingchun B",9,IF(Atletas!K224="Outra Mão de Sul B",10,IF(Atletas!K224="Choylayfut C",11,IF(Atletas!K224="Hunggar C",12,IF(Atletas!K224="Wuzuquan C",13,IF(Atletas!K224="Wingchun C",14,IF(Atletas!K224="Outra Mão de Sul C",15,IF(Atletas!K224="Choylayfut D",16,IF(Atletas!K224="Hunggar D",17,IF(Atletas!K224="Wuzuquan D",18,IF(Atletas!K224="Wingchun D",19,IF(Atletas!K224="Outra Mão de Sul D",20,IF(Atletas!K224="Choylayfut E",21,IF(Atletas!K224="Hunggar E",22,IF(Atletas!K224="Wuzuquan E",23,IF(Atletas!K224="Wingchun E",24,IF(Atletas!K224="Outra Mão de Sul E",25,IF(Atletas!K224="Choylayfut F",26,IF(Atletas!K224="Hunggar F",27,IF(Atletas!K224="Wuzuquan F",28,IF(Atletas!K224="Wingchun F",29,IF(Atletas!K224="Outra Mão de Sul F",30,""))))))))))))))))))))))))))))))))</f>
        <v/>
      </c>
      <c r="BL228" s="52" t="str">
        <f>IF(Atletas!L224="","",IF(Atletas!W224&lt;&gt;"",10000,0)+(IF(Atletas!B224="Feminino",1000,IF(Atletas!B224="Masculino",2000,""))+(IF(Atletas!L224="Chaquan A",101,IF(Atletas!L224="Emeiquan A",102,IF(Atletas!L224="Fanziquan A",103,IF(Atletas!L224="Huaquan A",104,IF(Atletas!L224="Hongquan A",105,IF(Atletas!L224="Paochui A",106,IF(Atletas!L224="Piguaquan A",107,IF(Atletas!L224="Shaolinquan A",108,IF(Atletas!L224="Tanglangquan A",109,IF(Atletas!L224="Yinzhaophai A",110,IF(Atletas!L224="Tongbeiquan A",111,IF(Atletas!L224="Wudangquan A",112,IF(Atletas!L224="Outros Estilos A",113,IF(Atletas!L224="Chaquan B",114,IF(Atletas!L224="Emeiquan B",115,IF(Atletas!L224="Fanziquan B",116,IF(Atletas!L224="Huaquan B",117,IF(Atletas!L224="Hongquan B",118,IF(Atletas!L224="Paochui B",119,IF(Atletas!L224="Piguaquan B",120,IF(Atletas!L224="Shaolinquan B",121,IF(Atletas!L224="Tanglangquan B",122,IF(Atletas!L224="Yinzhaophai B",123,IF(Atletas!L224="Tongbeiquan B",124,IF(Atletas!L224="Wudangquan B",125,IF(Atletas!L224="Outros Estilos B",126,IF(Atletas!L224="Chaquan C",127,IF(Atletas!L224="Emeiquan C",128,IF(Atletas!L224="Fanziquan C",129,IF(Atletas!L224="Huaquan C",130,IF(Atletas!L224="Hongquan C",131,IF(Atletas!L224="Paochui C",132,IF(Atletas!L224="Piguaquan C",133,IF(Atletas!L224="Shaolinquan C",134,IF(Atletas!L224="Tanglangquan C",135,IF(Atletas!L224="Yinzhaophai C",136,IF(Atletas!L224="Tongbeiquan C",137,IF(Atletas!L224="Wudangquan C",138,IF(Atletas!L224="Outros Estilos C",139,0))))))))))))))))))))))))))))))))))))))))))</f>
        <v/>
      </c>
      <c r="BM228" s="52" t="str">
        <f>IF(Atletas!L224="","",IF(Atletas!W224&lt;&gt;"",10000,0)+(IF(Atletas!B224="Feminino",1000,IF(Atletas!B224="Masculino",2000,""))+(IF(Atletas!L224="Chaquan D",140,IF(Atletas!L224="Emeiquan D",141,IF(Atletas!L224="Fanziquan D",142,IF(Atletas!L224="Huaquan D",143,IF(Atletas!L224="Hongquan D",144,IF(Atletas!L224="Paochui D",145,IF(Atletas!L224="Piguaquan D",146,IF(Atletas!L224="Shaolinquan D",147,IF(Atletas!L224="Tanglangquan D",148,IF(Atletas!L224="Yinzhaophai D",149,IF(Atletas!L224="Tongbeiquan D",150,IF(Atletas!L224="Wudangquan D",151,IF(Atletas!L224="Outros Estilos D",152,IF(Atletas!L224="Chaquan E",153,IF(Atletas!L224="Emeiquan E",154,IF(Atletas!L224="Fanziquan E",155,IF(Atletas!L224="Huaquan E",156,IF(Atletas!L224="Hongquan E",157,IF(Atletas!L224="Paochui E",158,IF(Atletas!L224="Piguaquan E",159,IF(Atletas!L224="Shaolinquan E",160,IF(Atletas!L224="Tanglangquan E",161,IF(Atletas!L224="Yinzhaophai E",162,IF(Atletas!L224="Tongbeiquan E",163,IF(Atletas!L224="Wudangquan E",164,IF(Atletas!L224="Outros Estilos E",165,IF(Atletas!L224="Chaquan F",166,IF(Atletas!L224="Emeiquan F",167,IF(Atletas!L224="Fanziquan F",168,IF(Atletas!L224="Huaquan F",169,IF(Atletas!L224="Hongquan F",170,IF(Atletas!L224="Paochui F",171,IF(Atletas!L224="Piguaquan F",172,IF(Atletas!L224="Shaolinquan F",173,IF(Atletas!L224="Tanglangquan F",174,IF(Atletas!L224="Yinzhaophai F",175,IF(Atletas!L224="Tongbeiquan F",176,IF(Atletas!L224="Wudangquan F",177,IF(Atletas!L224="Outros Estilos F",178,0))))))))))))))))))))))))))))))))))))))))))</f>
        <v/>
      </c>
      <c r="BN228" s="52" t="str">
        <f>IF(Atletas!M224="","",IF(Atletas!W224&lt;&gt;"",10000,0)+(IF(Atletas!B224="Feminino",1000,IF(Atletas!B224="Masculino",2000,""))+(IF(Atletas!M224="Ditangquan A",201,IF(Atletas!M224="Houquan A",202,IF(Atletas!M224="Zuiquan A",203,IF(Atletas!M224="Ditangquan B",204,IF(Atletas!M224="Houquan B",205,IF(Atletas!M224="Zuiquan B",206,IF(Atletas!M224="Ditangquan C",207,IF(Atletas!M224="Houquan C",208,IF(Atletas!M224="Zuiquan C",209,IF(Atletas!M224="Ditangquan D",210,IF(Atletas!M224="Houquan D",211,IF(Atletas!M224="Zuiquan D",212,IF(Atletas!M224="Ditangquan E",213,IF(Atletas!M224="Houquan E",214,IF(Atletas!M224="Zuiquan E",215,IF(Atletas!M224="Ditangquan F",216,IF(Atletas!M224="Houquan F",217,IF(Atletas!M224="Zuiquan F",218,"")))))))))))))))))))))</f>
        <v/>
      </c>
      <c r="BO228" s="52" t="str">
        <f>IF(Atletas!N224="","",IF(Atletas!W224&lt;&gt;"",10000,0)+IF(Atletas!B224="Feminino",1000,IF(Atletas!B224="Masculino",2000,""))+IF(Atletas!N224="Yang A",301,IF(Atletas!N224="Chen A",30,IF(Atletas!N224="Sun A",303,IF(Atletas!N224="Wu A",304,IF(Atletas!N224="Wu-Hao A",305,IF(Atletas!N224="Outro Taijiquan A",306,IF(Atletas!N224="Yang B",307,IF(Atletas!N224="Chen B",308,IF(Atletas!N224="Sun B",309,IF(Atletas!N224="Wu B",310,IF(Atletas!N224="Wu-Hao B",311,IF(Atletas!N224="Outro Taijiquan B",312,IF(Atletas!N224="Yang C",313,IF(Atletas!N224="Chen C",314,IF(Atletas!N224="Sun C",315,IF(Atletas!N224="Wu C",316,IF(Atletas!N224="Wu-Hao C",317,IF(Atletas!N224="Outro Taijiquan C",318,IF(Atletas!N224="Yang D",319,IF(Atletas!N224="Chen D",320,IF(Atletas!N224="Sun D",321,IF(Atletas!N224="Wu D",322,IF(Atletas!N224="Wu-Hao D",323,IF(Atletas!N224="Outro Taijiquan D",324,IF(Atletas!N224="Yang E",325,IF(Atletas!N224="Chen E",326,IF(Atletas!N224="Sun E",327,IF(Atletas!N224="Wu E",328,IF(Atletas!N224="Wu-Hao E",329,IF(Atletas!N224="Outro Taijiquan E",330,IF(Atletas!N224="Yang F",331,IF(Atletas!N224="Chen F",332,IF(Atletas!N224="Sun F",333,IF(Atletas!N224="Wu F",334,IF(Atletas!N224="Wu-Hao F",335,IF(Atletas!N224="Outro Taijiquan F",336,"")))))))))))))))))))))))))))))))))))))</f>
        <v/>
      </c>
      <c r="BP228" s="52" t="str">
        <f>IF(Atletas!O224="","",IF(Atletas!W224&lt;&gt;"",10000,0)+IF(Atletas!B224="Feminino",1000,IF(Atletas!B224="Masculino",2000,""))+IF(OR(Atletas!O224="Yang 26 A",Atletas!O224="Yang 40 A"),401,IF(OR(Atletas!O224="Chen 25 A",Atletas!O224="Chen 36 A",Atletas!O224="Chen 56 A"),402,IF(Atletas!O224="Sun 73 A",403,IF(Atletas!O224="Wu 45 A",404,IF(Atletas!O224="Wu-Hao 46 A",405,IF(OR(Atletas!O224="Taijiquan 16 A",Atletas!O224="Taijiquan 24 A",Atletas!O224="Taijiquan 32 A",Atletas!O224="Taijiquan 42 A"),406,IF(OR(Atletas!O224="Yang 26 B",Atletas!O224="Yang 40 B"),407,IF(OR(Atletas!O224="Chen 25 B",Atletas!O224="Chen 36 B",Atletas!O224="Chen 56 B"),408,IF(Atletas!O224="Sun 73 B",409,IF(Atletas!O224="Wu 45 B",410,IF(Atletas!O224="Wu-Hao 46 B",411,IF(OR(Atletas!O224="Taijiquan 16 B",Atletas!O224="Taijiquan 24 B",Atletas!O224="Taijiquan 32 B",Atletas!O224="Taijiquan 42 B"),412,IF(OR(Atletas!O224="Yang 26 C",Atletas!O224="Yang 40 C"),413,IF(OR(Atletas!O224="Chen 25 C",Atletas!O224="Chen 36 C",Atletas!O224="Chen 56 C"),414,IF(Atletas!O224="Sun 73 C",415,IF(Atletas!O224="Wu 45 C",416,IF(Atletas!O224="Wu-Hao 46 C",417,IF(OR(Atletas!O224="Taijiquan 16 C",Atletas!O224="Taijiquan 24 C",Atletas!O224="Taijiquan 32 C",Atletas!O224="Taijiquan 42 C"),418,0)))))))))))))))))))</f>
        <v/>
      </c>
      <c r="BQ228" s="52" t="str">
        <f>IF(Atletas!O224="","",IF(Atletas!W224&lt;&gt;"",10000,0)+IF(Atletas!B224="Feminino",1000,IF(Atletas!B224="Masculino",2000,""))+IF(OR(Atletas!O224="Yang 26 D",Atletas!O224="Yang 40 D"),419,IF(OR(Atletas!O224="Chen 25 D",Atletas!O224="Chen 36 D",Atletas!O224="Chen 56 D"),420,IF(Atletas!O224="Sun 73 D",421,IF(Atletas!O224="Wu 45 D",422,IF(Atletas!O224="Wu-Hao 46 D",423,IF(OR(Atletas!O224="Taijiquan 16 D",Atletas!O224="Taijiquan 24 D",Atletas!O224="Taijiquan 32 D",Atletas!O224="Taijiquan 42 D"),424,IF(OR(Atletas!O224="Yang 26 E",Atletas!O224="Yang 40 E"),425,IF(OR(Atletas!O224="Chen 25 E",Atletas!O224="Chen 36 E",Atletas!O224="Chen 56 E"),426,IF(Atletas!O224="Sun 73 E",427,IF(Atletas!O224="Wu 45 E",428,IF(Atletas!O224="Wu-Hao 46 E",429,IF(OR(Atletas!O224="Taijiquan 16 E",Atletas!O224="Taijiquan 24 E",Atletas!O224="Taijiquan 32 E",Atletas!O224="Taijiquan 42 E"),430,IF(OR(Atletas!O224="Yang 26 F",Atletas!O224="Yang 40 F"),431,IF(OR(Atletas!O224="Chen 25 F",Atletas!O224="Chen 36 F",Atletas!O224="Chen 56 F"),432,IF(Atletas!O224="Sun 73 F",433,IF(Atletas!O224="Wu 45 F",434,IF(Atletas!O224="Wu-Hao 46 F",435,IF(OR(Atletas!O224="Taijiquan 16 F",Atletas!O224="Taijiquan 24 F",Atletas!O224="Taijiquan 32 F",Atletas!O224="Taijiquan 42 F"),436,0)))))))))))))))))))</f>
        <v/>
      </c>
      <c r="BR228" s="52" t="str">
        <f>IF(Atletas!P224="","",IF(Atletas!W224&lt;&gt;"",10000,0)+IF(Atletas!B224="Feminino",1000,IF(Atletas!B224="Masculino",2000,""))+IF(Atletas!P224="Xingyiquan A",501,IF(Atletas!P224="Baguazhang A",502,IF(Atletas!P224="Outro Estilo Interno A",503,IF(Atletas!P224="Xingyiquan B",504,IF(Atletas!P224="Baguazhang B",505,IF(Atletas!P224="Outro Estilo Interno B",506,IF(Atletas!P224="Xingyiquan C",507,IF(Atletas!P224="Baguazhang C",508,IF(Atletas!P224="Outro Estilo Interno C",509,IF(Atletas!P224="Xingyiquan D",510,IF(Atletas!P224="Baguazhang D",511,IF(Atletas!P224="Outro Estilo Interno D",512,IF(Atletas!P224="Xingyiquan E",513,IF(Atletas!P224="Baguazhang E",514,IF(Atletas!P224="Outro Estilo Interno E",515,IF(Atletas!P224="Xingyiquan F",516,IF(Atletas!P224="Baguazhang F",517,IF(Atletas!P224="Outro Estilo Interno F",518, "")))))))))))))))))))</f>
        <v/>
      </c>
      <c r="BS228" s="52" t="str">
        <f>IF(Atletas!Q224="","",IF(Atletas!W224&lt;&gt;"",10000,0)+IF(Atletas!B224="Feminino",1000,IF(Atletas!B224="Masculino",2000,""))+IF(Atletas!Q224="Dao A",601,IF(Atletas!Q224="Jian A",602,IF(Atletas!Q224="Bishou A",603,IF(Atletas!Q224="Shan A",604,IF(Atletas!Q224="Outra Arma Curta A",605,IF(Atletas!Q224="Dao B",606,IF(Atletas!Q224="Jian B",607,IF(Atletas!Q224="Bishou B",608,IF(Atletas!Q224="Shan B",609,IF(Atletas!Q224="Outra Arma Curta B",610,IF(Atletas!Q224="Dao C",611,IF(Atletas!Q224="Jian C",612,IF(Atletas!Q224="Bishou C",613,IF(Atletas!Q224="Shan C",614,IF(Atletas!Q224="Outra Arma Curta C",615,IF(Atletas!Q224="Dao D",616,IF(Atletas!Q224="Jian D",617,IF(Atletas!Q224="Bishou D",618,IF(Atletas!Q224="Shan D",619,IF(Atletas!Q224="Outra Arma Curta D",620,IF(Atletas!Q224="Dao E",621,IF(Atletas!Q224="Jian E",622,IF(Atletas!Q224="Bishou E",623,IF(Atletas!Q224="Shan E",624,IF(Atletas!Q224="Outra Arma Curta E",625,IF(Atletas!Q224="Dao F",626,IF(Atletas!Q224="Jian F",627,IF(Atletas!Q224="Bishou F",628,IF(Atletas!Q224="Shan F",629,IF(Atletas!Q224="Outra Arma Curta F",630, "")))))))))))))))))))))))))))))))</f>
        <v/>
      </c>
      <c r="BT228" s="52" t="str">
        <f>IF(Atletas!R224="","",IF(Atletas!W224&lt;&gt;"",10000,0)+IF(Atletas!B224="Feminino",1000,IF(Atletas!B224="Masculino",2000,""))+IF(Atletas!R224="Gun A",701,IF(Atletas!R224="Qiang A",702,IF(Atletas!R224="Pudao / Guandao A",703,IF(Atletas!R224="Outra Arma Longa A",704,IF(Atletas!R224="Gun B",705,IF(Atletas!R224="Qiang B",706,IF(Atletas!R224="Pudao / Guandao B",707,IF(Atletas!R224="Outra Arma Longa B",708,IF(Atletas!R224="Gun C",709,IF(Atletas!R224="Qiang C",710,IF(Atletas!R224="Pudao / Guandao C",711,IF(Atletas!R224="Outra Arma Longa C",712,IF(Atletas!R224="Gun D",713,IF(Atletas!R224="Qiang D",714,IF(Atletas!R224="Pudao / Guandao D",715,IF(Atletas!R224="Outra Arma Longa D",716,IF(Atletas!R224="Gun E",717,IF(Atletas!R224="Qiang E",718,IF(Atletas!R224="Pudao / Guandao E",719,IF(Atletas!R224="Outra Arma Longa E",720,IF(Atletas!R224="Gun F",721,IF(Atletas!R224="Qiang F",722,IF(Atletas!R224="Pudao / Guandao F",723,IF(Atletas!R224="Outra Arma Longa F",724,"")))))))))))))))))))))))))</f>
        <v/>
      </c>
      <c r="BU228" s="52" t="str">
        <f>IF(Atletas!S224="","",IF(Atletas!W224&lt;&gt;"",10000,0)+IF(Atletas!B224="Feminino",1000,IF(Atletas!B224="Masculino",2000,""))+IF(Atletas!S224="Arma Dupla A",801,IF(Atletas!S224="Arma Maleável A",802,IF(Atletas!S224="Arma Dupla B",803,IF(Atletas!S224="Arma Maleável B",804,IF(Atletas!S224="Arma Dupla C",805,IF(Atletas!S224="Arma Maleável C",806,IF(Atletas!S224="Arma Dupla D",807,IF(Atletas!S224="Arma Maleável D",808,IF(Atletas!S224="Arma Dupla E",809,IF(Atletas!S224="Arma Maleável E",810,IF(Atletas!S224="Arma Dupla F",811,IF(Atletas!S224="Arma Maleável F",812, "")))))))))))))</f>
        <v/>
      </c>
      <c r="BV228" s="52" t="str">
        <f>IF(Atletas!T224="","",IF(Atletas!W224&lt;&gt;"",10000,0)+IF(Atletas!B224="Feminino",1000,IF(Atletas!B224="Masculino",2000,""))+IF(Atletas!T224="Taijijian Yang A",901,IF(Atletas!T224="Taijijian Chen A",902,IF(Atletas!T224="Taijijian Sun A",903,IF(Atletas!T224="Taijijian Wu A",904,IF(Atletas!T224="Taijijian Wu-Hao A",905,IF(Atletas!T224="Taijijian 32 A",906,IF(Atletas!T224="Taijijian 42 A",907,IF(Atletas!T224="Taijijian Yang B",908,IF(Atletas!T224="Taijijian Chen B",909,IF(Atletas!T224="Taijijian Sun B",910,IF(Atletas!T224="Taijijian Wu B",911,IF(Atletas!T224="Taijijian Wu-Hao B",912,IF(Atletas!T224="Taijijian 32 B",913,IF(Atletas!T224="Taijijian 42 B",914,IF(Atletas!T224="Taijijian Yang C",915,IF(Atletas!T224="Taijijian Chen C",916,IF(Atletas!T224="Taijijian Sun C",917,IF(Atletas!T224="Taijijian Wu C",918,IF(Atletas!T224="Taijijian Wu-Hao C",919,IF(Atletas!T224="Taijijian 32 C",920,IF(Atletas!T224="Taijijian 42 C",921,IF(Atletas!T224="Taijijian Yang D",922,IF(Atletas!T224="Taijijian Chen D",923,IF(Atletas!T224="Taijijian Sun D",924,IF(Atletas!T224="Taijijian Wu D",925,IF(Atletas!T224="Taijijian Wu-Hao D",926,IF(Atletas!T224="Taijijian 32 D",927,IF(Atletas!T224="Taijijian 42 D",928,IF(Atletas!T224="Taijijian Yang E",929,IF(Atletas!T224="Taijijian Chen E",930,IF(Atletas!T224="Taijijian Sun E",931,IF(Atletas!T224="Taijijian Wu E",932,IF(Atletas!T224="Taijijian Wu-Hao E",933,IF(Atletas!T224="Taijijian 32 E",934,IF(Atletas!T224="Taijijian 42 E",935,IF(Atletas!T224="Taijijian Yang F",936,IF(Atletas!T224="Taijijian Chen F",937,IF(Atletas!T224="Taijijian Sun F",938,IF(Atletas!T224="Taijijian Wu F",939,IF(Atletas!T224="Taijijian Wu-Hao F",940,IF(Atletas!T224="Taijijian 32 F",941,IF(Atletas!T224="Taijijian 42 F",942,"")))))))))))))))))))))))))))))))))))))))))))</f>
        <v/>
      </c>
      <c r="BW228" s="52" t="str">
        <f>IF(Atletas!U224="","",IF(Atletas!W224&lt;&gt;"",10000,0)+IF(Atletas!B224="Feminino",1000,IF(Atletas!B224="Masculino",2000,""))+IF(Atletas!T224="Taijijian 42 F",942,IF(Atletas!U224="Taijidao A",943,IF(Atletas!U224="Taijishan A",944,IF(Atletas!U224="Taijiqiang A",945,IF(Atletas!U224="Taijidao B",946,IF(Atletas!U224="Taijishan B",947,IF(Atletas!U224="Taijiqiang B",948,IF(Atletas!U224="Taijidao C",949,IF(Atletas!U224="Taijishan C",950,IF(Atletas!U224="Taijiqiang C",951,IF(Atletas!U224="Taijidao D",952,IF(Atletas!U224="Taijishan D",953,IF(Atletas!U224="Taijiqiang D",954,IF(Atletas!U224="Taijidao E",955,IF(Atletas!U224="Taijishan E",956,IF(Atletas!U224="Taijiqiang E",957,IF(Atletas!U224="Taijidao F",958,IF(Atletas!U224="Taijishan F",959,IF(Atletas!U224="Taijiqiang F",960))))))))))))))))))))</f>
        <v/>
      </c>
      <c r="BX228" s="72" t="str">
        <f>IF(BY228&lt;&gt;"","Dao B","")</f>
        <v/>
      </c>
      <c r="BY228" s="72" t="str">
        <f>IF(COUNTIF(BK:BW,1606)&gt;0,COUNTIF(BK:BW,1606),"")</f>
        <v/>
      </c>
      <c r="BZ228" s="72" t="str">
        <f>IF(CA228&lt;&gt;"","Dao B","")</f>
        <v/>
      </c>
      <c r="CA228" s="72" t="str">
        <f>IF(COUNTIF(BK:BW,2606)&gt;0,COUNTIF(BK:BW,2606),"")</f>
        <v/>
      </c>
      <c r="CB228" s="72" t="str">
        <f>IF(CC228&lt;&gt;"","Wu 45 E","")</f>
        <v/>
      </c>
      <c r="CC228" s="64" t="str">
        <f>IF(COUNTIF(BK:BW,11460)&gt;0,COUNTIF(BK:BW,11460),"")</f>
        <v/>
      </c>
      <c r="CD228" s="64" t="str">
        <f>IF(CE228&lt;&gt;"","Wu 45 E","")</f>
        <v/>
      </c>
      <c r="CE228" s="64" t="str">
        <f>IF(COUNTIF(BK:BW,12460)&gt;0,COUNTIF(BK:BW,12460),"")</f>
        <v/>
      </c>
      <c r="CF228" s="52" t="str">
        <f xml:space="preserve"> IF(Atletas!V224="","",IF(Atletas!V224="Duilian de Mãos AB - Equipe 1",1,IF(Atletas!V224="Duilian de Mãos AB - Equipe 2",2,IF(Atletas!V224="Duilian de Armas AB - Equipe 1",3,IF(Atletas!V224="Duilian de Armas AB - Equipe 2",4,IF(Atletas!V224="Duilian de Tuishou - Equipe 1",5,IF(Atletas!V224="Duilian de Tuishou - Equipe 2",6,IF(Atletas!V224="Grupo Externo AB - Equipe 1",7,IF(Atletas!V224="Grupo Externo AB - Equipe 2",8,IF(Atletas!V224="Grupo Interno AB - Equipe 1",9,IF(Atletas!V224="Grupo Interno AB - Equipe 2",10,IF(Atletas!V224="Duilian de Mãos CD - Equipe 1",11,IF(Atletas!V224="Duilian de Mãos CD - Equipe 2",12,IF(Atletas!V224="Duilian de Armas CD - Equipe 1",13,IF(Atletas!V224="Duilian de Armas CD - Equipe 2",14,IF(Atletas!V224="Duilian de Tuishou - Equipe 1",15,IF(Atletas!V224="Duilian de Tuishou - Equipe 2",16,IF(Atletas!V224="Grupo Externo CDEF - Equipe 1",17,IF(Atletas!V224="Grupo Externo CDEF - Equipe 2",18,IF(Atletas!V224="Grupo Interno CDEF - Equipe 1",19,IF(Atletas!V224="Grupo Interno CDEF - Equipe 2",20,IF(Atletas!V224="Duilian de Mãos EF - Equipe 1",21,IF(Atletas!V224="Duilian de Mãos EF - Equipe 2",22,IF(Atletas!V224="Duilian de Armas EF - Equipe 1",23,IF(Atletas!V224="Duilian de Armas EF - Equipe 2",24,IF(Atletas!V224="Duilian de Tuishou - Equipe 1",25,IF(Atletas!V224="Duilian de Tuishou - Equipe 2",26,"")))))))))))))))))))))))))))</f>
        <v/>
      </c>
    </row>
    <row r="229" spans="2:84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 t="str">
        <f t="array" ref="V229">IFERROR(INDEX(BX$7:BX$336,SMALL(IF(BX$7:BX$336&lt;&gt;"",ROW(BX$7:BX$336)-ROW(BX$7)+1),ROWS(BX$7:BX204))),"")</f>
        <v/>
      </c>
      <c r="W229" s="4" t="str">
        <f t="array" ref="W229">IFERROR(INDEX(BY$7:BY$336,SMALL(IF(BY$7:BY$336&lt;&gt;"",ROW(BY$7:BY$336)-ROW(BY$7)+1),ROWS(BY$7:BY204))),"")</f>
        <v/>
      </c>
      <c r="X229" s="4" t="str">
        <f t="array" ref="X229">IFERROR(INDEX(BZ$7:BZ$336,SMALL(IF(BZ$7:BZ$336&lt;&gt;"",ROW(BZ$7:BZ$336)-ROW(BZ$7)+1),ROWS(BZ$7:BZ204))),"")</f>
        <v/>
      </c>
      <c r="Y229" s="4" t="str">
        <f t="array" ref="Y229">IFERROR(INDEX(CA$7:CA$336,SMALL(IF(CA$7:CA$336&lt;&gt;"",ROW(CA$7:CA$336)-ROW(CA$7)+1),ROWS(CA$7:CA204))),"")</f>
        <v/>
      </c>
      <c r="Z229" s="4" t="str">
        <f t="array" ref="Z229">IFERROR(INDEX(CB$7:CB$378,SMALL(IF(CB$7:CB$378&lt;&gt;"",ROW(CB$7:CB$378)-ROW(CB$7)+1),ROWS(CB$7:CB228))),"")</f>
        <v/>
      </c>
      <c r="AA229" s="4" t="str">
        <f t="array" ref="AA229">IFERROR(INDEX(CC$7:CC$378,SMALL(IF(CC$7:CC$378&lt;&gt;"",ROW(CC$7:CC$378)-ROW(CC$7)+1),ROWS(CC$7:CC228))),"")</f>
        <v/>
      </c>
      <c r="AB229" s="4" t="str">
        <f t="array" ref="AB229">IFERROR(INDEX(CD$7:CD$378,SMALL(IF(CD$7:CD$378&lt;&gt;"",ROW(CD$7:CD$378)-ROW(CD$7)+1),ROWS(CD$7:CD228))),"")</f>
        <v/>
      </c>
      <c r="AC229" s="4" t="str">
        <f t="array" ref="AC229">IFERROR(INDEX(CE$7:CE$378,SMALL(IF(CE$7:CE$378&lt;&gt;"",ROW(CE$7:CE$378)-ROW(CE$7)+1),ROWS(CE$7:CE228))),"")</f>
        <v/>
      </c>
      <c r="AD229" s="4"/>
      <c r="AE229" s="4"/>
      <c r="AF229" s="4"/>
      <c r="AG229" s="4"/>
      <c r="AH229" s="4"/>
      <c r="AI229" s="4"/>
      <c r="AJ229" s="46" t="str">
        <f>IF(Atletas!D225="","",IF(Atletas!B225="Feminino",100,IF(Atletas!B225="Masculino",200,""))+(IF(Atletas!D225="Infantil 39kg",1,IF(Atletas!D225="Infantil 42kg",2,IF(Atletas!D225="Infantil 45kg",3,IF(Atletas!D225="Infantil 48kg",4,IF(Atletas!D225="Infantil 52kg",5,IF(Atletas!D225="Infantil 56kg",6,IF(Atletas!D225="Infantil 60kg",7,IF(Atletas!D225="Juvenil 48kg",8,IF(Atletas!D225="Juvenil 52kg",9,IF(Atletas!D225="Juvenil 56kg",10,IF(Atletas!D225="Juvenil 60kg",11,IF(Atletas!D225="Juvenil 65kg",12,IF(Atletas!D225="Juvenil 70kg",13,IF(Atletas!D225="Juvenil 75kg",14,IF(Atletas!D225="Juvenil 80kg",15,IF(Atletas!D225="Adulto 48kg",16,IF(Atletas!D225="Adulto 52kg",17,IF(Atletas!D225="Adulto 56kg",18,IF(Atletas!D225="Adulto 60kg",19,IF(Atletas!D225="Adulto 65kg",20,IF(Atletas!D225="Adulto 70kg",21,IF(Atletas!D225="Adulto 75kg",22,IF(Atletas!D225="Adulto 80kg",23,IF(Atletas!D225="Adulto 85kg",24,IF(Atletas!D225="Adulto 90kg",25,IF(Atletas!D225="Adulto +90kg",26,""))))))))))))))))))))))))))))</f>
        <v/>
      </c>
      <c r="AO229" s="10" t="str">
        <f>IF(Atletas!E225="","",IF(Atletas!B225="Feminino",100,IF(Atletas!B225="Masculino",200,""))+(IF(Atletas!E225="Juvenil 44kg",1,IF(Atletas!E225="Juvenil 48kg",2,IF(Atletas!E225="Juvenil 52kg",3,IF(Atletas!E225="Juvenil 56kg",4,IF(Atletas!E225="Juvenil 60kg",5,IF(Atletas!E225="Juvenil 65kg",6,IF(Atletas!E225="Juvenil 70kg",7,IF(Atletas!E225="Juvenil 75kg",8,IF(Atletas!E225="Juvenil 82kg",9,IF(Atletas!E225="Juvenil 90kg",10,IF(Atletas!E225="Juvenil 100kg",11,IF(Atletas!E225="Adulto 48kg",12,IF(Atletas!E225="Adulto 52kg",13,IF(Atletas!E225="Adulto 56kg",14,IF(Atletas!E225="Adulto 60kg",15,IF(Atletas!E225="Adulto 65kg",16,IF(Atletas!E225="Adulto 70kg",17,IF(Atletas!E225="Adulto 75kg",18,IF(Atletas!E225="Adulto 82kg",19,IF(Atletas!E225="Adulto 90kg",20,IF(Atletas!E225="Adulto 100kg",21,IF(Atletas!E225="Adulto +100kg",22,""))))))))))))))))))))))))</f>
        <v/>
      </c>
      <c r="AT229" s="10" t="str">
        <f>IF(Atletas!F225="","",IF(Atletas!B225="Feminino",100,IF(Atletas!B225="Masculino",200,""))+(IF(Atletas!F225="Adulto 48kg",1,IF(Atletas!F225="Adulto 56kg",2,IF(Atletas!F225="Adulto 65kg",3,IF(Atletas!F225="Adulto 75kg",4,IF(Atletas!F225="Adulto +75kg",5,IF(Atletas!F225="Adulto 52kg",6,IF(Atletas!F225="Adulto 60kg",7,IF(Atletas!F225="Adulto 70kg",8,IF(Atletas!F225="Adulto 80kg",9,IF(Atletas!F225="Adulto 90kg",10,IF(Atletas!F225="Adulto +90kg",11,"")))))))))))))</f>
        <v/>
      </c>
      <c r="AY229" s="46" t="str">
        <f>IF(Atletas!G225="","",IF(Atletas!B225="Feminino",100,IF(Atletas!B225="Masculino",200,""))+(IF(Atletas!G225="Changquan Mirim",1,IF(Atletas!G225="Nanquan Mirim",2,IF(Atletas!G225="Taijiquan Mirim",3,IF(Atletas!G225="Changquan Grupo C",4,IF(Atletas!G225="Nanquan Grupo C",5,IF(Atletas!G225="Taijiquan Grupo C",6,IF(Atletas!G225="Changquan Grupo B",7,IF(Atletas!G225="Nanquan Grupo B",8,IF(Atletas!G225="Taijiquan Grupo B",9,IF(Atletas!G225="Changquan Grupo A",10,IF(Atletas!G225="Nanquan Grupo A",11,IF(Atletas!G225="Taijiquan Grupo A",12,IF(Atletas!G225="Changquan Opcional",13,IF(Atletas!G225="Nanquan Opcional",14,IF(Atletas!G225="Taijiquan Opcional",15,IF(Atletas!G225="Changquan Adulto",16,IF(Atletas!G225="Nanquan Adulto",17,IF(Atletas!G225="Taijiquan Adulto",18,""))))))))))))))))))))</f>
        <v/>
      </c>
      <c r="AZ229" s="46" t="str">
        <f>IF(Atletas!H225="","",IF(Atletas!B225="Feminino",100,IF(Atletas!B225="Masculino",200,""))+(IF(Atletas!H225="Daoshu Mirim",19,IF(Atletas!H225="Jianshu Mirim",20,IF(Atletas!H225="Nandao Mirim",21,IF(Atletas!H225="Taijijian Mirim",22,IF(Atletas!H225="Daoshu Grupo C",23,IF(Atletas!H225="Jianshu Grupo C",24,IF(Atletas!H225="Nandao Grupo C",25,IF(Atletas!H225="Taijijian Grupo C",26,IF(Atletas!H225="Daoshu Grupo B",27,IF(Atletas!H225="Jianshu Grupo B",28,IF(Atletas!H225="Nandao Grupo B",29,IF(Atletas!H225="Taijijian Grupo B",30,IF(Atletas!H225="Daoshu Grupo A",31,IF(Atletas!H225="Jianshu Grupo A",32,IF(Atletas!H225="Nandao Grupo A",33,IF(Atletas!H225="Taijijian Grupo A",34,IF(Atletas!H225="Daoshu Opcional",35,IF(Atletas!H225="Jianshu Opcional",36,IF(Atletas!H225="Nandao Opcional",37,IF(Atletas!H225="Taijijian Opcional",38,IF(Atletas!H225="Daoshu Adulto",39,IF(Atletas!H225="Jianshu Adulto",40,IF(Atletas!H225="Nandao Adulto",41,IF(Atletas!H225="Taijijian Adulto",42,""))))))))))))))))))))))))))</f>
        <v/>
      </c>
      <c r="BA229" s="46" t="str">
        <f>IF(Atletas!I225="","",IF(Atletas!B225="Feminino",100,IF(Atletas!B225="Masculino",200,""))+(IF(Atletas!I225="Gunshu Mirim",43,IF(Atletas!I225="Qiangshu Mirim",44,IF(Atletas!I225="Nangun Mirim",45,IF(Atletas!I225="Gunshu Grupo C",46,IF(Atletas!I225="Qiangshu Grupo C",47,IF(Atletas!I225="Nangun Grupo C",48,IF(Atletas!I225="Gunshu Grupo B",49,IF(Atletas!I225="Qiangshu Grupo B",50,IF(Atletas!I225="Nangun Grupo B",51,IF(Atletas!I225="Gunshu Grupo A",52,IF(Atletas!I225="Qiangshu Grupo A",53,IF(Atletas!I225="Nangun Grupo A",54,IF(Atletas!I225="Gunshu Opcional",55,IF(Atletas!I225="Qiangshu Opcional",56,IF(Atletas!I225="Nangun Opcional",57,IF(Atletas!I225="Gunshu Adulto",58,IF(Atletas!I225="Qiangshu Adulto",59,IF(Atletas!I225="Nangun Adulto",60,""))))))))))))))))))))</f>
        <v/>
      </c>
      <c r="BF229" s="52" t="str">
        <f>IF(Atletas!J225="","",IF(Atletas!B225="Feminino",100,IF(Atletas!B225="Masculino",200,""))+(IF(Atletas!J225="Equipe 1 Grupo B",1,IF(Atletas!J225="Equipe 2 Grupo B",2,IF(Atletas!J225="Equipe 1 Grupo A",3,IF(Atletas!J225="Equipe 2 Grupo A",4,IF(Atletas!J225="Equipe 1 Adulto",5,IF(Atletas!J225="Equipe 2 Adulto",6,""))))))))</f>
        <v/>
      </c>
      <c r="BK229" s="52" t="str">
        <f>IF(Atletas!K225="","",IF(Atletas!W225&lt;&gt;"",10000,0)+(IF(Atletas!B225="Feminino",1000,IF(Atletas!B225="Masculino",2000,""))+IF(Atletas!K225="Choylayfut A",1,IF(Atletas!K225="Hunggar A",2,IF(Atletas!K225="Wuzuquan A",3,IF(Atletas!K225="Wingchun A",4,IF(Atletas!K225="Outra Mão de Sul A",5,IF(Atletas!K225="Choylayfut B",6,IF(Atletas!K225="Hunggar B",7,IF(Atletas!K225="Wuzuquan B",8,IF(Atletas!K225="Wingchun B",9,IF(Atletas!K225="Outra Mão de Sul B",10,IF(Atletas!K225="Choylayfut C",11,IF(Atletas!K225="Hunggar C",12,IF(Atletas!K225="Wuzuquan C",13,IF(Atletas!K225="Wingchun C",14,IF(Atletas!K225="Outra Mão de Sul C",15,IF(Atletas!K225="Choylayfut D",16,IF(Atletas!K225="Hunggar D",17,IF(Atletas!K225="Wuzuquan D",18,IF(Atletas!K225="Wingchun D",19,IF(Atletas!K225="Outra Mão de Sul D",20,IF(Atletas!K225="Choylayfut E",21,IF(Atletas!K225="Hunggar E",22,IF(Atletas!K225="Wuzuquan E",23,IF(Atletas!K225="Wingchun E",24,IF(Atletas!K225="Outra Mão de Sul E",25,IF(Atletas!K225="Choylayfut F",26,IF(Atletas!K225="Hunggar F",27,IF(Atletas!K225="Wuzuquan F",28,IF(Atletas!K225="Wingchun F",29,IF(Atletas!K225="Outra Mão de Sul F",30,""))))))))))))))))))))))))))))))))</f>
        <v/>
      </c>
      <c r="BL229" s="52" t="str">
        <f>IF(Atletas!L225="","",IF(Atletas!W225&lt;&gt;"",10000,0)+(IF(Atletas!B225="Feminino",1000,IF(Atletas!B225="Masculino",2000,""))+(IF(Atletas!L225="Chaquan A",101,IF(Atletas!L225="Emeiquan A",102,IF(Atletas!L225="Fanziquan A",103,IF(Atletas!L225="Huaquan A",104,IF(Atletas!L225="Hongquan A",105,IF(Atletas!L225="Paochui A",106,IF(Atletas!L225="Piguaquan A",107,IF(Atletas!L225="Shaolinquan A",108,IF(Atletas!L225="Tanglangquan A",109,IF(Atletas!L225="Yinzhaophai A",110,IF(Atletas!L225="Tongbeiquan A",111,IF(Atletas!L225="Wudangquan A",112,IF(Atletas!L225="Outros Estilos A",113,IF(Atletas!L225="Chaquan B",114,IF(Atletas!L225="Emeiquan B",115,IF(Atletas!L225="Fanziquan B",116,IF(Atletas!L225="Huaquan B",117,IF(Atletas!L225="Hongquan B",118,IF(Atletas!L225="Paochui B",119,IF(Atletas!L225="Piguaquan B",120,IF(Atletas!L225="Shaolinquan B",121,IF(Atletas!L225="Tanglangquan B",122,IF(Atletas!L225="Yinzhaophai B",123,IF(Atletas!L225="Tongbeiquan B",124,IF(Atletas!L225="Wudangquan B",125,IF(Atletas!L225="Outros Estilos B",126,IF(Atletas!L225="Chaquan C",127,IF(Atletas!L225="Emeiquan C",128,IF(Atletas!L225="Fanziquan C",129,IF(Atletas!L225="Huaquan C",130,IF(Atletas!L225="Hongquan C",131,IF(Atletas!L225="Paochui C",132,IF(Atletas!L225="Piguaquan C",133,IF(Atletas!L225="Shaolinquan C",134,IF(Atletas!L225="Tanglangquan C",135,IF(Atletas!L225="Yinzhaophai C",136,IF(Atletas!L225="Tongbeiquan C",137,IF(Atletas!L225="Wudangquan C",138,IF(Atletas!L225="Outros Estilos C",139,0))))))))))))))))))))))))))))))))))))))))))</f>
        <v/>
      </c>
      <c r="BM229" s="52" t="str">
        <f>IF(Atletas!L225="","",IF(Atletas!W225&lt;&gt;"",10000,0)+(IF(Atletas!B225="Feminino",1000,IF(Atletas!B225="Masculino",2000,""))+(IF(Atletas!L225="Chaquan D",140,IF(Atletas!L225="Emeiquan D",141,IF(Atletas!L225="Fanziquan D",142,IF(Atletas!L225="Huaquan D",143,IF(Atletas!L225="Hongquan D",144,IF(Atletas!L225="Paochui D",145,IF(Atletas!L225="Piguaquan D",146,IF(Atletas!L225="Shaolinquan D",147,IF(Atletas!L225="Tanglangquan D",148,IF(Atletas!L225="Yinzhaophai D",149,IF(Atletas!L225="Tongbeiquan D",150,IF(Atletas!L225="Wudangquan D",151,IF(Atletas!L225="Outros Estilos D",152,IF(Atletas!L225="Chaquan E",153,IF(Atletas!L225="Emeiquan E",154,IF(Atletas!L225="Fanziquan E",155,IF(Atletas!L225="Huaquan E",156,IF(Atletas!L225="Hongquan E",157,IF(Atletas!L225="Paochui E",158,IF(Atletas!L225="Piguaquan E",159,IF(Atletas!L225="Shaolinquan E",160,IF(Atletas!L225="Tanglangquan E",161,IF(Atletas!L225="Yinzhaophai E",162,IF(Atletas!L225="Tongbeiquan E",163,IF(Atletas!L225="Wudangquan E",164,IF(Atletas!L225="Outros Estilos E",165,IF(Atletas!L225="Chaquan F",166,IF(Atletas!L225="Emeiquan F",167,IF(Atletas!L225="Fanziquan F",168,IF(Atletas!L225="Huaquan F",169,IF(Atletas!L225="Hongquan F",170,IF(Atletas!L225="Paochui F",171,IF(Atletas!L225="Piguaquan F",172,IF(Atletas!L225="Shaolinquan F",173,IF(Atletas!L225="Tanglangquan F",174,IF(Atletas!L225="Yinzhaophai F",175,IF(Atletas!L225="Tongbeiquan F",176,IF(Atletas!L225="Wudangquan F",177,IF(Atletas!L225="Outros Estilos F",178,0))))))))))))))))))))))))))))))))))))))))))</f>
        <v/>
      </c>
      <c r="BN229" s="52" t="str">
        <f>IF(Atletas!M225="","",IF(Atletas!W225&lt;&gt;"",10000,0)+(IF(Atletas!B225="Feminino",1000,IF(Atletas!B225="Masculino",2000,""))+(IF(Atletas!M225="Ditangquan A",201,IF(Atletas!M225="Houquan A",202,IF(Atletas!M225="Zuiquan A",203,IF(Atletas!M225="Ditangquan B",204,IF(Atletas!M225="Houquan B",205,IF(Atletas!M225="Zuiquan B",206,IF(Atletas!M225="Ditangquan C",207,IF(Atletas!M225="Houquan C",208,IF(Atletas!M225="Zuiquan C",209,IF(Atletas!M225="Ditangquan D",210,IF(Atletas!M225="Houquan D",211,IF(Atletas!M225="Zuiquan D",212,IF(Atletas!M225="Ditangquan E",213,IF(Atletas!M225="Houquan E",214,IF(Atletas!M225="Zuiquan E",215,IF(Atletas!M225="Ditangquan F",216,IF(Atletas!M225="Houquan F",217,IF(Atletas!M225="Zuiquan F",218,"")))))))))))))))))))))</f>
        <v/>
      </c>
      <c r="BO229" s="52" t="str">
        <f>IF(Atletas!N225="","",IF(Atletas!W225&lt;&gt;"",10000,0)+IF(Atletas!B225="Feminino",1000,IF(Atletas!B225="Masculino",2000,""))+IF(Atletas!N225="Yang A",301,IF(Atletas!N225="Chen A",30,IF(Atletas!N225="Sun A",303,IF(Atletas!N225="Wu A",304,IF(Atletas!N225="Wu-Hao A",305,IF(Atletas!N225="Outro Taijiquan A",306,IF(Atletas!N225="Yang B",307,IF(Atletas!N225="Chen B",308,IF(Atletas!N225="Sun B",309,IF(Atletas!N225="Wu B",310,IF(Atletas!N225="Wu-Hao B",311,IF(Atletas!N225="Outro Taijiquan B",312,IF(Atletas!N225="Yang C",313,IF(Atletas!N225="Chen C",314,IF(Atletas!N225="Sun C",315,IF(Atletas!N225="Wu C",316,IF(Atletas!N225="Wu-Hao C",317,IF(Atletas!N225="Outro Taijiquan C",318,IF(Atletas!N225="Yang D",319,IF(Atletas!N225="Chen D",320,IF(Atletas!N225="Sun D",321,IF(Atletas!N225="Wu D",322,IF(Atletas!N225="Wu-Hao D",323,IF(Atletas!N225="Outro Taijiquan D",324,IF(Atletas!N225="Yang E",325,IF(Atletas!N225="Chen E",326,IF(Atletas!N225="Sun E",327,IF(Atletas!N225="Wu E",328,IF(Atletas!N225="Wu-Hao E",329,IF(Atletas!N225="Outro Taijiquan E",330,IF(Atletas!N225="Yang F",331,IF(Atletas!N225="Chen F",332,IF(Atletas!N225="Sun F",333,IF(Atletas!N225="Wu F",334,IF(Atletas!N225="Wu-Hao F",335,IF(Atletas!N225="Outro Taijiquan F",336,"")))))))))))))))))))))))))))))))))))))</f>
        <v/>
      </c>
      <c r="BP229" s="52" t="str">
        <f>IF(Atletas!O225="","",IF(Atletas!W225&lt;&gt;"",10000,0)+IF(Atletas!B225="Feminino",1000,IF(Atletas!B225="Masculino",2000,""))+IF(OR(Atletas!O225="Yang 26 A",Atletas!O225="Yang 40 A"),401,IF(OR(Atletas!O225="Chen 25 A",Atletas!O225="Chen 36 A",Atletas!O225="Chen 56 A"),402,IF(Atletas!O225="Sun 73 A",403,IF(Atletas!O225="Wu 45 A",404,IF(Atletas!O225="Wu-Hao 46 A",405,IF(OR(Atletas!O225="Taijiquan 16 A",Atletas!O225="Taijiquan 24 A",Atletas!O225="Taijiquan 32 A",Atletas!O225="Taijiquan 42 A"),406,IF(OR(Atletas!O225="Yang 26 B",Atletas!O225="Yang 40 B"),407,IF(OR(Atletas!O225="Chen 25 B",Atletas!O225="Chen 36 B",Atletas!O225="Chen 56 B"),408,IF(Atletas!O225="Sun 73 B",409,IF(Atletas!O225="Wu 45 B",410,IF(Atletas!O225="Wu-Hao 46 B",411,IF(OR(Atletas!O225="Taijiquan 16 B",Atletas!O225="Taijiquan 24 B",Atletas!O225="Taijiquan 32 B",Atletas!O225="Taijiquan 42 B"),412,IF(OR(Atletas!O225="Yang 26 C",Atletas!O225="Yang 40 C"),413,IF(OR(Atletas!O225="Chen 25 C",Atletas!O225="Chen 36 C",Atletas!O225="Chen 56 C"),414,IF(Atletas!O225="Sun 73 C",415,IF(Atletas!O225="Wu 45 C",416,IF(Atletas!O225="Wu-Hao 46 C",417,IF(OR(Atletas!O225="Taijiquan 16 C",Atletas!O225="Taijiquan 24 C",Atletas!O225="Taijiquan 32 C",Atletas!O225="Taijiquan 42 C"),418,0)))))))))))))))))))</f>
        <v/>
      </c>
      <c r="BQ229" s="52" t="str">
        <f>IF(Atletas!O225="","",IF(Atletas!W225&lt;&gt;"",10000,0)+IF(Atletas!B225="Feminino",1000,IF(Atletas!B225="Masculino",2000,""))+IF(OR(Atletas!O225="Yang 26 D",Atletas!O225="Yang 40 D"),419,IF(OR(Atletas!O225="Chen 25 D",Atletas!O225="Chen 36 D",Atletas!O225="Chen 56 D"),420,IF(Atletas!O225="Sun 73 D",421,IF(Atletas!O225="Wu 45 D",422,IF(Atletas!O225="Wu-Hao 46 D",423,IF(OR(Atletas!O225="Taijiquan 16 D",Atletas!O225="Taijiquan 24 D",Atletas!O225="Taijiquan 32 D",Atletas!O225="Taijiquan 42 D"),424,IF(OR(Atletas!O225="Yang 26 E",Atletas!O225="Yang 40 E"),425,IF(OR(Atletas!O225="Chen 25 E",Atletas!O225="Chen 36 E",Atletas!O225="Chen 56 E"),426,IF(Atletas!O225="Sun 73 E",427,IF(Atletas!O225="Wu 45 E",428,IF(Atletas!O225="Wu-Hao 46 E",429,IF(OR(Atletas!O225="Taijiquan 16 E",Atletas!O225="Taijiquan 24 E",Atletas!O225="Taijiquan 32 E",Atletas!O225="Taijiquan 42 E"),430,IF(OR(Atletas!O225="Yang 26 F",Atletas!O225="Yang 40 F"),431,IF(OR(Atletas!O225="Chen 25 F",Atletas!O225="Chen 36 F",Atletas!O225="Chen 56 F"),432,IF(Atletas!O225="Sun 73 F",433,IF(Atletas!O225="Wu 45 F",434,IF(Atletas!O225="Wu-Hao 46 F",435,IF(OR(Atletas!O225="Taijiquan 16 F",Atletas!O225="Taijiquan 24 F",Atletas!O225="Taijiquan 32 F",Atletas!O225="Taijiquan 42 F"),436,0)))))))))))))))))))</f>
        <v/>
      </c>
      <c r="BR229" s="52" t="str">
        <f>IF(Atletas!P225="","",IF(Atletas!W225&lt;&gt;"",10000,0)+IF(Atletas!B225="Feminino",1000,IF(Atletas!B225="Masculino",2000,""))+IF(Atletas!P225="Xingyiquan A",501,IF(Atletas!P225="Baguazhang A",502,IF(Atletas!P225="Outro Estilo Interno A",503,IF(Atletas!P225="Xingyiquan B",504,IF(Atletas!P225="Baguazhang B",505,IF(Atletas!P225="Outro Estilo Interno B",506,IF(Atletas!P225="Xingyiquan C",507,IF(Atletas!P225="Baguazhang C",508,IF(Atletas!P225="Outro Estilo Interno C",509,IF(Atletas!P225="Xingyiquan D",510,IF(Atletas!P225="Baguazhang D",511,IF(Atletas!P225="Outro Estilo Interno D",512,IF(Atletas!P225="Xingyiquan E",513,IF(Atletas!P225="Baguazhang E",514,IF(Atletas!P225="Outro Estilo Interno E",515,IF(Atletas!P225="Xingyiquan F",516,IF(Atletas!P225="Baguazhang F",517,IF(Atletas!P225="Outro Estilo Interno F",518, "")))))))))))))))))))</f>
        <v/>
      </c>
      <c r="BS229" s="52" t="str">
        <f>IF(Atletas!Q225="","",IF(Atletas!W225&lt;&gt;"",10000,0)+IF(Atletas!B225="Feminino",1000,IF(Atletas!B225="Masculino",2000,""))+IF(Atletas!Q225="Dao A",601,IF(Atletas!Q225="Jian A",602,IF(Atletas!Q225="Bishou A",603,IF(Atletas!Q225="Shan A",604,IF(Atletas!Q225="Outra Arma Curta A",605,IF(Atletas!Q225="Dao B",606,IF(Atletas!Q225="Jian B",607,IF(Atletas!Q225="Bishou B",608,IF(Atletas!Q225="Shan B",609,IF(Atletas!Q225="Outra Arma Curta B",610,IF(Atletas!Q225="Dao C",611,IF(Atletas!Q225="Jian C",612,IF(Atletas!Q225="Bishou C",613,IF(Atletas!Q225="Shan C",614,IF(Atletas!Q225="Outra Arma Curta C",615,IF(Atletas!Q225="Dao D",616,IF(Atletas!Q225="Jian D",617,IF(Atletas!Q225="Bishou D",618,IF(Atletas!Q225="Shan D",619,IF(Atletas!Q225="Outra Arma Curta D",620,IF(Atletas!Q225="Dao E",621,IF(Atletas!Q225="Jian E",622,IF(Atletas!Q225="Bishou E",623,IF(Atletas!Q225="Shan E",624,IF(Atletas!Q225="Outra Arma Curta E",625,IF(Atletas!Q225="Dao F",626,IF(Atletas!Q225="Jian F",627,IF(Atletas!Q225="Bishou F",628,IF(Atletas!Q225="Shan F",629,IF(Atletas!Q225="Outra Arma Curta F",630, "")))))))))))))))))))))))))))))))</f>
        <v/>
      </c>
      <c r="BT229" s="52" t="str">
        <f>IF(Atletas!R225="","",IF(Atletas!W225&lt;&gt;"",10000,0)+IF(Atletas!B225="Feminino",1000,IF(Atletas!B225="Masculino",2000,""))+IF(Atletas!R225="Gun A",701,IF(Atletas!R225="Qiang A",702,IF(Atletas!R225="Pudao / Guandao A",703,IF(Atletas!R225="Outra Arma Longa A",704,IF(Atletas!R225="Gun B",705,IF(Atletas!R225="Qiang B",706,IF(Atletas!R225="Pudao / Guandao B",707,IF(Atletas!R225="Outra Arma Longa B",708,IF(Atletas!R225="Gun C",709,IF(Atletas!R225="Qiang C",710,IF(Atletas!R225="Pudao / Guandao C",711,IF(Atletas!R225="Outra Arma Longa C",712,IF(Atletas!R225="Gun D",713,IF(Atletas!R225="Qiang D",714,IF(Atletas!R225="Pudao / Guandao D",715,IF(Atletas!R225="Outra Arma Longa D",716,IF(Atletas!R225="Gun E",717,IF(Atletas!R225="Qiang E",718,IF(Atletas!R225="Pudao / Guandao E",719,IF(Atletas!R225="Outra Arma Longa E",720,IF(Atletas!R225="Gun F",721,IF(Atletas!R225="Qiang F",722,IF(Atletas!R225="Pudao / Guandao F",723,IF(Atletas!R225="Outra Arma Longa F",724,"")))))))))))))))))))))))))</f>
        <v/>
      </c>
      <c r="BU229" s="52" t="str">
        <f>IF(Atletas!S225="","",IF(Atletas!W225&lt;&gt;"",10000,0)+IF(Atletas!B225="Feminino",1000,IF(Atletas!B225="Masculino",2000,""))+IF(Atletas!S225="Arma Dupla A",801,IF(Atletas!S225="Arma Maleável A",802,IF(Atletas!S225="Arma Dupla B",803,IF(Atletas!S225="Arma Maleável B",804,IF(Atletas!S225="Arma Dupla C",805,IF(Atletas!S225="Arma Maleável C",806,IF(Atletas!S225="Arma Dupla D",807,IF(Atletas!S225="Arma Maleável D",808,IF(Atletas!S225="Arma Dupla E",809,IF(Atletas!S225="Arma Maleável E",810,IF(Atletas!S225="Arma Dupla F",811,IF(Atletas!S225="Arma Maleável F",812, "")))))))))))))</f>
        <v/>
      </c>
      <c r="BV229" s="52" t="str">
        <f>IF(Atletas!T225="","",IF(Atletas!W225&lt;&gt;"",10000,0)+IF(Atletas!B225="Feminino",1000,IF(Atletas!B225="Masculino",2000,""))+IF(Atletas!T225="Taijijian Yang A",901,IF(Atletas!T225="Taijijian Chen A",902,IF(Atletas!T225="Taijijian Sun A",903,IF(Atletas!T225="Taijijian Wu A",904,IF(Atletas!T225="Taijijian Wu-Hao A",905,IF(Atletas!T225="Taijijian 32 A",906,IF(Atletas!T225="Taijijian 42 A",907,IF(Atletas!T225="Taijijian Yang B",908,IF(Atletas!T225="Taijijian Chen B",909,IF(Atletas!T225="Taijijian Sun B",910,IF(Atletas!T225="Taijijian Wu B",911,IF(Atletas!T225="Taijijian Wu-Hao B",912,IF(Atletas!T225="Taijijian 32 B",913,IF(Atletas!T225="Taijijian 42 B",914,IF(Atletas!T225="Taijijian Yang C",915,IF(Atletas!T225="Taijijian Chen C",916,IF(Atletas!T225="Taijijian Sun C",917,IF(Atletas!T225="Taijijian Wu C",918,IF(Atletas!T225="Taijijian Wu-Hao C",919,IF(Atletas!T225="Taijijian 32 C",920,IF(Atletas!T225="Taijijian 42 C",921,IF(Atletas!T225="Taijijian Yang D",922,IF(Atletas!T225="Taijijian Chen D",923,IF(Atletas!T225="Taijijian Sun D",924,IF(Atletas!T225="Taijijian Wu D",925,IF(Atletas!T225="Taijijian Wu-Hao D",926,IF(Atletas!T225="Taijijian 32 D",927,IF(Atletas!T225="Taijijian 42 D",928,IF(Atletas!T225="Taijijian Yang E",929,IF(Atletas!T225="Taijijian Chen E",930,IF(Atletas!T225="Taijijian Sun E",931,IF(Atletas!T225="Taijijian Wu E",932,IF(Atletas!T225="Taijijian Wu-Hao E",933,IF(Atletas!T225="Taijijian 32 E",934,IF(Atletas!T225="Taijijian 42 E",935,IF(Atletas!T225="Taijijian Yang F",936,IF(Atletas!T225="Taijijian Chen F",937,IF(Atletas!T225="Taijijian Sun F",938,IF(Atletas!T225="Taijijian Wu F",939,IF(Atletas!T225="Taijijian Wu-Hao F",940,IF(Atletas!T225="Taijijian 32 F",941,IF(Atletas!T225="Taijijian 42 F",942,"")))))))))))))))))))))))))))))))))))))))))))</f>
        <v/>
      </c>
      <c r="BW229" s="52" t="str">
        <f>IF(Atletas!U225="","",IF(Atletas!W225&lt;&gt;"",10000,0)+IF(Atletas!B225="Feminino",1000,IF(Atletas!B225="Masculino",2000,""))+IF(Atletas!T225="Taijijian 42 F",942,IF(Atletas!U225="Taijidao A",943,IF(Atletas!U225="Taijishan A",944,IF(Atletas!U225="Taijiqiang A",945,IF(Atletas!U225="Taijidao B",946,IF(Atletas!U225="Taijishan B",947,IF(Atletas!U225="Taijiqiang B",948,IF(Atletas!U225="Taijidao C",949,IF(Atletas!U225="Taijishan C",950,IF(Atletas!U225="Taijiqiang C",951,IF(Atletas!U225="Taijidao D",952,IF(Atletas!U225="Taijishan D",953,IF(Atletas!U225="Taijiqiang D",954,IF(Atletas!U225="Taijidao E",955,IF(Atletas!U225="Taijishan E",956,IF(Atletas!U225="Taijiqiang E",957,IF(Atletas!U225="Taijidao F",958,IF(Atletas!U225="Taijishan F",959,IF(Atletas!U225="Taijiqiang F",960))))))))))))))))))))</f>
        <v/>
      </c>
      <c r="BX229" s="72" t="str">
        <f>IF(BY229&lt;&gt;"","Jian B","")</f>
        <v/>
      </c>
      <c r="BY229" s="72" t="str">
        <f>IF(COUNTIF(BK:BW,1607)&gt;0,COUNTIF(BK:BW,1607),"")</f>
        <v/>
      </c>
      <c r="BZ229" s="72" t="str">
        <f>IF(CA229&lt;&gt;"","Jian B","")</f>
        <v/>
      </c>
      <c r="CA229" s="72" t="str">
        <f>IF(COUNTIF(BK:BW,2607)&gt;0,COUNTIF(BK:BW,2607),"")</f>
        <v/>
      </c>
      <c r="CB229" s="72" t="str">
        <f>IF(CC229&lt;&gt;"","Wu Novo E","")</f>
        <v/>
      </c>
      <c r="CC229" s="64" t="str">
        <f>IF(COUNTIF(BK:BW,11461)&gt;0,COUNTIF(BK:BW,11461),"")</f>
        <v/>
      </c>
      <c r="CD229" s="64" t="str">
        <f>IF(CE229&lt;&gt;"","Wu Novo E","")</f>
        <v/>
      </c>
      <c r="CE229" s="64" t="str">
        <f>IF(COUNTIF(BK:BW,12461)&gt;0,COUNTIF(BK:BW,12461),"")</f>
        <v/>
      </c>
      <c r="CF229" s="52" t="str">
        <f xml:space="preserve"> IF(Atletas!V225="","",IF(Atletas!V225="Duilian de Mãos AB - Equipe 1",1,IF(Atletas!V225="Duilian de Mãos AB - Equipe 2",2,IF(Atletas!V225="Duilian de Armas AB - Equipe 1",3,IF(Atletas!V225="Duilian de Armas AB - Equipe 2",4,IF(Atletas!V225="Duilian de Tuishou - Equipe 1",5,IF(Atletas!V225="Duilian de Tuishou - Equipe 2",6,IF(Atletas!V225="Grupo Externo AB - Equipe 1",7,IF(Atletas!V225="Grupo Externo AB - Equipe 2",8,IF(Atletas!V225="Grupo Interno AB - Equipe 1",9,IF(Atletas!V225="Grupo Interno AB - Equipe 2",10,IF(Atletas!V225="Duilian de Mãos CD - Equipe 1",11,IF(Atletas!V225="Duilian de Mãos CD - Equipe 2",12,IF(Atletas!V225="Duilian de Armas CD - Equipe 1",13,IF(Atletas!V225="Duilian de Armas CD - Equipe 2",14,IF(Atletas!V225="Duilian de Tuishou - Equipe 1",15,IF(Atletas!V225="Duilian de Tuishou - Equipe 2",16,IF(Atletas!V225="Grupo Externo CDEF - Equipe 1",17,IF(Atletas!V225="Grupo Externo CDEF - Equipe 2",18,IF(Atletas!V225="Grupo Interno CDEF - Equipe 1",19,IF(Atletas!V225="Grupo Interno CDEF - Equipe 2",20,IF(Atletas!V225="Duilian de Mãos EF - Equipe 1",21,IF(Atletas!V225="Duilian de Mãos EF - Equipe 2",22,IF(Atletas!V225="Duilian de Armas EF - Equipe 1",23,IF(Atletas!V225="Duilian de Armas EF - Equipe 2",24,IF(Atletas!V225="Duilian de Tuishou - Equipe 1",25,IF(Atletas!V225="Duilian de Tuishou - Equipe 2",26,"")))))))))))))))))))))))))))</f>
        <v/>
      </c>
    </row>
    <row r="230" spans="2:84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 t="str">
        <f t="array" ref="V230">IFERROR(INDEX(BX$7:BX$336,SMALL(IF(BX$7:BX$336&lt;&gt;"",ROW(BX$7:BX$336)-ROW(BX$7)+1),ROWS(BX$7:BX204))),"")</f>
        <v/>
      </c>
      <c r="W230" s="4" t="str">
        <f t="array" ref="W230">IFERROR(INDEX(BY$7:BY$336,SMALL(IF(BY$7:BY$336&lt;&gt;"",ROW(BY$7:BY$336)-ROW(BY$7)+1),ROWS(BY$7:BY204))),"")</f>
        <v/>
      </c>
      <c r="X230" s="4" t="str">
        <f t="array" ref="X230">IFERROR(INDEX(BZ$7:BZ$336,SMALL(IF(BZ$7:BZ$336&lt;&gt;"",ROW(BZ$7:BZ$336)-ROW(BZ$7)+1),ROWS(BZ$7:BZ204))),"")</f>
        <v/>
      </c>
      <c r="Y230" s="4" t="str">
        <f t="array" ref="Y230">IFERROR(INDEX(CA$7:CA$336,SMALL(IF(CA$7:CA$336&lt;&gt;"",ROW(CA$7:CA$336)-ROW(CA$7)+1),ROWS(CA$7:CA204))),"")</f>
        <v/>
      </c>
      <c r="Z230" s="4" t="str">
        <f t="array" ref="Z230">IFERROR(INDEX(CB$7:CB$378,SMALL(IF(CB$7:CB$378&lt;&gt;"",ROW(CB$7:CB$378)-ROW(CB$7)+1),ROWS(CB$7:CB229))),"")</f>
        <v/>
      </c>
      <c r="AA230" s="4" t="str">
        <f t="array" ref="AA230">IFERROR(INDEX(CC$7:CC$378,SMALL(IF(CC$7:CC$378&lt;&gt;"",ROW(CC$7:CC$378)-ROW(CC$7)+1),ROWS(CC$7:CC229))),"")</f>
        <v/>
      </c>
      <c r="AB230" s="4" t="str">
        <f t="array" ref="AB230">IFERROR(INDEX(CD$7:CD$378,SMALL(IF(CD$7:CD$378&lt;&gt;"",ROW(CD$7:CD$378)-ROW(CD$7)+1),ROWS(CD$7:CD229))),"")</f>
        <v/>
      </c>
      <c r="AC230" s="4" t="str">
        <f t="array" ref="AC230">IFERROR(INDEX(CE$7:CE$378,SMALL(IF(CE$7:CE$378&lt;&gt;"",ROW(CE$7:CE$378)-ROW(CE$7)+1),ROWS(CE$7:CE229))),"")</f>
        <v/>
      </c>
      <c r="AD230" s="4"/>
      <c r="AE230" s="4"/>
      <c r="AF230" s="4"/>
      <c r="AG230" s="4"/>
      <c r="AH230" s="4"/>
      <c r="AI230" s="4"/>
      <c r="AJ230" s="46" t="str">
        <f>IF(Atletas!D226="","",IF(Atletas!B226="Feminino",100,IF(Atletas!B226="Masculino",200,""))+(IF(Atletas!D226="Infantil 39kg",1,IF(Atletas!D226="Infantil 42kg",2,IF(Atletas!D226="Infantil 45kg",3,IF(Atletas!D226="Infantil 48kg",4,IF(Atletas!D226="Infantil 52kg",5,IF(Atletas!D226="Infantil 56kg",6,IF(Atletas!D226="Infantil 60kg",7,IF(Atletas!D226="Juvenil 48kg",8,IF(Atletas!D226="Juvenil 52kg",9,IF(Atletas!D226="Juvenil 56kg",10,IF(Atletas!D226="Juvenil 60kg",11,IF(Atletas!D226="Juvenil 65kg",12,IF(Atletas!D226="Juvenil 70kg",13,IF(Atletas!D226="Juvenil 75kg",14,IF(Atletas!D226="Juvenil 80kg",15,IF(Atletas!D226="Adulto 48kg",16,IF(Atletas!D226="Adulto 52kg",17,IF(Atletas!D226="Adulto 56kg",18,IF(Atletas!D226="Adulto 60kg",19,IF(Atletas!D226="Adulto 65kg",20,IF(Atletas!D226="Adulto 70kg",21,IF(Atletas!D226="Adulto 75kg",22,IF(Atletas!D226="Adulto 80kg",23,IF(Atletas!D226="Adulto 85kg",24,IF(Atletas!D226="Adulto 90kg",25,IF(Atletas!D226="Adulto +90kg",26,""))))))))))))))))))))))))))))</f>
        <v/>
      </c>
      <c r="AO230" s="10" t="str">
        <f>IF(Atletas!E226="","",IF(Atletas!B226="Feminino",100,IF(Atletas!B226="Masculino",200,""))+(IF(Atletas!E226="Juvenil 44kg",1,IF(Atletas!E226="Juvenil 48kg",2,IF(Atletas!E226="Juvenil 52kg",3,IF(Atletas!E226="Juvenil 56kg",4,IF(Atletas!E226="Juvenil 60kg",5,IF(Atletas!E226="Juvenil 65kg",6,IF(Atletas!E226="Juvenil 70kg",7,IF(Atletas!E226="Juvenil 75kg",8,IF(Atletas!E226="Juvenil 82kg",9,IF(Atletas!E226="Juvenil 90kg",10,IF(Atletas!E226="Juvenil 100kg",11,IF(Atletas!E226="Adulto 48kg",12,IF(Atletas!E226="Adulto 52kg",13,IF(Atletas!E226="Adulto 56kg",14,IF(Atletas!E226="Adulto 60kg",15,IF(Atletas!E226="Adulto 65kg",16,IF(Atletas!E226="Adulto 70kg",17,IF(Atletas!E226="Adulto 75kg",18,IF(Atletas!E226="Adulto 82kg",19,IF(Atletas!E226="Adulto 90kg",20,IF(Atletas!E226="Adulto 100kg",21,IF(Atletas!E226="Adulto +100kg",22,""))))))))))))))))))))))))</f>
        <v/>
      </c>
      <c r="AT230" s="10" t="str">
        <f>IF(Atletas!F226="","",IF(Atletas!B226="Feminino",100,IF(Atletas!B226="Masculino",200,""))+(IF(Atletas!F226="Adulto 48kg",1,IF(Atletas!F226="Adulto 56kg",2,IF(Atletas!F226="Adulto 65kg",3,IF(Atletas!F226="Adulto 75kg",4,IF(Atletas!F226="Adulto +75kg",5,IF(Atletas!F226="Adulto 52kg",6,IF(Atletas!F226="Adulto 60kg",7,IF(Atletas!F226="Adulto 70kg",8,IF(Atletas!F226="Adulto 80kg",9,IF(Atletas!F226="Adulto 90kg",10,IF(Atletas!F226="Adulto +90kg",11,"")))))))))))))</f>
        <v/>
      </c>
      <c r="AY230" s="46" t="str">
        <f>IF(Atletas!G226="","",IF(Atletas!B226="Feminino",100,IF(Atletas!B226="Masculino",200,""))+(IF(Atletas!G226="Changquan Mirim",1,IF(Atletas!G226="Nanquan Mirim",2,IF(Atletas!G226="Taijiquan Mirim",3,IF(Atletas!G226="Changquan Grupo C",4,IF(Atletas!G226="Nanquan Grupo C",5,IF(Atletas!G226="Taijiquan Grupo C",6,IF(Atletas!G226="Changquan Grupo B",7,IF(Atletas!G226="Nanquan Grupo B",8,IF(Atletas!G226="Taijiquan Grupo B",9,IF(Atletas!G226="Changquan Grupo A",10,IF(Atletas!G226="Nanquan Grupo A",11,IF(Atletas!G226="Taijiquan Grupo A",12,IF(Atletas!G226="Changquan Opcional",13,IF(Atletas!G226="Nanquan Opcional",14,IF(Atletas!G226="Taijiquan Opcional",15,IF(Atletas!G226="Changquan Adulto",16,IF(Atletas!G226="Nanquan Adulto",17,IF(Atletas!G226="Taijiquan Adulto",18,""))))))))))))))))))))</f>
        <v/>
      </c>
      <c r="AZ230" s="46" t="str">
        <f>IF(Atletas!H226="","",IF(Atletas!B226="Feminino",100,IF(Atletas!B226="Masculino",200,""))+(IF(Atletas!H226="Daoshu Mirim",19,IF(Atletas!H226="Jianshu Mirim",20,IF(Atletas!H226="Nandao Mirim",21,IF(Atletas!H226="Taijijian Mirim",22,IF(Atletas!H226="Daoshu Grupo C",23,IF(Atletas!H226="Jianshu Grupo C",24,IF(Atletas!H226="Nandao Grupo C",25,IF(Atletas!H226="Taijijian Grupo C",26,IF(Atletas!H226="Daoshu Grupo B",27,IF(Atletas!H226="Jianshu Grupo B",28,IF(Atletas!H226="Nandao Grupo B",29,IF(Atletas!H226="Taijijian Grupo B",30,IF(Atletas!H226="Daoshu Grupo A",31,IF(Atletas!H226="Jianshu Grupo A",32,IF(Atletas!H226="Nandao Grupo A",33,IF(Atletas!H226="Taijijian Grupo A",34,IF(Atletas!H226="Daoshu Opcional",35,IF(Atletas!H226="Jianshu Opcional",36,IF(Atletas!H226="Nandao Opcional",37,IF(Atletas!H226="Taijijian Opcional",38,IF(Atletas!H226="Daoshu Adulto",39,IF(Atletas!H226="Jianshu Adulto",40,IF(Atletas!H226="Nandao Adulto",41,IF(Atletas!H226="Taijijian Adulto",42,""))))))))))))))))))))))))))</f>
        <v/>
      </c>
      <c r="BA230" s="46" t="str">
        <f>IF(Atletas!I226="","",IF(Atletas!B226="Feminino",100,IF(Atletas!B226="Masculino",200,""))+(IF(Atletas!I226="Gunshu Mirim",43,IF(Atletas!I226="Qiangshu Mirim",44,IF(Atletas!I226="Nangun Mirim",45,IF(Atletas!I226="Gunshu Grupo C",46,IF(Atletas!I226="Qiangshu Grupo C",47,IF(Atletas!I226="Nangun Grupo C",48,IF(Atletas!I226="Gunshu Grupo B",49,IF(Atletas!I226="Qiangshu Grupo B",50,IF(Atletas!I226="Nangun Grupo B",51,IF(Atletas!I226="Gunshu Grupo A",52,IF(Atletas!I226="Qiangshu Grupo A",53,IF(Atletas!I226="Nangun Grupo A",54,IF(Atletas!I226="Gunshu Opcional",55,IF(Atletas!I226="Qiangshu Opcional",56,IF(Atletas!I226="Nangun Opcional",57,IF(Atletas!I226="Gunshu Adulto",58,IF(Atletas!I226="Qiangshu Adulto",59,IF(Atletas!I226="Nangun Adulto",60,""))))))))))))))))))))</f>
        <v/>
      </c>
      <c r="BF230" s="52" t="str">
        <f>IF(Atletas!J226="","",IF(Atletas!B226="Feminino",100,IF(Atletas!B226="Masculino",200,""))+(IF(Atletas!J226="Equipe 1 Grupo B",1,IF(Atletas!J226="Equipe 2 Grupo B",2,IF(Atletas!J226="Equipe 1 Grupo A",3,IF(Atletas!J226="Equipe 2 Grupo A",4,IF(Atletas!J226="Equipe 1 Adulto",5,IF(Atletas!J226="Equipe 2 Adulto",6,""))))))))</f>
        <v/>
      </c>
      <c r="BK230" s="52" t="str">
        <f>IF(Atletas!K226="","",IF(Atletas!W226&lt;&gt;"",10000,0)+(IF(Atletas!B226="Feminino",1000,IF(Atletas!B226="Masculino",2000,""))+IF(Atletas!K226="Choylayfut A",1,IF(Atletas!K226="Hunggar A",2,IF(Atletas!K226="Wuzuquan A",3,IF(Atletas!K226="Wingchun A",4,IF(Atletas!K226="Outra Mão de Sul A",5,IF(Atletas!K226="Choylayfut B",6,IF(Atletas!K226="Hunggar B",7,IF(Atletas!K226="Wuzuquan B",8,IF(Atletas!K226="Wingchun B",9,IF(Atletas!K226="Outra Mão de Sul B",10,IF(Atletas!K226="Choylayfut C",11,IF(Atletas!K226="Hunggar C",12,IF(Atletas!K226="Wuzuquan C",13,IF(Atletas!K226="Wingchun C",14,IF(Atletas!K226="Outra Mão de Sul C",15,IF(Atletas!K226="Choylayfut D",16,IF(Atletas!K226="Hunggar D",17,IF(Atletas!K226="Wuzuquan D",18,IF(Atletas!K226="Wingchun D",19,IF(Atletas!K226="Outra Mão de Sul D",20,IF(Atletas!K226="Choylayfut E",21,IF(Atletas!K226="Hunggar E",22,IF(Atletas!K226="Wuzuquan E",23,IF(Atletas!K226="Wingchun E",24,IF(Atletas!K226="Outra Mão de Sul E",25,IF(Atletas!K226="Choylayfut F",26,IF(Atletas!K226="Hunggar F",27,IF(Atletas!K226="Wuzuquan F",28,IF(Atletas!K226="Wingchun F",29,IF(Atletas!K226="Outra Mão de Sul F",30,""))))))))))))))))))))))))))))))))</f>
        <v/>
      </c>
      <c r="BL230" s="52" t="str">
        <f>IF(Atletas!L226="","",IF(Atletas!W226&lt;&gt;"",10000,0)+(IF(Atletas!B226="Feminino",1000,IF(Atletas!B226="Masculino",2000,""))+(IF(Atletas!L226="Chaquan A",101,IF(Atletas!L226="Emeiquan A",102,IF(Atletas!L226="Fanziquan A",103,IF(Atletas!L226="Huaquan A",104,IF(Atletas!L226="Hongquan A",105,IF(Atletas!L226="Paochui A",106,IF(Atletas!L226="Piguaquan A",107,IF(Atletas!L226="Shaolinquan A",108,IF(Atletas!L226="Tanglangquan A",109,IF(Atletas!L226="Yinzhaophai A",110,IF(Atletas!L226="Tongbeiquan A",111,IF(Atletas!L226="Wudangquan A",112,IF(Atletas!L226="Outros Estilos A",113,IF(Atletas!L226="Chaquan B",114,IF(Atletas!L226="Emeiquan B",115,IF(Atletas!L226="Fanziquan B",116,IF(Atletas!L226="Huaquan B",117,IF(Atletas!L226="Hongquan B",118,IF(Atletas!L226="Paochui B",119,IF(Atletas!L226="Piguaquan B",120,IF(Atletas!L226="Shaolinquan B",121,IF(Atletas!L226="Tanglangquan B",122,IF(Atletas!L226="Yinzhaophai B",123,IF(Atletas!L226="Tongbeiquan B",124,IF(Atletas!L226="Wudangquan B",125,IF(Atletas!L226="Outros Estilos B",126,IF(Atletas!L226="Chaquan C",127,IF(Atletas!L226="Emeiquan C",128,IF(Atletas!L226="Fanziquan C",129,IF(Atletas!L226="Huaquan C",130,IF(Atletas!L226="Hongquan C",131,IF(Atletas!L226="Paochui C",132,IF(Atletas!L226="Piguaquan C",133,IF(Atletas!L226="Shaolinquan C",134,IF(Atletas!L226="Tanglangquan C",135,IF(Atletas!L226="Yinzhaophai C",136,IF(Atletas!L226="Tongbeiquan C",137,IF(Atletas!L226="Wudangquan C",138,IF(Atletas!L226="Outros Estilos C",139,0))))))))))))))))))))))))))))))))))))))))))</f>
        <v/>
      </c>
      <c r="BM230" s="52" t="str">
        <f>IF(Atletas!L226="","",IF(Atletas!W226&lt;&gt;"",10000,0)+(IF(Atletas!B226="Feminino",1000,IF(Atletas!B226="Masculino",2000,""))+(IF(Atletas!L226="Chaquan D",140,IF(Atletas!L226="Emeiquan D",141,IF(Atletas!L226="Fanziquan D",142,IF(Atletas!L226="Huaquan D",143,IF(Atletas!L226="Hongquan D",144,IF(Atletas!L226="Paochui D",145,IF(Atletas!L226="Piguaquan D",146,IF(Atletas!L226="Shaolinquan D",147,IF(Atletas!L226="Tanglangquan D",148,IF(Atletas!L226="Yinzhaophai D",149,IF(Atletas!L226="Tongbeiquan D",150,IF(Atletas!L226="Wudangquan D",151,IF(Atletas!L226="Outros Estilos D",152,IF(Atletas!L226="Chaquan E",153,IF(Atletas!L226="Emeiquan E",154,IF(Atletas!L226="Fanziquan E",155,IF(Atletas!L226="Huaquan E",156,IF(Atletas!L226="Hongquan E",157,IF(Atletas!L226="Paochui E",158,IF(Atletas!L226="Piguaquan E",159,IF(Atletas!L226="Shaolinquan E",160,IF(Atletas!L226="Tanglangquan E",161,IF(Atletas!L226="Yinzhaophai E",162,IF(Atletas!L226="Tongbeiquan E",163,IF(Atletas!L226="Wudangquan E",164,IF(Atletas!L226="Outros Estilos E",165,IF(Atletas!L226="Chaquan F",166,IF(Atletas!L226="Emeiquan F",167,IF(Atletas!L226="Fanziquan F",168,IF(Atletas!L226="Huaquan F",169,IF(Atletas!L226="Hongquan F",170,IF(Atletas!L226="Paochui F",171,IF(Atletas!L226="Piguaquan F",172,IF(Atletas!L226="Shaolinquan F",173,IF(Atletas!L226="Tanglangquan F",174,IF(Atletas!L226="Yinzhaophai F",175,IF(Atletas!L226="Tongbeiquan F",176,IF(Atletas!L226="Wudangquan F",177,IF(Atletas!L226="Outros Estilos F",178,0))))))))))))))))))))))))))))))))))))))))))</f>
        <v/>
      </c>
      <c r="BN230" s="52" t="str">
        <f>IF(Atletas!M226="","",IF(Atletas!W226&lt;&gt;"",10000,0)+(IF(Atletas!B226="Feminino",1000,IF(Atletas!B226="Masculino",2000,""))+(IF(Atletas!M226="Ditangquan A",201,IF(Atletas!M226="Houquan A",202,IF(Atletas!M226="Zuiquan A",203,IF(Atletas!M226="Ditangquan B",204,IF(Atletas!M226="Houquan B",205,IF(Atletas!M226="Zuiquan B",206,IF(Atletas!M226="Ditangquan C",207,IF(Atletas!M226="Houquan C",208,IF(Atletas!M226="Zuiquan C",209,IF(Atletas!M226="Ditangquan D",210,IF(Atletas!M226="Houquan D",211,IF(Atletas!M226="Zuiquan D",212,IF(Atletas!M226="Ditangquan E",213,IF(Atletas!M226="Houquan E",214,IF(Atletas!M226="Zuiquan E",215,IF(Atletas!M226="Ditangquan F",216,IF(Atletas!M226="Houquan F",217,IF(Atletas!M226="Zuiquan F",218,"")))))))))))))))))))))</f>
        <v/>
      </c>
      <c r="BO230" s="52" t="str">
        <f>IF(Atletas!N226="","",IF(Atletas!W226&lt;&gt;"",10000,0)+IF(Atletas!B226="Feminino",1000,IF(Atletas!B226="Masculino",2000,""))+IF(Atletas!N226="Yang A",301,IF(Atletas!N226="Chen A",30,IF(Atletas!N226="Sun A",303,IF(Atletas!N226="Wu A",304,IF(Atletas!N226="Wu-Hao A",305,IF(Atletas!N226="Outro Taijiquan A",306,IF(Atletas!N226="Yang B",307,IF(Atletas!N226="Chen B",308,IF(Atletas!N226="Sun B",309,IF(Atletas!N226="Wu B",310,IF(Atletas!N226="Wu-Hao B",311,IF(Atletas!N226="Outro Taijiquan B",312,IF(Atletas!N226="Yang C",313,IF(Atletas!N226="Chen C",314,IF(Atletas!N226="Sun C",315,IF(Atletas!N226="Wu C",316,IF(Atletas!N226="Wu-Hao C",317,IF(Atletas!N226="Outro Taijiquan C",318,IF(Atletas!N226="Yang D",319,IF(Atletas!N226="Chen D",320,IF(Atletas!N226="Sun D",321,IF(Atletas!N226="Wu D",322,IF(Atletas!N226="Wu-Hao D",323,IF(Atletas!N226="Outro Taijiquan D",324,IF(Atletas!N226="Yang E",325,IF(Atletas!N226="Chen E",326,IF(Atletas!N226="Sun E",327,IF(Atletas!N226="Wu E",328,IF(Atletas!N226="Wu-Hao E",329,IF(Atletas!N226="Outro Taijiquan E",330,IF(Atletas!N226="Yang F",331,IF(Atletas!N226="Chen F",332,IF(Atletas!N226="Sun F",333,IF(Atletas!N226="Wu F",334,IF(Atletas!N226="Wu-Hao F",335,IF(Atletas!N226="Outro Taijiquan F",336,"")))))))))))))))))))))))))))))))))))))</f>
        <v/>
      </c>
      <c r="BP230" s="52" t="str">
        <f>IF(Atletas!O226="","",IF(Atletas!W226&lt;&gt;"",10000,0)+IF(Atletas!B226="Feminino",1000,IF(Atletas!B226="Masculino",2000,""))+IF(OR(Atletas!O226="Yang 26 A",Atletas!O226="Yang 40 A"),401,IF(OR(Atletas!O226="Chen 25 A",Atletas!O226="Chen 36 A",Atletas!O226="Chen 56 A"),402,IF(Atletas!O226="Sun 73 A",403,IF(Atletas!O226="Wu 45 A",404,IF(Atletas!O226="Wu-Hao 46 A",405,IF(OR(Atletas!O226="Taijiquan 16 A",Atletas!O226="Taijiquan 24 A",Atletas!O226="Taijiquan 32 A",Atletas!O226="Taijiquan 42 A"),406,IF(OR(Atletas!O226="Yang 26 B",Atletas!O226="Yang 40 B"),407,IF(OR(Atletas!O226="Chen 25 B",Atletas!O226="Chen 36 B",Atletas!O226="Chen 56 B"),408,IF(Atletas!O226="Sun 73 B",409,IF(Atletas!O226="Wu 45 B",410,IF(Atletas!O226="Wu-Hao 46 B",411,IF(OR(Atletas!O226="Taijiquan 16 B",Atletas!O226="Taijiquan 24 B",Atletas!O226="Taijiquan 32 B",Atletas!O226="Taijiquan 42 B"),412,IF(OR(Atletas!O226="Yang 26 C",Atletas!O226="Yang 40 C"),413,IF(OR(Atletas!O226="Chen 25 C",Atletas!O226="Chen 36 C",Atletas!O226="Chen 56 C"),414,IF(Atletas!O226="Sun 73 C",415,IF(Atletas!O226="Wu 45 C",416,IF(Atletas!O226="Wu-Hao 46 C",417,IF(OR(Atletas!O226="Taijiquan 16 C",Atletas!O226="Taijiquan 24 C",Atletas!O226="Taijiquan 32 C",Atletas!O226="Taijiquan 42 C"),418,0)))))))))))))))))))</f>
        <v/>
      </c>
      <c r="BQ230" s="52" t="str">
        <f>IF(Atletas!O226="","",IF(Atletas!W226&lt;&gt;"",10000,0)+IF(Atletas!B226="Feminino",1000,IF(Atletas!B226="Masculino",2000,""))+IF(OR(Atletas!O226="Yang 26 D",Atletas!O226="Yang 40 D"),419,IF(OR(Atletas!O226="Chen 25 D",Atletas!O226="Chen 36 D",Atletas!O226="Chen 56 D"),420,IF(Atletas!O226="Sun 73 D",421,IF(Atletas!O226="Wu 45 D",422,IF(Atletas!O226="Wu-Hao 46 D",423,IF(OR(Atletas!O226="Taijiquan 16 D",Atletas!O226="Taijiquan 24 D",Atletas!O226="Taijiquan 32 D",Atletas!O226="Taijiquan 42 D"),424,IF(OR(Atletas!O226="Yang 26 E",Atletas!O226="Yang 40 E"),425,IF(OR(Atletas!O226="Chen 25 E",Atletas!O226="Chen 36 E",Atletas!O226="Chen 56 E"),426,IF(Atletas!O226="Sun 73 E",427,IF(Atletas!O226="Wu 45 E",428,IF(Atletas!O226="Wu-Hao 46 E",429,IF(OR(Atletas!O226="Taijiquan 16 E",Atletas!O226="Taijiquan 24 E",Atletas!O226="Taijiquan 32 E",Atletas!O226="Taijiquan 42 E"),430,IF(OR(Atletas!O226="Yang 26 F",Atletas!O226="Yang 40 F"),431,IF(OR(Atletas!O226="Chen 25 F",Atletas!O226="Chen 36 F",Atletas!O226="Chen 56 F"),432,IF(Atletas!O226="Sun 73 F",433,IF(Atletas!O226="Wu 45 F",434,IF(Atletas!O226="Wu-Hao 46 F",435,IF(OR(Atletas!O226="Taijiquan 16 F",Atletas!O226="Taijiquan 24 F",Atletas!O226="Taijiquan 32 F",Atletas!O226="Taijiquan 42 F"),436,0)))))))))))))))))))</f>
        <v/>
      </c>
      <c r="BR230" s="52" t="str">
        <f>IF(Atletas!P226="","",IF(Atletas!W226&lt;&gt;"",10000,0)+IF(Atletas!B226="Feminino",1000,IF(Atletas!B226="Masculino",2000,""))+IF(Atletas!P226="Xingyiquan A",501,IF(Atletas!P226="Baguazhang A",502,IF(Atletas!P226="Outro Estilo Interno A",503,IF(Atletas!P226="Xingyiquan B",504,IF(Atletas!P226="Baguazhang B",505,IF(Atletas!P226="Outro Estilo Interno B",506,IF(Atletas!P226="Xingyiquan C",507,IF(Atletas!P226="Baguazhang C",508,IF(Atletas!P226="Outro Estilo Interno C",509,IF(Atletas!P226="Xingyiquan D",510,IF(Atletas!P226="Baguazhang D",511,IF(Atletas!P226="Outro Estilo Interno D",512,IF(Atletas!P226="Xingyiquan E",513,IF(Atletas!P226="Baguazhang E",514,IF(Atletas!P226="Outro Estilo Interno E",515,IF(Atletas!P226="Xingyiquan F",516,IF(Atletas!P226="Baguazhang F",517,IF(Atletas!P226="Outro Estilo Interno F",518, "")))))))))))))))))))</f>
        <v/>
      </c>
      <c r="BS230" s="52" t="str">
        <f>IF(Atletas!Q226="","",IF(Atletas!W226&lt;&gt;"",10000,0)+IF(Atletas!B226="Feminino",1000,IF(Atletas!B226="Masculino",2000,""))+IF(Atletas!Q226="Dao A",601,IF(Atletas!Q226="Jian A",602,IF(Atletas!Q226="Bishou A",603,IF(Atletas!Q226="Shan A",604,IF(Atletas!Q226="Outra Arma Curta A",605,IF(Atletas!Q226="Dao B",606,IF(Atletas!Q226="Jian B",607,IF(Atletas!Q226="Bishou B",608,IF(Atletas!Q226="Shan B",609,IF(Atletas!Q226="Outra Arma Curta B",610,IF(Atletas!Q226="Dao C",611,IF(Atletas!Q226="Jian C",612,IF(Atletas!Q226="Bishou C",613,IF(Atletas!Q226="Shan C",614,IF(Atletas!Q226="Outra Arma Curta C",615,IF(Atletas!Q226="Dao D",616,IF(Atletas!Q226="Jian D",617,IF(Atletas!Q226="Bishou D",618,IF(Atletas!Q226="Shan D",619,IF(Atletas!Q226="Outra Arma Curta D",620,IF(Atletas!Q226="Dao E",621,IF(Atletas!Q226="Jian E",622,IF(Atletas!Q226="Bishou E",623,IF(Atletas!Q226="Shan E",624,IF(Atletas!Q226="Outra Arma Curta E",625,IF(Atletas!Q226="Dao F",626,IF(Atletas!Q226="Jian F",627,IF(Atletas!Q226="Bishou F",628,IF(Atletas!Q226="Shan F",629,IF(Atletas!Q226="Outra Arma Curta F",630, "")))))))))))))))))))))))))))))))</f>
        <v/>
      </c>
      <c r="BT230" s="52" t="str">
        <f>IF(Atletas!R226="","",IF(Atletas!W226&lt;&gt;"",10000,0)+IF(Atletas!B226="Feminino",1000,IF(Atletas!B226="Masculino",2000,""))+IF(Atletas!R226="Gun A",701,IF(Atletas!R226="Qiang A",702,IF(Atletas!R226="Pudao / Guandao A",703,IF(Atletas!R226="Outra Arma Longa A",704,IF(Atletas!R226="Gun B",705,IF(Atletas!R226="Qiang B",706,IF(Atletas!R226="Pudao / Guandao B",707,IF(Atletas!R226="Outra Arma Longa B",708,IF(Atletas!R226="Gun C",709,IF(Atletas!R226="Qiang C",710,IF(Atletas!R226="Pudao / Guandao C",711,IF(Atletas!R226="Outra Arma Longa C",712,IF(Atletas!R226="Gun D",713,IF(Atletas!R226="Qiang D",714,IF(Atletas!R226="Pudao / Guandao D",715,IF(Atletas!R226="Outra Arma Longa D",716,IF(Atletas!R226="Gun E",717,IF(Atletas!R226="Qiang E",718,IF(Atletas!R226="Pudao / Guandao E",719,IF(Atletas!R226="Outra Arma Longa E",720,IF(Atletas!R226="Gun F",721,IF(Atletas!R226="Qiang F",722,IF(Atletas!R226="Pudao / Guandao F",723,IF(Atletas!R226="Outra Arma Longa F",724,"")))))))))))))))))))))))))</f>
        <v/>
      </c>
      <c r="BU230" s="52" t="str">
        <f>IF(Atletas!S226="","",IF(Atletas!W226&lt;&gt;"",10000,0)+IF(Atletas!B226="Feminino",1000,IF(Atletas!B226="Masculino",2000,""))+IF(Atletas!S226="Arma Dupla A",801,IF(Atletas!S226="Arma Maleável A",802,IF(Atletas!S226="Arma Dupla B",803,IF(Atletas!S226="Arma Maleável B",804,IF(Atletas!S226="Arma Dupla C",805,IF(Atletas!S226="Arma Maleável C",806,IF(Atletas!S226="Arma Dupla D",807,IF(Atletas!S226="Arma Maleável D",808,IF(Atletas!S226="Arma Dupla E",809,IF(Atletas!S226="Arma Maleável E",810,IF(Atletas!S226="Arma Dupla F",811,IF(Atletas!S226="Arma Maleável F",812, "")))))))))))))</f>
        <v/>
      </c>
      <c r="BV230" s="52" t="str">
        <f>IF(Atletas!T226="","",IF(Atletas!W226&lt;&gt;"",10000,0)+IF(Atletas!B226="Feminino",1000,IF(Atletas!B226="Masculino",2000,""))+IF(Atletas!T226="Taijijian Yang A",901,IF(Atletas!T226="Taijijian Chen A",902,IF(Atletas!T226="Taijijian Sun A",903,IF(Atletas!T226="Taijijian Wu A",904,IF(Atletas!T226="Taijijian Wu-Hao A",905,IF(Atletas!T226="Taijijian 32 A",906,IF(Atletas!T226="Taijijian 42 A",907,IF(Atletas!T226="Taijijian Yang B",908,IF(Atletas!T226="Taijijian Chen B",909,IF(Atletas!T226="Taijijian Sun B",910,IF(Atletas!T226="Taijijian Wu B",911,IF(Atletas!T226="Taijijian Wu-Hao B",912,IF(Atletas!T226="Taijijian 32 B",913,IF(Atletas!T226="Taijijian 42 B",914,IF(Atletas!T226="Taijijian Yang C",915,IF(Atletas!T226="Taijijian Chen C",916,IF(Atletas!T226="Taijijian Sun C",917,IF(Atletas!T226="Taijijian Wu C",918,IF(Atletas!T226="Taijijian Wu-Hao C",919,IF(Atletas!T226="Taijijian 32 C",920,IF(Atletas!T226="Taijijian 42 C",921,IF(Atletas!T226="Taijijian Yang D",922,IF(Atletas!T226="Taijijian Chen D",923,IF(Atletas!T226="Taijijian Sun D",924,IF(Atletas!T226="Taijijian Wu D",925,IF(Atletas!T226="Taijijian Wu-Hao D",926,IF(Atletas!T226="Taijijian 32 D",927,IF(Atletas!T226="Taijijian 42 D",928,IF(Atletas!T226="Taijijian Yang E",929,IF(Atletas!T226="Taijijian Chen E",930,IF(Atletas!T226="Taijijian Sun E",931,IF(Atletas!T226="Taijijian Wu E",932,IF(Atletas!T226="Taijijian Wu-Hao E",933,IF(Atletas!T226="Taijijian 32 E",934,IF(Atletas!T226="Taijijian 42 E",935,IF(Atletas!T226="Taijijian Yang F",936,IF(Atletas!T226="Taijijian Chen F",937,IF(Atletas!T226="Taijijian Sun F",938,IF(Atletas!T226="Taijijian Wu F",939,IF(Atletas!T226="Taijijian Wu-Hao F",940,IF(Atletas!T226="Taijijian 32 F",941,IF(Atletas!T226="Taijijian 42 F",942,"")))))))))))))))))))))))))))))))))))))))))))</f>
        <v/>
      </c>
      <c r="BW230" s="52" t="str">
        <f>IF(Atletas!U226="","",IF(Atletas!W226&lt;&gt;"",10000,0)+IF(Atletas!B226="Feminino",1000,IF(Atletas!B226="Masculino",2000,""))+IF(Atletas!T226="Taijijian 42 F",942,IF(Atletas!U226="Taijidao A",943,IF(Atletas!U226="Taijishan A",944,IF(Atletas!U226="Taijiqiang A",945,IF(Atletas!U226="Taijidao B",946,IF(Atletas!U226="Taijishan B",947,IF(Atletas!U226="Taijiqiang B",948,IF(Atletas!U226="Taijidao C",949,IF(Atletas!U226="Taijishan C",950,IF(Atletas!U226="Taijiqiang C",951,IF(Atletas!U226="Taijidao D",952,IF(Atletas!U226="Taijishan D",953,IF(Atletas!U226="Taijiqiang D",954,IF(Atletas!U226="Taijidao E",955,IF(Atletas!U226="Taijishan E",956,IF(Atletas!U226="Taijiqiang E",957,IF(Atletas!U226="Taijidao F",958,IF(Atletas!U226="Taijishan F",959,IF(Atletas!U226="Taijiqiang F",960))))))))))))))))))))</f>
        <v/>
      </c>
      <c r="BX230" s="72" t="str">
        <f>IF(BY230&lt;&gt;"","Bishou B","")</f>
        <v/>
      </c>
      <c r="BY230" s="72" t="str">
        <f>IF(COUNTIF(BK:BW,1608)&gt;0,COUNTIF(BK:BW,1608),"")</f>
        <v/>
      </c>
      <c r="BZ230" s="72" t="str">
        <f>IF(CA230&lt;&gt;"","Bishou B","")</f>
        <v/>
      </c>
      <c r="CA230" s="72" t="str">
        <f>IF(COUNTIF(BK:BW,2608)&gt;0,COUNTIF(BK:BW,2608),"")</f>
        <v/>
      </c>
      <c r="CB230" s="72" t="str">
        <f>IF(CC230&lt;&gt;"","Wu-Hao 46 E","")</f>
        <v/>
      </c>
      <c r="CC230" s="64" t="str">
        <f>IF(COUNTIF(BK:BW,11462)&gt;0,COUNTIF(BK:BW,11462),"")</f>
        <v/>
      </c>
      <c r="CD230" s="64" t="str">
        <f>IF(CE230&lt;&gt;"","Wu-Hao 46 E","")</f>
        <v/>
      </c>
      <c r="CE230" s="64" t="str">
        <f>IF(COUNTIF(BK:BW,12462)&gt;0,COUNTIF(BK:BW,12462),"")</f>
        <v/>
      </c>
      <c r="CF230" s="52" t="str">
        <f xml:space="preserve"> IF(Atletas!V226="","",IF(Atletas!V226="Duilian de Mãos AB - Equipe 1",1,IF(Atletas!V226="Duilian de Mãos AB - Equipe 2",2,IF(Atletas!V226="Duilian de Armas AB - Equipe 1",3,IF(Atletas!V226="Duilian de Armas AB - Equipe 2",4,IF(Atletas!V226="Duilian de Tuishou - Equipe 1",5,IF(Atletas!V226="Duilian de Tuishou - Equipe 2",6,IF(Atletas!V226="Grupo Externo AB - Equipe 1",7,IF(Atletas!V226="Grupo Externo AB - Equipe 2",8,IF(Atletas!V226="Grupo Interno AB - Equipe 1",9,IF(Atletas!V226="Grupo Interno AB - Equipe 2",10,IF(Atletas!V226="Duilian de Mãos CD - Equipe 1",11,IF(Atletas!V226="Duilian de Mãos CD - Equipe 2",12,IF(Atletas!V226="Duilian de Armas CD - Equipe 1",13,IF(Atletas!V226="Duilian de Armas CD - Equipe 2",14,IF(Atletas!V226="Duilian de Tuishou - Equipe 1",15,IF(Atletas!V226="Duilian de Tuishou - Equipe 2",16,IF(Atletas!V226="Grupo Externo CDEF - Equipe 1",17,IF(Atletas!V226="Grupo Externo CDEF - Equipe 2",18,IF(Atletas!V226="Grupo Interno CDEF - Equipe 1",19,IF(Atletas!V226="Grupo Interno CDEF - Equipe 2",20,IF(Atletas!V226="Duilian de Mãos EF - Equipe 1",21,IF(Atletas!V226="Duilian de Mãos EF - Equipe 2",22,IF(Atletas!V226="Duilian de Armas EF - Equipe 1",23,IF(Atletas!V226="Duilian de Armas EF - Equipe 2",24,IF(Atletas!V226="Duilian de Tuishou - Equipe 1",25,IF(Atletas!V226="Duilian de Tuishou - Equipe 2",26,"")))))))))))))))))))))))))))</f>
        <v/>
      </c>
    </row>
    <row r="231" spans="2:84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 t="str">
        <f t="array" ref="V231">IFERROR(INDEX(BX$7:BX$336,SMALL(IF(BX$7:BX$336&lt;&gt;"",ROW(BX$7:BX$336)-ROW(BX$7)+1),ROWS(BX$7:BX204))),"")</f>
        <v/>
      </c>
      <c r="W231" s="4" t="str">
        <f t="array" ref="W231">IFERROR(INDEX(BY$7:BY$336,SMALL(IF(BY$7:BY$336&lt;&gt;"",ROW(BY$7:BY$336)-ROW(BY$7)+1),ROWS(BY$7:BY204))),"")</f>
        <v/>
      </c>
      <c r="X231" s="4" t="str">
        <f t="array" ref="X231">IFERROR(INDEX(BZ$7:BZ$336,SMALL(IF(BZ$7:BZ$336&lt;&gt;"",ROW(BZ$7:BZ$336)-ROW(BZ$7)+1),ROWS(BZ$7:BZ204))),"")</f>
        <v/>
      </c>
      <c r="Y231" s="4" t="str">
        <f t="array" ref="Y231">IFERROR(INDEX(CA$7:CA$336,SMALL(IF(CA$7:CA$336&lt;&gt;"",ROW(CA$7:CA$336)-ROW(CA$7)+1),ROWS(CA$7:CA204))),"")</f>
        <v/>
      </c>
      <c r="Z231" s="4" t="str">
        <f t="array" ref="Z231">IFERROR(INDEX(CB$7:CB$378,SMALL(IF(CB$7:CB$378&lt;&gt;"",ROW(CB$7:CB$378)-ROW(CB$7)+1),ROWS(CB$7:CB230))),"")</f>
        <v/>
      </c>
      <c r="AA231" s="4" t="str">
        <f t="array" ref="AA231">IFERROR(INDEX(CC$7:CC$378,SMALL(IF(CC$7:CC$378&lt;&gt;"",ROW(CC$7:CC$378)-ROW(CC$7)+1),ROWS(CC$7:CC230))),"")</f>
        <v/>
      </c>
      <c r="AB231" s="4" t="str">
        <f t="array" ref="AB231">IFERROR(INDEX(CD$7:CD$378,SMALL(IF(CD$7:CD$378&lt;&gt;"",ROW(CD$7:CD$378)-ROW(CD$7)+1),ROWS(CD$7:CD230))),"")</f>
        <v/>
      </c>
      <c r="AC231" s="4" t="str">
        <f t="array" ref="AC231">IFERROR(INDEX(CE$7:CE$378,SMALL(IF(CE$7:CE$378&lt;&gt;"",ROW(CE$7:CE$378)-ROW(CE$7)+1),ROWS(CE$7:CE230))),"")</f>
        <v/>
      </c>
      <c r="AD231" s="4"/>
      <c r="AE231" s="4"/>
      <c r="AF231" s="4"/>
      <c r="AG231" s="4"/>
      <c r="AH231" s="4"/>
      <c r="AI231" s="4"/>
      <c r="AJ231" s="46" t="str">
        <f>IF(Atletas!D227="","",IF(Atletas!B227="Feminino",100,IF(Atletas!B227="Masculino",200,""))+(IF(Atletas!D227="Infantil 39kg",1,IF(Atletas!D227="Infantil 42kg",2,IF(Atletas!D227="Infantil 45kg",3,IF(Atletas!D227="Infantil 48kg",4,IF(Atletas!D227="Infantil 52kg",5,IF(Atletas!D227="Infantil 56kg",6,IF(Atletas!D227="Infantil 60kg",7,IF(Atletas!D227="Juvenil 48kg",8,IF(Atletas!D227="Juvenil 52kg",9,IF(Atletas!D227="Juvenil 56kg",10,IF(Atletas!D227="Juvenil 60kg",11,IF(Atletas!D227="Juvenil 65kg",12,IF(Atletas!D227="Juvenil 70kg",13,IF(Atletas!D227="Juvenil 75kg",14,IF(Atletas!D227="Juvenil 80kg",15,IF(Atletas!D227="Adulto 48kg",16,IF(Atletas!D227="Adulto 52kg",17,IF(Atletas!D227="Adulto 56kg",18,IF(Atletas!D227="Adulto 60kg",19,IF(Atletas!D227="Adulto 65kg",20,IF(Atletas!D227="Adulto 70kg",21,IF(Atletas!D227="Adulto 75kg",22,IF(Atletas!D227="Adulto 80kg",23,IF(Atletas!D227="Adulto 85kg",24,IF(Atletas!D227="Adulto 90kg",25,IF(Atletas!D227="Adulto +90kg",26,""))))))))))))))))))))))))))))</f>
        <v/>
      </c>
      <c r="AO231" s="10" t="str">
        <f>IF(Atletas!E227="","",IF(Atletas!B227="Feminino",100,IF(Atletas!B227="Masculino",200,""))+(IF(Atletas!E227="Juvenil 44kg",1,IF(Atletas!E227="Juvenil 48kg",2,IF(Atletas!E227="Juvenil 52kg",3,IF(Atletas!E227="Juvenil 56kg",4,IF(Atletas!E227="Juvenil 60kg",5,IF(Atletas!E227="Juvenil 65kg",6,IF(Atletas!E227="Juvenil 70kg",7,IF(Atletas!E227="Juvenil 75kg",8,IF(Atletas!E227="Juvenil 82kg",9,IF(Atletas!E227="Juvenil 90kg",10,IF(Atletas!E227="Juvenil 100kg",11,IF(Atletas!E227="Adulto 48kg",12,IF(Atletas!E227="Adulto 52kg",13,IF(Atletas!E227="Adulto 56kg",14,IF(Atletas!E227="Adulto 60kg",15,IF(Atletas!E227="Adulto 65kg",16,IF(Atletas!E227="Adulto 70kg",17,IF(Atletas!E227="Adulto 75kg",18,IF(Atletas!E227="Adulto 82kg",19,IF(Atletas!E227="Adulto 90kg",20,IF(Atletas!E227="Adulto 100kg",21,IF(Atletas!E227="Adulto +100kg",22,""))))))))))))))))))))))))</f>
        <v/>
      </c>
      <c r="AT231" s="10" t="str">
        <f>IF(Atletas!F227="","",IF(Atletas!B227="Feminino",100,IF(Atletas!B227="Masculino",200,""))+(IF(Atletas!F227="Adulto 48kg",1,IF(Atletas!F227="Adulto 56kg",2,IF(Atletas!F227="Adulto 65kg",3,IF(Atletas!F227="Adulto 75kg",4,IF(Atletas!F227="Adulto +75kg",5,IF(Atletas!F227="Adulto 52kg",6,IF(Atletas!F227="Adulto 60kg",7,IF(Atletas!F227="Adulto 70kg",8,IF(Atletas!F227="Adulto 80kg",9,IF(Atletas!F227="Adulto 90kg",10,IF(Atletas!F227="Adulto +90kg",11,"")))))))))))))</f>
        <v/>
      </c>
      <c r="AY231" s="46" t="str">
        <f>IF(Atletas!G227="","",IF(Atletas!B227="Feminino",100,IF(Atletas!B227="Masculino",200,""))+(IF(Atletas!G227="Changquan Mirim",1,IF(Atletas!G227="Nanquan Mirim",2,IF(Atletas!G227="Taijiquan Mirim",3,IF(Atletas!G227="Changquan Grupo C",4,IF(Atletas!G227="Nanquan Grupo C",5,IF(Atletas!G227="Taijiquan Grupo C",6,IF(Atletas!G227="Changquan Grupo B",7,IF(Atletas!G227="Nanquan Grupo B",8,IF(Atletas!G227="Taijiquan Grupo B",9,IF(Atletas!G227="Changquan Grupo A",10,IF(Atletas!G227="Nanquan Grupo A",11,IF(Atletas!G227="Taijiquan Grupo A",12,IF(Atletas!G227="Changquan Opcional",13,IF(Atletas!G227="Nanquan Opcional",14,IF(Atletas!G227="Taijiquan Opcional",15,IF(Atletas!G227="Changquan Adulto",16,IF(Atletas!G227="Nanquan Adulto",17,IF(Atletas!G227="Taijiquan Adulto",18,""))))))))))))))))))))</f>
        <v/>
      </c>
      <c r="AZ231" s="46" t="str">
        <f>IF(Atletas!H227="","",IF(Atletas!B227="Feminino",100,IF(Atletas!B227="Masculino",200,""))+(IF(Atletas!H227="Daoshu Mirim",19,IF(Atletas!H227="Jianshu Mirim",20,IF(Atletas!H227="Nandao Mirim",21,IF(Atletas!H227="Taijijian Mirim",22,IF(Atletas!H227="Daoshu Grupo C",23,IF(Atletas!H227="Jianshu Grupo C",24,IF(Atletas!H227="Nandao Grupo C",25,IF(Atletas!H227="Taijijian Grupo C",26,IF(Atletas!H227="Daoshu Grupo B",27,IF(Atletas!H227="Jianshu Grupo B",28,IF(Atletas!H227="Nandao Grupo B",29,IF(Atletas!H227="Taijijian Grupo B",30,IF(Atletas!H227="Daoshu Grupo A",31,IF(Atletas!H227="Jianshu Grupo A",32,IF(Atletas!H227="Nandao Grupo A",33,IF(Atletas!H227="Taijijian Grupo A",34,IF(Atletas!H227="Daoshu Opcional",35,IF(Atletas!H227="Jianshu Opcional",36,IF(Atletas!H227="Nandao Opcional",37,IF(Atletas!H227="Taijijian Opcional",38,IF(Atletas!H227="Daoshu Adulto",39,IF(Atletas!H227="Jianshu Adulto",40,IF(Atletas!H227="Nandao Adulto",41,IF(Atletas!H227="Taijijian Adulto",42,""))))))))))))))))))))))))))</f>
        <v/>
      </c>
      <c r="BA231" s="46" t="str">
        <f>IF(Atletas!I227="","",IF(Atletas!B227="Feminino",100,IF(Atletas!B227="Masculino",200,""))+(IF(Atletas!I227="Gunshu Mirim",43,IF(Atletas!I227="Qiangshu Mirim",44,IF(Atletas!I227="Nangun Mirim",45,IF(Atletas!I227="Gunshu Grupo C",46,IF(Atletas!I227="Qiangshu Grupo C",47,IF(Atletas!I227="Nangun Grupo C",48,IF(Atletas!I227="Gunshu Grupo B",49,IF(Atletas!I227="Qiangshu Grupo B",50,IF(Atletas!I227="Nangun Grupo B",51,IF(Atletas!I227="Gunshu Grupo A",52,IF(Atletas!I227="Qiangshu Grupo A",53,IF(Atletas!I227="Nangun Grupo A",54,IF(Atletas!I227="Gunshu Opcional",55,IF(Atletas!I227="Qiangshu Opcional",56,IF(Atletas!I227="Nangun Opcional",57,IF(Atletas!I227="Gunshu Adulto",58,IF(Atletas!I227="Qiangshu Adulto",59,IF(Atletas!I227="Nangun Adulto",60,""))))))))))))))))))))</f>
        <v/>
      </c>
      <c r="BF231" s="52" t="str">
        <f>IF(Atletas!J227="","",IF(Atletas!B227="Feminino",100,IF(Atletas!B227="Masculino",200,""))+(IF(Atletas!J227="Equipe 1 Grupo B",1,IF(Atletas!J227="Equipe 2 Grupo B",2,IF(Atletas!J227="Equipe 1 Grupo A",3,IF(Atletas!J227="Equipe 2 Grupo A",4,IF(Atletas!J227="Equipe 1 Adulto",5,IF(Atletas!J227="Equipe 2 Adulto",6,""))))))))</f>
        <v/>
      </c>
      <c r="BK231" s="52" t="str">
        <f>IF(Atletas!K227="","",IF(Atletas!W227&lt;&gt;"",10000,0)+(IF(Atletas!B227="Feminino",1000,IF(Atletas!B227="Masculino",2000,""))+IF(Atletas!K227="Choylayfut A",1,IF(Atletas!K227="Hunggar A",2,IF(Atletas!K227="Wuzuquan A",3,IF(Atletas!K227="Wingchun A",4,IF(Atletas!K227="Outra Mão de Sul A",5,IF(Atletas!K227="Choylayfut B",6,IF(Atletas!K227="Hunggar B",7,IF(Atletas!K227="Wuzuquan B",8,IF(Atletas!K227="Wingchun B",9,IF(Atletas!K227="Outra Mão de Sul B",10,IF(Atletas!K227="Choylayfut C",11,IF(Atletas!K227="Hunggar C",12,IF(Atletas!K227="Wuzuquan C",13,IF(Atletas!K227="Wingchun C",14,IF(Atletas!K227="Outra Mão de Sul C",15,IF(Atletas!K227="Choylayfut D",16,IF(Atletas!K227="Hunggar D",17,IF(Atletas!K227="Wuzuquan D",18,IF(Atletas!K227="Wingchun D",19,IF(Atletas!K227="Outra Mão de Sul D",20,IF(Atletas!K227="Choylayfut E",21,IF(Atletas!K227="Hunggar E",22,IF(Atletas!K227="Wuzuquan E",23,IF(Atletas!K227="Wingchun E",24,IF(Atletas!K227="Outra Mão de Sul E",25,IF(Atletas!K227="Choylayfut F",26,IF(Atletas!K227="Hunggar F",27,IF(Atletas!K227="Wuzuquan F",28,IF(Atletas!K227="Wingchun F",29,IF(Atletas!K227="Outra Mão de Sul F",30,""))))))))))))))))))))))))))))))))</f>
        <v/>
      </c>
      <c r="BL231" s="52" t="str">
        <f>IF(Atletas!L227="","",IF(Atletas!W227&lt;&gt;"",10000,0)+(IF(Atletas!B227="Feminino",1000,IF(Atletas!B227="Masculino",2000,""))+(IF(Atletas!L227="Chaquan A",101,IF(Atletas!L227="Emeiquan A",102,IF(Atletas!L227="Fanziquan A",103,IF(Atletas!L227="Huaquan A",104,IF(Atletas!L227="Hongquan A",105,IF(Atletas!L227="Paochui A",106,IF(Atletas!L227="Piguaquan A",107,IF(Atletas!L227="Shaolinquan A",108,IF(Atletas!L227="Tanglangquan A",109,IF(Atletas!L227="Yinzhaophai A",110,IF(Atletas!L227="Tongbeiquan A",111,IF(Atletas!L227="Wudangquan A",112,IF(Atletas!L227="Outros Estilos A",113,IF(Atletas!L227="Chaquan B",114,IF(Atletas!L227="Emeiquan B",115,IF(Atletas!L227="Fanziquan B",116,IF(Atletas!L227="Huaquan B",117,IF(Atletas!L227="Hongquan B",118,IF(Atletas!L227="Paochui B",119,IF(Atletas!L227="Piguaquan B",120,IF(Atletas!L227="Shaolinquan B",121,IF(Atletas!L227="Tanglangquan B",122,IF(Atletas!L227="Yinzhaophai B",123,IF(Atletas!L227="Tongbeiquan B",124,IF(Atletas!L227="Wudangquan B",125,IF(Atletas!L227="Outros Estilos B",126,IF(Atletas!L227="Chaquan C",127,IF(Atletas!L227="Emeiquan C",128,IF(Atletas!L227="Fanziquan C",129,IF(Atletas!L227="Huaquan C",130,IF(Atletas!L227="Hongquan C",131,IF(Atletas!L227="Paochui C",132,IF(Atletas!L227="Piguaquan C",133,IF(Atletas!L227="Shaolinquan C",134,IF(Atletas!L227="Tanglangquan C",135,IF(Atletas!L227="Yinzhaophai C",136,IF(Atletas!L227="Tongbeiquan C",137,IF(Atletas!L227="Wudangquan C",138,IF(Atletas!L227="Outros Estilos C",139,0))))))))))))))))))))))))))))))))))))))))))</f>
        <v/>
      </c>
      <c r="BM231" s="52" t="str">
        <f>IF(Atletas!L227="","",IF(Atletas!W227&lt;&gt;"",10000,0)+(IF(Atletas!B227="Feminino",1000,IF(Atletas!B227="Masculino",2000,""))+(IF(Atletas!L227="Chaquan D",140,IF(Atletas!L227="Emeiquan D",141,IF(Atletas!L227="Fanziquan D",142,IF(Atletas!L227="Huaquan D",143,IF(Atletas!L227="Hongquan D",144,IF(Atletas!L227="Paochui D",145,IF(Atletas!L227="Piguaquan D",146,IF(Atletas!L227="Shaolinquan D",147,IF(Atletas!L227="Tanglangquan D",148,IF(Atletas!L227="Yinzhaophai D",149,IF(Atletas!L227="Tongbeiquan D",150,IF(Atletas!L227="Wudangquan D",151,IF(Atletas!L227="Outros Estilos D",152,IF(Atletas!L227="Chaquan E",153,IF(Atletas!L227="Emeiquan E",154,IF(Atletas!L227="Fanziquan E",155,IF(Atletas!L227="Huaquan E",156,IF(Atletas!L227="Hongquan E",157,IF(Atletas!L227="Paochui E",158,IF(Atletas!L227="Piguaquan E",159,IF(Atletas!L227="Shaolinquan E",160,IF(Atletas!L227="Tanglangquan E",161,IF(Atletas!L227="Yinzhaophai E",162,IF(Atletas!L227="Tongbeiquan E",163,IF(Atletas!L227="Wudangquan E",164,IF(Atletas!L227="Outros Estilos E",165,IF(Atletas!L227="Chaquan F",166,IF(Atletas!L227="Emeiquan F",167,IF(Atletas!L227="Fanziquan F",168,IF(Atletas!L227="Huaquan F",169,IF(Atletas!L227="Hongquan F",170,IF(Atletas!L227="Paochui F",171,IF(Atletas!L227="Piguaquan F",172,IF(Atletas!L227="Shaolinquan F",173,IF(Atletas!L227="Tanglangquan F",174,IF(Atletas!L227="Yinzhaophai F",175,IF(Atletas!L227="Tongbeiquan F",176,IF(Atletas!L227="Wudangquan F",177,IF(Atletas!L227="Outros Estilos F",178,0))))))))))))))))))))))))))))))))))))))))))</f>
        <v/>
      </c>
      <c r="BN231" s="52" t="str">
        <f>IF(Atletas!M227="","",IF(Atletas!W227&lt;&gt;"",10000,0)+(IF(Atletas!B227="Feminino",1000,IF(Atletas!B227="Masculino",2000,""))+(IF(Atletas!M227="Ditangquan A",201,IF(Atletas!M227="Houquan A",202,IF(Atletas!M227="Zuiquan A",203,IF(Atletas!M227="Ditangquan B",204,IF(Atletas!M227="Houquan B",205,IF(Atletas!M227="Zuiquan B",206,IF(Atletas!M227="Ditangquan C",207,IF(Atletas!M227="Houquan C",208,IF(Atletas!M227="Zuiquan C",209,IF(Atletas!M227="Ditangquan D",210,IF(Atletas!M227="Houquan D",211,IF(Atletas!M227="Zuiquan D",212,IF(Atletas!M227="Ditangquan E",213,IF(Atletas!M227="Houquan E",214,IF(Atletas!M227="Zuiquan E",215,IF(Atletas!M227="Ditangquan F",216,IF(Atletas!M227="Houquan F",217,IF(Atletas!M227="Zuiquan F",218,"")))))))))))))))))))))</f>
        <v/>
      </c>
      <c r="BO231" s="52" t="str">
        <f>IF(Atletas!N227="","",IF(Atletas!W227&lt;&gt;"",10000,0)+IF(Atletas!B227="Feminino",1000,IF(Atletas!B227="Masculino",2000,""))+IF(Atletas!N227="Yang A",301,IF(Atletas!N227="Chen A",30,IF(Atletas!N227="Sun A",303,IF(Atletas!N227="Wu A",304,IF(Atletas!N227="Wu-Hao A",305,IF(Atletas!N227="Outro Taijiquan A",306,IF(Atletas!N227="Yang B",307,IF(Atletas!N227="Chen B",308,IF(Atletas!N227="Sun B",309,IF(Atletas!N227="Wu B",310,IF(Atletas!N227="Wu-Hao B",311,IF(Atletas!N227="Outro Taijiquan B",312,IF(Atletas!N227="Yang C",313,IF(Atletas!N227="Chen C",314,IF(Atletas!N227="Sun C",315,IF(Atletas!N227="Wu C",316,IF(Atletas!N227="Wu-Hao C",317,IF(Atletas!N227="Outro Taijiquan C",318,IF(Atletas!N227="Yang D",319,IF(Atletas!N227="Chen D",320,IF(Atletas!N227="Sun D",321,IF(Atletas!N227="Wu D",322,IF(Atletas!N227="Wu-Hao D",323,IF(Atletas!N227="Outro Taijiquan D",324,IF(Atletas!N227="Yang E",325,IF(Atletas!N227="Chen E",326,IF(Atletas!N227="Sun E",327,IF(Atletas!N227="Wu E",328,IF(Atletas!N227="Wu-Hao E",329,IF(Atletas!N227="Outro Taijiquan E",330,IF(Atletas!N227="Yang F",331,IF(Atletas!N227="Chen F",332,IF(Atletas!N227="Sun F",333,IF(Atletas!N227="Wu F",334,IF(Atletas!N227="Wu-Hao F",335,IF(Atletas!N227="Outro Taijiquan F",336,"")))))))))))))))))))))))))))))))))))))</f>
        <v/>
      </c>
      <c r="BP231" s="52" t="str">
        <f>IF(Atletas!O227="","",IF(Atletas!W227&lt;&gt;"",10000,0)+IF(Atletas!B227="Feminino",1000,IF(Atletas!B227="Masculino",2000,""))+IF(OR(Atletas!O227="Yang 26 A",Atletas!O227="Yang 40 A"),401,IF(OR(Atletas!O227="Chen 25 A",Atletas!O227="Chen 36 A",Atletas!O227="Chen 56 A"),402,IF(Atletas!O227="Sun 73 A",403,IF(Atletas!O227="Wu 45 A",404,IF(Atletas!O227="Wu-Hao 46 A",405,IF(OR(Atletas!O227="Taijiquan 16 A",Atletas!O227="Taijiquan 24 A",Atletas!O227="Taijiquan 32 A",Atletas!O227="Taijiquan 42 A"),406,IF(OR(Atletas!O227="Yang 26 B",Atletas!O227="Yang 40 B"),407,IF(OR(Atletas!O227="Chen 25 B",Atletas!O227="Chen 36 B",Atletas!O227="Chen 56 B"),408,IF(Atletas!O227="Sun 73 B",409,IF(Atletas!O227="Wu 45 B",410,IF(Atletas!O227="Wu-Hao 46 B",411,IF(OR(Atletas!O227="Taijiquan 16 B",Atletas!O227="Taijiquan 24 B",Atletas!O227="Taijiquan 32 B",Atletas!O227="Taijiquan 42 B"),412,IF(OR(Atletas!O227="Yang 26 C",Atletas!O227="Yang 40 C"),413,IF(OR(Atletas!O227="Chen 25 C",Atletas!O227="Chen 36 C",Atletas!O227="Chen 56 C"),414,IF(Atletas!O227="Sun 73 C",415,IF(Atletas!O227="Wu 45 C",416,IF(Atletas!O227="Wu-Hao 46 C",417,IF(OR(Atletas!O227="Taijiquan 16 C",Atletas!O227="Taijiquan 24 C",Atletas!O227="Taijiquan 32 C",Atletas!O227="Taijiquan 42 C"),418,0)))))))))))))))))))</f>
        <v/>
      </c>
      <c r="BQ231" s="52" t="str">
        <f>IF(Atletas!O227="","",IF(Atletas!W227&lt;&gt;"",10000,0)+IF(Atletas!B227="Feminino",1000,IF(Atletas!B227="Masculino",2000,""))+IF(OR(Atletas!O227="Yang 26 D",Atletas!O227="Yang 40 D"),419,IF(OR(Atletas!O227="Chen 25 D",Atletas!O227="Chen 36 D",Atletas!O227="Chen 56 D"),420,IF(Atletas!O227="Sun 73 D",421,IF(Atletas!O227="Wu 45 D",422,IF(Atletas!O227="Wu-Hao 46 D",423,IF(OR(Atletas!O227="Taijiquan 16 D",Atletas!O227="Taijiquan 24 D",Atletas!O227="Taijiquan 32 D",Atletas!O227="Taijiquan 42 D"),424,IF(OR(Atletas!O227="Yang 26 E",Atletas!O227="Yang 40 E"),425,IF(OR(Atletas!O227="Chen 25 E",Atletas!O227="Chen 36 E",Atletas!O227="Chen 56 E"),426,IF(Atletas!O227="Sun 73 E",427,IF(Atletas!O227="Wu 45 E",428,IF(Atletas!O227="Wu-Hao 46 E",429,IF(OR(Atletas!O227="Taijiquan 16 E",Atletas!O227="Taijiquan 24 E",Atletas!O227="Taijiquan 32 E",Atletas!O227="Taijiquan 42 E"),430,IF(OR(Atletas!O227="Yang 26 F",Atletas!O227="Yang 40 F"),431,IF(OR(Atletas!O227="Chen 25 F",Atletas!O227="Chen 36 F",Atletas!O227="Chen 56 F"),432,IF(Atletas!O227="Sun 73 F",433,IF(Atletas!O227="Wu 45 F",434,IF(Atletas!O227="Wu-Hao 46 F",435,IF(OR(Atletas!O227="Taijiquan 16 F",Atletas!O227="Taijiquan 24 F",Atletas!O227="Taijiquan 32 F",Atletas!O227="Taijiquan 42 F"),436,0)))))))))))))))))))</f>
        <v/>
      </c>
      <c r="BR231" s="52" t="str">
        <f>IF(Atletas!P227="","",IF(Atletas!W227&lt;&gt;"",10000,0)+IF(Atletas!B227="Feminino",1000,IF(Atletas!B227="Masculino",2000,""))+IF(Atletas!P227="Xingyiquan A",501,IF(Atletas!P227="Baguazhang A",502,IF(Atletas!P227="Outro Estilo Interno A",503,IF(Atletas!P227="Xingyiquan B",504,IF(Atletas!P227="Baguazhang B",505,IF(Atletas!P227="Outro Estilo Interno B",506,IF(Atletas!P227="Xingyiquan C",507,IF(Atletas!P227="Baguazhang C",508,IF(Atletas!P227="Outro Estilo Interno C",509,IF(Atletas!P227="Xingyiquan D",510,IF(Atletas!P227="Baguazhang D",511,IF(Atletas!P227="Outro Estilo Interno D",512,IF(Atletas!P227="Xingyiquan E",513,IF(Atletas!P227="Baguazhang E",514,IF(Atletas!P227="Outro Estilo Interno E",515,IF(Atletas!P227="Xingyiquan F",516,IF(Atletas!P227="Baguazhang F",517,IF(Atletas!P227="Outro Estilo Interno F",518, "")))))))))))))))))))</f>
        <v/>
      </c>
      <c r="BS231" s="52" t="str">
        <f>IF(Atletas!Q227="","",IF(Atletas!W227&lt;&gt;"",10000,0)+IF(Atletas!B227="Feminino",1000,IF(Atletas!B227="Masculino",2000,""))+IF(Atletas!Q227="Dao A",601,IF(Atletas!Q227="Jian A",602,IF(Atletas!Q227="Bishou A",603,IF(Atletas!Q227="Shan A",604,IF(Atletas!Q227="Outra Arma Curta A",605,IF(Atletas!Q227="Dao B",606,IF(Atletas!Q227="Jian B",607,IF(Atletas!Q227="Bishou B",608,IF(Atletas!Q227="Shan B",609,IF(Atletas!Q227="Outra Arma Curta B",610,IF(Atletas!Q227="Dao C",611,IF(Atletas!Q227="Jian C",612,IF(Atletas!Q227="Bishou C",613,IF(Atletas!Q227="Shan C",614,IF(Atletas!Q227="Outra Arma Curta C",615,IF(Atletas!Q227="Dao D",616,IF(Atletas!Q227="Jian D",617,IF(Atletas!Q227="Bishou D",618,IF(Atletas!Q227="Shan D",619,IF(Atletas!Q227="Outra Arma Curta D",620,IF(Atletas!Q227="Dao E",621,IF(Atletas!Q227="Jian E",622,IF(Atletas!Q227="Bishou E",623,IF(Atletas!Q227="Shan E",624,IF(Atletas!Q227="Outra Arma Curta E",625,IF(Atletas!Q227="Dao F",626,IF(Atletas!Q227="Jian F",627,IF(Atletas!Q227="Bishou F",628,IF(Atletas!Q227="Shan F",629,IF(Atletas!Q227="Outra Arma Curta F",630, "")))))))))))))))))))))))))))))))</f>
        <v/>
      </c>
      <c r="BT231" s="52" t="str">
        <f>IF(Atletas!R227="","",IF(Atletas!W227&lt;&gt;"",10000,0)+IF(Atletas!B227="Feminino",1000,IF(Atletas!B227="Masculino",2000,""))+IF(Atletas!R227="Gun A",701,IF(Atletas!R227="Qiang A",702,IF(Atletas!R227="Pudao / Guandao A",703,IF(Atletas!R227="Outra Arma Longa A",704,IF(Atletas!R227="Gun B",705,IF(Atletas!R227="Qiang B",706,IF(Atletas!R227="Pudao / Guandao B",707,IF(Atletas!R227="Outra Arma Longa B",708,IF(Atletas!R227="Gun C",709,IF(Atletas!R227="Qiang C",710,IF(Atletas!R227="Pudao / Guandao C",711,IF(Atletas!R227="Outra Arma Longa C",712,IF(Atletas!R227="Gun D",713,IF(Atletas!R227="Qiang D",714,IF(Atletas!R227="Pudao / Guandao D",715,IF(Atletas!R227="Outra Arma Longa D",716,IF(Atletas!R227="Gun E",717,IF(Atletas!R227="Qiang E",718,IF(Atletas!R227="Pudao / Guandao E",719,IF(Atletas!R227="Outra Arma Longa E",720,IF(Atletas!R227="Gun F",721,IF(Atletas!R227="Qiang F",722,IF(Atletas!R227="Pudao / Guandao F",723,IF(Atletas!R227="Outra Arma Longa F",724,"")))))))))))))))))))))))))</f>
        <v/>
      </c>
      <c r="BU231" s="52" t="str">
        <f>IF(Atletas!S227="","",IF(Atletas!W227&lt;&gt;"",10000,0)+IF(Atletas!B227="Feminino",1000,IF(Atletas!B227="Masculino",2000,""))+IF(Atletas!S227="Arma Dupla A",801,IF(Atletas!S227="Arma Maleável A",802,IF(Atletas!S227="Arma Dupla B",803,IF(Atletas!S227="Arma Maleável B",804,IF(Atletas!S227="Arma Dupla C",805,IF(Atletas!S227="Arma Maleável C",806,IF(Atletas!S227="Arma Dupla D",807,IF(Atletas!S227="Arma Maleável D",808,IF(Atletas!S227="Arma Dupla E",809,IF(Atletas!S227="Arma Maleável E",810,IF(Atletas!S227="Arma Dupla F",811,IF(Atletas!S227="Arma Maleável F",812, "")))))))))))))</f>
        <v/>
      </c>
      <c r="BV231" s="52" t="str">
        <f>IF(Atletas!T227="","",IF(Atletas!W227&lt;&gt;"",10000,0)+IF(Atletas!B227="Feminino",1000,IF(Atletas!B227="Masculino",2000,""))+IF(Atletas!T227="Taijijian Yang A",901,IF(Atletas!T227="Taijijian Chen A",902,IF(Atletas!T227="Taijijian Sun A",903,IF(Atletas!T227="Taijijian Wu A",904,IF(Atletas!T227="Taijijian Wu-Hao A",905,IF(Atletas!T227="Taijijian 32 A",906,IF(Atletas!T227="Taijijian 42 A",907,IF(Atletas!T227="Taijijian Yang B",908,IF(Atletas!T227="Taijijian Chen B",909,IF(Atletas!T227="Taijijian Sun B",910,IF(Atletas!T227="Taijijian Wu B",911,IF(Atletas!T227="Taijijian Wu-Hao B",912,IF(Atletas!T227="Taijijian 32 B",913,IF(Atletas!T227="Taijijian 42 B",914,IF(Atletas!T227="Taijijian Yang C",915,IF(Atletas!T227="Taijijian Chen C",916,IF(Atletas!T227="Taijijian Sun C",917,IF(Atletas!T227="Taijijian Wu C",918,IF(Atletas!T227="Taijijian Wu-Hao C",919,IF(Atletas!T227="Taijijian 32 C",920,IF(Atletas!T227="Taijijian 42 C",921,IF(Atletas!T227="Taijijian Yang D",922,IF(Atletas!T227="Taijijian Chen D",923,IF(Atletas!T227="Taijijian Sun D",924,IF(Atletas!T227="Taijijian Wu D",925,IF(Atletas!T227="Taijijian Wu-Hao D",926,IF(Atletas!T227="Taijijian 32 D",927,IF(Atletas!T227="Taijijian 42 D",928,IF(Atletas!T227="Taijijian Yang E",929,IF(Atletas!T227="Taijijian Chen E",930,IF(Atletas!T227="Taijijian Sun E",931,IF(Atletas!T227="Taijijian Wu E",932,IF(Atletas!T227="Taijijian Wu-Hao E",933,IF(Atletas!T227="Taijijian 32 E",934,IF(Atletas!T227="Taijijian 42 E",935,IF(Atletas!T227="Taijijian Yang F",936,IF(Atletas!T227="Taijijian Chen F",937,IF(Atletas!T227="Taijijian Sun F",938,IF(Atletas!T227="Taijijian Wu F",939,IF(Atletas!T227="Taijijian Wu-Hao F",940,IF(Atletas!T227="Taijijian 32 F",941,IF(Atletas!T227="Taijijian 42 F",942,"")))))))))))))))))))))))))))))))))))))))))))</f>
        <v/>
      </c>
      <c r="BW231" s="52" t="str">
        <f>IF(Atletas!U227="","",IF(Atletas!W227&lt;&gt;"",10000,0)+IF(Atletas!B227="Feminino",1000,IF(Atletas!B227="Masculino",2000,""))+IF(Atletas!T227="Taijijian 42 F",942,IF(Atletas!U227="Taijidao A",943,IF(Atletas!U227="Taijishan A",944,IF(Atletas!U227="Taijiqiang A",945,IF(Atletas!U227="Taijidao B",946,IF(Atletas!U227="Taijishan B",947,IF(Atletas!U227="Taijiqiang B",948,IF(Atletas!U227="Taijidao C",949,IF(Atletas!U227="Taijishan C",950,IF(Atletas!U227="Taijiqiang C",951,IF(Atletas!U227="Taijidao D",952,IF(Atletas!U227="Taijishan D",953,IF(Atletas!U227="Taijiqiang D",954,IF(Atletas!U227="Taijidao E",955,IF(Atletas!U227="Taijishan E",956,IF(Atletas!U227="Taijiqiang E",957,IF(Atletas!U227="Taijidao F",958,IF(Atletas!U227="Taijishan F",959,IF(Atletas!U227="Taijiqiang F",960))))))))))))))))))))</f>
        <v/>
      </c>
      <c r="BX231" s="72" t="str">
        <f>IF(BY231&lt;&gt;"","Shan B","")</f>
        <v/>
      </c>
      <c r="BY231" s="72" t="str">
        <f>IF(COUNTIF(BK:BW,1609)&gt;0,COUNTIF(BK:BW,1609),"")</f>
        <v/>
      </c>
      <c r="BZ231" s="72" t="str">
        <f>IF(CA231&lt;&gt;"","Shan B","")</f>
        <v/>
      </c>
      <c r="CA231" s="72" t="str">
        <f>IF(COUNTIF(BK:BW,2609)&gt;0,COUNTIF(BK:BW,2609),"")</f>
        <v/>
      </c>
      <c r="CB231" s="72" t="str">
        <f>IF(CC231&lt;&gt;"","Wu-Hao Novo E","")</f>
        <v/>
      </c>
      <c r="CC231" s="64" t="str">
        <f>IF(COUNTIF(BK:BW,11463)&gt;0,COUNTIF(BK:BW,11463),"")</f>
        <v/>
      </c>
      <c r="CD231" s="64" t="str">
        <f>IF(CE231&lt;&gt;"","Wu-Hao Novo E","")</f>
        <v/>
      </c>
      <c r="CE231" s="64" t="str">
        <f>IF(COUNTIF(BK:BW,12463)&gt;0,COUNTIF(BK:BW,12463),"")</f>
        <v/>
      </c>
      <c r="CF231" s="52" t="str">
        <f xml:space="preserve"> IF(Atletas!V227="","",IF(Atletas!V227="Duilian de Mãos AB - Equipe 1",1,IF(Atletas!V227="Duilian de Mãos AB - Equipe 2",2,IF(Atletas!V227="Duilian de Armas AB - Equipe 1",3,IF(Atletas!V227="Duilian de Armas AB - Equipe 2",4,IF(Atletas!V227="Duilian de Tuishou - Equipe 1",5,IF(Atletas!V227="Duilian de Tuishou - Equipe 2",6,IF(Atletas!V227="Grupo Externo AB - Equipe 1",7,IF(Atletas!V227="Grupo Externo AB - Equipe 2",8,IF(Atletas!V227="Grupo Interno AB - Equipe 1",9,IF(Atletas!V227="Grupo Interno AB - Equipe 2",10,IF(Atletas!V227="Duilian de Mãos CD - Equipe 1",11,IF(Atletas!V227="Duilian de Mãos CD - Equipe 2",12,IF(Atletas!V227="Duilian de Armas CD - Equipe 1",13,IF(Atletas!V227="Duilian de Armas CD - Equipe 2",14,IF(Atletas!V227="Duilian de Tuishou - Equipe 1",15,IF(Atletas!V227="Duilian de Tuishou - Equipe 2",16,IF(Atletas!V227="Grupo Externo CDEF - Equipe 1",17,IF(Atletas!V227="Grupo Externo CDEF - Equipe 2",18,IF(Atletas!V227="Grupo Interno CDEF - Equipe 1",19,IF(Atletas!V227="Grupo Interno CDEF - Equipe 2",20,IF(Atletas!V227="Duilian de Mãos EF - Equipe 1",21,IF(Atletas!V227="Duilian de Mãos EF - Equipe 2",22,IF(Atletas!V227="Duilian de Armas EF - Equipe 1",23,IF(Atletas!V227="Duilian de Armas EF - Equipe 2",24,IF(Atletas!V227="Duilian de Tuishou - Equipe 1",25,IF(Atletas!V227="Duilian de Tuishou - Equipe 2",26,"")))))))))))))))))))))))))))</f>
        <v/>
      </c>
    </row>
    <row r="232" spans="2:84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 t="str">
        <f t="array" ref="V232">IFERROR(INDEX(BX$7:BX$336,SMALL(IF(BX$7:BX$336&lt;&gt;"",ROW(BX$7:BX$336)-ROW(BX$7)+1),ROWS(BX$7:BX204))),"")</f>
        <v/>
      </c>
      <c r="W232" s="4" t="str">
        <f t="array" ref="W232">IFERROR(INDEX(BY$7:BY$336,SMALL(IF(BY$7:BY$336&lt;&gt;"",ROW(BY$7:BY$336)-ROW(BY$7)+1),ROWS(BY$7:BY204))),"")</f>
        <v/>
      </c>
      <c r="X232" s="4" t="str">
        <f t="array" ref="X232">IFERROR(INDEX(BZ$7:BZ$336,SMALL(IF(BZ$7:BZ$336&lt;&gt;"",ROW(BZ$7:BZ$336)-ROW(BZ$7)+1),ROWS(BZ$7:BZ204))),"")</f>
        <v/>
      </c>
      <c r="Y232" s="4" t="str">
        <f t="array" ref="Y232">IFERROR(INDEX(CA$7:CA$336,SMALL(IF(CA$7:CA$336&lt;&gt;"",ROW(CA$7:CA$336)-ROW(CA$7)+1),ROWS(CA$7:CA204))),"")</f>
        <v/>
      </c>
      <c r="Z232" s="4" t="str">
        <f t="array" ref="Z232">IFERROR(INDEX(CB$7:CB$378,SMALL(IF(CB$7:CB$378&lt;&gt;"",ROW(CB$7:CB$378)-ROW(CB$7)+1),ROWS(CB$7:CB231))),"")</f>
        <v/>
      </c>
      <c r="AA232" s="4" t="str">
        <f t="array" ref="AA232">IFERROR(INDEX(CC$7:CC$378,SMALL(IF(CC$7:CC$378&lt;&gt;"",ROW(CC$7:CC$378)-ROW(CC$7)+1),ROWS(CC$7:CC231))),"")</f>
        <v/>
      </c>
      <c r="AB232" s="4" t="str">
        <f t="array" ref="AB232">IFERROR(INDEX(CD$7:CD$378,SMALL(IF(CD$7:CD$378&lt;&gt;"",ROW(CD$7:CD$378)-ROW(CD$7)+1),ROWS(CD$7:CD231))),"")</f>
        <v/>
      </c>
      <c r="AC232" s="4" t="str">
        <f t="array" ref="AC232">IFERROR(INDEX(CE$7:CE$378,SMALL(IF(CE$7:CE$378&lt;&gt;"",ROW(CE$7:CE$378)-ROW(CE$7)+1),ROWS(CE$7:CE231))),"")</f>
        <v/>
      </c>
      <c r="AD232" s="4"/>
      <c r="AE232" s="4"/>
      <c r="AF232" s="4"/>
      <c r="AG232" s="4"/>
      <c r="AH232" s="4"/>
      <c r="AI232" s="4"/>
      <c r="AJ232" s="46" t="str">
        <f>IF(Atletas!D228="","",IF(Atletas!B228="Feminino",100,IF(Atletas!B228="Masculino",200,""))+(IF(Atletas!D228="Infantil 39kg",1,IF(Atletas!D228="Infantil 42kg",2,IF(Atletas!D228="Infantil 45kg",3,IF(Atletas!D228="Infantil 48kg",4,IF(Atletas!D228="Infantil 52kg",5,IF(Atletas!D228="Infantil 56kg",6,IF(Atletas!D228="Infantil 60kg",7,IF(Atletas!D228="Juvenil 48kg",8,IF(Atletas!D228="Juvenil 52kg",9,IF(Atletas!D228="Juvenil 56kg",10,IF(Atletas!D228="Juvenil 60kg",11,IF(Atletas!D228="Juvenil 65kg",12,IF(Atletas!D228="Juvenil 70kg",13,IF(Atletas!D228="Juvenil 75kg",14,IF(Atletas!D228="Juvenil 80kg",15,IF(Atletas!D228="Adulto 48kg",16,IF(Atletas!D228="Adulto 52kg",17,IF(Atletas!D228="Adulto 56kg",18,IF(Atletas!D228="Adulto 60kg",19,IF(Atletas!D228="Adulto 65kg",20,IF(Atletas!D228="Adulto 70kg",21,IF(Atletas!D228="Adulto 75kg",22,IF(Atletas!D228="Adulto 80kg",23,IF(Atletas!D228="Adulto 85kg",24,IF(Atletas!D228="Adulto 90kg",25,IF(Atletas!D228="Adulto +90kg",26,""))))))))))))))))))))))))))))</f>
        <v/>
      </c>
      <c r="AO232" s="10" t="str">
        <f>IF(Atletas!E228="","",IF(Atletas!B228="Feminino",100,IF(Atletas!B228="Masculino",200,""))+(IF(Atletas!E228="Juvenil 44kg",1,IF(Atletas!E228="Juvenil 48kg",2,IF(Atletas!E228="Juvenil 52kg",3,IF(Atletas!E228="Juvenil 56kg",4,IF(Atletas!E228="Juvenil 60kg",5,IF(Atletas!E228="Juvenil 65kg",6,IF(Atletas!E228="Juvenil 70kg",7,IF(Atletas!E228="Juvenil 75kg",8,IF(Atletas!E228="Juvenil 82kg",9,IF(Atletas!E228="Juvenil 90kg",10,IF(Atletas!E228="Juvenil 100kg",11,IF(Atletas!E228="Adulto 48kg",12,IF(Atletas!E228="Adulto 52kg",13,IF(Atletas!E228="Adulto 56kg",14,IF(Atletas!E228="Adulto 60kg",15,IF(Atletas!E228="Adulto 65kg",16,IF(Atletas!E228="Adulto 70kg",17,IF(Atletas!E228="Adulto 75kg",18,IF(Atletas!E228="Adulto 82kg",19,IF(Atletas!E228="Adulto 90kg",20,IF(Atletas!E228="Adulto 100kg",21,IF(Atletas!E228="Adulto +100kg",22,""))))))))))))))))))))))))</f>
        <v/>
      </c>
      <c r="AT232" s="10" t="str">
        <f>IF(Atletas!F228="","",IF(Atletas!B228="Feminino",100,IF(Atletas!B228="Masculino",200,""))+(IF(Atletas!F228="Adulto 48kg",1,IF(Atletas!F228="Adulto 56kg",2,IF(Atletas!F228="Adulto 65kg",3,IF(Atletas!F228="Adulto 75kg",4,IF(Atletas!F228="Adulto +75kg",5,IF(Atletas!F228="Adulto 52kg",6,IF(Atletas!F228="Adulto 60kg",7,IF(Atletas!F228="Adulto 70kg",8,IF(Atletas!F228="Adulto 80kg",9,IF(Atletas!F228="Adulto 90kg",10,IF(Atletas!F228="Adulto +90kg",11,"")))))))))))))</f>
        <v/>
      </c>
      <c r="AY232" s="46" t="str">
        <f>IF(Atletas!G228="","",IF(Atletas!B228="Feminino",100,IF(Atletas!B228="Masculino",200,""))+(IF(Atletas!G228="Changquan Mirim",1,IF(Atletas!G228="Nanquan Mirim",2,IF(Atletas!G228="Taijiquan Mirim",3,IF(Atletas!G228="Changquan Grupo C",4,IF(Atletas!G228="Nanquan Grupo C",5,IF(Atletas!G228="Taijiquan Grupo C",6,IF(Atletas!G228="Changquan Grupo B",7,IF(Atletas!G228="Nanquan Grupo B",8,IF(Atletas!G228="Taijiquan Grupo B",9,IF(Atletas!G228="Changquan Grupo A",10,IF(Atletas!G228="Nanquan Grupo A",11,IF(Atletas!G228="Taijiquan Grupo A",12,IF(Atletas!G228="Changquan Opcional",13,IF(Atletas!G228="Nanquan Opcional",14,IF(Atletas!G228="Taijiquan Opcional",15,IF(Atletas!G228="Changquan Adulto",16,IF(Atletas!G228="Nanquan Adulto",17,IF(Atletas!G228="Taijiquan Adulto",18,""))))))))))))))))))))</f>
        <v/>
      </c>
      <c r="AZ232" s="46" t="str">
        <f>IF(Atletas!H228="","",IF(Atletas!B228="Feminino",100,IF(Atletas!B228="Masculino",200,""))+(IF(Atletas!H228="Daoshu Mirim",19,IF(Atletas!H228="Jianshu Mirim",20,IF(Atletas!H228="Nandao Mirim",21,IF(Atletas!H228="Taijijian Mirim",22,IF(Atletas!H228="Daoshu Grupo C",23,IF(Atletas!H228="Jianshu Grupo C",24,IF(Atletas!H228="Nandao Grupo C",25,IF(Atletas!H228="Taijijian Grupo C",26,IF(Atletas!H228="Daoshu Grupo B",27,IF(Atletas!H228="Jianshu Grupo B",28,IF(Atletas!H228="Nandao Grupo B",29,IF(Atletas!H228="Taijijian Grupo B",30,IF(Atletas!H228="Daoshu Grupo A",31,IF(Atletas!H228="Jianshu Grupo A",32,IF(Atletas!H228="Nandao Grupo A",33,IF(Atletas!H228="Taijijian Grupo A",34,IF(Atletas!H228="Daoshu Opcional",35,IF(Atletas!H228="Jianshu Opcional",36,IF(Atletas!H228="Nandao Opcional",37,IF(Atletas!H228="Taijijian Opcional",38,IF(Atletas!H228="Daoshu Adulto",39,IF(Atletas!H228="Jianshu Adulto",40,IF(Atletas!H228="Nandao Adulto",41,IF(Atletas!H228="Taijijian Adulto",42,""))))))))))))))))))))))))))</f>
        <v/>
      </c>
      <c r="BA232" s="46" t="str">
        <f>IF(Atletas!I228="","",IF(Atletas!B228="Feminino",100,IF(Atletas!B228="Masculino",200,""))+(IF(Atletas!I228="Gunshu Mirim",43,IF(Atletas!I228="Qiangshu Mirim",44,IF(Atletas!I228="Nangun Mirim",45,IF(Atletas!I228="Gunshu Grupo C",46,IF(Atletas!I228="Qiangshu Grupo C",47,IF(Atletas!I228="Nangun Grupo C",48,IF(Atletas!I228="Gunshu Grupo B",49,IF(Atletas!I228="Qiangshu Grupo B",50,IF(Atletas!I228="Nangun Grupo B",51,IF(Atletas!I228="Gunshu Grupo A",52,IF(Atletas!I228="Qiangshu Grupo A",53,IF(Atletas!I228="Nangun Grupo A",54,IF(Atletas!I228="Gunshu Opcional",55,IF(Atletas!I228="Qiangshu Opcional",56,IF(Atletas!I228="Nangun Opcional",57,IF(Atletas!I228="Gunshu Adulto",58,IF(Atletas!I228="Qiangshu Adulto",59,IF(Atletas!I228="Nangun Adulto",60,""))))))))))))))))))))</f>
        <v/>
      </c>
      <c r="BF232" s="52" t="str">
        <f>IF(Atletas!J228="","",IF(Atletas!B228="Feminino",100,IF(Atletas!B228="Masculino",200,""))+(IF(Atletas!J228="Equipe 1 Grupo B",1,IF(Atletas!J228="Equipe 2 Grupo B",2,IF(Atletas!J228="Equipe 1 Grupo A",3,IF(Atletas!J228="Equipe 2 Grupo A",4,IF(Atletas!J228="Equipe 1 Adulto",5,IF(Atletas!J228="Equipe 2 Adulto",6,""))))))))</f>
        <v/>
      </c>
      <c r="BK232" s="52" t="str">
        <f>IF(Atletas!K228="","",IF(Atletas!W228&lt;&gt;"",10000,0)+(IF(Atletas!B228="Feminino",1000,IF(Atletas!B228="Masculino",2000,""))+IF(Atletas!K228="Choylayfut A",1,IF(Atletas!K228="Hunggar A",2,IF(Atletas!K228="Wuzuquan A",3,IF(Atletas!K228="Wingchun A",4,IF(Atletas!K228="Outra Mão de Sul A",5,IF(Atletas!K228="Choylayfut B",6,IF(Atletas!K228="Hunggar B",7,IF(Atletas!K228="Wuzuquan B",8,IF(Atletas!K228="Wingchun B",9,IF(Atletas!K228="Outra Mão de Sul B",10,IF(Atletas!K228="Choylayfut C",11,IF(Atletas!K228="Hunggar C",12,IF(Atletas!K228="Wuzuquan C",13,IF(Atletas!K228="Wingchun C",14,IF(Atletas!K228="Outra Mão de Sul C",15,IF(Atletas!K228="Choylayfut D",16,IF(Atletas!K228="Hunggar D",17,IF(Atletas!K228="Wuzuquan D",18,IF(Atletas!K228="Wingchun D",19,IF(Atletas!K228="Outra Mão de Sul D",20,IF(Atletas!K228="Choylayfut E",21,IF(Atletas!K228="Hunggar E",22,IF(Atletas!K228="Wuzuquan E",23,IF(Atletas!K228="Wingchun E",24,IF(Atletas!K228="Outra Mão de Sul E",25,IF(Atletas!K228="Choylayfut F",26,IF(Atletas!K228="Hunggar F",27,IF(Atletas!K228="Wuzuquan F",28,IF(Atletas!K228="Wingchun F",29,IF(Atletas!K228="Outra Mão de Sul F",30,""))))))))))))))))))))))))))))))))</f>
        <v/>
      </c>
      <c r="BL232" s="52" t="str">
        <f>IF(Atletas!L228="","",IF(Atletas!W228&lt;&gt;"",10000,0)+(IF(Atletas!B228="Feminino",1000,IF(Atletas!B228="Masculino",2000,""))+(IF(Atletas!L228="Chaquan A",101,IF(Atletas!L228="Emeiquan A",102,IF(Atletas!L228="Fanziquan A",103,IF(Atletas!L228="Huaquan A",104,IF(Atletas!L228="Hongquan A",105,IF(Atletas!L228="Paochui A",106,IF(Atletas!L228="Piguaquan A",107,IF(Atletas!L228="Shaolinquan A",108,IF(Atletas!L228="Tanglangquan A",109,IF(Atletas!L228="Yinzhaophai A",110,IF(Atletas!L228="Tongbeiquan A",111,IF(Atletas!L228="Wudangquan A",112,IF(Atletas!L228="Outros Estilos A",113,IF(Atletas!L228="Chaquan B",114,IF(Atletas!L228="Emeiquan B",115,IF(Atletas!L228="Fanziquan B",116,IF(Atletas!L228="Huaquan B",117,IF(Atletas!L228="Hongquan B",118,IF(Atletas!L228="Paochui B",119,IF(Atletas!L228="Piguaquan B",120,IF(Atletas!L228="Shaolinquan B",121,IF(Atletas!L228="Tanglangquan B",122,IF(Atletas!L228="Yinzhaophai B",123,IF(Atletas!L228="Tongbeiquan B",124,IF(Atletas!L228="Wudangquan B",125,IF(Atletas!L228="Outros Estilos B",126,IF(Atletas!L228="Chaquan C",127,IF(Atletas!L228="Emeiquan C",128,IF(Atletas!L228="Fanziquan C",129,IF(Atletas!L228="Huaquan C",130,IF(Atletas!L228="Hongquan C",131,IF(Atletas!L228="Paochui C",132,IF(Atletas!L228="Piguaquan C",133,IF(Atletas!L228="Shaolinquan C",134,IF(Atletas!L228="Tanglangquan C",135,IF(Atletas!L228="Yinzhaophai C",136,IF(Atletas!L228="Tongbeiquan C",137,IF(Atletas!L228="Wudangquan C",138,IF(Atletas!L228="Outros Estilos C",139,0))))))))))))))))))))))))))))))))))))))))))</f>
        <v/>
      </c>
      <c r="BM232" s="52" t="str">
        <f>IF(Atletas!L228="","",IF(Atletas!W228&lt;&gt;"",10000,0)+(IF(Atletas!B228="Feminino",1000,IF(Atletas!B228="Masculino",2000,""))+(IF(Atletas!L228="Chaquan D",140,IF(Atletas!L228="Emeiquan D",141,IF(Atletas!L228="Fanziquan D",142,IF(Atletas!L228="Huaquan D",143,IF(Atletas!L228="Hongquan D",144,IF(Atletas!L228="Paochui D",145,IF(Atletas!L228="Piguaquan D",146,IF(Atletas!L228="Shaolinquan D",147,IF(Atletas!L228="Tanglangquan D",148,IF(Atletas!L228="Yinzhaophai D",149,IF(Atletas!L228="Tongbeiquan D",150,IF(Atletas!L228="Wudangquan D",151,IF(Atletas!L228="Outros Estilos D",152,IF(Atletas!L228="Chaquan E",153,IF(Atletas!L228="Emeiquan E",154,IF(Atletas!L228="Fanziquan E",155,IF(Atletas!L228="Huaquan E",156,IF(Atletas!L228="Hongquan E",157,IF(Atletas!L228="Paochui E",158,IF(Atletas!L228="Piguaquan E",159,IF(Atletas!L228="Shaolinquan E",160,IF(Atletas!L228="Tanglangquan E",161,IF(Atletas!L228="Yinzhaophai E",162,IF(Atletas!L228="Tongbeiquan E",163,IF(Atletas!L228="Wudangquan E",164,IF(Atletas!L228="Outros Estilos E",165,IF(Atletas!L228="Chaquan F",166,IF(Atletas!L228="Emeiquan F",167,IF(Atletas!L228="Fanziquan F",168,IF(Atletas!L228="Huaquan F",169,IF(Atletas!L228="Hongquan F",170,IF(Atletas!L228="Paochui F",171,IF(Atletas!L228="Piguaquan F",172,IF(Atletas!L228="Shaolinquan F",173,IF(Atletas!L228="Tanglangquan F",174,IF(Atletas!L228="Yinzhaophai F",175,IF(Atletas!L228="Tongbeiquan F",176,IF(Atletas!L228="Wudangquan F",177,IF(Atletas!L228="Outros Estilos F",178,0))))))))))))))))))))))))))))))))))))))))))</f>
        <v/>
      </c>
      <c r="BN232" s="52" t="str">
        <f>IF(Atletas!M228="","",IF(Atletas!W228&lt;&gt;"",10000,0)+(IF(Atletas!B228="Feminino",1000,IF(Atletas!B228="Masculino",2000,""))+(IF(Atletas!M228="Ditangquan A",201,IF(Atletas!M228="Houquan A",202,IF(Atletas!M228="Zuiquan A",203,IF(Atletas!M228="Ditangquan B",204,IF(Atletas!M228="Houquan B",205,IF(Atletas!M228="Zuiquan B",206,IF(Atletas!M228="Ditangquan C",207,IF(Atletas!M228="Houquan C",208,IF(Atletas!M228="Zuiquan C",209,IF(Atletas!M228="Ditangquan D",210,IF(Atletas!M228="Houquan D",211,IF(Atletas!M228="Zuiquan D",212,IF(Atletas!M228="Ditangquan E",213,IF(Atletas!M228="Houquan E",214,IF(Atletas!M228="Zuiquan E",215,IF(Atletas!M228="Ditangquan F",216,IF(Atletas!M228="Houquan F",217,IF(Atletas!M228="Zuiquan F",218,"")))))))))))))))))))))</f>
        <v/>
      </c>
      <c r="BO232" s="52" t="str">
        <f>IF(Atletas!N228="","",IF(Atletas!W228&lt;&gt;"",10000,0)+IF(Atletas!B228="Feminino",1000,IF(Atletas!B228="Masculino",2000,""))+IF(Atletas!N228="Yang A",301,IF(Atletas!N228="Chen A",30,IF(Atletas!N228="Sun A",303,IF(Atletas!N228="Wu A",304,IF(Atletas!N228="Wu-Hao A",305,IF(Atletas!N228="Outro Taijiquan A",306,IF(Atletas!N228="Yang B",307,IF(Atletas!N228="Chen B",308,IF(Atletas!N228="Sun B",309,IF(Atletas!N228="Wu B",310,IF(Atletas!N228="Wu-Hao B",311,IF(Atletas!N228="Outro Taijiquan B",312,IF(Atletas!N228="Yang C",313,IF(Atletas!N228="Chen C",314,IF(Atletas!N228="Sun C",315,IF(Atletas!N228="Wu C",316,IF(Atletas!N228="Wu-Hao C",317,IF(Atletas!N228="Outro Taijiquan C",318,IF(Atletas!N228="Yang D",319,IF(Atletas!N228="Chen D",320,IF(Atletas!N228="Sun D",321,IF(Atletas!N228="Wu D",322,IF(Atletas!N228="Wu-Hao D",323,IF(Atletas!N228="Outro Taijiquan D",324,IF(Atletas!N228="Yang E",325,IF(Atletas!N228="Chen E",326,IF(Atletas!N228="Sun E",327,IF(Atletas!N228="Wu E",328,IF(Atletas!N228="Wu-Hao E",329,IF(Atletas!N228="Outro Taijiquan E",330,IF(Atletas!N228="Yang F",331,IF(Atletas!N228="Chen F",332,IF(Atletas!N228="Sun F",333,IF(Atletas!N228="Wu F",334,IF(Atletas!N228="Wu-Hao F",335,IF(Atletas!N228="Outro Taijiquan F",336,"")))))))))))))))))))))))))))))))))))))</f>
        <v/>
      </c>
      <c r="BP232" s="52" t="str">
        <f>IF(Atletas!O228="","",IF(Atletas!W228&lt;&gt;"",10000,0)+IF(Atletas!B228="Feminino",1000,IF(Atletas!B228="Masculino",2000,""))+IF(OR(Atletas!O228="Yang 26 A",Atletas!O228="Yang 40 A"),401,IF(OR(Atletas!O228="Chen 25 A",Atletas!O228="Chen 36 A",Atletas!O228="Chen 56 A"),402,IF(Atletas!O228="Sun 73 A",403,IF(Atletas!O228="Wu 45 A",404,IF(Atletas!O228="Wu-Hao 46 A",405,IF(OR(Atletas!O228="Taijiquan 16 A",Atletas!O228="Taijiquan 24 A",Atletas!O228="Taijiquan 32 A",Atletas!O228="Taijiquan 42 A"),406,IF(OR(Atletas!O228="Yang 26 B",Atletas!O228="Yang 40 B"),407,IF(OR(Atletas!O228="Chen 25 B",Atletas!O228="Chen 36 B",Atletas!O228="Chen 56 B"),408,IF(Atletas!O228="Sun 73 B",409,IF(Atletas!O228="Wu 45 B",410,IF(Atletas!O228="Wu-Hao 46 B",411,IF(OR(Atletas!O228="Taijiquan 16 B",Atletas!O228="Taijiquan 24 B",Atletas!O228="Taijiquan 32 B",Atletas!O228="Taijiquan 42 B"),412,IF(OR(Atletas!O228="Yang 26 C",Atletas!O228="Yang 40 C"),413,IF(OR(Atletas!O228="Chen 25 C",Atletas!O228="Chen 36 C",Atletas!O228="Chen 56 C"),414,IF(Atletas!O228="Sun 73 C",415,IF(Atletas!O228="Wu 45 C",416,IF(Atletas!O228="Wu-Hao 46 C",417,IF(OR(Atletas!O228="Taijiquan 16 C",Atletas!O228="Taijiquan 24 C",Atletas!O228="Taijiquan 32 C",Atletas!O228="Taijiquan 42 C"),418,0)))))))))))))))))))</f>
        <v/>
      </c>
      <c r="BQ232" s="52" t="str">
        <f>IF(Atletas!O228="","",IF(Atletas!W228&lt;&gt;"",10000,0)+IF(Atletas!B228="Feminino",1000,IF(Atletas!B228="Masculino",2000,""))+IF(OR(Atletas!O228="Yang 26 D",Atletas!O228="Yang 40 D"),419,IF(OR(Atletas!O228="Chen 25 D",Atletas!O228="Chen 36 D",Atletas!O228="Chen 56 D"),420,IF(Atletas!O228="Sun 73 D",421,IF(Atletas!O228="Wu 45 D",422,IF(Atletas!O228="Wu-Hao 46 D",423,IF(OR(Atletas!O228="Taijiquan 16 D",Atletas!O228="Taijiquan 24 D",Atletas!O228="Taijiquan 32 D",Atletas!O228="Taijiquan 42 D"),424,IF(OR(Atletas!O228="Yang 26 E",Atletas!O228="Yang 40 E"),425,IF(OR(Atletas!O228="Chen 25 E",Atletas!O228="Chen 36 E",Atletas!O228="Chen 56 E"),426,IF(Atletas!O228="Sun 73 E",427,IF(Atletas!O228="Wu 45 E",428,IF(Atletas!O228="Wu-Hao 46 E",429,IF(OR(Atletas!O228="Taijiquan 16 E",Atletas!O228="Taijiquan 24 E",Atletas!O228="Taijiquan 32 E",Atletas!O228="Taijiquan 42 E"),430,IF(OR(Atletas!O228="Yang 26 F",Atletas!O228="Yang 40 F"),431,IF(OR(Atletas!O228="Chen 25 F",Atletas!O228="Chen 36 F",Atletas!O228="Chen 56 F"),432,IF(Atletas!O228="Sun 73 F",433,IF(Atletas!O228="Wu 45 F",434,IF(Atletas!O228="Wu-Hao 46 F",435,IF(OR(Atletas!O228="Taijiquan 16 F",Atletas!O228="Taijiquan 24 F",Atletas!O228="Taijiquan 32 F",Atletas!O228="Taijiquan 42 F"),436,0)))))))))))))))))))</f>
        <v/>
      </c>
      <c r="BR232" s="52" t="str">
        <f>IF(Atletas!P228="","",IF(Atletas!W228&lt;&gt;"",10000,0)+IF(Atletas!B228="Feminino",1000,IF(Atletas!B228="Masculino",2000,""))+IF(Atletas!P228="Xingyiquan A",501,IF(Atletas!P228="Baguazhang A",502,IF(Atletas!P228="Outro Estilo Interno A",503,IF(Atletas!P228="Xingyiquan B",504,IF(Atletas!P228="Baguazhang B",505,IF(Atletas!P228="Outro Estilo Interno B",506,IF(Atletas!P228="Xingyiquan C",507,IF(Atletas!P228="Baguazhang C",508,IF(Atletas!P228="Outro Estilo Interno C",509,IF(Atletas!P228="Xingyiquan D",510,IF(Atletas!P228="Baguazhang D",511,IF(Atletas!P228="Outro Estilo Interno D",512,IF(Atletas!P228="Xingyiquan E",513,IF(Atletas!P228="Baguazhang E",514,IF(Atletas!P228="Outro Estilo Interno E",515,IF(Atletas!P228="Xingyiquan F",516,IF(Atletas!P228="Baguazhang F",517,IF(Atletas!P228="Outro Estilo Interno F",518, "")))))))))))))))))))</f>
        <v/>
      </c>
      <c r="BS232" s="52" t="str">
        <f>IF(Atletas!Q228="","",IF(Atletas!W228&lt;&gt;"",10000,0)+IF(Atletas!B228="Feminino",1000,IF(Atletas!B228="Masculino",2000,""))+IF(Atletas!Q228="Dao A",601,IF(Atletas!Q228="Jian A",602,IF(Atletas!Q228="Bishou A",603,IF(Atletas!Q228="Shan A",604,IF(Atletas!Q228="Outra Arma Curta A",605,IF(Atletas!Q228="Dao B",606,IF(Atletas!Q228="Jian B",607,IF(Atletas!Q228="Bishou B",608,IF(Atletas!Q228="Shan B",609,IF(Atletas!Q228="Outra Arma Curta B",610,IF(Atletas!Q228="Dao C",611,IF(Atletas!Q228="Jian C",612,IF(Atletas!Q228="Bishou C",613,IF(Atletas!Q228="Shan C",614,IF(Atletas!Q228="Outra Arma Curta C",615,IF(Atletas!Q228="Dao D",616,IF(Atletas!Q228="Jian D",617,IF(Atletas!Q228="Bishou D",618,IF(Atletas!Q228="Shan D",619,IF(Atletas!Q228="Outra Arma Curta D",620,IF(Atletas!Q228="Dao E",621,IF(Atletas!Q228="Jian E",622,IF(Atletas!Q228="Bishou E",623,IF(Atletas!Q228="Shan E",624,IF(Atletas!Q228="Outra Arma Curta E",625,IF(Atletas!Q228="Dao F",626,IF(Atletas!Q228="Jian F",627,IF(Atletas!Q228="Bishou F",628,IF(Atletas!Q228="Shan F",629,IF(Atletas!Q228="Outra Arma Curta F",630, "")))))))))))))))))))))))))))))))</f>
        <v/>
      </c>
      <c r="BT232" s="52" t="str">
        <f>IF(Atletas!R228="","",IF(Atletas!W228&lt;&gt;"",10000,0)+IF(Atletas!B228="Feminino",1000,IF(Atletas!B228="Masculino",2000,""))+IF(Atletas!R228="Gun A",701,IF(Atletas!R228="Qiang A",702,IF(Atletas!R228="Pudao / Guandao A",703,IF(Atletas!R228="Outra Arma Longa A",704,IF(Atletas!R228="Gun B",705,IF(Atletas!R228="Qiang B",706,IF(Atletas!R228="Pudao / Guandao B",707,IF(Atletas!R228="Outra Arma Longa B",708,IF(Atletas!R228="Gun C",709,IF(Atletas!R228="Qiang C",710,IF(Atletas!R228="Pudao / Guandao C",711,IF(Atletas!R228="Outra Arma Longa C",712,IF(Atletas!R228="Gun D",713,IF(Atletas!R228="Qiang D",714,IF(Atletas!R228="Pudao / Guandao D",715,IF(Atletas!R228="Outra Arma Longa D",716,IF(Atletas!R228="Gun E",717,IF(Atletas!R228="Qiang E",718,IF(Atletas!R228="Pudao / Guandao E",719,IF(Atletas!R228="Outra Arma Longa E",720,IF(Atletas!R228="Gun F",721,IF(Atletas!R228="Qiang F",722,IF(Atletas!R228="Pudao / Guandao F",723,IF(Atletas!R228="Outra Arma Longa F",724,"")))))))))))))))))))))))))</f>
        <v/>
      </c>
      <c r="BU232" s="52" t="str">
        <f>IF(Atletas!S228="","",IF(Atletas!W228&lt;&gt;"",10000,0)+IF(Atletas!B228="Feminino",1000,IF(Atletas!B228="Masculino",2000,""))+IF(Atletas!S228="Arma Dupla A",801,IF(Atletas!S228="Arma Maleável A",802,IF(Atletas!S228="Arma Dupla B",803,IF(Atletas!S228="Arma Maleável B",804,IF(Atletas!S228="Arma Dupla C",805,IF(Atletas!S228="Arma Maleável C",806,IF(Atletas!S228="Arma Dupla D",807,IF(Atletas!S228="Arma Maleável D",808,IF(Atletas!S228="Arma Dupla E",809,IF(Atletas!S228="Arma Maleável E",810,IF(Atletas!S228="Arma Dupla F",811,IF(Atletas!S228="Arma Maleável F",812, "")))))))))))))</f>
        <v/>
      </c>
      <c r="BV232" s="52" t="str">
        <f>IF(Atletas!T228="","",IF(Atletas!W228&lt;&gt;"",10000,0)+IF(Atletas!B228="Feminino",1000,IF(Atletas!B228="Masculino",2000,""))+IF(Atletas!T228="Taijijian Yang A",901,IF(Atletas!T228="Taijijian Chen A",902,IF(Atletas!T228="Taijijian Sun A",903,IF(Atletas!T228="Taijijian Wu A",904,IF(Atletas!T228="Taijijian Wu-Hao A",905,IF(Atletas!T228="Taijijian 32 A",906,IF(Atletas!T228="Taijijian 42 A",907,IF(Atletas!T228="Taijijian Yang B",908,IF(Atletas!T228="Taijijian Chen B",909,IF(Atletas!T228="Taijijian Sun B",910,IF(Atletas!T228="Taijijian Wu B",911,IF(Atletas!T228="Taijijian Wu-Hao B",912,IF(Atletas!T228="Taijijian 32 B",913,IF(Atletas!T228="Taijijian 42 B",914,IF(Atletas!T228="Taijijian Yang C",915,IF(Atletas!T228="Taijijian Chen C",916,IF(Atletas!T228="Taijijian Sun C",917,IF(Atletas!T228="Taijijian Wu C",918,IF(Atletas!T228="Taijijian Wu-Hao C",919,IF(Atletas!T228="Taijijian 32 C",920,IF(Atletas!T228="Taijijian 42 C",921,IF(Atletas!T228="Taijijian Yang D",922,IF(Atletas!T228="Taijijian Chen D",923,IF(Atletas!T228="Taijijian Sun D",924,IF(Atletas!T228="Taijijian Wu D",925,IF(Atletas!T228="Taijijian Wu-Hao D",926,IF(Atletas!T228="Taijijian 32 D",927,IF(Atletas!T228="Taijijian 42 D",928,IF(Atletas!T228="Taijijian Yang E",929,IF(Atletas!T228="Taijijian Chen E",930,IF(Atletas!T228="Taijijian Sun E",931,IF(Atletas!T228="Taijijian Wu E",932,IF(Atletas!T228="Taijijian Wu-Hao E",933,IF(Atletas!T228="Taijijian 32 E",934,IF(Atletas!T228="Taijijian 42 E",935,IF(Atletas!T228="Taijijian Yang F",936,IF(Atletas!T228="Taijijian Chen F",937,IF(Atletas!T228="Taijijian Sun F",938,IF(Atletas!T228="Taijijian Wu F",939,IF(Atletas!T228="Taijijian Wu-Hao F",940,IF(Atletas!T228="Taijijian 32 F",941,IF(Atletas!T228="Taijijian 42 F",942,"")))))))))))))))))))))))))))))))))))))))))))</f>
        <v/>
      </c>
      <c r="BW232" s="52" t="str">
        <f>IF(Atletas!U228="","",IF(Atletas!W228&lt;&gt;"",10000,0)+IF(Atletas!B228="Feminino",1000,IF(Atletas!B228="Masculino",2000,""))+IF(Atletas!T228="Taijijian 42 F",942,IF(Atletas!U228="Taijidao A",943,IF(Atletas!U228="Taijishan A",944,IF(Atletas!U228="Taijiqiang A",945,IF(Atletas!U228="Taijidao B",946,IF(Atletas!U228="Taijishan B",947,IF(Atletas!U228="Taijiqiang B",948,IF(Atletas!U228="Taijidao C",949,IF(Atletas!U228="Taijishan C",950,IF(Atletas!U228="Taijiqiang C",951,IF(Atletas!U228="Taijidao D",952,IF(Atletas!U228="Taijishan D",953,IF(Atletas!U228="Taijiqiang D",954,IF(Atletas!U228="Taijidao E",955,IF(Atletas!U228="Taijishan E",956,IF(Atletas!U228="Taijiqiang E",957,IF(Atletas!U228="Taijidao F",958,IF(Atletas!U228="Taijishan F",959,IF(Atletas!U228="Taijiqiang F",960))))))))))))))))))))</f>
        <v/>
      </c>
      <c r="BX232" s="72" t="str">
        <f>IF(BY232&lt;&gt;"","Outra Arma Curta B","")</f>
        <v/>
      </c>
      <c r="BY232" s="72" t="str">
        <f>IF(COUNTIF(BK:BW,1610)&gt;0,COUNTIF(BK:BW,1610),"")</f>
        <v/>
      </c>
      <c r="BZ232" s="72" t="str">
        <f>IF(CA232&lt;&gt;"","Outra Arma Curta B","")</f>
        <v/>
      </c>
      <c r="CA232" s="72" t="str">
        <f>IF(COUNTIF(BK:BW,2610)&gt;0,COUNTIF(BK:BW,2610),"")</f>
        <v/>
      </c>
      <c r="CB232" s="72" t="str">
        <f>IF(CC232&lt;&gt;"","Sun 73 E","")</f>
        <v/>
      </c>
      <c r="CC232" s="64" t="str">
        <f>IF(COUNTIF(BK:BW,11464)&gt;0,COUNTIF(BK:BW,11464),"")</f>
        <v/>
      </c>
      <c r="CD232" s="64" t="str">
        <f>IF(CE232&lt;&gt;"","Sun 73 E","")</f>
        <v/>
      </c>
      <c r="CE232" s="64" t="str">
        <f>IF(COUNTIF(BK:BW,12464)&gt;0,COUNTIF(BK:BW,12464),"")</f>
        <v/>
      </c>
      <c r="CF232" s="52" t="str">
        <f xml:space="preserve"> IF(Atletas!V228="","",IF(Atletas!V228="Duilian de Mãos AB - Equipe 1",1,IF(Atletas!V228="Duilian de Mãos AB - Equipe 2",2,IF(Atletas!V228="Duilian de Armas AB - Equipe 1",3,IF(Atletas!V228="Duilian de Armas AB - Equipe 2",4,IF(Atletas!V228="Duilian de Tuishou - Equipe 1",5,IF(Atletas!V228="Duilian de Tuishou - Equipe 2",6,IF(Atletas!V228="Grupo Externo AB - Equipe 1",7,IF(Atletas!V228="Grupo Externo AB - Equipe 2",8,IF(Atletas!V228="Grupo Interno AB - Equipe 1",9,IF(Atletas!V228="Grupo Interno AB - Equipe 2",10,IF(Atletas!V228="Duilian de Mãos CD - Equipe 1",11,IF(Atletas!V228="Duilian de Mãos CD - Equipe 2",12,IF(Atletas!V228="Duilian de Armas CD - Equipe 1",13,IF(Atletas!V228="Duilian de Armas CD - Equipe 2",14,IF(Atletas!V228="Duilian de Tuishou - Equipe 1",15,IF(Atletas!V228="Duilian de Tuishou - Equipe 2",16,IF(Atletas!V228="Grupo Externo CDEF - Equipe 1",17,IF(Atletas!V228="Grupo Externo CDEF - Equipe 2",18,IF(Atletas!V228="Grupo Interno CDEF - Equipe 1",19,IF(Atletas!V228="Grupo Interno CDEF - Equipe 2",20,IF(Atletas!V228="Duilian de Mãos EF - Equipe 1",21,IF(Atletas!V228="Duilian de Mãos EF - Equipe 2",22,IF(Atletas!V228="Duilian de Armas EF - Equipe 1",23,IF(Atletas!V228="Duilian de Armas EF - Equipe 2",24,IF(Atletas!V228="Duilian de Tuishou - Equipe 1",25,IF(Atletas!V228="Duilian de Tuishou - Equipe 2",26,"")))))))))))))))))))))))))))</f>
        <v/>
      </c>
    </row>
    <row r="233" spans="2:84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 t="str">
        <f t="array" ref="V233">IFERROR(INDEX(BX$7:BX$336,SMALL(IF(BX$7:BX$336&lt;&gt;"",ROW(BX$7:BX$336)-ROW(BX$7)+1),ROWS(BX$7:BX204))),"")</f>
        <v/>
      </c>
      <c r="W233" s="4" t="str">
        <f t="array" ref="W233">IFERROR(INDEX(BY$7:BY$336,SMALL(IF(BY$7:BY$336&lt;&gt;"",ROW(BY$7:BY$336)-ROW(BY$7)+1),ROWS(BY$7:BY204))),"")</f>
        <v/>
      </c>
      <c r="X233" s="4" t="str">
        <f t="array" ref="X233">IFERROR(INDEX(BZ$7:BZ$336,SMALL(IF(BZ$7:BZ$336&lt;&gt;"",ROW(BZ$7:BZ$336)-ROW(BZ$7)+1),ROWS(BZ$7:BZ204))),"")</f>
        <v/>
      </c>
      <c r="Y233" s="4" t="str">
        <f t="array" ref="Y233">IFERROR(INDEX(CA$7:CA$336,SMALL(IF(CA$7:CA$336&lt;&gt;"",ROW(CA$7:CA$336)-ROW(CA$7)+1),ROWS(CA$7:CA204))),"")</f>
        <v/>
      </c>
      <c r="Z233" s="4" t="str">
        <f t="array" ref="Z233">IFERROR(INDEX(CB$7:CB$378,SMALL(IF(CB$7:CB$378&lt;&gt;"",ROW(CB$7:CB$378)-ROW(CB$7)+1),ROWS(CB$7:CB232))),"")</f>
        <v/>
      </c>
      <c r="AA233" s="4" t="str">
        <f t="array" ref="AA233">IFERROR(INDEX(CC$7:CC$378,SMALL(IF(CC$7:CC$378&lt;&gt;"",ROW(CC$7:CC$378)-ROW(CC$7)+1),ROWS(CC$7:CC232))),"")</f>
        <v/>
      </c>
      <c r="AB233" s="4" t="str">
        <f t="array" ref="AB233">IFERROR(INDEX(CD$7:CD$378,SMALL(IF(CD$7:CD$378&lt;&gt;"",ROW(CD$7:CD$378)-ROW(CD$7)+1),ROWS(CD$7:CD232))),"")</f>
        <v/>
      </c>
      <c r="AC233" s="4" t="str">
        <f t="array" ref="AC233">IFERROR(INDEX(CE$7:CE$378,SMALL(IF(CE$7:CE$378&lt;&gt;"",ROW(CE$7:CE$378)-ROW(CE$7)+1),ROWS(CE$7:CE232))),"")</f>
        <v/>
      </c>
      <c r="AD233" s="4"/>
      <c r="AE233" s="4"/>
      <c r="AF233" s="4"/>
      <c r="AG233" s="4"/>
      <c r="AH233" s="4"/>
      <c r="AI233" s="4"/>
      <c r="AJ233" s="46" t="str">
        <f>IF(Atletas!D229="","",IF(Atletas!B229="Feminino",100,IF(Atletas!B229="Masculino",200,""))+(IF(Atletas!D229="Infantil 39kg",1,IF(Atletas!D229="Infantil 42kg",2,IF(Atletas!D229="Infantil 45kg",3,IF(Atletas!D229="Infantil 48kg",4,IF(Atletas!D229="Infantil 52kg",5,IF(Atletas!D229="Infantil 56kg",6,IF(Atletas!D229="Infantil 60kg",7,IF(Atletas!D229="Juvenil 48kg",8,IF(Atletas!D229="Juvenil 52kg",9,IF(Atletas!D229="Juvenil 56kg",10,IF(Atletas!D229="Juvenil 60kg",11,IF(Atletas!D229="Juvenil 65kg",12,IF(Atletas!D229="Juvenil 70kg",13,IF(Atletas!D229="Juvenil 75kg",14,IF(Atletas!D229="Juvenil 80kg",15,IF(Atletas!D229="Adulto 48kg",16,IF(Atletas!D229="Adulto 52kg",17,IF(Atletas!D229="Adulto 56kg",18,IF(Atletas!D229="Adulto 60kg",19,IF(Atletas!D229="Adulto 65kg",20,IF(Atletas!D229="Adulto 70kg",21,IF(Atletas!D229="Adulto 75kg",22,IF(Atletas!D229="Adulto 80kg",23,IF(Atletas!D229="Adulto 85kg",24,IF(Atletas!D229="Adulto 90kg",25,IF(Atletas!D229="Adulto +90kg",26,""))))))))))))))))))))))))))))</f>
        <v/>
      </c>
      <c r="AO233" s="10" t="str">
        <f>IF(Atletas!E229="","",IF(Atletas!B229="Feminino",100,IF(Atletas!B229="Masculino",200,""))+(IF(Atletas!E229="Juvenil 44kg",1,IF(Atletas!E229="Juvenil 48kg",2,IF(Atletas!E229="Juvenil 52kg",3,IF(Atletas!E229="Juvenil 56kg",4,IF(Atletas!E229="Juvenil 60kg",5,IF(Atletas!E229="Juvenil 65kg",6,IF(Atletas!E229="Juvenil 70kg",7,IF(Atletas!E229="Juvenil 75kg",8,IF(Atletas!E229="Juvenil 82kg",9,IF(Atletas!E229="Juvenil 90kg",10,IF(Atletas!E229="Juvenil 100kg",11,IF(Atletas!E229="Adulto 48kg",12,IF(Atletas!E229="Adulto 52kg",13,IF(Atletas!E229="Adulto 56kg",14,IF(Atletas!E229="Adulto 60kg",15,IF(Atletas!E229="Adulto 65kg",16,IF(Atletas!E229="Adulto 70kg",17,IF(Atletas!E229="Adulto 75kg",18,IF(Atletas!E229="Adulto 82kg",19,IF(Atletas!E229="Adulto 90kg",20,IF(Atletas!E229="Adulto 100kg",21,IF(Atletas!E229="Adulto +100kg",22,""))))))))))))))))))))))))</f>
        <v/>
      </c>
      <c r="AT233" s="10" t="str">
        <f>IF(Atletas!F229="","",IF(Atletas!B229="Feminino",100,IF(Atletas!B229="Masculino",200,""))+(IF(Atletas!F229="Adulto 48kg",1,IF(Atletas!F229="Adulto 56kg",2,IF(Atletas!F229="Adulto 65kg",3,IF(Atletas!F229="Adulto 75kg",4,IF(Atletas!F229="Adulto +75kg",5,IF(Atletas!F229="Adulto 52kg",6,IF(Atletas!F229="Adulto 60kg",7,IF(Atletas!F229="Adulto 70kg",8,IF(Atletas!F229="Adulto 80kg",9,IF(Atletas!F229="Adulto 90kg",10,IF(Atletas!F229="Adulto +90kg",11,"")))))))))))))</f>
        <v/>
      </c>
      <c r="AY233" s="46" t="str">
        <f>IF(Atletas!G229="","",IF(Atletas!B229="Feminino",100,IF(Atletas!B229="Masculino",200,""))+(IF(Atletas!G229="Changquan Mirim",1,IF(Atletas!G229="Nanquan Mirim",2,IF(Atletas!G229="Taijiquan Mirim",3,IF(Atletas!G229="Changquan Grupo C",4,IF(Atletas!G229="Nanquan Grupo C",5,IF(Atletas!G229="Taijiquan Grupo C",6,IF(Atletas!G229="Changquan Grupo B",7,IF(Atletas!G229="Nanquan Grupo B",8,IF(Atletas!G229="Taijiquan Grupo B",9,IF(Atletas!G229="Changquan Grupo A",10,IF(Atletas!G229="Nanquan Grupo A",11,IF(Atletas!G229="Taijiquan Grupo A",12,IF(Atletas!G229="Changquan Opcional",13,IF(Atletas!G229="Nanquan Opcional",14,IF(Atletas!G229="Taijiquan Opcional",15,IF(Atletas!G229="Changquan Adulto",16,IF(Atletas!G229="Nanquan Adulto",17,IF(Atletas!G229="Taijiquan Adulto",18,""))))))))))))))))))))</f>
        <v/>
      </c>
      <c r="AZ233" s="46" t="str">
        <f>IF(Atletas!H229="","",IF(Atletas!B229="Feminino",100,IF(Atletas!B229="Masculino",200,""))+(IF(Atletas!H229="Daoshu Mirim",19,IF(Atletas!H229="Jianshu Mirim",20,IF(Atletas!H229="Nandao Mirim",21,IF(Atletas!H229="Taijijian Mirim",22,IF(Atletas!H229="Daoshu Grupo C",23,IF(Atletas!H229="Jianshu Grupo C",24,IF(Atletas!H229="Nandao Grupo C",25,IF(Atletas!H229="Taijijian Grupo C",26,IF(Atletas!H229="Daoshu Grupo B",27,IF(Atletas!H229="Jianshu Grupo B",28,IF(Atletas!H229="Nandao Grupo B",29,IF(Atletas!H229="Taijijian Grupo B",30,IF(Atletas!H229="Daoshu Grupo A",31,IF(Atletas!H229="Jianshu Grupo A",32,IF(Atletas!H229="Nandao Grupo A",33,IF(Atletas!H229="Taijijian Grupo A",34,IF(Atletas!H229="Daoshu Opcional",35,IF(Atletas!H229="Jianshu Opcional",36,IF(Atletas!H229="Nandao Opcional",37,IF(Atletas!H229="Taijijian Opcional",38,IF(Atletas!H229="Daoshu Adulto",39,IF(Atletas!H229="Jianshu Adulto",40,IF(Atletas!H229="Nandao Adulto",41,IF(Atletas!H229="Taijijian Adulto",42,""))))))))))))))))))))))))))</f>
        <v/>
      </c>
      <c r="BA233" s="46" t="str">
        <f>IF(Atletas!I229="","",IF(Atletas!B229="Feminino",100,IF(Atletas!B229="Masculino",200,""))+(IF(Atletas!I229="Gunshu Mirim",43,IF(Atletas!I229="Qiangshu Mirim",44,IF(Atletas!I229="Nangun Mirim",45,IF(Atletas!I229="Gunshu Grupo C",46,IF(Atletas!I229="Qiangshu Grupo C",47,IF(Atletas!I229="Nangun Grupo C",48,IF(Atletas!I229="Gunshu Grupo B",49,IF(Atletas!I229="Qiangshu Grupo B",50,IF(Atletas!I229="Nangun Grupo B",51,IF(Atletas!I229="Gunshu Grupo A",52,IF(Atletas!I229="Qiangshu Grupo A",53,IF(Atletas!I229="Nangun Grupo A",54,IF(Atletas!I229="Gunshu Opcional",55,IF(Atletas!I229="Qiangshu Opcional",56,IF(Atletas!I229="Nangun Opcional",57,IF(Atletas!I229="Gunshu Adulto",58,IF(Atletas!I229="Qiangshu Adulto",59,IF(Atletas!I229="Nangun Adulto",60,""))))))))))))))))))))</f>
        <v/>
      </c>
      <c r="BF233" s="52" t="str">
        <f>IF(Atletas!J229="","",IF(Atletas!B229="Feminino",100,IF(Atletas!B229="Masculino",200,""))+(IF(Atletas!J229="Equipe 1 Grupo B",1,IF(Atletas!J229="Equipe 2 Grupo B",2,IF(Atletas!J229="Equipe 1 Grupo A",3,IF(Atletas!J229="Equipe 2 Grupo A",4,IF(Atletas!J229="Equipe 1 Adulto",5,IF(Atletas!J229="Equipe 2 Adulto",6,""))))))))</f>
        <v/>
      </c>
      <c r="BK233" s="52" t="str">
        <f>IF(Atletas!K229="","",IF(Atletas!W229&lt;&gt;"",10000,0)+(IF(Atletas!B229="Feminino",1000,IF(Atletas!B229="Masculino",2000,""))+IF(Atletas!K229="Choylayfut A",1,IF(Atletas!K229="Hunggar A",2,IF(Atletas!K229="Wuzuquan A",3,IF(Atletas!K229="Wingchun A",4,IF(Atletas!K229="Outra Mão de Sul A",5,IF(Atletas!K229="Choylayfut B",6,IF(Atletas!K229="Hunggar B",7,IF(Atletas!K229="Wuzuquan B",8,IF(Atletas!K229="Wingchun B",9,IF(Atletas!K229="Outra Mão de Sul B",10,IF(Atletas!K229="Choylayfut C",11,IF(Atletas!K229="Hunggar C",12,IF(Atletas!K229="Wuzuquan C",13,IF(Atletas!K229="Wingchun C",14,IF(Atletas!K229="Outra Mão de Sul C",15,IF(Atletas!K229="Choylayfut D",16,IF(Atletas!K229="Hunggar D",17,IF(Atletas!K229="Wuzuquan D",18,IF(Atletas!K229="Wingchun D",19,IF(Atletas!K229="Outra Mão de Sul D",20,IF(Atletas!K229="Choylayfut E",21,IF(Atletas!K229="Hunggar E",22,IF(Atletas!K229="Wuzuquan E",23,IF(Atletas!K229="Wingchun E",24,IF(Atletas!K229="Outra Mão de Sul E",25,IF(Atletas!K229="Choylayfut F",26,IF(Atletas!K229="Hunggar F",27,IF(Atletas!K229="Wuzuquan F",28,IF(Atletas!K229="Wingchun F",29,IF(Atletas!K229="Outra Mão de Sul F",30,""))))))))))))))))))))))))))))))))</f>
        <v/>
      </c>
      <c r="BL233" s="52" t="str">
        <f>IF(Atletas!L229="","",IF(Atletas!W229&lt;&gt;"",10000,0)+(IF(Atletas!B229="Feminino",1000,IF(Atletas!B229="Masculino",2000,""))+(IF(Atletas!L229="Chaquan A",101,IF(Atletas!L229="Emeiquan A",102,IF(Atletas!L229="Fanziquan A",103,IF(Atletas!L229="Huaquan A",104,IF(Atletas!L229="Hongquan A",105,IF(Atletas!L229="Paochui A",106,IF(Atletas!L229="Piguaquan A",107,IF(Atletas!L229="Shaolinquan A",108,IF(Atletas!L229="Tanglangquan A",109,IF(Atletas!L229="Yinzhaophai A",110,IF(Atletas!L229="Tongbeiquan A",111,IF(Atletas!L229="Wudangquan A",112,IF(Atletas!L229="Outros Estilos A",113,IF(Atletas!L229="Chaquan B",114,IF(Atletas!L229="Emeiquan B",115,IF(Atletas!L229="Fanziquan B",116,IF(Atletas!L229="Huaquan B",117,IF(Atletas!L229="Hongquan B",118,IF(Atletas!L229="Paochui B",119,IF(Atletas!L229="Piguaquan B",120,IF(Atletas!L229="Shaolinquan B",121,IF(Atletas!L229="Tanglangquan B",122,IF(Atletas!L229="Yinzhaophai B",123,IF(Atletas!L229="Tongbeiquan B",124,IF(Atletas!L229="Wudangquan B",125,IF(Atletas!L229="Outros Estilos B",126,IF(Atletas!L229="Chaquan C",127,IF(Atletas!L229="Emeiquan C",128,IF(Atletas!L229="Fanziquan C",129,IF(Atletas!L229="Huaquan C",130,IF(Atletas!L229="Hongquan C",131,IF(Atletas!L229="Paochui C",132,IF(Atletas!L229="Piguaquan C",133,IF(Atletas!L229="Shaolinquan C",134,IF(Atletas!L229="Tanglangquan C",135,IF(Atletas!L229="Yinzhaophai C",136,IF(Atletas!L229="Tongbeiquan C",137,IF(Atletas!L229="Wudangquan C",138,IF(Atletas!L229="Outros Estilos C",139,0))))))))))))))))))))))))))))))))))))))))))</f>
        <v/>
      </c>
      <c r="BM233" s="52" t="str">
        <f>IF(Atletas!L229="","",IF(Atletas!W229&lt;&gt;"",10000,0)+(IF(Atletas!B229="Feminino",1000,IF(Atletas!B229="Masculino",2000,""))+(IF(Atletas!L229="Chaquan D",140,IF(Atletas!L229="Emeiquan D",141,IF(Atletas!L229="Fanziquan D",142,IF(Atletas!L229="Huaquan D",143,IF(Atletas!L229="Hongquan D",144,IF(Atletas!L229="Paochui D",145,IF(Atletas!L229="Piguaquan D",146,IF(Atletas!L229="Shaolinquan D",147,IF(Atletas!L229="Tanglangquan D",148,IF(Atletas!L229="Yinzhaophai D",149,IF(Atletas!L229="Tongbeiquan D",150,IF(Atletas!L229="Wudangquan D",151,IF(Atletas!L229="Outros Estilos D",152,IF(Atletas!L229="Chaquan E",153,IF(Atletas!L229="Emeiquan E",154,IF(Atletas!L229="Fanziquan E",155,IF(Atletas!L229="Huaquan E",156,IF(Atletas!L229="Hongquan E",157,IF(Atletas!L229="Paochui E",158,IF(Atletas!L229="Piguaquan E",159,IF(Atletas!L229="Shaolinquan E",160,IF(Atletas!L229="Tanglangquan E",161,IF(Atletas!L229="Yinzhaophai E",162,IF(Atletas!L229="Tongbeiquan E",163,IF(Atletas!L229="Wudangquan E",164,IF(Atletas!L229="Outros Estilos E",165,IF(Atletas!L229="Chaquan F",166,IF(Atletas!L229="Emeiquan F",167,IF(Atletas!L229="Fanziquan F",168,IF(Atletas!L229="Huaquan F",169,IF(Atletas!L229="Hongquan F",170,IF(Atletas!L229="Paochui F",171,IF(Atletas!L229="Piguaquan F",172,IF(Atletas!L229="Shaolinquan F",173,IF(Atletas!L229="Tanglangquan F",174,IF(Atletas!L229="Yinzhaophai F",175,IF(Atletas!L229="Tongbeiquan F",176,IF(Atletas!L229="Wudangquan F",177,IF(Atletas!L229="Outros Estilos F",178,0))))))))))))))))))))))))))))))))))))))))))</f>
        <v/>
      </c>
      <c r="BN233" s="52" t="str">
        <f>IF(Atletas!M229="","",IF(Atletas!W229&lt;&gt;"",10000,0)+(IF(Atletas!B229="Feminino",1000,IF(Atletas!B229="Masculino",2000,""))+(IF(Atletas!M229="Ditangquan A",201,IF(Atletas!M229="Houquan A",202,IF(Atletas!M229="Zuiquan A",203,IF(Atletas!M229="Ditangquan B",204,IF(Atletas!M229="Houquan B",205,IF(Atletas!M229="Zuiquan B",206,IF(Atletas!M229="Ditangquan C",207,IF(Atletas!M229="Houquan C",208,IF(Atletas!M229="Zuiquan C",209,IF(Atletas!M229="Ditangquan D",210,IF(Atletas!M229="Houquan D",211,IF(Atletas!M229="Zuiquan D",212,IF(Atletas!M229="Ditangquan E",213,IF(Atletas!M229="Houquan E",214,IF(Atletas!M229="Zuiquan E",215,IF(Atletas!M229="Ditangquan F",216,IF(Atletas!M229="Houquan F",217,IF(Atletas!M229="Zuiquan F",218,"")))))))))))))))))))))</f>
        <v/>
      </c>
      <c r="BO233" s="52" t="str">
        <f>IF(Atletas!N229="","",IF(Atletas!W229&lt;&gt;"",10000,0)+IF(Atletas!B229="Feminino",1000,IF(Atletas!B229="Masculino",2000,""))+IF(Atletas!N229="Yang A",301,IF(Atletas!N229="Chen A",30,IF(Atletas!N229="Sun A",303,IF(Atletas!N229="Wu A",304,IF(Atletas!N229="Wu-Hao A",305,IF(Atletas!N229="Outro Taijiquan A",306,IF(Atletas!N229="Yang B",307,IF(Atletas!N229="Chen B",308,IF(Atletas!N229="Sun B",309,IF(Atletas!N229="Wu B",310,IF(Atletas!N229="Wu-Hao B",311,IF(Atletas!N229="Outro Taijiquan B",312,IF(Atletas!N229="Yang C",313,IF(Atletas!N229="Chen C",314,IF(Atletas!N229="Sun C",315,IF(Atletas!N229="Wu C",316,IF(Atletas!N229="Wu-Hao C",317,IF(Atletas!N229="Outro Taijiquan C",318,IF(Atletas!N229="Yang D",319,IF(Atletas!N229="Chen D",320,IF(Atletas!N229="Sun D",321,IF(Atletas!N229="Wu D",322,IF(Atletas!N229="Wu-Hao D",323,IF(Atletas!N229="Outro Taijiquan D",324,IF(Atletas!N229="Yang E",325,IF(Atletas!N229="Chen E",326,IF(Atletas!N229="Sun E",327,IF(Atletas!N229="Wu E",328,IF(Atletas!N229="Wu-Hao E",329,IF(Atletas!N229="Outro Taijiquan E",330,IF(Atletas!N229="Yang F",331,IF(Atletas!N229="Chen F",332,IF(Atletas!N229="Sun F",333,IF(Atletas!N229="Wu F",334,IF(Atletas!N229="Wu-Hao F",335,IF(Atletas!N229="Outro Taijiquan F",336,"")))))))))))))))))))))))))))))))))))))</f>
        <v/>
      </c>
      <c r="BP233" s="52" t="str">
        <f>IF(Atletas!O229="","",IF(Atletas!W229&lt;&gt;"",10000,0)+IF(Atletas!B229="Feminino",1000,IF(Atletas!B229="Masculino",2000,""))+IF(OR(Atletas!O229="Yang 26 A",Atletas!O229="Yang 40 A"),401,IF(OR(Atletas!O229="Chen 25 A",Atletas!O229="Chen 36 A",Atletas!O229="Chen 56 A"),402,IF(Atletas!O229="Sun 73 A",403,IF(Atletas!O229="Wu 45 A",404,IF(Atletas!O229="Wu-Hao 46 A",405,IF(OR(Atletas!O229="Taijiquan 16 A",Atletas!O229="Taijiquan 24 A",Atletas!O229="Taijiquan 32 A",Atletas!O229="Taijiquan 42 A"),406,IF(OR(Atletas!O229="Yang 26 B",Atletas!O229="Yang 40 B"),407,IF(OR(Atletas!O229="Chen 25 B",Atletas!O229="Chen 36 B",Atletas!O229="Chen 56 B"),408,IF(Atletas!O229="Sun 73 B",409,IF(Atletas!O229="Wu 45 B",410,IF(Atletas!O229="Wu-Hao 46 B",411,IF(OR(Atletas!O229="Taijiquan 16 B",Atletas!O229="Taijiquan 24 B",Atletas!O229="Taijiquan 32 B",Atletas!O229="Taijiquan 42 B"),412,IF(OR(Atletas!O229="Yang 26 C",Atletas!O229="Yang 40 C"),413,IF(OR(Atletas!O229="Chen 25 C",Atletas!O229="Chen 36 C",Atletas!O229="Chen 56 C"),414,IF(Atletas!O229="Sun 73 C",415,IF(Atletas!O229="Wu 45 C",416,IF(Atletas!O229="Wu-Hao 46 C",417,IF(OR(Atletas!O229="Taijiquan 16 C",Atletas!O229="Taijiquan 24 C",Atletas!O229="Taijiquan 32 C",Atletas!O229="Taijiquan 42 C"),418,0)))))))))))))))))))</f>
        <v/>
      </c>
      <c r="BQ233" s="52" t="str">
        <f>IF(Atletas!O229="","",IF(Atletas!W229&lt;&gt;"",10000,0)+IF(Atletas!B229="Feminino",1000,IF(Atletas!B229="Masculino",2000,""))+IF(OR(Atletas!O229="Yang 26 D",Atletas!O229="Yang 40 D"),419,IF(OR(Atletas!O229="Chen 25 D",Atletas!O229="Chen 36 D",Atletas!O229="Chen 56 D"),420,IF(Atletas!O229="Sun 73 D",421,IF(Atletas!O229="Wu 45 D",422,IF(Atletas!O229="Wu-Hao 46 D",423,IF(OR(Atletas!O229="Taijiquan 16 D",Atletas!O229="Taijiquan 24 D",Atletas!O229="Taijiquan 32 D",Atletas!O229="Taijiquan 42 D"),424,IF(OR(Atletas!O229="Yang 26 E",Atletas!O229="Yang 40 E"),425,IF(OR(Atletas!O229="Chen 25 E",Atletas!O229="Chen 36 E",Atletas!O229="Chen 56 E"),426,IF(Atletas!O229="Sun 73 E",427,IF(Atletas!O229="Wu 45 E",428,IF(Atletas!O229="Wu-Hao 46 E",429,IF(OR(Atletas!O229="Taijiquan 16 E",Atletas!O229="Taijiquan 24 E",Atletas!O229="Taijiquan 32 E",Atletas!O229="Taijiquan 42 E"),430,IF(OR(Atletas!O229="Yang 26 F",Atletas!O229="Yang 40 F"),431,IF(OR(Atletas!O229="Chen 25 F",Atletas!O229="Chen 36 F",Atletas!O229="Chen 56 F"),432,IF(Atletas!O229="Sun 73 F",433,IF(Atletas!O229="Wu 45 F",434,IF(Atletas!O229="Wu-Hao 46 F",435,IF(OR(Atletas!O229="Taijiquan 16 F",Atletas!O229="Taijiquan 24 F",Atletas!O229="Taijiquan 32 F",Atletas!O229="Taijiquan 42 F"),436,0)))))))))))))))))))</f>
        <v/>
      </c>
      <c r="BR233" s="52" t="str">
        <f>IF(Atletas!P229="","",IF(Atletas!W229&lt;&gt;"",10000,0)+IF(Atletas!B229="Feminino",1000,IF(Atletas!B229="Masculino",2000,""))+IF(Atletas!P229="Xingyiquan A",501,IF(Atletas!P229="Baguazhang A",502,IF(Atletas!P229="Outro Estilo Interno A",503,IF(Atletas!P229="Xingyiquan B",504,IF(Atletas!P229="Baguazhang B",505,IF(Atletas!P229="Outro Estilo Interno B",506,IF(Atletas!P229="Xingyiquan C",507,IF(Atletas!P229="Baguazhang C",508,IF(Atletas!P229="Outro Estilo Interno C",509,IF(Atletas!P229="Xingyiquan D",510,IF(Atletas!P229="Baguazhang D",511,IF(Atletas!P229="Outro Estilo Interno D",512,IF(Atletas!P229="Xingyiquan E",513,IF(Atletas!P229="Baguazhang E",514,IF(Atletas!P229="Outro Estilo Interno E",515,IF(Atletas!P229="Xingyiquan F",516,IF(Atletas!P229="Baguazhang F",517,IF(Atletas!P229="Outro Estilo Interno F",518, "")))))))))))))))))))</f>
        <v/>
      </c>
      <c r="BS233" s="52" t="str">
        <f>IF(Atletas!Q229="","",IF(Atletas!W229&lt;&gt;"",10000,0)+IF(Atletas!B229="Feminino",1000,IF(Atletas!B229="Masculino",2000,""))+IF(Atletas!Q229="Dao A",601,IF(Atletas!Q229="Jian A",602,IF(Atletas!Q229="Bishou A",603,IF(Atletas!Q229="Shan A",604,IF(Atletas!Q229="Outra Arma Curta A",605,IF(Atletas!Q229="Dao B",606,IF(Atletas!Q229="Jian B",607,IF(Atletas!Q229="Bishou B",608,IF(Atletas!Q229="Shan B",609,IF(Atletas!Q229="Outra Arma Curta B",610,IF(Atletas!Q229="Dao C",611,IF(Atletas!Q229="Jian C",612,IF(Atletas!Q229="Bishou C",613,IF(Atletas!Q229="Shan C",614,IF(Atletas!Q229="Outra Arma Curta C",615,IF(Atletas!Q229="Dao D",616,IF(Atletas!Q229="Jian D",617,IF(Atletas!Q229="Bishou D",618,IF(Atletas!Q229="Shan D",619,IF(Atletas!Q229="Outra Arma Curta D",620,IF(Atletas!Q229="Dao E",621,IF(Atletas!Q229="Jian E",622,IF(Atletas!Q229="Bishou E",623,IF(Atletas!Q229="Shan E",624,IF(Atletas!Q229="Outra Arma Curta E",625,IF(Atletas!Q229="Dao F",626,IF(Atletas!Q229="Jian F",627,IF(Atletas!Q229="Bishou F",628,IF(Atletas!Q229="Shan F",629,IF(Atletas!Q229="Outra Arma Curta F",630, "")))))))))))))))))))))))))))))))</f>
        <v/>
      </c>
      <c r="BT233" s="52" t="str">
        <f>IF(Atletas!R229="","",IF(Atletas!W229&lt;&gt;"",10000,0)+IF(Atletas!B229="Feminino",1000,IF(Atletas!B229="Masculino",2000,""))+IF(Atletas!R229="Gun A",701,IF(Atletas!R229="Qiang A",702,IF(Atletas!R229="Pudao / Guandao A",703,IF(Atletas!R229="Outra Arma Longa A",704,IF(Atletas!R229="Gun B",705,IF(Atletas!R229="Qiang B",706,IF(Atletas!R229="Pudao / Guandao B",707,IF(Atletas!R229="Outra Arma Longa B",708,IF(Atletas!R229="Gun C",709,IF(Atletas!R229="Qiang C",710,IF(Atletas!R229="Pudao / Guandao C",711,IF(Atletas!R229="Outra Arma Longa C",712,IF(Atletas!R229="Gun D",713,IF(Atletas!R229="Qiang D",714,IF(Atletas!R229="Pudao / Guandao D",715,IF(Atletas!R229="Outra Arma Longa D",716,IF(Atletas!R229="Gun E",717,IF(Atletas!R229="Qiang E",718,IF(Atletas!R229="Pudao / Guandao E",719,IF(Atletas!R229="Outra Arma Longa E",720,IF(Atletas!R229="Gun F",721,IF(Atletas!R229="Qiang F",722,IF(Atletas!R229="Pudao / Guandao F",723,IF(Atletas!R229="Outra Arma Longa F",724,"")))))))))))))))))))))))))</f>
        <v/>
      </c>
      <c r="BU233" s="52" t="str">
        <f>IF(Atletas!S229="","",IF(Atletas!W229&lt;&gt;"",10000,0)+IF(Atletas!B229="Feminino",1000,IF(Atletas!B229="Masculino",2000,""))+IF(Atletas!S229="Arma Dupla A",801,IF(Atletas!S229="Arma Maleável A",802,IF(Atletas!S229="Arma Dupla B",803,IF(Atletas!S229="Arma Maleável B",804,IF(Atletas!S229="Arma Dupla C",805,IF(Atletas!S229="Arma Maleável C",806,IF(Atletas!S229="Arma Dupla D",807,IF(Atletas!S229="Arma Maleável D",808,IF(Atletas!S229="Arma Dupla E",809,IF(Atletas!S229="Arma Maleável E",810,IF(Atletas!S229="Arma Dupla F",811,IF(Atletas!S229="Arma Maleável F",812, "")))))))))))))</f>
        <v/>
      </c>
      <c r="BV233" s="52" t="str">
        <f>IF(Atletas!T229="","",IF(Atletas!W229&lt;&gt;"",10000,0)+IF(Atletas!B229="Feminino",1000,IF(Atletas!B229="Masculino",2000,""))+IF(Atletas!T229="Taijijian Yang A",901,IF(Atletas!T229="Taijijian Chen A",902,IF(Atletas!T229="Taijijian Sun A",903,IF(Atletas!T229="Taijijian Wu A",904,IF(Atletas!T229="Taijijian Wu-Hao A",905,IF(Atletas!T229="Taijijian 32 A",906,IF(Atletas!T229="Taijijian 42 A",907,IF(Atletas!T229="Taijijian Yang B",908,IF(Atletas!T229="Taijijian Chen B",909,IF(Atletas!T229="Taijijian Sun B",910,IF(Atletas!T229="Taijijian Wu B",911,IF(Atletas!T229="Taijijian Wu-Hao B",912,IF(Atletas!T229="Taijijian 32 B",913,IF(Atletas!T229="Taijijian 42 B",914,IF(Atletas!T229="Taijijian Yang C",915,IF(Atletas!T229="Taijijian Chen C",916,IF(Atletas!T229="Taijijian Sun C",917,IF(Atletas!T229="Taijijian Wu C",918,IF(Atletas!T229="Taijijian Wu-Hao C",919,IF(Atletas!T229="Taijijian 32 C",920,IF(Atletas!T229="Taijijian 42 C",921,IF(Atletas!T229="Taijijian Yang D",922,IF(Atletas!T229="Taijijian Chen D",923,IF(Atletas!T229="Taijijian Sun D",924,IF(Atletas!T229="Taijijian Wu D",925,IF(Atletas!T229="Taijijian Wu-Hao D",926,IF(Atletas!T229="Taijijian 32 D",927,IF(Atletas!T229="Taijijian 42 D",928,IF(Atletas!T229="Taijijian Yang E",929,IF(Atletas!T229="Taijijian Chen E",930,IF(Atletas!T229="Taijijian Sun E",931,IF(Atletas!T229="Taijijian Wu E",932,IF(Atletas!T229="Taijijian Wu-Hao E",933,IF(Atletas!T229="Taijijian 32 E",934,IF(Atletas!T229="Taijijian 42 E",935,IF(Atletas!T229="Taijijian Yang F",936,IF(Atletas!T229="Taijijian Chen F",937,IF(Atletas!T229="Taijijian Sun F",938,IF(Atletas!T229="Taijijian Wu F",939,IF(Atletas!T229="Taijijian Wu-Hao F",940,IF(Atletas!T229="Taijijian 32 F",941,IF(Atletas!T229="Taijijian 42 F",942,"")))))))))))))))))))))))))))))))))))))))))))</f>
        <v/>
      </c>
      <c r="BW233" s="52" t="str">
        <f>IF(Atletas!U229="","",IF(Atletas!W229&lt;&gt;"",10000,0)+IF(Atletas!B229="Feminino",1000,IF(Atletas!B229="Masculino",2000,""))+IF(Atletas!T229="Taijijian 42 F",942,IF(Atletas!U229="Taijidao A",943,IF(Atletas!U229="Taijishan A",944,IF(Atletas!U229="Taijiqiang A",945,IF(Atletas!U229="Taijidao B",946,IF(Atletas!U229="Taijishan B",947,IF(Atletas!U229="Taijiqiang B",948,IF(Atletas!U229="Taijidao C",949,IF(Atletas!U229="Taijishan C",950,IF(Atletas!U229="Taijiqiang C",951,IF(Atletas!U229="Taijidao D",952,IF(Atletas!U229="Taijishan D",953,IF(Atletas!U229="Taijiqiang D",954,IF(Atletas!U229="Taijidao E",955,IF(Atletas!U229="Taijishan E",956,IF(Atletas!U229="Taijiqiang E",957,IF(Atletas!U229="Taijidao F",958,IF(Atletas!U229="Taijishan F",959,IF(Atletas!U229="Taijiqiang F",960))))))))))))))))))))</f>
        <v/>
      </c>
      <c r="BX233" s="72" t="str">
        <f>IF(BY233&lt;&gt;"","Dao C","")</f>
        <v/>
      </c>
      <c r="BY233" s="72" t="str">
        <f>IF(COUNTIF(BK:BW,1611)&gt;0,COUNTIF(BK:BW,1611),"")</f>
        <v/>
      </c>
      <c r="BZ233" s="72" t="str">
        <f>IF(CA233&lt;&gt;"","Dao C","")</f>
        <v/>
      </c>
      <c r="CA233" s="72" t="str">
        <f>IF(COUNTIF(BK:BW,2611)&gt;0,COUNTIF(BK:BW,2611),"")</f>
        <v/>
      </c>
      <c r="CB233" s="72" t="str">
        <f>IF(CC233&lt;&gt;"","Sun Novo E","")</f>
        <v/>
      </c>
      <c r="CC233" s="64" t="str">
        <f>IF(COUNTIF(BK:BW,11465)&gt;0,COUNTIF(BK:BW,11465),"")</f>
        <v/>
      </c>
      <c r="CD233" s="64" t="str">
        <f>IF(CE233&lt;&gt;"","Sun Novo E","")</f>
        <v/>
      </c>
      <c r="CE233" s="64" t="str">
        <f>IF(COUNTIF(BK:BW,12465)&gt;0,COUNTIF(BK:BW,12465),"")</f>
        <v/>
      </c>
      <c r="CF233" s="52" t="str">
        <f xml:space="preserve"> IF(Atletas!V229="","",IF(Atletas!V229="Duilian de Mãos AB - Equipe 1",1,IF(Atletas!V229="Duilian de Mãos AB - Equipe 2",2,IF(Atletas!V229="Duilian de Armas AB - Equipe 1",3,IF(Atletas!V229="Duilian de Armas AB - Equipe 2",4,IF(Atletas!V229="Duilian de Tuishou - Equipe 1",5,IF(Atletas!V229="Duilian de Tuishou - Equipe 2",6,IF(Atletas!V229="Grupo Externo AB - Equipe 1",7,IF(Atletas!V229="Grupo Externo AB - Equipe 2",8,IF(Atletas!V229="Grupo Interno AB - Equipe 1",9,IF(Atletas!V229="Grupo Interno AB - Equipe 2",10,IF(Atletas!V229="Duilian de Mãos CD - Equipe 1",11,IF(Atletas!V229="Duilian de Mãos CD - Equipe 2",12,IF(Atletas!V229="Duilian de Armas CD - Equipe 1",13,IF(Atletas!V229="Duilian de Armas CD - Equipe 2",14,IF(Atletas!V229="Duilian de Tuishou - Equipe 1",15,IF(Atletas!V229="Duilian de Tuishou - Equipe 2",16,IF(Atletas!V229="Grupo Externo CDEF - Equipe 1",17,IF(Atletas!V229="Grupo Externo CDEF - Equipe 2",18,IF(Atletas!V229="Grupo Interno CDEF - Equipe 1",19,IF(Atletas!V229="Grupo Interno CDEF - Equipe 2",20,IF(Atletas!V229="Duilian de Mãos EF - Equipe 1",21,IF(Atletas!V229="Duilian de Mãos EF - Equipe 2",22,IF(Atletas!V229="Duilian de Armas EF - Equipe 1",23,IF(Atletas!V229="Duilian de Armas EF - Equipe 2",24,IF(Atletas!V229="Duilian de Tuishou - Equipe 1",25,IF(Atletas!V229="Duilian de Tuishou - Equipe 2",26,"")))))))))))))))))))))))))))</f>
        <v/>
      </c>
    </row>
    <row r="234" spans="2:84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 t="str">
        <f t="array" ref="V234">IFERROR(INDEX(BX$7:BX$336,SMALL(IF(BX$7:BX$336&lt;&gt;"",ROW(BX$7:BX$336)-ROW(BX$7)+1),ROWS(BX$7:BX204))),"")</f>
        <v/>
      </c>
      <c r="W234" s="4" t="str">
        <f t="array" ref="W234">IFERROR(INDEX(BY$7:BY$336,SMALL(IF(BY$7:BY$336&lt;&gt;"",ROW(BY$7:BY$336)-ROW(BY$7)+1),ROWS(BY$7:BY204))),"")</f>
        <v/>
      </c>
      <c r="X234" s="4" t="str">
        <f t="array" ref="X234">IFERROR(INDEX(BZ$7:BZ$336,SMALL(IF(BZ$7:BZ$336&lt;&gt;"",ROW(BZ$7:BZ$336)-ROW(BZ$7)+1),ROWS(BZ$7:BZ204))),"")</f>
        <v/>
      </c>
      <c r="Y234" s="4" t="str">
        <f t="array" ref="Y234">IFERROR(INDEX(CA$7:CA$336,SMALL(IF(CA$7:CA$336&lt;&gt;"",ROW(CA$7:CA$336)-ROW(CA$7)+1),ROWS(CA$7:CA204))),"")</f>
        <v/>
      </c>
      <c r="Z234" s="4" t="str">
        <f t="array" ref="Z234">IFERROR(INDEX(CB$7:CB$378,SMALL(IF(CB$7:CB$378&lt;&gt;"",ROW(CB$7:CB$378)-ROW(CB$7)+1),ROWS(CB$7:CB233))),"")</f>
        <v/>
      </c>
      <c r="AA234" s="4" t="str">
        <f t="array" ref="AA234">IFERROR(INDEX(CC$7:CC$378,SMALL(IF(CC$7:CC$378&lt;&gt;"",ROW(CC$7:CC$378)-ROW(CC$7)+1),ROWS(CC$7:CC233))),"")</f>
        <v/>
      </c>
      <c r="AB234" s="4" t="str">
        <f t="array" ref="AB234">IFERROR(INDEX(CD$7:CD$378,SMALL(IF(CD$7:CD$378&lt;&gt;"",ROW(CD$7:CD$378)-ROW(CD$7)+1),ROWS(CD$7:CD233))),"")</f>
        <v/>
      </c>
      <c r="AC234" s="4" t="str">
        <f t="array" ref="AC234">IFERROR(INDEX(CE$7:CE$378,SMALL(IF(CE$7:CE$378&lt;&gt;"",ROW(CE$7:CE$378)-ROW(CE$7)+1),ROWS(CE$7:CE233))),"")</f>
        <v/>
      </c>
      <c r="AD234" s="4"/>
      <c r="AE234" s="4"/>
      <c r="AF234" s="4"/>
      <c r="AG234" s="4"/>
      <c r="AH234" s="4"/>
      <c r="AI234" s="4"/>
      <c r="AJ234" s="46" t="str">
        <f>IF(Atletas!D230="","",IF(Atletas!B230="Feminino",100,IF(Atletas!B230="Masculino",200,""))+(IF(Atletas!D230="Infantil 39kg",1,IF(Atletas!D230="Infantil 42kg",2,IF(Atletas!D230="Infantil 45kg",3,IF(Atletas!D230="Infantil 48kg",4,IF(Atletas!D230="Infantil 52kg",5,IF(Atletas!D230="Infantil 56kg",6,IF(Atletas!D230="Infantil 60kg",7,IF(Atletas!D230="Juvenil 48kg",8,IF(Atletas!D230="Juvenil 52kg",9,IF(Atletas!D230="Juvenil 56kg",10,IF(Atletas!D230="Juvenil 60kg",11,IF(Atletas!D230="Juvenil 65kg",12,IF(Atletas!D230="Juvenil 70kg",13,IF(Atletas!D230="Juvenil 75kg",14,IF(Atletas!D230="Juvenil 80kg",15,IF(Atletas!D230="Adulto 48kg",16,IF(Atletas!D230="Adulto 52kg",17,IF(Atletas!D230="Adulto 56kg",18,IF(Atletas!D230="Adulto 60kg",19,IF(Atletas!D230="Adulto 65kg",20,IF(Atletas!D230="Adulto 70kg",21,IF(Atletas!D230="Adulto 75kg",22,IF(Atletas!D230="Adulto 80kg",23,IF(Atletas!D230="Adulto 85kg",24,IF(Atletas!D230="Adulto 90kg",25,IF(Atletas!D230="Adulto +90kg",26,""))))))))))))))))))))))))))))</f>
        <v/>
      </c>
      <c r="AO234" s="10" t="str">
        <f>IF(Atletas!E230="","",IF(Atletas!B230="Feminino",100,IF(Atletas!B230="Masculino",200,""))+(IF(Atletas!E230="Juvenil 44kg",1,IF(Atletas!E230="Juvenil 48kg",2,IF(Atletas!E230="Juvenil 52kg",3,IF(Atletas!E230="Juvenil 56kg",4,IF(Atletas!E230="Juvenil 60kg",5,IF(Atletas!E230="Juvenil 65kg",6,IF(Atletas!E230="Juvenil 70kg",7,IF(Atletas!E230="Juvenil 75kg",8,IF(Atletas!E230="Juvenil 82kg",9,IF(Atletas!E230="Juvenil 90kg",10,IF(Atletas!E230="Juvenil 100kg",11,IF(Atletas!E230="Adulto 48kg",12,IF(Atletas!E230="Adulto 52kg",13,IF(Atletas!E230="Adulto 56kg",14,IF(Atletas!E230="Adulto 60kg",15,IF(Atletas!E230="Adulto 65kg",16,IF(Atletas!E230="Adulto 70kg",17,IF(Atletas!E230="Adulto 75kg",18,IF(Atletas!E230="Adulto 82kg",19,IF(Atletas!E230="Adulto 90kg",20,IF(Atletas!E230="Adulto 100kg",21,IF(Atletas!E230="Adulto +100kg",22,""))))))))))))))))))))))))</f>
        <v/>
      </c>
      <c r="AT234" s="10" t="str">
        <f>IF(Atletas!F230="","",IF(Atletas!B230="Feminino",100,IF(Atletas!B230="Masculino",200,""))+(IF(Atletas!F230="Adulto 48kg",1,IF(Atletas!F230="Adulto 56kg",2,IF(Atletas!F230="Adulto 65kg",3,IF(Atletas!F230="Adulto 75kg",4,IF(Atletas!F230="Adulto +75kg",5,IF(Atletas!F230="Adulto 52kg",6,IF(Atletas!F230="Adulto 60kg",7,IF(Atletas!F230="Adulto 70kg",8,IF(Atletas!F230="Adulto 80kg",9,IF(Atletas!F230="Adulto 90kg",10,IF(Atletas!F230="Adulto +90kg",11,"")))))))))))))</f>
        <v/>
      </c>
      <c r="AY234" s="46" t="str">
        <f>IF(Atletas!G230="","",IF(Atletas!B230="Feminino",100,IF(Atletas!B230="Masculino",200,""))+(IF(Atletas!G230="Changquan Mirim",1,IF(Atletas!G230="Nanquan Mirim",2,IF(Atletas!G230="Taijiquan Mirim",3,IF(Atletas!G230="Changquan Grupo C",4,IF(Atletas!G230="Nanquan Grupo C",5,IF(Atletas!G230="Taijiquan Grupo C",6,IF(Atletas!G230="Changquan Grupo B",7,IF(Atletas!G230="Nanquan Grupo B",8,IF(Atletas!G230="Taijiquan Grupo B",9,IF(Atletas!G230="Changquan Grupo A",10,IF(Atletas!G230="Nanquan Grupo A",11,IF(Atletas!G230="Taijiquan Grupo A",12,IF(Atletas!G230="Changquan Opcional",13,IF(Atletas!G230="Nanquan Opcional",14,IF(Atletas!G230="Taijiquan Opcional",15,IF(Atletas!G230="Changquan Adulto",16,IF(Atletas!G230="Nanquan Adulto",17,IF(Atletas!G230="Taijiquan Adulto",18,""))))))))))))))))))))</f>
        <v/>
      </c>
      <c r="AZ234" s="46" t="str">
        <f>IF(Atletas!H230="","",IF(Atletas!B230="Feminino",100,IF(Atletas!B230="Masculino",200,""))+(IF(Atletas!H230="Daoshu Mirim",19,IF(Atletas!H230="Jianshu Mirim",20,IF(Atletas!H230="Nandao Mirim",21,IF(Atletas!H230="Taijijian Mirim",22,IF(Atletas!H230="Daoshu Grupo C",23,IF(Atletas!H230="Jianshu Grupo C",24,IF(Atletas!H230="Nandao Grupo C",25,IF(Atletas!H230="Taijijian Grupo C",26,IF(Atletas!H230="Daoshu Grupo B",27,IF(Atletas!H230="Jianshu Grupo B",28,IF(Atletas!H230="Nandao Grupo B",29,IF(Atletas!H230="Taijijian Grupo B",30,IF(Atletas!H230="Daoshu Grupo A",31,IF(Atletas!H230="Jianshu Grupo A",32,IF(Atletas!H230="Nandao Grupo A",33,IF(Atletas!H230="Taijijian Grupo A",34,IF(Atletas!H230="Daoshu Opcional",35,IF(Atletas!H230="Jianshu Opcional",36,IF(Atletas!H230="Nandao Opcional",37,IF(Atletas!H230="Taijijian Opcional",38,IF(Atletas!H230="Daoshu Adulto",39,IF(Atletas!H230="Jianshu Adulto",40,IF(Atletas!H230="Nandao Adulto",41,IF(Atletas!H230="Taijijian Adulto",42,""))))))))))))))))))))))))))</f>
        <v/>
      </c>
      <c r="BA234" s="46" t="str">
        <f>IF(Atletas!I230="","",IF(Atletas!B230="Feminino",100,IF(Atletas!B230="Masculino",200,""))+(IF(Atletas!I230="Gunshu Mirim",43,IF(Atletas!I230="Qiangshu Mirim",44,IF(Atletas!I230="Nangun Mirim",45,IF(Atletas!I230="Gunshu Grupo C",46,IF(Atletas!I230="Qiangshu Grupo C",47,IF(Atletas!I230="Nangun Grupo C",48,IF(Atletas!I230="Gunshu Grupo B",49,IF(Atletas!I230="Qiangshu Grupo B",50,IF(Atletas!I230="Nangun Grupo B",51,IF(Atletas!I230="Gunshu Grupo A",52,IF(Atletas!I230="Qiangshu Grupo A",53,IF(Atletas!I230="Nangun Grupo A",54,IF(Atletas!I230="Gunshu Opcional",55,IF(Atletas!I230="Qiangshu Opcional",56,IF(Atletas!I230="Nangun Opcional",57,IF(Atletas!I230="Gunshu Adulto",58,IF(Atletas!I230="Qiangshu Adulto",59,IF(Atletas!I230="Nangun Adulto",60,""))))))))))))))))))))</f>
        <v/>
      </c>
      <c r="BF234" s="52" t="str">
        <f>IF(Atletas!J230="","",IF(Atletas!B230="Feminino",100,IF(Atletas!B230="Masculino",200,""))+(IF(Atletas!J230="Equipe 1 Grupo B",1,IF(Atletas!J230="Equipe 2 Grupo B",2,IF(Atletas!J230="Equipe 1 Grupo A",3,IF(Atletas!J230="Equipe 2 Grupo A",4,IF(Atletas!J230="Equipe 1 Adulto",5,IF(Atletas!J230="Equipe 2 Adulto",6,""))))))))</f>
        <v/>
      </c>
      <c r="BK234" s="52" t="str">
        <f>IF(Atletas!K230="","",IF(Atletas!W230&lt;&gt;"",10000,0)+(IF(Atletas!B230="Feminino",1000,IF(Atletas!B230="Masculino",2000,""))+IF(Atletas!K230="Choylayfut A",1,IF(Atletas!K230="Hunggar A",2,IF(Atletas!K230="Wuzuquan A",3,IF(Atletas!K230="Wingchun A",4,IF(Atletas!K230="Outra Mão de Sul A",5,IF(Atletas!K230="Choylayfut B",6,IF(Atletas!K230="Hunggar B",7,IF(Atletas!K230="Wuzuquan B",8,IF(Atletas!K230="Wingchun B",9,IF(Atletas!K230="Outra Mão de Sul B",10,IF(Atletas!K230="Choylayfut C",11,IF(Atletas!K230="Hunggar C",12,IF(Atletas!K230="Wuzuquan C",13,IF(Atletas!K230="Wingchun C",14,IF(Atletas!K230="Outra Mão de Sul C",15,IF(Atletas!K230="Choylayfut D",16,IF(Atletas!K230="Hunggar D",17,IF(Atletas!K230="Wuzuquan D",18,IF(Atletas!K230="Wingchun D",19,IF(Atletas!K230="Outra Mão de Sul D",20,IF(Atletas!K230="Choylayfut E",21,IF(Atletas!K230="Hunggar E",22,IF(Atletas!K230="Wuzuquan E",23,IF(Atletas!K230="Wingchun E",24,IF(Atletas!K230="Outra Mão de Sul E",25,IF(Atletas!K230="Choylayfut F",26,IF(Atletas!K230="Hunggar F",27,IF(Atletas!K230="Wuzuquan F",28,IF(Atletas!K230="Wingchun F",29,IF(Atletas!K230="Outra Mão de Sul F",30,""))))))))))))))))))))))))))))))))</f>
        <v/>
      </c>
      <c r="BL234" s="52" t="str">
        <f>IF(Atletas!L230="","",IF(Atletas!W230&lt;&gt;"",10000,0)+(IF(Atletas!B230="Feminino",1000,IF(Atletas!B230="Masculino",2000,""))+(IF(Atletas!L230="Chaquan A",101,IF(Atletas!L230="Emeiquan A",102,IF(Atletas!L230="Fanziquan A",103,IF(Atletas!L230="Huaquan A",104,IF(Atletas!L230="Hongquan A",105,IF(Atletas!L230="Paochui A",106,IF(Atletas!L230="Piguaquan A",107,IF(Atletas!L230="Shaolinquan A",108,IF(Atletas!L230="Tanglangquan A",109,IF(Atletas!L230="Yinzhaophai A",110,IF(Atletas!L230="Tongbeiquan A",111,IF(Atletas!L230="Wudangquan A",112,IF(Atletas!L230="Outros Estilos A",113,IF(Atletas!L230="Chaquan B",114,IF(Atletas!L230="Emeiquan B",115,IF(Atletas!L230="Fanziquan B",116,IF(Atletas!L230="Huaquan B",117,IF(Atletas!L230="Hongquan B",118,IF(Atletas!L230="Paochui B",119,IF(Atletas!L230="Piguaquan B",120,IF(Atletas!L230="Shaolinquan B",121,IF(Atletas!L230="Tanglangquan B",122,IF(Atletas!L230="Yinzhaophai B",123,IF(Atletas!L230="Tongbeiquan B",124,IF(Atletas!L230="Wudangquan B",125,IF(Atletas!L230="Outros Estilos B",126,IF(Atletas!L230="Chaquan C",127,IF(Atletas!L230="Emeiquan C",128,IF(Atletas!L230="Fanziquan C",129,IF(Atletas!L230="Huaquan C",130,IF(Atletas!L230="Hongquan C",131,IF(Atletas!L230="Paochui C",132,IF(Atletas!L230="Piguaquan C",133,IF(Atletas!L230="Shaolinquan C",134,IF(Atletas!L230="Tanglangquan C",135,IF(Atletas!L230="Yinzhaophai C",136,IF(Atletas!L230="Tongbeiquan C",137,IF(Atletas!L230="Wudangquan C",138,IF(Atletas!L230="Outros Estilos C",139,0))))))))))))))))))))))))))))))))))))))))))</f>
        <v/>
      </c>
      <c r="BM234" s="52" t="str">
        <f>IF(Atletas!L230="","",IF(Atletas!W230&lt;&gt;"",10000,0)+(IF(Atletas!B230="Feminino",1000,IF(Atletas!B230="Masculino",2000,""))+(IF(Atletas!L230="Chaquan D",140,IF(Atletas!L230="Emeiquan D",141,IF(Atletas!L230="Fanziquan D",142,IF(Atletas!L230="Huaquan D",143,IF(Atletas!L230="Hongquan D",144,IF(Atletas!L230="Paochui D",145,IF(Atletas!L230="Piguaquan D",146,IF(Atletas!L230="Shaolinquan D",147,IF(Atletas!L230="Tanglangquan D",148,IF(Atletas!L230="Yinzhaophai D",149,IF(Atletas!L230="Tongbeiquan D",150,IF(Atletas!L230="Wudangquan D",151,IF(Atletas!L230="Outros Estilos D",152,IF(Atletas!L230="Chaquan E",153,IF(Atletas!L230="Emeiquan E",154,IF(Atletas!L230="Fanziquan E",155,IF(Atletas!L230="Huaquan E",156,IF(Atletas!L230="Hongquan E",157,IF(Atletas!L230="Paochui E",158,IF(Atletas!L230="Piguaquan E",159,IF(Atletas!L230="Shaolinquan E",160,IF(Atletas!L230="Tanglangquan E",161,IF(Atletas!L230="Yinzhaophai E",162,IF(Atletas!L230="Tongbeiquan E",163,IF(Atletas!L230="Wudangquan E",164,IF(Atletas!L230="Outros Estilos E",165,IF(Atletas!L230="Chaquan F",166,IF(Atletas!L230="Emeiquan F",167,IF(Atletas!L230="Fanziquan F",168,IF(Atletas!L230="Huaquan F",169,IF(Atletas!L230="Hongquan F",170,IF(Atletas!L230="Paochui F",171,IF(Atletas!L230="Piguaquan F",172,IF(Atletas!L230="Shaolinquan F",173,IF(Atletas!L230="Tanglangquan F",174,IF(Atletas!L230="Yinzhaophai F",175,IF(Atletas!L230="Tongbeiquan F",176,IF(Atletas!L230="Wudangquan F",177,IF(Atletas!L230="Outros Estilos F",178,0))))))))))))))))))))))))))))))))))))))))))</f>
        <v/>
      </c>
      <c r="BN234" s="52" t="str">
        <f>IF(Atletas!M230="","",IF(Atletas!W230&lt;&gt;"",10000,0)+(IF(Atletas!B230="Feminino",1000,IF(Atletas!B230="Masculino",2000,""))+(IF(Atletas!M230="Ditangquan A",201,IF(Atletas!M230="Houquan A",202,IF(Atletas!M230="Zuiquan A",203,IF(Atletas!M230="Ditangquan B",204,IF(Atletas!M230="Houquan B",205,IF(Atletas!M230="Zuiquan B",206,IF(Atletas!M230="Ditangquan C",207,IF(Atletas!M230="Houquan C",208,IF(Atletas!M230="Zuiquan C",209,IF(Atletas!M230="Ditangquan D",210,IF(Atletas!M230="Houquan D",211,IF(Atletas!M230="Zuiquan D",212,IF(Atletas!M230="Ditangquan E",213,IF(Atletas!M230="Houquan E",214,IF(Atletas!M230="Zuiquan E",215,IF(Atletas!M230="Ditangquan F",216,IF(Atletas!M230="Houquan F",217,IF(Atletas!M230="Zuiquan F",218,"")))))))))))))))))))))</f>
        <v/>
      </c>
      <c r="BO234" s="52" t="str">
        <f>IF(Atletas!N230="","",IF(Atletas!W230&lt;&gt;"",10000,0)+IF(Atletas!B230="Feminino",1000,IF(Atletas!B230="Masculino",2000,""))+IF(Atletas!N230="Yang A",301,IF(Atletas!N230="Chen A",30,IF(Atletas!N230="Sun A",303,IF(Atletas!N230="Wu A",304,IF(Atletas!N230="Wu-Hao A",305,IF(Atletas!N230="Outro Taijiquan A",306,IF(Atletas!N230="Yang B",307,IF(Atletas!N230="Chen B",308,IF(Atletas!N230="Sun B",309,IF(Atletas!N230="Wu B",310,IF(Atletas!N230="Wu-Hao B",311,IF(Atletas!N230="Outro Taijiquan B",312,IF(Atletas!N230="Yang C",313,IF(Atletas!N230="Chen C",314,IF(Atletas!N230="Sun C",315,IF(Atletas!N230="Wu C",316,IF(Atletas!N230="Wu-Hao C",317,IF(Atletas!N230="Outro Taijiquan C",318,IF(Atletas!N230="Yang D",319,IF(Atletas!N230="Chen D",320,IF(Atletas!N230="Sun D",321,IF(Atletas!N230="Wu D",322,IF(Atletas!N230="Wu-Hao D",323,IF(Atletas!N230="Outro Taijiquan D",324,IF(Atletas!N230="Yang E",325,IF(Atletas!N230="Chen E",326,IF(Atletas!N230="Sun E",327,IF(Atletas!N230="Wu E",328,IF(Atletas!N230="Wu-Hao E",329,IF(Atletas!N230="Outro Taijiquan E",330,IF(Atletas!N230="Yang F",331,IF(Atletas!N230="Chen F",332,IF(Atletas!N230="Sun F",333,IF(Atletas!N230="Wu F",334,IF(Atletas!N230="Wu-Hao F",335,IF(Atletas!N230="Outro Taijiquan F",336,"")))))))))))))))))))))))))))))))))))))</f>
        <v/>
      </c>
      <c r="BP234" s="52" t="str">
        <f>IF(Atletas!O230="","",IF(Atletas!W230&lt;&gt;"",10000,0)+IF(Atletas!B230="Feminino",1000,IF(Atletas!B230="Masculino",2000,""))+IF(OR(Atletas!O230="Yang 26 A",Atletas!O230="Yang 40 A"),401,IF(OR(Atletas!O230="Chen 25 A",Atletas!O230="Chen 36 A",Atletas!O230="Chen 56 A"),402,IF(Atletas!O230="Sun 73 A",403,IF(Atletas!O230="Wu 45 A",404,IF(Atletas!O230="Wu-Hao 46 A",405,IF(OR(Atletas!O230="Taijiquan 16 A",Atletas!O230="Taijiquan 24 A",Atletas!O230="Taijiquan 32 A",Atletas!O230="Taijiquan 42 A"),406,IF(OR(Atletas!O230="Yang 26 B",Atletas!O230="Yang 40 B"),407,IF(OR(Atletas!O230="Chen 25 B",Atletas!O230="Chen 36 B",Atletas!O230="Chen 56 B"),408,IF(Atletas!O230="Sun 73 B",409,IF(Atletas!O230="Wu 45 B",410,IF(Atletas!O230="Wu-Hao 46 B",411,IF(OR(Atletas!O230="Taijiquan 16 B",Atletas!O230="Taijiquan 24 B",Atletas!O230="Taijiquan 32 B",Atletas!O230="Taijiquan 42 B"),412,IF(OR(Atletas!O230="Yang 26 C",Atletas!O230="Yang 40 C"),413,IF(OR(Atletas!O230="Chen 25 C",Atletas!O230="Chen 36 C",Atletas!O230="Chen 56 C"),414,IF(Atletas!O230="Sun 73 C",415,IF(Atletas!O230="Wu 45 C",416,IF(Atletas!O230="Wu-Hao 46 C",417,IF(OR(Atletas!O230="Taijiquan 16 C",Atletas!O230="Taijiquan 24 C",Atletas!O230="Taijiquan 32 C",Atletas!O230="Taijiquan 42 C"),418,0)))))))))))))))))))</f>
        <v/>
      </c>
      <c r="BQ234" s="52" t="str">
        <f>IF(Atletas!O230="","",IF(Atletas!W230&lt;&gt;"",10000,0)+IF(Atletas!B230="Feminino",1000,IF(Atletas!B230="Masculino",2000,""))+IF(OR(Atletas!O230="Yang 26 D",Atletas!O230="Yang 40 D"),419,IF(OR(Atletas!O230="Chen 25 D",Atletas!O230="Chen 36 D",Atletas!O230="Chen 56 D"),420,IF(Atletas!O230="Sun 73 D",421,IF(Atletas!O230="Wu 45 D",422,IF(Atletas!O230="Wu-Hao 46 D",423,IF(OR(Atletas!O230="Taijiquan 16 D",Atletas!O230="Taijiquan 24 D",Atletas!O230="Taijiquan 32 D",Atletas!O230="Taijiquan 42 D"),424,IF(OR(Atletas!O230="Yang 26 E",Atletas!O230="Yang 40 E"),425,IF(OR(Atletas!O230="Chen 25 E",Atletas!O230="Chen 36 E",Atletas!O230="Chen 56 E"),426,IF(Atletas!O230="Sun 73 E",427,IF(Atletas!O230="Wu 45 E",428,IF(Atletas!O230="Wu-Hao 46 E",429,IF(OR(Atletas!O230="Taijiquan 16 E",Atletas!O230="Taijiquan 24 E",Atletas!O230="Taijiquan 32 E",Atletas!O230="Taijiquan 42 E"),430,IF(OR(Atletas!O230="Yang 26 F",Atletas!O230="Yang 40 F"),431,IF(OR(Atletas!O230="Chen 25 F",Atletas!O230="Chen 36 F",Atletas!O230="Chen 56 F"),432,IF(Atletas!O230="Sun 73 F",433,IF(Atletas!O230="Wu 45 F",434,IF(Atletas!O230="Wu-Hao 46 F",435,IF(OR(Atletas!O230="Taijiquan 16 F",Atletas!O230="Taijiquan 24 F",Atletas!O230="Taijiquan 32 F",Atletas!O230="Taijiquan 42 F"),436,0)))))))))))))))))))</f>
        <v/>
      </c>
      <c r="BR234" s="52" t="str">
        <f>IF(Atletas!P230="","",IF(Atletas!W230&lt;&gt;"",10000,0)+IF(Atletas!B230="Feminino",1000,IF(Atletas!B230="Masculino",2000,""))+IF(Atletas!P230="Xingyiquan A",501,IF(Atletas!P230="Baguazhang A",502,IF(Atletas!P230="Outro Estilo Interno A",503,IF(Atletas!P230="Xingyiquan B",504,IF(Atletas!P230="Baguazhang B",505,IF(Atletas!P230="Outro Estilo Interno B",506,IF(Atletas!P230="Xingyiquan C",507,IF(Atletas!P230="Baguazhang C",508,IF(Atletas!P230="Outro Estilo Interno C",509,IF(Atletas!P230="Xingyiquan D",510,IF(Atletas!P230="Baguazhang D",511,IF(Atletas!P230="Outro Estilo Interno D",512,IF(Atletas!P230="Xingyiquan E",513,IF(Atletas!P230="Baguazhang E",514,IF(Atletas!P230="Outro Estilo Interno E",515,IF(Atletas!P230="Xingyiquan F",516,IF(Atletas!P230="Baguazhang F",517,IF(Atletas!P230="Outro Estilo Interno F",518, "")))))))))))))))))))</f>
        <v/>
      </c>
      <c r="BS234" s="52" t="str">
        <f>IF(Atletas!Q230="","",IF(Atletas!W230&lt;&gt;"",10000,0)+IF(Atletas!B230="Feminino",1000,IF(Atletas!B230="Masculino",2000,""))+IF(Atletas!Q230="Dao A",601,IF(Atletas!Q230="Jian A",602,IF(Atletas!Q230="Bishou A",603,IF(Atletas!Q230="Shan A",604,IF(Atletas!Q230="Outra Arma Curta A",605,IF(Atletas!Q230="Dao B",606,IF(Atletas!Q230="Jian B",607,IF(Atletas!Q230="Bishou B",608,IF(Atletas!Q230="Shan B",609,IF(Atletas!Q230="Outra Arma Curta B",610,IF(Atletas!Q230="Dao C",611,IF(Atletas!Q230="Jian C",612,IF(Atletas!Q230="Bishou C",613,IF(Atletas!Q230="Shan C",614,IF(Atletas!Q230="Outra Arma Curta C",615,IF(Atletas!Q230="Dao D",616,IF(Atletas!Q230="Jian D",617,IF(Atletas!Q230="Bishou D",618,IF(Atletas!Q230="Shan D",619,IF(Atletas!Q230="Outra Arma Curta D",620,IF(Atletas!Q230="Dao E",621,IF(Atletas!Q230="Jian E",622,IF(Atletas!Q230="Bishou E",623,IF(Atletas!Q230="Shan E",624,IF(Atletas!Q230="Outra Arma Curta E",625,IF(Atletas!Q230="Dao F",626,IF(Atletas!Q230="Jian F",627,IF(Atletas!Q230="Bishou F",628,IF(Atletas!Q230="Shan F",629,IF(Atletas!Q230="Outra Arma Curta F",630, "")))))))))))))))))))))))))))))))</f>
        <v/>
      </c>
      <c r="BT234" s="52" t="str">
        <f>IF(Atletas!R230="","",IF(Atletas!W230&lt;&gt;"",10000,0)+IF(Atletas!B230="Feminino",1000,IF(Atletas!B230="Masculino",2000,""))+IF(Atletas!R230="Gun A",701,IF(Atletas!R230="Qiang A",702,IF(Atletas!R230="Pudao / Guandao A",703,IF(Atletas!R230="Outra Arma Longa A",704,IF(Atletas!R230="Gun B",705,IF(Atletas!R230="Qiang B",706,IF(Atletas!R230="Pudao / Guandao B",707,IF(Atletas!R230="Outra Arma Longa B",708,IF(Atletas!R230="Gun C",709,IF(Atletas!R230="Qiang C",710,IF(Atletas!R230="Pudao / Guandao C",711,IF(Atletas!R230="Outra Arma Longa C",712,IF(Atletas!R230="Gun D",713,IF(Atletas!R230="Qiang D",714,IF(Atletas!R230="Pudao / Guandao D",715,IF(Atletas!R230="Outra Arma Longa D",716,IF(Atletas!R230="Gun E",717,IF(Atletas!R230="Qiang E",718,IF(Atletas!R230="Pudao / Guandao E",719,IF(Atletas!R230="Outra Arma Longa E",720,IF(Atletas!R230="Gun F",721,IF(Atletas!R230="Qiang F",722,IF(Atletas!R230="Pudao / Guandao F",723,IF(Atletas!R230="Outra Arma Longa F",724,"")))))))))))))))))))))))))</f>
        <v/>
      </c>
      <c r="BU234" s="52" t="str">
        <f>IF(Atletas!S230="","",IF(Atletas!W230&lt;&gt;"",10000,0)+IF(Atletas!B230="Feminino",1000,IF(Atletas!B230="Masculino",2000,""))+IF(Atletas!S230="Arma Dupla A",801,IF(Atletas!S230="Arma Maleável A",802,IF(Atletas!S230="Arma Dupla B",803,IF(Atletas!S230="Arma Maleável B",804,IF(Atletas!S230="Arma Dupla C",805,IF(Atletas!S230="Arma Maleável C",806,IF(Atletas!S230="Arma Dupla D",807,IF(Atletas!S230="Arma Maleável D",808,IF(Atletas!S230="Arma Dupla E",809,IF(Atletas!S230="Arma Maleável E",810,IF(Atletas!S230="Arma Dupla F",811,IF(Atletas!S230="Arma Maleável F",812, "")))))))))))))</f>
        <v/>
      </c>
      <c r="BV234" s="52" t="str">
        <f>IF(Atletas!T230="","",IF(Atletas!W230&lt;&gt;"",10000,0)+IF(Atletas!B230="Feminino",1000,IF(Atletas!B230="Masculino",2000,""))+IF(Atletas!T230="Taijijian Yang A",901,IF(Atletas!T230="Taijijian Chen A",902,IF(Atletas!T230="Taijijian Sun A",903,IF(Atletas!T230="Taijijian Wu A",904,IF(Atletas!T230="Taijijian Wu-Hao A",905,IF(Atletas!T230="Taijijian 32 A",906,IF(Atletas!T230="Taijijian 42 A",907,IF(Atletas!T230="Taijijian Yang B",908,IF(Atletas!T230="Taijijian Chen B",909,IF(Atletas!T230="Taijijian Sun B",910,IF(Atletas!T230="Taijijian Wu B",911,IF(Atletas!T230="Taijijian Wu-Hao B",912,IF(Atletas!T230="Taijijian 32 B",913,IF(Atletas!T230="Taijijian 42 B",914,IF(Atletas!T230="Taijijian Yang C",915,IF(Atletas!T230="Taijijian Chen C",916,IF(Atletas!T230="Taijijian Sun C",917,IF(Atletas!T230="Taijijian Wu C",918,IF(Atletas!T230="Taijijian Wu-Hao C",919,IF(Atletas!T230="Taijijian 32 C",920,IF(Atletas!T230="Taijijian 42 C",921,IF(Atletas!T230="Taijijian Yang D",922,IF(Atletas!T230="Taijijian Chen D",923,IF(Atletas!T230="Taijijian Sun D",924,IF(Atletas!T230="Taijijian Wu D",925,IF(Atletas!T230="Taijijian Wu-Hao D",926,IF(Atletas!T230="Taijijian 32 D",927,IF(Atletas!T230="Taijijian 42 D",928,IF(Atletas!T230="Taijijian Yang E",929,IF(Atletas!T230="Taijijian Chen E",930,IF(Atletas!T230="Taijijian Sun E",931,IF(Atletas!T230="Taijijian Wu E",932,IF(Atletas!T230="Taijijian Wu-Hao E",933,IF(Atletas!T230="Taijijian 32 E",934,IF(Atletas!T230="Taijijian 42 E",935,IF(Atletas!T230="Taijijian Yang F",936,IF(Atletas!T230="Taijijian Chen F",937,IF(Atletas!T230="Taijijian Sun F",938,IF(Atletas!T230="Taijijian Wu F",939,IF(Atletas!T230="Taijijian Wu-Hao F",940,IF(Atletas!T230="Taijijian 32 F",941,IF(Atletas!T230="Taijijian 42 F",942,"")))))))))))))))))))))))))))))))))))))))))))</f>
        <v/>
      </c>
      <c r="BW234" s="52" t="str">
        <f>IF(Atletas!U230="","",IF(Atletas!W230&lt;&gt;"",10000,0)+IF(Atletas!B230="Feminino",1000,IF(Atletas!B230="Masculino",2000,""))+IF(Atletas!T230="Taijijian 42 F",942,IF(Atletas!U230="Taijidao A",943,IF(Atletas!U230="Taijishan A",944,IF(Atletas!U230="Taijiqiang A",945,IF(Atletas!U230="Taijidao B",946,IF(Atletas!U230="Taijishan B",947,IF(Atletas!U230="Taijiqiang B",948,IF(Atletas!U230="Taijidao C",949,IF(Atletas!U230="Taijishan C",950,IF(Atletas!U230="Taijiqiang C",951,IF(Atletas!U230="Taijidao D",952,IF(Atletas!U230="Taijishan D",953,IF(Atletas!U230="Taijiqiang D",954,IF(Atletas!U230="Taijidao E",955,IF(Atletas!U230="Taijishan E",956,IF(Atletas!U230="Taijiqiang E",957,IF(Atletas!U230="Taijidao F",958,IF(Atletas!U230="Taijishan F",959,IF(Atletas!U230="Taijiqiang F",960))))))))))))))))))))</f>
        <v/>
      </c>
      <c r="BX234" s="72" t="str">
        <f>IF(BY234&lt;&gt;"","Jian C","")</f>
        <v/>
      </c>
      <c r="BY234" s="72" t="str">
        <f>IF(COUNTIF(BK:BW,1612)&gt;0,COUNTIF(BK:BW,1612),"")</f>
        <v/>
      </c>
      <c r="BZ234" s="72" t="str">
        <f>IF(CA234&lt;&gt;"","Jian C","")</f>
        <v/>
      </c>
      <c r="CA234" s="72" t="str">
        <f>IF(COUNTIF(BK:BW,2612)&gt;0,COUNTIF(BK:BW,2612),"")</f>
        <v/>
      </c>
      <c r="CB234" s="72" t="str">
        <f>IF(CC234&lt;&gt;"","Taijiquan 24 F","")</f>
        <v/>
      </c>
      <c r="CC234" s="64" t="str">
        <f>IF(COUNTIF(BK:BW,11466)&gt;0,COUNTIF(BK:BW,11466),"")</f>
        <v/>
      </c>
      <c r="CD234" s="64" t="str">
        <f>IF(CE234&lt;&gt;"","Taijiquan 24 F","")</f>
        <v/>
      </c>
      <c r="CE234" s="64" t="str">
        <f>IF(COUNTIF(BK:BW,12466)&gt;0,COUNTIF(BK:BW,12466),"")</f>
        <v/>
      </c>
      <c r="CF234" s="52" t="str">
        <f xml:space="preserve"> IF(Atletas!V230="","",IF(Atletas!V230="Duilian de Mãos AB - Equipe 1",1,IF(Atletas!V230="Duilian de Mãos AB - Equipe 2",2,IF(Atletas!V230="Duilian de Armas AB - Equipe 1",3,IF(Atletas!V230="Duilian de Armas AB - Equipe 2",4,IF(Atletas!V230="Duilian de Tuishou - Equipe 1",5,IF(Atletas!V230="Duilian de Tuishou - Equipe 2",6,IF(Atletas!V230="Grupo Externo AB - Equipe 1",7,IF(Atletas!V230="Grupo Externo AB - Equipe 2",8,IF(Atletas!V230="Grupo Interno AB - Equipe 1",9,IF(Atletas!V230="Grupo Interno AB - Equipe 2",10,IF(Atletas!V230="Duilian de Mãos CD - Equipe 1",11,IF(Atletas!V230="Duilian de Mãos CD - Equipe 2",12,IF(Atletas!V230="Duilian de Armas CD - Equipe 1",13,IF(Atletas!V230="Duilian de Armas CD - Equipe 2",14,IF(Atletas!V230="Duilian de Tuishou - Equipe 1",15,IF(Atletas!V230="Duilian de Tuishou - Equipe 2",16,IF(Atletas!V230="Grupo Externo CDEF - Equipe 1",17,IF(Atletas!V230="Grupo Externo CDEF - Equipe 2",18,IF(Atletas!V230="Grupo Interno CDEF - Equipe 1",19,IF(Atletas!V230="Grupo Interno CDEF - Equipe 2",20,IF(Atletas!V230="Duilian de Mãos EF - Equipe 1",21,IF(Atletas!V230="Duilian de Mãos EF - Equipe 2",22,IF(Atletas!V230="Duilian de Armas EF - Equipe 1",23,IF(Atletas!V230="Duilian de Armas EF - Equipe 2",24,IF(Atletas!V230="Duilian de Tuishou - Equipe 1",25,IF(Atletas!V230="Duilian de Tuishou - Equipe 2",26,"")))))))))))))))))))))))))))</f>
        <v/>
      </c>
    </row>
    <row r="235" spans="2:84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 t="str">
        <f t="array" ref="V235">IFERROR(INDEX(BX$7:BX$336,SMALL(IF(BX$7:BX$336&lt;&gt;"",ROW(BX$7:BX$336)-ROW(BX$7)+1),ROWS(BX$7:BX204))),"")</f>
        <v/>
      </c>
      <c r="W235" s="4" t="str">
        <f t="array" ref="W235">IFERROR(INDEX(BY$7:BY$336,SMALL(IF(BY$7:BY$336&lt;&gt;"",ROW(BY$7:BY$336)-ROW(BY$7)+1),ROWS(BY$7:BY204))),"")</f>
        <v/>
      </c>
      <c r="X235" s="4" t="str">
        <f t="array" ref="X235">IFERROR(INDEX(BZ$7:BZ$336,SMALL(IF(BZ$7:BZ$336&lt;&gt;"",ROW(BZ$7:BZ$336)-ROW(BZ$7)+1),ROWS(BZ$7:BZ204))),"")</f>
        <v/>
      </c>
      <c r="Y235" s="4" t="str">
        <f t="array" ref="Y235">IFERROR(INDEX(CA$7:CA$336,SMALL(IF(CA$7:CA$336&lt;&gt;"",ROW(CA$7:CA$336)-ROW(CA$7)+1),ROWS(CA$7:CA204))),"")</f>
        <v/>
      </c>
      <c r="Z235" s="4" t="str">
        <f t="array" ref="Z235">IFERROR(INDEX(CB$7:CB$378,SMALL(IF(CB$7:CB$378&lt;&gt;"",ROW(CB$7:CB$378)-ROW(CB$7)+1),ROWS(CB$7:CB234))),"")</f>
        <v/>
      </c>
      <c r="AA235" s="4" t="str">
        <f t="array" ref="AA235">IFERROR(INDEX(CC$7:CC$378,SMALL(IF(CC$7:CC$378&lt;&gt;"",ROW(CC$7:CC$378)-ROW(CC$7)+1),ROWS(CC$7:CC234))),"")</f>
        <v/>
      </c>
      <c r="AB235" s="4" t="str">
        <f t="array" ref="AB235">IFERROR(INDEX(CD$7:CD$378,SMALL(IF(CD$7:CD$378&lt;&gt;"",ROW(CD$7:CD$378)-ROW(CD$7)+1),ROWS(CD$7:CD234))),"")</f>
        <v/>
      </c>
      <c r="AC235" s="4" t="str">
        <f t="array" ref="AC235">IFERROR(INDEX(CE$7:CE$378,SMALL(IF(CE$7:CE$378&lt;&gt;"",ROW(CE$7:CE$378)-ROW(CE$7)+1),ROWS(CE$7:CE234))),"")</f>
        <v/>
      </c>
      <c r="AD235" s="4"/>
      <c r="AE235" s="4"/>
      <c r="AF235" s="4"/>
      <c r="AG235" s="4"/>
      <c r="AH235" s="4"/>
      <c r="AI235" s="4"/>
      <c r="AJ235" s="46" t="str">
        <f>IF(Atletas!D231="","",IF(Atletas!B231="Feminino",100,IF(Atletas!B231="Masculino",200,""))+(IF(Atletas!D231="Infantil 39kg",1,IF(Atletas!D231="Infantil 42kg",2,IF(Atletas!D231="Infantil 45kg",3,IF(Atletas!D231="Infantil 48kg",4,IF(Atletas!D231="Infantil 52kg",5,IF(Atletas!D231="Infantil 56kg",6,IF(Atletas!D231="Infantil 60kg",7,IF(Atletas!D231="Juvenil 48kg",8,IF(Atletas!D231="Juvenil 52kg",9,IF(Atletas!D231="Juvenil 56kg",10,IF(Atletas!D231="Juvenil 60kg",11,IF(Atletas!D231="Juvenil 65kg",12,IF(Atletas!D231="Juvenil 70kg",13,IF(Atletas!D231="Juvenil 75kg",14,IF(Atletas!D231="Juvenil 80kg",15,IF(Atletas!D231="Adulto 48kg",16,IF(Atletas!D231="Adulto 52kg",17,IF(Atletas!D231="Adulto 56kg",18,IF(Atletas!D231="Adulto 60kg",19,IF(Atletas!D231="Adulto 65kg",20,IF(Atletas!D231="Adulto 70kg",21,IF(Atletas!D231="Adulto 75kg",22,IF(Atletas!D231="Adulto 80kg",23,IF(Atletas!D231="Adulto 85kg",24,IF(Atletas!D231="Adulto 90kg",25,IF(Atletas!D231="Adulto +90kg",26,""))))))))))))))))))))))))))))</f>
        <v/>
      </c>
      <c r="AO235" s="10" t="str">
        <f>IF(Atletas!E231="","",IF(Atletas!B231="Feminino",100,IF(Atletas!B231="Masculino",200,""))+(IF(Atletas!E231="Juvenil 44kg",1,IF(Atletas!E231="Juvenil 48kg",2,IF(Atletas!E231="Juvenil 52kg",3,IF(Atletas!E231="Juvenil 56kg",4,IF(Atletas!E231="Juvenil 60kg",5,IF(Atletas!E231="Juvenil 65kg",6,IF(Atletas!E231="Juvenil 70kg",7,IF(Atletas!E231="Juvenil 75kg",8,IF(Atletas!E231="Juvenil 82kg",9,IF(Atletas!E231="Juvenil 90kg",10,IF(Atletas!E231="Juvenil 100kg",11,IF(Atletas!E231="Adulto 48kg",12,IF(Atletas!E231="Adulto 52kg",13,IF(Atletas!E231="Adulto 56kg",14,IF(Atletas!E231="Adulto 60kg",15,IF(Atletas!E231="Adulto 65kg",16,IF(Atletas!E231="Adulto 70kg",17,IF(Atletas!E231="Adulto 75kg",18,IF(Atletas!E231="Adulto 82kg",19,IF(Atletas!E231="Adulto 90kg",20,IF(Atletas!E231="Adulto 100kg",21,IF(Atletas!E231="Adulto +100kg",22,""))))))))))))))))))))))))</f>
        <v/>
      </c>
      <c r="AT235" s="10" t="str">
        <f>IF(Atletas!F231="","",IF(Atletas!B231="Feminino",100,IF(Atletas!B231="Masculino",200,""))+(IF(Atletas!F231="Adulto 48kg",1,IF(Atletas!F231="Adulto 56kg",2,IF(Atletas!F231="Adulto 65kg",3,IF(Atletas!F231="Adulto 75kg",4,IF(Atletas!F231="Adulto +75kg",5,IF(Atletas!F231="Adulto 52kg",6,IF(Atletas!F231="Adulto 60kg",7,IF(Atletas!F231="Adulto 70kg",8,IF(Atletas!F231="Adulto 80kg",9,IF(Atletas!F231="Adulto 90kg",10,IF(Atletas!F231="Adulto +90kg",11,"")))))))))))))</f>
        <v/>
      </c>
      <c r="AY235" s="46" t="str">
        <f>IF(Atletas!G231="","",IF(Atletas!B231="Feminino",100,IF(Atletas!B231="Masculino",200,""))+(IF(Atletas!G231="Changquan Mirim",1,IF(Atletas!G231="Nanquan Mirim",2,IF(Atletas!G231="Taijiquan Mirim",3,IF(Atletas!G231="Changquan Grupo C",4,IF(Atletas!G231="Nanquan Grupo C",5,IF(Atletas!G231="Taijiquan Grupo C",6,IF(Atletas!G231="Changquan Grupo B",7,IF(Atletas!G231="Nanquan Grupo B",8,IF(Atletas!G231="Taijiquan Grupo B",9,IF(Atletas!G231="Changquan Grupo A",10,IF(Atletas!G231="Nanquan Grupo A",11,IF(Atletas!G231="Taijiquan Grupo A",12,IF(Atletas!G231="Changquan Opcional",13,IF(Atletas!G231="Nanquan Opcional",14,IF(Atletas!G231="Taijiquan Opcional",15,IF(Atletas!G231="Changquan Adulto",16,IF(Atletas!G231="Nanquan Adulto",17,IF(Atletas!G231="Taijiquan Adulto",18,""))))))))))))))))))))</f>
        <v/>
      </c>
      <c r="AZ235" s="46" t="str">
        <f>IF(Atletas!H231="","",IF(Atletas!B231="Feminino",100,IF(Atletas!B231="Masculino",200,""))+(IF(Atletas!H231="Daoshu Mirim",19,IF(Atletas!H231="Jianshu Mirim",20,IF(Atletas!H231="Nandao Mirim",21,IF(Atletas!H231="Taijijian Mirim",22,IF(Atletas!H231="Daoshu Grupo C",23,IF(Atletas!H231="Jianshu Grupo C",24,IF(Atletas!H231="Nandao Grupo C",25,IF(Atletas!H231="Taijijian Grupo C",26,IF(Atletas!H231="Daoshu Grupo B",27,IF(Atletas!H231="Jianshu Grupo B",28,IF(Atletas!H231="Nandao Grupo B",29,IF(Atletas!H231="Taijijian Grupo B",30,IF(Atletas!H231="Daoshu Grupo A",31,IF(Atletas!H231="Jianshu Grupo A",32,IF(Atletas!H231="Nandao Grupo A",33,IF(Atletas!H231="Taijijian Grupo A",34,IF(Atletas!H231="Daoshu Opcional",35,IF(Atletas!H231="Jianshu Opcional",36,IF(Atletas!H231="Nandao Opcional",37,IF(Atletas!H231="Taijijian Opcional",38,IF(Atletas!H231="Daoshu Adulto",39,IF(Atletas!H231="Jianshu Adulto",40,IF(Atletas!H231="Nandao Adulto",41,IF(Atletas!H231="Taijijian Adulto",42,""))))))))))))))))))))))))))</f>
        <v/>
      </c>
      <c r="BA235" s="46" t="str">
        <f>IF(Atletas!I231="","",IF(Atletas!B231="Feminino",100,IF(Atletas!B231="Masculino",200,""))+(IF(Atletas!I231="Gunshu Mirim",43,IF(Atletas!I231="Qiangshu Mirim",44,IF(Atletas!I231="Nangun Mirim",45,IF(Atletas!I231="Gunshu Grupo C",46,IF(Atletas!I231="Qiangshu Grupo C",47,IF(Atletas!I231="Nangun Grupo C",48,IF(Atletas!I231="Gunshu Grupo B",49,IF(Atletas!I231="Qiangshu Grupo B",50,IF(Atletas!I231="Nangun Grupo B",51,IF(Atletas!I231="Gunshu Grupo A",52,IF(Atletas!I231="Qiangshu Grupo A",53,IF(Atletas!I231="Nangun Grupo A",54,IF(Atletas!I231="Gunshu Opcional",55,IF(Atletas!I231="Qiangshu Opcional",56,IF(Atletas!I231="Nangun Opcional",57,IF(Atletas!I231="Gunshu Adulto",58,IF(Atletas!I231="Qiangshu Adulto",59,IF(Atletas!I231="Nangun Adulto",60,""))))))))))))))))))))</f>
        <v/>
      </c>
      <c r="BF235" s="52" t="str">
        <f>IF(Atletas!J231="","",IF(Atletas!B231="Feminino",100,IF(Atletas!B231="Masculino",200,""))+(IF(Atletas!J231="Equipe 1 Grupo B",1,IF(Atletas!J231="Equipe 2 Grupo B",2,IF(Atletas!J231="Equipe 1 Grupo A",3,IF(Atletas!J231="Equipe 2 Grupo A",4,IF(Atletas!J231="Equipe 1 Adulto",5,IF(Atletas!J231="Equipe 2 Adulto",6,""))))))))</f>
        <v/>
      </c>
      <c r="BK235" s="52" t="str">
        <f>IF(Atletas!K231="","",IF(Atletas!W231&lt;&gt;"",10000,0)+(IF(Atletas!B231="Feminino",1000,IF(Atletas!B231="Masculino",2000,""))+IF(Atletas!K231="Choylayfut A",1,IF(Atletas!K231="Hunggar A",2,IF(Atletas!K231="Wuzuquan A",3,IF(Atletas!K231="Wingchun A",4,IF(Atletas!K231="Outra Mão de Sul A",5,IF(Atletas!K231="Choylayfut B",6,IF(Atletas!K231="Hunggar B",7,IF(Atletas!K231="Wuzuquan B",8,IF(Atletas!K231="Wingchun B",9,IF(Atletas!K231="Outra Mão de Sul B",10,IF(Atletas!K231="Choylayfut C",11,IF(Atletas!K231="Hunggar C",12,IF(Atletas!K231="Wuzuquan C",13,IF(Atletas!K231="Wingchun C",14,IF(Atletas!K231="Outra Mão de Sul C",15,IF(Atletas!K231="Choylayfut D",16,IF(Atletas!K231="Hunggar D",17,IF(Atletas!K231="Wuzuquan D",18,IF(Atletas!K231="Wingchun D",19,IF(Atletas!K231="Outra Mão de Sul D",20,IF(Atletas!K231="Choylayfut E",21,IF(Atletas!K231="Hunggar E",22,IF(Atletas!K231="Wuzuquan E",23,IF(Atletas!K231="Wingchun E",24,IF(Atletas!K231="Outra Mão de Sul E",25,IF(Atletas!K231="Choylayfut F",26,IF(Atletas!K231="Hunggar F",27,IF(Atletas!K231="Wuzuquan F",28,IF(Atletas!K231="Wingchun F",29,IF(Atletas!K231="Outra Mão de Sul F",30,""))))))))))))))))))))))))))))))))</f>
        <v/>
      </c>
      <c r="BL235" s="52" t="str">
        <f>IF(Atletas!L231="","",IF(Atletas!W231&lt;&gt;"",10000,0)+(IF(Atletas!B231="Feminino",1000,IF(Atletas!B231="Masculino",2000,""))+(IF(Atletas!L231="Chaquan A",101,IF(Atletas!L231="Emeiquan A",102,IF(Atletas!L231="Fanziquan A",103,IF(Atletas!L231="Huaquan A",104,IF(Atletas!L231="Hongquan A",105,IF(Atletas!L231="Paochui A",106,IF(Atletas!L231="Piguaquan A",107,IF(Atletas!L231="Shaolinquan A",108,IF(Atletas!L231="Tanglangquan A",109,IF(Atletas!L231="Yinzhaophai A",110,IF(Atletas!L231="Tongbeiquan A",111,IF(Atletas!L231="Wudangquan A",112,IF(Atletas!L231="Outros Estilos A",113,IF(Atletas!L231="Chaquan B",114,IF(Atletas!L231="Emeiquan B",115,IF(Atletas!L231="Fanziquan B",116,IF(Atletas!L231="Huaquan B",117,IF(Atletas!L231="Hongquan B",118,IF(Atletas!L231="Paochui B",119,IF(Atletas!L231="Piguaquan B",120,IF(Atletas!L231="Shaolinquan B",121,IF(Atletas!L231="Tanglangquan B",122,IF(Atletas!L231="Yinzhaophai B",123,IF(Atletas!L231="Tongbeiquan B",124,IF(Atletas!L231="Wudangquan B",125,IF(Atletas!L231="Outros Estilos B",126,IF(Atletas!L231="Chaquan C",127,IF(Atletas!L231="Emeiquan C",128,IF(Atletas!L231="Fanziquan C",129,IF(Atletas!L231="Huaquan C",130,IF(Atletas!L231="Hongquan C",131,IF(Atletas!L231="Paochui C",132,IF(Atletas!L231="Piguaquan C",133,IF(Atletas!L231="Shaolinquan C",134,IF(Atletas!L231="Tanglangquan C",135,IF(Atletas!L231="Yinzhaophai C",136,IF(Atletas!L231="Tongbeiquan C",137,IF(Atletas!L231="Wudangquan C",138,IF(Atletas!L231="Outros Estilos C",139,0))))))))))))))))))))))))))))))))))))))))))</f>
        <v/>
      </c>
      <c r="BM235" s="52" t="str">
        <f>IF(Atletas!L231="","",IF(Atletas!W231&lt;&gt;"",10000,0)+(IF(Atletas!B231="Feminino",1000,IF(Atletas!B231="Masculino",2000,""))+(IF(Atletas!L231="Chaquan D",140,IF(Atletas!L231="Emeiquan D",141,IF(Atletas!L231="Fanziquan D",142,IF(Atletas!L231="Huaquan D",143,IF(Atletas!L231="Hongquan D",144,IF(Atletas!L231="Paochui D",145,IF(Atletas!L231="Piguaquan D",146,IF(Atletas!L231="Shaolinquan D",147,IF(Atletas!L231="Tanglangquan D",148,IF(Atletas!L231="Yinzhaophai D",149,IF(Atletas!L231="Tongbeiquan D",150,IF(Atletas!L231="Wudangquan D",151,IF(Atletas!L231="Outros Estilos D",152,IF(Atletas!L231="Chaquan E",153,IF(Atletas!L231="Emeiquan E",154,IF(Atletas!L231="Fanziquan E",155,IF(Atletas!L231="Huaquan E",156,IF(Atletas!L231="Hongquan E",157,IF(Atletas!L231="Paochui E",158,IF(Atletas!L231="Piguaquan E",159,IF(Atletas!L231="Shaolinquan E",160,IF(Atletas!L231="Tanglangquan E",161,IF(Atletas!L231="Yinzhaophai E",162,IF(Atletas!L231="Tongbeiquan E",163,IF(Atletas!L231="Wudangquan E",164,IF(Atletas!L231="Outros Estilos E",165,IF(Atletas!L231="Chaquan F",166,IF(Atletas!L231="Emeiquan F",167,IF(Atletas!L231="Fanziquan F",168,IF(Atletas!L231="Huaquan F",169,IF(Atletas!L231="Hongquan F",170,IF(Atletas!L231="Paochui F",171,IF(Atletas!L231="Piguaquan F",172,IF(Atletas!L231="Shaolinquan F",173,IF(Atletas!L231="Tanglangquan F",174,IF(Atletas!L231="Yinzhaophai F",175,IF(Atletas!L231="Tongbeiquan F",176,IF(Atletas!L231="Wudangquan F",177,IF(Atletas!L231="Outros Estilos F",178,0))))))))))))))))))))))))))))))))))))))))))</f>
        <v/>
      </c>
      <c r="BN235" s="52" t="str">
        <f>IF(Atletas!M231="","",IF(Atletas!W231&lt;&gt;"",10000,0)+(IF(Atletas!B231="Feminino",1000,IF(Atletas!B231="Masculino",2000,""))+(IF(Atletas!M231="Ditangquan A",201,IF(Atletas!M231="Houquan A",202,IF(Atletas!M231="Zuiquan A",203,IF(Atletas!M231="Ditangquan B",204,IF(Atletas!M231="Houquan B",205,IF(Atletas!M231="Zuiquan B",206,IF(Atletas!M231="Ditangquan C",207,IF(Atletas!M231="Houquan C",208,IF(Atletas!M231="Zuiquan C",209,IF(Atletas!M231="Ditangquan D",210,IF(Atletas!M231="Houquan D",211,IF(Atletas!M231="Zuiquan D",212,IF(Atletas!M231="Ditangquan E",213,IF(Atletas!M231="Houquan E",214,IF(Atletas!M231="Zuiquan E",215,IF(Atletas!M231="Ditangquan F",216,IF(Atletas!M231="Houquan F",217,IF(Atletas!M231="Zuiquan F",218,"")))))))))))))))))))))</f>
        <v/>
      </c>
      <c r="BO235" s="52" t="str">
        <f>IF(Atletas!N231="","",IF(Atletas!W231&lt;&gt;"",10000,0)+IF(Atletas!B231="Feminino",1000,IF(Atletas!B231="Masculino",2000,""))+IF(Atletas!N231="Yang A",301,IF(Atletas!N231="Chen A",30,IF(Atletas!N231="Sun A",303,IF(Atletas!N231="Wu A",304,IF(Atletas!N231="Wu-Hao A",305,IF(Atletas!N231="Outro Taijiquan A",306,IF(Atletas!N231="Yang B",307,IF(Atletas!N231="Chen B",308,IF(Atletas!N231="Sun B",309,IF(Atletas!N231="Wu B",310,IF(Atletas!N231="Wu-Hao B",311,IF(Atletas!N231="Outro Taijiquan B",312,IF(Atletas!N231="Yang C",313,IF(Atletas!N231="Chen C",314,IF(Atletas!N231="Sun C",315,IF(Atletas!N231="Wu C",316,IF(Atletas!N231="Wu-Hao C",317,IF(Atletas!N231="Outro Taijiquan C",318,IF(Atletas!N231="Yang D",319,IF(Atletas!N231="Chen D",320,IF(Atletas!N231="Sun D",321,IF(Atletas!N231="Wu D",322,IF(Atletas!N231="Wu-Hao D",323,IF(Atletas!N231="Outro Taijiquan D",324,IF(Atletas!N231="Yang E",325,IF(Atletas!N231="Chen E",326,IF(Atletas!N231="Sun E",327,IF(Atletas!N231="Wu E",328,IF(Atletas!N231="Wu-Hao E",329,IF(Atletas!N231="Outro Taijiquan E",330,IF(Atletas!N231="Yang F",331,IF(Atletas!N231="Chen F",332,IF(Atletas!N231="Sun F",333,IF(Atletas!N231="Wu F",334,IF(Atletas!N231="Wu-Hao F",335,IF(Atletas!N231="Outro Taijiquan F",336,"")))))))))))))))))))))))))))))))))))))</f>
        <v/>
      </c>
      <c r="BP235" s="52" t="str">
        <f>IF(Atletas!O231="","",IF(Atletas!W231&lt;&gt;"",10000,0)+IF(Atletas!B231="Feminino",1000,IF(Atletas!B231="Masculino",2000,""))+IF(OR(Atletas!O231="Yang 26 A",Atletas!O231="Yang 40 A"),401,IF(OR(Atletas!O231="Chen 25 A",Atletas!O231="Chen 36 A",Atletas!O231="Chen 56 A"),402,IF(Atletas!O231="Sun 73 A",403,IF(Atletas!O231="Wu 45 A",404,IF(Atletas!O231="Wu-Hao 46 A",405,IF(OR(Atletas!O231="Taijiquan 16 A",Atletas!O231="Taijiquan 24 A",Atletas!O231="Taijiquan 32 A",Atletas!O231="Taijiquan 42 A"),406,IF(OR(Atletas!O231="Yang 26 B",Atletas!O231="Yang 40 B"),407,IF(OR(Atletas!O231="Chen 25 B",Atletas!O231="Chen 36 B",Atletas!O231="Chen 56 B"),408,IF(Atletas!O231="Sun 73 B",409,IF(Atletas!O231="Wu 45 B",410,IF(Atletas!O231="Wu-Hao 46 B",411,IF(OR(Atletas!O231="Taijiquan 16 B",Atletas!O231="Taijiquan 24 B",Atletas!O231="Taijiquan 32 B",Atletas!O231="Taijiquan 42 B"),412,IF(OR(Atletas!O231="Yang 26 C",Atletas!O231="Yang 40 C"),413,IF(OR(Atletas!O231="Chen 25 C",Atletas!O231="Chen 36 C",Atletas!O231="Chen 56 C"),414,IF(Atletas!O231="Sun 73 C",415,IF(Atletas!O231="Wu 45 C",416,IF(Atletas!O231="Wu-Hao 46 C",417,IF(OR(Atletas!O231="Taijiquan 16 C",Atletas!O231="Taijiquan 24 C",Atletas!O231="Taijiquan 32 C",Atletas!O231="Taijiquan 42 C"),418,0)))))))))))))))))))</f>
        <v/>
      </c>
      <c r="BQ235" s="52" t="str">
        <f>IF(Atletas!O231="","",IF(Atletas!W231&lt;&gt;"",10000,0)+IF(Atletas!B231="Feminino",1000,IF(Atletas!B231="Masculino",2000,""))+IF(OR(Atletas!O231="Yang 26 D",Atletas!O231="Yang 40 D"),419,IF(OR(Atletas!O231="Chen 25 D",Atletas!O231="Chen 36 D",Atletas!O231="Chen 56 D"),420,IF(Atletas!O231="Sun 73 D",421,IF(Atletas!O231="Wu 45 D",422,IF(Atletas!O231="Wu-Hao 46 D",423,IF(OR(Atletas!O231="Taijiquan 16 D",Atletas!O231="Taijiquan 24 D",Atletas!O231="Taijiquan 32 D",Atletas!O231="Taijiquan 42 D"),424,IF(OR(Atletas!O231="Yang 26 E",Atletas!O231="Yang 40 E"),425,IF(OR(Atletas!O231="Chen 25 E",Atletas!O231="Chen 36 E",Atletas!O231="Chen 56 E"),426,IF(Atletas!O231="Sun 73 E",427,IF(Atletas!O231="Wu 45 E",428,IF(Atletas!O231="Wu-Hao 46 E",429,IF(OR(Atletas!O231="Taijiquan 16 E",Atletas!O231="Taijiquan 24 E",Atletas!O231="Taijiquan 32 E",Atletas!O231="Taijiquan 42 E"),430,IF(OR(Atletas!O231="Yang 26 F",Atletas!O231="Yang 40 F"),431,IF(OR(Atletas!O231="Chen 25 F",Atletas!O231="Chen 36 F",Atletas!O231="Chen 56 F"),432,IF(Atletas!O231="Sun 73 F",433,IF(Atletas!O231="Wu 45 F",434,IF(Atletas!O231="Wu-Hao 46 F",435,IF(OR(Atletas!O231="Taijiquan 16 F",Atletas!O231="Taijiquan 24 F",Atletas!O231="Taijiquan 32 F",Atletas!O231="Taijiquan 42 F"),436,0)))))))))))))))))))</f>
        <v/>
      </c>
      <c r="BR235" s="52" t="str">
        <f>IF(Atletas!P231="","",IF(Atletas!W231&lt;&gt;"",10000,0)+IF(Atletas!B231="Feminino",1000,IF(Atletas!B231="Masculino",2000,""))+IF(Atletas!P231="Xingyiquan A",501,IF(Atletas!P231="Baguazhang A",502,IF(Atletas!P231="Outro Estilo Interno A",503,IF(Atletas!P231="Xingyiquan B",504,IF(Atletas!P231="Baguazhang B",505,IF(Atletas!P231="Outro Estilo Interno B",506,IF(Atletas!P231="Xingyiquan C",507,IF(Atletas!P231="Baguazhang C",508,IF(Atletas!P231="Outro Estilo Interno C",509,IF(Atletas!P231="Xingyiquan D",510,IF(Atletas!P231="Baguazhang D",511,IF(Atletas!P231="Outro Estilo Interno D",512,IF(Atletas!P231="Xingyiquan E",513,IF(Atletas!P231="Baguazhang E",514,IF(Atletas!P231="Outro Estilo Interno E",515,IF(Atletas!P231="Xingyiquan F",516,IF(Atletas!P231="Baguazhang F",517,IF(Atletas!P231="Outro Estilo Interno F",518, "")))))))))))))))))))</f>
        <v/>
      </c>
      <c r="BS235" s="52" t="str">
        <f>IF(Atletas!Q231="","",IF(Atletas!W231&lt;&gt;"",10000,0)+IF(Atletas!B231="Feminino",1000,IF(Atletas!B231="Masculino",2000,""))+IF(Atletas!Q231="Dao A",601,IF(Atletas!Q231="Jian A",602,IF(Atletas!Q231="Bishou A",603,IF(Atletas!Q231="Shan A",604,IF(Atletas!Q231="Outra Arma Curta A",605,IF(Atletas!Q231="Dao B",606,IF(Atletas!Q231="Jian B",607,IF(Atletas!Q231="Bishou B",608,IF(Atletas!Q231="Shan B",609,IF(Atletas!Q231="Outra Arma Curta B",610,IF(Atletas!Q231="Dao C",611,IF(Atletas!Q231="Jian C",612,IF(Atletas!Q231="Bishou C",613,IF(Atletas!Q231="Shan C",614,IF(Atletas!Q231="Outra Arma Curta C",615,IF(Atletas!Q231="Dao D",616,IF(Atletas!Q231="Jian D",617,IF(Atletas!Q231="Bishou D",618,IF(Atletas!Q231="Shan D",619,IF(Atletas!Q231="Outra Arma Curta D",620,IF(Atletas!Q231="Dao E",621,IF(Atletas!Q231="Jian E",622,IF(Atletas!Q231="Bishou E",623,IF(Atletas!Q231="Shan E",624,IF(Atletas!Q231="Outra Arma Curta E",625,IF(Atletas!Q231="Dao F",626,IF(Atletas!Q231="Jian F",627,IF(Atletas!Q231="Bishou F",628,IF(Atletas!Q231="Shan F",629,IF(Atletas!Q231="Outra Arma Curta F",630, "")))))))))))))))))))))))))))))))</f>
        <v/>
      </c>
      <c r="BT235" s="52" t="str">
        <f>IF(Atletas!R231="","",IF(Atletas!W231&lt;&gt;"",10000,0)+IF(Atletas!B231="Feminino",1000,IF(Atletas!B231="Masculino",2000,""))+IF(Atletas!R231="Gun A",701,IF(Atletas!R231="Qiang A",702,IF(Atletas!R231="Pudao / Guandao A",703,IF(Atletas!R231="Outra Arma Longa A",704,IF(Atletas!R231="Gun B",705,IF(Atletas!R231="Qiang B",706,IF(Atletas!R231="Pudao / Guandao B",707,IF(Atletas!R231="Outra Arma Longa B",708,IF(Atletas!R231="Gun C",709,IF(Atletas!R231="Qiang C",710,IF(Atletas!R231="Pudao / Guandao C",711,IF(Atletas!R231="Outra Arma Longa C",712,IF(Atletas!R231="Gun D",713,IF(Atletas!R231="Qiang D",714,IF(Atletas!R231="Pudao / Guandao D",715,IF(Atletas!R231="Outra Arma Longa D",716,IF(Atletas!R231="Gun E",717,IF(Atletas!R231="Qiang E",718,IF(Atletas!R231="Pudao / Guandao E",719,IF(Atletas!R231="Outra Arma Longa E",720,IF(Atletas!R231="Gun F",721,IF(Atletas!R231="Qiang F",722,IF(Atletas!R231="Pudao / Guandao F",723,IF(Atletas!R231="Outra Arma Longa F",724,"")))))))))))))))))))))))))</f>
        <v/>
      </c>
      <c r="BU235" s="52" t="str">
        <f>IF(Atletas!S231="","",IF(Atletas!W231&lt;&gt;"",10000,0)+IF(Atletas!B231="Feminino",1000,IF(Atletas!B231="Masculino",2000,""))+IF(Atletas!S231="Arma Dupla A",801,IF(Atletas!S231="Arma Maleável A",802,IF(Atletas!S231="Arma Dupla B",803,IF(Atletas!S231="Arma Maleável B",804,IF(Atletas!S231="Arma Dupla C",805,IF(Atletas!S231="Arma Maleável C",806,IF(Atletas!S231="Arma Dupla D",807,IF(Atletas!S231="Arma Maleável D",808,IF(Atletas!S231="Arma Dupla E",809,IF(Atletas!S231="Arma Maleável E",810,IF(Atletas!S231="Arma Dupla F",811,IF(Atletas!S231="Arma Maleável F",812, "")))))))))))))</f>
        <v/>
      </c>
      <c r="BV235" s="52" t="str">
        <f>IF(Atletas!T231="","",IF(Atletas!W231&lt;&gt;"",10000,0)+IF(Atletas!B231="Feminino",1000,IF(Atletas!B231="Masculino",2000,""))+IF(Atletas!T231="Taijijian Yang A",901,IF(Atletas!T231="Taijijian Chen A",902,IF(Atletas!T231="Taijijian Sun A",903,IF(Atletas!T231="Taijijian Wu A",904,IF(Atletas!T231="Taijijian Wu-Hao A",905,IF(Atletas!T231="Taijijian 32 A",906,IF(Atletas!T231="Taijijian 42 A",907,IF(Atletas!T231="Taijijian Yang B",908,IF(Atletas!T231="Taijijian Chen B",909,IF(Atletas!T231="Taijijian Sun B",910,IF(Atletas!T231="Taijijian Wu B",911,IF(Atletas!T231="Taijijian Wu-Hao B",912,IF(Atletas!T231="Taijijian 32 B",913,IF(Atletas!T231="Taijijian 42 B",914,IF(Atletas!T231="Taijijian Yang C",915,IF(Atletas!T231="Taijijian Chen C",916,IF(Atletas!T231="Taijijian Sun C",917,IF(Atletas!T231="Taijijian Wu C",918,IF(Atletas!T231="Taijijian Wu-Hao C",919,IF(Atletas!T231="Taijijian 32 C",920,IF(Atletas!T231="Taijijian 42 C",921,IF(Atletas!T231="Taijijian Yang D",922,IF(Atletas!T231="Taijijian Chen D",923,IF(Atletas!T231="Taijijian Sun D",924,IF(Atletas!T231="Taijijian Wu D",925,IF(Atletas!T231="Taijijian Wu-Hao D",926,IF(Atletas!T231="Taijijian 32 D",927,IF(Atletas!T231="Taijijian 42 D",928,IF(Atletas!T231="Taijijian Yang E",929,IF(Atletas!T231="Taijijian Chen E",930,IF(Atletas!T231="Taijijian Sun E",931,IF(Atletas!T231="Taijijian Wu E",932,IF(Atletas!T231="Taijijian Wu-Hao E",933,IF(Atletas!T231="Taijijian 32 E",934,IF(Atletas!T231="Taijijian 42 E",935,IF(Atletas!T231="Taijijian Yang F",936,IF(Atletas!T231="Taijijian Chen F",937,IF(Atletas!T231="Taijijian Sun F",938,IF(Atletas!T231="Taijijian Wu F",939,IF(Atletas!T231="Taijijian Wu-Hao F",940,IF(Atletas!T231="Taijijian 32 F",941,IF(Atletas!T231="Taijijian 42 F",942,"")))))))))))))))))))))))))))))))))))))))))))</f>
        <v/>
      </c>
      <c r="BW235" s="52" t="str">
        <f>IF(Atletas!U231="","",IF(Atletas!W231&lt;&gt;"",10000,0)+IF(Atletas!B231="Feminino",1000,IF(Atletas!B231="Masculino",2000,""))+IF(Atletas!T231="Taijijian 42 F",942,IF(Atletas!U231="Taijidao A",943,IF(Atletas!U231="Taijishan A",944,IF(Atletas!U231="Taijiqiang A",945,IF(Atletas!U231="Taijidao B",946,IF(Atletas!U231="Taijishan B",947,IF(Atletas!U231="Taijiqiang B",948,IF(Atletas!U231="Taijidao C",949,IF(Atletas!U231="Taijishan C",950,IF(Atletas!U231="Taijiqiang C",951,IF(Atletas!U231="Taijidao D",952,IF(Atletas!U231="Taijishan D",953,IF(Atletas!U231="Taijiqiang D",954,IF(Atletas!U231="Taijidao E",955,IF(Atletas!U231="Taijishan E",956,IF(Atletas!U231="Taijiqiang E",957,IF(Atletas!U231="Taijidao F",958,IF(Atletas!U231="Taijishan F",959,IF(Atletas!U231="Taijiqiang F",960))))))))))))))))))))</f>
        <v/>
      </c>
      <c r="BX235" s="72" t="str">
        <f>IF(BY235&lt;&gt;"","Bishou C","")</f>
        <v/>
      </c>
      <c r="BY235" s="72" t="str">
        <f>IF(COUNTIF(BK:BW,1613)&gt;0,COUNTIF(BK:BW,1613),"")</f>
        <v/>
      </c>
      <c r="BZ235" s="72" t="str">
        <f>IF(CA235&lt;&gt;"","Bishou C","")</f>
        <v/>
      </c>
      <c r="CA235" s="72" t="str">
        <f>IF(COUNTIF(BK:BW,2613)&gt;0,COUNTIF(BK:BW,2613),"")</f>
        <v/>
      </c>
      <c r="CB235" s="72" t="str">
        <f>IF(CC235&lt;&gt;"","Taijiquan 32 F","")</f>
        <v/>
      </c>
      <c r="CC235" s="64" t="str">
        <f>IF(COUNTIF(BK:BW,11467)&gt;0,COUNTIF(BK:BW,11467),"")</f>
        <v/>
      </c>
      <c r="CD235" s="64" t="str">
        <f>IF(CE235&lt;&gt;"","Taijiquan 32 F","")</f>
        <v/>
      </c>
      <c r="CE235" s="64" t="str">
        <f>IF(COUNTIF(BK:BW,12467)&gt;0,COUNTIF(BK:BW,12467),"")</f>
        <v/>
      </c>
      <c r="CF235" s="52" t="str">
        <f xml:space="preserve"> IF(Atletas!V231="","",IF(Atletas!V231="Duilian de Mãos AB - Equipe 1",1,IF(Atletas!V231="Duilian de Mãos AB - Equipe 2",2,IF(Atletas!V231="Duilian de Armas AB - Equipe 1",3,IF(Atletas!V231="Duilian de Armas AB - Equipe 2",4,IF(Atletas!V231="Duilian de Tuishou - Equipe 1",5,IF(Atletas!V231="Duilian de Tuishou - Equipe 2",6,IF(Atletas!V231="Grupo Externo AB - Equipe 1",7,IF(Atletas!V231="Grupo Externo AB - Equipe 2",8,IF(Atletas!V231="Grupo Interno AB - Equipe 1",9,IF(Atletas!V231="Grupo Interno AB - Equipe 2",10,IF(Atletas!V231="Duilian de Mãos CD - Equipe 1",11,IF(Atletas!V231="Duilian de Mãos CD - Equipe 2",12,IF(Atletas!V231="Duilian de Armas CD - Equipe 1",13,IF(Atletas!V231="Duilian de Armas CD - Equipe 2",14,IF(Atletas!V231="Duilian de Tuishou - Equipe 1",15,IF(Atletas!V231="Duilian de Tuishou - Equipe 2",16,IF(Atletas!V231="Grupo Externo CDEF - Equipe 1",17,IF(Atletas!V231="Grupo Externo CDEF - Equipe 2",18,IF(Atletas!V231="Grupo Interno CDEF - Equipe 1",19,IF(Atletas!V231="Grupo Interno CDEF - Equipe 2",20,IF(Atletas!V231="Duilian de Mãos EF - Equipe 1",21,IF(Atletas!V231="Duilian de Mãos EF - Equipe 2",22,IF(Atletas!V231="Duilian de Armas EF - Equipe 1",23,IF(Atletas!V231="Duilian de Armas EF - Equipe 2",24,IF(Atletas!V231="Duilian de Tuishou - Equipe 1",25,IF(Atletas!V231="Duilian de Tuishou - Equipe 2",26,"")))))))))))))))))))))))))))</f>
        <v/>
      </c>
    </row>
    <row r="236" spans="2:84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 t="str">
        <f t="array" ref="V236">IFERROR(INDEX(BX$7:BX$336,SMALL(IF(BX$7:BX$336&lt;&gt;"",ROW(BX$7:BX$336)-ROW(BX$7)+1),ROWS(BX$7:BX204))),"")</f>
        <v/>
      </c>
      <c r="W236" s="4" t="str">
        <f t="array" ref="W236">IFERROR(INDEX(BY$7:BY$336,SMALL(IF(BY$7:BY$336&lt;&gt;"",ROW(BY$7:BY$336)-ROW(BY$7)+1),ROWS(BY$7:BY204))),"")</f>
        <v/>
      </c>
      <c r="X236" s="4" t="str">
        <f t="array" ref="X236">IFERROR(INDEX(BZ$7:BZ$336,SMALL(IF(BZ$7:BZ$336&lt;&gt;"",ROW(BZ$7:BZ$336)-ROW(BZ$7)+1),ROWS(BZ$7:BZ204))),"")</f>
        <v/>
      </c>
      <c r="Y236" s="4" t="str">
        <f t="array" ref="Y236">IFERROR(INDEX(CA$7:CA$336,SMALL(IF(CA$7:CA$336&lt;&gt;"",ROW(CA$7:CA$336)-ROW(CA$7)+1),ROWS(CA$7:CA204))),"")</f>
        <v/>
      </c>
      <c r="Z236" s="4" t="str">
        <f t="array" ref="Z236">IFERROR(INDEX(CB$7:CB$378,SMALL(IF(CB$7:CB$378&lt;&gt;"",ROW(CB$7:CB$378)-ROW(CB$7)+1),ROWS(CB$7:CB235))),"")</f>
        <v/>
      </c>
      <c r="AA236" s="4" t="str">
        <f t="array" ref="AA236">IFERROR(INDEX(CC$7:CC$378,SMALL(IF(CC$7:CC$378&lt;&gt;"",ROW(CC$7:CC$378)-ROW(CC$7)+1),ROWS(CC$7:CC235))),"")</f>
        <v/>
      </c>
      <c r="AB236" s="4" t="str">
        <f t="array" ref="AB236">IFERROR(INDEX(CD$7:CD$378,SMALL(IF(CD$7:CD$378&lt;&gt;"",ROW(CD$7:CD$378)-ROW(CD$7)+1),ROWS(CD$7:CD235))),"")</f>
        <v/>
      </c>
      <c r="AC236" s="4" t="str">
        <f t="array" ref="AC236">IFERROR(INDEX(CE$7:CE$378,SMALL(IF(CE$7:CE$378&lt;&gt;"",ROW(CE$7:CE$378)-ROW(CE$7)+1),ROWS(CE$7:CE235))),"")</f>
        <v/>
      </c>
      <c r="AD236" s="4"/>
      <c r="AE236" s="4"/>
      <c r="AF236" s="4"/>
      <c r="AG236" s="4"/>
      <c r="AH236" s="4"/>
      <c r="AI236" s="4"/>
      <c r="AJ236" s="46" t="str">
        <f>IF(Atletas!D232="","",IF(Atletas!B232="Feminino",100,IF(Atletas!B232="Masculino",200,""))+(IF(Atletas!D232="Infantil 39kg",1,IF(Atletas!D232="Infantil 42kg",2,IF(Atletas!D232="Infantil 45kg",3,IF(Atletas!D232="Infantil 48kg",4,IF(Atletas!D232="Infantil 52kg",5,IF(Atletas!D232="Infantil 56kg",6,IF(Atletas!D232="Infantil 60kg",7,IF(Atletas!D232="Juvenil 48kg",8,IF(Atletas!D232="Juvenil 52kg",9,IF(Atletas!D232="Juvenil 56kg",10,IF(Atletas!D232="Juvenil 60kg",11,IF(Atletas!D232="Juvenil 65kg",12,IF(Atletas!D232="Juvenil 70kg",13,IF(Atletas!D232="Juvenil 75kg",14,IF(Atletas!D232="Juvenil 80kg",15,IF(Atletas!D232="Adulto 48kg",16,IF(Atletas!D232="Adulto 52kg",17,IF(Atletas!D232="Adulto 56kg",18,IF(Atletas!D232="Adulto 60kg",19,IF(Atletas!D232="Adulto 65kg",20,IF(Atletas!D232="Adulto 70kg",21,IF(Atletas!D232="Adulto 75kg",22,IF(Atletas!D232="Adulto 80kg",23,IF(Atletas!D232="Adulto 85kg",24,IF(Atletas!D232="Adulto 90kg",25,IF(Atletas!D232="Adulto +90kg",26,""))))))))))))))))))))))))))))</f>
        <v/>
      </c>
      <c r="AO236" s="10" t="str">
        <f>IF(Atletas!E232="","",IF(Atletas!B232="Feminino",100,IF(Atletas!B232="Masculino",200,""))+(IF(Atletas!E232="Juvenil 44kg",1,IF(Atletas!E232="Juvenil 48kg",2,IF(Atletas!E232="Juvenil 52kg",3,IF(Atletas!E232="Juvenil 56kg",4,IF(Atletas!E232="Juvenil 60kg",5,IF(Atletas!E232="Juvenil 65kg",6,IF(Atletas!E232="Juvenil 70kg",7,IF(Atletas!E232="Juvenil 75kg",8,IF(Atletas!E232="Juvenil 82kg",9,IF(Atletas!E232="Juvenil 90kg",10,IF(Atletas!E232="Juvenil 100kg",11,IF(Atletas!E232="Adulto 48kg",12,IF(Atletas!E232="Adulto 52kg",13,IF(Atletas!E232="Adulto 56kg",14,IF(Atletas!E232="Adulto 60kg",15,IF(Atletas!E232="Adulto 65kg",16,IF(Atletas!E232="Adulto 70kg",17,IF(Atletas!E232="Adulto 75kg",18,IF(Atletas!E232="Adulto 82kg",19,IF(Atletas!E232="Adulto 90kg",20,IF(Atletas!E232="Adulto 100kg",21,IF(Atletas!E232="Adulto +100kg",22,""))))))))))))))))))))))))</f>
        <v/>
      </c>
      <c r="AT236" s="10" t="str">
        <f>IF(Atletas!F232="","",IF(Atletas!B232="Feminino",100,IF(Atletas!B232="Masculino",200,""))+(IF(Atletas!F232="Adulto 48kg",1,IF(Atletas!F232="Adulto 56kg",2,IF(Atletas!F232="Adulto 65kg",3,IF(Atletas!F232="Adulto 75kg",4,IF(Atletas!F232="Adulto +75kg",5,IF(Atletas!F232="Adulto 52kg",6,IF(Atletas!F232="Adulto 60kg",7,IF(Atletas!F232="Adulto 70kg",8,IF(Atletas!F232="Adulto 80kg",9,IF(Atletas!F232="Adulto 90kg",10,IF(Atletas!F232="Adulto +90kg",11,"")))))))))))))</f>
        <v/>
      </c>
      <c r="AY236" s="46" t="str">
        <f>IF(Atletas!G232="","",IF(Atletas!B232="Feminino",100,IF(Atletas!B232="Masculino",200,""))+(IF(Atletas!G232="Changquan Mirim",1,IF(Atletas!G232="Nanquan Mirim",2,IF(Atletas!G232="Taijiquan Mirim",3,IF(Atletas!G232="Changquan Grupo C",4,IF(Atletas!G232="Nanquan Grupo C",5,IF(Atletas!G232="Taijiquan Grupo C",6,IF(Atletas!G232="Changquan Grupo B",7,IF(Atletas!G232="Nanquan Grupo B",8,IF(Atletas!G232="Taijiquan Grupo B",9,IF(Atletas!G232="Changquan Grupo A",10,IF(Atletas!G232="Nanquan Grupo A",11,IF(Atletas!G232="Taijiquan Grupo A",12,IF(Atletas!G232="Changquan Opcional",13,IF(Atletas!G232="Nanquan Opcional",14,IF(Atletas!G232="Taijiquan Opcional",15,IF(Atletas!G232="Changquan Adulto",16,IF(Atletas!G232="Nanquan Adulto",17,IF(Atletas!G232="Taijiquan Adulto",18,""))))))))))))))))))))</f>
        <v/>
      </c>
      <c r="AZ236" s="46" t="str">
        <f>IF(Atletas!H232="","",IF(Atletas!B232="Feminino",100,IF(Atletas!B232="Masculino",200,""))+(IF(Atletas!H232="Daoshu Mirim",19,IF(Atletas!H232="Jianshu Mirim",20,IF(Atletas!H232="Nandao Mirim",21,IF(Atletas!H232="Taijijian Mirim",22,IF(Atletas!H232="Daoshu Grupo C",23,IF(Atletas!H232="Jianshu Grupo C",24,IF(Atletas!H232="Nandao Grupo C",25,IF(Atletas!H232="Taijijian Grupo C",26,IF(Atletas!H232="Daoshu Grupo B",27,IF(Atletas!H232="Jianshu Grupo B",28,IF(Atletas!H232="Nandao Grupo B",29,IF(Atletas!H232="Taijijian Grupo B",30,IF(Atletas!H232="Daoshu Grupo A",31,IF(Atletas!H232="Jianshu Grupo A",32,IF(Atletas!H232="Nandao Grupo A",33,IF(Atletas!H232="Taijijian Grupo A",34,IF(Atletas!H232="Daoshu Opcional",35,IF(Atletas!H232="Jianshu Opcional",36,IF(Atletas!H232="Nandao Opcional",37,IF(Atletas!H232="Taijijian Opcional",38,IF(Atletas!H232="Daoshu Adulto",39,IF(Atletas!H232="Jianshu Adulto",40,IF(Atletas!H232="Nandao Adulto",41,IF(Atletas!H232="Taijijian Adulto",42,""))))))))))))))))))))))))))</f>
        <v/>
      </c>
      <c r="BA236" s="46" t="str">
        <f>IF(Atletas!I232="","",IF(Atletas!B232="Feminino",100,IF(Atletas!B232="Masculino",200,""))+(IF(Atletas!I232="Gunshu Mirim",43,IF(Atletas!I232="Qiangshu Mirim",44,IF(Atletas!I232="Nangun Mirim",45,IF(Atletas!I232="Gunshu Grupo C",46,IF(Atletas!I232="Qiangshu Grupo C",47,IF(Atletas!I232="Nangun Grupo C",48,IF(Atletas!I232="Gunshu Grupo B",49,IF(Atletas!I232="Qiangshu Grupo B",50,IF(Atletas!I232="Nangun Grupo B",51,IF(Atletas!I232="Gunshu Grupo A",52,IF(Atletas!I232="Qiangshu Grupo A",53,IF(Atletas!I232="Nangun Grupo A",54,IF(Atletas!I232="Gunshu Opcional",55,IF(Atletas!I232="Qiangshu Opcional",56,IF(Atletas!I232="Nangun Opcional",57,IF(Atletas!I232="Gunshu Adulto",58,IF(Atletas!I232="Qiangshu Adulto",59,IF(Atletas!I232="Nangun Adulto",60,""))))))))))))))))))))</f>
        <v/>
      </c>
      <c r="BF236" s="52" t="str">
        <f>IF(Atletas!J232="","",IF(Atletas!B232="Feminino",100,IF(Atletas!B232="Masculino",200,""))+(IF(Atletas!J232="Equipe 1 Grupo B",1,IF(Atletas!J232="Equipe 2 Grupo B",2,IF(Atletas!J232="Equipe 1 Grupo A",3,IF(Atletas!J232="Equipe 2 Grupo A",4,IF(Atletas!J232="Equipe 1 Adulto",5,IF(Atletas!J232="Equipe 2 Adulto",6,""))))))))</f>
        <v/>
      </c>
      <c r="BK236" s="52" t="str">
        <f>IF(Atletas!K232="","",IF(Atletas!W232&lt;&gt;"",10000,0)+(IF(Atletas!B232="Feminino",1000,IF(Atletas!B232="Masculino",2000,""))+IF(Atletas!K232="Choylayfut A",1,IF(Atletas!K232="Hunggar A",2,IF(Atletas!K232="Wuzuquan A",3,IF(Atletas!K232="Wingchun A",4,IF(Atletas!K232="Outra Mão de Sul A",5,IF(Atletas!K232="Choylayfut B",6,IF(Atletas!K232="Hunggar B",7,IF(Atletas!K232="Wuzuquan B",8,IF(Atletas!K232="Wingchun B",9,IF(Atletas!K232="Outra Mão de Sul B",10,IF(Atletas!K232="Choylayfut C",11,IF(Atletas!K232="Hunggar C",12,IF(Atletas!K232="Wuzuquan C",13,IF(Atletas!K232="Wingchun C",14,IF(Atletas!K232="Outra Mão de Sul C",15,IF(Atletas!K232="Choylayfut D",16,IF(Atletas!K232="Hunggar D",17,IF(Atletas!K232="Wuzuquan D",18,IF(Atletas!K232="Wingchun D",19,IF(Atletas!K232="Outra Mão de Sul D",20,IF(Atletas!K232="Choylayfut E",21,IF(Atletas!K232="Hunggar E",22,IF(Atletas!K232="Wuzuquan E",23,IF(Atletas!K232="Wingchun E",24,IF(Atletas!K232="Outra Mão de Sul E",25,IF(Atletas!K232="Choylayfut F",26,IF(Atletas!K232="Hunggar F",27,IF(Atletas!K232="Wuzuquan F",28,IF(Atletas!K232="Wingchun F",29,IF(Atletas!K232="Outra Mão de Sul F",30,""))))))))))))))))))))))))))))))))</f>
        <v/>
      </c>
      <c r="BL236" s="52" t="str">
        <f>IF(Atletas!L232="","",IF(Atletas!W232&lt;&gt;"",10000,0)+(IF(Atletas!B232="Feminino",1000,IF(Atletas!B232="Masculino",2000,""))+(IF(Atletas!L232="Chaquan A",101,IF(Atletas!L232="Emeiquan A",102,IF(Atletas!L232="Fanziquan A",103,IF(Atletas!L232="Huaquan A",104,IF(Atletas!L232="Hongquan A",105,IF(Atletas!L232="Paochui A",106,IF(Atletas!L232="Piguaquan A",107,IF(Atletas!L232="Shaolinquan A",108,IF(Atletas!L232="Tanglangquan A",109,IF(Atletas!L232="Yinzhaophai A",110,IF(Atletas!L232="Tongbeiquan A",111,IF(Atletas!L232="Wudangquan A",112,IF(Atletas!L232="Outros Estilos A",113,IF(Atletas!L232="Chaquan B",114,IF(Atletas!L232="Emeiquan B",115,IF(Atletas!L232="Fanziquan B",116,IF(Atletas!L232="Huaquan B",117,IF(Atletas!L232="Hongquan B",118,IF(Atletas!L232="Paochui B",119,IF(Atletas!L232="Piguaquan B",120,IF(Atletas!L232="Shaolinquan B",121,IF(Atletas!L232="Tanglangquan B",122,IF(Atletas!L232="Yinzhaophai B",123,IF(Atletas!L232="Tongbeiquan B",124,IF(Atletas!L232="Wudangquan B",125,IF(Atletas!L232="Outros Estilos B",126,IF(Atletas!L232="Chaquan C",127,IF(Atletas!L232="Emeiquan C",128,IF(Atletas!L232="Fanziquan C",129,IF(Atletas!L232="Huaquan C",130,IF(Atletas!L232="Hongquan C",131,IF(Atletas!L232="Paochui C",132,IF(Atletas!L232="Piguaquan C",133,IF(Atletas!L232="Shaolinquan C",134,IF(Atletas!L232="Tanglangquan C",135,IF(Atletas!L232="Yinzhaophai C",136,IF(Atletas!L232="Tongbeiquan C",137,IF(Atletas!L232="Wudangquan C",138,IF(Atletas!L232="Outros Estilos C",139,0))))))))))))))))))))))))))))))))))))))))))</f>
        <v/>
      </c>
      <c r="BM236" s="52" t="str">
        <f>IF(Atletas!L232="","",IF(Atletas!W232&lt;&gt;"",10000,0)+(IF(Atletas!B232="Feminino",1000,IF(Atletas!B232="Masculino",2000,""))+(IF(Atletas!L232="Chaquan D",140,IF(Atletas!L232="Emeiquan D",141,IF(Atletas!L232="Fanziquan D",142,IF(Atletas!L232="Huaquan D",143,IF(Atletas!L232="Hongquan D",144,IF(Atletas!L232="Paochui D",145,IF(Atletas!L232="Piguaquan D",146,IF(Atletas!L232="Shaolinquan D",147,IF(Atletas!L232="Tanglangquan D",148,IF(Atletas!L232="Yinzhaophai D",149,IF(Atletas!L232="Tongbeiquan D",150,IF(Atletas!L232="Wudangquan D",151,IF(Atletas!L232="Outros Estilos D",152,IF(Atletas!L232="Chaquan E",153,IF(Atletas!L232="Emeiquan E",154,IF(Atletas!L232="Fanziquan E",155,IF(Atletas!L232="Huaquan E",156,IF(Atletas!L232="Hongquan E",157,IF(Atletas!L232="Paochui E",158,IF(Atletas!L232="Piguaquan E",159,IF(Atletas!L232="Shaolinquan E",160,IF(Atletas!L232="Tanglangquan E",161,IF(Atletas!L232="Yinzhaophai E",162,IF(Atletas!L232="Tongbeiquan E",163,IF(Atletas!L232="Wudangquan E",164,IF(Atletas!L232="Outros Estilos E",165,IF(Atletas!L232="Chaquan F",166,IF(Atletas!L232="Emeiquan F",167,IF(Atletas!L232="Fanziquan F",168,IF(Atletas!L232="Huaquan F",169,IF(Atletas!L232="Hongquan F",170,IF(Atletas!L232="Paochui F",171,IF(Atletas!L232="Piguaquan F",172,IF(Atletas!L232="Shaolinquan F",173,IF(Atletas!L232="Tanglangquan F",174,IF(Atletas!L232="Yinzhaophai F",175,IF(Atletas!L232="Tongbeiquan F",176,IF(Atletas!L232="Wudangquan F",177,IF(Atletas!L232="Outros Estilos F",178,0))))))))))))))))))))))))))))))))))))))))))</f>
        <v/>
      </c>
      <c r="BN236" s="52" t="str">
        <f>IF(Atletas!M232="","",IF(Atletas!W232&lt;&gt;"",10000,0)+(IF(Atletas!B232="Feminino",1000,IF(Atletas!B232="Masculino",2000,""))+(IF(Atletas!M232="Ditangquan A",201,IF(Atletas!M232="Houquan A",202,IF(Atletas!M232="Zuiquan A",203,IF(Atletas!M232="Ditangquan B",204,IF(Atletas!M232="Houquan B",205,IF(Atletas!M232="Zuiquan B",206,IF(Atletas!M232="Ditangquan C",207,IF(Atletas!M232="Houquan C",208,IF(Atletas!M232="Zuiquan C",209,IF(Atletas!M232="Ditangquan D",210,IF(Atletas!M232="Houquan D",211,IF(Atletas!M232="Zuiquan D",212,IF(Atletas!M232="Ditangquan E",213,IF(Atletas!M232="Houquan E",214,IF(Atletas!M232="Zuiquan E",215,IF(Atletas!M232="Ditangquan F",216,IF(Atletas!M232="Houquan F",217,IF(Atletas!M232="Zuiquan F",218,"")))))))))))))))))))))</f>
        <v/>
      </c>
      <c r="BO236" s="52" t="str">
        <f>IF(Atletas!N232="","",IF(Atletas!W232&lt;&gt;"",10000,0)+IF(Atletas!B232="Feminino",1000,IF(Atletas!B232="Masculino",2000,""))+IF(Atletas!N232="Yang A",301,IF(Atletas!N232="Chen A",30,IF(Atletas!N232="Sun A",303,IF(Atletas!N232="Wu A",304,IF(Atletas!N232="Wu-Hao A",305,IF(Atletas!N232="Outro Taijiquan A",306,IF(Atletas!N232="Yang B",307,IF(Atletas!N232="Chen B",308,IF(Atletas!N232="Sun B",309,IF(Atletas!N232="Wu B",310,IF(Atletas!N232="Wu-Hao B",311,IF(Atletas!N232="Outro Taijiquan B",312,IF(Atletas!N232="Yang C",313,IF(Atletas!N232="Chen C",314,IF(Atletas!N232="Sun C",315,IF(Atletas!N232="Wu C",316,IF(Atletas!N232="Wu-Hao C",317,IF(Atletas!N232="Outro Taijiquan C",318,IF(Atletas!N232="Yang D",319,IF(Atletas!N232="Chen D",320,IF(Atletas!N232="Sun D",321,IF(Atletas!N232="Wu D",322,IF(Atletas!N232="Wu-Hao D",323,IF(Atletas!N232="Outro Taijiquan D",324,IF(Atletas!N232="Yang E",325,IF(Atletas!N232="Chen E",326,IF(Atletas!N232="Sun E",327,IF(Atletas!N232="Wu E",328,IF(Atletas!N232="Wu-Hao E",329,IF(Atletas!N232="Outro Taijiquan E",330,IF(Atletas!N232="Yang F",331,IF(Atletas!N232="Chen F",332,IF(Atletas!N232="Sun F",333,IF(Atletas!N232="Wu F",334,IF(Atletas!N232="Wu-Hao F",335,IF(Atletas!N232="Outro Taijiquan F",336,"")))))))))))))))))))))))))))))))))))))</f>
        <v/>
      </c>
      <c r="BP236" s="52" t="str">
        <f>IF(Atletas!O232="","",IF(Atletas!W232&lt;&gt;"",10000,0)+IF(Atletas!B232="Feminino",1000,IF(Atletas!B232="Masculino",2000,""))+IF(OR(Atletas!O232="Yang 26 A",Atletas!O232="Yang 40 A"),401,IF(OR(Atletas!O232="Chen 25 A",Atletas!O232="Chen 36 A",Atletas!O232="Chen 56 A"),402,IF(Atletas!O232="Sun 73 A",403,IF(Atletas!O232="Wu 45 A",404,IF(Atletas!O232="Wu-Hao 46 A",405,IF(OR(Atletas!O232="Taijiquan 16 A",Atletas!O232="Taijiquan 24 A",Atletas!O232="Taijiquan 32 A",Atletas!O232="Taijiquan 42 A"),406,IF(OR(Atletas!O232="Yang 26 B",Atletas!O232="Yang 40 B"),407,IF(OR(Atletas!O232="Chen 25 B",Atletas!O232="Chen 36 B",Atletas!O232="Chen 56 B"),408,IF(Atletas!O232="Sun 73 B",409,IF(Atletas!O232="Wu 45 B",410,IF(Atletas!O232="Wu-Hao 46 B",411,IF(OR(Atletas!O232="Taijiquan 16 B",Atletas!O232="Taijiquan 24 B",Atletas!O232="Taijiquan 32 B",Atletas!O232="Taijiquan 42 B"),412,IF(OR(Atletas!O232="Yang 26 C",Atletas!O232="Yang 40 C"),413,IF(OR(Atletas!O232="Chen 25 C",Atletas!O232="Chen 36 C",Atletas!O232="Chen 56 C"),414,IF(Atletas!O232="Sun 73 C",415,IF(Atletas!O232="Wu 45 C",416,IF(Atletas!O232="Wu-Hao 46 C",417,IF(OR(Atletas!O232="Taijiquan 16 C",Atletas!O232="Taijiquan 24 C",Atletas!O232="Taijiquan 32 C",Atletas!O232="Taijiquan 42 C"),418,0)))))))))))))))))))</f>
        <v/>
      </c>
      <c r="BQ236" s="52" t="str">
        <f>IF(Atletas!O232="","",IF(Atletas!W232&lt;&gt;"",10000,0)+IF(Atletas!B232="Feminino",1000,IF(Atletas!B232="Masculino",2000,""))+IF(OR(Atletas!O232="Yang 26 D",Atletas!O232="Yang 40 D"),419,IF(OR(Atletas!O232="Chen 25 D",Atletas!O232="Chen 36 D",Atletas!O232="Chen 56 D"),420,IF(Atletas!O232="Sun 73 D",421,IF(Atletas!O232="Wu 45 D",422,IF(Atletas!O232="Wu-Hao 46 D",423,IF(OR(Atletas!O232="Taijiquan 16 D",Atletas!O232="Taijiquan 24 D",Atletas!O232="Taijiquan 32 D",Atletas!O232="Taijiquan 42 D"),424,IF(OR(Atletas!O232="Yang 26 E",Atletas!O232="Yang 40 E"),425,IF(OR(Atletas!O232="Chen 25 E",Atletas!O232="Chen 36 E",Atletas!O232="Chen 56 E"),426,IF(Atletas!O232="Sun 73 E",427,IF(Atletas!O232="Wu 45 E",428,IF(Atletas!O232="Wu-Hao 46 E",429,IF(OR(Atletas!O232="Taijiquan 16 E",Atletas!O232="Taijiquan 24 E",Atletas!O232="Taijiquan 32 E",Atletas!O232="Taijiquan 42 E"),430,IF(OR(Atletas!O232="Yang 26 F",Atletas!O232="Yang 40 F"),431,IF(OR(Atletas!O232="Chen 25 F",Atletas!O232="Chen 36 F",Atletas!O232="Chen 56 F"),432,IF(Atletas!O232="Sun 73 F",433,IF(Atletas!O232="Wu 45 F",434,IF(Atletas!O232="Wu-Hao 46 F",435,IF(OR(Atletas!O232="Taijiquan 16 F",Atletas!O232="Taijiquan 24 F",Atletas!O232="Taijiquan 32 F",Atletas!O232="Taijiquan 42 F"),436,0)))))))))))))))))))</f>
        <v/>
      </c>
      <c r="BR236" s="52" t="str">
        <f>IF(Atletas!P232="","",IF(Atletas!W232&lt;&gt;"",10000,0)+IF(Atletas!B232="Feminino",1000,IF(Atletas!B232="Masculino",2000,""))+IF(Atletas!P232="Xingyiquan A",501,IF(Atletas!P232="Baguazhang A",502,IF(Atletas!P232="Outro Estilo Interno A",503,IF(Atletas!P232="Xingyiquan B",504,IF(Atletas!P232="Baguazhang B",505,IF(Atletas!P232="Outro Estilo Interno B",506,IF(Atletas!P232="Xingyiquan C",507,IF(Atletas!P232="Baguazhang C",508,IF(Atletas!P232="Outro Estilo Interno C",509,IF(Atletas!P232="Xingyiquan D",510,IF(Atletas!P232="Baguazhang D",511,IF(Atletas!P232="Outro Estilo Interno D",512,IF(Atletas!P232="Xingyiquan E",513,IF(Atletas!P232="Baguazhang E",514,IF(Atletas!P232="Outro Estilo Interno E",515,IF(Atletas!P232="Xingyiquan F",516,IF(Atletas!P232="Baguazhang F",517,IF(Atletas!P232="Outro Estilo Interno F",518, "")))))))))))))))))))</f>
        <v/>
      </c>
      <c r="BS236" s="52" t="str">
        <f>IF(Atletas!Q232="","",IF(Atletas!W232&lt;&gt;"",10000,0)+IF(Atletas!B232="Feminino",1000,IF(Atletas!B232="Masculino",2000,""))+IF(Atletas!Q232="Dao A",601,IF(Atletas!Q232="Jian A",602,IF(Atletas!Q232="Bishou A",603,IF(Atletas!Q232="Shan A",604,IF(Atletas!Q232="Outra Arma Curta A",605,IF(Atletas!Q232="Dao B",606,IF(Atletas!Q232="Jian B",607,IF(Atletas!Q232="Bishou B",608,IF(Atletas!Q232="Shan B",609,IF(Atletas!Q232="Outra Arma Curta B",610,IF(Atletas!Q232="Dao C",611,IF(Atletas!Q232="Jian C",612,IF(Atletas!Q232="Bishou C",613,IF(Atletas!Q232="Shan C",614,IF(Atletas!Q232="Outra Arma Curta C",615,IF(Atletas!Q232="Dao D",616,IF(Atletas!Q232="Jian D",617,IF(Atletas!Q232="Bishou D",618,IF(Atletas!Q232="Shan D",619,IF(Atletas!Q232="Outra Arma Curta D",620,IF(Atletas!Q232="Dao E",621,IF(Atletas!Q232="Jian E",622,IF(Atletas!Q232="Bishou E",623,IF(Atletas!Q232="Shan E",624,IF(Atletas!Q232="Outra Arma Curta E",625,IF(Atletas!Q232="Dao F",626,IF(Atletas!Q232="Jian F",627,IF(Atletas!Q232="Bishou F",628,IF(Atletas!Q232="Shan F",629,IF(Atletas!Q232="Outra Arma Curta F",630, "")))))))))))))))))))))))))))))))</f>
        <v/>
      </c>
      <c r="BT236" s="52" t="str">
        <f>IF(Atletas!R232="","",IF(Atletas!W232&lt;&gt;"",10000,0)+IF(Atletas!B232="Feminino",1000,IF(Atletas!B232="Masculino",2000,""))+IF(Atletas!R232="Gun A",701,IF(Atletas!R232="Qiang A",702,IF(Atletas!R232="Pudao / Guandao A",703,IF(Atletas!R232="Outra Arma Longa A",704,IF(Atletas!R232="Gun B",705,IF(Atletas!R232="Qiang B",706,IF(Atletas!R232="Pudao / Guandao B",707,IF(Atletas!R232="Outra Arma Longa B",708,IF(Atletas!R232="Gun C",709,IF(Atletas!R232="Qiang C",710,IF(Atletas!R232="Pudao / Guandao C",711,IF(Atletas!R232="Outra Arma Longa C",712,IF(Atletas!R232="Gun D",713,IF(Atletas!R232="Qiang D",714,IF(Atletas!R232="Pudao / Guandao D",715,IF(Atletas!R232="Outra Arma Longa D",716,IF(Atletas!R232="Gun E",717,IF(Atletas!R232="Qiang E",718,IF(Atletas!R232="Pudao / Guandao E",719,IF(Atletas!R232="Outra Arma Longa E",720,IF(Atletas!R232="Gun F",721,IF(Atletas!R232="Qiang F",722,IF(Atletas!R232="Pudao / Guandao F",723,IF(Atletas!R232="Outra Arma Longa F",724,"")))))))))))))))))))))))))</f>
        <v/>
      </c>
      <c r="BU236" s="52" t="str">
        <f>IF(Atletas!S232="","",IF(Atletas!W232&lt;&gt;"",10000,0)+IF(Atletas!B232="Feminino",1000,IF(Atletas!B232="Masculino",2000,""))+IF(Atletas!S232="Arma Dupla A",801,IF(Atletas!S232="Arma Maleável A",802,IF(Atletas!S232="Arma Dupla B",803,IF(Atletas!S232="Arma Maleável B",804,IF(Atletas!S232="Arma Dupla C",805,IF(Atletas!S232="Arma Maleável C",806,IF(Atletas!S232="Arma Dupla D",807,IF(Atletas!S232="Arma Maleável D",808,IF(Atletas!S232="Arma Dupla E",809,IF(Atletas!S232="Arma Maleável E",810,IF(Atletas!S232="Arma Dupla F",811,IF(Atletas!S232="Arma Maleável F",812, "")))))))))))))</f>
        <v/>
      </c>
      <c r="BV236" s="52" t="str">
        <f>IF(Atletas!T232="","",IF(Atletas!W232&lt;&gt;"",10000,0)+IF(Atletas!B232="Feminino",1000,IF(Atletas!B232="Masculino",2000,""))+IF(Atletas!T232="Taijijian Yang A",901,IF(Atletas!T232="Taijijian Chen A",902,IF(Atletas!T232="Taijijian Sun A",903,IF(Atletas!T232="Taijijian Wu A",904,IF(Atletas!T232="Taijijian Wu-Hao A",905,IF(Atletas!T232="Taijijian 32 A",906,IF(Atletas!T232="Taijijian 42 A",907,IF(Atletas!T232="Taijijian Yang B",908,IF(Atletas!T232="Taijijian Chen B",909,IF(Atletas!T232="Taijijian Sun B",910,IF(Atletas!T232="Taijijian Wu B",911,IF(Atletas!T232="Taijijian Wu-Hao B",912,IF(Atletas!T232="Taijijian 32 B",913,IF(Atletas!T232="Taijijian 42 B",914,IF(Atletas!T232="Taijijian Yang C",915,IF(Atletas!T232="Taijijian Chen C",916,IF(Atletas!T232="Taijijian Sun C",917,IF(Atletas!T232="Taijijian Wu C",918,IF(Atletas!T232="Taijijian Wu-Hao C",919,IF(Atletas!T232="Taijijian 32 C",920,IF(Atletas!T232="Taijijian 42 C",921,IF(Atletas!T232="Taijijian Yang D",922,IF(Atletas!T232="Taijijian Chen D",923,IF(Atletas!T232="Taijijian Sun D",924,IF(Atletas!T232="Taijijian Wu D",925,IF(Atletas!T232="Taijijian Wu-Hao D",926,IF(Atletas!T232="Taijijian 32 D",927,IF(Atletas!T232="Taijijian 42 D",928,IF(Atletas!T232="Taijijian Yang E",929,IF(Atletas!T232="Taijijian Chen E",930,IF(Atletas!T232="Taijijian Sun E",931,IF(Atletas!T232="Taijijian Wu E",932,IF(Atletas!T232="Taijijian Wu-Hao E",933,IF(Atletas!T232="Taijijian 32 E",934,IF(Atletas!T232="Taijijian 42 E",935,IF(Atletas!T232="Taijijian Yang F",936,IF(Atletas!T232="Taijijian Chen F",937,IF(Atletas!T232="Taijijian Sun F",938,IF(Atletas!T232="Taijijian Wu F",939,IF(Atletas!T232="Taijijian Wu-Hao F",940,IF(Atletas!T232="Taijijian 32 F",941,IF(Atletas!T232="Taijijian 42 F",942,"")))))))))))))))))))))))))))))))))))))))))))</f>
        <v/>
      </c>
      <c r="BW236" s="52" t="str">
        <f>IF(Atletas!U232="","",IF(Atletas!W232&lt;&gt;"",10000,0)+IF(Atletas!B232="Feminino",1000,IF(Atletas!B232="Masculino",2000,""))+IF(Atletas!T232="Taijijian 42 F",942,IF(Atletas!U232="Taijidao A",943,IF(Atletas!U232="Taijishan A",944,IF(Atletas!U232="Taijiqiang A",945,IF(Atletas!U232="Taijidao B",946,IF(Atletas!U232="Taijishan B",947,IF(Atletas!U232="Taijiqiang B",948,IF(Atletas!U232="Taijidao C",949,IF(Atletas!U232="Taijishan C",950,IF(Atletas!U232="Taijiqiang C",951,IF(Atletas!U232="Taijidao D",952,IF(Atletas!U232="Taijishan D",953,IF(Atletas!U232="Taijiqiang D",954,IF(Atletas!U232="Taijidao E",955,IF(Atletas!U232="Taijishan E",956,IF(Atletas!U232="Taijiqiang E",957,IF(Atletas!U232="Taijidao F",958,IF(Atletas!U232="Taijishan F",959,IF(Atletas!U232="Taijiqiang F",960))))))))))))))))))))</f>
        <v/>
      </c>
      <c r="BX236" s="72" t="str">
        <f>IF(BY236&lt;&gt;"","Shan C","")</f>
        <v/>
      </c>
      <c r="BY236" s="72" t="str">
        <f>IF(COUNTIF(BK:BW,1614)&gt;0,COUNTIF(BK:BW,1614),"")</f>
        <v/>
      </c>
      <c r="BZ236" s="72" t="str">
        <f>IF(CA236&lt;&gt;"","Shan C","")</f>
        <v/>
      </c>
      <c r="CA236" s="72" t="str">
        <f>IF(COUNTIF(BK:BW,2614)&gt;0,COUNTIF(BK:BW,2614),"")</f>
        <v/>
      </c>
      <c r="CB236" s="72" t="str">
        <f>IF(CC236&lt;&gt;"","Taijiquan 42 F","")</f>
        <v/>
      </c>
      <c r="CC236" s="64" t="str">
        <f>IF(COUNTIF(BK:BW,11468)&gt;0,COUNTIF(BK:BW,11468),"")</f>
        <v/>
      </c>
      <c r="CD236" s="64" t="str">
        <f>IF(CE236&lt;&gt;"","Taijiquan 42 F","")</f>
        <v/>
      </c>
      <c r="CE236" s="64" t="str">
        <f>IF(COUNTIF(BK:BW,12468)&gt;0,COUNTIF(BK:BW,12468),"")</f>
        <v/>
      </c>
      <c r="CF236" s="52" t="str">
        <f xml:space="preserve"> IF(Atletas!V232="","",IF(Atletas!V232="Duilian de Mãos AB - Equipe 1",1,IF(Atletas!V232="Duilian de Mãos AB - Equipe 2",2,IF(Atletas!V232="Duilian de Armas AB - Equipe 1",3,IF(Atletas!V232="Duilian de Armas AB - Equipe 2",4,IF(Atletas!V232="Duilian de Tuishou - Equipe 1",5,IF(Atletas!V232="Duilian de Tuishou - Equipe 2",6,IF(Atletas!V232="Grupo Externo AB - Equipe 1",7,IF(Atletas!V232="Grupo Externo AB - Equipe 2",8,IF(Atletas!V232="Grupo Interno AB - Equipe 1",9,IF(Atletas!V232="Grupo Interno AB - Equipe 2",10,IF(Atletas!V232="Duilian de Mãos CD - Equipe 1",11,IF(Atletas!V232="Duilian de Mãos CD - Equipe 2",12,IF(Atletas!V232="Duilian de Armas CD - Equipe 1",13,IF(Atletas!V232="Duilian de Armas CD - Equipe 2",14,IF(Atletas!V232="Duilian de Tuishou - Equipe 1",15,IF(Atletas!V232="Duilian de Tuishou - Equipe 2",16,IF(Atletas!V232="Grupo Externo CDEF - Equipe 1",17,IF(Atletas!V232="Grupo Externo CDEF - Equipe 2",18,IF(Atletas!V232="Grupo Interno CDEF - Equipe 1",19,IF(Atletas!V232="Grupo Interno CDEF - Equipe 2",20,IF(Atletas!V232="Duilian de Mãos EF - Equipe 1",21,IF(Atletas!V232="Duilian de Mãos EF - Equipe 2",22,IF(Atletas!V232="Duilian de Armas EF - Equipe 1",23,IF(Atletas!V232="Duilian de Armas EF - Equipe 2",24,IF(Atletas!V232="Duilian de Tuishou - Equipe 1",25,IF(Atletas!V232="Duilian de Tuishou - Equipe 2",26,"")))))))))))))))))))))))))))</f>
        <v/>
      </c>
    </row>
    <row r="237" spans="2:84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 t="str">
        <f t="array" ref="V237">IFERROR(INDEX(BX$7:BX$336,SMALL(IF(BX$7:BX$336&lt;&gt;"",ROW(BX$7:BX$336)-ROW(BX$7)+1),ROWS(BX$7:BX204))),"")</f>
        <v/>
      </c>
      <c r="W237" s="4" t="str">
        <f t="array" ref="W237">IFERROR(INDEX(BY$7:BY$336,SMALL(IF(BY$7:BY$336&lt;&gt;"",ROW(BY$7:BY$336)-ROW(BY$7)+1),ROWS(BY$7:BY204))),"")</f>
        <v/>
      </c>
      <c r="X237" s="4" t="str">
        <f t="array" ref="X237">IFERROR(INDEX(BZ$7:BZ$336,SMALL(IF(BZ$7:BZ$336&lt;&gt;"",ROW(BZ$7:BZ$336)-ROW(BZ$7)+1),ROWS(BZ$7:BZ204))),"")</f>
        <v/>
      </c>
      <c r="Y237" s="4" t="str">
        <f t="array" ref="Y237">IFERROR(INDEX(CA$7:CA$336,SMALL(IF(CA$7:CA$336&lt;&gt;"",ROW(CA$7:CA$336)-ROW(CA$7)+1),ROWS(CA$7:CA204))),"")</f>
        <v/>
      </c>
      <c r="Z237" s="4" t="str">
        <f t="array" ref="Z237">IFERROR(INDEX(CB$7:CB$378,SMALL(IF(CB$7:CB$378&lt;&gt;"",ROW(CB$7:CB$378)-ROW(CB$7)+1),ROWS(CB$7:CB236))),"")</f>
        <v/>
      </c>
      <c r="AA237" s="4" t="str">
        <f t="array" ref="AA237">IFERROR(INDEX(CC$7:CC$378,SMALL(IF(CC$7:CC$378&lt;&gt;"",ROW(CC$7:CC$378)-ROW(CC$7)+1),ROWS(CC$7:CC236))),"")</f>
        <v/>
      </c>
      <c r="AB237" s="4" t="str">
        <f t="array" ref="AB237">IFERROR(INDEX(CD$7:CD$378,SMALL(IF(CD$7:CD$378&lt;&gt;"",ROW(CD$7:CD$378)-ROW(CD$7)+1),ROWS(CD$7:CD236))),"")</f>
        <v/>
      </c>
      <c r="AC237" s="4" t="str">
        <f t="array" ref="AC237">IFERROR(INDEX(CE$7:CE$378,SMALL(IF(CE$7:CE$378&lt;&gt;"",ROW(CE$7:CE$378)-ROW(CE$7)+1),ROWS(CE$7:CE236))),"")</f>
        <v/>
      </c>
      <c r="AD237" s="4"/>
      <c r="AE237" s="4"/>
      <c r="AF237" s="4"/>
      <c r="AG237" s="4"/>
      <c r="AH237" s="4"/>
      <c r="AI237" s="4"/>
      <c r="AJ237" s="46" t="str">
        <f>IF(Atletas!D233="","",IF(Atletas!B233="Feminino",100,IF(Atletas!B233="Masculino",200,""))+(IF(Atletas!D233="Infantil 39kg",1,IF(Atletas!D233="Infantil 42kg",2,IF(Atletas!D233="Infantil 45kg",3,IF(Atletas!D233="Infantil 48kg",4,IF(Atletas!D233="Infantil 52kg",5,IF(Atletas!D233="Infantil 56kg",6,IF(Atletas!D233="Infantil 60kg",7,IF(Atletas!D233="Juvenil 48kg",8,IF(Atletas!D233="Juvenil 52kg",9,IF(Atletas!D233="Juvenil 56kg",10,IF(Atletas!D233="Juvenil 60kg",11,IF(Atletas!D233="Juvenil 65kg",12,IF(Atletas!D233="Juvenil 70kg",13,IF(Atletas!D233="Juvenil 75kg",14,IF(Atletas!D233="Juvenil 80kg",15,IF(Atletas!D233="Adulto 48kg",16,IF(Atletas!D233="Adulto 52kg",17,IF(Atletas!D233="Adulto 56kg",18,IF(Atletas!D233="Adulto 60kg",19,IF(Atletas!D233="Adulto 65kg",20,IF(Atletas!D233="Adulto 70kg",21,IF(Atletas!D233="Adulto 75kg",22,IF(Atletas!D233="Adulto 80kg",23,IF(Atletas!D233="Adulto 85kg",24,IF(Atletas!D233="Adulto 90kg",25,IF(Atletas!D233="Adulto +90kg",26,""))))))))))))))))))))))))))))</f>
        <v/>
      </c>
      <c r="AO237" s="10" t="str">
        <f>IF(Atletas!E233="","",IF(Atletas!B233="Feminino",100,IF(Atletas!B233="Masculino",200,""))+(IF(Atletas!E233="Juvenil 44kg",1,IF(Atletas!E233="Juvenil 48kg",2,IF(Atletas!E233="Juvenil 52kg",3,IF(Atletas!E233="Juvenil 56kg",4,IF(Atletas!E233="Juvenil 60kg",5,IF(Atletas!E233="Juvenil 65kg",6,IF(Atletas!E233="Juvenil 70kg",7,IF(Atletas!E233="Juvenil 75kg",8,IF(Atletas!E233="Juvenil 82kg",9,IF(Atletas!E233="Juvenil 90kg",10,IF(Atletas!E233="Juvenil 100kg",11,IF(Atletas!E233="Adulto 48kg",12,IF(Atletas!E233="Adulto 52kg",13,IF(Atletas!E233="Adulto 56kg",14,IF(Atletas!E233="Adulto 60kg",15,IF(Atletas!E233="Adulto 65kg",16,IF(Atletas!E233="Adulto 70kg",17,IF(Atletas!E233="Adulto 75kg",18,IF(Atletas!E233="Adulto 82kg",19,IF(Atletas!E233="Adulto 90kg",20,IF(Atletas!E233="Adulto 100kg",21,IF(Atletas!E233="Adulto +100kg",22,""))))))))))))))))))))))))</f>
        <v/>
      </c>
      <c r="AT237" s="10" t="str">
        <f>IF(Atletas!F233="","",IF(Atletas!B233="Feminino",100,IF(Atletas!B233="Masculino",200,""))+(IF(Atletas!F233="Adulto 48kg",1,IF(Atletas!F233="Adulto 56kg",2,IF(Atletas!F233="Adulto 65kg",3,IF(Atletas!F233="Adulto 75kg",4,IF(Atletas!F233="Adulto +75kg",5,IF(Atletas!F233="Adulto 52kg",6,IF(Atletas!F233="Adulto 60kg",7,IF(Atletas!F233="Adulto 70kg",8,IF(Atletas!F233="Adulto 80kg",9,IF(Atletas!F233="Adulto 90kg",10,IF(Atletas!F233="Adulto +90kg",11,"")))))))))))))</f>
        <v/>
      </c>
      <c r="AY237" s="46" t="str">
        <f>IF(Atletas!G233="","",IF(Atletas!B233="Feminino",100,IF(Atletas!B233="Masculino",200,""))+(IF(Atletas!G233="Changquan Mirim",1,IF(Atletas!G233="Nanquan Mirim",2,IF(Atletas!G233="Taijiquan Mirim",3,IF(Atletas!G233="Changquan Grupo C",4,IF(Atletas!G233="Nanquan Grupo C",5,IF(Atletas!G233="Taijiquan Grupo C",6,IF(Atletas!G233="Changquan Grupo B",7,IF(Atletas!G233="Nanquan Grupo B",8,IF(Atletas!G233="Taijiquan Grupo B",9,IF(Atletas!G233="Changquan Grupo A",10,IF(Atletas!G233="Nanquan Grupo A",11,IF(Atletas!G233="Taijiquan Grupo A",12,IF(Atletas!G233="Changquan Opcional",13,IF(Atletas!G233="Nanquan Opcional",14,IF(Atletas!G233="Taijiquan Opcional",15,IF(Atletas!G233="Changquan Adulto",16,IF(Atletas!G233="Nanquan Adulto",17,IF(Atletas!G233="Taijiquan Adulto",18,""))))))))))))))))))))</f>
        <v/>
      </c>
      <c r="AZ237" s="46" t="str">
        <f>IF(Atletas!H233="","",IF(Atletas!B233="Feminino",100,IF(Atletas!B233="Masculino",200,""))+(IF(Atletas!H233="Daoshu Mirim",19,IF(Atletas!H233="Jianshu Mirim",20,IF(Atletas!H233="Nandao Mirim",21,IF(Atletas!H233="Taijijian Mirim",22,IF(Atletas!H233="Daoshu Grupo C",23,IF(Atletas!H233="Jianshu Grupo C",24,IF(Atletas!H233="Nandao Grupo C",25,IF(Atletas!H233="Taijijian Grupo C",26,IF(Atletas!H233="Daoshu Grupo B",27,IF(Atletas!H233="Jianshu Grupo B",28,IF(Atletas!H233="Nandao Grupo B",29,IF(Atletas!H233="Taijijian Grupo B",30,IF(Atletas!H233="Daoshu Grupo A",31,IF(Atletas!H233="Jianshu Grupo A",32,IF(Atletas!H233="Nandao Grupo A",33,IF(Atletas!H233="Taijijian Grupo A",34,IF(Atletas!H233="Daoshu Opcional",35,IF(Atletas!H233="Jianshu Opcional",36,IF(Atletas!H233="Nandao Opcional",37,IF(Atletas!H233="Taijijian Opcional",38,IF(Atletas!H233="Daoshu Adulto",39,IF(Atletas!H233="Jianshu Adulto",40,IF(Atletas!H233="Nandao Adulto",41,IF(Atletas!H233="Taijijian Adulto",42,""))))))))))))))))))))))))))</f>
        <v/>
      </c>
      <c r="BA237" s="46" t="str">
        <f>IF(Atletas!I233="","",IF(Atletas!B233="Feminino",100,IF(Atletas!B233="Masculino",200,""))+(IF(Atletas!I233="Gunshu Mirim",43,IF(Atletas!I233="Qiangshu Mirim",44,IF(Atletas!I233="Nangun Mirim",45,IF(Atletas!I233="Gunshu Grupo C",46,IF(Atletas!I233="Qiangshu Grupo C",47,IF(Atletas!I233="Nangun Grupo C",48,IF(Atletas!I233="Gunshu Grupo B",49,IF(Atletas!I233="Qiangshu Grupo B",50,IF(Atletas!I233="Nangun Grupo B",51,IF(Atletas!I233="Gunshu Grupo A",52,IF(Atletas!I233="Qiangshu Grupo A",53,IF(Atletas!I233="Nangun Grupo A",54,IF(Atletas!I233="Gunshu Opcional",55,IF(Atletas!I233="Qiangshu Opcional",56,IF(Atletas!I233="Nangun Opcional",57,IF(Atletas!I233="Gunshu Adulto",58,IF(Atletas!I233="Qiangshu Adulto",59,IF(Atletas!I233="Nangun Adulto",60,""))))))))))))))))))))</f>
        <v/>
      </c>
      <c r="BF237" s="52" t="str">
        <f>IF(Atletas!J233="","",IF(Atletas!B233="Feminino",100,IF(Atletas!B233="Masculino",200,""))+(IF(Atletas!J233="Equipe 1 Grupo B",1,IF(Atletas!J233="Equipe 2 Grupo B",2,IF(Atletas!J233="Equipe 1 Grupo A",3,IF(Atletas!J233="Equipe 2 Grupo A",4,IF(Atletas!J233="Equipe 1 Adulto",5,IF(Atletas!J233="Equipe 2 Adulto",6,""))))))))</f>
        <v/>
      </c>
      <c r="BK237" s="52" t="str">
        <f>IF(Atletas!K233="","",IF(Atletas!W233&lt;&gt;"",10000,0)+(IF(Atletas!B233="Feminino",1000,IF(Atletas!B233="Masculino",2000,""))+IF(Atletas!K233="Choylayfut A",1,IF(Atletas!K233="Hunggar A",2,IF(Atletas!K233="Wuzuquan A",3,IF(Atletas!K233="Wingchun A",4,IF(Atletas!K233="Outra Mão de Sul A",5,IF(Atletas!K233="Choylayfut B",6,IF(Atletas!K233="Hunggar B",7,IF(Atletas!K233="Wuzuquan B",8,IF(Atletas!K233="Wingchun B",9,IF(Atletas!K233="Outra Mão de Sul B",10,IF(Atletas!K233="Choylayfut C",11,IF(Atletas!K233="Hunggar C",12,IF(Atletas!K233="Wuzuquan C",13,IF(Atletas!K233="Wingchun C",14,IF(Atletas!K233="Outra Mão de Sul C",15,IF(Atletas!K233="Choylayfut D",16,IF(Atletas!K233="Hunggar D",17,IF(Atletas!K233="Wuzuquan D",18,IF(Atletas!K233="Wingchun D",19,IF(Atletas!K233="Outra Mão de Sul D",20,IF(Atletas!K233="Choylayfut E",21,IF(Atletas!K233="Hunggar E",22,IF(Atletas!K233="Wuzuquan E",23,IF(Atletas!K233="Wingchun E",24,IF(Atletas!K233="Outra Mão de Sul E",25,IF(Atletas!K233="Choylayfut F",26,IF(Atletas!K233="Hunggar F",27,IF(Atletas!K233="Wuzuquan F",28,IF(Atletas!K233="Wingchun F",29,IF(Atletas!K233="Outra Mão de Sul F",30,""))))))))))))))))))))))))))))))))</f>
        <v/>
      </c>
      <c r="BL237" s="52" t="str">
        <f>IF(Atletas!L233="","",IF(Atletas!W233&lt;&gt;"",10000,0)+(IF(Atletas!B233="Feminino",1000,IF(Atletas!B233="Masculino",2000,""))+(IF(Atletas!L233="Chaquan A",101,IF(Atletas!L233="Emeiquan A",102,IF(Atletas!L233="Fanziquan A",103,IF(Atletas!L233="Huaquan A",104,IF(Atletas!L233="Hongquan A",105,IF(Atletas!L233="Paochui A",106,IF(Atletas!L233="Piguaquan A",107,IF(Atletas!L233="Shaolinquan A",108,IF(Atletas!L233="Tanglangquan A",109,IF(Atletas!L233="Yinzhaophai A",110,IF(Atletas!L233="Tongbeiquan A",111,IF(Atletas!L233="Wudangquan A",112,IF(Atletas!L233="Outros Estilos A",113,IF(Atletas!L233="Chaquan B",114,IF(Atletas!L233="Emeiquan B",115,IF(Atletas!L233="Fanziquan B",116,IF(Atletas!L233="Huaquan B",117,IF(Atletas!L233="Hongquan B",118,IF(Atletas!L233="Paochui B",119,IF(Atletas!L233="Piguaquan B",120,IF(Atletas!L233="Shaolinquan B",121,IF(Atletas!L233="Tanglangquan B",122,IF(Atletas!L233="Yinzhaophai B",123,IF(Atletas!L233="Tongbeiquan B",124,IF(Atletas!L233="Wudangquan B",125,IF(Atletas!L233="Outros Estilos B",126,IF(Atletas!L233="Chaquan C",127,IF(Atletas!L233="Emeiquan C",128,IF(Atletas!L233="Fanziquan C",129,IF(Atletas!L233="Huaquan C",130,IF(Atletas!L233="Hongquan C",131,IF(Atletas!L233="Paochui C",132,IF(Atletas!L233="Piguaquan C",133,IF(Atletas!L233="Shaolinquan C",134,IF(Atletas!L233="Tanglangquan C",135,IF(Atletas!L233="Yinzhaophai C",136,IF(Atletas!L233="Tongbeiquan C",137,IF(Atletas!L233="Wudangquan C",138,IF(Atletas!L233="Outros Estilos C",139,0))))))))))))))))))))))))))))))))))))))))))</f>
        <v/>
      </c>
      <c r="BM237" s="52" t="str">
        <f>IF(Atletas!L233="","",IF(Atletas!W233&lt;&gt;"",10000,0)+(IF(Atletas!B233="Feminino",1000,IF(Atletas!B233="Masculino",2000,""))+(IF(Atletas!L233="Chaquan D",140,IF(Atletas!L233="Emeiquan D",141,IF(Atletas!L233="Fanziquan D",142,IF(Atletas!L233="Huaquan D",143,IF(Atletas!L233="Hongquan D",144,IF(Atletas!L233="Paochui D",145,IF(Atletas!L233="Piguaquan D",146,IF(Atletas!L233="Shaolinquan D",147,IF(Atletas!L233="Tanglangquan D",148,IF(Atletas!L233="Yinzhaophai D",149,IF(Atletas!L233="Tongbeiquan D",150,IF(Atletas!L233="Wudangquan D",151,IF(Atletas!L233="Outros Estilos D",152,IF(Atletas!L233="Chaquan E",153,IF(Atletas!L233="Emeiquan E",154,IF(Atletas!L233="Fanziquan E",155,IF(Atletas!L233="Huaquan E",156,IF(Atletas!L233="Hongquan E",157,IF(Atletas!L233="Paochui E",158,IF(Atletas!L233="Piguaquan E",159,IF(Atletas!L233="Shaolinquan E",160,IF(Atletas!L233="Tanglangquan E",161,IF(Atletas!L233="Yinzhaophai E",162,IF(Atletas!L233="Tongbeiquan E",163,IF(Atletas!L233="Wudangquan E",164,IF(Atletas!L233="Outros Estilos E",165,IF(Atletas!L233="Chaquan F",166,IF(Atletas!L233="Emeiquan F",167,IF(Atletas!L233="Fanziquan F",168,IF(Atletas!L233="Huaquan F",169,IF(Atletas!L233="Hongquan F",170,IF(Atletas!L233="Paochui F",171,IF(Atletas!L233="Piguaquan F",172,IF(Atletas!L233="Shaolinquan F",173,IF(Atletas!L233="Tanglangquan F",174,IF(Atletas!L233="Yinzhaophai F",175,IF(Atletas!L233="Tongbeiquan F",176,IF(Atletas!L233="Wudangquan F",177,IF(Atletas!L233="Outros Estilos F",178,0))))))))))))))))))))))))))))))))))))))))))</f>
        <v/>
      </c>
      <c r="BN237" s="52" t="str">
        <f>IF(Atletas!M233="","",IF(Atletas!W233&lt;&gt;"",10000,0)+(IF(Atletas!B233="Feminino",1000,IF(Atletas!B233="Masculino",2000,""))+(IF(Atletas!M233="Ditangquan A",201,IF(Atletas!M233="Houquan A",202,IF(Atletas!M233="Zuiquan A",203,IF(Atletas!M233="Ditangquan B",204,IF(Atletas!M233="Houquan B",205,IF(Atletas!M233="Zuiquan B",206,IF(Atletas!M233="Ditangquan C",207,IF(Atletas!M233="Houquan C",208,IF(Atletas!M233="Zuiquan C",209,IF(Atletas!M233="Ditangquan D",210,IF(Atletas!M233="Houquan D",211,IF(Atletas!M233="Zuiquan D",212,IF(Atletas!M233="Ditangquan E",213,IF(Atletas!M233="Houquan E",214,IF(Atletas!M233="Zuiquan E",215,IF(Atletas!M233="Ditangquan F",216,IF(Atletas!M233="Houquan F",217,IF(Atletas!M233="Zuiquan F",218,"")))))))))))))))))))))</f>
        <v/>
      </c>
      <c r="BO237" s="52" t="str">
        <f>IF(Atletas!N233="","",IF(Atletas!W233&lt;&gt;"",10000,0)+IF(Atletas!B233="Feminino",1000,IF(Atletas!B233="Masculino",2000,""))+IF(Atletas!N233="Yang A",301,IF(Atletas!N233="Chen A",30,IF(Atletas!N233="Sun A",303,IF(Atletas!N233="Wu A",304,IF(Atletas!N233="Wu-Hao A",305,IF(Atletas!N233="Outro Taijiquan A",306,IF(Atletas!N233="Yang B",307,IF(Atletas!N233="Chen B",308,IF(Atletas!N233="Sun B",309,IF(Atletas!N233="Wu B",310,IF(Atletas!N233="Wu-Hao B",311,IF(Atletas!N233="Outro Taijiquan B",312,IF(Atletas!N233="Yang C",313,IF(Atletas!N233="Chen C",314,IF(Atletas!N233="Sun C",315,IF(Atletas!N233="Wu C",316,IF(Atletas!N233="Wu-Hao C",317,IF(Atletas!N233="Outro Taijiquan C",318,IF(Atletas!N233="Yang D",319,IF(Atletas!N233="Chen D",320,IF(Atletas!N233="Sun D",321,IF(Atletas!N233="Wu D",322,IF(Atletas!N233="Wu-Hao D",323,IF(Atletas!N233="Outro Taijiquan D",324,IF(Atletas!N233="Yang E",325,IF(Atletas!N233="Chen E",326,IF(Atletas!N233="Sun E",327,IF(Atletas!N233="Wu E",328,IF(Atletas!N233="Wu-Hao E",329,IF(Atletas!N233="Outro Taijiquan E",330,IF(Atletas!N233="Yang F",331,IF(Atletas!N233="Chen F",332,IF(Atletas!N233="Sun F",333,IF(Atletas!N233="Wu F",334,IF(Atletas!N233="Wu-Hao F",335,IF(Atletas!N233="Outro Taijiquan F",336,"")))))))))))))))))))))))))))))))))))))</f>
        <v/>
      </c>
      <c r="BP237" s="52" t="str">
        <f>IF(Atletas!O233="","",IF(Atletas!W233&lt;&gt;"",10000,0)+IF(Atletas!B233="Feminino",1000,IF(Atletas!B233="Masculino",2000,""))+IF(OR(Atletas!O233="Yang 26 A",Atletas!O233="Yang 40 A"),401,IF(OR(Atletas!O233="Chen 25 A",Atletas!O233="Chen 36 A",Atletas!O233="Chen 56 A"),402,IF(Atletas!O233="Sun 73 A",403,IF(Atletas!O233="Wu 45 A",404,IF(Atletas!O233="Wu-Hao 46 A",405,IF(OR(Atletas!O233="Taijiquan 16 A",Atletas!O233="Taijiquan 24 A",Atletas!O233="Taijiquan 32 A",Atletas!O233="Taijiquan 42 A"),406,IF(OR(Atletas!O233="Yang 26 B",Atletas!O233="Yang 40 B"),407,IF(OR(Atletas!O233="Chen 25 B",Atletas!O233="Chen 36 B",Atletas!O233="Chen 56 B"),408,IF(Atletas!O233="Sun 73 B",409,IF(Atletas!O233="Wu 45 B",410,IF(Atletas!O233="Wu-Hao 46 B",411,IF(OR(Atletas!O233="Taijiquan 16 B",Atletas!O233="Taijiquan 24 B",Atletas!O233="Taijiquan 32 B",Atletas!O233="Taijiquan 42 B"),412,IF(OR(Atletas!O233="Yang 26 C",Atletas!O233="Yang 40 C"),413,IF(OR(Atletas!O233="Chen 25 C",Atletas!O233="Chen 36 C",Atletas!O233="Chen 56 C"),414,IF(Atletas!O233="Sun 73 C",415,IF(Atletas!O233="Wu 45 C",416,IF(Atletas!O233="Wu-Hao 46 C",417,IF(OR(Atletas!O233="Taijiquan 16 C",Atletas!O233="Taijiquan 24 C",Atletas!O233="Taijiquan 32 C",Atletas!O233="Taijiquan 42 C"),418,0)))))))))))))))))))</f>
        <v/>
      </c>
      <c r="BQ237" s="52" t="str">
        <f>IF(Atletas!O233="","",IF(Atletas!W233&lt;&gt;"",10000,0)+IF(Atletas!B233="Feminino",1000,IF(Atletas!B233="Masculino",2000,""))+IF(OR(Atletas!O233="Yang 26 D",Atletas!O233="Yang 40 D"),419,IF(OR(Atletas!O233="Chen 25 D",Atletas!O233="Chen 36 D",Atletas!O233="Chen 56 D"),420,IF(Atletas!O233="Sun 73 D",421,IF(Atletas!O233="Wu 45 D",422,IF(Atletas!O233="Wu-Hao 46 D",423,IF(OR(Atletas!O233="Taijiquan 16 D",Atletas!O233="Taijiquan 24 D",Atletas!O233="Taijiquan 32 D",Atletas!O233="Taijiquan 42 D"),424,IF(OR(Atletas!O233="Yang 26 E",Atletas!O233="Yang 40 E"),425,IF(OR(Atletas!O233="Chen 25 E",Atletas!O233="Chen 36 E",Atletas!O233="Chen 56 E"),426,IF(Atletas!O233="Sun 73 E",427,IF(Atletas!O233="Wu 45 E",428,IF(Atletas!O233="Wu-Hao 46 E",429,IF(OR(Atletas!O233="Taijiquan 16 E",Atletas!O233="Taijiquan 24 E",Atletas!O233="Taijiquan 32 E",Atletas!O233="Taijiquan 42 E"),430,IF(OR(Atletas!O233="Yang 26 F",Atletas!O233="Yang 40 F"),431,IF(OR(Atletas!O233="Chen 25 F",Atletas!O233="Chen 36 F",Atletas!O233="Chen 56 F"),432,IF(Atletas!O233="Sun 73 F",433,IF(Atletas!O233="Wu 45 F",434,IF(Atletas!O233="Wu-Hao 46 F",435,IF(OR(Atletas!O233="Taijiquan 16 F",Atletas!O233="Taijiquan 24 F",Atletas!O233="Taijiquan 32 F",Atletas!O233="Taijiquan 42 F"),436,0)))))))))))))))))))</f>
        <v/>
      </c>
      <c r="BR237" s="52" t="str">
        <f>IF(Atletas!P233="","",IF(Atletas!W233&lt;&gt;"",10000,0)+IF(Atletas!B233="Feminino",1000,IF(Atletas!B233="Masculino",2000,""))+IF(Atletas!P233="Xingyiquan A",501,IF(Atletas!P233="Baguazhang A",502,IF(Atletas!P233="Outro Estilo Interno A",503,IF(Atletas!P233="Xingyiquan B",504,IF(Atletas!P233="Baguazhang B",505,IF(Atletas!P233="Outro Estilo Interno B",506,IF(Atletas!P233="Xingyiquan C",507,IF(Atletas!P233="Baguazhang C",508,IF(Atletas!P233="Outro Estilo Interno C",509,IF(Atletas!P233="Xingyiquan D",510,IF(Atletas!P233="Baguazhang D",511,IF(Atletas!P233="Outro Estilo Interno D",512,IF(Atletas!P233="Xingyiquan E",513,IF(Atletas!P233="Baguazhang E",514,IF(Atletas!P233="Outro Estilo Interno E",515,IF(Atletas!P233="Xingyiquan F",516,IF(Atletas!P233="Baguazhang F",517,IF(Atletas!P233="Outro Estilo Interno F",518, "")))))))))))))))))))</f>
        <v/>
      </c>
      <c r="BS237" s="52" t="str">
        <f>IF(Atletas!Q233="","",IF(Atletas!W233&lt;&gt;"",10000,0)+IF(Atletas!B233="Feminino",1000,IF(Atletas!B233="Masculino",2000,""))+IF(Atletas!Q233="Dao A",601,IF(Atletas!Q233="Jian A",602,IF(Atletas!Q233="Bishou A",603,IF(Atletas!Q233="Shan A",604,IF(Atletas!Q233="Outra Arma Curta A",605,IF(Atletas!Q233="Dao B",606,IF(Atletas!Q233="Jian B",607,IF(Atletas!Q233="Bishou B",608,IF(Atletas!Q233="Shan B",609,IF(Atletas!Q233="Outra Arma Curta B",610,IF(Atletas!Q233="Dao C",611,IF(Atletas!Q233="Jian C",612,IF(Atletas!Q233="Bishou C",613,IF(Atletas!Q233="Shan C",614,IF(Atletas!Q233="Outra Arma Curta C",615,IF(Atletas!Q233="Dao D",616,IF(Atletas!Q233="Jian D",617,IF(Atletas!Q233="Bishou D",618,IF(Atletas!Q233="Shan D",619,IF(Atletas!Q233="Outra Arma Curta D",620,IF(Atletas!Q233="Dao E",621,IF(Atletas!Q233="Jian E",622,IF(Atletas!Q233="Bishou E",623,IF(Atletas!Q233="Shan E",624,IF(Atletas!Q233="Outra Arma Curta E",625,IF(Atletas!Q233="Dao F",626,IF(Atletas!Q233="Jian F",627,IF(Atletas!Q233="Bishou F",628,IF(Atletas!Q233="Shan F",629,IF(Atletas!Q233="Outra Arma Curta F",630, "")))))))))))))))))))))))))))))))</f>
        <v/>
      </c>
      <c r="BT237" s="52" t="str">
        <f>IF(Atletas!R233="","",IF(Atletas!W233&lt;&gt;"",10000,0)+IF(Atletas!B233="Feminino",1000,IF(Atletas!B233="Masculino",2000,""))+IF(Atletas!R233="Gun A",701,IF(Atletas!R233="Qiang A",702,IF(Atletas!R233="Pudao / Guandao A",703,IF(Atletas!R233="Outra Arma Longa A",704,IF(Atletas!R233="Gun B",705,IF(Atletas!R233="Qiang B",706,IF(Atletas!R233="Pudao / Guandao B",707,IF(Atletas!R233="Outra Arma Longa B",708,IF(Atletas!R233="Gun C",709,IF(Atletas!R233="Qiang C",710,IF(Atletas!R233="Pudao / Guandao C",711,IF(Atletas!R233="Outra Arma Longa C",712,IF(Atletas!R233="Gun D",713,IF(Atletas!R233="Qiang D",714,IF(Atletas!R233="Pudao / Guandao D",715,IF(Atletas!R233="Outra Arma Longa D",716,IF(Atletas!R233="Gun E",717,IF(Atletas!R233="Qiang E",718,IF(Atletas!R233="Pudao / Guandao E",719,IF(Atletas!R233="Outra Arma Longa E",720,IF(Atletas!R233="Gun F",721,IF(Atletas!R233="Qiang F",722,IF(Atletas!R233="Pudao / Guandao F",723,IF(Atletas!R233="Outra Arma Longa F",724,"")))))))))))))))))))))))))</f>
        <v/>
      </c>
      <c r="BU237" s="52" t="str">
        <f>IF(Atletas!S233="","",IF(Atletas!W233&lt;&gt;"",10000,0)+IF(Atletas!B233="Feminino",1000,IF(Atletas!B233="Masculino",2000,""))+IF(Atletas!S233="Arma Dupla A",801,IF(Atletas!S233="Arma Maleável A",802,IF(Atletas!S233="Arma Dupla B",803,IF(Atletas!S233="Arma Maleável B",804,IF(Atletas!S233="Arma Dupla C",805,IF(Atletas!S233="Arma Maleável C",806,IF(Atletas!S233="Arma Dupla D",807,IF(Atletas!S233="Arma Maleável D",808,IF(Atletas!S233="Arma Dupla E",809,IF(Atletas!S233="Arma Maleável E",810,IF(Atletas!S233="Arma Dupla F",811,IF(Atletas!S233="Arma Maleável F",812, "")))))))))))))</f>
        <v/>
      </c>
      <c r="BV237" s="52" t="str">
        <f>IF(Atletas!T233="","",IF(Atletas!W233&lt;&gt;"",10000,0)+IF(Atletas!B233="Feminino",1000,IF(Atletas!B233="Masculino",2000,""))+IF(Atletas!T233="Taijijian Yang A",901,IF(Atletas!T233="Taijijian Chen A",902,IF(Atletas!T233="Taijijian Sun A",903,IF(Atletas!T233="Taijijian Wu A",904,IF(Atletas!T233="Taijijian Wu-Hao A",905,IF(Atletas!T233="Taijijian 32 A",906,IF(Atletas!T233="Taijijian 42 A",907,IF(Atletas!T233="Taijijian Yang B",908,IF(Atletas!T233="Taijijian Chen B",909,IF(Atletas!T233="Taijijian Sun B",910,IF(Atletas!T233="Taijijian Wu B",911,IF(Atletas!T233="Taijijian Wu-Hao B",912,IF(Atletas!T233="Taijijian 32 B",913,IF(Atletas!T233="Taijijian 42 B",914,IF(Atletas!T233="Taijijian Yang C",915,IF(Atletas!T233="Taijijian Chen C",916,IF(Atletas!T233="Taijijian Sun C",917,IF(Atletas!T233="Taijijian Wu C",918,IF(Atletas!T233="Taijijian Wu-Hao C",919,IF(Atletas!T233="Taijijian 32 C",920,IF(Atletas!T233="Taijijian 42 C",921,IF(Atletas!T233="Taijijian Yang D",922,IF(Atletas!T233="Taijijian Chen D",923,IF(Atletas!T233="Taijijian Sun D",924,IF(Atletas!T233="Taijijian Wu D",925,IF(Atletas!T233="Taijijian Wu-Hao D",926,IF(Atletas!T233="Taijijian 32 D",927,IF(Atletas!T233="Taijijian 42 D",928,IF(Atletas!T233="Taijijian Yang E",929,IF(Atletas!T233="Taijijian Chen E",930,IF(Atletas!T233="Taijijian Sun E",931,IF(Atletas!T233="Taijijian Wu E",932,IF(Atletas!T233="Taijijian Wu-Hao E",933,IF(Atletas!T233="Taijijian 32 E",934,IF(Atletas!T233="Taijijian 42 E",935,IF(Atletas!T233="Taijijian Yang F",936,IF(Atletas!T233="Taijijian Chen F",937,IF(Atletas!T233="Taijijian Sun F",938,IF(Atletas!T233="Taijijian Wu F",939,IF(Atletas!T233="Taijijian Wu-Hao F",940,IF(Atletas!T233="Taijijian 32 F",941,IF(Atletas!T233="Taijijian 42 F",942,"")))))))))))))))))))))))))))))))))))))))))))</f>
        <v/>
      </c>
      <c r="BW237" s="52" t="str">
        <f>IF(Atletas!U233="","",IF(Atletas!W233&lt;&gt;"",10000,0)+IF(Atletas!B233="Feminino",1000,IF(Atletas!B233="Masculino",2000,""))+IF(Atletas!T233="Taijijian 42 F",942,IF(Atletas!U233="Taijidao A",943,IF(Atletas!U233="Taijishan A",944,IF(Atletas!U233="Taijiqiang A",945,IF(Atletas!U233="Taijidao B",946,IF(Atletas!U233="Taijishan B",947,IF(Atletas!U233="Taijiqiang B",948,IF(Atletas!U233="Taijidao C",949,IF(Atletas!U233="Taijishan C",950,IF(Atletas!U233="Taijiqiang C",951,IF(Atletas!U233="Taijidao D",952,IF(Atletas!U233="Taijishan D",953,IF(Atletas!U233="Taijiqiang D",954,IF(Atletas!U233="Taijidao E",955,IF(Atletas!U233="Taijishan E",956,IF(Atletas!U233="Taijiqiang E",957,IF(Atletas!U233="Taijidao F",958,IF(Atletas!U233="Taijishan F",959,IF(Atletas!U233="Taijiqiang F",960))))))))))))))))))))</f>
        <v/>
      </c>
      <c r="BX237" s="72" t="str">
        <f>IF(BY237&lt;&gt;"","Outra Arma Curta C","")</f>
        <v/>
      </c>
      <c r="BY237" s="72" t="str">
        <f>IF(COUNTIF(BK:BW,1615)&gt;0,COUNTIF(BK:BW,1615),"")</f>
        <v/>
      </c>
      <c r="BZ237" s="72" t="str">
        <f>IF(CA237&lt;&gt;"","Outra Arma Curta C","")</f>
        <v/>
      </c>
      <c r="CA237" s="72" t="str">
        <f>IF(COUNTIF(BK:BW,2615)&gt;0,COUNTIF(BK:BW,2615),"")</f>
        <v/>
      </c>
      <c r="CB237" s="72" t="str">
        <f>IF(CC237&lt;&gt;"","Yang 50 F","")</f>
        <v/>
      </c>
      <c r="CC237" s="64" t="str">
        <f>IF(COUNTIF(BK:BW,11469)&gt;0,COUNTIF(BK:BW,11469),"")</f>
        <v/>
      </c>
      <c r="CD237" s="64" t="str">
        <f>IF(CE237&lt;&gt;"","Yang 50 F","")</f>
        <v/>
      </c>
      <c r="CE237" s="64" t="str">
        <f>IF(COUNTIF(BK:BW,12469)&gt;0,COUNTIF(BK:BW,12469),"")</f>
        <v/>
      </c>
      <c r="CF237" s="52" t="str">
        <f xml:space="preserve"> IF(Atletas!V233="","",IF(Atletas!V233="Duilian de Mãos AB - Equipe 1",1,IF(Atletas!V233="Duilian de Mãos AB - Equipe 2",2,IF(Atletas!V233="Duilian de Armas AB - Equipe 1",3,IF(Atletas!V233="Duilian de Armas AB - Equipe 2",4,IF(Atletas!V233="Duilian de Tuishou - Equipe 1",5,IF(Atletas!V233="Duilian de Tuishou - Equipe 2",6,IF(Atletas!V233="Grupo Externo AB - Equipe 1",7,IF(Atletas!V233="Grupo Externo AB - Equipe 2",8,IF(Atletas!V233="Grupo Interno AB - Equipe 1",9,IF(Atletas!V233="Grupo Interno AB - Equipe 2",10,IF(Atletas!V233="Duilian de Mãos CD - Equipe 1",11,IF(Atletas!V233="Duilian de Mãos CD - Equipe 2",12,IF(Atletas!V233="Duilian de Armas CD - Equipe 1",13,IF(Atletas!V233="Duilian de Armas CD - Equipe 2",14,IF(Atletas!V233="Duilian de Tuishou - Equipe 1",15,IF(Atletas!V233="Duilian de Tuishou - Equipe 2",16,IF(Atletas!V233="Grupo Externo CDEF - Equipe 1",17,IF(Atletas!V233="Grupo Externo CDEF - Equipe 2",18,IF(Atletas!V233="Grupo Interno CDEF - Equipe 1",19,IF(Atletas!V233="Grupo Interno CDEF - Equipe 2",20,IF(Atletas!V233="Duilian de Mãos EF - Equipe 1",21,IF(Atletas!V233="Duilian de Mãos EF - Equipe 2",22,IF(Atletas!V233="Duilian de Armas EF - Equipe 1",23,IF(Atletas!V233="Duilian de Armas EF - Equipe 2",24,IF(Atletas!V233="Duilian de Tuishou - Equipe 1",25,IF(Atletas!V233="Duilian de Tuishou - Equipe 2",26,"")))))))))))))))))))))))))))</f>
        <v/>
      </c>
    </row>
    <row r="238" spans="2:84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 t="str">
        <f t="array" ref="V238">IFERROR(INDEX(BX$7:BX$336,SMALL(IF(BX$7:BX$336&lt;&gt;"",ROW(BX$7:BX$336)-ROW(BX$7)+1),ROWS(BX$7:BX204))),"")</f>
        <v/>
      </c>
      <c r="W238" s="4" t="str">
        <f t="array" ref="W238">IFERROR(INDEX(BY$7:BY$336,SMALL(IF(BY$7:BY$336&lt;&gt;"",ROW(BY$7:BY$336)-ROW(BY$7)+1),ROWS(BY$7:BY204))),"")</f>
        <v/>
      </c>
      <c r="X238" s="4" t="str">
        <f t="array" ref="X238">IFERROR(INDEX(BZ$7:BZ$336,SMALL(IF(BZ$7:BZ$336&lt;&gt;"",ROW(BZ$7:BZ$336)-ROW(BZ$7)+1),ROWS(BZ$7:BZ204))),"")</f>
        <v/>
      </c>
      <c r="Y238" s="4" t="str">
        <f t="array" ref="Y238">IFERROR(INDEX(CA$7:CA$336,SMALL(IF(CA$7:CA$336&lt;&gt;"",ROW(CA$7:CA$336)-ROW(CA$7)+1),ROWS(CA$7:CA204))),"")</f>
        <v/>
      </c>
      <c r="Z238" s="4" t="str">
        <f t="array" ref="Z238">IFERROR(INDEX(CB$7:CB$378,SMALL(IF(CB$7:CB$378&lt;&gt;"",ROW(CB$7:CB$378)-ROW(CB$7)+1),ROWS(CB$7:CB237))),"")</f>
        <v/>
      </c>
      <c r="AA238" s="4" t="str">
        <f t="array" ref="AA238">IFERROR(INDEX(CC$7:CC$378,SMALL(IF(CC$7:CC$378&lt;&gt;"",ROW(CC$7:CC$378)-ROW(CC$7)+1),ROWS(CC$7:CC237))),"")</f>
        <v/>
      </c>
      <c r="AB238" s="4" t="str">
        <f t="array" ref="AB238">IFERROR(INDEX(CD$7:CD$378,SMALL(IF(CD$7:CD$378&lt;&gt;"",ROW(CD$7:CD$378)-ROW(CD$7)+1),ROWS(CD$7:CD237))),"")</f>
        <v/>
      </c>
      <c r="AC238" s="4" t="str">
        <f t="array" ref="AC238">IFERROR(INDEX(CE$7:CE$378,SMALL(IF(CE$7:CE$378&lt;&gt;"",ROW(CE$7:CE$378)-ROW(CE$7)+1),ROWS(CE$7:CE237))),"")</f>
        <v/>
      </c>
      <c r="AD238" s="4"/>
      <c r="AE238" s="4"/>
      <c r="AF238" s="4"/>
      <c r="AG238" s="4"/>
      <c r="AH238" s="4"/>
      <c r="AI238" s="4"/>
      <c r="AJ238" s="46" t="str">
        <f>IF(Atletas!D234="","",IF(Atletas!B234="Feminino",100,IF(Atletas!B234="Masculino",200,""))+(IF(Atletas!D234="Infantil 39kg",1,IF(Atletas!D234="Infantil 42kg",2,IF(Atletas!D234="Infantil 45kg",3,IF(Atletas!D234="Infantil 48kg",4,IF(Atletas!D234="Infantil 52kg",5,IF(Atletas!D234="Infantil 56kg",6,IF(Atletas!D234="Infantil 60kg",7,IF(Atletas!D234="Juvenil 48kg",8,IF(Atletas!D234="Juvenil 52kg",9,IF(Atletas!D234="Juvenil 56kg",10,IF(Atletas!D234="Juvenil 60kg",11,IF(Atletas!D234="Juvenil 65kg",12,IF(Atletas!D234="Juvenil 70kg",13,IF(Atletas!D234="Juvenil 75kg",14,IF(Atletas!D234="Juvenil 80kg",15,IF(Atletas!D234="Adulto 48kg",16,IF(Atletas!D234="Adulto 52kg",17,IF(Atletas!D234="Adulto 56kg",18,IF(Atletas!D234="Adulto 60kg",19,IF(Atletas!D234="Adulto 65kg",20,IF(Atletas!D234="Adulto 70kg",21,IF(Atletas!D234="Adulto 75kg",22,IF(Atletas!D234="Adulto 80kg",23,IF(Atletas!D234="Adulto 85kg",24,IF(Atletas!D234="Adulto 90kg",25,IF(Atletas!D234="Adulto +90kg",26,""))))))))))))))))))))))))))))</f>
        <v/>
      </c>
      <c r="AO238" s="10" t="str">
        <f>IF(Atletas!E234="","",IF(Atletas!B234="Feminino",100,IF(Atletas!B234="Masculino",200,""))+(IF(Atletas!E234="Juvenil 44kg",1,IF(Atletas!E234="Juvenil 48kg",2,IF(Atletas!E234="Juvenil 52kg",3,IF(Atletas!E234="Juvenil 56kg",4,IF(Atletas!E234="Juvenil 60kg",5,IF(Atletas!E234="Juvenil 65kg",6,IF(Atletas!E234="Juvenil 70kg",7,IF(Atletas!E234="Juvenil 75kg",8,IF(Atletas!E234="Juvenil 82kg",9,IF(Atletas!E234="Juvenil 90kg",10,IF(Atletas!E234="Juvenil 100kg",11,IF(Atletas!E234="Adulto 48kg",12,IF(Atletas!E234="Adulto 52kg",13,IF(Atletas!E234="Adulto 56kg",14,IF(Atletas!E234="Adulto 60kg",15,IF(Atletas!E234="Adulto 65kg",16,IF(Atletas!E234="Adulto 70kg",17,IF(Atletas!E234="Adulto 75kg",18,IF(Atletas!E234="Adulto 82kg",19,IF(Atletas!E234="Adulto 90kg",20,IF(Atletas!E234="Adulto 100kg",21,IF(Atletas!E234="Adulto +100kg",22,""))))))))))))))))))))))))</f>
        <v/>
      </c>
      <c r="AT238" s="10" t="str">
        <f>IF(Atletas!F234="","",IF(Atletas!B234="Feminino",100,IF(Atletas!B234="Masculino",200,""))+(IF(Atletas!F234="Adulto 48kg",1,IF(Atletas!F234="Adulto 56kg",2,IF(Atletas!F234="Adulto 65kg",3,IF(Atletas!F234="Adulto 75kg",4,IF(Atletas!F234="Adulto +75kg",5,IF(Atletas!F234="Adulto 52kg",6,IF(Atletas!F234="Adulto 60kg",7,IF(Atletas!F234="Adulto 70kg",8,IF(Atletas!F234="Adulto 80kg",9,IF(Atletas!F234="Adulto 90kg",10,IF(Atletas!F234="Adulto +90kg",11,"")))))))))))))</f>
        <v/>
      </c>
      <c r="AY238" s="46" t="str">
        <f>IF(Atletas!G234="","",IF(Atletas!B234="Feminino",100,IF(Atletas!B234="Masculino",200,""))+(IF(Atletas!G234="Changquan Mirim",1,IF(Atletas!G234="Nanquan Mirim",2,IF(Atletas!G234="Taijiquan Mirim",3,IF(Atletas!G234="Changquan Grupo C",4,IF(Atletas!G234="Nanquan Grupo C",5,IF(Atletas!G234="Taijiquan Grupo C",6,IF(Atletas!G234="Changquan Grupo B",7,IF(Atletas!G234="Nanquan Grupo B",8,IF(Atletas!G234="Taijiquan Grupo B",9,IF(Atletas!G234="Changquan Grupo A",10,IF(Atletas!G234="Nanquan Grupo A",11,IF(Atletas!G234="Taijiquan Grupo A",12,IF(Atletas!G234="Changquan Opcional",13,IF(Atletas!G234="Nanquan Opcional",14,IF(Atletas!G234="Taijiquan Opcional",15,IF(Atletas!G234="Changquan Adulto",16,IF(Atletas!G234="Nanquan Adulto",17,IF(Atletas!G234="Taijiquan Adulto",18,""))))))))))))))))))))</f>
        <v/>
      </c>
      <c r="AZ238" s="46" t="str">
        <f>IF(Atletas!H234="","",IF(Atletas!B234="Feminino",100,IF(Atletas!B234="Masculino",200,""))+(IF(Atletas!H234="Daoshu Mirim",19,IF(Atletas!H234="Jianshu Mirim",20,IF(Atletas!H234="Nandao Mirim",21,IF(Atletas!H234="Taijijian Mirim",22,IF(Atletas!H234="Daoshu Grupo C",23,IF(Atletas!H234="Jianshu Grupo C",24,IF(Atletas!H234="Nandao Grupo C",25,IF(Atletas!H234="Taijijian Grupo C",26,IF(Atletas!H234="Daoshu Grupo B",27,IF(Atletas!H234="Jianshu Grupo B",28,IF(Atletas!H234="Nandao Grupo B",29,IF(Atletas!H234="Taijijian Grupo B",30,IF(Atletas!H234="Daoshu Grupo A",31,IF(Atletas!H234="Jianshu Grupo A",32,IF(Atletas!H234="Nandao Grupo A",33,IF(Atletas!H234="Taijijian Grupo A",34,IF(Atletas!H234="Daoshu Opcional",35,IF(Atletas!H234="Jianshu Opcional",36,IF(Atletas!H234="Nandao Opcional",37,IF(Atletas!H234="Taijijian Opcional",38,IF(Atletas!H234="Daoshu Adulto",39,IF(Atletas!H234="Jianshu Adulto",40,IF(Atletas!H234="Nandao Adulto",41,IF(Atletas!H234="Taijijian Adulto",42,""))))))))))))))))))))))))))</f>
        <v/>
      </c>
      <c r="BA238" s="46" t="str">
        <f>IF(Atletas!I234="","",IF(Atletas!B234="Feminino",100,IF(Atletas!B234="Masculino",200,""))+(IF(Atletas!I234="Gunshu Mirim",43,IF(Atletas!I234="Qiangshu Mirim",44,IF(Atletas!I234="Nangun Mirim",45,IF(Atletas!I234="Gunshu Grupo C",46,IF(Atletas!I234="Qiangshu Grupo C",47,IF(Atletas!I234="Nangun Grupo C",48,IF(Atletas!I234="Gunshu Grupo B",49,IF(Atletas!I234="Qiangshu Grupo B",50,IF(Atletas!I234="Nangun Grupo B",51,IF(Atletas!I234="Gunshu Grupo A",52,IF(Atletas!I234="Qiangshu Grupo A",53,IF(Atletas!I234="Nangun Grupo A",54,IF(Atletas!I234="Gunshu Opcional",55,IF(Atletas!I234="Qiangshu Opcional",56,IF(Atletas!I234="Nangun Opcional",57,IF(Atletas!I234="Gunshu Adulto",58,IF(Atletas!I234="Qiangshu Adulto",59,IF(Atletas!I234="Nangun Adulto",60,""))))))))))))))))))))</f>
        <v/>
      </c>
      <c r="BF238" s="52" t="str">
        <f>IF(Atletas!J234="","",IF(Atletas!B234="Feminino",100,IF(Atletas!B234="Masculino",200,""))+(IF(Atletas!J234="Equipe 1 Grupo B",1,IF(Atletas!J234="Equipe 2 Grupo B",2,IF(Atletas!J234="Equipe 1 Grupo A",3,IF(Atletas!J234="Equipe 2 Grupo A",4,IF(Atletas!J234="Equipe 1 Adulto",5,IF(Atletas!J234="Equipe 2 Adulto",6,""))))))))</f>
        <v/>
      </c>
      <c r="BK238" s="52" t="str">
        <f>IF(Atletas!K234="","",IF(Atletas!W234&lt;&gt;"",10000,0)+(IF(Atletas!B234="Feminino",1000,IF(Atletas!B234="Masculino",2000,""))+IF(Atletas!K234="Choylayfut A",1,IF(Atletas!K234="Hunggar A",2,IF(Atletas!K234="Wuzuquan A",3,IF(Atletas!K234="Wingchun A",4,IF(Atletas!K234="Outra Mão de Sul A",5,IF(Atletas!K234="Choylayfut B",6,IF(Atletas!K234="Hunggar B",7,IF(Atletas!K234="Wuzuquan B",8,IF(Atletas!K234="Wingchun B",9,IF(Atletas!K234="Outra Mão de Sul B",10,IF(Atletas!K234="Choylayfut C",11,IF(Atletas!K234="Hunggar C",12,IF(Atletas!K234="Wuzuquan C",13,IF(Atletas!K234="Wingchun C",14,IF(Atletas!K234="Outra Mão de Sul C",15,IF(Atletas!K234="Choylayfut D",16,IF(Atletas!K234="Hunggar D",17,IF(Atletas!K234="Wuzuquan D",18,IF(Atletas!K234="Wingchun D",19,IF(Atletas!K234="Outra Mão de Sul D",20,IF(Atletas!K234="Choylayfut E",21,IF(Atletas!K234="Hunggar E",22,IF(Atletas!K234="Wuzuquan E",23,IF(Atletas!K234="Wingchun E",24,IF(Atletas!K234="Outra Mão de Sul E",25,IF(Atletas!K234="Choylayfut F",26,IF(Atletas!K234="Hunggar F",27,IF(Atletas!K234="Wuzuquan F",28,IF(Atletas!K234="Wingchun F",29,IF(Atletas!K234="Outra Mão de Sul F",30,""))))))))))))))))))))))))))))))))</f>
        <v/>
      </c>
      <c r="BL238" s="52" t="str">
        <f>IF(Atletas!L234="","",IF(Atletas!W234&lt;&gt;"",10000,0)+(IF(Atletas!B234="Feminino",1000,IF(Atletas!B234="Masculino",2000,""))+(IF(Atletas!L234="Chaquan A",101,IF(Atletas!L234="Emeiquan A",102,IF(Atletas!L234="Fanziquan A",103,IF(Atletas!L234="Huaquan A",104,IF(Atletas!L234="Hongquan A",105,IF(Atletas!L234="Paochui A",106,IF(Atletas!L234="Piguaquan A",107,IF(Atletas!L234="Shaolinquan A",108,IF(Atletas!L234="Tanglangquan A",109,IF(Atletas!L234="Yinzhaophai A",110,IF(Atletas!L234="Tongbeiquan A",111,IF(Atletas!L234="Wudangquan A",112,IF(Atletas!L234="Outros Estilos A",113,IF(Atletas!L234="Chaquan B",114,IF(Atletas!L234="Emeiquan B",115,IF(Atletas!L234="Fanziquan B",116,IF(Atletas!L234="Huaquan B",117,IF(Atletas!L234="Hongquan B",118,IF(Atletas!L234="Paochui B",119,IF(Atletas!L234="Piguaquan B",120,IF(Atletas!L234="Shaolinquan B",121,IF(Atletas!L234="Tanglangquan B",122,IF(Atletas!L234="Yinzhaophai B",123,IF(Atletas!L234="Tongbeiquan B",124,IF(Atletas!L234="Wudangquan B",125,IF(Atletas!L234="Outros Estilos B",126,IF(Atletas!L234="Chaquan C",127,IF(Atletas!L234="Emeiquan C",128,IF(Atletas!L234="Fanziquan C",129,IF(Atletas!L234="Huaquan C",130,IF(Atletas!L234="Hongquan C",131,IF(Atletas!L234="Paochui C",132,IF(Atletas!L234="Piguaquan C",133,IF(Atletas!L234="Shaolinquan C",134,IF(Atletas!L234="Tanglangquan C",135,IF(Atletas!L234="Yinzhaophai C",136,IF(Atletas!L234="Tongbeiquan C",137,IF(Atletas!L234="Wudangquan C",138,IF(Atletas!L234="Outros Estilos C",139,0))))))))))))))))))))))))))))))))))))))))))</f>
        <v/>
      </c>
      <c r="BM238" s="52" t="str">
        <f>IF(Atletas!L234="","",IF(Atletas!W234&lt;&gt;"",10000,0)+(IF(Atletas!B234="Feminino",1000,IF(Atletas!B234="Masculino",2000,""))+(IF(Atletas!L234="Chaquan D",140,IF(Atletas!L234="Emeiquan D",141,IF(Atletas!L234="Fanziquan D",142,IF(Atletas!L234="Huaquan D",143,IF(Atletas!L234="Hongquan D",144,IF(Atletas!L234="Paochui D",145,IF(Atletas!L234="Piguaquan D",146,IF(Atletas!L234="Shaolinquan D",147,IF(Atletas!L234="Tanglangquan D",148,IF(Atletas!L234="Yinzhaophai D",149,IF(Atletas!L234="Tongbeiquan D",150,IF(Atletas!L234="Wudangquan D",151,IF(Atletas!L234="Outros Estilos D",152,IF(Atletas!L234="Chaquan E",153,IF(Atletas!L234="Emeiquan E",154,IF(Atletas!L234="Fanziquan E",155,IF(Atletas!L234="Huaquan E",156,IF(Atletas!L234="Hongquan E",157,IF(Atletas!L234="Paochui E",158,IF(Atletas!L234="Piguaquan E",159,IF(Atletas!L234="Shaolinquan E",160,IF(Atletas!L234="Tanglangquan E",161,IF(Atletas!L234="Yinzhaophai E",162,IF(Atletas!L234="Tongbeiquan E",163,IF(Atletas!L234="Wudangquan E",164,IF(Atletas!L234="Outros Estilos E",165,IF(Atletas!L234="Chaquan F",166,IF(Atletas!L234="Emeiquan F",167,IF(Atletas!L234="Fanziquan F",168,IF(Atletas!L234="Huaquan F",169,IF(Atletas!L234="Hongquan F",170,IF(Atletas!L234="Paochui F",171,IF(Atletas!L234="Piguaquan F",172,IF(Atletas!L234="Shaolinquan F",173,IF(Atletas!L234="Tanglangquan F",174,IF(Atletas!L234="Yinzhaophai F",175,IF(Atletas!L234="Tongbeiquan F",176,IF(Atletas!L234="Wudangquan F",177,IF(Atletas!L234="Outros Estilos F",178,0))))))))))))))))))))))))))))))))))))))))))</f>
        <v/>
      </c>
      <c r="BN238" s="52" t="str">
        <f>IF(Atletas!M234="","",IF(Atletas!W234&lt;&gt;"",10000,0)+(IF(Atletas!B234="Feminino",1000,IF(Atletas!B234="Masculino",2000,""))+(IF(Atletas!M234="Ditangquan A",201,IF(Atletas!M234="Houquan A",202,IF(Atletas!M234="Zuiquan A",203,IF(Atletas!M234="Ditangquan B",204,IF(Atletas!M234="Houquan B",205,IF(Atletas!M234="Zuiquan B",206,IF(Atletas!M234="Ditangquan C",207,IF(Atletas!M234="Houquan C",208,IF(Atletas!M234="Zuiquan C",209,IF(Atletas!M234="Ditangquan D",210,IF(Atletas!M234="Houquan D",211,IF(Atletas!M234="Zuiquan D",212,IF(Atletas!M234="Ditangquan E",213,IF(Atletas!M234="Houquan E",214,IF(Atletas!M234="Zuiquan E",215,IF(Atletas!M234="Ditangquan F",216,IF(Atletas!M234="Houquan F",217,IF(Atletas!M234="Zuiquan F",218,"")))))))))))))))))))))</f>
        <v/>
      </c>
      <c r="BO238" s="52" t="str">
        <f>IF(Atletas!N234="","",IF(Atletas!W234&lt;&gt;"",10000,0)+IF(Atletas!B234="Feminino",1000,IF(Atletas!B234="Masculino",2000,""))+IF(Atletas!N234="Yang A",301,IF(Atletas!N234="Chen A",30,IF(Atletas!N234="Sun A",303,IF(Atletas!N234="Wu A",304,IF(Atletas!N234="Wu-Hao A",305,IF(Atletas!N234="Outro Taijiquan A",306,IF(Atletas!N234="Yang B",307,IF(Atletas!N234="Chen B",308,IF(Atletas!N234="Sun B",309,IF(Atletas!N234="Wu B",310,IF(Atletas!N234="Wu-Hao B",311,IF(Atletas!N234="Outro Taijiquan B",312,IF(Atletas!N234="Yang C",313,IF(Atletas!N234="Chen C",314,IF(Atletas!N234="Sun C",315,IF(Atletas!N234="Wu C",316,IF(Atletas!N234="Wu-Hao C",317,IF(Atletas!N234="Outro Taijiquan C",318,IF(Atletas!N234="Yang D",319,IF(Atletas!N234="Chen D",320,IF(Atletas!N234="Sun D",321,IF(Atletas!N234="Wu D",322,IF(Atletas!N234="Wu-Hao D",323,IF(Atletas!N234="Outro Taijiquan D",324,IF(Atletas!N234="Yang E",325,IF(Atletas!N234="Chen E",326,IF(Atletas!N234="Sun E",327,IF(Atletas!N234="Wu E",328,IF(Atletas!N234="Wu-Hao E",329,IF(Atletas!N234="Outro Taijiquan E",330,IF(Atletas!N234="Yang F",331,IF(Atletas!N234="Chen F",332,IF(Atletas!N234="Sun F",333,IF(Atletas!N234="Wu F",334,IF(Atletas!N234="Wu-Hao F",335,IF(Atletas!N234="Outro Taijiquan F",336,"")))))))))))))))))))))))))))))))))))))</f>
        <v/>
      </c>
      <c r="BP238" s="52" t="str">
        <f>IF(Atletas!O234="","",IF(Atletas!W234&lt;&gt;"",10000,0)+IF(Atletas!B234="Feminino",1000,IF(Atletas!B234="Masculino",2000,""))+IF(OR(Atletas!O234="Yang 26 A",Atletas!O234="Yang 40 A"),401,IF(OR(Atletas!O234="Chen 25 A",Atletas!O234="Chen 36 A",Atletas!O234="Chen 56 A"),402,IF(Atletas!O234="Sun 73 A",403,IF(Atletas!O234="Wu 45 A",404,IF(Atletas!O234="Wu-Hao 46 A",405,IF(OR(Atletas!O234="Taijiquan 16 A",Atletas!O234="Taijiquan 24 A",Atletas!O234="Taijiquan 32 A",Atletas!O234="Taijiquan 42 A"),406,IF(OR(Atletas!O234="Yang 26 B",Atletas!O234="Yang 40 B"),407,IF(OR(Atletas!O234="Chen 25 B",Atletas!O234="Chen 36 B",Atletas!O234="Chen 56 B"),408,IF(Atletas!O234="Sun 73 B",409,IF(Atletas!O234="Wu 45 B",410,IF(Atletas!O234="Wu-Hao 46 B",411,IF(OR(Atletas!O234="Taijiquan 16 B",Atletas!O234="Taijiquan 24 B",Atletas!O234="Taijiquan 32 B",Atletas!O234="Taijiquan 42 B"),412,IF(OR(Atletas!O234="Yang 26 C",Atletas!O234="Yang 40 C"),413,IF(OR(Atletas!O234="Chen 25 C",Atletas!O234="Chen 36 C",Atletas!O234="Chen 56 C"),414,IF(Atletas!O234="Sun 73 C",415,IF(Atletas!O234="Wu 45 C",416,IF(Atletas!O234="Wu-Hao 46 C",417,IF(OR(Atletas!O234="Taijiquan 16 C",Atletas!O234="Taijiquan 24 C",Atletas!O234="Taijiquan 32 C",Atletas!O234="Taijiquan 42 C"),418,0)))))))))))))))))))</f>
        <v/>
      </c>
      <c r="BQ238" s="52" t="str">
        <f>IF(Atletas!O234="","",IF(Atletas!W234&lt;&gt;"",10000,0)+IF(Atletas!B234="Feminino",1000,IF(Atletas!B234="Masculino",2000,""))+IF(OR(Atletas!O234="Yang 26 D",Atletas!O234="Yang 40 D"),419,IF(OR(Atletas!O234="Chen 25 D",Atletas!O234="Chen 36 D",Atletas!O234="Chen 56 D"),420,IF(Atletas!O234="Sun 73 D",421,IF(Atletas!O234="Wu 45 D",422,IF(Atletas!O234="Wu-Hao 46 D",423,IF(OR(Atletas!O234="Taijiquan 16 D",Atletas!O234="Taijiquan 24 D",Atletas!O234="Taijiquan 32 D",Atletas!O234="Taijiquan 42 D"),424,IF(OR(Atletas!O234="Yang 26 E",Atletas!O234="Yang 40 E"),425,IF(OR(Atletas!O234="Chen 25 E",Atletas!O234="Chen 36 E",Atletas!O234="Chen 56 E"),426,IF(Atletas!O234="Sun 73 E",427,IF(Atletas!O234="Wu 45 E",428,IF(Atletas!O234="Wu-Hao 46 E",429,IF(OR(Atletas!O234="Taijiquan 16 E",Atletas!O234="Taijiquan 24 E",Atletas!O234="Taijiquan 32 E",Atletas!O234="Taijiquan 42 E"),430,IF(OR(Atletas!O234="Yang 26 F",Atletas!O234="Yang 40 F"),431,IF(OR(Atletas!O234="Chen 25 F",Atletas!O234="Chen 36 F",Atletas!O234="Chen 56 F"),432,IF(Atletas!O234="Sun 73 F",433,IF(Atletas!O234="Wu 45 F",434,IF(Atletas!O234="Wu-Hao 46 F",435,IF(OR(Atletas!O234="Taijiquan 16 F",Atletas!O234="Taijiquan 24 F",Atletas!O234="Taijiquan 32 F",Atletas!O234="Taijiquan 42 F"),436,0)))))))))))))))))))</f>
        <v/>
      </c>
      <c r="BR238" s="52" t="str">
        <f>IF(Atletas!P234="","",IF(Atletas!W234&lt;&gt;"",10000,0)+IF(Atletas!B234="Feminino",1000,IF(Atletas!B234="Masculino",2000,""))+IF(Atletas!P234="Xingyiquan A",501,IF(Atletas!P234="Baguazhang A",502,IF(Atletas!P234="Outro Estilo Interno A",503,IF(Atletas!P234="Xingyiquan B",504,IF(Atletas!P234="Baguazhang B",505,IF(Atletas!P234="Outro Estilo Interno B",506,IF(Atletas!P234="Xingyiquan C",507,IF(Atletas!P234="Baguazhang C",508,IF(Atletas!P234="Outro Estilo Interno C",509,IF(Atletas!P234="Xingyiquan D",510,IF(Atletas!P234="Baguazhang D",511,IF(Atletas!P234="Outro Estilo Interno D",512,IF(Atletas!P234="Xingyiquan E",513,IF(Atletas!P234="Baguazhang E",514,IF(Atletas!P234="Outro Estilo Interno E",515,IF(Atletas!P234="Xingyiquan F",516,IF(Atletas!P234="Baguazhang F",517,IF(Atletas!P234="Outro Estilo Interno F",518, "")))))))))))))))))))</f>
        <v/>
      </c>
      <c r="BS238" s="52" t="str">
        <f>IF(Atletas!Q234="","",IF(Atletas!W234&lt;&gt;"",10000,0)+IF(Atletas!B234="Feminino",1000,IF(Atletas!B234="Masculino",2000,""))+IF(Atletas!Q234="Dao A",601,IF(Atletas!Q234="Jian A",602,IF(Atletas!Q234="Bishou A",603,IF(Atletas!Q234="Shan A",604,IF(Atletas!Q234="Outra Arma Curta A",605,IF(Atletas!Q234="Dao B",606,IF(Atletas!Q234="Jian B",607,IF(Atletas!Q234="Bishou B",608,IF(Atletas!Q234="Shan B",609,IF(Atletas!Q234="Outra Arma Curta B",610,IF(Atletas!Q234="Dao C",611,IF(Atletas!Q234="Jian C",612,IF(Atletas!Q234="Bishou C",613,IF(Atletas!Q234="Shan C",614,IF(Atletas!Q234="Outra Arma Curta C",615,IF(Atletas!Q234="Dao D",616,IF(Atletas!Q234="Jian D",617,IF(Atletas!Q234="Bishou D",618,IF(Atletas!Q234="Shan D",619,IF(Atletas!Q234="Outra Arma Curta D",620,IF(Atletas!Q234="Dao E",621,IF(Atletas!Q234="Jian E",622,IF(Atletas!Q234="Bishou E",623,IF(Atletas!Q234="Shan E",624,IF(Atletas!Q234="Outra Arma Curta E",625,IF(Atletas!Q234="Dao F",626,IF(Atletas!Q234="Jian F",627,IF(Atletas!Q234="Bishou F",628,IF(Atletas!Q234="Shan F",629,IF(Atletas!Q234="Outra Arma Curta F",630, "")))))))))))))))))))))))))))))))</f>
        <v/>
      </c>
      <c r="BT238" s="52" t="str">
        <f>IF(Atletas!R234="","",IF(Atletas!W234&lt;&gt;"",10000,0)+IF(Atletas!B234="Feminino",1000,IF(Atletas!B234="Masculino",2000,""))+IF(Atletas!R234="Gun A",701,IF(Atletas!R234="Qiang A",702,IF(Atletas!R234="Pudao / Guandao A",703,IF(Atletas!R234="Outra Arma Longa A",704,IF(Atletas!R234="Gun B",705,IF(Atletas!R234="Qiang B",706,IF(Atletas!R234="Pudao / Guandao B",707,IF(Atletas!R234="Outra Arma Longa B",708,IF(Atletas!R234="Gun C",709,IF(Atletas!R234="Qiang C",710,IF(Atletas!R234="Pudao / Guandao C",711,IF(Atletas!R234="Outra Arma Longa C",712,IF(Atletas!R234="Gun D",713,IF(Atletas!R234="Qiang D",714,IF(Atletas!R234="Pudao / Guandao D",715,IF(Atletas!R234="Outra Arma Longa D",716,IF(Atletas!R234="Gun E",717,IF(Atletas!R234="Qiang E",718,IF(Atletas!R234="Pudao / Guandao E",719,IF(Atletas!R234="Outra Arma Longa E",720,IF(Atletas!R234="Gun F",721,IF(Atletas!R234="Qiang F",722,IF(Atletas!R234="Pudao / Guandao F",723,IF(Atletas!R234="Outra Arma Longa F",724,"")))))))))))))))))))))))))</f>
        <v/>
      </c>
      <c r="BU238" s="52" t="str">
        <f>IF(Atletas!S234="","",IF(Atletas!W234&lt;&gt;"",10000,0)+IF(Atletas!B234="Feminino",1000,IF(Atletas!B234="Masculino",2000,""))+IF(Atletas!S234="Arma Dupla A",801,IF(Atletas!S234="Arma Maleável A",802,IF(Atletas!S234="Arma Dupla B",803,IF(Atletas!S234="Arma Maleável B",804,IF(Atletas!S234="Arma Dupla C",805,IF(Atletas!S234="Arma Maleável C",806,IF(Atletas!S234="Arma Dupla D",807,IF(Atletas!S234="Arma Maleável D",808,IF(Atletas!S234="Arma Dupla E",809,IF(Atletas!S234="Arma Maleável E",810,IF(Atletas!S234="Arma Dupla F",811,IF(Atletas!S234="Arma Maleável F",812, "")))))))))))))</f>
        <v/>
      </c>
      <c r="BV238" s="52" t="str">
        <f>IF(Atletas!T234="","",IF(Atletas!W234&lt;&gt;"",10000,0)+IF(Atletas!B234="Feminino",1000,IF(Atletas!B234="Masculino",2000,""))+IF(Atletas!T234="Taijijian Yang A",901,IF(Atletas!T234="Taijijian Chen A",902,IF(Atletas!T234="Taijijian Sun A",903,IF(Atletas!T234="Taijijian Wu A",904,IF(Atletas!T234="Taijijian Wu-Hao A",905,IF(Atletas!T234="Taijijian 32 A",906,IF(Atletas!T234="Taijijian 42 A",907,IF(Atletas!T234="Taijijian Yang B",908,IF(Atletas!T234="Taijijian Chen B",909,IF(Atletas!T234="Taijijian Sun B",910,IF(Atletas!T234="Taijijian Wu B",911,IF(Atletas!T234="Taijijian Wu-Hao B",912,IF(Atletas!T234="Taijijian 32 B",913,IF(Atletas!T234="Taijijian 42 B",914,IF(Atletas!T234="Taijijian Yang C",915,IF(Atletas!T234="Taijijian Chen C",916,IF(Atletas!T234="Taijijian Sun C",917,IF(Atletas!T234="Taijijian Wu C",918,IF(Atletas!T234="Taijijian Wu-Hao C",919,IF(Atletas!T234="Taijijian 32 C",920,IF(Atletas!T234="Taijijian 42 C",921,IF(Atletas!T234="Taijijian Yang D",922,IF(Atletas!T234="Taijijian Chen D",923,IF(Atletas!T234="Taijijian Sun D",924,IF(Atletas!T234="Taijijian Wu D",925,IF(Atletas!T234="Taijijian Wu-Hao D",926,IF(Atletas!T234="Taijijian 32 D",927,IF(Atletas!T234="Taijijian 42 D",928,IF(Atletas!T234="Taijijian Yang E",929,IF(Atletas!T234="Taijijian Chen E",930,IF(Atletas!T234="Taijijian Sun E",931,IF(Atletas!T234="Taijijian Wu E",932,IF(Atletas!T234="Taijijian Wu-Hao E",933,IF(Atletas!T234="Taijijian 32 E",934,IF(Atletas!T234="Taijijian 42 E",935,IF(Atletas!T234="Taijijian Yang F",936,IF(Atletas!T234="Taijijian Chen F",937,IF(Atletas!T234="Taijijian Sun F",938,IF(Atletas!T234="Taijijian Wu F",939,IF(Atletas!T234="Taijijian Wu-Hao F",940,IF(Atletas!T234="Taijijian 32 F",941,IF(Atletas!T234="Taijijian 42 F",942,"")))))))))))))))))))))))))))))))))))))))))))</f>
        <v/>
      </c>
      <c r="BW238" s="52" t="str">
        <f>IF(Atletas!U234="","",IF(Atletas!W234&lt;&gt;"",10000,0)+IF(Atletas!B234="Feminino",1000,IF(Atletas!B234="Masculino",2000,""))+IF(Atletas!T234="Taijijian 42 F",942,IF(Atletas!U234="Taijidao A",943,IF(Atletas!U234="Taijishan A",944,IF(Atletas!U234="Taijiqiang A",945,IF(Atletas!U234="Taijidao B",946,IF(Atletas!U234="Taijishan B",947,IF(Atletas!U234="Taijiqiang B",948,IF(Atletas!U234="Taijidao C",949,IF(Atletas!U234="Taijishan C",950,IF(Atletas!U234="Taijiqiang C",951,IF(Atletas!U234="Taijidao D",952,IF(Atletas!U234="Taijishan D",953,IF(Atletas!U234="Taijiqiang D",954,IF(Atletas!U234="Taijidao E",955,IF(Atletas!U234="Taijishan E",956,IF(Atletas!U234="Taijiqiang E",957,IF(Atletas!U234="Taijidao F",958,IF(Atletas!U234="Taijishan F",959,IF(Atletas!U234="Taijiqiang F",960))))))))))))))))))))</f>
        <v/>
      </c>
      <c r="BX238" s="72" t="str">
        <f>IF(BY238&lt;&gt;"","Dao D","")</f>
        <v/>
      </c>
      <c r="BY238" s="72" t="str">
        <f>IF(COUNTIF(BK:BW,1616)&gt;0,COUNTIF(BK:BW,1616),"")</f>
        <v/>
      </c>
      <c r="BZ238" s="72" t="str">
        <f>IF(CA238&lt;&gt;"","Dao D","")</f>
        <v/>
      </c>
      <c r="CA238" s="72" t="str">
        <f>IF(COUNTIF(BK:BW,2616)&gt;0,COUNTIF(BK:BW,2616),"")</f>
        <v/>
      </c>
      <c r="CB238" s="72" t="str">
        <f>IF(CC238&lt;&gt;"","Yang Novo F","")</f>
        <v/>
      </c>
      <c r="CC238" s="64" t="str">
        <f>IF(COUNTIF(BK:BW,11470)&gt;0,COUNTIF(BK:BW,11470),"")</f>
        <v/>
      </c>
      <c r="CD238" s="64" t="str">
        <f>IF(CE238&lt;&gt;"","Yang Novo F","")</f>
        <v/>
      </c>
      <c r="CE238" s="64" t="str">
        <f>IF(COUNTIF(BK:BW,12470)&gt;0,COUNTIF(BK:BW,12470),"")</f>
        <v/>
      </c>
      <c r="CF238" s="52" t="str">
        <f xml:space="preserve"> IF(Atletas!V234="","",IF(Atletas!V234="Duilian de Mãos AB - Equipe 1",1,IF(Atletas!V234="Duilian de Mãos AB - Equipe 2",2,IF(Atletas!V234="Duilian de Armas AB - Equipe 1",3,IF(Atletas!V234="Duilian de Armas AB - Equipe 2",4,IF(Atletas!V234="Duilian de Tuishou - Equipe 1",5,IF(Atletas!V234="Duilian de Tuishou - Equipe 2",6,IF(Atletas!V234="Grupo Externo AB - Equipe 1",7,IF(Atletas!V234="Grupo Externo AB - Equipe 2",8,IF(Atletas!V234="Grupo Interno AB - Equipe 1",9,IF(Atletas!V234="Grupo Interno AB - Equipe 2",10,IF(Atletas!V234="Duilian de Mãos CD - Equipe 1",11,IF(Atletas!V234="Duilian de Mãos CD - Equipe 2",12,IF(Atletas!V234="Duilian de Armas CD - Equipe 1",13,IF(Atletas!V234="Duilian de Armas CD - Equipe 2",14,IF(Atletas!V234="Duilian de Tuishou - Equipe 1",15,IF(Atletas!V234="Duilian de Tuishou - Equipe 2",16,IF(Atletas!V234="Grupo Externo CDEF - Equipe 1",17,IF(Atletas!V234="Grupo Externo CDEF - Equipe 2",18,IF(Atletas!V234="Grupo Interno CDEF - Equipe 1",19,IF(Atletas!V234="Grupo Interno CDEF - Equipe 2",20,IF(Atletas!V234="Duilian de Mãos EF - Equipe 1",21,IF(Atletas!V234="Duilian de Mãos EF - Equipe 2",22,IF(Atletas!V234="Duilian de Armas EF - Equipe 1",23,IF(Atletas!V234="Duilian de Armas EF - Equipe 2",24,IF(Atletas!V234="Duilian de Tuishou - Equipe 1",25,IF(Atletas!V234="Duilian de Tuishou - Equipe 2",26,"")))))))))))))))))))))))))))</f>
        <v/>
      </c>
    </row>
    <row r="239" spans="2:84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 t="str">
        <f t="array" ref="V239">IFERROR(INDEX(BX$7:BX$336,SMALL(IF(BX$7:BX$336&lt;&gt;"",ROW(BX$7:BX$336)-ROW(BX$7)+1),ROWS(BX$7:BX204))),"")</f>
        <v/>
      </c>
      <c r="W239" s="4" t="str">
        <f t="array" ref="W239">IFERROR(INDEX(BY$7:BY$336,SMALL(IF(BY$7:BY$336&lt;&gt;"",ROW(BY$7:BY$336)-ROW(BY$7)+1),ROWS(BY$7:BY204))),"")</f>
        <v/>
      </c>
      <c r="X239" s="4" t="str">
        <f t="array" ref="X239">IFERROR(INDEX(BZ$7:BZ$336,SMALL(IF(BZ$7:BZ$336&lt;&gt;"",ROW(BZ$7:BZ$336)-ROW(BZ$7)+1),ROWS(BZ$7:BZ204))),"")</f>
        <v/>
      </c>
      <c r="Y239" s="4" t="str">
        <f t="array" ref="Y239">IFERROR(INDEX(CA$7:CA$336,SMALL(IF(CA$7:CA$336&lt;&gt;"",ROW(CA$7:CA$336)-ROW(CA$7)+1),ROWS(CA$7:CA204))),"")</f>
        <v/>
      </c>
      <c r="Z239" s="4" t="str">
        <f t="array" ref="Z239">IFERROR(INDEX(CB$7:CB$378,SMALL(IF(CB$7:CB$378&lt;&gt;"",ROW(CB$7:CB$378)-ROW(CB$7)+1),ROWS(CB$7:CB238))),"")</f>
        <v/>
      </c>
      <c r="AA239" s="4" t="str">
        <f t="array" ref="AA239">IFERROR(INDEX(CC$7:CC$378,SMALL(IF(CC$7:CC$378&lt;&gt;"",ROW(CC$7:CC$378)-ROW(CC$7)+1),ROWS(CC$7:CC238))),"")</f>
        <v/>
      </c>
      <c r="AB239" s="4" t="str">
        <f t="array" ref="AB239">IFERROR(INDEX(CD$7:CD$378,SMALL(IF(CD$7:CD$378&lt;&gt;"",ROW(CD$7:CD$378)-ROW(CD$7)+1),ROWS(CD$7:CD238))),"")</f>
        <v/>
      </c>
      <c r="AC239" s="4" t="str">
        <f t="array" ref="AC239">IFERROR(INDEX(CE$7:CE$378,SMALL(IF(CE$7:CE$378&lt;&gt;"",ROW(CE$7:CE$378)-ROW(CE$7)+1),ROWS(CE$7:CE238))),"")</f>
        <v/>
      </c>
      <c r="AD239" s="4"/>
      <c r="AE239" s="4"/>
      <c r="AF239" s="4"/>
      <c r="AG239" s="4"/>
      <c r="AH239" s="4"/>
      <c r="AI239" s="4"/>
      <c r="AJ239" s="46" t="str">
        <f>IF(Atletas!D235="","",IF(Atletas!B235="Feminino",100,IF(Atletas!B235="Masculino",200,""))+(IF(Atletas!D235="Infantil 39kg",1,IF(Atletas!D235="Infantil 42kg",2,IF(Atletas!D235="Infantil 45kg",3,IF(Atletas!D235="Infantil 48kg",4,IF(Atletas!D235="Infantil 52kg",5,IF(Atletas!D235="Infantil 56kg",6,IF(Atletas!D235="Infantil 60kg",7,IF(Atletas!D235="Juvenil 48kg",8,IF(Atletas!D235="Juvenil 52kg",9,IF(Atletas!D235="Juvenil 56kg",10,IF(Atletas!D235="Juvenil 60kg",11,IF(Atletas!D235="Juvenil 65kg",12,IF(Atletas!D235="Juvenil 70kg",13,IF(Atletas!D235="Juvenil 75kg",14,IF(Atletas!D235="Juvenil 80kg",15,IF(Atletas!D235="Adulto 48kg",16,IF(Atletas!D235="Adulto 52kg",17,IF(Atletas!D235="Adulto 56kg",18,IF(Atletas!D235="Adulto 60kg",19,IF(Atletas!D235="Adulto 65kg",20,IF(Atletas!D235="Adulto 70kg",21,IF(Atletas!D235="Adulto 75kg",22,IF(Atletas!D235="Adulto 80kg",23,IF(Atletas!D235="Adulto 85kg",24,IF(Atletas!D235="Adulto 90kg",25,IF(Atletas!D235="Adulto +90kg",26,""))))))))))))))))))))))))))))</f>
        <v/>
      </c>
      <c r="AO239" s="10" t="str">
        <f>IF(Atletas!E235="","",IF(Atletas!B235="Feminino",100,IF(Atletas!B235="Masculino",200,""))+(IF(Atletas!E235="Juvenil 44kg",1,IF(Atletas!E235="Juvenil 48kg",2,IF(Atletas!E235="Juvenil 52kg",3,IF(Atletas!E235="Juvenil 56kg",4,IF(Atletas!E235="Juvenil 60kg",5,IF(Atletas!E235="Juvenil 65kg",6,IF(Atletas!E235="Juvenil 70kg",7,IF(Atletas!E235="Juvenil 75kg",8,IF(Atletas!E235="Juvenil 82kg",9,IF(Atletas!E235="Juvenil 90kg",10,IF(Atletas!E235="Juvenil 100kg",11,IF(Atletas!E235="Adulto 48kg",12,IF(Atletas!E235="Adulto 52kg",13,IF(Atletas!E235="Adulto 56kg",14,IF(Atletas!E235="Adulto 60kg",15,IF(Atletas!E235="Adulto 65kg",16,IF(Atletas!E235="Adulto 70kg",17,IF(Atletas!E235="Adulto 75kg",18,IF(Atletas!E235="Adulto 82kg",19,IF(Atletas!E235="Adulto 90kg",20,IF(Atletas!E235="Adulto 100kg",21,IF(Atletas!E235="Adulto +100kg",22,""))))))))))))))))))))))))</f>
        <v/>
      </c>
      <c r="AT239" s="10" t="str">
        <f>IF(Atletas!F235="","",IF(Atletas!B235="Feminino",100,IF(Atletas!B235="Masculino",200,""))+(IF(Atletas!F235="Adulto 48kg",1,IF(Atletas!F235="Adulto 56kg",2,IF(Atletas!F235="Adulto 65kg",3,IF(Atletas!F235="Adulto 75kg",4,IF(Atletas!F235="Adulto +75kg",5,IF(Atletas!F235="Adulto 52kg",6,IF(Atletas!F235="Adulto 60kg",7,IF(Atletas!F235="Adulto 70kg",8,IF(Atletas!F235="Adulto 80kg",9,IF(Atletas!F235="Adulto 90kg",10,IF(Atletas!F235="Adulto +90kg",11,"")))))))))))))</f>
        <v/>
      </c>
      <c r="AY239" s="46" t="str">
        <f>IF(Atletas!G235="","",IF(Atletas!B235="Feminino",100,IF(Atletas!B235="Masculino",200,""))+(IF(Atletas!G235="Changquan Mirim",1,IF(Atletas!G235="Nanquan Mirim",2,IF(Atletas!G235="Taijiquan Mirim",3,IF(Atletas!G235="Changquan Grupo C",4,IF(Atletas!G235="Nanquan Grupo C",5,IF(Atletas!G235="Taijiquan Grupo C",6,IF(Atletas!G235="Changquan Grupo B",7,IF(Atletas!G235="Nanquan Grupo B",8,IF(Atletas!G235="Taijiquan Grupo B",9,IF(Atletas!G235="Changquan Grupo A",10,IF(Atletas!G235="Nanquan Grupo A",11,IF(Atletas!G235="Taijiquan Grupo A",12,IF(Atletas!G235="Changquan Opcional",13,IF(Atletas!G235="Nanquan Opcional",14,IF(Atletas!G235="Taijiquan Opcional",15,IF(Atletas!G235="Changquan Adulto",16,IF(Atletas!G235="Nanquan Adulto",17,IF(Atletas!G235="Taijiquan Adulto",18,""))))))))))))))))))))</f>
        <v/>
      </c>
      <c r="AZ239" s="46" t="str">
        <f>IF(Atletas!H235="","",IF(Atletas!B235="Feminino",100,IF(Atletas!B235="Masculino",200,""))+(IF(Atletas!H235="Daoshu Mirim",19,IF(Atletas!H235="Jianshu Mirim",20,IF(Atletas!H235="Nandao Mirim",21,IF(Atletas!H235="Taijijian Mirim",22,IF(Atletas!H235="Daoshu Grupo C",23,IF(Atletas!H235="Jianshu Grupo C",24,IF(Atletas!H235="Nandao Grupo C",25,IF(Atletas!H235="Taijijian Grupo C",26,IF(Atletas!H235="Daoshu Grupo B",27,IF(Atletas!H235="Jianshu Grupo B",28,IF(Atletas!H235="Nandao Grupo B",29,IF(Atletas!H235="Taijijian Grupo B",30,IF(Atletas!H235="Daoshu Grupo A",31,IF(Atletas!H235="Jianshu Grupo A",32,IF(Atletas!H235="Nandao Grupo A",33,IF(Atletas!H235="Taijijian Grupo A",34,IF(Atletas!H235="Daoshu Opcional",35,IF(Atletas!H235="Jianshu Opcional",36,IF(Atletas!H235="Nandao Opcional",37,IF(Atletas!H235="Taijijian Opcional",38,IF(Atletas!H235="Daoshu Adulto",39,IF(Atletas!H235="Jianshu Adulto",40,IF(Atletas!H235="Nandao Adulto",41,IF(Atletas!H235="Taijijian Adulto",42,""))))))))))))))))))))))))))</f>
        <v/>
      </c>
      <c r="BA239" s="46" t="str">
        <f>IF(Atletas!I235="","",IF(Atletas!B235="Feminino",100,IF(Atletas!B235="Masculino",200,""))+(IF(Atletas!I235="Gunshu Mirim",43,IF(Atletas!I235="Qiangshu Mirim",44,IF(Atletas!I235="Nangun Mirim",45,IF(Atletas!I235="Gunshu Grupo C",46,IF(Atletas!I235="Qiangshu Grupo C",47,IF(Atletas!I235="Nangun Grupo C",48,IF(Atletas!I235="Gunshu Grupo B",49,IF(Atletas!I235="Qiangshu Grupo B",50,IF(Atletas!I235="Nangun Grupo B",51,IF(Atletas!I235="Gunshu Grupo A",52,IF(Atletas!I235="Qiangshu Grupo A",53,IF(Atletas!I235="Nangun Grupo A",54,IF(Atletas!I235="Gunshu Opcional",55,IF(Atletas!I235="Qiangshu Opcional",56,IF(Atletas!I235="Nangun Opcional",57,IF(Atletas!I235="Gunshu Adulto",58,IF(Atletas!I235="Qiangshu Adulto",59,IF(Atletas!I235="Nangun Adulto",60,""))))))))))))))))))))</f>
        <v/>
      </c>
      <c r="BF239" s="52" t="str">
        <f>IF(Atletas!J235="","",IF(Atletas!B235="Feminino",100,IF(Atletas!B235="Masculino",200,""))+(IF(Atletas!J235="Equipe 1 Grupo B",1,IF(Atletas!J235="Equipe 2 Grupo B",2,IF(Atletas!J235="Equipe 1 Grupo A",3,IF(Atletas!J235="Equipe 2 Grupo A",4,IF(Atletas!J235="Equipe 1 Adulto",5,IF(Atletas!J235="Equipe 2 Adulto",6,""))))))))</f>
        <v/>
      </c>
      <c r="BK239" s="52" t="str">
        <f>IF(Atletas!K235="","",IF(Atletas!W235&lt;&gt;"",10000,0)+(IF(Atletas!B235="Feminino",1000,IF(Atletas!B235="Masculino",2000,""))+IF(Atletas!K235="Choylayfut A",1,IF(Atletas!K235="Hunggar A",2,IF(Atletas!K235="Wuzuquan A",3,IF(Atletas!K235="Wingchun A",4,IF(Atletas!K235="Outra Mão de Sul A",5,IF(Atletas!K235="Choylayfut B",6,IF(Atletas!K235="Hunggar B",7,IF(Atletas!K235="Wuzuquan B",8,IF(Atletas!K235="Wingchun B",9,IF(Atletas!K235="Outra Mão de Sul B",10,IF(Atletas!K235="Choylayfut C",11,IF(Atletas!K235="Hunggar C",12,IF(Atletas!K235="Wuzuquan C",13,IF(Atletas!K235="Wingchun C",14,IF(Atletas!K235="Outra Mão de Sul C",15,IF(Atletas!K235="Choylayfut D",16,IF(Atletas!K235="Hunggar D",17,IF(Atletas!K235="Wuzuquan D",18,IF(Atletas!K235="Wingchun D",19,IF(Atletas!K235="Outra Mão de Sul D",20,IF(Atletas!K235="Choylayfut E",21,IF(Atletas!K235="Hunggar E",22,IF(Atletas!K235="Wuzuquan E",23,IF(Atletas!K235="Wingchun E",24,IF(Atletas!K235="Outra Mão de Sul E",25,IF(Atletas!K235="Choylayfut F",26,IF(Atletas!K235="Hunggar F",27,IF(Atletas!K235="Wuzuquan F",28,IF(Atletas!K235="Wingchun F",29,IF(Atletas!K235="Outra Mão de Sul F",30,""))))))))))))))))))))))))))))))))</f>
        <v/>
      </c>
      <c r="BL239" s="52" t="str">
        <f>IF(Atletas!L235="","",IF(Atletas!W235&lt;&gt;"",10000,0)+(IF(Atletas!B235="Feminino",1000,IF(Atletas!B235="Masculino",2000,""))+(IF(Atletas!L235="Chaquan A",101,IF(Atletas!L235="Emeiquan A",102,IF(Atletas!L235="Fanziquan A",103,IF(Atletas!L235="Huaquan A",104,IF(Atletas!L235="Hongquan A",105,IF(Atletas!L235="Paochui A",106,IF(Atletas!L235="Piguaquan A",107,IF(Atletas!L235="Shaolinquan A",108,IF(Atletas!L235="Tanglangquan A",109,IF(Atletas!L235="Yinzhaophai A",110,IF(Atletas!L235="Tongbeiquan A",111,IF(Atletas!L235="Wudangquan A",112,IF(Atletas!L235="Outros Estilos A",113,IF(Atletas!L235="Chaquan B",114,IF(Atletas!L235="Emeiquan B",115,IF(Atletas!L235="Fanziquan B",116,IF(Atletas!L235="Huaquan B",117,IF(Atletas!L235="Hongquan B",118,IF(Atletas!L235="Paochui B",119,IF(Atletas!L235="Piguaquan B",120,IF(Atletas!L235="Shaolinquan B",121,IF(Atletas!L235="Tanglangquan B",122,IF(Atletas!L235="Yinzhaophai B",123,IF(Atletas!L235="Tongbeiquan B",124,IF(Atletas!L235="Wudangquan B",125,IF(Atletas!L235="Outros Estilos B",126,IF(Atletas!L235="Chaquan C",127,IF(Atletas!L235="Emeiquan C",128,IF(Atletas!L235="Fanziquan C",129,IF(Atletas!L235="Huaquan C",130,IF(Atletas!L235="Hongquan C",131,IF(Atletas!L235="Paochui C",132,IF(Atletas!L235="Piguaquan C",133,IF(Atletas!L235="Shaolinquan C",134,IF(Atletas!L235="Tanglangquan C",135,IF(Atletas!L235="Yinzhaophai C",136,IF(Atletas!L235="Tongbeiquan C",137,IF(Atletas!L235="Wudangquan C",138,IF(Atletas!L235="Outros Estilos C",139,0))))))))))))))))))))))))))))))))))))))))))</f>
        <v/>
      </c>
      <c r="BM239" s="52" t="str">
        <f>IF(Atletas!L235="","",IF(Atletas!W235&lt;&gt;"",10000,0)+(IF(Atletas!B235="Feminino",1000,IF(Atletas!B235="Masculino",2000,""))+(IF(Atletas!L235="Chaquan D",140,IF(Atletas!L235="Emeiquan D",141,IF(Atletas!L235="Fanziquan D",142,IF(Atletas!L235="Huaquan D",143,IF(Atletas!L235="Hongquan D",144,IF(Atletas!L235="Paochui D",145,IF(Atletas!L235="Piguaquan D",146,IF(Atletas!L235="Shaolinquan D",147,IF(Atletas!L235="Tanglangquan D",148,IF(Atletas!L235="Yinzhaophai D",149,IF(Atletas!L235="Tongbeiquan D",150,IF(Atletas!L235="Wudangquan D",151,IF(Atletas!L235="Outros Estilos D",152,IF(Atletas!L235="Chaquan E",153,IF(Atletas!L235="Emeiquan E",154,IF(Atletas!L235="Fanziquan E",155,IF(Atletas!L235="Huaquan E",156,IF(Atletas!L235="Hongquan E",157,IF(Atletas!L235="Paochui E",158,IF(Atletas!L235="Piguaquan E",159,IF(Atletas!L235="Shaolinquan E",160,IF(Atletas!L235="Tanglangquan E",161,IF(Atletas!L235="Yinzhaophai E",162,IF(Atletas!L235="Tongbeiquan E",163,IF(Atletas!L235="Wudangquan E",164,IF(Atletas!L235="Outros Estilos E",165,IF(Atletas!L235="Chaquan F",166,IF(Atletas!L235="Emeiquan F",167,IF(Atletas!L235="Fanziquan F",168,IF(Atletas!L235="Huaquan F",169,IF(Atletas!L235="Hongquan F",170,IF(Atletas!L235="Paochui F",171,IF(Atletas!L235="Piguaquan F",172,IF(Atletas!L235="Shaolinquan F",173,IF(Atletas!L235="Tanglangquan F",174,IF(Atletas!L235="Yinzhaophai F",175,IF(Atletas!L235="Tongbeiquan F",176,IF(Atletas!L235="Wudangquan F",177,IF(Atletas!L235="Outros Estilos F",178,0))))))))))))))))))))))))))))))))))))))))))</f>
        <v/>
      </c>
      <c r="BN239" s="52" t="str">
        <f>IF(Atletas!M235="","",IF(Atletas!W235&lt;&gt;"",10000,0)+(IF(Atletas!B235="Feminino",1000,IF(Atletas!B235="Masculino",2000,""))+(IF(Atletas!M235="Ditangquan A",201,IF(Atletas!M235="Houquan A",202,IF(Atletas!M235="Zuiquan A",203,IF(Atletas!M235="Ditangquan B",204,IF(Atletas!M235="Houquan B",205,IF(Atletas!M235="Zuiquan B",206,IF(Atletas!M235="Ditangquan C",207,IF(Atletas!M235="Houquan C",208,IF(Atletas!M235="Zuiquan C",209,IF(Atletas!M235="Ditangquan D",210,IF(Atletas!M235="Houquan D",211,IF(Atletas!M235="Zuiquan D",212,IF(Atletas!M235="Ditangquan E",213,IF(Atletas!M235="Houquan E",214,IF(Atletas!M235="Zuiquan E",215,IF(Atletas!M235="Ditangquan F",216,IF(Atletas!M235="Houquan F",217,IF(Atletas!M235="Zuiquan F",218,"")))))))))))))))))))))</f>
        <v/>
      </c>
      <c r="BO239" s="52" t="str">
        <f>IF(Atletas!N235="","",IF(Atletas!W235&lt;&gt;"",10000,0)+IF(Atletas!B235="Feminino",1000,IF(Atletas!B235="Masculino",2000,""))+IF(Atletas!N235="Yang A",301,IF(Atletas!N235="Chen A",30,IF(Atletas!N235="Sun A",303,IF(Atletas!N235="Wu A",304,IF(Atletas!N235="Wu-Hao A",305,IF(Atletas!N235="Outro Taijiquan A",306,IF(Atletas!N235="Yang B",307,IF(Atletas!N235="Chen B",308,IF(Atletas!N235="Sun B",309,IF(Atletas!N235="Wu B",310,IF(Atletas!N235="Wu-Hao B",311,IF(Atletas!N235="Outro Taijiquan B",312,IF(Atletas!N235="Yang C",313,IF(Atletas!N235="Chen C",314,IF(Atletas!N235="Sun C",315,IF(Atletas!N235="Wu C",316,IF(Atletas!N235="Wu-Hao C",317,IF(Atletas!N235="Outro Taijiquan C",318,IF(Atletas!N235="Yang D",319,IF(Atletas!N235="Chen D",320,IF(Atletas!N235="Sun D",321,IF(Atletas!N235="Wu D",322,IF(Atletas!N235="Wu-Hao D",323,IF(Atletas!N235="Outro Taijiquan D",324,IF(Atletas!N235="Yang E",325,IF(Atletas!N235="Chen E",326,IF(Atletas!N235="Sun E",327,IF(Atletas!N235="Wu E",328,IF(Atletas!N235="Wu-Hao E",329,IF(Atletas!N235="Outro Taijiquan E",330,IF(Atletas!N235="Yang F",331,IF(Atletas!N235="Chen F",332,IF(Atletas!N235="Sun F",333,IF(Atletas!N235="Wu F",334,IF(Atletas!N235="Wu-Hao F",335,IF(Atletas!N235="Outro Taijiquan F",336,"")))))))))))))))))))))))))))))))))))))</f>
        <v/>
      </c>
      <c r="BP239" s="52" t="str">
        <f>IF(Atletas!O235="","",IF(Atletas!W235&lt;&gt;"",10000,0)+IF(Atletas!B235="Feminino",1000,IF(Atletas!B235="Masculino",2000,""))+IF(OR(Atletas!O235="Yang 26 A",Atletas!O235="Yang 40 A"),401,IF(OR(Atletas!O235="Chen 25 A",Atletas!O235="Chen 36 A",Atletas!O235="Chen 56 A"),402,IF(Atletas!O235="Sun 73 A",403,IF(Atletas!O235="Wu 45 A",404,IF(Atletas!O235="Wu-Hao 46 A",405,IF(OR(Atletas!O235="Taijiquan 16 A",Atletas!O235="Taijiquan 24 A",Atletas!O235="Taijiquan 32 A",Atletas!O235="Taijiquan 42 A"),406,IF(OR(Atletas!O235="Yang 26 B",Atletas!O235="Yang 40 B"),407,IF(OR(Atletas!O235="Chen 25 B",Atletas!O235="Chen 36 B",Atletas!O235="Chen 56 B"),408,IF(Atletas!O235="Sun 73 B",409,IF(Atletas!O235="Wu 45 B",410,IF(Atletas!O235="Wu-Hao 46 B",411,IF(OR(Atletas!O235="Taijiquan 16 B",Atletas!O235="Taijiquan 24 B",Atletas!O235="Taijiquan 32 B",Atletas!O235="Taijiquan 42 B"),412,IF(OR(Atletas!O235="Yang 26 C",Atletas!O235="Yang 40 C"),413,IF(OR(Atletas!O235="Chen 25 C",Atletas!O235="Chen 36 C",Atletas!O235="Chen 56 C"),414,IF(Atletas!O235="Sun 73 C",415,IF(Atletas!O235="Wu 45 C",416,IF(Atletas!O235="Wu-Hao 46 C",417,IF(OR(Atletas!O235="Taijiquan 16 C",Atletas!O235="Taijiquan 24 C",Atletas!O235="Taijiquan 32 C",Atletas!O235="Taijiquan 42 C"),418,0)))))))))))))))))))</f>
        <v/>
      </c>
      <c r="BQ239" s="52" t="str">
        <f>IF(Atletas!O235="","",IF(Atletas!W235&lt;&gt;"",10000,0)+IF(Atletas!B235="Feminino",1000,IF(Atletas!B235="Masculino",2000,""))+IF(OR(Atletas!O235="Yang 26 D",Atletas!O235="Yang 40 D"),419,IF(OR(Atletas!O235="Chen 25 D",Atletas!O235="Chen 36 D",Atletas!O235="Chen 56 D"),420,IF(Atletas!O235="Sun 73 D",421,IF(Atletas!O235="Wu 45 D",422,IF(Atletas!O235="Wu-Hao 46 D",423,IF(OR(Atletas!O235="Taijiquan 16 D",Atletas!O235="Taijiquan 24 D",Atletas!O235="Taijiquan 32 D",Atletas!O235="Taijiquan 42 D"),424,IF(OR(Atletas!O235="Yang 26 E",Atletas!O235="Yang 40 E"),425,IF(OR(Atletas!O235="Chen 25 E",Atletas!O235="Chen 36 E",Atletas!O235="Chen 56 E"),426,IF(Atletas!O235="Sun 73 E",427,IF(Atletas!O235="Wu 45 E",428,IF(Atletas!O235="Wu-Hao 46 E",429,IF(OR(Atletas!O235="Taijiquan 16 E",Atletas!O235="Taijiquan 24 E",Atletas!O235="Taijiquan 32 E",Atletas!O235="Taijiquan 42 E"),430,IF(OR(Atletas!O235="Yang 26 F",Atletas!O235="Yang 40 F"),431,IF(OR(Atletas!O235="Chen 25 F",Atletas!O235="Chen 36 F",Atletas!O235="Chen 56 F"),432,IF(Atletas!O235="Sun 73 F",433,IF(Atletas!O235="Wu 45 F",434,IF(Atletas!O235="Wu-Hao 46 F",435,IF(OR(Atletas!O235="Taijiquan 16 F",Atletas!O235="Taijiquan 24 F",Atletas!O235="Taijiquan 32 F",Atletas!O235="Taijiquan 42 F"),436,0)))))))))))))))))))</f>
        <v/>
      </c>
      <c r="BR239" s="52" t="str">
        <f>IF(Atletas!P235="","",IF(Atletas!W235&lt;&gt;"",10000,0)+IF(Atletas!B235="Feminino",1000,IF(Atletas!B235="Masculino",2000,""))+IF(Atletas!P235="Xingyiquan A",501,IF(Atletas!P235="Baguazhang A",502,IF(Atletas!P235="Outro Estilo Interno A",503,IF(Atletas!P235="Xingyiquan B",504,IF(Atletas!P235="Baguazhang B",505,IF(Atletas!P235="Outro Estilo Interno B",506,IF(Atletas!P235="Xingyiquan C",507,IF(Atletas!P235="Baguazhang C",508,IF(Atletas!P235="Outro Estilo Interno C",509,IF(Atletas!P235="Xingyiquan D",510,IF(Atletas!P235="Baguazhang D",511,IF(Atletas!P235="Outro Estilo Interno D",512,IF(Atletas!P235="Xingyiquan E",513,IF(Atletas!P235="Baguazhang E",514,IF(Atletas!P235="Outro Estilo Interno E",515,IF(Atletas!P235="Xingyiquan F",516,IF(Atletas!P235="Baguazhang F",517,IF(Atletas!P235="Outro Estilo Interno F",518, "")))))))))))))))))))</f>
        <v/>
      </c>
      <c r="BS239" s="52" t="str">
        <f>IF(Atletas!Q235="","",IF(Atletas!W235&lt;&gt;"",10000,0)+IF(Atletas!B235="Feminino",1000,IF(Atletas!B235="Masculino",2000,""))+IF(Atletas!Q235="Dao A",601,IF(Atletas!Q235="Jian A",602,IF(Atletas!Q235="Bishou A",603,IF(Atletas!Q235="Shan A",604,IF(Atletas!Q235="Outra Arma Curta A",605,IF(Atletas!Q235="Dao B",606,IF(Atletas!Q235="Jian B",607,IF(Atletas!Q235="Bishou B",608,IF(Atletas!Q235="Shan B",609,IF(Atletas!Q235="Outra Arma Curta B",610,IF(Atletas!Q235="Dao C",611,IF(Atletas!Q235="Jian C",612,IF(Atletas!Q235="Bishou C",613,IF(Atletas!Q235="Shan C",614,IF(Atletas!Q235="Outra Arma Curta C",615,IF(Atletas!Q235="Dao D",616,IF(Atletas!Q235="Jian D",617,IF(Atletas!Q235="Bishou D",618,IF(Atletas!Q235="Shan D",619,IF(Atletas!Q235="Outra Arma Curta D",620,IF(Atletas!Q235="Dao E",621,IF(Atletas!Q235="Jian E",622,IF(Atletas!Q235="Bishou E",623,IF(Atletas!Q235="Shan E",624,IF(Atletas!Q235="Outra Arma Curta E",625,IF(Atletas!Q235="Dao F",626,IF(Atletas!Q235="Jian F",627,IF(Atletas!Q235="Bishou F",628,IF(Atletas!Q235="Shan F",629,IF(Atletas!Q235="Outra Arma Curta F",630, "")))))))))))))))))))))))))))))))</f>
        <v/>
      </c>
      <c r="BT239" s="52" t="str">
        <f>IF(Atletas!R235="","",IF(Atletas!W235&lt;&gt;"",10000,0)+IF(Atletas!B235="Feminino",1000,IF(Atletas!B235="Masculino",2000,""))+IF(Atletas!R235="Gun A",701,IF(Atletas!R235="Qiang A",702,IF(Atletas!R235="Pudao / Guandao A",703,IF(Atletas!R235="Outra Arma Longa A",704,IF(Atletas!R235="Gun B",705,IF(Atletas!R235="Qiang B",706,IF(Atletas!R235="Pudao / Guandao B",707,IF(Atletas!R235="Outra Arma Longa B",708,IF(Atletas!R235="Gun C",709,IF(Atletas!R235="Qiang C",710,IF(Atletas!R235="Pudao / Guandao C",711,IF(Atletas!R235="Outra Arma Longa C",712,IF(Atletas!R235="Gun D",713,IF(Atletas!R235="Qiang D",714,IF(Atletas!R235="Pudao / Guandao D",715,IF(Atletas!R235="Outra Arma Longa D",716,IF(Atletas!R235="Gun E",717,IF(Atletas!R235="Qiang E",718,IF(Atletas!R235="Pudao / Guandao E",719,IF(Atletas!R235="Outra Arma Longa E",720,IF(Atletas!R235="Gun F",721,IF(Atletas!R235="Qiang F",722,IF(Atletas!R235="Pudao / Guandao F",723,IF(Atletas!R235="Outra Arma Longa F",724,"")))))))))))))))))))))))))</f>
        <v/>
      </c>
      <c r="BU239" s="52" t="str">
        <f>IF(Atletas!S235="","",IF(Atletas!W235&lt;&gt;"",10000,0)+IF(Atletas!B235="Feminino",1000,IF(Atletas!B235="Masculino",2000,""))+IF(Atletas!S235="Arma Dupla A",801,IF(Atletas!S235="Arma Maleável A",802,IF(Atletas!S235="Arma Dupla B",803,IF(Atletas!S235="Arma Maleável B",804,IF(Atletas!S235="Arma Dupla C",805,IF(Atletas!S235="Arma Maleável C",806,IF(Atletas!S235="Arma Dupla D",807,IF(Atletas!S235="Arma Maleável D",808,IF(Atletas!S235="Arma Dupla E",809,IF(Atletas!S235="Arma Maleável E",810,IF(Atletas!S235="Arma Dupla F",811,IF(Atletas!S235="Arma Maleável F",812, "")))))))))))))</f>
        <v/>
      </c>
      <c r="BV239" s="52" t="str">
        <f>IF(Atletas!T235="","",IF(Atletas!W235&lt;&gt;"",10000,0)+IF(Atletas!B235="Feminino",1000,IF(Atletas!B235="Masculino",2000,""))+IF(Atletas!T235="Taijijian Yang A",901,IF(Atletas!T235="Taijijian Chen A",902,IF(Atletas!T235="Taijijian Sun A",903,IF(Atletas!T235="Taijijian Wu A",904,IF(Atletas!T235="Taijijian Wu-Hao A",905,IF(Atletas!T235="Taijijian 32 A",906,IF(Atletas!T235="Taijijian 42 A",907,IF(Atletas!T235="Taijijian Yang B",908,IF(Atletas!T235="Taijijian Chen B",909,IF(Atletas!T235="Taijijian Sun B",910,IF(Atletas!T235="Taijijian Wu B",911,IF(Atletas!T235="Taijijian Wu-Hao B",912,IF(Atletas!T235="Taijijian 32 B",913,IF(Atletas!T235="Taijijian 42 B",914,IF(Atletas!T235="Taijijian Yang C",915,IF(Atletas!T235="Taijijian Chen C",916,IF(Atletas!T235="Taijijian Sun C",917,IF(Atletas!T235="Taijijian Wu C",918,IF(Atletas!T235="Taijijian Wu-Hao C",919,IF(Atletas!T235="Taijijian 32 C",920,IF(Atletas!T235="Taijijian 42 C",921,IF(Atletas!T235="Taijijian Yang D",922,IF(Atletas!T235="Taijijian Chen D",923,IF(Atletas!T235="Taijijian Sun D",924,IF(Atletas!T235="Taijijian Wu D",925,IF(Atletas!T235="Taijijian Wu-Hao D",926,IF(Atletas!T235="Taijijian 32 D",927,IF(Atletas!T235="Taijijian 42 D",928,IF(Atletas!T235="Taijijian Yang E",929,IF(Atletas!T235="Taijijian Chen E",930,IF(Atletas!T235="Taijijian Sun E",931,IF(Atletas!T235="Taijijian Wu E",932,IF(Atletas!T235="Taijijian Wu-Hao E",933,IF(Atletas!T235="Taijijian 32 E",934,IF(Atletas!T235="Taijijian 42 E",935,IF(Atletas!T235="Taijijian Yang F",936,IF(Atletas!T235="Taijijian Chen F",937,IF(Atletas!T235="Taijijian Sun F",938,IF(Atletas!T235="Taijijian Wu F",939,IF(Atletas!T235="Taijijian Wu-Hao F",940,IF(Atletas!T235="Taijijian 32 F",941,IF(Atletas!T235="Taijijian 42 F",942,"")))))))))))))))))))))))))))))))))))))))))))</f>
        <v/>
      </c>
      <c r="BW239" s="52" t="str">
        <f>IF(Atletas!U235="","",IF(Atletas!W235&lt;&gt;"",10000,0)+IF(Atletas!B235="Feminino",1000,IF(Atletas!B235="Masculino",2000,""))+IF(Atletas!T235="Taijijian 42 F",942,IF(Atletas!U235="Taijidao A",943,IF(Atletas!U235="Taijishan A",944,IF(Atletas!U235="Taijiqiang A",945,IF(Atletas!U235="Taijidao B",946,IF(Atletas!U235="Taijishan B",947,IF(Atletas!U235="Taijiqiang B",948,IF(Atletas!U235="Taijidao C",949,IF(Atletas!U235="Taijishan C",950,IF(Atletas!U235="Taijiqiang C",951,IF(Atletas!U235="Taijidao D",952,IF(Atletas!U235="Taijishan D",953,IF(Atletas!U235="Taijiqiang D",954,IF(Atletas!U235="Taijidao E",955,IF(Atletas!U235="Taijishan E",956,IF(Atletas!U235="Taijiqiang E",957,IF(Atletas!U235="Taijidao F",958,IF(Atletas!U235="Taijishan F",959,IF(Atletas!U235="Taijiqiang F",960))))))))))))))))))))</f>
        <v/>
      </c>
      <c r="BX239" s="72" t="str">
        <f>IF(BY239&lt;&gt;"","Jian D","")</f>
        <v/>
      </c>
      <c r="BY239" s="72" t="str">
        <f>IF(COUNTIF(BK:BW,1617)&gt;0,COUNTIF(BK:BW,1617),"")</f>
        <v/>
      </c>
      <c r="BZ239" s="72" t="str">
        <f>IF(CA239&lt;&gt;"","Jian D","")</f>
        <v/>
      </c>
      <c r="CA239" s="72" t="str">
        <f>IF(COUNTIF(BK:BW,2617)&gt;0,COUNTIF(BK:BW,2617),"")</f>
        <v/>
      </c>
      <c r="CB239" s="72" t="str">
        <f>IF(CC239&lt;&gt;"","Cheng 56 F","")</f>
        <v/>
      </c>
      <c r="CC239" s="64" t="str">
        <f>IF(COUNTIF(BK:BW,11471)&gt;0,COUNTIF(BK:BW,11471),"")</f>
        <v/>
      </c>
      <c r="CD239" s="64" t="str">
        <f>IF(CE239&lt;&gt;"","Cheng 56 F","")</f>
        <v/>
      </c>
      <c r="CE239" s="64" t="str">
        <f>IF(COUNTIF(BK:BW,12471)&gt;0,COUNTIF(BK:BW,12471),"")</f>
        <v/>
      </c>
      <c r="CF239" s="52" t="str">
        <f xml:space="preserve"> IF(Atletas!V235="","",IF(Atletas!V235="Duilian de Mãos AB - Equipe 1",1,IF(Atletas!V235="Duilian de Mãos AB - Equipe 2",2,IF(Atletas!V235="Duilian de Armas AB - Equipe 1",3,IF(Atletas!V235="Duilian de Armas AB - Equipe 2",4,IF(Atletas!V235="Duilian de Tuishou - Equipe 1",5,IF(Atletas!V235="Duilian de Tuishou - Equipe 2",6,IF(Atletas!V235="Grupo Externo AB - Equipe 1",7,IF(Atletas!V235="Grupo Externo AB - Equipe 2",8,IF(Atletas!V235="Grupo Interno AB - Equipe 1",9,IF(Atletas!V235="Grupo Interno AB - Equipe 2",10,IF(Atletas!V235="Duilian de Mãos CD - Equipe 1",11,IF(Atletas!V235="Duilian de Mãos CD - Equipe 2",12,IF(Atletas!V235="Duilian de Armas CD - Equipe 1",13,IF(Atletas!V235="Duilian de Armas CD - Equipe 2",14,IF(Atletas!V235="Duilian de Tuishou - Equipe 1",15,IF(Atletas!V235="Duilian de Tuishou - Equipe 2",16,IF(Atletas!V235="Grupo Externo CDEF - Equipe 1",17,IF(Atletas!V235="Grupo Externo CDEF - Equipe 2",18,IF(Atletas!V235="Grupo Interno CDEF - Equipe 1",19,IF(Atletas!V235="Grupo Interno CDEF - Equipe 2",20,IF(Atletas!V235="Duilian de Mãos EF - Equipe 1",21,IF(Atletas!V235="Duilian de Mãos EF - Equipe 2",22,IF(Atletas!V235="Duilian de Armas EF - Equipe 1",23,IF(Atletas!V235="Duilian de Armas EF - Equipe 2",24,IF(Atletas!V235="Duilian de Tuishou - Equipe 1",25,IF(Atletas!V235="Duilian de Tuishou - Equipe 2",26,"")))))))))))))))))))))))))))</f>
        <v/>
      </c>
    </row>
    <row r="240" spans="2:84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 t="str">
        <f t="array" ref="V240">IFERROR(INDEX(BX$7:BX$336,SMALL(IF(BX$7:BX$336&lt;&gt;"",ROW(BX$7:BX$336)-ROW(BX$7)+1),ROWS(BX$7:BX204))),"")</f>
        <v/>
      </c>
      <c r="W240" s="4" t="str">
        <f t="array" ref="W240">IFERROR(INDEX(BY$7:BY$336,SMALL(IF(BY$7:BY$336&lt;&gt;"",ROW(BY$7:BY$336)-ROW(BY$7)+1),ROWS(BY$7:BY204))),"")</f>
        <v/>
      </c>
      <c r="X240" s="4" t="str">
        <f t="array" ref="X240">IFERROR(INDEX(BZ$7:BZ$336,SMALL(IF(BZ$7:BZ$336&lt;&gt;"",ROW(BZ$7:BZ$336)-ROW(BZ$7)+1),ROWS(BZ$7:BZ204))),"")</f>
        <v/>
      </c>
      <c r="Y240" s="4" t="str">
        <f t="array" ref="Y240">IFERROR(INDEX(CA$7:CA$336,SMALL(IF(CA$7:CA$336&lt;&gt;"",ROW(CA$7:CA$336)-ROW(CA$7)+1),ROWS(CA$7:CA204))),"")</f>
        <v/>
      </c>
      <c r="Z240" s="4" t="str">
        <f t="array" ref="Z240">IFERROR(INDEX(CB$7:CB$378,SMALL(IF(CB$7:CB$378&lt;&gt;"",ROW(CB$7:CB$378)-ROW(CB$7)+1),ROWS(CB$7:CB239))),"")</f>
        <v/>
      </c>
      <c r="AA240" s="4" t="str">
        <f t="array" ref="AA240">IFERROR(INDEX(CC$7:CC$378,SMALL(IF(CC$7:CC$378&lt;&gt;"",ROW(CC$7:CC$378)-ROW(CC$7)+1),ROWS(CC$7:CC239))),"")</f>
        <v/>
      </c>
      <c r="AB240" s="4" t="str">
        <f t="array" ref="AB240">IFERROR(INDEX(CD$7:CD$378,SMALL(IF(CD$7:CD$378&lt;&gt;"",ROW(CD$7:CD$378)-ROW(CD$7)+1),ROWS(CD$7:CD239))),"")</f>
        <v/>
      </c>
      <c r="AC240" s="4" t="str">
        <f t="array" ref="AC240">IFERROR(INDEX(CE$7:CE$378,SMALL(IF(CE$7:CE$378&lt;&gt;"",ROW(CE$7:CE$378)-ROW(CE$7)+1),ROWS(CE$7:CE239))),"")</f>
        <v/>
      </c>
      <c r="AD240" s="4"/>
      <c r="AE240" s="4"/>
      <c r="AF240" s="4"/>
      <c r="AG240" s="4"/>
      <c r="AH240" s="4"/>
      <c r="AI240" s="4"/>
      <c r="AJ240" s="46" t="str">
        <f>IF(Atletas!D236="","",IF(Atletas!B236="Feminino",100,IF(Atletas!B236="Masculino",200,""))+(IF(Atletas!D236="Infantil 39kg",1,IF(Atletas!D236="Infantil 42kg",2,IF(Atletas!D236="Infantil 45kg",3,IF(Atletas!D236="Infantil 48kg",4,IF(Atletas!D236="Infantil 52kg",5,IF(Atletas!D236="Infantil 56kg",6,IF(Atletas!D236="Infantil 60kg",7,IF(Atletas!D236="Juvenil 48kg",8,IF(Atletas!D236="Juvenil 52kg",9,IF(Atletas!D236="Juvenil 56kg",10,IF(Atletas!D236="Juvenil 60kg",11,IF(Atletas!D236="Juvenil 65kg",12,IF(Atletas!D236="Juvenil 70kg",13,IF(Atletas!D236="Juvenil 75kg",14,IF(Atletas!D236="Juvenil 80kg",15,IF(Atletas!D236="Adulto 48kg",16,IF(Atletas!D236="Adulto 52kg",17,IF(Atletas!D236="Adulto 56kg",18,IF(Atletas!D236="Adulto 60kg",19,IF(Atletas!D236="Adulto 65kg",20,IF(Atletas!D236="Adulto 70kg",21,IF(Atletas!D236="Adulto 75kg",22,IF(Atletas!D236="Adulto 80kg",23,IF(Atletas!D236="Adulto 85kg",24,IF(Atletas!D236="Adulto 90kg",25,IF(Atletas!D236="Adulto +90kg",26,""))))))))))))))))))))))))))))</f>
        <v/>
      </c>
      <c r="AO240" s="10" t="str">
        <f>IF(Atletas!E236="","",IF(Atletas!B236="Feminino",100,IF(Atletas!B236="Masculino",200,""))+(IF(Atletas!E236="Juvenil 44kg",1,IF(Atletas!E236="Juvenil 48kg",2,IF(Atletas!E236="Juvenil 52kg",3,IF(Atletas!E236="Juvenil 56kg",4,IF(Atletas!E236="Juvenil 60kg",5,IF(Atletas!E236="Juvenil 65kg",6,IF(Atletas!E236="Juvenil 70kg",7,IF(Atletas!E236="Juvenil 75kg",8,IF(Atletas!E236="Juvenil 82kg",9,IF(Atletas!E236="Juvenil 90kg",10,IF(Atletas!E236="Juvenil 100kg",11,IF(Atletas!E236="Adulto 48kg",12,IF(Atletas!E236="Adulto 52kg",13,IF(Atletas!E236="Adulto 56kg",14,IF(Atletas!E236="Adulto 60kg",15,IF(Atletas!E236="Adulto 65kg",16,IF(Atletas!E236="Adulto 70kg",17,IF(Atletas!E236="Adulto 75kg",18,IF(Atletas!E236="Adulto 82kg",19,IF(Atletas!E236="Adulto 90kg",20,IF(Atletas!E236="Adulto 100kg",21,IF(Atletas!E236="Adulto +100kg",22,""))))))))))))))))))))))))</f>
        <v/>
      </c>
      <c r="AT240" s="10" t="str">
        <f>IF(Atletas!F236="","",IF(Atletas!B236="Feminino",100,IF(Atletas!B236="Masculino",200,""))+(IF(Atletas!F236="Adulto 48kg",1,IF(Atletas!F236="Adulto 56kg",2,IF(Atletas!F236="Adulto 65kg",3,IF(Atletas!F236="Adulto 75kg",4,IF(Atletas!F236="Adulto +75kg",5,IF(Atletas!F236="Adulto 52kg",6,IF(Atletas!F236="Adulto 60kg",7,IF(Atletas!F236="Adulto 70kg",8,IF(Atletas!F236="Adulto 80kg",9,IF(Atletas!F236="Adulto 90kg",10,IF(Atletas!F236="Adulto +90kg",11,"")))))))))))))</f>
        <v/>
      </c>
      <c r="AY240" s="46" t="str">
        <f>IF(Atletas!G236="","",IF(Atletas!B236="Feminino",100,IF(Atletas!B236="Masculino",200,""))+(IF(Atletas!G236="Changquan Mirim",1,IF(Atletas!G236="Nanquan Mirim",2,IF(Atletas!G236="Taijiquan Mirim",3,IF(Atletas!G236="Changquan Grupo C",4,IF(Atletas!G236="Nanquan Grupo C",5,IF(Atletas!G236="Taijiquan Grupo C",6,IF(Atletas!G236="Changquan Grupo B",7,IF(Atletas!G236="Nanquan Grupo B",8,IF(Atletas!G236="Taijiquan Grupo B",9,IF(Atletas!G236="Changquan Grupo A",10,IF(Atletas!G236="Nanquan Grupo A",11,IF(Atletas!G236="Taijiquan Grupo A",12,IF(Atletas!G236="Changquan Opcional",13,IF(Atletas!G236="Nanquan Opcional",14,IF(Atletas!G236="Taijiquan Opcional",15,IF(Atletas!G236="Changquan Adulto",16,IF(Atletas!G236="Nanquan Adulto",17,IF(Atletas!G236="Taijiquan Adulto",18,""))))))))))))))))))))</f>
        <v/>
      </c>
      <c r="AZ240" s="46" t="str">
        <f>IF(Atletas!H236="","",IF(Atletas!B236="Feminino",100,IF(Atletas!B236="Masculino",200,""))+(IF(Atletas!H236="Daoshu Mirim",19,IF(Atletas!H236="Jianshu Mirim",20,IF(Atletas!H236="Nandao Mirim",21,IF(Atletas!H236="Taijijian Mirim",22,IF(Atletas!H236="Daoshu Grupo C",23,IF(Atletas!H236="Jianshu Grupo C",24,IF(Atletas!H236="Nandao Grupo C",25,IF(Atletas!H236="Taijijian Grupo C",26,IF(Atletas!H236="Daoshu Grupo B",27,IF(Atletas!H236="Jianshu Grupo B",28,IF(Atletas!H236="Nandao Grupo B",29,IF(Atletas!H236="Taijijian Grupo B",30,IF(Atletas!H236="Daoshu Grupo A",31,IF(Atletas!H236="Jianshu Grupo A",32,IF(Atletas!H236="Nandao Grupo A",33,IF(Atletas!H236="Taijijian Grupo A",34,IF(Atletas!H236="Daoshu Opcional",35,IF(Atletas!H236="Jianshu Opcional",36,IF(Atletas!H236="Nandao Opcional",37,IF(Atletas!H236="Taijijian Opcional",38,IF(Atletas!H236="Daoshu Adulto",39,IF(Atletas!H236="Jianshu Adulto",40,IF(Atletas!H236="Nandao Adulto",41,IF(Atletas!H236="Taijijian Adulto",42,""))))))))))))))))))))))))))</f>
        <v/>
      </c>
      <c r="BA240" s="46" t="str">
        <f>IF(Atletas!I236="","",IF(Atletas!B236="Feminino",100,IF(Atletas!B236="Masculino",200,""))+(IF(Atletas!I236="Gunshu Mirim",43,IF(Atletas!I236="Qiangshu Mirim",44,IF(Atletas!I236="Nangun Mirim",45,IF(Atletas!I236="Gunshu Grupo C",46,IF(Atletas!I236="Qiangshu Grupo C",47,IF(Atletas!I236="Nangun Grupo C",48,IF(Atletas!I236="Gunshu Grupo B",49,IF(Atletas!I236="Qiangshu Grupo B",50,IF(Atletas!I236="Nangun Grupo B",51,IF(Atletas!I236="Gunshu Grupo A",52,IF(Atletas!I236="Qiangshu Grupo A",53,IF(Atletas!I236="Nangun Grupo A",54,IF(Atletas!I236="Gunshu Opcional",55,IF(Atletas!I236="Qiangshu Opcional",56,IF(Atletas!I236="Nangun Opcional",57,IF(Atletas!I236="Gunshu Adulto",58,IF(Atletas!I236="Qiangshu Adulto",59,IF(Atletas!I236="Nangun Adulto",60,""))))))))))))))))))))</f>
        <v/>
      </c>
      <c r="BF240" s="52" t="str">
        <f>IF(Atletas!J236="","",IF(Atletas!B236="Feminino",100,IF(Atletas!B236="Masculino",200,""))+(IF(Atletas!J236="Equipe 1 Grupo B",1,IF(Atletas!J236="Equipe 2 Grupo B",2,IF(Atletas!J236="Equipe 1 Grupo A",3,IF(Atletas!J236="Equipe 2 Grupo A",4,IF(Atletas!J236="Equipe 1 Adulto",5,IF(Atletas!J236="Equipe 2 Adulto",6,""))))))))</f>
        <v/>
      </c>
      <c r="BK240" s="52" t="str">
        <f>IF(Atletas!K236="","",IF(Atletas!W236&lt;&gt;"",10000,0)+(IF(Atletas!B236="Feminino",1000,IF(Atletas!B236="Masculino",2000,""))+IF(Atletas!K236="Choylayfut A",1,IF(Atletas!K236="Hunggar A",2,IF(Atletas!K236="Wuzuquan A",3,IF(Atletas!K236="Wingchun A",4,IF(Atletas!K236="Outra Mão de Sul A",5,IF(Atletas!K236="Choylayfut B",6,IF(Atletas!K236="Hunggar B",7,IF(Atletas!K236="Wuzuquan B",8,IF(Atletas!K236="Wingchun B",9,IF(Atletas!K236="Outra Mão de Sul B",10,IF(Atletas!K236="Choylayfut C",11,IF(Atletas!K236="Hunggar C",12,IF(Atletas!K236="Wuzuquan C",13,IF(Atletas!K236="Wingchun C",14,IF(Atletas!K236="Outra Mão de Sul C",15,IF(Atletas!K236="Choylayfut D",16,IF(Atletas!K236="Hunggar D",17,IF(Atletas!K236="Wuzuquan D",18,IF(Atletas!K236="Wingchun D",19,IF(Atletas!K236="Outra Mão de Sul D",20,IF(Atletas!K236="Choylayfut E",21,IF(Atletas!K236="Hunggar E",22,IF(Atletas!K236="Wuzuquan E",23,IF(Atletas!K236="Wingchun E",24,IF(Atletas!K236="Outra Mão de Sul E",25,IF(Atletas!K236="Choylayfut F",26,IF(Atletas!K236="Hunggar F",27,IF(Atletas!K236="Wuzuquan F",28,IF(Atletas!K236="Wingchun F",29,IF(Atletas!K236="Outra Mão de Sul F",30,""))))))))))))))))))))))))))))))))</f>
        <v/>
      </c>
      <c r="BL240" s="52" t="str">
        <f>IF(Atletas!L236="","",IF(Atletas!W236&lt;&gt;"",10000,0)+(IF(Atletas!B236="Feminino",1000,IF(Atletas!B236="Masculino",2000,""))+(IF(Atletas!L236="Chaquan A",101,IF(Atletas!L236="Emeiquan A",102,IF(Atletas!L236="Fanziquan A",103,IF(Atletas!L236="Huaquan A",104,IF(Atletas!L236="Hongquan A",105,IF(Atletas!L236="Paochui A",106,IF(Atletas!L236="Piguaquan A",107,IF(Atletas!L236="Shaolinquan A",108,IF(Atletas!L236="Tanglangquan A",109,IF(Atletas!L236="Yinzhaophai A",110,IF(Atletas!L236="Tongbeiquan A",111,IF(Atletas!L236="Wudangquan A",112,IF(Atletas!L236="Outros Estilos A",113,IF(Atletas!L236="Chaquan B",114,IF(Atletas!L236="Emeiquan B",115,IF(Atletas!L236="Fanziquan B",116,IF(Atletas!L236="Huaquan B",117,IF(Atletas!L236="Hongquan B",118,IF(Atletas!L236="Paochui B",119,IF(Atletas!L236="Piguaquan B",120,IF(Atletas!L236="Shaolinquan B",121,IF(Atletas!L236="Tanglangquan B",122,IF(Atletas!L236="Yinzhaophai B",123,IF(Atletas!L236="Tongbeiquan B",124,IF(Atletas!L236="Wudangquan B",125,IF(Atletas!L236="Outros Estilos B",126,IF(Atletas!L236="Chaquan C",127,IF(Atletas!L236="Emeiquan C",128,IF(Atletas!L236="Fanziquan C",129,IF(Atletas!L236="Huaquan C",130,IF(Atletas!L236="Hongquan C",131,IF(Atletas!L236="Paochui C",132,IF(Atletas!L236="Piguaquan C",133,IF(Atletas!L236="Shaolinquan C",134,IF(Atletas!L236="Tanglangquan C",135,IF(Atletas!L236="Yinzhaophai C",136,IF(Atletas!L236="Tongbeiquan C",137,IF(Atletas!L236="Wudangquan C",138,IF(Atletas!L236="Outros Estilos C",139,0))))))))))))))))))))))))))))))))))))))))))</f>
        <v/>
      </c>
      <c r="BM240" s="52" t="str">
        <f>IF(Atletas!L236="","",IF(Atletas!W236&lt;&gt;"",10000,0)+(IF(Atletas!B236="Feminino",1000,IF(Atletas!B236="Masculino",2000,""))+(IF(Atletas!L236="Chaquan D",140,IF(Atletas!L236="Emeiquan D",141,IF(Atletas!L236="Fanziquan D",142,IF(Atletas!L236="Huaquan D",143,IF(Atletas!L236="Hongquan D",144,IF(Atletas!L236="Paochui D",145,IF(Atletas!L236="Piguaquan D",146,IF(Atletas!L236="Shaolinquan D",147,IF(Atletas!L236="Tanglangquan D",148,IF(Atletas!L236="Yinzhaophai D",149,IF(Atletas!L236="Tongbeiquan D",150,IF(Atletas!L236="Wudangquan D",151,IF(Atletas!L236="Outros Estilos D",152,IF(Atletas!L236="Chaquan E",153,IF(Atletas!L236="Emeiquan E",154,IF(Atletas!L236="Fanziquan E",155,IF(Atletas!L236="Huaquan E",156,IF(Atletas!L236="Hongquan E",157,IF(Atletas!L236="Paochui E",158,IF(Atletas!L236="Piguaquan E",159,IF(Atletas!L236="Shaolinquan E",160,IF(Atletas!L236="Tanglangquan E",161,IF(Atletas!L236="Yinzhaophai E",162,IF(Atletas!L236="Tongbeiquan E",163,IF(Atletas!L236="Wudangquan E",164,IF(Atletas!L236="Outros Estilos E",165,IF(Atletas!L236="Chaquan F",166,IF(Atletas!L236="Emeiquan F",167,IF(Atletas!L236="Fanziquan F",168,IF(Atletas!L236="Huaquan F",169,IF(Atletas!L236="Hongquan F",170,IF(Atletas!L236="Paochui F",171,IF(Atletas!L236="Piguaquan F",172,IF(Atletas!L236="Shaolinquan F",173,IF(Atletas!L236="Tanglangquan F",174,IF(Atletas!L236="Yinzhaophai F",175,IF(Atletas!L236="Tongbeiquan F",176,IF(Atletas!L236="Wudangquan F",177,IF(Atletas!L236="Outros Estilos F",178,0))))))))))))))))))))))))))))))))))))))))))</f>
        <v/>
      </c>
      <c r="BN240" s="52" t="str">
        <f>IF(Atletas!M236="","",IF(Atletas!W236&lt;&gt;"",10000,0)+(IF(Atletas!B236="Feminino",1000,IF(Atletas!B236="Masculino",2000,""))+(IF(Atletas!M236="Ditangquan A",201,IF(Atletas!M236="Houquan A",202,IF(Atletas!M236="Zuiquan A",203,IF(Atletas!M236="Ditangquan B",204,IF(Atletas!M236="Houquan B",205,IF(Atletas!M236="Zuiquan B",206,IF(Atletas!M236="Ditangquan C",207,IF(Atletas!M236="Houquan C",208,IF(Atletas!M236="Zuiquan C",209,IF(Atletas!M236="Ditangquan D",210,IF(Atletas!M236="Houquan D",211,IF(Atletas!M236="Zuiquan D",212,IF(Atletas!M236="Ditangquan E",213,IF(Atletas!M236="Houquan E",214,IF(Atletas!M236="Zuiquan E",215,IF(Atletas!M236="Ditangquan F",216,IF(Atletas!M236="Houquan F",217,IF(Atletas!M236="Zuiquan F",218,"")))))))))))))))))))))</f>
        <v/>
      </c>
      <c r="BO240" s="52" t="str">
        <f>IF(Atletas!N236="","",IF(Atletas!W236&lt;&gt;"",10000,0)+IF(Atletas!B236="Feminino",1000,IF(Atletas!B236="Masculino",2000,""))+IF(Atletas!N236="Yang A",301,IF(Atletas!N236="Chen A",30,IF(Atletas!N236="Sun A",303,IF(Atletas!N236="Wu A",304,IF(Atletas!N236="Wu-Hao A",305,IF(Atletas!N236="Outro Taijiquan A",306,IF(Atletas!N236="Yang B",307,IF(Atletas!N236="Chen B",308,IF(Atletas!N236="Sun B",309,IF(Atletas!N236="Wu B",310,IF(Atletas!N236="Wu-Hao B",311,IF(Atletas!N236="Outro Taijiquan B",312,IF(Atletas!N236="Yang C",313,IF(Atletas!N236="Chen C",314,IF(Atletas!N236="Sun C",315,IF(Atletas!N236="Wu C",316,IF(Atletas!N236="Wu-Hao C",317,IF(Atletas!N236="Outro Taijiquan C",318,IF(Atletas!N236="Yang D",319,IF(Atletas!N236="Chen D",320,IF(Atletas!N236="Sun D",321,IF(Atletas!N236="Wu D",322,IF(Atletas!N236="Wu-Hao D",323,IF(Atletas!N236="Outro Taijiquan D",324,IF(Atletas!N236="Yang E",325,IF(Atletas!N236="Chen E",326,IF(Atletas!N236="Sun E",327,IF(Atletas!N236="Wu E",328,IF(Atletas!N236="Wu-Hao E",329,IF(Atletas!N236="Outro Taijiquan E",330,IF(Atletas!N236="Yang F",331,IF(Atletas!N236="Chen F",332,IF(Atletas!N236="Sun F",333,IF(Atletas!N236="Wu F",334,IF(Atletas!N236="Wu-Hao F",335,IF(Atletas!N236="Outro Taijiquan F",336,"")))))))))))))))))))))))))))))))))))))</f>
        <v/>
      </c>
      <c r="BP240" s="52" t="str">
        <f>IF(Atletas!O236="","",IF(Atletas!W236&lt;&gt;"",10000,0)+IF(Atletas!B236="Feminino",1000,IF(Atletas!B236="Masculino",2000,""))+IF(OR(Atletas!O236="Yang 26 A",Atletas!O236="Yang 40 A"),401,IF(OR(Atletas!O236="Chen 25 A",Atletas!O236="Chen 36 A",Atletas!O236="Chen 56 A"),402,IF(Atletas!O236="Sun 73 A",403,IF(Atletas!O236="Wu 45 A",404,IF(Atletas!O236="Wu-Hao 46 A",405,IF(OR(Atletas!O236="Taijiquan 16 A",Atletas!O236="Taijiquan 24 A",Atletas!O236="Taijiquan 32 A",Atletas!O236="Taijiquan 42 A"),406,IF(OR(Atletas!O236="Yang 26 B",Atletas!O236="Yang 40 B"),407,IF(OR(Atletas!O236="Chen 25 B",Atletas!O236="Chen 36 B",Atletas!O236="Chen 56 B"),408,IF(Atletas!O236="Sun 73 B",409,IF(Atletas!O236="Wu 45 B",410,IF(Atletas!O236="Wu-Hao 46 B",411,IF(OR(Atletas!O236="Taijiquan 16 B",Atletas!O236="Taijiquan 24 B",Atletas!O236="Taijiquan 32 B",Atletas!O236="Taijiquan 42 B"),412,IF(OR(Atletas!O236="Yang 26 C",Atletas!O236="Yang 40 C"),413,IF(OR(Atletas!O236="Chen 25 C",Atletas!O236="Chen 36 C",Atletas!O236="Chen 56 C"),414,IF(Atletas!O236="Sun 73 C",415,IF(Atletas!O236="Wu 45 C",416,IF(Atletas!O236="Wu-Hao 46 C",417,IF(OR(Atletas!O236="Taijiquan 16 C",Atletas!O236="Taijiquan 24 C",Atletas!O236="Taijiquan 32 C",Atletas!O236="Taijiquan 42 C"),418,0)))))))))))))))))))</f>
        <v/>
      </c>
      <c r="BQ240" s="52" t="str">
        <f>IF(Atletas!O236="","",IF(Atletas!W236&lt;&gt;"",10000,0)+IF(Atletas!B236="Feminino",1000,IF(Atletas!B236="Masculino",2000,""))+IF(OR(Atletas!O236="Yang 26 D",Atletas!O236="Yang 40 D"),419,IF(OR(Atletas!O236="Chen 25 D",Atletas!O236="Chen 36 D",Atletas!O236="Chen 56 D"),420,IF(Atletas!O236="Sun 73 D",421,IF(Atletas!O236="Wu 45 D",422,IF(Atletas!O236="Wu-Hao 46 D",423,IF(OR(Atletas!O236="Taijiquan 16 D",Atletas!O236="Taijiquan 24 D",Atletas!O236="Taijiquan 32 D",Atletas!O236="Taijiquan 42 D"),424,IF(OR(Atletas!O236="Yang 26 E",Atletas!O236="Yang 40 E"),425,IF(OR(Atletas!O236="Chen 25 E",Atletas!O236="Chen 36 E",Atletas!O236="Chen 56 E"),426,IF(Atletas!O236="Sun 73 E",427,IF(Atletas!O236="Wu 45 E",428,IF(Atletas!O236="Wu-Hao 46 E",429,IF(OR(Atletas!O236="Taijiquan 16 E",Atletas!O236="Taijiquan 24 E",Atletas!O236="Taijiquan 32 E",Atletas!O236="Taijiquan 42 E"),430,IF(OR(Atletas!O236="Yang 26 F",Atletas!O236="Yang 40 F"),431,IF(OR(Atletas!O236="Chen 25 F",Atletas!O236="Chen 36 F",Atletas!O236="Chen 56 F"),432,IF(Atletas!O236="Sun 73 F",433,IF(Atletas!O236="Wu 45 F",434,IF(Atletas!O236="Wu-Hao 46 F",435,IF(OR(Atletas!O236="Taijiquan 16 F",Atletas!O236="Taijiquan 24 F",Atletas!O236="Taijiquan 32 F",Atletas!O236="Taijiquan 42 F"),436,0)))))))))))))))))))</f>
        <v/>
      </c>
      <c r="BR240" s="52" t="str">
        <f>IF(Atletas!P236="","",IF(Atletas!W236&lt;&gt;"",10000,0)+IF(Atletas!B236="Feminino",1000,IF(Atletas!B236="Masculino",2000,""))+IF(Atletas!P236="Xingyiquan A",501,IF(Atletas!P236="Baguazhang A",502,IF(Atletas!P236="Outro Estilo Interno A",503,IF(Atletas!P236="Xingyiquan B",504,IF(Atletas!P236="Baguazhang B",505,IF(Atletas!P236="Outro Estilo Interno B",506,IF(Atletas!P236="Xingyiquan C",507,IF(Atletas!P236="Baguazhang C",508,IF(Atletas!P236="Outro Estilo Interno C",509,IF(Atletas!P236="Xingyiquan D",510,IF(Atletas!P236="Baguazhang D",511,IF(Atletas!P236="Outro Estilo Interno D",512,IF(Atletas!P236="Xingyiquan E",513,IF(Atletas!P236="Baguazhang E",514,IF(Atletas!P236="Outro Estilo Interno E",515,IF(Atletas!P236="Xingyiquan F",516,IF(Atletas!P236="Baguazhang F",517,IF(Atletas!P236="Outro Estilo Interno F",518, "")))))))))))))))))))</f>
        <v/>
      </c>
      <c r="BS240" s="52" t="str">
        <f>IF(Atletas!Q236="","",IF(Atletas!W236&lt;&gt;"",10000,0)+IF(Atletas!B236="Feminino",1000,IF(Atletas!B236="Masculino",2000,""))+IF(Atletas!Q236="Dao A",601,IF(Atletas!Q236="Jian A",602,IF(Atletas!Q236="Bishou A",603,IF(Atletas!Q236="Shan A",604,IF(Atletas!Q236="Outra Arma Curta A",605,IF(Atletas!Q236="Dao B",606,IF(Atletas!Q236="Jian B",607,IF(Atletas!Q236="Bishou B",608,IF(Atletas!Q236="Shan B",609,IF(Atletas!Q236="Outra Arma Curta B",610,IF(Atletas!Q236="Dao C",611,IF(Atletas!Q236="Jian C",612,IF(Atletas!Q236="Bishou C",613,IF(Atletas!Q236="Shan C",614,IF(Atletas!Q236="Outra Arma Curta C",615,IF(Atletas!Q236="Dao D",616,IF(Atletas!Q236="Jian D",617,IF(Atletas!Q236="Bishou D",618,IF(Atletas!Q236="Shan D",619,IF(Atletas!Q236="Outra Arma Curta D",620,IF(Atletas!Q236="Dao E",621,IF(Atletas!Q236="Jian E",622,IF(Atletas!Q236="Bishou E",623,IF(Atletas!Q236="Shan E",624,IF(Atletas!Q236="Outra Arma Curta E",625,IF(Atletas!Q236="Dao F",626,IF(Atletas!Q236="Jian F",627,IF(Atletas!Q236="Bishou F",628,IF(Atletas!Q236="Shan F",629,IF(Atletas!Q236="Outra Arma Curta F",630, "")))))))))))))))))))))))))))))))</f>
        <v/>
      </c>
      <c r="BT240" s="52" t="str">
        <f>IF(Atletas!R236="","",IF(Atletas!W236&lt;&gt;"",10000,0)+IF(Atletas!B236="Feminino",1000,IF(Atletas!B236="Masculino",2000,""))+IF(Atletas!R236="Gun A",701,IF(Atletas!R236="Qiang A",702,IF(Atletas!R236="Pudao / Guandao A",703,IF(Atletas!R236="Outra Arma Longa A",704,IF(Atletas!R236="Gun B",705,IF(Atletas!R236="Qiang B",706,IF(Atletas!R236="Pudao / Guandao B",707,IF(Atletas!R236="Outra Arma Longa B",708,IF(Atletas!R236="Gun C",709,IF(Atletas!R236="Qiang C",710,IF(Atletas!R236="Pudao / Guandao C",711,IF(Atletas!R236="Outra Arma Longa C",712,IF(Atletas!R236="Gun D",713,IF(Atletas!R236="Qiang D",714,IF(Atletas!R236="Pudao / Guandao D",715,IF(Atletas!R236="Outra Arma Longa D",716,IF(Atletas!R236="Gun E",717,IF(Atletas!R236="Qiang E",718,IF(Atletas!R236="Pudao / Guandao E",719,IF(Atletas!R236="Outra Arma Longa E",720,IF(Atletas!R236="Gun F",721,IF(Atletas!R236="Qiang F",722,IF(Atletas!R236="Pudao / Guandao F",723,IF(Atletas!R236="Outra Arma Longa F",724,"")))))))))))))))))))))))))</f>
        <v/>
      </c>
      <c r="BU240" s="52" t="str">
        <f>IF(Atletas!S236="","",IF(Atletas!W236&lt;&gt;"",10000,0)+IF(Atletas!B236="Feminino",1000,IF(Atletas!B236="Masculino",2000,""))+IF(Atletas!S236="Arma Dupla A",801,IF(Atletas!S236="Arma Maleável A",802,IF(Atletas!S236="Arma Dupla B",803,IF(Atletas!S236="Arma Maleável B",804,IF(Atletas!S236="Arma Dupla C",805,IF(Atletas!S236="Arma Maleável C",806,IF(Atletas!S236="Arma Dupla D",807,IF(Atletas!S236="Arma Maleável D",808,IF(Atletas!S236="Arma Dupla E",809,IF(Atletas!S236="Arma Maleável E",810,IF(Atletas!S236="Arma Dupla F",811,IF(Atletas!S236="Arma Maleável F",812, "")))))))))))))</f>
        <v/>
      </c>
      <c r="BV240" s="52" t="str">
        <f>IF(Atletas!T236="","",IF(Atletas!W236&lt;&gt;"",10000,0)+IF(Atletas!B236="Feminino",1000,IF(Atletas!B236="Masculino",2000,""))+IF(Atletas!T236="Taijijian Yang A",901,IF(Atletas!T236="Taijijian Chen A",902,IF(Atletas!T236="Taijijian Sun A",903,IF(Atletas!T236="Taijijian Wu A",904,IF(Atletas!T236="Taijijian Wu-Hao A",905,IF(Atletas!T236="Taijijian 32 A",906,IF(Atletas!T236="Taijijian 42 A",907,IF(Atletas!T236="Taijijian Yang B",908,IF(Atletas!T236="Taijijian Chen B",909,IF(Atletas!T236="Taijijian Sun B",910,IF(Atletas!T236="Taijijian Wu B",911,IF(Atletas!T236="Taijijian Wu-Hao B",912,IF(Atletas!T236="Taijijian 32 B",913,IF(Atletas!T236="Taijijian 42 B",914,IF(Atletas!T236="Taijijian Yang C",915,IF(Atletas!T236="Taijijian Chen C",916,IF(Atletas!T236="Taijijian Sun C",917,IF(Atletas!T236="Taijijian Wu C",918,IF(Atletas!T236="Taijijian Wu-Hao C",919,IF(Atletas!T236="Taijijian 32 C",920,IF(Atletas!T236="Taijijian 42 C",921,IF(Atletas!T236="Taijijian Yang D",922,IF(Atletas!T236="Taijijian Chen D",923,IF(Atletas!T236="Taijijian Sun D",924,IF(Atletas!T236="Taijijian Wu D",925,IF(Atletas!T236="Taijijian Wu-Hao D",926,IF(Atletas!T236="Taijijian 32 D",927,IF(Atletas!T236="Taijijian 42 D",928,IF(Atletas!T236="Taijijian Yang E",929,IF(Atletas!T236="Taijijian Chen E",930,IF(Atletas!T236="Taijijian Sun E",931,IF(Atletas!T236="Taijijian Wu E",932,IF(Atletas!T236="Taijijian Wu-Hao E",933,IF(Atletas!T236="Taijijian 32 E",934,IF(Atletas!T236="Taijijian 42 E",935,IF(Atletas!T236="Taijijian Yang F",936,IF(Atletas!T236="Taijijian Chen F",937,IF(Atletas!T236="Taijijian Sun F",938,IF(Atletas!T236="Taijijian Wu F",939,IF(Atletas!T236="Taijijian Wu-Hao F",940,IF(Atletas!T236="Taijijian 32 F",941,IF(Atletas!T236="Taijijian 42 F",942,"")))))))))))))))))))))))))))))))))))))))))))</f>
        <v/>
      </c>
      <c r="BW240" s="52" t="str">
        <f>IF(Atletas!U236="","",IF(Atletas!W236&lt;&gt;"",10000,0)+IF(Atletas!B236="Feminino",1000,IF(Atletas!B236="Masculino",2000,""))+IF(Atletas!T236="Taijijian 42 F",942,IF(Atletas!U236="Taijidao A",943,IF(Atletas!U236="Taijishan A",944,IF(Atletas!U236="Taijiqiang A",945,IF(Atletas!U236="Taijidao B",946,IF(Atletas!U236="Taijishan B",947,IF(Atletas!U236="Taijiqiang B",948,IF(Atletas!U236="Taijidao C",949,IF(Atletas!U236="Taijishan C",950,IF(Atletas!U236="Taijiqiang C",951,IF(Atletas!U236="Taijidao D",952,IF(Atletas!U236="Taijishan D",953,IF(Atletas!U236="Taijiqiang D",954,IF(Atletas!U236="Taijidao E",955,IF(Atletas!U236="Taijishan E",956,IF(Atletas!U236="Taijiqiang E",957,IF(Atletas!U236="Taijidao F",958,IF(Atletas!U236="Taijishan F",959,IF(Atletas!U236="Taijiqiang F",960))))))))))))))))))))</f>
        <v/>
      </c>
      <c r="BX240" s="72" t="str">
        <f>IF(BY240&lt;&gt;"","Bishou D","")</f>
        <v/>
      </c>
      <c r="BY240" s="72" t="str">
        <f>IF(COUNTIF(BK:BW,1618)&gt;0,COUNTIF(BK:BW,1618),"")</f>
        <v/>
      </c>
      <c r="BZ240" s="72" t="str">
        <f>IF(CA240&lt;&gt;"","Bishou D","")</f>
        <v/>
      </c>
      <c r="CA240" s="72" t="str">
        <f>IF(COUNTIF(BK:BW,2618)&gt;0,COUNTIF(BK:BW,2618),"")</f>
        <v/>
      </c>
      <c r="CB240" s="72" t="str">
        <f>IF(CC240&lt;&gt;"","Cheng Novo F","")</f>
        <v/>
      </c>
      <c r="CC240" s="64" t="str">
        <f>IF(COUNTIF(BK:BW,11472)&gt;0,COUNTIF(BK:BW,11472),"")</f>
        <v/>
      </c>
      <c r="CD240" s="64" t="str">
        <f>IF(CE240&lt;&gt;"","Cheng Novo F","")</f>
        <v/>
      </c>
      <c r="CE240" s="64" t="str">
        <f>IF(COUNTIF(BK:BW,12472)&gt;0,COUNTIF(BK:BW,12472),"")</f>
        <v/>
      </c>
      <c r="CF240" s="52" t="str">
        <f xml:space="preserve"> IF(Atletas!V236="","",IF(Atletas!V236="Duilian de Mãos AB - Equipe 1",1,IF(Atletas!V236="Duilian de Mãos AB - Equipe 2",2,IF(Atletas!V236="Duilian de Armas AB - Equipe 1",3,IF(Atletas!V236="Duilian de Armas AB - Equipe 2",4,IF(Atletas!V236="Duilian de Tuishou - Equipe 1",5,IF(Atletas!V236="Duilian de Tuishou - Equipe 2",6,IF(Atletas!V236="Grupo Externo AB - Equipe 1",7,IF(Atletas!V236="Grupo Externo AB - Equipe 2",8,IF(Atletas!V236="Grupo Interno AB - Equipe 1",9,IF(Atletas!V236="Grupo Interno AB - Equipe 2",10,IF(Atletas!V236="Duilian de Mãos CD - Equipe 1",11,IF(Atletas!V236="Duilian de Mãos CD - Equipe 2",12,IF(Atletas!V236="Duilian de Armas CD - Equipe 1",13,IF(Atletas!V236="Duilian de Armas CD - Equipe 2",14,IF(Atletas!V236="Duilian de Tuishou - Equipe 1",15,IF(Atletas!V236="Duilian de Tuishou - Equipe 2",16,IF(Atletas!V236="Grupo Externo CDEF - Equipe 1",17,IF(Atletas!V236="Grupo Externo CDEF - Equipe 2",18,IF(Atletas!V236="Grupo Interno CDEF - Equipe 1",19,IF(Atletas!V236="Grupo Interno CDEF - Equipe 2",20,IF(Atletas!V236="Duilian de Mãos EF - Equipe 1",21,IF(Atletas!V236="Duilian de Mãos EF - Equipe 2",22,IF(Atletas!V236="Duilian de Armas EF - Equipe 1",23,IF(Atletas!V236="Duilian de Armas EF - Equipe 2",24,IF(Atletas!V236="Duilian de Tuishou - Equipe 1",25,IF(Atletas!V236="Duilian de Tuishou - Equipe 2",26,"")))))))))))))))))))))))))))</f>
        <v/>
      </c>
    </row>
    <row r="241" spans="2:84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 t="str">
        <f t="array" ref="V241">IFERROR(INDEX(BX$7:BX$336,SMALL(IF(BX$7:BX$336&lt;&gt;"",ROW(BX$7:BX$336)-ROW(BX$7)+1),ROWS(BX$7:BX204))),"")</f>
        <v/>
      </c>
      <c r="W241" s="4" t="str">
        <f t="array" ref="W241">IFERROR(INDEX(BY$7:BY$336,SMALL(IF(BY$7:BY$336&lt;&gt;"",ROW(BY$7:BY$336)-ROW(BY$7)+1),ROWS(BY$7:BY204))),"")</f>
        <v/>
      </c>
      <c r="X241" s="4" t="str">
        <f t="array" ref="X241">IFERROR(INDEX(BZ$7:BZ$336,SMALL(IF(BZ$7:BZ$336&lt;&gt;"",ROW(BZ$7:BZ$336)-ROW(BZ$7)+1),ROWS(BZ$7:BZ204))),"")</f>
        <v/>
      </c>
      <c r="Y241" s="4" t="str">
        <f t="array" ref="Y241">IFERROR(INDEX(CA$7:CA$336,SMALL(IF(CA$7:CA$336&lt;&gt;"",ROW(CA$7:CA$336)-ROW(CA$7)+1),ROWS(CA$7:CA204))),"")</f>
        <v/>
      </c>
      <c r="Z241" s="4" t="str">
        <f t="array" ref="Z241">IFERROR(INDEX(CB$7:CB$378,SMALL(IF(CB$7:CB$378&lt;&gt;"",ROW(CB$7:CB$378)-ROW(CB$7)+1),ROWS(CB$7:CB240))),"")</f>
        <v/>
      </c>
      <c r="AA241" s="4" t="str">
        <f t="array" ref="AA241">IFERROR(INDEX(CC$7:CC$378,SMALL(IF(CC$7:CC$378&lt;&gt;"",ROW(CC$7:CC$378)-ROW(CC$7)+1),ROWS(CC$7:CC240))),"")</f>
        <v/>
      </c>
      <c r="AB241" s="4" t="str">
        <f t="array" ref="AB241">IFERROR(INDEX(CD$7:CD$378,SMALL(IF(CD$7:CD$378&lt;&gt;"",ROW(CD$7:CD$378)-ROW(CD$7)+1),ROWS(CD$7:CD240))),"")</f>
        <v/>
      </c>
      <c r="AC241" s="4" t="str">
        <f t="array" ref="AC241">IFERROR(INDEX(CE$7:CE$378,SMALL(IF(CE$7:CE$378&lt;&gt;"",ROW(CE$7:CE$378)-ROW(CE$7)+1),ROWS(CE$7:CE240))),"")</f>
        <v/>
      </c>
      <c r="AD241" s="4"/>
      <c r="AE241" s="4"/>
      <c r="AF241" s="4"/>
      <c r="AG241" s="4"/>
      <c r="AH241" s="4"/>
      <c r="AI241" s="4"/>
      <c r="AJ241" s="46" t="str">
        <f>IF(Atletas!D237="","",IF(Atletas!B237="Feminino",100,IF(Atletas!B237="Masculino",200,""))+(IF(Atletas!D237="Infantil 39kg",1,IF(Atletas!D237="Infantil 42kg",2,IF(Atletas!D237="Infantil 45kg",3,IF(Atletas!D237="Infantil 48kg",4,IF(Atletas!D237="Infantil 52kg",5,IF(Atletas!D237="Infantil 56kg",6,IF(Atletas!D237="Infantil 60kg",7,IF(Atletas!D237="Juvenil 48kg",8,IF(Atletas!D237="Juvenil 52kg",9,IF(Atletas!D237="Juvenil 56kg",10,IF(Atletas!D237="Juvenil 60kg",11,IF(Atletas!D237="Juvenil 65kg",12,IF(Atletas!D237="Juvenil 70kg",13,IF(Atletas!D237="Juvenil 75kg",14,IF(Atletas!D237="Juvenil 80kg",15,IF(Atletas!D237="Adulto 48kg",16,IF(Atletas!D237="Adulto 52kg",17,IF(Atletas!D237="Adulto 56kg",18,IF(Atletas!D237="Adulto 60kg",19,IF(Atletas!D237="Adulto 65kg",20,IF(Atletas!D237="Adulto 70kg",21,IF(Atletas!D237="Adulto 75kg",22,IF(Atletas!D237="Adulto 80kg",23,IF(Atletas!D237="Adulto 85kg",24,IF(Atletas!D237="Adulto 90kg",25,IF(Atletas!D237="Adulto +90kg",26,""))))))))))))))))))))))))))))</f>
        <v/>
      </c>
      <c r="AO241" s="10" t="str">
        <f>IF(Atletas!E237="","",IF(Atletas!B237="Feminino",100,IF(Atletas!B237="Masculino",200,""))+(IF(Atletas!E237="Juvenil 44kg",1,IF(Atletas!E237="Juvenil 48kg",2,IF(Atletas!E237="Juvenil 52kg",3,IF(Atletas!E237="Juvenil 56kg",4,IF(Atletas!E237="Juvenil 60kg",5,IF(Atletas!E237="Juvenil 65kg",6,IF(Atletas!E237="Juvenil 70kg",7,IF(Atletas!E237="Juvenil 75kg",8,IF(Atletas!E237="Juvenil 82kg",9,IF(Atletas!E237="Juvenil 90kg",10,IF(Atletas!E237="Juvenil 100kg",11,IF(Atletas!E237="Adulto 48kg",12,IF(Atletas!E237="Adulto 52kg",13,IF(Atletas!E237="Adulto 56kg",14,IF(Atletas!E237="Adulto 60kg",15,IF(Atletas!E237="Adulto 65kg",16,IF(Atletas!E237="Adulto 70kg",17,IF(Atletas!E237="Adulto 75kg",18,IF(Atletas!E237="Adulto 82kg",19,IF(Atletas!E237="Adulto 90kg",20,IF(Atletas!E237="Adulto 100kg",21,IF(Atletas!E237="Adulto +100kg",22,""))))))))))))))))))))))))</f>
        <v/>
      </c>
      <c r="AT241" s="10" t="str">
        <f>IF(Atletas!F237="","",IF(Atletas!B237="Feminino",100,IF(Atletas!B237="Masculino",200,""))+(IF(Atletas!F237="Adulto 48kg",1,IF(Atletas!F237="Adulto 56kg",2,IF(Atletas!F237="Adulto 65kg",3,IF(Atletas!F237="Adulto 75kg",4,IF(Atletas!F237="Adulto +75kg",5,IF(Atletas!F237="Adulto 52kg",6,IF(Atletas!F237="Adulto 60kg",7,IF(Atletas!F237="Adulto 70kg",8,IF(Atletas!F237="Adulto 80kg",9,IF(Atletas!F237="Adulto 90kg",10,IF(Atletas!F237="Adulto +90kg",11,"")))))))))))))</f>
        <v/>
      </c>
      <c r="AY241" s="46" t="str">
        <f>IF(Atletas!G237="","",IF(Atletas!B237="Feminino",100,IF(Atletas!B237="Masculino",200,""))+(IF(Atletas!G237="Changquan Mirim",1,IF(Atletas!G237="Nanquan Mirim",2,IF(Atletas!G237="Taijiquan Mirim",3,IF(Atletas!G237="Changquan Grupo C",4,IF(Atletas!G237="Nanquan Grupo C",5,IF(Atletas!G237="Taijiquan Grupo C",6,IF(Atletas!G237="Changquan Grupo B",7,IF(Atletas!G237="Nanquan Grupo B",8,IF(Atletas!G237="Taijiquan Grupo B",9,IF(Atletas!G237="Changquan Grupo A",10,IF(Atletas!G237="Nanquan Grupo A",11,IF(Atletas!G237="Taijiquan Grupo A",12,IF(Atletas!G237="Changquan Opcional",13,IF(Atletas!G237="Nanquan Opcional",14,IF(Atletas!G237="Taijiquan Opcional",15,IF(Atletas!G237="Changquan Adulto",16,IF(Atletas!G237="Nanquan Adulto",17,IF(Atletas!G237="Taijiquan Adulto",18,""))))))))))))))))))))</f>
        <v/>
      </c>
      <c r="AZ241" s="46" t="str">
        <f>IF(Atletas!H237="","",IF(Atletas!B237="Feminino",100,IF(Atletas!B237="Masculino",200,""))+(IF(Atletas!H237="Daoshu Mirim",19,IF(Atletas!H237="Jianshu Mirim",20,IF(Atletas!H237="Nandao Mirim",21,IF(Atletas!H237="Taijijian Mirim",22,IF(Atletas!H237="Daoshu Grupo C",23,IF(Atletas!H237="Jianshu Grupo C",24,IF(Atletas!H237="Nandao Grupo C",25,IF(Atletas!H237="Taijijian Grupo C",26,IF(Atletas!H237="Daoshu Grupo B",27,IF(Atletas!H237="Jianshu Grupo B",28,IF(Atletas!H237="Nandao Grupo B",29,IF(Atletas!H237="Taijijian Grupo B",30,IF(Atletas!H237="Daoshu Grupo A",31,IF(Atletas!H237="Jianshu Grupo A",32,IF(Atletas!H237="Nandao Grupo A",33,IF(Atletas!H237="Taijijian Grupo A",34,IF(Atletas!H237="Daoshu Opcional",35,IF(Atletas!H237="Jianshu Opcional",36,IF(Atletas!H237="Nandao Opcional",37,IF(Atletas!H237="Taijijian Opcional",38,IF(Atletas!H237="Daoshu Adulto",39,IF(Atletas!H237="Jianshu Adulto",40,IF(Atletas!H237="Nandao Adulto",41,IF(Atletas!H237="Taijijian Adulto",42,""))))))))))))))))))))))))))</f>
        <v/>
      </c>
      <c r="BA241" s="46" t="str">
        <f>IF(Atletas!I237="","",IF(Atletas!B237="Feminino",100,IF(Atletas!B237="Masculino",200,""))+(IF(Atletas!I237="Gunshu Mirim",43,IF(Atletas!I237="Qiangshu Mirim",44,IF(Atletas!I237="Nangun Mirim",45,IF(Atletas!I237="Gunshu Grupo C",46,IF(Atletas!I237="Qiangshu Grupo C",47,IF(Atletas!I237="Nangun Grupo C",48,IF(Atletas!I237="Gunshu Grupo B",49,IF(Atletas!I237="Qiangshu Grupo B",50,IF(Atletas!I237="Nangun Grupo B",51,IF(Atletas!I237="Gunshu Grupo A",52,IF(Atletas!I237="Qiangshu Grupo A",53,IF(Atletas!I237="Nangun Grupo A",54,IF(Atletas!I237="Gunshu Opcional",55,IF(Atletas!I237="Qiangshu Opcional",56,IF(Atletas!I237="Nangun Opcional",57,IF(Atletas!I237="Gunshu Adulto",58,IF(Atletas!I237="Qiangshu Adulto",59,IF(Atletas!I237="Nangun Adulto",60,""))))))))))))))))))))</f>
        <v/>
      </c>
      <c r="BF241" s="52" t="str">
        <f>IF(Atletas!J237="","",IF(Atletas!B237="Feminino",100,IF(Atletas!B237="Masculino",200,""))+(IF(Atletas!J237="Equipe 1 Grupo B",1,IF(Atletas!J237="Equipe 2 Grupo B",2,IF(Atletas!J237="Equipe 1 Grupo A",3,IF(Atletas!J237="Equipe 2 Grupo A",4,IF(Atletas!J237="Equipe 1 Adulto",5,IF(Atletas!J237="Equipe 2 Adulto",6,""))))))))</f>
        <v/>
      </c>
      <c r="BK241" s="52" t="str">
        <f>IF(Atletas!K237="","",IF(Atletas!W237&lt;&gt;"",10000,0)+(IF(Atletas!B237="Feminino",1000,IF(Atletas!B237="Masculino",2000,""))+IF(Atletas!K237="Choylayfut A",1,IF(Atletas!K237="Hunggar A",2,IF(Atletas!K237="Wuzuquan A",3,IF(Atletas!K237="Wingchun A",4,IF(Atletas!K237="Outra Mão de Sul A",5,IF(Atletas!K237="Choylayfut B",6,IF(Atletas!K237="Hunggar B",7,IF(Atletas!K237="Wuzuquan B",8,IF(Atletas!K237="Wingchun B",9,IF(Atletas!K237="Outra Mão de Sul B",10,IF(Atletas!K237="Choylayfut C",11,IF(Atletas!K237="Hunggar C",12,IF(Atletas!K237="Wuzuquan C",13,IF(Atletas!K237="Wingchun C",14,IF(Atletas!K237="Outra Mão de Sul C",15,IF(Atletas!K237="Choylayfut D",16,IF(Atletas!K237="Hunggar D",17,IF(Atletas!K237="Wuzuquan D",18,IF(Atletas!K237="Wingchun D",19,IF(Atletas!K237="Outra Mão de Sul D",20,IF(Atletas!K237="Choylayfut E",21,IF(Atletas!K237="Hunggar E",22,IF(Atletas!K237="Wuzuquan E",23,IF(Atletas!K237="Wingchun E",24,IF(Atletas!K237="Outra Mão de Sul E",25,IF(Atletas!K237="Choylayfut F",26,IF(Atletas!K237="Hunggar F",27,IF(Atletas!K237="Wuzuquan F",28,IF(Atletas!K237="Wingchun F",29,IF(Atletas!K237="Outra Mão de Sul F",30,""))))))))))))))))))))))))))))))))</f>
        <v/>
      </c>
      <c r="BL241" s="52" t="str">
        <f>IF(Atletas!L237="","",IF(Atletas!W237&lt;&gt;"",10000,0)+(IF(Atletas!B237="Feminino",1000,IF(Atletas!B237="Masculino",2000,""))+(IF(Atletas!L237="Chaquan A",101,IF(Atletas!L237="Emeiquan A",102,IF(Atletas!L237="Fanziquan A",103,IF(Atletas!L237="Huaquan A",104,IF(Atletas!L237="Hongquan A",105,IF(Atletas!L237="Paochui A",106,IF(Atletas!L237="Piguaquan A",107,IF(Atletas!L237="Shaolinquan A",108,IF(Atletas!L237="Tanglangquan A",109,IF(Atletas!L237="Yinzhaophai A",110,IF(Atletas!L237="Tongbeiquan A",111,IF(Atletas!L237="Wudangquan A",112,IF(Atletas!L237="Outros Estilos A",113,IF(Atletas!L237="Chaquan B",114,IF(Atletas!L237="Emeiquan B",115,IF(Atletas!L237="Fanziquan B",116,IF(Atletas!L237="Huaquan B",117,IF(Atletas!L237="Hongquan B",118,IF(Atletas!L237="Paochui B",119,IF(Atletas!L237="Piguaquan B",120,IF(Atletas!L237="Shaolinquan B",121,IF(Atletas!L237="Tanglangquan B",122,IF(Atletas!L237="Yinzhaophai B",123,IF(Atletas!L237="Tongbeiquan B",124,IF(Atletas!L237="Wudangquan B",125,IF(Atletas!L237="Outros Estilos B",126,IF(Atletas!L237="Chaquan C",127,IF(Atletas!L237="Emeiquan C",128,IF(Atletas!L237="Fanziquan C",129,IF(Atletas!L237="Huaquan C",130,IF(Atletas!L237="Hongquan C",131,IF(Atletas!L237="Paochui C",132,IF(Atletas!L237="Piguaquan C",133,IF(Atletas!L237="Shaolinquan C",134,IF(Atletas!L237="Tanglangquan C",135,IF(Atletas!L237="Yinzhaophai C",136,IF(Atletas!L237="Tongbeiquan C",137,IF(Atletas!L237="Wudangquan C",138,IF(Atletas!L237="Outros Estilos C",139,0))))))))))))))))))))))))))))))))))))))))))</f>
        <v/>
      </c>
      <c r="BM241" s="52" t="str">
        <f>IF(Atletas!L237="","",IF(Atletas!W237&lt;&gt;"",10000,0)+(IF(Atletas!B237="Feminino",1000,IF(Atletas!B237="Masculino",2000,""))+(IF(Atletas!L237="Chaquan D",140,IF(Atletas!L237="Emeiquan D",141,IF(Atletas!L237="Fanziquan D",142,IF(Atletas!L237="Huaquan D",143,IF(Atletas!L237="Hongquan D",144,IF(Atletas!L237="Paochui D",145,IF(Atletas!L237="Piguaquan D",146,IF(Atletas!L237="Shaolinquan D",147,IF(Atletas!L237="Tanglangquan D",148,IF(Atletas!L237="Yinzhaophai D",149,IF(Atletas!L237="Tongbeiquan D",150,IF(Atletas!L237="Wudangquan D",151,IF(Atletas!L237="Outros Estilos D",152,IF(Atletas!L237="Chaquan E",153,IF(Atletas!L237="Emeiquan E",154,IF(Atletas!L237="Fanziquan E",155,IF(Atletas!L237="Huaquan E",156,IF(Atletas!L237="Hongquan E",157,IF(Atletas!L237="Paochui E",158,IF(Atletas!L237="Piguaquan E",159,IF(Atletas!L237="Shaolinquan E",160,IF(Atletas!L237="Tanglangquan E",161,IF(Atletas!L237="Yinzhaophai E",162,IF(Atletas!L237="Tongbeiquan E",163,IF(Atletas!L237="Wudangquan E",164,IF(Atletas!L237="Outros Estilos E",165,IF(Atletas!L237="Chaquan F",166,IF(Atletas!L237="Emeiquan F",167,IF(Atletas!L237="Fanziquan F",168,IF(Atletas!L237="Huaquan F",169,IF(Atletas!L237="Hongquan F",170,IF(Atletas!L237="Paochui F",171,IF(Atletas!L237="Piguaquan F",172,IF(Atletas!L237="Shaolinquan F",173,IF(Atletas!L237="Tanglangquan F",174,IF(Atletas!L237="Yinzhaophai F",175,IF(Atletas!L237="Tongbeiquan F",176,IF(Atletas!L237="Wudangquan F",177,IF(Atletas!L237="Outros Estilos F",178,0))))))))))))))))))))))))))))))))))))))))))</f>
        <v/>
      </c>
      <c r="BN241" s="52" t="str">
        <f>IF(Atletas!M237="","",IF(Atletas!W237&lt;&gt;"",10000,0)+(IF(Atletas!B237="Feminino",1000,IF(Atletas!B237="Masculino",2000,""))+(IF(Atletas!M237="Ditangquan A",201,IF(Atletas!M237="Houquan A",202,IF(Atletas!M237="Zuiquan A",203,IF(Atletas!M237="Ditangquan B",204,IF(Atletas!M237="Houquan B",205,IF(Atletas!M237="Zuiquan B",206,IF(Atletas!M237="Ditangquan C",207,IF(Atletas!M237="Houquan C",208,IF(Atletas!M237="Zuiquan C",209,IF(Atletas!M237="Ditangquan D",210,IF(Atletas!M237="Houquan D",211,IF(Atletas!M237="Zuiquan D",212,IF(Atletas!M237="Ditangquan E",213,IF(Atletas!M237="Houquan E",214,IF(Atletas!M237="Zuiquan E",215,IF(Atletas!M237="Ditangquan F",216,IF(Atletas!M237="Houquan F",217,IF(Atletas!M237="Zuiquan F",218,"")))))))))))))))))))))</f>
        <v/>
      </c>
      <c r="BO241" s="52" t="str">
        <f>IF(Atletas!N237="","",IF(Atletas!W237&lt;&gt;"",10000,0)+IF(Atletas!B237="Feminino",1000,IF(Atletas!B237="Masculino",2000,""))+IF(Atletas!N237="Yang A",301,IF(Atletas!N237="Chen A",30,IF(Atletas!N237="Sun A",303,IF(Atletas!N237="Wu A",304,IF(Atletas!N237="Wu-Hao A",305,IF(Atletas!N237="Outro Taijiquan A",306,IF(Atletas!N237="Yang B",307,IF(Atletas!N237="Chen B",308,IF(Atletas!N237="Sun B",309,IF(Atletas!N237="Wu B",310,IF(Atletas!N237="Wu-Hao B",311,IF(Atletas!N237="Outro Taijiquan B",312,IF(Atletas!N237="Yang C",313,IF(Atletas!N237="Chen C",314,IF(Atletas!N237="Sun C",315,IF(Atletas!N237="Wu C",316,IF(Atletas!N237="Wu-Hao C",317,IF(Atletas!N237="Outro Taijiquan C",318,IF(Atletas!N237="Yang D",319,IF(Atletas!N237="Chen D",320,IF(Atletas!N237="Sun D",321,IF(Atletas!N237="Wu D",322,IF(Atletas!N237="Wu-Hao D",323,IF(Atletas!N237="Outro Taijiquan D",324,IF(Atletas!N237="Yang E",325,IF(Atletas!N237="Chen E",326,IF(Atletas!N237="Sun E",327,IF(Atletas!N237="Wu E",328,IF(Atletas!N237="Wu-Hao E",329,IF(Atletas!N237="Outro Taijiquan E",330,IF(Atletas!N237="Yang F",331,IF(Atletas!N237="Chen F",332,IF(Atletas!N237="Sun F",333,IF(Atletas!N237="Wu F",334,IF(Atletas!N237="Wu-Hao F",335,IF(Atletas!N237="Outro Taijiquan F",336,"")))))))))))))))))))))))))))))))))))))</f>
        <v/>
      </c>
      <c r="BP241" s="52" t="str">
        <f>IF(Atletas!O237="","",IF(Atletas!W237&lt;&gt;"",10000,0)+IF(Atletas!B237="Feminino",1000,IF(Atletas!B237="Masculino",2000,""))+IF(OR(Atletas!O237="Yang 26 A",Atletas!O237="Yang 40 A"),401,IF(OR(Atletas!O237="Chen 25 A",Atletas!O237="Chen 36 A",Atletas!O237="Chen 56 A"),402,IF(Atletas!O237="Sun 73 A",403,IF(Atletas!O237="Wu 45 A",404,IF(Atletas!O237="Wu-Hao 46 A",405,IF(OR(Atletas!O237="Taijiquan 16 A",Atletas!O237="Taijiquan 24 A",Atletas!O237="Taijiquan 32 A",Atletas!O237="Taijiquan 42 A"),406,IF(OR(Atletas!O237="Yang 26 B",Atletas!O237="Yang 40 B"),407,IF(OR(Atletas!O237="Chen 25 B",Atletas!O237="Chen 36 B",Atletas!O237="Chen 56 B"),408,IF(Atletas!O237="Sun 73 B",409,IF(Atletas!O237="Wu 45 B",410,IF(Atletas!O237="Wu-Hao 46 B",411,IF(OR(Atletas!O237="Taijiquan 16 B",Atletas!O237="Taijiquan 24 B",Atletas!O237="Taijiquan 32 B",Atletas!O237="Taijiquan 42 B"),412,IF(OR(Atletas!O237="Yang 26 C",Atletas!O237="Yang 40 C"),413,IF(OR(Atletas!O237="Chen 25 C",Atletas!O237="Chen 36 C",Atletas!O237="Chen 56 C"),414,IF(Atletas!O237="Sun 73 C",415,IF(Atletas!O237="Wu 45 C",416,IF(Atletas!O237="Wu-Hao 46 C",417,IF(OR(Atletas!O237="Taijiquan 16 C",Atletas!O237="Taijiquan 24 C",Atletas!O237="Taijiquan 32 C",Atletas!O237="Taijiquan 42 C"),418,0)))))))))))))))))))</f>
        <v/>
      </c>
      <c r="BQ241" s="52" t="str">
        <f>IF(Atletas!O237="","",IF(Atletas!W237&lt;&gt;"",10000,0)+IF(Atletas!B237="Feminino",1000,IF(Atletas!B237="Masculino",2000,""))+IF(OR(Atletas!O237="Yang 26 D",Atletas!O237="Yang 40 D"),419,IF(OR(Atletas!O237="Chen 25 D",Atletas!O237="Chen 36 D",Atletas!O237="Chen 56 D"),420,IF(Atletas!O237="Sun 73 D",421,IF(Atletas!O237="Wu 45 D",422,IF(Atletas!O237="Wu-Hao 46 D",423,IF(OR(Atletas!O237="Taijiquan 16 D",Atletas!O237="Taijiquan 24 D",Atletas!O237="Taijiquan 32 D",Atletas!O237="Taijiquan 42 D"),424,IF(OR(Atletas!O237="Yang 26 E",Atletas!O237="Yang 40 E"),425,IF(OR(Atletas!O237="Chen 25 E",Atletas!O237="Chen 36 E",Atletas!O237="Chen 56 E"),426,IF(Atletas!O237="Sun 73 E",427,IF(Atletas!O237="Wu 45 E",428,IF(Atletas!O237="Wu-Hao 46 E",429,IF(OR(Atletas!O237="Taijiquan 16 E",Atletas!O237="Taijiquan 24 E",Atletas!O237="Taijiquan 32 E",Atletas!O237="Taijiquan 42 E"),430,IF(OR(Atletas!O237="Yang 26 F",Atletas!O237="Yang 40 F"),431,IF(OR(Atletas!O237="Chen 25 F",Atletas!O237="Chen 36 F",Atletas!O237="Chen 56 F"),432,IF(Atletas!O237="Sun 73 F",433,IF(Atletas!O237="Wu 45 F",434,IF(Atletas!O237="Wu-Hao 46 F",435,IF(OR(Atletas!O237="Taijiquan 16 F",Atletas!O237="Taijiquan 24 F",Atletas!O237="Taijiquan 32 F",Atletas!O237="Taijiquan 42 F"),436,0)))))))))))))))))))</f>
        <v/>
      </c>
      <c r="BR241" s="52" t="str">
        <f>IF(Atletas!P237="","",IF(Atletas!W237&lt;&gt;"",10000,0)+IF(Atletas!B237="Feminino",1000,IF(Atletas!B237="Masculino",2000,""))+IF(Atletas!P237="Xingyiquan A",501,IF(Atletas!P237="Baguazhang A",502,IF(Atletas!P237="Outro Estilo Interno A",503,IF(Atletas!P237="Xingyiquan B",504,IF(Atletas!P237="Baguazhang B",505,IF(Atletas!P237="Outro Estilo Interno B",506,IF(Atletas!P237="Xingyiquan C",507,IF(Atletas!P237="Baguazhang C",508,IF(Atletas!P237="Outro Estilo Interno C",509,IF(Atletas!P237="Xingyiquan D",510,IF(Atletas!P237="Baguazhang D",511,IF(Atletas!P237="Outro Estilo Interno D",512,IF(Atletas!P237="Xingyiquan E",513,IF(Atletas!P237="Baguazhang E",514,IF(Atletas!P237="Outro Estilo Interno E",515,IF(Atletas!P237="Xingyiquan F",516,IF(Atletas!P237="Baguazhang F",517,IF(Atletas!P237="Outro Estilo Interno F",518, "")))))))))))))))))))</f>
        <v/>
      </c>
      <c r="BS241" s="52" t="str">
        <f>IF(Atletas!Q237="","",IF(Atletas!W237&lt;&gt;"",10000,0)+IF(Atletas!B237="Feminino",1000,IF(Atletas!B237="Masculino",2000,""))+IF(Atletas!Q237="Dao A",601,IF(Atletas!Q237="Jian A",602,IF(Atletas!Q237="Bishou A",603,IF(Atletas!Q237="Shan A",604,IF(Atletas!Q237="Outra Arma Curta A",605,IF(Atletas!Q237="Dao B",606,IF(Atletas!Q237="Jian B",607,IF(Atletas!Q237="Bishou B",608,IF(Atletas!Q237="Shan B",609,IF(Atletas!Q237="Outra Arma Curta B",610,IF(Atletas!Q237="Dao C",611,IF(Atletas!Q237="Jian C",612,IF(Atletas!Q237="Bishou C",613,IF(Atletas!Q237="Shan C",614,IF(Atletas!Q237="Outra Arma Curta C",615,IF(Atletas!Q237="Dao D",616,IF(Atletas!Q237="Jian D",617,IF(Atletas!Q237="Bishou D",618,IF(Atletas!Q237="Shan D",619,IF(Atletas!Q237="Outra Arma Curta D",620,IF(Atletas!Q237="Dao E",621,IF(Atletas!Q237="Jian E",622,IF(Atletas!Q237="Bishou E",623,IF(Atletas!Q237="Shan E",624,IF(Atletas!Q237="Outra Arma Curta E",625,IF(Atletas!Q237="Dao F",626,IF(Atletas!Q237="Jian F",627,IF(Atletas!Q237="Bishou F",628,IF(Atletas!Q237="Shan F",629,IF(Atletas!Q237="Outra Arma Curta F",630, "")))))))))))))))))))))))))))))))</f>
        <v/>
      </c>
      <c r="BT241" s="52" t="str">
        <f>IF(Atletas!R237="","",IF(Atletas!W237&lt;&gt;"",10000,0)+IF(Atletas!B237="Feminino",1000,IF(Atletas!B237="Masculino",2000,""))+IF(Atletas!R237="Gun A",701,IF(Atletas!R237="Qiang A",702,IF(Atletas!R237="Pudao / Guandao A",703,IF(Atletas!R237="Outra Arma Longa A",704,IF(Atletas!R237="Gun B",705,IF(Atletas!R237="Qiang B",706,IF(Atletas!R237="Pudao / Guandao B",707,IF(Atletas!R237="Outra Arma Longa B",708,IF(Atletas!R237="Gun C",709,IF(Atletas!R237="Qiang C",710,IF(Atletas!R237="Pudao / Guandao C",711,IF(Atletas!R237="Outra Arma Longa C",712,IF(Atletas!R237="Gun D",713,IF(Atletas!R237="Qiang D",714,IF(Atletas!R237="Pudao / Guandao D",715,IF(Atletas!R237="Outra Arma Longa D",716,IF(Atletas!R237="Gun E",717,IF(Atletas!R237="Qiang E",718,IF(Atletas!R237="Pudao / Guandao E",719,IF(Atletas!R237="Outra Arma Longa E",720,IF(Atletas!R237="Gun F",721,IF(Atletas!R237="Qiang F",722,IF(Atletas!R237="Pudao / Guandao F",723,IF(Atletas!R237="Outra Arma Longa F",724,"")))))))))))))))))))))))))</f>
        <v/>
      </c>
      <c r="BU241" s="52" t="str">
        <f>IF(Atletas!S237="","",IF(Atletas!W237&lt;&gt;"",10000,0)+IF(Atletas!B237="Feminino",1000,IF(Atletas!B237="Masculino",2000,""))+IF(Atletas!S237="Arma Dupla A",801,IF(Atletas!S237="Arma Maleável A",802,IF(Atletas!S237="Arma Dupla B",803,IF(Atletas!S237="Arma Maleável B",804,IF(Atletas!S237="Arma Dupla C",805,IF(Atletas!S237="Arma Maleável C",806,IF(Atletas!S237="Arma Dupla D",807,IF(Atletas!S237="Arma Maleável D",808,IF(Atletas!S237="Arma Dupla E",809,IF(Atletas!S237="Arma Maleável E",810,IF(Atletas!S237="Arma Dupla F",811,IF(Atletas!S237="Arma Maleável F",812, "")))))))))))))</f>
        <v/>
      </c>
      <c r="BV241" s="52" t="str">
        <f>IF(Atletas!T237="","",IF(Atletas!W237&lt;&gt;"",10000,0)+IF(Atletas!B237="Feminino",1000,IF(Atletas!B237="Masculino",2000,""))+IF(Atletas!T237="Taijijian Yang A",901,IF(Atletas!T237="Taijijian Chen A",902,IF(Atletas!T237="Taijijian Sun A",903,IF(Atletas!T237="Taijijian Wu A",904,IF(Atletas!T237="Taijijian Wu-Hao A",905,IF(Atletas!T237="Taijijian 32 A",906,IF(Atletas!T237="Taijijian 42 A",907,IF(Atletas!T237="Taijijian Yang B",908,IF(Atletas!T237="Taijijian Chen B",909,IF(Atletas!T237="Taijijian Sun B",910,IF(Atletas!T237="Taijijian Wu B",911,IF(Atletas!T237="Taijijian Wu-Hao B",912,IF(Atletas!T237="Taijijian 32 B",913,IF(Atletas!T237="Taijijian 42 B",914,IF(Atletas!T237="Taijijian Yang C",915,IF(Atletas!T237="Taijijian Chen C",916,IF(Atletas!T237="Taijijian Sun C",917,IF(Atletas!T237="Taijijian Wu C",918,IF(Atletas!T237="Taijijian Wu-Hao C",919,IF(Atletas!T237="Taijijian 32 C",920,IF(Atletas!T237="Taijijian 42 C",921,IF(Atletas!T237="Taijijian Yang D",922,IF(Atletas!T237="Taijijian Chen D",923,IF(Atletas!T237="Taijijian Sun D",924,IF(Atletas!T237="Taijijian Wu D",925,IF(Atletas!T237="Taijijian Wu-Hao D",926,IF(Atletas!T237="Taijijian 32 D",927,IF(Atletas!T237="Taijijian 42 D",928,IF(Atletas!T237="Taijijian Yang E",929,IF(Atletas!T237="Taijijian Chen E",930,IF(Atletas!T237="Taijijian Sun E",931,IF(Atletas!T237="Taijijian Wu E",932,IF(Atletas!T237="Taijijian Wu-Hao E",933,IF(Atletas!T237="Taijijian 32 E",934,IF(Atletas!T237="Taijijian 42 E",935,IF(Atletas!T237="Taijijian Yang F",936,IF(Atletas!T237="Taijijian Chen F",937,IF(Atletas!T237="Taijijian Sun F",938,IF(Atletas!T237="Taijijian Wu F",939,IF(Atletas!T237="Taijijian Wu-Hao F",940,IF(Atletas!T237="Taijijian 32 F",941,IF(Atletas!T237="Taijijian 42 F",942,"")))))))))))))))))))))))))))))))))))))))))))</f>
        <v/>
      </c>
      <c r="BW241" s="52" t="str">
        <f>IF(Atletas!U237="","",IF(Atletas!W237&lt;&gt;"",10000,0)+IF(Atletas!B237="Feminino",1000,IF(Atletas!B237="Masculino",2000,""))+IF(Atletas!T237="Taijijian 42 F",942,IF(Atletas!U237="Taijidao A",943,IF(Atletas!U237="Taijishan A",944,IF(Atletas!U237="Taijiqiang A",945,IF(Atletas!U237="Taijidao B",946,IF(Atletas!U237="Taijishan B",947,IF(Atletas!U237="Taijiqiang B",948,IF(Atletas!U237="Taijidao C",949,IF(Atletas!U237="Taijishan C",950,IF(Atletas!U237="Taijiqiang C",951,IF(Atletas!U237="Taijidao D",952,IF(Atletas!U237="Taijishan D",953,IF(Atletas!U237="Taijiqiang D",954,IF(Atletas!U237="Taijidao E",955,IF(Atletas!U237="Taijishan E",956,IF(Atletas!U237="Taijiqiang E",957,IF(Atletas!U237="Taijidao F",958,IF(Atletas!U237="Taijishan F",959,IF(Atletas!U237="Taijiqiang F",960))))))))))))))))))))</f>
        <v/>
      </c>
      <c r="BX241" s="72" t="str">
        <f>IF(BY241&lt;&gt;"","Shan D","")</f>
        <v/>
      </c>
      <c r="BY241" s="72" t="str">
        <f>IF(COUNTIF(BK:BW,1619)&gt;0,COUNTIF(BK:BW,1619),"")</f>
        <v/>
      </c>
      <c r="BZ241" s="72" t="str">
        <f>IF(CA241&lt;&gt;"","Shan D","")</f>
        <v/>
      </c>
      <c r="CA241" s="72" t="str">
        <f>IF(COUNTIF(BK:BW,2619)&gt;0,COUNTIF(BK:BW,2619),"")</f>
        <v/>
      </c>
      <c r="CB241" s="72" t="str">
        <f>IF(CC241&lt;&gt;"","Wu 45 F","")</f>
        <v/>
      </c>
      <c r="CC241" s="64" t="str">
        <f>IF(COUNTIF(BK:BW,11473)&gt;0,COUNTIF(BK:BW,11473),"")</f>
        <v/>
      </c>
      <c r="CD241" s="64" t="str">
        <f>IF(CE241&lt;&gt;"","Wu 45 F","")</f>
        <v/>
      </c>
      <c r="CE241" s="64" t="str">
        <f>IF(COUNTIF(BK:BW,12473)&gt;0,COUNTIF(BK:BW,12473),"")</f>
        <v/>
      </c>
      <c r="CF241" s="52" t="str">
        <f xml:space="preserve"> IF(Atletas!V237="","",IF(Atletas!V237="Duilian de Mãos AB - Equipe 1",1,IF(Atletas!V237="Duilian de Mãos AB - Equipe 2",2,IF(Atletas!V237="Duilian de Armas AB - Equipe 1",3,IF(Atletas!V237="Duilian de Armas AB - Equipe 2",4,IF(Atletas!V237="Duilian de Tuishou - Equipe 1",5,IF(Atletas!V237="Duilian de Tuishou - Equipe 2",6,IF(Atletas!V237="Grupo Externo AB - Equipe 1",7,IF(Atletas!V237="Grupo Externo AB - Equipe 2",8,IF(Atletas!V237="Grupo Interno AB - Equipe 1",9,IF(Atletas!V237="Grupo Interno AB - Equipe 2",10,IF(Atletas!V237="Duilian de Mãos CD - Equipe 1",11,IF(Atletas!V237="Duilian de Mãos CD - Equipe 2",12,IF(Atletas!V237="Duilian de Armas CD - Equipe 1",13,IF(Atletas!V237="Duilian de Armas CD - Equipe 2",14,IF(Atletas!V237="Duilian de Tuishou - Equipe 1",15,IF(Atletas!V237="Duilian de Tuishou - Equipe 2",16,IF(Atletas!V237="Grupo Externo CDEF - Equipe 1",17,IF(Atletas!V237="Grupo Externo CDEF - Equipe 2",18,IF(Atletas!V237="Grupo Interno CDEF - Equipe 1",19,IF(Atletas!V237="Grupo Interno CDEF - Equipe 2",20,IF(Atletas!V237="Duilian de Mãos EF - Equipe 1",21,IF(Atletas!V237="Duilian de Mãos EF - Equipe 2",22,IF(Atletas!V237="Duilian de Armas EF - Equipe 1",23,IF(Atletas!V237="Duilian de Armas EF - Equipe 2",24,IF(Atletas!V237="Duilian de Tuishou - Equipe 1",25,IF(Atletas!V237="Duilian de Tuishou - Equipe 2",26,"")))))))))))))))))))))))))))</f>
        <v/>
      </c>
    </row>
    <row r="242" spans="2:84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 t="str">
        <f t="array" ref="V242">IFERROR(INDEX(BX$7:BX$336,SMALL(IF(BX$7:BX$336&lt;&gt;"",ROW(BX$7:BX$336)-ROW(BX$7)+1),ROWS(BX$7:BX204))),"")</f>
        <v/>
      </c>
      <c r="W242" s="4" t="str">
        <f t="array" ref="W242">IFERROR(INDEX(BY$7:BY$336,SMALL(IF(BY$7:BY$336&lt;&gt;"",ROW(BY$7:BY$336)-ROW(BY$7)+1),ROWS(BY$7:BY204))),"")</f>
        <v/>
      </c>
      <c r="X242" s="4" t="str">
        <f t="array" ref="X242">IFERROR(INDEX(BZ$7:BZ$336,SMALL(IF(BZ$7:BZ$336&lt;&gt;"",ROW(BZ$7:BZ$336)-ROW(BZ$7)+1),ROWS(BZ$7:BZ204))),"")</f>
        <v/>
      </c>
      <c r="Y242" s="4" t="str">
        <f t="array" ref="Y242">IFERROR(INDEX(CA$7:CA$336,SMALL(IF(CA$7:CA$336&lt;&gt;"",ROW(CA$7:CA$336)-ROW(CA$7)+1),ROWS(CA$7:CA204))),"")</f>
        <v/>
      </c>
      <c r="Z242" s="4" t="str">
        <f t="array" ref="Z242">IFERROR(INDEX(CB$7:CB$378,SMALL(IF(CB$7:CB$378&lt;&gt;"",ROW(CB$7:CB$378)-ROW(CB$7)+1),ROWS(CB$7:CB241))),"")</f>
        <v/>
      </c>
      <c r="AA242" s="4" t="str">
        <f t="array" ref="AA242">IFERROR(INDEX(CC$7:CC$378,SMALL(IF(CC$7:CC$378&lt;&gt;"",ROW(CC$7:CC$378)-ROW(CC$7)+1),ROWS(CC$7:CC241))),"")</f>
        <v/>
      </c>
      <c r="AB242" s="4" t="str">
        <f t="array" ref="AB242">IFERROR(INDEX(CD$7:CD$378,SMALL(IF(CD$7:CD$378&lt;&gt;"",ROW(CD$7:CD$378)-ROW(CD$7)+1),ROWS(CD$7:CD241))),"")</f>
        <v/>
      </c>
      <c r="AC242" s="4" t="str">
        <f t="array" ref="AC242">IFERROR(INDEX(CE$7:CE$378,SMALL(IF(CE$7:CE$378&lt;&gt;"",ROW(CE$7:CE$378)-ROW(CE$7)+1),ROWS(CE$7:CE241))),"")</f>
        <v/>
      </c>
      <c r="AD242" s="4"/>
      <c r="AE242" s="4"/>
      <c r="AF242" s="4"/>
      <c r="AG242" s="4"/>
      <c r="AH242" s="4"/>
      <c r="AI242" s="4"/>
      <c r="AJ242" s="46" t="str">
        <f>IF(Atletas!D238="","",IF(Atletas!B238="Feminino",100,IF(Atletas!B238="Masculino",200,""))+(IF(Atletas!D238="Infantil 39kg",1,IF(Atletas!D238="Infantil 42kg",2,IF(Atletas!D238="Infantil 45kg",3,IF(Atletas!D238="Infantil 48kg",4,IF(Atletas!D238="Infantil 52kg",5,IF(Atletas!D238="Infantil 56kg",6,IF(Atletas!D238="Infantil 60kg",7,IF(Atletas!D238="Juvenil 48kg",8,IF(Atletas!D238="Juvenil 52kg",9,IF(Atletas!D238="Juvenil 56kg",10,IF(Atletas!D238="Juvenil 60kg",11,IF(Atletas!D238="Juvenil 65kg",12,IF(Atletas!D238="Juvenil 70kg",13,IF(Atletas!D238="Juvenil 75kg",14,IF(Atletas!D238="Juvenil 80kg",15,IF(Atletas!D238="Adulto 48kg",16,IF(Atletas!D238="Adulto 52kg",17,IF(Atletas!D238="Adulto 56kg",18,IF(Atletas!D238="Adulto 60kg",19,IF(Atletas!D238="Adulto 65kg",20,IF(Atletas!D238="Adulto 70kg",21,IF(Atletas!D238="Adulto 75kg",22,IF(Atletas!D238="Adulto 80kg",23,IF(Atletas!D238="Adulto 85kg",24,IF(Atletas!D238="Adulto 90kg",25,IF(Atletas!D238="Adulto +90kg",26,""))))))))))))))))))))))))))))</f>
        <v/>
      </c>
      <c r="AO242" s="10" t="str">
        <f>IF(Atletas!E238="","",IF(Atletas!B238="Feminino",100,IF(Atletas!B238="Masculino",200,""))+(IF(Atletas!E238="Juvenil 44kg",1,IF(Atletas!E238="Juvenil 48kg",2,IF(Atletas!E238="Juvenil 52kg",3,IF(Atletas!E238="Juvenil 56kg",4,IF(Atletas!E238="Juvenil 60kg",5,IF(Atletas!E238="Juvenil 65kg",6,IF(Atletas!E238="Juvenil 70kg",7,IF(Atletas!E238="Juvenil 75kg",8,IF(Atletas!E238="Juvenil 82kg",9,IF(Atletas!E238="Juvenil 90kg",10,IF(Atletas!E238="Juvenil 100kg",11,IF(Atletas!E238="Adulto 48kg",12,IF(Atletas!E238="Adulto 52kg",13,IF(Atletas!E238="Adulto 56kg",14,IF(Atletas!E238="Adulto 60kg",15,IF(Atletas!E238="Adulto 65kg",16,IF(Atletas!E238="Adulto 70kg",17,IF(Atletas!E238="Adulto 75kg",18,IF(Atletas!E238="Adulto 82kg",19,IF(Atletas!E238="Adulto 90kg",20,IF(Atletas!E238="Adulto 100kg",21,IF(Atletas!E238="Adulto +100kg",22,""))))))))))))))))))))))))</f>
        <v/>
      </c>
      <c r="AT242" s="10" t="str">
        <f>IF(Atletas!F238="","",IF(Atletas!B238="Feminino",100,IF(Atletas!B238="Masculino",200,""))+(IF(Atletas!F238="Adulto 48kg",1,IF(Atletas!F238="Adulto 56kg",2,IF(Atletas!F238="Adulto 65kg",3,IF(Atletas!F238="Adulto 75kg",4,IF(Atletas!F238="Adulto +75kg",5,IF(Atletas!F238="Adulto 52kg",6,IF(Atletas!F238="Adulto 60kg",7,IF(Atletas!F238="Adulto 70kg",8,IF(Atletas!F238="Adulto 80kg",9,IF(Atletas!F238="Adulto 90kg",10,IF(Atletas!F238="Adulto +90kg",11,"")))))))))))))</f>
        <v/>
      </c>
      <c r="AY242" s="46" t="str">
        <f>IF(Atletas!G238="","",IF(Atletas!B238="Feminino",100,IF(Atletas!B238="Masculino",200,""))+(IF(Atletas!G238="Changquan Mirim",1,IF(Atletas!G238="Nanquan Mirim",2,IF(Atletas!G238="Taijiquan Mirim",3,IF(Atletas!G238="Changquan Grupo C",4,IF(Atletas!G238="Nanquan Grupo C",5,IF(Atletas!G238="Taijiquan Grupo C",6,IF(Atletas!G238="Changquan Grupo B",7,IF(Atletas!G238="Nanquan Grupo B",8,IF(Atletas!G238="Taijiquan Grupo B",9,IF(Atletas!G238="Changquan Grupo A",10,IF(Atletas!G238="Nanquan Grupo A",11,IF(Atletas!G238="Taijiquan Grupo A",12,IF(Atletas!G238="Changquan Opcional",13,IF(Atletas!G238="Nanquan Opcional",14,IF(Atletas!G238="Taijiquan Opcional",15,IF(Atletas!G238="Changquan Adulto",16,IF(Atletas!G238="Nanquan Adulto",17,IF(Atletas!G238="Taijiquan Adulto",18,""))))))))))))))))))))</f>
        <v/>
      </c>
      <c r="AZ242" s="46" t="str">
        <f>IF(Atletas!H238="","",IF(Atletas!B238="Feminino",100,IF(Atletas!B238="Masculino",200,""))+(IF(Atletas!H238="Daoshu Mirim",19,IF(Atletas!H238="Jianshu Mirim",20,IF(Atletas!H238="Nandao Mirim",21,IF(Atletas!H238="Taijijian Mirim",22,IF(Atletas!H238="Daoshu Grupo C",23,IF(Atletas!H238="Jianshu Grupo C",24,IF(Atletas!H238="Nandao Grupo C",25,IF(Atletas!H238="Taijijian Grupo C",26,IF(Atletas!H238="Daoshu Grupo B",27,IF(Atletas!H238="Jianshu Grupo B",28,IF(Atletas!H238="Nandao Grupo B",29,IF(Atletas!H238="Taijijian Grupo B",30,IF(Atletas!H238="Daoshu Grupo A",31,IF(Atletas!H238="Jianshu Grupo A",32,IF(Atletas!H238="Nandao Grupo A",33,IF(Atletas!H238="Taijijian Grupo A",34,IF(Atletas!H238="Daoshu Opcional",35,IF(Atletas!H238="Jianshu Opcional",36,IF(Atletas!H238="Nandao Opcional",37,IF(Atletas!H238="Taijijian Opcional",38,IF(Atletas!H238="Daoshu Adulto",39,IF(Atletas!H238="Jianshu Adulto",40,IF(Atletas!H238="Nandao Adulto",41,IF(Atletas!H238="Taijijian Adulto",42,""))))))))))))))))))))))))))</f>
        <v/>
      </c>
      <c r="BA242" s="46" t="str">
        <f>IF(Atletas!I238="","",IF(Atletas!B238="Feminino",100,IF(Atletas!B238="Masculino",200,""))+(IF(Atletas!I238="Gunshu Mirim",43,IF(Atletas!I238="Qiangshu Mirim",44,IF(Atletas!I238="Nangun Mirim",45,IF(Atletas!I238="Gunshu Grupo C",46,IF(Atletas!I238="Qiangshu Grupo C",47,IF(Atletas!I238="Nangun Grupo C",48,IF(Atletas!I238="Gunshu Grupo B",49,IF(Atletas!I238="Qiangshu Grupo B",50,IF(Atletas!I238="Nangun Grupo B",51,IF(Atletas!I238="Gunshu Grupo A",52,IF(Atletas!I238="Qiangshu Grupo A",53,IF(Atletas!I238="Nangun Grupo A",54,IF(Atletas!I238="Gunshu Opcional",55,IF(Atletas!I238="Qiangshu Opcional",56,IF(Atletas!I238="Nangun Opcional",57,IF(Atletas!I238="Gunshu Adulto",58,IF(Atletas!I238="Qiangshu Adulto",59,IF(Atletas!I238="Nangun Adulto",60,""))))))))))))))))))))</f>
        <v/>
      </c>
      <c r="BF242" s="52" t="str">
        <f>IF(Atletas!J238="","",IF(Atletas!B238="Feminino",100,IF(Atletas!B238="Masculino",200,""))+(IF(Atletas!J238="Equipe 1 Grupo B",1,IF(Atletas!J238="Equipe 2 Grupo B",2,IF(Atletas!J238="Equipe 1 Grupo A",3,IF(Atletas!J238="Equipe 2 Grupo A",4,IF(Atletas!J238="Equipe 1 Adulto",5,IF(Atletas!J238="Equipe 2 Adulto",6,""))))))))</f>
        <v/>
      </c>
      <c r="BK242" s="52" t="str">
        <f>IF(Atletas!K238="","",IF(Atletas!W238&lt;&gt;"",10000,0)+(IF(Atletas!B238="Feminino",1000,IF(Atletas!B238="Masculino",2000,""))+IF(Atletas!K238="Choylayfut A",1,IF(Atletas!K238="Hunggar A",2,IF(Atletas!K238="Wuzuquan A",3,IF(Atletas!K238="Wingchun A",4,IF(Atletas!K238="Outra Mão de Sul A",5,IF(Atletas!K238="Choylayfut B",6,IF(Atletas!K238="Hunggar B",7,IF(Atletas!K238="Wuzuquan B",8,IF(Atletas!K238="Wingchun B",9,IF(Atletas!K238="Outra Mão de Sul B",10,IF(Atletas!K238="Choylayfut C",11,IF(Atletas!K238="Hunggar C",12,IF(Atletas!K238="Wuzuquan C",13,IF(Atletas!K238="Wingchun C",14,IF(Atletas!K238="Outra Mão de Sul C",15,IF(Atletas!K238="Choylayfut D",16,IF(Atletas!K238="Hunggar D",17,IF(Atletas!K238="Wuzuquan D",18,IF(Atletas!K238="Wingchun D",19,IF(Atletas!K238="Outra Mão de Sul D",20,IF(Atletas!K238="Choylayfut E",21,IF(Atletas!K238="Hunggar E",22,IF(Atletas!K238="Wuzuquan E",23,IF(Atletas!K238="Wingchun E",24,IF(Atletas!K238="Outra Mão de Sul E",25,IF(Atletas!K238="Choylayfut F",26,IF(Atletas!K238="Hunggar F",27,IF(Atletas!K238="Wuzuquan F",28,IF(Atletas!K238="Wingchun F",29,IF(Atletas!K238="Outra Mão de Sul F",30,""))))))))))))))))))))))))))))))))</f>
        <v/>
      </c>
      <c r="BL242" s="52" t="str">
        <f>IF(Atletas!L238="","",IF(Atletas!W238&lt;&gt;"",10000,0)+(IF(Atletas!B238="Feminino",1000,IF(Atletas!B238="Masculino",2000,""))+(IF(Atletas!L238="Chaquan A",101,IF(Atletas!L238="Emeiquan A",102,IF(Atletas!L238="Fanziquan A",103,IF(Atletas!L238="Huaquan A",104,IF(Atletas!L238="Hongquan A",105,IF(Atletas!L238="Paochui A",106,IF(Atletas!L238="Piguaquan A",107,IF(Atletas!L238="Shaolinquan A",108,IF(Atletas!L238="Tanglangquan A",109,IF(Atletas!L238="Yinzhaophai A",110,IF(Atletas!L238="Tongbeiquan A",111,IF(Atletas!L238="Wudangquan A",112,IF(Atletas!L238="Outros Estilos A",113,IF(Atletas!L238="Chaquan B",114,IF(Atletas!L238="Emeiquan B",115,IF(Atletas!L238="Fanziquan B",116,IF(Atletas!L238="Huaquan B",117,IF(Atletas!L238="Hongquan B",118,IF(Atletas!L238="Paochui B",119,IF(Atletas!L238="Piguaquan B",120,IF(Atletas!L238="Shaolinquan B",121,IF(Atletas!L238="Tanglangquan B",122,IF(Atletas!L238="Yinzhaophai B",123,IF(Atletas!L238="Tongbeiquan B",124,IF(Atletas!L238="Wudangquan B",125,IF(Atletas!L238="Outros Estilos B",126,IF(Atletas!L238="Chaquan C",127,IF(Atletas!L238="Emeiquan C",128,IF(Atletas!L238="Fanziquan C",129,IF(Atletas!L238="Huaquan C",130,IF(Atletas!L238="Hongquan C",131,IF(Atletas!L238="Paochui C",132,IF(Atletas!L238="Piguaquan C",133,IF(Atletas!L238="Shaolinquan C",134,IF(Atletas!L238="Tanglangquan C",135,IF(Atletas!L238="Yinzhaophai C",136,IF(Atletas!L238="Tongbeiquan C",137,IF(Atletas!L238="Wudangquan C",138,IF(Atletas!L238="Outros Estilos C",139,0))))))))))))))))))))))))))))))))))))))))))</f>
        <v/>
      </c>
      <c r="BM242" s="52" t="str">
        <f>IF(Atletas!L238="","",IF(Atletas!W238&lt;&gt;"",10000,0)+(IF(Atletas!B238="Feminino",1000,IF(Atletas!B238="Masculino",2000,""))+(IF(Atletas!L238="Chaquan D",140,IF(Atletas!L238="Emeiquan D",141,IF(Atletas!L238="Fanziquan D",142,IF(Atletas!L238="Huaquan D",143,IF(Atletas!L238="Hongquan D",144,IF(Atletas!L238="Paochui D",145,IF(Atletas!L238="Piguaquan D",146,IF(Atletas!L238="Shaolinquan D",147,IF(Atletas!L238="Tanglangquan D",148,IF(Atletas!L238="Yinzhaophai D",149,IF(Atletas!L238="Tongbeiquan D",150,IF(Atletas!L238="Wudangquan D",151,IF(Atletas!L238="Outros Estilos D",152,IF(Atletas!L238="Chaquan E",153,IF(Atletas!L238="Emeiquan E",154,IF(Atletas!L238="Fanziquan E",155,IF(Atletas!L238="Huaquan E",156,IF(Atletas!L238="Hongquan E",157,IF(Atletas!L238="Paochui E",158,IF(Atletas!L238="Piguaquan E",159,IF(Atletas!L238="Shaolinquan E",160,IF(Atletas!L238="Tanglangquan E",161,IF(Atletas!L238="Yinzhaophai E",162,IF(Atletas!L238="Tongbeiquan E",163,IF(Atletas!L238="Wudangquan E",164,IF(Atletas!L238="Outros Estilos E",165,IF(Atletas!L238="Chaquan F",166,IF(Atletas!L238="Emeiquan F",167,IF(Atletas!L238="Fanziquan F",168,IF(Atletas!L238="Huaquan F",169,IF(Atletas!L238="Hongquan F",170,IF(Atletas!L238="Paochui F",171,IF(Atletas!L238="Piguaquan F",172,IF(Atletas!L238="Shaolinquan F",173,IF(Atletas!L238="Tanglangquan F",174,IF(Atletas!L238="Yinzhaophai F",175,IF(Atletas!L238="Tongbeiquan F",176,IF(Atletas!L238="Wudangquan F",177,IF(Atletas!L238="Outros Estilos F",178,0))))))))))))))))))))))))))))))))))))))))))</f>
        <v/>
      </c>
      <c r="BN242" s="52" t="str">
        <f>IF(Atletas!M238="","",IF(Atletas!W238&lt;&gt;"",10000,0)+(IF(Atletas!B238="Feminino",1000,IF(Atletas!B238="Masculino",2000,""))+(IF(Atletas!M238="Ditangquan A",201,IF(Atletas!M238="Houquan A",202,IF(Atletas!M238="Zuiquan A",203,IF(Atletas!M238="Ditangquan B",204,IF(Atletas!M238="Houquan B",205,IF(Atletas!M238="Zuiquan B",206,IF(Atletas!M238="Ditangquan C",207,IF(Atletas!M238="Houquan C",208,IF(Atletas!M238="Zuiquan C",209,IF(Atletas!M238="Ditangquan D",210,IF(Atletas!M238="Houquan D",211,IF(Atletas!M238="Zuiquan D",212,IF(Atletas!M238="Ditangquan E",213,IF(Atletas!M238="Houquan E",214,IF(Atletas!M238="Zuiquan E",215,IF(Atletas!M238="Ditangquan F",216,IF(Atletas!M238="Houquan F",217,IF(Atletas!M238="Zuiquan F",218,"")))))))))))))))))))))</f>
        <v/>
      </c>
      <c r="BO242" s="52" t="str">
        <f>IF(Atletas!N238="","",IF(Atletas!W238&lt;&gt;"",10000,0)+IF(Atletas!B238="Feminino",1000,IF(Atletas!B238="Masculino",2000,""))+IF(Atletas!N238="Yang A",301,IF(Atletas!N238="Chen A",30,IF(Atletas!N238="Sun A",303,IF(Atletas!N238="Wu A",304,IF(Atletas!N238="Wu-Hao A",305,IF(Atletas!N238="Outro Taijiquan A",306,IF(Atletas!N238="Yang B",307,IF(Atletas!N238="Chen B",308,IF(Atletas!N238="Sun B",309,IF(Atletas!N238="Wu B",310,IF(Atletas!N238="Wu-Hao B",311,IF(Atletas!N238="Outro Taijiquan B",312,IF(Atletas!N238="Yang C",313,IF(Atletas!N238="Chen C",314,IF(Atletas!N238="Sun C",315,IF(Atletas!N238="Wu C",316,IF(Atletas!N238="Wu-Hao C",317,IF(Atletas!N238="Outro Taijiquan C",318,IF(Atletas!N238="Yang D",319,IF(Atletas!N238="Chen D",320,IF(Atletas!N238="Sun D",321,IF(Atletas!N238="Wu D",322,IF(Atletas!N238="Wu-Hao D",323,IF(Atletas!N238="Outro Taijiquan D",324,IF(Atletas!N238="Yang E",325,IF(Atletas!N238="Chen E",326,IF(Atletas!N238="Sun E",327,IF(Atletas!N238="Wu E",328,IF(Atletas!N238="Wu-Hao E",329,IF(Atletas!N238="Outro Taijiquan E",330,IF(Atletas!N238="Yang F",331,IF(Atletas!N238="Chen F",332,IF(Atletas!N238="Sun F",333,IF(Atletas!N238="Wu F",334,IF(Atletas!N238="Wu-Hao F",335,IF(Atletas!N238="Outro Taijiquan F",336,"")))))))))))))))))))))))))))))))))))))</f>
        <v/>
      </c>
      <c r="BP242" s="52" t="str">
        <f>IF(Atletas!O238="","",IF(Atletas!W238&lt;&gt;"",10000,0)+IF(Atletas!B238="Feminino",1000,IF(Atletas!B238="Masculino",2000,""))+IF(OR(Atletas!O238="Yang 26 A",Atletas!O238="Yang 40 A"),401,IF(OR(Atletas!O238="Chen 25 A",Atletas!O238="Chen 36 A",Atletas!O238="Chen 56 A"),402,IF(Atletas!O238="Sun 73 A",403,IF(Atletas!O238="Wu 45 A",404,IF(Atletas!O238="Wu-Hao 46 A",405,IF(OR(Atletas!O238="Taijiquan 16 A",Atletas!O238="Taijiquan 24 A",Atletas!O238="Taijiquan 32 A",Atletas!O238="Taijiquan 42 A"),406,IF(OR(Atletas!O238="Yang 26 B",Atletas!O238="Yang 40 B"),407,IF(OR(Atletas!O238="Chen 25 B",Atletas!O238="Chen 36 B",Atletas!O238="Chen 56 B"),408,IF(Atletas!O238="Sun 73 B",409,IF(Atletas!O238="Wu 45 B",410,IF(Atletas!O238="Wu-Hao 46 B",411,IF(OR(Atletas!O238="Taijiquan 16 B",Atletas!O238="Taijiquan 24 B",Atletas!O238="Taijiquan 32 B",Atletas!O238="Taijiquan 42 B"),412,IF(OR(Atletas!O238="Yang 26 C",Atletas!O238="Yang 40 C"),413,IF(OR(Atletas!O238="Chen 25 C",Atletas!O238="Chen 36 C",Atletas!O238="Chen 56 C"),414,IF(Atletas!O238="Sun 73 C",415,IF(Atletas!O238="Wu 45 C",416,IF(Atletas!O238="Wu-Hao 46 C",417,IF(OR(Atletas!O238="Taijiquan 16 C",Atletas!O238="Taijiquan 24 C",Atletas!O238="Taijiquan 32 C",Atletas!O238="Taijiquan 42 C"),418,0)))))))))))))))))))</f>
        <v/>
      </c>
      <c r="BQ242" s="52" t="str">
        <f>IF(Atletas!O238="","",IF(Atletas!W238&lt;&gt;"",10000,0)+IF(Atletas!B238="Feminino",1000,IF(Atletas!B238="Masculino",2000,""))+IF(OR(Atletas!O238="Yang 26 D",Atletas!O238="Yang 40 D"),419,IF(OR(Atletas!O238="Chen 25 D",Atletas!O238="Chen 36 D",Atletas!O238="Chen 56 D"),420,IF(Atletas!O238="Sun 73 D",421,IF(Atletas!O238="Wu 45 D",422,IF(Atletas!O238="Wu-Hao 46 D",423,IF(OR(Atletas!O238="Taijiquan 16 D",Atletas!O238="Taijiquan 24 D",Atletas!O238="Taijiquan 32 D",Atletas!O238="Taijiquan 42 D"),424,IF(OR(Atletas!O238="Yang 26 E",Atletas!O238="Yang 40 E"),425,IF(OR(Atletas!O238="Chen 25 E",Atletas!O238="Chen 36 E",Atletas!O238="Chen 56 E"),426,IF(Atletas!O238="Sun 73 E",427,IF(Atletas!O238="Wu 45 E",428,IF(Atletas!O238="Wu-Hao 46 E",429,IF(OR(Atletas!O238="Taijiquan 16 E",Atletas!O238="Taijiquan 24 E",Atletas!O238="Taijiquan 32 E",Atletas!O238="Taijiquan 42 E"),430,IF(OR(Atletas!O238="Yang 26 F",Atletas!O238="Yang 40 F"),431,IF(OR(Atletas!O238="Chen 25 F",Atletas!O238="Chen 36 F",Atletas!O238="Chen 56 F"),432,IF(Atletas!O238="Sun 73 F",433,IF(Atletas!O238="Wu 45 F",434,IF(Atletas!O238="Wu-Hao 46 F",435,IF(OR(Atletas!O238="Taijiquan 16 F",Atletas!O238="Taijiquan 24 F",Atletas!O238="Taijiquan 32 F",Atletas!O238="Taijiquan 42 F"),436,0)))))))))))))))))))</f>
        <v/>
      </c>
      <c r="BR242" s="52" t="str">
        <f>IF(Atletas!P238="","",IF(Atletas!W238&lt;&gt;"",10000,0)+IF(Atletas!B238="Feminino",1000,IF(Atletas!B238="Masculino",2000,""))+IF(Atletas!P238="Xingyiquan A",501,IF(Atletas!P238="Baguazhang A",502,IF(Atletas!P238="Outro Estilo Interno A",503,IF(Atletas!P238="Xingyiquan B",504,IF(Atletas!P238="Baguazhang B",505,IF(Atletas!P238="Outro Estilo Interno B",506,IF(Atletas!P238="Xingyiquan C",507,IF(Atletas!P238="Baguazhang C",508,IF(Atletas!P238="Outro Estilo Interno C",509,IF(Atletas!P238="Xingyiquan D",510,IF(Atletas!P238="Baguazhang D",511,IF(Atletas!P238="Outro Estilo Interno D",512,IF(Atletas!P238="Xingyiquan E",513,IF(Atletas!P238="Baguazhang E",514,IF(Atletas!P238="Outro Estilo Interno E",515,IF(Atletas!P238="Xingyiquan F",516,IF(Atletas!P238="Baguazhang F",517,IF(Atletas!P238="Outro Estilo Interno F",518, "")))))))))))))))))))</f>
        <v/>
      </c>
      <c r="BS242" s="52" t="str">
        <f>IF(Atletas!Q238="","",IF(Atletas!W238&lt;&gt;"",10000,0)+IF(Atletas!B238="Feminino",1000,IF(Atletas!B238="Masculino",2000,""))+IF(Atletas!Q238="Dao A",601,IF(Atletas!Q238="Jian A",602,IF(Atletas!Q238="Bishou A",603,IF(Atletas!Q238="Shan A",604,IF(Atletas!Q238="Outra Arma Curta A",605,IF(Atletas!Q238="Dao B",606,IF(Atletas!Q238="Jian B",607,IF(Atletas!Q238="Bishou B",608,IF(Atletas!Q238="Shan B",609,IF(Atletas!Q238="Outra Arma Curta B",610,IF(Atletas!Q238="Dao C",611,IF(Atletas!Q238="Jian C",612,IF(Atletas!Q238="Bishou C",613,IF(Atletas!Q238="Shan C",614,IF(Atletas!Q238="Outra Arma Curta C",615,IF(Atletas!Q238="Dao D",616,IF(Atletas!Q238="Jian D",617,IF(Atletas!Q238="Bishou D",618,IF(Atletas!Q238="Shan D",619,IF(Atletas!Q238="Outra Arma Curta D",620,IF(Atletas!Q238="Dao E",621,IF(Atletas!Q238="Jian E",622,IF(Atletas!Q238="Bishou E",623,IF(Atletas!Q238="Shan E",624,IF(Atletas!Q238="Outra Arma Curta E",625,IF(Atletas!Q238="Dao F",626,IF(Atletas!Q238="Jian F",627,IF(Atletas!Q238="Bishou F",628,IF(Atletas!Q238="Shan F",629,IF(Atletas!Q238="Outra Arma Curta F",630, "")))))))))))))))))))))))))))))))</f>
        <v/>
      </c>
      <c r="BT242" s="52" t="str">
        <f>IF(Atletas!R238="","",IF(Atletas!W238&lt;&gt;"",10000,0)+IF(Atletas!B238="Feminino",1000,IF(Atletas!B238="Masculino",2000,""))+IF(Atletas!R238="Gun A",701,IF(Atletas!R238="Qiang A",702,IF(Atletas!R238="Pudao / Guandao A",703,IF(Atletas!R238="Outra Arma Longa A",704,IF(Atletas!R238="Gun B",705,IF(Atletas!R238="Qiang B",706,IF(Atletas!R238="Pudao / Guandao B",707,IF(Atletas!R238="Outra Arma Longa B",708,IF(Atletas!R238="Gun C",709,IF(Atletas!R238="Qiang C",710,IF(Atletas!R238="Pudao / Guandao C",711,IF(Atletas!R238="Outra Arma Longa C",712,IF(Atletas!R238="Gun D",713,IF(Atletas!R238="Qiang D",714,IF(Atletas!R238="Pudao / Guandao D",715,IF(Atletas!R238="Outra Arma Longa D",716,IF(Atletas!R238="Gun E",717,IF(Atletas!R238="Qiang E",718,IF(Atletas!R238="Pudao / Guandao E",719,IF(Atletas!R238="Outra Arma Longa E",720,IF(Atletas!R238="Gun F",721,IF(Atletas!R238="Qiang F",722,IF(Atletas!R238="Pudao / Guandao F",723,IF(Atletas!R238="Outra Arma Longa F",724,"")))))))))))))))))))))))))</f>
        <v/>
      </c>
      <c r="BU242" s="52" t="str">
        <f>IF(Atletas!S238="","",IF(Atletas!W238&lt;&gt;"",10000,0)+IF(Atletas!B238="Feminino",1000,IF(Atletas!B238="Masculino",2000,""))+IF(Atletas!S238="Arma Dupla A",801,IF(Atletas!S238="Arma Maleável A",802,IF(Atletas!S238="Arma Dupla B",803,IF(Atletas!S238="Arma Maleável B",804,IF(Atletas!S238="Arma Dupla C",805,IF(Atletas!S238="Arma Maleável C",806,IF(Atletas!S238="Arma Dupla D",807,IF(Atletas!S238="Arma Maleável D",808,IF(Atletas!S238="Arma Dupla E",809,IF(Atletas!S238="Arma Maleável E",810,IF(Atletas!S238="Arma Dupla F",811,IF(Atletas!S238="Arma Maleável F",812, "")))))))))))))</f>
        <v/>
      </c>
      <c r="BV242" s="52" t="str">
        <f>IF(Atletas!T238="","",IF(Atletas!W238&lt;&gt;"",10000,0)+IF(Atletas!B238="Feminino",1000,IF(Atletas!B238="Masculino",2000,""))+IF(Atletas!T238="Taijijian Yang A",901,IF(Atletas!T238="Taijijian Chen A",902,IF(Atletas!T238="Taijijian Sun A",903,IF(Atletas!T238="Taijijian Wu A",904,IF(Atletas!T238="Taijijian Wu-Hao A",905,IF(Atletas!T238="Taijijian 32 A",906,IF(Atletas!T238="Taijijian 42 A",907,IF(Atletas!T238="Taijijian Yang B",908,IF(Atletas!T238="Taijijian Chen B",909,IF(Atletas!T238="Taijijian Sun B",910,IF(Atletas!T238="Taijijian Wu B",911,IF(Atletas!T238="Taijijian Wu-Hao B",912,IF(Atletas!T238="Taijijian 32 B",913,IF(Atletas!T238="Taijijian 42 B",914,IF(Atletas!T238="Taijijian Yang C",915,IF(Atletas!T238="Taijijian Chen C",916,IF(Atletas!T238="Taijijian Sun C",917,IF(Atletas!T238="Taijijian Wu C",918,IF(Atletas!T238="Taijijian Wu-Hao C",919,IF(Atletas!T238="Taijijian 32 C",920,IF(Atletas!T238="Taijijian 42 C",921,IF(Atletas!T238="Taijijian Yang D",922,IF(Atletas!T238="Taijijian Chen D",923,IF(Atletas!T238="Taijijian Sun D",924,IF(Atletas!T238="Taijijian Wu D",925,IF(Atletas!T238="Taijijian Wu-Hao D",926,IF(Atletas!T238="Taijijian 32 D",927,IF(Atletas!T238="Taijijian 42 D",928,IF(Atletas!T238="Taijijian Yang E",929,IF(Atletas!T238="Taijijian Chen E",930,IF(Atletas!T238="Taijijian Sun E",931,IF(Atletas!T238="Taijijian Wu E",932,IF(Atletas!T238="Taijijian Wu-Hao E",933,IF(Atletas!T238="Taijijian 32 E",934,IF(Atletas!T238="Taijijian 42 E",935,IF(Atletas!T238="Taijijian Yang F",936,IF(Atletas!T238="Taijijian Chen F",937,IF(Atletas!T238="Taijijian Sun F",938,IF(Atletas!T238="Taijijian Wu F",939,IF(Atletas!T238="Taijijian Wu-Hao F",940,IF(Atletas!T238="Taijijian 32 F",941,IF(Atletas!T238="Taijijian 42 F",942,"")))))))))))))))))))))))))))))))))))))))))))</f>
        <v/>
      </c>
      <c r="BW242" s="52" t="str">
        <f>IF(Atletas!U238="","",IF(Atletas!W238&lt;&gt;"",10000,0)+IF(Atletas!B238="Feminino",1000,IF(Atletas!B238="Masculino",2000,""))+IF(Atletas!T238="Taijijian 42 F",942,IF(Atletas!U238="Taijidao A",943,IF(Atletas!U238="Taijishan A",944,IF(Atletas!U238="Taijiqiang A",945,IF(Atletas!U238="Taijidao B",946,IF(Atletas!U238="Taijishan B",947,IF(Atletas!U238="Taijiqiang B",948,IF(Atletas!U238="Taijidao C",949,IF(Atletas!U238="Taijishan C",950,IF(Atletas!U238="Taijiqiang C",951,IF(Atletas!U238="Taijidao D",952,IF(Atletas!U238="Taijishan D",953,IF(Atletas!U238="Taijiqiang D",954,IF(Atletas!U238="Taijidao E",955,IF(Atletas!U238="Taijishan E",956,IF(Atletas!U238="Taijiqiang E",957,IF(Atletas!U238="Taijidao F",958,IF(Atletas!U238="Taijishan F",959,IF(Atletas!U238="Taijiqiang F",960))))))))))))))))))))</f>
        <v/>
      </c>
      <c r="BX242" s="72" t="str">
        <f>IF(BY242&lt;&gt;"","Outra Arma Curta D","")</f>
        <v/>
      </c>
      <c r="BY242" s="72" t="str">
        <f>IF(COUNTIF(BK:BW,1620)&gt;0,COUNTIF(BK:BW,1620),"")</f>
        <v/>
      </c>
      <c r="BZ242" s="72" t="str">
        <f>IF(CA242&lt;&gt;"","Outra Arma Curta D","")</f>
        <v/>
      </c>
      <c r="CA242" s="72" t="str">
        <f>IF(COUNTIF(BK:BW,2620)&gt;0,COUNTIF(BK:BW,2620),"")</f>
        <v/>
      </c>
      <c r="CB242" s="72" t="str">
        <f>IF(CC242&lt;&gt;"","Wu Novo F","")</f>
        <v/>
      </c>
      <c r="CC242" s="64" t="str">
        <f>IF(COUNTIF(BK:BW,11474)&gt;0,COUNTIF(BK:BW,11474),"")</f>
        <v/>
      </c>
      <c r="CD242" s="64" t="str">
        <f>IF(CE242&lt;&gt;"","Wu Novo F","")</f>
        <v/>
      </c>
      <c r="CE242" s="64" t="str">
        <f>IF(COUNTIF(BK:BW,12474)&gt;0,COUNTIF(BK:BW,12474),"")</f>
        <v/>
      </c>
      <c r="CF242" s="52" t="str">
        <f xml:space="preserve"> IF(Atletas!V238="","",IF(Atletas!V238="Duilian de Mãos AB - Equipe 1",1,IF(Atletas!V238="Duilian de Mãos AB - Equipe 2",2,IF(Atletas!V238="Duilian de Armas AB - Equipe 1",3,IF(Atletas!V238="Duilian de Armas AB - Equipe 2",4,IF(Atletas!V238="Duilian de Tuishou - Equipe 1",5,IF(Atletas!V238="Duilian de Tuishou - Equipe 2",6,IF(Atletas!V238="Grupo Externo AB - Equipe 1",7,IF(Atletas!V238="Grupo Externo AB - Equipe 2",8,IF(Atletas!V238="Grupo Interno AB - Equipe 1",9,IF(Atletas!V238="Grupo Interno AB - Equipe 2",10,IF(Atletas!V238="Duilian de Mãos CD - Equipe 1",11,IF(Atletas!V238="Duilian de Mãos CD - Equipe 2",12,IF(Atletas!V238="Duilian de Armas CD - Equipe 1",13,IF(Atletas!V238="Duilian de Armas CD - Equipe 2",14,IF(Atletas!V238="Duilian de Tuishou - Equipe 1",15,IF(Atletas!V238="Duilian de Tuishou - Equipe 2",16,IF(Atletas!V238="Grupo Externo CDEF - Equipe 1",17,IF(Atletas!V238="Grupo Externo CDEF - Equipe 2",18,IF(Atletas!V238="Grupo Interno CDEF - Equipe 1",19,IF(Atletas!V238="Grupo Interno CDEF - Equipe 2",20,IF(Atletas!V238="Duilian de Mãos EF - Equipe 1",21,IF(Atletas!V238="Duilian de Mãos EF - Equipe 2",22,IF(Atletas!V238="Duilian de Armas EF - Equipe 1",23,IF(Atletas!V238="Duilian de Armas EF - Equipe 2",24,IF(Atletas!V238="Duilian de Tuishou - Equipe 1",25,IF(Atletas!V238="Duilian de Tuishou - Equipe 2",26,"")))))))))))))))))))))))))))</f>
        <v/>
      </c>
    </row>
    <row r="243" spans="2:84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 t="str">
        <f t="array" ref="V243">IFERROR(INDEX(BX$7:BX$336,SMALL(IF(BX$7:BX$336&lt;&gt;"",ROW(BX$7:BX$336)-ROW(BX$7)+1),ROWS(BX$7:BX204))),"")</f>
        <v/>
      </c>
      <c r="W243" s="4" t="str">
        <f t="array" ref="W243">IFERROR(INDEX(BY$7:BY$336,SMALL(IF(BY$7:BY$336&lt;&gt;"",ROW(BY$7:BY$336)-ROW(BY$7)+1),ROWS(BY$7:BY204))),"")</f>
        <v/>
      </c>
      <c r="X243" s="4" t="str">
        <f t="array" ref="X243">IFERROR(INDEX(BZ$7:BZ$336,SMALL(IF(BZ$7:BZ$336&lt;&gt;"",ROW(BZ$7:BZ$336)-ROW(BZ$7)+1),ROWS(BZ$7:BZ204))),"")</f>
        <v/>
      </c>
      <c r="Y243" s="4" t="str">
        <f t="array" ref="Y243">IFERROR(INDEX(CA$7:CA$336,SMALL(IF(CA$7:CA$336&lt;&gt;"",ROW(CA$7:CA$336)-ROW(CA$7)+1),ROWS(CA$7:CA204))),"")</f>
        <v/>
      </c>
      <c r="Z243" s="4" t="str">
        <f t="array" ref="Z243">IFERROR(INDEX(CB$7:CB$378,SMALL(IF(CB$7:CB$378&lt;&gt;"",ROW(CB$7:CB$378)-ROW(CB$7)+1),ROWS(CB$7:CB242))),"")</f>
        <v/>
      </c>
      <c r="AA243" s="4" t="str">
        <f t="array" ref="AA243">IFERROR(INDEX(CC$7:CC$378,SMALL(IF(CC$7:CC$378&lt;&gt;"",ROW(CC$7:CC$378)-ROW(CC$7)+1),ROWS(CC$7:CC242))),"")</f>
        <v/>
      </c>
      <c r="AB243" s="4" t="str">
        <f t="array" ref="AB243">IFERROR(INDEX(CD$7:CD$378,SMALL(IF(CD$7:CD$378&lt;&gt;"",ROW(CD$7:CD$378)-ROW(CD$7)+1),ROWS(CD$7:CD242))),"")</f>
        <v/>
      </c>
      <c r="AC243" s="4" t="str">
        <f t="array" ref="AC243">IFERROR(INDEX(CE$7:CE$378,SMALL(IF(CE$7:CE$378&lt;&gt;"",ROW(CE$7:CE$378)-ROW(CE$7)+1),ROWS(CE$7:CE242))),"")</f>
        <v/>
      </c>
      <c r="AD243" s="4"/>
      <c r="AE243" s="4"/>
      <c r="AF243" s="4"/>
      <c r="AG243" s="4"/>
      <c r="AH243" s="4"/>
      <c r="AI243" s="4"/>
      <c r="AJ243" s="46" t="str">
        <f>IF(Atletas!D239="","",IF(Atletas!B239="Feminino",100,IF(Atletas!B239="Masculino",200,""))+(IF(Atletas!D239="Infantil 39kg",1,IF(Atletas!D239="Infantil 42kg",2,IF(Atletas!D239="Infantil 45kg",3,IF(Atletas!D239="Infantil 48kg",4,IF(Atletas!D239="Infantil 52kg",5,IF(Atletas!D239="Infantil 56kg",6,IF(Atletas!D239="Infantil 60kg",7,IF(Atletas!D239="Juvenil 48kg",8,IF(Atletas!D239="Juvenil 52kg",9,IF(Atletas!D239="Juvenil 56kg",10,IF(Atletas!D239="Juvenil 60kg",11,IF(Atletas!D239="Juvenil 65kg",12,IF(Atletas!D239="Juvenil 70kg",13,IF(Atletas!D239="Juvenil 75kg",14,IF(Atletas!D239="Juvenil 80kg",15,IF(Atletas!D239="Adulto 48kg",16,IF(Atletas!D239="Adulto 52kg",17,IF(Atletas!D239="Adulto 56kg",18,IF(Atletas!D239="Adulto 60kg",19,IF(Atletas!D239="Adulto 65kg",20,IF(Atletas!D239="Adulto 70kg",21,IF(Atletas!D239="Adulto 75kg",22,IF(Atletas!D239="Adulto 80kg",23,IF(Atletas!D239="Adulto 85kg",24,IF(Atletas!D239="Adulto 90kg",25,IF(Atletas!D239="Adulto +90kg",26,""))))))))))))))))))))))))))))</f>
        <v/>
      </c>
      <c r="AO243" s="10" t="str">
        <f>IF(Atletas!E239="","",IF(Atletas!B239="Feminino",100,IF(Atletas!B239="Masculino",200,""))+(IF(Atletas!E239="Juvenil 44kg",1,IF(Atletas!E239="Juvenil 48kg",2,IF(Atletas!E239="Juvenil 52kg",3,IF(Atletas!E239="Juvenil 56kg",4,IF(Atletas!E239="Juvenil 60kg",5,IF(Atletas!E239="Juvenil 65kg",6,IF(Atletas!E239="Juvenil 70kg",7,IF(Atletas!E239="Juvenil 75kg",8,IF(Atletas!E239="Juvenil 82kg",9,IF(Atletas!E239="Juvenil 90kg",10,IF(Atletas!E239="Juvenil 100kg",11,IF(Atletas!E239="Adulto 48kg",12,IF(Atletas!E239="Adulto 52kg",13,IF(Atletas!E239="Adulto 56kg",14,IF(Atletas!E239="Adulto 60kg",15,IF(Atletas!E239="Adulto 65kg",16,IF(Atletas!E239="Adulto 70kg",17,IF(Atletas!E239="Adulto 75kg",18,IF(Atletas!E239="Adulto 82kg",19,IF(Atletas!E239="Adulto 90kg",20,IF(Atletas!E239="Adulto 100kg",21,IF(Atletas!E239="Adulto +100kg",22,""))))))))))))))))))))))))</f>
        <v/>
      </c>
      <c r="AT243" s="10" t="str">
        <f>IF(Atletas!F239="","",IF(Atletas!B239="Feminino",100,IF(Atletas!B239="Masculino",200,""))+(IF(Atletas!F239="Adulto 48kg",1,IF(Atletas!F239="Adulto 56kg",2,IF(Atletas!F239="Adulto 65kg",3,IF(Atletas!F239="Adulto 75kg",4,IF(Atletas!F239="Adulto +75kg",5,IF(Atletas!F239="Adulto 52kg",6,IF(Atletas!F239="Adulto 60kg",7,IF(Atletas!F239="Adulto 70kg",8,IF(Atletas!F239="Adulto 80kg",9,IF(Atletas!F239="Adulto 90kg",10,IF(Atletas!F239="Adulto +90kg",11,"")))))))))))))</f>
        <v/>
      </c>
      <c r="AY243" s="46" t="str">
        <f>IF(Atletas!G239="","",IF(Atletas!B239="Feminino",100,IF(Atletas!B239="Masculino",200,""))+(IF(Atletas!G239="Changquan Mirim",1,IF(Atletas!G239="Nanquan Mirim",2,IF(Atletas!G239="Taijiquan Mirim",3,IF(Atletas!G239="Changquan Grupo C",4,IF(Atletas!G239="Nanquan Grupo C",5,IF(Atletas!G239="Taijiquan Grupo C",6,IF(Atletas!G239="Changquan Grupo B",7,IF(Atletas!G239="Nanquan Grupo B",8,IF(Atletas!G239="Taijiquan Grupo B",9,IF(Atletas!G239="Changquan Grupo A",10,IF(Atletas!G239="Nanquan Grupo A",11,IF(Atletas!G239="Taijiquan Grupo A",12,IF(Atletas!G239="Changquan Opcional",13,IF(Atletas!G239="Nanquan Opcional",14,IF(Atletas!G239="Taijiquan Opcional",15,IF(Atletas!G239="Changquan Adulto",16,IF(Atletas!G239="Nanquan Adulto",17,IF(Atletas!G239="Taijiquan Adulto",18,""))))))))))))))))))))</f>
        <v/>
      </c>
      <c r="AZ243" s="46" t="str">
        <f>IF(Atletas!H239="","",IF(Atletas!B239="Feminino",100,IF(Atletas!B239="Masculino",200,""))+(IF(Atletas!H239="Daoshu Mirim",19,IF(Atletas!H239="Jianshu Mirim",20,IF(Atletas!H239="Nandao Mirim",21,IF(Atletas!H239="Taijijian Mirim",22,IF(Atletas!H239="Daoshu Grupo C",23,IF(Atletas!H239="Jianshu Grupo C",24,IF(Atletas!H239="Nandao Grupo C",25,IF(Atletas!H239="Taijijian Grupo C",26,IF(Atletas!H239="Daoshu Grupo B",27,IF(Atletas!H239="Jianshu Grupo B",28,IF(Atletas!H239="Nandao Grupo B",29,IF(Atletas!H239="Taijijian Grupo B",30,IF(Atletas!H239="Daoshu Grupo A",31,IF(Atletas!H239="Jianshu Grupo A",32,IF(Atletas!H239="Nandao Grupo A",33,IF(Atletas!H239="Taijijian Grupo A",34,IF(Atletas!H239="Daoshu Opcional",35,IF(Atletas!H239="Jianshu Opcional",36,IF(Atletas!H239="Nandao Opcional",37,IF(Atletas!H239="Taijijian Opcional",38,IF(Atletas!H239="Daoshu Adulto",39,IF(Atletas!H239="Jianshu Adulto",40,IF(Atletas!H239="Nandao Adulto",41,IF(Atletas!H239="Taijijian Adulto",42,""))))))))))))))))))))))))))</f>
        <v/>
      </c>
      <c r="BA243" s="46" t="str">
        <f>IF(Atletas!I239="","",IF(Atletas!B239="Feminino",100,IF(Atletas!B239="Masculino",200,""))+(IF(Atletas!I239="Gunshu Mirim",43,IF(Atletas!I239="Qiangshu Mirim",44,IF(Atletas!I239="Nangun Mirim",45,IF(Atletas!I239="Gunshu Grupo C",46,IF(Atletas!I239="Qiangshu Grupo C",47,IF(Atletas!I239="Nangun Grupo C",48,IF(Atletas!I239="Gunshu Grupo B",49,IF(Atletas!I239="Qiangshu Grupo B",50,IF(Atletas!I239="Nangun Grupo B",51,IF(Atletas!I239="Gunshu Grupo A",52,IF(Atletas!I239="Qiangshu Grupo A",53,IF(Atletas!I239="Nangun Grupo A",54,IF(Atletas!I239="Gunshu Opcional",55,IF(Atletas!I239="Qiangshu Opcional",56,IF(Atletas!I239="Nangun Opcional",57,IF(Atletas!I239="Gunshu Adulto",58,IF(Atletas!I239="Qiangshu Adulto",59,IF(Atletas!I239="Nangun Adulto",60,""))))))))))))))))))))</f>
        <v/>
      </c>
      <c r="BF243" s="52" t="str">
        <f>IF(Atletas!J239="","",IF(Atletas!B239="Feminino",100,IF(Atletas!B239="Masculino",200,""))+(IF(Atletas!J239="Equipe 1 Grupo B",1,IF(Atletas!J239="Equipe 2 Grupo B",2,IF(Atletas!J239="Equipe 1 Grupo A",3,IF(Atletas!J239="Equipe 2 Grupo A",4,IF(Atletas!J239="Equipe 1 Adulto",5,IF(Atletas!J239="Equipe 2 Adulto",6,""))))))))</f>
        <v/>
      </c>
      <c r="BK243" s="52" t="str">
        <f>IF(Atletas!K239="","",IF(Atletas!W239&lt;&gt;"",10000,0)+(IF(Atletas!B239="Feminino",1000,IF(Atletas!B239="Masculino",2000,""))+IF(Atletas!K239="Choylayfut A",1,IF(Atletas!K239="Hunggar A",2,IF(Atletas!K239="Wuzuquan A",3,IF(Atletas!K239="Wingchun A",4,IF(Atletas!K239="Outra Mão de Sul A",5,IF(Atletas!K239="Choylayfut B",6,IF(Atletas!K239="Hunggar B",7,IF(Atletas!K239="Wuzuquan B",8,IF(Atletas!K239="Wingchun B",9,IF(Atletas!K239="Outra Mão de Sul B",10,IF(Atletas!K239="Choylayfut C",11,IF(Atletas!K239="Hunggar C",12,IF(Atletas!K239="Wuzuquan C",13,IF(Atletas!K239="Wingchun C",14,IF(Atletas!K239="Outra Mão de Sul C",15,IF(Atletas!K239="Choylayfut D",16,IF(Atletas!K239="Hunggar D",17,IF(Atletas!K239="Wuzuquan D",18,IF(Atletas!K239="Wingchun D",19,IF(Atletas!K239="Outra Mão de Sul D",20,IF(Atletas!K239="Choylayfut E",21,IF(Atletas!K239="Hunggar E",22,IF(Atletas!K239="Wuzuquan E",23,IF(Atletas!K239="Wingchun E",24,IF(Atletas!K239="Outra Mão de Sul E",25,IF(Atletas!K239="Choylayfut F",26,IF(Atletas!K239="Hunggar F",27,IF(Atletas!K239="Wuzuquan F",28,IF(Atletas!K239="Wingchun F",29,IF(Atletas!K239="Outra Mão de Sul F",30,""))))))))))))))))))))))))))))))))</f>
        <v/>
      </c>
      <c r="BL243" s="52" t="str">
        <f>IF(Atletas!L239="","",IF(Atletas!W239&lt;&gt;"",10000,0)+(IF(Atletas!B239="Feminino",1000,IF(Atletas!B239="Masculino",2000,""))+(IF(Atletas!L239="Chaquan A",101,IF(Atletas!L239="Emeiquan A",102,IF(Atletas!L239="Fanziquan A",103,IF(Atletas!L239="Huaquan A",104,IF(Atletas!L239="Hongquan A",105,IF(Atletas!L239="Paochui A",106,IF(Atletas!L239="Piguaquan A",107,IF(Atletas!L239="Shaolinquan A",108,IF(Atletas!L239="Tanglangquan A",109,IF(Atletas!L239="Yinzhaophai A",110,IF(Atletas!L239="Tongbeiquan A",111,IF(Atletas!L239="Wudangquan A",112,IF(Atletas!L239="Outros Estilos A",113,IF(Atletas!L239="Chaquan B",114,IF(Atletas!L239="Emeiquan B",115,IF(Atletas!L239="Fanziquan B",116,IF(Atletas!L239="Huaquan B",117,IF(Atletas!L239="Hongquan B",118,IF(Atletas!L239="Paochui B",119,IF(Atletas!L239="Piguaquan B",120,IF(Atletas!L239="Shaolinquan B",121,IF(Atletas!L239="Tanglangquan B",122,IF(Atletas!L239="Yinzhaophai B",123,IF(Atletas!L239="Tongbeiquan B",124,IF(Atletas!L239="Wudangquan B",125,IF(Atletas!L239="Outros Estilos B",126,IF(Atletas!L239="Chaquan C",127,IF(Atletas!L239="Emeiquan C",128,IF(Atletas!L239="Fanziquan C",129,IF(Atletas!L239="Huaquan C",130,IF(Atletas!L239="Hongquan C",131,IF(Atletas!L239="Paochui C",132,IF(Atletas!L239="Piguaquan C",133,IF(Atletas!L239="Shaolinquan C",134,IF(Atletas!L239="Tanglangquan C",135,IF(Atletas!L239="Yinzhaophai C",136,IF(Atletas!L239="Tongbeiquan C",137,IF(Atletas!L239="Wudangquan C",138,IF(Atletas!L239="Outros Estilos C",139,0))))))))))))))))))))))))))))))))))))))))))</f>
        <v/>
      </c>
      <c r="BM243" s="52" t="str">
        <f>IF(Atletas!L239="","",IF(Atletas!W239&lt;&gt;"",10000,0)+(IF(Atletas!B239="Feminino",1000,IF(Atletas!B239="Masculino",2000,""))+(IF(Atletas!L239="Chaquan D",140,IF(Atletas!L239="Emeiquan D",141,IF(Atletas!L239="Fanziquan D",142,IF(Atletas!L239="Huaquan D",143,IF(Atletas!L239="Hongquan D",144,IF(Atletas!L239="Paochui D",145,IF(Atletas!L239="Piguaquan D",146,IF(Atletas!L239="Shaolinquan D",147,IF(Atletas!L239="Tanglangquan D",148,IF(Atletas!L239="Yinzhaophai D",149,IF(Atletas!L239="Tongbeiquan D",150,IF(Atletas!L239="Wudangquan D",151,IF(Atletas!L239="Outros Estilos D",152,IF(Atletas!L239="Chaquan E",153,IF(Atletas!L239="Emeiquan E",154,IF(Atletas!L239="Fanziquan E",155,IF(Atletas!L239="Huaquan E",156,IF(Atletas!L239="Hongquan E",157,IF(Atletas!L239="Paochui E",158,IF(Atletas!L239="Piguaquan E",159,IF(Atletas!L239="Shaolinquan E",160,IF(Atletas!L239="Tanglangquan E",161,IF(Atletas!L239="Yinzhaophai E",162,IF(Atletas!L239="Tongbeiquan E",163,IF(Atletas!L239="Wudangquan E",164,IF(Atletas!L239="Outros Estilos E",165,IF(Atletas!L239="Chaquan F",166,IF(Atletas!L239="Emeiquan F",167,IF(Atletas!L239="Fanziquan F",168,IF(Atletas!L239="Huaquan F",169,IF(Atletas!L239="Hongquan F",170,IF(Atletas!L239="Paochui F",171,IF(Atletas!L239="Piguaquan F",172,IF(Atletas!L239="Shaolinquan F",173,IF(Atletas!L239="Tanglangquan F",174,IF(Atletas!L239="Yinzhaophai F",175,IF(Atletas!L239="Tongbeiquan F",176,IF(Atletas!L239="Wudangquan F",177,IF(Atletas!L239="Outros Estilos F",178,0))))))))))))))))))))))))))))))))))))))))))</f>
        <v/>
      </c>
      <c r="BN243" s="52" t="str">
        <f>IF(Atletas!M239="","",IF(Atletas!W239&lt;&gt;"",10000,0)+(IF(Atletas!B239="Feminino",1000,IF(Atletas!B239="Masculino",2000,""))+(IF(Atletas!M239="Ditangquan A",201,IF(Atletas!M239="Houquan A",202,IF(Atletas!M239="Zuiquan A",203,IF(Atletas!M239="Ditangquan B",204,IF(Atletas!M239="Houquan B",205,IF(Atletas!M239="Zuiquan B",206,IF(Atletas!M239="Ditangquan C",207,IF(Atletas!M239="Houquan C",208,IF(Atletas!M239="Zuiquan C",209,IF(Atletas!M239="Ditangquan D",210,IF(Atletas!M239="Houquan D",211,IF(Atletas!M239="Zuiquan D",212,IF(Atletas!M239="Ditangquan E",213,IF(Atletas!M239="Houquan E",214,IF(Atletas!M239="Zuiquan E",215,IF(Atletas!M239="Ditangquan F",216,IF(Atletas!M239="Houquan F",217,IF(Atletas!M239="Zuiquan F",218,"")))))))))))))))))))))</f>
        <v/>
      </c>
      <c r="BO243" s="52" t="str">
        <f>IF(Atletas!N239="","",IF(Atletas!W239&lt;&gt;"",10000,0)+IF(Atletas!B239="Feminino",1000,IF(Atletas!B239="Masculino",2000,""))+IF(Atletas!N239="Yang A",301,IF(Atletas!N239="Chen A",30,IF(Atletas!N239="Sun A",303,IF(Atletas!N239="Wu A",304,IF(Atletas!N239="Wu-Hao A",305,IF(Atletas!N239="Outro Taijiquan A",306,IF(Atletas!N239="Yang B",307,IF(Atletas!N239="Chen B",308,IF(Atletas!N239="Sun B",309,IF(Atletas!N239="Wu B",310,IF(Atletas!N239="Wu-Hao B",311,IF(Atletas!N239="Outro Taijiquan B",312,IF(Atletas!N239="Yang C",313,IF(Atletas!N239="Chen C",314,IF(Atletas!N239="Sun C",315,IF(Atletas!N239="Wu C",316,IF(Atletas!N239="Wu-Hao C",317,IF(Atletas!N239="Outro Taijiquan C",318,IF(Atletas!N239="Yang D",319,IF(Atletas!N239="Chen D",320,IF(Atletas!N239="Sun D",321,IF(Atletas!N239="Wu D",322,IF(Atletas!N239="Wu-Hao D",323,IF(Atletas!N239="Outro Taijiquan D",324,IF(Atletas!N239="Yang E",325,IF(Atletas!N239="Chen E",326,IF(Atletas!N239="Sun E",327,IF(Atletas!N239="Wu E",328,IF(Atletas!N239="Wu-Hao E",329,IF(Atletas!N239="Outro Taijiquan E",330,IF(Atletas!N239="Yang F",331,IF(Atletas!N239="Chen F",332,IF(Atletas!N239="Sun F",333,IF(Atletas!N239="Wu F",334,IF(Atletas!N239="Wu-Hao F",335,IF(Atletas!N239="Outro Taijiquan F",336,"")))))))))))))))))))))))))))))))))))))</f>
        <v/>
      </c>
      <c r="BP243" s="52" t="str">
        <f>IF(Atletas!O239="","",IF(Atletas!W239&lt;&gt;"",10000,0)+IF(Atletas!B239="Feminino",1000,IF(Atletas!B239="Masculino",2000,""))+IF(OR(Atletas!O239="Yang 26 A",Atletas!O239="Yang 40 A"),401,IF(OR(Atletas!O239="Chen 25 A",Atletas!O239="Chen 36 A",Atletas!O239="Chen 56 A"),402,IF(Atletas!O239="Sun 73 A",403,IF(Atletas!O239="Wu 45 A",404,IF(Atletas!O239="Wu-Hao 46 A",405,IF(OR(Atletas!O239="Taijiquan 16 A",Atletas!O239="Taijiquan 24 A",Atletas!O239="Taijiquan 32 A",Atletas!O239="Taijiquan 42 A"),406,IF(OR(Atletas!O239="Yang 26 B",Atletas!O239="Yang 40 B"),407,IF(OR(Atletas!O239="Chen 25 B",Atletas!O239="Chen 36 B",Atletas!O239="Chen 56 B"),408,IF(Atletas!O239="Sun 73 B",409,IF(Atletas!O239="Wu 45 B",410,IF(Atletas!O239="Wu-Hao 46 B",411,IF(OR(Atletas!O239="Taijiquan 16 B",Atletas!O239="Taijiquan 24 B",Atletas!O239="Taijiquan 32 B",Atletas!O239="Taijiquan 42 B"),412,IF(OR(Atletas!O239="Yang 26 C",Atletas!O239="Yang 40 C"),413,IF(OR(Atletas!O239="Chen 25 C",Atletas!O239="Chen 36 C",Atletas!O239="Chen 56 C"),414,IF(Atletas!O239="Sun 73 C",415,IF(Atletas!O239="Wu 45 C",416,IF(Atletas!O239="Wu-Hao 46 C",417,IF(OR(Atletas!O239="Taijiquan 16 C",Atletas!O239="Taijiquan 24 C",Atletas!O239="Taijiquan 32 C",Atletas!O239="Taijiquan 42 C"),418,0)))))))))))))))))))</f>
        <v/>
      </c>
      <c r="BQ243" s="52" t="str">
        <f>IF(Atletas!O239="","",IF(Atletas!W239&lt;&gt;"",10000,0)+IF(Atletas!B239="Feminino",1000,IF(Atletas!B239="Masculino",2000,""))+IF(OR(Atletas!O239="Yang 26 D",Atletas!O239="Yang 40 D"),419,IF(OR(Atletas!O239="Chen 25 D",Atletas!O239="Chen 36 D",Atletas!O239="Chen 56 D"),420,IF(Atletas!O239="Sun 73 D",421,IF(Atletas!O239="Wu 45 D",422,IF(Atletas!O239="Wu-Hao 46 D",423,IF(OR(Atletas!O239="Taijiquan 16 D",Atletas!O239="Taijiquan 24 D",Atletas!O239="Taijiquan 32 D",Atletas!O239="Taijiquan 42 D"),424,IF(OR(Atletas!O239="Yang 26 E",Atletas!O239="Yang 40 E"),425,IF(OR(Atletas!O239="Chen 25 E",Atletas!O239="Chen 36 E",Atletas!O239="Chen 56 E"),426,IF(Atletas!O239="Sun 73 E",427,IF(Atletas!O239="Wu 45 E",428,IF(Atletas!O239="Wu-Hao 46 E",429,IF(OR(Atletas!O239="Taijiquan 16 E",Atletas!O239="Taijiquan 24 E",Atletas!O239="Taijiquan 32 E",Atletas!O239="Taijiquan 42 E"),430,IF(OR(Atletas!O239="Yang 26 F",Atletas!O239="Yang 40 F"),431,IF(OR(Atletas!O239="Chen 25 F",Atletas!O239="Chen 36 F",Atletas!O239="Chen 56 F"),432,IF(Atletas!O239="Sun 73 F",433,IF(Atletas!O239="Wu 45 F",434,IF(Atletas!O239="Wu-Hao 46 F",435,IF(OR(Atletas!O239="Taijiquan 16 F",Atletas!O239="Taijiquan 24 F",Atletas!O239="Taijiquan 32 F",Atletas!O239="Taijiquan 42 F"),436,0)))))))))))))))))))</f>
        <v/>
      </c>
      <c r="BR243" s="52" t="str">
        <f>IF(Atletas!P239="","",IF(Atletas!W239&lt;&gt;"",10000,0)+IF(Atletas!B239="Feminino",1000,IF(Atletas!B239="Masculino",2000,""))+IF(Atletas!P239="Xingyiquan A",501,IF(Atletas!P239="Baguazhang A",502,IF(Atletas!P239="Outro Estilo Interno A",503,IF(Atletas!P239="Xingyiquan B",504,IF(Atletas!P239="Baguazhang B",505,IF(Atletas!P239="Outro Estilo Interno B",506,IF(Atletas!P239="Xingyiquan C",507,IF(Atletas!P239="Baguazhang C",508,IF(Atletas!P239="Outro Estilo Interno C",509,IF(Atletas!P239="Xingyiquan D",510,IF(Atletas!P239="Baguazhang D",511,IF(Atletas!P239="Outro Estilo Interno D",512,IF(Atletas!P239="Xingyiquan E",513,IF(Atletas!P239="Baguazhang E",514,IF(Atletas!P239="Outro Estilo Interno E",515,IF(Atletas!P239="Xingyiquan F",516,IF(Atletas!P239="Baguazhang F",517,IF(Atletas!P239="Outro Estilo Interno F",518, "")))))))))))))))))))</f>
        <v/>
      </c>
      <c r="BS243" s="52" t="str">
        <f>IF(Atletas!Q239="","",IF(Atletas!W239&lt;&gt;"",10000,0)+IF(Atletas!B239="Feminino",1000,IF(Atletas!B239="Masculino",2000,""))+IF(Atletas!Q239="Dao A",601,IF(Atletas!Q239="Jian A",602,IF(Atletas!Q239="Bishou A",603,IF(Atletas!Q239="Shan A",604,IF(Atletas!Q239="Outra Arma Curta A",605,IF(Atletas!Q239="Dao B",606,IF(Atletas!Q239="Jian B",607,IF(Atletas!Q239="Bishou B",608,IF(Atletas!Q239="Shan B",609,IF(Atletas!Q239="Outra Arma Curta B",610,IF(Atletas!Q239="Dao C",611,IF(Atletas!Q239="Jian C",612,IF(Atletas!Q239="Bishou C",613,IF(Atletas!Q239="Shan C",614,IF(Atletas!Q239="Outra Arma Curta C",615,IF(Atletas!Q239="Dao D",616,IF(Atletas!Q239="Jian D",617,IF(Atletas!Q239="Bishou D",618,IF(Atletas!Q239="Shan D",619,IF(Atletas!Q239="Outra Arma Curta D",620,IF(Atletas!Q239="Dao E",621,IF(Atletas!Q239="Jian E",622,IF(Atletas!Q239="Bishou E",623,IF(Atletas!Q239="Shan E",624,IF(Atletas!Q239="Outra Arma Curta E",625,IF(Atletas!Q239="Dao F",626,IF(Atletas!Q239="Jian F",627,IF(Atletas!Q239="Bishou F",628,IF(Atletas!Q239="Shan F",629,IF(Atletas!Q239="Outra Arma Curta F",630, "")))))))))))))))))))))))))))))))</f>
        <v/>
      </c>
      <c r="BT243" s="52" t="str">
        <f>IF(Atletas!R239="","",IF(Atletas!W239&lt;&gt;"",10000,0)+IF(Atletas!B239="Feminino",1000,IF(Atletas!B239="Masculino",2000,""))+IF(Atletas!R239="Gun A",701,IF(Atletas!R239="Qiang A",702,IF(Atletas!R239="Pudao / Guandao A",703,IF(Atletas!R239="Outra Arma Longa A",704,IF(Atletas!R239="Gun B",705,IF(Atletas!R239="Qiang B",706,IF(Atletas!R239="Pudao / Guandao B",707,IF(Atletas!R239="Outra Arma Longa B",708,IF(Atletas!R239="Gun C",709,IF(Atletas!R239="Qiang C",710,IF(Atletas!R239="Pudao / Guandao C",711,IF(Atletas!R239="Outra Arma Longa C",712,IF(Atletas!R239="Gun D",713,IF(Atletas!R239="Qiang D",714,IF(Atletas!R239="Pudao / Guandao D",715,IF(Atletas!R239="Outra Arma Longa D",716,IF(Atletas!R239="Gun E",717,IF(Atletas!R239="Qiang E",718,IF(Atletas!R239="Pudao / Guandao E",719,IF(Atletas!R239="Outra Arma Longa E",720,IF(Atletas!R239="Gun F",721,IF(Atletas!R239="Qiang F",722,IF(Atletas!R239="Pudao / Guandao F",723,IF(Atletas!R239="Outra Arma Longa F",724,"")))))))))))))))))))))))))</f>
        <v/>
      </c>
      <c r="BU243" s="52" t="str">
        <f>IF(Atletas!S239="","",IF(Atletas!W239&lt;&gt;"",10000,0)+IF(Atletas!B239="Feminino",1000,IF(Atletas!B239="Masculino",2000,""))+IF(Atletas!S239="Arma Dupla A",801,IF(Atletas!S239="Arma Maleável A",802,IF(Atletas!S239="Arma Dupla B",803,IF(Atletas!S239="Arma Maleável B",804,IF(Atletas!S239="Arma Dupla C",805,IF(Atletas!S239="Arma Maleável C",806,IF(Atletas!S239="Arma Dupla D",807,IF(Atletas!S239="Arma Maleável D",808,IF(Atletas!S239="Arma Dupla E",809,IF(Atletas!S239="Arma Maleável E",810,IF(Atletas!S239="Arma Dupla F",811,IF(Atletas!S239="Arma Maleável F",812, "")))))))))))))</f>
        <v/>
      </c>
      <c r="BV243" s="52" t="str">
        <f>IF(Atletas!T239="","",IF(Atletas!W239&lt;&gt;"",10000,0)+IF(Atletas!B239="Feminino",1000,IF(Atletas!B239="Masculino",2000,""))+IF(Atletas!T239="Taijijian Yang A",901,IF(Atletas!T239="Taijijian Chen A",902,IF(Atletas!T239="Taijijian Sun A",903,IF(Atletas!T239="Taijijian Wu A",904,IF(Atletas!T239="Taijijian Wu-Hao A",905,IF(Atletas!T239="Taijijian 32 A",906,IF(Atletas!T239="Taijijian 42 A",907,IF(Atletas!T239="Taijijian Yang B",908,IF(Atletas!T239="Taijijian Chen B",909,IF(Atletas!T239="Taijijian Sun B",910,IF(Atletas!T239="Taijijian Wu B",911,IF(Atletas!T239="Taijijian Wu-Hao B",912,IF(Atletas!T239="Taijijian 32 B",913,IF(Atletas!T239="Taijijian 42 B",914,IF(Atletas!T239="Taijijian Yang C",915,IF(Atletas!T239="Taijijian Chen C",916,IF(Atletas!T239="Taijijian Sun C",917,IF(Atletas!T239="Taijijian Wu C",918,IF(Atletas!T239="Taijijian Wu-Hao C",919,IF(Atletas!T239="Taijijian 32 C",920,IF(Atletas!T239="Taijijian 42 C",921,IF(Atletas!T239="Taijijian Yang D",922,IF(Atletas!T239="Taijijian Chen D",923,IF(Atletas!T239="Taijijian Sun D",924,IF(Atletas!T239="Taijijian Wu D",925,IF(Atletas!T239="Taijijian Wu-Hao D",926,IF(Atletas!T239="Taijijian 32 D",927,IF(Atletas!T239="Taijijian 42 D",928,IF(Atletas!T239="Taijijian Yang E",929,IF(Atletas!T239="Taijijian Chen E",930,IF(Atletas!T239="Taijijian Sun E",931,IF(Atletas!T239="Taijijian Wu E",932,IF(Atletas!T239="Taijijian Wu-Hao E",933,IF(Atletas!T239="Taijijian 32 E",934,IF(Atletas!T239="Taijijian 42 E",935,IF(Atletas!T239="Taijijian Yang F",936,IF(Atletas!T239="Taijijian Chen F",937,IF(Atletas!T239="Taijijian Sun F",938,IF(Atletas!T239="Taijijian Wu F",939,IF(Atletas!T239="Taijijian Wu-Hao F",940,IF(Atletas!T239="Taijijian 32 F",941,IF(Atletas!T239="Taijijian 42 F",942,"")))))))))))))))))))))))))))))))))))))))))))</f>
        <v/>
      </c>
      <c r="BW243" s="52" t="str">
        <f>IF(Atletas!U239="","",IF(Atletas!W239&lt;&gt;"",10000,0)+IF(Atletas!B239="Feminino",1000,IF(Atletas!B239="Masculino",2000,""))+IF(Atletas!T239="Taijijian 42 F",942,IF(Atletas!U239="Taijidao A",943,IF(Atletas!U239="Taijishan A",944,IF(Atletas!U239="Taijiqiang A",945,IF(Atletas!U239="Taijidao B",946,IF(Atletas!U239="Taijishan B",947,IF(Atletas!U239="Taijiqiang B",948,IF(Atletas!U239="Taijidao C",949,IF(Atletas!U239="Taijishan C",950,IF(Atletas!U239="Taijiqiang C",951,IF(Atletas!U239="Taijidao D",952,IF(Atletas!U239="Taijishan D",953,IF(Atletas!U239="Taijiqiang D",954,IF(Atletas!U239="Taijidao E",955,IF(Atletas!U239="Taijishan E",956,IF(Atletas!U239="Taijiqiang E",957,IF(Atletas!U239="Taijidao F",958,IF(Atletas!U239="Taijishan F",959,IF(Atletas!U239="Taijiqiang F",960))))))))))))))))))))</f>
        <v/>
      </c>
      <c r="BX243" s="72" t="str">
        <f>IF(BY243&lt;&gt;"","Dao E","")</f>
        <v/>
      </c>
      <c r="BY243" s="72" t="str">
        <f>IF(COUNTIF(BK:BW,1621)&gt;0,COUNTIF(BK:BW,1621),"")</f>
        <v/>
      </c>
      <c r="BZ243" s="72" t="str">
        <f>IF(CA243&lt;&gt;"","Dao E","")</f>
        <v/>
      </c>
      <c r="CA243" s="72" t="str">
        <f>IF(COUNTIF(BK:BW,2621)&gt;0,COUNTIF(BK:BW,2621),"")</f>
        <v/>
      </c>
      <c r="CB243" s="72" t="str">
        <f>IF(CC243&lt;&gt;"","Wu-Hao 46 F","")</f>
        <v/>
      </c>
      <c r="CC243" s="64" t="str">
        <f>IF(COUNTIF(BK:BW,11475)&gt;0,COUNTIF(BK:BW,11475),"")</f>
        <v/>
      </c>
      <c r="CD243" s="64" t="str">
        <f>IF(CE243&lt;&gt;"","Wu-Hao 46 F","")</f>
        <v/>
      </c>
      <c r="CE243" s="64" t="str">
        <f>IF(COUNTIF(BK:BW,12475)&gt;0,COUNTIF(BK:BW,12475),"")</f>
        <v/>
      </c>
      <c r="CF243" s="52" t="str">
        <f xml:space="preserve"> IF(Atletas!V239="","",IF(Atletas!V239="Duilian de Mãos AB - Equipe 1",1,IF(Atletas!V239="Duilian de Mãos AB - Equipe 2",2,IF(Atletas!V239="Duilian de Armas AB - Equipe 1",3,IF(Atletas!V239="Duilian de Armas AB - Equipe 2",4,IF(Atletas!V239="Duilian de Tuishou - Equipe 1",5,IF(Atletas!V239="Duilian de Tuishou - Equipe 2",6,IF(Atletas!V239="Grupo Externo AB - Equipe 1",7,IF(Atletas!V239="Grupo Externo AB - Equipe 2",8,IF(Atletas!V239="Grupo Interno AB - Equipe 1",9,IF(Atletas!V239="Grupo Interno AB - Equipe 2",10,IF(Atletas!V239="Duilian de Mãos CD - Equipe 1",11,IF(Atletas!V239="Duilian de Mãos CD - Equipe 2",12,IF(Atletas!V239="Duilian de Armas CD - Equipe 1",13,IF(Atletas!V239="Duilian de Armas CD - Equipe 2",14,IF(Atletas!V239="Duilian de Tuishou - Equipe 1",15,IF(Atletas!V239="Duilian de Tuishou - Equipe 2",16,IF(Atletas!V239="Grupo Externo CDEF - Equipe 1",17,IF(Atletas!V239="Grupo Externo CDEF - Equipe 2",18,IF(Atletas!V239="Grupo Interno CDEF - Equipe 1",19,IF(Atletas!V239="Grupo Interno CDEF - Equipe 2",20,IF(Atletas!V239="Duilian de Mãos EF - Equipe 1",21,IF(Atletas!V239="Duilian de Mãos EF - Equipe 2",22,IF(Atletas!V239="Duilian de Armas EF - Equipe 1",23,IF(Atletas!V239="Duilian de Armas EF - Equipe 2",24,IF(Atletas!V239="Duilian de Tuishou - Equipe 1",25,IF(Atletas!V239="Duilian de Tuishou - Equipe 2",26,"")))))))))))))))))))))))))))</f>
        <v/>
      </c>
    </row>
    <row r="244" spans="2:84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 t="str">
        <f t="array" ref="V244">IFERROR(INDEX(BX$7:BX$336,SMALL(IF(BX$7:BX$336&lt;&gt;"",ROW(BX$7:BX$336)-ROW(BX$7)+1),ROWS(BX$7:BX204))),"")</f>
        <v/>
      </c>
      <c r="W244" s="4" t="str">
        <f t="array" ref="W244">IFERROR(INDEX(BY$7:BY$336,SMALL(IF(BY$7:BY$336&lt;&gt;"",ROW(BY$7:BY$336)-ROW(BY$7)+1),ROWS(BY$7:BY204))),"")</f>
        <v/>
      </c>
      <c r="X244" s="4" t="str">
        <f t="array" ref="X244">IFERROR(INDEX(BZ$7:BZ$336,SMALL(IF(BZ$7:BZ$336&lt;&gt;"",ROW(BZ$7:BZ$336)-ROW(BZ$7)+1),ROWS(BZ$7:BZ204))),"")</f>
        <v/>
      </c>
      <c r="Y244" s="4" t="str">
        <f t="array" ref="Y244">IFERROR(INDEX(CA$7:CA$336,SMALL(IF(CA$7:CA$336&lt;&gt;"",ROW(CA$7:CA$336)-ROW(CA$7)+1),ROWS(CA$7:CA204))),"")</f>
        <v/>
      </c>
      <c r="Z244" s="4" t="str">
        <f t="array" ref="Z244">IFERROR(INDEX(CB$7:CB$378,SMALL(IF(CB$7:CB$378&lt;&gt;"",ROW(CB$7:CB$378)-ROW(CB$7)+1),ROWS(CB$7:CB243))),"")</f>
        <v/>
      </c>
      <c r="AA244" s="4" t="str">
        <f t="array" ref="AA244">IFERROR(INDEX(CC$7:CC$378,SMALL(IF(CC$7:CC$378&lt;&gt;"",ROW(CC$7:CC$378)-ROW(CC$7)+1),ROWS(CC$7:CC243))),"")</f>
        <v/>
      </c>
      <c r="AB244" s="4" t="str">
        <f t="array" ref="AB244">IFERROR(INDEX(CD$7:CD$378,SMALL(IF(CD$7:CD$378&lt;&gt;"",ROW(CD$7:CD$378)-ROW(CD$7)+1),ROWS(CD$7:CD243))),"")</f>
        <v/>
      </c>
      <c r="AC244" s="4" t="str">
        <f t="array" ref="AC244">IFERROR(INDEX(CE$7:CE$378,SMALL(IF(CE$7:CE$378&lt;&gt;"",ROW(CE$7:CE$378)-ROW(CE$7)+1),ROWS(CE$7:CE243))),"")</f>
        <v/>
      </c>
      <c r="AD244" s="4"/>
      <c r="AE244" s="4"/>
      <c r="AF244" s="4"/>
      <c r="AG244" s="4"/>
      <c r="AH244" s="4"/>
      <c r="AI244" s="4"/>
      <c r="AJ244" s="46" t="str">
        <f>IF(Atletas!D240="","",IF(Atletas!B240="Feminino",100,IF(Atletas!B240="Masculino",200,""))+(IF(Atletas!D240="Infantil 39kg",1,IF(Atletas!D240="Infantil 42kg",2,IF(Atletas!D240="Infantil 45kg",3,IF(Atletas!D240="Infantil 48kg",4,IF(Atletas!D240="Infantil 52kg",5,IF(Atletas!D240="Infantil 56kg",6,IF(Atletas!D240="Infantil 60kg",7,IF(Atletas!D240="Juvenil 48kg",8,IF(Atletas!D240="Juvenil 52kg",9,IF(Atletas!D240="Juvenil 56kg",10,IF(Atletas!D240="Juvenil 60kg",11,IF(Atletas!D240="Juvenil 65kg",12,IF(Atletas!D240="Juvenil 70kg",13,IF(Atletas!D240="Juvenil 75kg",14,IF(Atletas!D240="Juvenil 80kg",15,IF(Atletas!D240="Adulto 48kg",16,IF(Atletas!D240="Adulto 52kg",17,IF(Atletas!D240="Adulto 56kg",18,IF(Atletas!D240="Adulto 60kg",19,IF(Atletas!D240="Adulto 65kg",20,IF(Atletas!D240="Adulto 70kg",21,IF(Atletas!D240="Adulto 75kg",22,IF(Atletas!D240="Adulto 80kg",23,IF(Atletas!D240="Adulto 85kg",24,IF(Atletas!D240="Adulto 90kg",25,IF(Atletas!D240="Adulto +90kg",26,""))))))))))))))))))))))))))))</f>
        <v/>
      </c>
      <c r="AO244" s="10" t="str">
        <f>IF(Atletas!E240="","",IF(Atletas!B240="Feminino",100,IF(Atletas!B240="Masculino",200,""))+(IF(Atletas!E240="Juvenil 44kg",1,IF(Atletas!E240="Juvenil 48kg",2,IF(Atletas!E240="Juvenil 52kg",3,IF(Atletas!E240="Juvenil 56kg",4,IF(Atletas!E240="Juvenil 60kg",5,IF(Atletas!E240="Juvenil 65kg",6,IF(Atletas!E240="Juvenil 70kg",7,IF(Atletas!E240="Juvenil 75kg",8,IF(Atletas!E240="Juvenil 82kg",9,IF(Atletas!E240="Juvenil 90kg",10,IF(Atletas!E240="Juvenil 100kg",11,IF(Atletas!E240="Adulto 48kg",12,IF(Atletas!E240="Adulto 52kg",13,IF(Atletas!E240="Adulto 56kg",14,IF(Atletas!E240="Adulto 60kg",15,IF(Atletas!E240="Adulto 65kg",16,IF(Atletas!E240="Adulto 70kg",17,IF(Atletas!E240="Adulto 75kg",18,IF(Atletas!E240="Adulto 82kg",19,IF(Atletas!E240="Adulto 90kg",20,IF(Atletas!E240="Adulto 100kg",21,IF(Atletas!E240="Adulto +100kg",22,""))))))))))))))))))))))))</f>
        <v/>
      </c>
      <c r="AT244" s="10" t="str">
        <f>IF(Atletas!F240="","",IF(Atletas!B240="Feminino",100,IF(Atletas!B240="Masculino",200,""))+(IF(Atletas!F240="Adulto 48kg",1,IF(Atletas!F240="Adulto 56kg",2,IF(Atletas!F240="Adulto 65kg",3,IF(Atletas!F240="Adulto 75kg",4,IF(Atletas!F240="Adulto +75kg",5,IF(Atletas!F240="Adulto 52kg",6,IF(Atletas!F240="Adulto 60kg",7,IF(Atletas!F240="Adulto 70kg",8,IF(Atletas!F240="Adulto 80kg",9,IF(Atletas!F240="Adulto 90kg",10,IF(Atletas!F240="Adulto +90kg",11,"")))))))))))))</f>
        <v/>
      </c>
      <c r="AY244" s="46" t="str">
        <f>IF(Atletas!G240="","",IF(Atletas!B240="Feminino",100,IF(Atletas!B240="Masculino",200,""))+(IF(Atletas!G240="Changquan Mirim",1,IF(Atletas!G240="Nanquan Mirim",2,IF(Atletas!G240="Taijiquan Mirim",3,IF(Atletas!G240="Changquan Grupo C",4,IF(Atletas!G240="Nanquan Grupo C",5,IF(Atletas!G240="Taijiquan Grupo C",6,IF(Atletas!G240="Changquan Grupo B",7,IF(Atletas!G240="Nanquan Grupo B",8,IF(Atletas!G240="Taijiquan Grupo B",9,IF(Atletas!G240="Changquan Grupo A",10,IF(Atletas!G240="Nanquan Grupo A",11,IF(Atletas!G240="Taijiquan Grupo A",12,IF(Atletas!G240="Changquan Opcional",13,IF(Atletas!G240="Nanquan Opcional",14,IF(Atletas!G240="Taijiquan Opcional",15,IF(Atletas!G240="Changquan Adulto",16,IF(Atletas!G240="Nanquan Adulto",17,IF(Atletas!G240="Taijiquan Adulto",18,""))))))))))))))))))))</f>
        <v/>
      </c>
      <c r="AZ244" s="46" t="str">
        <f>IF(Atletas!H240="","",IF(Atletas!B240="Feminino",100,IF(Atletas!B240="Masculino",200,""))+(IF(Atletas!H240="Daoshu Mirim",19,IF(Atletas!H240="Jianshu Mirim",20,IF(Atletas!H240="Nandao Mirim",21,IF(Atletas!H240="Taijijian Mirim",22,IF(Atletas!H240="Daoshu Grupo C",23,IF(Atletas!H240="Jianshu Grupo C",24,IF(Atletas!H240="Nandao Grupo C",25,IF(Atletas!H240="Taijijian Grupo C",26,IF(Atletas!H240="Daoshu Grupo B",27,IF(Atletas!H240="Jianshu Grupo B",28,IF(Atletas!H240="Nandao Grupo B",29,IF(Atletas!H240="Taijijian Grupo B",30,IF(Atletas!H240="Daoshu Grupo A",31,IF(Atletas!H240="Jianshu Grupo A",32,IF(Atletas!H240="Nandao Grupo A",33,IF(Atletas!H240="Taijijian Grupo A",34,IF(Atletas!H240="Daoshu Opcional",35,IF(Atletas!H240="Jianshu Opcional",36,IF(Atletas!H240="Nandao Opcional",37,IF(Atletas!H240="Taijijian Opcional",38,IF(Atletas!H240="Daoshu Adulto",39,IF(Atletas!H240="Jianshu Adulto",40,IF(Atletas!H240="Nandao Adulto",41,IF(Atletas!H240="Taijijian Adulto",42,""))))))))))))))))))))))))))</f>
        <v/>
      </c>
      <c r="BA244" s="46" t="str">
        <f>IF(Atletas!I240="","",IF(Atletas!B240="Feminino",100,IF(Atletas!B240="Masculino",200,""))+(IF(Atletas!I240="Gunshu Mirim",43,IF(Atletas!I240="Qiangshu Mirim",44,IF(Atletas!I240="Nangun Mirim",45,IF(Atletas!I240="Gunshu Grupo C",46,IF(Atletas!I240="Qiangshu Grupo C",47,IF(Atletas!I240="Nangun Grupo C",48,IF(Atletas!I240="Gunshu Grupo B",49,IF(Atletas!I240="Qiangshu Grupo B",50,IF(Atletas!I240="Nangun Grupo B",51,IF(Atletas!I240="Gunshu Grupo A",52,IF(Atletas!I240="Qiangshu Grupo A",53,IF(Atletas!I240="Nangun Grupo A",54,IF(Atletas!I240="Gunshu Opcional",55,IF(Atletas!I240="Qiangshu Opcional",56,IF(Atletas!I240="Nangun Opcional",57,IF(Atletas!I240="Gunshu Adulto",58,IF(Atletas!I240="Qiangshu Adulto",59,IF(Atletas!I240="Nangun Adulto",60,""))))))))))))))))))))</f>
        <v/>
      </c>
      <c r="BF244" s="52" t="str">
        <f>IF(Atletas!J240="","",IF(Atletas!B240="Feminino",100,IF(Atletas!B240="Masculino",200,""))+(IF(Atletas!J240="Equipe 1 Grupo B",1,IF(Atletas!J240="Equipe 2 Grupo B",2,IF(Atletas!J240="Equipe 1 Grupo A",3,IF(Atletas!J240="Equipe 2 Grupo A",4,IF(Atletas!J240="Equipe 1 Adulto",5,IF(Atletas!J240="Equipe 2 Adulto",6,""))))))))</f>
        <v/>
      </c>
      <c r="BK244" s="52" t="str">
        <f>IF(Atletas!K240="","",IF(Atletas!W240&lt;&gt;"",10000,0)+(IF(Atletas!B240="Feminino",1000,IF(Atletas!B240="Masculino",2000,""))+IF(Atletas!K240="Choylayfut A",1,IF(Atletas!K240="Hunggar A",2,IF(Atletas!K240="Wuzuquan A",3,IF(Atletas!K240="Wingchun A",4,IF(Atletas!K240="Outra Mão de Sul A",5,IF(Atletas!K240="Choylayfut B",6,IF(Atletas!K240="Hunggar B",7,IF(Atletas!K240="Wuzuquan B",8,IF(Atletas!K240="Wingchun B",9,IF(Atletas!K240="Outra Mão de Sul B",10,IF(Atletas!K240="Choylayfut C",11,IF(Atletas!K240="Hunggar C",12,IF(Atletas!K240="Wuzuquan C",13,IF(Atletas!K240="Wingchun C",14,IF(Atletas!K240="Outra Mão de Sul C",15,IF(Atletas!K240="Choylayfut D",16,IF(Atletas!K240="Hunggar D",17,IF(Atletas!K240="Wuzuquan D",18,IF(Atletas!K240="Wingchun D",19,IF(Atletas!K240="Outra Mão de Sul D",20,IF(Atletas!K240="Choylayfut E",21,IF(Atletas!K240="Hunggar E",22,IF(Atletas!K240="Wuzuquan E",23,IF(Atletas!K240="Wingchun E",24,IF(Atletas!K240="Outra Mão de Sul E",25,IF(Atletas!K240="Choylayfut F",26,IF(Atletas!K240="Hunggar F",27,IF(Atletas!K240="Wuzuquan F",28,IF(Atletas!K240="Wingchun F",29,IF(Atletas!K240="Outra Mão de Sul F",30,""))))))))))))))))))))))))))))))))</f>
        <v/>
      </c>
      <c r="BL244" s="52" t="str">
        <f>IF(Atletas!L240="","",IF(Atletas!W240&lt;&gt;"",10000,0)+(IF(Atletas!B240="Feminino",1000,IF(Atletas!B240="Masculino",2000,""))+(IF(Atletas!L240="Chaquan A",101,IF(Atletas!L240="Emeiquan A",102,IF(Atletas!L240="Fanziquan A",103,IF(Atletas!L240="Huaquan A",104,IF(Atletas!L240="Hongquan A",105,IF(Atletas!L240="Paochui A",106,IF(Atletas!L240="Piguaquan A",107,IF(Atletas!L240="Shaolinquan A",108,IF(Atletas!L240="Tanglangquan A",109,IF(Atletas!L240="Yinzhaophai A",110,IF(Atletas!L240="Tongbeiquan A",111,IF(Atletas!L240="Wudangquan A",112,IF(Atletas!L240="Outros Estilos A",113,IF(Atletas!L240="Chaquan B",114,IF(Atletas!L240="Emeiquan B",115,IF(Atletas!L240="Fanziquan B",116,IF(Atletas!L240="Huaquan B",117,IF(Atletas!L240="Hongquan B",118,IF(Atletas!L240="Paochui B",119,IF(Atletas!L240="Piguaquan B",120,IF(Atletas!L240="Shaolinquan B",121,IF(Atletas!L240="Tanglangquan B",122,IF(Atletas!L240="Yinzhaophai B",123,IF(Atletas!L240="Tongbeiquan B",124,IF(Atletas!L240="Wudangquan B",125,IF(Atletas!L240="Outros Estilos B",126,IF(Atletas!L240="Chaquan C",127,IF(Atletas!L240="Emeiquan C",128,IF(Atletas!L240="Fanziquan C",129,IF(Atletas!L240="Huaquan C",130,IF(Atletas!L240="Hongquan C",131,IF(Atletas!L240="Paochui C",132,IF(Atletas!L240="Piguaquan C",133,IF(Atletas!L240="Shaolinquan C",134,IF(Atletas!L240="Tanglangquan C",135,IF(Atletas!L240="Yinzhaophai C",136,IF(Atletas!L240="Tongbeiquan C",137,IF(Atletas!L240="Wudangquan C",138,IF(Atletas!L240="Outros Estilos C",139,0))))))))))))))))))))))))))))))))))))))))))</f>
        <v/>
      </c>
      <c r="BM244" s="52" t="str">
        <f>IF(Atletas!L240="","",IF(Atletas!W240&lt;&gt;"",10000,0)+(IF(Atletas!B240="Feminino",1000,IF(Atletas!B240="Masculino",2000,""))+(IF(Atletas!L240="Chaquan D",140,IF(Atletas!L240="Emeiquan D",141,IF(Atletas!L240="Fanziquan D",142,IF(Atletas!L240="Huaquan D",143,IF(Atletas!L240="Hongquan D",144,IF(Atletas!L240="Paochui D",145,IF(Atletas!L240="Piguaquan D",146,IF(Atletas!L240="Shaolinquan D",147,IF(Atletas!L240="Tanglangquan D",148,IF(Atletas!L240="Yinzhaophai D",149,IF(Atletas!L240="Tongbeiquan D",150,IF(Atletas!L240="Wudangquan D",151,IF(Atletas!L240="Outros Estilos D",152,IF(Atletas!L240="Chaquan E",153,IF(Atletas!L240="Emeiquan E",154,IF(Atletas!L240="Fanziquan E",155,IF(Atletas!L240="Huaquan E",156,IF(Atletas!L240="Hongquan E",157,IF(Atletas!L240="Paochui E",158,IF(Atletas!L240="Piguaquan E",159,IF(Atletas!L240="Shaolinquan E",160,IF(Atletas!L240="Tanglangquan E",161,IF(Atletas!L240="Yinzhaophai E",162,IF(Atletas!L240="Tongbeiquan E",163,IF(Atletas!L240="Wudangquan E",164,IF(Atletas!L240="Outros Estilos E",165,IF(Atletas!L240="Chaquan F",166,IF(Atletas!L240="Emeiquan F",167,IF(Atletas!L240="Fanziquan F",168,IF(Atletas!L240="Huaquan F",169,IF(Atletas!L240="Hongquan F",170,IF(Atletas!L240="Paochui F",171,IF(Atletas!L240="Piguaquan F",172,IF(Atletas!L240="Shaolinquan F",173,IF(Atletas!L240="Tanglangquan F",174,IF(Atletas!L240="Yinzhaophai F",175,IF(Atletas!L240="Tongbeiquan F",176,IF(Atletas!L240="Wudangquan F",177,IF(Atletas!L240="Outros Estilos F",178,0))))))))))))))))))))))))))))))))))))))))))</f>
        <v/>
      </c>
      <c r="BN244" s="52" t="str">
        <f>IF(Atletas!M240="","",IF(Atletas!W240&lt;&gt;"",10000,0)+(IF(Atletas!B240="Feminino",1000,IF(Atletas!B240="Masculino",2000,""))+(IF(Atletas!M240="Ditangquan A",201,IF(Atletas!M240="Houquan A",202,IF(Atletas!M240="Zuiquan A",203,IF(Atletas!M240="Ditangquan B",204,IF(Atletas!M240="Houquan B",205,IF(Atletas!M240="Zuiquan B",206,IF(Atletas!M240="Ditangquan C",207,IF(Atletas!M240="Houquan C",208,IF(Atletas!M240="Zuiquan C",209,IF(Atletas!M240="Ditangquan D",210,IF(Atletas!M240="Houquan D",211,IF(Atletas!M240="Zuiquan D",212,IF(Atletas!M240="Ditangquan E",213,IF(Atletas!M240="Houquan E",214,IF(Atletas!M240="Zuiquan E",215,IF(Atletas!M240="Ditangquan F",216,IF(Atletas!M240="Houquan F",217,IF(Atletas!M240="Zuiquan F",218,"")))))))))))))))))))))</f>
        <v/>
      </c>
      <c r="BO244" s="52" t="str">
        <f>IF(Atletas!N240="","",IF(Atletas!W240&lt;&gt;"",10000,0)+IF(Atletas!B240="Feminino",1000,IF(Atletas!B240="Masculino",2000,""))+IF(Atletas!N240="Yang A",301,IF(Atletas!N240="Chen A",30,IF(Atletas!N240="Sun A",303,IF(Atletas!N240="Wu A",304,IF(Atletas!N240="Wu-Hao A",305,IF(Atletas!N240="Outro Taijiquan A",306,IF(Atletas!N240="Yang B",307,IF(Atletas!N240="Chen B",308,IF(Atletas!N240="Sun B",309,IF(Atletas!N240="Wu B",310,IF(Atletas!N240="Wu-Hao B",311,IF(Atletas!N240="Outro Taijiquan B",312,IF(Atletas!N240="Yang C",313,IF(Atletas!N240="Chen C",314,IF(Atletas!N240="Sun C",315,IF(Atletas!N240="Wu C",316,IF(Atletas!N240="Wu-Hao C",317,IF(Atletas!N240="Outro Taijiquan C",318,IF(Atletas!N240="Yang D",319,IF(Atletas!N240="Chen D",320,IF(Atletas!N240="Sun D",321,IF(Atletas!N240="Wu D",322,IF(Atletas!N240="Wu-Hao D",323,IF(Atletas!N240="Outro Taijiquan D",324,IF(Atletas!N240="Yang E",325,IF(Atletas!N240="Chen E",326,IF(Atletas!N240="Sun E",327,IF(Atletas!N240="Wu E",328,IF(Atletas!N240="Wu-Hao E",329,IF(Atletas!N240="Outro Taijiquan E",330,IF(Atletas!N240="Yang F",331,IF(Atletas!N240="Chen F",332,IF(Atletas!N240="Sun F",333,IF(Atletas!N240="Wu F",334,IF(Atletas!N240="Wu-Hao F",335,IF(Atletas!N240="Outro Taijiquan F",336,"")))))))))))))))))))))))))))))))))))))</f>
        <v/>
      </c>
      <c r="BP244" s="52" t="str">
        <f>IF(Atletas!O240="","",IF(Atletas!W240&lt;&gt;"",10000,0)+IF(Atletas!B240="Feminino",1000,IF(Atletas!B240="Masculino",2000,""))+IF(OR(Atletas!O240="Yang 26 A",Atletas!O240="Yang 40 A"),401,IF(OR(Atletas!O240="Chen 25 A",Atletas!O240="Chen 36 A",Atletas!O240="Chen 56 A"),402,IF(Atletas!O240="Sun 73 A",403,IF(Atletas!O240="Wu 45 A",404,IF(Atletas!O240="Wu-Hao 46 A",405,IF(OR(Atletas!O240="Taijiquan 16 A",Atletas!O240="Taijiquan 24 A",Atletas!O240="Taijiquan 32 A",Atletas!O240="Taijiquan 42 A"),406,IF(OR(Atletas!O240="Yang 26 B",Atletas!O240="Yang 40 B"),407,IF(OR(Atletas!O240="Chen 25 B",Atletas!O240="Chen 36 B",Atletas!O240="Chen 56 B"),408,IF(Atletas!O240="Sun 73 B",409,IF(Atletas!O240="Wu 45 B",410,IF(Atletas!O240="Wu-Hao 46 B",411,IF(OR(Atletas!O240="Taijiquan 16 B",Atletas!O240="Taijiquan 24 B",Atletas!O240="Taijiquan 32 B",Atletas!O240="Taijiquan 42 B"),412,IF(OR(Atletas!O240="Yang 26 C",Atletas!O240="Yang 40 C"),413,IF(OR(Atletas!O240="Chen 25 C",Atletas!O240="Chen 36 C",Atletas!O240="Chen 56 C"),414,IF(Atletas!O240="Sun 73 C",415,IF(Atletas!O240="Wu 45 C",416,IF(Atletas!O240="Wu-Hao 46 C",417,IF(OR(Atletas!O240="Taijiquan 16 C",Atletas!O240="Taijiquan 24 C",Atletas!O240="Taijiquan 32 C",Atletas!O240="Taijiquan 42 C"),418,0)))))))))))))))))))</f>
        <v/>
      </c>
      <c r="BQ244" s="52" t="str">
        <f>IF(Atletas!O240="","",IF(Atletas!W240&lt;&gt;"",10000,0)+IF(Atletas!B240="Feminino",1000,IF(Atletas!B240="Masculino",2000,""))+IF(OR(Atletas!O240="Yang 26 D",Atletas!O240="Yang 40 D"),419,IF(OR(Atletas!O240="Chen 25 D",Atletas!O240="Chen 36 D",Atletas!O240="Chen 56 D"),420,IF(Atletas!O240="Sun 73 D",421,IF(Atletas!O240="Wu 45 D",422,IF(Atletas!O240="Wu-Hao 46 D",423,IF(OR(Atletas!O240="Taijiquan 16 D",Atletas!O240="Taijiquan 24 D",Atletas!O240="Taijiquan 32 D",Atletas!O240="Taijiquan 42 D"),424,IF(OR(Atletas!O240="Yang 26 E",Atletas!O240="Yang 40 E"),425,IF(OR(Atletas!O240="Chen 25 E",Atletas!O240="Chen 36 E",Atletas!O240="Chen 56 E"),426,IF(Atletas!O240="Sun 73 E",427,IF(Atletas!O240="Wu 45 E",428,IF(Atletas!O240="Wu-Hao 46 E",429,IF(OR(Atletas!O240="Taijiquan 16 E",Atletas!O240="Taijiquan 24 E",Atletas!O240="Taijiquan 32 E",Atletas!O240="Taijiquan 42 E"),430,IF(OR(Atletas!O240="Yang 26 F",Atletas!O240="Yang 40 F"),431,IF(OR(Atletas!O240="Chen 25 F",Atletas!O240="Chen 36 F",Atletas!O240="Chen 56 F"),432,IF(Atletas!O240="Sun 73 F",433,IF(Atletas!O240="Wu 45 F",434,IF(Atletas!O240="Wu-Hao 46 F",435,IF(OR(Atletas!O240="Taijiquan 16 F",Atletas!O240="Taijiquan 24 F",Atletas!O240="Taijiquan 32 F",Atletas!O240="Taijiquan 42 F"),436,0)))))))))))))))))))</f>
        <v/>
      </c>
      <c r="BR244" s="52" t="str">
        <f>IF(Atletas!P240="","",IF(Atletas!W240&lt;&gt;"",10000,0)+IF(Atletas!B240="Feminino",1000,IF(Atletas!B240="Masculino",2000,""))+IF(Atletas!P240="Xingyiquan A",501,IF(Atletas!P240="Baguazhang A",502,IF(Atletas!P240="Outro Estilo Interno A",503,IF(Atletas!P240="Xingyiquan B",504,IF(Atletas!P240="Baguazhang B",505,IF(Atletas!P240="Outro Estilo Interno B",506,IF(Atletas!P240="Xingyiquan C",507,IF(Atletas!P240="Baguazhang C",508,IF(Atletas!P240="Outro Estilo Interno C",509,IF(Atletas!P240="Xingyiquan D",510,IF(Atletas!P240="Baguazhang D",511,IF(Atletas!P240="Outro Estilo Interno D",512,IF(Atletas!P240="Xingyiquan E",513,IF(Atletas!P240="Baguazhang E",514,IF(Atletas!P240="Outro Estilo Interno E",515,IF(Atletas!P240="Xingyiquan F",516,IF(Atletas!P240="Baguazhang F",517,IF(Atletas!P240="Outro Estilo Interno F",518, "")))))))))))))))))))</f>
        <v/>
      </c>
      <c r="BS244" s="52" t="str">
        <f>IF(Atletas!Q240="","",IF(Atletas!W240&lt;&gt;"",10000,0)+IF(Atletas!B240="Feminino",1000,IF(Atletas!B240="Masculino",2000,""))+IF(Atletas!Q240="Dao A",601,IF(Atletas!Q240="Jian A",602,IF(Atletas!Q240="Bishou A",603,IF(Atletas!Q240="Shan A",604,IF(Atletas!Q240="Outra Arma Curta A",605,IF(Atletas!Q240="Dao B",606,IF(Atletas!Q240="Jian B",607,IF(Atletas!Q240="Bishou B",608,IF(Atletas!Q240="Shan B",609,IF(Atletas!Q240="Outra Arma Curta B",610,IF(Atletas!Q240="Dao C",611,IF(Atletas!Q240="Jian C",612,IF(Atletas!Q240="Bishou C",613,IF(Atletas!Q240="Shan C",614,IF(Atletas!Q240="Outra Arma Curta C",615,IF(Atletas!Q240="Dao D",616,IF(Atletas!Q240="Jian D",617,IF(Atletas!Q240="Bishou D",618,IF(Atletas!Q240="Shan D",619,IF(Atletas!Q240="Outra Arma Curta D",620,IF(Atletas!Q240="Dao E",621,IF(Atletas!Q240="Jian E",622,IF(Atletas!Q240="Bishou E",623,IF(Atletas!Q240="Shan E",624,IF(Atletas!Q240="Outra Arma Curta E",625,IF(Atletas!Q240="Dao F",626,IF(Atletas!Q240="Jian F",627,IF(Atletas!Q240="Bishou F",628,IF(Atletas!Q240="Shan F",629,IF(Atletas!Q240="Outra Arma Curta F",630, "")))))))))))))))))))))))))))))))</f>
        <v/>
      </c>
      <c r="BT244" s="52" t="str">
        <f>IF(Atletas!R240="","",IF(Atletas!W240&lt;&gt;"",10000,0)+IF(Atletas!B240="Feminino",1000,IF(Atletas!B240="Masculino",2000,""))+IF(Atletas!R240="Gun A",701,IF(Atletas!R240="Qiang A",702,IF(Atletas!R240="Pudao / Guandao A",703,IF(Atletas!R240="Outra Arma Longa A",704,IF(Atletas!R240="Gun B",705,IF(Atletas!R240="Qiang B",706,IF(Atletas!R240="Pudao / Guandao B",707,IF(Atletas!R240="Outra Arma Longa B",708,IF(Atletas!R240="Gun C",709,IF(Atletas!R240="Qiang C",710,IF(Atletas!R240="Pudao / Guandao C",711,IF(Atletas!R240="Outra Arma Longa C",712,IF(Atletas!R240="Gun D",713,IF(Atletas!R240="Qiang D",714,IF(Atletas!R240="Pudao / Guandao D",715,IF(Atletas!R240="Outra Arma Longa D",716,IF(Atletas!R240="Gun E",717,IF(Atletas!R240="Qiang E",718,IF(Atletas!R240="Pudao / Guandao E",719,IF(Atletas!R240="Outra Arma Longa E",720,IF(Atletas!R240="Gun F",721,IF(Atletas!R240="Qiang F",722,IF(Atletas!R240="Pudao / Guandao F",723,IF(Atletas!R240="Outra Arma Longa F",724,"")))))))))))))))))))))))))</f>
        <v/>
      </c>
      <c r="BU244" s="52" t="str">
        <f>IF(Atletas!S240="","",IF(Atletas!W240&lt;&gt;"",10000,0)+IF(Atletas!B240="Feminino",1000,IF(Atletas!B240="Masculino",2000,""))+IF(Atletas!S240="Arma Dupla A",801,IF(Atletas!S240="Arma Maleável A",802,IF(Atletas!S240="Arma Dupla B",803,IF(Atletas!S240="Arma Maleável B",804,IF(Atletas!S240="Arma Dupla C",805,IF(Atletas!S240="Arma Maleável C",806,IF(Atletas!S240="Arma Dupla D",807,IF(Atletas!S240="Arma Maleável D",808,IF(Atletas!S240="Arma Dupla E",809,IF(Atletas!S240="Arma Maleável E",810,IF(Atletas!S240="Arma Dupla F",811,IF(Atletas!S240="Arma Maleável F",812, "")))))))))))))</f>
        <v/>
      </c>
      <c r="BV244" s="52" t="str">
        <f>IF(Atletas!T240="","",IF(Atletas!W240&lt;&gt;"",10000,0)+IF(Atletas!B240="Feminino",1000,IF(Atletas!B240="Masculino",2000,""))+IF(Atletas!T240="Taijijian Yang A",901,IF(Atletas!T240="Taijijian Chen A",902,IF(Atletas!T240="Taijijian Sun A",903,IF(Atletas!T240="Taijijian Wu A",904,IF(Atletas!T240="Taijijian Wu-Hao A",905,IF(Atletas!T240="Taijijian 32 A",906,IF(Atletas!T240="Taijijian 42 A",907,IF(Atletas!T240="Taijijian Yang B",908,IF(Atletas!T240="Taijijian Chen B",909,IF(Atletas!T240="Taijijian Sun B",910,IF(Atletas!T240="Taijijian Wu B",911,IF(Atletas!T240="Taijijian Wu-Hao B",912,IF(Atletas!T240="Taijijian 32 B",913,IF(Atletas!T240="Taijijian 42 B",914,IF(Atletas!T240="Taijijian Yang C",915,IF(Atletas!T240="Taijijian Chen C",916,IF(Atletas!T240="Taijijian Sun C",917,IF(Atletas!T240="Taijijian Wu C",918,IF(Atletas!T240="Taijijian Wu-Hao C",919,IF(Atletas!T240="Taijijian 32 C",920,IF(Atletas!T240="Taijijian 42 C",921,IF(Atletas!T240="Taijijian Yang D",922,IF(Atletas!T240="Taijijian Chen D",923,IF(Atletas!T240="Taijijian Sun D",924,IF(Atletas!T240="Taijijian Wu D",925,IF(Atletas!T240="Taijijian Wu-Hao D",926,IF(Atletas!T240="Taijijian 32 D",927,IF(Atletas!T240="Taijijian 42 D",928,IF(Atletas!T240="Taijijian Yang E",929,IF(Atletas!T240="Taijijian Chen E",930,IF(Atletas!T240="Taijijian Sun E",931,IF(Atletas!T240="Taijijian Wu E",932,IF(Atletas!T240="Taijijian Wu-Hao E",933,IF(Atletas!T240="Taijijian 32 E",934,IF(Atletas!T240="Taijijian 42 E",935,IF(Atletas!T240="Taijijian Yang F",936,IF(Atletas!T240="Taijijian Chen F",937,IF(Atletas!T240="Taijijian Sun F",938,IF(Atletas!T240="Taijijian Wu F",939,IF(Atletas!T240="Taijijian Wu-Hao F",940,IF(Atletas!T240="Taijijian 32 F",941,IF(Atletas!T240="Taijijian 42 F",942,"")))))))))))))))))))))))))))))))))))))))))))</f>
        <v/>
      </c>
      <c r="BW244" s="52" t="str">
        <f>IF(Atletas!U240="","",IF(Atletas!W240&lt;&gt;"",10000,0)+IF(Atletas!B240="Feminino",1000,IF(Atletas!B240="Masculino",2000,""))+IF(Atletas!T240="Taijijian 42 F",942,IF(Atletas!U240="Taijidao A",943,IF(Atletas!U240="Taijishan A",944,IF(Atletas!U240="Taijiqiang A",945,IF(Atletas!U240="Taijidao B",946,IF(Atletas!U240="Taijishan B",947,IF(Atletas!U240="Taijiqiang B",948,IF(Atletas!U240="Taijidao C",949,IF(Atletas!U240="Taijishan C",950,IF(Atletas!U240="Taijiqiang C",951,IF(Atletas!U240="Taijidao D",952,IF(Atletas!U240="Taijishan D",953,IF(Atletas!U240="Taijiqiang D",954,IF(Atletas!U240="Taijidao E",955,IF(Atletas!U240="Taijishan E",956,IF(Atletas!U240="Taijiqiang E",957,IF(Atletas!U240="Taijidao F",958,IF(Atletas!U240="Taijishan F",959,IF(Atletas!U240="Taijiqiang F",960))))))))))))))))))))</f>
        <v/>
      </c>
      <c r="BX244" s="72" t="str">
        <f>IF(BY244&lt;&gt;"","Jian E","")</f>
        <v/>
      </c>
      <c r="BY244" s="72" t="str">
        <f>IF(COUNTIF(BK:BW,1622)&gt;0,COUNTIF(BK:BW,1622),"")</f>
        <v/>
      </c>
      <c r="BZ244" s="72" t="str">
        <f>IF(CA244&lt;&gt;"","Jian E","")</f>
        <v/>
      </c>
      <c r="CA244" s="72" t="str">
        <f>IF(COUNTIF(BK:BW,2622)&gt;0,COUNTIF(BK:BW,2622),"")</f>
        <v/>
      </c>
      <c r="CB244" s="72" t="str">
        <f>IF(CC244&lt;&gt;"","Wu-Hao Novo F","")</f>
        <v/>
      </c>
      <c r="CC244" s="64" t="str">
        <f>IF(COUNTIF(BK:BW,11476)&gt;0,COUNTIF(BK:BW,11476),"")</f>
        <v/>
      </c>
      <c r="CD244" s="64" t="str">
        <f>IF(CE244&lt;&gt;"","Wu-Hao Novo F","")</f>
        <v/>
      </c>
      <c r="CE244" s="64" t="str">
        <f>IF(COUNTIF(BK:BW,12476)&gt;0,COUNTIF(BK:BW,12476),"")</f>
        <v/>
      </c>
      <c r="CF244" s="52" t="str">
        <f xml:space="preserve"> IF(Atletas!V240="","",IF(Atletas!V240="Duilian de Mãos AB - Equipe 1",1,IF(Atletas!V240="Duilian de Mãos AB - Equipe 2",2,IF(Atletas!V240="Duilian de Armas AB - Equipe 1",3,IF(Atletas!V240="Duilian de Armas AB - Equipe 2",4,IF(Atletas!V240="Duilian de Tuishou - Equipe 1",5,IF(Atletas!V240="Duilian de Tuishou - Equipe 2",6,IF(Atletas!V240="Grupo Externo AB - Equipe 1",7,IF(Atletas!V240="Grupo Externo AB - Equipe 2",8,IF(Atletas!V240="Grupo Interno AB - Equipe 1",9,IF(Atletas!V240="Grupo Interno AB - Equipe 2",10,IF(Atletas!V240="Duilian de Mãos CD - Equipe 1",11,IF(Atletas!V240="Duilian de Mãos CD - Equipe 2",12,IF(Atletas!V240="Duilian de Armas CD - Equipe 1",13,IF(Atletas!V240="Duilian de Armas CD - Equipe 2",14,IF(Atletas!V240="Duilian de Tuishou - Equipe 1",15,IF(Atletas!V240="Duilian de Tuishou - Equipe 2",16,IF(Atletas!V240="Grupo Externo CDEF - Equipe 1",17,IF(Atletas!V240="Grupo Externo CDEF - Equipe 2",18,IF(Atletas!V240="Grupo Interno CDEF - Equipe 1",19,IF(Atletas!V240="Grupo Interno CDEF - Equipe 2",20,IF(Atletas!V240="Duilian de Mãos EF - Equipe 1",21,IF(Atletas!V240="Duilian de Mãos EF - Equipe 2",22,IF(Atletas!V240="Duilian de Armas EF - Equipe 1",23,IF(Atletas!V240="Duilian de Armas EF - Equipe 2",24,IF(Atletas!V240="Duilian de Tuishou - Equipe 1",25,IF(Atletas!V240="Duilian de Tuishou - Equipe 2",26,"")))))))))))))))))))))))))))</f>
        <v/>
      </c>
    </row>
    <row r="245" spans="2:84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 t="str">
        <f t="array" ref="V245">IFERROR(INDEX(BX$7:BX$336,SMALL(IF(BX$7:BX$336&lt;&gt;"",ROW(BX$7:BX$336)-ROW(BX$7)+1),ROWS(BX$7:BX204))),"")</f>
        <v/>
      </c>
      <c r="W245" s="4" t="str">
        <f t="array" ref="W245">IFERROR(INDEX(BY$7:BY$336,SMALL(IF(BY$7:BY$336&lt;&gt;"",ROW(BY$7:BY$336)-ROW(BY$7)+1),ROWS(BY$7:BY204))),"")</f>
        <v/>
      </c>
      <c r="X245" s="4" t="str">
        <f t="array" ref="X245">IFERROR(INDEX(BZ$7:BZ$336,SMALL(IF(BZ$7:BZ$336&lt;&gt;"",ROW(BZ$7:BZ$336)-ROW(BZ$7)+1),ROWS(BZ$7:BZ204))),"")</f>
        <v/>
      </c>
      <c r="Y245" s="4" t="str">
        <f t="array" ref="Y245">IFERROR(INDEX(CA$7:CA$336,SMALL(IF(CA$7:CA$336&lt;&gt;"",ROW(CA$7:CA$336)-ROW(CA$7)+1),ROWS(CA$7:CA204))),"")</f>
        <v/>
      </c>
      <c r="Z245" s="4" t="str">
        <f t="array" ref="Z245">IFERROR(INDEX(CB$7:CB$378,SMALL(IF(CB$7:CB$378&lt;&gt;"",ROW(CB$7:CB$378)-ROW(CB$7)+1),ROWS(CB$7:CB244))),"")</f>
        <v/>
      </c>
      <c r="AA245" s="4" t="str">
        <f t="array" ref="AA245">IFERROR(INDEX(CC$7:CC$378,SMALL(IF(CC$7:CC$378&lt;&gt;"",ROW(CC$7:CC$378)-ROW(CC$7)+1),ROWS(CC$7:CC244))),"")</f>
        <v/>
      </c>
      <c r="AB245" s="4" t="str">
        <f t="array" ref="AB245">IFERROR(INDEX(CD$7:CD$378,SMALL(IF(CD$7:CD$378&lt;&gt;"",ROW(CD$7:CD$378)-ROW(CD$7)+1),ROWS(CD$7:CD244))),"")</f>
        <v/>
      </c>
      <c r="AC245" s="4" t="str">
        <f t="array" ref="AC245">IFERROR(INDEX(CE$7:CE$378,SMALL(IF(CE$7:CE$378&lt;&gt;"",ROW(CE$7:CE$378)-ROW(CE$7)+1),ROWS(CE$7:CE244))),"")</f>
        <v/>
      </c>
      <c r="AD245" s="4"/>
      <c r="AE245" s="4"/>
      <c r="AF245" s="4"/>
      <c r="AG245" s="4"/>
      <c r="AH245" s="4"/>
      <c r="AI245" s="4"/>
      <c r="AJ245" s="46" t="str">
        <f>IF(Atletas!D241="","",IF(Atletas!B241="Feminino",100,IF(Atletas!B241="Masculino",200,""))+(IF(Atletas!D241="Infantil 39kg",1,IF(Atletas!D241="Infantil 42kg",2,IF(Atletas!D241="Infantil 45kg",3,IF(Atletas!D241="Infantil 48kg",4,IF(Atletas!D241="Infantil 52kg",5,IF(Atletas!D241="Infantil 56kg",6,IF(Atletas!D241="Infantil 60kg",7,IF(Atletas!D241="Juvenil 48kg",8,IF(Atletas!D241="Juvenil 52kg",9,IF(Atletas!D241="Juvenil 56kg",10,IF(Atletas!D241="Juvenil 60kg",11,IF(Atletas!D241="Juvenil 65kg",12,IF(Atletas!D241="Juvenil 70kg",13,IF(Atletas!D241="Juvenil 75kg",14,IF(Atletas!D241="Juvenil 80kg",15,IF(Atletas!D241="Adulto 48kg",16,IF(Atletas!D241="Adulto 52kg",17,IF(Atletas!D241="Adulto 56kg",18,IF(Atletas!D241="Adulto 60kg",19,IF(Atletas!D241="Adulto 65kg",20,IF(Atletas!D241="Adulto 70kg",21,IF(Atletas!D241="Adulto 75kg",22,IF(Atletas!D241="Adulto 80kg",23,IF(Atletas!D241="Adulto 85kg",24,IF(Atletas!D241="Adulto 90kg",25,IF(Atletas!D241="Adulto +90kg",26,""))))))))))))))))))))))))))))</f>
        <v/>
      </c>
      <c r="AO245" s="10" t="str">
        <f>IF(Atletas!E241="","",IF(Atletas!B241="Feminino",100,IF(Atletas!B241="Masculino",200,""))+(IF(Atletas!E241="Juvenil 44kg",1,IF(Atletas!E241="Juvenil 48kg",2,IF(Atletas!E241="Juvenil 52kg",3,IF(Atletas!E241="Juvenil 56kg",4,IF(Atletas!E241="Juvenil 60kg",5,IF(Atletas!E241="Juvenil 65kg",6,IF(Atletas!E241="Juvenil 70kg",7,IF(Atletas!E241="Juvenil 75kg",8,IF(Atletas!E241="Juvenil 82kg",9,IF(Atletas!E241="Juvenil 90kg",10,IF(Atletas!E241="Juvenil 100kg",11,IF(Atletas!E241="Adulto 48kg",12,IF(Atletas!E241="Adulto 52kg",13,IF(Atletas!E241="Adulto 56kg",14,IF(Atletas!E241="Adulto 60kg",15,IF(Atletas!E241="Adulto 65kg",16,IF(Atletas!E241="Adulto 70kg",17,IF(Atletas!E241="Adulto 75kg",18,IF(Atletas!E241="Adulto 82kg",19,IF(Atletas!E241="Adulto 90kg",20,IF(Atletas!E241="Adulto 100kg",21,IF(Atletas!E241="Adulto +100kg",22,""))))))))))))))))))))))))</f>
        <v/>
      </c>
      <c r="AT245" s="10" t="str">
        <f>IF(Atletas!F241="","",IF(Atletas!B241="Feminino",100,IF(Atletas!B241="Masculino",200,""))+(IF(Atletas!F241="Adulto 48kg",1,IF(Atletas!F241="Adulto 56kg",2,IF(Atletas!F241="Adulto 65kg",3,IF(Atletas!F241="Adulto 75kg",4,IF(Atletas!F241="Adulto +75kg",5,IF(Atletas!F241="Adulto 52kg",6,IF(Atletas!F241="Adulto 60kg",7,IF(Atletas!F241="Adulto 70kg",8,IF(Atletas!F241="Adulto 80kg",9,IF(Atletas!F241="Adulto 90kg",10,IF(Atletas!F241="Adulto +90kg",11,"")))))))))))))</f>
        <v/>
      </c>
      <c r="AY245" s="46" t="str">
        <f>IF(Atletas!G241="","",IF(Atletas!B241="Feminino",100,IF(Atletas!B241="Masculino",200,""))+(IF(Atletas!G241="Changquan Mirim",1,IF(Atletas!G241="Nanquan Mirim",2,IF(Atletas!G241="Taijiquan Mirim",3,IF(Atletas!G241="Changquan Grupo C",4,IF(Atletas!G241="Nanquan Grupo C",5,IF(Atletas!G241="Taijiquan Grupo C",6,IF(Atletas!G241="Changquan Grupo B",7,IF(Atletas!G241="Nanquan Grupo B",8,IF(Atletas!G241="Taijiquan Grupo B",9,IF(Atletas!G241="Changquan Grupo A",10,IF(Atletas!G241="Nanquan Grupo A",11,IF(Atletas!G241="Taijiquan Grupo A",12,IF(Atletas!G241="Changquan Opcional",13,IF(Atletas!G241="Nanquan Opcional",14,IF(Atletas!G241="Taijiquan Opcional",15,IF(Atletas!G241="Changquan Adulto",16,IF(Atletas!G241="Nanquan Adulto",17,IF(Atletas!G241="Taijiquan Adulto",18,""))))))))))))))))))))</f>
        <v/>
      </c>
      <c r="AZ245" s="46" t="str">
        <f>IF(Atletas!H241="","",IF(Atletas!B241="Feminino",100,IF(Atletas!B241="Masculino",200,""))+(IF(Atletas!H241="Daoshu Mirim",19,IF(Atletas!H241="Jianshu Mirim",20,IF(Atletas!H241="Nandao Mirim",21,IF(Atletas!H241="Taijijian Mirim",22,IF(Atletas!H241="Daoshu Grupo C",23,IF(Atletas!H241="Jianshu Grupo C",24,IF(Atletas!H241="Nandao Grupo C",25,IF(Atletas!H241="Taijijian Grupo C",26,IF(Atletas!H241="Daoshu Grupo B",27,IF(Atletas!H241="Jianshu Grupo B",28,IF(Atletas!H241="Nandao Grupo B",29,IF(Atletas!H241="Taijijian Grupo B",30,IF(Atletas!H241="Daoshu Grupo A",31,IF(Atletas!H241="Jianshu Grupo A",32,IF(Atletas!H241="Nandao Grupo A",33,IF(Atletas!H241="Taijijian Grupo A",34,IF(Atletas!H241="Daoshu Opcional",35,IF(Atletas!H241="Jianshu Opcional",36,IF(Atletas!H241="Nandao Opcional",37,IF(Atletas!H241="Taijijian Opcional",38,IF(Atletas!H241="Daoshu Adulto",39,IF(Atletas!H241="Jianshu Adulto",40,IF(Atletas!H241="Nandao Adulto",41,IF(Atletas!H241="Taijijian Adulto",42,""))))))))))))))))))))))))))</f>
        <v/>
      </c>
      <c r="BA245" s="46" t="str">
        <f>IF(Atletas!I241="","",IF(Atletas!B241="Feminino",100,IF(Atletas!B241="Masculino",200,""))+(IF(Atletas!I241="Gunshu Mirim",43,IF(Atletas!I241="Qiangshu Mirim",44,IF(Atletas!I241="Nangun Mirim",45,IF(Atletas!I241="Gunshu Grupo C",46,IF(Atletas!I241="Qiangshu Grupo C",47,IF(Atletas!I241="Nangun Grupo C",48,IF(Atletas!I241="Gunshu Grupo B",49,IF(Atletas!I241="Qiangshu Grupo B",50,IF(Atletas!I241="Nangun Grupo B",51,IF(Atletas!I241="Gunshu Grupo A",52,IF(Atletas!I241="Qiangshu Grupo A",53,IF(Atletas!I241="Nangun Grupo A",54,IF(Atletas!I241="Gunshu Opcional",55,IF(Atletas!I241="Qiangshu Opcional",56,IF(Atletas!I241="Nangun Opcional",57,IF(Atletas!I241="Gunshu Adulto",58,IF(Atletas!I241="Qiangshu Adulto",59,IF(Atletas!I241="Nangun Adulto",60,""))))))))))))))))))))</f>
        <v/>
      </c>
      <c r="BF245" s="52" t="str">
        <f>IF(Atletas!J241="","",IF(Atletas!B241="Feminino",100,IF(Atletas!B241="Masculino",200,""))+(IF(Atletas!J241="Equipe 1 Grupo B",1,IF(Atletas!J241="Equipe 2 Grupo B",2,IF(Atletas!J241="Equipe 1 Grupo A",3,IF(Atletas!J241="Equipe 2 Grupo A",4,IF(Atletas!J241="Equipe 1 Adulto",5,IF(Atletas!J241="Equipe 2 Adulto",6,""))))))))</f>
        <v/>
      </c>
      <c r="BK245" s="52" t="str">
        <f>IF(Atletas!K241="","",IF(Atletas!W241&lt;&gt;"",10000,0)+(IF(Atletas!B241="Feminino",1000,IF(Atletas!B241="Masculino",2000,""))+IF(Atletas!K241="Choylayfut A",1,IF(Atletas!K241="Hunggar A",2,IF(Atletas!K241="Wuzuquan A",3,IF(Atletas!K241="Wingchun A",4,IF(Atletas!K241="Outra Mão de Sul A",5,IF(Atletas!K241="Choylayfut B",6,IF(Atletas!K241="Hunggar B",7,IF(Atletas!K241="Wuzuquan B",8,IF(Atletas!K241="Wingchun B",9,IF(Atletas!K241="Outra Mão de Sul B",10,IF(Atletas!K241="Choylayfut C",11,IF(Atletas!K241="Hunggar C",12,IF(Atletas!K241="Wuzuquan C",13,IF(Atletas!K241="Wingchun C",14,IF(Atletas!K241="Outra Mão de Sul C",15,IF(Atletas!K241="Choylayfut D",16,IF(Atletas!K241="Hunggar D",17,IF(Atletas!K241="Wuzuquan D",18,IF(Atletas!K241="Wingchun D",19,IF(Atletas!K241="Outra Mão de Sul D",20,IF(Atletas!K241="Choylayfut E",21,IF(Atletas!K241="Hunggar E",22,IF(Atletas!K241="Wuzuquan E",23,IF(Atletas!K241="Wingchun E",24,IF(Atletas!K241="Outra Mão de Sul E",25,IF(Atletas!K241="Choylayfut F",26,IF(Atletas!K241="Hunggar F",27,IF(Atletas!K241="Wuzuquan F",28,IF(Atletas!K241="Wingchun F",29,IF(Atletas!K241="Outra Mão de Sul F",30,""))))))))))))))))))))))))))))))))</f>
        <v/>
      </c>
      <c r="BL245" s="52" t="str">
        <f>IF(Atletas!L241="","",IF(Atletas!W241&lt;&gt;"",10000,0)+(IF(Atletas!B241="Feminino",1000,IF(Atletas!B241="Masculino",2000,""))+(IF(Atletas!L241="Chaquan A",101,IF(Atletas!L241="Emeiquan A",102,IF(Atletas!L241="Fanziquan A",103,IF(Atletas!L241="Huaquan A",104,IF(Atletas!L241="Hongquan A",105,IF(Atletas!L241="Paochui A",106,IF(Atletas!L241="Piguaquan A",107,IF(Atletas!L241="Shaolinquan A",108,IF(Atletas!L241="Tanglangquan A",109,IF(Atletas!L241="Yinzhaophai A",110,IF(Atletas!L241="Tongbeiquan A",111,IF(Atletas!L241="Wudangquan A",112,IF(Atletas!L241="Outros Estilos A",113,IF(Atletas!L241="Chaquan B",114,IF(Atletas!L241="Emeiquan B",115,IF(Atletas!L241="Fanziquan B",116,IF(Atletas!L241="Huaquan B",117,IF(Atletas!L241="Hongquan B",118,IF(Atletas!L241="Paochui B",119,IF(Atletas!L241="Piguaquan B",120,IF(Atletas!L241="Shaolinquan B",121,IF(Atletas!L241="Tanglangquan B",122,IF(Atletas!L241="Yinzhaophai B",123,IF(Atletas!L241="Tongbeiquan B",124,IF(Atletas!L241="Wudangquan B",125,IF(Atletas!L241="Outros Estilos B",126,IF(Atletas!L241="Chaquan C",127,IF(Atletas!L241="Emeiquan C",128,IF(Atletas!L241="Fanziquan C",129,IF(Atletas!L241="Huaquan C",130,IF(Atletas!L241="Hongquan C",131,IF(Atletas!L241="Paochui C",132,IF(Atletas!L241="Piguaquan C",133,IF(Atletas!L241="Shaolinquan C",134,IF(Atletas!L241="Tanglangquan C",135,IF(Atletas!L241="Yinzhaophai C",136,IF(Atletas!L241="Tongbeiquan C",137,IF(Atletas!L241="Wudangquan C",138,IF(Atletas!L241="Outros Estilos C",139,0))))))))))))))))))))))))))))))))))))))))))</f>
        <v/>
      </c>
      <c r="BM245" s="52" t="str">
        <f>IF(Atletas!L241="","",IF(Atletas!W241&lt;&gt;"",10000,0)+(IF(Atletas!B241="Feminino",1000,IF(Atletas!B241="Masculino",2000,""))+(IF(Atletas!L241="Chaquan D",140,IF(Atletas!L241="Emeiquan D",141,IF(Atletas!L241="Fanziquan D",142,IF(Atletas!L241="Huaquan D",143,IF(Atletas!L241="Hongquan D",144,IF(Atletas!L241="Paochui D",145,IF(Atletas!L241="Piguaquan D",146,IF(Atletas!L241="Shaolinquan D",147,IF(Atletas!L241="Tanglangquan D",148,IF(Atletas!L241="Yinzhaophai D",149,IF(Atletas!L241="Tongbeiquan D",150,IF(Atletas!L241="Wudangquan D",151,IF(Atletas!L241="Outros Estilos D",152,IF(Atletas!L241="Chaquan E",153,IF(Atletas!L241="Emeiquan E",154,IF(Atletas!L241="Fanziquan E",155,IF(Atletas!L241="Huaquan E",156,IF(Atletas!L241="Hongquan E",157,IF(Atletas!L241="Paochui E",158,IF(Atletas!L241="Piguaquan E",159,IF(Atletas!L241="Shaolinquan E",160,IF(Atletas!L241="Tanglangquan E",161,IF(Atletas!L241="Yinzhaophai E",162,IF(Atletas!L241="Tongbeiquan E",163,IF(Atletas!L241="Wudangquan E",164,IF(Atletas!L241="Outros Estilos E",165,IF(Atletas!L241="Chaquan F",166,IF(Atletas!L241="Emeiquan F",167,IF(Atletas!L241="Fanziquan F",168,IF(Atletas!L241="Huaquan F",169,IF(Atletas!L241="Hongquan F",170,IF(Atletas!L241="Paochui F",171,IF(Atletas!L241="Piguaquan F",172,IF(Atletas!L241="Shaolinquan F",173,IF(Atletas!L241="Tanglangquan F",174,IF(Atletas!L241="Yinzhaophai F",175,IF(Atletas!L241="Tongbeiquan F",176,IF(Atletas!L241="Wudangquan F",177,IF(Atletas!L241="Outros Estilos F",178,0))))))))))))))))))))))))))))))))))))))))))</f>
        <v/>
      </c>
      <c r="BN245" s="52" t="str">
        <f>IF(Atletas!M241="","",IF(Atletas!W241&lt;&gt;"",10000,0)+(IF(Atletas!B241="Feminino",1000,IF(Atletas!B241="Masculino",2000,""))+(IF(Atletas!M241="Ditangquan A",201,IF(Atletas!M241="Houquan A",202,IF(Atletas!M241="Zuiquan A",203,IF(Atletas!M241="Ditangquan B",204,IF(Atletas!M241="Houquan B",205,IF(Atletas!M241="Zuiquan B",206,IF(Atletas!M241="Ditangquan C",207,IF(Atletas!M241="Houquan C",208,IF(Atletas!M241="Zuiquan C",209,IF(Atletas!M241="Ditangquan D",210,IF(Atletas!M241="Houquan D",211,IF(Atletas!M241="Zuiquan D",212,IF(Atletas!M241="Ditangquan E",213,IF(Atletas!M241="Houquan E",214,IF(Atletas!M241="Zuiquan E",215,IF(Atletas!M241="Ditangquan F",216,IF(Atletas!M241="Houquan F",217,IF(Atletas!M241="Zuiquan F",218,"")))))))))))))))))))))</f>
        <v/>
      </c>
      <c r="BO245" s="52" t="str">
        <f>IF(Atletas!N241="","",IF(Atletas!W241&lt;&gt;"",10000,0)+IF(Atletas!B241="Feminino",1000,IF(Atletas!B241="Masculino",2000,""))+IF(Atletas!N241="Yang A",301,IF(Atletas!N241="Chen A",30,IF(Atletas!N241="Sun A",303,IF(Atletas!N241="Wu A",304,IF(Atletas!N241="Wu-Hao A",305,IF(Atletas!N241="Outro Taijiquan A",306,IF(Atletas!N241="Yang B",307,IF(Atletas!N241="Chen B",308,IF(Atletas!N241="Sun B",309,IF(Atletas!N241="Wu B",310,IF(Atletas!N241="Wu-Hao B",311,IF(Atletas!N241="Outro Taijiquan B",312,IF(Atletas!N241="Yang C",313,IF(Atletas!N241="Chen C",314,IF(Atletas!N241="Sun C",315,IF(Atletas!N241="Wu C",316,IF(Atletas!N241="Wu-Hao C",317,IF(Atletas!N241="Outro Taijiquan C",318,IF(Atletas!N241="Yang D",319,IF(Atletas!N241="Chen D",320,IF(Atletas!N241="Sun D",321,IF(Atletas!N241="Wu D",322,IF(Atletas!N241="Wu-Hao D",323,IF(Atletas!N241="Outro Taijiquan D",324,IF(Atletas!N241="Yang E",325,IF(Atletas!N241="Chen E",326,IF(Atletas!N241="Sun E",327,IF(Atletas!N241="Wu E",328,IF(Atletas!N241="Wu-Hao E",329,IF(Atletas!N241="Outro Taijiquan E",330,IF(Atletas!N241="Yang F",331,IF(Atletas!N241="Chen F",332,IF(Atletas!N241="Sun F",333,IF(Atletas!N241="Wu F",334,IF(Atletas!N241="Wu-Hao F",335,IF(Atletas!N241="Outro Taijiquan F",336,"")))))))))))))))))))))))))))))))))))))</f>
        <v/>
      </c>
      <c r="BP245" s="52" t="str">
        <f>IF(Atletas!O241="","",IF(Atletas!W241&lt;&gt;"",10000,0)+IF(Atletas!B241="Feminino",1000,IF(Atletas!B241="Masculino",2000,""))+IF(OR(Atletas!O241="Yang 26 A",Atletas!O241="Yang 40 A"),401,IF(OR(Atletas!O241="Chen 25 A",Atletas!O241="Chen 36 A",Atletas!O241="Chen 56 A"),402,IF(Atletas!O241="Sun 73 A",403,IF(Atletas!O241="Wu 45 A",404,IF(Atletas!O241="Wu-Hao 46 A",405,IF(OR(Atletas!O241="Taijiquan 16 A",Atletas!O241="Taijiquan 24 A",Atletas!O241="Taijiquan 32 A",Atletas!O241="Taijiquan 42 A"),406,IF(OR(Atletas!O241="Yang 26 B",Atletas!O241="Yang 40 B"),407,IF(OR(Atletas!O241="Chen 25 B",Atletas!O241="Chen 36 B",Atletas!O241="Chen 56 B"),408,IF(Atletas!O241="Sun 73 B",409,IF(Atletas!O241="Wu 45 B",410,IF(Atletas!O241="Wu-Hao 46 B",411,IF(OR(Atletas!O241="Taijiquan 16 B",Atletas!O241="Taijiquan 24 B",Atletas!O241="Taijiquan 32 B",Atletas!O241="Taijiquan 42 B"),412,IF(OR(Atletas!O241="Yang 26 C",Atletas!O241="Yang 40 C"),413,IF(OR(Atletas!O241="Chen 25 C",Atletas!O241="Chen 36 C",Atletas!O241="Chen 56 C"),414,IF(Atletas!O241="Sun 73 C",415,IF(Atletas!O241="Wu 45 C",416,IF(Atletas!O241="Wu-Hao 46 C",417,IF(OR(Atletas!O241="Taijiquan 16 C",Atletas!O241="Taijiquan 24 C",Atletas!O241="Taijiquan 32 C",Atletas!O241="Taijiquan 42 C"),418,0)))))))))))))))))))</f>
        <v/>
      </c>
      <c r="BQ245" s="52" t="str">
        <f>IF(Atletas!O241="","",IF(Atletas!W241&lt;&gt;"",10000,0)+IF(Atletas!B241="Feminino",1000,IF(Atletas!B241="Masculino",2000,""))+IF(OR(Atletas!O241="Yang 26 D",Atletas!O241="Yang 40 D"),419,IF(OR(Atletas!O241="Chen 25 D",Atletas!O241="Chen 36 D",Atletas!O241="Chen 56 D"),420,IF(Atletas!O241="Sun 73 D",421,IF(Atletas!O241="Wu 45 D",422,IF(Atletas!O241="Wu-Hao 46 D",423,IF(OR(Atletas!O241="Taijiquan 16 D",Atletas!O241="Taijiquan 24 D",Atletas!O241="Taijiquan 32 D",Atletas!O241="Taijiquan 42 D"),424,IF(OR(Atletas!O241="Yang 26 E",Atletas!O241="Yang 40 E"),425,IF(OR(Atletas!O241="Chen 25 E",Atletas!O241="Chen 36 E",Atletas!O241="Chen 56 E"),426,IF(Atletas!O241="Sun 73 E",427,IF(Atletas!O241="Wu 45 E",428,IF(Atletas!O241="Wu-Hao 46 E",429,IF(OR(Atletas!O241="Taijiquan 16 E",Atletas!O241="Taijiquan 24 E",Atletas!O241="Taijiquan 32 E",Atletas!O241="Taijiquan 42 E"),430,IF(OR(Atletas!O241="Yang 26 F",Atletas!O241="Yang 40 F"),431,IF(OR(Atletas!O241="Chen 25 F",Atletas!O241="Chen 36 F",Atletas!O241="Chen 56 F"),432,IF(Atletas!O241="Sun 73 F",433,IF(Atletas!O241="Wu 45 F",434,IF(Atletas!O241="Wu-Hao 46 F",435,IF(OR(Atletas!O241="Taijiquan 16 F",Atletas!O241="Taijiquan 24 F",Atletas!O241="Taijiquan 32 F",Atletas!O241="Taijiquan 42 F"),436,0)))))))))))))))))))</f>
        <v/>
      </c>
      <c r="BR245" s="52" t="str">
        <f>IF(Atletas!P241="","",IF(Atletas!W241&lt;&gt;"",10000,0)+IF(Atletas!B241="Feminino",1000,IF(Atletas!B241="Masculino",2000,""))+IF(Atletas!P241="Xingyiquan A",501,IF(Atletas!P241="Baguazhang A",502,IF(Atletas!P241="Outro Estilo Interno A",503,IF(Atletas!P241="Xingyiquan B",504,IF(Atletas!P241="Baguazhang B",505,IF(Atletas!P241="Outro Estilo Interno B",506,IF(Atletas!P241="Xingyiquan C",507,IF(Atletas!P241="Baguazhang C",508,IF(Atletas!P241="Outro Estilo Interno C",509,IF(Atletas!P241="Xingyiquan D",510,IF(Atletas!P241="Baguazhang D",511,IF(Atletas!P241="Outro Estilo Interno D",512,IF(Atletas!P241="Xingyiquan E",513,IF(Atletas!P241="Baguazhang E",514,IF(Atletas!P241="Outro Estilo Interno E",515,IF(Atletas!P241="Xingyiquan F",516,IF(Atletas!P241="Baguazhang F",517,IF(Atletas!P241="Outro Estilo Interno F",518, "")))))))))))))))))))</f>
        <v/>
      </c>
      <c r="BS245" s="52" t="str">
        <f>IF(Atletas!Q241="","",IF(Atletas!W241&lt;&gt;"",10000,0)+IF(Atletas!B241="Feminino",1000,IF(Atletas!B241="Masculino",2000,""))+IF(Atletas!Q241="Dao A",601,IF(Atletas!Q241="Jian A",602,IF(Atletas!Q241="Bishou A",603,IF(Atletas!Q241="Shan A",604,IF(Atletas!Q241="Outra Arma Curta A",605,IF(Atletas!Q241="Dao B",606,IF(Atletas!Q241="Jian B",607,IF(Atletas!Q241="Bishou B",608,IF(Atletas!Q241="Shan B",609,IF(Atletas!Q241="Outra Arma Curta B",610,IF(Atletas!Q241="Dao C",611,IF(Atletas!Q241="Jian C",612,IF(Atletas!Q241="Bishou C",613,IF(Atletas!Q241="Shan C",614,IF(Atletas!Q241="Outra Arma Curta C",615,IF(Atletas!Q241="Dao D",616,IF(Atletas!Q241="Jian D",617,IF(Atletas!Q241="Bishou D",618,IF(Atletas!Q241="Shan D",619,IF(Atletas!Q241="Outra Arma Curta D",620,IF(Atletas!Q241="Dao E",621,IF(Atletas!Q241="Jian E",622,IF(Atletas!Q241="Bishou E",623,IF(Atletas!Q241="Shan E",624,IF(Atletas!Q241="Outra Arma Curta E",625,IF(Atletas!Q241="Dao F",626,IF(Atletas!Q241="Jian F",627,IF(Atletas!Q241="Bishou F",628,IF(Atletas!Q241="Shan F",629,IF(Atletas!Q241="Outra Arma Curta F",630, "")))))))))))))))))))))))))))))))</f>
        <v/>
      </c>
      <c r="BT245" s="52" t="str">
        <f>IF(Atletas!R241="","",IF(Atletas!W241&lt;&gt;"",10000,0)+IF(Atletas!B241="Feminino",1000,IF(Atletas!B241="Masculino",2000,""))+IF(Atletas!R241="Gun A",701,IF(Atletas!R241="Qiang A",702,IF(Atletas!R241="Pudao / Guandao A",703,IF(Atletas!R241="Outra Arma Longa A",704,IF(Atletas!R241="Gun B",705,IF(Atletas!R241="Qiang B",706,IF(Atletas!R241="Pudao / Guandao B",707,IF(Atletas!R241="Outra Arma Longa B",708,IF(Atletas!R241="Gun C",709,IF(Atletas!R241="Qiang C",710,IF(Atletas!R241="Pudao / Guandao C",711,IF(Atletas!R241="Outra Arma Longa C",712,IF(Atletas!R241="Gun D",713,IF(Atletas!R241="Qiang D",714,IF(Atletas!R241="Pudao / Guandao D",715,IF(Atletas!R241="Outra Arma Longa D",716,IF(Atletas!R241="Gun E",717,IF(Atletas!R241="Qiang E",718,IF(Atletas!R241="Pudao / Guandao E",719,IF(Atletas!R241="Outra Arma Longa E",720,IF(Atletas!R241="Gun F",721,IF(Atletas!R241="Qiang F",722,IF(Atletas!R241="Pudao / Guandao F",723,IF(Atletas!R241="Outra Arma Longa F",724,"")))))))))))))))))))))))))</f>
        <v/>
      </c>
      <c r="BU245" s="52" t="str">
        <f>IF(Atletas!S241="","",IF(Atletas!W241&lt;&gt;"",10000,0)+IF(Atletas!B241="Feminino",1000,IF(Atletas!B241="Masculino",2000,""))+IF(Atletas!S241="Arma Dupla A",801,IF(Atletas!S241="Arma Maleável A",802,IF(Atletas!S241="Arma Dupla B",803,IF(Atletas!S241="Arma Maleável B",804,IF(Atletas!S241="Arma Dupla C",805,IF(Atletas!S241="Arma Maleável C",806,IF(Atletas!S241="Arma Dupla D",807,IF(Atletas!S241="Arma Maleável D",808,IF(Atletas!S241="Arma Dupla E",809,IF(Atletas!S241="Arma Maleável E",810,IF(Atletas!S241="Arma Dupla F",811,IF(Atletas!S241="Arma Maleável F",812, "")))))))))))))</f>
        <v/>
      </c>
      <c r="BV245" s="52" t="str">
        <f>IF(Atletas!T241="","",IF(Atletas!W241&lt;&gt;"",10000,0)+IF(Atletas!B241="Feminino",1000,IF(Atletas!B241="Masculino",2000,""))+IF(Atletas!T241="Taijijian Yang A",901,IF(Atletas!T241="Taijijian Chen A",902,IF(Atletas!T241="Taijijian Sun A",903,IF(Atletas!T241="Taijijian Wu A",904,IF(Atletas!T241="Taijijian Wu-Hao A",905,IF(Atletas!T241="Taijijian 32 A",906,IF(Atletas!T241="Taijijian 42 A",907,IF(Atletas!T241="Taijijian Yang B",908,IF(Atletas!T241="Taijijian Chen B",909,IF(Atletas!T241="Taijijian Sun B",910,IF(Atletas!T241="Taijijian Wu B",911,IF(Atletas!T241="Taijijian Wu-Hao B",912,IF(Atletas!T241="Taijijian 32 B",913,IF(Atletas!T241="Taijijian 42 B",914,IF(Atletas!T241="Taijijian Yang C",915,IF(Atletas!T241="Taijijian Chen C",916,IF(Atletas!T241="Taijijian Sun C",917,IF(Atletas!T241="Taijijian Wu C",918,IF(Atletas!T241="Taijijian Wu-Hao C",919,IF(Atletas!T241="Taijijian 32 C",920,IF(Atletas!T241="Taijijian 42 C",921,IF(Atletas!T241="Taijijian Yang D",922,IF(Atletas!T241="Taijijian Chen D",923,IF(Atletas!T241="Taijijian Sun D",924,IF(Atletas!T241="Taijijian Wu D",925,IF(Atletas!T241="Taijijian Wu-Hao D",926,IF(Atletas!T241="Taijijian 32 D",927,IF(Atletas!T241="Taijijian 42 D",928,IF(Atletas!T241="Taijijian Yang E",929,IF(Atletas!T241="Taijijian Chen E",930,IF(Atletas!T241="Taijijian Sun E",931,IF(Atletas!T241="Taijijian Wu E",932,IF(Atletas!T241="Taijijian Wu-Hao E",933,IF(Atletas!T241="Taijijian 32 E",934,IF(Atletas!T241="Taijijian 42 E",935,IF(Atletas!T241="Taijijian Yang F",936,IF(Atletas!T241="Taijijian Chen F",937,IF(Atletas!T241="Taijijian Sun F",938,IF(Atletas!T241="Taijijian Wu F",939,IF(Atletas!T241="Taijijian Wu-Hao F",940,IF(Atletas!T241="Taijijian 32 F",941,IF(Atletas!T241="Taijijian 42 F",942,"")))))))))))))))))))))))))))))))))))))))))))</f>
        <v/>
      </c>
      <c r="BW245" s="52" t="str">
        <f>IF(Atletas!U241="","",IF(Atletas!W241&lt;&gt;"",10000,0)+IF(Atletas!B241="Feminino",1000,IF(Atletas!B241="Masculino",2000,""))+IF(Atletas!T241="Taijijian 42 F",942,IF(Atletas!U241="Taijidao A",943,IF(Atletas!U241="Taijishan A",944,IF(Atletas!U241="Taijiqiang A",945,IF(Atletas!U241="Taijidao B",946,IF(Atletas!U241="Taijishan B",947,IF(Atletas!U241="Taijiqiang B",948,IF(Atletas!U241="Taijidao C",949,IF(Atletas!U241="Taijishan C",950,IF(Atletas!U241="Taijiqiang C",951,IF(Atletas!U241="Taijidao D",952,IF(Atletas!U241="Taijishan D",953,IF(Atletas!U241="Taijiqiang D",954,IF(Atletas!U241="Taijidao E",955,IF(Atletas!U241="Taijishan E",956,IF(Atletas!U241="Taijiqiang E",957,IF(Atletas!U241="Taijidao F",958,IF(Atletas!U241="Taijishan F",959,IF(Atletas!U241="Taijiqiang F",960))))))))))))))))))))</f>
        <v/>
      </c>
      <c r="BX245" s="72" t="str">
        <f>IF(BY245&lt;&gt;"","Bishou E","")</f>
        <v/>
      </c>
      <c r="BY245" s="72" t="str">
        <f>IF(COUNTIF(BK:BW,1623)&gt;0,COUNTIF(BK:BW,1623),"")</f>
        <v/>
      </c>
      <c r="BZ245" s="72" t="str">
        <f>IF(CA245&lt;&gt;"","Bishou E","")</f>
        <v/>
      </c>
      <c r="CA245" s="72" t="str">
        <f>IF(COUNTIF(BK:BW,2623)&gt;0,COUNTIF(BK:BW,2623),"")</f>
        <v/>
      </c>
      <c r="CB245" s="72" t="str">
        <f>IF(CC245&lt;&gt;"","Sun 73 F","")</f>
        <v/>
      </c>
      <c r="CC245" s="64" t="str">
        <f>IF(COUNTIF(BK:BW,11477)&gt;0,COUNTIF(BK:BW,11477),"")</f>
        <v/>
      </c>
      <c r="CD245" s="64" t="str">
        <f>IF(CE245&lt;&gt;"","Sun 73 F","")</f>
        <v/>
      </c>
      <c r="CE245" s="64" t="str">
        <f>IF(COUNTIF(BK:BW,12477)&gt;0,COUNTIF(BK:BW,12477),"")</f>
        <v/>
      </c>
      <c r="CF245" s="52" t="str">
        <f xml:space="preserve"> IF(Atletas!V241="","",IF(Atletas!V241="Duilian de Mãos AB - Equipe 1",1,IF(Atletas!V241="Duilian de Mãos AB - Equipe 2",2,IF(Atletas!V241="Duilian de Armas AB - Equipe 1",3,IF(Atletas!V241="Duilian de Armas AB - Equipe 2",4,IF(Atletas!V241="Duilian de Tuishou - Equipe 1",5,IF(Atletas!V241="Duilian de Tuishou - Equipe 2",6,IF(Atletas!V241="Grupo Externo AB - Equipe 1",7,IF(Atletas!V241="Grupo Externo AB - Equipe 2",8,IF(Atletas!V241="Grupo Interno AB - Equipe 1",9,IF(Atletas!V241="Grupo Interno AB - Equipe 2",10,IF(Atletas!V241="Duilian de Mãos CD - Equipe 1",11,IF(Atletas!V241="Duilian de Mãos CD - Equipe 2",12,IF(Atletas!V241="Duilian de Armas CD - Equipe 1",13,IF(Atletas!V241="Duilian de Armas CD - Equipe 2",14,IF(Atletas!V241="Duilian de Tuishou - Equipe 1",15,IF(Atletas!V241="Duilian de Tuishou - Equipe 2",16,IF(Atletas!V241="Grupo Externo CDEF - Equipe 1",17,IF(Atletas!V241="Grupo Externo CDEF - Equipe 2",18,IF(Atletas!V241="Grupo Interno CDEF - Equipe 1",19,IF(Atletas!V241="Grupo Interno CDEF - Equipe 2",20,IF(Atletas!V241="Duilian de Mãos EF - Equipe 1",21,IF(Atletas!V241="Duilian de Mãos EF - Equipe 2",22,IF(Atletas!V241="Duilian de Armas EF - Equipe 1",23,IF(Atletas!V241="Duilian de Armas EF - Equipe 2",24,IF(Atletas!V241="Duilian de Tuishou - Equipe 1",25,IF(Atletas!V241="Duilian de Tuishou - Equipe 2",26,"")))))))))))))))))))))))))))</f>
        <v/>
      </c>
    </row>
    <row r="246" spans="2:84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 t="str">
        <f t="array" ref="V246">IFERROR(INDEX(BX$7:BX$336,SMALL(IF(BX$7:BX$336&lt;&gt;"",ROW(BX$7:BX$336)-ROW(BX$7)+1),ROWS(BX$7:BX204))),"")</f>
        <v/>
      </c>
      <c r="W246" s="4" t="str">
        <f t="array" ref="W246">IFERROR(INDEX(BY$7:BY$336,SMALL(IF(BY$7:BY$336&lt;&gt;"",ROW(BY$7:BY$336)-ROW(BY$7)+1),ROWS(BY$7:BY204))),"")</f>
        <v/>
      </c>
      <c r="X246" s="4" t="str">
        <f t="array" ref="X246">IFERROR(INDEX(BZ$7:BZ$336,SMALL(IF(BZ$7:BZ$336&lt;&gt;"",ROW(BZ$7:BZ$336)-ROW(BZ$7)+1),ROWS(BZ$7:BZ204))),"")</f>
        <v/>
      </c>
      <c r="Y246" s="4" t="str">
        <f t="array" ref="Y246">IFERROR(INDEX(CA$7:CA$336,SMALL(IF(CA$7:CA$336&lt;&gt;"",ROW(CA$7:CA$336)-ROW(CA$7)+1),ROWS(CA$7:CA204))),"")</f>
        <v/>
      </c>
      <c r="Z246" s="4" t="str">
        <f t="array" ref="Z246">IFERROR(INDEX(CB$7:CB$378,SMALL(IF(CB$7:CB$378&lt;&gt;"",ROW(CB$7:CB$378)-ROW(CB$7)+1),ROWS(CB$7:CB245))),"")</f>
        <v/>
      </c>
      <c r="AA246" s="4" t="str">
        <f t="array" ref="AA246">IFERROR(INDEX(CC$7:CC$378,SMALL(IF(CC$7:CC$378&lt;&gt;"",ROW(CC$7:CC$378)-ROW(CC$7)+1),ROWS(CC$7:CC245))),"")</f>
        <v/>
      </c>
      <c r="AB246" s="4" t="str">
        <f t="array" ref="AB246">IFERROR(INDEX(CD$7:CD$378,SMALL(IF(CD$7:CD$378&lt;&gt;"",ROW(CD$7:CD$378)-ROW(CD$7)+1),ROWS(CD$7:CD245))),"")</f>
        <v/>
      </c>
      <c r="AC246" s="4" t="str">
        <f t="array" ref="AC246">IFERROR(INDEX(CE$7:CE$378,SMALL(IF(CE$7:CE$378&lt;&gt;"",ROW(CE$7:CE$378)-ROW(CE$7)+1),ROWS(CE$7:CE245))),"")</f>
        <v/>
      </c>
      <c r="AD246" s="4"/>
      <c r="AE246" s="4"/>
      <c r="AF246" s="4"/>
      <c r="AG246" s="4"/>
      <c r="AH246" s="4"/>
      <c r="AI246" s="4"/>
      <c r="AJ246" s="46" t="str">
        <f>IF(Atletas!D242="","",IF(Atletas!B242="Feminino",100,IF(Atletas!B242="Masculino",200,""))+(IF(Atletas!D242="Infantil 39kg",1,IF(Atletas!D242="Infantil 42kg",2,IF(Atletas!D242="Infantil 45kg",3,IF(Atletas!D242="Infantil 48kg",4,IF(Atletas!D242="Infantil 52kg",5,IF(Atletas!D242="Infantil 56kg",6,IF(Atletas!D242="Infantil 60kg",7,IF(Atletas!D242="Juvenil 48kg",8,IF(Atletas!D242="Juvenil 52kg",9,IF(Atletas!D242="Juvenil 56kg",10,IF(Atletas!D242="Juvenil 60kg",11,IF(Atletas!D242="Juvenil 65kg",12,IF(Atletas!D242="Juvenil 70kg",13,IF(Atletas!D242="Juvenil 75kg",14,IF(Atletas!D242="Juvenil 80kg",15,IF(Atletas!D242="Adulto 48kg",16,IF(Atletas!D242="Adulto 52kg",17,IF(Atletas!D242="Adulto 56kg",18,IF(Atletas!D242="Adulto 60kg",19,IF(Atletas!D242="Adulto 65kg",20,IF(Atletas!D242="Adulto 70kg",21,IF(Atletas!D242="Adulto 75kg",22,IF(Atletas!D242="Adulto 80kg",23,IF(Atletas!D242="Adulto 85kg",24,IF(Atletas!D242="Adulto 90kg",25,IF(Atletas!D242="Adulto +90kg",26,""))))))))))))))))))))))))))))</f>
        <v/>
      </c>
      <c r="AO246" s="10" t="str">
        <f>IF(Atletas!E242="","",IF(Atletas!B242="Feminino",100,IF(Atletas!B242="Masculino",200,""))+(IF(Atletas!E242="Juvenil 44kg",1,IF(Atletas!E242="Juvenil 48kg",2,IF(Atletas!E242="Juvenil 52kg",3,IF(Atletas!E242="Juvenil 56kg",4,IF(Atletas!E242="Juvenil 60kg",5,IF(Atletas!E242="Juvenil 65kg",6,IF(Atletas!E242="Juvenil 70kg",7,IF(Atletas!E242="Juvenil 75kg",8,IF(Atletas!E242="Juvenil 82kg",9,IF(Atletas!E242="Juvenil 90kg",10,IF(Atletas!E242="Juvenil 100kg",11,IF(Atletas!E242="Adulto 48kg",12,IF(Atletas!E242="Adulto 52kg",13,IF(Atletas!E242="Adulto 56kg",14,IF(Atletas!E242="Adulto 60kg",15,IF(Atletas!E242="Adulto 65kg",16,IF(Atletas!E242="Adulto 70kg",17,IF(Atletas!E242="Adulto 75kg",18,IF(Atletas!E242="Adulto 82kg",19,IF(Atletas!E242="Adulto 90kg",20,IF(Atletas!E242="Adulto 100kg",21,IF(Atletas!E242="Adulto +100kg",22,""))))))))))))))))))))))))</f>
        <v/>
      </c>
      <c r="AT246" s="10" t="str">
        <f>IF(Atletas!F242="","",IF(Atletas!B242="Feminino",100,IF(Atletas!B242="Masculino",200,""))+(IF(Atletas!F242="Adulto 48kg",1,IF(Atletas!F242="Adulto 56kg",2,IF(Atletas!F242="Adulto 65kg",3,IF(Atletas!F242="Adulto 75kg",4,IF(Atletas!F242="Adulto +75kg",5,IF(Atletas!F242="Adulto 52kg",6,IF(Atletas!F242="Adulto 60kg",7,IF(Atletas!F242="Adulto 70kg",8,IF(Atletas!F242="Adulto 80kg",9,IF(Atletas!F242="Adulto 90kg",10,IF(Atletas!F242="Adulto +90kg",11,"")))))))))))))</f>
        <v/>
      </c>
      <c r="AY246" s="46" t="str">
        <f>IF(Atletas!G242="","",IF(Atletas!B242="Feminino",100,IF(Atletas!B242="Masculino",200,""))+(IF(Atletas!G242="Changquan Mirim",1,IF(Atletas!G242="Nanquan Mirim",2,IF(Atletas!G242="Taijiquan Mirim",3,IF(Atletas!G242="Changquan Grupo C",4,IF(Atletas!G242="Nanquan Grupo C",5,IF(Atletas!G242="Taijiquan Grupo C",6,IF(Atletas!G242="Changquan Grupo B",7,IF(Atletas!G242="Nanquan Grupo B",8,IF(Atletas!G242="Taijiquan Grupo B",9,IF(Atletas!G242="Changquan Grupo A",10,IF(Atletas!G242="Nanquan Grupo A",11,IF(Atletas!G242="Taijiquan Grupo A",12,IF(Atletas!G242="Changquan Opcional",13,IF(Atletas!G242="Nanquan Opcional",14,IF(Atletas!G242="Taijiquan Opcional",15,IF(Atletas!G242="Changquan Adulto",16,IF(Atletas!G242="Nanquan Adulto",17,IF(Atletas!G242="Taijiquan Adulto",18,""))))))))))))))))))))</f>
        <v/>
      </c>
      <c r="AZ246" s="46" t="str">
        <f>IF(Atletas!H242="","",IF(Atletas!B242="Feminino",100,IF(Atletas!B242="Masculino",200,""))+(IF(Atletas!H242="Daoshu Mirim",19,IF(Atletas!H242="Jianshu Mirim",20,IF(Atletas!H242="Nandao Mirim",21,IF(Atletas!H242="Taijijian Mirim",22,IF(Atletas!H242="Daoshu Grupo C",23,IF(Atletas!H242="Jianshu Grupo C",24,IF(Atletas!H242="Nandao Grupo C",25,IF(Atletas!H242="Taijijian Grupo C",26,IF(Atletas!H242="Daoshu Grupo B",27,IF(Atletas!H242="Jianshu Grupo B",28,IF(Atletas!H242="Nandao Grupo B",29,IF(Atletas!H242="Taijijian Grupo B",30,IF(Atletas!H242="Daoshu Grupo A",31,IF(Atletas!H242="Jianshu Grupo A",32,IF(Atletas!H242="Nandao Grupo A",33,IF(Atletas!H242="Taijijian Grupo A",34,IF(Atletas!H242="Daoshu Opcional",35,IF(Atletas!H242="Jianshu Opcional",36,IF(Atletas!H242="Nandao Opcional",37,IF(Atletas!H242="Taijijian Opcional",38,IF(Atletas!H242="Daoshu Adulto",39,IF(Atletas!H242="Jianshu Adulto",40,IF(Atletas!H242="Nandao Adulto",41,IF(Atletas!H242="Taijijian Adulto",42,""))))))))))))))))))))))))))</f>
        <v/>
      </c>
      <c r="BA246" s="46" t="str">
        <f>IF(Atletas!I242="","",IF(Atletas!B242="Feminino",100,IF(Atletas!B242="Masculino",200,""))+(IF(Atletas!I242="Gunshu Mirim",43,IF(Atletas!I242="Qiangshu Mirim",44,IF(Atletas!I242="Nangun Mirim",45,IF(Atletas!I242="Gunshu Grupo C",46,IF(Atletas!I242="Qiangshu Grupo C",47,IF(Atletas!I242="Nangun Grupo C",48,IF(Atletas!I242="Gunshu Grupo B",49,IF(Atletas!I242="Qiangshu Grupo B",50,IF(Atletas!I242="Nangun Grupo B",51,IF(Atletas!I242="Gunshu Grupo A",52,IF(Atletas!I242="Qiangshu Grupo A",53,IF(Atletas!I242="Nangun Grupo A",54,IF(Atletas!I242="Gunshu Opcional",55,IF(Atletas!I242="Qiangshu Opcional",56,IF(Atletas!I242="Nangun Opcional",57,IF(Atletas!I242="Gunshu Adulto",58,IF(Atletas!I242="Qiangshu Adulto",59,IF(Atletas!I242="Nangun Adulto",60,""))))))))))))))))))))</f>
        <v/>
      </c>
      <c r="BF246" s="52" t="str">
        <f>IF(Atletas!J242="","",IF(Atletas!B242="Feminino",100,IF(Atletas!B242="Masculino",200,""))+(IF(Atletas!J242="Equipe 1 Grupo B",1,IF(Atletas!J242="Equipe 2 Grupo B",2,IF(Atletas!J242="Equipe 1 Grupo A",3,IF(Atletas!J242="Equipe 2 Grupo A",4,IF(Atletas!J242="Equipe 1 Adulto",5,IF(Atletas!J242="Equipe 2 Adulto",6,""))))))))</f>
        <v/>
      </c>
      <c r="BK246" s="52" t="str">
        <f>IF(Atletas!K242="","",IF(Atletas!W242&lt;&gt;"",10000,0)+(IF(Atletas!B242="Feminino",1000,IF(Atletas!B242="Masculino",2000,""))+IF(Atletas!K242="Choylayfut A",1,IF(Atletas!K242="Hunggar A",2,IF(Atletas!K242="Wuzuquan A",3,IF(Atletas!K242="Wingchun A",4,IF(Atletas!K242="Outra Mão de Sul A",5,IF(Atletas!K242="Choylayfut B",6,IF(Atletas!K242="Hunggar B",7,IF(Atletas!K242="Wuzuquan B",8,IF(Atletas!K242="Wingchun B",9,IF(Atletas!K242="Outra Mão de Sul B",10,IF(Atletas!K242="Choylayfut C",11,IF(Atletas!K242="Hunggar C",12,IF(Atletas!K242="Wuzuquan C",13,IF(Atletas!K242="Wingchun C",14,IF(Atletas!K242="Outra Mão de Sul C",15,IF(Atletas!K242="Choylayfut D",16,IF(Atletas!K242="Hunggar D",17,IF(Atletas!K242="Wuzuquan D",18,IF(Atletas!K242="Wingchun D",19,IF(Atletas!K242="Outra Mão de Sul D",20,IF(Atletas!K242="Choylayfut E",21,IF(Atletas!K242="Hunggar E",22,IF(Atletas!K242="Wuzuquan E",23,IF(Atletas!K242="Wingchun E",24,IF(Atletas!K242="Outra Mão de Sul E",25,IF(Atletas!K242="Choylayfut F",26,IF(Atletas!K242="Hunggar F",27,IF(Atletas!K242="Wuzuquan F",28,IF(Atletas!K242="Wingchun F",29,IF(Atletas!K242="Outra Mão de Sul F",30,""))))))))))))))))))))))))))))))))</f>
        <v/>
      </c>
      <c r="BL246" s="52" t="str">
        <f>IF(Atletas!L242="","",IF(Atletas!W242&lt;&gt;"",10000,0)+(IF(Atletas!B242="Feminino",1000,IF(Atletas!B242="Masculino",2000,""))+(IF(Atletas!L242="Chaquan A",101,IF(Atletas!L242="Emeiquan A",102,IF(Atletas!L242="Fanziquan A",103,IF(Atletas!L242="Huaquan A",104,IF(Atletas!L242="Hongquan A",105,IF(Atletas!L242="Paochui A",106,IF(Atletas!L242="Piguaquan A",107,IF(Atletas!L242="Shaolinquan A",108,IF(Atletas!L242="Tanglangquan A",109,IF(Atletas!L242="Yinzhaophai A",110,IF(Atletas!L242="Tongbeiquan A",111,IF(Atletas!L242="Wudangquan A",112,IF(Atletas!L242="Outros Estilos A",113,IF(Atletas!L242="Chaquan B",114,IF(Atletas!L242="Emeiquan B",115,IF(Atletas!L242="Fanziquan B",116,IF(Atletas!L242="Huaquan B",117,IF(Atletas!L242="Hongquan B",118,IF(Atletas!L242="Paochui B",119,IF(Atletas!L242="Piguaquan B",120,IF(Atletas!L242="Shaolinquan B",121,IF(Atletas!L242="Tanglangquan B",122,IF(Atletas!L242="Yinzhaophai B",123,IF(Atletas!L242="Tongbeiquan B",124,IF(Atletas!L242="Wudangquan B",125,IF(Atletas!L242="Outros Estilos B",126,IF(Atletas!L242="Chaquan C",127,IF(Atletas!L242="Emeiquan C",128,IF(Atletas!L242="Fanziquan C",129,IF(Atletas!L242="Huaquan C",130,IF(Atletas!L242="Hongquan C",131,IF(Atletas!L242="Paochui C",132,IF(Atletas!L242="Piguaquan C",133,IF(Atletas!L242="Shaolinquan C",134,IF(Atletas!L242="Tanglangquan C",135,IF(Atletas!L242="Yinzhaophai C",136,IF(Atletas!L242="Tongbeiquan C",137,IF(Atletas!L242="Wudangquan C",138,IF(Atletas!L242="Outros Estilos C",139,0))))))))))))))))))))))))))))))))))))))))))</f>
        <v/>
      </c>
      <c r="BM246" s="52" t="str">
        <f>IF(Atletas!L242="","",IF(Atletas!W242&lt;&gt;"",10000,0)+(IF(Atletas!B242="Feminino",1000,IF(Atletas!B242="Masculino",2000,""))+(IF(Atletas!L242="Chaquan D",140,IF(Atletas!L242="Emeiquan D",141,IF(Atletas!L242="Fanziquan D",142,IF(Atletas!L242="Huaquan D",143,IF(Atletas!L242="Hongquan D",144,IF(Atletas!L242="Paochui D",145,IF(Atletas!L242="Piguaquan D",146,IF(Atletas!L242="Shaolinquan D",147,IF(Atletas!L242="Tanglangquan D",148,IF(Atletas!L242="Yinzhaophai D",149,IF(Atletas!L242="Tongbeiquan D",150,IF(Atletas!L242="Wudangquan D",151,IF(Atletas!L242="Outros Estilos D",152,IF(Atletas!L242="Chaquan E",153,IF(Atletas!L242="Emeiquan E",154,IF(Atletas!L242="Fanziquan E",155,IF(Atletas!L242="Huaquan E",156,IF(Atletas!L242="Hongquan E",157,IF(Atletas!L242="Paochui E",158,IF(Atletas!L242="Piguaquan E",159,IF(Atletas!L242="Shaolinquan E",160,IF(Atletas!L242="Tanglangquan E",161,IF(Atletas!L242="Yinzhaophai E",162,IF(Atletas!L242="Tongbeiquan E",163,IF(Atletas!L242="Wudangquan E",164,IF(Atletas!L242="Outros Estilos E",165,IF(Atletas!L242="Chaquan F",166,IF(Atletas!L242="Emeiquan F",167,IF(Atletas!L242="Fanziquan F",168,IF(Atletas!L242="Huaquan F",169,IF(Atletas!L242="Hongquan F",170,IF(Atletas!L242="Paochui F",171,IF(Atletas!L242="Piguaquan F",172,IF(Atletas!L242="Shaolinquan F",173,IF(Atletas!L242="Tanglangquan F",174,IF(Atletas!L242="Yinzhaophai F",175,IF(Atletas!L242="Tongbeiquan F",176,IF(Atletas!L242="Wudangquan F",177,IF(Atletas!L242="Outros Estilos F",178,0))))))))))))))))))))))))))))))))))))))))))</f>
        <v/>
      </c>
      <c r="BN246" s="52" t="str">
        <f>IF(Atletas!M242="","",IF(Atletas!W242&lt;&gt;"",10000,0)+(IF(Atletas!B242="Feminino",1000,IF(Atletas!B242="Masculino",2000,""))+(IF(Atletas!M242="Ditangquan A",201,IF(Atletas!M242="Houquan A",202,IF(Atletas!M242="Zuiquan A",203,IF(Atletas!M242="Ditangquan B",204,IF(Atletas!M242="Houquan B",205,IF(Atletas!M242="Zuiquan B",206,IF(Atletas!M242="Ditangquan C",207,IF(Atletas!M242="Houquan C",208,IF(Atletas!M242="Zuiquan C",209,IF(Atletas!M242="Ditangquan D",210,IF(Atletas!M242="Houquan D",211,IF(Atletas!M242="Zuiquan D",212,IF(Atletas!M242="Ditangquan E",213,IF(Atletas!M242="Houquan E",214,IF(Atletas!M242="Zuiquan E",215,IF(Atletas!M242="Ditangquan F",216,IF(Atletas!M242="Houquan F",217,IF(Atletas!M242="Zuiquan F",218,"")))))))))))))))))))))</f>
        <v/>
      </c>
      <c r="BO246" s="52" t="str">
        <f>IF(Atletas!N242="","",IF(Atletas!W242&lt;&gt;"",10000,0)+IF(Atletas!B242="Feminino",1000,IF(Atletas!B242="Masculino",2000,""))+IF(Atletas!N242="Yang A",301,IF(Atletas!N242="Chen A",30,IF(Atletas!N242="Sun A",303,IF(Atletas!N242="Wu A",304,IF(Atletas!N242="Wu-Hao A",305,IF(Atletas!N242="Outro Taijiquan A",306,IF(Atletas!N242="Yang B",307,IF(Atletas!N242="Chen B",308,IF(Atletas!N242="Sun B",309,IF(Atletas!N242="Wu B",310,IF(Atletas!N242="Wu-Hao B",311,IF(Atletas!N242="Outro Taijiquan B",312,IF(Atletas!N242="Yang C",313,IF(Atletas!N242="Chen C",314,IF(Atletas!N242="Sun C",315,IF(Atletas!N242="Wu C",316,IF(Atletas!N242="Wu-Hao C",317,IF(Atletas!N242="Outro Taijiquan C",318,IF(Atletas!N242="Yang D",319,IF(Atletas!N242="Chen D",320,IF(Atletas!N242="Sun D",321,IF(Atletas!N242="Wu D",322,IF(Atletas!N242="Wu-Hao D",323,IF(Atletas!N242="Outro Taijiquan D",324,IF(Atletas!N242="Yang E",325,IF(Atletas!N242="Chen E",326,IF(Atletas!N242="Sun E",327,IF(Atletas!N242="Wu E",328,IF(Atletas!N242="Wu-Hao E",329,IF(Atletas!N242="Outro Taijiquan E",330,IF(Atletas!N242="Yang F",331,IF(Atletas!N242="Chen F",332,IF(Atletas!N242="Sun F",333,IF(Atletas!N242="Wu F",334,IF(Atletas!N242="Wu-Hao F",335,IF(Atletas!N242="Outro Taijiquan F",336,"")))))))))))))))))))))))))))))))))))))</f>
        <v/>
      </c>
      <c r="BP246" s="52" t="str">
        <f>IF(Atletas!O242="","",IF(Atletas!W242&lt;&gt;"",10000,0)+IF(Atletas!B242="Feminino",1000,IF(Atletas!B242="Masculino",2000,""))+IF(OR(Atletas!O242="Yang 26 A",Atletas!O242="Yang 40 A"),401,IF(OR(Atletas!O242="Chen 25 A",Atletas!O242="Chen 36 A",Atletas!O242="Chen 56 A"),402,IF(Atletas!O242="Sun 73 A",403,IF(Atletas!O242="Wu 45 A",404,IF(Atletas!O242="Wu-Hao 46 A",405,IF(OR(Atletas!O242="Taijiquan 16 A",Atletas!O242="Taijiquan 24 A",Atletas!O242="Taijiquan 32 A",Atletas!O242="Taijiquan 42 A"),406,IF(OR(Atletas!O242="Yang 26 B",Atletas!O242="Yang 40 B"),407,IF(OR(Atletas!O242="Chen 25 B",Atletas!O242="Chen 36 B",Atletas!O242="Chen 56 B"),408,IF(Atletas!O242="Sun 73 B",409,IF(Atletas!O242="Wu 45 B",410,IF(Atletas!O242="Wu-Hao 46 B",411,IF(OR(Atletas!O242="Taijiquan 16 B",Atletas!O242="Taijiquan 24 B",Atletas!O242="Taijiquan 32 B",Atletas!O242="Taijiquan 42 B"),412,IF(OR(Atletas!O242="Yang 26 C",Atletas!O242="Yang 40 C"),413,IF(OR(Atletas!O242="Chen 25 C",Atletas!O242="Chen 36 C",Atletas!O242="Chen 56 C"),414,IF(Atletas!O242="Sun 73 C",415,IF(Atletas!O242="Wu 45 C",416,IF(Atletas!O242="Wu-Hao 46 C",417,IF(OR(Atletas!O242="Taijiquan 16 C",Atletas!O242="Taijiquan 24 C",Atletas!O242="Taijiquan 32 C",Atletas!O242="Taijiquan 42 C"),418,0)))))))))))))))))))</f>
        <v/>
      </c>
      <c r="BQ246" s="52" t="str">
        <f>IF(Atletas!O242="","",IF(Atletas!W242&lt;&gt;"",10000,0)+IF(Atletas!B242="Feminino",1000,IF(Atletas!B242="Masculino",2000,""))+IF(OR(Atletas!O242="Yang 26 D",Atletas!O242="Yang 40 D"),419,IF(OR(Atletas!O242="Chen 25 D",Atletas!O242="Chen 36 D",Atletas!O242="Chen 56 D"),420,IF(Atletas!O242="Sun 73 D",421,IF(Atletas!O242="Wu 45 D",422,IF(Atletas!O242="Wu-Hao 46 D",423,IF(OR(Atletas!O242="Taijiquan 16 D",Atletas!O242="Taijiquan 24 D",Atletas!O242="Taijiquan 32 D",Atletas!O242="Taijiquan 42 D"),424,IF(OR(Atletas!O242="Yang 26 E",Atletas!O242="Yang 40 E"),425,IF(OR(Atletas!O242="Chen 25 E",Atletas!O242="Chen 36 E",Atletas!O242="Chen 56 E"),426,IF(Atletas!O242="Sun 73 E",427,IF(Atletas!O242="Wu 45 E",428,IF(Atletas!O242="Wu-Hao 46 E",429,IF(OR(Atletas!O242="Taijiquan 16 E",Atletas!O242="Taijiquan 24 E",Atletas!O242="Taijiquan 32 E",Atletas!O242="Taijiquan 42 E"),430,IF(OR(Atletas!O242="Yang 26 F",Atletas!O242="Yang 40 F"),431,IF(OR(Atletas!O242="Chen 25 F",Atletas!O242="Chen 36 F",Atletas!O242="Chen 56 F"),432,IF(Atletas!O242="Sun 73 F",433,IF(Atletas!O242="Wu 45 F",434,IF(Atletas!O242="Wu-Hao 46 F",435,IF(OR(Atletas!O242="Taijiquan 16 F",Atletas!O242="Taijiquan 24 F",Atletas!O242="Taijiquan 32 F",Atletas!O242="Taijiquan 42 F"),436,0)))))))))))))))))))</f>
        <v/>
      </c>
      <c r="BR246" s="52" t="str">
        <f>IF(Atletas!P242="","",IF(Atletas!W242&lt;&gt;"",10000,0)+IF(Atletas!B242="Feminino",1000,IF(Atletas!B242="Masculino",2000,""))+IF(Atletas!P242="Xingyiquan A",501,IF(Atletas!P242="Baguazhang A",502,IF(Atletas!P242="Outro Estilo Interno A",503,IF(Atletas!P242="Xingyiquan B",504,IF(Atletas!P242="Baguazhang B",505,IF(Atletas!P242="Outro Estilo Interno B",506,IF(Atletas!P242="Xingyiquan C",507,IF(Atletas!P242="Baguazhang C",508,IF(Atletas!P242="Outro Estilo Interno C",509,IF(Atletas!P242="Xingyiquan D",510,IF(Atletas!P242="Baguazhang D",511,IF(Atletas!P242="Outro Estilo Interno D",512,IF(Atletas!P242="Xingyiquan E",513,IF(Atletas!P242="Baguazhang E",514,IF(Atletas!P242="Outro Estilo Interno E",515,IF(Atletas!P242="Xingyiquan F",516,IF(Atletas!P242="Baguazhang F",517,IF(Atletas!P242="Outro Estilo Interno F",518, "")))))))))))))))))))</f>
        <v/>
      </c>
      <c r="BS246" s="52" t="str">
        <f>IF(Atletas!Q242="","",IF(Atletas!W242&lt;&gt;"",10000,0)+IF(Atletas!B242="Feminino",1000,IF(Atletas!B242="Masculino",2000,""))+IF(Atletas!Q242="Dao A",601,IF(Atletas!Q242="Jian A",602,IF(Atletas!Q242="Bishou A",603,IF(Atletas!Q242="Shan A",604,IF(Atletas!Q242="Outra Arma Curta A",605,IF(Atletas!Q242="Dao B",606,IF(Atletas!Q242="Jian B",607,IF(Atletas!Q242="Bishou B",608,IF(Atletas!Q242="Shan B",609,IF(Atletas!Q242="Outra Arma Curta B",610,IF(Atletas!Q242="Dao C",611,IF(Atletas!Q242="Jian C",612,IF(Atletas!Q242="Bishou C",613,IF(Atletas!Q242="Shan C",614,IF(Atletas!Q242="Outra Arma Curta C",615,IF(Atletas!Q242="Dao D",616,IF(Atletas!Q242="Jian D",617,IF(Atletas!Q242="Bishou D",618,IF(Atletas!Q242="Shan D",619,IF(Atletas!Q242="Outra Arma Curta D",620,IF(Atletas!Q242="Dao E",621,IF(Atletas!Q242="Jian E",622,IF(Atletas!Q242="Bishou E",623,IF(Atletas!Q242="Shan E",624,IF(Atletas!Q242="Outra Arma Curta E",625,IF(Atletas!Q242="Dao F",626,IF(Atletas!Q242="Jian F",627,IF(Atletas!Q242="Bishou F",628,IF(Atletas!Q242="Shan F",629,IF(Atletas!Q242="Outra Arma Curta F",630, "")))))))))))))))))))))))))))))))</f>
        <v/>
      </c>
      <c r="BT246" s="52" t="str">
        <f>IF(Atletas!R242="","",IF(Atletas!W242&lt;&gt;"",10000,0)+IF(Atletas!B242="Feminino",1000,IF(Atletas!B242="Masculino",2000,""))+IF(Atletas!R242="Gun A",701,IF(Atletas!R242="Qiang A",702,IF(Atletas!R242="Pudao / Guandao A",703,IF(Atletas!R242="Outra Arma Longa A",704,IF(Atletas!R242="Gun B",705,IF(Atletas!R242="Qiang B",706,IF(Atletas!R242="Pudao / Guandao B",707,IF(Atletas!R242="Outra Arma Longa B",708,IF(Atletas!R242="Gun C",709,IF(Atletas!R242="Qiang C",710,IF(Atletas!R242="Pudao / Guandao C",711,IF(Atletas!R242="Outra Arma Longa C",712,IF(Atletas!R242="Gun D",713,IF(Atletas!R242="Qiang D",714,IF(Atletas!R242="Pudao / Guandao D",715,IF(Atletas!R242="Outra Arma Longa D",716,IF(Atletas!R242="Gun E",717,IF(Atletas!R242="Qiang E",718,IF(Atletas!R242="Pudao / Guandao E",719,IF(Atletas!R242="Outra Arma Longa E",720,IF(Atletas!R242="Gun F",721,IF(Atletas!R242="Qiang F",722,IF(Atletas!R242="Pudao / Guandao F",723,IF(Atletas!R242="Outra Arma Longa F",724,"")))))))))))))))))))))))))</f>
        <v/>
      </c>
      <c r="BU246" s="52" t="str">
        <f>IF(Atletas!S242="","",IF(Atletas!W242&lt;&gt;"",10000,0)+IF(Atletas!B242="Feminino",1000,IF(Atletas!B242="Masculino",2000,""))+IF(Atletas!S242="Arma Dupla A",801,IF(Atletas!S242="Arma Maleável A",802,IF(Atletas!S242="Arma Dupla B",803,IF(Atletas!S242="Arma Maleável B",804,IF(Atletas!S242="Arma Dupla C",805,IF(Atletas!S242="Arma Maleável C",806,IF(Atletas!S242="Arma Dupla D",807,IF(Atletas!S242="Arma Maleável D",808,IF(Atletas!S242="Arma Dupla E",809,IF(Atletas!S242="Arma Maleável E",810,IF(Atletas!S242="Arma Dupla F",811,IF(Atletas!S242="Arma Maleável F",812, "")))))))))))))</f>
        <v/>
      </c>
      <c r="BV246" s="52" t="str">
        <f>IF(Atletas!T242="","",IF(Atletas!W242&lt;&gt;"",10000,0)+IF(Atletas!B242="Feminino",1000,IF(Atletas!B242="Masculino",2000,""))+IF(Atletas!T242="Taijijian Yang A",901,IF(Atletas!T242="Taijijian Chen A",902,IF(Atletas!T242="Taijijian Sun A",903,IF(Atletas!T242="Taijijian Wu A",904,IF(Atletas!T242="Taijijian Wu-Hao A",905,IF(Atletas!T242="Taijijian 32 A",906,IF(Atletas!T242="Taijijian 42 A",907,IF(Atletas!T242="Taijijian Yang B",908,IF(Atletas!T242="Taijijian Chen B",909,IF(Atletas!T242="Taijijian Sun B",910,IF(Atletas!T242="Taijijian Wu B",911,IF(Atletas!T242="Taijijian Wu-Hao B",912,IF(Atletas!T242="Taijijian 32 B",913,IF(Atletas!T242="Taijijian 42 B",914,IF(Atletas!T242="Taijijian Yang C",915,IF(Atletas!T242="Taijijian Chen C",916,IF(Atletas!T242="Taijijian Sun C",917,IF(Atletas!T242="Taijijian Wu C",918,IF(Atletas!T242="Taijijian Wu-Hao C",919,IF(Atletas!T242="Taijijian 32 C",920,IF(Atletas!T242="Taijijian 42 C",921,IF(Atletas!T242="Taijijian Yang D",922,IF(Atletas!T242="Taijijian Chen D",923,IF(Atletas!T242="Taijijian Sun D",924,IF(Atletas!T242="Taijijian Wu D",925,IF(Atletas!T242="Taijijian Wu-Hao D",926,IF(Atletas!T242="Taijijian 32 D",927,IF(Atletas!T242="Taijijian 42 D",928,IF(Atletas!T242="Taijijian Yang E",929,IF(Atletas!T242="Taijijian Chen E",930,IF(Atletas!T242="Taijijian Sun E",931,IF(Atletas!T242="Taijijian Wu E",932,IF(Atletas!T242="Taijijian Wu-Hao E",933,IF(Atletas!T242="Taijijian 32 E",934,IF(Atletas!T242="Taijijian 42 E",935,IF(Atletas!T242="Taijijian Yang F",936,IF(Atletas!T242="Taijijian Chen F",937,IF(Atletas!T242="Taijijian Sun F",938,IF(Atletas!T242="Taijijian Wu F",939,IF(Atletas!T242="Taijijian Wu-Hao F",940,IF(Atletas!T242="Taijijian 32 F",941,IF(Atletas!T242="Taijijian 42 F",942,"")))))))))))))))))))))))))))))))))))))))))))</f>
        <v/>
      </c>
      <c r="BW246" s="52" t="str">
        <f>IF(Atletas!U242="","",IF(Atletas!W242&lt;&gt;"",10000,0)+IF(Atletas!B242="Feminino",1000,IF(Atletas!B242="Masculino",2000,""))+IF(Atletas!T242="Taijijian 42 F",942,IF(Atletas!U242="Taijidao A",943,IF(Atletas!U242="Taijishan A",944,IF(Atletas!U242="Taijiqiang A",945,IF(Atletas!U242="Taijidao B",946,IF(Atletas!U242="Taijishan B",947,IF(Atletas!U242="Taijiqiang B",948,IF(Atletas!U242="Taijidao C",949,IF(Atletas!U242="Taijishan C",950,IF(Atletas!U242="Taijiqiang C",951,IF(Atletas!U242="Taijidao D",952,IF(Atletas!U242="Taijishan D",953,IF(Atletas!U242="Taijiqiang D",954,IF(Atletas!U242="Taijidao E",955,IF(Atletas!U242="Taijishan E",956,IF(Atletas!U242="Taijiqiang E",957,IF(Atletas!U242="Taijidao F",958,IF(Atletas!U242="Taijishan F",959,IF(Atletas!U242="Taijiqiang F",960))))))))))))))))))))</f>
        <v/>
      </c>
      <c r="BX246" s="72" t="str">
        <f>IF(BY246&lt;&gt;"","Shan E","")</f>
        <v/>
      </c>
      <c r="BY246" s="72" t="str">
        <f>IF(COUNTIF(BK:BW,1624)&gt;0,COUNTIF(BK:BW,1624),"")</f>
        <v/>
      </c>
      <c r="BZ246" s="72" t="str">
        <f>IF(CA246&lt;&gt;"","Shan E","")</f>
        <v/>
      </c>
      <c r="CA246" s="72" t="str">
        <f>IF(COUNTIF(BK:BW,2624)&gt;0,COUNTIF(BK:BW,2624),"")</f>
        <v/>
      </c>
      <c r="CB246" s="72" t="str">
        <f>IF(CC246&lt;&gt;"","Sun Novo F","")</f>
        <v/>
      </c>
      <c r="CC246" s="64" t="str">
        <f>IF(COUNTIF(BK:BW,11478)&gt;0,COUNTIF(BK:BW,11478),"")</f>
        <v/>
      </c>
      <c r="CD246" s="64" t="str">
        <f>IF(CE246&lt;&gt;"","Sun Novo F","")</f>
        <v/>
      </c>
      <c r="CE246" s="64" t="str">
        <f>IF(COUNTIF(BK:BW,12478)&gt;0,COUNTIF(BK:BW,12478),"")</f>
        <v/>
      </c>
      <c r="CF246" s="52" t="str">
        <f xml:space="preserve"> IF(Atletas!V242="","",IF(Atletas!V242="Duilian de Mãos AB - Equipe 1",1,IF(Atletas!V242="Duilian de Mãos AB - Equipe 2",2,IF(Atletas!V242="Duilian de Armas AB - Equipe 1",3,IF(Atletas!V242="Duilian de Armas AB - Equipe 2",4,IF(Atletas!V242="Duilian de Tuishou - Equipe 1",5,IF(Atletas!V242="Duilian de Tuishou - Equipe 2",6,IF(Atletas!V242="Grupo Externo AB - Equipe 1",7,IF(Atletas!V242="Grupo Externo AB - Equipe 2",8,IF(Atletas!V242="Grupo Interno AB - Equipe 1",9,IF(Atletas!V242="Grupo Interno AB - Equipe 2",10,IF(Atletas!V242="Duilian de Mãos CD - Equipe 1",11,IF(Atletas!V242="Duilian de Mãos CD - Equipe 2",12,IF(Atletas!V242="Duilian de Armas CD - Equipe 1",13,IF(Atletas!V242="Duilian de Armas CD - Equipe 2",14,IF(Atletas!V242="Duilian de Tuishou - Equipe 1",15,IF(Atletas!V242="Duilian de Tuishou - Equipe 2",16,IF(Atletas!V242="Grupo Externo CDEF - Equipe 1",17,IF(Atletas!V242="Grupo Externo CDEF - Equipe 2",18,IF(Atletas!V242="Grupo Interno CDEF - Equipe 1",19,IF(Atletas!V242="Grupo Interno CDEF - Equipe 2",20,IF(Atletas!V242="Duilian de Mãos EF - Equipe 1",21,IF(Atletas!V242="Duilian de Mãos EF - Equipe 2",22,IF(Atletas!V242="Duilian de Armas EF - Equipe 1",23,IF(Atletas!V242="Duilian de Armas EF - Equipe 2",24,IF(Atletas!V242="Duilian de Tuishou - Equipe 1",25,IF(Atletas!V242="Duilian de Tuishou - Equipe 2",26,"")))))))))))))))))))))))))))</f>
        <v/>
      </c>
    </row>
    <row r="247" spans="2:84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 t="str">
        <f t="array" ref="V247">IFERROR(INDEX(BX$7:BX$336,SMALL(IF(BX$7:BX$336&lt;&gt;"",ROW(BX$7:BX$336)-ROW(BX$7)+1),ROWS(BX$7:BX204))),"")</f>
        <v/>
      </c>
      <c r="W247" s="4" t="str">
        <f t="array" ref="W247">IFERROR(INDEX(BY$7:BY$336,SMALL(IF(BY$7:BY$336&lt;&gt;"",ROW(BY$7:BY$336)-ROW(BY$7)+1),ROWS(BY$7:BY204))),"")</f>
        <v/>
      </c>
      <c r="X247" s="4" t="str">
        <f t="array" ref="X247">IFERROR(INDEX(BZ$7:BZ$336,SMALL(IF(BZ$7:BZ$336&lt;&gt;"",ROW(BZ$7:BZ$336)-ROW(BZ$7)+1),ROWS(BZ$7:BZ204))),"")</f>
        <v/>
      </c>
      <c r="Y247" s="4" t="str">
        <f t="array" ref="Y247">IFERROR(INDEX(CA$7:CA$336,SMALL(IF(CA$7:CA$336&lt;&gt;"",ROW(CA$7:CA$336)-ROW(CA$7)+1),ROWS(CA$7:CA204))),"")</f>
        <v/>
      </c>
      <c r="Z247" s="4" t="str">
        <f t="array" ref="Z247">IFERROR(INDEX(CB$7:CB$378,SMALL(IF(CB$7:CB$378&lt;&gt;"",ROW(CB$7:CB$378)-ROW(CB$7)+1),ROWS(CB$7:CB246))),"")</f>
        <v/>
      </c>
      <c r="AA247" s="4" t="str">
        <f t="array" ref="AA247">IFERROR(INDEX(CC$7:CC$378,SMALL(IF(CC$7:CC$378&lt;&gt;"",ROW(CC$7:CC$378)-ROW(CC$7)+1),ROWS(CC$7:CC246))),"")</f>
        <v/>
      </c>
      <c r="AB247" s="4" t="str">
        <f t="array" ref="AB247">IFERROR(INDEX(CD$7:CD$378,SMALL(IF(CD$7:CD$378&lt;&gt;"",ROW(CD$7:CD$378)-ROW(CD$7)+1),ROWS(CD$7:CD246))),"")</f>
        <v/>
      </c>
      <c r="AC247" s="4" t="str">
        <f t="array" ref="AC247">IFERROR(INDEX(CE$7:CE$378,SMALL(IF(CE$7:CE$378&lt;&gt;"",ROW(CE$7:CE$378)-ROW(CE$7)+1),ROWS(CE$7:CE246))),"")</f>
        <v/>
      </c>
      <c r="AD247" s="4"/>
      <c r="AE247" s="4"/>
      <c r="AF247" s="4"/>
      <c r="AG247" s="4"/>
      <c r="AH247" s="4"/>
      <c r="AI247" s="4"/>
      <c r="AJ247" s="46" t="str">
        <f>IF(Atletas!D243="","",IF(Atletas!B243="Feminino",100,IF(Atletas!B243="Masculino",200,""))+(IF(Atletas!D243="Infantil 39kg",1,IF(Atletas!D243="Infantil 42kg",2,IF(Atletas!D243="Infantil 45kg",3,IF(Atletas!D243="Infantil 48kg",4,IF(Atletas!D243="Infantil 52kg",5,IF(Atletas!D243="Infantil 56kg",6,IF(Atletas!D243="Infantil 60kg",7,IF(Atletas!D243="Juvenil 48kg",8,IF(Atletas!D243="Juvenil 52kg",9,IF(Atletas!D243="Juvenil 56kg",10,IF(Atletas!D243="Juvenil 60kg",11,IF(Atletas!D243="Juvenil 65kg",12,IF(Atletas!D243="Juvenil 70kg",13,IF(Atletas!D243="Juvenil 75kg",14,IF(Atletas!D243="Juvenil 80kg",15,IF(Atletas!D243="Adulto 48kg",16,IF(Atletas!D243="Adulto 52kg",17,IF(Atletas!D243="Adulto 56kg",18,IF(Atletas!D243="Adulto 60kg",19,IF(Atletas!D243="Adulto 65kg",20,IF(Atletas!D243="Adulto 70kg",21,IF(Atletas!D243="Adulto 75kg",22,IF(Atletas!D243="Adulto 80kg",23,IF(Atletas!D243="Adulto 85kg",24,IF(Atletas!D243="Adulto 90kg",25,IF(Atletas!D243="Adulto +90kg",26,""))))))))))))))))))))))))))))</f>
        <v/>
      </c>
      <c r="AO247" s="10" t="str">
        <f>IF(Atletas!E243="","",IF(Atletas!B243="Feminino",100,IF(Atletas!B243="Masculino",200,""))+(IF(Atletas!E243="Juvenil 44kg",1,IF(Atletas!E243="Juvenil 48kg",2,IF(Atletas!E243="Juvenil 52kg",3,IF(Atletas!E243="Juvenil 56kg",4,IF(Atletas!E243="Juvenil 60kg",5,IF(Atletas!E243="Juvenil 65kg",6,IF(Atletas!E243="Juvenil 70kg",7,IF(Atletas!E243="Juvenil 75kg",8,IF(Atletas!E243="Juvenil 82kg",9,IF(Atletas!E243="Juvenil 90kg",10,IF(Atletas!E243="Juvenil 100kg",11,IF(Atletas!E243="Adulto 48kg",12,IF(Atletas!E243="Adulto 52kg",13,IF(Atletas!E243="Adulto 56kg",14,IF(Atletas!E243="Adulto 60kg",15,IF(Atletas!E243="Adulto 65kg",16,IF(Atletas!E243="Adulto 70kg",17,IF(Atletas!E243="Adulto 75kg",18,IF(Atletas!E243="Adulto 82kg",19,IF(Atletas!E243="Adulto 90kg",20,IF(Atletas!E243="Adulto 100kg",21,IF(Atletas!E243="Adulto +100kg",22,""))))))))))))))))))))))))</f>
        <v/>
      </c>
      <c r="AT247" s="10" t="str">
        <f>IF(Atletas!F243="","",IF(Atletas!B243="Feminino",100,IF(Atletas!B243="Masculino",200,""))+(IF(Atletas!F243="Adulto 48kg",1,IF(Atletas!F243="Adulto 56kg",2,IF(Atletas!F243="Adulto 65kg",3,IF(Atletas!F243="Adulto 75kg",4,IF(Atletas!F243="Adulto +75kg",5,IF(Atletas!F243="Adulto 52kg",6,IF(Atletas!F243="Adulto 60kg",7,IF(Atletas!F243="Adulto 70kg",8,IF(Atletas!F243="Adulto 80kg",9,IF(Atletas!F243="Adulto 90kg",10,IF(Atletas!F243="Adulto +90kg",11,"")))))))))))))</f>
        <v/>
      </c>
      <c r="AY247" s="46" t="str">
        <f>IF(Atletas!G243="","",IF(Atletas!B243="Feminino",100,IF(Atletas!B243="Masculino",200,""))+(IF(Atletas!G243="Changquan Mirim",1,IF(Atletas!G243="Nanquan Mirim",2,IF(Atletas!G243="Taijiquan Mirim",3,IF(Atletas!G243="Changquan Grupo C",4,IF(Atletas!G243="Nanquan Grupo C",5,IF(Atletas!G243="Taijiquan Grupo C",6,IF(Atletas!G243="Changquan Grupo B",7,IF(Atletas!G243="Nanquan Grupo B",8,IF(Atletas!G243="Taijiquan Grupo B",9,IF(Atletas!G243="Changquan Grupo A",10,IF(Atletas!G243="Nanquan Grupo A",11,IF(Atletas!G243="Taijiquan Grupo A",12,IF(Atletas!G243="Changquan Opcional",13,IF(Atletas!G243="Nanquan Opcional",14,IF(Atletas!G243="Taijiquan Opcional",15,IF(Atletas!G243="Changquan Adulto",16,IF(Atletas!G243="Nanquan Adulto",17,IF(Atletas!G243="Taijiquan Adulto",18,""))))))))))))))))))))</f>
        <v/>
      </c>
      <c r="AZ247" s="46" t="str">
        <f>IF(Atletas!H243="","",IF(Atletas!B243="Feminino",100,IF(Atletas!B243="Masculino",200,""))+(IF(Atletas!H243="Daoshu Mirim",19,IF(Atletas!H243="Jianshu Mirim",20,IF(Atletas!H243="Nandao Mirim",21,IF(Atletas!H243="Taijijian Mirim",22,IF(Atletas!H243="Daoshu Grupo C",23,IF(Atletas!H243="Jianshu Grupo C",24,IF(Atletas!H243="Nandao Grupo C",25,IF(Atletas!H243="Taijijian Grupo C",26,IF(Atletas!H243="Daoshu Grupo B",27,IF(Atletas!H243="Jianshu Grupo B",28,IF(Atletas!H243="Nandao Grupo B",29,IF(Atletas!H243="Taijijian Grupo B",30,IF(Atletas!H243="Daoshu Grupo A",31,IF(Atletas!H243="Jianshu Grupo A",32,IF(Atletas!H243="Nandao Grupo A",33,IF(Atletas!H243="Taijijian Grupo A",34,IF(Atletas!H243="Daoshu Opcional",35,IF(Atletas!H243="Jianshu Opcional",36,IF(Atletas!H243="Nandao Opcional",37,IF(Atletas!H243="Taijijian Opcional",38,IF(Atletas!H243="Daoshu Adulto",39,IF(Atletas!H243="Jianshu Adulto",40,IF(Atletas!H243="Nandao Adulto",41,IF(Atletas!H243="Taijijian Adulto",42,""))))))))))))))))))))))))))</f>
        <v/>
      </c>
      <c r="BA247" s="46" t="str">
        <f>IF(Atletas!I243="","",IF(Atletas!B243="Feminino",100,IF(Atletas!B243="Masculino",200,""))+(IF(Atletas!I243="Gunshu Mirim",43,IF(Atletas!I243="Qiangshu Mirim",44,IF(Atletas!I243="Nangun Mirim",45,IF(Atletas!I243="Gunshu Grupo C",46,IF(Atletas!I243="Qiangshu Grupo C",47,IF(Atletas!I243="Nangun Grupo C",48,IF(Atletas!I243="Gunshu Grupo B",49,IF(Atletas!I243="Qiangshu Grupo B",50,IF(Atletas!I243="Nangun Grupo B",51,IF(Atletas!I243="Gunshu Grupo A",52,IF(Atletas!I243="Qiangshu Grupo A",53,IF(Atletas!I243="Nangun Grupo A",54,IF(Atletas!I243="Gunshu Opcional",55,IF(Atletas!I243="Qiangshu Opcional",56,IF(Atletas!I243="Nangun Opcional",57,IF(Atletas!I243="Gunshu Adulto",58,IF(Atletas!I243="Qiangshu Adulto",59,IF(Atletas!I243="Nangun Adulto",60,""))))))))))))))))))))</f>
        <v/>
      </c>
      <c r="BF247" s="52" t="str">
        <f>IF(Atletas!J243="","",IF(Atletas!B243="Feminino",100,IF(Atletas!B243="Masculino",200,""))+(IF(Atletas!J243="Equipe 1 Grupo B",1,IF(Atletas!J243="Equipe 2 Grupo B",2,IF(Atletas!J243="Equipe 1 Grupo A",3,IF(Atletas!J243="Equipe 2 Grupo A",4,IF(Atletas!J243="Equipe 1 Adulto",5,IF(Atletas!J243="Equipe 2 Adulto",6,""))))))))</f>
        <v/>
      </c>
      <c r="BK247" s="52" t="str">
        <f>IF(Atletas!K243="","",IF(Atletas!W243&lt;&gt;"",10000,0)+(IF(Atletas!B243="Feminino",1000,IF(Atletas!B243="Masculino",2000,""))+IF(Atletas!K243="Choylayfut A",1,IF(Atletas!K243="Hunggar A",2,IF(Atletas!K243="Wuzuquan A",3,IF(Atletas!K243="Wingchun A",4,IF(Atletas!K243="Outra Mão de Sul A",5,IF(Atletas!K243="Choylayfut B",6,IF(Atletas!K243="Hunggar B",7,IF(Atletas!K243="Wuzuquan B",8,IF(Atletas!K243="Wingchun B",9,IF(Atletas!K243="Outra Mão de Sul B",10,IF(Atletas!K243="Choylayfut C",11,IF(Atletas!K243="Hunggar C",12,IF(Atletas!K243="Wuzuquan C",13,IF(Atletas!K243="Wingchun C",14,IF(Atletas!K243="Outra Mão de Sul C",15,IF(Atletas!K243="Choylayfut D",16,IF(Atletas!K243="Hunggar D",17,IF(Atletas!K243="Wuzuquan D",18,IF(Atletas!K243="Wingchun D",19,IF(Atletas!K243="Outra Mão de Sul D",20,IF(Atletas!K243="Choylayfut E",21,IF(Atletas!K243="Hunggar E",22,IF(Atletas!K243="Wuzuquan E",23,IF(Atletas!K243="Wingchun E",24,IF(Atletas!K243="Outra Mão de Sul E",25,IF(Atletas!K243="Choylayfut F",26,IF(Atletas!K243="Hunggar F",27,IF(Atletas!K243="Wuzuquan F",28,IF(Atletas!K243="Wingchun F",29,IF(Atletas!K243="Outra Mão de Sul F",30,""))))))))))))))))))))))))))))))))</f>
        <v/>
      </c>
      <c r="BL247" s="52" t="str">
        <f>IF(Atletas!L243="","",IF(Atletas!W243&lt;&gt;"",10000,0)+(IF(Atletas!B243="Feminino",1000,IF(Atletas!B243="Masculino",2000,""))+(IF(Atletas!L243="Chaquan A",101,IF(Atletas!L243="Emeiquan A",102,IF(Atletas!L243="Fanziquan A",103,IF(Atletas!L243="Huaquan A",104,IF(Atletas!L243="Hongquan A",105,IF(Atletas!L243="Paochui A",106,IF(Atletas!L243="Piguaquan A",107,IF(Atletas!L243="Shaolinquan A",108,IF(Atletas!L243="Tanglangquan A",109,IF(Atletas!L243="Yinzhaophai A",110,IF(Atletas!L243="Tongbeiquan A",111,IF(Atletas!L243="Wudangquan A",112,IF(Atletas!L243="Outros Estilos A",113,IF(Atletas!L243="Chaquan B",114,IF(Atletas!L243="Emeiquan B",115,IF(Atletas!L243="Fanziquan B",116,IF(Atletas!L243="Huaquan B",117,IF(Atletas!L243="Hongquan B",118,IF(Atletas!L243="Paochui B",119,IF(Atletas!L243="Piguaquan B",120,IF(Atletas!L243="Shaolinquan B",121,IF(Atletas!L243="Tanglangquan B",122,IF(Atletas!L243="Yinzhaophai B",123,IF(Atletas!L243="Tongbeiquan B",124,IF(Atletas!L243="Wudangquan B",125,IF(Atletas!L243="Outros Estilos B",126,IF(Atletas!L243="Chaquan C",127,IF(Atletas!L243="Emeiquan C",128,IF(Atletas!L243="Fanziquan C",129,IF(Atletas!L243="Huaquan C",130,IF(Atletas!L243="Hongquan C",131,IF(Atletas!L243="Paochui C",132,IF(Atletas!L243="Piguaquan C",133,IF(Atletas!L243="Shaolinquan C",134,IF(Atletas!L243="Tanglangquan C",135,IF(Atletas!L243="Yinzhaophai C",136,IF(Atletas!L243="Tongbeiquan C",137,IF(Atletas!L243="Wudangquan C",138,IF(Atletas!L243="Outros Estilos C",139,0))))))))))))))))))))))))))))))))))))))))))</f>
        <v/>
      </c>
      <c r="BM247" s="52" t="str">
        <f>IF(Atletas!L243="","",IF(Atletas!W243&lt;&gt;"",10000,0)+(IF(Atletas!B243="Feminino",1000,IF(Atletas!B243="Masculino",2000,""))+(IF(Atletas!L243="Chaquan D",140,IF(Atletas!L243="Emeiquan D",141,IF(Atletas!L243="Fanziquan D",142,IF(Atletas!L243="Huaquan D",143,IF(Atletas!L243="Hongquan D",144,IF(Atletas!L243="Paochui D",145,IF(Atletas!L243="Piguaquan D",146,IF(Atletas!L243="Shaolinquan D",147,IF(Atletas!L243="Tanglangquan D",148,IF(Atletas!L243="Yinzhaophai D",149,IF(Atletas!L243="Tongbeiquan D",150,IF(Atletas!L243="Wudangquan D",151,IF(Atletas!L243="Outros Estilos D",152,IF(Atletas!L243="Chaquan E",153,IF(Atletas!L243="Emeiquan E",154,IF(Atletas!L243="Fanziquan E",155,IF(Atletas!L243="Huaquan E",156,IF(Atletas!L243="Hongquan E",157,IF(Atletas!L243="Paochui E",158,IF(Atletas!L243="Piguaquan E",159,IF(Atletas!L243="Shaolinquan E",160,IF(Atletas!L243="Tanglangquan E",161,IF(Atletas!L243="Yinzhaophai E",162,IF(Atletas!L243="Tongbeiquan E",163,IF(Atletas!L243="Wudangquan E",164,IF(Atletas!L243="Outros Estilos E",165,IF(Atletas!L243="Chaquan F",166,IF(Atletas!L243="Emeiquan F",167,IF(Atletas!L243="Fanziquan F",168,IF(Atletas!L243="Huaquan F",169,IF(Atletas!L243="Hongquan F",170,IF(Atletas!L243="Paochui F",171,IF(Atletas!L243="Piguaquan F",172,IF(Atletas!L243="Shaolinquan F",173,IF(Atletas!L243="Tanglangquan F",174,IF(Atletas!L243="Yinzhaophai F",175,IF(Atletas!L243="Tongbeiquan F",176,IF(Atletas!L243="Wudangquan F",177,IF(Atletas!L243="Outros Estilos F",178,0))))))))))))))))))))))))))))))))))))))))))</f>
        <v/>
      </c>
      <c r="BN247" s="52" t="str">
        <f>IF(Atletas!M243="","",IF(Atletas!W243&lt;&gt;"",10000,0)+(IF(Atletas!B243="Feminino",1000,IF(Atletas!B243="Masculino",2000,""))+(IF(Atletas!M243="Ditangquan A",201,IF(Atletas!M243="Houquan A",202,IF(Atletas!M243="Zuiquan A",203,IF(Atletas!M243="Ditangquan B",204,IF(Atletas!M243="Houquan B",205,IF(Atletas!M243="Zuiquan B",206,IF(Atletas!M243="Ditangquan C",207,IF(Atletas!M243="Houquan C",208,IF(Atletas!M243="Zuiquan C",209,IF(Atletas!M243="Ditangquan D",210,IF(Atletas!M243="Houquan D",211,IF(Atletas!M243="Zuiquan D",212,IF(Atletas!M243="Ditangquan E",213,IF(Atletas!M243="Houquan E",214,IF(Atletas!M243="Zuiquan E",215,IF(Atletas!M243="Ditangquan F",216,IF(Atletas!M243="Houquan F",217,IF(Atletas!M243="Zuiquan F",218,"")))))))))))))))))))))</f>
        <v/>
      </c>
      <c r="BO247" s="52" t="str">
        <f>IF(Atletas!N243="","",IF(Atletas!W243&lt;&gt;"",10000,0)+IF(Atletas!B243="Feminino",1000,IF(Atletas!B243="Masculino",2000,""))+IF(Atletas!N243="Yang A",301,IF(Atletas!N243="Chen A",30,IF(Atletas!N243="Sun A",303,IF(Atletas!N243="Wu A",304,IF(Atletas!N243="Wu-Hao A",305,IF(Atletas!N243="Outro Taijiquan A",306,IF(Atletas!N243="Yang B",307,IF(Atletas!N243="Chen B",308,IF(Atletas!N243="Sun B",309,IF(Atletas!N243="Wu B",310,IF(Atletas!N243="Wu-Hao B",311,IF(Atletas!N243="Outro Taijiquan B",312,IF(Atletas!N243="Yang C",313,IF(Atletas!N243="Chen C",314,IF(Atletas!N243="Sun C",315,IF(Atletas!N243="Wu C",316,IF(Atletas!N243="Wu-Hao C",317,IF(Atletas!N243="Outro Taijiquan C",318,IF(Atletas!N243="Yang D",319,IF(Atletas!N243="Chen D",320,IF(Atletas!N243="Sun D",321,IF(Atletas!N243="Wu D",322,IF(Atletas!N243="Wu-Hao D",323,IF(Atletas!N243="Outro Taijiquan D",324,IF(Atletas!N243="Yang E",325,IF(Atletas!N243="Chen E",326,IF(Atletas!N243="Sun E",327,IF(Atletas!N243="Wu E",328,IF(Atletas!N243="Wu-Hao E",329,IF(Atletas!N243="Outro Taijiquan E",330,IF(Atletas!N243="Yang F",331,IF(Atletas!N243="Chen F",332,IF(Atletas!N243="Sun F",333,IF(Atletas!N243="Wu F",334,IF(Atletas!N243="Wu-Hao F",335,IF(Atletas!N243="Outro Taijiquan F",336,"")))))))))))))))))))))))))))))))))))))</f>
        <v/>
      </c>
      <c r="BP247" s="52" t="str">
        <f>IF(Atletas!O243="","",IF(Atletas!W243&lt;&gt;"",10000,0)+IF(Atletas!B243="Feminino",1000,IF(Atletas!B243="Masculino",2000,""))+IF(OR(Atletas!O243="Yang 26 A",Atletas!O243="Yang 40 A"),401,IF(OR(Atletas!O243="Chen 25 A",Atletas!O243="Chen 36 A",Atletas!O243="Chen 56 A"),402,IF(Atletas!O243="Sun 73 A",403,IF(Atletas!O243="Wu 45 A",404,IF(Atletas!O243="Wu-Hao 46 A",405,IF(OR(Atletas!O243="Taijiquan 16 A",Atletas!O243="Taijiquan 24 A",Atletas!O243="Taijiquan 32 A",Atletas!O243="Taijiquan 42 A"),406,IF(OR(Atletas!O243="Yang 26 B",Atletas!O243="Yang 40 B"),407,IF(OR(Atletas!O243="Chen 25 B",Atletas!O243="Chen 36 B",Atletas!O243="Chen 56 B"),408,IF(Atletas!O243="Sun 73 B",409,IF(Atletas!O243="Wu 45 B",410,IF(Atletas!O243="Wu-Hao 46 B",411,IF(OR(Atletas!O243="Taijiquan 16 B",Atletas!O243="Taijiquan 24 B",Atletas!O243="Taijiquan 32 B",Atletas!O243="Taijiquan 42 B"),412,IF(OR(Atletas!O243="Yang 26 C",Atletas!O243="Yang 40 C"),413,IF(OR(Atletas!O243="Chen 25 C",Atletas!O243="Chen 36 C",Atletas!O243="Chen 56 C"),414,IF(Atletas!O243="Sun 73 C",415,IF(Atletas!O243="Wu 45 C",416,IF(Atletas!O243="Wu-Hao 46 C",417,IF(OR(Atletas!O243="Taijiquan 16 C",Atletas!O243="Taijiquan 24 C",Atletas!O243="Taijiquan 32 C",Atletas!O243="Taijiquan 42 C"),418,0)))))))))))))))))))</f>
        <v/>
      </c>
      <c r="BQ247" s="52" t="str">
        <f>IF(Atletas!O243="","",IF(Atletas!W243&lt;&gt;"",10000,0)+IF(Atletas!B243="Feminino",1000,IF(Atletas!B243="Masculino",2000,""))+IF(OR(Atletas!O243="Yang 26 D",Atletas!O243="Yang 40 D"),419,IF(OR(Atletas!O243="Chen 25 D",Atletas!O243="Chen 36 D",Atletas!O243="Chen 56 D"),420,IF(Atletas!O243="Sun 73 D",421,IF(Atletas!O243="Wu 45 D",422,IF(Atletas!O243="Wu-Hao 46 D",423,IF(OR(Atletas!O243="Taijiquan 16 D",Atletas!O243="Taijiquan 24 D",Atletas!O243="Taijiquan 32 D",Atletas!O243="Taijiquan 42 D"),424,IF(OR(Atletas!O243="Yang 26 E",Atletas!O243="Yang 40 E"),425,IF(OR(Atletas!O243="Chen 25 E",Atletas!O243="Chen 36 E",Atletas!O243="Chen 56 E"),426,IF(Atletas!O243="Sun 73 E",427,IF(Atletas!O243="Wu 45 E",428,IF(Atletas!O243="Wu-Hao 46 E",429,IF(OR(Atletas!O243="Taijiquan 16 E",Atletas!O243="Taijiquan 24 E",Atletas!O243="Taijiquan 32 E",Atletas!O243="Taijiquan 42 E"),430,IF(OR(Atletas!O243="Yang 26 F",Atletas!O243="Yang 40 F"),431,IF(OR(Atletas!O243="Chen 25 F",Atletas!O243="Chen 36 F",Atletas!O243="Chen 56 F"),432,IF(Atletas!O243="Sun 73 F",433,IF(Atletas!O243="Wu 45 F",434,IF(Atletas!O243="Wu-Hao 46 F",435,IF(OR(Atletas!O243="Taijiquan 16 F",Atletas!O243="Taijiquan 24 F",Atletas!O243="Taijiquan 32 F",Atletas!O243="Taijiquan 42 F"),436,0)))))))))))))))))))</f>
        <v/>
      </c>
      <c r="BR247" s="52" t="str">
        <f>IF(Atletas!P243="","",IF(Atletas!W243&lt;&gt;"",10000,0)+IF(Atletas!B243="Feminino",1000,IF(Atletas!B243="Masculino",2000,""))+IF(Atletas!P243="Xingyiquan A",501,IF(Atletas!P243="Baguazhang A",502,IF(Atletas!P243="Outro Estilo Interno A",503,IF(Atletas!P243="Xingyiquan B",504,IF(Atletas!P243="Baguazhang B",505,IF(Atletas!P243="Outro Estilo Interno B",506,IF(Atletas!P243="Xingyiquan C",507,IF(Atletas!P243="Baguazhang C",508,IF(Atletas!P243="Outro Estilo Interno C",509,IF(Atletas!P243="Xingyiquan D",510,IF(Atletas!P243="Baguazhang D",511,IF(Atletas!P243="Outro Estilo Interno D",512,IF(Atletas!P243="Xingyiquan E",513,IF(Atletas!P243="Baguazhang E",514,IF(Atletas!P243="Outro Estilo Interno E",515,IF(Atletas!P243="Xingyiquan F",516,IF(Atletas!P243="Baguazhang F",517,IF(Atletas!P243="Outro Estilo Interno F",518, "")))))))))))))))))))</f>
        <v/>
      </c>
      <c r="BS247" s="52" t="str">
        <f>IF(Atletas!Q243="","",IF(Atletas!W243&lt;&gt;"",10000,0)+IF(Atletas!B243="Feminino",1000,IF(Atletas!B243="Masculino",2000,""))+IF(Atletas!Q243="Dao A",601,IF(Atletas!Q243="Jian A",602,IF(Atletas!Q243="Bishou A",603,IF(Atletas!Q243="Shan A",604,IF(Atletas!Q243="Outra Arma Curta A",605,IF(Atletas!Q243="Dao B",606,IF(Atletas!Q243="Jian B",607,IF(Atletas!Q243="Bishou B",608,IF(Atletas!Q243="Shan B",609,IF(Atletas!Q243="Outra Arma Curta B",610,IF(Atletas!Q243="Dao C",611,IF(Atletas!Q243="Jian C",612,IF(Atletas!Q243="Bishou C",613,IF(Atletas!Q243="Shan C",614,IF(Atletas!Q243="Outra Arma Curta C",615,IF(Atletas!Q243="Dao D",616,IF(Atletas!Q243="Jian D",617,IF(Atletas!Q243="Bishou D",618,IF(Atletas!Q243="Shan D",619,IF(Atletas!Q243="Outra Arma Curta D",620,IF(Atletas!Q243="Dao E",621,IF(Atletas!Q243="Jian E",622,IF(Atletas!Q243="Bishou E",623,IF(Atletas!Q243="Shan E",624,IF(Atletas!Q243="Outra Arma Curta E",625,IF(Atletas!Q243="Dao F",626,IF(Atletas!Q243="Jian F",627,IF(Atletas!Q243="Bishou F",628,IF(Atletas!Q243="Shan F",629,IF(Atletas!Q243="Outra Arma Curta F",630, "")))))))))))))))))))))))))))))))</f>
        <v/>
      </c>
      <c r="BT247" s="52" t="str">
        <f>IF(Atletas!R243="","",IF(Atletas!W243&lt;&gt;"",10000,0)+IF(Atletas!B243="Feminino",1000,IF(Atletas!B243="Masculino",2000,""))+IF(Atletas!R243="Gun A",701,IF(Atletas!R243="Qiang A",702,IF(Atletas!R243="Pudao / Guandao A",703,IF(Atletas!R243="Outra Arma Longa A",704,IF(Atletas!R243="Gun B",705,IF(Atletas!R243="Qiang B",706,IF(Atletas!R243="Pudao / Guandao B",707,IF(Atletas!R243="Outra Arma Longa B",708,IF(Atletas!R243="Gun C",709,IF(Atletas!R243="Qiang C",710,IF(Atletas!R243="Pudao / Guandao C",711,IF(Atletas!R243="Outra Arma Longa C",712,IF(Atletas!R243="Gun D",713,IF(Atletas!R243="Qiang D",714,IF(Atletas!R243="Pudao / Guandao D",715,IF(Atletas!R243="Outra Arma Longa D",716,IF(Atletas!R243="Gun E",717,IF(Atletas!R243="Qiang E",718,IF(Atletas!R243="Pudao / Guandao E",719,IF(Atletas!R243="Outra Arma Longa E",720,IF(Atletas!R243="Gun F",721,IF(Atletas!R243="Qiang F",722,IF(Atletas!R243="Pudao / Guandao F",723,IF(Atletas!R243="Outra Arma Longa F",724,"")))))))))))))))))))))))))</f>
        <v/>
      </c>
      <c r="BU247" s="52" t="str">
        <f>IF(Atletas!S243="","",IF(Atletas!W243&lt;&gt;"",10000,0)+IF(Atletas!B243="Feminino",1000,IF(Atletas!B243="Masculino",2000,""))+IF(Atletas!S243="Arma Dupla A",801,IF(Atletas!S243="Arma Maleável A",802,IF(Atletas!S243="Arma Dupla B",803,IF(Atletas!S243="Arma Maleável B",804,IF(Atletas!S243="Arma Dupla C",805,IF(Atletas!S243="Arma Maleável C",806,IF(Atletas!S243="Arma Dupla D",807,IF(Atletas!S243="Arma Maleável D",808,IF(Atletas!S243="Arma Dupla E",809,IF(Atletas!S243="Arma Maleável E",810,IF(Atletas!S243="Arma Dupla F",811,IF(Atletas!S243="Arma Maleável F",812, "")))))))))))))</f>
        <v/>
      </c>
      <c r="BV247" s="52" t="str">
        <f>IF(Atletas!T243="","",IF(Atletas!W243&lt;&gt;"",10000,0)+IF(Atletas!B243="Feminino",1000,IF(Atletas!B243="Masculino",2000,""))+IF(Atletas!T243="Taijijian Yang A",901,IF(Atletas!T243="Taijijian Chen A",902,IF(Atletas!T243="Taijijian Sun A",903,IF(Atletas!T243="Taijijian Wu A",904,IF(Atletas!T243="Taijijian Wu-Hao A",905,IF(Atletas!T243="Taijijian 32 A",906,IF(Atletas!T243="Taijijian 42 A",907,IF(Atletas!T243="Taijijian Yang B",908,IF(Atletas!T243="Taijijian Chen B",909,IF(Atletas!T243="Taijijian Sun B",910,IF(Atletas!T243="Taijijian Wu B",911,IF(Atletas!T243="Taijijian Wu-Hao B",912,IF(Atletas!T243="Taijijian 32 B",913,IF(Atletas!T243="Taijijian 42 B",914,IF(Atletas!T243="Taijijian Yang C",915,IF(Atletas!T243="Taijijian Chen C",916,IF(Atletas!T243="Taijijian Sun C",917,IF(Atletas!T243="Taijijian Wu C",918,IF(Atletas!T243="Taijijian Wu-Hao C",919,IF(Atletas!T243="Taijijian 32 C",920,IF(Atletas!T243="Taijijian 42 C",921,IF(Atletas!T243="Taijijian Yang D",922,IF(Atletas!T243="Taijijian Chen D",923,IF(Atletas!T243="Taijijian Sun D",924,IF(Atletas!T243="Taijijian Wu D",925,IF(Atletas!T243="Taijijian Wu-Hao D",926,IF(Atletas!T243="Taijijian 32 D",927,IF(Atletas!T243="Taijijian 42 D",928,IF(Atletas!T243="Taijijian Yang E",929,IF(Atletas!T243="Taijijian Chen E",930,IF(Atletas!T243="Taijijian Sun E",931,IF(Atletas!T243="Taijijian Wu E",932,IF(Atletas!T243="Taijijian Wu-Hao E",933,IF(Atletas!T243="Taijijian 32 E",934,IF(Atletas!T243="Taijijian 42 E",935,IF(Atletas!T243="Taijijian Yang F",936,IF(Atletas!T243="Taijijian Chen F",937,IF(Atletas!T243="Taijijian Sun F",938,IF(Atletas!T243="Taijijian Wu F",939,IF(Atletas!T243="Taijijian Wu-Hao F",940,IF(Atletas!T243="Taijijian 32 F",941,IF(Atletas!T243="Taijijian 42 F",942,"")))))))))))))))))))))))))))))))))))))))))))</f>
        <v/>
      </c>
      <c r="BW247" s="52" t="str">
        <f>IF(Atletas!U243="","",IF(Atletas!W243&lt;&gt;"",10000,0)+IF(Atletas!B243="Feminino",1000,IF(Atletas!B243="Masculino",2000,""))+IF(Atletas!T243="Taijijian 42 F",942,IF(Atletas!U243="Taijidao A",943,IF(Atletas!U243="Taijishan A",944,IF(Atletas!U243="Taijiqiang A",945,IF(Atletas!U243="Taijidao B",946,IF(Atletas!U243="Taijishan B",947,IF(Atletas!U243="Taijiqiang B",948,IF(Atletas!U243="Taijidao C",949,IF(Atletas!U243="Taijishan C",950,IF(Atletas!U243="Taijiqiang C",951,IF(Atletas!U243="Taijidao D",952,IF(Atletas!U243="Taijishan D",953,IF(Atletas!U243="Taijiqiang D",954,IF(Atletas!U243="Taijidao E",955,IF(Atletas!U243="Taijishan E",956,IF(Atletas!U243="Taijiqiang E",957,IF(Atletas!U243="Taijidao F",958,IF(Atletas!U243="Taijishan F",959,IF(Atletas!U243="Taijiqiang F",960))))))))))))))))))))</f>
        <v/>
      </c>
      <c r="BX247" s="72" t="str">
        <f>IF(BY247&lt;&gt;"","Outra Arma Curta E","")</f>
        <v/>
      </c>
      <c r="BY247" s="72" t="str">
        <f>IF(COUNTIF(BK:BW,1625)&gt;0,COUNTIF(BK:BW,1625),"")</f>
        <v/>
      </c>
      <c r="BZ247" s="72" t="str">
        <f>IF(CA247&lt;&gt;"","Outra Arma Curta E","")</f>
        <v/>
      </c>
      <c r="CA247" s="72" t="str">
        <f>IF(COUNTIF(BK:BW,2625)&gt;0,COUNTIF(BK:BW,2625),"")</f>
        <v/>
      </c>
      <c r="CB247" s="72" t="str">
        <f>IF(CC247&lt;&gt;"","Xingyiquan A","")</f>
        <v/>
      </c>
      <c r="CC247" s="64" t="str">
        <f>IF(COUNTIF(BK:BW,11501)&gt;0,COUNTIF(BK:BW,11501),"")</f>
        <v/>
      </c>
      <c r="CD247" s="64" t="str">
        <f>IF(CE247&lt;&gt;"","Xingyiquan A","")</f>
        <v/>
      </c>
      <c r="CE247" s="64" t="str">
        <f>IF(COUNTIF(BK:BW,12501)&gt;0,COUNTIF(BK:BW,12501),"")</f>
        <v/>
      </c>
      <c r="CF247" s="52" t="str">
        <f xml:space="preserve"> IF(Atletas!V243="","",IF(Atletas!V243="Duilian de Mãos AB - Equipe 1",1,IF(Atletas!V243="Duilian de Mãos AB - Equipe 2",2,IF(Atletas!V243="Duilian de Armas AB - Equipe 1",3,IF(Atletas!V243="Duilian de Armas AB - Equipe 2",4,IF(Atletas!V243="Duilian de Tuishou - Equipe 1",5,IF(Atletas!V243="Duilian de Tuishou - Equipe 2",6,IF(Atletas!V243="Grupo Externo AB - Equipe 1",7,IF(Atletas!V243="Grupo Externo AB - Equipe 2",8,IF(Atletas!V243="Grupo Interno AB - Equipe 1",9,IF(Atletas!V243="Grupo Interno AB - Equipe 2",10,IF(Atletas!V243="Duilian de Mãos CD - Equipe 1",11,IF(Atletas!V243="Duilian de Mãos CD - Equipe 2",12,IF(Atletas!V243="Duilian de Armas CD - Equipe 1",13,IF(Atletas!V243="Duilian de Armas CD - Equipe 2",14,IF(Atletas!V243="Duilian de Tuishou - Equipe 1",15,IF(Atletas!V243="Duilian de Tuishou - Equipe 2",16,IF(Atletas!V243="Grupo Externo CDEF - Equipe 1",17,IF(Atletas!V243="Grupo Externo CDEF - Equipe 2",18,IF(Atletas!V243="Grupo Interno CDEF - Equipe 1",19,IF(Atletas!V243="Grupo Interno CDEF - Equipe 2",20,IF(Atletas!V243="Duilian de Mãos EF - Equipe 1",21,IF(Atletas!V243="Duilian de Mãos EF - Equipe 2",22,IF(Atletas!V243="Duilian de Armas EF - Equipe 1",23,IF(Atletas!V243="Duilian de Armas EF - Equipe 2",24,IF(Atletas!V243="Duilian de Tuishou - Equipe 1",25,IF(Atletas!V243="Duilian de Tuishou - Equipe 2",26,"")))))))))))))))))))))))))))</f>
        <v/>
      </c>
    </row>
    <row r="248" spans="2:84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 t="str">
        <f t="array" ref="V248">IFERROR(INDEX(BX$7:BX$336,SMALL(IF(BX$7:BX$336&lt;&gt;"",ROW(BX$7:BX$336)-ROW(BX$7)+1),ROWS(BX$7:BX205))),"")</f>
        <v/>
      </c>
      <c r="W248" s="4" t="str">
        <f t="array" ref="W248">IFERROR(INDEX(BY$7:BY$336,SMALL(IF(BY$7:BY$336&lt;&gt;"",ROW(BY$7:BY$336)-ROW(BY$7)+1),ROWS(BY$7:BY205))),"")</f>
        <v/>
      </c>
      <c r="X248" s="4" t="str">
        <f t="array" ref="X248">IFERROR(INDEX(BZ$7:BZ$336,SMALL(IF(BZ$7:BZ$336&lt;&gt;"",ROW(BZ$7:BZ$336)-ROW(BZ$7)+1),ROWS(BZ$7:BZ205))),"")</f>
        <v/>
      </c>
      <c r="Y248" s="4" t="str">
        <f t="array" ref="Y248">IFERROR(INDEX(CA$7:CA$336,SMALL(IF(CA$7:CA$336&lt;&gt;"",ROW(CA$7:CA$336)-ROW(CA$7)+1),ROWS(CA$7:CA205))),"")</f>
        <v/>
      </c>
      <c r="Z248" s="4" t="str">
        <f t="array" ref="Z248">IFERROR(INDEX(CB$7:CB$378,SMALL(IF(CB$7:CB$378&lt;&gt;"",ROW(CB$7:CB$378)-ROW(CB$7)+1),ROWS(CB$7:CB247))),"")</f>
        <v/>
      </c>
      <c r="AA248" s="4" t="str">
        <f t="array" ref="AA248">IFERROR(INDEX(CC$7:CC$378,SMALL(IF(CC$7:CC$378&lt;&gt;"",ROW(CC$7:CC$378)-ROW(CC$7)+1),ROWS(CC$7:CC247))),"")</f>
        <v/>
      </c>
      <c r="AB248" s="4" t="str">
        <f t="array" ref="AB248">IFERROR(INDEX(CD$7:CD$378,SMALL(IF(CD$7:CD$378&lt;&gt;"",ROW(CD$7:CD$378)-ROW(CD$7)+1),ROWS(CD$7:CD247))),"")</f>
        <v/>
      </c>
      <c r="AC248" s="4" t="str">
        <f t="array" ref="AC248">IFERROR(INDEX(CE$7:CE$378,SMALL(IF(CE$7:CE$378&lt;&gt;"",ROW(CE$7:CE$378)-ROW(CE$7)+1),ROWS(CE$7:CE247))),"")</f>
        <v/>
      </c>
      <c r="AD248" s="4"/>
      <c r="AE248" s="4"/>
      <c r="AF248" s="4"/>
      <c r="AG248" s="4"/>
      <c r="AH248" s="4"/>
      <c r="AI248" s="4"/>
      <c r="AJ248" s="46" t="str">
        <f>IF(Atletas!D244="","",IF(Atletas!B244="Feminino",100,IF(Atletas!B244="Masculino",200,""))+(IF(Atletas!D244="Infantil 39kg",1,IF(Atletas!D244="Infantil 42kg",2,IF(Atletas!D244="Infantil 45kg",3,IF(Atletas!D244="Infantil 48kg",4,IF(Atletas!D244="Infantil 52kg",5,IF(Atletas!D244="Infantil 56kg",6,IF(Atletas!D244="Infantil 60kg",7,IF(Atletas!D244="Juvenil 48kg",8,IF(Atletas!D244="Juvenil 52kg",9,IF(Atletas!D244="Juvenil 56kg",10,IF(Atletas!D244="Juvenil 60kg",11,IF(Atletas!D244="Juvenil 65kg",12,IF(Atletas!D244="Juvenil 70kg",13,IF(Atletas!D244="Juvenil 75kg",14,IF(Atletas!D244="Juvenil 80kg",15,IF(Atletas!D244="Adulto 48kg",16,IF(Atletas!D244="Adulto 52kg",17,IF(Atletas!D244="Adulto 56kg",18,IF(Atletas!D244="Adulto 60kg",19,IF(Atletas!D244="Adulto 65kg",20,IF(Atletas!D244="Adulto 70kg",21,IF(Atletas!D244="Adulto 75kg",22,IF(Atletas!D244="Adulto 80kg",23,IF(Atletas!D244="Adulto 85kg",24,IF(Atletas!D244="Adulto 90kg",25,IF(Atletas!D244="Adulto +90kg",26,""))))))))))))))))))))))))))))</f>
        <v/>
      </c>
      <c r="AO248" s="10" t="str">
        <f>IF(Atletas!E244="","",IF(Atletas!B244="Feminino",100,IF(Atletas!B244="Masculino",200,""))+(IF(Atletas!E244="Juvenil 44kg",1,IF(Atletas!E244="Juvenil 48kg",2,IF(Atletas!E244="Juvenil 52kg",3,IF(Atletas!E244="Juvenil 56kg",4,IF(Atletas!E244="Juvenil 60kg",5,IF(Atletas!E244="Juvenil 65kg",6,IF(Atletas!E244="Juvenil 70kg",7,IF(Atletas!E244="Juvenil 75kg",8,IF(Atletas!E244="Juvenil 82kg",9,IF(Atletas!E244="Juvenil 90kg",10,IF(Atletas!E244="Juvenil 100kg",11,IF(Atletas!E244="Adulto 48kg",12,IF(Atletas!E244="Adulto 52kg",13,IF(Atletas!E244="Adulto 56kg",14,IF(Atletas!E244="Adulto 60kg",15,IF(Atletas!E244="Adulto 65kg",16,IF(Atletas!E244="Adulto 70kg",17,IF(Atletas!E244="Adulto 75kg",18,IF(Atletas!E244="Adulto 82kg",19,IF(Atletas!E244="Adulto 90kg",20,IF(Atletas!E244="Adulto 100kg",21,IF(Atletas!E244="Adulto +100kg",22,""))))))))))))))))))))))))</f>
        <v/>
      </c>
      <c r="AT248" s="10" t="str">
        <f>IF(Atletas!F244="","",IF(Atletas!B244="Feminino",100,IF(Atletas!B244="Masculino",200,""))+(IF(Atletas!F244="Adulto 48kg",1,IF(Atletas!F244="Adulto 56kg",2,IF(Atletas!F244="Adulto 65kg",3,IF(Atletas!F244="Adulto 75kg",4,IF(Atletas!F244="Adulto +75kg",5,IF(Atletas!F244="Adulto 52kg",6,IF(Atletas!F244="Adulto 60kg",7,IF(Atletas!F244="Adulto 70kg",8,IF(Atletas!F244="Adulto 80kg",9,IF(Atletas!F244="Adulto 90kg",10,IF(Atletas!F244="Adulto +90kg",11,"")))))))))))))</f>
        <v/>
      </c>
      <c r="AY248" s="46" t="str">
        <f>IF(Atletas!G244="","",IF(Atletas!B244="Feminino",100,IF(Atletas!B244="Masculino",200,""))+(IF(Atletas!G244="Changquan Mirim",1,IF(Atletas!G244="Nanquan Mirim",2,IF(Atletas!G244="Taijiquan Mirim",3,IF(Atletas!G244="Changquan Grupo C",4,IF(Atletas!G244="Nanquan Grupo C",5,IF(Atletas!G244="Taijiquan Grupo C",6,IF(Atletas!G244="Changquan Grupo B",7,IF(Atletas!G244="Nanquan Grupo B",8,IF(Atletas!G244="Taijiquan Grupo B",9,IF(Atletas!G244="Changquan Grupo A",10,IF(Atletas!G244="Nanquan Grupo A",11,IF(Atletas!G244="Taijiquan Grupo A",12,IF(Atletas!G244="Changquan Opcional",13,IF(Atletas!G244="Nanquan Opcional",14,IF(Atletas!G244="Taijiquan Opcional",15,IF(Atletas!G244="Changquan Adulto",16,IF(Atletas!G244="Nanquan Adulto",17,IF(Atletas!G244="Taijiquan Adulto",18,""))))))))))))))))))))</f>
        <v/>
      </c>
      <c r="AZ248" s="46" t="str">
        <f>IF(Atletas!H244="","",IF(Atletas!B244="Feminino",100,IF(Atletas!B244="Masculino",200,""))+(IF(Atletas!H244="Daoshu Mirim",19,IF(Atletas!H244="Jianshu Mirim",20,IF(Atletas!H244="Nandao Mirim",21,IF(Atletas!H244="Taijijian Mirim",22,IF(Atletas!H244="Daoshu Grupo C",23,IF(Atletas!H244="Jianshu Grupo C",24,IF(Atletas!H244="Nandao Grupo C",25,IF(Atletas!H244="Taijijian Grupo C",26,IF(Atletas!H244="Daoshu Grupo B",27,IF(Atletas!H244="Jianshu Grupo B",28,IF(Atletas!H244="Nandao Grupo B",29,IF(Atletas!H244="Taijijian Grupo B",30,IF(Atletas!H244="Daoshu Grupo A",31,IF(Atletas!H244="Jianshu Grupo A",32,IF(Atletas!H244="Nandao Grupo A",33,IF(Atletas!H244="Taijijian Grupo A",34,IF(Atletas!H244="Daoshu Opcional",35,IF(Atletas!H244="Jianshu Opcional",36,IF(Atletas!H244="Nandao Opcional",37,IF(Atletas!H244="Taijijian Opcional",38,IF(Atletas!H244="Daoshu Adulto",39,IF(Atletas!H244="Jianshu Adulto",40,IF(Atletas!H244="Nandao Adulto",41,IF(Atletas!H244="Taijijian Adulto",42,""))))))))))))))))))))))))))</f>
        <v/>
      </c>
      <c r="BA248" s="46" t="str">
        <f>IF(Atletas!I244="","",IF(Atletas!B244="Feminino",100,IF(Atletas!B244="Masculino",200,""))+(IF(Atletas!I244="Gunshu Mirim",43,IF(Atletas!I244="Qiangshu Mirim",44,IF(Atletas!I244="Nangun Mirim",45,IF(Atletas!I244="Gunshu Grupo C",46,IF(Atletas!I244="Qiangshu Grupo C",47,IF(Atletas!I244="Nangun Grupo C",48,IF(Atletas!I244="Gunshu Grupo B",49,IF(Atletas!I244="Qiangshu Grupo B",50,IF(Atletas!I244="Nangun Grupo B",51,IF(Atletas!I244="Gunshu Grupo A",52,IF(Atletas!I244="Qiangshu Grupo A",53,IF(Atletas!I244="Nangun Grupo A",54,IF(Atletas!I244="Gunshu Opcional",55,IF(Atletas!I244="Qiangshu Opcional",56,IF(Atletas!I244="Nangun Opcional",57,IF(Atletas!I244="Gunshu Adulto",58,IF(Atletas!I244="Qiangshu Adulto",59,IF(Atletas!I244="Nangun Adulto",60,""))))))))))))))))))))</f>
        <v/>
      </c>
      <c r="BF248" s="52" t="str">
        <f>IF(Atletas!J244="","",IF(Atletas!B244="Feminino",100,IF(Atletas!B244="Masculino",200,""))+(IF(Atletas!J244="Equipe 1 Grupo B",1,IF(Atletas!J244="Equipe 2 Grupo B",2,IF(Atletas!J244="Equipe 1 Grupo A",3,IF(Atletas!J244="Equipe 2 Grupo A",4,IF(Atletas!J244="Equipe 1 Adulto",5,IF(Atletas!J244="Equipe 2 Adulto",6,""))))))))</f>
        <v/>
      </c>
      <c r="BK248" s="52" t="str">
        <f>IF(Atletas!K244="","",IF(Atletas!W244&lt;&gt;"",10000,0)+(IF(Atletas!B244="Feminino",1000,IF(Atletas!B244="Masculino",2000,""))+IF(Atletas!K244="Choylayfut A",1,IF(Atletas!K244="Hunggar A",2,IF(Atletas!K244="Wuzuquan A",3,IF(Atletas!K244="Wingchun A",4,IF(Atletas!K244="Outra Mão de Sul A",5,IF(Atletas!K244="Choylayfut B",6,IF(Atletas!K244="Hunggar B",7,IF(Atletas!K244="Wuzuquan B",8,IF(Atletas!K244="Wingchun B",9,IF(Atletas!K244="Outra Mão de Sul B",10,IF(Atletas!K244="Choylayfut C",11,IF(Atletas!K244="Hunggar C",12,IF(Atletas!K244="Wuzuquan C",13,IF(Atletas!K244="Wingchun C",14,IF(Atletas!K244="Outra Mão de Sul C",15,IF(Atletas!K244="Choylayfut D",16,IF(Atletas!K244="Hunggar D",17,IF(Atletas!K244="Wuzuquan D",18,IF(Atletas!K244="Wingchun D",19,IF(Atletas!K244="Outra Mão de Sul D",20,IF(Atletas!K244="Choylayfut E",21,IF(Atletas!K244="Hunggar E",22,IF(Atletas!K244="Wuzuquan E",23,IF(Atletas!K244="Wingchun E",24,IF(Atletas!K244="Outra Mão de Sul E",25,IF(Atletas!K244="Choylayfut F",26,IF(Atletas!K244="Hunggar F",27,IF(Atletas!K244="Wuzuquan F",28,IF(Atletas!K244="Wingchun F",29,IF(Atletas!K244="Outra Mão de Sul F",30,""))))))))))))))))))))))))))))))))</f>
        <v/>
      </c>
      <c r="BL248" s="52" t="str">
        <f>IF(Atletas!L244="","",IF(Atletas!W244&lt;&gt;"",10000,0)+(IF(Atletas!B244="Feminino",1000,IF(Atletas!B244="Masculino",2000,""))+(IF(Atletas!L244="Chaquan A",101,IF(Atletas!L244="Emeiquan A",102,IF(Atletas!L244="Fanziquan A",103,IF(Atletas!L244="Huaquan A",104,IF(Atletas!L244="Hongquan A",105,IF(Atletas!L244="Paochui A",106,IF(Atletas!L244="Piguaquan A",107,IF(Atletas!L244="Shaolinquan A",108,IF(Atletas!L244="Tanglangquan A",109,IF(Atletas!L244="Yinzhaophai A",110,IF(Atletas!L244="Tongbeiquan A",111,IF(Atletas!L244="Wudangquan A",112,IF(Atletas!L244="Outros Estilos A",113,IF(Atletas!L244="Chaquan B",114,IF(Atletas!L244="Emeiquan B",115,IF(Atletas!L244="Fanziquan B",116,IF(Atletas!L244="Huaquan B",117,IF(Atletas!L244="Hongquan B",118,IF(Atletas!L244="Paochui B",119,IF(Atletas!L244="Piguaquan B",120,IF(Atletas!L244="Shaolinquan B",121,IF(Atletas!L244="Tanglangquan B",122,IF(Atletas!L244="Yinzhaophai B",123,IF(Atletas!L244="Tongbeiquan B",124,IF(Atletas!L244="Wudangquan B",125,IF(Atletas!L244="Outros Estilos B",126,IF(Atletas!L244="Chaquan C",127,IF(Atletas!L244="Emeiquan C",128,IF(Atletas!L244="Fanziquan C",129,IF(Atletas!L244="Huaquan C",130,IF(Atletas!L244="Hongquan C",131,IF(Atletas!L244="Paochui C",132,IF(Atletas!L244="Piguaquan C",133,IF(Atletas!L244="Shaolinquan C",134,IF(Atletas!L244="Tanglangquan C",135,IF(Atletas!L244="Yinzhaophai C",136,IF(Atletas!L244="Tongbeiquan C",137,IF(Atletas!L244="Wudangquan C",138,IF(Atletas!L244="Outros Estilos C",139,0))))))))))))))))))))))))))))))))))))))))))</f>
        <v/>
      </c>
      <c r="BM248" s="52" t="str">
        <f>IF(Atletas!L244="","",IF(Atletas!W244&lt;&gt;"",10000,0)+(IF(Atletas!B244="Feminino",1000,IF(Atletas!B244="Masculino",2000,""))+(IF(Atletas!L244="Chaquan D",140,IF(Atletas!L244="Emeiquan D",141,IF(Atletas!L244="Fanziquan D",142,IF(Atletas!L244="Huaquan D",143,IF(Atletas!L244="Hongquan D",144,IF(Atletas!L244="Paochui D",145,IF(Atletas!L244="Piguaquan D",146,IF(Atletas!L244="Shaolinquan D",147,IF(Atletas!L244="Tanglangquan D",148,IF(Atletas!L244="Yinzhaophai D",149,IF(Atletas!L244="Tongbeiquan D",150,IF(Atletas!L244="Wudangquan D",151,IF(Atletas!L244="Outros Estilos D",152,IF(Atletas!L244="Chaquan E",153,IF(Atletas!L244="Emeiquan E",154,IF(Atletas!L244="Fanziquan E",155,IF(Atletas!L244="Huaquan E",156,IF(Atletas!L244="Hongquan E",157,IF(Atletas!L244="Paochui E",158,IF(Atletas!L244="Piguaquan E",159,IF(Atletas!L244="Shaolinquan E",160,IF(Atletas!L244="Tanglangquan E",161,IF(Atletas!L244="Yinzhaophai E",162,IF(Atletas!L244="Tongbeiquan E",163,IF(Atletas!L244="Wudangquan E",164,IF(Atletas!L244="Outros Estilos E",165,IF(Atletas!L244="Chaquan F",166,IF(Atletas!L244="Emeiquan F",167,IF(Atletas!L244="Fanziquan F",168,IF(Atletas!L244="Huaquan F",169,IF(Atletas!L244="Hongquan F",170,IF(Atletas!L244="Paochui F",171,IF(Atletas!L244="Piguaquan F",172,IF(Atletas!L244="Shaolinquan F",173,IF(Atletas!L244="Tanglangquan F",174,IF(Atletas!L244="Yinzhaophai F",175,IF(Atletas!L244="Tongbeiquan F",176,IF(Atletas!L244="Wudangquan F",177,IF(Atletas!L244="Outros Estilos F",178,0))))))))))))))))))))))))))))))))))))))))))</f>
        <v/>
      </c>
      <c r="BN248" s="52" t="str">
        <f>IF(Atletas!M244="","",IF(Atletas!W244&lt;&gt;"",10000,0)+(IF(Atletas!B244="Feminino",1000,IF(Atletas!B244="Masculino",2000,""))+(IF(Atletas!M244="Ditangquan A",201,IF(Atletas!M244="Houquan A",202,IF(Atletas!M244="Zuiquan A",203,IF(Atletas!M244="Ditangquan B",204,IF(Atletas!M244="Houquan B",205,IF(Atletas!M244="Zuiquan B",206,IF(Atletas!M244="Ditangquan C",207,IF(Atletas!M244="Houquan C",208,IF(Atletas!M244="Zuiquan C",209,IF(Atletas!M244="Ditangquan D",210,IF(Atletas!M244="Houquan D",211,IF(Atletas!M244="Zuiquan D",212,IF(Atletas!M244="Ditangquan E",213,IF(Atletas!M244="Houquan E",214,IF(Atletas!M244="Zuiquan E",215,IF(Atletas!M244="Ditangquan F",216,IF(Atletas!M244="Houquan F",217,IF(Atletas!M244="Zuiquan F",218,"")))))))))))))))))))))</f>
        <v/>
      </c>
      <c r="BO248" s="52" t="str">
        <f>IF(Atletas!N244="","",IF(Atletas!W244&lt;&gt;"",10000,0)+IF(Atletas!B244="Feminino",1000,IF(Atletas!B244="Masculino",2000,""))+IF(Atletas!N244="Yang A",301,IF(Atletas!N244="Chen A",30,IF(Atletas!N244="Sun A",303,IF(Atletas!N244="Wu A",304,IF(Atletas!N244="Wu-Hao A",305,IF(Atletas!N244="Outro Taijiquan A",306,IF(Atletas!N244="Yang B",307,IF(Atletas!N244="Chen B",308,IF(Atletas!N244="Sun B",309,IF(Atletas!N244="Wu B",310,IF(Atletas!N244="Wu-Hao B",311,IF(Atletas!N244="Outro Taijiquan B",312,IF(Atletas!N244="Yang C",313,IF(Atletas!N244="Chen C",314,IF(Atletas!N244="Sun C",315,IF(Atletas!N244="Wu C",316,IF(Atletas!N244="Wu-Hao C",317,IF(Atletas!N244="Outro Taijiquan C",318,IF(Atletas!N244="Yang D",319,IF(Atletas!N244="Chen D",320,IF(Atletas!N244="Sun D",321,IF(Atletas!N244="Wu D",322,IF(Atletas!N244="Wu-Hao D",323,IF(Atletas!N244="Outro Taijiquan D",324,IF(Atletas!N244="Yang E",325,IF(Atletas!N244="Chen E",326,IF(Atletas!N244="Sun E",327,IF(Atletas!N244="Wu E",328,IF(Atletas!N244="Wu-Hao E",329,IF(Atletas!N244="Outro Taijiquan E",330,IF(Atletas!N244="Yang F",331,IF(Atletas!N244="Chen F",332,IF(Atletas!N244="Sun F",333,IF(Atletas!N244="Wu F",334,IF(Atletas!N244="Wu-Hao F",335,IF(Atletas!N244="Outro Taijiquan F",336,"")))))))))))))))))))))))))))))))))))))</f>
        <v/>
      </c>
      <c r="BP248" s="52" t="str">
        <f>IF(Atletas!O244="","",IF(Atletas!W244&lt;&gt;"",10000,0)+IF(Atletas!B244="Feminino",1000,IF(Atletas!B244="Masculino",2000,""))+IF(OR(Atletas!O244="Yang 26 A",Atletas!O244="Yang 40 A"),401,IF(OR(Atletas!O244="Chen 25 A",Atletas!O244="Chen 36 A",Atletas!O244="Chen 56 A"),402,IF(Atletas!O244="Sun 73 A",403,IF(Atletas!O244="Wu 45 A",404,IF(Atletas!O244="Wu-Hao 46 A",405,IF(OR(Atletas!O244="Taijiquan 16 A",Atletas!O244="Taijiquan 24 A",Atletas!O244="Taijiquan 32 A",Atletas!O244="Taijiquan 42 A"),406,IF(OR(Atletas!O244="Yang 26 B",Atletas!O244="Yang 40 B"),407,IF(OR(Atletas!O244="Chen 25 B",Atletas!O244="Chen 36 B",Atletas!O244="Chen 56 B"),408,IF(Atletas!O244="Sun 73 B",409,IF(Atletas!O244="Wu 45 B",410,IF(Atletas!O244="Wu-Hao 46 B",411,IF(OR(Atletas!O244="Taijiquan 16 B",Atletas!O244="Taijiquan 24 B",Atletas!O244="Taijiquan 32 B",Atletas!O244="Taijiquan 42 B"),412,IF(OR(Atletas!O244="Yang 26 C",Atletas!O244="Yang 40 C"),413,IF(OR(Atletas!O244="Chen 25 C",Atletas!O244="Chen 36 C",Atletas!O244="Chen 56 C"),414,IF(Atletas!O244="Sun 73 C",415,IF(Atletas!O244="Wu 45 C",416,IF(Atletas!O244="Wu-Hao 46 C",417,IF(OR(Atletas!O244="Taijiquan 16 C",Atletas!O244="Taijiquan 24 C",Atletas!O244="Taijiquan 32 C",Atletas!O244="Taijiquan 42 C"),418,0)))))))))))))))))))</f>
        <v/>
      </c>
      <c r="BQ248" s="52" t="str">
        <f>IF(Atletas!O244="","",IF(Atletas!W244&lt;&gt;"",10000,0)+IF(Atletas!B244="Feminino",1000,IF(Atletas!B244="Masculino",2000,""))+IF(OR(Atletas!O244="Yang 26 D",Atletas!O244="Yang 40 D"),419,IF(OR(Atletas!O244="Chen 25 D",Atletas!O244="Chen 36 D",Atletas!O244="Chen 56 D"),420,IF(Atletas!O244="Sun 73 D",421,IF(Atletas!O244="Wu 45 D",422,IF(Atletas!O244="Wu-Hao 46 D",423,IF(OR(Atletas!O244="Taijiquan 16 D",Atletas!O244="Taijiquan 24 D",Atletas!O244="Taijiquan 32 D",Atletas!O244="Taijiquan 42 D"),424,IF(OR(Atletas!O244="Yang 26 E",Atletas!O244="Yang 40 E"),425,IF(OR(Atletas!O244="Chen 25 E",Atletas!O244="Chen 36 E",Atletas!O244="Chen 56 E"),426,IF(Atletas!O244="Sun 73 E",427,IF(Atletas!O244="Wu 45 E",428,IF(Atletas!O244="Wu-Hao 46 E",429,IF(OR(Atletas!O244="Taijiquan 16 E",Atletas!O244="Taijiquan 24 E",Atletas!O244="Taijiquan 32 E",Atletas!O244="Taijiquan 42 E"),430,IF(OR(Atletas!O244="Yang 26 F",Atletas!O244="Yang 40 F"),431,IF(OR(Atletas!O244="Chen 25 F",Atletas!O244="Chen 36 F",Atletas!O244="Chen 56 F"),432,IF(Atletas!O244="Sun 73 F",433,IF(Atletas!O244="Wu 45 F",434,IF(Atletas!O244="Wu-Hao 46 F",435,IF(OR(Atletas!O244="Taijiquan 16 F",Atletas!O244="Taijiquan 24 F",Atletas!O244="Taijiquan 32 F",Atletas!O244="Taijiquan 42 F"),436,0)))))))))))))))))))</f>
        <v/>
      </c>
      <c r="BR248" s="52" t="str">
        <f>IF(Atletas!P244="","",IF(Atletas!W244&lt;&gt;"",10000,0)+IF(Atletas!B244="Feminino",1000,IF(Atletas!B244="Masculino",2000,""))+IF(Atletas!P244="Xingyiquan A",501,IF(Atletas!P244="Baguazhang A",502,IF(Atletas!P244="Outro Estilo Interno A",503,IF(Atletas!P244="Xingyiquan B",504,IF(Atletas!P244="Baguazhang B",505,IF(Atletas!P244="Outro Estilo Interno B",506,IF(Atletas!P244="Xingyiquan C",507,IF(Atletas!P244="Baguazhang C",508,IF(Atletas!P244="Outro Estilo Interno C",509,IF(Atletas!P244="Xingyiquan D",510,IF(Atletas!P244="Baguazhang D",511,IF(Atletas!P244="Outro Estilo Interno D",512,IF(Atletas!P244="Xingyiquan E",513,IF(Atletas!P244="Baguazhang E",514,IF(Atletas!P244="Outro Estilo Interno E",515,IF(Atletas!P244="Xingyiquan F",516,IF(Atletas!P244="Baguazhang F",517,IF(Atletas!P244="Outro Estilo Interno F",518, "")))))))))))))))))))</f>
        <v/>
      </c>
      <c r="BS248" s="52" t="str">
        <f>IF(Atletas!Q244="","",IF(Atletas!W244&lt;&gt;"",10000,0)+IF(Atletas!B244="Feminino",1000,IF(Atletas!B244="Masculino",2000,""))+IF(Atletas!Q244="Dao A",601,IF(Atletas!Q244="Jian A",602,IF(Atletas!Q244="Bishou A",603,IF(Atletas!Q244="Shan A",604,IF(Atletas!Q244="Outra Arma Curta A",605,IF(Atletas!Q244="Dao B",606,IF(Atletas!Q244="Jian B",607,IF(Atletas!Q244="Bishou B",608,IF(Atletas!Q244="Shan B",609,IF(Atletas!Q244="Outra Arma Curta B",610,IF(Atletas!Q244="Dao C",611,IF(Atletas!Q244="Jian C",612,IF(Atletas!Q244="Bishou C",613,IF(Atletas!Q244="Shan C",614,IF(Atletas!Q244="Outra Arma Curta C",615,IF(Atletas!Q244="Dao D",616,IF(Atletas!Q244="Jian D",617,IF(Atletas!Q244="Bishou D",618,IF(Atletas!Q244="Shan D",619,IF(Atletas!Q244="Outra Arma Curta D",620,IF(Atletas!Q244="Dao E",621,IF(Atletas!Q244="Jian E",622,IF(Atletas!Q244="Bishou E",623,IF(Atletas!Q244="Shan E",624,IF(Atletas!Q244="Outra Arma Curta E",625,IF(Atletas!Q244="Dao F",626,IF(Atletas!Q244="Jian F",627,IF(Atletas!Q244="Bishou F",628,IF(Atletas!Q244="Shan F",629,IF(Atletas!Q244="Outra Arma Curta F",630, "")))))))))))))))))))))))))))))))</f>
        <v/>
      </c>
      <c r="BT248" s="52" t="str">
        <f>IF(Atletas!R244="","",IF(Atletas!W244&lt;&gt;"",10000,0)+IF(Atletas!B244="Feminino",1000,IF(Atletas!B244="Masculino",2000,""))+IF(Atletas!R244="Gun A",701,IF(Atletas!R244="Qiang A",702,IF(Atletas!R244="Pudao / Guandao A",703,IF(Atletas!R244="Outra Arma Longa A",704,IF(Atletas!R244="Gun B",705,IF(Atletas!R244="Qiang B",706,IF(Atletas!R244="Pudao / Guandao B",707,IF(Atletas!R244="Outra Arma Longa B",708,IF(Atletas!R244="Gun C",709,IF(Atletas!R244="Qiang C",710,IF(Atletas!R244="Pudao / Guandao C",711,IF(Atletas!R244="Outra Arma Longa C",712,IF(Atletas!R244="Gun D",713,IF(Atletas!R244="Qiang D",714,IF(Atletas!R244="Pudao / Guandao D",715,IF(Atletas!R244="Outra Arma Longa D",716,IF(Atletas!R244="Gun E",717,IF(Atletas!R244="Qiang E",718,IF(Atletas!R244="Pudao / Guandao E",719,IF(Atletas!R244="Outra Arma Longa E",720,IF(Atletas!R244="Gun F",721,IF(Atletas!R244="Qiang F",722,IF(Atletas!R244="Pudao / Guandao F",723,IF(Atletas!R244="Outra Arma Longa F",724,"")))))))))))))))))))))))))</f>
        <v/>
      </c>
      <c r="BU248" s="52" t="str">
        <f>IF(Atletas!S244="","",IF(Atletas!W244&lt;&gt;"",10000,0)+IF(Atletas!B244="Feminino",1000,IF(Atletas!B244="Masculino",2000,""))+IF(Atletas!S244="Arma Dupla A",801,IF(Atletas!S244="Arma Maleável A",802,IF(Atletas!S244="Arma Dupla B",803,IF(Atletas!S244="Arma Maleável B",804,IF(Atletas!S244="Arma Dupla C",805,IF(Atletas!S244="Arma Maleável C",806,IF(Atletas!S244="Arma Dupla D",807,IF(Atletas!S244="Arma Maleável D",808,IF(Atletas!S244="Arma Dupla E",809,IF(Atletas!S244="Arma Maleável E",810,IF(Atletas!S244="Arma Dupla F",811,IF(Atletas!S244="Arma Maleável F",812, "")))))))))))))</f>
        <v/>
      </c>
      <c r="BV248" s="52" t="str">
        <f>IF(Atletas!T244="","",IF(Atletas!W244&lt;&gt;"",10000,0)+IF(Atletas!B244="Feminino",1000,IF(Atletas!B244="Masculino",2000,""))+IF(Atletas!T244="Taijijian Yang A",901,IF(Atletas!T244="Taijijian Chen A",902,IF(Atletas!T244="Taijijian Sun A",903,IF(Atletas!T244="Taijijian Wu A",904,IF(Atletas!T244="Taijijian Wu-Hao A",905,IF(Atletas!T244="Taijijian 32 A",906,IF(Atletas!T244="Taijijian 42 A",907,IF(Atletas!T244="Taijijian Yang B",908,IF(Atletas!T244="Taijijian Chen B",909,IF(Atletas!T244="Taijijian Sun B",910,IF(Atletas!T244="Taijijian Wu B",911,IF(Atletas!T244="Taijijian Wu-Hao B",912,IF(Atletas!T244="Taijijian 32 B",913,IF(Atletas!T244="Taijijian 42 B",914,IF(Atletas!T244="Taijijian Yang C",915,IF(Atletas!T244="Taijijian Chen C",916,IF(Atletas!T244="Taijijian Sun C",917,IF(Atletas!T244="Taijijian Wu C",918,IF(Atletas!T244="Taijijian Wu-Hao C",919,IF(Atletas!T244="Taijijian 32 C",920,IF(Atletas!T244="Taijijian 42 C",921,IF(Atletas!T244="Taijijian Yang D",922,IF(Atletas!T244="Taijijian Chen D",923,IF(Atletas!T244="Taijijian Sun D",924,IF(Atletas!T244="Taijijian Wu D",925,IF(Atletas!T244="Taijijian Wu-Hao D",926,IF(Atletas!T244="Taijijian 32 D",927,IF(Atletas!T244="Taijijian 42 D",928,IF(Atletas!T244="Taijijian Yang E",929,IF(Atletas!T244="Taijijian Chen E",930,IF(Atletas!T244="Taijijian Sun E",931,IF(Atletas!T244="Taijijian Wu E",932,IF(Atletas!T244="Taijijian Wu-Hao E",933,IF(Atletas!T244="Taijijian 32 E",934,IF(Atletas!T244="Taijijian 42 E",935,IF(Atletas!T244="Taijijian Yang F",936,IF(Atletas!T244="Taijijian Chen F",937,IF(Atletas!T244="Taijijian Sun F",938,IF(Atletas!T244="Taijijian Wu F",939,IF(Atletas!T244="Taijijian Wu-Hao F",940,IF(Atletas!T244="Taijijian 32 F",941,IF(Atletas!T244="Taijijian 42 F",942,"")))))))))))))))))))))))))))))))))))))))))))</f>
        <v/>
      </c>
      <c r="BW248" s="52" t="str">
        <f>IF(Atletas!U244="","",IF(Atletas!W244&lt;&gt;"",10000,0)+IF(Atletas!B244="Feminino",1000,IF(Atletas!B244="Masculino",2000,""))+IF(Atletas!T244="Taijijian 42 F",942,IF(Atletas!U244="Taijidao A",943,IF(Atletas!U244="Taijishan A",944,IF(Atletas!U244="Taijiqiang A",945,IF(Atletas!U244="Taijidao B",946,IF(Atletas!U244="Taijishan B",947,IF(Atletas!U244="Taijiqiang B",948,IF(Atletas!U244="Taijidao C",949,IF(Atletas!U244="Taijishan C",950,IF(Atletas!U244="Taijiqiang C",951,IF(Atletas!U244="Taijidao D",952,IF(Atletas!U244="Taijishan D",953,IF(Atletas!U244="Taijiqiang D",954,IF(Atletas!U244="Taijidao E",955,IF(Atletas!U244="Taijishan E",956,IF(Atletas!U244="Taijiqiang E",957,IF(Atletas!U244="Taijidao F",958,IF(Atletas!U244="Taijishan F",959,IF(Atletas!U244="Taijiqiang F",960))))))))))))))))))))</f>
        <v/>
      </c>
      <c r="BX248" s="72" t="str">
        <f>IF(BY248&lt;&gt;"","Dao F","")</f>
        <v/>
      </c>
      <c r="BY248" s="72" t="str">
        <f>IF(COUNTIF(BK:BW,1626)&gt;0,COUNTIF(BK:BW,1626),"")</f>
        <v/>
      </c>
      <c r="BZ248" s="72" t="str">
        <f>IF(CA248&lt;&gt;"","Dao F","")</f>
        <v/>
      </c>
      <c r="CA248" s="72" t="str">
        <f>IF(COUNTIF(BK:BW,2626)&gt;0,COUNTIF(BK:BW,2626),"")</f>
        <v/>
      </c>
      <c r="CB248" s="72" t="str">
        <f>IF(CC248&lt;&gt;"","Baguazhang A ","")</f>
        <v/>
      </c>
      <c r="CC248" s="64" t="str">
        <f>IF(COUNTIF(BK:BW,11502)&gt;0,COUNTIF(BK:BW,11502),"")</f>
        <v/>
      </c>
      <c r="CD248" s="64" t="str">
        <f>IF(CE248&lt;&gt;"","Baguazhang A ","")</f>
        <v/>
      </c>
      <c r="CE248" s="64" t="str">
        <f>IF(COUNTIF(BK:BW,12502)&gt;0,COUNTIF(BK:BW,12502),"")</f>
        <v/>
      </c>
      <c r="CF248" s="52" t="str">
        <f xml:space="preserve"> IF(Atletas!V244="","",IF(Atletas!V244="Duilian de Mãos AB - Equipe 1",1,IF(Atletas!V244="Duilian de Mãos AB - Equipe 2",2,IF(Atletas!V244="Duilian de Armas AB - Equipe 1",3,IF(Atletas!V244="Duilian de Armas AB - Equipe 2",4,IF(Atletas!V244="Duilian de Tuishou - Equipe 1",5,IF(Atletas!V244="Duilian de Tuishou - Equipe 2",6,IF(Atletas!V244="Grupo Externo AB - Equipe 1",7,IF(Atletas!V244="Grupo Externo AB - Equipe 2",8,IF(Atletas!V244="Grupo Interno AB - Equipe 1",9,IF(Atletas!V244="Grupo Interno AB - Equipe 2",10,IF(Atletas!V244="Duilian de Mãos CD - Equipe 1",11,IF(Atletas!V244="Duilian de Mãos CD - Equipe 2",12,IF(Atletas!V244="Duilian de Armas CD - Equipe 1",13,IF(Atletas!V244="Duilian de Armas CD - Equipe 2",14,IF(Atletas!V244="Duilian de Tuishou - Equipe 1",15,IF(Atletas!V244="Duilian de Tuishou - Equipe 2",16,IF(Atletas!V244="Grupo Externo CDEF - Equipe 1",17,IF(Atletas!V244="Grupo Externo CDEF - Equipe 2",18,IF(Atletas!V244="Grupo Interno CDEF - Equipe 1",19,IF(Atletas!V244="Grupo Interno CDEF - Equipe 2",20,IF(Atletas!V244="Duilian de Mãos EF - Equipe 1",21,IF(Atletas!V244="Duilian de Mãos EF - Equipe 2",22,IF(Atletas!V244="Duilian de Armas EF - Equipe 1",23,IF(Atletas!V244="Duilian de Armas EF - Equipe 2",24,IF(Atletas!V244="Duilian de Tuishou - Equipe 1",25,IF(Atletas!V244="Duilian de Tuishou - Equipe 2",26,"")))))))))))))))))))))))))))</f>
        <v/>
      </c>
    </row>
    <row r="249" spans="2:84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 t="str">
        <f t="array" ref="V249">IFERROR(INDEX(BX$7:BX$336,SMALL(IF(BX$7:BX$336&lt;&gt;"",ROW(BX$7:BX$336)-ROW(BX$7)+1),ROWS(BX$7:BX206))),"")</f>
        <v/>
      </c>
      <c r="W249" s="4" t="str">
        <f t="array" ref="W249">IFERROR(INDEX(BY$7:BY$336,SMALL(IF(BY$7:BY$336&lt;&gt;"",ROW(BY$7:BY$336)-ROW(BY$7)+1),ROWS(BY$7:BY206))),"")</f>
        <v/>
      </c>
      <c r="X249" s="4" t="str">
        <f t="array" ref="X249">IFERROR(INDEX(BZ$7:BZ$336,SMALL(IF(BZ$7:BZ$336&lt;&gt;"",ROW(BZ$7:BZ$336)-ROW(BZ$7)+1),ROWS(BZ$7:BZ206))),"")</f>
        <v/>
      </c>
      <c r="Y249" s="4" t="str">
        <f t="array" ref="Y249">IFERROR(INDEX(CA$7:CA$336,SMALL(IF(CA$7:CA$336&lt;&gt;"",ROW(CA$7:CA$336)-ROW(CA$7)+1),ROWS(CA$7:CA206))),"")</f>
        <v/>
      </c>
      <c r="Z249" s="4" t="str">
        <f t="array" ref="Z249">IFERROR(INDEX(CB$7:CB$378,SMALL(IF(CB$7:CB$378&lt;&gt;"",ROW(CB$7:CB$378)-ROW(CB$7)+1),ROWS(CB$7:CB248))),"")</f>
        <v/>
      </c>
      <c r="AA249" s="4" t="str">
        <f t="array" ref="AA249">IFERROR(INDEX(CC$7:CC$378,SMALL(IF(CC$7:CC$378&lt;&gt;"",ROW(CC$7:CC$378)-ROW(CC$7)+1),ROWS(CC$7:CC248))),"")</f>
        <v/>
      </c>
      <c r="AB249" s="4" t="str">
        <f t="array" ref="AB249">IFERROR(INDEX(CD$7:CD$378,SMALL(IF(CD$7:CD$378&lt;&gt;"",ROW(CD$7:CD$378)-ROW(CD$7)+1),ROWS(CD$7:CD248))),"")</f>
        <v/>
      </c>
      <c r="AC249" s="4" t="str">
        <f t="array" ref="AC249">IFERROR(INDEX(CE$7:CE$378,SMALL(IF(CE$7:CE$378&lt;&gt;"",ROW(CE$7:CE$378)-ROW(CE$7)+1),ROWS(CE$7:CE248))),"")</f>
        <v/>
      </c>
      <c r="AD249" s="4"/>
      <c r="AE249" s="4"/>
      <c r="AF249" s="4"/>
      <c r="AG249" s="4"/>
      <c r="AH249" s="4"/>
      <c r="AI249" s="4"/>
      <c r="AJ249" s="46" t="str">
        <f>IF(Atletas!D245="","",IF(Atletas!B245="Feminino",100,IF(Atletas!B245="Masculino",200,""))+(IF(Atletas!D245="Infantil 39kg",1,IF(Atletas!D245="Infantil 42kg",2,IF(Atletas!D245="Infantil 45kg",3,IF(Atletas!D245="Infantil 48kg",4,IF(Atletas!D245="Infantil 52kg",5,IF(Atletas!D245="Infantil 56kg",6,IF(Atletas!D245="Infantil 60kg",7,IF(Atletas!D245="Juvenil 48kg",8,IF(Atletas!D245="Juvenil 52kg",9,IF(Atletas!D245="Juvenil 56kg",10,IF(Atletas!D245="Juvenil 60kg",11,IF(Atletas!D245="Juvenil 65kg",12,IF(Atletas!D245="Juvenil 70kg",13,IF(Atletas!D245="Juvenil 75kg",14,IF(Atletas!D245="Juvenil 80kg",15,IF(Atletas!D245="Adulto 48kg",16,IF(Atletas!D245="Adulto 52kg",17,IF(Atletas!D245="Adulto 56kg",18,IF(Atletas!D245="Adulto 60kg",19,IF(Atletas!D245="Adulto 65kg",20,IF(Atletas!D245="Adulto 70kg",21,IF(Atletas!D245="Adulto 75kg",22,IF(Atletas!D245="Adulto 80kg",23,IF(Atletas!D245="Adulto 85kg",24,IF(Atletas!D245="Adulto 90kg",25,IF(Atletas!D245="Adulto +90kg",26,""))))))))))))))))))))))))))))</f>
        <v/>
      </c>
      <c r="AO249" s="10" t="str">
        <f>IF(Atletas!E245="","",IF(Atletas!B245="Feminino",100,IF(Atletas!B245="Masculino",200,""))+(IF(Atletas!E245="Juvenil 44kg",1,IF(Atletas!E245="Juvenil 48kg",2,IF(Atletas!E245="Juvenil 52kg",3,IF(Atletas!E245="Juvenil 56kg",4,IF(Atletas!E245="Juvenil 60kg",5,IF(Atletas!E245="Juvenil 65kg",6,IF(Atletas!E245="Juvenil 70kg",7,IF(Atletas!E245="Juvenil 75kg",8,IF(Atletas!E245="Juvenil 82kg",9,IF(Atletas!E245="Juvenil 90kg",10,IF(Atletas!E245="Juvenil 100kg",11,IF(Atletas!E245="Adulto 48kg",12,IF(Atletas!E245="Adulto 52kg",13,IF(Atletas!E245="Adulto 56kg",14,IF(Atletas!E245="Adulto 60kg",15,IF(Atletas!E245="Adulto 65kg",16,IF(Atletas!E245="Adulto 70kg",17,IF(Atletas!E245="Adulto 75kg",18,IF(Atletas!E245="Adulto 82kg",19,IF(Atletas!E245="Adulto 90kg",20,IF(Atletas!E245="Adulto 100kg",21,IF(Atletas!E245="Adulto +100kg",22,""))))))))))))))))))))))))</f>
        <v/>
      </c>
      <c r="AT249" s="10" t="str">
        <f>IF(Atletas!F245="","",IF(Atletas!B245="Feminino",100,IF(Atletas!B245="Masculino",200,""))+(IF(Atletas!F245="Adulto 48kg",1,IF(Atletas!F245="Adulto 56kg",2,IF(Atletas!F245="Adulto 65kg",3,IF(Atletas!F245="Adulto 75kg",4,IF(Atletas!F245="Adulto +75kg",5,IF(Atletas!F245="Adulto 52kg",6,IF(Atletas!F245="Adulto 60kg",7,IF(Atletas!F245="Adulto 70kg",8,IF(Atletas!F245="Adulto 80kg",9,IF(Atletas!F245="Adulto 90kg",10,IF(Atletas!F245="Adulto +90kg",11,"")))))))))))))</f>
        <v/>
      </c>
      <c r="AY249" s="46" t="str">
        <f>IF(Atletas!G245="","",IF(Atletas!B245="Feminino",100,IF(Atletas!B245="Masculino",200,""))+(IF(Atletas!G245="Changquan Mirim",1,IF(Atletas!G245="Nanquan Mirim",2,IF(Atletas!G245="Taijiquan Mirim",3,IF(Atletas!G245="Changquan Grupo C",4,IF(Atletas!G245="Nanquan Grupo C",5,IF(Atletas!G245="Taijiquan Grupo C",6,IF(Atletas!G245="Changquan Grupo B",7,IF(Atletas!G245="Nanquan Grupo B",8,IF(Atletas!G245="Taijiquan Grupo B",9,IF(Atletas!G245="Changquan Grupo A",10,IF(Atletas!G245="Nanquan Grupo A",11,IF(Atletas!G245="Taijiquan Grupo A",12,IF(Atletas!G245="Changquan Opcional",13,IF(Atletas!G245="Nanquan Opcional",14,IF(Atletas!G245="Taijiquan Opcional",15,IF(Atletas!G245="Changquan Adulto",16,IF(Atletas!G245="Nanquan Adulto",17,IF(Atletas!G245="Taijiquan Adulto",18,""))))))))))))))))))))</f>
        <v/>
      </c>
      <c r="AZ249" s="46" t="str">
        <f>IF(Atletas!H245="","",IF(Atletas!B245="Feminino",100,IF(Atletas!B245="Masculino",200,""))+(IF(Atletas!H245="Daoshu Mirim",19,IF(Atletas!H245="Jianshu Mirim",20,IF(Atletas!H245="Nandao Mirim",21,IF(Atletas!H245="Taijijian Mirim",22,IF(Atletas!H245="Daoshu Grupo C",23,IF(Atletas!H245="Jianshu Grupo C",24,IF(Atletas!H245="Nandao Grupo C",25,IF(Atletas!H245="Taijijian Grupo C",26,IF(Atletas!H245="Daoshu Grupo B",27,IF(Atletas!H245="Jianshu Grupo B",28,IF(Atletas!H245="Nandao Grupo B",29,IF(Atletas!H245="Taijijian Grupo B",30,IF(Atletas!H245="Daoshu Grupo A",31,IF(Atletas!H245="Jianshu Grupo A",32,IF(Atletas!H245="Nandao Grupo A",33,IF(Atletas!H245="Taijijian Grupo A",34,IF(Atletas!H245="Daoshu Opcional",35,IF(Atletas!H245="Jianshu Opcional",36,IF(Atletas!H245="Nandao Opcional",37,IF(Atletas!H245="Taijijian Opcional",38,IF(Atletas!H245="Daoshu Adulto",39,IF(Atletas!H245="Jianshu Adulto",40,IF(Atletas!H245="Nandao Adulto",41,IF(Atletas!H245="Taijijian Adulto",42,""))))))))))))))))))))))))))</f>
        <v/>
      </c>
      <c r="BA249" s="46" t="str">
        <f>IF(Atletas!I245="","",IF(Atletas!B245="Feminino",100,IF(Atletas!B245="Masculino",200,""))+(IF(Atletas!I245="Gunshu Mirim",43,IF(Atletas!I245="Qiangshu Mirim",44,IF(Atletas!I245="Nangun Mirim",45,IF(Atletas!I245="Gunshu Grupo C",46,IF(Atletas!I245="Qiangshu Grupo C",47,IF(Atletas!I245="Nangun Grupo C",48,IF(Atletas!I245="Gunshu Grupo B",49,IF(Atletas!I245="Qiangshu Grupo B",50,IF(Atletas!I245="Nangun Grupo B",51,IF(Atletas!I245="Gunshu Grupo A",52,IF(Atletas!I245="Qiangshu Grupo A",53,IF(Atletas!I245="Nangun Grupo A",54,IF(Atletas!I245="Gunshu Opcional",55,IF(Atletas!I245="Qiangshu Opcional",56,IF(Atletas!I245="Nangun Opcional",57,IF(Atletas!I245="Gunshu Adulto",58,IF(Atletas!I245="Qiangshu Adulto",59,IF(Atletas!I245="Nangun Adulto",60,""))))))))))))))))))))</f>
        <v/>
      </c>
      <c r="BF249" s="52" t="str">
        <f>IF(Atletas!J245="","",IF(Atletas!B245="Feminino",100,IF(Atletas!B245="Masculino",200,""))+(IF(Atletas!J245="Equipe 1 Grupo B",1,IF(Atletas!J245="Equipe 2 Grupo B",2,IF(Atletas!J245="Equipe 1 Grupo A",3,IF(Atletas!J245="Equipe 2 Grupo A",4,IF(Atletas!J245="Equipe 1 Adulto",5,IF(Atletas!J245="Equipe 2 Adulto",6,""))))))))</f>
        <v/>
      </c>
      <c r="BK249" s="52" t="str">
        <f>IF(Atletas!K245="","",IF(Atletas!W245&lt;&gt;"",10000,0)+(IF(Atletas!B245="Feminino",1000,IF(Atletas!B245="Masculino",2000,""))+IF(Atletas!K245="Choylayfut A",1,IF(Atletas!K245="Hunggar A",2,IF(Atletas!K245="Wuzuquan A",3,IF(Atletas!K245="Wingchun A",4,IF(Atletas!K245="Outra Mão de Sul A",5,IF(Atletas!K245="Choylayfut B",6,IF(Atletas!K245="Hunggar B",7,IF(Atletas!K245="Wuzuquan B",8,IF(Atletas!K245="Wingchun B",9,IF(Atletas!K245="Outra Mão de Sul B",10,IF(Atletas!K245="Choylayfut C",11,IF(Atletas!K245="Hunggar C",12,IF(Atletas!K245="Wuzuquan C",13,IF(Atletas!K245="Wingchun C",14,IF(Atletas!K245="Outra Mão de Sul C",15,IF(Atletas!K245="Choylayfut D",16,IF(Atletas!K245="Hunggar D",17,IF(Atletas!K245="Wuzuquan D",18,IF(Atletas!K245="Wingchun D",19,IF(Atletas!K245="Outra Mão de Sul D",20,IF(Atletas!K245="Choylayfut E",21,IF(Atletas!K245="Hunggar E",22,IF(Atletas!K245="Wuzuquan E",23,IF(Atletas!K245="Wingchun E",24,IF(Atletas!K245="Outra Mão de Sul E",25,IF(Atletas!K245="Choylayfut F",26,IF(Atletas!K245="Hunggar F",27,IF(Atletas!K245="Wuzuquan F",28,IF(Atletas!K245="Wingchun F",29,IF(Atletas!K245="Outra Mão de Sul F",30,""))))))))))))))))))))))))))))))))</f>
        <v/>
      </c>
      <c r="BL249" s="52" t="str">
        <f>IF(Atletas!L245="","",IF(Atletas!W245&lt;&gt;"",10000,0)+(IF(Atletas!B245="Feminino",1000,IF(Atletas!B245="Masculino",2000,""))+(IF(Atletas!L245="Chaquan A",101,IF(Atletas!L245="Emeiquan A",102,IF(Atletas!L245="Fanziquan A",103,IF(Atletas!L245="Huaquan A",104,IF(Atletas!L245="Hongquan A",105,IF(Atletas!L245="Paochui A",106,IF(Atletas!L245="Piguaquan A",107,IF(Atletas!L245="Shaolinquan A",108,IF(Atletas!L245="Tanglangquan A",109,IF(Atletas!L245="Yinzhaophai A",110,IF(Atletas!L245="Tongbeiquan A",111,IF(Atletas!L245="Wudangquan A",112,IF(Atletas!L245="Outros Estilos A",113,IF(Atletas!L245="Chaquan B",114,IF(Atletas!L245="Emeiquan B",115,IF(Atletas!L245="Fanziquan B",116,IF(Atletas!L245="Huaquan B",117,IF(Atletas!L245="Hongquan B",118,IF(Atletas!L245="Paochui B",119,IF(Atletas!L245="Piguaquan B",120,IF(Atletas!L245="Shaolinquan B",121,IF(Atletas!L245="Tanglangquan B",122,IF(Atletas!L245="Yinzhaophai B",123,IF(Atletas!L245="Tongbeiquan B",124,IF(Atletas!L245="Wudangquan B",125,IF(Atletas!L245="Outros Estilos B",126,IF(Atletas!L245="Chaquan C",127,IF(Atletas!L245="Emeiquan C",128,IF(Atletas!L245="Fanziquan C",129,IF(Atletas!L245="Huaquan C",130,IF(Atletas!L245="Hongquan C",131,IF(Atletas!L245="Paochui C",132,IF(Atletas!L245="Piguaquan C",133,IF(Atletas!L245="Shaolinquan C",134,IF(Atletas!L245="Tanglangquan C",135,IF(Atletas!L245="Yinzhaophai C",136,IF(Atletas!L245="Tongbeiquan C",137,IF(Atletas!L245="Wudangquan C",138,IF(Atletas!L245="Outros Estilos C",139,0))))))))))))))))))))))))))))))))))))))))))</f>
        <v/>
      </c>
      <c r="BM249" s="52" t="str">
        <f>IF(Atletas!L245="","",IF(Atletas!W245&lt;&gt;"",10000,0)+(IF(Atletas!B245="Feminino",1000,IF(Atletas!B245="Masculino",2000,""))+(IF(Atletas!L245="Chaquan D",140,IF(Atletas!L245="Emeiquan D",141,IF(Atletas!L245="Fanziquan D",142,IF(Atletas!L245="Huaquan D",143,IF(Atletas!L245="Hongquan D",144,IF(Atletas!L245="Paochui D",145,IF(Atletas!L245="Piguaquan D",146,IF(Atletas!L245="Shaolinquan D",147,IF(Atletas!L245="Tanglangquan D",148,IF(Atletas!L245="Yinzhaophai D",149,IF(Atletas!L245="Tongbeiquan D",150,IF(Atletas!L245="Wudangquan D",151,IF(Atletas!L245="Outros Estilos D",152,IF(Atletas!L245="Chaquan E",153,IF(Atletas!L245="Emeiquan E",154,IF(Atletas!L245="Fanziquan E",155,IF(Atletas!L245="Huaquan E",156,IF(Atletas!L245="Hongquan E",157,IF(Atletas!L245="Paochui E",158,IF(Atletas!L245="Piguaquan E",159,IF(Atletas!L245="Shaolinquan E",160,IF(Atletas!L245="Tanglangquan E",161,IF(Atletas!L245="Yinzhaophai E",162,IF(Atletas!L245="Tongbeiquan E",163,IF(Atletas!L245="Wudangquan E",164,IF(Atletas!L245="Outros Estilos E",165,IF(Atletas!L245="Chaquan F",166,IF(Atletas!L245="Emeiquan F",167,IF(Atletas!L245="Fanziquan F",168,IF(Atletas!L245="Huaquan F",169,IF(Atletas!L245="Hongquan F",170,IF(Atletas!L245="Paochui F",171,IF(Atletas!L245="Piguaquan F",172,IF(Atletas!L245="Shaolinquan F",173,IF(Atletas!L245="Tanglangquan F",174,IF(Atletas!L245="Yinzhaophai F",175,IF(Atletas!L245="Tongbeiquan F",176,IF(Atletas!L245="Wudangquan F",177,IF(Atletas!L245="Outros Estilos F",178,0))))))))))))))))))))))))))))))))))))))))))</f>
        <v/>
      </c>
      <c r="BN249" s="52" t="str">
        <f>IF(Atletas!M245="","",IF(Atletas!W245&lt;&gt;"",10000,0)+(IF(Atletas!B245="Feminino",1000,IF(Atletas!B245="Masculino",2000,""))+(IF(Atletas!M245="Ditangquan A",201,IF(Atletas!M245="Houquan A",202,IF(Atletas!M245="Zuiquan A",203,IF(Atletas!M245="Ditangquan B",204,IF(Atletas!M245="Houquan B",205,IF(Atletas!M245="Zuiquan B",206,IF(Atletas!M245="Ditangquan C",207,IF(Atletas!M245="Houquan C",208,IF(Atletas!M245="Zuiquan C",209,IF(Atletas!M245="Ditangquan D",210,IF(Atletas!M245="Houquan D",211,IF(Atletas!M245="Zuiquan D",212,IF(Atletas!M245="Ditangquan E",213,IF(Atletas!M245="Houquan E",214,IF(Atletas!M245="Zuiquan E",215,IF(Atletas!M245="Ditangquan F",216,IF(Atletas!M245="Houquan F",217,IF(Atletas!M245="Zuiquan F",218,"")))))))))))))))))))))</f>
        <v/>
      </c>
      <c r="BO249" s="52" t="str">
        <f>IF(Atletas!N245="","",IF(Atletas!W245&lt;&gt;"",10000,0)+IF(Atletas!B245="Feminino",1000,IF(Atletas!B245="Masculino",2000,""))+IF(Atletas!N245="Yang A",301,IF(Atletas!N245="Chen A",30,IF(Atletas!N245="Sun A",303,IF(Atletas!N245="Wu A",304,IF(Atletas!N245="Wu-Hao A",305,IF(Atletas!N245="Outro Taijiquan A",306,IF(Atletas!N245="Yang B",307,IF(Atletas!N245="Chen B",308,IF(Atletas!N245="Sun B",309,IF(Atletas!N245="Wu B",310,IF(Atletas!N245="Wu-Hao B",311,IF(Atletas!N245="Outro Taijiquan B",312,IF(Atletas!N245="Yang C",313,IF(Atletas!N245="Chen C",314,IF(Atletas!N245="Sun C",315,IF(Atletas!N245="Wu C",316,IF(Atletas!N245="Wu-Hao C",317,IF(Atletas!N245="Outro Taijiquan C",318,IF(Atletas!N245="Yang D",319,IF(Atletas!N245="Chen D",320,IF(Atletas!N245="Sun D",321,IF(Atletas!N245="Wu D",322,IF(Atletas!N245="Wu-Hao D",323,IF(Atletas!N245="Outro Taijiquan D",324,IF(Atletas!N245="Yang E",325,IF(Atletas!N245="Chen E",326,IF(Atletas!N245="Sun E",327,IF(Atletas!N245="Wu E",328,IF(Atletas!N245="Wu-Hao E",329,IF(Atletas!N245="Outro Taijiquan E",330,IF(Atletas!N245="Yang F",331,IF(Atletas!N245="Chen F",332,IF(Atletas!N245="Sun F",333,IF(Atletas!N245="Wu F",334,IF(Atletas!N245="Wu-Hao F",335,IF(Atletas!N245="Outro Taijiquan F",336,"")))))))))))))))))))))))))))))))))))))</f>
        <v/>
      </c>
      <c r="BP249" s="52" t="str">
        <f>IF(Atletas!O245="","",IF(Atletas!W245&lt;&gt;"",10000,0)+IF(Atletas!B245="Feminino",1000,IF(Atletas!B245="Masculino",2000,""))+IF(OR(Atletas!O245="Yang 26 A",Atletas!O245="Yang 40 A"),401,IF(OR(Atletas!O245="Chen 25 A",Atletas!O245="Chen 36 A",Atletas!O245="Chen 56 A"),402,IF(Atletas!O245="Sun 73 A",403,IF(Atletas!O245="Wu 45 A",404,IF(Atletas!O245="Wu-Hao 46 A",405,IF(OR(Atletas!O245="Taijiquan 16 A",Atletas!O245="Taijiquan 24 A",Atletas!O245="Taijiquan 32 A",Atletas!O245="Taijiquan 42 A"),406,IF(OR(Atletas!O245="Yang 26 B",Atletas!O245="Yang 40 B"),407,IF(OR(Atletas!O245="Chen 25 B",Atletas!O245="Chen 36 B",Atletas!O245="Chen 56 B"),408,IF(Atletas!O245="Sun 73 B",409,IF(Atletas!O245="Wu 45 B",410,IF(Atletas!O245="Wu-Hao 46 B",411,IF(OR(Atletas!O245="Taijiquan 16 B",Atletas!O245="Taijiquan 24 B",Atletas!O245="Taijiquan 32 B",Atletas!O245="Taijiquan 42 B"),412,IF(OR(Atletas!O245="Yang 26 C",Atletas!O245="Yang 40 C"),413,IF(OR(Atletas!O245="Chen 25 C",Atletas!O245="Chen 36 C",Atletas!O245="Chen 56 C"),414,IF(Atletas!O245="Sun 73 C",415,IF(Atletas!O245="Wu 45 C",416,IF(Atletas!O245="Wu-Hao 46 C",417,IF(OR(Atletas!O245="Taijiquan 16 C",Atletas!O245="Taijiquan 24 C",Atletas!O245="Taijiquan 32 C",Atletas!O245="Taijiquan 42 C"),418,0)))))))))))))))))))</f>
        <v/>
      </c>
      <c r="BQ249" s="52" t="str">
        <f>IF(Atletas!O245="","",IF(Atletas!W245&lt;&gt;"",10000,0)+IF(Atletas!B245="Feminino",1000,IF(Atletas!B245="Masculino",2000,""))+IF(OR(Atletas!O245="Yang 26 D",Atletas!O245="Yang 40 D"),419,IF(OR(Atletas!O245="Chen 25 D",Atletas!O245="Chen 36 D",Atletas!O245="Chen 56 D"),420,IF(Atletas!O245="Sun 73 D",421,IF(Atletas!O245="Wu 45 D",422,IF(Atletas!O245="Wu-Hao 46 D",423,IF(OR(Atletas!O245="Taijiquan 16 D",Atletas!O245="Taijiquan 24 D",Atletas!O245="Taijiquan 32 D",Atletas!O245="Taijiquan 42 D"),424,IF(OR(Atletas!O245="Yang 26 E",Atletas!O245="Yang 40 E"),425,IF(OR(Atletas!O245="Chen 25 E",Atletas!O245="Chen 36 E",Atletas!O245="Chen 56 E"),426,IF(Atletas!O245="Sun 73 E",427,IF(Atletas!O245="Wu 45 E",428,IF(Atletas!O245="Wu-Hao 46 E",429,IF(OR(Atletas!O245="Taijiquan 16 E",Atletas!O245="Taijiquan 24 E",Atletas!O245="Taijiquan 32 E",Atletas!O245="Taijiquan 42 E"),430,IF(OR(Atletas!O245="Yang 26 F",Atletas!O245="Yang 40 F"),431,IF(OR(Atletas!O245="Chen 25 F",Atletas!O245="Chen 36 F",Atletas!O245="Chen 56 F"),432,IF(Atletas!O245="Sun 73 F",433,IF(Atletas!O245="Wu 45 F",434,IF(Atletas!O245="Wu-Hao 46 F",435,IF(OR(Atletas!O245="Taijiquan 16 F",Atletas!O245="Taijiquan 24 F",Atletas!O245="Taijiquan 32 F",Atletas!O245="Taijiquan 42 F"),436,0)))))))))))))))))))</f>
        <v/>
      </c>
      <c r="BR249" s="52" t="str">
        <f>IF(Atletas!P245="","",IF(Atletas!W245&lt;&gt;"",10000,0)+IF(Atletas!B245="Feminino",1000,IF(Atletas!B245="Masculino",2000,""))+IF(Atletas!P245="Xingyiquan A",501,IF(Atletas!P245="Baguazhang A",502,IF(Atletas!P245="Outro Estilo Interno A",503,IF(Atletas!P245="Xingyiquan B",504,IF(Atletas!P245="Baguazhang B",505,IF(Atletas!P245="Outro Estilo Interno B",506,IF(Atletas!P245="Xingyiquan C",507,IF(Atletas!P245="Baguazhang C",508,IF(Atletas!P245="Outro Estilo Interno C",509,IF(Atletas!P245="Xingyiquan D",510,IF(Atletas!P245="Baguazhang D",511,IF(Atletas!P245="Outro Estilo Interno D",512,IF(Atletas!P245="Xingyiquan E",513,IF(Atletas!P245="Baguazhang E",514,IF(Atletas!P245="Outro Estilo Interno E",515,IF(Atletas!P245="Xingyiquan F",516,IF(Atletas!P245="Baguazhang F",517,IF(Atletas!P245="Outro Estilo Interno F",518, "")))))))))))))))))))</f>
        <v/>
      </c>
      <c r="BS249" s="52" t="str">
        <f>IF(Atletas!Q245="","",IF(Atletas!W245&lt;&gt;"",10000,0)+IF(Atletas!B245="Feminino",1000,IF(Atletas!B245="Masculino",2000,""))+IF(Atletas!Q245="Dao A",601,IF(Atletas!Q245="Jian A",602,IF(Atletas!Q245="Bishou A",603,IF(Atletas!Q245="Shan A",604,IF(Atletas!Q245="Outra Arma Curta A",605,IF(Atletas!Q245="Dao B",606,IF(Atletas!Q245="Jian B",607,IF(Atletas!Q245="Bishou B",608,IF(Atletas!Q245="Shan B",609,IF(Atletas!Q245="Outra Arma Curta B",610,IF(Atletas!Q245="Dao C",611,IF(Atletas!Q245="Jian C",612,IF(Atletas!Q245="Bishou C",613,IF(Atletas!Q245="Shan C",614,IF(Atletas!Q245="Outra Arma Curta C",615,IF(Atletas!Q245="Dao D",616,IF(Atletas!Q245="Jian D",617,IF(Atletas!Q245="Bishou D",618,IF(Atletas!Q245="Shan D",619,IF(Atletas!Q245="Outra Arma Curta D",620,IF(Atletas!Q245="Dao E",621,IF(Atletas!Q245="Jian E",622,IF(Atletas!Q245="Bishou E",623,IF(Atletas!Q245="Shan E",624,IF(Atletas!Q245="Outra Arma Curta E",625,IF(Atletas!Q245="Dao F",626,IF(Atletas!Q245="Jian F",627,IF(Atletas!Q245="Bishou F",628,IF(Atletas!Q245="Shan F",629,IF(Atletas!Q245="Outra Arma Curta F",630, "")))))))))))))))))))))))))))))))</f>
        <v/>
      </c>
      <c r="BT249" s="52" t="str">
        <f>IF(Atletas!R245="","",IF(Atletas!W245&lt;&gt;"",10000,0)+IF(Atletas!B245="Feminino",1000,IF(Atletas!B245="Masculino",2000,""))+IF(Atletas!R245="Gun A",701,IF(Atletas!R245="Qiang A",702,IF(Atletas!R245="Pudao / Guandao A",703,IF(Atletas!R245="Outra Arma Longa A",704,IF(Atletas!R245="Gun B",705,IF(Atletas!R245="Qiang B",706,IF(Atletas!R245="Pudao / Guandao B",707,IF(Atletas!R245="Outra Arma Longa B",708,IF(Atletas!R245="Gun C",709,IF(Atletas!R245="Qiang C",710,IF(Atletas!R245="Pudao / Guandao C",711,IF(Atletas!R245="Outra Arma Longa C",712,IF(Atletas!R245="Gun D",713,IF(Atletas!R245="Qiang D",714,IF(Atletas!R245="Pudao / Guandao D",715,IF(Atletas!R245="Outra Arma Longa D",716,IF(Atletas!R245="Gun E",717,IF(Atletas!R245="Qiang E",718,IF(Atletas!R245="Pudao / Guandao E",719,IF(Atletas!R245="Outra Arma Longa E",720,IF(Atletas!R245="Gun F",721,IF(Atletas!R245="Qiang F",722,IF(Atletas!R245="Pudao / Guandao F",723,IF(Atletas!R245="Outra Arma Longa F",724,"")))))))))))))))))))))))))</f>
        <v/>
      </c>
      <c r="BU249" s="52" t="str">
        <f>IF(Atletas!S245="","",IF(Atletas!W245&lt;&gt;"",10000,0)+IF(Atletas!B245="Feminino",1000,IF(Atletas!B245="Masculino",2000,""))+IF(Atletas!S245="Arma Dupla A",801,IF(Atletas!S245="Arma Maleável A",802,IF(Atletas!S245="Arma Dupla B",803,IF(Atletas!S245="Arma Maleável B",804,IF(Atletas!S245="Arma Dupla C",805,IF(Atletas!S245="Arma Maleável C",806,IF(Atletas!S245="Arma Dupla D",807,IF(Atletas!S245="Arma Maleável D",808,IF(Atletas!S245="Arma Dupla E",809,IF(Atletas!S245="Arma Maleável E",810,IF(Atletas!S245="Arma Dupla F",811,IF(Atletas!S245="Arma Maleável F",812, "")))))))))))))</f>
        <v/>
      </c>
      <c r="BV249" s="52" t="str">
        <f>IF(Atletas!T245="","",IF(Atletas!W245&lt;&gt;"",10000,0)+IF(Atletas!B245="Feminino",1000,IF(Atletas!B245="Masculino",2000,""))+IF(Atletas!T245="Taijijian Yang A",901,IF(Atletas!T245="Taijijian Chen A",902,IF(Atletas!T245="Taijijian Sun A",903,IF(Atletas!T245="Taijijian Wu A",904,IF(Atletas!T245="Taijijian Wu-Hao A",905,IF(Atletas!T245="Taijijian 32 A",906,IF(Atletas!T245="Taijijian 42 A",907,IF(Atletas!T245="Taijijian Yang B",908,IF(Atletas!T245="Taijijian Chen B",909,IF(Atletas!T245="Taijijian Sun B",910,IF(Atletas!T245="Taijijian Wu B",911,IF(Atletas!T245="Taijijian Wu-Hao B",912,IF(Atletas!T245="Taijijian 32 B",913,IF(Atletas!T245="Taijijian 42 B",914,IF(Atletas!T245="Taijijian Yang C",915,IF(Atletas!T245="Taijijian Chen C",916,IF(Atletas!T245="Taijijian Sun C",917,IF(Atletas!T245="Taijijian Wu C",918,IF(Atletas!T245="Taijijian Wu-Hao C",919,IF(Atletas!T245="Taijijian 32 C",920,IF(Atletas!T245="Taijijian 42 C",921,IF(Atletas!T245="Taijijian Yang D",922,IF(Atletas!T245="Taijijian Chen D",923,IF(Atletas!T245="Taijijian Sun D",924,IF(Atletas!T245="Taijijian Wu D",925,IF(Atletas!T245="Taijijian Wu-Hao D",926,IF(Atletas!T245="Taijijian 32 D",927,IF(Atletas!T245="Taijijian 42 D",928,IF(Atletas!T245="Taijijian Yang E",929,IF(Atletas!T245="Taijijian Chen E",930,IF(Atletas!T245="Taijijian Sun E",931,IF(Atletas!T245="Taijijian Wu E",932,IF(Atletas!T245="Taijijian Wu-Hao E",933,IF(Atletas!T245="Taijijian 32 E",934,IF(Atletas!T245="Taijijian 42 E",935,IF(Atletas!T245="Taijijian Yang F",936,IF(Atletas!T245="Taijijian Chen F",937,IF(Atletas!T245="Taijijian Sun F",938,IF(Atletas!T245="Taijijian Wu F",939,IF(Atletas!T245="Taijijian Wu-Hao F",940,IF(Atletas!T245="Taijijian 32 F",941,IF(Atletas!T245="Taijijian 42 F",942,"")))))))))))))))))))))))))))))))))))))))))))</f>
        <v/>
      </c>
      <c r="BW249" s="52" t="str">
        <f>IF(Atletas!U245="","",IF(Atletas!W245&lt;&gt;"",10000,0)+IF(Atletas!B245="Feminino",1000,IF(Atletas!B245="Masculino",2000,""))+IF(Atletas!T245="Taijijian 42 F",942,IF(Atletas!U245="Taijidao A",943,IF(Atletas!U245="Taijishan A",944,IF(Atletas!U245="Taijiqiang A",945,IF(Atletas!U245="Taijidao B",946,IF(Atletas!U245="Taijishan B",947,IF(Atletas!U245="Taijiqiang B",948,IF(Atletas!U245="Taijidao C",949,IF(Atletas!U245="Taijishan C",950,IF(Atletas!U245="Taijiqiang C",951,IF(Atletas!U245="Taijidao D",952,IF(Atletas!U245="Taijishan D",953,IF(Atletas!U245="Taijiqiang D",954,IF(Atletas!U245="Taijidao E",955,IF(Atletas!U245="Taijishan E",956,IF(Atletas!U245="Taijiqiang E",957,IF(Atletas!U245="Taijidao F",958,IF(Atletas!U245="Taijishan F",959,IF(Atletas!U245="Taijiqiang F",960))))))))))))))))))))</f>
        <v/>
      </c>
      <c r="BX249" s="72" t="str">
        <f>IF(BY249&lt;&gt;"","Jian F","")</f>
        <v/>
      </c>
      <c r="BY249" s="72" t="str">
        <f>IF(COUNTIF(BK:BW,1627)&gt;0,COUNTIF(BK:BW,1627),"")</f>
        <v/>
      </c>
      <c r="BZ249" s="72" t="str">
        <f>IF(CA249&lt;&gt;"","Jian F","")</f>
        <v/>
      </c>
      <c r="CA249" s="72" t="str">
        <f>IF(COUNTIF(BK:BW,2627)&gt;0,COUNTIF(BK:BW,2627),"")</f>
        <v/>
      </c>
      <c r="CB249" s="72" t="str">
        <f>IF(CC249&lt;&gt;"","Outro Estilo Interno A","")</f>
        <v/>
      </c>
      <c r="CC249" s="64" t="str">
        <f>IF(COUNTIF(BK:BW,11503)&gt;0,COUNTIF(BK:BW,11503),"")</f>
        <v/>
      </c>
      <c r="CD249" s="64" t="str">
        <f>IF(CE249&lt;&gt;"","Outro Estilo Interno A","")</f>
        <v/>
      </c>
      <c r="CE249" s="64" t="str">
        <f>IF(COUNTIF(BK:BW,12503)&gt;0,COUNTIF(BK:BW,12503),"")</f>
        <v/>
      </c>
      <c r="CF249" s="52" t="str">
        <f xml:space="preserve"> IF(Atletas!V245="","",IF(Atletas!V245="Duilian de Mãos AB - Equipe 1",1,IF(Atletas!V245="Duilian de Mãos AB - Equipe 2",2,IF(Atletas!V245="Duilian de Armas AB - Equipe 1",3,IF(Atletas!V245="Duilian de Armas AB - Equipe 2",4,IF(Atletas!V245="Duilian de Tuishou - Equipe 1",5,IF(Atletas!V245="Duilian de Tuishou - Equipe 2",6,IF(Atletas!V245="Grupo Externo AB - Equipe 1",7,IF(Atletas!V245="Grupo Externo AB - Equipe 2",8,IF(Atletas!V245="Grupo Interno AB - Equipe 1",9,IF(Atletas!V245="Grupo Interno AB - Equipe 2",10,IF(Atletas!V245="Duilian de Mãos CD - Equipe 1",11,IF(Atletas!V245="Duilian de Mãos CD - Equipe 2",12,IF(Atletas!V245="Duilian de Armas CD - Equipe 1",13,IF(Atletas!V245="Duilian de Armas CD - Equipe 2",14,IF(Atletas!V245="Duilian de Tuishou - Equipe 1",15,IF(Atletas!V245="Duilian de Tuishou - Equipe 2",16,IF(Atletas!V245="Grupo Externo CDEF - Equipe 1",17,IF(Atletas!V245="Grupo Externo CDEF - Equipe 2",18,IF(Atletas!V245="Grupo Interno CDEF - Equipe 1",19,IF(Atletas!V245="Grupo Interno CDEF - Equipe 2",20,IF(Atletas!V245="Duilian de Mãos EF - Equipe 1",21,IF(Atletas!V245="Duilian de Mãos EF - Equipe 2",22,IF(Atletas!V245="Duilian de Armas EF - Equipe 1",23,IF(Atletas!V245="Duilian de Armas EF - Equipe 2",24,IF(Atletas!V245="Duilian de Tuishou - Equipe 1",25,IF(Atletas!V245="Duilian de Tuishou - Equipe 2",26,"")))))))))))))))))))))))))))</f>
        <v/>
      </c>
    </row>
    <row r="250" spans="2:84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 t="str">
        <f t="array" ref="V250">IFERROR(INDEX(BX$7:BX$336,SMALL(IF(BX$7:BX$336&lt;&gt;"",ROW(BX$7:BX$336)-ROW(BX$7)+1),ROWS(BX$7:BX207))),"")</f>
        <v/>
      </c>
      <c r="W250" s="4" t="str">
        <f t="array" ref="W250">IFERROR(INDEX(BY$7:BY$336,SMALL(IF(BY$7:BY$336&lt;&gt;"",ROW(BY$7:BY$336)-ROW(BY$7)+1),ROWS(BY$7:BY207))),"")</f>
        <v/>
      </c>
      <c r="X250" s="4" t="str">
        <f t="array" ref="X250">IFERROR(INDEX(BZ$7:BZ$336,SMALL(IF(BZ$7:BZ$336&lt;&gt;"",ROW(BZ$7:BZ$336)-ROW(BZ$7)+1),ROWS(BZ$7:BZ207))),"")</f>
        <v/>
      </c>
      <c r="Y250" s="4" t="str">
        <f t="array" ref="Y250">IFERROR(INDEX(CA$7:CA$336,SMALL(IF(CA$7:CA$336&lt;&gt;"",ROW(CA$7:CA$336)-ROW(CA$7)+1),ROWS(CA$7:CA207))),"")</f>
        <v/>
      </c>
      <c r="Z250" s="4" t="str">
        <f t="array" ref="Z250">IFERROR(INDEX(CB$7:CB$378,SMALL(IF(CB$7:CB$378&lt;&gt;"",ROW(CB$7:CB$378)-ROW(CB$7)+1),ROWS(CB$7:CB249))),"")</f>
        <v/>
      </c>
      <c r="AA250" s="4" t="str">
        <f t="array" ref="AA250">IFERROR(INDEX(CC$7:CC$378,SMALL(IF(CC$7:CC$378&lt;&gt;"",ROW(CC$7:CC$378)-ROW(CC$7)+1),ROWS(CC$7:CC249))),"")</f>
        <v/>
      </c>
      <c r="AB250" s="4" t="str">
        <f t="array" ref="AB250">IFERROR(INDEX(CD$7:CD$378,SMALL(IF(CD$7:CD$378&lt;&gt;"",ROW(CD$7:CD$378)-ROW(CD$7)+1),ROWS(CD$7:CD249))),"")</f>
        <v/>
      </c>
      <c r="AC250" s="4" t="str">
        <f t="array" ref="AC250">IFERROR(INDEX(CE$7:CE$378,SMALL(IF(CE$7:CE$378&lt;&gt;"",ROW(CE$7:CE$378)-ROW(CE$7)+1),ROWS(CE$7:CE249))),"")</f>
        <v/>
      </c>
      <c r="AD250" s="4"/>
      <c r="AE250" s="4"/>
      <c r="AF250" s="4"/>
      <c r="AG250" s="4"/>
      <c r="AH250" s="4"/>
      <c r="AI250" s="4"/>
      <c r="AJ250" s="46" t="str">
        <f>IF(Atletas!D246="","",IF(Atletas!B246="Feminino",100,IF(Atletas!B246="Masculino",200,""))+(IF(Atletas!D246="Infantil 39kg",1,IF(Atletas!D246="Infantil 42kg",2,IF(Atletas!D246="Infantil 45kg",3,IF(Atletas!D246="Infantil 48kg",4,IF(Atletas!D246="Infantil 52kg",5,IF(Atletas!D246="Infantil 56kg",6,IF(Atletas!D246="Infantil 60kg",7,IF(Atletas!D246="Juvenil 48kg",8,IF(Atletas!D246="Juvenil 52kg",9,IF(Atletas!D246="Juvenil 56kg",10,IF(Atletas!D246="Juvenil 60kg",11,IF(Atletas!D246="Juvenil 65kg",12,IF(Atletas!D246="Juvenil 70kg",13,IF(Atletas!D246="Juvenil 75kg",14,IF(Atletas!D246="Juvenil 80kg",15,IF(Atletas!D246="Adulto 48kg",16,IF(Atletas!D246="Adulto 52kg",17,IF(Atletas!D246="Adulto 56kg",18,IF(Atletas!D246="Adulto 60kg",19,IF(Atletas!D246="Adulto 65kg",20,IF(Atletas!D246="Adulto 70kg",21,IF(Atletas!D246="Adulto 75kg",22,IF(Atletas!D246="Adulto 80kg",23,IF(Atletas!D246="Adulto 85kg",24,IF(Atletas!D246="Adulto 90kg",25,IF(Atletas!D246="Adulto +90kg",26,""))))))))))))))))))))))))))))</f>
        <v/>
      </c>
      <c r="AO250" s="10" t="str">
        <f>IF(Atletas!E246="","",IF(Atletas!B246="Feminino",100,IF(Atletas!B246="Masculino",200,""))+(IF(Atletas!E246="Juvenil 44kg",1,IF(Atletas!E246="Juvenil 48kg",2,IF(Atletas!E246="Juvenil 52kg",3,IF(Atletas!E246="Juvenil 56kg",4,IF(Atletas!E246="Juvenil 60kg",5,IF(Atletas!E246="Juvenil 65kg",6,IF(Atletas!E246="Juvenil 70kg",7,IF(Atletas!E246="Juvenil 75kg",8,IF(Atletas!E246="Juvenil 82kg",9,IF(Atletas!E246="Juvenil 90kg",10,IF(Atletas!E246="Juvenil 100kg",11,IF(Atletas!E246="Adulto 48kg",12,IF(Atletas!E246="Adulto 52kg",13,IF(Atletas!E246="Adulto 56kg",14,IF(Atletas!E246="Adulto 60kg",15,IF(Atletas!E246="Adulto 65kg",16,IF(Atletas!E246="Adulto 70kg",17,IF(Atletas!E246="Adulto 75kg",18,IF(Atletas!E246="Adulto 82kg",19,IF(Atletas!E246="Adulto 90kg",20,IF(Atletas!E246="Adulto 100kg",21,IF(Atletas!E246="Adulto +100kg",22,""))))))))))))))))))))))))</f>
        <v/>
      </c>
      <c r="AT250" s="10" t="str">
        <f>IF(Atletas!F246="","",IF(Atletas!B246="Feminino",100,IF(Atletas!B246="Masculino",200,""))+(IF(Atletas!F246="Adulto 48kg",1,IF(Atletas!F246="Adulto 56kg",2,IF(Atletas!F246="Adulto 65kg",3,IF(Atletas!F246="Adulto 75kg",4,IF(Atletas!F246="Adulto +75kg",5,IF(Atletas!F246="Adulto 52kg",6,IF(Atletas!F246="Adulto 60kg",7,IF(Atletas!F246="Adulto 70kg",8,IF(Atletas!F246="Adulto 80kg",9,IF(Atletas!F246="Adulto 90kg",10,IF(Atletas!F246="Adulto +90kg",11,"")))))))))))))</f>
        <v/>
      </c>
      <c r="AY250" s="46" t="str">
        <f>IF(Atletas!G246="","",IF(Atletas!B246="Feminino",100,IF(Atletas!B246="Masculino",200,""))+(IF(Atletas!G246="Changquan Mirim",1,IF(Atletas!G246="Nanquan Mirim",2,IF(Atletas!G246="Taijiquan Mirim",3,IF(Atletas!G246="Changquan Grupo C",4,IF(Atletas!G246="Nanquan Grupo C",5,IF(Atletas!G246="Taijiquan Grupo C",6,IF(Atletas!G246="Changquan Grupo B",7,IF(Atletas!G246="Nanquan Grupo B",8,IF(Atletas!G246="Taijiquan Grupo B",9,IF(Atletas!G246="Changquan Grupo A",10,IF(Atletas!G246="Nanquan Grupo A",11,IF(Atletas!G246="Taijiquan Grupo A",12,IF(Atletas!G246="Changquan Opcional",13,IF(Atletas!G246="Nanquan Opcional",14,IF(Atletas!G246="Taijiquan Opcional",15,IF(Atletas!G246="Changquan Adulto",16,IF(Atletas!G246="Nanquan Adulto",17,IF(Atletas!G246="Taijiquan Adulto",18,""))))))))))))))))))))</f>
        <v/>
      </c>
      <c r="AZ250" s="46" t="str">
        <f>IF(Atletas!H246="","",IF(Atletas!B246="Feminino",100,IF(Atletas!B246="Masculino",200,""))+(IF(Atletas!H246="Daoshu Mirim",19,IF(Atletas!H246="Jianshu Mirim",20,IF(Atletas!H246="Nandao Mirim",21,IF(Atletas!H246="Taijijian Mirim",22,IF(Atletas!H246="Daoshu Grupo C",23,IF(Atletas!H246="Jianshu Grupo C",24,IF(Atletas!H246="Nandao Grupo C",25,IF(Atletas!H246="Taijijian Grupo C",26,IF(Atletas!H246="Daoshu Grupo B",27,IF(Atletas!H246="Jianshu Grupo B",28,IF(Atletas!H246="Nandao Grupo B",29,IF(Atletas!H246="Taijijian Grupo B",30,IF(Atletas!H246="Daoshu Grupo A",31,IF(Atletas!H246="Jianshu Grupo A",32,IF(Atletas!H246="Nandao Grupo A",33,IF(Atletas!H246="Taijijian Grupo A",34,IF(Atletas!H246="Daoshu Opcional",35,IF(Atletas!H246="Jianshu Opcional",36,IF(Atletas!H246="Nandao Opcional",37,IF(Atletas!H246="Taijijian Opcional",38,IF(Atletas!H246="Daoshu Adulto",39,IF(Atletas!H246="Jianshu Adulto",40,IF(Atletas!H246="Nandao Adulto",41,IF(Atletas!H246="Taijijian Adulto",42,""))))))))))))))))))))))))))</f>
        <v/>
      </c>
      <c r="BA250" s="46" t="str">
        <f>IF(Atletas!I246="","",IF(Atletas!B246="Feminino",100,IF(Atletas!B246="Masculino",200,""))+(IF(Atletas!I246="Gunshu Mirim",43,IF(Atletas!I246="Qiangshu Mirim",44,IF(Atletas!I246="Nangun Mirim",45,IF(Atletas!I246="Gunshu Grupo C",46,IF(Atletas!I246="Qiangshu Grupo C",47,IF(Atletas!I246="Nangun Grupo C",48,IF(Atletas!I246="Gunshu Grupo B",49,IF(Atletas!I246="Qiangshu Grupo B",50,IF(Atletas!I246="Nangun Grupo B",51,IF(Atletas!I246="Gunshu Grupo A",52,IF(Atletas!I246="Qiangshu Grupo A",53,IF(Atletas!I246="Nangun Grupo A",54,IF(Atletas!I246="Gunshu Opcional",55,IF(Atletas!I246="Qiangshu Opcional",56,IF(Atletas!I246="Nangun Opcional",57,IF(Atletas!I246="Gunshu Adulto",58,IF(Atletas!I246="Qiangshu Adulto",59,IF(Atletas!I246="Nangun Adulto",60,""))))))))))))))))))))</f>
        <v/>
      </c>
      <c r="BF250" s="52" t="str">
        <f>IF(Atletas!J246="","",IF(Atletas!B246="Feminino",100,IF(Atletas!B246="Masculino",200,""))+(IF(Atletas!J246="Equipe 1 Grupo B",1,IF(Atletas!J246="Equipe 2 Grupo B",2,IF(Atletas!J246="Equipe 1 Grupo A",3,IF(Atletas!J246="Equipe 2 Grupo A",4,IF(Atletas!J246="Equipe 1 Adulto",5,IF(Atletas!J246="Equipe 2 Adulto",6,""))))))))</f>
        <v/>
      </c>
      <c r="BK250" s="52" t="str">
        <f>IF(Atletas!K246="","",IF(Atletas!W246&lt;&gt;"",10000,0)+(IF(Atletas!B246="Feminino",1000,IF(Atletas!B246="Masculino",2000,""))+IF(Atletas!K246="Choylayfut A",1,IF(Atletas!K246="Hunggar A",2,IF(Atletas!K246="Wuzuquan A",3,IF(Atletas!K246="Wingchun A",4,IF(Atletas!K246="Outra Mão de Sul A",5,IF(Atletas!K246="Choylayfut B",6,IF(Atletas!K246="Hunggar B",7,IF(Atletas!K246="Wuzuquan B",8,IF(Atletas!K246="Wingchun B",9,IF(Atletas!K246="Outra Mão de Sul B",10,IF(Atletas!K246="Choylayfut C",11,IF(Atletas!K246="Hunggar C",12,IF(Atletas!K246="Wuzuquan C",13,IF(Atletas!K246="Wingchun C",14,IF(Atletas!K246="Outra Mão de Sul C",15,IF(Atletas!K246="Choylayfut D",16,IF(Atletas!K246="Hunggar D",17,IF(Atletas!K246="Wuzuquan D",18,IF(Atletas!K246="Wingchun D",19,IF(Atletas!K246="Outra Mão de Sul D",20,IF(Atletas!K246="Choylayfut E",21,IF(Atletas!K246="Hunggar E",22,IF(Atletas!K246="Wuzuquan E",23,IF(Atletas!K246="Wingchun E",24,IF(Atletas!K246="Outra Mão de Sul E",25,IF(Atletas!K246="Choylayfut F",26,IF(Atletas!K246="Hunggar F",27,IF(Atletas!K246="Wuzuquan F",28,IF(Atletas!K246="Wingchun F",29,IF(Atletas!K246="Outra Mão de Sul F",30,""))))))))))))))))))))))))))))))))</f>
        <v/>
      </c>
      <c r="BL250" s="52" t="str">
        <f>IF(Atletas!L246="","",IF(Atletas!W246&lt;&gt;"",10000,0)+(IF(Atletas!B246="Feminino",1000,IF(Atletas!B246="Masculino",2000,""))+(IF(Atletas!L246="Chaquan A",101,IF(Atletas!L246="Emeiquan A",102,IF(Atletas!L246="Fanziquan A",103,IF(Atletas!L246="Huaquan A",104,IF(Atletas!L246="Hongquan A",105,IF(Atletas!L246="Paochui A",106,IF(Atletas!L246="Piguaquan A",107,IF(Atletas!L246="Shaolinquan A",108,IF(Atletas!L246="Tanglangquan A",109,IF(Atletas!L246="Yinzhaophai A",110,IF(Atletas!L246="Tongbeiquan A",111,IF(Atletas!L246="Wudangquan A",112,IF(Atletas!L246="Outros Estilos A",113,IF(Atletas!L246="Chaquan B",114,IF(Atletas!L246="Emeiquan B",115,IF(Atletas!L246="Fanziquan B",116,IF(Atletas!L246="Huaquan B",117,IF(Atletas!L246="Hongquan B",118,IF(Atletas!L246="Paochui B",119,IF(Atletas!L246="Piguaquan B",120,IF(Atletas!L246="Shaolinquan B",121,IF(Atletas!L246="Tanglangquan B",122,IF(Atletas!L246="Yinzhaophai B",123,IF(Atletas!L246="Tongbeiquan B",124,IF(Atletas!L246="Wudangquan B",125,IF(Atletas!L246="Outros Estilos B",126,IF(Atletas!L246="Chaquan C",127,IF(Atletas!L246="Emeiquan C",128,IF(Atletas!L246="Fanziquan C",129,IF(Atletas!L246="Huaquan C",130,IF(Atletas!L246="Hongquan C",131,IF(Atletas!L246="Paochui C",132,IF(Atletas!L246="Piguaquan C",133,IF(Atletas!L246="Shaolinquan C",134,IF(Atletas!L246="Tanglangquan C",135,IF(Atletas!L246="Yinzhaophai C",136,IF(Atletas!L246="Tongbeiquan C",137,IF(Atletas!L246="Wudangquan C",138,IF(Atletas!L246="Outros Estilos C",139,0))))))))))))))))))))))))))))))))))))))))))</f>
        <v/>
      </c>
      <c r="BM250" s="52" t="str">
        <f>IF(Atletas!L246="","",IF(Atletas!W246&lt;&gt;"",10000,0)+(IF(Atletas!B246="Feminino",1000,IF(Atletas!B246="Masculino",2000,""))+(IF(Atletas!L246="Chaquan D",140,IF(Atletas!L246="Emeiquan D",141,IF(Atletas!L246="Fanziquan D",142,IF(Atletas!L246="Huaquan D",143,IF(Atletas!L246="Hongquan D",144,IF(Atletas!L246="Paochui D",145,IF(Atletas!L246="Piguaquan D",146,IF(Atletas!L246="Shaolinquan D",147,IF(Atletas!L246="Tanglangquan D",148,IF(Atletas!L246="Yinzhaophai D",149,IF(Atletas!L246="Tongbeiquan D",150,IF(Atletas!L246="Wudangquan D",151,IF(Atletas!L246="Outros Estilos D",152,IF(Atletas!L246="Chaquan E",153,IF(Atletas!L246="Emeiquan E",154,IF(Atletas!L246="Fanziquan E",155,IF(Atletas!L246="Huaquan E",156,IF(Atletas!L246="Hongquan E",157,IF(Atletas!L246="Paochui E",158,IF(Atletas!L246="Piguaquan E",159,IF(Atletas!L246="Shaolinquan E",160,IF(Atletas!L246="Tanglangquan E",161,IF(Atletas!L246="Yinzhaophai E",162,IF(Atletas!L246="Tongbeiquan E",163,IF(Atletas!L246="Wudangquan E",164,IF(Atletas!L246="Outros Estilos E",165,IF(Atletas!L246="Chaquan F",166,IF(Atletas!L246="Emeiquan F",167,IF(Atletas!L246="Fanziquan F",168,IF(Atletas!L246="Huaquan F",169,IF(Atletas!L246="Hongquan F",170,IF(Atletas!L246="Paochui F",171,IF(Atletas!L246="Piguaquan F",172,IF(Atletas!L246="Shaolinquan F",173,IF(Atletas!L246="Tanglangquan F",174,IF(Atletas!L246="Yinzhaophai F",175,IF(Atletas!L246="Tongbeiquan F",176,IF(Atletas!L246="Wudangquan F",177,IF(Atletas!L246="Outros Estilos F",178,0))))))))))))))))))))))))))))))))))))))))))</f>
        <v/>
      </c>
      <c r="BN250" s="52" t="str">
        <f>IF(Atletas!M246="","",IF(Atletas!W246&lt;&gt;"",10000,0)+(IF(Atletas!B246="Feminino",1000,IF(Atletas!B246="Masculino",2000,""))+(IF(Atletas!M246="Ditangquan A",201,IF(Atletas!M246="Houquan A",202,IF(Atletas!M246="Zuiquan A",203,IF(Atletas!M246="Ditangquan B",204,IF(Atletas!M246="Houquan B",205,IF(Atletas!M246="Zuiquan B",206,IF(Atletas!M246="Ditangquan C",207,IF(Atletas!M246="Houquan C",208,IF(Atletas!M246="Zuiquan C",209,IF(Atletas!M246="Ditangquan D",210,IF(Atletas!M246="Houquan D",211,IF(Atletas!M246="Zuiquan D",212,IF(Atletas!M246="Ditangquan E",213,IF(Atletas!M246="Houquan E",214,IF(Atletas!M246="Zuiquan E",215,IF(Atletas!M246="Ditangquan F",216,IF(Atletas!M246="Houquan F",217,IF(Atletas!M246="Zuiquan F",218,"")))))))))))))))))))))</f>
        <v/>
      </c>
      <c r="BO250" s="52" t="str">
        <f>IF(Atletas!N246="","",IF(Atletas!W246&lt;&gt;"",10000,0)+IF(Atletas!B246="Feminino",1000,IF(Atletas!B246="Masculino",2000,""))+IF(Atletas!N246="Yang A",301,IF(Atletas!N246="Chen A",30,IF(Atletas!N246="Sun A",303,IF(Atletas!N246="Wu A",304,IF(Atletas!N246="Wu-Hao A",305,IF(Atletas!N246="Outro Taijiquan A",306,IF(Atletas!N246="Yang B",307,IF(Atletas!N246="Chen B",308,IF(Atletas!N246="Sun B",309,IF(Atletas!N246="Wu B",310,IF(Atletas!N246="Wu-Hao B",311,IF(Atletas!N246="Outro Taijiquan B",312,IF(Atletas!N246="Yang C",313,IF(Atletas!N246="Chen C",314,IF(Atletas!N246="Sun C",315,IF(Atletas!N246="Wu C",316,IF(Atletas!N246="Wu-Hao C",317,IF(Atletas!N246="Outro Taijiquan C",318,IF(Atletas!N246="Yang D",319,IF(Atletas!N246="Chen D",320,IF(Atletas!N246="Sun D",321,IF(Atletas!N246="Wu D",322,IF(Atletas!N246="Wu-Hao D",323,IF(Atletas!N246="Outro Taijiquan D",324,IF(Atletas!N246="Yang E",325,IF(Atletas!N246="Chen E",326,IF(Atletas!N246="Sun E",327,IF(Atletas!N246="Wu E",328,IF(Atletas!N246="Wu-Hao E",329,IF(Atletas!N246="Outro Taijiquan E",330,IF(Atletas!N246="Yang F",331,IF(Atletas!N246="Chen F",332,IF(Atletas!N246="Sun F",333,IF(Atletas!N246="Wu F",334,IF(Atletas!N246="Wu-Hao F",335,IF(Atletas!N246="Outro Taijiquan F",336,"")))))))))))))))))))))))))))))))))))))</f>
        <v/>
      </c>
      <c r="BP250" s="52" t="str">
        <f>IF(Atletas!O246="","",IF(Atletas!W246&lt;&gt;"",10000,0)+IF(Atletas!B246="Feminino",1000,IF(Atletas!B246="Masculino",2000,""))+IF(OR(Atletas!O246="Yang 26 A",Atletas!O246="Yang 40 A"),401,IF(OR(Atletas!O246="Chen 25 A",Atletas!O246="Chen 36 A",Atletas!O246="Chen 56 A"),402,IF(Atletas!O246="Sun 73 A",403,IF(Atletas!O246="Wu 45 A",404,IF(Atletas!O246="Wu-Hao 46 A",405,IF(OR(Atletas!O246="Taijiquan 16 A",Atletas!O246="Taijiquan 24 A",Atletas!O246="Taijiquan 32 A",Atletas!O246="Taijiquan 42 A"),406,IF(OR(Atletas!O246="Yang 26 B",Atletas!O246="Yang 40 B"),407,IF(OR(Atletas!O246="Chen 25 B",Atletas!O246="Chen 36 B",Atletas!O246="Chen 56 B"),408,IF(Atletas!O246="Sun 73 B",409,IF(Atletas!O246="Wu 45 B",410,IF(Atletas!O246="Wu-Hao 46 B",411,IF(OR(Atletas!O246="Taijiquan 16 B",Atletas!O246="Taijiquan 24 B",Atletas!O246="Taijiquan 32 B",Atletas!O246="Taijiquan 42 B"),412,IF(OR(Atletas!O246="Yang 26 C",Atletas!O246="Yang 40 C"),413,IF(OR(Atletas!O246="Chen 25 C",Atletas!O246="Chen 36 C",Atletas!O246="Chen 56 C"),414,IF(Atletas!O246="Sun 73 C",415,IF(Atletas!O246="Wu 45 C",416,IF(Atletas!O246="Wu-Hao 46 C",417,IF(OR(Atletas!O246="Taijiquan 16 C",Atletas!O246="Taijiquan 24 C",Atletas!O246="Taijiquan 32 C",Atletas!O246="Taijiquan 42 C"),418,0)))))))))))))))))))</f>
        <v/>
      </c>
      <c r="BQ250" s="52" t="str">
        <f>IF(Atletas!O246="","",IF(Atletas!W246&lt;&gt;"",10000,0)+IF(Atletas!B246="Feminino",1000,IF(Atletas!B246="Masculino",2000,""))+IF(OR(Atletas!O246="Yang 26 D",Atletas!O246="Yang 40 D"),419,IF(OR(Atletas!O246="Chen 25 D",Atletas!O246="Chen 36 D",Atletas!O246="Chen 56 D"),420,IF(Atletas!O246="Sun 73 D",421,IF(Atletas!O246="Wu 45 D",422,IF(Atletas!O246="Wu-Hao 46 D",423,IF(OR(Atletas!O246="Taijiquan 16 D",Atletas!O246="Taijiquan 24 D",Atletas!O246="Taijiquan 32 D",Atletas!O246="Taijiquan 42 D"),424,IF(OR(Atletas!O246="Yang 26 E",Atletas!O246="Yang 40 E"),425,IF(OR(Atletas!O246="Chen 25 E",Atletas!O246="Chen 36 E",Atletas!O246="Chen 56 E"),426,IF(Atletas!O246="Sun 73 E",427,IF(Atletas!O246="Wu 45 E",428,IF(Atletas!O246="Wu-Hao 46 E",429,IF(OR(Atletas!O246="Taijiquan 16 E",Atletas!O246="Taijiquan 24 E",Atletas!O246="Taijiquan 32 E",Atletas!O246="Taijiquan 42 E"),430,IF(OR(Atletas!O246="Yang 26 F",Atletas!O246="Yang 40 F"),431,IF(OR(Atletas!O246="Chen 25 F",Atletas!O246="Chen 36 F",Atletas!O246="Chen 56 F"),432,IF(Atletas!O246="Sun 73 F",433,IF(Atletas!O246="Wu 45 F",434,IF(Atletas!O246="Wu-Hao 46 F",435,IF(OR(Atletas!O246="Taijiquan 16 F",Atletas!O246="Taijiquan 24 F",Atletas!O246="Taijiquan 32 F",Atletas!O246="Taijiquan 42 F"),436,0)))))))))))))))))))</f>
        <v/>
      </c>
      <c r="BR250" s="52" t="str">
        <f>IF(Atletas!P246="","",IF(Atletas!W246&lt;&gt;"",10000,0)+IF(Atletas!B246="Feminino",1000,IF(Atletas!B246="Masculino",2000,""))+IF(Atletas!P246="Xingyiquan A",501,IF(Atletas!P246="Baguazhang A",502,IF(Atletas!P246="Outro Estilo Interno A",503,IF(Atletas!P246="Xingyiquan B",504,IF(Atletas!P246="Baguazhang B",505,IF(Atletas!P246="Outro Estilo Interno B",506,IF(Atletas!P246="Xingyiquan C",507,IF(Atletas!P246="Baguazhang C",508,IF(Atletas!P246="Outro Estilo Interno C",509,IF(Atletas!P246="Xingyiquan D",510,IF(Atletas!P246="Baguazhang D",511,IF(Atletas!P246="Outro Estilo Interno D",512,IF(Atletas!P246="Xingyiquan E",513,IF(Atletas!P246="Baguazhang E",514,IF(Atletas!P246="Outro Estilo Interno E",515,IF(Atletas!P246="Xingyiquan F",516,IF(Atletas!P246="Baguazhang F",517,IF(Atletas!P246="Outro Estilo Interno F",518, "")))))))))))))))))))</f>
        <v/>
      </c>
      <c r="BS250" s="52" t="str">
        <f>IF(Atletas!Q246="","",IF(Atletas!W246&lt;&gt;"",10000,0)+IF(Atletas!B246="Feminino",1000,IF(Atletas!B246="Masculino",2000,""))+IF(Atletas!Q246="Dao A",601,IF(Atletas!Q246="Jian A",602,IF(Atletas!Q246="Bishou A",603,IF(Atletas!Q246="Shan A",604,IF(Atletas!Q246="Outra Arma Curta A",605,IF(Atletas!Q246="Dao B",606,IF(Atletas!Q246="Jian B",607,IF(Atletas!Q246="Bishou B",608,IF(Atletas!Q246="Shan B",609,IF(Atletas!Q246="Outra Arma Curta B",610,IF(Atletas!Q246="Dao C",611,IF(Atletas!Q246="Jian C",612,IF(Atletas!Q246="Bishou C",613,IF(Atletas!Q246="Shan C",614,IF(Atletas!Q246="Outra Arma Curta C",615,IF(Atletas!Q246="Dao D",616,IF(Atletas!Q246="Jian D",617,IF(Atletas!Q246="Bishou D",618,IF(Atletas!Q246="Shan D",619,IF(Atletas!Q246="Outra Arma Curta D",620,IF(Atletas!Q246="Dao E",621,IF(Atletas!Q246="Jian E",622,IF(Atletas!Q246="Bishou E",623,IF(Atletas!Q246="Shan E",624,IF(Atletas!Q246="Outra Arma Curta E",625,IF(Atletas!Q246="Dao F",626,IF(Atletas!Q246="Jian F",627,IF(Atletas!Q246="Bishou F",628,IF(Atletas!Q246="Shan F",629,IF(Atletas!Q246="Outra Arma Curta F",630, "")))))))))))))))))))))))))))))))</f>
        <v/>
      </c>
      <c r="BT250" s="52" t="str">
        <f>IF(Atletas!R246="","",IF(Atletas!W246&lt;&gt;"",10000,0)+IF(Atletas!B246="Feminino",1000,IF(Atletas!B246="Masculino",2000,""))+IF(Atletas!R246="Gun A",701,IF(Atletas!R246="Qiang A",702,IF(Atletas!R246="Pudao / Guandao A",703,IF(Atletas!R246="Outra Arma Longa A",704,IF(Atletas!R246="Gun B",705,IF(Atletas!R246="Qiang B",706,IF(Atletas!R246="Pudao / Guandao B",707,IF(Atletas!R246="Outra Arma Longa B",708,IF(Atletas!R246="Gun C",709,IF(Atletas!R246="Qiang C",710,IF(Atletas!R246="Pudao / Guandao C",711,IF(Atletas!R246="Outra Arma Longa C",712,IF(Atletas!R246="Gun D",713,IF(Atletas!R246="Qiang D",714,IF(Atletas!R246="Pudao / Guandao D",715,IF(Atletas!R246="Outra Arma Longa D",716,IF(Atletas!R246="Gun E",717,IF(Atletas!R246="Qiang E",718,IF(Atletas!R246="Pudao / Guandao E",719,IF(Atletas!R246="Outra Arma Longa E",720,IF(Atletas!R246="Gun F",721,IF(Atletas!R246="Qiang F",722,IF(Atletas!R246="Pudao / Guandao F",723,IF(Atletas!R246="Outra Arma Longa F",724,"")))))))))))))))))))))))))</f>
        <v/>
      </c>
      <c r="BU250" s="52" t="str">
        <f>IF(Atletas!S246="","",IF(Atletas!W246&lt;&gt;"",10000,0)+IF(Atletas!B246="Feminino",1000,IF(Atletas!B246="Masculino",2000,""))+IF(Atletas!S246="Arma Dupla A",801,IF(Atletas!S246="Arma Maleável A",802,IF(Atletas!S246="Arma Dupla B",803,IF(Atletas!S246="Arma Maleável B",804,IF(Atletas!S246="Arma Dupla C",805,IF(Atletas!S246="Arma Maleável C",806,IF(Atletas!S246="Arma Dupla D",807,IF(Atletas!S246="Arma Maleável D",808,IF(Atletas!S246="Arma Dupla E",809,IF(Atletas!S246="Arma Maleável E",810,IF(Atletas!S246="Arma Dupla F",811,IF(Atletas!S246="Arma Maleável F",812, "")))))))))))))</f>
        <v/>
      </c>
      <c r="BV250" s="52" t="str">
        <f>IF(Atletas!T246="","",IF(Atletas!W246&lt;&gt;"",10000,0)+IF(Atletas!B246="Feminino",1000,IF(Atletas!B246="Masculino",2000,""))+IF(Atletas!T246="Taijijian Yang A",901,IF(Atletas!T246="Taijijian Chen A",902,IF(Atletas!T246="Taijijian Sun A",903,IF(Atletas!T246="Taijijian Wu A",904,IF(Atletas!T246="Taijijian Wu-Hao A",905,IF(Atletas!T246="Taijijian 32 A",906,IF(Atletas!T246="Taijijian 42 A",907,IF(Atletas!T246="Taijijian Yang B",908,IF(Atletas!T246="Taijijian Chen B",909,IF(Atletas!T246="Taijijian Sun B",910,IF(Atletas!T246="Taijijian Wu B",911,IF(Atletas!T246="Taijijian Wu-Hao B",912,IF(Atletas!T246="Taijijian 32 B",913,IF(Atletas!T246="Taijijian 42 B",914,IF(Atletas!T246="Taijijian Yang C",915,IF(Atletas!T246="Taijijian Chen C",916,IF(Atletas!T246="Taijijian Sun C",917,IF(Atletas!T246="Taijijian Wu C",918,IF(Atletas!T246="Taijijian Wu-Hao C",919,IF(Atletas!T246="Taijijian 32 C",920,IF(Atletas!T246="Taijijian 42 C",921,IF(Atletas!T246="Taijijian Yang D",922,IF(Atletas!T246="Taijijian Chen D",923,IF(Atletas!T246="Taijijian Sun D",924,IF(Atletas!T246="Taijijian Wu D",925,IF(Atletas!T246="Taijijian Wu-Hao D",926,IF(Atletas!T246="Taijijian 32 D",927,IF(Atletas!T246="Taijijian 42 D",928,IF(Atletas!T246="Taijijian Yang E",929,IF(Atletas!T246="Taijijian Chen E",930,IF(Atletas!T246="Taijijian Sun E",931,IF(Atletas!T246="Taijijian Wu E",932,IF(Atletas!T246="Taijijian Wu-Hao E",933,IF(Atletas!T246="Taijijian 32 E",934,IF(Atletas!T246="Taijijian 42 E",935,IF(Atletas!T246="Taijijian Yang F",936,IF(Atletas!T246="Taijijian Chen F",937,IF(Atletas!T246="Taijijian Sun F",938,IF(Atletas!T246="Taijijian Wu F",939,IF(Atletas!T246="Taijijian Wu-Hao F",940,IF(Atletas!T246="Taijijian 32 F",941,IF(Atletas!T246="Taijijian 42 F",942,"")))))))))))))))))))))))))))))))))))))))))))</f>
        <v/>
      </c>
      <c r="BW250" s="52" t="str">
        <f>IF(Atletas!U246="","",IF(Atletas!W246&lt;&gt;"",10000,0)+IF(Atletas!B246="Feminino",1000,IF(Atletas!B246="Masculino",2000,""))+IF(Atletas!T246="Taijijian 42 F",942,IF(Atletas!U246="Taijidao A",943,IF(Atletas!U246="Taijishan A",944,IF(Atletas!U246="Taijiqiang A",945,IF(Atletas!U246="Taijidao B",946,IF(Atletas!U246="Taijishan B",947,IF(Atletas!U246="Taijiqiang B",948,IF(Atletas!U246="Taijidao C",949,IF(Atletas!U246="Taijishan C",950,IF(Atletas!U246="Taijiqiang C",951,IF(Atletas!U246="Taijidao D",952,IF(Atletas!U246="Taijishan D",953,IF(Atletas!U246="Taijiqiang D",954,IF(Atletas!U246="Taijidao E",955,IF(Atletas!U246="Taijishan E",956,IF(Atletas!U246="Taijiqiang E",957,IF(Atletas!U246="Taijidao F",958,IF(Atletas!U246="Taijishan F",959,IF(Atletas!U246="Taijiqiang F",960))))))))))))))))))))</f>
        <v/>
      </c>
      <c r="BX250" s="72" t="str">
        <f>IF(BY250&lt;&gt;"","Bishou F","")</f>
        <v/>
      </c>
      <c r="BY250" s="72" t="str">
        <f>IF(COUNTIF(BK:BW,1628)&gt;0,COUNTIF(BK:BW,1628),"")</f>
        <v/>
      </c>
      <c r="BZ250" s="72" t="str">
        <f>IF(CA250&lt;&gt;"","Bishou F","")</f>
        <v/>
      </c>
      <c r="CA250" s="72" t="str">
        <f>IF(COUNTIF(BK:BW,2628)&gt;0,COUNTIF(BK:BW,2628),"")</f>
        <v/>
      </c>
      <c r="CB250" s="72" t="str">
        <f>IF(CC250&lt;&gt;"","Xingyiquan B","")</f>
        <v/>
      </c>
      <c r="CC250" s="64" t="str">
        <f>IF(COUNTIF(BK:BW,11504)&gt;0,COUNTIF(BK:BW,11504),"")</f>
        <v/>
      </c>
      <c r="CD250" s="64" t="str">
        <f>IF(CE250&lt;&gt;"","Xingyiquan B","")</f>
        <v/>
      </c>
      <c r="CE250" s="64" t="str">
        <f>IF(COUNTIF(BK:BW,12504)&gt;0,COUNTIF(BK:BW,12504),"")</f>
        <v/>
      </c>
      <c r="CF250" s="52" t="str">
        <f xml:space="preserve"> IF(Atletas!V246="","",IF(Atletas!V246="Duilian de Mãos AB - Equipe 1",1,IF(Atletas!V246="Duilian de Mãos AB - Equipe 2",2,IF(Atletas!V246="Duilian de Armas AB - Equipe 1",3,IF(Atletas!V246="Duilian de Armas AB - Equipe 2",4,IF(Atletas!V246="Duilian de Tuishou - Equipe 1",5,IF(Atletas!V246="Duilian de Tuishou - Equipe 2",6,IF(Atletas!V246="Grupo Externo AB - Equipe 1",7,IF(Atletas!V246="Grupo Externo AB - Equipe 2",8,IF(Atletas!V246="Grupo Interno AB - Equipe 1",9,IF(Atletas!V246="Grupo Interno AB - Equipe 2",10,IF(Atletas!V246="Duilian de Mãos CD - Equipe 1",11,IF(Atletas!V246="Duilian de Mãos CD - Equipe 2",12,IF(Atletas!V246="Duilian de Armas CD - Equipe 1",13,IF(Atletas!V246="Duilian de Armas CD - Equipe 2",14,IF(Atletas!V246="Duilian de Tuishou - Equipe 1",15,IF(Atletas!V246="Duilian de Tuishou - Equipe 2",16,IF(Atletas!V246="Grupo Externo CDEF - Equipe 1",17,IF(Atletas!V246="Grupo Externo CDEF - Equipe 2",18,IF(Atletas!V246="Grupo Interno CDEF - Equipe 1",19,IF(Atletas!V246="Grupo Interno CDEF - Equipe 2",20,IF(Atletas!V246="Duilian de Mãos EF - Equipe 1",21,IF(Atletas!V246="Duilian de Mãos EF - Equipe 2",22,IF(Atletas!V246="Duilian de Armas EF - Equipe 1",23,IF(Atletas!V246="Duilian de Armas EF - Equipe 2",24,IF(Atletas!V246="Duilian de Tuishou - Equipe 1",25,IF(Atletas!V246="Duilian de Tuishou - Equipe 2",26,"")))))))))))))))))))))))))))</f>
        <v/>
      </c>
    </row>
    <row r="251" spans="2:84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 t="str">
        <f t="array" ref="V251">IFERROR(INDEX(BX$7:BX$336,SMALL(IF(BX$7:BX$336&lt;&gt;"",ROW(BX$7:BX$336)-ROW(BX$7)+1),ROWS(BX$7:BX208))),"")</f>
        <v/>
      </c>
      <c r="W251" s="4" t="str">
        <f t="array" ref="W251">IFERROR(INDEX(BY$7:BY$336,SMALL(IF(BY$7:BY$336&lt;&gt;"",ROW(BY$7:BY$336)-ROW(BY$7)+1),ROWS(BY$7:BY208))),"")</f>
        <v/>
      </c>
      <c r="X251" s="4" t="str">
        <f t="array" ref="X251">IFERROR(INDEX(BZ$7:BZ$336,SMALL(IF(BZ$7:BZ$336&lt;&gt;"",ROW(BZ$7:BZ$336)-ROW(BZ$7)+1),ROWS(BZ$7:BZ208))),"")</f>
        <v/>
      </c>
      <c r="Y251" s="4" t="str">
        <f t="array" ref="Y251">IFERROR(INDEX(CA$7:CA$336,SMALL(IF(CA$7:CA$336&lt;&gt;"",ROW(CA$7:CA$336)-ROW(CA$7)+1),ROWS(CA$7:CA208))),"")</f>
        <v/>
      </c>
      <c r="Z251" s="4" t="str">
        <f t="array" ref="Z251">IFERROR(INDEX(CB$7:CB$378,SMALL(IF(CB$7:CB$378&lt;&gt;"",ROW(CB$7:CB$378)-ROW(CB$7)+1),ROWS(CB$7:CB250))),"")</f>
        <v/>
      </c>
      <c r="AA251" s="4" t="str">
        <f t="array" ref="AA251">IFERROR(INDEX(CC$7:CC$378,SMALL(IF(CC$7:CC$378&lt;&gt;"",ROW(CC$7:CC$378)-ROW(CC$7)+1),ROWS(CC$7:CC250))),"")</f>
        <v/>
      </c>
      <c r="AB251" s="4" t="str">
        <f t="array" ref="AB251">IFERROR(INDEX(CD$7:CD$378,SMALL(IF(CD$7:CD$378&lt;&gt;"",ROW(CD$7:CD$378)-ROW(CD$7)+1),ROWS(CD$7:CD250))),"")</f>
        <v/>
      </c>
      <c r="AC251" s="4" t="str">
        <f t="array" ref="AC251">IFERROR(INDEX(CE$7:CE$378,SMALL(IF(CE$7:CE$378&lt;&gt;"",ROW(CE$7:CE$378)-ROW(CE$7)+1),ROWS(CE$7:CE250))),"")</f>
        <v/>
      </c>
      <c r="AD251" s="4"/>
      <c r="AE251" s="4"/>
      <c r="AF251" s="4"/>
      <c r="AG251" s="4"/>
      <c r="AH251" s="4"/>
      <c r="AI251" s="4"/>
      <c r="AJ251" s="46" t="str">
        <f>IF(Atletas!D247="","",IF(Atletas!B247="Feminino",100,IF(Atletas!B247="Masculino",200,""))+(IF(Atletas!D247="Infantil 39kg",1,IF(Atletas!D247="Infantil 42kg",2,IF(Atletas!D247="Infantil 45kg",3,IF(Atletas!D247="Infantil 48kg",4,IF(Atletas!D247="Infantil 52kg",5,IF(Atletas!D247="Infantil 56kg",6,IF(Atletas!D247="Infantil 60kg",7,IF(Atletas!D247="Juvenil 48kg",8,IF(Atletas!D247="Juvenil 52kg",9,IF(Atletas!D247="Juvenil 56kg",10,IF(Atletas!D247="Juvenil 60kg",11,IF(Atletas!D247="Juvenil 65kg",12,IF(Atletas!D247="Juvenil 70kg",13,IF(Atletas!D247="Juvenil 75kg",14,IF(Atletas!D247="Juvenil 80kg",15,IF(Atletas!D247="Adulto 48kg",16,IF(Atletas!D247="Adulto 52kg",17,IF(Atletas!D247="Adulto 56kg",18,IF(Atletas!D247="Adulto 60kg",19,IF(Atletas!D247="Adulto 65kg",20,IF(Atletas!D247="Adulto 70kg",21,IF(Atletas!D247="Adulto 75kg",22,IF(Atletas!D247="Adulto 80kg",23,IF(Atletas!D247="Adulto 85kg",24,IF(Atletas!D247="Adulto 90kg",25,IF(Atletas!D247="Adulto +90kg",26,""))))))))))))))))))))))))))))</f>
        <v/>
      </c>
      <c r="AO251" s="10" t="str">
        <f>IF(Atletas!E247="","",IF(Atletas!B247="Feminino",100,IF(Atletas!B247="Masculino",200,""))+(IF(Atletas!E247="Juvenil 44kg",1,IF(Atletas!E247="Juvenil 48kg",2,IF(Atletas!E247="Juvenil 52kg",3,IF(Atletas!E247="Juvenil 56kg",4,IF(Atletas!E247="Juvenil 60kg",5,IF(Atletas!E247="Juvenil 65kg",6,IF(Atletas!E247="Juvenil 70kg",7,IF(Atletas!E247="Juvenil 75kg",8,IF(Atletas!E247="Juvenil 82kg",9,IF(Atletas!E247="Juvenil 90kg",10,IF(Atletas!E247="Juvenil 100kg",11,IF(Atletas!E247="Adulto 48kg",12,IF(Atletas!E247="Adulto 52kg",13,IF(Atletas!E247="Adulto 56kg",14,IF(Atletas!E247="Adulto 60kg",15,IF(Atletas!E247="Adulto 65kg",16,IF(Atletas!E247="Adulto 70kg",17,IF(Atletas!E247="Adulto 75kg",18,IF(Atletas!E247="Adulto 82kg",19,IF(Atletas!E247="Adulto 90kg",20,IF(Atletas!E247="Adulto 100kg",21,IF(Atletas!E247="Adulto +100kg",22,""))))))))))))))))))))))))</f>
        <v/>
      </c>
      <c r="AT251" s="10" t="str">
        <f>IF(Atletas!F247="","",IF(Atletas!B247="Feminino",100,IF(Atletas!B247="Masculino",200,""))+(IF(Atletas!F247="Adulto 48kg",1,IF(Atletas!F247="Adulto 56kg",2,IF(Atletas!F247="Adulto 65kg",3,IF(Atletas!F247="Adulto 75kg",4,IF(Atletas!F247="Adulto +75kg",5,IF(Atletas!F247="Adulto 52kg",6,IF(Atletas!F247="Adulto 60kg",7,IF(Atletas!F247="Adulto 70kg",8,IF(Atletas!F247="Adulto 80kg",9,IF(Atletas!F247="Adulto 90kg",10,IF(Atletas!F247="Adulto +90kg",11,"")))))))))))))</f>
        <v/>
      </c>
      <c r="AY251" s="46" t="str">
        <f>IF(Atletas!G247="","",IF(Atletas!B247="Feminino",100,IF(Atletas!B247="Masculino",200,""))+(IF(Atletas!G247="Changquan Mirim",1,IF(Atletas!G247="Nanquan Mirim",2,IF(Atletas!G247="Taijiquan Mirim",3,IF(Atletas!G247="Changquan Grupo C",4,IF(Atletas!G247="Nanquan Grupo C",5,IF(Atletas!G247="Taijiquan Grupo C",6,IF(Atletas!G247="Changquan Grupo B",7,IF(Atletas!G247="Nanquan Grupo B",8,IF(Atletas!G247="Taijiquan Grupo B",9,IF(Atletas!G247="Changquan Grupo A",10,IF(Atletas!G247="Nanquan Grupo A",11,IF(Atletas!G247="Taijiquan Grupo A",12,IF(Atletas!G247="Changquan Opcional",13,IF(Atletas!G247="Nanquan Opcional",14,IF(Atletas!G247="Taijiquan Opcional",15,IF(Atletas!G247="Changquan Adulto",16,IF(Atletas!G247="Nanquan Adulto",17,IF(Atletas!G247="Taijiquan Adulto",18,""))))))))))))))))))))</f>
        <v/>
      </c>
      <c r="AZ251" s="46" t="str">
        <f>IF(Atletas!H247="","",IF(Atletas!B247="Feminino",100,IF(Atletas!B247="Masculino",200,""))+(IF(Atletas!H247="Daoshu Mirim",19,IF(Atletas!H247="Jianshu Mirim",20,IF(Atletas!H247="Nandao Mirim",21,IF(Atletas!H247="Taijijian Mirim",22,IF(Atletas!H247="Daoshu Grupo C",23,IF(Atletas!H247="Jianshu Grupo C",24,IF(Atletas!H247="Nandao Grupo C",25,IF(Atletas!H247="Taijijian Grupo C",26,IF(Atletas!H247="Daoshu Grupo B",27,IF(Atletas!H247="Jianshu Grupo B",28,IF(Atletas!H247="Nandao Grupo B",29,IF(Atletas!H247="Taijijian Grupo B",30,IF(Atletas!H247="Daoshu Grupo A",31,IF(Atletas!H247="Jianshu Grupo A",32,IF(Atletas!H247="Nandao Grupo A",33,IF(Atletas!H247="Taijijian Grupo A",34,IF(Atletas!H247="Daoshu Opcional",35,IF(Atletas!H247="Jianshu Opcional",36,IF(Atletas!H247="Nandao Opcional",37,IF(Atletas!H247="Taijijian Opcional",38,IF(Atletas!H247="Daoshu Adulto",39,IF(Atletas!H247="Jianshu Adulto",40,IF(Atletas!H247="Nandao Adulto",41,IF(Atletas!H247="Taijijian Adulto",42,""))))))))))))))))))))))))))</f>
        <v/>
      </c>
      <c r="BA251" s="46" t="str">
        <f>IF(Atletas!I247="","",IF(Atletas!B247="Feminino",100,IF(Atletas!B247="Masculino",200,""))+(IF(Atletas!I247="Gunshu Mirim",43,IF(Atletas!I247="Qiangshu Mirim",44,IF(Atletas!I247="Nangun Mirim",45,IF(Atletas!I247="Gunshu Grupo C",46,IF(Atletas!I247="Qiangshu Grupo C",47,IF(Atletas!I247="Nangun Grupo C",48,IF(Atletas!I247="Gunshu Grupo B",49,IF(Atletas!I247="Qiangshu Grupo B",50,IF(Atletas!I247="Nangun Grupo B",51,IF(Atletas!I247="Gunshu Grupo A",52,IF(Atletas!I247="Qiangshu Grupo A",53,IF(Atletas!I247="Nangun Grupo A",54,IF(Atletas!I247="Gunshu Opcional",55,IF(Atletas!I247="Qiangshu Opcional",56,IF(Atletas!I247="Nangun Opcional",57,IF(Atletas!I247="Gunshu Adulto",58,IF(Atletas!I247="Qiangshu Adulto",59,IF(Atletas!I247="Nangun Adulto",60,""))))))))))))))))))))</f>
        <v/>
      </c>
      <c r="BF251" s="52" t="str">
        <f>IF(Atletas!J247="","",IF(Atletas!B247="Feminino",100,IF(Atletas!B247="Masculino",200,""))+(IF(Atletas!J247="Equipe 1 Grupo B",1,IF(Atletas!J247="Equipe 2 Grupo B",2,IF(Atletas!J247="Equipe 1 Grupo A",3,IF(Atletas!J247="Equipe 2 Grupo A",4,IF(Atletas!J247="Equipe 1 Adulto",5,IF(Atletas!J247="Equipe 2 Adulto",6,""))))))))</f>
        <v/>
      </c>
      <c r="BK251" s="52" t="str">
        <f>IF(Atletas!K247="","",IF(Atletas!W247&lt;&gt;"",10000,0)+(IF(Atletas!B247="Feminino",1000,IF(Atletas!B247="Masculino",2000,""))+IF(Atletas!K247="Choylayfut A",1,IF(Atletas!K247="Hunggar A",2,IF(Atletas!K247="Wuzuquan A",3,IF(Atletas!K247="Wingchun A",4,IF(Atletas!K247="Outra Mão de Sul A",5,IF(Atletas!K247="Choylayfut B",6,IF(Atletas!K247="Hunggar B",7,IF(Atletas!K247="Wuzuquan B",8,IF(Atletas!K247="Wingchun B",9,IF(Atletas!K247="Outra Mão de Sul B",10,IF(Atletas!K247="Choylayfut C",11,IF(Atletas!K247="Hunggar C",12,IF(Atletas!K247="Wuzuquan C",13,IF(Atletas!K247="Wingchun C",14,IF(Atletas!K247="Outra Mão de Sul C",15,IF(Atletas!K247="Choylayfut D",16,IF(Atletas!K247="Hunggar D",17,IF(Atletas!K247="Wuzuquan D",18,IF(Atletas!K247="Wingchun D",19,IF(Atletas!K247="Outra Mão de Sul D",20,IF(Atletas!K247="Choylayfut E",21,IF(Atletas!K247="Hunggar E",22,IF(Atletas!K247="Wuzuquan E",23,IF(Atletas!K247="Wingchun E",24,IF(Atletas!K247="Outra Mão de Sul E",25,IF(Atletas!K247="Choylayfut F",26,IF(Atletas!K247="Hunggar F",27,IF(Atletas!K247="Wuzuquan F",28,IF(Atletas!K247="Wingchun F",29,IF(Atletas!K247="Outra Mão de Sul F",30,""))))))))))))))))))))))))))))))))</f>
        <v/>
      </c>
      <c r="BL251" s="52" t="str">
        <f>IF(Atletas!L247="","",IF(Atletas!W247&lt;&gt;"",10000,0)+(IF(Atletas!B247="Feminino",1000,IF(Atletas!B247="Masculino",2000,""))+(IF(Atletas!L247="Chaquan A",101,IF(Atletas!L247="Emeiquan A",102,IF(Atletas!L247="Fanziquan A",103,IF(Atletas!L247="Huaquan A",104,IF(Atletas!L247="Hongquan A",105,IF(Atletas!L247="Paochui A",106,IF(Atletas!L247="Piguaquan A",107,IF(Atletas!L247="Shaolinquan A",108,IF(Atletas!L247="Tanglangquan A",109,IF(Atletas!L247="Yinzhaophai A",110,IF(Atletas!L247="Tongbeiquan A",111,IF(Atletas!L247="Wudangquan A",112,IF(Atletas!L247="Outros Estilos A",113,IF(Atletas!L247="Chaquan B",114,IF(Atletas!L247="Emeiquan B",115,IF(Atletas!L247="Fanziquan B",116,IF(Atletas!L247="Huaquan B",117,IF(Atletas!L247="Hongquan B",118,IF(Atletas!L247="Paochui B",119,IF(Atletas!L247="Piguaquan B",120,IF(Atletas!L247="Shaolinquan B",121,IF(Atletas!L247="Tanglangquan B",122,IF(Atletas!L247="Yinzhaophai B",123,IF(Atletas!L247="Tongbeiquan B",124,IF(Atletas!L247="Wudangquan B",125,IF(Atletas!L247="Outros Estilos B",126,IF(Atletas!L247="Chaquan C",127,IF(Atletas!L247="Emeiquan C",128,IF(Atletas!L247="Fanziquan C",129,IF(Atletas!L247="Huaquan C",130,IF(Atletas!L247="Hongquan C",131,IF(Atletas!L247="Paochui C",132,IF(Atletas!L247="Piguaquan C",133,IF(Atletas!L247="Shaolinquan C",134,IF(Atletas!L247="Tanglangquan C",135,IF(Atletas!L247="Yinzhaophai C",136,IF(Atletas!L247="Tongbeiquan C",137,IF(Atletas!L247="Wudangquan C",138,IF(Atletas!L247="Outros Estilos C",139,0))))))))))))))))))))))))))))))))))))))))))</f>
        <v/>
      </c>
      <c r="BM251" s="52" t="str">
        <f>IF(Atletas!L247="","",IF(Atletas!W247&lt;&gt;"",10000,0)+(IF(Atletas!B247="Feminino",1000,IF(Atletas!B247="Masculino",2000,""))+(IF(Atletas!L247="Chaquan D",140,IF(Atletas!L247="Emeiquan D",141,IF(Atletas!L247="Fanziquan D",142,IF(Atletas!L247="Huaquan D",143,IF(Atletas!L247="Hongquan D",144,IF(Atletas!L247="Paochui D",145,IF(Atletas!L247="Piguaquan D",146,IF(Atletas!L247="Shaolinquan D",147,IF(Atletas!L247="Tanglangquan D",148,IF(Atletas!L247="Yinzhaophai D",149,IF(Atletas!L247="Tongbeiquan D",150,IF(Atletas!L247="Wudangquan D",151,IF(Atletas!L247="Outros Estilos D",152,IF(Atletas!L247="Chaquan E",153,IF(Atletas!L247="Emeiquan E",154,IF(Atletas!L247="Fanziquan E",155,IF(Atletas!L247="Huaquan E",156,IF(Atletas!L247="Hongquan E",157,IF(Atletas!L247="Paochui E",158,IF(Atletas!L247="Piguaquan E",159,IF(Atletas!L247="Shaolinquan E",160,IF(Atletas!L247="Tanglangquan E",161,IF(Atletas!L247="Yinzhaophai E",162,IF(Atletas!L247="Tongbeiquan E",163,IF(Atletas!L247="Wudangquan E",164,IF(Atletas!L247="Outros Estilos E",165,IF(Atletas!L247="Chaquan F",166,IF(Atletas!L247="Emeiquan F",167,IF(Atletas!L247="Fanziquan F",168,IF(Atletas!L247="Huaquan F",169,IF(Atletas!L247="Hongquan F",170,IF(Atletas!L247="Paochui F",171,IF(Atletas!L247="Piguaquan F",172,IF(Atletas!L247="Shaolinquan F",173,IF(Atletas!L247="Tanglangquan F",174,IF(Atletas!L247="Yinzhaophai F",175,IF(Atletas!L247="Tongbeiquan F",176,IF(Atletas!L247="Wudangquan F",177,IF(Atletas!L247="Outros Estilos F",178,0))))))))))))))))))))))))))))))))))))))))))</f>
        <v/>
      </c>
      <c r="BN251" s="52" t="str">
        <f>IF(Atletas!M247="","",IF(Atletas!W247&lt;&gt;"",10000,0)+(IF(Atletas!B247="Feminino",1000,IF(Atletas!B247="Masculino",2000,""))+(IF(Atletas!M247="Ditangquan A",201,IF(Atletas!M247="Houquan A",202,IF(Atletas!M247="Zuiquan A",203,IF(Atletas!M247="Ditangquan B",204,IF(Atletas!M247="Houquan B",205,IF(Atletas!M247="Zuiquan B",206,IF(Atletas!M247="Ditangquan C",207,IF(Atletas!M247="Houquan C",208,IF(Atletas!M247="Zuiquan C",209,IF(Atletas!M247="Ditangquan D",210,IF(Atletas!M247="Houquan D",211,IF(Atletas!M247="Zuiquan D",212,IF(Atletas!M247="Ditangquan E",213,IF(Atletas!M247="Houquan E",214,IF(Atletas!M247="Zuiquan E",215,IF(Atletas!M247="Ditangquan F",216,IF(Atletas!M247="Houquan F",217,IF(Atletas!M247="Zuiquan F",218,"")))))))))))))))))))))</f>
        <v/>
      </c>
      <c r="BO251" s="52" t="str">
        <f>IF(Atletas!N247="","",IF(Atletas!W247&lt;&gt;"",10000,0)+IF(Atletas!B247="Feminino",1000,IF(Atletas!B247="Masculino",2000,""))+IF(Atletas!N247="Yang A",301,IF(Atletas!N247="Chen A",30,IF(Atletas!N247="Sun A",303,IF(Atletas!N247="Wu A",304,IF(Atletas!N247="Wu-Hao A",305,IF(Atletas!N247="Outro Taijiquan A",306,IF(Atletas!N247="Yang B",307,IF(Atletas!N247="Chen B",308,IF(Atletas!N247="Sun B",309,IF(Atletas!N247="Wu B",310,IF(Atletas!N247="Wu-Hao B",311,IF(Atletas!N247="Outro Taijiquan B",312,IF(Atletas!N247="Yang C",313,IF(Atletas!N247="Chen C",314,IF(Atletas!N247="Sun C",315,IF(Atletas!N247="Wu C",316,IF(Atletas!N247="Wu-Hao C",317,IF(Atletas!N247="Outro Taijiquan C",318,IF(Atletas!N247="Yang D",319,IF(Atletas!N247="Chen D",320,IF(Atletas!N247="Sun D",321,IF(Atletas!N247="Wu D",322,IF(Atletas!N247="Wu-Hao D",323,IF(Atletas!N247="Outro Taijiquan D",324,IF(Atletas!N247="Yang E",325,IF(Atletas!N247="Chen E",326,IF(Atletas!N247="Sun E",327,IF(Atletas!N247="Wu E",328,IF(Atletas!N247="Wu-Hao E",329,IF(Atletas!N247="Outro Taijiquan E",330,IF(Atletas!N247="Yang F",331,IF(Atletas!N247="Chen F",332,IF(Atletas!N247="Sun F",333,IF(Atletas!N247="Wu F",334,IF(Atletas!N247="Wu-Hao F",335,IF(Atletas!N247="Outro Taijiquan F",336,"")))))))))))))))))))))))))))))))))))))</f>
        <v/>
      </c>
      <c r="BP251" s="52" t="str">
        <f>IF(Atletas!O247="","",IF(Atletas!W247&lt;&gt;"",10000,0)+IF(Atletas!B247="Feminino",1000,IF(Atletas!B247="Masculino",2000,""))+IF(OR(Atletas!O247="Yang 26 A",Atletas!O247="Yang 40 A"),401,IF(OR(Atletas!O247="Chen 25 A",Atletas!O247="Chen 36 A",Atletas!O247="Chen 56 A"),402,IF(Atletas!O247="Sun 73 A",403,IF(Atletas!O247="Wu 45 A",404,IF(Atletas!O247="Wu-Hao 46 A",405,IF(OR(Atletas!O247="Taijiquan 16 A",Atletas!O247="Taijiquan 24 A",Atletas!O247="Taijiquan 32 A",Atletas!O247="Taijiquan 42 A"),406,IF(OR(Atletas!O247="Yang 26 B",Atletas!O247="Yang 40 B"),407,IF(OR(Atletas!O247="Chen 25 B",Atletas!O247="Chen 36 B",Atletas!O247="Chen 56 B"),408,IF(Atletas!O247="Sun 73 B",409,IF(Atletas!O247="Wu 45 B",410,IF(Atletas!O247="Wu-Hao 46 B",411,IF(OR(Atletas!O247="Taijiquan 16 B",Atletas!O247="Taijiquan 24 B",Atletas!O247="Taijiquan 32 B",Atletas!O247="Taijiquan 42 B"),412,IF(OR(Atletas!O247="Yang 26 C",Atletas!O247="Yang 40 C"),413,IF(OR(Atletas!O247="Chen 25 C",Atletas!O247="Chen 36 C",Atletas!O247="Chen 56 C"),414,IF(Atletas!O247="Sun 73 C",415,IF(Atletas!O247="Wu 45 C",416,IF(Atletas!O247="Wu-Hao 46 C",417,IF(OR(Atletas!O247="Taijiquan 16 C",Atletas!O247="Taijiquan 24 C",Atletas!O247="Taijiquan 32 C",Atletas!O247="Taijiquan 42 C"),418,0)))))))))))))))))))</f>
        <v/>
      </c>
      <c r="BQ251" s="52" t="str">
        <f>IF(Atletas!O247="","",IF(Atletas!W247&lt;&gt;"",10000,0)+IF(Atletas!B247="Feminino",1000,IF(Atletas!B247="Masculino",2000,""))+IF(OR(Atletas!O247="Yang 26 D",Atletas!O247="Yang 40 D"),419,IF(OR(Atletas!O247="Chen 25 D",Atletas!O247="Chen 36 D",Atletas!O247="Chen 56 D"),420,IF(Atletas!O247="Sun 73 D",421,IF(Atletas!O247="Wu 45 D",422,IF(Atletas!O247="Wu-Hao 46 D",423,IF(OR(Atletas!O247="Taijiquan 16 D",Atletas!O247="Taijiquan 24 D",Atletas!O247="Taijiquan 32 D",Atletas!O247="Taijiquan 42 D"),424,IF(OR(Atletas!O247="Yang 26 E",Atletas!O247="Yang 40 E"),425,IF(OR(Atletas!O247="Chen 25 E",Atletas!O247="Chen 36 E",Atletas!O247="Chen 56 E"),426,IF(Atletas!O247="Sun 73 E",427,IF(Atletas!O247="Wu 45 E",428,IF(Atletas!O247="Wu-Hao 46 E",429,IF(OR(Atletas!O247="Taijiquan 16 E",Atletas!O247="Taijiquan 24 E",Atletas!O247="Taijiquan 32 E",Atletas!O247="Taijiquan 42 E"),430,IF(OR(Atletas!O247="Yang 26 F",Atletas!O247="Yang 40 F"),431,IF(OR(Atletas!O247="Chen 25 F",Atletas!O247="Chen 36 F",Atletas!O247="Chen 56 F"),432,IF(Atletas!O247="Sun 73 F",433,IF(Atletas!O247="Wu 45 F",434,IF(Atletas!O247="Wu-Hao 46 F",435,IF(OR(Atletas!O247="Taijiquan 16 F",Atletas!O247="Taijiquan 24 F",Atletas!O247="Taijiquan 32 F",Atletas!O247="Taijiquan 42 F"),436,0)))))))))))))))))))</f>
        <v/>
      </c>
      <c r="BR251" s="52" t="str">
        <f>IF(Atletas!P247="","",IF(Atletas!W247&lt;&gt;"",10000,0)+IF(Atletas!B247="Feminino",1000,IF(Atletas!B247="Masculino",2000,""))+IF(Atletas!P247="Xingyiquan A",501,IF(Atletas!P247="Baguazhang A",502,IF(Atletas!P247="Outro Estilo Interno A",503,IF(Atletas!P247="Xingyiquan B",504,IF(Atletas!P247="Baguazhang B",505,IF(Atletas!P247="Outro Estilo Interno B",506,IF(Atletas!P247="Xingyiquan C",507,IF(Atletas!P247="Baguazhang C",508,IF(Atletas!P247="Outro Estilo Interno C",509,IF(Atletas!P247="Xingyiquan D",510,IF(Atletas!P247="Baguazhang D",511,IF(Atletas!P247="Outro Estilo Interno D",512,IF(Atletas!P247="Xingyiquan E",513,IF(Atletas!P247="Baguazhang E",514,IF(Atletas!P247="Outro Estilo Interno E",515,IF(Atletas!P247="Xingyiquan F",516,IF(Atletas!P247="Baguazhang F",517,IF(Atletas!P247="Outro Estilo Interno F",518, "")))))))))))))))))))</f>
        <v/>
      </c>
      <c r="BS251" s="52" t="str">
        <f>IF(Atletas!Q247="","",IF(Atletas!W247&lt;&gt;"",10000,0)+IF(Atletas!B247="Feminino",1000,IF(Atletas!B247="Masculino",2000,""))+IF(Atletas!Q247="Dao A",601,IF(Atletas!Q247="Jian A",602,IF(Atletas!Q247="Bishou A",603,IF(Atletas!Q247="Shan A",604,IF(Atletas!Q247="Outra Arma Curta A",605,IF(Atletas!Q247="Dao B",606,IF(Atletas!Q247="Jian B",607,IF(Atletas!Q247="Bishou B",608,IF(Atletas!Q247="Shan B",609,IF(Atletas!Q247="Outra Arma Curta B",610,IF(Atletas!Q247="Dao C",611,IF(Atletas!Q247="Jian C",612,IF(Atletas!Q247="Bishou C",613,IF(Atletas!Q247="Shan C",614,IF(Atletas!Q247="Outra Arma Curta C",615,IF(Atletas!Q247="Dao D",616,IF(Atletas!Q247="Jian D",617,IF(Atletas!Q247="Bishou D",618,IF(Atletas!Q247="Shan D",619,IF(Atletas!Q247="Outra Arma Curta D",620,IF(Atletas!Q247="Dao E",621,IF(Atletas!Q247="Jian E",622,IF(Atletas!Q247="Bishou E",623,IF(Atletas!Q247="Shan E",624,IF(Atletas!Q247="Outra Arma Curta E",625,IF(Atletas!Q247="Dao F",626,IF(Atletas!Q247="Jian F",627,IF(Atletas!Q247="Bishou F",628,IF(Atletas!Q247="Shan F",629,IF(Atletas!Q247="Outra Arma Curta F",630, "")))))))))))))))))))))))))))))))</f>
        <v/>
      </c>
      <c r="BT251" s="52" t="str">
        <f>IF(Atletas!R247="","",IF(Atletas!W247&lt;&gt;"",10000,0)+IF(Atletas!B247="Feminino",1000,IF(Atletas!B247="Masculino",2000,""))+IF(Atletas!R247="Gun A",701,IF(Atletas!R247="Qiang A",702,IF(Atletas!R247="Pudao / Guandao A",703,IF(Atletas!R247="Outra Arma Longa A",704,IF(Atletas!R247="Gun B",705,IF(Atletas!R247="Qiang B",706,IF(Atletas!R247="Pudao / Guandao B",707,IF(Atletas!R247="Outra Arma Longa B",708,IF(Atletas!R247="Gun C",709,IF(Atletas!R247="Qiang C",710,IF(Atletas!R247="Pudao / Guandao C",711,IF(Atletas!R247="Outra Arma Longa C",712,IF(Atletas!R247="Gun D",713,IF(Atletas!R247="Qiang D",714,IF(Atletas!R247="Pudao / Guandao D",715,IF(Atletas!R247="Outra Arma Longa D",716,IF(Atletas!R247="Gun E",717,IF(Atletas!R247="Qiang E",718,IF(Atletas!R247="Pudao / Guandao E",719,IF(Atletas!R247="Outra Arma Longa E",720,IF(Atletas!R247="Gun F",721,IF(Atletas!R247="Qiang F",722,IF(Atletas!R247="Pudao / Guandao F",723,IF(Atletas!R247="Outra Arma Longa F",724,"")))))))))))))))))))))))))</f>
        <v/>
      </c>
      <c r="BU251" s="52" t="str">
        <f>IF(Atletas!S247="","",IF(Atletas!W247&lt;&gt;"",10000,0)+IF(Atletas!B247="Feminino",1000,IF(Atletas!B247="Masculino",2000,""))+IF(Atletas!S247="Arma Dupla A",801,IF(Atletas!S247="Arma Maleável A",802,IF(Atletas!S247="Arma Dupla B",803,IF(Atletas!S247="Arma Maleável B",804,IF(Atletas!S247="Arma Dupla C",805,IF(Atletas!S247="Arma Maleável C",806,IF(Atletas!S247="Arma Dupla D",807,IF(Atletas!S247="Arma Maleável D",808,IF(Atletas!S247="Arma Dupla E",809,IF(Atletas!S247="Arma Maleável E",810,IF(Atletas!S247="Arma Dupla F",811,IF(Atletas!S247="Arma Maleável F",812, "")))))))))))))</f>
        <v/>
      </c>
      <c r="BV251" s="52" t="str">
        <f>IF(Atletas!T247="","",IF(Atletas!W247&lt;&gt;"",10000,0)+IF(Atletas!B247="Feminino",1000,IF(Atletas!B247="Masculino",2000,""))+IF(Atletas!T247="Taijijian Yang A",901,IF(Atletas!T247="Taijijian Chen A",902,IF(Atletas!T247="Taijijian Sun A",903,IF(Atletas!T247="Taijijian Wu A",904,IF(Atletas!T247="Taijijian Wu-Hao A",905,IF(Atletas!T247="Taijijian 32 A",906,IF(Atletas!T247="Taijijian 42 A",907,IF(Atletas!T247="Taijijian Yang B",908,IF(Atletas!T247="Taijijian Chen B",909,IF(Atletas!T247="Taijijian Sun B",910,IF(Atletas!T247="Taijijian Wu B",911,IF(Atletas!T247="Taijijian Wu-Hao B",912,IF(Atletas!T247="Taijijian 32 B",913,IF(Atletas!T247="Taijijian 42 B",914,IF(Atletas!T247="Taijijian Yang C",915,IF(Atletas!T247="Taijijian Chen C",916,IF(Atletas!T247="Taijijian Sun C",917,IF(Atletas!T247="Taijijian Wu C",918,IF(Atletas!T247="Taijijian Wu-Hao C",919,IF(Atletas!T247="Taijijian 32 C",920,IF(Atletas!T247="Taijijian 42 C",921,IF(Atletas!T247="Taijijian Yang D",922,IF(Atletas!T247="Taijijian Chen D",923,IF(Atletas!T247="Taijijian Sun D",924,IF(Atletas!T247="Taijijian Wu D",925,IF(Atletas!T247="Taijijian Wu-Hao D",926,IF(Atletas!T247="Taijijian 32 D",927,IF(Atletas!T247="Taijijian 42 D",928,IF(Atletas!T247="Taijijian Yang E",929,IF(Atletas!T247="Taijijian Chen E",930,IF(Atletas!T247="Taijijian Sun E",931,IF(Atletas!T247="Taijijian Wu E",932,IF(Atletas!T247="Taijijian Wu-Hao E",933,IF(Atletas!T247="Taijijian 32 E",934,IF(Atletas!T247="Taijijian 42 E",935,IF(Atletas!T247="Taijijian Yang F",936,IF(Atletas!T247="Taijijian Chen F",937,IF(Atletas!T247="Taijijian Sun F",938,IF(Atletas!T247="Taijijian Wu F",939,IF(Atletas!T247="Taijijian Wu-Hao F",940,IF(Atletas!T247="Taijijian 32 F",941,IF(Atletas!T247="Taijijian 42 F",942,"")))))))))))))))))))))))))))))))))))))))))))</f>
        <v/>
      </c>
      <c r="BW251" s="52" t="str">
        <f>IF(Atletas!U247="","",IF(Atletas!W247&lt;&gt;"",10000,0)+IF(Atletas!B247="Feminino",1000,IF(Atletas!B247="Masculino",2000,""))+IF(Atletas!T247="Taijijian 42 F",942,IF(Atletas!U247="Taijidao A",943,IF(Atletas!U247="Taijishan A",944,IF(Atletas!U247="Taijiqiang A",945,IF(Atletas!U247="Taijidao B",946,IF(Atletas!U247="Taijishan B",947,IF(Atletas!U247="Taijiqiang B",948,IF(Atletas!U247="Taijidao C",949,IF(Atletas!U247="Taijishan C",950,IF(Atletas!U247="Taijiqiang C",951,IF(Atletas!U247="Taijidao D",952,IF(Atletas!U247="Taijishan D",953,IF(Atletas!U247="Taijiqiang D",954,IF(Atletas!U247="Taijidao E",955,IF(Atletas!U247="Taijishan E",956,IF(Atletas!U247="Taijiqiang E",957,IF(Atletas!U247="Taijidao F",958,IF(Atletas!U247="Taijishan F",959,IF(Atletas!U247="Taijiqiang F",960))))))))))))))))))))</f>
        <v/>
      </c>
      <c r="BX251" s="72" t="str">
        <f>IF(BY251&lt;&gt;"","Shan F","")</f>
        <v/>
      </c>
      <c r="BY251" s="72" t="str">
        <f>IF(COUNTIF(BK:BW,1629)&gt;0,COUNTIF(BK:BW,1629),"")</f>
        <v/>
      </c>
      <c r="BZ251" s="72" t="str">
        <f>IF(CA251&lt;&gt;"","Shan F","")</f>
        <v/>
      </c>
      <c r="CA251" s="72" t="str">
        <f>IF(COUNTIF(BK:BW,2629)&gt;0,COUNTIF(BK:BW,2629),"")</f>
        <v/>
      </c>
      <c r="CB251" s="72" t="str">
        <f>IF(CC251&lt;&gt;"","Baguazhang B ","")</f>
        <v/>
      </c>
      <c r="CC251" s="64" t="str">
        <f>IF(COUNTIF(BK:BW,11505)&gt;0,COUNTIF(BK:BW,11505),"")</f>
        <v/>
      </c>
      <c r="CD251" s="64" t="str">
        <f>IF(CE251&lt;&gt;"","Baguazhang B ","")</f>
        <v/>
      </c>
      <c r="CE251" s="64" t="str">
        <f>IF(COUNTIF(BK:BW,12505)&gt;0,COUNTIF(BK:BW,12505),"")</f>
        <v/>
      </c>
      <c r="CF251" s="52" t="str">
        <f xml:space="preserve"> IF(Atletas!V247="","",IF(Atletas!V247="Duilian de Mãos AB - Equipe 1",1,IF(Atletas!V247="Duilian de Mãos AB - Equipe 2",2,IF(Atletas!V247="Duilian de Armas AB - Equipe 1",3,IF(Atletas!V247="Duilian de Armas AB - Equipe 2",4,IF(Atletas!V247="Duilian de Tuishou - Equipe 1",5,IF(Atletas!V247="Duilian de Tuishou - Equipe 2",6,IF(Atletas!V247="Grupo Externo AB - Equipe 1",7,IF(Atletas!V247="Grupo Externo AB - Equipe 2",8,IF(Atletas!V247="Grupo Interno AB - Equipe 1",9,IF(Atletas!V247="Grupo Interno AB - Equipe 2",10,IF(Atletas!V247="Duilian de Mãos CD - Equipe 1",11,IF(Atletas!V247="Duilian de Mãos CD - Equipe 2",12,IF(Atletas!V247="Duilian de Armas CD - Equipe 1",13,IF(Atletas!V247="Duilian de Armas CD - Equipe 2",14,IF(Atletas!V247="Duilian de Tuishou - Equipe 1",15,IF(Atletas!V247="Duilian de Tuishou - Equipe 2",16,IF(Atletas!V247="Grupo Externo CDEF - Equipe 1",17,IF(Atletas!V247="Grupo Externo CDEF - Equipe 2",18,IF(Atletas!V247="Grupo Interno CDEF - Equipe 1",19,IF(Atletas!V247="Grupo Interno CDEF - Equipe 2",20,IF(Atletas!V247="Duilian de Mãos EF - Equipe 1",21,IF(Atletas!V247="Duilian de Mãos EF - Equipe 2",22,IF(Atletas!V247="Duilian de Armas EF - Equipe 1",23,IF(Atletas!V247="Duilian de Armas EF - Equipe 2",24,IF(Atletas!V247="Duilian de Tuishou - Equipe 1",25,IF(Atletas!V247="Duilian de Tuishou - Equipe 2",26,"")))))))))))))))))))))))))))</f>
        <v/>
      </c>
    </row>
    <row r="252" spans="2:84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 t="str">
        <f t="array" ref="V252">IFERROR(INDEX(BX$7:BX$336,SMALL(IF(BX$7:BX$336&lt;&gt;"",ROW(BX$7:BX$336)-ROW(BX$7)+1),ROWS(BX$7:BX209))),"")</f>
        <v/>
      </c>
      <c r="W252" s="4" t="str">
        <f t="array" ref="W252">IFERROR(INDEX(BY$7:BY$336,SMALL(IF(BY$7:BY$336&lt;&gt;"",ROW(BY$7:BY$336)-ROW(BY$7)+1),ROWS(BY$7:BY209))),"")</f>
        <v/>
      </c>
      <c r="X252" s="4" t="str">
        <f t="array" ref="X252">IFERROR(INDEX(BZ$7:BZ$336,SMALL(IF(BZ$7:BZ$336&lt;&gt;"",ROW(BZ$7:BZ$336)-ROW(BZ$7)+1),ROWS(BZ$7:BZ209))),"")</f>
        <v/>
      </c>
      <c r="Y252" s="4" t="str">
        <f t="array" ref="Y252">IFERROR(INDEX(CA$7:CA$336,SMALL(IF(CA$7:CA$336&lt;&gt;"",ROW(CA$7:CA$336)-ROW(CA$7)+1),ROWS(CA$7:CA209))),"")</f>
        <v/>
      </c>
      <c r="Z252" s="4" t="str">
        <f t="array" ref="Z252">IFERROR(INDEX(CB$7:CB$378,SMALL(IF(CB$7:CB$378&lt;&gt;"",ROW(CB$7:CB$378)-ROW(CB$7)+1),ROWS(CB$7:CB251))),"")</f>
        <v/>
      </c>
      <c r="AA252" s="4" t="str">
        <f t="array" ref="AA252">IFERROR(INDEX(CC$7:CC$378,SMALL(IF(CC$7:CC$378&lt;&gt;"",ROW(CC$7:CC$378)-ROW(CC$7)+1),ROWS(CC$7:CC251))),"")</f>
        <v/>
      </c>
      <c r="AB252" s="4" t="str">
        <f t="array" ref="AB252">IFERROR(INDEX(CD$7:CD$378,SMALL(IF(CD$7:CD$378&lt;&gt;"",ROW(CD$7:CD$378)-ROW(CD$7)+1),ROWS(CD$7:CD251))),"")</f>
        <v/>
      </c>
      <c r="AC252" s="4" t="str">
        <f t="array" ref="AC252">IFERROR(INDEX(CE$7:CE$378,SMALL(IF(CE$7:CE$378&lt;&gt;"",ROW(CE$7:CE$378)-ROW(CE$7)+1),ROWS(CE$7:CE251))),"")</f>
        <v/>
      </c>
      <c r="AD252" s="4"/>
      <c r="AE252" s="4"/>
      <c r="AF252" s="4"/>
      <c r="AG252" s="4"/>
      <c r="AH252" s="4"/>
      <c r="AI252" s="4"/>
      <c r="AJ252" s="46" t="str">
        <f>IF(Atletas!D248="","",IF(Atletas!B248="Feminino",100,IF(Atletas!B248="Masculino",200,""))+(IF(Atletas!D248="Infantil 39kg",1,IF(Atletas!D248="Infantil 42kg",2,IF(Atletas!D248="Infantil 45kg",3,IF(Atletas!D248="Infantil 48kg",4,IF(Atletas!D248="Infantil 52kg",5,IF(Atletas!D248="Infantil 56kg",6,IF(Atletas!D248="Infantil 60kg",7,IF(Atletas!D248="Juvenil 48kg",8,IF(Atletas!D248="Juvenil 52kg",9,IF(Atletas!D248="Juvenil 56kg",10,IF(Atletas!D248="Juvenil 60kg",11,IF(Atletas!D248="Juvenil 65kg",12,IF(Atletas!D248="Juvenil 70kg",13,IF(Atletas!D248="Juvenil 75kg",14,IF(Atletas!D248="Juvenil 80kg",15,IF(Atletas!D248="Adulto 48kg",16,IF(Atletas!D248="Adulto 52kg",17,IF(Atletas!D248="Adulto 56kg",18,IF(Atletas!D248="Adulto 60kg",19,IF(Atletas!D248="Adulto 65kg",20,IF(Atletas!D248="Adulto 70kg",21,IF(Atletas!D248="Adulto 75kg",22,IF(Atletas!D248="Adulto 80kg",23,IF(Atletas!D248="Adulto 85kg",24,IF(Atletas!D248="Adulto 90kg",25,IF(Atletas!D248="Adulto +90kg",26,""))))))))))))))))))))))))))))</f>
        <v/>
      </c>
      <c r="AO252" s="10" t="str">
        <f>IF(Atletas!E248="","",IF(Atletas!B248="Feminino",100,IF(Atletas!B248="Masculino",200,""))+(IF(Atletas!E248="Juvenil 44kg",1,IF(Atletas!E248="Juvenil 48kg",2,IF(Atletas!E248="Juvenil 52kg",3,IF(Atletas!E248="Juvenil 56kg",4,IF(Atletas!E248="Juvenil 60kg",5,IF(Atletas!E248="Juvenil 65kg",6,IF(Atletas!E248="Juvenil 70kg",7,IF(Atletas!E248="Juvenil 75kg",8,IF(Atletas!E248="Juvenil 82kg",9,IF(Atletas!E248="Juvenil 90kg",10,IF(Atletas!E248="Juvenil 100kg",11,IF(Atletas!E248="Adulto 48kg",12,IF(Atletas!E248="Adulto 52kg",13,IF(Atletas!E248="Adulto 56kg",14,IF(Atletas!E248="Adulto 60kg",15,IF(Atletas!E248="Adulto 65kg",16,IF(Atletas!E248="Adulto 70kg",17,IF(Atletas!E248="Adulto 75kg",18,IF(Atletas!E248="Adulto 82kg",19,IF(Atletas!E248="Adulto 90kg",20,IF(Atletas!E248="Adulto 100kg",21,IF(Atletas!E248="Adulto +100kg",22,""))))))))))))))))))))))))</f>
        <v/>
      </c>
      <c r="AT252" s="10" t="str">
        <f>IF(Atletas!F248="","",IF(Atletas!B248="Feminino",100,IF(Atletas!B248="Masculino",200,""))+(IF(Atletas!F248="Adulto 48kg",1,IF(Atletas!F248="Adulto 56kg",2,IF(Atletas!F248="Adulto 65kg",3,IF(Atletas!F248="Adulto 75kg",4,IF(Atletas!F248="Adulto +75kg",5,IF(Atletas!F248="Adulto 52kg",6,IF(Atletas!F248="Adulto 60kg",7,IF(Atletas!F248="Adulto 70kg",8,IF(Atletas!F248="Adulto 80kg",9,IF(Atletas!F248="Adulto 90kg",10,IF(Atletas!F248="Adulto +90kg",11,"")))))))))))))</f>
        <v/>
      </c>
      <c r="AY252" s="46" t="str">
        <f>IF(Atletas!G248="","",IF(Atletas!B248="Feminino",100,IF(Atletas!B248="Masculino",200,""))+(IF(Atletas!G248="Changquan Mirim",1,IF(Atletas!G248="Nanquan Mirim",2,IF(Atletas!G248="Taijiquan Mirim",3,IF(Atletas!G248="Changquan Grupo C",4,IF(Atletas!G248="Nanquan Grupo C",5,IF(Atletas!G248="Taijiquan Grupo C",6,IF(Atletas!G248="Changquan Grupo B",7,IF(Atletas!G248="Nanquan Grupo B",8,IF(Atletas!G248="Taijiquan Grupo B",9,IF(Atletas!G248="Changquan Grupo A",10,IF(Atletas!G248="Nanquan Grupo A",11,IF(Atletas!G248="Taijiquan Grupo A",12,IF(Atletas!G248="Changquan Opcional",13,IF(Atletas!G248="Nanquan Opcional",14,IF(Atletas!G248="Taijiquan Opcional",15,IF(Atletas!G248="Changquan Adulto",16,IF(Atletas!G248="Nanquan Adulto",17,IF(Atletas!G248="Taijiquan Adulto",18,""))))))))))))))))))))</f>
        <v/>
      </c>
      <c r="AZ252" s="46" t="str">
        <f>IF(Atletas!H248="","",IF(Atletas!B248="Feminino",100,IF(Atletas!B248="Masculino",200,""))+(IF(Atletas!H248="Daoshu Mirim",19,IF(Atletas!H248="Jianshu Mirim",20,IF(Atletas!H248="Nandao Mirim",21,IF(Atletas!H248="Taijijian Mirim",22,IF(Atletas!H248="Daoshu Grupo C",23,IF(Atletas!H248="Jianshu Grupo C",24,IF(Atletas!H248="Nandao Grupo C",25,IF(Atletas!H248="Taijijian Grupo C",26,IF(Atletas!H248="Daoshu Grupo B",27,IF(Atletas!H248="Jianshu Grupo B",28,IF(Atletas!H248="Nandao Grupo B",29,IF(Atletas!H248="Taijijian Grupo B",30,IF(Atletas!H248="Daoshu Grupo A",31,IF(Atletas!H248="Jianshu Grupo A",32,IF(Atletas!H248="Nandao Grupo A",33,IF(Atletas!H248="Taijijian Grupo A",34,IF(Atletas!H248="Daoshu Opcional",35,IF(Atletas!H248="Jianshu Opcional",36,IF(Atletas!H248="Nandao Opcional",37,IF(Atletas!H248="Taijijian Opcional",38,IF(Atletas!H248="Daoshu Adulto",39,IF(Atletas!H248="Jianshu Adulto",40,IF(Atletas!H248="Nandao Adulto",41,IF(Atletas!H248="Taijijian Adulto",42,""))))))))))))))))))))))))))</f>
        <v/>
      </c>
      <c r="BA252" s="46" t="str">
        <f>IF(Atletas!I248="","",IF(Atletas!B248="Feminino",100,IF(Atletas!B248="Masculino",200,""))+(IF(Atletas!I248="Gunshu Mirim",43,IF(Atletas!I248="Qiangshu Mirim",44,IF(Atletas!I248="Nangun Mirim",45,IF(Atletas!I248="Gunshu Grupo C",46,IF(Atletas!I248="Qiangshu Grupo C",47,IF(Atletas!I248="Nangun Grupo C",48,IF(Atletas!I248="Gunshu Grupo B",49,IF(Atletas!I248="Qiangshu Grupo B",50,IF(Atletas!I248="Nangun Grupo B",51,IF(Atletas!I248="Gunshu Grupo A",52,IF(Atletas!I248="Qiangshu Grupo A",53,IF(Atletas!I248="Nangun Grupo A",54,IF(Atletas!I248="Gunshu Opcional",55,IF(Atletas!I248="Qiangshu Opcional",56,IF(Atletas!I248="Nangun Opcional",57,IF(Atletas!I248="Gunshu Adulto",58,IF(Atletas!I248="Qiangshu Adulto",59,IF(Atletas!I248="Nangun Adulto",60,""))))))))))))))))))))</f>
        <v/>
      </c>
      <c r="BF252" s="52" t="str">
        <f>IF(Atletas!J248="","",IF(Atletas!B248="Feminino",100,IF(Atletas!B248="Masculino",200,""))+(IF(Atletas!J248="Equipe 1 Grupo B",1,IF(Atletas!J248="Equipe 2 Grupo B",2,IF(Atletas!J248="Equipe 1 Grupo A",3,IF(Atletas!J248="Equipe 2 Grupo A",4,IF(Atletas!J248="Equipe 1 Adulto",5,IF(Atletas!J248="Equipe 2 Adulto",6,""))))))))</f>
        <v/>
      </c>
      <c r="BK252" s="52" t="str">
        <f>IF(Atletas!K248="","",IF(Atletas!W248&lt;&gt;"",10000,0)+(IF(Atletas!B248="Feminino",1000,IF(Atletas!B248="Masculino",2000,""))+IF(Atletas!K248="Choylayfut A",1,IF(Atletas!K248="Hunggar A",2,IF(Atletas!K248="Wuzuquan A",3,IF(Atletas!K248="Wingchun A",4,IF(Atletas!K248="Outra Mão de Sul A",5,IF(Atletas!K248="Choylayfut B",6,IF(Atletas!K248="Hunggar B",7,IF(Atletas!K248="Wuzuquan B",8,IF(Atletas!K248="Wingchun B",9,IF(Atletas!K248="Outra Mão de Sul B",10,IF(Atletas!K248="Choylayfut C",11,IF(Atletas!K248="Hunggar C",12,IF(Atletas!K248="Wuzuquan C",13,IF(Atletas!K248="Wingchun C",14,IF(Atletas!K248="Outra Mão de Sul C",15,IF(Atletas!K248="Choylayfut D",16,IF(Atletas!K248="Hunggar D",17,IF(Atletas!K248="Wuzuquan D",18,IF(Atletas!K248="Wingchun D",19,IF(Atletas!K248="Outra Mão de Sul D",20,IF(Atletas!K248="Choylayfut E",21,IF(Atletas!K248="Hunggar E",22,IF(Atletas!K248="Wuzuquan E",23,IF(Atletas!K248="Wingchun E",24,IF(Atletas!K248="Outra Mão de Sul E",25,IF(Atletas!K248="Choylayfut F",26,IF(Atletas!K248="Hunggar F",27,IF(Atletas!K248="Wuzuquan F",28,IF(Atletas!K248="Wingchun F",29,IF(Atletas!K248="Outra Mão de Sul F",30,""))))))))))))))))))))))))))))))))</f>
        <v/>
      </c>
      <c r="BL252" s="52" t="str">
        <f>IF(Atletas!L248="","",IF(Atletas!W248&lt;&gt;"",10000,0)+(IF(Atletas!B248="Feminino",1000,IF(Atletas!B248="Masculino",2000,""))+(IF(Atletas!L248="Chaquan A",101,IF(Atletas!L248="Emeiquan A",102,IF(Atletas!L248="Fanziquan A",103,IF(Atletas!L248="Huaquan A",104,IF(Atletas!L248="Hongquan A",105,IF(Atletas!L248="Paochui A",106,IF(Atletas!L248="Piguaquan A",107,IF(Atletas!L248="Shaolinquan A",108,IF(Atletas!L248="Tanglangquan A",109,IF(Atletas!L248="Yinzhaophai A",110,IF(Atletas!L248="Tongbeiquan A",111,IF(Atletas!L248="Wudangquan A",112,IF(Atletas!L248="Outros Estilos A",113,IF(Atletas!L248="Chaquan B",114,IF(Atletas!L248="Emeiquan B",115,IF(Atletas!L248="Fanziquan B",116,IF(Atletas!L248="Huaquan B",117,IF(Atletas!L248="Hongquan B",118,IF(Atletas!L248="Paochui B",119,IF(Atletas!L248="Piguaquan B",120,IF(Atletas!L248="Shaolinquan B",121,IF(Atletas!L248="Tanglangquan B",122,IF(Atletas!L248="Yinzhaophai B",123,IF(Atletas!L248="Tongbeiquan B",124,IF(Atletas!L248="Wudangquan B",125,IF(Atletas!L248="Outros Estilos B",126,IF(Atletas!L248="Chaquan C",127,IF(Atletas!L248="Emeiquan C",128,IF(Atletas!L248="Fanziquan C",129,IF(Atletas!L248="Huaquan C",130,IF(Atletas!L248="Hongquan C",131,IF(Atletas!L248="Paochui C",132,IF(Atletas!L248="Piguaquan C",133,IF(Atletas!L248="Shaolinquan C",134,IF(Atletas!L248="Tanglangquan C",135,IF(Atletas!L248="Yinzhaophai C",136,IF(Atletas!L248="Tongbeiquan C",137,IF(Atletas!L248="Wudangquan C",138,IF(Atletas!L248="Outros Estilos C",139,0))))))))))))))))))))))))))))))))))))))))))</f>
        <v/>
      </c>
      <c r="BM252" s="52" t="str">
        <f>IF(Atletas!L248="","",IF(Atletas!W248&lt;&gt;"",10000,0)+(IF(Atletas!B248="Feminino",1000,IF(Atletas!B248="Masculino",2000,""))+(IF(Atletas!L248="Chaquan D",140,IF(Atletas!L248="Emeiquan D",141,IF(Atletas!L248="Fanziquan D",142,IF(Atletas!L248="Huaquan D",143,IF(Atletas!L248="Hongquan D",144,IF(Atletas!L248="Paochui D",145,IF(Atletas!L248="Piguaquan D",146,IF(Atletas!L248="Shaolinquan D",147,IF(Atletas!L248="Tanglangquan D",148,IF(Atletas!L248="Yinzhaophai D",149,IF(Atletas!L248="Tongbeiquan D",150,IF(Atletas!L248="Wudangquan D",151,IF(Atletas!L248="Outros Estilos D",152,IF(Atletas!L248="Chaquan E",153,IF(Atletas!L248="Emeiquan E",154,IF(Atletas!L248="Fanziquan E",155,IF(Atletas!L248="Huaquan E",156,IF(Atletas!L248="Hongquan E",157,IF(Atletas!L248="Paochui E",158,IF(Atletas!L248="Piguaquan E",159,IF(Atletas!L248="Shaolinquan E",160,IF(Atletas!L248="Tanglangquan E",161,IF(Atletas!L248="Yinzhaophai E",162,IF(Atletas!L248="Tongbeiquan E",163,IF(Atletas!L248="Wudangquan E",164,IF(Atletas!L248="Outros Estilos E",165,IF(Atletas!L248="Chaquan F",166,IF(Atletas!L248="Emeiquan F",167,IF(Atletas!L248="Fanziquan F",168,IF(Atletas!L248="Huaquan F",169,IF(Atletas!L248="Hongquan F",170,IF(Atletas!L248="Paochui F",171,IF(Atletas!L248="Piguaquan F",172,IF(Atletas!L248="Shaolinquan F",173,IF(Atletas!L248="Tanglangquan F",174,IF(Atletas!L248="Yinzhaophai F",175,IF(Atletas!L248="Tongbeiquan F",176,IF(Atletas!L248="Wudangquan F",177,IF(Atletas!L248="Outros Estilos F",178,0))))))))))))))))))))))))))))))))))))))))))</f>
        <v/>
      </c>
      <c r="BN252" s="52" t="str">
        <f>IF(Atletas!M248="","",IF(Atletas!W248&lt;&gt;"",10000,0)+(IF(Atletas!B248="Feminino",1000,IF(Atletas!B248="Masculino",2000,""))+(IF(Atletas!M248="Ditangquan A",201,IF(Atletas!M248="Houquan A",202,IF(Atletas!M248="Zuiquan A",203,IF(Atletas!M248="Ditangquan B",204,IF(Atletas!M248="Houquan B",205,IF(Atletas!M248="Zuiquan B",206,IF(Atletas!M248="Ditangquan C",207,IF(Atletas!M248="Houquan C",208,IF(Atletas!M248="Zuiquan C",209,IF(Atletas!M248="Ditangquan D",210,IF(Atletas!M248="Houquan D",211,IF(Atletas!M248="Zuiquan D",212,IF(Atletas!M248="Ditangquan E",213,IF(Atletas!M248="Houquan E",214,IF(Atletas!M248="Zuiquan E",215,IF(Atletas!M248="Ditangquan F",216,IF(Atletas!M248="Houquan F",217,IF(Atletas!M248="Zuiquan F",218,"")))))))))))))))))))))</f>
        <v/>
      </c>
      <c r="BO252" s="52" t="str">
        <f>IF(Atletas!N248="","",IF(Atletas!W248&lt;&gt;"",10000,0)+IF(Atletas!B248="Feminino",1000,IF(Atletas!B248="Masculino",2000,""))+IF(Atletas!N248="Yang A",301,IF(Atletas!N248="Chen A",30,IF(Atletas!N248="Sun A",303,IF(Atletas!N248="Wu A",304,IF(Atletas!N248="Wu-Hao A",305,IF(Atletas!N248="Outro Taijiquan A",306,IF(Atletas!N248="Yang B",307,IF(Atletas!N248="Chen B",308,IF(Atletas!N248="Sun B",309,IF(Atletas!N248="Wu B",310,IF(Atletas!N248="Wu-Hao B",311,IF(Atletas!N248="Outro Taijiquan B",312,IF(Atletas!N248="Yang C",313,IF(Atletas!N248="Chen C",314,IF(Atletas!N248="Sun C",315,IF(Atletas!N248="Wu C",316,IF(Atletas!N248="Wu-Hao C",317,IF(Atletas!N248="Outro Taijiquan C",318,IF(Atletas!N248="Yang D",319,IF(Atletas!N248="Chen D",320,IF(Atletas!N248="Sun D",321,IF(Atletas!N248="Wu D",322,IF(Atletas!N248="Wu-Hao D",323,IF(Atletas!N248="Outro Taijiquan D",324,IF(Atletas!N248="Yang E",325,IF(Atletas!N248="Chen E",326,IF(Atletas!N248="Sun E",327,IF(Atletas!N248="Wu E",328,IF(Atletas!N248="Wu-Hao E",329,IF(Atletas!N248="Outro Taijiquan E",330,IF(Atletas!N248="Yang F",331,IF(Atletas!N248="Chen F",332,IF(Atletas!N248="Sun F",333,IF(Atletas!N248="Wu F",334,IF(Atletas!N248="Wu-Hao F",335,IF(Atletas!N248="Outro Taijiquan F",336,"")))))))))))))))))))))))))))))))))))))</f>
        <v/>
      </c>
      <c r="BP252" s="52" t="str">
        <f>IF(Atletas!O248="","",IF(Atletas!W248&lt;&gt;"",10000,0)+IF(Atletas!B248="Feminino",1000,IF(Atletas!B248="Masculino",2000,""))+IF(OR(Atletas!O248="Yang 26 A",Atletas!O248="Yang 40 A"),401,IF(OR(Atletas!O248="Chen 25 A",Atletas!O248="Chen 36 A",Atletas!O248="Chen 56 A"),402,IF(Atletas!O248="Sun 73 A",403,IF(Atletas!O248="Wu 45 A",404,IF(Atletas!O248="Wu-Hao 46 A",405,IF(OR(Atletas!O248="Taijiquan 16 A",Atletas!O248="Taijiquan 24 A",Atletas!O248="Taijiquan 32 A",Atletas!O248="Taijiquan 42 A"),406,IF(OR(Atletas!O248="Yang 26 B",Atletas!O248="Yang 40 B"),407,IF(OR(Atletas!O248="Chen 25 B",Atletas!O248="Chen 36 B",Atletas!O248="Chen 56 B"),408,IF(Atletas!O248="Sun 73 B",409,IF(Atletas!O248="Wu 45 B",410,IF(Atletas!O248="Wu-Hao 46 B",411,IF(OR(Atletas!O248="Taijiquan 16 B",Atletas!O248="Taijiquan 24 B",Atletas!O248="Taijiquan 32 B",Atletas!O248="Taijiquan 42 B"),412,IF(OR(Atletas!O248="Yang 26 C",Atletas!O248="Yang 40 C"),413,IF(OR(Atletas!O248="Chen 25 C",Atletas!O248="Chen 36 C",Atletas!O248="Chen 56 C"),414,IF(Atletas!O248="Sun 73 C",415,IF(Atletas!O248="Wu 45 C",416,IF(Atletas!O248="Wu-Hao 46 C",417,IF(OR(Atletas!O248="Taijiquan 16 C",Atletas!O248="Taijiquan 24 C",Atletas!O248="Taijiquan 32 C",Atletas!O248="Taijiquan 42 C"),418,0)))))))))))))))))))</f>
        <v/>
      </c>
      <c r="BQ252" s="52" t="str">
        <f>IF(Atletas!O248="","",IF(Atletas!W248&lt;&gt;"",10000,0)+IF(Atletas!B248="Feminino",1000,IF(Atletas!B248="Masculino",2000,""))+IF(OR(Atletas!O248="Yang 26 D",Atletas!O248="Yang 40 D"),419,IF(OR(Atletas!O248="Chen 25 D",Atletas!O248="Chen 36 D",Atletas!O248="Chen 56 D"),420,IF(Atletas!O248="Sun 73 D",421,IF(Atletas!O248="Wu 45 D",422,IF(Atletas!O248="Wu-Hao 46 D",423,IF(OR(Atletas!O248="Taijiquan 16 D",Atletas!O248="Taijiquan 24 D",Atletas!O248="Taijiquan 32 D",Atletas!O248="Taijiquan 42 D"),424,IF(OR(Atletas!O248="Yang 26 E",Atletas!O248="Yang 40 E"),425,IF(OR(Atletas!O248="Chen 25 E",Atletas!O248="Chen 36 E",Atletas!O248="Chen 56 E"),426,IF(Atletas!O248="Sun 73 E",427,IF(Atletas!O248="Wu 45 E",428,IF(Atletas!O248="Wu-Hao 46 E",429,IF(OR(Atletas!O248="Taijiquan 16 E",Atletas!O248="Taijiquan 24 E",Atletas!O248="Taijiquan 32 E",Atletas!O248="Taijiquan 42 E"),430,IF(OR(Atletas!O248="Yang 26 F",Atletas!O248="Yang 40 F"),431,IF(OR(Atletas!O248="Chen 25 F",Atletas!O248="Chen 36 F",Atletas!O248="Chen 56 F"),432,IF(Atletas!O248="Sun 73 F",433,IF(Atletas!O248="Wu 45 F",434,IF(Atletas!O248="Wu-Hao 46 F",435,IF(OR(Atletas!O248="Taijiquan 16 F",Atletas!O248="Taijiquan 24 F",Atletas!O248="Taijiquan 32 F",Atletas!O248="Taijiquan 42 F"),436,0)))))))))))))))))))</f>
        <v/>
      </c>
      <c r="BR252" s="52" t="str">
        <f>IF(Atletas!P248="","",IF(Atletas!W248&lt;&gt;"",10000,0)+IF(Atletas!B248="Feminino",1000,IF(Atletas!B248="Masculino",2000,""))+IF(Atletas!P248="Xingyiquan A",501,IF(Atletas!P248="Baguazhang A",502,IF(Atletas!P248="Outro Estilo Interno A",503,IF(Atletas!P248="Xingyiquan B",504,IF(Atletas!P248="Baguazhang B",505,IF(Atletas!P248="Outro Estilo Interno B",506,IF(Atletas!P248="Xingyiquan C",507,IF(Atletas!P248="Baguazhang C",508,IF(Atletas!P248="Outro Estilo Interno C",509,IF(Atletas!P248="Xingyiquan D",510,IF(Atletas!P248="Baguazhang D",511,IF(Atletas!P248="Outro Estilo Interno D",512,IF(Atletas!P248="Xingyiquan E",513,IF(Atletas!P248="Baguazhang E",514,IF(Atletas!P248="Outro Estilo Interno E",515,IF(Atletas!P248="Xingyiquan F",516,IF(Atletas!P248="Baguazhang F",517,IF(Atletas!P248="Outro Estilo Interno F",518, "")))))))))))))))))))</f>
        <v/>
      </c>
      <c r="BS252" s="52" t="str">
        <f>IF(Atletas!Q248="","",IF(Atletas!W248&lt;&gt;"",10000,0)+IF(Atletas!B248="Feminino",1000,IF(Atletas!B248="Masculino",2000,""))+IF(Atletas!Q248="Dao A",601,IF(Atletas!Q248="Jian A",602,IF(Atletas!Q248="Bishou A",603,IF(Atletas!Q248="Shan A",604,IF(Atletas!Q248="Outra Arma Curta A",605,IF(Atletas!Q248="Dao B",606,IF(Atletas!Q248="Jian B",607,IF(Atletas!Q248="Bishou B",608,IF(Atletas!Q248="Shan B",609,IF(Atletas!Q248="Outra Arma Curta B",610,IF(Atletas!Q248="Dao C",611,IF(Atletas!Q248="Jian C",612,IF(Atletas!Q248="Bishou C",613,IF(Atletas!Q248="Shan C",614,IF(Atletas!Q248="Outra Arma Curta C",615,IF(Atletas!Q248="Dao D",616,IF(Atletas!Q248="Jian D",617,IF(Atletas!Q248="Bishou D",618,IF(Atletas!Q248="Shan D",619,IF(Atletas!Q248="Outra Arma Curta D",620,IF(Atletas!Q248="Dao E",621,IF(Atletas!Q248="Jian E",622,IF(Atletas!Q248="Bishou E",623,IF(Atletas!Q248="Shan E",624,IF(Atletas!Q248="Outra Arma Curta E",625,IF(Atletas!Q248="Dao F",626,IF(Atletas!Q248="Jian F",627,IF(Atletas!Q248="Bishou F",628,IF(Atletas!Q248="Shan F",629,IF(Atletas!Q248="Outra Arma Curta F",630, "")))))))))))))))))))))))))))))))</f>
        <v/>
      </c>
      <c r="BT252" s="52" t="str">
        <f>IF(Atletas!R248="","",IF(Atletas!W248&lt;&gt;"",10000,0)+IF(Atletas!B248="Feminino",1000,IF(Atletas!B248="Masculino",2000,""))+IF(Atletas!R248="Gun A",701,IF(Atletas!R248="Qiang A",702,IF(Atletas!R248="Pudao / Guandao A",703,IF(Atletas!R248="Outra Arma Longa A",704,IF(Atletas!R248="Gun B",705,IF(Atletas!R248="Qiang B",706,IF(Atletas!R248="Pudao / Guandao B",707,IF(Atletas!R248="Outra Arma Longa B",708,IF(Atletas!R248="Gun C",709,IF(Atletas!R248="Qiang C",710,IF(Atletas!R248="Pudao / Guandao C",711,IF(Atletas!R248="Outra Arma Longa C",712,IF(Atletas!R248="Gun D",713,IF(Atletas!R248="Qiang D",714,IF(Atletas!R248="Pudao / Guandao D",715,IF(Atletas!R248="Outra Arma Longa D",716,IF(Atletas!R248="Gun E",717,IF(Atletas!R248="Qiang E",718,IF(Atletas!R248="Pudao / Guandao E",719,IF(Atletas!R248="Outra Arma Longa E",720,IF(Atletas!R248="Gun F",721,IF(Atletas!R248="Qiang F",722,IF(Atletas!R248="Pudao / Guandao F",723,IF(Atletas!R248="Outra Arma Longa F",724,"")))))))))))))))))))))))))</f>
        <v/>
      </c>
      <c r="BU252" s="52" t="str">
        <f>IF(Atletas!S248="","",IF(Atletas!W248&lt;&gt;"",10000,0)+IF(Atletas!B248="Feminino",1000,IF(Atletas!B248="Masculino",2000,""))+IF(Atletas!S248="Arma Dupla A",801,IF(Atletas!S248="Arma Maleável A",802,IF(Atletas!S248="Arma Dupla B",803,IF(Atletas!S248="Arma Maleável B",804,IF(Atletas!S248="Arma Dupla C",805,IF(Atletas!S248="Arma Maleável C",806,IF(Atletas!S248="Arma Dupla D",807,IF(Atletas!S248="Arma Maleável D",808,IF(Atletas!S248="Arma Dupla E",809,IF(Atletas!S248="Arma Maleável E",810,IF(Atletas!S248="Arma Dupla F",811,IF(Atletas!S248="Arma Maleável F",812, "")))))))))))))</f>
        <v/>
      </c>
      <c r="BV252" s="52" t="str">
        <f>IF(Atletas!T248="","",IF(Atletas!W248&lt;&gt;"",10000,0)+IF(Atletas!B248="Feminino",1000,IF(Atletas!B248="Masculino",2000,""))+IF(Atletas!T248="Taijijian Yang A",901,IF(Atletas!T248="Taijijian Chen A",902,IF(Atletas!T248="Taijijian Sun A",903,IF(Atletas!T248="Taijijian Wu A",904,IF(Atletas!T248="Taijijian Wu-Hao A",905,IF(Atletas!T248="Taijijian 32 A",906,IF(Atletas!T248="Taijijian 42 A",907,IF(Atletas!T248="Taijijian Yang B",908,IF(Atletas!T248="Taijijian Chen B",909,IF(Atletas!T248="Taijijian Sun B",910,IF(Atletas!T248="Taijijian Wu B",911,IF(Atletas!T248="Taijijian Wu-Hao B",912,IF(Atletas!T248="Taijijian 32 B",913,IF(Atletas!T248="Taijijian 42 B",914,IF(Atletas!T248="Taijijian Yang C",915,IF(Atletas!T248="Taijijian Chen C",916,IF(Atletas!T248="Taijijian Sun C",917,IF(Atletas!T248="Taijijian Wu C",918,IF(Atletas!T248="Taijijian Wu-Hao C",919,IF(Atletas!T248="Taijijian 32 C",920,IF(Atletas!T248="Taijijian 42 C",921,IF(Atletas!T248="Taijijian Yang D",922,IF(Atletas!T248="Taijijian Chen D",923,IF(Atletas!T248="Taijijian Sun D",924,IF(Atletas!T248="Taijijian Wu D",925,IF(Atletas!T248="Taijijian Wu-Hao D",926,IF(Atletas!T248="Taijijian 32 D",927,IF(Atletas!T248="Taijijian 42 D",928,IF(Atletas!T248="Taijijian Yang E",929,IF(Atletas!T248="Taijijian Chen E",930,IF(Atletas!T248="Taijijian Sun E",931,IF(Atletas!T248="Taijijian Wu E",932,IF(Atletas!T248="Taijijian Wu-Hao E",933,IF(Atletas!T248="Taijijian 32 E",934,IF(Atletas!T248="Taijijian 42 E",935,IF(Atletas!T248="Taijijian Yang F",936,IF(Atletas!T248="Taijijian Chen F",937,IF(Atletas!T248="Taijijian Sun F",938,IF(Atletas!T248="Taijijian Wu F",939,IF(Atletas!T248="Taijijian Wu-Hao F",940,IF(Atletas!T248="Taijijian 32 F",941,IF(Atletas!T248="Taijijian 42 F",942,"")))))))))))))))))))))))))))))))))))))))))))</f>
        <v/>
      </c>
      <c r="BW252" s="52" t="str">
        <f>IF(Atletas!U248="","",IF(Atletas!W248&lt;&gt;"",10000,0)+IF(Atletas!B248="Feminino",1000,IF(Atletas!B248="Masculino",2000,""))+IF(Atletas!T248="Taijijian 42 F",942,IF(Atletas!U248="Taijidao A",943,IF(Atletas!U248="Taijishan A",944,IF(Atletas!U248="Taijiqiang A",945,IF(Atletas!U248="Taijidao B",946,IF(Atletas!U248="Taijishan B",947,IF(Atletas!U248="Taijiqiang B",948,IF(Atletas!U248="Taijidao C",949,IF(Atletas!U248="Taijishan C",950,IF(Atletas!U248="Taijiqiang C",951,IF(Atletas!U248="Taijidao D",952,IF(Atletas!U248="Taijishan D",953,IF(Atletas!U248="Taijiqiang D",954,IF(Atletas!U248="Taijidao E",955,IF(Atletas!U248="Taijishan E",956,IF(Atletas!U248="Taijiqiang E",957,IF(Atletas!U248="Taijidao F",958,IF(Atletas!U248="Taijishan F",959,IF(Atletas!U248="Taijiqiang F",960))))))))))))))))))))</f>
        <v/>
      </c>
      <c r="BX252" s="72" t="str">
        <f>IF(BY252&lt;&gt;"","Outra Arma Curta F","")</f>
        <v/>
      </c>
      <c r="BY252" s="72" t="str">
        <f>IF(COUNTIF(BK:BW,1630)&gt;0,COUNTIF(BK:BW,1630),"")</f>
        <v/>
      </c>
      <c r="BZ252" s="72" t="str">
        <f>IF(CA252&lt;&gt;"","Outra Arma Curta F","")</f>
        <v/>
      </c>
      <c r="CA252" s="72" t="str">
        <f>IF(COUNTIF(BK:BW,2630)&gt;0,COUNTIF(BK:BW,2630),"")</f>
        <v/>
      </c>
      <c r="CB252" s="72" t="str">
        <f>IF(CC252&lt;&gt;"","Outro Estilo Interno B","")</f>
        <v/>
      </c>
      <c r="CC252" s="64" t="str">
        <f>IF(COUNTIF(BK:BW,11506)&gt;0,COUNTIF(BK:BW,11506),"")</f>
        <v/>
      </c>
      <c r="CD252" s="64" t="str">
        <f>IF(CE252&lt;&gt;"","Outro Estilo Interno B","")</f>
        <v/>
      </c>
      <c r="CE252" s="64" t="str">
        <f>IF(COUNTIF(BK:BW,12506)&gt;0,COUNTIF(BK:BW,12506),"")</f>
        <v/>
      </c>
      <c r="CF252" s="52" t="str">
        <f xml:space="preserve"> IF(Atletas!V248="","",IF(Atletas!V248="Duilian de Mãos AB - Equipe 1",1,IF(Atletas!V248="Duilian de Mãos AB - Equipe 2",2,IF(Atletas!V248="Duilian de Armas AB - Equipe 1",3,IF(Atletas!V248="Duilian de Armas AB - Equipe 2",4,IF(Atletas!V248="Duilian de Tuishou - Equipe 1",5,IF(Atletas!V248="Duilian de Tuishou - Equipe 2",6,IF(Atletas!V248="Grupo Externo AB - Equipe 1",7,IF(Atletas!V248="Grupo Externo AB - Equipe 2",8,IF(Atletas!V248="Grupo Interno AB - Equipe 1",9,IF(Atletas!V248="Grupo Interno AB - Equipe 2",10,IF(Atletas!V248="Duilian de Mãos CD - Equipe 1",11,IF(Atletas!V248="Duilian de Mãos CD - Equipe 2",12,IF(Atletas!V248="Duilian de Armas CD - Equipe 1",13,IF(Atletas!V248="Duilian de Armas CD - Equipe 2",14,IF(Atletas!V248="Duilian de Tuishou - Equipe 1",15,IF(Atletas!V248="Duilian de Tuishou - Equipe 2",16,IF(Atletas!V248="Grupo Externo CDEF - Equipe 1",17,IF(Atletas!V248="Grupo Externo CDEF - Equipe 2",18,IF(Atletas!V248="Grupo Interno CDEF - Equipe 1",19,IF(Atletas!V248="Grupo Interno CDEF - Equipe 2",20,IF(Atletas!V248="Duilian de Mãos EF - Equipe 1",21,IF(Atletas!V248="Duilian de Mãos EF - Equipe 2",22,IF(Atletas!V248="Duilian de Armas EF - Equipe 1",23,IF(Atletas!V248="Duilian de Armas EF - Equipe 2",24,IF(Atletas!V248="Duilian de Tuishou - Equipe 1",25,IF(Atletas!V248="Duilian de Tuishou - Equipe 2",26,"")))))))))))))))))))))))))))</f>
        <v/>
      </c>
    </row>
    <row r="253" spans="2:84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 t="str">
        <f t="array" ref="V253">IFERROR(INDEX(BX$7:BX$336,SMALL(IF(BX$7:BX$336&lt;&gt;"",ROW(BX$7:BX$336)-ROW(BX$7)+1),ROWS(BX$7:BX210))),"")</f>
        <v/>
      </c>
      <c r="W253" s="4" t="str">
        <f t="array" ref="W253">IFERROR(INDEX(BY$7:BY$336,SMALL(IF(BY$7:BY$336&lt;&gt;"",ROW(BY$7:BY$336)-ROW(BY$7)+1),ROWS(BY$7:BY210))),"")</f>
        <v/>
      </c>
      <c r="X253" s="4" t="str">
        <f t="array" ref="X253">IFERROR(INDEX(BZ$7:BZ$336,SMALL(IF(BZ$7:BZ$336&lt;&gt;"",ROW(BZ$7:BZ$336)-ROW(BZ$7)+1),ROWS(BZ$7:BZ210))),"")</f>
        <v/>
      </c>
      <c r="Y253" s="4" t="str">
        <f t="array" ref="Y253">IFERROR(INDEX(CA$7:CA$336,SMALL(IF(CA$7:CA$336&lt;&gt;"",ROW(CA$7:CA$336)-ROW(CA$7)+1),ROWS(CA$7:CA210))),"")</f>
        <v/>
      </c>
      <c r="Z253" s="4" t="str">
        <f t="array" ref="Z253">IFERROR(INDEX(CB$7:CB$378,SMALL(IF(CB$7:CB$378&lt;&gt;"",ROW(CB$7:CB$378)-ROW(CB$7)+1),ROWS(CB$7:CB252))),"")</f>
        <v/>
      </c>
      <c r="AA253" s="4" t="str">
        <f t="array" ref="AA253">IFERROR(INDEX(CC$7:CC$378,SMALL(IF(CC$7:CC$378&lt;&gt;"",ROW(CC$7:CC$378)-ROW(CC$7)+1),ROWS(CC$7:CC252))),"")</f>
        <v/>
      </c>
      <c r="AB253" s="4" t="str">
        <f t="array" ref="AB253">IFERROR(INDEX(CD$7:CD$378,SMALL(IF(CD$7:CD$378&lt;&gt;"",ROW(CD$7:CD$378)-ROW(CD$7)+1),ROWS(CD$7:CD252))),"")</f>
        <v/>
      </c>
      <c r="AC253" s="4" t="str">
        <f t="array" ref="AC253">IFERROR(INDEX(CE$7:CE$378,SMALL(IF(CE$7:CE$378&lt;&gt;"",ROW(CE$7:CE$378)-ROW(CE$7)+1),ROWS(CE$7:CE252))),"")</f>
        <v/>
      </c>
      <c r="AD253" s="4"/>
      <c r="AE253" s="4"/>
      <c r="AF253" s="4"/>
      <c r="AG253" s="4"/>
      <c r="AH253" s="4"/>
      <c r="AI253" s="4"/>
      <c r="AJ253" s="46" t="str">
        <f>IF(Atletas!D249="","",IF(Atletas!B249="Feminino",100,IF(Atletas!B249="Masculino",200,""))+(IF(Atletas!D249="Infantil 39kg",1,IF(Atletas!D249="Infantil 42kg",2,IF(Atletas!D249="Infantil 45kg",3,IF(Atletas!D249="Infantil 48kg",4,IF(Atletas!D249="Infantil 52kg",5,IF(Atletas!D249="Infantil 56kg",6,IF(Atletas!D249="Infantil 60kg",7,IF(Atletas!D249="Juvenil 48kg",8,IF(Atletas!D249="Juvenil 52kg",9,IF(Atletas!D249="Juvenil 56kg",10,IF(Atletas!D249="Juvenil 60kg",11,IF(Atletas!D249="Juvenil 65kg",12,IF(Atletas!D249="Juvenil 70kg",13,IF(Atletas!D249="Juvenil 75kg",14,IF(Atletas!D249="Juvenil 80kg",15,IF(Atletas!D249="Adulto 48kg",16,IF(Atletas!D249="Adulto 52kg",17,IF(Atletas!D249="Adulto 56kg",18,IF(Atletas!D249="Adulto 60kg",19,IF(Atletas!D249="Adulto 65kg",20,IF(Atletas!D249="Adulto 70kg",21,IF(Atletas!D249="Adulto 75kg",22,IF(Atletas!D249="Adulto 80kg",23,IF(Atletas!D249="Adulto 85kg",24,IF(Atletas!D249="Adulto 90kg",25,IF(Atletas!D249="Adulto +90kg",26,""))))))))))))))))))))))))))))</f>
        <v/>
      </c>
      <c r="AO253" s="10" t="str">
        <f>IF(Atletas!E249="","",IF(Atletas!B249="Feminino",100,IF(Atletas!B249="Masculino",200,""))+(IF(Atletas!E249="Juvenil 44kg",1,IF(Atletas!E249="Juvenil 48kg",2,IF(Atletas!E249="Juvenil 52kg",3,IF(Atletas!E249="Juvenil 56kg",4,IF(Atletas!E249="Juvenil 60kg",5,IF(Atletas!E249="Juvenil 65kg",6,IF(Atletas!E249="Juvenil 70kg",7,IF(Atletas!E249="Juvenil 75kg",8,IF(Atletas!E249="Juvenil 82kg",9,IF(Atletas!E249="Juvenil 90kg",10,IF(Atletas!E249="Juvenil 100kg",11,IF(Atletas!E249="Adulto 48kg",12,IF(Atletas!E249="Adulto 52kg",13,IF(Atletas!E249="Adulto 56kg",14,IF(Atletas!E249="Adulto 60kg",15,IF(Atletas!E249="Adulto 65kg",16,IF(Atletas!E249="Adulto 70kg",17,IF(Atletas!E249="Adulto 75kg",18,IF(Atletas!E249="Adulto 82kg",19,IF(Atletas!E249="Adulto 90kg",20,IF(Atletas!E249="Adulto 100kg",21,IF(Atletas!E249="Adulto +100kg",22,""))))))))))))))))))))))))</f>
        <v/>
      </c>
      <c r="AT253" s="10" t="str">
        <f>IF(Atletas!F249="","",IF(Atletas!B249="Feminino",100,IF(Atletas!B249="Masculino",200,""))+(IF(Atletas!F249="Adulto 48kg",1,IF(Atletas!F249="Adulto 56kg",2,IF(Atletas!F249="Adulto 65kg",3,IF(Atletas!F249="Adulto 75kg",4,IF(Atletas!F249="Adulto +75kg",5,IF(Atletas!F249="Adulto 52kg",6,IF(Atletas!F249="Adulto 60kg",7,IF(Atletas!F249="Adulto 70kg",8,IF(Atletas!F249="Adulto 80kg",9,IF(Atletas!F249="Adulto 90kg",10,IF(Atletas!F249="Adulto +90kg",11,"")))))))))))))</f>
        <v/>
      </c>
      <c r="AY253" s="46" t="str">
        <f>IF(Atletas!G249="","",IF(Atletas!B249="Feminino",100,IF(Atletas!B249="Masculino",200,""))+(IF(Atletas!G249="Changquan Mirim",1,IF(Atletas!G249="Nanquan Mirim",2,IF(Atletas!G249="Taijiquan Mirim",3,IF(Atletas!G249="Changquan Grupo C",4,IF(Atletas!G249="Nanquan Grupo C",5,IF(Atletas!G249="Taijiquan Grupo C",6,IF(Atletas!G249="Changquan Grupo B",7,IF(Atletas!G249="Nanquan Grupo B",8,IF(Atletas!G249="Taijiquan Grupo B",9,IF(Atletas!G249="Changquan Grupo A",10,IF(Atletas!G249="Nanquan Grupo A",11,IF(Atletas!G249="Taijiquan Grupo A",12,IF(Atletas!G249="Changquan Opcional",13,IF(Atletas!G249="Nanquan Opcional",14,IF(Atletas!G249="Taijiquan Opcional",15,IF(Atletas!G249="Changquan Adulto",16,IF(Atletas!G249="Nanquan Adulto",17,IF(Atletas!G249="Taijiquan Adulto",18,""))))))))))))))))))))</f>
        <v/>
      </c>
      <c r="AZ253" s="46" t="str">
        <f>IF(Atletas!H249="","",IF(Atletas!B249="Feminino",100,IF(Atletas!B249="Masculino",200,""))+(IF(Atletas!H249="Daoshu Mirim",19,IF(Atletas!H249="Jianshu Mirim",20,IF(Atletas!H249="Nandao Mirim",21,IF(Atletas!H249="Taijijian Mirim",22,IF(Atletas!H249="Daoshu Grupo C",23,IF(Atletas!H249="Jianshu Grupo C",24,IF(Atletas!H249="Nandao Grupo C",25,IF(Atletas!H249="Taijijian Grupo C",26,IF(Atletas!H249="Daoshu Grupo B",27,IF(Atletas!H249="Jianshu Grupo B",28,IF(Atletas!H249="Nandao Grupo B",29,IF(Atletas!H249="Taijijian Grupo B",30,IF(Atletas!H249="Daoshu Grupo A",31,IF(Atletas!H249="Jianshu Grupo A",32,IF(Atletas!H249="Nandao Grupo A",33,IF(Atletas!H249="Taijijian Grupo A",34,IF(Atletas!H249="Daoshu Opcional",35,IF(Atletas!H249="Jianshu Opcional",36,IF(Atletas!H249="Nandao Opcional",37,IF(Atletas!H249="Taijijian Opcional",38,IF(Atletas!H249="Daoshu Adulto",39,IF(Atletas!H249="Jianshu Adulto",40,IF(Atletas!H249="Nandao Adulto",41,IF(Atletas!H249="Taijijian Adulto",42,""))))))))))))))))))))))))))</f>
        <v/>
      </c>
      <c r="BA253" s="46" t="str">
        <f>IF(Atletas!I249="","",IF(Atletas!B249="Feminino",100,IF(Atletas!B249="Masculino",200,""))+(IF(Atletas!I249="Gunshu Mirim",43,IF(Atletas!I249="Qiangshu Mirim",44,IF(Atletas!I249="Nangun Mirim",45,IF(Atletas!I249="Gunshu Grupo C",46,IF(Atletas!I249="Qiangshu Grupo C",47,IF(Atletas!I249="Nangun Grupo C",48,IF(Atletas!I249="Gunshu Grupo B",49,IF(Atletas!I249="Qiangshu Grupo B",50,IF(Atletas!I249="Nangun Grupo B",51,IF(Atletas!I249="Gunshu Grupo A",52,IF(Atletas!I249="Qiangshu Grupo A",53,IF(Atletas!I249="Nangun Grupo A",54,IF(Atletas!I249="Gunshu Opcional",55,IF(Atletas!I249="Qiangshu Opcional",56,IF(Atletas!I249="Nangun Opcional",57,IF(Atletas!I249="Gunshu Adulto",58,IF(Atletas!I249="Qiangshu Adulto",59,IF(Atletas!I249="Nangun Adulto",60,""))))))))))))))))))))</f>
        <v/>
      </c>
      <c r="BF253" s="52" t="str">
        <f>IF(Atletas!J249="","",IF(Atletas!B249="Feminino",100,IF(Atletas!B249="Masculino",200,""))+(IF(Atletas!J249="Equipe 1 Grupo B",1,IF(Atletas!J249="Equipe 2 Grupo B",2,IF(Atletas!J249="Equipe 1 Grupo A",3,IF(Atletas!J249="Equipe 2 Grupo A",4,IF(Atletas!J249="Equipe 1 Adulto",5,IF(Atletas!J249="Equipe 2 Adulto",6,""))))))))</f>
        <v/>
      </c>
      <c r="BK253" s="52" t="str">
        <f>IF(Atletas!K249="","",IF(Atletas!W249&lt;&gt;"",10000,0)+(IF(Atletas!B249="Feminino",1000,IF(Atletas!B249="Masculino",2000,""))+IF(Atletas!K249="Choylayfut A",1,IF(Atletas!K249="Hunggar A",2,IF(Atletas!K249="Wuzuquan A",3,IF(Atletas!K249="Wingchun A",4,IF(Atletas!K249="Outra Mão de Sul A",5,IF(Atletas!K249="Choylayfut B",6,IF(Atletas!K249="Hunggar B",7,IF(Atletas!K249="Wuzuquan B",8,IF(Atletas!K249="Wingchun B",9,IF(Atletas!K249="Outra Mão de Sul B",10,IF(Atletas!K249="Choylayfut C",11,IF(Atletas!K249="Hunggar C",12,IF(Atletas!K249="Wuzuquan C",13,IF(Atletas!K249="Wingchun C",14,IF(Atletas!K249="Outra Mão de Sul C",15,IF(Atletas!K249="Choylayfut D",16,IF(Atletas!K249="Hunggar D",17,IF(Atletas!K249="Wuzuquan D",18,IF(Atletas!K249="Wingchun D",19,IF(Atletas!K249="Outra Mão de Sul D",20,IF(Atletas!K249="Choylayfut E",21,IF(Atletas!K249="Hunggar E",22,IF(Atletas!K249="Wuzuquan E",23,IF(Atletas!K249="Wingchun E",24,IF(Atletas!K249="Outra Mão de Sul E",25,IF(Atletas!K249="Choylayfut F",26,IF(Atletas!K249="Hunggar F",27,IF(Atletas!K249="Wuzuquan F",28,IF(Atletas!K249="Wingchun F",29,IF(Atletas!K249="Outra Mão de Sul F",30,""))))))))))))))))))))))))))))))))</f>
        <v/>
      </c>
      <c r="BL253" s="52" t="str">
        <f>IF(Atletas!L249="","",IF(Atletas!W249&lt;&gt;"",10000,0)+(IF(Atletas!B249="Feminino",1000,IF(Atletas!B249="Masculino",2000,""))+(IF(Atletas!L249="Chaquan A",101,IF(Atletas!L249="Emeiquan A",102,IF(Atletas!L249="Fanziquan A",103,IF(Atletas!L249="Huaquan A",104,IF(Atletas!L249="Hongquan A",105,IF(Atletas!L249="Paochui A",106,IF(Atletas!L249="Piguaquan A",107,IF(Atletas!L249="Shaolinquan A",108,IF(Atletas!L249="Tanglangquan A",109,IF(Atletas!L249="Yinzhaophai A",110,IF(Atletas!L249="Tongbeiquan A",111,IF(Atletas!L249="Wudangquan A",112,IF(Atletas!L249="Outros Estilos A",113,IF(Atletas!L249="Chaquan B",114,IF(Atletas!L249="Emeiquan B",115,IF(Atletas!L249="Fanziquan B",116,IF(Atletas!L249="Huaquan B",117,IF(Atletas!L249="Hongquan B",118,IF(Atletas!L249="Paochui B",119,IF(Atletas!L249="Piguaquan B",120,IF(Atletas!L249="Shaolinquan B",121,IF(Atletas!L249="Tanglangquan B",122,IF(Atletas!L249="Yinzhaophai B",123,IF(Atletas!L249="Tongbeiquan B",124,IF(Atletas!L249="Wudangquan B",125,IF(Atletas!L249="Outros Estilos B",126,IF(Atletas!L249="Chaquan C",127,IF(Atletas!L249="Emeiquan C",128,IF(Atletas!L249="Fanziquan C",129,IF(Atletas!L249="Huaquan C",130,IF(Atletas!L249="Hongquan C",131,IF(Atletas!L249="Paochui C",132,IF(Atletas!L249="Piguaquan C",133,IF(Atletas!L249="Shaolinquan C",134,IF(Atletas!L249="Tanglangquan C",135,IF(Atletas!L249="Yinzhaophai C",136,IF(Atletas!L249="Tongbeiquan C",137,IF(Atletas!L249="Wudangquan C",138,IF(Atletas!L249="Outros Estilos C",139,0))))))))))))))))))))))))))))))))))))))))))</f>
        <v/>
      </c>
      <c r="BM253" s="52" t="str">
        <f>IF(Atletas!L249="","",IF(Atletas!W249&lt;&gt;"",10000,0)+(IF(Atletas!B249="Feminino",1000,IF(Atletas!B249="Masculino",2000,""))+(IF(Atletas!L249="Chaquan D",140,IF(Atletas!L249="Emeiquan D",141,IF(Atletas!L249="Fanziquan D",142,IF(Atletas!L249="Huaquan D",143,IF(Atletas!L249="Hongquan D",144,IF(Atletas!L249="Paochui D",145,IF(Atletas!L249="Piguaquan D",146,IF(Atletas!L249="Shaolinquan D",147,IF(Atletas!L249="Tanglangquan D",148,IF(Atletas!L249="Yinzhaophai D",149,IF(Atletas!L249="Tongbeiquan D",150,IF(Atletas!L249="Wudangquan D",151,IF(Atletas!L249="Outros Estilos D",152,IF(Atletas!L249="Chaquan E",153,IF(Atletas!L249="Emeiquan E",154,IF(Atletas!L249="Fanziquan E",155,IF(Atletas!L249="Huaquan E",156,IF(Atletas!L249="Hongquan E",157,IF(Atletas!L249="Paochui E",158,IF(Atletas!L249="Piguaquan E",159,IF(Atletas!L249="Shaolinquan E",160,IF(Atletas!L249="Tanglangquan E",161,IF(Atletas!L249="Yinzhaophai E",162,IF(Atletas!L249="Tongbeiquan E",163,IF(Atletas!L249="Wudangquan E",164,IF(Atletas!L249="Outros Estilos E",165,IF(Atletas!L249="Chaquan F",166,IF(Atletas!L249="Emeiquan F",167,IF(Atletas!L249="Fanziquan F",168,IF(Atletas!L249="Huaquan F",169,IF(Atletas!L249="Hongquan F",170,IF(Atletas!L249="Paochui F",171,IF(Atletas!L249="Piguaquan F",172,IF(Atletas!L249="Shaolinquan F",173,IF(Atletas!L249="Tanglangquan F",174,IF(Atletas!L249="Yinzhaophai F",175,IF(Atletas!L249="Tongbeiquan F",176,IF(Atletas!L249="Wudangquan F",177,IF(Atletas!L249="Outros Estilos F",178,0))))))))))))))))))))))))))))))))))))))))))</f>
        <v/>
      </c>
      <c r="BN253" s="52" t="str">
        <f>IF(Atletas!M249="","",IF(Atletas!W249&lt;&gt;"",10000,0)+(IF(Atletas!B249="Feminino",1000,IF(Atletas!B249="Masculino",2000,""))+(IF(Atletas!M249="Ditangquan A",201,IF(Atletas!M249="Houquan A",202,IF(Atletas!M249="Zuiquan A",203,IF(Atletas!M249="Ditangquan B",204,IF(Atletas!M249="Houquan B",205,IF(Atletas!M249="Zuiquan B",206,IF(Atletas!M249="Ditangquan C",207,IF(Atletas!M249="Houquan C",208,IF(Atletas!M249="Zuiquan C",209,IF(Atletas!M249="Ditangquan D",210,IF(Atletas!M249="Houquan D",211,IF(Atletas!M249="Zuiquan D",212,IF(Atletas!M249="Ditangquan E",213,IF(Atletas!M249="Houquan E",214,IF(Atletas!M249="Zuiquan E",215,IF(Atletas!M249="Ditangquan F",216,IF(Atletas!M249="Houquan F",217,IF(Atletas!M249="Zuiquan F",218,"")))))))))))))))))))))</f>
        <v/>
      </c>
      <c r="BO253" s="52" t="str">
        <f>IF(Atletas!N249="","",IF(Atletas!W249&lt;&gt;"",10000,0)+IF(Atletas!B249="Feminino",1000,IF(Atletas!B249="Masculino",2000,""))+IF(Atletas!N249="Yang A",301,IF(Atletas!N249="Chen A",30,IF(Atletas!N249="Sun A",303,IF(Atletas!N249="Wu A",304,IF(Atletas!N249="Wu-Hao A",305,IF(Atletas!N249="Outro Taijiquan A",306,IF(Atletas!N249="Yang B",307,IF(Atletas!N249="Chen B",308,IF(Atletas!N249="Sun B",309,IF(Atletas!N249="Wu B",310,IF(Atletas!N249="Wu-Hao B",311,IF(Atletas!N249="Outro Taijiquan B",312,IF(Atletas!N249="Yang C",313,IF(Atletas!N249="Chen C",314,IF(Atletas!N249="Sun C",315,IF(Atletas!N249="Wu C",316,IF(Atletas!N249="Wu-Hao C",317,IF(Atletas!N249="Outro Taijiquan C",318,IF(Atletas!N249="Yang D",319,IF(Atletas!N249="Chen D",320,IF(Atletas!N249="Sun D",321,IF(Atletas!N249="Wu D",322,IF(Atletas!N249="Wu-Hao D",323,IF(Atletas!N249="Outro Taijiquan D",324,IF(Atletas!N249="Yang E",325,IF(Atletas!N249="Chen E",326,IF(Atletas!N249="Sun E",327,IF(Atletas!N249="Wu E",328,IF(Atletas!N249="Wu-Hao E",329,IF(Atletas!N249="Outro Taijiquan E",330,IF(Atletas!N249="Yang F",331,IF(Atletas!N249="Chen F",332,IF(Atletas!N249="Sun F",333,IF(Atletas!N249="Wu F",334,IF(Atletas!N249="Wu-Hao F",335,IF(Atletas!N249="Outro Taijiquan F",336,"")))))))))))))))))))))))))))))))))))))</f>
        <v/>
      </c>
      <c r="BP253" s="52" t="str">
        <f>IF(Atletas!O249="","",IF(Atletas!W249&lt;&gt;"",10000,0)+IF(Atletas!B249="Feminino",1000,IF(Atletas!B249="Masculino",2000,""))+IF(OR(Atletas!O249="Yang 26 A",Atletas!O249="Yang 40 A"),401,IF(OR(Atletas!O249="Chen 25 A",Atletas!O249="Chen 36 A",Atletas!O249="Chen 56 A"),402,IF(Atletas!O249="Sun 73 A",403,IF(Atletas!O249="Wu 45 A",404,IF(Atletas!O249="Wu-Hao 46 A",405,IF(OR(Atletas!O249="Taijiquan 16 A",Atletas!O249="Taijiquan 24 A",Atletas!O249="Taijiquan 32 A",Atletas!O249="Taijiquan 42 A"),406,IF(OR(Atletas!O249="Yang 26 B",Atletas!O249="Yang 40 B"),407,IF(OR(Atletas!O249="Chen 25 B",Atletas!O249="Chen 36 B",Atletas!O249="Chen 56 B"),408,IF(Atletas!O249="Sun 73 B",409,IF(Atletas!O249="Wu 45 B",410,IF(Atletas!O249="Wu-Hao 46 B",411,IF(OR(Atletas!O249="Taijiquan 16 B",Atletas!O249="Taijiquan 24 B",Atletas!O249="Taijiquan 32 B",Atletas!O249="Taijiquan 42 B"),412,IF(OR(Atletas!O249="Yang 26 C",Atletas!O249="Yang 40 C"),413,IF(OR(Atletas!O249="Chen 25 C",Atletas!O249="Chen 36 C",Atletas!O249="Chen 56 C"),414,IF(Atletas!O249="Sun 73 C",415,IF(Atletas!O249="Wu 45 C",416,IF(Atletas!O249="Wu-Hao 46 C",417,IF(OR(Atletas!O249="Taijiquan 16 C",Atletas!O249="Taijiquan 24 C",Atletas!O249="Taijiquan 32 C",Atletas!O249="Taijiquan 42 C"),418,0)))))))))))))))))))</f>
        <v/>
      </c>
      <c r="BQ253" s="52" t="str">
        <f>IF(Atletas!O249="","",IF(Atletas!W249&lt;&gt;"",10000,0)+IF(Atletas!B249="Feminino",1000,IF(Atletas!B249="Masculino",2000,""))+IF(OR(Atletas!O249="Yang 26 D",Atletas!O249="Yang 40 D"),419,IF(OR(Atletas!O249="Chen 25 D",Atletas!O249="Chen 36 D",Atletas!O249="Chen 56 D"),420,IF(Atletas!O249="Sun 73 D",421,IF(Atletas!O249="Wu 45 D",422,IF(Atletas!O249="Wu-Hao 46 D",423,IF(OR(Atletas!O249="Taijiquan 16 D",Atletas!O249="Taijiquan 24 D",Atletas!O249="Taijiquan 32 D",Atletas!O249="Taijiquan 42 D"),424,IF(OR(Atletas!O249="Yang 26 E",Atletas!O249="Yang 40 E"),425,IF(OR(Atletas!O249="Chen 25 E",Atletas!O249="Chen 36 E",Atletas!O249="Chen 56 E"),426,IF(Atletas!O249="Sun 73 E",427,IF(Atletas!O249="Wu 45 E",428,IF(Atletas!O249="Wu-Hao 46 E",429,IF(OR(Atletas!O249="Taijiquan 16 E",Atletas!O249="Taijiquan 24 E",Atletas!O249="Taijiquan 32 E",Atletas!O249="Taijiquan 42 E"),430,IF(OR(Atletas!O249="Yang 26 F",Atletas!O249="Yang 40 F"),431,IF(OR(Atletas!O249="Chen 25 F",Atletas!O249="Chen 36 F",Atletas!O249="Chen 56 F"),432,IF(Atletas!O249="Sun 73 F",433,IF(Atletas!O249="Wu 45 F",434,IF(Atletas!O249="Wu-Hao 46 F",435,IF(OR(Atletas!O249="Taijiquan 16 F",Atletas!O249="Taijiquan 24 F",Atletas!O249="Taijiquan 32 F",Atletas!O249="Taijiquan 42 F"),436,0)))))))))))))))))))</f>
        <v/>
      </c>
      <c r="BR253" s="52" t="str">
        <f>IF(Atletas!P249="","",IF(Atletas!W249&lt;&gt;"",10000,0)+IF(Atletas!B249="Feminino",1000,IF(Atletas!B249="Masculino",2000,""))+IF(Atletas!P249="Xingyiquan A",501,IF(Atletas!P249="Baguazhang A",502,IF(Atletas!P249="Outro Estilo Interno A",503,IF(Atletas!P249="Xingyiquan B",504,IF(Atletas!P249="Baguazhang B",505,IF(Atletas!P249="Outro Estilo Interno B",506,IF(Atletas!P249="Xingyiquan C",507,IF(Atletas!P249="Baguazhang C",508,IF(Atletas!P249="Outro Estilo Interno C",509,IF(Atletas!P249="Xingyiquan D",510,IF(Atletas!P249="Baguazhang D",511,IF(Atletas!P249="Outro Estilo Interno D",512,IF(Atletas!P249="Xingyiquan E",513,IF(Atletas!P249="Baguazhang E",514,IF(Atletas!P249="Outro Estilo Interno E",515,IF(Atletas!P249="Xingyiquan F",516,IF(Atletas!P249="Baguazhang F",517,IF(Atletas!P249="Outro Estilo Interno F",518, "")))))))))))))))))))</f>
        <v/>
      </c>
      <c r="BS253" s="52" t="str">
        <f>IF(Atletas!Q249="","",IF(Atletas!W249&lt;&gt;"",10000,0)+IF(Atletas!B249="Feminino",1000,IF(Atletas!B249="Masculino",2000,""))+IF(Atletas!Q249="Dao A",601,IF(Atletas!Q249="Jian A",602,IF(Atletas!Q249="Bishou A",603,IF(Atletas!Q249="Shan A",604,IF(Atletas!Q249="Outra Arma Curta A",605,IF(Atletas!Q249="Dao B",606,IF(Atletas!Q249="Jian B",607,IF(Atletas!Q249="Bishou B",608,IF(Atletas!Q249="Shan B",609,IF(Atletas!Q249="Outra Arma Curta B",610,IF(Atletas!Q249="Dao C",611,IF(Atletas!Q249="Jian C",612,IF(Atletas!Q249="Bishou C",613,IF(Atletas!Q249="Shan C",614,IF(Atletas!Q249="Outra Arma Curta C",615,IF(Atletas!Q249="Dao D",616,IF(Atletas!Q249="Jian D",617,IF(Atletas!Q249="Bishou D",618,IF(Atletas!Q249="Shan D",619,IF(Atletas!Q249="Outra Arma Curta D",620,IF(Atletas!Q249="Dao E",621,IF(Atletas!Q249="Jian E",622,IF(Atletas!Q249="Bishou E",623,IF(Atletas!Q249="Shan E",624,IF(Atletas!Q249="Outra Arma Curta E",625,IF(Atletas!Q249="Dao F",626,IF(Atletas!Q249="Jian F",627,IF(Atletas!Q249="Bishou F",628,IF(Atletas!Q249="Shan F",629,IF(Atletas!Q249="Outra Arma Curta F",630, "")))))))))))))))))))))))))))))))</f>
        <v/>
      </c>
      <c r="BT253" s="52" t="str">
        <f>IF(Atletas!R249="","",IF(Atletas!W249&lt;&gt;"",10000,0)+IF(Atletas!B249="Feminino",1000,IF(Atletas!B249="Masculino",2000,""))+IF(Atletas!R249="Gun A",701,IF(Atletas!R249="Qiang A",702,IF(Atletas!R249="Pudao / Guandao A",703,IF(Atletas!R249="Outra Arma Longa A",704,IF(Atletas!R249="Gun B",705,IF(Atletas!R249="Qiang B",706,IF(Atletas!R249="Pudao / Guandao B",707,IF(Atletas!R249="Outra Arma Longa B",708,IF(Atletas!R249="Gun C",709,IF(Atletas!R249="Qiang C",710,IF(Atletas!R249="Pudao / Guandao C",711,IF(Atletas!R249="Outra Arma Longa C",712,IF(Atletas!R249="Gun D",713,IF(Atletas!R249="Qiang D",714,IF(Atletas!R249="Pudao / Guandao D",715,IF(Atletas!R249="Outra Arma Longa D",716,IF(Atletas!R249="Gun E",717,IF(Atletas!R249="Qiang E",718,IF(Atletas!R249="Pudao / Guandao E",719,IF(Atletas!R249="Outra Arma Longa E",720,IF(Atletas!R249="Gun F",721,IF(Atletas!R249="Qiang F",722,IF(Atletas!R249="Pudao / Guandao F",723,IF(Atletas!R249="Outra Arma Longa F",724,"")))))))))))))))))))))))))</f>
        <v/>
      </c>
      <c r="BU253" s="52" t="str">
        <f>IF(Atletas!S249="","",IF(Atletas!W249&lt;&gt;"",10000,0)+IF(Atletas!B249="Feminino",1000,IF(Atletas!B249="Masculino",2000,""))+IF(Atletas!S249="Arma Dupla A",801,IF(Atletas!S249="Arma Maleável A",802,IF(Atletas!S249="Arma Dupla B",803,IF(Atletas!S249="Arma Maleável B",804,IF(Atletas!S249="Arma Dupla C",805,IF(Atletas!S249="Arma Maleável C",806,IF(Atletas!S249="Arma Dupla D",807,IF(Atletas!S249="Arma Maleável D",808,IF(Atletas!S249="Arma Dupla E",809,IF(Atletas!S249="Arma Maleável E",810,IF(Atletas!S249="Arma Dupla F",811,IF(Atletas!S249="Arma Maleável F",812, "")))))))))))))</f>
        <v/>
      </c>
      <c r="BV253" s="52" t="str">
        <f>IF(Atletas!T249="","",IF(Atletas!W249&lt;&gt;"",10000,0)+IF(Atletas!B249="Feminino",1000,IF(Atletas!B249="Masculino",2000,""))+IF(Atletas!T249="Taijijian Yang A",901,IF(Atletas!T249="Taijijian Chen A",902,IF(Atletas!T249="Taijijian Sun A",903,IF(Atletas!T249="Taijijian Wu A",904,IF(Atletas!T249="Taijijian Wu-Hao A",905,IF(Atletas!T249="Taijijian 32 A",906,IF(Atletas!T249="Taijijian 42 A",907,IF(Atletas!T249="Taijijian Yang B",908,IF(Atletas!T249="Taijijian Chen B",909,IF(Atletas!T249="Taijijian Sun B",910,IF(Atletas!T249="Taijijian Wu B",911,IF(Atletas!T249="Taijijian Wu-Hao B",912,IF(Atletas!T249="Taijijian 32 B",913,IF(Atletas!T249="Taijijian 42 B",914,IF(Atletas!T249="Taijijian Yang C",915,IF(Atletas!T249="Taijijian Chen C",916,IF(Atletas!T249="Taijijian Sun C",917,IF(Atletas!T249="Taijijian Wu C",918,IF(Atletas!T249="Taijijian Wu-Hao C",919,IF(Atletas!T249="Taijijian 32 C",920,IF(Atletas!T249="Taijijian 42 C",921,IF(Atletas!T249="Taijijian Yang D",922,IF(Atletas!T249="Taijijian Chen D",923,IF(Atletas!T249="Taijijian Sun D",924,IF(Atletas!T249="Taijijian Wu D",925,IF(Atletas!T249="Taijijian Wu-Hao D",926,IF(Atletas!T249="Taijijian 32 D",927,IF(Atletas!T249="Taijijian 42 D",928,IF(Atletas!T249="Taijijian Yang E",929,IF(Atletas!T249="Taijijian Chen E",930,IF(Atletas!T249="Taijijian Sun E",931,IF(Atletas!T249="Taijijian Wu E",932,IF(Atletas!T249="Taijijian Wu-Hao E",933,IF(Atletas!T249="Taijijian 32 E",934,IF(Atletas!T249="Taijijian 42 E",935,IF(Atletas!T249="Taijijian Yang F",936,IF(Atletas!T249="Taijijian Chen F",937,IF(Atletas!T249="Taijijian Sun F",938,IF(Atletas!T249="Taijijian Wu F",939,IF(Atletas!T249="Taijijian Wu-Hao F",940,IF(Atletas!T249="Taijijian 32 F",941,IF(Atletas!T249="Taijijian 42 F",942,"")))))))))))))))))))))))))))))))))))))))))))</f>
        <v/>
      </c>
      <c r="BW253" s="52" t="str">
        <f>IF(Atletas!U249="","",IF(Atletas!W249&lt;&gt;"",10000,0)+IF(Atletas!B249="Feminino",1000,IF(Atletas!B249="Masculino",2000,""))+IF(Atletas!T249="Taijijian 42 F",942,IF(Atletas!U249="Taijidao A",943,IF(Atletas!U249="Taijishan A",944,IF(Atletas!U249="Taijiqiang A",945,IF(Atletas!U249="Taijidao B",946,IF(Atletas!U249="Taijishan B",947,IF(Atletas!U249="Taijiqiang B",948,IF(Atletas!U249="Taijidao C",949,IF(Atletas!U249="Taijishan C",950,IF(Atletas!U249="Taijiqiang C",951,IF(Atletas!U249="Taijidao D",952,IF(Atletas!U249="Taijishan D",953,IF(Atletas!U249="Taijiqiang D",954,IF(Atletas!U249="Taijidao E",955,IF(Atletas!U249="Taijishan E",956,IF(Atletas!U249="Taijiqiang E",957,IF(Atletas!U249="Taijidao F",958,IF(Atletas!U249="Taijishan F",959,IF(Atletas!U249="Taijiqiang F",960))))))))))))))))))))</f>
        <v/>
      </c>
      <c r="BX253" s="72" t="str">
        <f>IF(BY253&lt;&gt;"","Gun A","")</f>
        <v/>
      </c>
      <c r="BY253" s="72" t="str">
        <f>IF(COUNTIF(BK:BW,1701)&gt;0,COUNTIF(BK:BW,1701),"")</f>
        <v/>
      </c>
      <c r="BZ253" s="72" t="str">
        <f>IF(CA253&lt;&gt;"","Gun A","")</f>
        <v/>
      </c>
      <c r="CA253" s="72" t="str">
        <f>IF(COUNTIF(BK:BW,2701)&gt;0,COUNTIF(BK:BW,2701),"")</f>
        <v/>
      </c>
      <c r="CB253" s="72" t="str">
        <f>IF(CC253&lt;&gt;"","Xingyiquan C","")</f>
        <v/>
      </c>
      <c r="CC253" s="64" t="str">
        <f>IF(COUNTIF(BK:BW,11507)&gt;0,COUNTIF(BK:BW,11507),"")</f>
        <v/>
      </c>
      <c r="CD253" s="64" t="str">
        <f>IF(CE253&lt;&gt;"","Xingyiquan C","")</f>
        <v/>
      </c>
      <c r="CE253" s="64" t="str">
        <f>IF(COUNTIF(BK:BW,12507)&gt;0,COUNTIF(BK:BW,12507),"")</f>
        <v/>
      </c>
      <c r="CF253" s="52" t="str">
        <f xml:space="preserve"> IF(Atletas!V249="","",IF(Atletas!V249="Duilian de Mãos AB - Equipe 1",1,IF(Atletas!V249="Duilian de Mãos AB - Equipe 2",2,IF(Atletas!V249="Duilian de Armas AB - Equipe 1",3,IF(Atletas!V249="Duilian de Armas AB - Equipe 2",4,IF(Atletas!V249="Duilian de Tuishou - Equipe 1",5,IF(Atletas!V249="Duilian de Tuishou - Equipe 2",6,IF(Atletas!V249="Grupo Externo AB - Equipe 1",7,IF(Atletas!V249="Grupo Externo AB - Equipe 2",8,IF(Atletas!V249="Grupo Interno AB - Equipe 1",9,IF(Atletas!V249="Grupo Interno AB - Equipe 2",10,IF(Atletas!V249="Duilian de Mãos CD - Equipe 1",11,IF(Atletas!V249="Duilian de Mãos CD - Equipe 2",12,IF(Atletas!V249="Duilian de Armas CD - Equipe 1",13,IF(Atletas!V249="Duilian de Armas CD - Equipe 2",14,IF(Atletas!V249="Duilian de Tuishou - Equipe 1",15,IF(Atletas!V249="Duilian de Tuishou - Equipe 2",16,IF(Atletas!V249="Grupo Externo CDEF - Equipe 1",17,IF(Atletas!V249="Grupo Externo CDEF - Equipe 2",18,IF(Atletas!V249="Grupo Interno CDEF - Equipe 1",19,IF(Atletas!V249="Grupo Interno CDEF - Equipe 2",20,IF(Atletas!V249="Duilian de Mãos EF - Equipe 1",21,IF(Atletas!V249="Duilian de Mãos EF - Equipe 2",22,IF(Atletas!V249="Duilian de Armas EF - Equipe 1",23,IF(Atletas!V249="Duilian de Armas EF - Equipe 2",24,IF(Atletas!V249="Duilian de Tuishou - Equipe 1",25,IF(Atletas!V249="Duilian de Tuishou - Equipe 2",26,"")))))))))))))))))))))))))))</f>
        <v/>
      </c>
    </row>
    <row r="254" spans="2:84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 t="str">
        <f t="array" ref="V254">IFERROR(INDEX(BX$7:BX$336,SMALL(IF(BX$7:BX$336&lt;&gt;"",ROW(BX$7:BX$336)-ROW(BX$7)+1),ROWS(BX$7:BX211))),"")</f>
        <v/>
      </c>
      <c r="W254" s="4" t="str">
        <f t="array" ref="W254">IFERROR(INDEX(BY$7:BY$336,SMALL(IF(BY$7:BY$336&lt;&gt;"",ROW(BY$7:BY$336)-ROW(BY$7)+1),ROWS(BY$7:BY211))),"")</f>
        <v/>
      </c>
      <c r="X254" s="4" t="str">
        <f t="array" ref="X254">IFERROR(INDEX(BZ$7:BZ$336,SMALL(IF(BZ$7:BZ$336&lt;&gt;"",ROW(BZ$7:BZ$336)-ROW(BZ$7)+1),ROWS(BZ$7:BZ211))),"")</f>
        <v/>
      </c>
      <c r="Y254" s="4" t="str">
        <f t="array" ref="Y254">IFERROR(INDEX(CA$7:CA$336,SMALL(IF(CA$7:CA$336&lt;&gt;"",ROW(CA$7:CA$336)-ROW(CA$7)+1),ROWS(CA$7:CA211))),"")</f>
        <v/>
      </c>
      <c r="Z254" s="4" t="str">
        <f t="array" ref="Z254">IFERROR(INDEX(CB$7:CB$378,SMALL(IF(CB$7:CB$378&lt;&gt;"",ROW(CB$7:CB$378)-ROW(CB$7)+1),ROWS(CB$7:CB253))),"")</f>
        <v/>
      </c>
      <c r="AA254" s="4" t="str">
        <f t="array" ref="AA254">IFERROR(INDEX(CC$7:CC$378,SMALL(IF(CC$7:CC$378&lt;&gt;"",ROW(CC$7:CC$378)-ROW(CC$7)+1),ROWS(CC$7:CC253))),"")</f>
        <v/>
      </c>
      <c r="AB254" s="4" t="str">
        <f t="array" ref="AB254">IFERROR(INDEX(CD$7:CD$378,SMALL(IF(CD$7:CD$378&lt;&gt;"",ROW(CD$7:CD$378)-ROW(CD$7)+1),ROWS(CD$7:CD253))),"")</f>
        <v/>
      </c>
      <c r="AC254" s="4" t="str">
        <f t="array" ref="AC254">IFERROR(INDEX(CE$7:CE$378,SMALL(IF(CE$7:CE$378&lt;&gt;"",ROW(CE$7:CE$378)-ROW(CE$7)+1),ROWS(CE$7:CE253))),"")</f>
        <v/>
      </c>
      <c r="AD254" s="4"/>
      <c r="AE254" s="4"/>
      <c r="AF254" s="4"/>
      <c r="AG254" s="4"/>
      <c r="AH254" s="4"/>
      <c r="AI254" s="4"/>
      <c r="AJ254" s="46" t="str">
        <f>IF(Atletas!D250="","",IF(Atletas!B250="Feminino",100,IF(Atletas!B250="Masculino",200,""))+(IF(Atletas!D250="Infantil 39kg",1,IF(Atletas!D250="Infantil 42kg",2,IF(Atletas!D250="Infantil 45kg",3,IF(Atletas!D250="Infantil 48kg",4,IF(Atletas!D250="Infantil 52kg",5,IF(Atletas!D250="Infantil 56kg",6,IF(Atletas!D250="Infantil 60kg",7,IF(Atletas!D250="Juvenil 48kg",8,IF(Atletas!D250="Juvenil 52kg",9,IF(Atletas!D250="Juvenil 56kg",10,IF(Atletas!D250="Juvenil 60kg",11,IF(Atletas!D250="Juvenil 65kg",12,IF(Atletas!D250="Juvenil 70kg",13,IF(Atletas!D250="Juvenil 75kg",14,IF(Atletas!D250="Juvenil 80kg",15,IF(Atletas!D250="Adulto 48kg",16,IF(Atletas!D250="Adulto 52kg",17,IF(Atletas!D250="Adulto 56kg",18,IF(Atletas!D250="Adulto 60kg",19,IF(Atletas!D250="Adulto 65kg",20,IF(Atletas!D250="Adulto 70kg",21,IF(Atletas!D250="Adulto 75kg",22,IF(Atletas!D250="Adulto 80kg",23,IF(Atletas!D250="Adulto 85kg",24,IF(Atletas!D250="Adulto 90kg",25,IF(Atletas!D250="Adulto +90kg",26,""))))))))))))))))))))))))))))</f>
        <v/>
      </c>
      <c r="AO254" s="10" t="str">
        <f>IF(Atletas!E250="","",IF(Atletas!B250="Feminino",100,IF(Atletas!B250="Masculino",200,""))+(IF(Atletas!E250="Juvenil 44kg",1,IF(Atletas!E250="Juvenil 48kg",2,IF(Atletas!E250="Juvenil 52kg",3,IF(Atletas!E250="Juvenil 56kg",4,IF(Atletas!E250="Juvenil 60kg",5,IF(Atletas!E250="Juvenil 65kg",6,IF(Atletas!E250="Juvenil 70kg",7,IF(Atletas!E250="Juvenil 75kg",8,IF(Atletas!E250="Juvenil 82kg",9,IF(Atletas!E250="Juvenil 90kg",10,IF(Atletas!E250="Juvenil 100kg",11,IF(Atletas!E250="Adulto 48kg",12,IF(Atletas!E250="Adulto 52kg",13,IF(Atletas!E250="Adulto 56kg",14,IF(Atletas!E250="Adulto 60kg",15,IF(Atletas!E250="Adulto 65kg",16,IF(Atletas!E250="Adulto 70kg",17,IF(Atletas!E250="Adulto 75kg",18,IF(Atletas!E250="Adulto 82kg",19,IF(Atletas!E250="Adulto 90kg",20,IF(Atletas!E250="Adulto 100kg",21,IF(Atletas!E250="Adulto +100kg",22,""))))))))))))))))))))))))</f>
        <v/>
      </c>
      <c r="AT254" s="10" t="str">
        <f>IF(Atletas!F250="","",IF(Atletas!B250="Feminino",100,IF(Atletas!B250="Masculino",200,""))+(IF(Atletas!F250="Adulto 48kg",1,IF(Atletas!F250="Adulto 56kg",2,IF(Atletas!F250="Adulto 65kg",3,IF(Atletas!F250="Adulto 75kg",4,IF(Atletas!F250="Adulto +75kg",5,IF(Atletas!F250="Adulto 52kg",6,IF(Atletas!F250="Adulto 60kg",7,IF(Atletas!F250="Adulto 70kg",8,IF(Atletas!F250="Adulto 80kg",9,IF(Atletas!F250="Adulto 90kg",10,IF(Atletas!F250="Adulto +90kg",11,"")))))))))))))</f>
        <v/>
      </c>
      <c r="AY254" s="46" t="str">
        <f>IF(Atletas!G250="","",IF(Atletas!B250="Feminino",100,IF(Atletas!B250="Masculino",200,""))+(IF(Atletas!G250="Changquan Mirim",1,IF(Atletas!G250="Nanquan Mirim",2,IF(Atletas!G250="Taijiquan Mirim",3,IF(Atletas!G250="Changquan Grupo C",4,IF(Atletas!G250="Nanquan Grupo C",5,IF(Atletas!G250="Taijiquan Grupo C",6,IF(Atletas!G250="Changquan Grupo B",7,IF(Atletas!G250="Nanquan Grupo B",8,IF(Atletas!G250="Taijiquan Grupo B",9,IF(Atletas!G250="Changquan Grupo A",10,IF(Atletas!G250="Nanquan Grupo A",11,IF(Atletas!G250="Taijiquan Grupo A",12,IF(Atletas!G250="Changquan Opcional",13,IF(Atletas!G250="Nanquan Opcional",14,IF(Atletas!G250="Taijiquan Opcional",15,IF(Atletas!G250="Changquan Adulto",16,IF(Atletas!G250="Nanquan Adulto",17,IF(Atletas!G250="Taijiquan Adulto",18,""))))))))))))))))))))</f>
        <v/>
      </c>
      <c r="AZ254" s="46" t="str">
        <f>IF(Atletas!H250="","",IF(Atletas!B250="Feminino",100,IF(Atletas!B250="Masculino",200,""))+(IF(Atletas!H250="Daoshu Mirim",19,IF(Atletas!H250="Jianshu Mirim",20,IF(Atletas!H250="Nandao Mirim",21,IF(Atletas!H250="Taijijian Mirim",22,IF(Atletas!H250="Daoshu Grupo C",23,IF(Atletas!H250="Jianshu Grupo C",24,IF(Atletas!H250="Nandao Grupo C",25,IF(Atletas!H250="Taijijian Grupo C",26,IF(Atletas!H250="Daoshu Grupo B",27,IF(Atletas!H250="Jianshu Grupo B",28,IF(Atletas!H250="Nandao Grupo B",29,IF(Atletas!H250="Taijijian Grupo B",30,IF(Atletas!H250="Daoshu Grupo A",31,IF(Atletas!H250="Jianshu Grupo A",32,IF(Atletas!H250="Nandao Grupo A",33,IF(Atletas!H250="Taijijian Grupo A",34,IF(Atletas!H250="Daoshu Opcional",35,IF(Atletas!H250="Jianshu Opcional",36,IF(Atletas!H250="Nandao Opcional",37,IF(Atletas!H250="Taijijian Opcional",38,IF(Atletas!H250="Daoshu Adulto",39,IF(Atletas!H250="Jianshu Adulto",40,IF(Atletas!H250="Nandao Adulto",41,IF(Atletas!H250="Taijijian Adulto",42,""))))))))))))))))))))))))))</f>
        <v/>
      </c>
      <c r="BA254" s="46" t="str">
        <f>IF(Atletas!I250="","",IF(Atletas!B250="Feminino",100,IF(Atletas!B250="Masculino",200,""))+(IF(Atletas!I250="Gunshu Mirim",43,IF(Atletas!I250="Qiangshu Mirim",44,IF(Atletas!I250="Nangun Mirim",45,IF(Atletas!I250="Gunshu Grupo C",46,IF(Atletas!I250="Qiangshu Grupo C",47,IF(Atletas!I250="Nangun Grupo C",48,IF(Atletas!I250="Gunshu Grupo B",49,IF(Atletas!I250="Qiangshu Grupo B",50,IF(Atletas!I250="Nangun Grupo B",51,IF(Atletas!I250="Gunshu Grupo A",52,IF(Atletas!I250="Qiangshu Grupo A",53,IF(Atletas!I250="Nangun Grupo A",54,IF(Atletas!I250="Gunshu Opcional",55,IF(Atletas!I250="Qiangshu Opcional",56,IF(Atletas!I250="Nangun Opcional",57,IF(Atletas!I250="Gunshu Adulto",58,IF(Atletas!I250="Qiangshu Adulto",59,IF(Atletas!I250="Nangun Adulto",60,""))))))))))))))))))))</f>
        <v/>
      </c>
      <c r="BF254" s="52" t="str">
        <f>IF(Atletas!J250="","",IF(Atletas!B250="Feminino",100,IF(Atletas!B250="Masculino",200,""))+(IF(Atletas!J250="Equipe 1 Grupo B",1,IF(Atletas!J250="Equipe 2 Grupo B",2,IF(Atletas!J250="Equipe 1 Grupo A",3,IF(Atletas!J250="Equipe 2 Grupo A",4,IF(Atletas!J250="Equipe 1 Adulto",5,IF(Atletas!J250="Equipe 2 Adulto",6,""))))))))</f>
        <v/>
      </c>
      <c r="BK254" s="52" t="str">
        <f>IF(Atletas!K250="","",IF(Atletas!W250&lt;&gt;"",10000,0)+(IF(Atletas!B250="Feminino",1000,IF(Atletas!B250="Masculino",2000,""))+IF(Atletas!K250="Choylayfut A",1,IF(Atletas!K250="Hunggar A",2,IF(Atletas!K250="Wuzuquan A",3,IF(Atletas!K250="Wingchun A",4,IF(Atletas!K250="Outra Mão de Sul A",5,IF(Atletas!K250="Choylayfut B",6,IF(Atletas!K250="Hunggar B",7,IF(Atletas!K250="Wuzuquan B",8,IF(Atletas!K250="Wingchun B",9,IF(Atletas!K250="Outra Mão de Sul B",10,IF(Atletas!K250="Choylayfut C",11,IF(Atletas!K250="Hunggar C",12,IF(Atletas!K250="Wuzuquan C",13,IF(Atletas!K250="Wingchun C",14,IF(Atletas!K250="Outra Mão de Sul C",15,IF(Atletas!K250="Choylayfut D",16,IF(Atletas!K250="Hunggar D",17,IF(Atletas!K250="Wuzuquan D",18,IF(Atletas!K250="Wingchun D",19,IF(Atletas!K250="Outra Mão de Sul D",20,IF(Atletas!K250="Choylayfut E",21,IF(Atletas!K250="Hunggar E",22,IF(Atletas!K250="Wuzuquan E",23,IF(Atletas!K250="Wingchun E",24,IF(Atletas!K250="Outra Mão de Sul E",25,IF(Atletas!K250="Choylayfut F",26,IF(Atletas!K250="Hunggar F",27,IF(Atletas!K250="Wuzuquan F",28,IF(Atletas!K250="Wingchun F",29,IF(Atletas!K250="Outra Mão de Sul F",30,""))))))))))))))))))))))))))))))))</f>
        <v/>
      </c>
      <c r="BL254" s="52" t="str">
        <f>IF(Atletas!L250="","",IF(Atletas!W250&lt;&gt;"",10000,0)+(IF(Atletas!B250="Feminino",1000,IF(Atletas!B250="Masculino",2000,""))+(IF(Atletas!L250="Chaquan A",101,IF(Atletas!L250="Emeiquan A",102,IF(Atletas!L250="Fanziquan A",103,IF(Atletas!L250="Huaquan A",104,IF(Atletas!L250="Hongquan A",105,IF(Atletas!L250="Paochui A",106,IF(Atletas!L250="Piguaquan A",107,IF(Atletas!L250="Shaolinquan A",108,IF(Atletas!L250="Tanglangquan A",109,IF(Atletas!L250="Yinzhaophai A",110,IF(Atletas!L250="Tongbeiquan A",111,IF(Atletas!L250="Wudangquan A",112,IF(Atletas!L250="Outros Estilos A",113,IF(Atletas!L250="Chaquan B",114,IF(Atletas!L250="Emeiquan B",115,IF(Atletas!L250="Fanziquan B",116,IF(Atletas!L250="Huaquan B",117,IF(Atletas!L250="Hongquan B",118,IF(Atletas!L250="Paochui B",119,IF(Atletas!L250="Piguaquan B",120,IF(Atletas!L250="Shaolinquan B",121,IF(Atletas!L250="Tanglangquan B",122,IF(Atletas!L250="Yinzhaophai B",123,IF(Atletas!L250="Tongbeiquan B",124,IF(Atletas!L250="Wudangquan B",125,IF(Atletas!L250="Outros Estilos B",126,IF(Atletas!L250="Chaquan C",127,IF(Atletas!L250="Emeiquan C",128,IF(Atletas!L250="Fanziquan C",129,IF(Atletas!L250="Huaquan C",130,IF(Atletas!L250="Hongquan C",131,IF(Atletas!L250="Paochui C",132,IF(Atletas!L250="Piguaquan C",133,IF(Atletas!L250="Shaolinquan C",134,IF(Atletas!L250="Tanglangquan C",135,IF(Atletas!L250="Yinzhaophai C",136,IF(Atletas!L250="Tongbeiquan C",137,IF(Atletas!L250="Wudangquan C",138,IF(Atletas!L250="Outros Estilos C",139,0))))))))))))))))))))))))))))))))))))))))))</f>
        <v/>
      </c>
      <c r="BM254" s="52" t="str">
        <f>IF(Atletas!L250="","",IF(Atletas!W250&lt;&gt;"",10000,0)+(IF(Atletas!B250="Feminino",1000,IF(Atletas!B250="Masculino",2000,""))+(IF(Atletas!L250="Chaquan D",140,IF(Atletas!L250="Emeiquan D",141,IF(Atletas!L250="Fanziquan D",142,IF(Atletas!L250="Huaquan D",143,IF(Atletas!L250="Hongquan D",144,IF(Atletas!L250="Paochui D",145,IF(Atletas!L250="Piguaquan D",146,IF(Atletas!L250="Shaolinquan D",147,IF(Atletas!L250="Tanglangquan D",148,IF(Atletas!L250="Yinzhaophai D",149,IF(Atletas!L250="Tongbeiquan D",150,IF(Atletas!L250="Wudangquan D",151,IF(Atletas!L250="Outros Estilos D",152,IF(Atletas!L250="Chaquan E",153,IF(Atletas!L250="Emeiquan E",154,IF(Atletas!L250="Fanziquan E",155,IF(Atletas!L250="Huaquan E",156,IF(Atletas!L250="Hongquan E",157,IF(Atletas!L250="Paochui E",158,IF(Atletas!L250="Piguaquan E",159,IF(Atletas!L250="Shaolinquan E",160,IF(Atletas!L250="Tanglangquan E",161,IF(Atletas!L250="Yinzhaophai E",162,IF(Atletas!L250="Tongbeiquan E",163,IF(Atletas!L250="Wudangquan E",164,IF(Atletas!L250="Outros Estilos E",165,IF(Atletas!L250="Chaquan F",166,IF(Atletas!L250="Emeiquan F",167,IF(Atletas!L250="Fanziquan F",168,IF(Atletas!L250="Huaquan F",169,IF(Atletas!L250="Hongquan F",170,IF(Atletas!L250="Paochui F",171,IF(Atletas!L250="Piguaquan F",172,IF(Atletas!L250="Shaolinquan F",173,IF(Atletas!L250="Tanglangquan F",174,IF(Atletas!L250="Yinzhaophai F",175,IF(Atletas!L250="Tongbeiquan F",176,IF(Atletas!L250="Wudangquan F",177,IF(Atletas!L250="Outros Estilos F",178,0))))))))))))))))))))))))))))))))))))))))))</f>
        <v/>
      </c>
      <c r="BN254" s="52" t="str">
        <f>IF(Atletas!M250="","",IF(Atletas!W250&lt;&gt;"",10000,0)+(IF(Atletas!B250="Feminino",1000,IF(Atletas!B250="Masculino",2000,""))+(IF(Atletas!M250="Ditangquan A",201,IF(Atletas!M250="Houquan A",202,IF(Atletas!M250="Zuiquan A",203,IF(Atletas!M250="Ditangquan B",204,IF(Atletas!M250="Houquan B",205,IF(Atletas!M250="Zuiquan B",206,IF(Atletas!M250="Ditangquan C",207,IF(Atletas!M250="Houquan C",208,IF(Atletas!M250="Zuiquan C",209,IF(Atletas!M250="Ditangquan D",210,IF(Atletas!M250="Houquan D",211,IF(Atletas!M250="Zuiquan D",212,IF(Atletas!M250="Ditangquan E",213,IF(Atletas!M250="Houquan E",214,IF(Atletas!M250="Zuiquan E",215,IF(Atletas!M250="Ditangquan F",216,IF(Atletas!M250="Houquan F",217,IF(Atletas!M250="Zuiquan F",218,"")))))))))))))))))))))</f>
        <v/>
      </c>
      <c r="BO254" s="52" t="str">
        <f>IF(Atletas!N250="","",IF(Atletas!W250&lt;&gt;"",10000,0)+IF(Atletas!B250="Feminino",1000,IF(Atletas!B250="Masculino",2000,""))+IF(Atletas!N250="Yang A",301,IF(Atletas!N250="Chen A",30,IF(Atletas!N250="Sun A",303,IF(Atletas!N250="Wu A",304,IF(Atletas!N250="Wu-Hao A",305,IF(Atletas!N250="Outro Taijiquan A",306,IF(Atletas!N250="Yang B",307,IF(Atletas!N250="Chen B",308,IF(Atletas!N250="Sun B",309,IF(Atletas!N250="Wu B",310,IF(Atletas!N250="Wu-Hao B",311,IF(Atletas!N250="Outro Taijiquan B",312,IF(Atletas!N250="Yang C",313,IF(Atletas!N250="Chen C",314,IF(Atletas!N250="Sun C",315,IF(Atletas!N250="Wu C",316,IF(Atletas!N250="Wu-Hao C",317,IF(Atletas!N250="Outro Taijiquan C",318,IF(Atletas!N250="Yang D",319,IF(Atletas!N250="Chen D",320,IF(Atletas!N250="Sun D",321,IF(Atletas!N250="Wu D",322,IF(Atletas!N250="Wu-Hao D",323,IF(Atletas!N250="Outro Taijiquan D",324,IF(Atletas!N250="Yang E",325,IF(Atletas!N250="Chen E",326,IF(Atletas!N250="Sun E",327,IF(Atletas!N250="Wu E",328,IF(Atletas!N250="Wu-Hao E",329,IF(Atletas!N250="Outro Taijiquan E",330,IF(Atletas!N250="Yang F",331,IF(Atletas!N250="Chen F",332,IF(Atletas!N250="Sun F",333,IF(Atletas!N250="Wu F",334,IF(Atletas!N250="Wu-Hao F",335,IF(Atletas!N250="Outro Taijiquan F",336,"")))))))))))))))))))))))))))))))))))))</f>
        <v/>
      </c>
      <c r="BP254" s="52" t="str">
        <f>IF(Atletas!O250="","",IF(Atletas!W250&lt;&gt;"",10000,0)+IF(Atletas!B250="Feminino",1000,IF(Atletas!B250="Masculino",2000,""))+IF(OR(Atletas!O250="Yang 26 A",Atletas!O250="Yang 40 A"),401,IF(OR(Atletas!O250="Chen 25 A",Atletas!O250="Chen 36 A",Atletas!O250="Chen 56 A"),402,IF(Atletas!O250="Sun 73 A",403,IF(Atletas!O250="Wu 45 A",404,IF(Atletas!O250="Wu-Hao 46 A",405,IF(OR(Atletas!O250="Taijiquan 16 A",Atletas!O250="Taijiquan 24 A",Atletas!O250="Taijiquan 32 A",Atletas!O250="Taijiquan 42 A"),406,IF(OR(Atletas!O250="Yang 26 B",Atletas!O250="Yang 40 B"),407,IF(OR(Atletas!O250="Chen 25 B",Atletas!O250="Chen 36 B",Atletas!O250="Chen 56 B"),408,IF(Atletas!O250="Sun 73 B",409,IF(Atletas!O250="Wu 45 B",410,IF(Atletas!O250="Wu-Hao 46 B",411,IF(OR(Atletas!O250="Taijiquan 16 B",Atletas!O250="Taijiquan 24 B",Atletas!O250="Taijiquan 32 B",Atletas!O250="Taijiquan 42 B"),412,IF(OR(Atletas!O250="Yang 26 C",Atletas!O250="Yang 40 C"),413,IF(OR(Atletas!O250="Chen 25 C",Atletas!O250="Chen 36 C",Atletas!O250="Chen 56 C"),414,IF(Atletas!O250="Sun 73 C",415,IF(Atletas!O250="Wu 45 C",416,IF(Atletas!O250="Wu-Hao 46 C",417,IF(OR(Atletas!O250="Taijiquan 16 C",Atletas!O250="Taijiquan 24 C",Atletas!O250="Taijiquan 32 C",Atletas!O250="Taijiquan 42 C"),418,0)))))))))))))))))))</f>
        <v/>
      </c>
      <c r="BQ254" s="52" t="str">
        <f>IF(Atletas!O250="","",IF(Atletas!W250&lt;&gt;"",10000,0)+IF(Atletas!B250="Feminino",1000,IF(Atletas!B250="Masculino",2000,""))+IF(OR(Atletas!O250="Yang 26 D",Atletas!O250="Yang 40 D"),419,IF(OR(Atletas!O250="Chen 25 D",Atletas!O250="Chen 36 D",Atletas!O250="Chen 56 D"),420,IF(Atletas!O250="Sun 73 D",421,IF(Atletas!O250="Wu 45 D",422,IF(Atletas!O250="Wu-Hao 46 D",423,IF(OR(Atletas!O250="Taijiquan 16 D",Atletas!O250="Taijiquan 24 D",Atletas!O250="Taijiquan 32 D",Atletas!O250="Taijiquan 42 D"),424,IF(OR(Atletas!O250="Yang 26 E",Atletas!O250="Yang 40 E"),425,IF(OR(Atletas!O250="Chen 25 E",Atletas!O250="Chen 36 E",Atletas!O250="Chen 56 E"),426,IF(Atletas!O250="Sun 73 E",427,IF(Atletas!O250="Wu 45 E",428,IF(Atletas!O250="Wu-Hao 46 E",429,IF(OR(Atletas!O250="Taijiquan 16 E",Atletas!O250="Taijiquan 24 E",Atletas!O250="Taijiquan 32 E",Atletas!O250="Taijiquan 42 E"),430,IF(OR(Atletas!O250="Yang 26 F",Atletas!O250="Yang 40 F"),431,IF(OR(Atletas!O250="Chen 25 F",Atletas!O250="Chen 36 F",Atletas!O250="Chen 56 F"),432,IF(Atletas!O250="Sun 73 F",433,IF(Atletas!O250="Wu 45 F",434,IF(Atletas!O250="Wu-Hao 46 F",435,IF(OR(Atletas!O250="Taijiquan 16 F",Atletas!O250="Taijiquan 24 F",Atletas!O250="Taijiquan 32 F",Atletas!O250="Taijiquan 42 F"),436,0)))))))))))))))))))</f>
        <v/>
      </c>
      <c r="BR254" s="52" t="str">
        <f>IF(Atletas!P250="","",IF(Atletas!W250&lt;&gt;"",10000,0)+IF(Atletas!B250="Feminino",1000,IF(Atletas!B250="Masculino",2000,""))+IF(Atletas!P250="Xingyiquan A",501,IF(Atletas!P250="Baguazhang A",502,IF(Atletas!P250="Outro Estilo Interno A",503,IF(Atletas!P250="Xingyiquan B",504,IF(Atletas!P250="Baguazhang B",505,IF(Atletas!P250="Outro Estilo Interno B",506,IF(Atletas!P250="Xingyiquan C",507,IF(Atletas!P250="Baguazhang C",508,IF(Atletas!P250="Outro Estilo Interno C",509,IF(Atletas!P250="Xingyiquan D",510,IF(Atletas!P250="Baguazhang D",511,IF(Atletas!P250="Outro Estilo Interno D",512,IF(Atletas!P250="Xingyiquan E",513,IF(Atletas!P250="Baguazhang E",514,IF(Atletas!P250="Outro Estilo Interno E",515,IF(Atletas!P250="Xingyiquan F",516,IF(Atletas!P250="Baguazhang F",517,IF(Atletas!P250="Outro Estilo Interno F",518, "")))))))))))))))))))</f>
        <v/>
      </c>
      <c r="BS254" s="52" t="str">
        <f>IF(Atletas!Q250="","",IF(Atletas!W250&lt;&gt;"",10000,0)+IF(Atletas!B250="Feminino",1000,IF(Atletas!B250="Masculino",2000,""))+IF(Atletas!Q250="Dao A",601,IF(Atletas!Q250="Jian A",602,IF(Atletas!Q250="Bishou A",603,IF(Atletas!Q250="Shan A",604,IF(Atletas!Q250="Outra Arma Curta A",605,IF(Atletas!Q250="Dao B",606,IF(Atletas!Q250="Jian B",607,IF(Atletas!Q250="Bishou B",608,IF(Atletas!Q250="Shan B",609,IF(Atletas!Q250="Outra Arma Curta B",610,IF(Atletas!Q250="Dao C",611,IF(Atletas!Q250="Jian C",612,IF(Atletas!Q250="Bishou C",613,IF(Atletas!Q250="Shan C",614,IF(Atletas!Q250="Outra Arma Curta C",615,IF(Atletas!Q250="Dao D",616,IF(Atletas!Q250="Jian D",617,IF(Atletas!Q250="Bishou D",618,IF(Atletas!Q250="Shan D",619,IF(Atletas!Q250="Outra Arma Curta D",620,IF(Atletas!Q250="Dao E",621,IF(Atletas!Q250="Jian E",622,IF(Atletas!Q250="Bishou E",623,IF(Atletas!Q250="Shan E",624,IF(Atletas!Q250="Outra Arma Curta E",625,IF(Atletas!Q250="Dao F",626,IF(Atletas!Q250="Jian F",627,IF(Atletas!Q250="Bishou F",628,IF(Atletas!Q250="Shan F",629,IF(Atletas!Q250="Outra Arma Curta F",630, "")))))))))))))))))))))))))))))))</f>
        <v/>
      </c>
      <c r="BT254" s="52" t="str">
        <f>IF(Atletas!R250="","",IF(Atletas!W250&lt;&gt;"",10000,0)+IF(Atletas!B250="Feminino",1000,IF(Atletas!B250="Masculino",2000,""))+IF(Atletas!R250="Gun A",701,IF(Atletas!R250="Qiang A",702,IF(Atletas!R250="Pudao / Guandao A",703,IF(Atletas!R250="Outra Arma Longa A",704,IF(Atletas!R250="Gun B",705,IF(Atletas!R250="Qiang B",706,IF(Atletas!R250="Pudao / Guandao B",707,IF(Atletas!R250="Outra Arma Longa B",708,IF(Atletas!R250="Gun C",709,IF(Atletas!R250="Qiang C",710,IF(Atletas!R250="Pudao / Guandao C",711,IF(Atletas!R250="Outra Arma Longa C",712,IF(Atletas!R250="Gun D",713,IF(Atletas!R250="Qiang D",714,IF(Atletas!R250="Pudao / Guandao D",715,IF(Atletas!R250="Outra Arma Longa D",716,IF(Atletas!R250="Gun E",717,IF(Atletas!R250="Qiang E",718,IF(Atletas!R250="Pudao / Guandao E",719,IF(Atletas!R250="Outra Arma Longa E",720,IF(Atletas!R250="Gun F",721,IF(Atletas!R250="Qiang F",722,IF(Atletas!R250="Pudao / Guandao F",723,IF(Atletas!R250="Outra Arma Longa F",724,"")))))))))))))))))))))))))</f>
        <v/>
      </c>
      <c r="BU254" s="52" t="str">
        <f>IF(Atletas!S250="","",IF(Atletas!W250&lt;&gt;"",10000,0)+IF(Atletas!B250="Feminino",1000,IF(Atletas!B250="Masculino",2000,""))+IF(Atletas!S250="Arma Dupla A",801,IF(Atletas!S250="Arma Maleável A",802,IF(Atletas!S250="Arma Dupla B",803,IF(Atletas!S250="Arma Maleável B",804,IF(Atletas!S250="Arma Dupla C",805,IF(Atletas!S250="Arma Maleável C",806,IF(Atletas!S250="Arma Dupla D",807,IF(Atletas!S250="Arma Maleável D",808,IF(Atletas!S250="Arma Dupla E",809,IF(Atletas!S250="Arma Maleável E",810,IF(Atletas!S250="Arma Dupla F",811,IF(Atletas!S250="Arma Maleável F",812, "")))))))))))))</f>
        <v/>
      </c>
      <c r="BV254" s="52" t="str">
        <f>IF(Atletas!T250="","",IF(Atletas!W250&lt;&gt;"",10000,0)+IF(Atletas!B250="Feminino",1000,IF(Atletas!B250="Masculino",2000,""))+IF(Atletas!T250="Taijijian Yang A",901,IF(Atletas!T250="Taijijian Chen A",902,IF(Atletas!T250="Taijijian Sun A",903,IF(Atletas!T250="Taijijian Wu A",904,IF(Atletas!T250="Taijijian Wu-Hao A",905,IF(Atletas!T250="Taijijian 32 A",906,IF(Atletas!T250="Taijijian 42 A",907,IF(Atletas!T250="Taijijian Yang B",908,IF(Atletas!T250="Taijijian Chen B",909,IF(Atletas!T250="Taijijian Sun B",910,IF(Atletas!T250="Taijijian Wu B",911,IF(Atletas!T250="Taijijian Wu-Hao B",912,IF(Atletas!T250="Taijijian 32 B",913,IF(Atletas!T250="Taijijian 42 B",914,IF(Atletas!T250="Taijijian Yang C",915,IF(Atletas!T250="Taijijian Chen C",916,IF(Atletas!T250="Taijijian Sun C",917,IF(Atletas!T250="Taijijian Wu C",918,IF(Atletas!T250="Taijijian Wu-Hao C",919,IF(Atletas!T250="Taijijian 32 C",920,IF(Atletas!T250="Taijijian 42 C",921,IF(Atletas!T250="Taijijian Yang D",922,IF(Atletas!T250="Taijijian Chen D",923,IF(Atletas!T250="Taijijian Sun D",924,IF(Atletas!T250="Taijijian Wu D",925,IF(Atletas!T250="Taijijian Wu-Hao D",926,IF(Atletas!T250="Taijijian 32 D",927,IF(Atletas!T250="Taijijian 42 D",928,IF(Atletas!T250="Taijijian Yang E",929,IF(Atletas!T250="Taijijian Chen E",930,IF(Atletas!T250="Taijijian Sun E",931,IF(Atletas!T250="Taijijian Wu E",932,IF(Atletas!T250="Taijijian Wu-Hao E",933,IF(Atletas!T250="Taijijian 32 E",934,IF(Atletas!T250="Taijijian 42 E",935,IF(Atletas!T250="Taijijian Yang F",936,IF(Atletas!T250="Taijijian Chen F",937,IF(Atletas!T250="Taijijian Sun F",938,IF(Atletas!T250="Taijijian Wu F",939,IF(Atletas!T250="Taijijian Wu-Hao F",940,IF(Atletas!T250="Taijijian 32 F",941,IF(Atletas!T250="Taijijian 42 F",942,"")))))))))))))))))))))))))))))))))))))))))))</f>
        <v/>
      </c>
      <c r="BW254" s="52" t="str">
        <f>IF(Atletas!U250="","",IF(Atletas!W250&lt;&gt;"",10000,0)+IF(Atletas!B250="Feminino",1000,IF(Atletas!B250="Masculino",2000,""))+IF(Atletas!T250="Taijijian 42 F",942,IF(Atletas!U250="Taijidao A",943,IF(Atletas!U250="Taijishan A",944,IF(Atletas!U250="Taijiqiang A",945,IF(Atletas!U250="Taijidao B",946,IF(Atletas!U250="Taijishan B",947,IF(Atletas!U250="Taijiqiang B",948,IF(Atletas!U250="Taijidao C",949,IF(Atletas!U250="Taijishan C",950,IF(Atletas!U250="Taijiqiang C",951,IF(Atletas!U250="Taijidao D",952,IF(Atletas!U250="Taijishan D",953,IF(Atletas!U250="Taijiqiang D",954,IF(Atletas!U250="Taijidao E",955,IF(Atletas!U250="Taijishan E",956,IF(Atletas!U250="Taijiqiang E",957,IF(Atletas!U250="Taijidao F",958,IF(Atletas!U250="Taijishan F",959,IF(Atletas!U250="Taijiqiang F",960))))))))))))))))))))</f>
        <v/>
      </c>
      <c r="BX254" s="72" t="str">
        <f>IF(BY254&lt;&gt;"","Qiang A","")</f>
        <v/>
      </c>
      <c r="BY254" s="72" t="str">
        <f>IF(COUNTIF(BK:BW,1702)&gt;0,COUNTIF(BK:BW,1702),"")</f>
        <v/>
      </c>
      <c r="BZ254" s="72" t="str">
        <f>IF(CA254&lt;&gt;"","Qiang A","")</f>
        <v/>
      </c>
      <c r="CA254" s="72" t="str">
        <f>IF(COUNTIF(BK:BW,2702)&gt;0,COUNTIF(BK:BW,2702),"")</f>
        <v/>
      </c>
      <c r="CB254" s="72" t="str">
        <f>IF(CC254&lt;&gt;"","Baguazhang C ","")</f>
        <v/>
      </c>
      <c r="CC254" s="64" t="str">
        <f>IF(COUNTIF(BK:BW,11508)&gt;0,COUNTIF(BK:BW,11508),"")</f>
        <v/>
      </c>
      <c r="CD254" s="64" t="str">
        <f>IF(CE254&lt;&gt;"","Baguazhang C ","")</f>
        <v/>
      </c>
      <c r="CE254" s="64" t="str">
        <f>IF(COUNTIF(BK:BW,12508)&gt;0,COUNTIF(BK:BW,12508),"")</f>
        <v/>
      </c>
      <c r="CF254" s="52" t="str">
        <f xml:space="preserve"> IF(Atletas!V250="","",IF(Atletas!V250="Duilian de Mãos AB - Equipe 1",1,IF(Atletas!V250="Duilian de Mãos AB - Equipe 2",2,IF(Atletas!V250="Duilian de Armas AB - Equipe 1",3,IF(Atletas!V250="Duilian de Armas AB - Equipe 2",4,IF(Atletas!V250="Duilian de Tuishou - Equipe 1",5,IF(Atletas!V250="Duilian de Tuishou - Equipe 2",6,IF(Atletas!V250="Grupo Externo AB - Equipe 1",7,IF(Atletas!V250="Grupo Externo AB - Equipe 2",8,IF(Atletas!V250="Grupo Interno AB - Equipe 1",9,IF(Atletas!V250="Grupo Interno AB - Equipe 2",10,IF(Atletas!V250="Duilian de Mãos CD - Equipe 1",11,IF(Atletas!V250="Duilian de Mãos CD - Equipe 2",12,IF(Atletas!V250="Duilian de Armas CD - Equipe 1",13,IF(Atletas!V250="Duilian de Armas CD - Equipe 2",14,IF(Atletas!V250="Duilian de Tuishou - Equipe 1",15,IF(Atletas!V250="Duilian de Tuishou - Equipe 2",16,IF(Atletas!V250="Grupo Externo CDEF - Equipe 1",17,IF(Atletas!V250="Grupo Externo CDEF - Equipe 2",18,IF(Atletas!V250="Grupo Interno CDEF - Equipe 1",19,IF(Atletas!V250="Grupo Interno CDEF - Equipe 2",20,IF(Atletas!V250="Duilian de Mãos EF - Equipe 1",21,IF(Atletas!V250="Duilian de Mãos EF - Equipe 2",22,IF(Atletas!V250="Duilian de Armas EF - Equipe 1",23,IF(Atletas!V250="Duilian de Armas EF - Equipe 2",24,IF(Atletas!V250="Duilian de Tuishou - Equipe 1",25,IF(Atletas!V250="Duilian de Tuishou - Equipe 2",26,"")))))))))))))))))))))))))))</f>
        <v/>
      </c>
    </row>
    <row r="255" spans="2:84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 t="str">
        <f t="array" ref="V255">IFERROR(INDEX(BX$7:BX$336,SMALL(IF(BX$7:BX$336&lt;&gt;"",ROW(BX$7:BX$336)-ROW(BX$7)+1),ROWS(BX$7:BX212))),"")</f>
        <v/>
      </c>
      <c r="W255" s="4" t="str">
        <f t="array" ref="W255">IFERROR(INDEX(BY$7:BY$336,SMALL(IF(BY$7:BY$336&lt;&gt;"",ROW(BY$7:BY$336)-ROW(BY$7)+1),ROWS(BY$7:BY212))),"")</f>
        <v/>
      </c>
      <c r="X255" s="4" t="str">
        <f t="array" ref="X255">IFERROR(INDEX(BZ$7:BZ$336,SMALL(IF(BZ$7:BZ$336&lt;&gt;"",ROW(BZ$7:BZ$336)-ROW(BZ$7)+1),ROWS(BZ$7:BZ212))),"")</f>
        <v/>
      </c>
      <c r="Y255" s="4" t="str">
        <f t="array" ref="Y255">IFERROR(INDEX(CA$7:CA$336,SMALL(IF(CA$7:CA$336&lt;&gt;"",ROW(CA$7:CA$336)-ROW(CA$7)+1),ROWS(CA$7:CA212))),"")</f>
        <v/>
      </c>
      <c r="Z255" s="4" t="str">
        <f t="array" ref="Z255">IFERROR(INDEX(CB$7:CB$378,SMALL(IF(CB$7:CB$378&lt;&gt;"",ROW(CB$7:CB$378)-ROW(CB$7)+1),ROWS(CB$7:CB254))),"")</f>
        <v/>
      </c>
      <c r="AA255" s="4" t="str">
        <f t="array" ref="AA255">IFERROR(INDEX(CC$7:CC$378,SMALL(IF(CC$7:CC$378&lt;&gt;"",ROW(CC$7:CC$378)-ROW(CC$7)+1),ROWS(CC$7:CC254))),"")</f>
        <v/>
      </c>
      <c r="AB255" s="4" t="str">
        <f t="array" ref="AB255">IFERROR(INDEX(CD$7:CD$378,SMALL(IF(CD$7:CD$378&lt;&gt;"",ROW(CD$7:CD$378)-ROW(CD$7)+1),ROWS(CD$7:CD254))),"")</f>
        <v/>
      </c>
      <c r="AC255" s="4" t="str">
        <f t="array" ref="AC255">IFERROR(INDEX(CE$7:CE$378,SMALL(IF(CE$7:CE$378&lt;&gt;"",ROW(CE$7:CE$378)-ROW(CE$7)+1),ROWS(CE$7:CE254))),"")</f>
        <v/>
      </c>
      <c r="AD255" s="4"/>
      <c r="AE255" s="4"/>
      <c r="AF255" s="4"/>
      <c r="AG255" s="4"/>
      <c r="AH255" s="4"/>
      <c r="AI255" s="4"/>
      <c r="AJ255" s="46" t="str">
        <f>IF(Atletas!D251="","",IF(Atletas!B251="Feminino",100,IF(Atletas!B251="Masculino",200,""))+(IF(Atletas!D251="Infantil 39kg",1,IF(Atletas!D251="Infantil 42kg",2,IF(Atletas!D251="Infantil 45kg",3,IF(Atletas!D251="Infantil 48kg",4,IF(Atletas!D251="Infantil 52kg",5,IF(Atletas!D251="Infantil 56kg",6,IF(Atletas!D251="Infantil 60kg",7,IF(Atletas!D251="Juvenil 48kg",8,IF(Atletas!D251="Juvenil 52kg",9,IF(Atletas!D251="Juvenil 56kg",10,IF(Atletas!D251="Juvenil 60kg",11,IF(Atletas!D251="Juvenil 65kg",12,IF(Atletas!D251="Juvenil 70kg",13,IF(Atletas!D251="Juvenil 75kg",14,IF(Atletas!D251="Juvenil 80kg",15,IF(Atletas!D251="Adulto 48kg",16,IF(Atletas!D251="Adulto 52kg",17,IF(Atletas!D251="Adulto 56kg",18,IF(Atletas!D251="Adulto 60kg",19,IF(Atletas!D251="Adulto 65kg",20,IF(Atletas!D251="Adulto 70kg",21,IF(Atletas!D251="Adulto 75kg",22,IF(Atletas!D251="Adulto 80kg",23,IF(Atletas!D251="Adulto 85kg",24,IF(Atletas!D251="Adulto 90kg",25,IF(Atletas!D251="Adulto +90kg",26,""))))))))))))))))))))))))))))</f>
        <v/>
      </c>
      <c r="AO255" s="10" t="str">
        <f>IF(Atletas!E251="","",IF(Atletas!B251="Feminino",100,IF(Atletas!B251="Masculino",200,""))+(IF(Atletas!E251="Juvenil 44kg",1,IF(Atletas!E251="Juvenil 48kg",2,IF(Atletas!E251="Juvenil 52kg",3,IF(Atletas!E251="Juvenil 56kg",4,IF(Atletas!E251="Juvenil 60kg",5,IF(Atletas!E251="Juvenil 65kg",6,IF(Atletas!E251="Juvenil 70kg",7,IF(Atletas!E251="Juvenil 75kg",8,IF(Atletas!E251="Juvenil 82kg",9,IF(Atletas!E251="Juvenil 90kg",10,IF(Atletas!E251="Juvenil 100kg",11,IF(Atletas!E251="Adulto 48kg",12,IF(Atletas!E251="Adulto 52kg",13,IF(Atletas!E251="Adulto 56kg",14,IF(Atletas!E251="Adulto 60kg",15,IF(Atletas!E251="Adulto 65kg",16,IF(Atletas!E251="Adulto 70kg",17,IF(Atletas!E251="Adulto 75kg",18,IF(Atletas!E251="Adulto 82kg",19,IF(Atletas!E251="Adulto 90kg",20,IF(Atletas!E251="Adulto 100kg",21,IF(Atletas!E251="Adulto +100kg",22,""))))))))))))))))))))))))</f>
        <v/>
      </c>
      <c r="AT255" s="10" t="str">
        <f>IF(Atletas!F251="","",IF(Atletas!B251="Feminino",100,IF(Atletas!B251="Masculino",200,""))+(IF(Atletas!F251="Adulto 48kg",1,IF(Atletas!F251="Adulto 56kg",2,IF(Atletas!F251="Adulto 65kg",3,IF(Atletas!F251="Adulto 75kg",4,IF(Atletas!F251="Adulto +75kg",5,IF(Atletas!F251="Adulto 52kg",6,IF(Atletas!F251="Adulto 60kg",7,IF(Atletas!F251="Adulto 70kg",8,IF(Atletas!F251="Adulto 80kg",9,IF(Atletas!F251="Adulto 90kg",10,IF(Atletas!F251="Adulto +90kg",11,"")))))))))))))</f>
        <v/>
      </c>
      <c r="AY255" s="46" t="str">
        <f>IF(Atletas!G251="","",IF(Atletas!B251="Feminino",100,IF(Atletas!B251="Masculino",200,""))+(IF(Atletas!G251="Changquan Mirim",1,IF(Atletas!G251="Nanquan Mirim",2,IF(Atletas!G251="Taijiquan Mirim",3,IF(Atletas!G251="Changquan Grupo C",4,IF(Atletas!G251="Nanquan Grupo C",5,IF(Atletas!G251="Taijiquan Grupo C",6,IF(Atletas!G251="Changquan Grupo B",7,IF(Atletas!G251="Nanquan Grupo B",8,IF(Atletas!G251="Taijiquan Grupo B",9,IF(Atletas!G251="Changquan Grupo A",10,IF(Atletas!G251="Nanquan Grupo A",11,IF(Atletas!G251="Taijiquan Grupo A",12,IF(Atletas!G251="Changquan Opcional",13,IF(Atletas!G251="Nanquan Opcional",14,IF(Atletas!G251="Taijiquan Opcional",15,IF(Atletas!G251="Changquan Adulto",16,IF(Atletas!G251="Nanquan Adulto",17,IF(Atletas!G251="Taijiquan Adulto",18,""))))))))))))))))))))</f>
        <v/>
      </c>
      <c r="AZ255" s="46" t="str">
        <f>IF(Atletas!H251="","",IF(Atletas!B251="Feminino",100,IF(Atletas!B251="Masculino",200,""))+(IF(Atletas!H251="Daoshu Mirim",19,IF(Atletas!H251="Jianshu Mirim",20,IF(Atletas!H251="Nandao Mirim",21,IF(Atletas!H251="Taijijian Mirim",22,IF(Atletas!H251="Daoshu Grupo C",23,IF(Atletas!H251="Jianshu Grupo C",24,IF(Atletas!H251="Nandao Grupo C",25,IF(Atletas!H251="Taijijian Grupo C",26,IF(Atletas!H251="Daoshu Grupo B",27,IF(Atletas!H251="Jianshu Grupo B",28,IF(Atletas!H251="Nandao Grupo B",29,IF(Atletas!H251="Taijijian Grupo B",30,IF(Atletas!H251="Daoshu Grupo A",31,IF(Atletas!H251="Jianshu Grupo A",32,IF(Atletas!H251="Nandao Grupo A",33,IF(Atletas!H251="Taijijian Grupo A",34,IF(Atletas!H251="Daoshu Opcional",35,IF(Atletas!H251="Jianshu Opcional",36,IF(Atletas!H251="Nandao Opcional",37,IF(Atletas!H251="Taijijian Opcional",38,IF(Atletas!H251="Daoshu Adulto",39,IF(Atletas!H251="Jianshu Adulto",40,IF(Atletas!H251="Nandao Adulto",41,IF(Atletas!H251="Taijijian Adulto",42,""))))))))))))))))))))))))))</f>
        <v/>
      </c>
      <c r="BA255" s="46" t="str">
        <f>IF(Atletas!I251="","",IF(Atletas!B251="Feminino",100,IF(Atletas!B251="Masculino",200,""))+(IF(Atletas!I251="Gunshu Mirim",43,IF(Atletas!I251="Qiangshu Mirim",44,IF(Atletas!I251="Nangun Mirim",45,IF(Atletas!I251="Gunshu Grupo C",46,IF(Atletas!I251="Qiangshu Grupo C",47,IF(Atletas!I251="Nangun Grupo C",48,IF(Atletas!I251="Gunshu Grupo B",49,IF(Atletas!I251="Qiangshu Grupo B",50,IF(Atletas!I251="Nangun Grupo B",51,IF(Atletas!I251="Gunshu Grupo A",52,IF(Atletas!I251="Qiangshu Grupo A",53,IF(Atletas!I251="Nangun Grupo A",54,IF(Atletas!I251="Gunshu Opcional",55,IF(Atletas!I251="Qiangshu Opcional",56,IF(Atletas!I251="Nangun Opcional",57,IF(Atletas!I251="Gunshu Adulto",58,IF(Atletas!I251="Qiangshu Adulto",59,IF(Atletas!I251="Nangun Adulto",60,""))))))))))))))))))))</f>
        <v/>
      </c>
      <c r="BF255" s="52" t="str">
        <f>IF(Atletas!J251="","",IF(Atletas!B251="Feminino",100,IF(Atletas!B251="Masculino",200,""))+(IF(Atletas!J251="Equipe 1 Grupo B",1,IF(Atletas!J251="Equipe 2 Grupo B",2,IF(Atletas!J251="Equipe 1 Grupo A",3,IF(Atletas!J251="Equipe 2 Grupo A",4,IF(Atletas!J251="Equipe 1 Adulto",5,IF(Atletas!J251="Equipe 2 Adulto",6,""))))))))</f>
        <v/>
      </c>
      <c r="BK255" s="52" t="str">
        <f>IF(Atletas!K251="","",IF(Atletas!W251&lt;&gt;"",10000,0)+(IF(Atletas!B251="Feminino",1000,IF(Atletas!B251="Masculino",2000,""))+IF(Atletas!K251="Choylayfut A",1,IF(Atletas!K251="Hunggar A",2,IF(Atletas!K251="Wuzuquan A",3,IF(Atletas!K251="Wingchun A",4,IF(Atletas!K251="Outra Mão de Sul A",5,IF(Atletas!K251="Choylayfut B",6,IF(Atletas!K251="Hunggar B",7,IF(Atletas!K251="Wuzuquan B",8,IF(Atletas!K251="Wingchun B",9,IF(Atletas!K251="Outra Mão de Sul B",10,IF(Atletas!K251="Choylayfut C",11,IF(Atletas!K251="Hunggar C",12,IF(Atletas!K251="Wuzuquan C",13,IF(Atletas!K251="Wingchun C",14,IF(Atletas!K251="Outra Mão de Sul C",15,IF(Atletas!K251="Choylayfut D",16,IF(Atletas!K251="Hunggar D",17,IF(Atletas!K251="Wuzuquan D",18,IF(Atletas!K251="Wingchun D",19,IF(Atletas!K251="Outra Mão de Sul D",20,IF(Atletas!K251="Choylayfut E",21,IF(Atletas!K251="Hunggar E",22,IF(Atletas!K251="Wuzuquan E",23,IF(Atletas!K251="Wingchun E",24,IF(Atletas!K251="Outra Mão de Sul E",25,IF(Atletas!K251="Choylayfut F",26,IF(Atletas!K251="Hunggar F",27,IF(Atletas!K251="Wuzuquan F",28,IF(Atletas!K251="Wingchun F",29,IF(Atletas!K251="Outra Mão de Sul F",30,""))))))))))))))))))))))))))))))))</f>
        <v/>
      </c>
      <c r="BL255" s="52" t="str">
        <f>IF(Atletas!L251="","",IF(Atletas!W251&lt;&gt;"",10000,0)+(IF(Atletas!B251="Feminino",1000,IF(Atletas!B251="Masculino",2000,""))+(IF(Atletas!L251="Chaquan A",101,IF(Atletas!L251="Emeiquan A",102,IF(Atletas!L251="Fanziquan A",103,IF(Atletas!L251="Huaquan A",104,IF(Atletas!L251="Hongquan A",105,IF(Atletas!L251="Paochui A",106,IF(Atletas!L251="Piguaquan A",107,IF(Atletas!L251="Shaolinquan A",108,IF(Atletas!L251="Tanglangquan A",109,IF(Atletas!L251="Yinzhaophai A",110,IF(Atletas!L251="Tongbeiquan A",111,IF(Atletas!L251="Wudangquan A",112,IF(Atletas!L251="Outros Estilos A",113,IF(Atletas!L251="Chaquan B",114,IF(Atletas!L251="Emeiquan B",115,IF(Atletas!L251="Fanziquan B",116,IF(Atletas!L251="Huaquan B",117,IF(Atletas!L251="Hongquan B",118,IF(Atletas!L251="Paochui B",119,IF(Atletas!L251="Piguaquan B",120,IF(Atletas!L251="Shaolinquan B",121,IF(Atletas!L251="Tanglangquan B",122,IF(Atletas!L251="Yinzhaophai B",123,IF(Atletas!L251="Tongbeiquan B",124,IF(Atletas!L251="Wudangquan B",125,IF(Atletas!L251="Outros Estilos B",126,IF(Atletas!L251="Chaquan C",127,IF(Atletas!L251="Emeiquan C",128,IF(Atletas!L251="Fanziquan C",129,IF(Atletas!L251="Huaquan C",130,IF(Atletas!L251="Hongquan C",131,IF(Atletas!L251="Paochui C",132,IF(Atletas!L251="Piguaquan C",133,IF(Atletas!L251="Shaolinquan C",134,IF(Atletas!L251="Tanglangquan C",135,IF(Atletas!L251="Yinzhaophai C",136,IF(Atletas!L251="Tongbeiquan C",137,IF(Atletas!L251="Wudangquan C",138,IF(Atletas!L251="Outros Estilos C",139,0))))))))))))))))))))))))))))))))))))))))))</f>
        <v/>
      </c>
      <c r="BM255" s="52" t="str">
        <f>IF(Atletas!L251="","",IF(Atletas!W251&lt;&gt;"",10000,0)+(IF(Atletas!B251="Feminino",1000,IF(Atletas!B251="Masculino",2000,""))+(IF(Atletas!L251="Chaquan D",140,IF(Atletas!L251="Emeiquan D",141,IF(Atletas!L251="Fanziquan D",142,IF(Atletas!L251="Huaquan D",143,IF(Atletas!L251="Hongquan D",144,IF(Atletas!L251="Paochui D",145,IF(Atletas!L251="Piguaquan D",146,IF(Atletas!L251="Shaolinquan D",147,IF(Atletas!L251="Tanglangquan D",148,IF(Atletas!L251="Yinzhaophai D",149,IF(Atletas!L251="Tongbeiquan D",150,IF(Atletas!L251="Wudangquan D",151,IF(Atletas!L251="Outros Estilos D",152,IF(Atletas!L251="Chaquan E",153,IF(Atletas!L251="Emeiquan E",154,IF(Atletas!L251="Fanziquan E",155,IF(Atletas!L251="Huaquan E",156,IF(Atletas!L251="Hongquan E",157,IF(Atletas!L251="Paochui E",158,IF(Atletas!L251="Piguaquan E",159,IF(Atletas!L251="Shaolinquan E",160,IF(Atletas!L251="Tanglangquan E",161,IF(Atletas!L251="Yinzhaophai E",162,IF(Atletas!L251="Tongbeiquan E",163,IF(Atletas!L251="Wudangquan E",164,IF(Atletas!L251="Outros Estilos E",165,IF(Atletas!L251="Chaquan F",166,IF(Atletas!L251="Emeiquan F",167,IF(Atletas!L251="Fanziquan F",168,IF(Atletas!L251="Huaquan F",169,IF(Atletas!L251="Hongquan F",170,IF(Atletas!L251="Paochui F",171,IF(Atletas!L251="Piguaquan F",172,IF(Atletas!L251="Shaolinquan F",173,IF(Atletas!L251="Tanglangquan F",174,IF(Atletas!L251="Yinzhaophai F",175,IF(Atletas!L251="Tongbeiquan F",176,IF(Atletas!L251="Wudangquan F",177,IF(Atletas!L251="Outros Estilos F",178,0))))))))))))))))))))))))))))))))))))))))))</f>
        <v/>
      </c>
      <c r="BN255" s="52" t="str">
        <f>IF(Atletas!M251="","",IF(Atletas!W251&lt;&gt;"",10000,0)+(IF(Atletas!B251="Feminino",1000,IF(Atletas!B251="Masculino",2000,""))+(IF(Atletas!M251="Ditangquan A",201,IF(Atletas!M251="Houquan A",202,IF(Atletas!M251="Zuiquan A",203,IF(Atletas!M251="Ditangquan B",204,IF(Atletas!M251="Houquan B",205,IF(Atletas!M251="Zuiquan B",206,IF(Atletas!M251="Ditangquan C",207,IF(Atletas!M251="Houquan C",208,IF(Atletas!M251="Zuiquan C",209,IF(Atletas!M251="Ditangquan D",210,IF(Atletas!M251="Houquan D",211,IF(Atletas!M251="Zuiquan D",212,IF(Atletas!M251="Ditangquan E",213,IF(Atletas!M251="Houquan E",214,IF(Atletas!M251="Zuiquan E",215,IF(Atletas!M251="Ditangquan F",216,IF(Atletas!M251="Houquan F",217,IF(Atletas!M251="Zuiquan F",218,"")))))))))))))))))))))</f>
        <v/>
      </c>
      <c r="BO255" s="52" t="str">
        <f>IF(Atletas!N251="","",IF(Atletas!W251&lt;&gt;"",10000,0)+IF(Atletas!B251="Feminino",1000,IF(Atletas!B251="Masculino",2000,""))+IF(Atletas!N251="Yang A",301,IF(Atletas!N251="Chen A",30,IF(Atletas!N251="Sun A",303,IF(Atletas!N251="Wu A",304,IF(Atletas!N251="Wu-Hao A",305,IF(Atletas!N251="Outro Taijiquan A",306,IF(Atletas!N251="Yang B",307,IF(Atletas!N251="Chen B",308,IF(Atletas!N251="Sun B",309,IF(Atletas!N251="Wu B",310,IF(Atletas!N251="Wu-Hao B",311,IF(Atletas!N251="Outro Taijiquan B",312,IF(Atletas!N251="Yang C",313,IF(Atletas!N251="Chen C",314,IF(Atletas!N251="Sun C",315,IF(Atletas!N251="Wu C",316,IF(Atletas!N251="Wu-Hao C",317,IF(Atletas!N251="Outro Taijiquan C",318,IF(Atletas!N251="Yang D",319,IF(Atletas!N251="Chen D",320,IF(Atletas!N251="Sun D",321,IF(Atletas!N251="Wu D",322,IF(Atletas!N251="Wu-Hao D",323,IF(Atletas!N251="Outro Taijiquan D",324,IF(Atletas!N251="Yang E",325,IF(Atletas!N251="Chen E",326,IF(Atletas!N251="Sun E",327,IF(Atletas!N251="Wu E",328,IF(Atletas!N251="Wu-Hao E",329,IF(Atletas!N251="Outro Taijiquan E",330,IF(Atletas!N251="Yang F",331,IF(Atletas!N251="Chen F",332,IF(Atletas!N251="Sun F",333,IF(Atletas!N251="Wu F",334,IF(Atletas!N251="Wu-Hao F",335,IF(Atletas!N251="Outro Taijiquan F",336,"")))))))))))))))))))))))))))))))))))))</f>
        <v/>
      </c>
      <c r="BP255" s="52" t="str">
        <f>IF(Atletas!O251="","",IF(Atletas!W251&lt;&gt;"",10000,0)+IF(Atletas!B251="Feminino",1000,IF(Atletas!B251="Masculino",2000,""))+IF(OR(Atletas!O251="Yang 26 A",Atletas!O251="Yang 40 A"),401,IF(OR(Atletas!O251="Chen 25 A",Atletas!O251="Chen 36 A",Atletas!O251="Chen 56 A"),402,IF(Atletas!O251="Sun 73 A",403,IF(Atletas!O251="Wu 45 A",404,IF(Atletas!O251="Wu-Hao 46 A",405,IF(OR(Atletas!O251="Taijiquan 16 A",Atletas!O251="Taijiquan 24 A",Atletas!O251="Taijiquan 32 A",Atletas!O251="Taijiquan 42 A"),406,IF(OR(Atletas!O251="Yang 26 B",Atletas!O251="Yang 40 B"),407,IF(OR(Atletas!O251="Chen 25 B",Atletas!O251="Chen 36 B",Atletas!O251="Chen 56 B"),408,IF(Atletas!O251="Sun 73 B",409,IF(Atletas!O251="Wu 45 B",410,IF(Atletas!O251="Wu-Hao 46 B",411,IF(OR(Atletas!O251="Taijiquan 16 B",Atletas!O251="Taijiquan 24 B",Atletas!O251="Taijiquan 32 B",Atletas!O251="Taijiquan 42 B"),412,IF(OR(Atletas!O251="Yang 26 C",Atletas!O251="Yang 40 C"),413,IF(OR(Atletas!O251="Chen 25 C",Atletas!O251="Chen 36 C",Atletas!O251="Chen 56 C"),414,IF(Atletas!O251="Sun 73 C",415,IF(Atletas!O251="Wu 45 C",416,IF(Atletas!O251="Wu-Hao 46 C",417,IF(OR(Atletas!O251="Taijiquan 16 C",Atletas!O251="Taijiquan 24 C",Atletas!O251="Taijiquan 32 C",Atletas!O251="Taijiquan 42 C"),418,0)))))))))))))))))))</f>
        <v/>
      </c>
      <c r="BQ255" s="52" t="str">
        <f>IF(Atletas!O251="","",IF(Atletas!W251&lt;&gt;"",10000,0)+IF(Atletas!B251="Feminino",1000,IF(Atletas!B251="Masculino",2000,""))+IF(OR(Atletas!O251="Yang 26 D",Atletas!O251="Yang 40 D"),419,IF(OR(Atletas!O251="Chen 25 D",Atletas!O251="Chen 36 D",Atletas!O251="Chen 56 D"),420,IF(Atletas!O251="Sun 73 D",421,IF(Atletas!O251="Wu 45 D",422,IF(Atletas!O251="Wu-Hao 46 D",423,IF(OR(Atletas!O251="Taijiquan 16 D",Atletas!O251="Taijiquan 24 D",Atletas!O251="Taijiquan 32 D",Atletas!O251="Taijiquan 42 D"),424,IF(OR(Atletas!O251="Yang 26 E",Atletas!O251="Yang 40 E"),425,IF(OR(Atletas!O251="Chen 25 E",Atletas!O251="Chen 36 E",Atletas!O251="Chen 56 E"),426,IF(Atletas!O251="Sun 73 E",427,IF(Atletas!O251="Wu 45 E",428,IF(Atletas!O251="Wu-Hao 46 E",429,IF(OR(Atletas!O251="Taijiquan 16 E",Atletas!O251="Taijiquan 24 E",Atletas!O251="Taijiquan 32 E",Atletas!O251="Taijiquan 42 E"),430,IF(OR(Atletas!O251="Yang 26 F",Atletas!O251="Yang 40 F"),431,IF(OR(Atletas!O251="Chen 25 F",Atletas!O251="Chen 36 F",Atletas!O251="Chen 56 F"),432,IF(Atletas!O251="Sun 73 F",433,IF(Atletas!O251="Wu 45 F",434,IF(Atletas!O251="Wu-Hao 46 F",435,IF(OR(Atletas!O251="Taijiquan 16 F",Atletas!O251="Taijiquan 24 F",Atletas!O251="Taijiquan 32 F",Atletas!O251="Taijiquan 42 F"),436,0)))))))))))))))))))</f>
        <v/>
      </c>
      <c r="BR255" s="52" t="str">
        <f>IF(Atletas!P251="","",IF(Atletas!W251&lt;&gt;"",10000,0)+IF(Atletas!B251="Feminino",1000,IF(Atletas!B251="Masculino",2000,""))+IF(Atletas!P251="Xingyiquan A",501,IF(Atletas!P251="Baguazhang A",502,IF(Atletas!P251="Outro Estilo Interno A",503,IF(Atletas!P251="Xingyiquan B",504,IF(Atletas!P251="Baguazhang B",505,IF(Atletas!P251="Outro Estilo Interno B",506,IF(Atletas!P251="Xingyiquan C",507,IF(Atletas!P251="Baguazhang C",508,IF(Atletas!P251="Outro Estilo Interno C",509,IF(Atletas!P251="Xingyiquan D",510,IF(Atletas!P251="Baguazhang D",511,IF(Atletas!P251="Outro Estilo Interno D",512,IF(Atletas!P251="Xingyiquan E",513,IF(Atletas!P251="Baguazhang E",514,IF(Atletas!P251="Outro Estilo Interno E",515,IF(Atletas!P251="Xingyiquan F",516,IF(Atletas!P251="Baguazhang F",517,IF(Atletas!P251="Outro Estilo Interno F",518, "")))))))))))))))))))</f>
        <v/>
      </c>
      <c r="BS255" s="52" t="str">
        <f>IF(Atletas!Q251="","",IF(Atletas!W251&lt;&gt;"",10000,0)+IF(Atletas!B251="Feminino",1000,IF(Atletas!B251="Masculino",2000,""))+IF(Atletas!Q251="Dao A",601,IF(Atletas!Q251="Jian A",602,IF(Atletas!Q251="Bishou A",603,IF(Atletas!Q251="Shan A",604,IF(Atletas!Q251="Outra Arma Curta A",605,IF(Atletas!Q251="Dao B",606,IF(Atletas!Q251="Jian B",607,IF(Atletas!Q251="Bishou B",608,IF(Atletas!Q251="Shan B",609,IF(Atletas!Q251="Outra Arma Curta B",610,IF(Atletas!Q251="Dao C",611,IF(Atletas!Q251="Jian C",612,IF(Atletas!Q251="Bishou C",613,IF(Atletas!Q251="Shan C",614,IF(Atletas!Q251="Outra Arma Curta C",615,IF(Atletas!Q251="Dao D",616,IF(Atletas!Q251="Jian D",617,IF(Atletas!Q251="Bishou D",618,IF(Atletas!Q251="Shan D",619,IF(Atletas!Q251="Outra Arma Curta D",620,IF(Atletas!Q251="Dao E",621,IF(Atletas!Q251="Jian E",622,IF(Atletas!Q251="Bishou E",623,IF(Atletas!Q251="Shan E",624,IF(Atletas!Q251="Outra Arma Curta E",625,IF(Atletas!Q251="Dao F",626,IF(Atletas!Q251="Jian F",627,IF(Atletas!Q251="Bishou F",628,IF(Atletas!Q251="Shan F",629,IF(Atletas!Q251="Outra Arma Curta F",630, "")))))))))))))))))))))))))))))))</f>
        <v/>
      </c>
      <c r="BT255" s="52" t="str">
        <f>IF(Atletas!R251="","",IF(Atletas!W251&lt;&gt;"",10000,0)+IF(Atletas!B251="Feminino",1000,IF(Atletas!B251="Masculino",2000,""))+IF(Atletas!R251="Gun A",701,IF(Atletas!R251="Qiang A",702,IF(Atletas!R251="Pudao / Guandao A",703,IF(Atletas!R251="Outra Arma Longa A",704,IF(Atletas!R251="Gun B",705,IF(Atletas!R251="Qiang B",706,IF(Atletas!R251="Pudao / Guandao B",707,IF(Atletas!R251="Outra Arma Longa B",708,IF(Atletas!R251="Gun C",709,IF(Atletas!R251="Qiang C",710,IF(Atletas!R251="Pudao / Guandao C",711,IF(Atletas!R251="Outra Arma Longa C",712,IF(Atletas!R251="Gun D",713,IF(Atletas!R251="Qiang D",714,IF(Atletas!R251="Pudao / Guandao D",715,IF(Atletas!R251="Outra Arma Longa D",716,IF(Atletas!R251="Gun E",717,IF(Atletas!R251="Qiang E",718,IF(Atletas!R251="Pudao / Guandao E",719,IF(Atletas!R251="Outra Arma Longa E",720,IF(Atletas!R251="Gun F",721,IF(Atletas!R251="Qiang F",722,IF(Atletas!R251="Pudao / Guandao F",723,IF(Atletas!R251="Outra Arma Longa F",724,"")))))))))))))))))))))))))</f>
        <v/>
      </c>
      <c r="BU255" s="52" t="str">
        <f>IF(Atletas!S251="","",IF(Atletas!W251&lt;&gt;"",10000,0)+IF(Atletas!B251="Feminino",1000,IF(Atletas!B251="Masculino",2000,""))+IF(Atletas!S251="Arma Dupla A",801,IF(Atletas!S251="Arma Maleável A",802,IF(Atletas!S251="Arma Dupla B",803,IF(Atletas!S251="Arma Maleável B",804,IF(Atletas!S251="Arma Dupla C",805,IF(Atletas!S251="Arma Maleável C",806,IF(Atletas!S251="Arma Dupla D",807,IF(Atletas!S251="Arma Maleável D",808,IF(Atletas!S251="Arma Dupla E",809,IF(Atletas!S251="Arma Maleável E",810,IF(Atletas!S251="Arma Dupla F",811,IF(Atletas!S251="Arma Maleável F",812, "")))))))))))))</f>
        <v/>
      </c>
      <c r="BV255" s="52" t="str">
        <f>IF(Atletas!T251="","",IF(Atletas!W251&lt;&gt;"",10000,0)+IF(Atletas!B251="Feminino",1000,IF(Atletas!B251="Masculino",2000,""))+IF(Atletas!T251="Taijijian Yang A",901,IF(Atletas!T251="Taijijian Chen A",902,IF(Atletas!T251="Taijijian Sun A",903,IF(Atletas!T251="Taijijian Wu A",904,IF(Atletas!T251="Taijijian Wu-Hao A",905,IF(Atletas!T251="Taijijian 32 A",906,IF(Atletas!T251="Taijijian 42 A",907,IF(Atletas!T251="Taijijian Yang B",908,IF(Atletas!T251="Taijijian Chen B",909,IF(Atletas!T251="Taijijian Sun B",910,IF(Atletas!T251="Taijijian Wu B",911,IF(Atletas!T251="Taijijian Wu-Hao B",912,IF(Atletas!T251="Taijijian 32 B",913,IF(Atletas!T251="Taijijian 42 B",914,IF(Atletas!T251="Taijijian Yang C",915,IF(Atletas!T251="Taijijian Chen C",916,IF(Atletas!T251="Taijijian Sun C",917,IF(Atletas!T251="Taijijian Wu C",918,IF(Atletas!T251="Taijijian Wu-Hao C",919,IF(Atletas!T251="Taijijian 32 C",920,IF(Atletas!T251="Taijijian 42 C",921,IF(Atletas!T251="Taijijian Yang D",922,IF(Atletas!T251="Taijijian Chen D",923,IF(Atletas!T251="Taijijian Sun D",924,IF(Atletas!T251="Taijijian Wu D",925,IF(Atletas!T251="Taijijian Wu-Hao D",926,IF(Atletas!T251="Taijijian 32 D",927,IF(Atletas!T251="Taijijian 42 D",928,IF(Atletas!T251="Taijijian Yang E",929,IF(Atletas!T251="Taijijian Chen E",930,IF(Atletas!T251="Taijijian Sun E",931,IF(Atletas!T251="Taijijian Wu E",932,IF(Atletas!T251="Taijijian Wu-Hao E",933,IF(Atletas!T251="Taijijian 32 E",934,IF(Atletas!T251="Taijijian 42 E",935,IF(Atletas!T251="Taijijian Yang F",936,IF(Atletas!T251="Taijijian Chen F",937,IF(Atletas!T251="Taijijian Sun F",938,IF(Atletas!T251="Taijijian Wu F",939,IF(Atletas!T251="Taijijian Wu-Hao F",940,IF(Atletas!T251="Taijijian 32 F",941,IF(Atletas!T251="Taijijian 42 F",942,"")))))))))))))))))))))))))))))))))))))))))))</f>
        <v/>
      </c>
      <c r="BW255" s="52" t="str">
        <f>IF(Atletas!U251="","",IF(Atletas!W251&lt;&gt;"",10000,0)+IF(Atletas!B251="Feminino",1000,IF(Atletas!B251="Masculino",2000,""))+IF(Atletas!T251="Taijijian 42 F",942,IF(Atletas!U251="Taijidao A",943,IF(Atletas!U251="Taijishan A",944,IF(Atletas!U251="Taijiqiang A",945,IF(Atletas!U251="Taijidao B",946,IF(Atletas!U251="Taijishan B",947,IF(Atletas!U251="Taijiqiang B",948,IF(Atletas!U251="Taijidao C",949,IF(Atletas!U251="Taijishan C",950,IF(Atletas!U251="Taijiqiang C",951,IF(Atletas!U251="Taijidao D",952,IF(Atletas!U251="Taijishan D",953,IF(Atletas!U251="Taijiqiang D",954,IF(Atletas!U251="Taijidao E",955,IF(Atletas!U251="Taijishan E",956,IF(Atletas!U251="Taijiqiang E",957,IF(Atletas!U251="Taijidao F",958,IF(Atletas!U251="Taijishan F",959,IF(Atletas!U251="Taijiqiang F",960))))))))))))))))))))</f>
        <v/>
      </c>
      <c r="BX255" s="72" t="str">
        <f>IF(BY255&lt;&gt;"","Pudao / Gaundao A","")</f>
        <v/>
      </c>
      <c r="BY255" s="72" t="str">
        <f>IF(COUNTIF(BK:BW,1703)&gt;0,COUNTIF(BK:BW,1703),"")</f>
        <v/>
      </c>
      <c r="BZ255" s="72" t="str">
        <f>IF(CA255&lt;&gt;"","Pudao / Gaundao A","")</f>
        <v/>
      </c>
      <c r="CA255" s="72" t="str">
        <f>IF(COUNTIF(BK:BW,2703)&gt;0,COUNTIF(BK:BW,2703),"")</f>
        <v/>
      </c>
      <c r="CB255" s="72" t="str">
        <f>IF(CC255&lt;&gt;"","Outro Estilo Interno C","")</f>
        <v/>
      </c>
      <c r="CC255" s="64" t="str">
        <f>IF(COUNTIF(BK:BW,11509)&gt;0,COUNTIF(BK:BW,11509),"")</f>
        <v/>
      </c>
      <c r="CD255" s="64" t="str">
        <f>IF(CE255&lt;&gt;"","Outro Estilo Interno C","")</f>
        <v/>
      </c>
      <c r="CE255" s="64" t="str">
        <f>IF(COUNTIF(BK:BW,12509)&gt;0,COUNTIF(BK:BW,12509),"")</f>
        <v/>
      </c>
      <c r="CF255" s="52" t="str">
        <f xml:space="preserve"> IF(Atletas!V251="","",IF(Atletas!V251="Duilian de Mãos AB - Equipe 1",1,IF(Atletas!V251="Duilian de Mãos AB - Equipe 2",2,IF(Atletas!V251="Duilian de Armas AB - Equipe 1",3,IF(Atletas!V251="Duilian de Armas AB - Equipe 2",4,IF(Atletas!V251="Duilian de Tuishou - Equipe 1",5,IF(Atletas!V251="Duilian de Tuishou - Equipe 2",6,IF(Atletas!V251="Grupo Externo AB - Equipe 1",7,IF(Atletas!V251="Grupo Externo AB - Equipe 2",8,IF(Atletas!V251="Grupo Interno AB - Equipe 1",9,IF(Atletas!V251="Grupo Interno AB - Equipe 2",10,IF(Atletas!V251="Duilian de Mãos CD - Equipe 1",11,IF(Atletas!V251="Duilian de Mãos CD - Equipe 2",12,IF(Atletas!V251="Duilian de Armas CD - Equipe 1",13,IF(Atletas!V251="Duilian de Armas CD - Equipe 2",14,IF(Atletas!V251="Duilian de Tuishou - Equipe 1",15,IF(Atletas!V251="Duilian de Tuishou - Equipe 2",16,IF(Atletas!V251="Grupo Externo CDEF - Equipe 1",17,IF(Atletas!V251="Grupo Externo CDEF - Equipe 2",18,IF(Atletas!V251="Grupo Interno CDEF - Equipe 1",19,IF(Atletas!V251="Grupo Interno CDEF - Equipe 2",20,IF(Atletas!V251="Duilian de Mãos EF - Equipe 1",21,IF(Atletas!V251="Duilian de Mãos EF - Equipe 2",22,IF(Atletas!V251="Duilian de Armas EF - Equipe 1",23,IF(Atletas!V251="Duilian de Armas EF - Equipe 2",24,IF(Atletas!V251="Duilian de Tuishou - Equipe 1",25,IF(Atletas!V251="Duilian de Tuishou - Equipe 2",26,"")))))))))))))))))))))))))))</f>
        <v/>
      </c>
    </row>
    <row r="256" spans="2:84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 t="str">
        <f t="array" ref="V256">IFERROR(INDEX(BX$7:BX$336,SMALL(IF(BX$7:BX$336&lt;&gt;"",ROW(BX$7:BX$336)-ROW(BX$7)+1),ROWS(BX$7:BX213))),"")</f>
        <v/>
      </c>
      <c r="W256" s="4" t="str">
        <f t="array" ref="W256">IFERROR(INDEX(BY$7:BY$336,SMALL(IF(BY$7:BY$336&lt;&gt;"",ROW(BY$7:BY$336)-ROW(BY$7)+1),ROWS(BY$7:BY213))),"")</f>
        <v/>
      </c>
      <c r="X256" s="4" t="str">
        <f t="array" ref="X256">IFERROR(INDEX(BZ$7:BZ$336,SMALL(IF(BZ$7:BZ$336&lt;&gt;"",ROW(BZ$7:BZ$336)-ROW(BZ$7)+1),ROWS(BZ$7:BZ213))),"")</f>
        <v/>
      </c>
      <c r="Y256" s="4" t="str">
        <f t="array" ref="Y256">IFERROR(INDEX(CA$7:CA$336,SMALL(IF(CA$7:CA$336&lt;&gt;"",ROW(CA$7:CA$336)-ROW(CA$7)+1),ROWS(CA$7:CA213))),"")</f>
        <v/>
      </c>
      <c r="Z256" s="4" t="str">
        <f t="array" ref="Z256">IFERROR(INDEX(CB$7:CB$378,SMALL(IF(CB$7:CB$378&lt;&gt;"",ROW(CB$7:CB$378)-ROW(CB$7)+1),ROWS(CB$7:CB255))),"")</f>
        <v/>
      </c>
      <c r="AA256" s="4" t="str">
        <f t="array" ref="AA256">IFERROR(INDEX(CC$7:CC$378,SMALL(IF(CC$7:CC$378&lt;&gt;"",ROW(CC$7:CC$378)-ROW(CC$7)+1),ROWS(CC$7:CC255))),"")</f>
        <v/>
      </c>
      <c r="AB256" s="4" t="str">
        <f t="array" ref="AB256">IFERROR(INDEX(CD$7:CD$378,SMALL(IF(CD$7:CD$378&lt;&gt;"",ROW(CD$7:CD$378)-ROW(CD$7)+1),ROWS(CD$7:CD255))),"")</f>
        <v/>
      </c>
      <c r="AC256" s="4" t="str">
        <f t="array" ref="AC256">IFERROR(INDEX(CE$7:CE$378,SMALL(IF(CE$7:CE$378&lt;&gt;"",ROW(CE$7:CE$378)-ROW(CE$7)+1),ROWS(CE$7:CE255))),"")</f>
        <v/>
      </c>
      <c r="AD256" s="4"/>
      <c r="AE256" s="4"/>
      <c r="AF256" s="4"/>
      <c r="AG256" s="4"/>
      <c r="AH256" s="4"/>
      <c r="AI256" s="4"/>
      <c r="AJ256" s="46" t="str">
        <f>IF(Atletas!D252="","",IF(Atletas!B252="Feminino",100,IF(Atletas!B252="Masculino",200,""))+(IF(Atletas!D252="Infantil 39kg",1,IF(Atletas!D252="Infantil 42kg",2,IF(Atletas!D252="Infantil 45kg",3,IF(Atletas!D252="Infantil 48kg",4,IF(Atletas!D252="Infantil 52kg",5,IF(Atletas!D252="Infantil 56kg",6,IF(Atletas!D252="Infantil 60kg",7,IF(Atletas!D252="Juvenil 48kg",8,IF(Atletas!D252="Juvenil 52kg",9,IF(Atletas!D252="Juvenil 56kg",10,IF(Atletas!D252="Juvenil 60kg",11,IF(Atletas!D252="Juvenil 65kg",12,IF(Atletas!D252="Juvenil 70kg",13,IF(Atletas!D252="Juvenil 75kg",14,IF(Atletas!D252="Juvenil 80kg",15,IF(Atletas!D252="Adulto 48kg",16,IF(Atletas!D252="Adulto 52kg",17,IF(Atletas!D252="Adulto 56kg",18,IF(Atletas!D252="Adulto 60kg",19,IF(Atletas!D252="Adulto 65kg",20,IF(Atletas!D252="Adulto 70kg",21,IF(Atletas!D252="Adulto 75kg",22,IF(Atletas!D252="Adulto 80kg",23,IF(Atletas!D252="Adulto 85kg",24,IF(Atletas!D252="Adulto 90kg",25,IF(Atletas!D252="Adulto +90kg",26,""))))))))))))))))))))))))))))</f>
        <v/>
      </c>
      <c r="AO256" s="10" t="str">
        <f>IF(Atletas!E252="","",IF(Atletas!B252="Feminino",100,IF(Atletas!B252="Masculino",200,""))+(IF(Atletas!E252="Juvenil 44kg",1,IF(Atletas!E252="Juvenil 48kg",2,IF(Atletas!E252="Juvenil 52kg",3,IF(Atletas!E252="Juvenil 56kg",4,IF(Atletas!E252="Juvenil 60kg",5,IF(Atletas!E252="Juvenil 65kg",6,IF(Atletas!E252="Juvenil 70kg",7,IF(Atletas!E252="Juvenil 75kg",8,IF(Atletas!E252="Juvenil 82kg",9,IF(Atletas!E252="Juvenil 90kg",10,IF(Atletas!E252="Juvenil 100kg",11,IF(Atletas!E252="Adulto 48kg",12,IF(Atletas!E252="Adulto 52kg",13,IF(Atletas!E252="Adulto 56kg",14,IF(Atletas!E252="Adulto 60kg",15,IF(Atletas!E252="Adulto 65kg",16,IF(Atletas!E252="Adulto 70kg",17,IF(Atletas!E252="Adulto 75kg",18,IF(Atletas!E252="Adulto 82kg",19,IF(Atletas!E252="Adulto 90kg",20,IF(Atletas!E252="Adulto 100kg",21,IF(Atletas!E252="Adulto +100kg",22,""))))))))))))))))))))))))</f>
        <v/>
      </c>
      <c r="AT256" s="10" t="str">
        <f>IF(Atletas!F252="","",IF(Atletas!B252="Feminino",100,IF(Atletas!B252="Masculino",200,""))+(IF(Atletas!F252="Adulto 48kg",1,IF(Atletas!F252="Adulto 56kg",2,IF(Atletas!F252="Adulto 65kg",3,IF(Atletas!F252="Adulto 75kg",4,IF(Atletas!F252="Adulto +75kg",5,IF(Atletas!F252="Adulto 52kg",6,IF(Atletas!F252="Adulto 60kg",7,IF(Atletas!F252="Adulto 70kg",8,IF(Atletas!F252="Adulto 80kg",9,IF(Atletas!F252="Adulto 90kg",10,IF(Atletas!F252="Adulto +90kg",11,"")))))))))))))</f>
        <v/>
      </c>
      <c r="AY256" s="46" t="str">
        <f>IF(Atletas!G252="","",IF(Atletas!B252="Feminino",100,IF(Atletas!B252="Masculino",200,""))+(IF(Atletas!G252="Changquan Mirim",1,IF(Atletas!G252="Nanquan Mirim",2,IF(Atletas!G252="Taijiquan Mirim",3,IF(Atletas!G252="Changquan Grupo C",4,IF(Atletas!G252="Nanquan Grupo C",5,IF(Atletas!G252="Taijiquan Grupo C",6,IF(Atletas!G252="Changquan Grupo B",7,IF(Atletas!G252="Nanquan Grupo B",8,IF(Atletas!G252="Taijiquan Grupo B",9,IF(Atletas!G252="Changquan Grupo A",10,IF(Atletas!G252="Nanquan Grupo A",11,IF(Atletas!G252="Taijiquan Grupo A",12,IF(Atletas!G252="Changquan Opcional",13,IF(Atletas!G252="Nanquan Opcional",14,IF(Atletas!G252="Taijiquan Opcional",15,IF(Atletas!G252="Changquan Adulto",16,IF(Atletas!G252="Nanquan Adulto",17,IF(Atletas!G252="Taijiquan Adulto",18,""))))))))))))))))))))</f>
        <v/>
      </c>
      <c r="AZ256" s="46" t="str">
        <f>IF(Atletas!H252="","",IF(Atletas!B252="Feminino",100,IF(Atletas!B252="Masculino",200,""))+(IF(Atletas!H252="Daoshu Mirim",19,IF(Atletas!H252="Jianshu Mirim",20,IF(Atletas!H252="Nandao Mirim",21,IF(Atletas!H252="Taijijian Mirim",22,IF(Atletas!H252="Daoshu Grupo C",23,IF(Atletas!H252="Jianshu Grupo C",24,IF(Atletas!H252="Nandao Grupo C",25,IF(Atletas!H252="Taijijian Grupo C",26,IF(Atletas!H252="Daoshu Grupo B",27,IF(Atletas!H252="Jianshu Grupo B",28,IF(Atletas!H252="Nandao Grupo B",29,IF(Atletas!H252="Taijijian Grupo B",30,IF(Atletas!H252="Daoshu Grupo A",31,IF(Atletas!H252="Jianshu Grupo A",32,IF(Atletas!H252="Nandao Grupo A",33,IF(Atletas!H252="Taijijian Grupo A",34,IF(Atletas!H252="Daoshu Opcional",35,IF(Atletas!H252="Jianshu Opcional",36,IF(Atletas!H252="Nandao Opcional",37,IF(Atletas!H252="Taijijian Opcional",38,IF(Atletas!H252="Daoshu Adulto",39,IF(Atletas!H252="Jianshu Adulto",40,IF(Atletas!H252="Nandao Adulto",41,IF(Atletas!H252="Taijijian Adulto",42,""))))))))))))))))))))))))))</f>
        <v/>
      </c>
      <c r="BA256" s="46" t="str">
        <f>IF(Atletas!I252="","",IF(Atletas!B252="Feminino",100,IF(Atletas!B252="Masculino",200,""))+(IF(Atletas!I252="Gunshu Mirim",43,IF(Atletas!I252="Qiangshu Mirim",44,IF(Atletas!I252="Nangun Mirim",45,IF(Atletas!I252="Gunshu Grupo C",46,IF(Atletas!I252="Qiangshu Grupo C",47,IF(Atletas!I252="Nangun Grupo C",48,IF(Atletas!I252="Gunshu Grupo B",49,IF(Atletas!I252="Qiangshu Grupo B",50,IF(Atletas!I252="Nangun Grupo B",51,IF(Atletas!I252="Gunshu Grupo A",52,IF(Atletas!I252="Qiangshu Grupo A",53,IF(Atletas!I252="Nangun Grupo A",54,IF(Atletas!I252="Gunshu Opcional",55,IF(Atletas!I252="Qiangshu Opcional",56,IF(Atletas!I252="Nangun Opcional",57,IF(Atletas!I252="Gunshu Adulto",58,IF(Atletas!I252="Qiangshu Adulto",59,IF(Atletas!I252="Nangun Adulto",60,""))))))))))))))))))))</f>
        <v/>
      </c>
      <c r="BF256" s="52" t="str">
        <f>IF(Atletas!J252="","",IF(Atletas!B252="Feminino",100,IF(Atletas!B252="Masculino",200,""))+(IF(Atletas!J252="Equipe 1 Grupo B",1,IF(Atletas!J252="Equipe 2 Grupo B",2,IF(Atletas!J252="Equipe 1 Grupo A",3,IF(Atletas!J252="Equipe 2 Grupo A",4,IF(Atletas!J252="Equipe 1 Adulto",5,IF(Atletas!J252="Equipe 2 Adulto",6,""))))))))</f>
        <v/>
      </c>
      <c r="BK256" s="52" t="str">
        <f>IF(Atletas!K252="","",IF(Atletas!W252&lt;&gt;"",10000,0)+(IF(Atletas!B252="Feminino",1000,IF(Atletas!B252="Masculino",2000,""))+IF(Atletas!K252="Choylayfut A",1,IF(Atletas!K252="Hunggar A",2,IF(Atletas!K252="Wuzuquan A",3,IF(Atletas!K252="Wingchun A",4,IF(Atletas!K252="Outra Mão de Sul A",5,IF(Atletas!K252="Choylayfut B",6,IF(Atletas!K252="Hunggar B",7,IF(Atletas!K252="Wuzuquan B",8,IF(Atletas!K252="Wingchun B",9,IF(Atletas!K252="Outra Mão de Sul B",10,IF(Atletas!K252="Choylayfut C",11,IF(Atletas!K252="Hunggar C",12,IF(Atletas!K252="Wuzuquan C",13,IF(Atletas!K252="Wingchun C",14,IF(Atletas!K252="Outra Mão de Sul C",15,IF(Atletas!K252="Choylayfut D",16,IF(Atletas!K252="Hunggar D",17,IF(Atletas!K252="Wuzuquan D",18,IF(Atletas!K252="Wingchun D",19,IF(Atletas!K252="Outra Mão de Sul D",20,IF(Atletas!K252="Choylayfut E",21,IF(Atletas!K252="Hunggar E",22,IF(Atletas!K252="Wuzuquan E",23,IF(Atletas!K252="Wingchun E",24,IF(Atletas!K252="Outra Mão de Sul E",25,IF(Atletas!K252="Choylayfut F",26,IF(Atletas!K252="Hunggar F",27,IF(Atletas!K252="Wuzuquan F",28,IF(Atletas!K252="Wingchun F",29,IF(Atletas!K252="Outra Mão de Sul F",30,""))))))))))))))))))))))))))))))))</f>
        <v/>
      </c>
      <c r="BL256" s="52" t="str">
        <f>IF(Atletas!L252="","",IF(Atletas!W252&lt;&gt;"",10000,0)+(IF(Atletas!B252="Feminino",1000,IF(Atletas!B252="Masculino",2000,""))+(IF(Atletas!L252="Chaquan A",101,IF(Atletas!L252="Emeiquan A",102,IF(Atletas!L252="Fanziquan A",103,IF(Atletas!L252="Huaquan A",104,IF(Atletas!L252="Hongquan A",105,IF(Atletas!L252="Paochui A",106,IF(Atletas!L252="Piguaquan A",107,IF(Atletas!L252="Shaolinquan A",108,IF(Atletas!L252="Tanglangquan A",109,IF(Atletas!L252="Yinzhaophai A",110,IF(Atletas!L252="Tongbeiquan A",111,IF(Atletas!L252="Wudangquan A",112,IF(Atletas!L252="Outros Estilos A",113,IF(Atletas!L252="Chaquan B",114,IF(Atletas!L252="Emeiquan B",115,IF(Atletas!L252="Fanziquan B",116,IF(Atletas!L252="Huaquan B",117,IF(Atletas!L252="Hongquan B",118,IF(Atletas!L252="Paochui B",119,IF(Atletas!L252="Piguaquan B",120,IF(Atletas!L252="Shaolinquan B",121,IF(Atletas!L252="Tanglangquan B",122,IF(Atletas!L252="Yinzhaophai B",123,IF(Atletas!L252="Tongbeiquan B",124,IF(Atletas!L252="Wudangquan B",125,IF(Atletas!L252="Outros Estilos B",126,IF(Atletas!L252="Chaquan C",127,IF(Atletas!L252="Emeiquan C",128,IF(Atletas!L252="Fanziquan C",129,IF(Atletas!L252="Huaquan C",130,IF(Atletas!L252="Hongquan C",131,IF(Atletas!L252="Paochui C",132,IF(Atletas!L252="Piguaquan C",133,IF(Atletas!L252="Shaolinquan C",134,IF(Atletas!L252="Tanglangquan C",135,IF(Atletas!L252="Yinzhaophai C",136,IF(Atletas!L252="Tongbeiquan C",137,IF(Atletas!L252="Wudangquan C",138,IF(Atletas!L252="Outros Estilos C",139,0))))))))))))))))))))))))))))))))))))))))))</f>
        <v/>
      </c>
      <c r="BM256" s="52" t="str">
        <f>IF(Atletas!L252="","",IF(Atletas!W252&lt;&gt;"",10000,0)+(IF(Atletas!B252="Feminino",1000,IF(Atletas!B252="Masculino",2000,""))+(IF(Atletas!L252="Chaquan D",140,IF(Atletas!L252="Emeiquan D",141,IF(Atletas!L252="Fanziquan D",142,IF(Atletas!L252="Huaquan D",143,IF(Atletas!L252="Hongquan D",144,IF(Atletas!L252="Paochui D",145,IF(Atletas!L252="Piguaquan D",146,IF(Atletas!L252="Shaolinquan D",147,IF(Atletas!L252="Tanglangquan D",148,IF(Atletas!L252="Yinzhaophai D",149,IF(Atletas!L252="Tongbeiquan D",150,IF(Atletas!L252="Wudangquan D",151,IF(Atletas!L252="Outros Estilos D",152,IF(Atletas!L252="Chaquan E",153,IF(Atletas!L252="Emeiquan E",154,IF(Atletas!L252="Fanziquan E",155,IF(Atletas!L252="Huaquan E",156,IF(Atletas!L252="Hongquan E",157,IF(Atletas!L252="Paochui E",158,IF(Atletas!L252="Piguaquan E",159,IF(Atletas!L252="Shaolinquan E",160,IF(Atletas!L252="Tanglangquan E",161,IF(Atletas!L252="Yinzhaophai E",162,IF(Atletas!L252="Tongbeiquan E",163,IF(Atletas!L252="Wudangquan E",164,IF(Atletas!L252="Outros Estilos E",165,IF(Atletas!L252="Chaquan F",166,IF(Atletas!L252="Emeiquan F",167,IF(Atletas!L252="Fanziquan F",168,IF(Atletas!L252="Huaquan F",169,IF(Atletas!L252="Hongquan F",170,IF(Atletas!L252="Paochui F",171,IF(Atletas!L252="Piguaquan F",172,IF(Atletas!L252="Shaolinquan F",173,IF(Atletas!L252="Tanglangquan F",174,IF(Atletas!L252="Yinzhaophai F",175,IF(Atletas!L252="Tongbeiquan F",176,IF(Atletas!L252="Wudangquan F",177,IF(Atletas!L252="Outros Estilos F",178,0))))))))))))))))))))))))))))))))))))))))))</f>
        <v/>
      </c>
      <c r="BN256" s="52" t="str">
        <f>IF(Atletas!M252="","",IF(Atletas!W252&lt;&gt;"",10000,0)+(IF(Atletas!B252="Feminino",1000,IF(Atletas!B252="Masculino",2000,""))+(IF(Atletas!M252="Ditangquan A",201,IF(Atletas!M252="Houquan A",202,IF(Atletas!M252="Zuiquan A",203,IF(Atletas!M252="Ditangquan B",204,IF(Atletas!M252="Houquan B",205,IF(Atletas!M252="Zuiquan B",206,IF(Atletas!M252="Ditangquan C",207,IF(Atletas!M252="Houquan C",208,IF(Atletas!M252="Zuiquan C",209,IF(Atletas!M252="Ditangquan D",210,IF(Atletas!M252="Houquan D",211,IF(Atletas!M252="Zuiquan D",212,IF(Atletas!M252="Ditangquan E",213,IF(Atletas!M252="Houquan E",214,IF(Atletas!M252="Zuiquan E",215,IF(Atletas!M252="Ditangquan F",216,IF(Atletas!M252="Houquan F",217,IF(Atletas!M252="Zuiquan F",218,"")))))))))))))))))))))</f>
        <v/>
      </c>
      <c r="BO256" s="52" t="str">
        <f>IF(Atletas!N252="","",IF(Atletas!W252&lt;&gt;"",10000,0)+IF(Atletas!B252="Feminino",1000,IF(Atletas!B252="Masculino",2000,""))+IF(Atletas!N252="Yang A",301,IF(Atletas!N252="Chen A",30,IF(Atletas!N252="Sun A",303,IF(Atletas!N252="Wu A",304,IF(Atletas!N252="Wu-Hao A",305,IF(Atletas!N252="Outro Taijiquan A",306,IF(Atletas!N252="Yang B",307,IF(Atletas!N252="Chen B",308,IF(Atletas!N252="Sun B",309,IF(Atletas!N252="Wu B",310,IF(Atletas!N252="Wu-Hao B",311,IF(Atletas!N252="Outro Taijiquan B",312,IF(Atletas!N252="Yang C",313,IF(Atletas!N252="Chen C",314,IF(Atletas!N252="Sun C",315,IF(Atletas!N252="Wu C",316,IF(Atletas!N252="Wu-Hao C",317,IF(Atletas!N252="Outro Taijiquan C",318,IF(Atletas!N252="Yang D",319,IF(Atletas!N252="Chen D",320,IF(Atletas!N252="Sun D",321,IF(Atletas!N252="Wu D",322,IF(Atletas!N252="Wu-Hao D",323,IF(Atletas!N252="Outro Taijiquan D",324,IF(Atletas!N252="Yang E",325,IF(Atletas!N252="Chen E",326,IF(Atletas!N252="Sun E",327,IF(Atletas!N252="Wu E",328,IF(Atletas!N252="Wu-Hao E",329,IF(Atletas!N252="Outro Taijiquan E",330,IF(Atletas!N252="Yang F",331,IF(Atletas!N252="Chen F",332,IF(Atletas!N252="Sun F",333,IF(Atletas!N252="Wu F",334,IF(Atletas!N252="Wu-Hao F",335,IF(Atletas!N252="Outro Taijiquan F",336,"")))))))))))))))))))))))))))))))))))))</f>
        <v/>
      </c>
      <c r="BP256" s="52" t="str">
        <f>IF(Atletas!O252="","",IF(Atletas!W252&lt;&gt;"",10000,0)+IF(Atletas!B252="Feminino",1000,IF(Atletas!B252="Masculino",2000,""))+IF(OR(Atletas!O252="Yang 26 A",Atletas!O252="Yang 40 A"),401,IF(OR(Atletas!O252="Chen 25 A",Atletas!O252="Chen 36 A",Atletas!O252="Chen 56 A"),402,IF(Atletas!O252="Sun 73 A",403,IF(Atletas!O252="Wu 45 A",404,IF(Atletas!O252="Wu-Hao 46 A",405,IF(OR(Atletas!O252="Taijiquan 16 A",Atletas!O252="Taijiquan 24 A",Atletas!O252="Taijiquan 32 A",Atletas!O252="Taijiquan 42 A"),406,IF(OR(Atletas!O252="Yang 26 B",Atletas!O252="Yang 40 B"),407,IF(OR(Atletas!O252="Chen 25 B",Atletas!O252="Chen 36 B",Atletas!O252="Chen 56 B"),408,IF(Atletas!O252="Sun 73 B",409,IF(Atletas!O252="Wu 45 B",410,IF(Atletas!O252="Wu-Hao 46 B",411,IF(OR(Atletas!O252="Taijiquan 16 B",Atletas!O252="Taijiquan 24 B",Atletas!O252="Taijiquan 32 B",Atletas!O252="Taijiquan 42 B"),412,IF(OR(Atletas!O252="Yang 26 C",Atletas!O252="Yang 40 C"),413,IF(OR(Atletas!O252="Chen 25 C",Atletas!O252="Chen 36 C",Atletas!O252="Chen 56 C"),414,IF(Atletas!O252="Sun 73 C",415,IF(Atletas!O252="Wu 45 C",416,IF(Atletas!O252="Wu-Hao 46 C",417,IF(OR(Atletas!O252="Taijiquan 16 C",Atletas!O252="Taijiquan 24 C",Atletas!O252="Taijiquan 32 C",Atletas!O252="Taijiquan 42 C"),418,0)))))))))))))))))))</f>
        <v/>
      </c>
      <c r="BQ256" s="52" t="str">
        <f>IF(Atletas!O252="","",IF(Atletas!W252&lt;&gt;"",10000,0)+IF(Atletas!B252="Feminino",1000,IF(Atletas!B252="Masculino",2000,""))+IF(OR(Atletas!O252="Yang 26 D",Atletas!O252="Yang 40 D"),419,IF(OR(Atletas!O252="Chen 25 D",Atletas!O252="Chen 36 D",Atletas!O252="Chen 56 D"),420,IF(Atletas!O252="Sun 73 D",421,IF(Atletas!O252="Wu 45 D",422,IF(Atletas!O252="Wu-Hao 46 D",423,IF(OR(Atletas!O252="Taijiquan 16 D",Atletas!O252="Taijiquan 24 D",Atletas!O252="Taijiquan 32 D",Atletas!O252="Taijiquan 42 D"),424,IF(OR(Atletas!O252="Yang 26 E",Atletas!O252="Yang 40 E"),425,IF(OR(Atletas!O252="Chen 25 E",Atletas!O252="Chen 36 E",Atletas!O252="Chen 56 E"),426,IF(Atletas!O252="Sun 73 E",427,IF(Atletas!O252="Wu 45 E",428,IF(Atletas!O252="Wu-Hao 46 E",429,IF(OR(Atletas!O252="Taijiquan 16 E",Atletas!O252="Taijiquan 24 E",Atletas!O252="Taijiquan 32 E",Atletas!O252="Taijiquan 42 E"),430,IF(OR(Atletas!O252="Yang 26 F",Atletas!O252="Yang 40 F"),431,IF(OR(Atletas!O252="Chen 25 F",Atletas!O252="Chen 36 F",Atletas!O252="Chen 56 F"),432,IF(Atletas!O252="Sun 73 F",433,IF(Atletas!O252="Wu 45 F",434,IF(Atletas!O252="Wu-Hao 46 F",435,IF(OR(Atletas!O252="Taijiquan 16 F",Atletas!O252="Taijiquan 24 F",Atletas!O252="Taijiquan 32 F",Atletas!O252="Taijiquan 42 F"),436,0)))))))))))))))))))</f>
        <v/>
      </c>
      <c r="BR256" s="52" t="str">
        <f>IF(Atletas!P252="","",IF(Atletas!W252&lt;&gt;"",10000,0)+IF(Atletas!B252="Feminino",1000,IF(Atletas!B252="Masculino",2000,""))+IF(Atletas!P252="Xingyiquan A",501,IF(Atletas!P252="Baguazhang A",502,IF(Atletas!P252="Outro Estilo Interno A",503,IF(Atletas!P252="Xingyiquan B",504,IF(Atletas!P252="Baguazhang B",505,IF(Atletas!P252="Outro Estilo Interno B",506,IF(Atletas!P252="Xingyiquan C",507,IF(Atletas!P252="Baguazhang C",508,IF(Atletas!P252="Outro Estilo Interno C",509,IF(Atletas!P252="Xingyiquan D",510,IF(Atletas!P252="Baguazhang D",511,IF(Atletas!P252="Outro Estilo Interno D",512,IF(Atletas!P252="Xingyiquan E",513,IF(Atletas!P252="Baguazhang E",514,IF(Atletas!P252="Outro Estilo Interno E",515,IF(Atletas!P252="Xingyiquan F",516,IF(Atletas!P252="Baguazhang F",517,IF(Atletas!P252="Outro Estilo Interno F",518, "")))))))))))))))))))</f>
        <v/>
      </c>
      <c r="BS256" s="52" t="str">
        <f>IF(Atletas!Q252="","",IF(Atletas!W252&lt;&gt;"",10000,0)+IF(Atletas!B252="Feminino",1000,IF(Atletas!B252="Masculino",2000,""))+IF(Atletas!Q252="Dao A",601,IF(Atletas!Q252="Jian A",602,IF(Atletas!Q252="Bishou A",603,IF(Atletas!Q252="Shan A",604,IF(Atletas!Q252="Outra Arma Curta A",605,IF(Atletas!Q252="Dao B",606,IF(Atletas!Q252="Jian B",607,IF(Atletas!Q252="Bishou B",608,IF(Atletas!Q252="Shan B",609,IF(Atletas!Q252="Outra Arma Curta B",610,IF(Atletas!Q252="Dao C",611,IF(Atletas!Q252="Jian C",612,IF(Atletas!Q252="Bishou C",613,IF(Atletas!Q252="Shan C",614,IF(Atletas!Q252="Outra Arma Curta C",615,IF(Atletas!Q252="Dao D",616,IF(Atletas!Q252="Jian D",617,IF(Atletas!Q252="Bishou D",618,IF(Atletas!Q252="Shan D",619,IF(Atletas!Q252="Outra Arma Curta D",620,IF(Atletas!Q252="Dao E",621,IF(Atletas!Q252="Jian E",622,IF(Atletas!Q252="Bishou E",623,IF(Atletas!Q252="Shan E",624,IF(Atletas!Q252="Outra Arma Curta E",625,IF(Atletas!Q252="Dao F",626,IF(Atletas!Q252="Jian F",627,IF(Atletas!Q252="Bishou F",628,IF(Atletas!Q252="Shan F",629,IF(Atletas!Q252="Outra Arma Curta F",630, "")))))))))))))))))))))))))))))))</f>
        <v/>
      </c>
      <c r="BT256" s="52" t="str">
        <f>IF(Atletas!R252="","",IF(Atletas!W252&lt;&gt;"",10000,0)+IF(Atletas!B252="Feminino",1000,IF(Atletas!B252="Masculino",2000,""))+IF(Atletas!R252="Gun A",701,IF(Atletas!R252="Qiang A",702,IF(Atletas!R252="Pudao / Guandao A",703,IF(Atletas!R252="Outra Arma Longa A",704,IF(Atletas!R252="Gun B",705,IF(Atletas!R252="Qiang B",706,IF(Atletas!R252="Pudao / Guandao B",707,IF(Atletas!R252="Outra Arma Longa B",708,IF(Atletas!R252="Gun C",709,IF(Atletas!R252="Qiang C",710,IF(Atletas!R252="Pudao / Guandao C",711,IF(Atletas!R252="Outra Arma Longa C",712,IF(Atletas!R252="Gun D",713,IF(Atletas!R252="Qiang D",714,IF(Atletas!R252="Pudao / Guandao D",715,IF(Atletas!R252="Outra Arma Longa D",716,IF(Atletas!R252="Gun E",717,IF(Atletas!R252="Qiang E",718,IF(Atletas!R252="Pudao / Guandao E",719,IF(Atletas!R252="Outra Arma Longa E",720,IF(Atletas!R252="Gun F",721,IF(Atletas!R252="Qiang F",722,IF(Atletas!R252="Pudao / Guandao F",723,IF(Atletas!R252="Outra Arma Longa F",724,"")))))))))))))))))))))))))</f>
        <v/>
      </c>
      <c r="BU256" s="52" t="str">
        <f>IF(Atletas!S252="","",IF(Atletas!W252&lt;&gt;"",10000,0)+IF(Atletas!B252="Feminino",1000,IF(Atletas!B252="Masculino",2000,""))+IF(Atletas!S252="Arma Dupla A",801,IF(Atletas!S252="Arma Maleável A",802,IF(Atletas!S252="Arma Dupla B",803,IF(Atletas!S252="Arma Maleável B",804,IF(Atletas!S252="Arma Dupla C",805,IF(Atletas!S252="Arma Maleável C",806,IF(Atletas!S252="Arma Dupla D",807,IF(Atletas!S252="Arma Maleável D",808,IF(Atletas!S252="Arma Dupla E",809,IF(Atletas!S252="Arma Maleável E",810,IF(Atletas!S252="Arma Dupla F",811,IF(Atletas!S252="Arma Maleável F",812, "")))))))))))))</f>
        <v/>
      </c>
      <c r="BV256" s="52" t="str">
        <f>IF(Atletas!T252="","",IF(Atletas!W252&lt;&gt;"",10000,0)+IF(Atletas!B252="Feminino",1000,IF(Atletas!B252="Masculino",2000,""))+IF(Atletas!T252="Taijijian Yang A",901,IF(Atletas!T252="Taijijian Chen A",902,IF(Atletas!T252="Taijijian Sun A",903,IF(Atletas!T252="Taijijian Wu A",904,IF(Atletas!T252="Taijijian Wu-Hao A",905,IF(Atletas!T252="Taijijian 32 A",906,IF(Atletas!T252="Taijijian 42 A",907,IF(Atletas!T252="Taijijian Yang B",908,IF(Atletas!T252="Taijijian Chen B",909,IF(Atletas!T252="Taijijian Sun B",910,IF(Atletas!T252="Taijijian Wu B",911,IF(Atletas!T252="Taijijian Wu-Hao B",912,IF(Atletas!T252="Taijijian 32 B",913,IF(Atletas!T252="Taijijian 42 B",914,IF(Atletas!T252="Taijijian Yang C",915,IF(Atletas!T252="Taijijian Chen C",916,IF(Atletas!T252="Taijijian Sun C",917,IF(Atletas!T252="Taijijian Wu C",918,IF(Atletas!T252="Taijijian Wu-Hao C",919,IF(Atletas!T252="Taijijian 32 C",920,IF(Atletas!T252="Taijijian 42 C",921,IF(Atletas!T252="Taijijian Yang D",922,IF(Atletas!T252="Taijijian Chen D",923,IF(Atletas!T252="Taijijian Sun D",924,IF(Atletas!T252="Taijijian Wu D",925,IF(Atletas!T252="Taijijian Wu-Hao D",926,IF(Atletas!T252="Taijijian 32 D",927,IF(Atletas!T252="Taijijian 42 D",928,IF(Atletas!T252="Taijijian Yang E",929,IF(Atletas!T252="Taijijian Chen E",930,IF(Atletas!T252="Taijijian Sun E",931,IF(Atletas!T252="Taijijian Wu E",932,IF(Atletas!T252="Taijijian Wu-Hao E",933,IF(Atletas!T252="Taijijian 32 E",934,IF(Atletas!T252="Taijijian 42 E",935,IF(Atletas!T252="Taijijian Yang F",936,IF(Atletas!T252="Taijijian Chen F",937,IF(Atletas!T252="Taijijian Sun F",938,IF(Atletas!T252="Taijijian Wu F",939,IF(Atletas!T252="Taijijian Wu-Hao F",940,IF(Atletas!T252="Taijijian 32 F",941,IF(Atletas!T252="Taijijian 42 F",942,"")))))))))))))))))))))))))))))))))))))))))))</f>
        <v/>
      </c>
      <c r="BW256" s="52" t="str">
        <f>IF(Atletas!U252="","",IF(Atletas!W252&lt;&gt;"",10000,0)+IF(Atletas!B252="Feminino",1000,IF(Atletas!B252="Masculino",2000,""))+IF(Atletas!T252="Taijijian 42 F",942,IF(Atletas!U252="Taijidao A",943,IF(Atletas!U252="Taijishan A",944,IF(Atletas!U252="Taijiqiang A",945,IF(Atletas!U252="Taijidao B",946,IF(Atletas!U252="Taijishan B",947,IF(Atletas!U252="Taijiqiang B",948,IF(Atletas!U252="Taijidao C",949,IF(Atletas!U252="Taijishan C",950,IF(Atletas!U252="Taijiqiang C",951,IF(Atletas!U252="Taijidao D",952,IF(Atletas!U252="Taijishan D",953,IF(Atletas!U252="Taijiqiang D",954,IF(Atletas!U252="Taijidao E",955,IF(Atletas!U252="Taijishan E",956,IF(Atletas!U252="Taijiqiang E",957,IF(Atletas!U252="Taijidao F",958,IF(Atletas!U252="Taijishan F",959,IF(Atletas!U252="Taijiqiang F",960))))))))))))))))))))</f>
        <v/>
      </c>
      <c r="BX256" s="72" t="str">
        <f>IF(BY256&lt;&gt;"","Outra Arma Longa A","")</f>
        <v/>
      </c>
      <c r="BY256" s="72" t="str">
        <f>IF(COUNTIF(BK:BW,1704)&gt;0,COUNTIF(BK:BW,1704),"")</f>
        <v/>
      </c>
      <c r="BZ256" s="72" t="str">
        <f>IF(CA256&lt;&gt;"","Outra Arma Longa A","")</f>
        <v/>
      </c>
      <c r="CA256" s="72" t="str">
        <f>IF(COUNTIF(BK:BW,2704)&gt;0,COUNTIF(BK:BW,2704),"")</f>
        <v/>
      </c>
      <c r="CB256" s="72" t="str">
        <f>IF(CC256&lt;&gt;"","Xingyiquan D","")</f>
        <v/>
      </c>
      <c r="CC256" s="64" t="str">
        <f>IF(COUNTIF(BK:BW,11510)&gt;0,COUNTIF(BK:BW,11510),"")</f>
        <v/>
      </c>
      <c r="CD256" s="64" t="str">
        <f>IF(CE256&lt;&gt;"","Xingyiquan D","")</f>
        <v/>
      </c>
      <c r="CE256" s="64" t="str">
        <f>IF(COUNTIF(BK:BW,12510)&gt;0,COUNTIF(BK:BW,12510),"")</f>
        <v/>
      </c>
      <c r="CF256" s="52" t="str">
        <f xml:space="preserve"> IF(Atletas!V252="","",IF(Atletas!V252="Duilian de Mãos AB - Equipe 1",1,IF(Atletas!V252="Duilian de Mãos AB - Equipe 2",2,IF(Atletas!V252="Duilian de Armas AB - Equipe 1",3,IF(Atletas!V252="Duilian de Armas AB - Equipe 2",4,IF(Atletas!V252="Duilian de Tuishou - Equipe 1",5,IF(Atletas!V252="Duilian de Tuishou - Equipe 2",6,IF(Atletas!V252="Grupo Externo AB - Equipe 1",7,IF(Atletas!V252="Grupo Externo AB - Equipe 2",8,IF(Atletas!V252="Grupo Interno AB - Equipe 1",9,IF(Atletas!V252="Grupo Interno AB - Equipe 2",10,IF(Atletas!V252="Duilian de Mãos CD - Equipe 1",11,IF(Atletas!V252="Duilian de Mãos CD - Equipe 2",12,IF(Atletas!V252="Duilian de Armas CD - Equipe 1",13,IF(Atletas!V252="Duilian de Armas CD - Equipe 2",14,IF(Atletas!V252="Duilian de Tuishou - Equipe 1",15,IF(Atletas!V252="Duilian de Tuishou - Equipe 2",16,IF(Atletas!V252="Grupo Externo CDEF - Equipe 1",17,IF(Atletas!V252="Grupo Externo CDEF - Equipe 2",18,IF(Atletas!V252="Grupo Interno CDEF - Equipe 1",19,IF(Atletas!V252="Grupo Interno CDEF - Equipe 2",20,IF(Atletas!V252="Duilian de Mãos EF - Equipe 1",21,IF(Atletas!V252="Duilian de Mãos EF - Equipe 2",22,IF(Atletas!V252="Duilian de Armas EF - Equipe 1",23,IF(Atletas!V252="Duilian de Armas EF - Equipe 2",24,IF(Atletas!V252="Duilian de Tuishou - Equipe 1",25,IF(Atletas!V252="Duilian de Tuishou - Equipe 2",26,"")))))))))))))))))))))))))))</f>
        <v/>
      </c>
    </row>
    <row r="257" spans="2:84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 t="str">
        <f t="array" ref="V257">IFERROR(INDEX(BX$7:BX$336,SMALL(IF(BX$7:BX$336&lt;&gt;"",ROW(BX$7:BX$336)-ROW(BX$7)+1),ROWS(BX$7:BX214))),"")</f>
        <v/>
      </c>
      <c r="W257" s="4" t="str">
        <f t="array" ref="W257">IFERROR(INDEX(BY$7:BY$336,SMALL(IF(BY$7:BY$336&lt;&gt;"",ROW(BY$7:BY$336)-ROW(BY$7)+1),ROWS(BY$7:BY214))),"")</f>
        <v/>
      </c>
      <c r="X257" s="4" t="str">
        <f t="array" ref="X257">IFERROR(INDEX(BZ$7:BZ$336,SMALL(IF(BZ$7:BZ$336&lt;&gt;"",ROW(BZ$7:BZ$336)-ROW(BZ$7)+1),ROWS(BZ$7:BZ214))),"")</f>
        <v/>
      </c>
      <c r="Y257" s="4" t="str">
        <f t="array" ref="Y257">IFERROR(INDEX(CA$7:CA$336,SMALL(IF(CA$7:CA$336&lt;&gt;"",ROW(CA$7:CA$336)-ROW(CA$7)+1),ROWS(CA$7:CA214))),"")</f>
        <v/>
      </c>
      <c r="Z257" s="4" t="str">
        <f t="array" ref="Z257">IFERROR(INDEX(CB$7:CB$378,SMALL(IF(CB$7:CB$378&lt;&gt;"",ROW(CB$7:CB$378)-ROW(CB$7)+1),ROWS(CB$7:CB256))),"")</f>
        <v/>
      </c>
      <c r="AA257" s="4" t="str">
        <f t="array" ref="AA257">IFERROR(INDEX(CC$7:CC$378,SMALL(IF(CC$7:CC$378&lt;&gt;"",ROW(CC$7:CC$378)-ROW(CC$7)+1),ROWS(CC$7:CC256))),"")</f>
        <v/>
      </c>
      <c r="AB257" s="4" t="str">
        <f t="array" ref="AB257">IFERROR(INDEX(CD$7:CD$378,SMALL(IF(CD$7:CD$378&lt;&gt;"",ROW(CD$7:CD$378)-ROW(CD$7)+1),ROWS(CD$7:CD256))),"")</f>
        <v/>
      </c>
      <c r="AC257" s="4" t="str">
        <f t="array" ref="AC257">IFERROR(INDEX(CE$7:CE$378,SMALL(IF(CE$7:CE$378&lt;&gt;"",ROW(CE$7:CE$378)-ROW(CE$7)+1),ROWS(CE$7:CE256))),"")</f>
        <v/>
      </c>
      <c r="AD257" s="4"/>
      <c r="AE257" s="4"/>
      <c r="AF257" s="4"/>
      <c r="AG257" s="4"/>
      <c r="AH257" s="4"/>
      <c r="AI257" s="4"/>
      <c r="AJ257" s="46" t="str">
        <f>IF(Atletas!D253="","",IF(Atletas!B253="Feminino",100,IF(Atletas!B253="Masculino",200,""))+(IF(Atletas!D253="Infantil 39kg",1,IF(Atletas!D253="Infantil 42kg",2,IF(Atletas!D253="Infantil 45kg",3,IF(Atletas!D253="Infantil 48kg",4,IF(Atletas!D253="Infantil 52kg",5,IF(Atletas!D253="Infantil 56kg",6,IF(Atletas!D253="Infantil 60kg",7,IF(Atletas!D253="Juvenil 48kg",8,IF(Atletas!D253="Juvenil 52kg",9,IF(Atletas!D253="Juvenil 56kg",10,IF(Atletas!D253="Juvenil 60kg",11,IF(Atletas!D253="Juvenil 65kg",12,IF(Atletas!D253="Juvenil 70kg",13,IF(Atletas!D253="Juvenil 75kg",14,IF(Atletas!D253="Juvenil 80kg",15,IF(Atletas!D253="Adulto 48kg",16,IF(Atletas!D253="Adulto 52kg",17,IF(Atletas!D253="Adulto 56kg",18,IF(Atletas!D253="Adulto 60kg",19,IF(Atletas!D253="Adulto 65kg",20,IF(Atletas!D253="Adulto 70kg",21,IF(Atletas!D253="Adulto 75kg",22,IF(Atletas!D253="Adulto 80kg",23,IF(Atletas!D253="Adulto 85kg",24,IF(Atletas!D253="Adulto 90kg",25,IF(Atletas!D253="Adulto +90kg",26,""))))))))))))))))))))))))))))</f>
        <v/>
      </c>
      <c r="AO257" s="10" t="str">
        <f>IF(Atletas!E253="","",IF(Atletas!B253="Feminino",100,IF(Atletas!B253="Masculino",200,""))+(IF(Atletas!E253="Juvenil 44kg",1,IF(Atletas!E253="Juvenil 48kg",2,IF(Atletas!E253="Juvenil 52kg",3,IF(Atletas!E253="Juvenil 56kg",4,IF(Atletas!E253="Juvenil 60kg",5,IF(Atletas!E253="Juvenil 65kg",6,IF(Atletas!E253="Juvenil 70kg",7,IF(Atletas!E253="Juvenil 75kg",8,IF(Atletas!E253="Juvenil 82kg",9,IF(Atletas!E253="Juvenil 90kg",10,IF(Atletas!E253="Juvenil 100kg",11,IF(Atletas!E253="Adulto 48kg",12,IF(Atletas!E253="Adulto 52kg",13,IF(Atletas!E253="Adulto 56kg",14,IF(Atletas!E253="Adulto 60kg",15,IF(Atletas!E253="Adulto 65kg",16,IF(Atletas!E253="Adulto 70kg",17,IF(Atletas!E253="Adulto 75kg",18,IF(Atletas!E253="Adulto 82kg",19,IF(Atletas!E253="Adulto 90kg",20,IF(Atletas!E253="Adulto 100kg",21,IF(Atletas!E253="Adulto +100kg",22,""))))))))))))))))))))))))</f>
        <v/>
      </c>
      <c r="AT257" s="10" t="str">
        <f>IF(Atletas!F253="","",IF(Atletas!B253="Feminino",100,IF(Atletas!B253="Masculino",200,""))+(IF(Atletas!F253="Adulto 48kg",1,IF(Atletas!F253="Adulto 56kg",2,IF(Atletas!F253="Adulto 65kg",3,IF(Atletas!F253="Adulto 75kg",4,IF(Atletas!F253="Adulto +75kg",5,IF(Atletas!F253="Adulto 52kg",6,IF(Atletas!F253="Adulto 60kg",7,IF(Atletas!F253="Adulto 70kg",8,IF(Atletas!F253="Adulto 80kg",9,IF(Atletas!F253="Adulto 90kg",10,IF(Atletas!F253="Adulto +90kg",11,"")))))))))))))</f>
        <v/>
      </c>
      <c r="AY257" s="46" t="str">
        <f>IF(Atletas!G253="","",IF(Atletas!B253="Feminino",100,IF(Atletas!B253="Masculino",200,""))+(IF(Atletas!G253="Changquan Mirim",1,IF(Atletas!G253="Nanquan Mirim",2,IF(Atletas!G253="Taijiquan Mirim",3,IF(Atletas!G253="Changquan Grupo C",4,IF(Atletas!G253="Nanquan Grupo C",5,IF(Atletas!G253="Taijiquan Grupo C",6,IF(Atletas!G253="Changquan Grupo B",7,IF(Atletas!G253="Nanquan Grupo B",8,IF(Atletas!G253="Taijiquan Grupo B",9,IF(Atletas!G253="Changquan Grupo A",10,IF(Atletas!G253="Nanquan Grupo A",11,IF(Atletas!G253="Taijiquan Grupo A",12,IF(Atletas!G253="Changquan Opcional",13,IF(Atletas!G253="Nanquan Opcional",14,IF(Atletas!G253="Taijiquan Opcional",15,IF(Atletas!G253="Changquan Adulto",16,IF(Atletas!G253="Nanquan Adulto",17,IF(Atletas!G253="Taijiquan Adulto",18,""))))))))))))))))))))</f>
        <v/>
      </c>
      <c r="AZ257" s="46" t="str">
        <f>IF(Atletas!H253="","",IF(Atletas!B253="Feminino",100,IF(Atletas!B253="Masculino",200,""))+(IF(Atletas!H253="Daoshu Mirim",19,IF(Atletas!H253="Jianshu Mirim",20,IF(Atletas!H253="Nandao Mirim",21,IF(Atletas!H253="Taijijian Mirim",22,IF(Atletas!H253="Daoshu Grupo C",23,IF(Atletas!H253="Jianshu Grupo C",24,IF(Atletas!H253="Nandao Grupo C",25,IF(Atletas!H253="Taijijian Grupo C",26,IF(Atletas!H253="Daoshu Grupo B",27,IF(Atletas!H253="Jianshu Grupo B",28,IF(Atletas!H253="Nandao Grupo B",29,IF(Atletas!H253="Taijijian Grupo B",30,IF(Atletas!H253="Daoshu Grupo A",31,IF(Atletas!H253="Jianshu Grupo A",32,IF(Atletas!H253="Nandao Grupo A",33,IF(Atletas!H253="Taijijian Grupo A",34,IF(Atletas!H253="Daoshu Opcional",35,IF(Atletas!H253="Jianshu Opcional",36,IF(Atletas!H253="Nandao Opcional",37,IF(Atletas!H253="Taijijian Opcional",38,IF(Atletas!H253="Daoshu Adulto",39,IF(Atletas!H253="Jianshu Adulto",40,IF(Atletas!H253="Nandao Adulto",41,IF(Atletas!H253="Taijijian Adulto",42,""))))))))))))))))))))))))))</f>
        <v/>
      </c>
      <c r="BA257" s="46" t="str">
        <f>IF(Atletas!I253="","",IF(Atletas!B253="Feminino",100,IF(Atletas!B253="Masculino",200,""))+(IF(Atletas!I253="Gunshu Mirim",43,IF(Atletas!I253="Qiangshu Mirim",44,IF(Atletas!I253="Nangun Mirim",45,IF(Atletas!I253="Gunshu Grupo C",46,IF(Atletas!I253="Qiangshu Grupo C",47,IF(Atletas!I253="Nangun Grupo C",48,IF(Atletas!I253="Gunshu Grupo B",49,IF(Atletas!I253="Qiangshu Grupo B",50,IF(Atletas!I253="Nangun Grupo B",51,IF(Atletas!I253="Gunshu Grupo A",52,IF(Atletas!I253="Qiangshu Grupo A",53,IF(Atletas!I253="Nangun Grupo A",54,IF(Atletas!I253="Gunshu Opcional",55,IF(Atletas!I253="Qiangshu Opcional",56,IF(Atletas!I253="Nangun Opcional",57,IF(Atletas!I253="Gunshu Adulto",58,IF(Atletas!I253="Qiangshu Adulto",59,IF(Atletas!I253="Nangun Adulto",60,""))))))))))))))))))))</f>
        <v/>
      </c>
      <c r="BF257" s="52" t="str">
        <f>IF(Atletas!J253="","",IF(Atletas!B253="Feminino",100,IF(Atletas!B253="Masculino",200,""))+(IF(Atletas!J253="Equipe 1 Grupo B",1,IF(Atletas!J253="Equipe 2 Grupo B",2,IF(Atletas!J253="Equipe 1 Grupo A",3,IF(Atletas!J253="Equipe 2 Grupo A",4,IF(Atletas!J253="Equipe 1 Adulto",5,IF(Atletas!J253="Equipe 2 Adulto",6,""))))))))</f>
        <v/>
      </c>
      <c r="BK257" s="52" t="str">
        <f>IF(Atletas!K253="","",IF(Atletas!W253&lt;&gt;"",10000,0)+(IF(Atletas!B253="Feminino",1000,IF(Atletas!B253="Masculino",2000,""))+IF(Atletas!K253="Choylayfut A",1,IF(Atletas!K253="Hunggar A",2,IF(Atletas!K253="Wuzuquan A",3,IF(Atletas!K253="Wingchun A",4,IF(Atletas!K253="Outra Mão de Sul A",5,IF(Atletas!K253="Choylayfut B",6,IF(Atletas!K253="Hunggar B",7,IF(Atletas!K253="Wuzuquan B",8,IF(Atletas!K253="Wingchun B",9,IF(Atletas!K253="Outra Mão de Sul B",10,IF(Atletas!K253="Choylayfut C",11,IF(Atletas!K253="Hunggar C",12,IF(Atletas!K253="Wuzuquan C",13,IF(Atletas!K253="Wingchun C",14,IF(Atletas!K253="Outra Mão de Sul C",15,IF(Atletas!K253="Choylayfut D",16,IF(Atletas!K253="Hunggar D",17,IF(Atletas!K253="Wuzuquan D",18,IF(Atletas!K253="Wingchun D",19,IF(Atletas!K253="Outra Mão de Sul D",20,IF(Atletas!K253="Choylayfut E",21,IF(Atletas!K253="Hunggar E",22,IF(Atletas!K253="Wuzuquan E",23,IF(Atletas!K253="Wingchun E",24,IF(Atletas!K253="Outra Mão de Sul E",25,IF(Atletas!K253="Choylayfut F",26,IF(Atletas!K253="Hunggar F",27,IF(Atletas!K253="Wuzuquan F",28,IF(Atletas!K253="Wingchun F",29,IF(Atletas!K253="Outra Mão de Sul F",30,""))))))))))))))))))))))))))))))))</f>
        <v/>
      </c>
      <c r="BL257" s="52" t="str">
        <f>IF(Atletas!L253="","",IF(Atletas!W253&lt;&gt;"",10000,0)+(IF(Atletas!B253="Feminino",1000,IF(Atletas!B253="Masculino",2000,""))+(IF(Atletas!L253="Chaquan A",101,IF(Atletas!L253="Emeiquan A",102,IF(Atletas!L253="Fanziquan A",103,IF(Atletas!L253="Huaquan A",104,IF(Atletas!L253="Hongquan A",105,IF(Atletas!L253="Paochui A",106,IF(Atletas!L253="Piguaquan A",107,IF(Atletas!L253="Shaolinquan A",108,IF(Atletas!L253="Tanglangquan A",109,IF(Atletas!L253="Yinzhaophai A",110,IF(Atletas!L253="Tongbeiquan A",111,IF(Atletas!L253="Wudangquan A",112,IF(Atletas!L253="Outros Estilos A",113,IF(Atletas!L253="Chaquan B",114,IF(Atletas!L253="Emeiquan B",115,IF(Atletas!L253="Fanziquan B",116,IF(Atletas!L253="Huaquan B",117,IF(Atletas!L253="Hongquan B",118,IF(Atletas!L253="Paochui B",119,IF(Atletas!L253="Piguaquan B",120,IF(Atletas!L253="Shaolinquan B",121,IF(Atletas!L253="Tanglangquan B",122,IF(Atletas!L253="Yinzhaophai B",123,IF(Atletas!L253="Tongbeiquan B",124,IF(Atletas!L253="Wudangquan B",125,IF(Atletas!L253="Outros Estilos B",126,IF(Atletas!L253="Chaquan C",127,IF(Atletas!L253="Emeiquan C",128,IF(Atletas!L253="Fanziquan C",129,IF(Atletas!L253="Huaquan C",130,IF(Atletas!L253="Hongquan C",131,IF(Atletas!L253="Paochui C",132,IF(Atletas!L253="Piguaquan C",133,IF(Atletas!L253="Shaolinquan C",134,IF(Atletas!L253="Tanglangquan C",135,IF(Atletas!L253="Yinzhaophai C",136,IF(Atletas!L253="Tongbeiquan C",137,IF(Atletas!L253="Wudangquan C",138,IF(Atletas!L253="Outros Estilos C",139,0))))))))))))))))))))))))))))))))))))))))))</f>
        <v/>
      </c>
      <c r="BM257" s="52" t="str">
        <f>IF(Atletas!L253="","",IF(Atletas!W253&lt;&gt;"",10000,0)+(IF(Atletas!B253="Feminino",1000,IF(Atletas!B253="Masculino",2000,""))+(IF(Atletas!L253="Chaquan D",140,IF(Atletas!L253="Emeiquan D",141,IF(Atletas!L253="Fanziquan D",142,IF(Atletas!L253="Huaquan D",143,IF(Atletas!L253="Hongquan D",144,IF(Atletas!L253="Paochui D",145,IF(Atletas!L253="Piguaquan D",146,IF(Atletas!L253="Shaolinquan D",147,IF(Atletas!L253="Tanglangquan D",148,IF(Atletas!L253="Yinzhaophai D",149,IF(Atletas!L253="Tongbeiquan D",150,IF(Atletas!L253="Wudangquan D",151,IF(Atletas!L253="Outros Estilos D",152,IF(Atletas!L253="Chaquan E",153,IF(Atletas!L253="Emeiquan E",154,IF(Atletas!L253="Fanziquan E",155,IF(Atletas!L253="Huaquan E",156,IF(Atletas!L253="Hongquan E",157,IF(Atletas!L253="Paochui E",158,IF(Atletas!L253="Piguaquan E",159,IF(Atletas!L253="Shaolinquan E",160,IF(Atletas!L253="Tanglangquan E",161,IF(Atletas!L253="Yinzhaophai E",162,IF(Atletas!L253="Tongbeiquan E",163,IF(Atletas!L253="Wudangquan E",164,IF(Atletas!L253="Outros Estilos E",165,IF(Atletas!L253="Chaquan F",166,IF(Atletas!L253="Emeiquan F",167,IF(Atletas!L253="Fanziquan F",168,IF(Atletas!L253="Huaquan F",169,IF(Atletas!L253="Hongquan F",170,IF(Atletas!L253="Paochui F",171,IF(Atletas!L253="Piguaquan F",172,IF(Atletas!L253="Shaolinquan F",173,IF(Atletas!L253="Tanglangquan F",174,IF(Atletas!L253="Yinzhaophai F",175,IF(Atletas!L253="Tongbeiquan F",176,IF(Atletas!L253="Wudangquan F",177,IF(Atletas!L253="Outros Estilos F",178,0))))))))))))))))))))))))))))))))))))))))))</f>
        <v/>
      </c>
      <c r="BN257" s="52" t="str">
        <f>IF(Atletas!M253="","",IF(Atletas!W253&lt;&gt;"",10000,0)+(IF(Atletas!B253="Feminino",1000,IF(Atletas!B253="Masculino",2000,""))+(IF(Atletas!M253="Ditangquan A",201,IF(Atletas!M253="Houquan A",202,IF(Atletas!M253="Zuiquan A",203,IF(Atletas!M253="Ditangquan B",204,IF(Atletas!M253="Houquan B",205,IF(Atletas!M253="Zuiquan B",206,IF(Atletas!M253="Ditangquan C",207,IF(Atletas!M253="Houquan C",208,IF(Atletas!M253="Zuiquan C",209,IF(Atletas!M253="Ditangquan D",210,IF(Atletas!M253="Houquan D",211,IF(Atletas!M253="Zuiquan D",212,IF(Atletas!M253="Ditangquan E",213,IF(Atletas!M253="Houquan E",214,IF(Atletas!M253="Zuiquan E",215,IF(Atletas!M253="Ditangquan F",216,IF(Atletas!M253="Houquan F",217,IF(Atletas!M253="Zuiquan F",218,"")))))))))))))))))))))</f>
        <v/>
      </c>
      <c r="BO257" s="52" t="str">
        <f>IF(Atletas!N253="","",IF(Atletas!W253&lt;&gt;"",10000,0)+IF(Atletas!B253="Feminino",1000,IF(Atletas!B253="Masculino",2000,""))+IF(Atletas!N253="Yang A",301,IF(Atletas!N253="Chen A",30,IF(Atletas!N253="Sun A",303,IF(Atletas!N253="Wu A",304,IF(Atletas!N253="Wu-Hao A",305,IF(Atletas!N253="Outro Taijiquan A",306,IF(Atletas!N253="Yang B",307,IF(Atletas!N253="Chen B",308,IF(Atletas!N253="Sun B",309,IF(Atletas!N253="Wu B",310,IF(Atletas!N253="Wu-Hao B",311,IF(Atletas!N253="Outro Taijiquan B",312,IF(Atletas!N253="Yang C",313,IF(Atletas!N253="Chen C",314,IF(Atletas!N253="Sun C",315,IF(Atletas!N253="Wu C",316,IF(Atletas!N253="Wu-Hao C",317,IF(Atletas!N253="Outro Taijiquan C",318,IF(Atletas!N253="Yang D",319,IF(Atletas!N253="Chen D",320,IF(Atletas!N253="Sun D",321,IF(Atletas!N253="Wu D",322,IF(Atletas!N253="Wu-Hao D",323,IF(Atletas!N253="Outro Taijiquan D",324,IF(Atletas!N253="Yang E",325,IF(Atletas!N253="Chen E",326,IF(Atletas!N253="Sun E",327,IF(Atletas!N253="Wu E",328,IF(Atletas!N253="Wu-Hao E",329,IF(Atletas!N253="Outro Taijiquan E",330,IF(Atletas!N253="Yang F",331,IF(Atletas!N253="Chen F",332,IF(Atletas!N253="Sun F",333,IF(Atletas!N253="Wu F",334,IF(Atletas!N253="Wu-Hao F",335,IF(Atletas!N253="Outro Taijiquan F",336,"")))))))))))))))))))))))))))))))))))))</f>
        <v/>
      </c>
      <c r="BP257" s="52" t="str">
        <f>IF(Atletas!O253="","",IF(Atletas!W253&lt;&gt;"",10000,0)+IF(Atletas!B253="Feminino",1000,IF(Atletas!B253="Masculino",2000,""))+IF(OR(Atletas!O253="Yang 26 A",Atletas!O253="Yang 40 A"),401,IF(OR(Atletas!O253="Chen 25 A",Atletas!O253="Chen 36 A",Atletas!O253="Chen 56 A"),402,IF(Atletas!O253="Sun 73 A",403,IF(Atletas!O253="Wu 45 A",404,IF(Atletas!O253="Wu-Hao 46 A",405,IF(OR(Atletas!O253="Taijiquan 16 A",Atletas!O253="Taijiquan 24 A",Atletas!O253="Taijiquan 32 A",Atletas!O253="Taijiquan 42 A"),406,IF(OR(Atletas!O253="Yang 26 B",Atletas!O253="Yang 40 B"),407,IF(OR(Atletas!O253="Chen 25 B",Atletas!O253="Chen 36 B",Atletas!O253="Chen 56 B"),408,IF(Atletas!O253="Sun 73 B",409,IF(Atletas!O253="Wu 45 B",410,IF(Atletas!O253="Wu-Hao 46 B",411,IF(OR(Atletas!O253="Taijiquan 16 B",Atletas!O253="Taijiquan 24 B",Atletas!O253="Taijiquan 32 B",Atletas!O253="Taijiquan 42 B"),412,IF(OR(Atletas!O253="Yang 26 C",Atletas!O253="Yang 40 C"),413,IF(OR(Atletas!O253="Chen 25 C",Atletas!O253="Chen 36 C",Atletas!O253="Chen 56 C"),414,IF(Atletas!O253="Sun 73 C",415,IF(Atletas!O253="Wu 45 C",416,IF(Atletas!O253="Wu-Hao 46 C",417,IF(OR(Atletas!O253="Taijiquan 16 C",Atletas!O253="Taijiquan 24 C",Atletas!O253="Taijiquan 32 C",Atletas!O253="Taijiquan 42 C"),418,0)))))))))))))))))))</f>
        <v/>
      </c>
      <c r="BQ257" s="52" t="str">
        <f>IF(Atletas!O253="","",IF(Atletas!W253&lt;&gt;"",10000,0)+IF(Atletas!B253="Feminino",1000,IF(Atletas!B253="Masculino",2000,""))+IF(OR(Atletas!O253="Yang 26 D",Atletas!O253="Yang 40 D"),419,IF(OR(Atletas!O253="Chen 25 D",Atletas!O253="Chen 36 D",Atletas!O253="Chen 56 D"),420,IF(Atletas!O253="Sun 73 D",421,IF(Atletas!O253="Wu 45 D",422,IF(Atletas!O253="Wu-Hao 46 D",423,IF(OR(Atletas!O253="Taijiquan 16 D",Atletas!O253="Taijiquan 24 D",Atletas!O253="Taijiquan 32 D",Atletas!O253="Taijiquan 42 D"),424,IF(OR(Atletas!O253="Yang 26 E",Atletas!O253="Yang 40 E"),425,IF(OR(Atletas!O253="Chen 25 E",Atletas!O253="Chen 36 E",Atletas!O253="Chen 56 E"),426,IF(Atletas!O253="Sun 73 E",427,IF(Atletas!O253="Wu 45 E",428,IF(Atletas!O253="Wu-Hao 46 E",429,IF(OR(Atletas!O253="Taijiquan 16 E",Atletas!O253="Taijiquan 24 E",Atletas!O253="Taijiquan 32 E",Atletas!O253="Taijiquan 42 E"),430,IF(OR(Atletas!O253="Yang 26 F",Atletas!O253="Yang 40 F"),431,IF(OR(Atletas!O253="Chen 25 F",Atletas!O253="Chen 36 F",Atletas!O253="Chen 56 F"),432,IF(Atletas!O253="Sun 73 F",433,IF(Atletas!O253="Wu 45 F",434,IF(Atletas!O253="Wu-Hao 46 F",435,IF(OR(Atletas!O253="Taijiquan 16 F",Atletas!O253="Taijiquan 24 F",Atletas!O253="Taijiquan 32 F",Atletas!O253="Taijiquan 42 F"),436,0)))))))))))))))))))</f>
        <v/>
      </c>
      <c r="BR257" s="52" t="str">
        <f>IF(Atletas!P253="","",IF(Atletas!W253&lt;&gt;"",10000,0)+IF(Atletas!B253="Feminino",1000,IF(Atletas!B253="Masculino",2000,""))+IF(Atletas!P253="Xingyiquan A",501,IF(Atletas!P253="Baguazhang A",502,IF(Atletas!P253="Outro Estilo Interno A",503,IF(Atletas!P253="Xingyiquan B",504,IF(Atletas!P253="Baguazhang B",505,IF(Atletas!P253="Outro Estilo Interno B",506,IF(Atletas!P253="Xingyiquan C",507,IF(Atletas!P253="Baguazhang C",508,IF(Atletas!P253="Outro Estilo Interno C",509,IF(Atletas!P253="Xingyiquan D",510,IF(Atletas!P253="Baguazhang D",511,IF(Atletas!P253="Outro Estilo Interno D",512,IF(Atletas!P253="Xingyiquan E",513,IF(Atletas!P253="Baguazhang E",514,IF(Atletas!P253="Outro Estilo Interno E",515,IF(Atletas!P253="Xingyiquan F",516,IF(Atletas!P253="Baguazhang F",517,IF(Atletas!P253="Outro Estilo Interno F",518, "")))))))))))))))))))</f>
        <v/>
      </c>
      <c r="BS257" s="52" t="str">
        <f>IF(Atletas!Q253="","",IF(Atletas!W253&lt;&gt;"",10000,0)+IF(Atletas!B253="Feminino",1000,IF(Atletas!B253="Masculino",2000,""))+IF(Atletas!Q253="Dao A",601,IF(Atletas!Q253="Jian A",602,IF(Atletas!Q253="Bishou A",603,IF(Atletas!Q253="Shan A",604,IF(Atletas!Q253="Outra Arma Curta A",605,IF(Atletas!Q253="Dao B",606,IF(Atletas!Q253="Jian B",607,IF(Atletas!Q253="Bishou B",608,IF(Atletas!Q253="Shan B",609,IF(Atletas!Q253="Outra Arma Curta B",610,IF(Atletas!Q253="Dao C",611,IF(Atletas!Q253="Jian C",612,IF(Atletas!Q253="Bishou C",613,IF(Atletas!Q253="Shan C",614,IF(Atletas!Q253="Outra Arma Curta C",615,IF(Atletas!Q253="Dao D",616,IF(Atletas!Q253="Jian D",617,IF(Atletas!Q253="Bishou D",618,IF(Atletas!Q253="Shan D",619,IF(Atletas!Q253="Outra Arma Curta D",620,IF(Atletas!Q253="Dao E",621,IF(Atletas!Q253="Jian E",622,IF(Atletas!Q253="Bishou E",623,IF(Atletas!Q253="Shan E",624,IF(Atletas!Q253="Outra Arma Curta E",625,IF(Atletas!Q253="Dao F",626,IF(Atletas!Q253="Jian F",627,IF(Atletas!Q253="Bishou F",628,IF(Atletas!Q253="Shan F",629,IF(Atletas!Q253="Outra Arma Curta F",630, "")))))))))))))))))))))))))))))))</f>
        <v/>
      </c>
      <c r="BT257" s="52" t="str">
        <f>IF(Atletas!R253="","",IF(Atletas!W253&lt;&gt;"",10000,0)+IF(Atletas!B253="Feminino",1000,IF(Atletas!B253="Masculino",2000,""))+IF(Atletas!R253="Gun A",701,IF(Atletas!R253="Qiang A",702,IF(Atletas!R253="Pudao / Guandao A",703,IF(Atletas!R253="Outra Arma Longa A",704,IF(Atletas!R253="Gun B",705,IF(Atletas!R253="Qiang B",706,IF(Atletas!R253="Pudao / Guandao B",707,IF(Atletas!R253="Outra Arma Longa B",708,IF(Atletas!R253="Gun C",709,IF(Atletas!R253="Qiang C",710,IF(Atletas!R253="Pudao / Guandao C",711,IF(Atletas!R253="Outra Arma Longa C",712,IF(Atletas!R253="Gun D",713,IF(Atletas!R253="Qiang D",714,IF(Atletas!R253="Pudao / Guandao D",715,IF(Atletas!R253="Outra Arma Longa D",716,IF(Atletas!R253="Gun E",717,IF(Atletas!R253="Qiang E",718,IF(Atletas!R253="Pudao / Guandao E",719,IF(Atletas!R253="Outra Arma Longa E",720,IF(Atletas!R253="Gun F",721,IF(Atletas!R253="Qiang F",722,IF(Atletas!R253="Pudao / Guandao F",723,IF(Atletas!R253="Outra Arma Longa F",724,"")))))))))))))))))))))))))</f>
        <v/>
      </c>
      <c r="BU257" s="52" t="str">
        <f>IF(Atletas!S253="","",IF(Atletas!W253&lt;&gt;"",10000,0)+IF(Atletas!B253="Feminino",1000,IF(Atletas!B253="Masculino",2000,""))+IF(Atletas!S253="Arma Dupla A",801,IF(Atletas!S253="Arma Maleável A",802,IF(Atletas!S253="Arma Dupla B",803,IF(Atletas!S253="Arma Maleável B",804,IF(Atletas!S253="Arma Dupla C",805,IF(Atletas!S253="Arma Maleável C",806,IF(Atletas!S253="Arma Dupla D",807,IF(Atletas!S253="Arma Maleável D",808,IF(Atletas!S253="Arma Dupla E",809,IF(Atletas!S253="Arma Maleável E",810,IF(Atletas!S253="Arma Dupla F",811,IF(Atletas!S253="Arma Maleável F",812, "")))))))))))))</f>
        <v/>
      </c>
      <c r="BV257" s="52" t="str">
        <f>IF(Atletas!T253="","",IF(Atletas!W253&lt;&gt;"",10000,0)+IF(Atletas!B253="Feminino",1000,IF(Atletas!B253="Masculino",2000,""))+IF(Atletas!T253="Taijijian Yang A",901,IF(Atletas!T253="Taijijian Chen A",902,IF(Atletas!T253="Taijijian Sun A",903,IF(Atletas!T253="Taijijian Wu A",904,IF(Atletas!T253="Taijijian Wu-Hao A",905,IF(Atletas!T253="Taijijian 32 A",906,IF(Atletas!T253="Taijijian 42 A",907,IF(Atletas!T253="Taijijian Yang B",908,IF(Atletas!T253="Taijijian Chen B",909,IF(Atletas!T253="Taijijian Sun B",910,IF(Atletas!T253="Taijijian Wu B",911,IF(Atletas!T253="Taijijian Wu-Hao B",912,IF(Atletas!T253="Taijijian 32 B",913,IF(Atletas!T253="Taijijian 42 B",914,IF(Atletas!T253="Taijijian Yang C",915,IF(Atletas!T253="Taijijian Chen C",916,IF(Atletas!T253="Taijijian Sun C",917,IF(Atletas!T253="Taijijian Wu C",918,IF(Atletas!T253="Taijijian Wu-Hao C",919,IF(Atletas!T253="Taijijian 32 C",920,IF(Atletas!T253="Taijijian 42 C",921,IF(Atletas!T253="Taijijian Yang D",922,IF(Atletas!T253="Taijijian Chen D",923,IF(Atletas!T253="Taijijian Sun D",924,IF(Atletas!T253="Taijijian Wu D",925,IF(Atletas!T253="Taijijian Wu-Hao D",926,IF(Atletas!T253="Taijijian 32 D",927,IF(Atletas!T253="Taijijian 42 D",928,IF(Atletas!T253="Taijijian Yang E",929,IF(Atletas!T253="Taijijian Chen E",930,IF(Atletas!T253="Taijijian Sun E",931,IF(Atletas!T253="Taijijian Wu E",932,IF(Atletas!T253="Taijijian Wu-Hao E",933,IF(Atletas!T253="Taijijian 32 E",934,IF(Atletas!T253="Taijijian 42 E",935,IF(Atletas!T253="Taijijian Yang F",936,IF(Atletas!T253="Taijijian Chen F",937,IF(Atletas!T253="Taijijian Sun F",938,IF(Atletas!T253="Taijijian Wu F",939,IF(Atletas!T253="Taijijian Wu-Hao F",940,IF(Atletas!T253="Taijijian 32 F",941,IF(Atletas!T253="Taijijian 42 F",942,"")))))))))))))))))))))))))))))))))))))))))))</f>
        <v/>
      </c>
      <c r="BW257" s="52" t="str">
        <f>IF(Atletas!U253="","",IF(Atletas!W253&lt;&gt;"",10000,0)+IF(Atletas!B253="Feminino",1000,IF(Atletas!B253="Masculino",2000,""))+IF(Atletas!T253="Taijijian 42 F",942,IF(Atletas!U253="Taijidao A",943,IF(Atletas!U253="Taijishan A",944,IF(Atletas!U253="Taijiqiang A",945,IF(Atletas!U253="Taijidao B",946,IF(Atletas!U253="Taijishan B",947,IF(Atletas!U253="Taijiqiang B",948,IF(Atletas!U253="Taijidao C",949,IF(Atletas!U253="Taijishan C",950,IF(Atletas!U253="Taijiqiang C",951,IF(Atletas!U253="Taijidao D",952,IF(Atletas!U253="Taijishan D",953,IF(Atletas!U253="Taijiqiang D",954,IF(Atletas!U253="Taijidao E",955,IF(Atletas!U253="Taijishan E",956,IF(Atletas!U253="Taijiqiang E",957,IF(Atletas!U253="Taijidao F",958,IF(Atletas!U253="Taijishan F",959,IF(Atletas!U253="Taijiqiang F",960))))))))))))))))))))</f>
        <v/>
      </c>
      <c r="BX257" s="72" t="str">
        <f>IF(BY257&lt;&gt;"","Gun B","")</f>
        <v/>
      </c>
      <c r="BY257" s="72" t="str">
        <f>IF(COUNTIF(BK:BW,1705)&gt;0,COUNTIF(BK:BW,1705),"")</f>
        <v/>
      </c>
      <c r="BZ257" s="72" t="str">
        <f>IF(CA257&lt;&gt;"","Gun B","")</f>
        <v/>
      </c>
      <c r="CA257" s="72" t="str">
        <f>IF(COUNTIF(BK:BW,2705)&gt;0,COUNTIF(BK:BW,2705),"")</f>
        <v/>
      </c>
      <c r="CB257" s="72" t="str">
        <f>IF(CC257&lt;&gt;"","Baguazhang D ","")</f>
        <v/>
      </c>
      <c r="CC257" s="64" t="str">
        <f>IF(COUNTIF(BK:BW,11511)&gt;0,COUNTIF(BK:BW,11511),"")</f>
        <v/>
      </c>
      <c r="CD257" s="64" t="str">
        <f>IF(CE257&lt;&gt;"","Baguazhang D ","")</f>
        <v/>
      </c>
      <c r="CE257" s="64" t="str">
        <f>IF(COUNTIF(BK:BW,12511)&gt;0,COUNTIF(BK:BW,12511),"")</f>
        <v/>
      </c>
      <c r="CF257" s="52" t="str">
        <f xml:space="preserve"> IF(Atletas!V253="","",IF(Atletas!V253="Duilian de Mãos AB - Equipe 1",1,IF(Atletas!V253="Duilian de Mãos AB - Equipe 2",2,IF(Atletas!V253="Duilian de Armas AB - Equipe 1",3,IF(Atletas!V253="Duilian de Armas AB - Equipe 2",4,IF(Atletas!V253="Duilian de Tuishou - Equipe 1",5,IF(Atletas!V253="Duilian de Tuishou - Equipe 2",6,IF(Atletas!V253="Grupo Externo AB - Equipe 1",7,IF(Atletas!V253="Grupo Externo AB - Equipe 2",8,IF(Atletas!V253="Grupo Interno AB - Equipe 1",9,IF(Atletas!V253="Grupo Interno AB - Equipe 2",10,IF(Atletas!V253="Duilian de Mãos CD - Equipe 1",11,IF(Atletas!V253="Duilian de Mãos CD - Equipe 2",12,IF(Atletas!V253="Duilian de Armas CD - Equipe 1",13,IF(Atletas!V253="Duilian de Armas CD - Equipe 2",14,IF(Atletas!V253="Duilian de Tuishou - Equipe 1",15,IF(Atletas!V253="Duilian de Tuishou - Equipe 2",16,IF(Atletas!V253="Grupo Externo CDEF - Equipe 1",17,IF(Atletas!V253="Grupo Externo CDEF - Equipe 2",18,IF(Atletas!V253="Grupo Interno CDEF - Equipe 1",19,IF(Atletas!V253="Grupo Interno CDEF - Equipe 2",20,IF(Atletas!V253="Duilian de Mãos EF - Equipe 1",21,IF(Atletas!V253="Duilian de Mãos EF - Equipe 2",22,IF(Atletas!V253="Duilian de Armas EF - Equipe 1",23,IF(Atletas!V253="Duilian de Armas EF - Equipe 2",24,IF(Atletas!V253="Duilian de Tuishou - Equipe 1",25,IF(Atletas!V253="Duilian de Tuishou - Equipe 2",26,"")))))))))))))))))))))))))))</f>
        <v/>
      </c>
    </row>
    <row r="258" spans="2:84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 t="str">
        <f t="array" ref="V258">IFERROR(INDEX(BX$7:BX$336,SMALL(IF(BX$7:BX$336&lt;&gt;"",ROW(BX$7:BX$336)-ROW(BX$7)+1),ROWS(BX$7:BX215))),"")</f>
        <v/>
      </c>
      <c r="W258" s="4" t="str">
        <f t="array" ref="W258">IFERROR(INDEX(BY$7:BY$336,SMALL(IF(BY$7:BY$336&lt;&gt;"",ROW(BY$7:BY$336)-ROW(BY$7)+1),ROWS(BY$7:BY215))),"")</f>
        <v/>
      </c>
      <c r="X258" s="4" t="str">
        <f t="array" ref="X258">IFERROR(INDEX(BZ$7:BZ$336,SMALL(IF(BZ$7:BZ$336&lt;&gt;"",ROW(BZ$7:BZ$336)-ROW(BZ$7)+1),ROWS(BZ$7:BZ215))),"")</f>
        <v/>
      </c>
      <c r="Y258" s="4" t="str">
        <f t="array" ref="Y258">IFERROR(INDEX(CA$7:CA$336,SMALL(IF(CA$7:CA$336&lt;&gt;"",ROW(CA$7:CA$336)-ROW(CA$7)+1),ROWS(CA$7:CA215))),"")</f>
        <v/>
      </c>
      <c r="Z258" s="4" t="str">
        <f t="array" ref="Z258">IFERROR(INDEX(CB$7:CB$378,SMALL(IF(CB$7:CB$378&lt;&gt;"",ROW(CB$7:CB$378)-ROW(CB$7)+1),ROWS(CB$7:CB257))),"")</f>
        <v/>
      </c>
      <c r="AA258" s="4" t="str">
        <f t="array" ref="AA258">IFERROR(INDEX(CC$7:CC$378,SMALL(IF(CC$7:CC$378&lt;&gt;"",ROW(CC$7:CC$378)-ROW(CC$7)+1),ROWS(CC$7:CC257))),"")</f>
        <v/>
      </c>
      <c r="AB258" s="4" t="str">
        <f t="array" ref="AB258">IFERROR(INDEX(CD$7:CD$378,SMALL(IF(CD$7:CD$378&lt;&gt;"",ROW(CD$7:CD$378)-ROW(CD$7)+1),ROWS(CD$7:CD257))),"")</f>
        <v/>
      </c>
      <c r="AC258" s="4" t="str">
        <f t="array" ref="AC258">IFERROR(INDEX(CE$7:CE$378,SMALL(IF(CE$7:CE$378&lt;&gt;"",ROW(CE$7:CE$378)-ROW(CE$7)+1),ROWS(CE$7:CE257))),"")</f>
        <v/>
      </c>
      <c r="AD258" s="4"/>
      <c r="AE258" s="4"/>
      <c r="AF258" s="4"/>
      <c r="AG258" s="4"/>
      <c r="AH258" s="4"/>
      <c r="AI258" s="4"/>
      <c r="AJ258" s="46" t="str">
        <f>IF(Atletas!D254="","",IF(Atletas!B254="Feminino",100,IF(Atletas!B254="Masculino",200,""))+(IF(Atletas!D254="Infantil 39kg",1,IF(Atletas!D254="Infantil 42kg",2,IF(Atletas!D254="Infantil 45kg",3,IF(Atletas!D254="Infantil 48kg",4,IF(Atletas!D254="Infantil 52kg",5,IF(Atletas!D254="Infantil 56kg",6,IF(Atletas!D254="Infantil 60kg",7,IF(Atletas!D254="Juvenil 48kg",8,IF(Atletas!D254="Juvenil 52kg",9,IF(Atletas!D254="Juvenil 56kg",10,IF(Atletas!D254="Juvenil 60kg",11,IF(Atletas!D254="Juvenil 65kg",12,IF(Atletas!D254="Juvenil 70kg",13,IF(Atletas!D254="Juvenil 75kg",14,IF(Atletas!D254="Juvenil 80kg",15,IF(Atletas!D254="Adulto 48kg",16,IF(Atletas!D254="Adulto 52kg",17,IF(Atletas!D254="Adulto 56kg",18,IF(Atletas!D254="Adulto 60kg",19,IF(Atletas!D254="Adulto 65kg",20,IF(Atletas!D254="Adulto 70kg",21,IF(Atletas!D254="Adulto 75kg",22,IF(Atletas!D254="Adulto 80kg",23,IF(Atletas!D254="Adulto 85kg",24,IF(Atletas!D254="Adulto 90kg",25,IF(Atletas!D254="Adulto +90kg",26,""))))))))))))))))))))))))))))</f>
        <v/>
      </c>
      <c r="AO258" s="10" t="str">
        <f>IF(Atletas!E254="","",IF(Atletas!B254="Feminino",100,IF(Atletas!B254="Masculino",200,""))+(IF(Atletas!E254="Juvenil 44kg",1,IF(Atletas!E254="Juvenil 48kg",2,IF(Atletas!E254="Juvenil 52kg",3,IF(Atletas!E254="Juvenil 56kg",4,IF(Atletas!E254="Juvenil 60kg",5,IF(Atletas!E254="Juvenil 65kg",6,IF(Atletas!E254="Juvenil 70kg",7,IF(Atletas!E254="Juvenil 75kg",8,IF(Atletas!E254="Juvenil 82kg",9,IF(Atletas!E254="Juvenil 90kg",10,IF(Atletas!E254="Juvenil 100kg",11,IF(Atletas!E254="Adulto 48kg",12,IF(Atletas!E254="Adulto 52kg",13,IF(Atletas!E254="Adulto 56kg",14,IF(Atletas!E254="Adulto 60kg",15,IF(Atletas!E254="Adulto 65kg",16,IF(Atletas!E254="Adulto 70kg",17,IF(Atletas!E254="Adulto 75kg",18,IF(Atletas!E254="Adulto 82kg",19,IF(Atletas!E254="Adulto 90kg",20,IF(Atletas!E254="Adulto 100kg",21,IF(Atletas!E254="Adulto +100kg",22,""))))))))))))))))))))))))</f>
        <v/>
      </c>
      <c r="AT258" s="10" t="str">
        <f>IF(Atletas!F254="","",IF(Atletas!B254="Feminino",100,IF(Atletas!B254="Masculino",200,""))+(IF(Atletas!F254="Adulto 48kg",1,IF(Atletas!F254="Adulto 56kg",2,IF(Atletas!F254="Adulto 65kg",3,IF(Atletas!F254="Adulto 75kg",4,IF(Atletas!F254="Adulto +75kg",5,IF(Atletas!F254="Adulto 52kg",6,IF(Atletas!F254="Adulto 60kg",7,IF(Atletas!F254="Adulto 70kg",8,IF(Atletas!F254="Adulto 80kg",9,IF(Atletas!F254="Adulto 90kg",10,IF(Atletas!F254="Adulto +90kg",11,"")))))))))))))</f>
        <v/>
      </c>
      <c r="AY258" s="46" t="str">
        <f>IF(Atletas!G254="","",IF(Atletas!B254="Feminino",100,IF(Atletas!B254="Masculino",200,""))+(IF(Atletas!G254="Changquan Mirim",1,IF(Atletas!G254="Nanquan Mirim",2,IF(Atletas!G254="Taijiquan Mirim",3,IF(Atletas!G254="Changquan Grupo C",4,IF(Atletas!G254="Nanquan Grupo C",5,IF(Atletas!G254="Taijiquan Grupo C",6,IF(Atletas!G254="Changquan Grupo B",7,IF(Atletas!G254="Nanquan Grupo B",8,IF(Atletas!G254="Taijiquan Grupo B",9,IF(Atletas!G254="Changquan Grupo A",10,IF(Atletas!G254="Nanquan Grupo A",11,IF(Atletas!G254="Taijiquan Grupo A",12,IF(Atletas!G254="Changquan Opcional",13,IF(Atletas!G254="Nanquan Opcional",14,IF(Atletas!G254="Taijiquan Opcional",15,IF(Atletas!G254="Changquan Adulto",16,IF(Atletas!G254="Nanquan Adulto",17,IF(Atletas!G254="Taijiquan Adulto",18,""))))))))))))))))))))</f>
        <v/>
      </c>
      <c r="AZ258" s="46" t="str">
        <f>IF(Atletas!H254="","",IF(Atletas!B254="Feminino",100,IF(Atletas!B254="Masculino",200,""))+(IF(Atletas!H254="Daoshu Mirim",19,IF(Atletas!H254="Jianshu Mirim",20,IF(Atletas!H254="Nandao Mirim",21,IF(Atletas!H254="Taijijian Mirim",22,IF(Atletas!H254="Daoshu Grupo C",23,IF(Atletas!H254="Jianshu Grupo C",24,IF(Atletas!H254="Nandao Grupo C",25,IF(Atletas!H254="Taijijian Grupo C",26,IF(Atletas!H254="Daoshu Grupo B",27,IF(Atletas!H254="Jianshu Grupo B",28,IF(Atletas!H254="Nandao Grupo B",29,IF(Atletas!H254="Taijijian Grupo B",30,IF(Atletas!H254="Daoshu Grupo A",31,IF(Atletas!H254="Jianshu Grupo A",32,IF(Atletas!H254="Nandao Grupo A",33,IF(Atletas!H254="Taijijian Grupo A",34,IF(Atletas!H254="Daoshu Opcional",35,IF(Atletas!H254="Jianshu Opcional",36,IF(Atletas!H254="Nandao Opcional",37,IF(Atletas!H254="Taijijian Opcional",38,IF(Atletas!H254="Daoshu Adulto",39,IF(Atletas!H254="Jianshu Adulto",40,IF(Atletas!H254="Nandao Adulto",41,IF(Atletas!H254="Taijijian Adulto",42,""))))))))))))))))))))))))))</f>
        <v/>
      </c>
      <c r="BA258" s="46" t="str">
        <f>IF(Atletas!I254="","",IF(Atletas!B254="Feminino",100,IF(Atletas!B254="Masculino",200,""))+(IF(Atletas!I254="Gunshu Mirim",43,IF(Atletas!I254="Qiangshu Mirim",44,IF(Atletas!I254="Nangun Mirim",45,IF(Atletas!I254="Gunshu Grupo C",46,IF(Atletas!I254="Qiangshu Grupo C",47,IF(Atletas!I254="Nangun Grupo C",48,IF(Atletas!I254="Gunshu Grupo B",49,IF(Atletas!I254="Qiangshu Grupo B",50,IF(Atletas!I254="Nangun Grupo B",51,IF(Atletas!I254="Gunshu Grupo A",52,IF(Atletas!I254="Qiangshu Grupo A",53,IF(Atletas!I254="Nangun Grupo A",54,IF(Atletas!I254="Gunshu Opcional",55,IF(Atletas!I254="Qiangshu Opcional",56,IF(Atletas!I254="Nangun Opcional",57,IF(Atletas!I254="Gunshu Adulto",58,IF(Atletas!I254="Qiangshu Adulto",59,IF(Atletas!I254="Nangun Adulto",60,""))))))))))))))))))))</f>
        <v/>
      </c>
      <c r="BF258" s="52" t="str">
        <f>IF(Atletas!J254="","",IF(Atletas!B254="Feminino",100,IF(Atletas!B254="Masculino",200,""))+(IF(Atletas!J254="Equipe 1 Grupo B",1,IF(Atletas!J254="Equipe 2 Grupo B",2,IF(Atletas!J254="Equipe 1 Grupo A",3,IF(Atletas!J254="Equipe 2 Grupo A",4,IF(Atletas!J254="Equipe 1 Adulto",5,IF(Atletas!J254="Equipe 2 Adulto",6,""))))))))</f>
        <v/>
      </c>
      <c r="BK258" s="52" t="str">
        <f>IF(Atletas!K254="","",IF(Atletas!W254&lt;&gt;"",10000,0)+(IF(Atletas!B254="Feminino",1000,IF(Atletas!B254="Masculino",2000,""))+IF(Atletas!K254="Choylayfut A",1,IF(Atletas!K254="Hunggar A",2,IF(Atletas!K254="Wuzuquan A",3,IF(Atletas!K254="Wingchun A",4,IF(Atletas!K254="Outra Mão de Sul A",5,IF(Atletas!K254="Choylayfut B",6,IF(Atletas!K254="Hunggar B",7,IF(Atletas!K254="Wuzuquan B",8,IF(Atletas!K254="Wingchun B",9,IF(Atletas!K254="Outra Mão de Sul B",10,IF(Atletas!K254="Choylayfut C",11,IF(Atletas!K254="Hunggar C",12,IF(Atletas!K254="Wuzuquan C",13,IF(Atletas!K254="Wingchun C",14,IF(Atletas!K254="Outra Mão de Sul C",15,IF(Atletas!K254="Choylayfut D",16,IF(Atletas!K254="Hunggar D",17,IF(Atletas!K254="Wuzuquan D",18,IF(Atletas!K254="Wingchun D",19,IF(Atletas!K254="Outra Mão de Sul D",20,IF(Atletas!K254="Choylayfut E",21,IF(Atletas!K254="Hunggar E",22,IF(Atletas!K254="Wuzuquan E",23,IF(Atletas!K254="Wingchun E",24,IF(Atletas!K254="Outra Mão de Sul E",25,IF(Atletas!K254="Choylayfut F",26,IF(Atletas!K254="Hunggar F",27,IF(Atletas!K254="Wuzuquan F",28,IF(Atletas!K254="Wingchun F",29,IF(Atletas!K254="Outra Mão de Sul F",30,""))))))))))))))))))))))))))))))))</f>
        <v/>
      </c>
      <c r="BL258" s="52" t="str">
        <f>IF(Atletas!L254="","",IF(Atletas!W254&lt;&gt;"",10000,0)+(IF(Atletas!B254="Feminino",1000,IF(Atletas!B254="Masculino",2000,""))+(IF(Atletas!L254="Chaquan A",101,IF(Atletas!L254="Emeiquan A",102,IF(Atletas!L254="Fanziquan A",103,IF(Atletas!L254="Huaquan A",104,IF(Atletas!L254="Hongquan A",105,IF(Atletas!L254="Paochui A",106,IF(Atletas!L254="Piguaquan A",107,IF(Atletas!L254="Shaolinquan A",108,IF(Atletas!L254="Tanglangquan A",109,IF(Atletas!L254="Yinzhaophai A",110,IF(Atletas!L254="Tongbeiquan A",111,IF(Atletas!L254="Wudangquan A",112,IF(Atletas!L254="Outros Estilos A",113,IF(Atletas!L254="Chaquan B",114,IF(Atletas!L254="Emeiquan B",115,IF(Atletas!L254="Fanziquan B",116,IF(Atletas!L254="Huaquan B",117,IF(Atletas!L254="Hongquan B",118,IF(Atletas!L254="Paochui B",119,IF(Atletas!L254="Piguaquan B",120,IF(Atletas!L254="Shaolinquan B",121,IF(Atletas!L254="Tanglangquan B",122,IF(Atletas!L254="Yinzhaophai B",123,IF(Atletas!L254="Tongbeiquan B",124,IF(Atletas!L254="Wudangquan B",125,IF(Atletas!L254="Outros Estilos B",126,IF(Atletas!L254="Chaquan C",127,IF(Atletas!L254="Emeiquan C",128,IF(Atletas!L254="Fanziquan C",129,IF(Atletas!L254="Huaquan C",130,IF(Atletas!L254="Hongquan C",131,IF(Atletas!L254="Paochui C",132,IF(Atletas!L254="Piguaquan C",133,IF(Atletas!L254="Shaolinquan C",134,IF(Atletas!L254="Tanglangquan C",135,IF(Atletas!L254="Yinzhaophai C",136,IF(Atletas!L254="Tongbeiquan C",137,IF(Atletas!L254="Wudangquan C",138,IF(Atletas!L254="Outros Estilos C",139,0))))))))))))))))))))))))))))))))))))))))))</f>
        <v/>
      </c>
      <c r="BM258" s="52" t="str">
        <f>IF(Atletas!L254="","",IF(Atletas!W254&lt;&gt;"",10000,0)+(IF(Atletas!B254="Feminino",1000,IF(Atletas!B254="Masculino",2000,""))+(IF(Atletas!L254="Chaquan D",140,IF(Atletas!L254="Emeiquan D",141,IF(Atletas!L254="Fanziquan D",142,IF(Atletas!L254="Huaquan D",143,IF(Atletas!L254="Hongquan D",144,IF(Atletas!L254="Paochui D",145,IF(Atletas!L254="Piguaquan D",146,IF(Atletas!L254="Shaolinquan D",147,IF(Atletas!L254="Tanglangquan D",148,IF(Atletas!L254="Yinzhaophai D",149,IF(Atletas!L254="Tongbeiquan D",150,IF(Atletas!L254="Wudangquan D",151,IF(Atletas!L254="Outros Estilos D",152,IF(Atletas!L254="Chaquan E",153,IF(Atletas!L254="Emeiquan E",154,IF(Atletas!L254="Fanziquan E",155,IF(Atletas!L254="Huaquan E",156,IF(Atletas!L254="Hongquan E",157,IF(Atletas!L254="Paochui E",158,IF(Atletas!L254="Piguaquan E",159,IF(Atletas!L254="Shaolinquan E",160,IF(Atletas!L254="Tanglangquan E",161,IF(Atletas!L254="Yinzhaophai E",162,IF(Atletas!L254="Tongbeiquan E",163,IF(Atletas!L254="Wudangquan E",164,IF(Atletas!L254="Outros Estilos E",165,IF(Atletas!L254="Chaquan F",166,IF(Atletas!L254="Emeiquan F",167,IF(Atletas!L254="Fanziquan F",168,IF(Atletas!L254="Huaquan F",169,IF(Atletas!L254="Hongquan F",170,IF(Atletas!L254="Paochui F",171,IF(Atletas!L254="Piguaquan F",172,IF(Atletas!L254="Shaolinquan F",173,IF(Atletas!L254="Tanglangquan F",174,IF(Atletas!L254="Yinzhaophai F",175,IF(Atletas!L254="Tongbeiquan F",176,IF(Atletas!L254="Wudangquan F",177,IF(Atletas!L254="Outros Estilos F",178,0))))))))))))))))))))))))))))))))))))))))))</f>
        <v/>
      </c>
      <c r="BN258" s="52" t="str">
        <f>IF(Atletas!M254="","",IF(Atletas!W254&lt;&gt;"",10000,0)+(IF(Atletas!B254="Feminino",1000,IF(Atletas!B254="Masculino",2000,""))+(IF(Atletas!M254="Ditangquan A",201,IF(Atletas!M254="Houquan A",202,IF(Atletas!M254="Zuiquan A",203,IF(Atletas!M254="Ditangquan B",204,IF(Atletas!M254="Houquan B",205,IF(Atletas!M254="Zuiquan B",206,IF(Atletas!M254="Ditangquan C",207,IF(Atletas!M254="Houquan C",208,IF(Atletas!M254="Zuiquan C",209,IF(Atletas!M254="Ditangquan D",210,IF(Atletas!M254="Houquan D",211,IF(Atletas!M254="Zuiquan D",212,IF(Atletas!M254="Ditangquan E",213,IF(Atletas!M254="Houquan E",214,IF(Atletas!M254="Zuiquan E",215,IF(Atletas!M254="Ditangquan F",216,IF(Atletas!M254="Houquan F",217,IF(Atletas!M254="Zuiquan F",218,"")))))))))))))))))))))</f>
        <v/>
      </c>
      <c r="BO258" s="52" t="str">
        <f>IF(Atletas!N254="","",IF(Atletas!W254&lt;&gt;"",10000,0)+IF(Atletas!B254="Feminino",1000,IF(Atletas!B254="Masculino",2000,""))+IF(Atletas!N254="Yang A",301,IF(Atletas!N254="Chen A",30,IF(Atletas!N254="Sun A",303,IF(Atletas!N254="Wu A",304,IF(Atletas!N254="Wu-Hao A",305,IF(Atletas!N254="Outro Taijiquan A",306,IF(Atletas!N254="Yang B",307,IF(Atletas!N254="Chen B",308,IF(Atletas!N254="Sun B",309,IF(Atletas!N254="Wu B",310,IF(Atletas!N254="Wu-Hao B",311,IF(Atletas!N254="Outro Taijiquan B",312,IF(Atletas!N254="Yang C",313,IF(Atletas!N254="Chen C",314,IF(Atletas!N254="Sun C",315,IF(Atletas!N254="Wu C",316,IF(Atletas!N254="Wu-Hao C",317,IF(Atletas!N254="Outro Taijiquan C",318,IF(Atletas!N254="Yang D",319,IF(Atletas!N254="Chen D",320,IF(Atletas!N254="Sun D",321,IF(Atletas!N254="Wu D",322,IF(Atletas!N254="Wu-Hao D",323,IF(Atletas!N254="Outro Taijiquan D",324,IF(Atletas!N254="Yang E",325,IF(Atletas!N254="Chen E",326,IF(Atletas!N254="Sun E",327,IF(Atletas!N254="Wu E",328,IF(Atletas!N254="Wu-Hao E",329,IF(Atletas!N254="Outro Taijiquan E",330,IF(Atletas!N254="Yang F",331,IF(Atletas!N254="Chen F",332,IF(Atletas!N254="Sun F",333,IF(Atletas!N254="Wu F",334,IF(Atletas!N254="Wu-Hao F",335,IF(Atletas!N254="Outro Taijiquan F",336,"")))))))))))))))))))))))))))))))))))))</f>
        <v/>
      </c>
      <c r="BP258" s="52" t="str">
        <f>IF(Atletas!O254="","",IF(Atletas!W254&lt;&gt;"",10000,0)+IF(Atletas!B254="Feminino",1000,IF(Atletas!B254="Masculino",2000,""))+IF(OR(Atletas!O254="Yang 26 A",Atletas!O254="Yang 40 A"),401,IF(OR(Atletas!O254="Chen 25 A",Atletas!O254="Chen 36 A",Atletas!O254="Chen 56 A"),402,IF(Atletas!O254="Sun 73 A",403,IF(Atletas!O254="Wu 45 A",404,IF(Atletas!O254="Wu-Hao 46 A",405,IF(OR(Atletas!O254="Taijiquan 16 A",Atletas!O254="Taijiquan 24 A",Atletas!O254="Taijiquan 32 A",Atletas!O254="Taijiquan 42 A"),406,IF(OR(Atletas!O254="Yang 26 B",Atletas!O254="Yang 40 B"),407,IF(OR(Atletas!O254="Chen 25 B",Atletas!O254="Chen 36 B",Atletas!O254="Chen 56 B"),408,IF(Atletas!O254="Sun 73 B",409,IF(Atletas!O254="Wu 45 B",410,IF(Atletas!O254="Wu-Hao 46 B",411,IF(OR(Atletas!O254="Taijiquan 16 B",Atletas!O254="Taijiquan 24 B",Atletas!O254="Taijiquan 32 B",Atletas!O254="Taijiquan 42 B"),412,IF(OR(Atletas!O254="Yang 26 C",Atletas!O254="Yang 40 C"),413,IF(OR(Atletas!O254="Chen 25 C",Atletas!O254="Chen 36 C",Atletas!O254="Chen 56 C"),414,IF(Atletas!O254="Sun 73 C",415,IF(Atletas!O254="Wu 45 C",416,IF(Atletas!O254="Wu-Hao 46 C",417,IF(OR(Atletas!O254="Taijiquan 16 C",Atletas!O254="Taijiquan 24 C",Atletas!O254="Taijiquan 32 C",Atletas!O254="Taijiquan 42 C"),418,0)))))))))))))))))))</f>
        <v/>
      </c>
      <c r="BQ258" s="52" t="str">
        <f>IF(Atletas!O254="","",IF(Atletas!W254&lt;&gt;"",10000,0)+IF(Atletas!B254="Feminino",1000,IF(Atletas!B254="Masculino",2000,""))+IF(OR(Atletas!O254="Yang 26 D",Atletas!O254="Yang 40 D"),419,IF(OR(Atletas!O254="Chen 25 D",Atletas!O254="Chen 36 D",Atletas!O254="Chen 56 D"),420,IF(Atletas!O254="Sun 73 D",421,IF(Atletas!O254="Wu 45 D",422,IF(Atletas!O254="Wu-Hao 46 D",423,IF(OR(Atletas!O254="Taijiquan 16 D",Atletas!O254="Taijiquan 24 D",Atletas!O254="Taijiquan 32 D",Atletas!O254="Taijiquan 42 D"),424,IF(OR(Atletas!O254="Yang 26 E",Atletas!O254="Yang 40 E"),425,IF(OR(Atletas!O254="Chen 25 E",Atletas!O254="Chen 36 E",Atletas!O254="Chen 56 E"),426,IF(Atletas!O254="Sun 73 E",427,IF(Atletas!O254="Wu 45 E",428,IF(Atletas!O254="Wu-Hao 46 E",429,IF(OR(Atletas!O254="Taijiquan 16 E",Atletas!O254="Taijiquan 24 E",Atletas!O254="Taijiquan 32 E",Atletas!O254="Taijiquan 42 E"),430,IF(OR(Atletas!O254="Yang 26 F",Atletas!O254="Yang 40 F"),431,IF(OR(Atletas!O254="Chen 25 F",Atletas!O254="Chen 36 F",Atletas!O254="Chen 56 F"),432,IF(Atletas!O254="Sun 73 F",433,IF(Atletas!O254="Wu 45 F",434,IF(Atletas!O254="Wu-Hao 46 F",435,IF(OR(Atletas!O254="Taijiquan 16 F",Atletas!O254="Taijiquan 24 F",Atletas!O254="Taijiquan 32 F",Atletas!O254="Taijiquan 42 F"),436,0)))))))))))))))))))</f>
        <v/>
      </c>
      <c r="BR258" s="52" t="str">
        <f>IF(Atletas!P254="","",IF(Atletas!W254&lt;&gt;"",10000,0)+IF(Atletas!B254="Feminino",1000,IF(Atletas!B254="Masculino",2000,""))+IF(Atletas!P254="Xingyiquan A",501,IF(Atletas!P254="Baguazhang A",502,IF(Atletas!P254="Outro Estilo Interno A",503,IF(Atletas!P254="Xingyiquan B",504,IF(Atletas!P254="Baguazhang B",505,IF(Atletas!P254="Outro Estilo Interno B",506,IF(Atletas!P254="Xingyiquan C",507,IF(Atletas!P254="Baguazhang C",508,IF(Atletas!P254="Outro Estilo Interno C",509,IF(Atletas!P254="Xingyiquan D",510,IF(Atletas!P254="Baguazhang D",511,IF(Atletas!P254="Outro Estilo Interno D",512,IF(Atletas!P254="Xingyiquan E",513,IF(Atletas!P254="Baguazhang E",514,IF(Atletas!P254="Outro Estilo Interno E",515,IF(Atletas!P254="Xingyiquan F",516,IF(Atletas!P254="Baguazhang F",517,IF(Atletas!P254="Outro Estilo Interno F",518, "")))))))))))))))))))</f>
        <v/>
      </c>
      <c r="BS258" s="52" t="str">
        <f>IF(Atletas!Q254="","",IF(Atletas!W254&lt;&gt;"",10000,0)+IF(Atletas!B254="Feminino",1000,IF(Atletas!B254="Masculino",2000,""))+IF(Atletas!Q254="Dao A",601,IF(Atletas!Q254="Jian A",602,IF(Atletas!Q254="Bishou A",603,IF(Atletas!Q254="Shan A",604,IF(Atletas!Q254="Outra Arma Curta A",605,IF(Atletas!Q254="Dao B",606,IF(Atletas!Q254="Jian B",607,IF(Atletas!Q254="Bishou B",608,IF(Atletas!Q254="Shan B",609,IF(Atletas!Q254="Outra Arma Curta B",610,IF(Atletas!Q254="Dao C",611,IF(Atletas!Q254="Jian C",612,IF(Atletas!Q254="Bishou C",613,IF(Atletas!Q254="Shan C",614,IF(Atletas!Q254="Outra Arma Curta C",615,IF(Atletas!Q254="Dao D",616,IF(Atletas!Q254="Jian D",617,IF(Atletas!Q254="Bishou D",618,IF(Atletas!Q254="Shan D",619,IF(Atletas!Q254="Outra Arma Curta D",620,IF(Atletas!Q254="Dao E",621,IF(Atletas!Q254="Jian E",622,IF(Atletas!Q254="Bishou E",623,IF(Atletas!Q254="Shan E",624,IF(Atletas!Q254="Outra Arma Curta E",625,IF(Atletas!Q254="Dao F",626,IF(Atletas!Q254="Jian F",627,IF(Atletas!Q254="Bishou F",628,IF(Atletas!Q254="Shan F",629,IF(Atletas!Q254="Outra Arma Curta F",630, "")))))))))))))))))))))))))))))))</f>
        <v/>
      </c>
      <c r="BT258" s="52" t="str">
        <f>IF(Atletas!R254="","",IF(Atletas!W254&lt;&gt;"",10000,0)+IF(Atletas!B254="Feminino",1000,IF(Atletas!B254="Masculino",2000,""))+IF(Atletas!R254="Gun A",701,IF(Atletas!R254="Qiang A",702,IF(Atletas!R254="Pudao / Guandao A",703,IF(Atletas!R254="Outra Arma Longa A",704,IF(Atletas!R254="Gun B",705,IF(Atletas!R254="Qiang B",706,IF(Atletas!R254="Pudao / Guandao B",707,IF(Atletas!R254="Outra Arma Longa B",708,IF(Atletas!R254="Gun C",709,IF(Atletas!R254="Qiang C",710,IF(Atletas!R254="Pudao / Guandao C",711,IF(Atletas!R254="Outra Arma Longa C",712,IF(Atletas!R254="Gun D",713,IF(Atletas!R254="Qiang D",714,IF(Atletas!R254="Pudao / Guandao D",715,IF(Atletas!R254="Outra Arma Longa D",716,IF(Atletas!R254="Gun E",717,IF(Atletas!R254="Qiang E",718,IF(Atletas!R254="Pudao / Guandao E",719,IF(Atletas!R254="Outra Arma Longa E",720,IF(Atletas!R254="Gun F",721,IF(Atletas!R254="Qiang F",722,IF(Atletas!R254="Pudao / Guandao F",723,IF(Atletas!R254="Outra Arma Longa F",724,"")))))))))))))))))))))))))</f>
        <v/>
      </c>
      <c r="BU258" s="52" t="str">
        <f>IF(Atletas!S254="","",IF(Atletas!W254&lt;&gt;"",10000,0)+IF(Atletas!B254="Feminino",1000,IF(Atletas!B254="Masculino",2000,""))+IF(Atletas!S254="Arma Dupla A",801,IF(Atletas!S254="Arma Maleável A",802,IF(Atletas!S254="Arma Dupla B",803,IF(Atletas!S254="Arma Maleável B",804,IF(Atletas!S254="Arma Dupla C",805,IF(Atletas!S254="Arma Maleável C",806,IF(Atletas!S254="Arma Dupla D",807,IF(Atletas!S254="Arma Maleável D",808,IF(Atletas!S254="Arma Dupla E",809,IF(Atletas!S254="Arma Maleável E",810,IF(Atletas!S254="Arma Dupla F",811,IF(Atletas!S254="Arma Maleável F",812, "")))))))))))))</f>
        <v/>
      </c>
      <c r="BV258" s="52" t="str">
        <f>IF(Atletas!T254="","",IF(Atletas!W254&lt;&gt;"",10000,0)+IF(Atletas!B254="Feminino",1000,IF(Atletas!B254="Masculino",2000,""))+IF(Atletas!T254="Taijijian Yang A",901,IF(Atletas!T254="Taijijian Chen A",902,IF(Atletas!T254="Taijijian Sun A",903,IF(Atletas!T254="Taijijian Wu A",904,IF(Atletas!T254="Taijijian Wu-Hao A",905,IF(Atletas!T254="Taijijian 32 A",906,IF(Atletas!T254="Taijijian 42 A",907,IF(Atletas!T254="Taijijian Yang B",908,IF(Atletas!T254="Taijijian Chen B",909,IF(Atletas!T254="Taijijian Sun B",910,IF(Atletas!T254="Taijijian Wu B",911,IF(Atletas!T254="Taijijian Wu-Hao B",912,IF(Atletas!T254="Taijijian 32 B",913,IF(Atletas!T254="Taijijian 42 B",914,IF(Atletas!T254="Taijijian Yang C",915,IF(Atletas!T254="Taijijian Chen C",916,IF(Atletas!T254="Taijijian Sun C",917,IF(Atletas!T254="Taijijian Wu C",918,IF(Atletas!T254="Taijijian Wu-Hao C",919,IF(Atletas!T254="Taijijian 32 C",920,IF(Atletas!T254="Taijijian 42 C",921,IF(Atletas!T254="Taijijian Yang D",922,IF(Atletas!T254="Taijijian Chen D",923,IF(Atletas!T254="Taijijian Sun D",924,IF(Atletas!T254="Taijijian Wu D",925,IF(Atletas!T254="Taijijian Wu-Hao D",926,IF(Atletas!T254="Taijijian 32 D",927,IF(Atletas!T254="Taijijian 42 D",928,IF(Atletas!T254="Taijijian Yang E",929,IF(Atletas!T254="Taijijian Chen E",930,IF(Atletas!T254="Taijijian Sun E",931,IF(Atletas!T254="Taijijian Wu E",932,IF(Atletas!T254="Taijijian Wu-Hao E",933,IF(Atletas!T254="Taijijian 32 E",934,IF(Atletas!T254="Taijijian 42 E",935,IF(Atletas!T254="Taijijian Yang F",936,IF(Atletas!T254="Taijijian Chen F",937,IF(Atletas!T254="Taijijian Sun F",938,IF(Atletas!T254="Taijijian Wu F",939,IF(Atletas!T254="Taijijian Wu-Hao F",940,IF(Atletas!T254="Taijijian 32 F",941,IF(Atletas!T254="Taijijian 42 F",942,"")))))))))))))))))))))))))))))))))))))))))))</f>
        <v/>
      </c>
      <c r="BW258" s="52" t="str">
        <f>IF(Atletas!U254="","",IF(Atletas!W254&lt;&gt;"",10000,0)+IF(Atletas!B254="Feminino",1000,IF(Atletas!B254="Masculino",2000,""))+IF(Atletas!T254="Taijijian 42 F",942,IF(Atletas!U254="Taijidao A",943,IF(Atletas!U254="Taijishan A",944,IF(Atletas!U254="Taijiqiang A",945,IF(Atletas!U254="Taijidao B",946,IF(Atletas!U254="Taijishan B",947,IF(Atletas!U254="Taijiqiang B",948,IF(Atletas!U254="Taijidao C",949,IF(Atletas!U254="Taijishan C",950,IF(Atletas!U254="Taijiqiang C",951,IF(Atletas!U254="Taijidao D",952,IF(Atletas!U254="Taijishan D",953,IF(Atletas!U254="Taijiqiang D",954,IF(Atletas!U254="Taijidao E",955,IF(Atletas!U254="Taijishan E",956,IF(Atletas!U254="Taijiqiang E",957,IF(Atletas!U254="Taijidao F",958,IF(Atletas!U254="Taijishan F",959,IF(Atletas!U254="Taijiqiang F",960))))))))))))))))))))</f>
        <v/>
      </c>
      <c r="BX258" s="72" t="str">
        <f>IF(BY258&lt;&gt;"","Qiang B","")</f>
        <v/>
      </c>
      <c r="BY258" s="72" t="str">
        <f>IF(COUNTIF(BK:BW,1706)&gt;0,COUNTIF(BK:BW,1706),"")</f>
        <v/>
      </c>
      <c r="BZ258" s="72" t="str">
        <f>IF(CA258&lt;&gt;"","Qiang B","")</f>
        <v/>
      </c>
      <c r="CA258" s="72" t="str">
        <f>IF(COUNTIF(BK:BW,2706)&gt;0,COUNTIF(BK:BW,2706),"")</f>
        <v/>
      </c>
      <c r="CB258" s="72" t="str">
        <f>IF(CC258&lt;&gt;"","Outro Estilo Interno D","")</f>
        <v/>
      </c>
      <c r="CC258" s="64" t="str">
        <f>IF(COUNTIF(BK:BW,11512)&gt;0,COUNTIF(BK:BW,11512),"")</f>
        <v/>
      </c>
      <c r="CD258" s="64" t="str">
        <f>IF(CE258&lt;&gt;"","Outro Estilo Interno D","")</f>
        <v/>
      </c>
      <c r="CE258" s="64" t="str">
        <f>IF(COUNTIF(BK:BW,12512)&gt;0,COUNTIF(BK:BW,12512),"")</f>
        <v/>
      </c>
      <c r="CF258" s="52" t="str">
        <f xml:space="preserve"> IF(Atletas!V254="","",IF(Atletas!V254="Duilian de Mãos AB - Equipe 1",1,IF(Atletas!V254="Duilian de Mãos AB - Equipe 2",2,IF(Atletas!V254="Duilian de Armas AB - Equipe 1",3,IF(Atletas!V254="Duilian de Armas AB - Equipe 2",4,IF(Atletas!V254="Duilian de Tuishou - Equipe 1",5,IF(Atletas!V254="Duilian de Tuishou - Equipe 2",6,IF(Atletas!V254="Grupo Externo AB - Equipe 1",7,IF(Atletas!V254="Grupo Externo AB - Equipe 2",8,IF(Atletas!V254="Grupo Interno AB - Equipe 1",9,IF(Atletas!V254="Grupo Interno AB - Equipe 2",10,IF(Atletas!V254="Duilian de Mãos CD - Equipe 1",11,IF(Atletas!V254="Duilian de Mãos CD - Equipe 2",12,IF(Atletas!V254="Duilian de Armas CD - Equipe 1",13,IF(Atletas!V254="Duilian de Armas CD - Equipe 2",14,IF(Atletas!V254="Duilian de Tuishou - Equipe 1",15,IF(Atletas!V254="Duilian de Tuishou - Equipe 2",16,IF(Atletas!V254="Grupo Externo CDEF - Equipe 1",17,IF(Atletas!V254="Grupo Externo CDEF - Equipe 2",18,IF(Atletas!V254="Grupo Interno CDEF - Equipe 1",19,IF(Atletas!V254="Grupo Interno CDEF - Equipe 2",20,IF(Atletas!V254="Duilian de Mãos EF - Equipe 1",21,IF(Atletas!V254="Duilian de Mãos EF - Equipe 2",22,IF(Atletas!V254="Duilian de Armas EF - Equipe 1",23,IF(Atletas!V254="Duilian de Armas EF - Equipe 2",24,IF(Atletas!V254="Duilian de Tuishou - Equipe 1",25,IF(Atletas!V254="Duilian de Tuishou - Equipe 2",26,"")))))))))))))))))))))))))))</f>
        <v/>
      </c>
    </row>
    <row r="259" spans="2:84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 t="str">
        <f t="array" ref="V259">IFERROR(INDEX(BX$7:BX$336,SMALL(IF(BX$7:BX$336&lt;&gt;"",ROW(BX$7:BX$336)-ROW(BX$7)+1),ROWS(BX$7:BX216))),"")</f>
        <v/>
      </c>
      <c r="W259" s="4" t="str">
        <f t="array" ref="W259">IFERROR(INDEX(BY$7:BY$336,SMALL(IF(BY$7:BY$336&lt;&gt;"",ROW(BY$7:BY$336)-ROW(BY$7)+1),ROWS(BY$7:BY216))),"")</f>
        <v/>
      </c>
      <c r="X259" s="4" t="str">
        <f t="array" ref="X259">IFERROR(INDEX(BZ$7:BZ$336,SMALL(IF(BZ$7:BZ$336&lt;&gt;"",ROW(BZ$7:BZ$336)-ROW(BZ$7)+1),ROWS(BZ$7:BZ216))),"")</f>
        <v/>
      </c>
      <c r="Y259" s="4" t="str">
        <f t="array" ref="Y259">IFERROR(INDEX(CA$7:CA$336,SMALL(IF(CA$7:CA$336&lt;&gt;"",ROW(CA$7:CA$336)-ROW(CA$7)+1),ROWS(CA$7:CA216))),"")</f>
        <v/>
      </c>
      <c r="Z259" s="4" t="str">
        <f t="array" ref="Z259">IFERROR(INDEX(CB$7:CB$378,SMALL(IF(CB$7:CB$378&lt;&gt;"",ROW(CB$7:CB$378)-ROW(CB$7)+1),ROWS(CB$7:CB258))),"")</f>
        <v/>
      </c>
      <c r="AA259" s="4" t="str">
        <f t="array" ref="AA259">IFERROR(INDEX(CC$7:CC$378,SMALL(IF(CC$7:CC$378&lt;&gt;"",ROW(CC$7:CC$378)-ROW(CC$7)+1),ROWS(CC$7:CC258))),"")</f>
        <v/>
      </c>
      <c r="AB259" s="4" t="str">
        <f t="array" ref="AB259">IFERROR(INDEX(CD$7:CD$378,SMALL(IF(CD$7:CD$378&lt;&gt;"",ROW(CD$7:CD$378)-ROW(CD$7)+1),ROWS(CD$7:CD258))),"")</f>
        <v/>
      </c>
      <c r="AC259" s="4" t="str">
        <f t="array" ref="AC259">IFERROR(INDEX(CE$7:CE$378,SMALL(IF(CE$7:CE$378&lt;&gt;"",ROW(CE$7:CE$378)-ROW(CE$7)+1),ROWS(CE$7:CE258))),"")</f>
        <v/>
      </c>
      <c r="AD259" s="4"/>
      <c r="AE259" s="4"/>
      <c r="AF259" s="4"/>
      <c r="AG259" s="4"/>
      <c r="AH259" s="4"/>
      <c r="AI259" s="4"/>
      <c r="AJ259" s="46" t="str">
        <f>IF(Atletas!D255="","",IF(Atletas!B255="Feminino",100,IF(Atletas!B255="Masculino",200,""))+(IF(Atletas!D255="Infantil 39kg",1,IF(Atletas!D255="Infantil 42kg",2,IF(Atletas!D255="Infantil 45kg",3,IF(Atletas!D255="Infantil 48kg",4,IF(Atletas!D255="Infantil 52kg",5,IF(Atletas!D255="Infantil 56kg",6,IF(Atletas!D255="Infantil 60kg",7,IF(Atletas!D255="Juvenil 48kg",8,IF(Atletas!D255="Juvenil 52kg",9,IF(Atletas!D255="Juvenil 56kg",10,IF(Atletas!D255="Juvenil 60kg",11,IF(Atletas!D255="Juvenil 65kg",12,IF(Atletas!D255="Juvenil 70kg",13,IF(Atletas!D255="Juvenil 75kg",14,IF(Atletas!D255="Juvenil 80kg",15,IF(Atletas!D255="Adulto 48kg",16,IF(Atletas!D255="Adulto 52kg",17,IF(Atletas!D255="Adulto 56kg",18,IF(Atletas!D255="Adulto 60kg",19,IF(Atletas!D255="Adulto 65kg",20,IF(Atletas!D255="Adulto 70kg",21,IF(Atletas!D255="Adulto 75kg",22,IF(Atletas!D255="Adulto 80kg",23,IF(Atletas!D255="Adulto 85kg",24,IF(Atletas!D255="Adulto 90kg",25,IF(Atletas!D255="Adulto +90kg",26,""))))))))))))))))))))))))))))</f>
        <v/>
      </c>
      <c r="AO259" s="10" t="str">
        <f>IF(Atletas!E255="","",IF(Atletas!B255="Feminino",100,IF(Atletas!B255="Masculino",200,""))+(IF(Atletas!E255="Juvenil 44kg",1,IF(Atletas!E255="Juvenil 48kg",2,IF(Atletas!E255="Juvenil 52kg",3,IF(Atletas!E255="Juvenil 56kg",4,IF(Atletas!E255="Juvenil 60kg",5,IF(Atletas!E255="Juvenil 65kg",6,IF(Atletas!E255="Juvenil 70kg",7,IF(Atletas!E255="Juvenil 75kg",8,IF(Atletas!E255="Juvenil 82kg",9,IF(Atletas!E255="Juvenil 90kg",10,IF(Atletas!E255="Juvenil 100kg",11,IF(Atletas!E255="Adulto 48kg",12,IF(Atletas!E255="Adulto 52kg",13,IF(Atletas!E255="Adulto 56kg",14,IF(Atletas!E255="Adulto 60kg",15,IF(Atletas!E255="Adulto 65kg",16,IF(Atletas!E255="Adulto 70kg",17,IF(Atletas!E255="Adulto 75kg",18,IF(Atletas!E255="Adulto 82kg",19,IF(Atletas!E255="Adulto 90kg",20,IF(Atletas!E255="Adulto 100kg",21,IF(Atletas!E255="Adulto +100kg",22,""))))))))))))))))))))))))</f>
        <v/>
      </c>
      <c r="AT259" s="10" t="str">
        <f>IF(Atletas!F255="","",IF(Atletas!B255="Feminino",100,IF(Atletas!B255="Masculino",200,""))+(IF(Atletas!F255="Adulto 48kg",1,IF(Atletas!F255="Adulto 56kg",2,IF(Atletas!F255="Adulto 65kg",3,IF(Atletas!F255="Adulto 75kg",4,IF(Atletas!F255="Adulto +75kg",5,IF(Atletas!F255="Adulto 52kg",6,IF(Atletas!F255="Adulto 60kg",7,IF(Atletas!F255="Adulto 70kg",8,IF(Atletas!F255="Adulto 80kg",9,IF(Atletas!F255="Adulto 90kg",10,IF(Atletas!F255="Adulto +90kg",11,"")))))))))))))</f>
        <v/>
      </c>
      <c r="AY259" s="46" t="str">
        <f>IF(Atletas!G255="","",IF(Atletas!B255="Feminino",100,IF(Atletas!B255="Masculino",200,""))+(IF(Atletas!G255="Changquan Mirim",1,IF(Atletas!G255="Nanquan Mirim",2,IF(Atletas!G255="Taijiquan Mirim",3,IF(Atletas!G255="Changquan Grupo C",4,IF(Atletas!G255="Nanquan Grupo C",5,IF(Atletas!G255="Taijiquan Grupo C",6,IF(Atletas!G255="Changquan Grupo B",7,IF(Atletas!G255="Nanquan Grupo B",8,IF(Atletas!G255="Taijiquan Grupo B",9,IF(Atletas!G255="Changquan Grupo A",10,IF(Atletas!G255="Nanquan Grupo A",11,IF(Atletas!G255="Taijiquan Grupo A",12,IF(Atletas!G255="Changquan Opcional",13,IF(Atletas!G255="Nanquan Opcional",14,IF(Atletas!G255="Taijiquan Opcional",15,IF(Atletas!G255="Changquan Adulto",16,IF(Atletas!G255="Nanquan Adulto",17,IF(Atletas!G255="Taijiquan Adulto",18,""))))))))))))))))))))</f>
        <v/>
      </c>
      <c r="AZ259" s="46" t="str">
        <f>IF(Atletas!H255="","",IF(Atletas!B255="Feminino",100,IF(Atletas!B255="Masculino",200,""))+(IF(Atletas!H255="Daoshu Mirim",19,IF(Atletas!H255="Jianshu Mirim",20,IF(Atletas!H255="Nandao Mirim",21,IF(Atletas!H255="Taijijian Mirim",22,IF(Atletas!H255="Daoshu Grupo C",23,IF(Atletas!H255="Jianshu Grupo C",24,IF(Atletas!H255="Nandao Grupo C",25,IF(Atletas!H255="Taijijian Grupo C",26,IF(Atletas!H255="Daoshu Grupo B",27,IF(Atletas!H255="Jianshu Grupo B",28,IF(Atletas!H255="Nandao Grupo B",29,IF(Atletas!H255="Taijijian Grupo B",30,IF(Atletas!H255="Daoshu Grupo A",31,IF(Atletas!H255="Jianshu Grupo A",32,IF(Atletas!H255="Nandao Grupo A",33,IF(Atletas!H255="Taijijian Grupo A",34,IF(Atletas!H255="Daoshu Opcional",35,IF(Atletas!H255="Jianshu Opcional",36,IF(Atletas!H255="Nandao Opcional",37,IF(Atletas!H255="Taijijian Opcional",38,IF(Atletas!H255="Daoshu Adulto",39,IF(Atletas!H255="Jianshu Adulto",40,IF(Atletas!H255="Nandao Adulto",41,IF(Atletas!H255="Taijijian Adulto",42,""))))))))))))))))))))))))))</f>
        <v/>
      </c>
      <c r="BA259" s="46" t="str">
        <f>IF(Atletas!I255="","",IF(Atletas!B255="Feminino",100,IF(Atletas!B255="Masculino",200,""))+(IF(Atletas!I255="Gunshu Mirim",43,IF(Atletas!I255="Qiangshu Mirim",44,IF(Atletas!I255="Nangun Mirim",45,IF(Atletas!I255="Gunshu Grupo C",46,IF(Atletas!I255="Qiangshu Grupo C",47,IF(Atletas!I255="Nangun Grupo C",48,IF(Atletas!I255="Gunshu Grupo B",49,IF(Atletas!I255="Qiangshu Grupo B",50,IF(Atletas!I255="Nangun Grupo B",51,IF(Atletas!I255="Gunshu Grupo A",52,IF(Atletas!I255="Qiangshu Grupo A",53,IF(Atletas!I255="Nangun Grupo A",54,IF(Atletas!I255="Gunshu Opcional",55,IF(Atletas!I255="Qiangshu Opcional",56,IF(Atletas!I255="Nangun Opcional",57,IF(Atletas!I255="Gunshu Adulto",58,IF(Atletas!I255="Qiangshu Adulto",59,IF(Atletas!I255="Nangun Adulto",60,""))))))))))))))))))))</f>
        <v/>
      </c>
      <c r="BF259" s="52" t="str">
        <f>IF(Atletas!J255="","",IF(Atletas!B255="Feminino",100,IF(Atletas!B255="Masculino",200,""))+(IF(Atletas!J255="Equipe 1 Grupo B",1,IF(Atletas!J255="Equipe 2 Grupo B",2,IF(Atletas!J255="Equipe 1 Grupo A",3,IF(Atletas!J255="Equipe 2 Grupo A",4,IF(Atletas!J255="Equipe 1 Adulto",5,IF(Atletas!J255="Equipe 2 Adulto",6,""))))))))</f>
        <v/>
      </c>
      <c r="BK259" s="52" t="str">
        <f>IF(Atletas!K255="","",IF(Atletas!W255&lt;&gt;"",10000,0)+(IF(Atletas!B255="Feminino",1000,IF(Atletas!B255="Masculino",2000,""))+IF(Atletas!K255="Choylayfut A",1,IF(Atletas!K255="Hunggar A",2,IF(Atletas!K255="Wuzuquan A",3,IF(Atletas!K255="Wingchun A",4,IF(Atletas!K255="Outra Mão de Sul A",5,IF(Atletas!K255="Choylayfut B",6,IF(Atletas!K255="Hunggar B",7,IF(Atletas!K255="Wuzuquan B",8,IF(Atletas!K255="Wingchun B",9,IF(Atletas!K255="Outra Mão de Sul B",10,IF(Atletas!K255="Choylayfut C",11,IF(Atletas!K255="Hunggar C",12,IF(Atletas!K255="Wuzuquan C",13,IF(Atletas!K255="Wingchun C",14,IF(Atletas!K255="Outra Mão de Sul C",15,IF(Atletas!K255="Choylayfut D",16,IF(Atletas!K255="Hunggar D",17,IF(Atletas!K255="Wuzuquan D",18,IF(Atletas!K255="Wingchun D",19,IF(Atletas!K255="Outra Mão de Sul D",20,IF(Atletas!K255="Choylayfut E",21,IF(Atletas!K255="Hunggar E",22,IF(Atletas!K255="Wuzuquan E",23,IF(Atletas!K255="Wingchun E",24,IF(Atletas!K255="Outra Mão de Sul E",25,IF(Atletas!K255="Choylayfut F",26,IF(Atletas!K255="Hunggar F",27,IF(Atletas!K255="Wuzuquan F",28,IF(Atletas!K255="Wingchun F",29,IF(Atletas!K255="Outra Mão de Sul F",30,""))))))))))))))))))))))))))))))))</f>
        <v/>
      </c>
      <c r="BL259" s="52" t="str">
        <f>IF(Atletas!L255="","",IF(Atletas!W255&lt;&gt;"",10000,0)+(IF(Atletas!B255="Feminino",1000,IF(Atletas!B255="Masculino",2000,""))+(IF(Atletas!L255="Chaquan A",101,IF(Atletas!L255="Emeiquan A",102,IF(Atletas!L255="Fanziquan A",103,IF(Atletas!L255="Huaquan A",104,IF(Atletas!L255="Hongquan A",105,IF(Atletas!L255="Paochui A",106,IF(Atletas!L255="Piguaquan A",107,IF(Atletas!L255="Shaolinquan A",108,IF(Atletas!L255="Tanglangquan A",109,IF(Atletas!L255="Yinzhaophai A",110,IF(Atletas!L255="Tongbeiquan A",111,IF(Atletas!L255="Wudangquan A",112,IF(Atletas!L255="Outros Estilos A",113,IF(Atletas!L255="Chaquan B",114,IF(Atletas!L255="Emeiquan B",115,IF(Atletas!L255="Fanziquan B",116,IF(Atletas!L255="Huaquan B",117,IF(Atletas!L255="Hongquan B",118,IF(Atletas!L255="Paochui B",119,IF(Atletas!L255="Piguaquan B",120,IF(Atletas!L255="Shaolinquan B",121,IF(Atletas!L255="Tanglangquan B",122,IF(Atletas!L255="Yinzhaophai B",123,IF(Atletas!L255="Tongbeiquan B",124,IF(Atletas!L255="Wudangquan B",125,IF(Atletas!L255="Outros Estilos B",126,IF(Atletas!L255="Chaquan C",127,IF(Atletas!L255="Emeiquan C",128,IF(Atletas!L255="Fanziquan C",129,IF(Atletas!L255="Huaquan C",130,IF(Atletas!L255="Hongquan C",131,IF(Atletas!L255="Paochui C",132,IF(Atletas!L255="Piguaquan C",133,IF(Atletas!L255="Shaolinquan C",134,IF(Atletas!L255="Tanglangquan C",135,IF(Atletas!L255="Yinzhaophai C",136,IF(Atletas!L255="Tongbeiquan C",137,IF(Atletas!L255="Wudangquan C",138,IF(Atletas!L255="Outros Estilos C",139,0))))))))))))))))))))))))))))))))))))))))))</f>
        <v/>
      </c>
      <c r="BM259" s="52" t="str">
        <f>IF(Atletas!L255="","",IF(Atletas!W255&lt;&gt;"",10000,0)+(IF(Atletas!B255="Feminino",1000,IF(Atletas!B255="Masculino",2000,""))+(IF(Atletas!L255="Chaquan D",140,IF(Atletas!L255="Emeiquan D",141,IF(Atletas!L255="Fanziquan D",142,IF(Atletas!L255="Huaquan D",143,IF(Atletas!L255="Hongquan D",144,IF(Atletas!L255="Paochui D",145,IF(Atletas!L255="Piguaquan D",146,IF(Atletas!L255="Shaolinquan D",147,IF(Atletas!L255="Tanglangquan D",148,IF(Atletas!L255="Yinzhaophai D",149,IF(Atletas!L255="Tongbeiquan D",150,IF(Atletas!L255="Wudangquan D",151,IF(Atletas!L255="Outros Estilos D",152,IF(Atletas!L255="Chaquan E",153,IF(Atletas!L255="Emeiquan E",154,IF(Atletas!L255="Fanziquan E",155,IF(Atletas!L255="Huaquan E",156,IF(Atletas!L255="Hongquan E",157,IF(Atletas!L255="Paochui E",158,IF(Atletas!L255="Piguaquan E",159,IF(Atletas!L255="Shaolinquan E",160,IF(Atletas!L255="Tanglangquan E",161,IF(Atletas!L255="Yinzhaophai E",162,IF(Atletas!L255="Tongbeiquan E",163,IF(Atletas!L255="Wudangquan E",164,IF(Atletas!L255="Outros Estilos E",165,IF(Atletas!L255="Chaquan F",166,IF(Atletas!L255="Emeiquan F",167,IF(Atletas!L255="Fanziquan F",168,IF(Atletas!L255="Huaquan F",169,IF(Atletas!L255="Hongquan F",170,IF(Atletas!L255="Paochui F",171,IF(Atletas!L255="Piguaquan F",172,IF(Atletas!L255="Shaolinquan F",173,IF(Atletas!L255="Tanglangquan F",174,IF(Atletas!L255="Yinzhaophai F",175,IF(Atletas!L255="Tongbeiquan F",176,IF(Atletas!L255="Wudangquan F",177,IF(Atletas!L255="Outros Estilos F",178,0))))))))))))))))))))))))))))))))))))))))))</f>
        <v/>
      </c>
      <c r="BN259" s="52" t="str">
        <f>IF(Atletas!M255="","",IF(Atletas!W255&lt;&gt;"",10000,0)+(IF(Atletas!B255="Feminino",1000,IF(Atletas!B255="Masculino",2000,""))+(IF(Atletas!M255="Ditangquan A",201,IF(Atletas!M255="Houquan A",202,IF(Atletas!M255="Zuiquan A",203,IF(Atletas!M255="Ditangquan B",204,IF(Atletas!M255="Houquan B",205,IF(Atletas!M255="Zuiquan B",206,IF(Atletas!M255="Ditangquan C",207,IF(Atletas!M255="Houquan C",208,IF(Atletas!M255="Zuiquan C",209,IF(Atletas!M255="Ditangquan D",210,IF(Atletas!M255="Houquan D",211,IF(Atletas!M255="Zuiquan D",212,IF(Atletas!M255="Ditangquan E",213,IF(Atletas!M255="Houquan E",214,IF(Atletas!M255="Zuiquan E",215,IF(Atletas!M255="Ditangquan F",216,IF(Atletas!M255="Houquan F",217,IF(Atletas!M255="Zuiquan F",218,"")))))))))))))))))))))</f>
        <v/>
      </c>
      <c r="BO259" s="52" t="str">
        <f>IF(Atletas!N255="","",IF(Atletas!W255&lt;&gt;"",10000,0)+IF(Atletas!B255="Feminino",1000,IF(Atletas!B255="Masculino",2000,""))+IF(Atletas!N255="Yang A",301,IF(Atletas!N255="Chen A",30,IF(Atletas!N255="Sun A",303,IF(Atletas!N255="Wu A",304,IF(Atletas!N255="Wu-Hao A",305,IF(Atletas!N255="Outro Taijiquan A",306,IF(Atletas!N255="Yang B",307,IF(Atletas!N255="Chen B",308,IF(Atletas!N255="Sun B",309,IF(Atletas!N255="Wu B",310,IF(Atletas!N255="Wu-Hao B",311,IF(Atletas!N255="Outro Taijiquan B",312,IF(Atletas!N255="Yang C",313,IF(Atletas!N255="Chen C",314,IF(Atletas!N255="Sun C",315,IF(Atletas!N255="Wu C",316,IF(Atletas!N255="Wu-Hao C",317,IF(Atletas!N255="Outro Taijiquan C",318,IF(Atletas!N255="Yang D",319,IF(Atletas!N255="Chen D",320,IF(Atletas!N255="Sun D",321,IF(Atletas!N255="Wu D",322,IF(Atletas!N255="Wu-Hao D",323,IF(Atletas!N255="Outro Taijiquan D",324,IF(Atletas!N255="Yang E",325,IF(Atletas!N255="Chen E",326,IF(Atletas!N255="Sun E",327,IF(Atletas!N255="Wu E",328,IF(Atletas!N255="Wu-Hao E",329,IF(Atletas!N255="Outro Taijiquan E",330,IF(Atletas!N255="Yang F",331,IF(Atletas!N255="Chen F",332,IF(Atletas!N255="Sun F",333,IF(Atletas!N255="Wu F",334,IF(Atletas!N255="Wu-Hao F",335,IF(Atletas!N255="Outro Taijiquan F",336,"")))))))))))))))))))))))))))))))))))))</f>
        <v/>
      </c>
      <c r="BP259" s="52" t="str">
        <f>IF(Atletas!O255="","",IF(Atletas!W255&lt;&gt;"",10000,0)+IF(Atletas!B255="Feminino",1000,IF(Atletas!B255="Masculino",2000,""))+IF(OR(Atletas!O255="Yang 26 A",Atletas!O255="Yang 40 A"),401,IF(OR(Atletas!O255="Chen 25 A",Atletas!O255="Chen 36 A",Atletas!O255="Chen 56 A"),402,IF(Atletas!O255="Sun 73 A",403,IF(Atletas!O255="Wu 45 A",404,IF(Atletas!O255="Wu-Hao 46 A",405,IF(OR(Atletas!O255="Taijiquan 16 A",Atletas!O255="Taijiquan 24 A",Atletas!O255="Taijiquan 32 A",Atletas!O255="Taijiquan 42 A"),406,IF(OR(Atletas!O255="Yang 26 B",Atletas!O255="Yang 40 B"),407,IF(OR(Atletas!O255="Chen 25 B",Atletas!O255="Chen 36 B",Atletas!O255="Chen 56 B"),408,IF(Atletas!O255="Sun 73 B",409,IF(Atletas!O255="Wu 45 B",410,IF(Atletas!O255="Wu-Hao 46 B",411,IF(OR(Atletas!O255="Taijiquan 16 B",Atletas!O255="Taijiquan 24 B",Atletas!O255="Taijiquan 32 B",Atletas!O255="Taijiquan 42 B"),412,IF(OR(Atletas!O255="Yang 26 C",Atletas!O255="Yang 40 C"),413,IF(OR(Atletas!O255="Chen 25 C",Atletas!O255="Chen 36 C",Atletas!O255="Chen 56 C"),414,IF(Atletas!O255="Sun 73 C",415,IF(Atletas!O255="Wu 45 C",416,IF(Atletas!O255="Wu-Hao 46 C",417,IF(OR(Atletas!O255="Taijiquan 16 C",Atletas!O255="Taijiquan 24 C",Atletas!O255="Taijiquan 32 C",Atletas!O255="Taijiquan 42 C"),418,0)))))))))))))))))))</f>
        <v/>
      </c>
      <c r="BQ259" s="52" t="str">
        <f>IF(Atletas!O255="","",IF(Atletas!W255&lt;&gt;"",10000,0)+IF(Atletas!B255="Feminino",1000,IF(Atletas!B255="Masculino",2000,""))+IF(OR(Atletas!O255="Yang 26 D",Atletas!O255="Yang 40 D"),419,IF(OR(Atletas!O255="Chen 25 D",Atletas!O255="Chen 36 D",Atletas!O255="Chen 56 D"),420,IF(Atletas!O255="Sun 73 D",421,IF(Atletas!O255="Wu 45 D",422,IF(Atletas!O255="Wu-Hao 46 D",423,IF(OR(Atletas!O255="Taijiquan 16 D",Atletas!O255="Taijiquan 24 D",Atletas!O255="Taijiquan 32 D",Atletas!O255="Taijiquan 42 D"),424,IF(OR(Atletas!O255="Yang 26 E",Atletas!O255="Yang 40 E"),425,IF(OR(Atletas!O255="Chen 25 E",Atletas!O255="Chen 36 E",Atletas!O255="Chen 56 E"),426,IF(Atletas!O255="Sun 73 E",427,IF(Atletas!O255="Wu 45 E",428,IF(Atletas!O255="Wu-Hao 46 E",429,IF(OR(Atletas!O255="Taijiquan 16 E",Atletas!O255="Taijiquan 24 E",Atletas!O255="Taijiquan 32 E",Atletas!O255="Taijiquan 42 E"),430,IF(OR(Atletas!O255="Yang 26 F",Atletas!O255="Yang 40 F"),431,IF(OR(Atletas!O255="Chen 25 F",Atletas!O255="Chen 36 F",Atletas!O255="Chen 56 F"),432,IF(Atletas!O255="Sun 73 F",433,IF(Atletas!O255="Wu 45 F",434,IF(Atletas!O255="Wu-Hao 46 F",435,IF(OR(Atletas!O255="Taijiquan 16 F",Atletas!O255="Taijiquan 24 F",Atletas!O255="Taijiquan 32 F",Atletas!O255="Taijiquan 42 F"),436,0)))))))))))))))))))</f>
        <v/>
      </c>
      <c r="BR259" s="52" t="str">
        <f>IF(Atletas!P255="","",IF(Atletas!W255&lt;&gt;"",10000,0)+IF(Atletas!B255="Feminino",1000,IF(Atletas!B255="Masculino",2000,""))+IF(Atletas!P255="Xingyiquan A",501,IF(Atletas!P255="Baguazhang A",502,IF(Atletas!P255="Outro Estilo Interno A",503,IF(Atletas!P255="Xingyiquan B",504,IF(Atletas!P255="Baguazhang B",505,IF(Atletas!P255="Outro Estilo Interno B",506,IF(Atletas!P255="Xingyiquan C",507,IF(Atletas!P255="Baguazhang C",508,IF(Atletas!P255="Outro Estilo Interno C",509,IF(Atletas!P255="Xingyiquan D",510,IF(Atletas!P255="Baguazhang D",511,IF(Atletas!P255="Outro Estilo Interno D",512,IF(Atletas!P255="Xingyiquan E",513,IF(Atletas!P255="Baguazhang E",514,IF(Atletas!P255="Outro Estilo Interno E",515,IF(Atletas!P255="Xingyiquan F",516,IF(Atletas!P255="Baguazhang F",517,IF(Atletas!P255="Outro Estilo Interno F",518, "")))))))))))))))))))</f>
        <v/>
      </c>
      <c r="BS259" s="52" t="str">
        <f>IF(Atletas!Q255="","",IF(Atletas!W255&lt;&gt;"",10000,0)+IF(Atletas!B255="Feminino",1000,IF(Atletas!B255="Masculino",2000,""))+IF(Atletas!Q255="Dao A",601,IF(Atletas!Q255="Jian A",602,IF(Atletas!Q255="Bishou A",603,IF(Atletas!Q255="Shan A",604,IF(Atletas!Q255="Outra Arma Curta A",605,IF(Atletas!Q255="Dao B",606,IF(Atletas!Q255="Jian B",607,IF(Atletas!Q255="Bishou B",608,IF(Atletas!Q255="Shan B",609,IF(Atletas!Q255="Outra Arma Curta B",610,IF(Atletas!Q255="Dao C",611,IF(Atletas!Q255="Jian C",612,IF(Atletas!Q255="Bishou C",613,IF(Atletas!Q255="Shan C",614,IF(Atletas!Q255="Outra Arma Curta C",615,IF(Atletas!Q255="Dao D",616,IF(Atletas!Q255="Jian D",617,IF(Atletas!Q255="Bishou D",618,IF(Atletas!Q255="Shan D",619,IF(Atletas!Q255="Outra Arma Curta D",620,IF(Atletas!Q255="Dao E",621,IF(Atletas!Q255="Jian E",622,IF(Atletas!Q255="Bishou E",623,IF(Atletas!Q255="Shan E",624,IF(Atletas!Q255="Outra Arma Curta E",625,IF(Atletas!Q255="Dao F",626,IF(Atletas!Q255="Jian F",627,IF(Atletas!Q255="Bishou F",628,IF(Atletas!Q255="Shan F",629,IF(Atletas!Q255="Outra Arma Curta F",630, "")))))))))))))))))))))))))))))))</f>
        <v/>
      </c>
      <c r="BT259" s="52" t="str">
        <f>IF(Atletas!R255="","",IF(Atletas!W255&lt;&gt;"",10000,0)+IF(Atletas!B255="Feminino",1000,IF(Atletas!B255="Masculino",2000,""))+IF(Atletas!R255="Gun A",701,IF(Atletas!R255="Qiang A",702,IF(Atletas!R255="Pudao / Guandao A",703,IF(Atletas!R255="Outra Arma Longa A",704,IF(Atletas!R255="Gun B",705,IF(Atletas!R255="Qiang B",706,IF(Atletas!R255="Pudao / Guandao B",707,IF(Atletas!R255="Outra Arma Longa B",708,IF(Atletas!R255="Gun C",709,IF(Atletas!R255="Qiang C",710,IF(Atletas!R255="Pudao / Guandao C",711,IF(Atletas!R255="Outra Arma Longa C",712,IF(Atletas!R255="Gun D",713,IF(Atletas!R255="Qiang D",714,IF(Atletas!R255="Pudao / Guandao D",715,IF(Atletas!R255="Outra Arma Longa D",716,IF(Atletas!R255="Gun E",717,IF(Atletas!R255="Qiang E",718,IF(Atletas!R255="Pudao / Guandao E",719,IF(Atletas!R255="Outra Arma Longa E",720,IF(Atletas!R255="Gun F",721,IF(Atletas!R255="Qiang F",722,IF(Atletas!R255="Pudao / Guandao F",723,IF(Atletas!R255="Outra Arma Longa F",724,"")))))))))))))))))))))))))</f>
        <v/>
      </c>
      <c r="BU259" s="52" t="str">
        <f>IF(Atletas!S255="","",IF(Atletas!W255&lt;&gt;"",10000,0)+IF(Atletas!B255="Feminino",1000,IF(Atletas!B255="Masculino",2000,""))+IF(Atletas!S255="Arma Dupla A",801,IF(Atletas!S255="Arma Maleável A",802,IF(Atletas!S255="Arma Dupla B",803,IF(Atletas!S255="Arma Maleável B",804,IF(Atletas!S255="Arma Dupla C",805,IF(Atletas!S255="Arma Maleável C",806,IF(Atletas!S255="Arma Dupla D",807,IF(Atletas!S255="Arma Maleável D",808,IF(Atletas!S255="Arma Dupla E",809,IF(Atletas!S255="Arma Maleável E",810,IF(Atletas!S255="Arma Dupla F",811,IF(Atletas!S255="Arma Maleável F",812, "")))))))))))))</f>
        <v/>
      </c>
      <c r="BV259" s="52" t="str">
        <f>IF(Atletas!T255="","",IF(Atletas!W255&lt;&gt;"",10000,0)+IF(Atletas!B255="Feminino",1000,IF(Atletas!B255="Masculino",2000,""))+IF(Atletas!T255="Taijijian Yang A",901,IF(Atletas!T255="Taijijian Chen A",902,IF(Atletas!T255="Taijijian Sun A",903,IF(Atletas!T255="Taijijian Wu A",904,IF(Atletas!T255="Taijijian Wu-Hao A",905,IF(Atletas!T255="Taijijian 32 A",906,IF(Atletas!T255="Taijijian 42 A",907,IF(Atletas!T255="Taijijian Yang B",908,IF(Atletas!T255="Taijijian Chen B",909,IF(Atletas!T255="Taijijian Sun B",910,IF(Atletas!T255="Taijijian Wu B",911,IF(Atletas!T255="Taijijian Wu-Hao B",912,IF(Atletas!T255="Taijijian 32 B",913,IF(Atletas!T255="Taijijian 42 B",914,IF(Atletas!T255="Taijijian Yang C",915,IF(Atletas!T255="Taijijian Chen C",916,IF(Atletas!T255="Taijijian Sun C",917,IF(Atletas!T255="Taijijian Wu C",918,IF(Atletas!T255="Taijijian Wu-Hao C",919,IF(Atletas!T255="Taijijian 32 C",920,IF(Atletas!T255="Taijijian 42 C",921,IF(Atletas!T255="Taijijian Yang D",922,IF(Atletas!T255="Taijijian Chen D",923,IF(Atletas!T255="Taijijian Sun D",924,IF(Atletas!T255="Taijijian Wu D",925,IF(Atletas!T255="Taijijian Wu-Hao D",926,IF(Atletas!T255="Taijijian 32 D",927,IF(Atletas!T255="Taijijian 42 D",928,IF(Atletas!T255="Taijijian Yang E",929,IF(Atletas!T255="Taijijian Chen E",930,IF(Atletas!T255="Taijijian Sun E",931,IF(Atletas!T255="Taijijian Wu E",932,IF(Atletas!T255="Taijijian Wu-Hao E",933,IF(Atletas!T255="Taijijian 32 E",934,IF(Atletas!T255="Taijijian 42 E",935,IF(Atletas!T255="Taijijian Yang F",936,IF(Atletas!T255="Taijijian Chen F",937,IF(Atletas!T255="Taijijian Sun F",938,IF(Atletas!T255="Taijijian Wu F",939,IF(Atletas!T255="Taijijian Wu-Hao F",940,IF(Atletas!T255="Taijijian 32 F",941,IF(Atletas!T255="Taijijian 42 F",942,"")))))))))))))))))))))))))))))))))))))))))))</f>
        <v/>
      </c>
      <c r="BW259" s="52" t="str">
        <f>IF(Atletas!U255="","",IF(Atletas!W255&lt;&gt;"",10000,0)+IF(Atletas!B255="Feminino",1000,IF(Atletas!B255="Masculino",2000,""))+IF(Atletas!T255="Taijijian 42 F",942,IF(Atletas!U255="Taijidao A",943,IF(Atletas!U255="Taijishan A",944,IF(Atletas!U255="Taijiqiang A",945,IF(Atletas!U255="Taijidao B",946,IF(Atletas!U255="Taijishan B",947,IF(Atletas!U255="Taijiqiang B",948,IF(Atletas!U255="Taijidao C",949,IF(Atletas!U255="Taijishan C",950,IF(Atletas!U255="Taijiqiang C",951,IF(Atletas!U255="Taijidao D",952,IF(Atletas!U255="Taijishan D",953,IF(Atletas!U255="Taijiqiang D",954,IF(Atletas!U255="Taijidao E",955,IF(Atletas!U255="Taijishan E",956,IF(Atletas!U255="Taijiqiang E",957,IF(Atletas!U255="Taijidao F",958,IF(Atletas!U255="Taijishan F",959,IF(Atletas!U255="Taijiqiang F",960))))))))))))))))))))</f>
        <v/>
      </c>
      <c r="BX259" s="72" t="str">
        <f>IF(BY259&lt;&gt;"","Pudao / Gaundao B","")</f>
        <v/>
      </c>
      <c r="BY259" s="72" t="str">
        <f>IF(COUNTIF(BK:BW,1707)&gt;0,COUNTIF(BK:BW,1707),"")</f>
        <v/>
      </c>
      <c r="BZ259" s="72" t="str">
        <f>IF(CA259&lt;&gt;"","Pudao / Gaundao B","")</f>
        <v/>
      </c>
      <c r="CA259" s="72" t="str">
        <f>IF(COUNTIF(BK:BW,2707)&gt;0,COUNTIF(BK:BW,2707),"")</f>
        <v/>
      </c>
      <c r="CB259" s="72" t="str">
        <f>IF(CC259&lt;&gt;"","Xingyiquan E","")</f>
        <v/>
      </c>
      <c r="CC259" s="64" t="str">
        <f>IF(COUNTIF(BK:BW,11513)&gt;0,COUNTIF(BK:BW,11513),"")</f>
        <v/>
      </c>
      <c r="CD259" s="64" t="str">
        <f>IF(CE259&lt;&gt;"","Xingyiquan E","")</f>
        <v/>
      </c>
      <c r="CE259" s="64" t="str">
        <f>IF(COUNTIF(BK:BW,12513)&gt;0,COUNTIF(BK:BW,12513),"")</f>
        <v/>
      </c>
      <c r="CF259" s="52" t="str">
        <f xml:space="preserve"> IF(Atletas!V255="","",IF(Atletas!V255="Duilian de Mãos AB - Equipe 1",1,IF(Atletas!V255="Duilian de Mãos AB - Equipe 2",2,IF(Atletas!V255="Duilian de Armas AB - Equipe 1",3,IF(Atletas!V255="Duilian de Armas AB - Equipe 2",4,IF(Atletas!V255="Duilian de Tuishou - Equipe 1",5,IF(Atletas!V255="Duilian de Tuishou - Equipe 2",6,IF(Atletas!V255="Grupo Externo AB - Equipe 1",7,IF(Atletas!V255="Grupo Externo AB - Equipe 2",8,IF(Atletas!V255="Grupo Interno AB - Equipe 1",9,IF(Atletas!V255="Grupo Interno AB - Equipe 2",10,IF(Atletas!V255="Duilian de Mãos CD - Equipe 1",11,IF(Atletas!V255="Duilian de Mãos CD - Equipe 2",12,IF(Atletas!V255="Duilian de Armas CD - Equipe 1",13,IF(Atletas!V255="Duilian de Armas CD - Equipe 2",14,IF(Atletas!V255="Duilian de Tuishou - Equipe 1",15,IF(Atletas!V255="Duilian de Tuishou - Equipe 2",16,IF(Atletas!V255="Grupo Externo CDEF - Equipe 1",17,IF(Atletas!V255="Grupo Externo CDEF - Equipe 2",18,IF(Atletas!V255="Grupo Interno CDEF - Equipe 1",19,IF(Atletas!V255="Grupo Interno CDEF - Equipe 2",20,IF(Atletas!V255="Duilian de Mãos EF - Equipe 1",21,IF(Atletas!V255="Duilian de Mãos EF - Equipe 2",22,IF(Atletas!V255="Duilian de Armas EF - Equipe 1",23,IF(Atletas!V255="Duilian de Armas EF - Equipe 2",24,IF(Atletas!V255="Duilian de Tuishou - Equipe 1",25,IF(Atletas!V255="Duilian de Tuishou - Equipe 2",26,"")))))))))))))))))))))))))))</f>
        <v/>
      </c>
    </row>
    <row r="260" spans="2:84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 t="str">
        <f t="array" ref="V260">IFERROR(INDEX(BX$7:BX$336,SMALL(IF(BX$7:BX$336&lt;&gt;"",ROW(BX$7:BX$336)-ROW(BX$7)+1),ROWS(BX$7:BX217))),"")</f>
        <v/>
      </c>
      <c r="W260" s="4" t="str">
        <f t="array" ref="W260">IFERROR(INDEX(BY$7:BY$336,SMALL(IF(BY$7:BY$336&lt;&gt;"",ROW(BY$7:BY$336)-ROW(BY$7)+1),ROWS(BY$7:BY217))),"")</f>
        <v/>
      </c>
      <c r="X260" s="4" t="str">
        <f t="array" ref="X260">IFERROR(INDEX(BZ$7:BZ$336,SMALL(IF(BZ$7:BZ$336&lt;&gt;"",ROW(BZ$7:BZ$336)-ROW(BZ$7)+1),ROWS(BZ$7:BZ217))),"")</f>
        <v/>
      </c>
      <c r="Y260" s="4" t="str">
        <f t="array" ref="Y260">IFERROR(INDEX(CA$7:CA$336,SMALL(IF(CA$7:CA$336&lt;&gt;"",ROW(CA$7:CA$336)-ROW(CA$7)+1),ROWS(CA$7:CA217))),"")</f>
        <v/>
      </c>
      <c r="Z260" s="4" t="str">
        <f t="array" ref="Z260">IFERROR(INDEX(CB$7:CB$378,SMALL(IF(CB$7:CB$378&lt;&gt;"",ROW(CB$7:CB$378)-ROW(CB$7)+1),ROWS(CB$7:CB259))),"")</f>
        <v/>
      </c>
      <c r="AA260" s="4" t="str">
        <f t="array" ref="AA260">IFERROR(INDEX(CC$7:CC$378,SMALL(IF(CC$7:CC$378&lt;&gt;"",ROW(CC$7:CC$378)-ROW(CC$7)+1),ROWS(CC$7:CC259))),"")</f>
        <v/>
      </c>
      <c r="AB260" s="4" t="str">
        <f t="array" ref="AB260">IFERROR(INDEX(CD$7:CD$378,SMALL(IF(CD$7:CD$378&lt;&gt;"",ROW(CD$7:CD$378)-ROW(CD$7)+1),ROWS(CD$7:CD259))),"")</f>
        <v/>
      </c>
      <c r="AC260" s="4" t="str">
        <f t="array" ref="AC260">IFERROR(INDEX(CE$7:CE$378,SMALL(IF(CE$7:CE$378&lt;&gt;"",ROW(CE$7:CE$378)-ROW(CE$7)+1),ROWS(CE$7:CE259))),"")</f>
        <v/>
      </c>
      <c r="AD260" s="4"/>
      <c r="AE260" s="4"/>
      <c r="AF260" s="4"/>
      <c r="AG260" s="4"/>
      <c r="AH260" s="4"/>
      <c r="AI260" s="4"/>
      <c r="AJ260" s="46" t="str">
        <f>IF(Atletas!D256="","",IF(Atletas!B256="Feminino",100,IF(Atletas!B256="Masculino",200,""))+(IF(Atletas!D256="Infantil 39kg",1,IF(Atletas!D256="Infantil 42kg",2,IF(Atletas!D256="Infantil 45kg",3,IF(Atletas!D256="Infantil 48kg",4,IF(Atletas!D256="Infantil 52kg",5,IF(Atletas!D256="Infantil 56kg",6,IF(Atletas!D256="Infantil 60kg",7,IF(Atletas!D256="Juvenil 48kg",8,IF(Atletas!D256="Juvenil 52kg",9,IF(Atletas!D256="Juvenil 56kg",10,IF(Atletas!D256="Juvenil 60kg",11,IF(Atletas!D256="Juvenil 65kg",12,IF(Atletas!D256="Juvenil 70kg",13,IF(Atletas!D256="Juvenil 75kg",14,IF(Atletas!D256="Juvenil 80kg",15,IF(Atletas!D256="Adulto 48kg",16,IF(Atletas!D256="Adulto 52kg",17,IF(Atletas!D256="Adulto 56kg",18,IF(Atletas!D256="Adulto 60kg",19,IF(Atletas!D256="Adulto 65kg",20,IF(Atletas!D256="Adulto 70kg",21,IF(Atletas!D256="Adulto 75kg",22,IF(Atletas!D256="Adulto 80kg",23,IF(Atletas!D256="Adulto 85kg",24,IF(Atletas!D256="Adulto 90kg",25,IF(Atletas!D256="Adulto +90kg",26,""))))))))))))))))))))))))))))</f>
        <v/>
      </c>
      <c r="AO260" s="10" t="str">
        <f>IF(Atletas!E256="","",IF(Atletas!B256="Feminino",100,IF(Atletas!B256="Masculino",200,""))+(IF(Atletas!E256="Juvenil 44kg",1,IF(Atletas!E256="Juvenil 48kg",2,IF(Atletas!E256="Juvenil 52kg",3,IF(Atletas!E256="Juvenil 56kg",4,IF(Atletas!E256="Juvenil 60kg",5,IF(Atletas!E256="Juvenil 65kg",6,IF(Atletas!E256="Juvenil 70kg",7,IF(Atletas!E256="Juvenil 75kg",8,IF(Atletas!E256="Juvenil 82kg",9,IF(Atletas!E256="Juvenil 90kg",10,IF(Atletas!E256="Juvenil 100kg",11,IF(Atletas!E256="Adulto 48kg",12,IF(Atletas!E256="Adulto 52kg",13,IF(Atletas!E256="Adulto 56kg",14,IF(Atletas!E256="Adulto 60kg",15,IF(Atletas!E256="Adulto 65kg",16,IF(Atletas!E256="Adulto 70kg",17,IF(Atletas!E256="Adulto 75kg",18,IF(Atletas!E256="Adulto 82kg",19,IF(Atletas!E256="Adulto 90kg",20,IF(Atletas!E256="Adulto 100kg",21,IF(Atletas!E256="Adulto +100kg",22,""))))))))))))))))))))))))</f>
        <v/>
      </c>
      <c r="AT260" s="10" t="str">
        <f>IF(Atletas!F256="","",IF(Atletas!B256="Feminino",100,IF(Atletas!B256="Masculino",200,""))+(IF(Atletas!F256="Adulto 48kg",1,IF(Atletas!F256="Adulto 56kg",2,IF(Atletas!F256="Adulto 65kg",3,IF(Atletas!F256="Adulto 75kg",4,IF(Atletas!F256="Adulto +75kg",5,IF(Atletas!F256="Adulto 52kg",6,IF(Atletas!F256="Adulto 60kg",7,IF(Atletas!F256="Adulto 70kg",8,IF(Atletas!F256="Adulto 80kg",9,IF(Atletas!F256="Adulto 90kg",10,IF(Atletas!F256="Adulto +90kg",11,"")))))))))))))</f>
        <v/>
      </c>
      <c r="AY260" s="46" t="str">
        <f>IF(Atletas!G256="","",IF(Atletas!B256="Feminino",100,IF(Atletas!B256="Masculino",200,""))+(IF(Atletas!G256="Changquan Mirim",1,IF(Atletas!G256="Nanquan Mirim",2,IF(Atletas!G256="Taijiquan Mirim",3,IF(Atletas!G256="Changquan Grupo C",4,IF(Atletas!G256="Nanquan Grupo C",5,IF(Atletas!G256="Taijiquan Grupo C",6,IF(Atletas!G256="Changquan Grupo B",7,IF(Atletas!G256="Nanquan Grupo B",8,IF(Atletas!G256="Taijiquan Grupo B",9,IF(Atletas!G256="Changquan Grupo A",10,IF(Atletas!G256="Nanquan Grupo A",11,IF(Atletas!G256="Taijiquan Grupo A",12,IF(Atletas!G256="Changquan Opcional",13,IF(Atletas!G256="Nanquan Opcional",14,IF(Atletas!G256="Taijiquan Opcional",15,IF(Atletas!G256="Changquan Adulto",16,IF(Atletas!G256="Nanquan Adulto",17,IF(Atletas!G256="Taijiquan Adulto",18,""))))))))))))))))))))</f>
        <v/>
      </c>
      <c r="AZ260" s="46" t="str">
        <f>IF(Atletas!H256="","",IF(Atletas!B256="Feminino",100,IF(Atletas!B256="Masculino",200,""))+(IF(Atletas!H256="Daoshu Mirim",19,IF(Atletas!H256="Jianshu Mirim",20,IF(Atletas!H256="Nandao Mirim",21,IF(Atletas!H256="Taijijian Mirim",22,IF(Atletas!H256="Daoshu Grupo C",23,IF(Atletas!H256="Jianshu Grupo C",24,IF(Atletas!H256="Nandao Grupo C",25,IF(Atletas!H256="Taijijian Grupo C",26,IF(Atletas!H256="Daoshu Grupo B",27,IF(Atletas!H256="Jianshu Grupo B",28,IF(Atletas!H256="Nandao Grupo B",29,IF(Atletas!H256="Taijijian Grupo B",30,IF(Atletas!H256="Daoshu Grupo A",31,IF(Atletas!H256="Jianshu Grupo A",32,IF(Atletas!H256="Nandao Grupo A",33,IF(Atletas!H256="Taijijian Grupo A",34,IF(Atletas!H256="Daoshu Opcional",35,IF(Atletas!H256="Jianshu Opcional",36,IF(Atletas!H256="Nandao Opcional",37,IF(Atletas!H256="Taijijian Opcional",38,IF(Atletas!H256="Daoshu Adulto",39,IF(Atletas!H256="Jianshu Adulto",40,IF(Atletas!H256="Nandao Adulto",41,IF(Atletas!H256="Taijijian Adulto",42,""))))))))))))))))))))))))))</f>
        <v/>
      </c>
      <c r="BA260" s="46" t="str">
        <f>IF(Atletas!I256="","",IF(Atletas!B256="Feminino",100,IF(Atletas!B256="Masculino",200,""))+(IF(Atletas!I256="Gunshu Mirim",43,IF(Atletas!I256="Qiangshu Mirim",44,IF(Atletas!I256="Nangun Mirim",45,IF(Atletas!I256="Gunshu Grupo C",46,IF(Atletas!I256="Qiangshu Grupo C",47,IF(Atletas!I256="Nangun Grupo C",48,IF(Atletas!I256="Gunshu Grupo B",49,IF(Atletas!I256="Qiangshu Grupo B",50,IF(Atletas!I256="Nangun Grupo B",51,IF(Atletas!I256="Gunshu Grupo A",52,IF(Atletas!I256="Qiangshu Grupo A",53,IF(Atletas!I256="Nangun Grupo A",54,IF(Atletas!I256="Gunshu Opcional",55,IF(Atletas!I256="Qiangshu Opcional",56,IF(Atletas!I256="Nangun Opcional",57,IF(Atletas!I256="Gunshu Adulto",58,IF(Atletas!I256="Qiangshu Adulto",59,IF(Atletas!I256="Nangun Adulto",60,""))))))))))))))))))))</f>
        <v/>
      </c>
      <c r="BF260" s="52" t="str">
        <f>IF(Atletas!J256="","",IF(Atletas!B256="Feminino",100,IF(Atletas!B256="Masculino",200,""))+(IF(Atletas!J256="Equipe 1 Grupo B",1,IF(Atletas!J256="Equipe 2 Grupo B",2,IF(Atletas!J256="Equipe 1 Grupo A",3,IF(Atletas!J256="Equipe 2 Grupo A",4,IF(Atletas!J256="Equipe 1 Adulto",5,IF(Atletas!J256="Equipe 2 Adulto",6,""))))))))</f>
        <v/>
      </c>
      <c r="BK260" s="52" t="str">
        <f>IF(Atletas!K256="","",IF(Atletas!W256&lt;&gt;"",10000,0)+(IF(Atletas!B256="Feminino",1000,IF(Atletas!B256="Masculino",2000,""))+IF(Atletas!K256="Choylayfut A",1,IF(Atletas!K256="Hunggar A",2,IF(Atletas!K256="Wuzuquan A",3,IF(Atletas!K256="Wingchun A",4,IF(Atletas!K256="Outra Mão de Sul A",5,IF(Atletas!K256="Choylayfut B",6,IF(Atletas!K256="Hunggar B",7,IF(Atletas!K256="Wuzuquan B",8,IF(Atletas!K256="Wingchun B",9,IF(Atletas!K256="Outra Mão de Sul B",10,IF(Atletas!K256="Choylayfut C",11,IF(Atletas!K256="Hunggar C",12,IF(Atletas!K256="Wuzuquan C",13,IF(Atletas!K256="Wingchun C",14,IF(Atletas!K256="Outra Mão de Sul C",15,IF(Atletas!K256="Choylayfut D",16,IF(Atletas!K256="Hunggar D",17,IF(Atletas!K256="Wuzuquan D",18,IF(Atletas!K256="Wingchun D",19,IF(Atletas!K256="Outra Mão de Sul D",20,IF(Atletas!K256="Choylayfut E",21,IF(Atletas!K256="Hunggar E",22,IF(Atletas!K256="Wuzuquan E",23,IF(Atletas!K256="Wingchun E",24,IF(Atletas!K256="Outra Mão de Sul E",25,IF(Atletas!K256="Choylayfut F",26,IF(Atletas!K256="Hunggar F",27,IF(Atletas!K256="Wuzuquan F",28,IF(Atletas!K256="Wingchun F",29,IF(Atletas!K256="Outra Mão de Sul F",30,""))))))))))))))))))))))))))))))))</f>
        <v/>
      </c>
      <c r="BL260" s="52" t="str">
        <f>IF(Atletas!L256="","",IF(Atletas!W256&lt;&gt;"",10000,0)+(IF(Atletas!B256="Feminino",1000,IF(Atletas!B256="Masculino",2000,""))+(IF(Atletas!L256="Chaquan A",101,IF(Atletas!L256="Emeiquan A",102,IF(Atletas!L256="Fanziquan A",103,IF(Atletas!L256="Huaquan A",104,IF(Atletas!L256="Hongquan A",105,IF(Atletas!L256="Paochui A",106,IF(Atletas!L256="Piguaquan A",107,IF(Atletas!L256="Shaolinquan A",108,IF(Atletas!L256="Tanglangquan A",109,IF(Atletas!L256="Yinzhaophai A",110,IF(Atletas!L256="Tongbeiquan A",111,IF(Atletas!L256="Wudangquan A",112,IF(Atletas!L256="Outros Estilos A",113,IF(Atletas!L256="Chaquan B",114,IF(Atletas!L256="Emeiquan B",115,IF(Atletas!L256="Fanziquan B",116,IF(Atletas!L256="Huaquan B",117,IF(Atletas!L256="Hongquan B",118,IF(Atletas!L256="Paochui B",119,IF(Atletas!L256="Piguaquan B",120,IF(Atletas!L256="Shaolinquan B",121,IF(Atletas!L256="Tanglangquan B",122,IF(Atletas!L256="Yinzhaophai B",123,IF(Atletas!L256="Tongbeiquan B",124,IF(Atletas!L256="Wudangquan B",125,IF(Atletas!L256="Outros Estilos B",126,IF(Atletas!L256="Chaquan C",127,IF(Atletas!L256="Emeiquan C",128,IF(Atletas!L256="Fanziquan C",129,IF(Atletas!L256="Huaquan C",130,IF(Atletas!L256="Hongquan C",131,IF(Atletas!L256="Paochui C",132,IF(Atletas!L256="Piguaquan C",133,IF(Atletas!L256="Shaolinquan C",134,IF(Atletas!L256="Tanglangquan C",135,IF(Atletas!L256="Yinzhaophai C",136,IF(Atletas!L256="Tongbeiquan C",137,IF(Atletas!L256="Wudangquan C",138,IF(Atletas!L256="Outros Estilos C",139,0))))))))))))))))))))))))))))))))))))))))))</f>
        <v/>
      </c>
      <c r="BM260" s="52" t="str">
        <f>IF(Atletas!L256="","",IF(Atletas!W256&lt;&gt;"",10000,0)+(IF(Atletas!B256="Feminino",1000,IF(Atletas!B256="Masculino",2000,""))+(IF(Atletas!L256="Chaquan D",140,IF(Atletas!L256="Emeiquan D",141,IF(Atletas!L256="Fanziquan D",142,IF(Atletas!L256="Huaquan D",143,IF(Atletas!L256="Hongquan D",144,IF(Atletas!L256="Paochui D",145,IF(Atletas!L256="Piguaquan D",146,IF(Atletas!L256="Shaolinquan D",147,IF(Atletas!L256="Tanglangquan D",148,IF(Atletas!L256="Yinzhaophai D",149,IF(Atletas!L256="Tongbeiquan D",150,IF(Atletas!L256="Wudangquan D",151,IF(Atletas!L256="Outros Estilos D",152,IF(Atletas!L256="Chaquan E",153,IF(Atletas!L256="Emeiquan E",154,IF(Atletas!L256="Fanziquan E",155,IF(Atletas!L256="Huaquan E",156,IF(Atletas!L256="Hongquan E",157,IF(Atletas!L256="Paochui E",158,IF(Atletas!L256="Piguaquan E",159,IF(Atletas!L256="Shaolinquan E",160,IF(Atletas!L256="Tanglangquan E",161,IF(Atletas!L256="Yinzhaophai E",162,IF(Atletas!L256="Tongbeiquan E",163,IF(Atletas!L256="Wudangquan E",164,IF(Atletas!L256="Outros Estilos E",165,IF(Atletas!L256="Chaquan F",166,IF(Atletas!L256="Emeiquan F",167,IF(Atletas!L256="Fanziquan F",168,IF(Atletas!L256="Huaquan F",169,IF(Atletas!L256="Hongquan F",170,IF(Atletas!L256="Paochui F",171,IF(Atletas!L256="Piguaquan F",172,IF(Atletas!L256="Shaolinquan F",173,IF(Atletas!L256="Tanglangquan F",174,IF(Atletas!L256="Yinzhaophai F",175,IF(Atletas!L256="Tongbeiquan F",176,IF(Atletas!L256="Wudangquan F",177,IF(Atletas!L256="Outros Estilos F",178,0))))))))))))))))))))))))))))))))))))))))))</f>
        <v/>
      </c>
      <c r="BN260" s="52" t="str">
        <f>IF(Atletas!M256="","",IF(Atletas!W256&lt;&gt;"",10000,0)+(IF(Atletas!B256="Feminino",1000,IF(Atletas!B256="Masculino",2000,""))+(IF(Atletas!M256="Ditangquan A",201,IF(Atletas!M256="Houquan A",202,IF(Atletas!M256="Zuiquan A",203,IF(Atletas!M256="Ditangquan B",204,IF(Atletas!M256="Houquan B",205,IF(Atletas!M256="Zuiquan B",206,IF(Atletas!M256="Ditangquan C",207,IF(Atletas!M256="Houquan C",208,IF(Atletas!M256="Zuiquan C",209,IF(Atletas!M256="Ditangquan D",210,IF(Atletas!M256="Houquan D",211,IF(Atletas!M256="Zuiquan D",212,IF(Atletas!M256="Ditangquan E",213,IF(Atletas!M256="Houquan E",214,IF(Atletas!M256="Zuiquan E",215,IF(Atletas!M256="Ditangquan F",216,IF(Atletas!M256="Houquan F",217,IF(Atletas!M256="Zuiquan F",218,"")))))))))))))))))))))</f>
        <v/>
      </c>
      <c r="BO260" s="52" t="str">
        <f>IF(Atletas!N256="","",IF(Atletas!W256&lt;&gt;"",10000,0)+IF(Atletas!B256="Feminino",1000,IF(Atletas!B256="Masculino",2000,""))+IF(Atletas!N256="Yang A",301,IF(Atletas!N256="Chen A",30,IF(Atletas!N256="Sun A",303,IF(Atletas!N256="Wu A",304,IF(Atletas!N256="Wu-Hao A",305,IF(Atletas!N256="Outro Taijiquan A",306,IF(Atletas!N256="Yang B",307,IF(Atletas!N256="Chen B",308,IF(Atletas!N256="Sun B",309,IF(Atletas!N256="Wu B",310,IF(Atletas!N256="Wu-Hao B",311,IF(Atletas!N256="Outro Taijiquan B",312,IF(Atletas!N256="Yang C",313,IF(Atletas!N256="Chen C",314,IF(Atletas!N256="Sun C",315,IF(Atletas!N256="Wu C",316,IF(Atletas!N256="Wu-Hao C",317,IF(Atletas!N256="Outro Taijiquan C",318,IF(Atletas!N256="Yang D",319,IF(Atletas!N256="Chen D",320,IF(Atletas!N256="Sun D",321,IF(Atletas!N256="Wu D",322,IF(Atletas!N256="Wu-Hao D",323,IF(Atletas!N256="Outro Taijiquan D",324,IF(Atletas!N256="Yang E",325,IF(Atletas!N256="Chen E",326,IF(Atletas!N256="Sun E",327,IF(Atletas!N256="Wu E",328,IF(Atletas!N256="Wu-Hao E",329,IF(Atletas!N256="Outro Taijiquan E",330,IF(Atletas!N256="Yang F",331,IF(Atletas!N256="Chen F",332,IF(Atletas!N256="Sun F",333,IF(Atletas!N256="Wu F",334,IF(Atletas!N256="Wu-Hao F",335,IF(Atletas!N256="Outro Taijiquan F",336,"")))))))))))))))))))))))))))))))))))))</f>
        <v/>
      </c>
      <c r="BP260" s="52" t="str">
        <f>IF(Atletas!O256="","",IF(Atletas!W256&lt;&gt;"",10000,0)+IF(Atletas!B256="Feminino",1000,IF(Atletas!B256="Masculino",2000,""))+IF(OR(Atletas!O256="Yang 26 A",Atletas!O256="Yang 40 A"),401,IF(OR(Atletas!O256="Chen 25 A",Atletas!O256="Chen 36 A",Atletas!O256="Chen 56 A"),402,IF(Atletas!O256="Sun 73 A",403,IF(Atletas!O256="Wu 45 A",404,IF(Atletas!O256="Wu-Hao 46 A",405,IF(OR(Atletas!O256="Taijiquan 16 A",Atletas!O256="Taijiquan 24 A",Atletas!O256="Taijiquan 32 A",Atletas!O256="Taijiquan 42 A"),406,IF(OR(Atletas!O256="Yang 26 B",Atletas!O256="Yang 40 B"),407,IF(OR(Atletas!O256="Chen 25 B",Atletas!O256="Chen 36 B",Atletas!O256="Chen 56 B"),408,IF(Atletas!O256="Sun 73 B",409,IF(Atletas!O256="Wu 45 B",410,IF(Atletas!O256="Wu-Hao 46 B",411,IF(OR(Atletas!O256="Taijiquan 16 B",Atletas!O256="Taijiquan 24 B",Atletas!O256="Taijiquan 32 B",Atletas!O256="Taijiquan 42 B"),412,IF(OR(Atletas!O256="Yang 26 C",Atletas!O256="Yang 40 C"),413,IF(OR(Atletas!O256="Chen 25 C",Atletas!O256="Chen 36 C",Atletas!O256="Chen 56 C"),414,IF(Atletas!O256="Sun 73 C",415,IF(Atletas!O256="Wu 45 C",416,IF(Atletas!O256="Wu-Hao 46 C",417,IF(OR(Atletas!O256="Taijiquan 16 C",Atletas!O256="Taijiquan 24 C",Atletas!O256="Taijiquan 32 C",Atletas!O256="Taijiquan 42 C"),418,0)))))))))))))))))))</f>
        <v/>
      </c>
      <c r="BQ260" s="52" t="str">
        <f>IF(Atletas!O256="","",IF(Atletas!W256&lt;&gt;"",10000,0)+IF(Atletas!B256="Feminino",1000,IF(Atletas!B256="Masculino",2000,""))+IF(OR(Atletas!O256="Yang 26 D",Atletas!O256="Yang 40 D"),419,IF(OR(Atletas!O256="Chen 25 D",Atletas!O256="Chen 36 D",Atletas!O256="Chen 56 D"),420,IF(Atletas!O256="Sun 73 D",421,IF(Atletas!O256="Wu 45 D",422,IF(Atletas!O256="Wu-Hao 46 D",423,IF(OR(Atletas!O256="Taijiquan 16 D",Atletas!O256="Taijiquan 24 D",Atletas!O256="Taijiquan 32 D",Atletas!O256="Taijiquan 42 D"),424,IF(OR(Atletas!O256="Yang 26 E",Atletas!O256="Yang 40 E"),425,IF(OR(Atletas!O256="Chen 25 E",Atletas!O256="Chen 36 E",Atletas!O256="Chen 56 E"),426,IF(Atletas!O256="Sun 73 E",427,IF(Atletas!O256="Wu 45 E",428,IF(Atletas!O256="Wu-Hao 46 E",429,IF(OR(Atletas!O256="Taijiquan 16 E",Atletas!O256="Taijiquan 24 E",Atletas!O256="Taijiquan 32 E",Atletas!O256="Taijiquan 42 E"),430,IF(OR(Atletas!O256="Yang 26 F",Atletas!O256="Yang 40 F"),431,IF(OR(Atletas!O256="Chen 25 F",Atletas!O256="Chen 36 F",Atletas!O256="Chen 56 F"),432,IF(Atletas!O256="Sun 73 F",433,IF(Atletas!O256="Wu 45 F",434,IF(Atletas!O256="Wu-Hao 46 F",435,IF(OR(Atletas!O256="Taijiquan 16 F",Atletas!O256="Taijiquan 24 F",Atletas!O256="Taijiquan 32 F",Atletas!O256="Taijiquan 42 F"),436,0)))))))))))))))))))</f>
        <v/>
      </c>
      <c r="BR260" s="52" t="str">
        <f>IF(Atletas!P256="","",IF(Atletas!W256&lt;&gt;"",10000,0)+IF(Atletas!B256="Feminino",1000,IF(Atletas!B256="Masculino",2000,""))+IF(Atletas!P256="Xingyiquan A",501,IF(Atletas!P256="Baguazhang A",502,IF(Atletas!P256="Outro Estilo Interno A",503,IF(Atletas!P256="Xingyiquan B",504,IF(Atletas!P256="Baguazhang B",505,IF(Atletas!P256="Outro Estilo Interno B",506,IF(Atletas!P256="Xingyiquan C",507,IF(Atletas!P256="Baguazhang C",508,IF(Atletas!P256="Outro Estilo Interno C",509,IF(Atletas!P256="Xingyiquan D",510,IF(Atletas!P256="Baguazhang D",511,IF(Atletas!P256="Outro Estilo Interno D",512,IF(Atletas!P256="Xingyiquan E",513,IF(Atletas!P256="Baguazhang E",514,IF(Atletas!P256="Outro Estilo Interno E",515,IF(Atletas!P256="Xingyiquan F",516,IF(Atletas!P256="Baguazhang F",517,IF(Atletas!P256="Outro Estilo Interno F",518, "")))))))))))))))))))</f>
        <v/>
      </c>
      <c r="BS260" s="52" t="str">
        <f>IF(Atletas!Q256="","",IF(Atletas!W256&lt;&gt;"",10000,0)+IF(Atletas!B256="Feminino",1000,IF(Atletas!B256="Masculino",2000,""))+IF(Atletas!Q256="Dao A",601,IF(Atletas!Q256="Jian A",602,IF(Atletas!Q256="Bishou A",603,IF(Atletas!Q256="Shan A",604,IF(Atletas!Q256="Outra Arma Curta A",605,IF(Atletas!Q256="Dao B",606,IF(Atletas!Q256="Jian B",607,IF(Atletas!Q256="Bishou B",608,IF(Atletas!Q256="Shan B",609,IF(Atletas!Q256="Outra Arma Curta B",610,IF(Atletas!Q256="Dao C",611,IF(Atletas!Q256="Jian C",612,IF(Atletas!Q256="Bishou C",613,IF(Atletas!Q256="Shan C",614,IF(Atletas!Q256="Outra Arma Curta C",615,IF(Atletas!Q256="Dao D",616,IF(Atletas!Q256="Jian D",617,IF(Atletas!Q256="Bishou D",618,IF(Atletas!Q256="Shan D",619,IF(Atletas!Q256="Outra Arma Curta D",620,IF(Atletas!Q256="Dao E",621,IF(Atletas!Q256="Jian E",622,IF(Atletas!Q256="Bishou E",623,IF(Atletas!Q256="Shan E",624,IF(Atletas!Q256="Outra Arma Curta E",625,IF(Atletas!Q256="Dao F",626,IF(Atletas!Q256="Jian F",627,IF(Atletas!Q256="Bishou F",628,IF(Atletas!Q256="Shan F",629,IF(Atletas!Q256="Outra Arma Curta F",630, "")))))))))))))))))))))))))))))))</f>
        <v/>
      </c>
      <c r="BT260" s="52" t="str">
        <f>IF(Atletas!R256="","",IF(Atletas!W256&lt;&gt;"",10000,0)+IF(Atletas!B256="Feminino",1000,IF(Atletas!B256="Masculino",2000,""))+IF(Atletas!R256="Gun A",701,IF(Atletas!R256="Qiang A",702,IF(Atletas!R256="Pudao / Guandao A",703,IF(Atletas!R256="Outra Arma Longa A",704,IF(Atletas!R256="Gun B",705,IF(Atletas!R256="Qiang B",706,IF(Atletas!R256="Pudao / Guandao B",707,IF(Atletas!R256="Outra Arma Longa B",708,IF(Atletas!R256="Gun C",709,IF(Atletas!R256="Qiang C",710,IF(Atletas!R256="Pudao / Guandao C",711,IF(Atletas!R256="Outra Arma Longa C",712,IF(Atletas!R256="Gun D",713,IF(Atletas!R256="Qiang D",714,IF(Atletas!R256="Pudao / Guandao D",715,IF(Atletas!R256="Outra Arma Longa D",716,IF(Atletas!R256="Gun E",717,IF(Atletas!R256="Qiang E",718,IF(Atletas!R256="Pudao / Guandao E",719,IF(Atletas!R256="Outra Arma Longa E",720,IF(Atletas!R256="Gun F",721,IF(Atletas!R256="Qiang F",722,IF(Atletas!R256="Pudao / Guandao F",723,IF(Atletas!R256="Outra Arma Longa F",724,"")))))))))))))))))))))))))</f>
        <v/>
      </c>
      <c r="BU260" s="52" t="str">
        <f>IF(Atletas!S256="","",IF(Atletas!W256&lt;&gt;"",10000,0)+IF(Atletas!B256="Feminino",1000,IF(Atletas!B256="Masculino",2000,""))+IF(Atletas!S256="Arma Dupla A",801,IF(Atletas!S256="Arma Maleável A",802,IF(Atletas!S256="Arma Dupla B",803,IF(Atletas!S256="Arma Maleável B",804,IF(Atletas!S256="Arma Dupla C",805,IF(Atletas!S256="Arma Maleável C",806,IF(Atletas!S256="Arma Dupla D",807,IF(Atletas!S256="Arma Maleável D",808,IF(Atletas!S256="Arma Dupla E",809,IF(Atletas!S256="Arma Maleável E",810,IF(Atletas!S256="Arma Dupla F",811,IF(Atletas!S256="Arma Maleável F",812, "")))))))))))))</f>
        <v/>
      </c>
      <c r="BV260" s="52" t="str">
        <f>IF(Atletas!T256="","",IF(Atletas!W256&lt;&gt;"",10000,0)+IF(Atletas!B256="Feminino",1000,IF(Atletas!B256="Masculino",2000,""))+IF(Atletas!T256="Taijijian Yang A",901,IF(Atletas!T256="Taijijian Chen A",902,IF(Atletas!T256="Taijijian Sun A",903,IF(Atletas!T256="Taijijian Wu A",904,IF(Atletas!T256="Taijijian Wu-Hao A",905,IF(Atletas!T256="Taijijian 32 A",906,IF(Atletas!T256="Taijijian 42 A",907,IF(Atletas!T256="Taijijian Yang B",908,IF(Atletas!T256="Taijijian Chen B",909,IF(Atletas!T256="Taijijian Sun B",910,IF(Atletas!T256="Taijijian Wu B",911,IF(Atletas!T256="Taijijian Wu-Hao B",912,IF(Atletas!T256="Taijijian 32 B",913,IF(Atletas!T256="Taijijian 42 B",914,IF(Atletas!T256="Taijijian Yang C",915,IF(Atletas!T256="Taijijian Chen C",916,IF(Atletas!T256="Taijijian Sun C",917,IF(Atletas!T256="Taijijian Wu C",918,IF(Atletas!T256="Taijijian Wu-Hao C",919,IF(Atletas!T256="Taijijian 32 C",920,IF(Atletas!T256="Taijijian 42 C",921,IF(Atletas!T256="Taijijian Yang D",922,IF(Atletas!T256="Taijijian Chen D",923,IF(Atletas!T256="Taijijian Sun D",924,IF(Atletas!T256="Taijijian Wu D",925,IF(Atletas!T256="Taijijian Wu-Hao D",926,IF(Atletas!T256="Taijijian 32 D",927,IF(Atletas!T256="Taijijian 42 D",928,IF(Atletas!T256="Taijijian Yang E",929,IF(Atletas!T256="Taijijian Chen E",930,IF(Atletas!T256="Taijijian Sun E",931,IF(Atletas!T256="Taijijian Wu E",932,IF(Atletas!T256="Taijijian Wu-Hao E",933,IF(Atletas!T256="Taijijian 32 E",934,IF(Atletas!T256="Taijijian 42 E",935,IF(Atletas!T256="Taijijian Yang F",936,IF(Atletas!T256="Taijijian Chen F",937,IF(Atletas!T256="Taijijian Sun F",938,IF(Atletas!T256="Taijijian Wu F",939,IF(Atletas!T256="Taijijian Wu-Hao F",940,IF(Atletas!T256="Taijijian 32 F",941,IF(Atletas!T256="Taijijian 42 F",942,"")))))))))))))))))))))))))))))))))))))))))))</f>
        <v/>
      </c>
      <c r="BW260" s="52" t="str">
        <f>IF(Atletas!U256="","",IF(Atletas!W256&lt;&gt;"",10000,0)+IF(Atletas!B256="Feminino",1000,IF(Atletas!B256="Masculino",2000,""))+IF(Atletas!T256="Taijijian 42 F",942,IF(Atletas!U256="Taijidao A",943,IF(Atletas!U256="Taijishan A",944,IF(Atletas!U256="Taijiqiang A",945,IF(Atletas!U256="Taijidao B",946,IF(Atletas!U256="Taijishan B",947,IF(Atletas!U256="Taijiqiang B",948,IF(Atletas!U256="Taijidao C",949,IF(Atletas!U256="Taijishan C",950,IF(Atletas!U256="Taijiqiang C",951,IF(Atletas!U256="Taijidao D",952,IF(Atletas!U256="Taijishan D",953,IF(Atletas!U256="Taijiqiang D",954,IF(Atletas!U256="Taijidao E",955,IF(Atletas!U256="Taijishan E",956,IF(Atletas!U256="Taijiqiang E",957,IF(Atletas!U256="Taijidao F",958,IF(Atletas!U256="Taijishan F",959,IF(Atletas!U256="Taijiqiang F",960))))))))))))))))))))</f>
        <v/>
      </c>
      <c r="BX260" s="72" t="str">
        <f>IF(BY260&lt;&gt;"","Outra Arma Longa B","")</f>
        <v/>
      </c>
      <c r="BY260" s="72" t="str">
        <f>IF(COUNTIF(BK:BW,1708)&gt;0,COUNTIF(BK:BW,1708),"")</f>
        <v/>
      </c>
      <c r="BZ260" s="72" t="str">
        <f>IF(CA260&lt;&gt;"","Outra Arma Longa B","")</f>
        <v/>
      </c>
      <c r="CA260" s="72" t="str">
        <f>IF(COUNTIF(BK:BW,2708)&gt;0,COUNTIF(BK:BW,2708),"")</f>
        <v/>
      </c>
      <c r="CB260" s="72" t="str">
        <f>IF(CC260&lt;&gt;"","Baguazhang E ","")</f>
        <v/>
      </c>
      <c r="CC260" s="64" t="str">
        <f>IF(COUNTIF(BK:BW,11514)&gt;0,COUNTIF(BK:BW,11514),"")</f>
        <v/>
      </c>
      <c r="CD260" s="64" t="str">
        <f>IF(CE260&lt;&gt;"","Baguazhang E ","")</f>
        <v/>
      </c>
      <c r="CE260" s="64" t="str">
        <f>IF(COUNTIF(BK:BW,12514)&gt;0,COUNTIF(BK:BW,12514),"")</f>
        <v/>
      </c>
      <c r="CF260" s="52" t="str">
        <f xml:space="preserve"> IF(Atletas!V256="","",IF(Atletas!V256="Duilian de Mãos AB - Equipe 1",1,IF(Atletas!V256="Duilian de Mãos AB - Equipe 2",2,IF(Atletas!V256="Duilian de Armas AB - Equipe 1",3,IF(Atletas!V256="Duilian de Armas AB - Equipe 2",4,IF(Atletas!V256="Duilian de Tuishou - Equipe 1",5,IF(Atletas!V256="Duilian de Tuishou - Equipe 2",6,IF(Atletas!V256="Grupo Externo AB - Equipe 1",7,IF(Atletas!V256="Grupo Externo AB - Equipe 2",8,IF(Atletas!V256="Grupo Interno AB - Equipe 1",9,IF(Atletas!V256="Grupo Interno AB - Equipe 2",10,IF(Atletas!V256="Duilian de Mãos CD - Equipe 1",11,IF(Atletas!V256="Duilian de Mãos CD - Equipe 2",12,IF(Atletas!V256="Duilian de Armas CD - Equipe 1",13,IF(Atletas!V256="Duilian de Armas CD - Equipe 2",14,IF(Atletas!V256="Duilian de Tuishou - Equipe 1",15,IF(Atletas!V256="Duilian de Tuishou - Equipe 2",16,IF(Atletas!V256="Grupo Externo CDEF - Equipe 1",17,IF(Atletas!V256="Grupo Externo CDEF - Equipe 2",18,IF(Atletas!V256="Grupo Interno CDEF - Equipe 1",19,IF(Atletas!V256="Grupo Interno CDEF - Equipe 2",20,IF(Atletas!V256="Duilian de Mãos EF - Equipe 1",21,IF(Atletas!V256="Duilian de Mãos EF - Equipe 2",22,IF(Atletas!V256="Duilian de Armas EF - Equipe 1",23,IF(Atletas!V256="Duilian de Armas EF - Equipe 2",24,IF(Atletas!V256="Duilian de Tuishou - Equipe 1",25,IF(Atletas!V256="Duilian de Tuishou - Equipe 2",26,"")))))))))))))))))))))))))))</f>
        <v/>
      </c>
    </row>
    <row r="261" spans="2:84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 t="str">
        <f t="array" ref="V261">IFERROR(INDEX(BX$7:BX$336,SMALL(IF(BX$7:BX$336&lt;&gt;"",ROW(BX$7:BX$336)-ROW(BX$7)+1),ROWS(BX$7:BX218))),"")</f>
        <v/>
      </c>
      <c r="W261" s="4" t="str">
        <f t="array" ref="W261">IFERROR(INDEX(BY$7:BY$336,SMALL(IF(BY$7:BY$336&lt;&gt;"",ROW(BY$7:BY$336)-ROW(BY$7)+1),ROWS(BY$7:BY218))),"")</f>
        <v/>
      </c>
      <c r="X261" s="4" t="str">
        <f t="array" ref="X261">IFERROR(INDEX(BZ$7:BZ$336,SMALL(IF(BZ$7:BZ$336&lt;&gt;"",ROW(BZ$7:BZ$336)-ROW(BZ$7)+1),ROWS(BZ$7:BZ218))),"")</f>
        <v/>
      </c>
      <c r="Y261" s="4" t="str">
        <f t="array" ref="Y261">IFERROR(INDEX(CA$7:CA$336,SMALL(IF(CA$7:CA$336&lt;&gt;"",ROW(CA$7:CA$336)-ROW(CA$7)+1),ROWS(CA$7:CA218))),"")</f>
        <v/>
      </c>
      <c r="Z261" s="4" t="str">
        <f t="array" ref="Z261">IFERROR(INDEX(CB$7:CB$378,SMALL(IF(CB$7:CB$378&lt;&gt;"",ROW(CB$7:CB$378)-ROW(CB$7)+1),ROWS(CB$7:CB260))),"")</f>
        <v/>
      </c>
      <c r="AA261" s="4" t="str">
        <f t="array" ref="AA261">IFERROR(INDEX(CC$7:CC$378,SMALL(IF(CC$7:CC$378&lt;&gt;"",ROW(CC$7:CC$378)-ROW(CC$7)+1),ROWS(CC$7:CC260))),"")</f>
        <v/>
      </c>
      <c r="AB261" s="4" t="str">
        <f t="array" ref="AB261">IFERROR(INDEX(CD$7:CD$378,SMALL(IF(CD$7:CD$378&lt;&gt;"",ROW(CD$7:CD$378)-ROW(CD$7)+1),ROWS(CD$7:CD260))),"")</f>
        <v/>
      </c>
      <c r="AC261" s="4" t="str">
        <f t="array" ref="AC261">IFERROR(INDEX(CE$7:CE$378,SMALL(IF(CE$7:CE$378&lt;&gt;"",ROW(CE$7:CE$378)-ROW(CE$7)+1),ROWS(CE$7:CE260))),"")</f>
        <v/>
      </c>
      <c r="AD261" s="4"/>
      <c r="AE261" s="4"/>
      <c r="AF261" s="4"/>
      <c r="AG261" s="4"/>
      <c r="AH261" s="4"/>
      <c r="AI261" s="4"/>
      <c r="AJ261" s="46" t="str">
        <f>IF(Atletas!D257="","",IF(Atletas!B257="Feminino",100,IF(Atletas!B257="Masculino",200,""))+(IF(Atletas!D257="Infantil 39kg",1,IF(Atletas!D257="Infantil 42kg",2,IF(Atletas!D257="Infantil 45kg",3,IF(Atletas!D257="Infantil 48kg",4,IF(Atletas!D257="Infantil 52kg",5,IF(Atletas!D257="Infantil 56kg",6,IF(Atletas!D257="Infantil 60kg",7,IF(Atletas!D257="Juvenil 48kg",8,IF(Atletas!D257="Juvenil 52kg",9,IF(Atletas!D257="Juvenil 56kg",10,IF(Atletas!D257="Juvenil 60kg",11,IF(Atletas!D257="Juvenil 65kg",12,IF(Atletas!D257="Juvenil 70kg",13,IF(Atletas!D257="Juvenil 75kg",14,IF(Atletas!D257="Juvenil 80kg",15,IF(Atletas!D257="Adulto 48kg",16,IF(Atletas!D257="Adulto 52kg",17,IF(Atletas!D257="Adulto 56kg",18,IF(Atletas!D257="Adulto 60kg",19,IF(Atletas!D257="Adulto 65kg",20,IF(Atletas!D257="Adulto 70kg",21,IF(Atletas!D257="Adulto 75kg",22,IF(Atletas!D257="Adulto 80kg",23,IF(Atletas!D257="Adulto 85kg",24,IF(Atletas!D257="Adulto 90kg",25,IF(Atletas!D257="Adulto +90kg",26,""))))))))))))))))))))))))))))</f>
        <v/>
      </c>
      <c r="AO261" s="10" t="str">
        <f>IF(Atletas!E257="","",IF(Atletas!B257="Feminino",100,IF(Atletas!B257="Masculino",200,""))+(IF(Atletas!E257="Juvenil 44kg",1,IF(Atletas!E257="Juvenil 48kg",2,IF(Atletas!E257="Juvenil 52kg",3,IF(Atletas!E257="Juvenil 56kg",4,IF(Atletas!E257="Juvenil 60kg",5,IF(Atletas!E257="Juvenil 65kg",6,IF(Atletas!E257="Juvenil 70kg",7,IF(Atletas!E257="Juvenil 75kg",8,IF(Atletas!E257="Juvenil 82kg",9,IF(Atletas!E257="Juvenil 90kg",10,IF(Atletas!E257="Juvenil 100kg",11,IF(Atletas!E257="Adulto 48kg",12,IF(Atletas!E257="Adulto 52kg",13,IF(Atletas!E257="Adulto 56kg",14,IF(Atletas!E257="Adulto 60kg",15,IF(Atletas!E257="Adulto 65kg",16,IF(Atletas!E257="Adulto 70kg",17,IF(Atletas!E257="Adulto 75kg",18,IF(Atletas!E257="Adulto 82kg",19,IF(Atletas!E257="Adulto 90kg",20,IF(Atletas!E257="Adulto 100kg",21,IF(Atletas!E257="Adulto +100kg",22,""))))))))))))))))))))))))</f>
        <v/>
      </c>
      <c r="AT261" s="10" t="str">
        <f>IF(Atletas!F257="","",IF(Atletas!B257="Feminino",100,IF(Atletas!B257="Masculino",200,""))+(IF(Atletas!F257="Adulto 48kg",1,IF(Atletas!F257="Adulto 56kg",2,IF(Atletas!F257="Adulto 65kg",3,IF(Atletas!F257="Adulto 75kg",4,IF(Atletas!F257="Adulto +75kg",5,IF(Atletas!F257="Adulto 52kg",6,IF(Atletas!F257="Adulto 60kg",7,IF(Atletas!F257="Adulto 70kg",8,IF(Atletas!F257="Adulto 80kg",9,IF(Atletas!F257="Adulto 90kg",10,IF(Atletas!F257="Adulto +90kg",11,"")))))))))))))</f>
        <v/>
      </c>
      <c r="AY261" s="46" t="str">
        <f>IF(Atletas!G257="","",IF(Atletas!B257="Feminino",100,IF(Atletas!B257="Masculino",200,""))+(IF(Atletas!G257="Changquan Mirim",1,IF(Atletas!G257="Nanquan Mirim",2,IF(Atletas!G257="Taijiquan Mirim",3,IF(Atletas!G257="Changquan Grupo C",4,IF(Atletas!G257="Nanquan Grupo C",5,IF(Atletas!G257="Taijiquan Grupo C",6,IF(Atletas!G257="Changquan Grupo B",7,IF(Atletas!G257="Nanquan Grupo B",8,IF(Atletas!G257="Taijiquan Grupo B",9,IF(Atletas!G257="Changquan Grupo A",10,IF(Atletas!G257="Nanquan Grupo A",11,IF(Atletas!G257="Taijiquan Grupo A",12,IF(Atletas!G257="Changquan Opcional",13,IF(Atletas!G257="Nanquan Opcional",14,IF(Atletas!G257="Taijiquan Opcional",15,IF(Atletas!G257="Changquan Adulto",16,IF(Atletas!G257="Nanquan Adulto",17,IF(Atletas!G257="Taijiquan Adulto",18,""))))))))))))))))))))</f>
        <v/>
      </c>
      <c r="AZ261" s="46" t="str">
        <f>IF(Atletas!H257="","",IF(Atletas!B257="Feminino",100,IF(Atletas!B257="Masculino",200,""))+(IF(Atletas!H257="Daoshu Mirim",19,IF(Atletas!H257="Jianshu Mirim",20,IF(Atletas!H257="Nandao Mirim",21,IF(Atletas!H257="Taijijian Mirim",22,IF(Atletas!H257="Daoshu Grupo C",23,IF(Atletas!H257="Jianshu Grupo C",24,IF(Atletas!H257="Nandao Grupo C",25,IF(Atletas!H257="Taijijian Grupo C",26,IF(Atletas!H257="Daoshu Grupo B",27,IF(Atletas!H257="Jianshu Grupo B",28,IF(Atletas!H257="Nandao Grupo B",29,IF(Atletas!H257="Taijijian Grupo B",30,IF(Atletas!H257="Daoshu Grupo A",31,IF(Atletas!H257="Jianshu Grupo A",32,IF(Atletas!H257="Nandao Grupo A",33,IF(Atletas!H257="Taijijian Grupo A",34,IF(Atletas!H257="Daoshu Opcional",35,IF(Atletas!H257="Jianshu Opcional",36,IF(Atletas!H257="Nandao Opcional",37,IF(Atletas!H257="Taijijian Opcional",38,IF(Atletas!H257="Daoshu Adulto",39,IF(Atletas!H257="Jianshu Adulto",40,IF(Atletas!H257="Nandao Adulto",41,IF(Atletas!H257="Taijijian Adulto",42,""))))))))))))))))))))))))))</f>
        <v/>
      </c>
      <c r="BA261" s="46" t="str">
        <f>IF(Atletas!I257="","",IF(Atletas!B257="Feminino",100,IF(Atletas!B257="Masculino",200,""))+(IF(Atletas!I257="Gunshu Mirim",43,IF(Atletas!I257="Qiangshu Mirim",44,IF(Atletas!I257="Nangun Mirim",45,IF(Atletas!I257="Gunshu Grupo C",46,IF(Atletas!I257="Qiangshu Grupo C",47,IF(Atletas!I257="Nangun Grupo C",48,IF(Atletas!I257="Gunshu Grupo B",49,IF(Atletas!I257="Qiangshu Grupo B",50,IF(Atletas!I257="Nangun Grupo B",51,IF(Atletas!I257="Gunshu Grupo A",52,IF(Atletas!I257="Qiangshu Grupo A",53,IF(Atletas!I257="Nangun Grupo A",54,IF(Atletas!I257="Gunshu Opcional",55,IF(Atletas!I257="Qiangshu Opcional",56,IF(Atletas!I257="Nangun Opcional",57,IF(Atletas!I257="Gunshu Adulto",58,IF(Atletas!I257="Qiangshu Adulto",59,IF(Atletas!I257="Nangun Adulto",60,""))))))))))))))))))))</f>
        <v/>
      </c>
      <c r="BF261" s="52" t="str">
        <f>IF(Atletas!J257="","",IF(Atletas!B257="Feminino",100,IF(Atletas!B257="Masculino",200,""))+(IF(Atletas!J257="Equipe 1 Grupo B",1,IF(Atletas!J257="Equipe 2 Grupo B",2,IF(Atletas!J257="Equipe 1 Grupo A",3,IF(Atletas!J257="Equipe 2 Grupo A",4,IF(Atletas!J257="Equipe 1 Adulto",5,IF(Atletas!J257="Equipe 2 Adulto",6,""))))))))</f>
        <v/>
      </c>
      <c r="BK261" s="52" t="str">
        <f>IF(Atletas!K257="","",IF(Atletas!W257&lt;&gt;"",10000,0)+(IF(Atletas!B257="Feminino",1000,IF(Atletas!B257="Masculino",2000,""))+IF(Atletas!K257="Choylayfut A",1,IF(Atletas!K257="Hunggar A",2,IF(Atletas!K257="Wuzuquan A",3,IF(Atletas!K257="Wingchun A",4,IF(Atletas!K257="Outra Mão de Sul A",5,IF(Atletas!K257="Choylayfut B",6,IF(Atletas!K257="Hunggar B",7,IF(Atletas!K257="Wuzuquan B",8,IF(Atletas!K257="Wingchun B",9,IF(Atletas!K257="Outra Mão de Sul B",10,IF(Atletas!K257="Choylayfut C",11,IF(Atletas!K257="Hunggar C",12,IF(Atletas!K257="Wuzuquan C",13,IF(Atletas!K257="Wingchun C",14,IF(Atletas!K257="Outra Mão de Sul C",15,IF(Atletas!K257="Choylayfut D",16,IF(Atletas!K257="Hunggar D",17,IF(Atletas!K257="Wuzuquan D",18,IF(Atletas!K257="Wingchun D",19,IF(Atletas!K257="Outra Mão de Sul D",20,IF(Atletas!K257="Choylayfut E",21,IF(Atletas!K257="Hunggar E",22,IF(Atletas!K257="Wuzuquan E",23,IF(Atletas!K257="Wingchun E",24,IF(Atletas!K257="Outra Mão de Sul E",25,IF(Atletas!K257="Choylayfut F",26,IF(Atletas!K257="Hunggar F",27,IF(Atletas!K257="Wuzuquan F",28,IF(Atletas!K257="Wingchun F",29,IF(Atletas!K257="Outra Mão de Sul F",30,""))))))))))))))))))))))))))))))))</f>
        <v/>
      </c>
      <c r="BL261" s="52" t="str">
        <f>IF(Atletas!L257="","",IF(Atletas!W257&lt;&gt;"",10000,0)+(IF(Atletas!B257="Feminino",1000,IF(Atletas!B257="Masculino",2000,""))+(IF(Atletas!L257="Chaquan A",101,IF(Atletas!L257="Emeiquan A",102,IF(Atletas!L257="Fanziquan A",103,IF(Atletas!L257="Huaquan A",104,IF(Atletas!L257="Hongquan A",105,IF(Atletas!L257="Paochui A",106,IF(Atletas!L257="Piguaquan A",107,IF(Atletas!L257="Shaolinquan A",108,IF(Atletas!L257="Tanglangquan A",109,IF(Atletas!L257="Yinzhaophai A",110,IF(Atletas!L257="Tongbeiquan A",111,IF(Atletas!L257="Wudangquan A",112,IF(Atletas!L257="Outros Estilos A",113,IF(Atletas!L257="Chaquan B",114,IF(Atletas!L257="Emeiquan B",115,IF(Atletas!L257="Fanziquan B",116,IF(Atletas!L257="Huaquan B",117,IF(Atletas!L257="Hongquan B",118,IF(Atletas!L257="Paochui B",119,IF(Atletas!L257="Piguaquan B",120,IF(Atletas!L257="Shaolinquan B",121,IF(Atletas!L257="Tanglangquan B",122,IF(Atletas!L257="Yinzhaophai B",123,IF(Atletas!L257="Tongbeiquan B",124,IF(Atletas!L257="Wudangquan B",125,IF(Atletas!L257="Outros Estilos B",126,IF(Atletas!L257="Chaquan C",127,IF(Atletas!L257="Emeiquan C",128,IF(Atletas!L257="Fanziquan C",129,IF(Atletas!L257="Huaquan C",130,IF(Atletas!L257="Hongquan C",131,IF(Atletas!L257="Paochui C",132,IF(Atletas!L257="Piguaquan C",133,IF(Atletas!L257="Shaolinquan C",134,IF(Atletas!L257="Tanglangquan C",135,IF(Atletas!L257="Yinzhaophai C",136,IF(Atletas!L257="Tongbeiquan C",137,IF(Atletas!L257="Wudangquan C",138,IF(Atletas!L257="Outros Estilos C",139,0))))))))))))))))))))))))))))))))))))))))))</f>
        <v/>
      </c>
      <c r="BM261" s="52" t="str">
        <f>IF(Atletas!L257="","",IF(Atletas!W257&lt;&gt;"",10000,0)+(IF(Atletas!B257="Feminino",1000,IF(Atletas!B257="Masculino",2000,""))+(IF(Atletas!L257="Chaquan D",140,IF(Atletas!L257="Emeiquan D",141,IF(Atletas!L257="Fanziquan D",142,IF(Atletas!L257="Huaquan D",143,IF(Atletas!L257="Hongquan D",144,IF(Atletas!L257="Paochui D",145,IF(Atletas!L257="Piguaquan D",146,IF(Atletas!L257="Shaolinquan D",147,IF(Atletas!L257="Tanglangquan D",148,IF(Atletas!L257="Yinzhaophai D",149,IF(Atletas!L257="Tongbeiquan D",150,IF(Atletas!L257="Wudangquan D",151,IF(Atletas!L257="Outros Estilos D",152,IF(Atletas!L257="Chaquan E",153,IF(Atletas!L257="Emeiquan E",154,IF(Atletas!L257="Fanziquan E",155,IF(Atletas!L257="Huaquan E",156,IF(Atletas!L257="Hongquan E",157,IF(Atletas!L257="Paochui E",158,IF(Atletas!L257="Piguaquan E",159,IF(Atletas!L257="Shaolinquan E",160,IF(Atletas!L257="Tanglangquan E",161,IF(Atletas!L257="Yinzhaophai E",162,IF(Atletas!L257="Tongbeiquan E",163,IF(Atletas!L257="Wudangquan E",164,IF(Atletas!L257="Outros Estilos E",165,IF(Atletas!L257="Chaquan F",166,IF(Atletas!L257="Emeiquan F",167,IF(Atletas!L257="Fanziquan F",168,IF(Atletas!L257="Huaquan F",169,IF(Atletas!L257="Hongquan F",170,IF(Atletas!L257="Paochui F",171,IF(Atletas!L257="Piguaquan F",172,IF(Atletas!L257="Shaolinquan F",173,IF(Atletas!L257="Tanglangquan F",174,IF(Atletas!L257="Yinzhaophai F",175,IF(Atletas!L257="Tongbeiquan F",176,IF(Atletas!L257="Wudangquan F",177,IF(Atletas!L257="Outros Estilos F",178,0))))))))))))))))))))))))))))))))))))))))))</f>
        <v/>
      </c>
      <c r="BN261" s="52" t="str">
        <f>IF(Atletas!M257="","",IF(Atletas!W257&lt;&gt;"",10000,0)+(IF(Atletas!B257="Feminino",1000,IF(Atletas!B257="Masculino",2000,""))+(IF(Atletas!M257="Ditangquan A",201,IF(Atletas!M257="Houquan A",202,IF(Atletas!M257="Zuiquan A",203,IF(Atletas!M257="Ditangquan B",204,IF(Atletas!M257="Houquan B",205,IF(Atletas!M257="Zuiquan B",206,IF(Atletas!M257="Ditangquan C",207,IF(Atletas!M257="Houquan C",208,IF(Atletas!M257="Zuiquan C",209,IF(Atletas!M257="Ditangquan D",210,IF(Atletas!M257="Houquan D",211,IF(Atletas!M257="Zuiquan D",212,IF(Atletas!M257="Ditangquan E",213,IF(Atletas!M257="Houquan E",214,IF(Atletas!M257="Zuiquan E",215,IF(Atletas!M257="Ditangquan F",216,IF(Atletas!M257="Houquan F",217,IF(Atletas!M257="Zuiquan F",218,"")))))))))))))))))))))</f>
        <v/>
      </c>
      <c r="BO261" s="52" t="str">
        <f>IF(Atletas!N257="","",IF(Atletas!W257&lt;&gt;"",10000,0)+IF(Atletas!B257="Feminino",1000,IF(Atletas!B257="Masculino",2000,""))+IF(Atletas!N257="Yang A",301,IF(Atletas!N257="Chen A",30,IF(Atletas!N257="Sun A",303,IF(Atletas!N257="Wu A",304,IF(Atletas!N257="Wu-Hao A",305,IF(Atletas!N257="Outro Taijiquan A",306,IF(Atletas!N257="Yang B",307,IF(Atletas!N257="Chen B",308,IF(Atletas!N257="Sun B",309,IF(Atletas!N257="Wu B",310,IF(Atletas!N257="Wu-Hao B",311,IF(Atletas!N257="Outro Taijiquan B",312,IF(Atletas!N257="Yang C",313,IF(Atletas!N257="Chen C",314,IF(Atletas!N257="Sun C",315,IF(Atletas!N257="Wu C",316,IF(Atletas!N257="Wu-Hao C",317,IF(Atletas!N257="Outro Taijiquan C",318,IF(Atletas!N257="Yang D",319,IF(Atletas!N257="Chen D",320,IF(Atletas!N257="Sun D",321,IF(Atletas!N257="Wu D",322,IF(Atletas!N257="Wu-Hao D",323,IF(Atletas!N257="Outro Taijiquan D",324,IF(Atletas!N257="Yang E",325,IF(Atletas!N257="Chen E",326,IF(Atletas!N257="Sun E",327,IF(Atletas!N257="Wu E",328,IF(Atletas!N257="Wu-Hao E",329,IF(Atletas!N257="Outro Taijiquan E",330,IF(Atletas!N257="Yang F",331,IF(Atletas!N257="Chen F",332,IF(Atletas!N257="Sun F",333,IF(Atletas!N257="Wu F",334,IF(Atletas!N257="Wu-Hao F",335,IF(Atletas!N257="Outro Taijiquan F",336,"")))))))))))))))))))))))))))))))))))))</f>
        <v/>
      </c>
      <c r="BP261" s="52" t="str">
        <f>IF(Atletas!O257="","",IF(Atletas!W257&lt;&gt;"",10000,0)+IF(Atletas!B257="Feminino",1000,IF(Atletas!B257="Masculino",2000,""))+IF(OR(Atletas!O257="Yang 26 A",Atletas!O257="Yang 40 A"),401,IF(OR(Atletas!O257="Chen 25 A",Atletas!O257="Chen 36 A",Atletas!O257="Chen 56 A"),402,IF(Atletas!O257="Sun 73 A",403,IF(Atletas!O257="Wu 45 A",404,IF(Atletas!O257="Wu-Hao 46 A",405,IF(OR(Atletas!O257="Taijiquan 16 A",Atletas!O257="Taijiquan 24 A",Atletas!O257="Taijiquan 32 A",Atletas!O257="Taijiquan 42 A"),406,IF(OR(Atletas!O257="Yang 26 B",Atletas!O257="Yang 40 B"),407,IF(OR(Atletas!O257="Chen 25 B",Atletas!O257="Chen 36 B",Atletas!O257="Chen 56 B"),408,IF(Atletas!O257="Sun 73 B",409,IF(Atletas!O257="Wu 45 B",410,IF(Atletas!O257="Wu-Hao 46 B",411,IF(OR(Atletas!O257="Taijiquan 16 B",Atletas!O257="Taijiquan 24 B",Atletas!O257="Taijiquan 32 B",Atletas!O257="Taijiquan 42 B"),412,IF(OR(Atletas!O257="Yang 26 C",Atletas!O257="Yang 40 C"),413,IF(OR(Atletas!O257="Chen 25 C",Atletas!O257="Chen 36 C",Atletas!O257="Chen 56 C"),414,IF(Atletas!O257="Sun 73 C",415,IF(Atletas!O257="Wu 45 C",416,IF(Atletas!O257="Wu-Hao 46 C",417,IF(OR(Atletas!O257="Taijiquan 16 C",Atletas!O257="Taijiquan 24 C",Atletas!O257="Taijiquan 32 C",Atletas!O257="Taijiquan 42 C"),418,0)))))))))))))))))))</f>
        <v/>
      </c>
      <c r="BQ261" s="52" t="str">
        <f>IF(Atletas!O257="","",IF(Atletas!W257&lt;&gt;"",10000,0)+IF(Atletas!B257="Feminino",1000,IF(Atletas!B257="Masculino",2000,""))+IF(OR(Atletas!O257="Yang 26 D",Atletas!O257="Yang 40 D"),419,IF(OR(Atletas!O257="Chen 25 D",Atletas!O257="Chen 36 D",Atletas!O257="Chen 56 D"),420,IF(Atletas!O257="Sun 73 D",421,IF(Atletas!O257="Wu 45 D",422,IF(Atletas!O257="Wu-Hao 46 D",423,IF(OR(Atletas!O257="Taijiquan 16 D",Atletas!O257="Taijiquan 24 D",Atletas!O257="Taijiquan 32 D",Atletas!O257="Taijiquan 42 D"),424,IF(OR(Atletas!O257="Yang 26 E",Atletas!O257="Yang 40 E"),425,IF(OR(Atletas!O257="Chen 25 E",Atletas!O257="Chen 36 E",Atletas!O257="Chen 56 E"),426,IF(Atletas!O257="Sun 73 E",427,IF(Atletas!O257="Wu 45 E",428,IF(Atletas!O257="Wu-Hao 46 E",429,IF(OR(Atletas!O257="Taijiquan 16 E",Atletas!O257="Taijiquan 24 E",Atletas!O257="Taijiquan 32 E",Atletas!O257="Taijiquan 42 E"),430,IF(OR(Atletas!O257="Yang 26 F",Atletas!O257="Yang 40 F"),431,IF(OR(Atletas!O257="Chen 25 F",Atletas!O257="Chen 36 F",Atletas!O257="Chen 56 F"),432,IF(Atletas!O257="Sun 73 F",433,IF(Atletas!O257="Wu 45 F",434,IF(Atletas!O257="Wu-Hao 46 F",435,IF(OR(Atletas!O257="Taijiquan 16 F",Atletas!O257="Taijiquan 24 F",Atletas!O257="Taijiquan 32 F",Atletas!O257="Taijiquan 42 F"),436,0)))))))))))))))))))</f>
        <v/>
      </c>
      <c r="BR261" s="52" t="str">
        <f>IF(Atletas!P257="","",IF(Atletas!W257&lt;&gt;"",10000,0)+IF(Atletas!B257="Feminino",1000,IF(Atletas!B257="Masculino",2000,""))+IF(Atletas!P257="Xingyiquan A",501,IF(Atletas!P257="Baguazhang A",502,IF(Atletas!P257="Outro Estilo Interno A",503,IF(Atletas!P257="Xingyiquan B",504,IF(Atletas!P257="Baguazhang B",505,IF(Atletas!P257="Outro Estilo Interno B",506,IF(Atletas!P257="Xingyiquan C",507,IF(Atletas!P257="Baguazhang C",508,IF(Atletas!P257="Outro Estilo Interno C",509,IF(Atletas!P257="Xingyiquan D",510,IF(Atletas!P257="Baguazhang D",511,IF(Atletas!P257="Outro Estilo Interno D",512,IF(Atletas!P257="Xingyiquan E",513,IF(Atletas!P257="Baguazhang E",514,IF(Atletas!P257="Outro Estilo Interno E",515,IF(Atletas!P257="Xingyiquan F",516,IF(Atletas!P257="Baguazhang F",517,IF(Atletas!P257="Outro Estilo Interno F",518, "")))))))))))))))))))</f>
        <v/>
      </c>
      <c r="BS261" s="52" t="str">
        <f>IF(Atletas!Q257="","",IF(Atletas!W257&lt;&gt;"",10000,0)+IF(Atletas!B257="Feminino",1000,IF(Atletas!B257="Masculino",2000,""))+IF(Atletas!Q257="Dao A",601,IF(Atletas!Q257="Jian A",602,IF(Atletas!Q257="Bishou A",603,IF(Atletas!Q257="Shan A",604,IF(Atletas!Q257="Outra Arma Curta A",605,IF(Atletas!Q257="Dao B",606,IF(Atletas!Q257="Jian B",607,IF(Atletas!Q257="Bishou B",608,IF(Atletas!Q257="Shan B",609,IF(Atletas!Q257="Outra Arma Curta B",610,IF(Atletas!Q257="Dao C",611,IF(Atletas!Q257="Jian C",612,IF(Atletas!Q257="Bishou C",613,IF(Atletas!Q257="Shan C",614,IF(Atletas!Q257="Outra Arma Curta C",615,IF(Atletas!Q257="Dao D",616,IF(Atletas!Q257="Jian D",617,IF(Atletas!Q257="Bishou D",618,IF(Atletas!Q257="Shan D",619,IF(Atletas!Q257="Outra Arma Curta D",620,IF(Atletas!Q257="Dao E",621,IF(Atletas!Q257="Jian E",622,IF(Atletas!Q257="Bishou E",623,IF(Atletas!Q257="Shan E",624,IF(Atletas!Q257="Outra Arma Curta E",625,IF(Atletas!Q257="Dao F",626,IF(Atletas!Q257="Jian F",627,IF(Atletas!Q257="Bishou F",628,IF(Atletas!Q257="Shan F",629,IF(Atletas!Q257="Outra Arma Curta F",630, "")))))))))))))))))))))))))))))))</f>
        <v/>
      </c>
      <c r="BT261" s="52" t="str">
        <f>IF(Atletas!R257="","",IF(Atletas!W257&lt;&gt;"",10000,0)+IF(Atletas!B257="Feminino",1000,IF(Atletas!B257="Masculino",2000,""))+IF(Atletas!R257="Gun A",701,IF(Atletas!R257="Qiang A",702,IF(Atletas!R257="Pudao / Guandao A",703,IF(Atletas!R257="Outra Arma Longa A",704,IF(Atletas!R257="Gun B",705,IF(Atletas!R257="Qiang B",706,IF(Atletas!R257="Pudao / Guandao B",707,IF(Atletas!R257="Outra Arma Longa B",708,IF(Atletas!R257="Gun C",709,IF(Atletas!R257="Qiang C",710,IF(Atletas!R257="Pudao / Guandao C",711,IF(Atletas!R257="Outra Arma Longa C",712,IF(Atletas!R257="Gun D",713,IF(Atletas!R257="Qiang D",714,IF(Atletas!R257="Pudao / Guandao D",715,IF(Atletas!R257="Outra Arma Longa D",716,IF(Atletas!R257="Gun E",717,IF(Atletas!R257="Qiang E",718,IF(Atletas!R257="Pudao / Guandao E",719,IF(Atletas!R257="Outra Arma Longa E",720,IF(Atletas!R257="Gun F",721,IF(Atletas!R257="Qiang F",722,IF(Atletas!R257="Pudao / Guandao F",723,IF(Atletas!R257="Outra Arma Longa F",724,"")))))))))))))))))))))))))</f>
        <v/>
      </c>
      <c r="BU261" s="52" t="str">
        <f>IF(Atletas!S257="","",IF(Atletas!W257&lt;&gt;"",10000,0)+IF(Atletas!B257="Feminino",1000,IF(Atletas!B257="Masculino",2000,""))+IF(Atletas!S257="Arma Dupla A",801,IF(Atletas!S257="Arma Maleável A",802,IF(Atletas!S257="Arma Dupla B",803,IF(Atletas!S257="Arma Maleável B",804,IF(Atletas!S257="Arma Dupla C",805,IF(Atletas!S257="Arma Maleável C",806,IF(Atletas!S257="Arma Dupla D",807,IF(Atletas!S257="Arma Maleável D",808,IF(Atletas!S257="Arma Dupla E",809,IF(Atletas!S257="Arma Maleável E",810,IF(Atletas!S257="Arma Dupla F",811,IF(Atletas!S257="Arma Maleável F",812, "")))))))))))))</f>
        <v/>
      </c>
      <c r="BV261" s="52" t="str">
        <f>IF(Atletas!T257="","",IF(Atletas!W257&lt;&gt;"",10000,0)+IF(Atletas!B257="Feminino",1000,IF(Atletas!B257="Masculino",2000,""))+IF(Atletas!T257="Taijijian Yang A",901,IF(Atletas!T257="Taijijian Chen A",902,IF(Atletas!T257="Taijijian Sun A",903,IF(Atletas!T257="Taijijian Wu A",904,IF(Atletas!T257="Taijijian Wu-Hao A",905,IF(Atletas!T257="Taijijian 32 A",906,IF(Atletas!T257="Taijijian 42 A",907,IF(Atletas!T257="Taijijian Yang B",908,IF(Atletas!T257="Taijijian Chen B",909,IF(Atletas!T257="Taijijian Sun B",910,IF(Atletas!T257="Taijijian Wu B",911,IF(Atletas!T257="Taijijian Wu-Hao B",912,IF(Atletas!T257="Taijijian 32 B",913,IF(Atletas!T257="Taijijian 42 B",914,IF(Atletas!T257="Taijijian Yang C",915,IF(Atletas!T257="Taijijian Chen C",916,IF(Atletas!T257="Taijijian Sun C",917,IF(Atletas!T257="Taijijian Wu C",918,IF(Atletas!T257="Taijijian Wu-Hao C",919,IF(Atletas!T257="Taijijian 32 C",920,IF(Atletas!T257="Taijijian 42 C",921,IF(Atletas!T257="Taijijian Yang D",922,IF(Atletas!T257="Taijijian Chen D",923,IF(Atletas!T257="Taijijian Sun D",924,IF(Atletas!T257="Taijijian Wu D",925,IF(Atletas!T257="Taijijian Wu-Hao D",926,IF(Atletas!T257="Taijijian 32 D",927,IF(Atletas!T257="Taijijian 42 D",928,IF(Atletas!T257="Taijijian Yang E",929,IF(Atletas!T257="Taijijian Chen E",930,IF(Atletas!T257="Taijijian Sun E",931,IF(Atletas!T257="Taijijian Wu E",932,IF(Atletas!T257="Taijijian Wu-Hao E",933,IF(Atletas!T257="Taijijian 32 E",934,IF(Atletas!T257="Taijijian 42 E",935,IF(Atletas!T257="Taijijian Yang F",936,IF(Atletas!T257="Taijijian Chen F",937,IF(Atletas!T257="Taijijian Sun F",938,IF(Atletas!T257="Taijijian Wu F",939,IF(Atletas!T257="Taijijian Wu-Hao F",940,IF(Atletas!T257="Taijijian 32 F",941,IF(Atletas!T257="Taijijian 42 F",942,"")))))))))))))))))))))))))))))))))))))))))))</f>
        <v/>
      </c>
      <c r="BW261" s="52" t="str">
        <f>IF(Atletas!U257="","",IF(Atletas!W257&lt;&gt;"",10000,0)+IF(Atletas!B257="Feminino",1000,IF(Atletas!B257="Masculino",2000,""))+IF(Atletas!T257="Taijijian 42 F",942,IF(Atletas!U257="Taijidao A",943,IF(Atletas!U257="Taijishan A",944,IF(Atletas!U257="Taijiqiang A",945,IF(Atletas!U257="Taijidao B",946,IF(Atletas!U257="Taijishan B",947,IF(Atletas!U257="Taijiqiang B",948,IF(Atletas!U257="Taijidao C",949,IF(Atletas!U257="Taijishan C",950,IF(Atletas!U257="Taijiqiang C",951,IF(Atletas!U257="Taijidao D",952,IF(Atletas!U257="Taijishan D",953,IF(Atletas!U257="Taijiqiang D",954,IF(Atletas!U257="Taijidao E",955,IF(Atletas!U257="Taijishan E",956,IF(Atletas!U257="Taijiqiang E",957,IF(Atletas!U257="Taijidao F",958,IF(Atletas!U257="Taijishan F",959,IF(Atletas!U257="Taijiqiang F",960))))))))))))))))))))</f>
        <v/>
      </c>
      <c r="BX261" s="72" t="str">
        <f>IF(BY261&lt;&gt;"","Gun C","")</f>
        <v/>
      </c>
      <c r="BY261" s="72" t="str">
        <f>IF(COUNTIF(BK:BW,1709)&gt;0,COUNTIF(BK:BW,1709),"")</f>
        <v/>
      </c>
      <c r="BZ261" s="72" t="str">
        <f>IF(CA261&lt;&gt;"","Gun C","")</f>
        <v/>
      </c>
      <c r="CA261" s="72" t="str">
        <f>IF(COUNTIF(BK:BW,2709)&gt;0,COUNTIF(BK:BW,2709),"")</f>
        <v/>
      </c>
      <c r="CB261" s="72" t="str">
        <f>IF(CC261&lt;&gt;"","Outro Estilo Interno E","")</f>
        <v/>
      </c>
      <c r="CC261" s="64" t="str">
        <f>IF(COUNTIF(BK:BW,11515)&gt;0,COUNTIF(BK:BW,11515),"")</f>
        <v/>
      </c>
      <c r="CD261" s="64" t="str">
        <f>IF(CE261&lt;&gt;"","Outro Estilo Interno E","")</f>
        <v/>
      </c>
      <c r="CE261" s="64" t="str">
        <f>IF(COUNTIF(BK:BW,12515)&gt;0,COUNTIF(BK:BW,12515),"")</f>
        <v/>
      </c>
      <c r="CF261" s="52" t="str">
        <f xml:space="preserve"> IF(Atletas!V257="","",IF(Atletas!V257="Duilian de Mãos AB - Equipe 1",1,IF(Atletas!V257="Duilian de Mãos AB - Equipe 2",2,IF(Atletas!V257="Duilian de Armas AB - Equipe 1",3,IF(Atletas!V257="Duilian de Armas AB - Equipe 2",4,IF(Atletas!V257="Duilian de Tuishou - Equipe 1",5,IF(Atletas!V257="Duilian de Tuishou - Equipe 2",6,IF(Atletas!V257="Grupo Externo AB - Equipe 1",7,IF(Atletas!V257="Grupo Externo AB - Equipe 2",8,IF(Atletas!V257="Grupo Interno AB - Equipe 1",9,IF(Atletas!V257="Grupo Interno AB - Equipe 2",10,IF(Atletas!V257="Duilian de Mãos CD - Equipe 1",11,IF(Atletas!V257="Duilian de Mãos CD - Equipe 2",12,IF(Atletas!V257="Duilian de Armas CD - Equipe 1",13,IF(Atletas!V257="Duilian de Armas CD - Equipe 2",14,IF(Atletas!V257="Duilian de Tuishou - Equipe 1",15,IF(Atletas!V257="Duilian de Tuishou - Equipe 2",16,IF(Atletas!V257="Grupo Externo CDEF - Equipe 1",17,IF(Atletas!V257="Grupo Externo CDEF - Equipe 2",18,IF(Atletas!V257="Grupo Interno CDEF - Equipe 1",19,IF(Atletas!V257="Grupo Interno CDEF - Equipe 2",20,IF(Atletas!V257="Duilian de Mãos EF - Equipe 1",21,IF(Atletas!V257="Duilian de Mãos EF - Equipe 2",22,IF(Atletas!V257="Duilian de Armas EF - Equipe 1",23,IF(Atletas!V257="Duilian de Armas EF - Equipe 2",24,IF(Atletas!V257="Duilian de Tuishou - Equipe 1",25,IF(Atletas!V257="Duilian de Tuishou - Equipe 2",26,"")))))))))))))))))))))))))))</f>
        <v/>
      </c>
    </row>
    <row r="262" spans="2:84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 t="str">
        <f t="array" ref="V262">IFERROR(INDEX(BX$7:BX$336,SMALL(IF(BX$7:BX$336&lt;&gt;"",ROW(BX$7:BX$336)-ROW(BX$7)+1),ROWS(BX$7:BX219))),"")</f>
        <v/>
      </c>
      <c r="W262" s="4" t="str">
        <f t="array" ref="W262">IFERROR(INDEX(BY$7:BY$336,SMALL(IF(BY$7:BY$336&lt;&gt;"",ROW(BY$7:BY$336)-ROW(BY$7)+1),ROWS(BY$7:BY219))),"")</f>
        <v/>
      </c>
      <c r="X262" s="4" t="str">
        <f t="array" ref="X262">IFERROR(INDEX(BZ$7:BZ$336,SMALL(IF(BZ$7:BZ$336&lt;&gt;"",ROW(BZ$7:BZ$336)-ROW(BZ$7)+1),ROWS(BZ$7:BZ219))),"")</f>
        <v/>
      </c>
      <c r="Y262" s="4" t="str">
        <f t="array" ref="Y262">IFERROR(INDEX(CA$7:CA$336,SMALL(IF(CA$7:CA$336&lt;&gt;"",ROW(CA$7:CA$336)-ROW(CA$7)+1),ROWS(CA$7:CA219))),"")</f>
        <v/>
      </c>
      <c r="Z262" s="4" t="str">
        <f t="array" ref="Z262">IFERROR(INDEX(CB$7:CB$378,SMALL(IF(CB$7:CB$378&lt;&gt;"",ROW(CB$7:CB$378)-ROW(CB$7)+1),ROWS(CB$7:CB261))),"")</f>
        <v/>
      </c>
      <c r="AA262" s="4" t="str">
        <f t="array" ref="AA262">IFERROR(INDEX(CC$7:CC$378,SMALL(IF(CC$7:CC$378&lt;&gt;"",ROW(CC$7:CC$378)-ROW(CC$7)+1),ROWS(CC$7:CC261))),"")</f>
        <v/>
      </c>
      <c r="AB262" s="4" t="str">
        <f t="array" ref="AB262">IFERROR(INDEX(CD$7:CD$378,SMALL(IF(CD$7:CD$378&lt;&gt;"",ROW(CD$7:CD$378)-ROW(CD$7)+1),ROWS(CD$7:CD261))),"")</f>
        <v/>
      </c>
      <c r="AC262" s="4" t="str">
        <f t="array" ref="AC262">IFERROR(INDEX(CE$7:CE$378,SMALL(IF(CE$7:CE$378&lt;&gt;"",ROW(CE$7:CE$378)-ROW(CE$7)+1),ROWS(CE$7:CE261))),"")</f>
        <v/>
      </c>
      <c r="AD262" s="4"/>
      <c r="AE262" s="4"/>
      <c r="AF262" s="4"/>
      <c r="AG262" s="4"/>
      <c r="AH262" s="4"/>
      <c r="AI262" s="4"/>
      <c r="AJ262" s="46" t="str">
        <f>IF(Atletas!D258="","",IF(Atletas!B258="Feminino",100,IF(Atletas!B258="Masculino",200,""))+(IF(Atletas!D258="Infantil 39kg",1,IF(Atletas!D258="Infantil 42kg",2,IF(Atletas!D258="Infantil 45kg",3,IF(Atletas!D258="Infantil 48kg",4,IF(Atletas!D258="Infantil 52kg",5,IF(Atletas!D258="Infantil 56kg",6,IF(Atletas!D258="Infantil 60kg",7,IF(Atletas!D258="Juvenil 48kg",8,IF(Atletas!D258="Juvenil 52kg",9,IF(Atletas!D258="Juvenil 56kg",10,IF(Atletas!D258="Juvenil 60kg",11,IF(Atletas!D258="Juvenil 65kg",12,IF(Atletas!D258="Juvenil 70kg",13,IF(Atletas!D258="Juvenil 75kg",14,IF(Atletas!D258="Juvenil 80kg",15,IF(Atletas!D258="Adulto 48kg",16,IF(Atletas!D258="Adulto 52kg",17,IF(Atletas!D258="Adulto 56kg",18,IF(Atletas!D258="Adulto 60kg",19,IF(Atletas!D258="Adulto 65kg",20,IF(Atletas!D258="Adulto 70kg",21,IF(Atletas!D258="Adulto 75kg",22,IF(Atletas!D258="Adulto 80kg",23,IF(Atletas!D258="Adulto 85kg",24,IF(Atletas!D258="Adulto 90kg",25,IF(Atletas!D258="Adulto +90kg",26,""))))))))))))))))))))))))))))</f>
        <v/>
      </c>
      <c r="AO262" s="10" t="str">
        <f>IF(Atletas!E258="","",IF(Atletas!B258="Feminino",100,IF(Atletas!B258="Masculino",200,""))+(IF(Atletas!E258="Juvenil 44kg",1,IF(Atletas!E258="Juvenil 48kg",2,IF(Atletas!E258="Juvenil 52kg",3,IF(Atletas!E258="Juvenil 56kg",4,IF(Atletas!E258="Juvenil 60kg",5,IF(Atletas!E258="Juvenil 65kg",6,IF(Atletas!E258="Juvenil 70kg",7,IF(Atletas!E258="Juvenil 75kg",8,IF(Atletas!E258="Juvenil 82kg",9,IF(Atletas!E258="Juvenil 90kg",10,IF(Atletas!E258="Juvenil 100kg",11,IF(Atletas!E258="Adulto 48kg",12,IF(Atletas!E258="Adulto 52kg",13,IF(Atletas!E258="Adulto 56kg",14,IF(Atletas!E258="Adulto 60kg",15,IF(Atletas!E258="Adulto 65kg",16,IF(Atletas!E258="Adulto 70kg",17,IF(Atletas!E258="Adulto 75kg",18,IF(Atletas!E258="Adulto 82kg",19,IF(Atletas!E258="Adulto 90kg",20,IF(Atletas!E258="Adulto 100kg",21,IF(Atletas!E258="Adulto +100kg",22,""))))))))))))))))))))))))</f>
        <v/>
      </c>
      <c r="AT262" s="10" t="str">
        <f>IF(Atletas!F258="","",IF(Atletas!B258="Feminino",100,IF(Atletas!B258="Masculino",200,""))+(IF(Atletas!F258="Adulto 48kg",1,IF(Atletas!F258="Adulto 56kg",2,IF(Atletas!F258="Adulto 65kg",3,IF(Atletas!F258="Adulto 75kg",4,IF(Atletas!F258="Adulto +75kg",5,IF(Atletas!F258="Adulto 52kg",6,IF(Atletas!F258="Adulto 60kg",7,IF(Atletas!F258="Adulto 70kg",8,IF(Atletas!F258="Adulto 80kg",9,IF(Atletas!F258="Adulto 90kg",10,IF(Atletas!F258="Adulto +90kg",11,"")))))))))))))</f>
        <v/>
      </c>
      <c r="AY262" s="46" t="str">
        <f>IF(Atletas!G258="","",IF(Atletas!B258="Feminino",100,IF(Atletas!B258="Masculino",200,""))+(IF(Atletas!G258="Changquan Mirim",1,IF(Atletas!G258="Nanquan Mirim",2,IF(Atletas!G258="Taijiquan Mirim",3,IF(Atletas!G258="Changquan Grupo C",4,IF(Atletas!G258="Nanquan Grupo C",5,IF(Atletas!G258="Taijiquan Grupo C",6,IF(Atletas!G258="Changquan Grupo B",7,IF(Atletas!G258="Nanquan Grupo B",8,IF(Atletas!G258="Taijiquan Grupo B",9,IF(Atletas!G258="Changquan Grupo A",10,IF(Atletas!G258="Nanquan Grupo A",11,IF(Atletas!G258="Taijiquan Grupo A",12,IF(Atletas!G258="Changquan Opcional",13,IF(Atletas!G258="Nanquan Opcional",14,IF(Atletas!G258="Taijiquan Opcional",15,IF(Atletas!G258="Changquan Adulto",16,IF(Atletas!G258="Nanquan Adulto",17,IF(Atletas!G258="Taijiquan Adulto",18,""))))))))))))))))))))</f>
        <v/>
      </c>
      <c r="AZ262" s="46" t="str">
        <f>IF(Atletas!H258="","",IF(Atletas!B258="Feminino",100,IF(Atletas!B258="Masculino",200,""))+(IF(Atletas!H258="Daoshu Mirim",19,IF(Atletas!H258="Jianshu Mirim",20,IF(Atletas!H258="Nandao Mirim",21,IF(Atletas!H258="Taijijian Mirim",22,IF(Atletas!H258="Daoshu Grupo C",23,IF(Atletas!H258="Jianshu Grupo C",24,IF(Atletas!H258="Nandao Grupo C",25,IF(Atletas!H258="Taijijian Grupo C",26,IF(Atletas!H258="Daoshu Grupo B",27,IF(Atletas!H258="Jianshu Grupo B",28,IF(Atletas!H258="Nandao Grupo B",29,IF(Atletas!H258="Taijijian Grupo B",30,IF(Atletas!H258="Daoshu Grupo A",31,IF(Atletas!H258="Jianshu Grupo A",32,IF(Atletas!H258="Nandao Grupo A",33,IF(Atletas!H258="Taijijian Grupo A",34,IF(Atletas!H258="Daoshu Opcional",35,IF(Atletas!H258="Jianshu Opcional",36,IF(Atletas!H258="Nandao Opcional",37,IF(Atletas!H258="Taijijian Opcional",38,IF(Atletas!H258="Daoshu Adulto",39,IF(Atletas!H258="Jianshu Adulto",40,IF(Atletas!H258="Nandao Adulto",41,IF(Atletas!H258="Taijijian Adulto",42,""))))))))))))))))))))))))))</f>
        <v/>
      </c>
      <c r="BA262" s="46" t="str">
        <f>IF(Atletas!I258="","",IF(Atletas!B258="Feminino",100,IF(Atletas!B258="Masculino",200,""))+(IF(Atletas!I258="Gunshu Mirim",43,IF(Atletas!I258="Qiangshu Mirim",44,IF(Atletas!I258="Nangun Mirim",45,IF(Atletas!I258="Gunshu Grupo C",46,IF(Atletas!I258="Qiangshu Grupo C",47,IF(Atletas!I258="Nangun Grupo C",48,IF(Atletas!I258="Gunshu Grupo B",49,IF(Atletas!I258="Qiangshu Grupo B",50,IF(Atletas!I258="Nangun Grupo B",51,IF(Atletas!I258="Gunshu Grupo A",52,IF(Atletas!I258="Qiangshu Grupo A",53,IF(Atletas!I258="Nangun Grupo A",54,IF(Atletas!I258="Gunshu Opcional",55,IF(Atletas!I258="Qiangshu Opcional",56,IF(Atletas!I258="Nangun Opcional",57,IF(Atletas!I258="Gunshu Adulto",58,IF(Atletas!I258="Qiangshu Adulto",59,IF(Atletas!I258="Nangun Adulto",60,""))))))))))))))))))))</f>
        <v/>
      </c>
      <c r="BF262" s="52" t="str">
        <f>IF(Atletas!J258="","",IF(Atletas!B258="Feminino",100,IF(Atletas!B258="Masculino",200,""))+(IF(Atletas!J258="Equipe 1 Grupo B",1,IF(Atletas!J258="Equipe 2 Grupo B",2,IF(Atletas!J258="Equipe 1 Grupo A",3,IF(Atletas!J258="Equipe 2 Grupo A",4,IF(Atletas!J258="Equipe 1 Adulto",5,IF(Atletas!J258="Equipe 2 Adulto",6,""))))))))</f>
        <v/>
      </c>
      <c r="BK262" s="52" t="str">
        <f>IF(Atletas!K258="","",IF(Atletas!W258&lt;&gt;"",10000,0)+(IF(Atletas!B258="Feminino",1000,IF(Atletas!B258="Masculino",2000,""))+IF(Atletas!K258="Choylayfut A",1,IF(Atletas!K258="Hunggar A",2,IF(Atletas!K258="Wuzuquan A",3,IF(Atletas!K258="Wingchun A",4,IF(Atletas!K258="Outra Mão de Sul A",5,IF(Atletas!K258="Choylayfut B",6,IF(Atletas!K258="Hunggar B",7,IF(Atletas!K258="Wuzuquan B",8,IF(Atletas!K258="Wingchun B",9,IF(Atletas!K258="Outra Mão de Sul B",10,IF(Atletas!K258="Choylayfut C",11,IF(Atletas!K258="Hunggar C",12,IF(Atletas!K258="Wuzuquan C",13,IF(Atletas!K258="Wingchun C",14,IF(Atletas!K258="Outra Mão de Sul C",15,IF(Atletas!K258="Choylayfut D",16,IF(Atletas!K258="Hunggar D",17,IF(Atletas!K258="Wuzuquan D",18,IF(Atletas!K258="Wingchun D",19,IF(Atletas!K258="Outra Mão de Sul D",20,IF(Atletas!K258="Choylayfut E",21,IF(Atletas!K258="Hunggar E",22,IF(Atletas!K258="Wuzuquan E",23,IF(Atletas!K258="Wingchun E",24,IF(Atletas!K258="Outra Mão de Sul E",25,IF(Atletas!K258="Choylayfut F",26,IF(Atletas!K258="Hunggar F",27,IF(Atletas!K258="Wuzuquan F",28,IF(Atletas!K258="Wingchun F",29,IF(Atletas!K258="Outra Mão de Sul F",30,""))))))))))))))))))))))))))))))))</f>
        <v/>
      </c>
      <c r="BL262" s="52" t="str">
        <f>IF(Atletas!L258="","",IF(Atletas!W258&lt;&gt;"",10000,0)+(IF(Atletas!B258="Feminino",1000,IF(Atletas!B258="Masculino",2000,""))+(IF(Atletas!L258="Chaquan A",101,IF(Atletas!L258="Emeiquan A",102,IF(Atletas!L258="Fanziquan A",103,IF(Atletas!L258="Huaquan A",104,IF(Atletas!L258="Hongquan A",105,IF(Atletas!L258="Paochui A",106,IF(Atletas!L258="Piguaquan A",107,IF(Atletas!L258="Shaolinquan A",108,IF(Atletas!L258="Tanglangquan A",109,IF(Atletas!L258="Yinzhaophai A",110,IF(Atletas!L258="Tongbeiquan A",111,IF(Atletas!L258="Wudangquan A",112,IF(Atletas!L258="Outros Estilos A",113,IF(Atletas!L258="Chaquan B",114,IF(Atletas!L258="Emeiquan B",115,IF(Atletas!L258="Fanziquan B",116,IF(Atletas!L258="Huaquan B",117,IF(Atletas!L258="Hongquan B",118,IF(Atletas!L258="Paochui B",119,IF(Atletas!L258="Piguaquan B",120,IF(Atletas!L258="Shaolinquan B",121,IF(Atletas!L258="Tanglangquan B",122,IF(Atletas!L258="Yinzhaophai B",123,IF(Atletas!L258="Tongbeiquan B",124,IF(Atletas!L258="Wudangquan B",125,IF(Atletas!L258="Outros Estilos B",126,IF(Atletas!L258="Chaquan C",127,IF(Atletas!L258="Emeiquan C",128,IF(Atletas!L258="Fanziquan C",129,IF(Atletas!L258="Huaquan C",130,IF(Atletas!L258="Hongquan C",131,IF(Atletas!L258="Paochui C",132,IF(Atletas!L258="Piguaquan C",133,IF(Atletas!L258="Shaolinquan C",134,IF(Atletas!L258="Tanglangquan C",135,IF(Atletas!L258="Yinzhaophai C",136,IF(Atletas!L258="Tongbeiquan C",137,IF(Atletas!L258="Wudangquan C",138,IF(Atletas!L258="Outros Estilos C",139,0))))))))))))))))))))))))))))))))))))))))))</f>
        <v/>
      </c>
      <c r="BM262" s="52" t="str">
        <f>IF(Atletas!L258="","",IF(Atletas!W258&lt;&gt;"",10000,0)+(IF(Atletas!B258="Feminino",1000,IF(Atletas!B258="Masculino",2000,""))+(IF(Atletas!L258="Chaquan D",140,IF(Atletas!L258="Emeiquan D",141,IF(Atletas!L258="Fanziquan D",142,IF(Atletas!L258="Huaquan D",143,IF(Atletas!L258="Hongquan D",144,IF(Atletas!L258="Paochui D",145,IF(Atletas!L258="Piguaquan D",146,IF(Atletas!L258="Shaolinquan D",147,IF(Atletas!L258="Tanglangquan D",148,IF(Atletas!L258="Yinzhaophai D",149,IF(Atletas!L258="Tongbeiquan D",150,IF(Atletas!L258="Wudangquan D",151,IF(Atletas!L258="Outros Estilos D",152,IF(Atletas!L258="Chaquan E",153,IF(Atletas!L258="Emeiquan E",154,IF(Atletas!L258="Fanziquan E",155,IF(Atletas!L258="Huaquan E",156,IF(Atletas!L258="Hongquan E",157,IF(Atletas!L258="Paochui E",158,IF(Atletas!L258="Piguaquan E",159,IF(Atletas!L258="Shaolinquan E",160,IF(Atletas!L258="Tanglangquan E",161,IF(Atletas!L258="Yinzhaophai E",162,IF(Atletas!L258="Tongbeiquan E",163,IF(Atletas!L258="Wudangquan E",164,IF(Atletas!L258="Outros Estilos E",165,IF(Atletas!L258="Chaquan F",166,IF(Atletas!L258="Emeiquan F",167,IF(Atletas!L258="Fanziquan F",168,IF(Atletas!L258="Huaquan F",169,IF(Atletas!L258="Hongquan F",170,IF(Atletas!L258="Paochui F",171,IF(Atletas!L258="Piguaquan F",172,IF(Atletas!L258="Shaolinquan F",173,IF(Atletas!L258="Tanglangquan F",174,IF(Atletas!L258="Yinzhaophai F",175,IF(Atletas!L258="Tongbeiquan F",176,IF(Atletas!L258="Wudangquan F",177,IF(Atletas!L258="Outros Estilos F",178,0))))))))))))))))))))))))))))))))))))))))))</f>
        <v/>
      </c>
      <c r="BN262" s="52" t="str">
        <f>IF(Atletas!M258="","",IF(Atletas!W258&lt;&gt;"",10000,0)+(IF(Atletas!B258="Feminino",1000,IF(Atletas!B258="Masculino",2000,""))+(IF(Atletas!M258="Ditangquan A",201,IF(Atletas!M258="Houquan A",202,IF(Atletas!M258="Zuiquan A",203,IF(Atletas!M258="Ditangquan B",204,IF(Atletas!M258="Houquan B",205,IF(Atletas!M258="Zuiquan B",206,IF(Atletas!M258="Ditangquan C",207,IF(Atletas!M258="Houquan C",208,IF(Atletas!M258="Zuiquan C",209,IF(Atletas!M258="Ditangquan D",210,IF(Atletas!M258="Houquan D",211,IF(Atletas!M258="Zuiquan D",212,IF(Atletas!M258="Ditangquan E",213,IF(Atletas!M258="Houquan E",214,IF(Atletas!M258="Zuiquan E",215,IF(Atletas!M258="Ditangquan F",216,IF(Atletas!M258="Houquan F",217,IF(Atletas!M258="Zuiquan F",218,"")))))))))))))))))))))</f>
        <v/>
      </c>
      <c r="BO262" s="52" t="str">
        <f>IF(Atletas!N258="","",IF(Atletas!W258&lt;&gt;"",10000,0)+IF(Atletas!B258="Feminino",1000,IF(Atletas!B258="Masculino",2000,""))+IF(Atletas!N258="Yang A",301,IF(Atletas!N258="Chen A",30,IF(Atletas!N258="Sun A",303,IF(Atletas!N258="Wu A",304,IF(Atletas!N258="Wu-Hao A",305,IF(Atletas!N258="Outro Taijiquan A",306,IF(Atletas!N258="Yang B",307,IF(Atletas!N258="Chen B",308,IF(Atletas!N258="Sun B",309,IF(Atletas!N258="Wu B",310,IF(Atletas!N258="Wu-Hao B",311,IF(Atletas!N258="Outro Taijiquan B",312,IF(Atletas!N258="Yang C",313,IF(Atletas!N258="Chen C",314,IF(Atletas!N258="Sun C",315,IF(Atletas!N258="Wu C",316,IF(Atletas!N258="Wu-Hao C",317,IF(Atletas!N258="Outro Taijiquan C",318,IF(Atletas!N258="Yang D",319,IF(Atletas!N258="Chen D",320,IF(Atletas!N258="Sun D",321,IF(Atletas!N258="Wu D",322,IF(Atletas!N258="Wu-Hao D",323,IF(Atletas!N258="Outro Taijiquan D",324,IF(Atletas!N258="Yang E",325,IF(Atletas!N258="Chen E",326,IF(Atletas!N258="Sun E",327,IF(Atletas!N258="Wu E",328,IF(Atletas!N258="Wu-Hao E",329,IF(Atletas!N258="Outro Taijiquan E",330,IF(Atletas!N258="Yang F",331,IF(Atletas!N258="Chen F",332,IF(Atletas!N258="Sun F",333,IF(Atletas!N258="Wu F",334,IF(Atletas!N258="Wu-Hao F",335,IF(Atletas!N258="Outro Taijiquan F",336,"")))))))))))))))))))))))))))))))))))))</f>
        <v/>
      </c>
      <c r="BP262" s="52" t="str">
        <f>IF(Atletas!O258="","",IF(Atletas!W258&lt;&gt;"",10000,0)+IF(Atletas!B258="Feminino",1000,IF(Atletas!B258="Masculino",2000,""))+IF(OR(Atletas!O258="Yang 26 A",Atletas!O258="Yang 40 A"),401,IF(OR(Atletas!O258="Chen 25 A",Atletas!O258="Chen 36 A",Atletas!O258="Chen 56 A"),402,IF(Atletas!O258="Sun 73 A",403,IF(Atletas!O258="Wu 45 A",404,IF(Atletas!O258="Wu-Hao 46 A",405,IF(OR(Atletas!O258="Taijiquan 16 A",Atletas!O258="Taijiquan 24 A",Atletas!O258="Taijiquan 32 A",Atletas!O258="Taijiquan 42 A"),406,IF(OR(Atletas!O258="Yang 26 B",Atletas!O258="Yang 40 B"),407,IF(OR(Atletas!O258="Chen 25 B",Atletas!O258="Chen 36 B",Atletas!O258="Chen 56 B"),408,IF(Atletas!O258="Sun 73 B",409,IF(Atletas!O258="Wu 45 B",410,IF(Atletas!O258="Wu-Hao 46 B",411,IF(OR(Atletas!O258="Taijiquan 16 B",Atletas!O258="Taijiquan 24 B",Atletas!O258="Taijiquan 32 B",Atletas!O258="Taijiquan 42 B"),412,IF(OR(Atletas!O258="Yang 26 C",Atletas!O258="Yang 40 C"),413,IF(OR(Atletas!O258="Chen 25 C",Atletas!O258="Chen 36 C",Atletas!O258="Chen 56 C"),414,IF(Atletas!O258="Sun 73 C",415,IF(Atletas!O258="Wu 45 C",416,IF(Atletas!O258="Wu-Hao 46 C",417,IF(OR(Atletas!O258="Taijiquan 16 C",Atletas!O258="Taijiquan 24 C",Atletas!O258="Taijiquan 32 C",Atletas!O258="Taijiquan 42 C"),418,0)))))))))))))))))))</f>
        <v/>
      </c>
      <c r="BQ262" s="52" t="str">
        <f>IF(Atletas!O258="","",IF(Atletas!W258&lt;&gt;"",10000,0)+IF(Atletas!B258="Feminino",1000,IF(Atletas!B258="Masculino",2000,""))+IF(OR(Atletas!O258="Yang 26 D",Atletas!O258="Yang 40 D"),419,IF(OR(Atletas!O258="Chen 25 D",Atletas!O258="Chen 36 D",Atletas!O258="Chen 56 D"),420,IF(Atletas!O258="Sun 73 D",421,IF(Atletas!O258="Wu 45 D",422,IF(Atletas!O258="Wu-Hao 46 D",423,IF(OR(Atletas!O258="Taijiquan 16 D",Atletas!O258="Taijiquan 24 D",Atletas!O258="Taijiquan 32 D",Atletas!O258="Taijiquan 42 D"),424,IF(OR(Atletas!O258="Yang 26 E",Atletas!O258="Yang 40 E"),425,IF(OR(Atletas!O258="Chen 25 E",Atletas!O258="Chen 36 E",Atletas!O258="Chen 56 E"),426,IF(Atletas!O258="Sun 73 E",427,IF(Atletas!O258="Wu 45 E",428,IF(Atletas!O258="Wu-Hao 46 E",429,IF(OR(Atletas!O258="Taijiquan 16 E",Atletas!O258="Taijiquan 24 E",Atletas!O258="Taijiquan 32 E",Atletas!O258="Taijiquan 42 E"),430,IF(OR(Atletas!O258="Yang 26 F",Atletas!O258="Yang 40 F"),431,IF(OR(Atletas!O258="Chen 25 F",Atletas!O258="Chen 36 F",Atletas!O258="Chen 56 F"),432,IF(Atletas!O258="Sun 73 F",433,IF(Atletas!O258="Wu 45 F",434,IF(Atletas!O258="Wu-Hao 46 F",435,IF(OR(Atletas!O258="Taijiquan 16 F",Atletas!O258="Taijiquan 24 F",Atletas!O258="Taijiquan 32 F",Atletas!O258="Taijiquan 42 F"),436,0)))))))))))))))))))</f>
        <v/>
      </c>
      <c r="BR262" s="52" t="str">
        <f>IF(Atletas!P258="","",IF(Atletas!W258&lt;&gt;"",10000,0)+IF(Atletas!B258="Feminino",1000,IF(Atletas!B258="Masculino",2000,""))+IF(Atletas!P258="Xingyiquan A",501,IF(Atletas!P258="Baguazhang A",502,IF(Atletas!P258="Outro Estilo Interno A",503,IF(Atletas!P258="Xingyiquan B",504,IF(Atletas!P258="Baguazhang B",505,IF(Atletas!P258="Outro Estilo Interno B",506,IF(Atletas!P258="Xingyiquan C",507,IF(Atletas!P258="Baguazhang C",508,IF(Atletas!P258="Outro Estilo Interno C",509,IF(Atletas!P258="Xingyiquan D",510,IF(Atletas!P258="Baguazhang D",511,IF(Atletas!P258="Outro Estilo Interno D",512,IF(Atletas!P258="Xingyiquan E",513,IF(Atletas!P258="Baguazhang E",514,IF(Atletas!P258="Outro Estilo Interno E",515,IF(Atletas!P258="Xingyiquan F",516,IF(Atletas!P258="Baguazhang F",517,IF(Atletas!P258="Outro Estilo Interno F",518, "")))))))))))))))))))</f>
        <v/>
      </c>
      <c r="BS262" s="52" t="str">
        <f>IF(Atletas!Q258="","",IF(Atletas!W258&lt;&gt;"",10000,0)+IF(Atletas!B258="Feminino",1000,IF(Atletas!B258="Masculino",2000,""))+IF(Atletas!Q258="Dao A",601,IF(Atletas!Q258="Jian A",602,IF(Atletas!Q258="Bishou A",603,IF(Atletas!Q258="Shan A",604,IF(Atletas!Q258="Outra Arma Curta A",605,IF(Atletas!Q258="Dao B",606,IF(Atletas!Q258="Jian B",607,IF(Atletas!Q258="Bishou B",608,IF(Atletas!Q258="Shan B",609,IF(Atletas!Q258="Outra Arma Curta B",610,IF(Atletas!Q258="Dao C",611,IF(Atletas!Q258="Jian C",612,IF(Atletas!Q258="Bishou C",613,IF(Atletas!Q258="Shan C",614,IF(Atletas!Q258="Outra Arma Curta C",615,IF(Atletas!Q258="Dao D",616,IF(Atletas!Q258="Jian D",617,IF(Atletas!Q258="Bishou D",618,IF(Atletas!Q258="Shan D",619,IF(Atletas!Q258="Outra Arma Curta D",620,IF(Atletas!Q258="Dao E",621,IF(Atletas!Q258="Jian E",622,IF(Atletas!Q258="Bishou E",623,IF(Atletas!Q258="Shan E",624,IF(Atletas!Q258="Outra Arma Curta E",625,IF(Atletas!Q258="Dao F",626,IF(Atletas!Q258="Jian F",627,IF(Atletas!Q258="Bishou F",628,IF(Atletas!Q258="Shan F",629,IF(Atletas!Q258="Outra Arma Curta F",630, "")))))))))))))))))))))))))))))))</f>
        <v/>
      </c>
      <c r="BT262" s="52" t="str">
        <f>IF(Atletas!R258="","",IF(Atletas!W258&lt;&gt;"",10000,0)+IF(Atletas!B258="Feminino",1000,IF(Atletas!B258="Masculino",2000,""))+IF(Atletas!R258="Gun A",701,IF(Atletas!R258="Qiang A",702,IF(Atletas!R258="Pudao / Guandao A",703,IF(Atletas!R258="Outra Arma Longa A",704,IF(Atletas!R258="Gun B",705,IF(Atletas!R258="Qiang B",706,IF(Atletas!R258="Pudao / Guandao B",707,IF(Atletas!R258="Outra Arma Longa B",708,IF(Atletas!R258="Gun C",709,IF(Atletas!R258="Qiang C",710,IF(Atletas!R258="Pudao / Guandao C",711,IF(Atletas!R258="Outra Arma Longa C",712,IF(Atletas!R258="Gun D",713,IF(Atletas!R258="Qiang D",714,IF(Atletas!R258="Pudao / Guandao D",715,IF(Atletas!R258="Outra Arma Longa D",716,IF(Atletas!R258="Gun E",717,IF(Atletas!R258="Qiang E",718,IF(Atletas!R258="Pudao / Guandao E",719,IF(Atletas!R258="Outra Arma Longa E",720,IF(Atletas!R258="Gun F",721,IF(Atletas!R258="Qiang F",722,IF(Atletas!R258="Pudao / Guandao F",723,IF(Atletas!R258="Outra Arma Longa F",724,"")))))))))))))))))))))))))</f>
        <v/>
      </c>
      <c r="BU262" s="52" t="str">
        <f>IF(Atletas!S258="","",IF(Atletas!W258&lt;&gt;"",10000,0)+IF(Atletas!B258="Feminino",1000,IF(Atletas!B258="Masculino",2000,""))+IF(Atletas!S258="Arma Dupla A",801,IF(Atletas!S258="Arma Maleável A",802,IF(Atletas!S258="Arma Dupla B",803,IF(Atletas!S258="Arma Maleável B",804,IF(Atletas!S258="Arma Dupla C",805,IF(Atletas!S258="Arma Maleável C",806,IF(Atletas!S258="Arma Dupla D",807,IF(Atletas!S258="Arma Maleável D",808,IF(Atletas!S258="Arma Dupla E",809,IF(Atletas!S258="Arma Maleável E",810,IF(Atletas!S258="Arma Dupla F",811,IF(Atletas!S258="Arma Maleável F",812, "")))))))))))))</f>
        <v/>
      </c>
      <c r="BV262" s="52" t="str">
        <f>IF(Atletas!T258="","",IF(Atletas!W258&lt;&gt;"",10000,0)+IF(Atletas!B258="Feminino",1000,IF(Atletas!B258="Masculino",2000,""))+IF(Atletas!T258="Taijijian Yang A",901,IF(Atletas!T258="Taijijian Chen A",902,IF(Atletas!T258="Taijijian Sun A",903,IF(Atletas!T258="Taijijian Wu A",904,IF(Atletas!T258="Taijijian Wu-Hao A",905,IF(Atletas!T258="Taijijian 32 A",906,IF(Atletas!T258="Taijijian 42 A",907,IF(Atletas!T258="Taijijian Yang B",908,IF(Atletas!T258="Taijijian Chen B",909,IF(Atletas!T258="Taijijian Sun B",910,IF(Atletas!T258="Taijijian Wu B",911,IF(Atletas!T258="Taijijian Wu-Hao B",912,IF(Atletas!T258="Taijijian 32 B",913,IF(Atletas!T258="Taijijian 42 B",914,IF(Atletas!T258="Taijijian Yang C",915,IF(Atletas!T258="Taijijian Chen C",916,IF(Atletas!T258="Taijijian Sun C",917,IF(Atletas!T258="Taijijian Wu C",918,IF(Atletas!T258="Taijijian Wu-Hao C",919,IF(Atletas!T258="Taijijian 32 C",920,IF(Atletas!T258="Taijijian 42 C",921,IF(Atletas!T258="Taijijian Yang D",922,IF(Atletas!T258="Taijijian Chen D",923,IF(Atletas!T258="Taijijian Sun D",924,IF(Atletas!T258="Taijijian Wu D",925,IF(Atletas!T258="Taijijian Wu-Hao D",926,IF(Atletas!T258="Taijijian 32 D",927,IF(Atletas!T258="Taijijian 42 D",928,IF(Atletas!T258="Taijijian Yang E",929,IF(Atletas!T258="Taijijian Chen E",930,IF(Atletas!T258="Taijijian Sun E",931,IF(Atletas!T258="Taijijian Wu E",932,IF(Atletas!T258="Taijijian Wu-Hao E",933,IF(Atletas!T258="Taijijian 32 E",934,IF(Atletas!T258="Taijijian 42 E",935,IF(Atletas!T258="Taijijian Yang F",936,IF(Atletas!T258="Taijijian Chen F",937,IF(Atletas!T258="Taijijian Sun F",938,IF(Atletas!T258="Taijijian Wu F",939,IF(Atletas!T258="Taijijian Wu-Hao F",940,IF(Atletas!T258="Taijijian 32 F",941,IF(Atletas!T258="Taijijian 42 F",942,"")))))))))))))))))))))))))))))))))))))))))))</f>
        <v/>
      </c>
      <c r="BW262" s="52" t="str">
        <f>IF(Atletas!U258="","",IF(Atletas!W258&lt;&gt;"",10000,0)+IF(Atletas!B258="Feminino",1000,IF(Atletas!B258="Masculino",2000,""))+IF(Atletas!T258="Taijijian 42 F",942,IF(Atletas!U258="Taijidao A",943,IF(Atletas!U258="Taijishan A",944,IF(Atletas!U258="Taijiqiang A",945,IF(Atletas!U258="Taijidao B",946,IF(Atletas!U258="Taijishan B",947,IF(Atletas!U258="Taijiqiang B",948,IF(Atletas!U258="Taijidao C",949,IF(Atletas!U258="Taijishan C",950,IF(Atletas!U258="Taijiqiang C",951,IF(Atletas!U258="Taijidao D",952,IF(Atletas!U258="Taijishan D",953,IF(Atletas!U258="Taijiqiang D",954,IF(Atletas!U258="Taijidao E",955,IF(Atletas!U258="Taijishan E",956,IF(Atletas!U258="Taijiqiang E",957,IF(Atletas!U258="Taijidao F",958,IF(Atletas!U258="Taijishan F",959,IF(Atletas!U258="Taijiqiang F",960))))))))))))))))))))</f>
        <v/>
      </c>
      <c r="BX262" s="72" t="str">
        <f>IF(BY262&lt;&gt;"","Qiang C","")</f>
        <v/>
      </c>
      <c r="BY262" s="72" t="str">
        <f>IF(COUNTIF(BK:BW,1710)&gt;0,COUNTIF(BK:BW,1710),"")</f>
        <v/>
      </c>
      <c r="BZ262" s="72" t="str">
        <f>IF(CA262&lt;&gt;"","Qiang C","")</f>
        <v/>
      </c>
      <c r="CA262" s="72" t="str">
        <f>IF(COUNTIF(BK:BW,2710)&gt;0,COUNTIF(BK:BW,2710),"")</f>
        <v/>
      </c>
      <c r="CB262" s="72" t="str">
        <f>IF(CC262&lt;&gt;"","Xingyiquan F","")</f>
        <v/>
      </c>
      <c r="CC262" s="64" t="str">
        <f>IF(COUNTIF(BK:BW,11516)&gt;0,COUNTIF(BK:BW,11516),"")</f>
        <v/>
      </c>
      <c r="CD262" s="64" t="str">
        <f>IF(CE262&lt;&gt;"","Xingyiquan F","")</f>
        <v/>
      </c>
      <c r="CE262" s="64" t="str">
        <f>IF(COUNTIF(BK:BW,12516)&gt;0,COUNTIF(BK:BW,12516),"")</f>
        <v/>
      </c>
      <c r="CF262" s="52" t="str">
        <f xml:space="preserve"> IF(Atletas!V258="","",IF(Atletas!V258="Duilian de Mãos AB - Equipe 1",1,IF(Atletas!V258="Duilian de Mãos AB - Equipe 2",2,IF(Atletas!V258="Duilian de Armas AB - Equipe 1",3,IF(Atletas!V258="Duilian de Armas AB - Equipe 2",4,IF(Atletas!V258="Duilian de Tuishou - Equipe 1",5,IF(Atletas!V258="Duilian de Tuishou - Equipe 2",6,IF(Atletas!V258="Grupo Externo AB - Equipe 1",7,IF(Atletas!V258="Grupo Externo AB - Equipe 2",8,IF(Atletas!V258="Grupo Interno AB - Equipe 1",9,IF(Atletas!V258="Grupo Interno AB - Equipe 2",10,IF(Atletas!V258="Duilian de Mãos CD - Equipe 1",11,IF(Atletas!V258="Duilian de Mãos CD - Equipe 2",12,IF(Atletas!V258="Duilian de Armas CD - Equipe 1",13,IF(Atletas!V258="Duilian de Armas CD - Equipe 2",14,IF(Atletas!V258="Duilian de Tuishou - Equipe 1",15,IF(Atletas!V258="Duilian de Tuishou - Equipe 2",16,IF(Atletas!V258="Grupo Externo CDEF - Equipe 1",17,IF(Atletas!V258="Grupo Externo CDEF - Equipe 2",18,IF(Atletas!V258="Grupo Interno CDEF - Equipe 1",19,IF(Atletas!V258="Grupo Interno CDEF - Equipe 2",20,IF(Atletas!V258="Duilian de Mãos EF - Equipe 1",21,IF(Atletas!V258="Duilian de Mãos EF - Equipe 2",22,IF(Atletas!V258="Duilian de Armas EF - Equipe 1",23,IF(Atletas!V258="Duilian de Armas EF - Equipe 2",24,IF(Atletas!V258="Duilian de Tuishou - Equipe 1",25,IF(Atletas!V258="Duilian de Tuishou - Equipe 2",26,"")))))))))))))))))))))))))))</f>
        <v/>
      </c>
    </row>
    <row r="263" spans="2:84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 t="str">
        <f t="array" ref="V263">IFERROR(INDEX(BX$7:BX$336,SMALL(IF(BX$7:BX$336&lt;&gt;"",ROW(BX$7:BX$336)-ROW(BX$7)+1),ROWS(BX$7:BX220))),"")</f>
        <v/>
      </c>
      <c r="W263" s="4" t="str">
        <f t="array" ref="W263">IFERROR(INDEX(BY$7:BY$336,SMALL(IF(BY$7:BY$336&lt;&gt;"",ROW(BY$7:BY$336)-ROW(BY$7)+1),ROWS(BY$7:BY220))),"")</f>
        <v/>
      </c>
      <c r="X263" s="4" t="str">
        <f t="array" ref="X263">IFERROR(INDEX(BZ$7:BZ$336,SMALL(IF(BZ$7:BZ$336&lt;&gt;"",ROW(BZ$7:BZ$336)-ROW(BZ$7)+1),ROWS(BZ$7:BZ220))),"")</f>
        <v/>
      </c>
      <c r="Y263" s="4" t="str">
        <f t="array" ref="Y263">IFERROR(INDEX(CA$7:CA$336,SMALL(IF(CA$7:CA$336&lt;&gt;"",ROW(CA$7:CA$336)-ROW(CA$7)+1),ROWS(CA$7:CA220))),"")</f>
        <v/>
      </c>
      <c r="Z263" s="4" t="str">
        <f t="array" ref="Z263">IFERROR(INDEX(CB$7:CB$378,SMALL(IF(CB$7:CB$378&lt;&gt;"",ROW(CB$7:CB$378)-ROW(CB$7)+1),ROWS(CB$7:CB262))),"")</f>
        <v/>
      </c>
      <c r="AA263" s="4" t="str">
        <f t="array" ref="AA263">IFERROR(INDEX(CC$7:CC$378,SMALL(IF(CC$7:CC$378&lt;&gt;"",ROW(CC$7:CC$378)-ROW(CC$7)+1),ROWS(CC$7:CC262))),"")</f>
        <v/>
      </c>
      <c r="AB263" s="4" t="str">
        <f t="array" ref="AB263">IFERROR(INDEX(CD$7:CD$378,SMALL(IF(CD$7:CD$378&lt;&gt;"",ROW(CD$7:CD$378)-ROW(CD$7)+1),ROWS(CD$7:CD262))),"")</f>
        <v/>
      </c>
      <c r="AC263" s="4" t="str">
        <f t="array" ref="AC263">IFERROR(INDEX(CE$7:CE$378,SMALL(IF(CE$7:CE$378&lt;&gt;"",ROW(CE$7:CE$378)-ROW(CE$7)+1),ROWS(CE$7:CE262))),"")</f>
        <v/>
      </c>
      <c r="AD263" s="4"/>
      <c r="AE263" s="4"/>
      <c r="AF263" s="4"/>
      <c r="AG263" s="4"/>
      <c r="AH263" s="4"/>
      <c r="AI263" s="4"/>
      <c r="AJ263" s="46" t="str">
        <f>IF(Atletas!D259="","",IF(Atletas!B259="Feminino",100,IF(Atletas!B259="Masculino",200,""))+(IF(Atletas!D259="Infantil 39kg",1,IF(Atletas!D259="Infantil 42kg",2,IF(Atletas!D259="Infantil 45kg",3,IF(Atletas!D259="Infantil 48kg",4,IF(Atletas!D259="Infantil 52kg",5,IF(Atletas!D259="Infantil 56kg",6,IF(Atletas!D259="Infantil 60kg",7,IF(Atletas!D259="Juvenil 48kg",8,IF(Atletas!D259="Juvenil 52kg",9,IF(Atletas!D259="Juvenil 56kg",10,IF(Atletas!D259="Juvenil 60kg",11,IF(Atletas!D259="Juvenil 65kg",12,IF(Atletas!D259="Juvenil 70kg",13,IF(Atletas!D259="Juvenil 75kg",14,IF(Atletas!D259="Juvenil 80kg",15,IF(Atletas!D259="Adulto 48kg",16,IF(Atletas!D259="Adulto 52kg",17,IF(Atletas!D259="Adulto 56kg",18,IF(Atletas!D259="Adulto 60kg",19,IF(Atletas!D259="Adulto 65kg",20,IF(Atletas!D259="Adulto 70kg",21,IF(Atletas!D259="Adulto 75kg",22,IF(Atletas!D259="Adulto 80kg",23,IF(Atletas!D259="Adulto 85kg",24,IF(Atletas!D259="Adulto 90kg",25,IF(Atletas!D259="Adulto +90kg",26,""))))))))))))))))))))))))))))</f>
        <v/>
      </c>
      <c r="AO263" s="10" t="str">
        <f>IF(Atletas!E259="","",IF(Atletas!B259="Feminino",100,IF(Atletas!B259="Masculino",200,""))+(IF(Atletas!E259="Juvenil 44kg",1,IF(Atletas!E259="Juvenil 48kg",2,IF(Atletas!E259="Juvenil 52kg",3,IF(Atletas!E259="Juvenil 56kg",4,IF(Atletas!E259="Juvenil 60kg",5,IF(Atletas!E259="Juvenil 65kg",6,IF(Atletas!E259="Juvenil 70kg",7,IF(Atletas!E259="Juvenil 75kg",8,IF(Atletas!E259="Juvenil 82kg",9,IF(Atletas!E259="Juvenil 90kg",10,IF(Atletas!E259="Juvenil 100kg",11,IF(Atletas!E259="Adulto 48kg",12,IF(Atletas!E259="Adulto 52kg",13,IF(Atletas!E259="Adulto 56kg",14,IF(Atletas!E259="Adulto 60kg",15,IF(Atletas!E259="Adulto 65kg",16,IF(Atletas!E259="Adulto 70kg",17,IF(Atletas!E259="Adulto 75kg",18,IF(Atletas!E259="Adulto 82kg",19,IF(Atletas!E259="Adulto 90kg",20,IF(Atletas!E259="Adulto 100kg",21,IF(Atletas!E259="Adulto +100kg",22,""))))))))))))))))))))))))</f>
        <v/>
      </c>
      <c r="AT263" s="10" t="str">
        <f>IF(Atletas!F259="","",IF(Atletas!B259="Feminino",100,IF(Atletas!B259="Masculino",200,""))+(IF(Atletas!F259="Adulto 48kg",1,IF(Atletas!F259="Adulto 56kg",2,IF(Atletas!F259="Adulto 65kg",3,IF(Atletas!F259="Adulto 75kg",4,IF(Atletas!F259="Adulto +75kg",5,IF(Atletas!F259="Adulto 52kg",6,IF(Atletas!F259="Adulto 60kg",7,IF(Atletas!F259="Adulto 70kg",8,IF(Atletas!F259="Adulto 80kg",9,IF(Atletas!F259="Adulto 90kg",10,IF(Atletas!F259="Adulto +90kg",11,"")))))))))))))</f>
        <v/>
      </c>
      <c r="AY263" s="46" t="str">
        <f>IF(Atletas!G259="","",IF(Atletas!B259="Feminino",100,IF(Atletas!B259="Masculino",200,""))+(IF(Atletas!G259="Changquan Mirim",1,IF(Atletas!G259="Nanquan Mirim",2,IF(Atletas!G259="Taijiquan Mirim",3,IF(Atletas!G259="Changquan Grupo C",4,IF(Atletas!G259="Nanquan Grupo C",5,IF(Atletas!G259="Taijiquan Grupo C",6,IF(Atletas!G259="Changquan Grupo B",7,IF(Atletas!G259="Nanquan Grupo B",8,IF(Atletas!G259="Taijiquan Grupo B",9,IF(Atletas!G259="Changquan Grupo A",10,IF(Atletas!G259="Nanquan Grupo A",11,IF(Atletas!G259="Taijiquan Grupo A",12,IF(Atletas!G259="Changquan Opcional",13,IF(Atletas!G259="Nanquan Opcional",14,IF(Atletas!G259="Taijiquan Opcional",15,IF(Atletas!G259="Changquan Adulto",16,IF(Atletas!G259="Nanquan Adulto",17,IF(Atletas!G259="Taijiquan Adulto",18,""))))))))))))))))))))</f>
        <v/>
      </c>
      <c r="AZ263" s="46" t="str">
        <f>IF(Atletas!H259="","",IF(Atletas!B259="Feminino",100,IF(Atletas!B259="Masculino",200,""))+(IF(Atletas!H259="Daoshu Mirim",19,IF(Atletas!H259="Jianshu Mirim",20,IF(Atletas!H259="Nandao Mirim",21,IF(Atletas!H259="Taijijian Mirim",22,IF(Atletas!H259="Daoshu Grupo C",23,IF(Atletas!H259="Jianshu Grupo C",24,IF(Atletas!H259="Nandao Grupo C",25,IF(Atletas!H259="Taijijian Grupo C",26,IF(Atletas!H259="Daoshu Grupo B",27,IF(Atletas!H259="Jianshu Grupo B",28,IF(Atletas!H259="Nandao Grupo B",29,IF(Atletas!H259="Taijijian Grupo B",30,IF(Atletas!H259="Daoshu Grupo A",31,IF(Atletas!H259="Jianshu Grupo A",32,IF(Atletas!H259="Nandao Grupo A",33,IF(Atletas!H259="Taijijian Grupo A",34,IF(Atletas!H259="Daoshu Opcional",35,IF(Atletas!H259="Jianshu Opcional",36,IF(Atletas!H259="Nandao Opcional",37,IF(Atletas!H259="Taijijian Opcional",38,IF(Atletas!H259="Daoshu Adulto",39,IF(Atletas!H259="Jianshu Adulto",40,IF(Atletas!H259="Nandao Adulto",41,IF(Atletas!H259="Taijijian Adulto",42,""))))))))))))))))))))))))))</f>
        <v/>
      </c>
      <c r="BA263" s="46" t="str">
        <f>IF(Atletas!I259="","",IF(Atletas!B259="Feminino",100,IF(Atletas!B259="Masculino",200,""))+(IF(Atletas!I259="Gunshu Mirim",43,IF(Atletas!I259="Qiangshu Mirim",44,IF(Atletas!I259="Nangun Mirim",45,IF(Atletas!I259="Gunshu Grupo C",46,IF(Atletas!I259="Qiangshu Grupo C",47,IF(Atletas!I259="Nangun Grupo C",48,IF(Atletas!I259="Gunshu Grupo B",49,IF(Atletas!I259="Qiangshu Grupo B",50,IF(Atletas!I259="Nangun Grupo B",51,IF(Atletas!I259="Gunshu Grupo A",52,IF(Atletas!I259="Qiangshu Grupo A",53,IF(Atletas!I259="Nangun Grupo A",54,IF(Atletas!I259="Gunshu Opcional",55,IF(Atletas!I259="Qiangshu Opcional",56,IF(Atletas!I259="Nangun Opcional",57,IF(Atletas!I259="Gunshu Adulto",58,IF(Atletas!I259="Qiangshu Adulto",59,IF(Atletas!I259="Nangun Adulto",60,""))))))))))))))))))))</f>
        <v/>
      </c>
      <c r="BF263" s="52" t="str">
        <f>IF(Atletas!J259="","",IF(Atletas!B259="Feminino",100,IF(Atletas!B259="Masculino",200,""))+(IF(Atletas!J259="Equipe 1 Grupo B",1,IF(Atletas!J259="Equipe 2 Grupo B",2,IF(Atletas!J259="Equipe 1 Grupo A",3,IF(Atletas!J259="Equipe 2 Grupo A",4,IF(Atletas!J259="Equipe 1 Adulto",5,IF(Atletas!J259="Equipe 2 Adulto",6,""))))))))</f>
        <v/>
      </c>
      <c r="BK263" s="52" t="str">
        <f>IF(Atletas!K259="","",IF(Atletas!W259&lt;&gt;"",10000,0)+(IF(Atletas!B259="Feminino",1000,IF(Atletas!B259="Masculino",2000,""))+IF(Atletas!K259="Choylayfut A",1,IF(Atletas!K259="Hunggar A",2,IF(Atletas!K259="Wuzuquan A",3,IF(Atletas!K259="Wingchun A",4,IF(Atletas!K259="Outra Mão de Sul A",5,IF(Atletas!K259="Choylayfut B",6,IF(Atletas!K259="Hunggar B",7,IF(Atletas!K259="Wuzuquan B",8,IF(Atletas!K259="Wingchun B",9,IF(Atletas!K259="Outra Mão de Sul B",10,IF(Atletas!K259="Choylayfut C",11,IF(Atletas!K259="Hunggar C",12,IF(Atletas!K259="Wuzuquan C",13,IF(Atletas!K259="Wingchun C",14,IF(Atletas!K259="Outra Mão de Sul C",15,IF(Atletas!K259="Choylayfut D",16,IF(Atletas!K259="Hunggar D",17,IF(Atletas!K259="Wuzuquan D",18,IF(Atletas!K259="Wingchun D",19,IF(Atletas!K259="Outra Mão de Sul D",20,IF(Atletas!K259="Choylayfut E",21,IF(Atletas!K259="Hunggar E",22,IF(Atletas!K259="Wuzuquan E",23,IF(Atletas!K259="Wingchun E",24,IF(Atletas!K259="Outra Mão de Sul E",25,IF(Atletas!K259="Choylayfut F",26,IF(Atletas!K259="Hunggar F",27,IF(Atletas!K259="Wuzuquan F",28,IF(Atletas!K259="Wingchun F",29,IF(Atletas!K259="Outra Mão de Sul F",30,""))))))))))))))))))))))))))))))))</f>
        <v/>
      </c>
      <c r="BL263" s="52" t="str">
        <f>IF(Atletas!L259="","",IF(Atletas!W259&lt;&gt;"",10000,0)+(IF(Atletas!B259="Feminino",1000,IF(Atletas!B259="Masculino",2000,""))+(IF(Atletas!L259="Chaquan A",101,IF(Atletas!L259="Emeiquan A",102,IF(Atletas!L259="Fanziquan A",103,IF(Atletas!L259="Huaquan A",104,IF(Atletas!L259="Hongquan A",105,IF(Atletas!L259="Paochui A",106,IF(Atletas!L259="Piguaquan A",107,IF(Atletas!L259="Shaolinquan A",108,IF(Atletas!L259="Tanglangquan A",109,IF(Atletas!L259="Yinzhaophai A",110,IF(Atletas!L259="Tongbeiquan A",111,IF(Atletas!L259="Wudangquan A",112,IF(Atletas!L259="Outros Estilos A",113,IF(Atletas!L259="Chaquan B",114,IF(Atletas!L259="Emeiquan B",115,IF(Atletas!L259="Fanziquan B",116,IF(Atletas!L259="Huaquan B",117,IF(Atletas!L259="Hongquan B",118,IF(Atletas!L259="Paochui B",119,IF(Atletas!L259="Piguaquan B",120,IF(Atletas!L259="Shaolinquan B",121,IF(Atletas!L259="Tanglangquan B",122,IF(Atletas!L259="Yinzhaophai B",123,IF(Atletas!L259="Tongbeiquan B",124,IF(Atletas!L259="Wudangquan B",125,IF(Atletas!L259="Outros Estilos B",126,IF(Atletas!L259="Chaquan C",127,IF(Atletas!L259="Emeiquan C",128,IF(Atletas!L259="Fanziquan C",129,IF(Atletas!L259="Huaquan C",130,IF(Atletas!L259="Hongquan C",131,IF(Atletas!L259="Paochui C",132,IF(Atletas!L259="Piguaquan C",133,IF(Atletas!L259="Shaolinquan C",134,IF(Atletas!L259="Tanglangquan C",135,IF(Atletas!L259="Yinzhaophai C",136,IF(Atletas!L259="Tongbeiquan C",137,IF(Atletas!L259="Wudangquan C",138,IF(Atletas!L259="Outros Estilos C",139,0))))))))))))))))))))))))))))))))))))))))))</f>
        <v/>
      </c>
      <c r="BM263" s="52" t="str">
        <f>IF(Atletas!L259="","",IF(Atletas!W259&lt;&gt;"",10000,0)+(IF(Atletas!B259="Feminino",1000,IF(Atletas!B259="Masculino",2000,""))+(IF(Atletas!L259="Chaquan D",140,IF(Atletas!L259="Emeiquan D",141,IF(Atletas!L259="Fanziquan D",142,IF(Atletas!L259="Huaquan D",143,IF(Atletas!L259="Hongquan D",144,IF(Atletas!L259="Paochui D",145,IF(Atletas!L259="Piguaquan D",146,IF(Atletas!L259="Shaolinquan D",147,IF(Atletas!L259="Tanglangquan D",148,IF(Atletas!L259="Yinzhaophai D",149,IF(Atletas!L259="Tongbeiquan D",150,IF(Atletas!L259="Wudangquan D",151,IF(Atletas!L259="Outros Estilos D",152,IF(Atletas!L259="Chaquan E",153,IF(Atletas!L259="Emeiquan E",154,IF(Atletas!L259="Fanziquan E",155,IF(Atletas!L259="Huaquan E",156,IF(Atletas!L259="Hongquan E",157,IF(Atletas!L259="Paochui E",158,IF(Atletas!L259="Piguaquan E",159,IF(Atletas!L259="Shaolinquan E",160,IF(Atletas!L259="Tanglangquan E",161,IF(Atletas!L259="Yinzhaophai E",162,IF(Atletas!L259="Tongbeiquan E",163,IF(Atletas!L259="Wudangquan E",164,IF(Atletas!L259="Outros Estilos E",165,IF(Atletas!L259="Chaquan F",166,IF(Atletas!L259="Emeiquan F",167,IF(Atletas!L259="Fanziquan F",168,IF(Atletas!L259="Huaquan F",169,IF(Atletas!L259="Hongquan F",170,IF(Atletas!L259="Paochui F",171,IF(Atletas!L259="Piguaquan F",172,IF(Atletas!L259="Shaolinquan F",173,IF(Atletas!L259="Tanglangquan F",174,IF(Atletas!L259="Yinzhaophai F",175,IF(Atletas!L259="Tongbeiquan F",176,IF(Atletas!L259="Wudangquan F",177,IF(Atletas!L259="Outros Estilos F",178,0))))))))))))))))))))))))))))))))))))))))))</f>
        <v/>
      </c>
      <c r="BN263" s="52" t="str">
        <f>IF(Atletas!M259="","",IF(Atletas!W259&lt;&gt;"",10000,0)+(IF(Atletas!B259="Feminino",1000,IF(Atletas!B259="Masculino",2000,""))+(IF(Atletas!M259="Ditangquan A",201,IF(Atletas!M259="Houquan A",202,IF(Atletas!M259="Zuiquan A",203,IF(Atletas!M259="Ditangquan B",204,IF(Atletas!M259="Houquan B",205,IF(Atletas!M259="Zuiquan B",206,IF(Atletas!M259="Ditangquan C",207,IF(Atletas!M259="Houquan C",208,IF(Atletas!M259="Zuiquan C",209,IF(Atletas!M259="Ditangquan D",210,IF(Atletas!M259="Houquan D",211,IF(Atletas!M259="Zuiquan D",212,IF(Atletas!M259="Ditangquan E",213,IF(Atletas!M259="Houquan E",214,IF(Atletas!M259="Zuiquan E",215,IF(Atletas!M259="Ditangquan F",216,IF(Atletas!M259="Houquan F",217,IF(Atletas!M259="Zuiquan F",218,"")))))))))))))))))))))</f>
        <v/>
      </c>
      <c r="BO263" s="52" t="str">
        <f>IF(Atletas!N259="","",IF(Atletas!W259&lt;&gt;"",10000,0)+IF(Atletas!B259="Feminino",1000,IF(Atletas!B259="Masculino",2000,""))+IF(Atletas!N259="Yang A",301,IF(Atletas!N259="Chen A",30,IF(Atletas!N259="Sun A",303,IF(Atletas!N259="Wu A",304,IF(Atletas!N259="Wu-Hao A",305,IF(Atletas!N259="Outro Taijiquan A",306,IF(Atletas!N259="Yang B",307,IF(Atletas!N259="Chen B",308,IF(Atletas!N259="Sun B",309,IF(Atletas!N259="Wu B",310,IF(Atletas!N259="Wu-Hao B",311,IF(Atletas!N259="Outro Taijiquan B",312,IF(Atletas!N259="Yang C",313,IF(Atletas!N259="Chen C",314,IF(Atletas!N259="Sun C",315,IF(Atletas!N259="Wu C",316,IF(Atletas!N259="Wu-Hao C",317,IF(Atletas!N259="Outro Taijiquan C",318,IF(Atletas!N259="Yang D",319,IF(Atletas!N259="Chen D",320,IF(Atletas!N259="Sun D",321,IF(Atletas!N259="Wu D",322,IF(Atletas!N259="Wu-Hao D",323,IF(Atletas!N259="Outro Taijiquan D",324,IF(Atletas!N259="Yang E",325,IF(Atletas!N259="Chen E",326,IF(Atletas!N259="Sun E",327,IF(Atletas!N259="Wu E",328,IF(Atletas!N259="Wu-Hao E",329,IF(Atletas!N259="Outro Taijiquan E",330,IF(Atletas!N259="Yang F",331,IF(Atletas!N259="Chen F",332,IF(Atletas!N259="Sun F",333,IF(Atletas!N259="Wu F",334,IF(Atletas!N259="Wu-Hao F",335,IF(Atletas!N259="Outro Taijiquan F",336,"")))))))))))))))))))))))))))))))))))))</f>
        <v/>
      </c>
      <c r="BP263" s="52" t="str">
        <f>IF(Atletas!O259="","",IF(Atletas!W259&lt;&gt;"",10000,0)+IF(Atletas!B259="Feminino",1000,IF(Atletas!B259="Masculino",2000,""))+IF(OR(Atletas!O259="Yang 26 A",Atletas!O259="Yang 40 A"),401,IF(OR(Atletas!O259="Chen 25 A",Atletas!O259="Chen 36 A",Atletas!O259="Chen 56 A"),402,IF(Atletas!O259="Sun 73 A",403,IF(Atletas!O259="Wu 45 A",404,IF(Atletas!O259="Wu-Hao 46 A",405,IF(OR(Atletas!O259="Taijiquan 16 A",Atletas!O259="Taijiquan 24 A",Atletas!O259="Taijiquan 32 A",Atletas!O259="Taijiquan 42 A"),406,IF(OR(Atletas!O259="Yang 26 B",Atletas!O259="Yang 40 B"),407,IF(OR(Atletas!O259="Chen 25 B",Atletas!O259="Chen 36 B",Atletas!O259="Chen 56 B"),408,IF(Atletas!O259="Sun 73 B",409,IF(Atletas!O259="Wu 45 B",410,IF(Atletas!O259="Wu-Hao 46 B",411,IF(OR(Atletas!O259="Taijiquan 16 B",Atletas!O259="Taijiquan 24 B",Atletas!O259="Taijiquan 32 B",Atletas!O259="Taijiquan 42 B"),412,IF(OR(Atletas!O259="Yang 26 C",Atletas!O259="Yang 40 C"),413,IF(OR(Atletas!O259="Chen 25 C",Atletas!O259="Chen 36 C",Atletas!O259="Chen 56 C"),414,IF(Atletas!O259="Sun 73 C",415,IF(Atletas!O259="Wu 45 C",416,IF(Atletas!O259="Wu-Hao 46 C",417,IF(OR(Atletas!O259="Taijiquan 16 C",Atletas!O259="Taijiquan 24 C",Atletas!O259="Taijiquan 32 C",Atletas!O259="Taijiquan 42 C"),418,0)))))))))))))))))))</f>
        <v/>
      </c>
      <c r="BQ263" s="52" t="str">
        <f>IF(Atletas!O259="","",IF(Atletas!W259&lt;&gt;"",10000,0)+IF(Atletas!B259="Feminino",1000,IF(Atletas!B259="Masculino",2000,""))+IF(OR(Atletas!O259="Yang 26 D",Atletas!O259="Yang 40 D"),419,IF(OR(Atletas!O259="Chen 25 D",Atletas!O259="Chen 36 D",Atletas!O259="Chen 56 D"),420,IF(Atletas!O259="Sun 73 D",421,IF(Atletas!O259="Wu 45 D",422,IF(Atletas!O259="Wu-Hao 46 D",423,IF(OR(Atletas!O259="Taijiquan 16 D",Atletas!O259="Taijiquan 24 D",Atletas!O259="Taijiquan 32 D",Atletas!O259="Taijiquan 42 D"),424,IF(OR(Atletas!O259="Yang 26 E",Atletas!O259="Yang 40 E"),425,IF(OR(Atletas!O259="Chen 25 E",Atletas!O259="Chen 36 E",Atletas!O259="Chen 56 E"),426,IF(Atletas!O259="Sun 73 E",427,IF(Atletas!O259="Wu 45 E",428,IF(Atletas!O259="Wu-Hao 46 E",429,IF(OR(Atletas!O259="Taijiquan 16 E",Atletas!O259="Taijiquan 24 E",Atletas!O259="Taijiquan 32 E",Atletas!O259="Taijiquan 42 E"),430,IF(OR(Atletas!O259="Yang 26 F",Atletas!O259="Yang 40 F"),431,IF(OR(Atletas!O259="Chen 25 F",Atletas!O259="Chen 36 F",Atletas!O259="Chen 56 F"),432,IF(Atletas!O259="Sun 73 F",433,IF(Atletas!O259="Wu 45 F",434,IF(Atletas!O259="Wu-Hao 46 F",435,IF(OR(Atletas!O259="Taijiquan 16 F",Atletas!O259="Taijiquan 24 F",Atletas!O259="Taijiquan 32 F",Atletas!O259="Taijiquan 42 F"),436,0)))))))))))))))))))</f>
        <v/>
      </c>
      <c r="BR263" s="52" t="str">
        <f>IF(Atletas!P259="","",IF(Atletas!W259&lt;&gt;"",10000,0)+IF(Atletas!B259="Feminino",1000,IF(Atletas!B259="Masculino",2000,""))+IF(Atletas!P259="Xingyiquan A",501,IF(Atletas!P259="Baguazhang A",502,IF(Atletas!P259="Outro Estilo Interno A",503,IF(Atletas!P259="Xingyiquan B",504,IF(Atletas!P259="Baguazhang B",505,IF(Atletas!P259="Outro Estilo Interno B",506,IF(Atletas!P259="Xingyiquan C",507,IF(Atletas!P259="Baguazhang C",508,IF(Atletas!P259="Outro Estilo Interno C",509,IF(Atletas!P259="Xingyiquan D",510,IF(Atletas!P259="Baguazhang D",511,IF(Atletas!P259="Outro Estilo Interno D",512,IF(Atletas!P259="Xingyiquan E",513,IF(Atletas!P259="Baguazhang E",514,IF(Atletas!P259="Outro Estilo Interno E",515,IF(Atletas!P259="Xingyiquan F",516,IF(Atletas!P259="Baguazhang F",517,IF(Atletas!P259="Outro Estilo Interno F",518, "")))))))))))))))))))</f>
        <v/>
      </c>
      <c r="BS263" s="52" t="str">
        <f>IF(Atletas!Q259="","",IF(Atletas!W259&lt;&gt;"",10000,0)+IF(Atletas!B259="Feminino",1000,IF(Atletas!B259="Masculino",2000,""))+IF(Atletas!Q259="Dao A",601,IF(Atletas!Q259="Jian A",602,IF(Atletas!Q259="Bishou A",603,IF(Atletas!Q259="Shan A",604,IF(Atletas!Q259="Outra Arma Curta A",605,IF(Atletas!Q259="Dao B",606,IF(Atletas!Q259="Jian B",607,IF(Atletas!Q259="Bishou B",608,IF(Atletas!Q259="Shan B",609,IF(Atletas!Q259="Outra Arma Curta B",610,IF(Atletas!Q259="Dao C",611,IF(Atletas!Q259="Jian C",612,IF(Atletas!Q259="Bishou C",613,IF(Atletas!Q259="Shan C",614,IF(Atletas!Q259="Outra Arma Curta C",615,IF(Atletas!Q259="Dao D",616,IF(Atletas!Q259="Jian D",617,IF(Atletas!Q259="Bishou D",618,IF(Atletas!Q259="Shan D",619,IF(Atletas!Q259="Outra Arma Curta D",620,IF(Atletas!Q259="Dao E",621,IF(Atletas!Q259="Jian E",622,IF(Atletas!Q259="Bishou E",623,IF(Atletas!Q259="Shan E",624,IF(Atletas!Q259="Outra Arma Curta E",625,IF(Atletas!Q259="Dao F",626,IF(Atletas!Q259="Jian F",627,IF(Atletas!Q259="Bishou F",628,IF(Atletas!Q259="Shan F",629,IF(Atletas!Q259="Outra Arma Curta F",630, "")))))))))))))))))))))))))))))))</f>
        <v/>
      </c>
      <c r="BT263" s="52" t="str">
        <f>IF(Atletas!R259="","",IF(Atletas!W259&lt;&gt;"",10000,0)+IF(Atletas!B259="Feminino",1000,IF(Atletas!B259="Masculino",2000,""))+IF(Atletas!R259="Gun A",701,IF(Atletas!R259="Qiang A",702,IF(Atletas!R259="Pudao / Guandao A",703,IF(Atletas!R259="Outra Arma Longa A",704,IF(Atletas!R259="Gun B",705,IF(Atletas!R259="Qiang B",706,IF(Atletas!R259="Pudao / Guandao B",707,IF(Atletas!R259="Outra Arma Longa B",708,IF(Atletas!R259="Gun C",709,IF(Atletas!R259="Qiang C",710,IF(Atletas!R259="Pudao / Guandao C",711,IF(Atletas!R259="Outra Arma Longa C",712,IF(Atletas!R259="Gun D",713,IF(Atletas!R259="Qiang D",714,IF(Atletas!R259="Pudao / Guandao D",715,IF(Atletas!R259="Outra Arma Longa D",716,IF(Atletas!R259="Gun E",717,IF(Atletas!R259="Qiang E",718,IF(Atletas!R259="Pudao / Guandao E",719,IF(Atletas!R259="Outra Arma Longa E",720,IF(Atletas!R259="Gun F",721,IF(Atletas!R259="Qiang F",722,IF(Atletas!R259="Pudao / Guandao F",723,IF(Atletas!R259="Outra Arma Longa F",724,"")))))))))))))))))))))))))</f>
        <v/>
      </c>
      <c r="BU263" s="52" t="str">
        <f>IF(Atletas!S259="","",IF(Atletas!W259&lt;&gt;"",10000,0)+IF(Atletas!B259="Feminino",1000,IF(Atletas!B259="Masculino",2000,""))+IF(Atletas!S259="Arma Dupla A",801,IF(Atletas!S259="Arma Maleável A",802,IF(Atletas!S259="Arma Dupla B",803,IF(Atletas!S259="Arma Maleável B",804,IF(Atletas!S259="Arma Dupla C",805,IF(Atletas!S259="Arma Maleável C",806,IF(Atletas!S259="Arma Dupla D",807,IF(Atletas!S259="Arma Maleável D",808,IF(Atletas!S259="Arma Dupla E",809,IF(Atletas!S259="Arma Maleável E",810,IF(Atletas!S259="Arma Dupla F",811,IF(Atletas!S259="Arma Maleável F",812, "")))))))))))))</f>
        <v/>
      </c>
      <c r="BV263" s="52" t="str">
        <f>IF(Atletas!T259="","",IF(Atletas!W259&lt;&gt;"",10000,0)+IF(Atletas!B259="Feminino",1000,IF(Atletas!B259="Masculino",2000,""))+IF(Atletas!T259="Taijijian Yang A",901,IF(Atletas!T259="Taijijian Chen A",902,IF(Atletas!T259="Taijijian Sun A",903,IF(Atletas!T259="Taijijian Wu A",904,IF(Atletas!T259="Taijijian Wu-Hao A",905,IF(Atletas!T259="Taijijian 32 A",906,IF(Atletas!T259="Taijijian 42 A",907,IF(Atletas!T259="Taijijian Yang B",908,IF(Atletas!T259="Taijijian Chen B",909,IF(Atletas!T259="Taijijian Sun B",910,IF(Atletas!T259="Taijijian Wu B",911,IF(Atletas!T259="Taijijian Wu-Hao B",912,IF(Atletas!T259="Taijijian 32 B",913,IF(Atletas!T259="Taijijian 42 B",914,IF(Atletas!T259="Taijijian Yang C",915,IF(Atletas!T259="Taijijian Chen C",916,IF(Atletas!T259="Taijijian Sun C",917,IF(Atletas!T259="Taijijian Wu C",918,IF(Atletas!T259="Taijijian Wu-Hao C",919,IF(Atletas!T259="Taijijian 32 C",920,IF(Atletas!T259="Taijijian 42 C",921,IF(Atletas!T259="Taijijian Yang D",922,IF(Atletas!T259="Taijijian Chen D",923,IF(Atletas!T259="Taijijian Sun D",924,IF(Atletas!T259="Taijijian Wu D",925,IF(Atletas!T259="Taijijian Wu-Hao D",926,IF(Atletas!T259="Taijijian 32 D",927,IF(Atletas!T259="Taijijian 42 D",928,IF(Atletas!T259="Taijijian Yang E",929,IF(Atletas!T259="Taijijian Chen E",930,IF(Atletas!T259="Taijijian Sun E",931,IF(Atletas!T259="Taijijian Wu E",932,IF(Atletas!T259="Taijijian Wu-Hao E",933,IF(Atletas!T259="Taijijian 32 E",934,IF(Atletas!T259="Taijijian 42 E",935,IF(Atletas!T259="Taijijian Yang F",936,IF(Atletas!T259="Taijijian Chen F",937,IF(Atletas!T259="Taijijian Sun F",938,IF(Atletas!T259="Taijijian Wu F",939,IF(Atletas!T259="Taijijian Wu-Hao F",940,IF(Atletas!T259="Taijijian 32 F",941,IF(Atletas!T259="Taijijian 42 F",942,"")))))))))))))))))))))))))))))))))))))))))))</f>
        <v/>
      </c>
      <c r="BW263" s="52" t="str">
        <f>IF(Atletas!U259="","",IF(Atletas!W259&lt;&gt;"",10000,0)+IF(Atletas!B259="Feminino",1000,IF(Atletas!B259="Masculino",2000,""))+IF(Atletas!T259="Taijijian 42 F",942,IF(Atletas!U259="Taijidao A",943,IF(Atletas!U259="Taijishan A",944,IF(Atletas!U259="Taijiqiang A",945,IF(Atletas!U259="Taijidao B",946,IF(Atletas!U259="Taijishan B",947,IF(Atletas!U259="Taijiqiang B",948,IF(Atletas!U259="Taijidao C",949,IF(Atletas!U259="Taijishan C",950,IF(Atletas!U259="Taijiqiang C",951,IF(Atletas!U259="Taijidao D",952,IF(Atletas!U259="Taijishan D",953,IF(Atletas!U259="Taijiqiang D",954,IF(Atletas!U259="Taijidao E",955,IF(Atletas!U259="Taijishan E",956,IF(Atletas!U259="Taijiqiang E",957,IF(Atletas!U259="Taijidao F",958,IF(Atletas!U259="Taijishan F",959,IF(Atletas!U259="Taijiqiang F",960))))))))))))))))))))</f>
        <v/>
      </c>
      <c r="BX263" s="72" t="str">
        <f>IF(BY263&lt;&gt;"","Pudao / Gaundao C","")</f>
        <v/>
      </c>
      <c r="BY263" s="72" t="str">
        <f>IF(COUNTIF(BK:BW,1711)&gt;0,COUNTIF(BK:BW,1711),"")</f>
        <v/>
      </c>
      <c r="BZ263" s="72" t="str">
        <f>IF(CA263&lt;&gt;"","Pudao / Gaundao C","")</f>
        <v/>
      </c>
      <c r="CA263" s="72" t="str">
        <f>IF(COUNTIF(BK:BW,2711)&gt;0,COUNTIF(BK:BW,2711),"")</f>
        <v/>
      </c>
      <c r="CB263" s="72" t="str">
        <f>IF(CC263&lt;&gt;"","Baguazhang F ","")</f>
        <v/>
      </c>
      <c r="CC263" s="64" t="str">
        <f>IF(COUNTIF(BK:BW,11517)&gt;0,COUNTIF(BK:BW,11517),"")</f>
        <v/>
      </c>
      <c r="CD263" s="64" t="str">
        <f>IF(CE263&lt;&gt;"","Baguazhang F ","")</f>
        <v/>
      </c>
      <c r="CE263" s="64" t="str">
        <f>IF(COUNTIF(BK:BW,12517)&gt;0,COUNTIF(BK:BW,12517),"")</f>
        <v/>
      </c>
      <c r="CF263" s="52" t="str">
        <f xml:space="preserve"> IF(Atletas!V259="","",IF(Atletas!V259="Duilian de Mãos AB - Equipe 1",1,IF(Atletas!V259="Duilian de Mãos AB - Equipe 2",2,IF(Atletas!V259="Duilian de Armas AB - Equipe 1",3,IF(Atletas!V259="Duilian de Armas AB - Equipe 2",4,IF(Atletas!V259="Duilian de Tuishou - Equipe 1",5,IF(Atletas!V259="Duilian de Tuishou - Equipe 2",6,IF(Atletas!V259="Grupo Externo AB - Equipe 1",7,IF(Atletas!V259="Grupo Externo AB - Equipe 2",8,IF(Atletas!V259="Grupo Interno AB - Equipe 1",9,IF(Atletas!V259="Grupo Interno AB - Equipe 2",10,IF(Atletas!V259="Duilian de Mãos CD - Equipe 1",11,IF(Atletas!V259="Duilian de Mãos CD - Equipe 2",12,IF(Atletas!V259="Duilian de Armas CD - Equipe 1",13,IF(Atletas!V259="Duilian de Armas CD - Equipe 2",14,IF(Atletas!V259="Duilian de Tuishou - Equipe 1",15,IF(Atletas!V259="Duilian de Tuishou - Equipe 2",16,IF(Atletas!V259="Grupo Externo CDEF - Equipe 1",17,IF(Atletas!V259="Grupo Externo CDEF - Equipe 2",18,IF(Atletas!V259="Grupo Interno CDEF - Equipe 1",19,IF(Atletas!V259="Grupo Interno CDEF - Equipe 2",20,IF(Atletas!V259="Duilian de Mãos EF - Equipe 1",21,IF(Atletas!V259="Duilian de Mãos EF - Equipe 2",22,IF(Atletas!V259="Duilian de Armas EF - Equipe 1",23,IF(Atletas!V259="Duilian de Armas EF - Equipe 2",24,IF(Atletas!V259="Duilian de Tuishou - Equipe 1",25,IF(Atletas!V259="Duilian de Tuishou - Equipe 2",26,"")))))))))))))))))))))))))))</f>
        <v/>
      </c>
    </row>
    <row r="264" spans="2:84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 t="str">
        <f t="array" ref="V264">IFERROR(INDEX(BX$7:BX$336,SMALL(IF(BX$7:BX$336&lt;&gt;"",ROW(BX$7:BX$336)-ROW(BX$7)+1),ROWS(BX$7:BX221))),"")</f>
        <v/>
      </c>
      <c r="W264" s="4" t="str">
        <f t="array" ref="W264">IFERROR(INDEX(BY$7:BY$336,SMALL(IF(BY$7:BY$336&lt;&gt;"",ROW(BY$7:BY$336)-ROW(BY$7)+1),ROWS(BY$7:BY221))),"")</f>
        <v/>
      </c>
      <c r="X264" s="4" t="str">
        <f t="array" ref="X264">IFERROR(INDEX(BZ$7:BZ$336,SMALL(IF(BZ$7:BZ$336&lt;&gt;"",ROW(BZ$7:BZ$336)-ROW(BZ$7)+1),ROWS(BZ$7:BZ221))),"")</f>
        <v/>
      </c>
      <c r="Y264" s="4" t="str">
        <f t="array" ref="Y264">IFERROR(INDEX(CA$7:CA$336,SMALL(IF(CA$7:CA$336&lt;&gt;"",ROW(CA$7:CA$336)-ROW(CA$7)+1),ROWS(CA$7:CA221))),"")</f>
        <v/>
      </c>
      <c r="Z264" s="4" t="str">
        <f t="array" ref="Z264">IFERROR(INDEX(CB$7:CB$378,SMALL(IF(CB$7:CB$378&lt;&gt;"",ROW(CB$7:CB$378)-ROW(CB$7)+1),ROWS(CB$7:CB263))),"")</f>
        <v/>
      </c>
      <c r="AA264" s="4" t="str">
        <f t="array" ref="AA264">IFERROR(INDEX(CC$7:CC$378,SMALL(IF(CC$7:CC$378&lt;&gt;"",ROW(CC$7:CC$378)-ROW(CC$7)+1),ROWS(CC$7:CC263))),"")</f>
        <v/>
      </c>
      <c r="AB264" s="4" t="str">
        <f t="array" ref="AB264">IFERROR(INDEX(CD$7:CD$378,SMALL(IF(CD$7:CD$378&lt;&gt;"",ROW(CD$7:CD$378)-ROW(CD$7)+1),ROWS(CD$7:CD263))),"")</f>
        <v/>
      </c>
      <c r="AC264" s="4" t="str">
        <f t="array" ref="AC264">IFERROR(INDEX(CE$7:CE$378,SMALL(IF(CE$7:CE$378&lt;&gt;"",ROW(CE$7:CE$378)-ROW(CE$7)+1),ROWS(CE$7:CE263))),"")</f>
        <v/>
      </c>
      <c r="AD264" s="4"/>
      <c r="AE264" s="4"/>
      <c r="AF264" s="4"/>
      <c r="AG264" s="4"/>
      <c r="AH264" s="4"/>
      <c r="AI264" s="4"/>
      <c r="AJ264" s="46" t="str">
        <f>IF(Atletas!D260="","",IF(Atletas!B260="Feminino",100,IF(Atletas!B260="Masculino",200,""))+(IF(Atletas!D260="Infantil 39kg",1,IF(Atletas!D260="Infantil 42kg",2,IF(Atletas!D260="Infantil 45kg",3,IF(Atletas!D260="Infantil 48kg",4,IF(Atletas!D260="Infantil 52kg",5,IF(Atletas!D260="Infantil 56kg",6,IF(Atletas!D260="Infantil 60kg",7,IF(Atletas!D260="Juvenil 48kg",8,IF(Atletas!D260="Juvenil 52kg",9,IF(Atletas!D260="Juvenil 56kg",10,IF(Atletas!D260="Juvenil 60kg",11,IF(Atletas!D260="Juvenil 65kg",12,IF(Atletas!D260="Juvenil 70kg",13,IF(Atletas!D260="Juvenil 75kg",14,IF(Atletas!D260="Juvenil 80kg",15,IF(Atletas!D260="Adulto 48kg",16,IF(Atletas!D260="Adulto 52kg",17,IF(Atletas!D260="Adulto 56kg",18,IF(Atletas!D260="Adulto 60kg",19,IF(Atletas!D260="Adulto 65kg",20,IF(Atletas!D260="Adulto 70kg",21,IF(Atletas!D260="Adulto 75kg",22,IF(Atletas!D260="Adulto 80kg",23,IF(Atletas!D260="Adulto 85kg",24,IF(Atletas!D260="Adulto 90kg",25,IF(Atletas!D260="Adulto +90kg",26,""))))))))))))))))))))))))))))</f>
        <v/>
      </c>
      <c r="AO264" s="10" t="str">
        <f>IF(Atletas!E260="","",IF(Atletas!B260="Feminino",100,IF(Atletas!B260="Masculino",200,""))+(IF(Atletas!E260="Juvenil 44kg",1,IF(Atletas!E260="Juvenil 48kg",2,IF(Atletas!E260="Juvenil 52kg",3,IF(Atletas!E260="Juvenil 56kg",4,IF(Atletas!E260="Juvenil 60kg",5,IF(Atletas!E260="Juvenil 65kg",6,IF(Atletas!E260="Juvenil 70kg",7,IF(Atletas!E260="Juvenil 75kg",8,IF(Atletas!E260="Juvenil 82kg",9,IF(Atletas!E260="Juvenil 90kg",10,IF(Atletas!E260="Juvenil 100kg",11,IF(Atletas!E260="Adulto 48kg",12,IF(Atletas!E260="Adulto 52kg",13,IF(Atletas!E260="Adulto 56kg",14,IF(Atletas!E260="Adulto 60kg",15,IF(Atletas!E260="Adulto 65kg",16,IF(Atletas!E260="Adulto 70kg",17,IF(Atletas!E260="Adulto 75kg",18,IF(Atletas!E260="Adulto 82kg",19,IF(Atletas!E260="Adulto 90kg",20,IF(Atletas!E260="Adulto 100kg",21,IF(Atletas!E260="Adulto +100kg",22,""))))))))))))))))))))))))</f>
        <v/>
      </c>
      <c r="AT264" s="10" t="str">
        <f>IF(Atletas!F260="","",IF(Atletas!B260="Feminino",100,IF(Atletas!B260="Masculino",200,""))+(IF(Atletas!F260="Adulto 48kg",1,IF(Atletas!F260="Adulto 56kg",2,IF(Atletas!F260="Adulto 65kg",3,IF(Atletas!F260="Adulto 75kg",4,IF(Atletas!F260="Adulto +75kg",5,IF(Atletas!F260="Adulto 52kg",6,IF(Atletas!F260="Adulto 60kg",7,IF(Atletas!F260="Adulto 70kg",8,IF(Atletas!F260="Adulto 80kg",9,IF(Atletas!F260="Adulto 90kg",10,IF(Atletas!F260="Adulto +90kg",11,"")))))))))))))</f>
        <v/>
      </c>
      <c r="AY264" s="46" t="str">
        <f>IF(Atletas!G260="","",IF(Atletas!B260="Feminino",100,IF(Atletas!B260="Masculino",200,""))+(IF(Atletas!G260="Changquan Mirim",1,IF(Atletas!G260="Nanquan Mirim",2,IF(Atletas!G260="Taijiquan Mirim",3,IF(Atletas!G260="Changquan Grupo C",4,IF(Atletas!G260="Nanquan Grupo C",5,IF(Atletas!G260="Taijiquan Grupo C",6,IF(Atletas!G260="Changquan Grupo B",7,IF(Atletas!G260="Nanquan Grupo B",8,IF(Atletas!G260="Taijiquan Grupo B",9,IF(Atletas!G260="Changquan Grupo A",10,IF(Atletas!G260="Nanquan Grupo A",11,IF(Atletas!G260="Taijiquan Grupo A",12,IF(Atletas!G260="Changquan Opcional",13,IF(Atletas!G260="Nanquan Opcional",14,IF(Atletas!G260="Taijiquan Opcional",15,IF(Atletas!G260="Changquan Adulto",16,IF(Atletas!G260="Nanquan Adulto",17,IF(Atletas!G260="Taijiquan Adulto",18,""))))))))))))))))))))</f>
        <v/>
      </c>
      <c r="AZ264" s="46" t="str">
        <f>IF(Atletas!H260="","",IF(Atletas!B260="Feminino",100,IF(Atletas!B260="Masculino",200,""))+(IF(Atletas!H260="Daoshu Mirim",19,IF(Atletas!H260="Jianshu Mirim",20,IF(Atletas!H260="Nandao Mirim",21,IF(Atletas!H260="Taijijian Mirim",22,IF(Atletas!H260="Daoshu Grupo C",23,IF(Atletas!H260="Jianshu Grupo C",24,IF(Atletas!H260="Nandao Grupo C",25,IF(Atletas!H260="Taijijian Grupo C",26,IF(Atletas!H260="Daoshu Grupo B",27,IF(Atletas!H260="Jianshu Grupo B",28,IF(Atletas!H260="Nandao Grupo B",29,IF(Atletas!H260="Taijijian Grupo B",30,IF(Atletas!H260="Daoshu Grupo A",31,IF(Atletas!H260="Jianshu Grupo A",32,IF(Atletas!H260="Nandao Grupo A",33,IF(Atletas!H260="Taijijian Grupo A",34,IF(Atletas!H260="Daoshu Opcional",35,IF(Atletas!H260="Jianshu Opcional",36,IF(Atletas!H260="Nandao Opcional",37,IF(Atletas!H260="Taijijian Opcional",38,IF(Atletas!H260="Daoshu Adulto",39,IF(Atletas!H260="Jianshu Adulto",40,IF(Atletas!H260="Nandao Adulto",41,IF(Atletas!H260="Taijijian Adulto",42,""))))))))))))))))))))))))))</f>
        <v/>
      </c>
      <c r="BA264" s="46" t="str">
        <f>IF(Atletas!I260="","",IF(Atletas!B260="Feminino",100,IF(Atletas!B260="Masculino",200,""))+(IF(Atletas!I260="Gunshu Mirim",43,IF(Atletas!I260="Qiangshu Mirim",44,IF(Atletas!I260="Nangun Mirim",45,IF(Atletas!I260="Gunshu Grupo C",46,IF(Atletas!I260="Qiangshu Grupo C",47,IF(Atletas!I260="Nangun Grupo C",48,IF(Atletas!I260="Gunshu Grupo B",49,IF(Atletas!I260="Qiangshu Grupo B",50,IF(Atletas!I260="Nangun Grupo B",51,IF(Atletas!I260="Gunshu Grupo A",52,IF(Atletas!I260="Qiangshu Grupo A",53,IF(Atletas!I260="Nangun Grupo A",54,IF(Atletas!I260="Gunshu Opcional",55,IF(Atletas!I260="Qiangshu Opcional",56,IF(Atletas!I260="Nangun Opcional",57,IF(Atletas!I260="Gunshu Adulto",58,IF(Atletas!I260="Qiangshu Adulto",59,IF(Atletas!I260="Nangun Adulto",60,""))))))))))))))))))))</f>
        <v/>
      </c>
      <c r="BF264" s="52" t="str">
        <f>IF(Atletas!J260="","",IF(Atletas!B260="Feminino",100,IF(Atletas!B260="Masculino",200,""))+(IF(Atletas!J260="Equipe 1 Grupo B",1,IF(Atletas!J260="Equipe 2 Grupo B",2,IF(Atletas!J260="Equipe 1 Grupo A",3,IF(Atletas!J260="Equipe 2 Grupo A",4,IF(Atletas!J260="Equipe 1 Adulto",5,IF(Atletas!J260="Equipe 2 Adulto",6,""))))))))</f>
        <v/>
      </c>
      <c r="BK264" s="52" t="str">
        <f>IF(Atletas!K260="","",IF(Atletas!W260&lt;&gt;"",10000,0)+(IF(Atletas!B260="Feminino",1000,IF(Atletas!B260="Masculino",2000,""))+IF(Atletas!K260="Choylayfut A",1,IF(Atletas!K260="Hunggar A",2,IF(Atletas!K260="Wuzuquan A",3,IF(Atletas!K260="Wingchun A",4,IF(Atletas!K260="Outra Mão de Sul A",5,IF(Atletas!K260="Choylayfut B",6,IF(Atletas!K260="Hunggar B",7,IF(Atletas!K260="Wuzuquan B",8,IF(Atletas!K260="Wingchun B",9,IF(Atletas!K260="Outra Mão de Sul B",10,IF(Atletas!K260="Choylayfut C",11,IF(Atletas!K260="Hunggar C",12,IF(Atletas!K260="Wuzuquan C",13,IF(Atletas!K260="Wingchun C",14,IF(Atletas!K260="Outra Mão de Sul C",15,IF(Atletas!K260="Choylayfut D",16,IF(Atletas!K260="Hunggar D",17,IF(Atletas!K260="Wuzuquan D",18,IF(Atletas!K260="Wingchun D",19,IF(Atletas!K260="Outra Mão de Sul D",20,IF(Atletas!K260="Choylayfut E",21,IF(Atletas!K260="Hunggar E",22,IF(Atletas!K260="Wuzuquan E",23,IF(Atletas!K260="Wingchun E",24,IF(Atletas!K260="Outra Mão de Sul E",25,IF(Atletas!K260="Choylayfut F",26,IF(Atletas!K260="Hunggar F",27,IF(Atletas!K260="Wuzuquan F",28,IF(Atletas!K260="Wingchun F",29,IF(Atletas!K260="Outra Mão de Sul F",30,""))))))))))))))))))))))))))))))))</f>
        <v/>
      </c>
      <c r="BL264" s="52" t="str">
        <f>IF(Atletas!L260="","",IF(Atletas!W260&lt;&gt;"",10000,0)+(IF(Atletas!B260="Feminino",1000,IF(Atletas!B260="Masculino",2000,""))+(IF(Atletas!L260="Chaquan A",101,IF(Atletas!L260="Emeiquan A",102,IF(Atletas!L260="Fanziquan A",103,IF(Atletas!L260="Huaquan A",104,IF(Atletas!L260="Hongquan A",105,IF(Atletas!L260="Paochui A",106,IF(Atletas!L260="Piguaquan A",107,IF(Atletas!L260="Shaolinquan A",108,IF(Atletas!L260="Tanglangquan A",109,IF(Atletas!L260="Yinzhaophai A",110,IF(Atletas!L260="Tongbeiquan A",111,IF(Atletas!L260="Wudangquan A",112,IF(Atletas!L260="Outros Estilos A",113,IF(Atletas!L260="Chaquan B",114,IF(Atletas!L260="Emeiquan B",115,IF(Atletas!L260="Fanziquan B",116,IF(Atletas!L260="Huaquan B",117,IF(Atletas!L260="Hongquan B",118,IF(Atletas!L260="Paochui B",119,IF(Atletas!L260="Piguaquan B",120,IF(Atletas!L260="Shaolinquan B",121,IF(Atletas!L260="Tanglangquan B",122,IF(Atletas!L260="Yinzhaophai B",123,IF(Atletas!L260="Tongbeiquan B",124,IF(Atletas!L260="Wudangquan B",125,IF(Atletas!L260="Outros Estilos B",126,IF(Atletas!L260="Chaquan C",127,IF(Atletas!L260="Emeiquan C",128,IF(Atletas!L260="Fanziquan C",129,IF(Atletas!L260="Huaquan C",130,IF(Atletas!L260="Hongquan C",131,IF(Atletas!L260="Paochui C",132,IF(Atletas!L260="Piguaquan C",133,IF(Atletas!L260="Shaolinquan C",134,IF(Atletas!L260="Tanglangquan C",135,IF(Atletas!L260="Yinzhaophai C",136,IF(Atletas!L260="Tongbeiquan C",137,IF(Atletas!L260="Wudangquan C",138,IF(Atletas!L260="Outros Estilos C",139,0))))))))))))))))))))))))))))))))))))))))))</f>
        <v/>
      </c>
      <c r="BM264" s="52" t="str">
        <f>IF(Atletas!L260="","",IF(Atletas!W260&lt;&gt;"",10000,0)+(IF(Atletas!B260="Feminino",1000,IF(Atletas!B260="Masculino",2000,""))+(IF(Atletas!L260="Chaquan D",140,IF(Atletas!L260="Emeiquan D",141,IF(Atletas!L260="Fanziquan D",142,IF(Atletas!L260="Huaquan D",143,IF(Atletas!L260="Hongquan D",144,IF(Atletas!L260="Paochui D",145,IF(Atletas!L260="Piguaquan D",146,IF(Atletas!L260="Shaolinquan D",147,IF(Atletas!L260="Tanglangquan D",148,IF(Atletas!L260="Yinzhaophai D",149,IF(Atletas!L260="Tongbeiquan D",150,IF(Atletas!L260="Wudangquan D",151,IF(Atletas!L260="Outros Estilos D",152,IF(Atletas!L260="Chaquan E",153,IF(Atletas!L260="Emeiquan E",154,IF(Atletas!L260="Fanziquan E",155,IF(Atletas!L260="Huaquan E",156,IF(Atletas!L260="Hongquan E",157,IF(Atletas!L260="Paochui E",158,IF(Atletas!L260="Piguaquan E",159,IF(Atletas!L260="Shaolinquan E",160,IF(Atletas!L260="Tanglangquan E",161,IF(Atletas!L260="Yinzhaophai E",162,IF(Atletas!L260="Tongbeiquan E",163,IF(Atletas!L260="Wudangquan E",164,IF(Atletas!L260="Outros Estilos E",165,IF(Atletas!L260="Chaquan F",166,IF(Atletas!L260="Emeiquan F",167,IF(Atletas!L260="Fanziquan F",168,IF(Atletas!L260="Huaquan F",169,IF(Atletas!L260="Hongquan F",170,IF(Atletas!L260="Paochui F",171,IF(Atletas!L260="Piguaquan F",172,IF(Atletas!L260="Shaolinquan F",173,IF(Atletas!L260="Tanglangquan F",174,IF(Atletas!L260="Yinzhaophai F",175,IF(Atletas!L260="Tongbeiquan F",176,IF(Atletas!L260="Wudangquan F",177,IF(Atletas!L260="Outros Estilos F",178,0))))))))))))))))))))))))))))))))))))))))))</f>
        <v/>
      </c>
      <c r="BN264" s="52" t="str">
        <f>IF(Atletas!M260="","",IF(Atletas!W260&lt;&gt;"",10000,0)+(IF(Atletas!B260="Feminino",1000,IF(Atletas!B260="Masculino",2000,""))+(IF(Atletas!M260="Ditangquan A",201,IF(Atletas!M260="Houquan A",202,IF(Atletas!M260="Zuiquan A",203,IF(Atletas!M260="Ditangquan B",204,IF(Atletas!M260="Houquan B",205,IF(Atletas!M260="Zuiquan B",206,IF(Atletas!M260="Ditangquan C",207,IF(Atletas!M260="Houquan C",208,IF(Atletas!M260="Zuiquan C",209,IF(Atletas!M260="Ditangquan D",210,IF(Atletas!M260="Houquan D",211,IF(Atletas!M260="Zuiquan D",212,IF(Atletas!M260="Ditangquan E",213,IF(Atletas!M260="Houquan E",214,IF(Atletas!M260="Zuiquan E",215,IF(Atletas!M260="Ditangquan F",216,IF(Atletas!M260="Houquan F",217,IF(Atletas!M260="Zuiquan F",218,"")))))))))))))))))))))</f>
        <v/>
      </c>
      <c r="BO264" s="52" t="str">
        <f>IF(Atletas!N260="","",IF(Atletas!W260&lt;&gt;"",10000,0)+IF(Atletas!B260="Feminino",1000,IF(Atletas!B260="Masculino",2000,""))+IF(Atletas!N260="Yang A",301,IF(Atletas!N260="Chen A",30,IF(Atletas!N260="Sun A",303,IF(Atletas!N260="Wu A",304,IF(Atletas!N260="Wu-Hao A",305,IF(Atletas!N260="Outro Taijiquan A",306,IF(Atletas!N260="Yang B",307,IF(Atletas!N260="Chen B",308,IF(Atletas!N260="Sun B",309,IF(Atletas!N260="Wu B",310,IF(Atletas!N260="Wu-Hao B",311,IF(Atletas!N260="Outro Taijiquan B",312,IF(Atletas!N260="Yang C",313,IF(Atletas!N260="Chen C",314,IF(Atletas!N260="Sun C",315,IF(Atletas!N260="Wu C",316,IF(Atletas!N260="Wu-Hao C",317,IF(Atletas!N260="Outro Taijiquan C",318,IF(Atletas!N260="Yang D",319,IF(Atletas!N260="Chen D",320,IF(Atletas!N260="Sun D",321,IF(Atletas!N260="Wu D",322,IF(Atletas!N260="Wu-Hao D",323,IF(Atletas!N260="Outro Taijiquan D",324,IF(Atletas!N260="Yang E",325,IF(Atletas!N260="Chen E",326,IF(Atletas!N260="Sun E",327,IF(Atletas!N260="Wu E",328,IF(Atletas!N260="Wu-Hao E",329,IF(Atletas!N260="Outro Taijiquan E",330,IF(Atletas!N260="Yang F",331,IF(Atletas!N260="Chen F",332,IF(Atletas!N260="Sun F",333,IF(Atletas!N260="Wu F",334,IF(Atletas!N260="Wu-Hao F",335,IF(Atletas!N260="Outro Taijiquan F",336,"")))))))))))))))))))))))))))))))))))))</f>
        <v/>
      </c>
      <c r="BP264" s="52" t="str">
        <f>IF(Atletas!O260="","",IF(Atletas!W260&lt;&gt;"",10000,0)+IF(Atletas!B260="Feminino",1000,IF(Atletas!B260="Masculino",2000,""))+IF(OR(Atletas!O260="Yang 26 A",Atletas!O260="Yang 40 A"),401,IF(OR(Atletas!O260="Chen 25 A",Atletas!O260="Chen 36 A",Atletas!O260="Chen 56 A"),402,IF(Atletas!O260="Sun 73 A",403,IF(Atletas!O260="Wu 45 A",404,IF(Atletas!O260="Wu-Hao 46 A",405,IF(OR(Atletas!O260="Taijiquan 16 A",Atletas!O260="Taijiquan 24 A",Atletas!O260="Taijiquan 32 A",Atletas!O260="Taijiquan 42 A"),406,IF(OR(Atletas!O260="Yang 26 B",Atletas!O260="Yang 40 B"),407,IF(OR(Atletas!O260="Chen 25 B",Atletas!O260="Chen 36 B",Atletas!O260="Chen 56 B"),408,IF(Atletas!O260="Sun 73 B",409,IF(Atletas!O260="Wu 45 B",410,IF(Atletas!O260="Wu-Hao 46 B",411,IF(OR(Atletas!O260="Taijiquan 16 B",Atletas!O260="Taijiquan 24 B",Atletas!O260="Taijiquan 32 B",Atletas!O260="Taijiquan 42 B"),412,IF(OR(Atletas!O260="Yang 26 C",Atletas!O260="Yang 40 C"),413,IF(OR(Atletas!O260="Chen 25 C",Atletas!O260="Chen 36 C",Atletas!O260="Chen 56 C"),414,IF(Atletas!O260="Sun 73 C",415,IF(Atletas!O260="Wu 45 C",416,IF(Atletas!O260="Wu-Hao 46 C",417,IF(OR(Atletas!O260="Taijiquan 16 C",Atletas!O260="Taijiquan 24 C",Atletas!O260="Taijiquan 32 C",Atletas!O260="Taijiquan 42 C"),418,0)))))))))))))))))))</f>
        <v/>
      </c>
      <c r="BQ264" s="52" t="str">
        <f>IF(Atletas!O260="","",IF(Atletas!W260&lt;&gt;"",10000,0)+IF(Atletas!B260="Feminino",1000,IF(Atletas!B260="Masculino",2000,""))+IF(OR(Atletas!O260="Yang 26 D",Atletas!O260="Yang 40 D"),419,IF(OR(Atletas!O260="Chen 25 D",Atletas!O260="Chen 36 D",Atletas!O260="Chen 56 D"),420,IF(Atletas!O260="Sun 73 D",421,IF(Atletas!O260="Wu 45 D",422,IF(Atletas!O260="Wu-Hao 46 D",423,IF(OR(Atletas!O260="Taijiquan 16 D",Atletas!O260="Taijiquan 24 D",Atletas!O260="Taijiquan 32 D",Atletas!O260="Taijiquan 42 D"),424,IF(OR(Atletas!O260="Yang 26 E",Atletas!O260="Yang 40 E"),425,IF(OR(Atletas!O260="Chen 25 E",Atletas!O260="Chen 36 E",Atletas!O260="Chen 56 E"),426,IF(Atletas!O260="Sun 73 E",427,IF(Atletas!O260="Wu 45 E",428,IF(Atletas!O260="Wu-Hao 46 E",429,IF(OR(Atletas!O260="Taijiquan 16 E",Atletas!O260="Taijiquan 24 E",Atletas!O260="Taijiquan 32 E",Atletas!O260="Taijiquan 42 E"),430,IF(OR(Atletas!O260="Yang 26 F",Atletas!O260="Yang 40 F"),431,IF(OR(Atletas!O260="Chen 25 F",Atletas!O260="Chen 36 F",Atletas!O260="Chen 56 F"),432,IF(Atletas!O260="Sun 73 F",433,IF(Atletas!O260="Wu 45 F",434,IF(Atletas!O260="Wu-Hao 46 F",435,IF(OR(Atletas!O260="Taijiquan 16 F",Atletas!O260="Taijiquan 24 F",Atletas!O260="Taijiquan 32 F",Atletas!O260="Taijiquan 42 F"),436,0)))))))))))))))))))</f>
        <v/>
      </c>
      <c r="BR264" s="52" t="str">
        <f>IF(Atletas!P260="","",IF(Atletas!W260&lt;&gt;"",10000,0)+IF(Atletas!B260="Feminino",1000,IF(Atletas!B260="Masculino",2000,""))+IF(Atletas!P260="Xingyiquan A",501,IF(Atletas!P260="Baguazhang A",502,IF(Atletas!P260="Outro Estilo Interno A",503,IF(Atletas!P260="Xingyiquan B",504,IF(Atletas!P260="Baguazhang B",505,IF(Atletas!P260="Outro Estilo Interno B",506,IF(Atletas!P260="Xingyiquan C",507,IF(Atletas!P260="Baguazhang C",508,IF(Atletas!P260="Outro Estilo Interno C",509,IF(Atletas!P260="Xingyiquan D",510,IF(Atletas!P260="Baguazhang D",511,IF(Atletas!P260="Outro Estilo Interno D",512,IF(Atletas!P260="Xingyiquan E",513,IF(Atletas!P260="Baguazhang E",514,IF(Atletas!P260="Outro Estilo Interno E",515,IF(Atletas!P260="Xingyiquan F",516,IF(Atletas!P260="Baguazhang F",517,IF(Atletas!P260="Outro Estilo Interno F",518, "")))))))))))))))))))</f>
        <v/>
      </c>
      <c r="BS264" s="52" t="str">
        <f>IF(Atletas!Q260="","",IF(Atletas!W260&lt;&gt;"",10000,0)+IF(Atletas!B260="Feminino",1000,IF(Atletas!B260="Masculino",2000,""))+IF(Atletas!Q260="Dao A",601,IF(Atletas!Q260="Jian A",602,IF(Atletas!Q260="Bishou A",603,IF(Atletas!Q260="Shan A",604,IF(Atletas!Q260="Outra Arma Curta A",605,IF(Atletas!Q260="Dao B",606,IF(Atletas!Q260="Jian B",607,IF(Atletas!Q260="Bishou B",608,IF(Atletas!Q260="Shan B",609,IF(Atletas!Q260="Outra Arma Curta B",610,IF(Atletas!Q260="Dao C",611,IF(Atletas!Q260="Jian C",612,IF(Atletas!Q260="Bishou C",613,IF(Atletas!Q260="Shan C",614,IF(Atletas!Q260="Outra Arma Curta C",615,IF(Atletas!Q260="Dao D",616,IF(Atletas!Q260="Jian D",617,IF(Atletas!Q260="Bishou D",618,IF(Atletas!Q260="Shan D",619,IF(Atletas!Q260="Outra Arma Curta D",620,IF(Atletas!Q260="Dao E",621,IF(Atletas!Q260="Jian E",622,IF(Atletas!Q260="Bishou E",623,IF(Atletas!Q260="Shan E",624,IF(Atletas!Q260="Outra Arma Curta E",625,IF(Atletas!Q260="Dao F",626,IF(Atletas!Q260="Jian F",627,IF(Atletas!Q260="Bishou F",628,IF(Atletas!Q260="Shan F",629,IF(Atletas!Q260="Outra Arma Curta F",630, "")))))))))))))))))))))))))))))))</f>
        <v/>
      </c>
      <c r="BT264" s="52" t="str">
        <f>IF(Atletas!R260="","",IF(Atletas!W260&lt;&gt;"",10000,0)+IF(Atletas!B260="Feminino",1000,IF(Atletas!B260="Masculino",2000,""))+IF(Atletas!R260="Gun A",701,IF(Atletas!R260="Qiang A",702,IF(Atletas!R260="Pudao / Guandao A",703,IF(Atletas!R260="Outra Arma Longa A",704,IF(Atletas!R260="Gun B",705,IF(Atletas!R260="Qiang B",706,IF(Atletas!R260="Pudao / Guandao B",707,IF(Atletas!R260="Outra Arma Longa B",708,IF(Atletas!R260="Gun C",709,IF(Atletas!R260="Qiang C",710,IF(Atletas!R260="Pudao / Guandao C",711,IF(Atletas!R260="Outra Arma Longa C",712,IF(Atletas!R260="Gun D",713,IF(Atletas!R260="Qiang D",714,IF(Atletas!R260="Pudao / Guandao D",715,IF(Atletas!R260="Outra Arma Longa D",716,IF(Atletas!R260="Gun E",717,IF(Atletas!R260="Qiang E",718,IF(Atletas!R260="Pudao / Guandao E",719,IF(Atletas!R260="Outra Arma Longa E",720,IF(Atletas!R260="Gun F",721,IF(Atletas!R260="Qiang F",722,IF(Atletas!R260="Pudao / Guandao F",723,IF(Atletas!R260="Outra Arma Longa F",724,"")))))))))))))))))))))))))</f>
        <v/>
      </c>
      <c r="BU264" s="52" t="str">
        <f>IF(Atletas!S260="","",IF(Atletas!W260&lt;&gt;"",10000,0)+IF(Atletas!B260="Feminino",1000,IF(Atletas!B260="Masculino",2000,""))+IF(Atletas!S260="Arma Dupla A",801,IF(Atletas!S260="Arma Maleável A",802,IF(Atletas!S260="Arma Dupla B",803,IF(Atletas!S260="Arma Maleável B",804,IF(Atletas!S260="Arma Dupla C",805,IF(Atletas!S260="Arma Maleável C",806,IF(Atletas!S260="Arma Dupla D",807,IF(Atletas!S260="Arma Maleável D",808,IF(Atletas!S260="Arma Dupla E",809,IF(Atletas!S260="Arma Maleável E",810,IF(Atletas!S260="Arma Dupla F",811,IF(Atletas!S260="Arma Maleável F",812, "")))))))))))))</f>
        <v/>
      </c>
      <c r="BV264" s="52" t="str">
        <f>IF(Atletas!T260="","",IF(Atletas!W260&lt;&gt;"",10000,0)+IF(Atletas!B260="Feminino",1000,IF(Atletas!B260="Masculino",2000,""))+IF(Atletas!T260="Taijijian Yang A",901,IF(Atletas!T260="Taijijian Chen A",902,IF(Atletas!T260="Taijijian Sun A",903,IF(Atletas!T260="Taijijian Wu A",904,IF(Atletas!T260="Taijijian Wu-Hao A",905,IF(Atletas!T260="Taijijian 32 A",906,IF(Atletas!T260="Taijijian 42 A",907,IF(Atletas!T260="Taijijian Yang B",908,IF(Atletas!T260="Taijijian Chen B",909,IF(Atletas!T260="Taijijian Sun B",910,IF(Atletas!T260="Taijijian Wu B",911,IF(Atletas!T260="Taijijian Wu-Hao B",912,IF(Atletas!T260="Taijijian 32 B",913,IF(Atletas!T260="Taijijian 42 B",914,IF(Atletas!T260="Taijijian Yang C",915,IF(Atletas!T260="Taijijian Chen C",916,IF(Atletas!T260="Taijijian Sun C",917,IF(Atletas!T260="Taijijian Wu C",918,IF(Atletas!T260="Taijijian Wu-Hao C",919,IF(Atletas!T260="Taijijian 32 C",920,IF(Atletas!T260="Taijijian 42 C",921,IF(Atletas!T260="Taijijian Yang D",922,IF(Atletas!T260="Taijijian Chen D",923,IF(Atletas!T260="Taijijian Sun D",924,IF(Atletas!T260="Taijijian Wu D",925,IF(Atletas!T260="Taijijian Wu-Hao D",926,IF(Atletas!T260="Taijijian 32 D",927,IF(Atletas!T260="Taijijian 42 D",928,IF(Atletas!T260="Taijijian Yang E",929,IF(Atletas!T260="Taijijian Chen E",930,IF(Atletas!T260="Taijijian Sun E",931,IF(Atletas!T260="Taijijian Wu E",932,IF(Atletas!T260="Taijijian Wu-Hao E",933,IF(Atletas!T260="Taijijian 32 E",934,IF(Atletas!T260="Taijijian 42 E",935,IF(Atletas!T260="Taijijian Yang F",936,IF(Atletas!T260="Taijijian Chen F",937,IF(Atletas!T260="Taijijian Sun F",938,IF(Atletas!T260="Taijijian Wu F",939,IF(Atletas!T260="Taijijian Wu-Hao F",940,IF(Atletas!T260="Taijijian 32 F",941,IF(Atletas!T260="Taijijian 42 F",942,"")))))))))))))))))))))))))))))))))))))))))))</f>
        <v/>
      </c>
      <c r="BW264" s="52" t="str">
        <f>IF(Atletas!U260="","",IF(Atletas!W260&lt;&gt;"",10000,0)+IF(Atletas!B260="Feminino",1000,IF(Atletas!B260="Masculino",2000,""))+IF(Atletas!T260="Taijijian 42 F",942,IF(Atletas!U260="Taijidao A",943,IF(Atletas!U260="Taijishan A",944,IF(Atletas!U260="Taijiqiang A",945,IF(Atletas!U260="Taijidao B",946,IF(Atletas!U260="Taijishan B",947,IF(Atletas!U260="Taijiqiang B",948,IF(Atletas!U260="Taijidao C",949,IF(Atletas!U260="Taijishan C",950,IF(Atletas!U260="Taijiqiang C",951,IF(Atletas!U260="Taijidao D",952,IF(Atletas!U260="Taijishan D",953,IF(Atletas!U260="Taijiqiang D",954,IF(Atletas!U260="Taijidao E",955,IF(Atletas!U260="Taijishan E",956,IF(Atletas!U260="Taijiqiang E",957,IF(Atletas!U260="Taijidao F",958,IF(Atletas!U260="Taijishan F",959,IF(Atletas!U260="Taijiqiang F",960))))))))))))))))))))</f>
        <v/>
      </c>
      <c r="BX264" s="72" t="str">
        <f>IF(BY264&lt;&gt;"","Outra Arma Longa C","")</f>
        <v/>
      </c>
      <c r="BY264" s="72" t="str">
        <f>IF(COUNTIF(BK:BW,1712)&gt;0,COUNTIF(BK:BW,1712),"")</f>
        <v/>
      </c>
      <c r="BZ264" s="72" t="str">
        <f>IF(CA264&lt;&gt;"","Outra Arma Longa C","")</f>
        <v/>
      </c>
      <c r="CA264" s="72" t="str">
        <f>IF(COUNTIF(BK:BW,2712)&gt;0,COUNTIF(BK:BW,2712),"")</f>
        <v/>
      </c>
      <c r="CB264" s="72" t="str">
        <f>IF(CC264&lt;&gt;"","Outro Estilo Interno F","")</f>
        <v/>
      </c>
      <c r="CC264" s="64" t="str">
        <f>IF(COUNTIF(BK:BW,11518)&gt;0,COUNTIF(BK:BW,11518),"")</f>
        <v/>
      </c>
      <c r="CD264" s="64" t="str">
        <f>IF(CE264&lt;&gt;"","Outro Estilo Interno F","")</f>
        <v/>
      </c>
      <c r="CE264" s="64" t="str">
        <f>IF(COUNTIF(BK:BW,12518)&gt;0,COUNTIF(BK:BW,12518),"")</f>
        <v/>
      </c>
      <c r="CF264" s="52" t="str">
        <f xml:space="preserve"> IF(Atletas!V260="","",IF(Atletas!V260="Duilian de Mãos AB - Equipe 1",1,IF(Atletas!V260="Duilian de Mãos AB - Equipe 2",2,IF(Atletas!V260="Duilian de Armas AB - Equipe 1",3,IF(Atletas!V260="Duilian de Armas AB - Equipe 2",4,IF(Atletas!V260="Duilian de Tuishou - Equipe 1",5,IF(Atletas!V260="Duilian de Tuishou - Equipe 2",6,IF(Atletas!V260="Grupo Externo AB - Equipe 1",7,IF(Atletas!V260="Grupo Externo AB - Equipe 2",8,IF(Atletas!V260="Grupo Interno AB - Equipe 1",9,IF(Atletas!V260="Grupo Interno AB - Equipe 2",10,IF(Atletas!V260="Duilian de Mãos CD - Equipe 1",11,IF(Atletas!V260="Duilian de Mãos CD - Equipe 2",12,IF(Atletas!V260="Duilian de Armas CD - Equipe 1",13,IF(Atletas!V260="Duilian de Armas CD - Equipe 2",14,IF(Atletas!V260="Duilian de Tuishou - Equipe 1",15,IF(Atletas!V260="Duilian de Tuishou - Equipe 2",16,IF(Atletas!V260="Grupo Externo CDEF - Equipe 1",17,IF(Atletas!V260="Grupo Externo CDEF - Equipe 2",18,IF(Atletas!V260="Grupo Interno CDEF - Equipe 1",19,IF(Atletas!V260="Grupo Interno CDEF - Equipe 2",20,IF(Atletas!V260="Duilian de Mãos EF - Equipe 1",21,IF(Atletas!V260="Duilian de Mãos EF - Equipe 2",22,IF(Atletas!V260="Duilian de Armas EF - Equipe 1",23,IF(Atletas!V260="Duilian de Armas EF - Equipe 2",24,IF(Atletas!V260="Duilian de Tuishou - Equipe 1",25,IF(Atletas!V260="Duilian de Tuishou - Equipe 2",26,"")))))))))))))))))))))))))))</f>
        <v/>
      </c>
    </row>
    <row r="265" spans="2:84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 t="str">
        <f t="array" ref="V265">IFERROR(INDEX(BX$7:BX$336,SMALL(IF(BX$7:BX$336&lt;&gt;"",ROW(BX$7:BX$336)-ROW(BX$7)+1),ROWS(BX$7:BX222))),"")</f>
        <v/>
      </c>
      <c r="W265" s="4" t="str">
        <f t="array" ref="W265">IFERROR(INDEX(BY$7:BY$336,SMALL(IF(BY$7:BY$336&lt;&gt;"",ROW(BY$7:BY$336)-ROW(BY$7)+1),ROWS(BY$7:BY222))),"")</f>
        <v/>
      </c>
      <c r="X265" s="4" t="str">
        <f t="array" ref="X265">IFERROR(INDEX(BZ$7:BZ$336,SMALL(IF(BZ$7:BZ$336&lt;&gt;"",ROW(BZ$7:BZ$336)-ROW(BZ$7)+1),ROWS(BZ$7:BZ222))),"")</f>
        <v/>
      </c>
      <c r="Y265" s="4" t="str">
        <f t="array" ref="Y265">IFERROR(INDEX(CA$7:CA$336,SMALL(IF(CA$7:CA$336&lt;&gt;"",ROW(CA$7:CA$336)-ROW(CA$7)+1),ROWS(CA$7:CA222))),"")</f>
        <v/>
      </c>
      <c r="Z265" s="4" t="str">
        <f t="array" ref="Z265">IFERROR(INDEX(CB$7:CB$378,SMALL(IF(CB$7:CB$378&lt;&gt;"",ROW(CB$7:CB$378)-ROW(CB$7)+1),ROWS(CB$7:CB264))),"")</f>
        <v/>
      </c>
      <c r="AA265" s="4" t="str">
        <f t="array" ref="AA265">IFERROR(INDEX(CC$7:CC$378,SMALL(IF(CC$7:CC$378&lt;&gt;"",ROW(CC$7:CC$378)-ROW(CC$7)+1),ROWS(CC$7:CC264))),"")</f>
        <v/>
      </c>
      <c r="AB265" s="4" t="str">
        <f t="array" ref="AB265">IFERROR(INDEX(CD$7:CD$378,SMALL(IF(CD$7:CD$378&lt;&gt;"",ROW(CD$7:CD$378)-ROW(CD$7)+1),ROWS(CD$7:CD264))),"")</f>
        <v/>
      </c>
      <c r="AC265" s="4" t="str">
        <f t="array" ref="AC265">IFERROR(INDEX(CE$7:CE$378,SMALL(IF(CE$7:CE$378&lt;&gt;"",ROW(CE$7:CE$378)-ROW(CE$7)+1),ROWS(CE$7:CE264))),"")</f>
        <v/>
      </c>
      <c r="AD265" s="4"/>
      <c r="AE265" s="4"/>
      <c r="AF265" s="4"/>
      <c r="AG265" s="4"/>
      <c r="AH265" s="4"/>
      <c r="AI265" s="4"/>
      <c r="AJ265" s="46" t="str">
        <f>IF(Atletas!D261="","",IF(Atletas!B261="Feminino",100,IF(Atletas!B261="Masculino",200,""))+(IF(Atletas!D261="Infantil 39kg",1,IF(Atletas!D261="Infantil 42kg",2,IF(Atletas!D261="Infantil 45kg",3,IF(Atletas!D261="Infantil 48kg",4,IF(Atletas!D261="Infantil 52kg",5,IF(Atletas!D261="Infantil 56kg",6,IF(Atletas!D261="Infantil 60kg",7,IF(Atletas!D261="Juvenil 48kg",8,IF(Atletas!D261="Juvenil 52kg",9,IF(Atletas!D261="Juvenil 56kg",10,IF(Atletas!D261="Juvenil 60kg",11,IF(Atletas!D261="Juvenil 65kg",12,IF(Atletas!D261="Juvenil 70kg",13,IF(Atletas!D261="Juvenil 75kg",14,IF(Atletas!D261="Juvenil 80kg",15,IF(Atletas!D261="Adulto 48kg",16,IF(Atletas!D261="Adulto 52kg",17,IF(Atletas!D261="Adulto 56kg",18,IF(Atletas!D261="Adulto 60kg",19,IF(Atletas!D261="Adulto 65kg",20,IF(Atletas!D261="Adulto 70kg",21,IF(Atletas!D261="Adulto 75kg",22,IF(Atletas!D261="Adulto 80kg",23,IF(Atletas!D261="Adulto 85kg",24,IF(Atletas!D261="Adulto 90kg",25,IF(Atletas!D261="Adulto +90kg",26,""))))))))))))))))))))))))))))</f>
        <v/>
      </c>
      <c r="AO265" s="10" t="str">
        <f>IF(Atletas!E261="","",IF(Atletas!B261="Feminino",100,IF(Atletas!B261="Masculino",200,""))+(IF(Atletas!E261="Juvenil 44kg",1,IF(Atletas!E261="Juvenil 48kg",2,IF(Atletas!E261="Juvenil 52kg",3,IF(Atletas!E261="Juvenil 56kg",4,IF(Atletas!E261="Juvenil 60kg",5,IF(Atletas!E261="Juvenil 65kg",6,IF(Atletas!E261="Juvenil 70kg",7,IF(Atletas!E261="Juvenil 75kg",8,IF(Atletas!E261="Juvenil 82kg",9,IF(Atletas!E261="Juvenil 90kg",10,IF(Atletas!E261="Juvenil 100kg",11,IF(Atletas!E261="Adulto 48kg",12,IF(Atletas!E261="Adulto 52kg",13,IF(Atletas!E261="Adulto 56kg",14,IF(Atletas!E261="Adulto 60kg",15,IF(Atletas!E261="Adulto 65kg",16,IF(Atletas!E261="Adulto 70kg",17,IF(Atletas!E261="Adulto 75kg",18,IF(Atletas!E261="Adulto 82kg",19,IF(Atletas!E261="Adulto 90kg",20,IF(Atletas!E261="Adulto 100kg",21,IF(Atletas!E261="Adulto +100kg",22,""))))))))))))))))))))))))</f>
        <v/>
      </c>
      <c r="AT265" s="10" t="str">
        <f>IF(Atletas!F261="","",IF(Atletas!B261="Feminino",100,IF(Atletas!B261="Masculino",200,""))+(IF(Atletas!F261="Adulto 48kg",1,IF(Atletas!F261="Adulto 56kg",2,IF(Atletas!F261="Adulto 65kg",3,IF(Atletas!F261="Adulto 75kg",4,IF(Atletas!F261="Adulto +75kg",5,IF(Atletas!F261="Adulto 52kg",6,IF(Atletas!F261="Adulto 60kg",7,IF(Atletas!F261="Adulto 70kg",8,IF(Atletas!F261="Adulto 80kg",9,IF(Atletas!F261="Adulto 90kg",10,IF(Atletas!F261="Adulto +90kg",11,"")))))))))))))</f>
        <v/>
      </c>
      <c r="AY265" s="46" t="str">
        <f>IF(Atletas!G261="","",IF(Atletas!B261="Feminino",100,IF(Atletas!B261="Masculino",200,""))+(IF(Atletas!G261="Changquan Mirim",1,IF(Atletas!G261="Nanquan Mirim",2,IF(Atletas!G261="Taijiquan Mirim",3,IF(Atletas!G261="Changquan Grupo C",4,IF(Atletas!G261="Nanquan Grupo C",5,IF(Atletas!G261="Taijiquan Grupo C",6,IF(Atletas!G261="Changquan Grupo B",7,IF(Atletas!G261="Nanquan Grupo B",8,IF(Atletas!G261="Taijiquan Grupo B",9,IF(Atletas!G261="Changquan Grupo A",10,IF(Atletas!G261="Nanquan Grupo A",11,IF(Atletas!G261="Taijiquan Grupo A",12,IF(Atletas!G261="Changquan Opcional",13,IF(Atletas!G261="Nanquan Opcional",14,IF(Atletas!G261="Taijiquan Opcional",15,IF(Atletas!G261="Changquan Adulto",16,IF(Atletas!G261="Nanquan Adulto",17,IF(Atletas!G261="Taijiquan Adulto",18,""))))))))))))))))))))</f>
        <v/>
      </c>
      <c r="AZ265" s="46" t="str">
        <f>IF(Atletas!H261="","",IF(Atletas!B261="Feminino",100,IF(Atletas!B261="Masculino",200,""))+(IF(Atletas!H261="Daoshu Mirim",19,IF(Atletas!H261="Jianshu Mirim",20,IF(Atletas!H261="Nandao Mirim",21,IF(Atletas!H261="Taijijian Mirim",22,IF(Atletas!H261="Daoshu Grupo C",23,IF(Atletas!H261="Jianshu Grupo C",24,IF(Atletas!H261="Nandao Grupo C",25,IF(Atletas!H261="Taijijian Grupo C",26,IF(Atletas!H261="Daoshu Grupo B",27,IF(Atletas!H261="Jianshu Grupo B",28,IF(Atletas!H261="Nandao Grupo B",29,IF(Atletas!H261="Taijijian Grupo B",30,IF(Atletas!H261="Daoshu Grupo A",31,IF(Atletas!H261="Jianshu Grupo A",32,IF(Atletas!H261="Nandao Grupo A",33,IF(Atletas!H261="Taijijian Grupo A",34,IF(Atletas!H261="Daoshu Opcional",35,IF(Atletas!H261="Jianshu Opcional",36,IF(Atletas!H261="Nandao Opcional",37,IF(Atletas!H261="Taijijian Opcional",38,IF(Atletas!H261="Daoshu Adulto",39,IF(Atletas!H261="Jianshu Adulto",40,IF(Atletas!H261="Nandao Adulto",41,IF(Atletas!H261="Taijijian Adulto",42,""))))))))))))))))))))))))))</f>
        <v/>
      </c>
      <c r="BA265" s="46" t="str">
        <f>IF(Atletas!I261="","",IF(Atletas!B261="Feminino",100,IF(Atletas!B261="Masculino",200,""))+(IF(Atletas!I261="Gunshu Mirim",43,IF(Atletas!I261="Qiangshu Mirim",44,IF(Atletas!I261="Nangun Mirim",45,IF(Atletas!I261="Gunshu Grupo C",46,IF(Atletas!I261="Qiangshu Grupo C",47,IF(Atletas!I261="Nangun Grupo C",48,IF(Atletas!I261="Gunshu Grupo B",49,IF(Atletas!I261="Qiangshu Grupo B",50,IF(Atletas!I261="Nangun Grupo B",51,IF(Atletas!I261="Gunshu Grupo A",52,IF(Atletas!I261="Qiangshu Grupo A",53,IF(Atletas!I261="Nangun Grupo A",54,IF(Atletas!I261="Gunshu Opcional",55,IF(Atletas!I261="Qiangshu Opcional",56,IF(Atletas!I261="Nangun Opcional",57,IF(Atletas!I261="Gunshu Adulto",58,IF(Atletas!I261="Qiangshu Adulto",59,IF(Atletas!I261="Nangun Adulto",60,""))))))))))))))))))))</f>
        <v/>
      </c>
      <c r="BF265" s="52" t="str">
        <f>IF(Atletas!J261="","",IF(Atletas!B261="Feminino",100,IF(Atletas!B261="Masculino",200,""))+(IF(Atletas!J261="Equipe 1 Grupo B",1,IF(Atletas!J261="Equipe 2 Grupo B",2,IF(Atletas!J261="Equipe 1 Grupo A",3,IF(Atletas!J261="Equipe 2 Grupo A",4,IF(Atletas!J261="Equipe 1 Adulto",5,IF(Atletas!J261="Equipe 2 Adulto",6,""))))))))</f>
        <v/>
      </c>
      <c r="BK265" s="52" t="str">
        <f>IF(Atletas!K261="","",IF(Atletas!W261&lt;&gt;"",10000,0)+(IF(Atletas!B261="Feminino",1000,IF(Atletas!B261="Masculino",2000,""))+IF(Atletas!K261="Choylayfut A",1,IF(Atletas!K261="Hunggar A",2,IF(Atletas!K261="Wuzuquan A",3,IF(Atletas!K261="Wingchun A",4,IF(Atletas!K261="Outra Mão de Sul A",5,IF(Atletas!K261="Choylayfut B",6,IF(Atletas!K261="Hunggar B",7,IF(Atletas!K261="Wuzuquan B",8,IF(Atletas!K261="Wingchun B",9,IF(Atletas!K261="Outra Mão de Sul B",10,IF(Atletas!K261="Choylayfut C",11,IF(Atletas!K261="Hunggar C",12,IF(Atletas!K261="Wuzuquan C",13,IF(Atletas!K261="Wingchun C",14,IF(Atletas!K261="Outra Mão de Sul C",15,IF(Atletas!K261="Choylayfut D",16,IF(Atletas!K261="Hunggar D",17,IF(Atletas!K261="Wuzuquan D",18,IF(Atletas!K261="Wingchun D",19,IF(Atletas!K261="Outra Mão de Sul D",20,IF(Atletas!K261="Choylayfut E",21,IF(Atletas!K261="Hunggar E",22,IF(Atletas!K261="Wuzuquan E",23,IF(Atletas!K261="Wingchun E",24,IF(Atletas!K261="Outra Mão de Sul E",25,IF(Atletas!K261="Choylayfut F",26,IF(Atletas!K261="Hunggar F",27,IF(Atletas!K261="Wuzuquan F",28,IF(Atletas!K261="Wingchun F",29,IF(Atletas!K261="Outra Mão de Sul F",30,""))))))))))))))))))))))))))))))))</f>
        <v/>
      </c>
      <c r="BL265" s="52" t="str">
        <f>IF(Atletas!L261="","",IF(Atletas!W261&lt;&gt;"",10000,0)+(IF(Atletas!B261="Feminino",1000,IF(Atletas!B261="Masculino",2000,""))+(IF(Atletas!L261="Chaquan A",101,IF(Atletas!L261="Emeiquan A",102,IF(Atletas!L261="Fanziquan A",103,IF(Atletas!L261="Huaquan A",104,IF(Atletas!L261="Hongquan A",105,IF(Atletas!L261="Paochui A",106,IF(Atletas!L261="Piguaquan A",107,IF(Atletas!L261="Shaolinquan A",108,IF(Atletas!L261="Tanglangquan A",109,IF(Atletas!L261="Yinzhaophai A",110,IF(Atletas!L261="Tongbeiquan A",111,IF(Atletas!L261="Wudangquan A",112,IF(Atletas!L261="Outros Estilos A",113,IF(Atletas!L261="Chaquan B",114,IF(Atletas!L261="Emeiquan B",115,IF(Atletas!L261="Fanziquan B",116,IF(Atletas!L261="Huaquan B",117,IF(Atletas!L261="Hongquan B",118,IF(Atletas!L261="Paochui B",119,IF(Atletas!L261="Piguaquan B",120,IF(Atletas!L261="Shaolinquan B",121,IF(Atletas!L261="Tanglangquan B",122,IF(Atletas!L261="Yinzhaophai B",123,IF(Atletas!L261="Tongbeiquan B",124,IF(Atletas!L261="Wudangquan B",125,IF(Atletas!L261="Outros Estilos B",126,IF(Atletas!L261="Chaquan C",127,IF(Atletas!L261="Emeiquan C",128,IF(Atletas!L261="Fanziquan C",129,IF(Atletas!L261="Huaquan C",130,IF(Atletas!L261="Hongquan C",131,IF(Atletas!L261="Paochui C",132,IF(Atletas!L261="Piguaquan C",133,IF(Atletas!L261="Shaolinquan C",134,IF(Atletas!L261="Tanglangquan C",135,IF(Atletas!L261="Yinzhaophai C",136,IF(Atletas!L261="Tongbeiquan C",137,IF(Atletas!L261="Wudangquan C",138,IF(Atletas!L261="Outros Estilos C",139,0))))))))))))))))))))))))))))))))))))))))))</f>
        <v/>
      </c>
      <c r="BM265" s="52" t="str">
        <f>IF(Atletas!L261="","",IF(Atletas!W261&lt;&gt;"",10000,0)+(IF(Atletas!B261="Feminino",1000,IF(Atletas!B261="Masculino",2000,""))+(IF(Atletas!L261="Chaquan D",140,IF(Atletas!L261="Emeiquan D",141,IF(Atletas!L261="Fanziquan D",142,IF(Atletas!L261="Huaquan D",143,IF(Atletas!L261="Hongquan D",144,IF(Atletas!L261="Paochui D",145,IF(Atletas!L261="Piguaquan D",146,IF(Atletas!L261="Shaolinquan D",147,IF(Atletas!L261="Tanglangquan D",148,IF(Atletas!L261="Yinzhaophai D",149,IF(Atletas!L261="Tongbeiquan D",150,IF(Atletas!L261="Wudangquan D",151,IF(Atletas!L261="Outros Estilos D",152,IF(Atletas!L261="Chaquan E",153,IF(Atletas!L261="Emeiquan E",154,IF(Atletas!L261="Fanziquan E",155,IF(Atletas!L261="Huaquan E",156,IF(Atletas!L261="Hongquan E",157,IF(Atletas!L261="Paochui E",158,IF(Atletas!L261="Piguaquan E",159,IF(Atletas!L261="Shaolinquan E",160,IF(Atletas!L261="Tanglangquan E",161,IF(Atletas!L261="Yinzhaophai E",162,IF(Atletas!L261="Tongbeiquan E",163,IF(Atletas!L261="Wudangquan E",164,IF(Atletas!L261="Outros Estilos E",165,IF(Atletas!L261="Chaquan F",166,IF(Atletas!L261="Emeiquan F",167,IF(Atletas!L261="Fanziquan F",168,IF(Atletas!L261="Huaquan F",169,IF(Atletas!L261="Hongquan F",170,IF(Atletas!L261="Paochui F",171,IF(Atletas!L261="Piguaquan F",172,IF(Atletas!L261="Shaolinquan F",173,IF(Atletas!L261="Tanglangquan F",174,IF(Atletas!L261="Yinzhaophai F",175,IF(Atletas!L261="Tongbeiquan F",176,IF(Atletas!L261="Wudangquan F",177,IF(Atletas!L261="Outros Estilos F",178,0))))))))))))))))))))))))))))))))))))))))))</f>
        <v/>
      </c>
      <c r="BN265" s="52" t="str">
        <f>IF(Atletas!M261="","",IF(Atletas!W261&lt;&gt;"",10000,0)+(IF(Atletas!B261="Feminino",1000,IF(Atletas!B261="Masculino",2000,""))+(IF(Atletas!M261="Ditangquan A",201,IF(Atletas!M261="Houquan A",202,IF(Atletas!M261="Zuiquan A",203,IF(Atletas!M261="Ditangquan B",204,IF(Atletas!M261="Houquan B",205,IF(Atletas!M261="Zuiquan B",206,IF(Atletas!M261="Ditangquan C",207,IF(Atletas!M261="Houquan C",208,IF(Atletas!M261="Zuiquan C",209,IF(Atletas!M261="Ditangquan D",210,IF(Atletas!M261="Houquan D",211,IF(Atletas!M261="Zuiquan D",212,IF(Atletas!M261="Ditangquan E",213,IF(Atletas!M261="Houquan E",214,IF(Atletas!M261="Zuiquan E",215,IF(Atletas!M261="Ditangquan F",216,IF(Atletas!M261="Houquan F",217,IF(Atletas!M261="Zuiquan F",218,"")))))))))))))))))))))</f>
        <v/>
      </c>
      <c r="BO265" s="52" t="str">
        <f>IF(Atletas!N261="","",IF(Atletas!W261&lt;&gt;"",10000,0)+IF(Atletas!B261="Feminino",1000,IF(Atletas!B261="Masculino",2000,""))+IF(Atletas!N261="Yang A",301,IF(Atletas!N261="Chen A",30,IF(Atletas!N261="Sun A",303,IF(Atletas!N261="Wu A",304,IF(Atletas!N261="Wu-Hao A",305,IF(Atletas!N261="Outro Taijiquan A",306,IF(Atletas!N261="Yang B",307,IF(Atletas!N261="Chen B",308,IF(Atletas!N261="Sun B",309,IF(Atletas!N261="Wu B",310,IF(Atletas!N261="Wu-Hao B",311,IF(Atletas!N261="Outro Taijiquan B",312,IF(Atletas!N261="Yang C",313,IF(Atletas!N261="Chen C",314,IF(Atletas!N261="Sun C",315,IF(Atletas!N261="Wu C",316,IF(Atletas!N261="Wu-Hao C",317,IF(Atletas!N261="Outro Taijiquan C",318,IF(Atletas!N261="Yang D",319,IF(Atletas!N261="Chen D",320,IF(Atletas!N261="Sun D",321,IF(Atletas!N261="Wu D",322,IF(Atletas!N261="Wu-Hao D",323,IF(Atletas!N261="Outro Taijiquan D",324,IF(Atletas!N261="Yang E",325,IF(Atletas!N261="Chen E",326,IF(Atletas!N261="Sun E",327,IF(Atletas!N261="Wu E",328,IF(Atletas!N261="Wu-Hao E",329,IF(Atletas!N261="Outro Taijiquan E",330,IF(Atletas!N261="Yang F",331,IF(Atletas!N261="Chen F",332,IF(Atletas!N261="Sun F",333,IF(Atletas!N261="Wu F",334,IF(Atletas!N261="Wu-Hao F",335,IF(Atletas!N261="Outro Taijiquan F",336,"")))))))))))))))))))))))))))))))))))))</f>
        <v/>
      </c>
      <c r="BP265" s="52" t="str">
        <f>IF(Atletas!O261="","",IF(Atletas!W261&lt;&gt;"",10000,0)+IF(Atletas!B261="Feminino",1000,IF(Atletas!B261="Masculino",2000,""))+IF(OR(Atletas!O261="Yang 26 A",Atletas!O261="Yang 40 A"),401,IF(OR(Atletas!O261="Chen 25 A",Atletas!O261="Chen 36 A",Atletas!O261="Chen 56 A"),402,IF(Atletas!O261="Sun 73 A",403,IF(Atletas!O261="Wu 45 A",404,IF(Atletas!O261="Wu-Hao 46 A",405,IF(OR(Atletas!O261="Taijiquan 16 A",Atletas!O261="Taijiquan 24 A",Atletas!O261="Taijiquan 32 A",Atletas!O261="Taijiquan 42 A"),406,IF(OR(Atletas!O261="Yang 26 B",Atletas!O261="Yang 40 B"),407,IF(OR(Atletas!O261="Chen 25 B",Atletas!O261="Chen 36 B",Atletas!O261="Chen 56 B"),408,IF(Atletas!O261="Sun 73 B",409,IF(Atletas!O261="Wu 45 B",410,IF(Atletas!O261="Wu-Hao 46 B",411,IF(OR(Atletas!O261="Taijiquan 16 B",Atletas!O261="Taijiquan 24 B",Atletas!O261="Taijiquan 32 B",Atletas!O261="Taijiquan 42 B"),412,IF(OR(Atletas!O261="Yang 26 C",Atletas!O261="Yang 40 C"),413,IF(OR(Atletas!O261="Chen 25 C",Atletas!O261="Chen 36 C",Atletas!O261="Chen 56 C"),414,IF(Atletas!O261="Sun 73 C",415,IF(Atletas!O261="Wu 45 C",416,IF(Atletas!O261="Wu-Hao 46 C",417,IF(OR(Atletas!O261="Taijiquan 16 C",Atletas!O261="Taijiquan 24 C",Atletas!O261="Taijiquan 32 C",Atletas!O261="Taijiquan 42 C"),418,0)))))))))))))))))))</f>
        <v/>
      </c>
      <c r="BQ265" s="52" t="str">
        <f>IF(Atletas!O261="","",IF(Atletas!W261&lt;&gt;"",10000,0)+IF(Atletas!B261="Feminino",1000,IF(Atletas!B261="Masculino",2000,""))+IF(OR(Atletas!O261="Yang 26 D",Atletas!O261="Yang 40 D"),419,IF(OR(Atletas!O261="Chen 25 D",Atletas!O261="Chen 36 D",Atletas!O261="Chen 56 D"),420,IF(Atletas!O261="Sun 73 D",421,IF(Atletas!O261="Wu 45 D",422,IF(Atletas!O261="Wu-Hao 46 D",423,IF(OR(Atletas!O261="Taijiquan 16 D",Atletas!O261="Taijiquan 24 D",Atletas!O261="Taijiquan 32 D",Atletas!O261="Taijiquan 42 D"),424,IF(OR(Atletas!O261="Yang 26 E",Atletas!O261="Yang 40 E"),425,IF(OR(Atletas!O261="Chen 25 E",Atletas!O261="Chen 36 E",Atletas!O261="Chen 56 E"),426,IF(Atletas!O261="Sun 73 E",427,IF(Atletas!O261="Wu 45 E",428,IF(Atletas!O261="Wu-Hao 46 E",429,IF(OR(Atletas!O261="Taijiquan 16 E",Atletas!O261="Taijiquan 24 E",Atletas!O261="Taijiquan 32 E",Atletas!O261="Taijiquan 42 E"),430,IF(OR(Atletas!O261="Yang 26 F",Atletas!O261="Yang 40 F"),431,IF(OR(Atletas!O261="Chen 25 F",Atletas!O261="Chen 36 F",Atletas!O261="Chen 56 F"),432,IF(Atletas!O261="Sun 73 F",433,IF(Atletas!O261="Wu 45 F",434,IF(Atletas!O261="Wu-Hao 46 F",435,IF(OR(Atletas!O261="Taijiquan 16 F",Atletas!O261="Taijiquan 24 F",Atletas!O261="Taijiquan 32 F",Atletas!O261="Taijiquan 42 F"),436,0)))))))))))))))))))</f>
        <v/>
      </c>
      <c r="BR265" s="52" t="str">
        <f>IF(Atletas!P261="","",IF(Atletas!W261&lt;&gt;"",10000,0)+IF(Atletas!B261="Feminino",1000,IF(Atletas!B261="Masculino",2000,""))+IF(Atletas!P261="Xingyiquan A",501,IF(Atletas!P261="Baguazhang A",502,IF(Atletas!P261="Outro Estilo Interno A",503,IF(Atletas!P261="Xingyiquan B",504,IF(Atletas!P261="Baguazhang B",505,IF(Atletas!P261="Outro Estilo Interno B",506,IF(Atletas!P261="Xingyiquan C",507,IF(Atletas!P261="Baguazhang C",508,IF(Atletas!P261="Outro Estilo Interno C",509,IF(Atletas!P261="Xingyiquan D",510,IF(Atletas!P261="Baguazhang D",511,IF(Atletas!P261="Outro Estilo Interno D",512,IF(Atletas!P261="Xingyiquan E",513,IF(Atletas!P261="Baguazhang E",514,IF(Atletas!P261="Outro Estilo Interno E",515,IF(Atletas!P261="Xingyiquan F",516,IF(Atletas!P261="Baguazhang F",517,IF(Atletas!P261="Outro Estilo Interno F",518, "")))))))))))))))))))</f>
        <v/>
      </c>
      <c r="BS265" s="52" t="str">
        <f>IF(Atletas!Q261="","",IF(Atletas!W261&lt;&gt;"",10000,0)+IF(Atletas!B261="Feminino",1000,IF(Atletas!B261="Masculino",2000,""))+IF(Atletas!Q261="Dao A",601,IF(Atletas!Q261="Jian A",602,IF(Atletas!Q261="Bishou A",603,IF(Atletas!Q261="Shan A",604,IF(Atletas!Q261="Outra Arma Curta A",605,IF(Atletas!Q261="Dao B",606,IF(Atletas!Q261="Jian B",607,IF(Atletas!Q261="Bishou B",608,IF(Atletas!Q261="Shan B",609,IF(Atletas!Q261="Outra Arma Curta B",610,IF(Atletas!Q261="Dao C",611,IF(Atletas!Q261="Jian C",612,IF(Atletas!Q261="Bishou C",613,IF(Atletas!Q261="Shan C",614,IF(Atletas!Q261="Outra Arma Curta C",615,IF(Atletas!Q261="Dao D",616,IF(Atletas!Q261="Jian D",617,IF(Atletas!Q261="Bishou D",618,IF(Atletas!Q261="Shan D",619,IF(Atletas!Q261="Outra Arma Curta D",620,IF(Atletas!Q261="Dao E",621,IF(Atletas!Q261="Jian E",622,IF(Atletas!Q261="Bishou E",623,IF(Atletas!Q261="Shan E",624,IF(Atletas!Q261="Outra Arma Curta E",625,IF(Atletas!Q261="Dao F",626,IF(Atletas!Q261="Jian F",627,IF(Atletas!Q261="Bishou F",628,IF(Atletas!Q261="Shan F",629,IF(Atletas!Q261="Outra Arma Curta F",630, "")))))))))))))))))))))))))))))))</f>
        <v/>
      </c>
      <c r="BT265" s="52" t="str">
        <f>IF(Atletas!R261="","",IF(Atletas!W261&lt;&gt;"",10000,0)+IF(Atletas!B261="Feminino",1000,IF(Atletas!B261="Masculino",2000,""))+IF(Atletas!R261="Gun A",701,IF(Atletas!R261="Qiang A",702,IF(Atletas!R261="Pudao / Guandao A",703,IF(Atletas!R261="Outra Arma Longa A",704,IF(Atletas!R261="Gun B",705,IF(Atletas!R261="Qiang B",706,IF(Atletas!R261="Pudao / Guandao B",707,IF(Atletas!R261="Outra Arma Longa B",708,IF(Atletas!R261="Gun C",709,IF(Atletas!R261="Qiang C",710,IF(Atletas!R261="Pudao / Guandao C",711,IF(Atletas!R261="Outra Arma Longa C",712,IF(Atletas!R261="Gun D",713,IF(Atletas!R261="Qiang D",714,IF(Atletas!R261="Pudao / Guandao D",715,IF(Atletas!R261="Outra Arma Longa D",716,IF(Atletas!R261="Gun E",717,IF(Atletas!R261="Qiang E",718,IF(Atletas!R261="Pudao / Guandao E",719,IF(Atletas!R261="Outra Arma Longa E",720,IF(Atletas!R261="Gun F",721,IF(Atletas!R261="Qiang F",722,IF(Atletas!R261="Pudao / Guandao F",723,IF(Atletas!R261="Outra Arma Longa F",724,"")))))))))))))))))))))))))</f>
        <v/>
      </c>
      <c r="BU265" s="52" t="str">
        <f>IF(Atletas!S261="","",IF(Atletas!W261&lt;&gt;"",10000,0)+IF(Atletas!B261="Feminino",1000,IF(Atletas!B261="Masculino",2000,""))+IF(Atletas!S261="Arma Dupla A",801,IF(Atletas!S261="Arma Maleável A",802,IF(Atletas!S261="Arma Dupla B",803,IF(Atletas!S261="Arma Maleável B",804,IF(Atletas!S261="Arma Dupla C",805,IF(Atletas!S261="Arma Maleável C",806,IF(Atletas!S261="Arma Dupla D",807,IF(Atletas!S261="Arma Maleável D",808,IF(Atletas!S261="Arma Dupla E",809,IF(Atletas!S261="Arma Maleável E",810,IF(Atletas!S261="Arma Dupla F",811,IF(Atletas!S261="Arma Maleável F",812, "")))))))))))))</f>
        <v/>
      </c>
      <c r="BV265" s="52" t="str">
        <f>IF(Atletas!T261="","",IF(Atletas!W261&lt;&gt;"",10000,0)+IF(Atletas!B261="Feminino",1000,IF(Atletas!B261="Masculino",2000,""))+IF(Atletas!T261="Taijijian Yang A",901,IF(Atletas!T261="Taijijian Chen A",902,IF(Atletas!T261="Taijijian Sun A",903,IF(Atletas!T261="Taijijian Wu A",904,IF(Atletas!T261="Taijijian Wu-Hao A",905,IF(Atletas!T261="Taijijian 32 A",906,IF(Atletas!T261="Taijijian 42 A",907,IF(Atletas!T261="Taijijian Yang B",908,IF(Atletas!T261="Taijijian Chen B",909,IF(Atletas!T261="Taijijian Sun B",910,IF(Atletas!T261="Taijijian Wu B",911,IF(Atletas!T261="Taijijian Wu-Hao B",912,IF(Atletas!T261="Taijijian 32 B",913,IF(Atletas!T261="Taijijian 42 B",914,IF(Atletas!T261="Taijijian Yang C",915,IF(Atletas!T261="Taijijian Chen C",916,IF(Atletas!T261="Taijijian Sun C",917,IF(Atletas!T261="Taijijian Wu C",918,IF(Atletas!T261="Taijijian Wu-Hao C",919,IF(Atletas!T261="Taijijian 32 C",920,IF(Atletas!T261="Taijijian 42 C",921,IF(Atletas!T261="Taijijian Yang D",922,IF(Atletas!T261="Taijijian Chen D",923,IF(Atletas!T261="Taijijian Sun D",924,IF(Atletas!T261="Taijijian Wu D",925,IF(Atletas!T261="Taijijian Wu-Hao D",926,IF(Atletas!T261="Taijijian 32 D",927,IF(Atletas!T261="Taijijian 42 D",928,IF(Atletas!T261="Taijijian Yang E",929,IF(Atletas!T261="Taijijian Chen E",930,IF(Atletas!T261="Taijijian Sun E",931,IF(Atletas!T261="Taijijian Wu E",932,IF(Atletas!T261="Taijijian Wu-Hao E",933,IF(Atletas!T261="Taijijian 32 E",934,IF(Atletas!T261="Taijijian 42 E",935,IF(Atletas!T261="Taijijian Yang F",936,IF(Atletas!T261="Taijijian Chen F",937,IF(Atletas!T261="Taijijian Sun F",938,IF(Atletas!T261="Taijijian Wu F",939,IF(Atletas!T261="Taijijian Wu-Hao F",940,IF(Atletas!T261="Taijijian 32 F",941,IF(Atletas!T261="Taijijian 42 F",942,"")))))))))))))))))))))))))))))))))))))))))))</f>
        <v/>
      </c>
      <c r="BW265" s="52" t="str">
        <f>IF(Atletas!U261="","",IF(Atletas!W261&lt;&gt;"",10000,0)+IF(Atletas!B261="Feminino",1000,IF(Atletas!B261="Masculino",2000,""))+IF(Atletas!T261="Taijijian 42 F",942,IF(Atletas!U261="Taijidao A",943,IF(Atletas!U261="Taijishan A",944,IF(Atletas!U261="Taijiqiang A",945,IF(Atletas!U261="Taijidao B",946,IF(Atletas!U261="Taijishan B",947,IF(Atletas!U261="Taijiqiang B",948,IF(Atletas!U261="Taijidao C",949,IF(Atletas!U261="Taijishan C",950,IF(Atletas!U261="Taijiqiang C",951,IF(Atletas!U261="Taijidao D",952,IF(Atletas!U261="Taijishan D",953,IF(Atletas!U261="Taijiqiang D",954,IF(Atletas!U261="Taijidao E",955,IF(Atletas!U261="Taijishan E",956,IF(Atletas!U261="Taijiqiang E",957,IF(Atletas!U261="Taijidao F",958,IF(Atletas!U261="Taijishan F",959,IF(Atletas!U261="Taijiqiang F",960))))))))))))))))))))</f>
        <v/>
      </c>
      <c r="BX265" s="72" t="str">
        <f>IF(BY265&lt;&gt;"","Gun D","")</f>
        <v/>
      </c>
      <c r="BY265" s="72" t="str">
        <f>IF(COUNTIF(BK:BW,1713)&gt;0,COUNTIF(BK:BW,1713),"")</f>
        <v/>
      </c>
      <c r="BZ265" s="72" t="str">
        <f>IF(CA265&lt;&gt;"","Gun D","")</f>
        <v/>
      </c>
      <c r="CA265" s="72" t="str">
        <f>IF(COUNTIF(BK:BW,2713)&gt;0,COUNTIF(BK:BW,2713),"")</f>
        <v/>
      </c>
      <c r="CB265" s="72" t="str">
        <f>IF(CC265&lt;&gt;"","Xingyiquan A","")</f>
        <v/>
      </c>
      <c r="CC265" s="64" t="str">
        <f>IF(COUNTIF(BK:BW,11501)&gt;0,COUNTIF(BK:BW,11501),"")</f>
        <v/>
      </c>
      <c r="CD265" s="64" t="str">
        <f>IF(CE265&lt;&gt;"","Xingyiquan A","")</f>
        <v/>
      </c>
      <c r="CE265" s="64" t="str">
        <f>IF(COUNTIF(BK:BW,12501)&gt;0,COUNTIF(BK:BW,12501),"")</f>
        <v/>
      </c>
      <c r="CF265" s="52" t="str">
        <f xml:space="preserve"> IF(Atletas!V261="","",IF(Atletas!V261="Duilian de Mãos AB - Equipe 1",1,IF(Atletas!V261="Duilian de Mãos AB - Equipe 2",2,IF(Atletas!V261="Duilian de Armas AB - Equipe 1",3,IF(Atletas!V261="Duilian de Armas AB - Equipe 2",4,IF(Atletas!V261="Duilian de Tuishou - Equipe 1",5,IF(Atletas!V261="Duilian de Tuishou - Equipe 2",6,IF(Atletas!V261="Grupo Externo AB - Equipe 1",7,IF(Atletas!V261="Grupo Externo AB - Equipe 2",8,IF(Atletas!V261="Grupo Interno AB - Equipe 1",9,IF(Atletas!V261="Grupo Interno AB - Equipe 2",10,IF(Atletas!V261="Duilian de Mãos CD - Equipe 1",11,IF(Atletas!V261="Duilian de Mãos CD - Equipe 2",12,IF(Atletas!V261="Duilian de Armas CD - Equipe 1",13,IF(Atletas!V261="Duilian de Armas CD - Equipe 2",14,IF(Atletas!V261="Duilian de Tuishou - Equipe 1",15,IF(Atletas!V261="Duilian de Tuishou - Equipe 2",16,IF(Atletas!V261="Grupo Externo CDEF - Equipe 1",17,IF(Atletas!V261="Grupo Externo CDEF - Equipe 2",18,IF(Atletas!V261="Grupo Interno CDEF - Equipe 1",19,IF(Atletas!V261="Grupo Interno CDEF - Equipe 2",20,IF(Atletas!V261="Duilian de Mãos EF - Equipe 1",21,IF(Atletas!V261="Duilian de Mãos EF - Equipe 2",22,IF(Atletas!V261="Duilian de Armas EF - Equipe 1",23,IF(Atletas!V261="Duilian de Armas EF - Equipe 2",24,IF(Atletas!V261="Duilian de Tuishou - Equipe 1",25,IF(Atletas!V261="Duilian de Tuishou - Equipe 2",26,"")))))))))))))))))))))))))))</f>
        <v/>
      </c>
    </row>
    <row r="266" spans="2:84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 t="str">
        <f t="array" ref="V266">IFERROR(INDEX(BX$7:BX$336,SMALL(IF(BX$7:BX$336&lt;&gt;"",ROW(BX$7:BX$336)-ROW(BX$7)+1),ROWS(BX$7:BX223))),"")</f>
        <v/>
      </c>
      <c r="W266" s="4" t="str">
        <f t="array" ref="W266">IFERROR(INDEX(BY$7:BY$336,SMALL(IF(BY$7:BY$336&lt;&gt;"",ROW(BY$7:BY$336)-ROW(BY$7)+1),ROWS(BY$7:BY223))),"")</f>
        <v/>
      </c>
      <c r="X266" s="4" t="str">
        <f t="array" ref="X266">IFERROR(INDEX(BZ$7:BZ$336,SMALL(IF(BZ$7:BZ$336&lt;&gt;"",ROW(BZ$7:BZ$336)-ROW(BZ$7)+1),ROWS(BZ$7:BZ223))),"")</f>
        <v/>
      </c>
      <c r="Y266" s="4" t="str">
        <f t="array" ref="Y266">IFERROR(INDEX(CA$7:CA$336,SMALL(IF(CA$7:CA$336&lt;&gt;"",ROW(CA$7:CA$336)-ROW(CA$7)+1),ROWS(CA$7:CA223))),"")</f>
        <v/>
      </c>
      <c r="Z266" s="4" t="str">
        <f t="array" ref="Z266">IFERROR(INDEX(CB$7:CB$378,SMALL(IF(CB$7:CB$378&lt;&gt;"",ROW(CB$7:CB$378)-ROW(CB$7)+1),ROWS(CB$7:CB265))),"")</f>
        <v/>
      </c>
      <c r="AA266" s="4" t="str">
        <f t="array" ref="AA266">IFERROR(INDEX(CC$7:CC$378,SMALL(IF(CC$7:CC$378&lt;&gt;"",ROW(CC$7:CC$378)-ROW(CC$7)+1),ROWS(CC$7:CC265))),"")</f>
        <v/>
      </c>
      <c r="AB266" s="4" t="str">
        <f t="array" ref="AB266">IFERROR(INDEX(CD$7:CD$378,SMALL(IF(CD$7:CD$378&lt;&gt;"",ROW(CD$7:CD$378)-ROW(CD$7)+1),ROWS(CD$7:CD265))),"")</f>
        <v/>
      </c>
      <c r="AC266" s="4" t="str">
        <f t="array" ref="AC266">IFERROR(INDEX(CE$7:CE$378,SMALL(IF(CE$7:CE$378&lt;&gt;"",ROW(CE$7:CE$378)-ROW(CE$7)+1),ROWS(CE$7:CE265))),"")</f>
        <v/>
      </c>
      <c r="AD266" s="4"/>
      <c r="AE266" s="4"/>
      <c r="AF266" s="4"/>
      <c r="AG266" s="4"/>
      <c r="AH266" s="4"/>
      <c r="AI266" s="4"/>
      <c r="AJ266" s="46" t="str">
        <f>IF(Atletas!D262="","",IF(Atletas!B262="Feminino",100,IF(Atletas!B262="Masculino",200,""))+(IF(Atletas!D262="Infantil 39kg",1,IF(Atletas!D262="Infantil 42kg",2,IF(Atletas!D262="Infantil 45kg",3,IF(Atletas!D262="Infantil 48kg",4,IF(Atletas!D262="Infantil 52kg",5,IF(Atletas!D262="Infantil 56kg",6,IF(Atletas!D262="Infantil 60kg",7,IF(Atletas!D262="Juvenil 48kg",8,IF(Atletas!D262="Juvenil 52kg",9,IF(Atletas!D262="Juvenil 56kg",10,IF(Atletas!D262="Juvenil 60kg",11,IF(Atletas!D262="Juvenil 65kg",12,IF(Atletas!D262="Juvenil 70kg",13,IF(Atletas!D262="Juvenil 75kg",14,IF(Atletas!D262="Juvenil 80kg",15,IF(Atletas!D262="Adulto 48kg",16,IF(Atletas!D262="Adulto 52kg",17,IF(Atletas!D262="Adulto 56kg",18,IF(Atletas!D262="Adulto 60kg",19,IF(Atletas!D262="Adulto 65kg",20,IF(Atletas!D262="Adulto 70kg",21,IF(Atletas!D262="Adulto 75kg",22,IF(Atletas!D262="Adulto 80kg",23,IF(Atletas!D262="Adulto 85kg",24,IF(Atletas!D262="Adulto 90kg",25,IF(Atletas!D262="Adulto +90kg",26,""))))))))))))))))))))))))))))</f>
        <v/>
      </c>
      <c r="AO266" s="10" t="str">
        <f>IF(Atletas!E262="","",IF(Atletas!B262="Feminino",100,IF(Atletas!B262="Masculino",200,""))+(IF(Atletas!E262="Juvenil 44kg",1,IF(Atletas!E262="Juvenil 48kg",2,IF(Atletas!E262="Juvenil 52kg",3,IF(Atletas!E262="Juvenil 56kg",4,IF(Atletas!E262="Juvenil 60kg",5,IF(Atletas!E262="Juvenil 65kg",6,IF(Atletas!E262="Juvenil 70kg",7,IF(Atletas!E262="Juvenil 75kg",8,IF(Atletas!E262="Juvenil 82kg",9,IF(Atletas!E262="Juvenil 90kg",10,IF(Atletas!E262="Juvenil 100kg",11,IF(Atletas!E262="Adulto 48kg",12,IF(Atletas!E262="Adulto 52kg",13,IF(Atletas!E262="Adulto 56kg",14,IF(Atletas!E262="Adulto 60kg",15,IF(Atletas!E262="Adulto 65kg",16,IF(Atletas!E262="Adulto 70kg",17,IF(Atletas!E262="Adulto 75kg",18,IF(Atletas!E262="Adulto 82kg",19,IF(Atletas!E262="Adulto 90kg",20,IF(Atletas!E262="Adulto 100kg",21,IF(Atletas!E262="Adulto +100kg",22,""))))))))))))))))))))))))</f>
        <v/>
      </c>
      <c r="AT266" s="10" t="str">
        <f>IF(Atletas!F262="","",IF(Atletas!B262="Feminino",100,IF(Atletas!B262="Masculino",200,""))+(IF(Atletas!F262="Adulto 48kg",1,IF(Atletas!F262="Adulto 56kg",2,IF(Atletas!F262="Adulto 65kg",3,IF(Atletas!F262="Adulto 75kg",4,IF(Atletas!F262="Adulto +75kg",5,IF(Atletas!F262="Adulto 52kg",6,IF(Atletas!F262="Adulto 60kg",7,IF(Atletas!F262="Adulto 70kg",8,IF(Atletas!F262="Adulto 80kg",9,IF(Atletas!F262="Adulto 90kg",10,IF(Atletas!F262="Adulto +90kg",11,"")))))))))))))</f>
        <v/>
      </c>
      <c r="AY266" s="46" t="str">
        <f>IF(Atletas!G262="","",IF(Atletas!B262="Feminino",100,IF(Atletas!B262="Masculino",200,""))+(IF(Atletas!G262="Changquan Mirim",1,IF(Atletas!G262="Nanquan Mirim",2,IF(Atletas!G262="Taijiquan Mirim",3,IF(Atletas!G262="Changquan Grupo C",4,IF(Atletas!G262="Nanquan Grupo C",5,IF(Atletas!G262="Taijiquan Grupo C",6,IF(Atletas!G262="Changquan Grupo B",7,IF(Atletas!G262="Nanquan Grupo B",8,IF(Atletas!G262="Taijiquan Grupo B",9,IF(Atletas!G262="Changquan Grupo A",10,IF(Atletas!G262="Nanquan Grupo A",11,IF(Atletas!G262="Taijiquan Grupo A",12,IF(Atletas!G262="Changquan Opcional",13,IF(Atletas!G262="Nanquan Opcional",14,IF(Atletas!G262="Taijiquan Opcional",15,IF(Atletas!G262="Changquan Adulto",16,IF(Atletas!G262="Nanquan Adulto",17,IF(Atletas!G262="Taijiquan Adulto",18,""))))))))))))))))))))</f>
        <v/>
      </c>
      <c r="AZ266" s="46" t="str">
        <f>IF(Atletas!H262="","",IF(Atletas!B262="Feminino",100,IF(Atletas!B262="Masculino",200,""))+(IF(Atletas!H262="Daoshu Mirim",19,IF(Atletas!H262="Jianshu Mirim",20,IF(Atletas!H262="Nandao Mirim",21,IF(Atletas!H262="Taijijian Mirim",22,IF(Atletas!H262="Daoshu Grupo C",23,IF(Atletas!H262="Jianshu Grupo C",24,IF(Atletas!H262="Nandao Grupo C",25,IF(Atletas!H262="Taijijian Grupo C",26,IF(Atletas!H262="Daoshu Grupo B",27,IF(Atletas!H262="Jianshu Grupo B",28,IF(Atletas!H262="Nandao Grupo B",29,IF(Atletas!H262="Taijijian Grupo B",30,IF(Atletas!H262="Daoshu Grupo A",31,IF(Atletas!H262="Jianshu Grupo A",32,IF(Atletas!H262="Nandao Grupo A",33,IF(Atletas!H262="Taijijian Grupo A",34,IF(Atletas!H262="Daoshu Opcional",35,IF(Atletas!H262="Jianshu Opcional",36,IF(Atletas!H262="Nandao Opcional",37,IF(Atletas!H262="Taijijian Opcional",38,IF(Atletas!H262="Daoshu Adulto",39,IF(Atletas!H262="Jianshu Adulto",40,IF(Atletas!H262="Nandao Adulto",41,IF(Atletas!H262="Taijijian Adulto",42,""))))))))))))))))))))))))))</f>
        <v/>
      </c>
      <c r="BA266" s="46" t="str">
        <f>IF(Atletas!I262="","",IF(Atletas!B262="Feminino",100,IF(Atletas!B262="Masculino",200,""))+(IF(Atletas!I262="Gunshu Mirim",43,IF(Atletas!I262="Qiangshu Mirim",44,IF(Atletas!I262="Nangun Mirim",45,IF(Atletas!I262="Gunshu Grupo C",46,IF(Atletas!I262="Qiangshu Grupo C",47,IF(Atletas!I262="Nangun Grupo C",48,IF(Atletas!I262="Gunshu Grupo B",49,IF(Atletas!I262="Qiangshu Grupo B",50,IF(Atletas!I262="Nangun Grupo B",51,IF(Atletas!I262="Gunshu Grupo A",52,IF(Atletas!I262="Qiangshu Grupo A",53,IF(Atletas!I262="Nangun Grupo A",54,IF(Atletas!I262="Gunshu Opcional",55,IF(Atletas!I262="Qiangshu Opcional",56,IF(Atletas!I262="Nangun Opcional",57,IF(Atletas!I262="Gunshu Adulto",58,IF(Atletas!I262="Qiangshu Adulto",59,IF(Atletas!I262="Nangun Adulto",60,""))))))))))))))))))))</f>
        <v/>
      </c>
      <c r="BF266" s="52" t="str">
        <f>IF(Atletas!J262="","",IF(Atletas!B262="Feminino",100,IF(Atletas!B262="Masculino",200,""))+(IF(Atletas!J262="Equipe 1 Grupo B",1,IF(Atletas!J262="Equipe 2 Grupo B",2,IF(Atletas!J262="Equipe 1 Grupo A",3,IF(Atletas!J262="Equipe 2 Grupo A",4,IF(Atletas!J262="Equipe 1 Adulto",5,IF(Atletas!J262="Equipe 2 Adulto",6,""))))))))</f>
        <v/>
      </c>
      <c r="BK266" s="52" t="str">
        <f>IF(Atletas!K262="","",IF(Atletas!W262&lt;&gt;"",10000,0)+(IF(Atletas!B262="Feminino",1000,IF(Atletas!B262="Masculino",2000,""))+IF(Atletas!K262="Choylayfut A",1,IF(Atletas!K262="Hunggar A",2,IF(Atletas!K262="Wuzuquan A",3,IF(Atletas!K262="Wingchun A",4,IF(Atletas!K262="Outra Mão de Sul A",5,IF(Atletas!K262="Choylayfut B",6,IF(Atletas!K262="Hunggar B",7,IF(Atletas!K262="Wuzuquan B",8,IF(Atletas!K262="Wingchun B",9,IF(Atletas!K262="Outra Mão de Sul B",10,IF(Atletas!K262="Choylayfut C",11,IF(Atletas!K262="Hunggar C",12,IF(Atletas!K262="Wuzuquan C",13,IF(Atletas!K262="Wingchun C",14,IF(Atletas!K262="Outra Mão de Sul C",15,IF(Atletas!K262="Choylayfut D",16,IF(Atletas!K262="Hunggar D",17,IF(Atletas!K262="Wuzuquan D",18,IF(Atletas!K262="Wingchun D",19,IF(Atletas!K262="Outra Mão de Sul D",20,IF(Atletas!K262="Choylayfut E",21,IF(Atletas!K262="Hunggar E",22,IF(Atletas!K262="Wuzuquan E",23,IF(Atletas!K262="Wingchun E",24,IF(Atletas!K262="Outra Mão de Sul E",25,IF(Atletas!K262="Choylayfut F",26,IF(Atletas!K262="Hunggar F",27,IF(Atletas!K262="Wuzuquan F",28,IF(Atletas!K262="Wingchun F",29,IF(Atletas!K262="Outra Mão de Sul F",30,""))))))))))))))))))))))))))))))))</f>
        <v/>
      </c>
      <c r="BL266" s="52" t="str">
        <f>IF(Atletas!L262="","",IF(Atletas!W262&lt;&gt;"",10000,0)+(IF(Atletas!B262="Feminino",1000,IF(Atletas!B262="Masculino",2000,""))+(IF(Atletas!L262="Chaquan A",101,IF(Atletas!L262="Emeiquan A",102,IF(Atletas!L262="Fanziquan A",103,IF(Atletas!L262="Huaquan A",104,IF(Atletas!L262="Hongquan A",105,IF(Atletas!L262="Paochui A",106,IF(Atletas!L262="Piguaquan A",107,IF(Atletas!L262="Shaolinquan A",108,IF(Atletas!L262="Tanglangquan A",109,IF(Atletas!L262="Yinzhaophai A",110,IF(Atletas!L262="Tongbeiquan A",111,IF(Atletas!L262="Wudangquan A",112,IF(Atletas!L262="Outros Estilos A",113,IF(Atletas!L262="Chaquan B",114,IF(Atletas!L262="Emeiquan B",115,IF(Atletas!L262="Fanziquan B",116,IF(Atletas!L262="Huaquan B",117,IF(Atletas!L262="Hongquan B",118,IF(Atletas!L262="Paochui B",119,IF(Atletas!L262="Piguaquan B",120,IF(Atletas!L262="Shaolinquan B",121,IF(Atletas!L262="Tanglangquan B",122,IF(Atletas!L262="Yinzhaophai B",123,IF(Atletas!L262="Tongbeiquan B",124,IF(Atletas!L262="Wudangquan B",125,IF(Atletas!L262="Outros Estilos B",126,IF(Atletas!L262="Chaquan C",127,IF(Atletas!L262="Emeiquan C",128,IF(Atletas!L262="Fanziquan C",129,IF(Atletas!L262="Huaquan C",130,IF(Atletas!L262="Hongquan C",131,IF(Atletas!L262="Paochui C",132,IF(Atletas!L262="Piguaquan C",133,IF(Atletas!L262="Shaolinquan C",134,IF(Atletas!L262="Tanglangquan C",135,IF(Atletas!L262="Yinzhaophai C",136,IF(Atletas!L262="Tongbeiquan C",137,IF(Atletas!L262="Wudangquan C",138,IF(Atletas!L262="Outros Estilos C",139,0))))))))))))))))))))))))))))))))))))))))))</f>
        <v/>
      </c>
      <c r="BM266" s="52" t="str">
        <f>IF(Atletas!L262="","",IF(Atletas!W262&lt;&gt;"",10000,0)+(IF(Atletas!B262="Feminino",1000,IF(Atletas!B262="Masculino",2000,""))+(IF(Atletas!L262="Chaquan D",140,IF(Atletas!L262="Emeiquan D",141,IF(Atletas!L262="Fanziquan D",142,IF(Atletas!L262="Huaquan D",143,IF(Atletas!L262="Hongquan D",144,IF(Atletas!L262="Paochui D",145,IF(Atletas!L262="Piguaquan D",146,IF(Atletas!L262="Shaolinquan D",147,IF(Atletas!L262="Tanglangquan D",148,IF(Atletas!L262="Yinzhaophai D",149,IF(Atletas!L262="Tongbeiquan D",150,IF(Atletas!L262="Wudangquan D",151,IF(Atletas!L262="Outros Estilos D",152,IF(Atletas!L262="Chaquan E",153,IF(Atletas!L262="Emeiquan E",154,IF(Atletas!L262="Fanziquan E",155,IF(Atletas!L262="Huaquan E",156,IF(Atletas!L262="Hongquan E",157,IF(Atletas!L262="Paochui E",158,IF(Atletas!L262="Piguaquan E",159,IF(Atletas!L262="Shaolinquan E",160,IF(Atletas!L262="Tanglangquan E",161,IF(Atletas!L262="Yinzhaophai E",162,IF(Atletas!L262="Tongbeiquan E",163,IF(Atletas!L262="Wudangquan E",164,IF(Atletas!L262="Outros Estilos E",165,IF(Atletas!L262="Chaquan F",166,IF(Atletas!L262="Emeiquan F",167,IF(Atletas!L262="Fanziquan F",168,IF(Atletas!L262="Huaquan F",169,IF(Atletas!L262="Hongquan F",170,IF(Atletas!L262="Paochui F",171,IF(Atletas!L262="Piguaquan F",172,IF(Atletas!L262="Shaolinquan F",173,IF(Atletas!L262="Tanglangquan F",174,IF(Atletas!L262="Yinzhaophai F",175,IF(Atletas!L262="Tongbeiquan F",176,IF(Atletas!L262="Wudangquan F",177,IF(Atletas!L262="Outros Estilos F",178,0))))))))))))))))))))))))))))))))))))))))))</f>
        <v/>
      </c>
      <c r="BN266" s="52" t="str">
        <f>IF(Atletas!M262="","",IF(Atletas!W262&lt;&gt;"",10000,0)+(IF(Atletas!B262="Feminino",1000,IF(Atletas!B262="Masculino",2000,""))+(IF(Atletas!M262="Ditangquan A",201,IF(Atletas!M262="Houquan A",202,IF(Atletas!M262="Zuiquan A",203,IF(Atletas!M262="Ditangquan B",204,IF(Atletas!M262="Houquan B",205,IF(Atletas!M262="Zuiquan B",206,IF(Atletas!M262="Ditangquan C",207,IF(Atletas!M262="Houquan C",208,IF(Atletas!M262="Zuiquan C",209,IF(Atletas!M262="Ditangquan D",210,IF(Atletas!M262="Houquan D",211,IF(Atletas!M262="Zuiquan D",212,IF(Atletas!M262="Ditangquan E",213,IF(Atletas!M262="Houquan E",214,IF(Atletas!M262="Zuiquan E",215,IF(Atletas!M262="Ditangquan F",216,IF(Atletas!M262="Houquan F",217,IF(Atletas!M262="Zuiquan F",218,"")))))))))))))))))))))</f>
        <v/>
      </c>
      <c r="BO266" s="52" t="str">
        <f>IF(Atletas!N262="","",IF(Atletas!W262&lt;&gt;"",10000,0)+IF(Atletas!B262="Feminino",1000,IF(Atletas!B262="Masculino",2000,""))+IF(Atletas!N262="Yang A",301,IF(Atletas!N262="Chen A",30,IF(Atletas!N262="Sun A",303,IF(Atletas!N262="Wu A",304,IF(Atletas!N262="Wu-Hao A",305,IF(Atletas!N262="Outro Taijiquan A",306,IF(Atletas!N262="Yang B",307,IF(Atletas!N262="Chen B",308,IF(Atletas!N262="Sun B",309,IF(Atletas!N262="Wu B",310,IF(Atletas!N262="Wu-Hao B",311,IF(Atletas!N262="Outro Taijiquan B",312,IF(Atletas!N262="Yang C",313,IF(Atletas!N262="Chen C",314,IF(Atletas!N262="Sun C",315,IF(Atletas!N262="Wu C",316,IF(Atletas!N262="Wu-Hao C",317,IF(Atletas!N262="Outro Taijiquan C",318,IF(Atletas!N262="Yang D",319,IF(Atletas!N262="Chen D",320,IF(Atletas!N262="Sun D",321,IF(Atletas!N262="Wu D",322,IF(Atletas!N262="Wu-Hao D",323,IF(Atletas!N262="Outro Taijiquan D",324,IF(Atletas!N262="Yang E",325,IF(Atletas!N262="Chen E",326,IF(Atletas!N262="Sun E",327,IF(Atletas!N262="Wu E",328,IF(Atletas!N262="Wu-Hao E",329,IF(Atletas!N262="Outro Taijiquan E",330,IF(Atletas!N262="Yang F",331,IF(Atletas!N262="Chen F",332,IF(Atletas!N262="Sun F",333,IF(Atletas!N262="Wu F",334,IF(Atletas!N262="Wu-Hao F",335,IF(Atletas!N262="Outro Taijiquan F",336,"")))))))))))))))))))))))))))))))))))))</f>
        <v/>
      </c>
      <c r="BP266" s="52" t="str">
        <f>IF(Atletas!O262="","",IF(Atletas!W262&lt;&gt;"",10000,0)+IF(Atletas!B262="Feminino",1000,IF(Atletas!B262="Masculino",2000,""))+IF(OR(Atletas!O262="Yang 26 A",Atletas!O262="Yang 40 A"),401,IF(OR(Atletas!O262="Chen 25 A",Atletas!O262="Chen 36 A",Atletas!O262="Chen 56 A"),402,IF(Atletas!O262="Sun 73 A",403,IF(Atletas!O262="Wu 45 A",404,IF(Atletas!O262="Wu-Hao 46 A",405,IF(OR(Atletas!O262="Taijiquan 16 A",Atletas!O262="Taijiquan 24 A",Atletas!O262="Taijiquan 32 A",Atletas!O262="Taijiquan 42 A"),406,IF(OR(Atletas!O262="Yang 26 B",Atletas!O262="Yang 40 B"),407,IF(OR(Atletas!O262="Chen 25 B",Atletas!O262="Chen 36 B",Atletas!O262="Chen 56 B"),408,IF(Atletas!O262="Sun 73 B",409,IF(Atletas!O262="Wu 45 B",410,IF(Atletas!O262="Wu-Hao 46 B",411,IF(OR(Atletas!O262="Taijiquan 16 B",Atletas!O262="Taijiquan 24 B",Atletas!O262="Taijiquan 32 B",Atletas!O262="Taijiquan 42 B"),412,IF(OR(Atletas!O262="Yang 26 C",Atletas!O262="Yang 40 C"),413,IF(OR(Atletas!O262="Chen 25 C",Atletas!O262="Chen 36 C",Atletas!O262="Chen 56 C"),414,IF(Atletas!O262="Sun 73 C",415,IF(Atletas!O262="Wu 45 C",416,IF(Atletas!O262="Wu-Hao 46 C",417,IF(OR(Atletas!O262="Taijiquan 16 C",Atletas!O262="Taijiquan 24 C",Atletas!O262="Taijiquan 32 C",Atletas!O262="Taijiquan 42 C"),418,0)))))))))))))))))))</f>
        <v/>
      </c>
      <c r="BQ266" s="52" t="str">
        <f>IF(Atletas!O262="","",IF(Atletas!W262&lt;&gt;"",10000,0)+IF(Atletas!B262="Feminino",1000,IF(Atletas!B262="Masculino",2000,""))+IF(OR(Atletas!O262="Yang 26 D",Atletas!O262="Yang 40 D"),419,IF(OR(Atletas!O262="Chen 25 D",Atletas!O262="Chen 36 D",Atletas!O262="Chen 56 D"),420,IF(Atletas!O262="Sun 73 D",421,IF(Atletas!O262="Wu 45 D",422,IF(Atletas!O262="Wu-Hao 46 D",423,IF(OR(Atletas!O262="Taijiquan 16 D",Atletas!O262="Taijiquan 24 D",Atletas!O262="Taijiquan 32 D",Atletas!O262="Taijiquan 42 D"),424,IF(OR(Atletas!O262="Yang 26 E",Atletas!O262="Yang 40 E"),425,IF(OR(Atletas!O262="Chen 25 E",Atletas!O262="Chen 36 E",Atletas!O262="Chen 56 E"),426,IF(Atletas!O262="Sun 73 E",427,IF(Atletas!O262="Wu 45 E",428,IF(Atletas!O262="Wu-Hao 46 E",429,IF(OR(Atletas!O262="Taijiquan 16 E",Atletas!O262="Taijiquan 24 E",Atletas!O262="Taijiquan 32 E",Atletas!O262="Taijiquan 42 E"),430,IF(OR(Atletas!O262="Yang 26 F",Atletas!O262="Yang 40 F"),431,IF(OR(Atletas!O262="Chen 25 F",Atletas!O262="Chen 36 F",Atletas!O262="Chen 56 F"),432,IF(Atletas!O262="Sun 73 F",433,IF(Atletas!O262="Wu 45 F",434,IF(Atletas!O262="Wu-Hao 46 F",435,IF(OR(Atletas!O262="Taijiquan 16 F",Atletas!O262="Taijiquan 24 F",Atletas!O262="Taijiquan 32 F",Atletas!O262="Taijiquan 42 F"),436,0)))))))))))))))))))</f>
        <v/>
      </c>
      <c r="BR266" s="52" t="str">
        <f>IF(Atletas!P262="","",IF(Atletas!W262&lt;&gt;"",10000,0)+IF(Atletas!B262="Feminino",1000,IF(Atletas!B262="Masculino",2000,""))+IF(Atletas!P262="Xingyiquan A",501,IF(Atletas!P262="Baguazhang A",502,IF(Atletas!P262="Outro Estilo Interno A",503,IF(Atletas!P262="Xingyiquan B",504,IF(Atletas!P262="Baguazhang B",505,IF(Atletas!P262="Outro Estilo Interno B",506,IF(Atletas!P262="Xingyiquan C",507,IF(Atletas!P262="Baguazhang C",508,IF(Atletas!P262="Outro Estilo Interno C",509,IF(Atletas!P262="Xingyiquan D",510,IF(Atletas!P262="Baguazhang D",511,IF(Atletas!P262="Outro Estilo Interno D",512,IF(Atletas!P262="Xingyiquan E",513,IF(Atletas!P262="Baguazhang E",514,IF(Atletas!P262="Outro Estilo Interno E",515,IF(Atletas!P262="Xingyiquan F",516,IF(Atletas!P262="Baguazhang F",517,IF(Atletas!P262="Outro Estilo Interno F",518, "")))))))))))))))))))</f>
        <v/>
      </c>
      <c r="BS266" s="52" t="str">
        <f>IF(Atletas!Q262="","",IF(Atletas!W262&lt;&gt;"",10000,0)+IF(Atletas!B262="Feminino",1000,IF(Atletas!B262="Masculino",2000,""))+IF(Atletas!Q262="Dao A",601,IF(Atletas!Q262="Jian A",602,IF(Atletas!Q262="Bishou A",603,IF(Atletas!Q262="Shan A",604,IF(Atletas!Q262="Outra Arma Curta A",605,IF(Atletas!Q262="Dao B",606,IF(Atletas!Q262="Jian B",607,IF(Atletas!Q262="Bishou B",608,IF(Atletas!Q262="Shan B",609,IF(Atletas!Q262="Outra Arma Curta B",610,IF(Atletas!Q262="Dao C",611,IF(Atletas!Q262="Jian C",612,IF(Atletas!Q262="Bishou C",613,IF(Atletas!Q262="Shan C",614,IF(Atletas!Q262="Outra Arma Curta C",615,IF(Atletas!Q262="Dao D",616,IF(Atletas!Q262="Jian D",617,IF(Atletas!Q262="Bishou D",618,IF(Atletas!Q262="Shan D",619,IF(Atletas!Q262="Outra Arma Curta D",620,IF(Atletas!Q262="Dao E",621,IF(Atletas!Q262="Jian E",622,IF(Atletas!Q262="Bishou E",623,IF(Atletas!Q262="Shan E",624,IF(Atletas!Q262="Outra Arma Curta E",625,IF(Atletas!Q262="Dao F",626,IF(Atletas!Q262="Jian F",627,IF(Atletas!Q262="Bishou F",628,IF(Atletas!Q262="Shan F",629,IF(Atletas!Q262="Outra Arma Curta F",630, "")))))))))))))))))))))))))))))))</f>
        <v/>
      </c>
      <c r="BT266" s="52" t="str">
        <f>IF(Atletas!R262="","",IF(Atletas!W262&lt;&gt;"",10000,0)+IF(Atletas!B262="Feminino",1000,IF(Atletas!B262="Masculino",2000,""))+IF(Atletas!R262="Gun A",701,IF(Atletas!R262="Qiang A",702,IF(Atletas!R262="Pudao / Guandao A",703,IF(Atletas!R262="Outra Arma Longa A",704,IF(Atletas!R262="Gun B",705,IF(Atletas!R262="Qiang B",706,IF(Atletas!R262="Pudao / Guandao B",707,IF(Atletas!R262="Outra Arma Longa B",708,IF(Atletas!R262="Gun C",709,IF(Atletas!R262="Qiang C",710,IF(Atletas!R262="Pudao / Guandao C",711,IF(Atletas!R262="Outra Arma Longa C",712,IF(Atletas!R262="Gun D",713,IF(Atletas!R262="Qiang D",714,IF(Atletas!R262="Pudao / Guandao D",715,IF(Atletas!R262="Outra Arma Longa D",716,IF(Atletas!R262="Gun E",717,IF(Atletas!R262="Qiang E",718,IF(Atletas!R262="Pudao / Guandao E",719,IF(Atletas!R262="Outra Arma Longa E",720,IF(Atletas!R262="Gun F",721,IF(Atletas!R262="Qiang F",722,IF(Atletas!R262="Pudao / Guandao F",723,IF(Atletas!R262="Outra Arma Longa F",724,"")))))))))))))))))))))))))</f>
        <v/>
      </c>
      <c r="BU266" s="52" t="str">
        <f>IF(Atletas!S262="","",IF(Atletas!W262&lt;&gt;"",10000,0)+IF(Atletas!B262="Feminino",1000,IF(Atletas!B262="Masculino",2000,""))+IF(Atletas!S262="Arma Dupla A",801,IF(Atletas!S262="Arma Maleável A",802,IF(Atletas!S262="Arma Dupla B",803,IF(Atletas!S262="Arma Maleável B",804,IF(Atletas!S262="Arma Dupla C",805,IF(Atletas!S262="Arma Maleável C",806,IF(Atletas!S262="Arma Dupla D",807,IF(Atletas!S262="Arma Maleável D",808,IF(Atletas!S262="Arma Dupla E",809,IF(Atletas!S262="Arma Maleável E",810,IF(Atletas!S262="Arma Dupla F",811,IF(Atletas!S262="Arma Maleável F",812, "")))))))))))))</f>
        <v/>
      </c>
      <c r="BV266" s="52" t="str">
        <f>IF(Atletas!T262="","",IF(Atletas!W262&lt;&gt;"",10000,0)+IF(Atletas!B262="Feminino",1000,IF(Atletas!B262="Masculino",2000,""))+IF(Atletas!T262="Taijijian Yang A",901,IF(Atletas!T262="Taijijian Chen A",902,IF(Atletas!T262="Taijijian Sun A",903,IF(Atletas!T262="Taijijian Wu A",904,IF(Atletas!T262="Taijijian Wu-Hao A",905,IF(Atletas!T262="Taijijian 32 A",906,IF(Atletas!T262="Taijijian 42 A",907,IF(Atletas!T262="Taijijian Yang B",908,IF(Atletas!T262="Taijijian Chen B",909,IF(Atletas!T262="Taijijian Sun B",910,IF(Atletas!T262="Taijijian Wu B",911,IF(Atletas!T262="Taijijian Wu-Hao B",912,IF(Atletas!T262="Taijijian 32 B",913,IF(Atletas!T262="Taijijian 42 B",914,IF(Atletas!T262="Taijijian Yang C",915,IF(Atletas!T262="Taijijian Chen C",916,IF(Atletas!T262="Taijijian Sun C",917,IF(Atletas!T262="Taijijian Wu C",918,IF(Atletas!T262="Taijijian Wu-Hao C",919,IF(Atletas!T262="Taijijian 32 C",920,IF(Atletas!T262="Taijijian 42 C",921,IF(Atletas!T262="Taijijian Yang D",922,IF(Atletas!T262="Taijijian Chen D",923,IF(Atletas!T262="Taijijian Sun D",924,IF(Atletas!T262="Taijijian Wu D",925,IF(Atletas!T262="Taijijian Wu-Hao D",926,IF(Atletas!T262="Taijijian 32 D",927,IF(Atletas!T262="Taijijian 42 D",928,IF(Atletas!T262="Taijijian Yang E",929,IF(Atletas!T262="Taijijian Chen E",930,IF(Atletas!T262="Taijijian Sun E",931,IF(Atletas!T262="Taijijian Wu E",932,IF(Atletas!T262="Taijijian Wu-Hao E",933,IF(Atletas!T262="Taijijian 32 E",934,IF(Atletas!T262="Taijijian 42 E",935,IF(Atletas!T262="Taijijian Yang F",936,IF(Atletas!T262="Taijijian Chen F",937,IF(Atletas!T262="Taijijian Sun F",938,IF(Atletas!T262="Taijijian Wu F",939,IF(Atletas!T262="Taijijian Wu-Hao F",940,IF(Atletas!T262="Taijijian 32 F",941,IF(Atletas!T262="Taijijian 42 F",942,"")))))))))))))))))))))))))))))))))))))))))))</f>
        <v/>
      </c>
      <c r="BW266" s="52" t="str">
        <f>IF(Atletas!U262="","",IF(Atletas!W262&lt;&gt;"",10000,0)+IF(Atletas!B262="Feminino",1000,IF(Atletas!B262="Masculino",2000,""))+IF(Atletas!T262="Taijijian 42 F",942,IF(Atletas!U262="Taijidao A",943,IF(Atletas!U262="Taijishan A",944,IF(Atletas!U262="Taijiqiang A",945,IF(Atletas!U262="Taijidao B",946,IF(Atletas!U262="Taijishan B",947,IF(Atletas!U262="Taijiqiang B",948,IF(Atletas!U262="Taijidao C",949,IF(Atletas!U262="Taijishan C",950,IF(Atletas!U262="Taijiqiang C",951,IF(Atletas!U262="Taijidao D",952,IF(Atletas!U262="Taijishan D",953,IF(Atletas!U262="Taijiqiang D",954,IF(Atletas!U262="Taijidao E",955,IF(Atletas!U262="Taijishan E",956,IF(Atletas!U262="Taijiqiang E",957,IF(Atletas!U262="Taijidao F",958,IF(Atletas!U262="Taijishan F",959,IF(Atletas!U262="Taijiqiang F",960))))))))))))))))))))</f>
        <v/>
      </c>
      <c r="BX266" s="72" t="str">
        <f>IF(BY266&lt;&gt;"","Qiang D","")</f>
        <v/>
      </c>
      <c r="BY266" s="72" t="str">
        <f>IF(COUNTIF(BK:BW,1714)&gt;0,COUNTIF(BK:BW,1714),"")</f>
        <v/>
      </c>
      <c r="BZ266" s="72" t="str">
        <f>IF(CA266&lt;&gt;"","Qiang D","")</f>
        <v/>
      </c>
      <c r="CA266" s="72" t="str">
        <f>IF(COUNTIF(BK:BW,2714)&gt;0,COUNTIF(BK:BW,2714),"")</f>
        <v/>
      </c>
      <c r="CB266" s="72" t="str">
        <f>IF(CC266&lt;&gt;"","Baguazhang A ","")</f>
        <v/>
      </c>
      <c r="CC266" s="64" t="str">
        <f>IF(COUNTIF(BK:BW,11502)&gt;0,COUNTIF(BK:BW,11502),"")</f>
        <v/>
      </c>
      <c r="CD266" s="64" t="str">
        <f>IF(CE266&lt;&gt;"","Baguazhang A ","")</f>
        <v/>
      </c>
      <c r="CE266" s="64" t="str">
        <f>IF(COUNTIF(BK:BW,12502)&gt;0,COUNTIF(BK:BW,12502),"")</f>
        <v/>
      </c>
      <c r="CF266" s="52" t="str">
        <f xml:space="preserve"> IF(Atletas!V262="","",IF(Atletas!V262="Duilian de Mãos AB - Equipe 1",1,IF(Atletas!V262="Duilian de Mãos AB - Equipe 2",2,IF(Atletas!V262="Duilian de Armas AB - Equipe 1",3,IF(Atletas!V262="Duilian de Armas AB - Equipe 2",4,IF(Atletas!V262="Duilian de Tuishou - Equipe 1",5,IF(Atletas!V262="Duilian de Tuishou - Equipe 2",6,IF(Atletas!V262="Grupo Externo AB - Equipe 1",7,IF(Atletas!V262="Grupo Externo AB - Equipe 2",8,IF(Atletas!V262="Grupo Interno AB - Equipe 1",9,IF(Atletas!V262="Grupo Interno AB - Equipe 2",10,IF(Atletas!V262="Duilian de Mãos CD - Equipe 1",11,IF(Atletas!V262="Duilian de Mãos CD - Equipe 2",12,IF(Atletas!V262="Duilian de Armas CD - Equipe 1",13,IF(Atletas!V262="Duilian de Armas CD - Equipe 2",14,IF(Atletas!V262="Duilian de Tuishou - Equipe 1",15,IF(Atletas!V262="Duilian de Tuishou - Equipe 2",16,IF(Atletas!V262="Grupo Externo CDEF - Equipe 1",17,IF(Atletas!V262="Grupo Externo CDEF - Equipe 2",18,IF(Atletas!V262="Grupo Interno CDEF - Equipe 1",19,IF(Atletas!V262="Grupo Interno CDEF - Equipe 2",20,IF(Atletas!V262="Duilian de Mãos EF - Equipe 1",21,IF(Atletas!V262="Duilian de Mãos EF - Equipe 2",22,IF(Atletas!V262="Duilian de Armas EF - Equipe 1",23,IF(Atletas!V262="Duilian de Armas EF - Equipe 2",24,IF(Atletas!V262="Duilian de Tuishou - Equipe 1",25,IF(Atletas!V262="Duilian de Tuishou - Equipe 2",26,"")))))))))))))))))))))))))))</f>
        <v/>
      </c>
    </row>
    <row r="267" spans="2:84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 t="str">
        <f t="array" ref="V267">IFERROR(INDEX(BX$7:BX$336,SMALL(IF(BX$7:BX$336&lt;&gt;"",ROW(BX$7:BX$336)-ROW(BX$7)+1),ROWS(BX$7:BX224))),"")</f>
        <v/>
      </c>
      <c r="W267" s="4" t="str">
        <f t="array" ref="W267">IFERROR(INDEX(BY$7:BY$336,SMALL(IF(BY$7:BY$336&lt;&gt;"",ROW(BY$7:BY$336)-ROW(BY$7)+1),ROWS(BY$7:BY224))),"")</f>
        <v/>
      </c>
      <c r="X267" s="4" t="str">
        <f t="array" ref="X267">IFERROR(INDEX(BZ$7:BZ$336,SMALL(IF(BZ$7:BZ$336&lt;&gt;"",ROW(BZ$7:BZ$336)-ROW(BZ$7)+1),ROWS(BZ$7:BZ224))),"")</f>
        <v/>
      </c>
      <c r="Y267" s="4" t="str">
        <f t="array" ref="Y267">IFERROR(INDEX(CA$7:CA$336,SMALL(IF(CA$7:CA$336&lt;&gt;"",ROW(CA$7:CA$336)-ROW(CA$7)+1),ROWS(CA$7:CA224))),"")</f>
        <v/>
      </c>
      <c r="Z267" s="4" t="str">
        <f t="array" ref="Z267">IFERROR(INDEX(CB$7:CB$378,SMALL(IF(CB$7:CB$378&lt;&gt;"",ROW(CB$7:CB$378)-ROW(CB$7)+1),ROWS(CB$7:CB266))),"")</f>
        <v/>
      </c>
      <c r="AA267" s="4" t="str">
        <f t="array" ref="AA267">IFERROR(INDEX(CC$7:CC$378,SMALL(IF(CC$7:CC$378&lt;&gt;"",ROW(CC$7:CC$378)-ROW(CC$7)+1),ROWS(CC$7:CC266))),"")</f>
        <v/>
      </c>
      <c r="AB267" s="4" t="str">
        <f t="array" ref="AB267">IFERROR(INDEX(CD$7:CD$378,SMALL(IF(CD$7:CD$378&lt;&gt;"",ROW(CD$7:CD$378)-ROW(CD$7)+1),ROWS(CD$7:CD266))),"")</f>
        <v/>
      </c>
      <c r="AC267" s="4" t="str">
        <f t="array" ref="AC267">IFERROR(INDEX(CE$7:CE$378,SMALL(IF(CE$7:CE$378&lt;&gt;"",ROW(CE$7:CE$378)-ROW(CE$7)+1),ROWS(CE$7:CE266))),"")</f>
        <v/>
      </c>
      <c r="AD267" s="4"/>
      <c r="AE267" s="4"/>
      <c r="AF267" s="4"/>
      <c r="AG267" s="4"/>
      <c r="AH267" s="4"/>
      <c r="AI267" s="4"/>
      <c r="AJ267" s="46" t="str">
        <f>IF(Atletas!D263="","",IF(Atletas!B263="Feminino",100,IF(Atletas!B263="Masculino",200,""))+(IF(Atletas!D263="Infantil 39kg",1,IF(Atletas!D263="Infantil 42kg",2,IF(Atletas!D263="Infantil 45kg",3,IF(Atletas!D263="Infantil 48kg",4,IF(Atletas!D263="Infantil 52kg",5,IF(Atletas!D263="Infantil 56kg",6,IF(Atletas!D263="Infantil 60kg",7,IF(Atletas!D263="Juvenil 48kg",8,IF(Atletas!D263="Juvenil 52kg",9,IF(Atletas!D263="Juvenil 56kg",10,IF(Atletas!D263="Juvenil 60kg",11,IF(Atletas!D263="Juvenil 65kg",12,IF(Atletas!D263="Juvenil 70kg",13,IF(Atletas!D263="Juvenil 75kg",14,IF(Atletas!D263="Juvenil 80kg",15,IF(Atletas!D263="Adulto 48kg",16,IF(Atletas!D263="Adulto 52kg",17,IF(Atletas!D263="Adulto 56kg",18,IF(Atletas!D263="Adulto 60kg",19,IF(Atletas!D263="Adulto 65kg",20,IF(Atletas!D263="Adulto 70kg",21,IF(Atletas!D263="Adulto 75kg",22,IF(Atletas!D263="Adulto 80kg",23,IF(Atletas!D263="Adulto 85kg",24,IF(Atletas!D263="Adulto 90kg",25,IF(Atletas!D263="Adulto +90kg",26,""))))))))))))))))))))))))))))</f>
        <v/>
      </c>
      <c r="AO267" s="10" t="str">
        <f>IF(Atletas!E263="","",IF(Atletas!B263="Feminino",100,IF(Atletas!B263="Masculino",200,""))+(IF(Atletas!E263="Juvenil 44kg",1,IF(Atletas!E263="Juvenil 48kg",2,IF(Atletas!E263="Juvenil 52kg",3,IF(Atletas!E263="Juvenil 56kg",4,IF(Atletas!E263="Juvenil 60kg",5,IF(Atletas!E263="Juvenil 65kg",6,IF(Atletas!E263="Juvenil 70kg",7,IF(Atletas!E263="Juvenil 75kg",8,IF(Atletas!E263="Juvenil 82kg",9,IF(Atletas!E263="Juvenil 90kg",10,IF(Atletas!E263="Juvenil 100kg",11,IF(Atletas!E263="Adulto 48kg",12,IF(Atletas!E263="Adulto 52kg",13,IF(Atletas!E263="Adulto 56kg",14,IF(Atletas!E263="Adulto 60kg",15,IF(Atletas!E263="Adulto 65kg",16,IF(Atletas!E263="Adulto 70kg",17,IF(Atletas!E263="Adulto 75kg",18,IF(Atletas!E263="Adulto 82kg",19,IF(Atletas!E263="Adulto 90kg",20,IF(Atletas!E263="Adulto 100kg",21,IF(Atletas!E263="Adulto +100kg",22,""))))))))))))))))))))))))</f>
        <v/>
      </c>
      <c r="AT267" s="10" t="str">
        <f>IF(Atletas!F263="","",IF(Atletas!B263="Feminino",100,IF(Atletas!B263="Masculino",200,""))+(IF(Atletas!F263="Adulto 48kg",1,IF(Atletas!F263="Adulto 56kg",2,IF(Atletas!F263="Adulto 65kg",3,IF(Atletas!F263="Adulto 75kg",4,IF(Atletas!F263="Adulto +75kg",5,IF(Atletas!F263="Adulto 52kg",6,IF(Atletas!F263="Adulto 60kg",7,IF(Atletas!F263="Adulto 70kg",8,IF(Atletas!F263="Adulto 80kg",9,IF(Atletas!F263="Adulto 90kg",10,IF(Atletas!F263="Adulto +90kg",11,"")))))))))))))</f>
        <v/>
      </c>
      <c r="AY267" s="46" t="str">
        <f>IF(Atletas!G263="","",IF(Atletas!B263="Feminino",100,IF(Atletas!B263="Masculino",200,""))+(IF(Atletas!G263="Changquan Mirim",1,IF(Atletas!G263="Nanquan Mirim",2,IF(Atletas!G263="Taijiquan Mirim",3,IF(Atletas!G263="Changquan Grupo C",4,IF(Atletas!G263="Nanquan Grupo C",5,IF(Atletas!G263="Taijiquan Grupo C",6,IF(Atletas!G263="Changquan Grupo B",7,IF(Atletas!G263="Nanquan Grupo B",8,IF(Atletas!G263="Taijiquan Grupo B",9,IF(Atletas!G263="Changquan Grupo A",10,IF(Atletas!G263="Nanquan Grupo A",11,IF(Atletas!G263="Taijiquan Grupo A",12,IF(Atletas!G263="Changquan Opcional",13,IF(Atletas!G263="Nanquan Opcional",14,IF(Atletas!G263="Taijiquan Opcional",15,IF(Atletas!G263="Changquan Adulto",16,IF(Atletas!G263="Nanquan Adulto",17,IF(Atletas!G263="Taijiquan Adulto",18,""))))))))))))))))))))</f>
        <v/>
      </c>
      <c r="AZ267" s="46" t="str">
        <f>IF(Atletas!H263="","",IF(Atletas!B263="Feminino",100,IF(Atletas!B263="Masculino",200,""))+(IF(Atletas!H263="Daoshu Mirim",19,IF(Atletas!H263="Jianshu Mirim",20,IF(Atletas!H263="Nandao Mirim",21,IF(Atletas!H263="Taijijian Mirim",22,IF(Atletas!H263="Daoshu Grupo C",23,IF(Atletas!H263="Jianshu Grupo C",24,IF(Atletas!H263="Nandao Grupo C",25,IF(Atletas!H263="Taijijian Grupo C",26,IF(Atletas!H263="Daoshu Grupo B",27,IF(Atletas!H263="Jianshu Grupo B",28,IF(Atletas!H263="Nandao Grupo B",29,IF(Atletas!H263="Taijijian Grupo B",30,IF(Atletas!H263="Daoshu Grupo A",31,IF(Atletas!H263="Jianshu Grupo A",32,IF(Atletas!H263="Nandao Grupo A",33,IF(Atletas!H263="Taijijian Grupo A",34,IF(Atletas!H263="Daoshu Opcional",35,IF(Atletas!H263="Jianshu Opcional",36,IF(Atletas!H263="Nandao Opcional",37,IF(Atletas!H263="Taijijian Opcional",38,IF(Atletas!H263="Daoshu Adulto",39,IF(Atletas!H263="Jianshu Adulto",40,IF(Atletas!H263="Nandao Adulto",41,IF(Atletas!H263="Taijijian Adulto",42,""))))))))))))))))))))))))))</f>
        <v/>
      </c>
      <c r="BA267" s="46" t="str">
        <f>IF(Atletas!I263="","",IF(Atletas!B263="Feminino",100,IF(Atletas!B263="Masculino",200,""))+(IF(Atletas!I263="Gunshu Mirim",43,IF(Atletas!I263="Qiangshu Mirim",44,IF(Atletas!I263="Nangun Mirim",45,IF(Atletas!I263="Gunshu Grupo C",46,IF(Atletas!I263="Qiangshu Grupo C",47,IF(Atletas!I263="Nangun Grupo C",48,IF(Atletas!I263="Gunshu Grupo B",49,IF(Atletas!I263="Qiangshu Grupo B",50,IF(Atletas!I263="Nangun Grupo B",51,IF(Atletas!I263="Gunshu Grupo A",52,IF(Atletas!I263="Qiangshu Grupo A",53,IF(Atletas!I263="Nangun Grupo A",54,IF(Atletas!I263="Gunshu Opcional",55,IF(Atletas!I263="Qiangshu Opcional",56,IF(Atletas!I263="Nangun Opcional",57,IF(Atletas!I263="Gunshu Adulto",58,IF(Atletas!I263="Qiangshu Adulto",59,IF(Atletas!I263="Nangun Adulto",60,""))))))))))))))))))))</f>
        <v/>
      </c>
      <c r="BF267" s="52" t="str">
        <f>IF(Atletas!J263="","",IF(Atletas!B263="Feminino",100,IF(Atletas!B263="Masculino",200,""))+(IF(Atletas!J263="Equipe 1 Grupo B",1,IF(Atletas!J263="Equipe 2 Grupo B",2,IF(Atletas!J263="Equipe 1 Grupo A",3,IF(Atletas!J263="Equipe 2 Grupo A",4,IF(Atletas!J263="Equipe 1 Adulto",5,IF(Atletas!J263="Equipe 2 Adulto",6,""))))))))</f>
        <v/>
      </c>
      <c r="BK267" s="52" t="str">
        <f>IF(Atletas!K263="","",IF(Atletas!W263&lt;&gt;"",10000,0)+(IF(Atletas!B263="Feminino",1000,IF(Atletas!B263="Masculino",2000,""))+IF(Atletas!K263="Choylayfut A",1,IF(Atletas!K263="Hunggar A",2,IF(Atletas!K263="Wuzuquan A",3,IF(Atletas!K263="Wingchun A",4,IF(Atletas!K263="Outra Mão de Sul A",5,IF(Atletas!K263="Choylayfut B",6,IF(Atletas!K263="Hunggar B",7,IF(Atletas!K263="Wuzuquan B",8,IF(Atletas!K263="Wingchun B",9,IF(Atletas!K263="Outra Mão de Sul B",10,IF(Atletas!K263="Choylayfut C",11,IF(Atletas!K263="Hunggar C",12,IF(Atletas!K263="Wuzuquan C",13,IF(Atletas!K263="Wingchun C",14,IF(Atletas!K263="Outra Mão de Sul C",15,IF(Atletas!K263="Choylayfut D",16,IF(Atletas!K263="Hunggar D",17,IF(Atletas!K263="Wuzuquan D",18,IF(Atletas!K263="Wingchun D",19,IF(Atletas!K263="Outra Mão de Sul D",20,IF(Atletas!K263="Choylayfut E",21,IF(Atletas!K263="Hunggar E",22,IF(Atletas!K263="Wuzuquan E",23,IF(Atletas!K263="Wingchun E",24,IF(Atletas!K263="Outra Mão de Sul E",25,IF(Atletas!K263="Choylayfut F",26,IF(Atletas!K263="Hunggar F",27,IF(Atletas!K263="Wuzuquan F",28,IF(Atletas!K263="Wingchun F",29,IF(Atletas!K263="Outra Mão de Sul F",30,""))))))))))))))))))))))))))))))))</f>
        <v/>
      </c>
      <c r="BL267" s="52" t="str">
        <f>IF(Atletas!L263="","",IF(Atletas!W263&lt;&gt;"",10000,0)+(IF(Atletas!B263="Feminino",1000,IF(Atletas!B263="Masculino",2000,""))+(IF(Atletas!L263="Chaquan A",101,IF(Atletas!L263="Emeiquan A",102,IF(Atletas!L263="Fanziquan A",103,IF(Atletas!L263="Huaquan A",104,IF(Atletas!L263="Hongquan A",105,IF(Atletas!L263="Paochui A",106,IF(Atletas!L263="Piguaquan A",107,IF(Atletas!L263="Shaolinquan A",108,IF(Atletas!L263="Tanglangquan A",109,IF(Atletas!L263="Yinzhaophai A",110,IF(Atletas!L263="Tongbeiquan A",111,IF(Atletas!L263="Wudangquan A",112,IF(Atletas!L263="Outros Estilos A",113,IF(Atletas!L263="Chaquan B",114,IF(Atletas!L263="Emeiquan B",115,IF(Atletas!L263="Fanziquan B",116,IF(Atletas!L263="Huaquan B",117,IF(Atletas!L263="Hongquan B",118,IF(Atletas!L263="Paochui B",119,IF(Atletas!L263="Piguaquan B",120,IF(Atletas!L263="Shaolinquan B",121,IF(Atletas!L263="Tanglangquan B",122,IF(Atletas!L263="Yinzhaophai B",123,IF(Atletas!L263="Tongbeiquan B",124,IF(Atletas!L263="Wudangquan B",125,IF(Atletas!L263="Outros Estilos B",126,IF(Atletas!L263="Chaquan C",127,IF(Atletas!L263="Emeiquan C",128,IF(Atletas!L263="Fanziquan C",129,IF(Atletas!L263="Huaquan C",130,IF(Atletas!L263="Hongquan C",131,IF(Atletas!L263="Paochui C",132,IF(Atletas!L263="Piguaquan C",133,IF(Atletas!L263="Shaolinquan C",134,IF(Atletas!L263="Tanglangquan C",135,IF(Atletas!L263="Yinzhaophai C",136,IF(Atletas!L263="Tongbeiquan C",137,IF(Atletas!L263="Wudangquan C",138,IF(Atletas!L263="Outros Estilos C",139,0))))))))))))))))))))))))))))))))))))))))))</f>
        <v/>
      </c>
      <c r="BM267" s="52" t="str">
        <f>IF(Atletas!L263="","",IF(Atletas!W263&lt;&gt;"",10000,0)+(IF(Atletas!B263="Feminino",1000,IF(Atletas!B263="Masculino",2000,""))+(IF(Atletas!L263="Chaquan D",140,IF(Atletas!L263="Emeiquan D",141,IF(Atletas!L263="Fanziquan D",142,IF(Atletas!L263="Huaquan D",143,IF(Atletas!L263="Hongquan D",144,IF(Atletas!L263="Paochui D",145,IF(Atletas!L263="Piguaquan D",146,IF(Atletas!L263="Shaolinquan D",147,IF(Atletas!L263="Tanglangquan D",148,IF(Atletas!L263="Yinzhaophai D",149,IF(Atletas!L263="Tongbeiquan D",150,IF(Atletas!L263="Wudangquan D",151,IF(Atletas!L263="Outros Estilos D",152,IF(Atletas!L263="Chaquan E",153,IF(Atletas!L263="Emeiquan E",154,IF(Atletas!L263="Fanziquan E",155,IF(Atletas!L263="Huaquan E",156,IF(Atletas!L263="Hongquan E",157,IF(Atletas!L263="Paochui E",158,IF(Atletas!L263="Piguaquan E",159,IF(Atletas!L263="Shaolinquan E",160,IF(Atletas!L263="Tanglangquan E",161,IF(Atletas!L263="Yinzhaophai E",162,IF(Atletas!L263="Tongbeiquan E",163,IF(Atletas!L263="Wudangquan E",164,IF(Atletas!L263="Outros Estilos E",165,IF(Atletas!L263="Chaquan F",166,IF(Atletas!L263="Emeiquan F",167,IF(Atletas!L263="Fanziquan F",168,IF(Atletas!L263="Huaquan F",169,IF(Atletas!L263="Hongquan F",170,IF(Atletas!L263="Paochui F",171,IF(Atletas!L263="Piguaquan F",172,IF(Atletas!L263="Shaolinquan F",173,IF(Atletas!L263="Tanglangquan F",174,IF(Atletas!L263="Yinzhaophai F",175,IF(Atletas!L263="Tongbeiquan F",176,IF(Atletas!L263="Wudangquan F",177,IF(Atletas!L263="Outros Estilos F",178,0))))))))))))))))))))))))))))))))))))))))))</f>
        <v/>
      </c>
      <c r="BN267" s="52" t="str">
        <f>IF(Atletas!M263="","",IF(Atletas!W263&lt;&gt;"",10000,0)+(IF(Atletas!B263="Feminino",1000,IF(Atletas!B263="Masculino",2000,""))+(IF(Atletas!M263="Ditangquan A",201,IF(Atletas!M263="Houquan A",202,IF(Atletas!M263="Zuiquan A",203,IF(Atletas!M263="Ditangquan B",204,IF(Atletas!M263="Houquan B",205,IF(Atletas!M263="Zuiquan B",206,IF(Atletas!M263="Ditangquan C",207,IF(Atletas!M263="Houquan C",208,IF(Atletas!M263="Zuiquan C",209,IF(Atletas!M263="Ditangquan D",210,IF(Atletas!M263="Houquan D",211,IF(Atletas!M263="Zuiquan D",212,IF(Atletas!M263="Ditangquan E",213,IF(Atletas!M263="Houquan E",214,IF(Atletas!M263="Zuiquan E",215,IF(Atletas!M263="Ditangquan F",216,IF(Atletas!M263="Houquan F",217,IF(Atletas!M263="Zuiquan F",218,"")))))))))))))))))))))</f>
        <v/>
      </c>
      <c r="BO267" s="52" t="str">
        <f>IF(Atletas!N263="","",IF(Atletas!W263&lt;&gt;"",10000,0)+IF(Atletas!B263="Feminino",1000,IF(Atletas!B263="Masculino",2000,""))+IF(Atletas!N263="Yang A",301,IF(Atletas!N263="Chen A",30,IF(Atletas!N263="Sun A",303,IF(Atletas!N263="Wu A",304,IF(Atletas!N263="Wu-Hao A",305,IF(Atletas!N263="Outro Taijiquan A",306,IF(Atletas!N263="Yang B",307,IF(Atletas!N263="Chen B",308,IF(Atletas!N263="Sun B",309,IF(Atletas!N263="Wu B",310,IF(Atletas!N263="Wu-Hao B",311,IF(Atletas!N263="Outro Taijiquan B",312,IF(Atletas!N263="Yang C",313,IF(Atletas!N263="Chen C",314,IF(Atletas!N263="Sun C",315,IF(Atletas!N263="Wu C",316,IF(Atletas!N263="Wu-Hao C",317,IF(Atletas!N263="Outro Taijiquan C",318,IF(Atletas!N263="Yang D",319,IF(Atletas!N263="Chen D",320,IF(Atletas!N263="Sun D",321,IF(Atletas!N263="Wu D",322,IF(Atletas!N263="Wu-Hao D",323,IF(Atletas!N263="Outro Taijiquan D",324,IF(Atletas!N263="Yang E",325,IF(Atletas!N263="Chen E",326,IF(Atletas!N263="Sun E",327,IF(Atletas!N263="Wu E",328,IF(Atletas!N263="Wu-Hao E",329,IF(Atletas!N263="Outro Taijiquan E",330,IF(Atletas!N263="Yang F",331,IF(Atletas!N263="Chen F",332,IF(Atletas!N263="Sun F",333,IF(Atletas!N263="Wu F",334,IF(Atletas!N263="Wu-Hao F",335,IF(Atletas!N263="Outro Taijiquan F",336,"")))))))))))))))))))))))))))))))))))))</f>
        <v/>
      </c>
      <c r="BP267" s="52" t="str">
        <f>IF(Atletas!O263="","",IF(Atletas!W263&lt;&gt;"",10000,0)+IF(Atletas!B263="Feminino",1000,IF(Atletas!B263="Masculino",2000,""))+IF(OR(Atletas!O263="Yang 26 A",Atletas!O263="Yang 40 A"),401,IF(OR(Atletas!O263="Chen 25 A",Atletas!O263="Chen 36 A",Atletas!O263="Chen 56 A"),402,IF(Atletas!O263="Sun 73 A",403,IF(Atletas!O263="Wu 45 A",404,IF(Atletas!O263="Wu-Hao 46 A",405,IF(OR(Atletas!O263="Taijiquan 16 A",Atletas!O263="Taijiquan 24 A",Atletas!O263="Taijiquan 32 A",Atletas!O263="Taijiquan 42 A"),406,IF(OR(Atletas!O263="Yang 26 B",Atletas!O263="Yang 40 B"),407,IF(OR(Atletas!O263="Chen 25 B",Atletas!O263="Chen 36 B",Atletas!O263="Chen 56 B"),408,IF(Atletas!O263="Sun 73 B",409,IF(Atletas!O263="Wu 45 B",410,IF(Atletas!O263="Wu-Hao 46 B",411,IF(OR(Atletas!O263="Taijiquan 16 B",Atletas!O263="Taijiquan 24 B",Atletas!O263="Taijiquan 32 B",Atletas!O263="Taijiquan 42 B"),412,IF(OR(Atletas!O263="Yang 26 C",Atletas!O263="Yang 40 C"),413,IF(OR(Atletas!O263="Chen 25 C",Atletas!O263="Chen 36 C",Atletas!O263="Chen 56 C"),414,IF(Atletas!O263="Sun 73 C",415,IF(Atletas!O263="Wu 45 C",416,IF(Atletas!O263="Wu-Hao 46 C",417,IF(OR(Atletas!O263="Taijiquan 16 C",Atletas!O263="Taijiquan 24 C",Atletas!O263="Taijiquan 32 C",Atletas!O263="Taijiquan 42 C"),418,0)))))))))))))))))))</f>
        <v/>
      </c>
      <c r="BQ267" s="52" t="str">
        <f>IF(Atletas!O263="","",IF(Atletas!W263&lt;&gt;"",10000,0)+IF(Atletas!B263="Feminino",1000,IF(Atletas!B263="Masculino",2000,""))+IF(OR(Atletas!O263="Yang 26 D",Atletas!O263="Yang 40 D"),419,IF(OR(Atletas!O263="Chen 25 D",Atletas!O263="Chen 36 D",Atletas!O263="Chen 56 D"),420,IF(Atletas!O263="Sun 73 D",421,IF(Atletas!O263="Wu 45 D",422,IF(Atletas!O263="Wu-Hao 46 D",423,IF(OR(Atletas!O263="Taijiquan 16 D",Atletas!O263="Taijiquan 24 D",Atletas!O263="Taijiquan 32 D",Atletas!O263="Taijiquan 42 D"),424,IF(OR(Atletas!O263="Yang 26 E",Atletas!O263="Yang 40 E"),425,IF(OR(Atletas!O263="Chen 25 E",Atletas!O263="Chen 36 E",Atletas!O263="Chen 56 E"),426,IF(Atletas!O263="Sun 73 E",427,IF(Atletas!O263="Wu 45 E",428,IF(Atletas!O263="Wu-Hao 46 E",429,IF(OR(Atletas!O263="Taijiquan 16 E",Atletas!O263="Taijiquan 24 E",Atletas!O263="Taijiquan 32 E",Atletas!O263="Taijiquan 42 E"),430,IF(OR(Atletas!O263="Yang 26 F",Atletas!O263="Yang 40 F"),431,IF(OR(Atletas!O263="Chen 25 F",Atletas!O263="Chen 36 F",Atletas!O263="Chen 56 F"),432,IF(Atletas!O263="Sun 73 F",433,IF(Atletas!O263="Wu 45 F",434,IF(Atletas!O263="Wu-Hao 46 F",435,IF(OR(Atletas!O263="Taijiquan 16 F",Atletas!O263="Taijiquan 24 F",Atletas!O263="Taijiquan 32 F",Atletas!O263="Taijiquan 42 F"),436,0)))))))))))))))))))</f>
        <v/>
      </c>
      <c r="BR267" s="52" t="str">
        <f>IF(Atletas!P263="","",IF(Atletas!W263&lt;&gt;"",10000,0)+IF(Atletas!B263="Feminino",1000,IF(Atletas!B263="Masculino",2000,""))+IF(Atletas!P263="Xingyiquan A",501,IF(Atletas!P263="Baguazhang A",502,IF(Atletas!P263="Outro Estilo Interno A",503,IF(Atletas!P263="Xingyiquan B",504,IF(Atletas!P263="Baguazhang B",505,IF(Atletas!P263="Outro Estilo Interno B",506,IF(Atletas!P263="Xingyiquan C",507,IF(Atletas!P263="Baguazhang C",508,IF(Atletas!P263="Outro Estilo Interno C",509,IF(Atletas!P263="Xingyiquan D",510,IF(Atletas!P263="Baguazhang D",511,IF(Atletas!P263="Outro Estilo Interno D",512,IF(Atletas!P263="Xingyiquan E",513,IF(Atletas!P263="Baguazhang E",514,IF(Atletas!P263="Outro Estilo Interno E",515,IF(Atletas!P263="Xingyiquan F",516,IF(Atletas!P263="Baguazhang F",517,IF(Atletas!P263="Outro Estilo Interno F",518, "")))))))))))))))))))</f>
        <v/>
      </c>
      <c r="BS267" s="52" t="str">
        <f>IF(Atletas!Q263="","",IF(Atletas!W263&lt;&gt;"",10000,0)+IF(Atletas!B263="Feminino",1000,IF(Atletas!B263="Masculino",2000,""))+IF(Atletas!Q263="Dao A",601,IF(Atletas!Q263="Jian A",602,IF(Atletas!Q263="Bishou A",603,IF(Atletas!Q263="Shan A",604,IF(Atletas!Q263="Outra Arma Curta A",605,IF(Atletas!Q263="Dao B",606,IF(Atletas!Q263="Jian B",607,IF(Atletas!Q263="Bishou B",608,IF(Atletas!Q263="Shan B",609,IF(Atletas!Q263="Outra Arma Curta B",610,IF(Atletas!Q263="Dao C",611,IF(Atletas!Q263="Jian C",612,IF(Atletas!Q263="Bishou C",613,IF(Atletas!Q263="Shan C",614,IF(Atletas!Q263="Outra Arma Curta C",615,IF(Atletas!Q263="Dao D",616,IF(Atletas!Q263="Jian D",617,IF(Atletas!Q263="Bishou D",618,IF(Atletas!Q263="Shan D",619,IF(Atletas!Q263="Outra Arma Curta D",620,IF(Atletas!Q263="Dao E",621,IF(Atletas!Q263="Jian E",622,IF(Atletas!Q263="Bishou E",623,IF(Atletas!Q263="Shan E",624,IF(Atletas!Q263="Outra Arma Curta E",625,IF(Atletas!Q263="Dao F",626,IF(Atletas!Q263="Jian F",627,IF(Atletas!Q263="Bishou F",628,IF(Atletas!Q263="Shan F",629,IF(Atletas!Q263="Outra Arma Curta F",630, "")))))))))))))))))))))))))))))))</f>
        <v/>
      </c>
      <c r="BT267" s="52" t="str">
        <f>IF(Atletas!R263="","",IF(Atletas!W263&lt;&gt;"",10000,0)+IF(Atletas!B263="Feminino",1000,IF(Atletas!B263="Masculino",2000,""))+IF(Atletas!R263="Gun A",701,IF(Atletas!R263="Qiang A",702,IF(Atletas!R263="Pudao / Guandao A",703,IF(Atletas!R263="Outra Arma Longa A",704,IF(Atletas!R263="Gun B",705,IF(Atletas!R263="Qiang B",706,IF(Atletas!R263="Pudao / Guandao B",707,IF(Atletas!R263="Outra Arma Longa B",708,IF(Atletas!R263="Gun C",709,IF(Atletas!R263="Qiang C",710,IF(Atletas!R263="Pudao / Guandao C",711,IF(Atletas!R263="Outra Arma Longa C",712,IF(Atletas!R263="Gun D",713,IF(Atletas!R263="Qiang D",714,IF(Atletas!R263="Pudao / Guandao D",715,IF(Atletas!R263="Outra Arma Longa D",716,IF(Atletas!R263="Gun E",717,IF(Atletas!R263="Qiang E",718,IF(Atletas!R263="Pudao / Guandao E",719,IF(Atletas!R263="Outra Arma Longa E",720,IF(Atletas!R263="Gun F",721,IF(Atletas!R263="Qiang F",722,IF(Atletas!R263="Pudao / Guandao F",723,IF(Atletas!R263="Outra Arma Longa F",724,"")))))))))))))))))))))))))</f>
        <v/>
      </c>
      <c r="BU267" s="52" t="str">
        <f>IF(Atletas!S263="","",IF(Atletas!W263&lt;&gt;"",10000,0)+IF(Atletas!B263="Feminino",1000,IF(Atletas!B263="Masculino",2000,""))+IF(Atletas!S263="Arma Dupla A",801,IF(Atletas!S263="Arma Maleável A",802,IF(Atletas!S263="Arma Dupla B",803,IF(Atletas!S263="Arma Maleável B",804,IF(Atletas!S263="Arma Dupla C",805,IF(Atletas!S263="Arma Maleável C",806,IF(Atletas!S263="Arma Dupla D",807,IF(Atletas!S263="Arma Maleável D",808,IF(Atletas!S263="Arma Dupla E",809,IF(Atletas!S263="Arma Maleável E",810,IF(Atletas!S263="Arma Dupla F",811,IF(Atletas!S263="Arma Maleável F",812, "")))))))))))))</f>
        <v/>
      </c>
      <c r="BV267" s="52" t="str">
        <f>IF(Atletas!T263="","",IF(Atletas!W263&lt;&gt;"",10000,0)+IF(Atletas!B263="Feminino",1000,IF(Atletas!B263="Masculino",2000,""))+IF(Atletas!T263="Taijijian Yang A",901,IF(Atletas!T263="Taijijian Chen A",902,IF(Atletas!T263="Taijijian Sun A",903,IF(Atletas!T263="Taijijian Wu A",904,IF(Atletas!T263="Taijijian Wu-Hao A",905,IF(Atletas!T263="Taijijian 32 A",906,IF(Atletas!T263="Taijijian 42 A",907,IF(Atletas!T263="Taijijian Yang B",908,IF(Atletas!T263="Taijijian Chen B",909,IF(Atletas!T263="Taijijian Sun B",910,IF(Atletas!T263="Taijijian Wu B",911,IF(Atletas!T263="Taijijian Wu-Hao B",912,IF(Atletas!T263="Taijijian 32 B",913,IF(Atletas!T263="Taijijian 42 B",914,IF(Atletas!T263="Taijijian Yang C",915,IF(Atletas!T263="Taijijian Chen C",916,IF(Atletas!T263="Taijijian Sun C",917,IF(Atletas!T263="Taijijian Wu C",918,IF(Atletas!T263="Taijijian Wu-Hao C",919,IF(Atletas!T263="Taijijian 32 C",920,IF(Atletas!T263="Taijijian 42 C",921,IF(Atletas!T263="Taijijian Yang D",922,IF(Atletas!T263="Taijijian Chen D",923,IF(Atletas!T263="Taijijian Sun D",924,IF(Atletas!T263="Taijijian Wu D",925,IF(Atletas!T263="Taijijian Wu-Hao D",926,IF(Atletas!T263="Taijijian 32 D",927,IF(Atletas!T263="Taijijian 42 D",928,IF(Atletas!T263="Taijijian Yang E",929,IF(Atletas!T263="Taijijian Chen E",930,IF(Atletas!T263="Taijijian Sun E",931,IF(Atletas!T263="Taijijian Wu E",932,IF(Atletas!T263="Taijijian Wu-Hao E",933,IF(Atletas!T263="Taijijian 32 E",934,IF(Atletas!T263="Taijijian 42 E",935,IF(Atletas!T263="Taijijian Yang F",936,IF(Atletas!T263="Taijijian Chen F",937,IF(Atletas!T263="Taijijian Sun F",938,IF(Atletas!T263="Taijijian Wu F",939,IF(Atletas!T263="Taijijian Wu-Hao F",940,IF(Atletas!T263="Taijijian 32 F",941,IF(Atletas!T263="Taijijian 42 F",942,"")))))))))))))))))))))))))))))))))))))))))))</f>
        <v/>
      </c>
      <c r="BW267" s="52" t="str">
        <f>IF(Atletas!U263="","",IF(Atletas!W263&lt;&gt;"",10000,0)+IF(Atletas!B263="Feminino",1000,IF(Atletas!B263="Masculino",2000,""))+IF(Atletas!T263="Taijijian 42 F",942,IF(Atletas!U263="Taijidao A",943,IF(Atletas!U263="Taijishan A",944,IF(Atletas!U263="Taijiqiang A",945,IF(Atletas!U263="Taijidao B",946,IF(Atletas!U263="Taijishan B",947,IF(Atletas!U263="Taijiqiang B",948,IF(Atletas!U263="Taijidao C",949,IF(Atletas!U263="Taijishan C",950,IF(Atletas!U263="Taijiqiang C",951,IF(Atletas!U263="Taijidao D",952,IF(Atletas!U263="Taijishan D",953,IF(Atletas!U263="Taijiqiang D",954,IF(Atletas!U263="Taijidao E",955,IF(Atletas!U263="Taijishan E",956,IF(Atletas!U263="Taijiqiang E",957,IF(Atletas!U263="Taijidao F",958,IF(Atletas!U263="Taijishan F",959,IF(Atletas!U263="Taijiqiang F",960))))))))))))))))))))</f>
        <v/>
      </c>
      <c r="BX267" s="72" t="str">
        <f>IF(BY267&lt;&gt;"","Pudao / Gaundao D","")</f>
        <v/>
      </c>
      <c r="BY267" s="72" t="str">
        <f>IF(COUNTIF(BK:BW,1715)&gt;0,COUNTIF(BK:BW,1715),"")</f>
        <v/>
      </c>
      <c r="BZ267" s="72" t="str">
        <f>IF(CA267&lt;&gt;"","Pudao / Gaundao D","")</f>
        <v/>
      </c>
      <c r="CA267" s="72" t="str">
        <f>IF(COUNTIF(BK:BW,2715)&gt;0,COUNTIF(BK:BW,2715),"")</f>
        <v/>
      </c>
      <c r="CB267" s="72" t="str">
        <f>IF(CC267&lt;&gt;"","Outro Estilo Interno A","")</f>
        <v/>
      </c>
      <c r="CC267" s="64" t="str">
        <f>IF(COUNTIF(BK:BW,11503)&gt;0,COUNTIF(BK:BW,11503),"")</f>
        <v/>
      </c>
      <c r="CD267" s="64" t="str">
        <f>IF(CE267&lt;&gt;"","Outro Estilo Interno A","")</f>
        <v/>
      </c>
      <c r="CE267" s="64" t="str">
        <f>IF(COUNTIF(BK:BW,12503)&gt;0,COUNTIF(BK:BW,12503),"")</f>
        <v/>
      </c>
      <c r="CF267" s="52" t="str">
        <f xml:space="preserve"> IF(Atletas!V263="","",IF(Atletas!V263="Duilian de Mãos AB - Equipe 1",1,IF(Atletas!V263="Duilian de Mãos AB - Equipe 2",2,IF(Atletas!V263="Duilian de Armas AB - Equipe 1",3,IF(Atletas!V263="Duilian de Armas AB - Equipe 2",4,IF(Atletas!V263="Duilian de Tuishou - Equipe 1",5,IF(Atletas!V263="Duilian de Tuishou - Equipe 2",6,IF(Atletas!V263="Grupo Externo AB - Equipe 1",7,IF(Atletas!V263="Grupo Externo AB - Equipe 2",8,IF(Atletas!V263="Grupo Interno AB - Equipe 1",9,IF(Atletas!V263="Grupo Interno AB - Equipe 2",10,IF(Atletas!V263="Duilian de Mãos CD - Equipe 1",11,IF(Atletas!V263="Duilian de Mãos CD - Equipe 2",12,IF(Atletas!V263="Duilian de Armas CD - Equipe 1",13,IF(Atletas!V263="Duilian de Armas CD - Equipe 2",14,IF(Atletas!V263="Duilian de Tuishou - Equipe 1",15,IF(Atletas!V263="Duilian de Tuishou - Equipe 2",16,IF(Atletas!V263="Grupo Externo CDEF - Equipe 1",17,IF(Atletas!V263="Grupo Externo CDEF - Equipe 2",18,IF(Atletas!V263="Grupo Interno CDEF - Equipe 1",19,IF(Atletas!V263="Grupo Interno CDEF - Equipe 2",20,IF(Atletas!V263="Duilian de Mãos EF - Equipe 1",21,IF(Atletas!V263="Duilian de Mãos EF - Equipe 2",22,IF(Atletas!V263="Duilian de Armas EF - Equipe 1",23,IF(Atletas!V263="Duilian de Armas EF - Equipe 2",24,IF(Atletas!V263="Duilian de Tuishou - Equipe 1",25,IF(Atletas!V263="Duilian de Tuishou - Equipe 2",26,"")))))))))))))))))))))))))))</f>
        <v/>
      </c>
    </row>
    <row r="268" spans="2:84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 t="str">
        <f t="array" ref="V268">IFERROR(INDEX(BX$7:BX$336,SMALL(IF(BX$7:BX$336&lt;&gt;"",ROW(BX$7:BX$336)-ROW(BX$7)+1),ROWS(BX$7:BX225))),"")</f>
        <v/>
      </c>
      <c r="W268" s="4" t="str">
        <f t="array" ref="W268">IFERROR(INDEX(BY$7:BY$336,SMALL(IF(BY$7:BY$336&lt;&gt;"",ROW(BY$7:BY$336)-ROW(BY$7)+1),ROWS(BY$7:BY225))),"")</f>
        <v/>
      </c>
      <c r="X268" s="4" t="str">
        <f t="array" ref="X268">IFERROR(INDEX(BZ$7:BZ$336,SMALL(IF(BZ$7:BZ$336&lt;&gt;"",ROW(BZ$7:BZ$336)-ROW(BZ$7)+1),ROWS(BZ$7:BZ225))),"")</f>
        <v/>
      </c>
      <c r="Y268" s="4" t="str">
        <f t="array" ref="Y268">IFERROR(INDEX(CA$7:CA$336,SMALL(IF(CA$7:CA$336&lt;&gt;"",ROW(CA$7:CA$336)-ROW(CA$7)+1),ROWS(CA$7:CA225))),"")</f>
        <v/>
      </c>
      <c r="Z268" s="4" t="str">
        <f t="array" ref="Z268">IFERROR(INDEX(CB$7:CB$378,SMALL(IF(CB$7:CB$378&lt;&gt;"",ROW(CB$7:CB$378)-ROW(CB$7)+1),ROWS(CB$7:CB267))),"")</f>
        <v/>
      </c>
      <c r="AA268" s="4" t="str">
        <f t="array" ref="AA268">IFERROR(INDEX(CC$7:CC$378,SMALL(IF(CC$7:CC$378&lt;&gt;"",ROW(CC$7:CC$378)-ROW(CC$7)+1),ROWS(CC$7:CC267))),"")</f>
        <v/>
      </c>
      <c r="AB268" s="4" t="str">
        <f t="array" ref="AB268">IFERROR(INDEX(CD$7:CD$378,SMALL(IF(CD$7:CD$378&lt;&gt;"",ROW(CD$7:CD$378)-ROW(CD$7)+1),ROWS(CD$7:CD267))),"")</f>
        <v/>
      </c>
      <c r="AC268" s="4" t="str">
        <f t="array" ref="AC268">IFERROR(INDEX(CE$7:CE$378,SMALL(IF(CE$7:CE$378&lt;&gt;"",ROW(CE$7:CE$378)-ROW(CE$7)+1),ROWS(CE$7:CE267))),"")</f>
        <v/>
      </c>
      <c r="AD268" s="4"/>
      <c r="AE268" s="4"/>
      <c r="AF268" s="4"/>
      <c r="AG268" s="4"/>
      <c r="AH268" s="4"/>
      <c r="AI268" s="4"/>
      <c r="AJ268" s="46" t="str">
        <f>IF(Atletas!D264="","",IF(Atletas!B264="Feminino",100,IF(Atletas!B264="Masculino",200,""))+(IF(Atletas!D264="Infantil 39kg",1,IF(Atletas!D264="Infantil 42kg",2,IF(Atletas!D264="Infantil 45kg",3,IF(Atletas!D264="Infantil 48kg",4,IF(Atletas!D264="Infantil 52kg",5,IF(Atletas!D264="Infantil 56kg",6,IF(Atletas!D264="Infantil 60kg",7,IF(Atletas!D264="Juvenil 48kg",8,IF(Atletas!D264="Juvenil 52kg",9,IF(Atletas!D264="Juvenil 56kg",10,IF(Atletas!D264="Juvenil 60kg",11,IF(Atletas!D264="Juvenil 65kg",12,IF(Atletas!D264="Juvenil 70kg",13,IF(Atletas!D264="Juvenil 75kg",14,IF(Atletas!D264="Juvenil 80kg",15,IF(Atletas!D264="Adulto 48kg",16,IF(Atletas!D264="Adulto 52kg",17,IF(Atletas!D264="Adulto 56kg",18,IF(Atletas!D264="Adulto 60kg",19,IF(Atletas!D264="Adulto 65kg",20,IF(Atletas!D264="Adulto 70kg",21,IF(Atletas!D264="Adulto 75kg",22,IF(Atletas!D264="Adulto 80kg",23,IF(Atletas!D264="Adulto 85kg",24,IF(Atletas!D264="Adulto 90kg",25,IF(Atletas!D264="Adulto +90kg",26,""))))))))))))))))))))))))))))</f>
        <v/>
      </c>
      <c r="AO268" s="10" t="str">
        <f>IF(Atletas!E264="","",IF(Atletas!B264="Feminino",100,IF(Atletas!B264="Masculino",200,""))+(IF(Atletas!E264="Juvenil 44kg",1,IF(Atletas!E264="Juvenil 48kg",2,IF(Atletas!E264="Juvenil 52kg",3,IF(Atletas!E264="Juvenil 56kg",4,IF(Atletas!E264="Juvenil 60kg",5,IF(Atletas!E264="Juvenil 65kg",6,IF(Atletas!E264="Juvenil 70kg",7,IF(Atletas!E264="Juvenil 75kg",8,IF(Atletas!E264="Juvenil 82kg",9,IF(Atletas!E264="Juvenil 90kg",10,IF(Atletas!E264="Juvenil 100kg",11,IF(Atletas!E264="Adulto 48kg",12,IF(Atletas!E264="Adulto 52kg",13,IF(Atletas!E264="Adulto 56kg",14,IF(Atletas!E264="Adulto 60kg",15,IF(Atletas!E264="Adulto 65kg",16,IF(Atletas!E264="Adulto 70kg",17,IF(Atletas!E264="Adulto 75kg",18,IF(Atletas!E264="Adulto 82kg",19,IF(Atletas!E264="Adulto 90kg",20,IF(Atletas!E264="Adulto 100kg",21,IF(Atletas!E264="Adulto +100kg",22,""))))))))))))))))))))))))</f>
        <v/>
      </c>
      <c r="AT268" s="10" t="str">
        <f>IF(Atletas!F264="","",IF(Atletas!B264="Feminino",100,IF(Atletas!B264="Masculino",200,""))+(IF(Atletas!F264="Adulto 48kg",1,IF(Atletas!F264="Adulto 56kg",2,IF(Atletas!F264="Adulto 65kg",3,IF(Atletas!F264="Adulto 75kg",4,IF(Atletas!F264="Adulto +75kg",5,IF(Atletas!F264="Adulto 52kg",6,IF(Atletas!F264="Adulto 60kg",7,IF(Atletas!F264="Adulto 70kg",8,IF(Atletas!F264="Adulto 80kg",9,IF(Atletas!F264="Adulto 90kg",10,IF(Atletas!F264="Adulto +90kg",11,"")))))))))))))</f>
        <v/>
      </c>
      <c r="AY268" s="46" t="str">
        <f>IF(Atletas!G264="","",IF(Atletas!B264="Feminino",100,IF(Atletas!B264="Masculino",200,""))+(IF(Atletas!G264="Changquan Mirim",1,IF(Atletas!G264="Nanquan Mirim",2,IF(Atletas!G264="Taijiquan Mirim",3,IF(Atletas!G264="Changquan Grupo C",4,IF(Atletas!G264="Nanquan Grupo C",5,IF(Atletas!G264="Taijiquan Grupo C",6,IF(Atletas!G264="Changquan Grupo B",7,IF(Atletas!G264="Nanquan Grupo B",8,IF(Atletas!G264="Taijiquan Grupo B",9,IF(Atletas!G264="Changquan Grupo A",10,IF(Atletas!G264="Nanquan Grupo A",11,IF(Atletas!G264="Taijiquan Grupo A",12,IF(Atletas!G264="Changquan Opcional",13,IF(Atletas!G264="Nanquan Opcional",14,IF(Atletas!G264="Taijiquan Opcional",15,IF(Atletas!G264="Changquan Adulto",16,IF(Atletas!G264="Nanquan Adulto",17,IF(Atletas!G264="Taijiquan Adulto",18,""))))))))))))))))))))</f>
        <v/>
      </c>
      <c r="AZ268" s="46" t="str">
        <f>IF(Atletas!H264="","",IF(Atletas!B264="Feminino",100,IF(Atletas!B264="Masculino",200,""))+(IF(Atletas!H264="Daoshu Mirim",19,IF(Atletas!H264="Jianshu Mirim",20,IF(Atletas!H264="Nandao Mirim",21,IF(Atletas!H264="Taijijian Mirim",22,IF(Atletas!H264="Daoshu Grupo C",23,IF(Atletas!H264="Jianshu Grupo C",24,IF(Atletas!H264="Nandao Grupo C",25,IF(Atletas!H264="Taijijian Grupo C",26,IF(Atletas!H264="Daoshu Grupo B",27,IF(Atletas!H264="Jianshu Grupo B",28,IF(Atletas!H264="Nandao Grupo B",29,IF(Atletas!H264="Taijijian Grupo B",30,IF(Atletas!H264="Daoshu Grupo A",31,IF(Atletas!H264="Jianshu Grupo A",32,IF(Atletas!H264="Nandao Grupo A",33,IF(Atletas!H264="Taijijian Grupo A",34,IF(Atletas!H264="Daoshu Opcional",35,IF(Atletas!H264="Jianshu Opcional",36,IF(Atletas!H264="Nandao Opcional",37,IF(Atletas!H264="Taijijian Opcional",38,IF(Atletas!H264="Daoshu Adulto",39,IF(Atletas!H264="Jianshu Adulto",40,IF(Atletas!H264="Nandao Adulto",41,IF(Atletas!H264="Taijijian Adulto",42,""))))))))))))))))))))))))))</f>
        <v/>
      </c>
      <c r="BA268" s="46" t="str">
        <f>IF(Atletas!I264="","",IF(Atletas!B264="Feminino",100,IF(Atletas!B264="Masculino",200,""))+(IF(Atletas!I264="Gunshu Mirim",43,IF(Atletas!I264="Qiangshu Mirim",44,IF(Atletas!I264="Nangun Mirim",45,IF(Atletas!I264="Gunshu Grupo C",46,IF(Atletas!I264="Qiangshu Grupo C",47,IF(Atletas!I264="Nangun Grupo C",48,IF(Atletas!I264="Gunshu Grupo B",49,IF(Atletas!I264="Qiangshu Grupo B",50,IF(Atletas!I264="Nangun Grupo B",51,IF(Atletas!I264="Gunshu Grupo A",52,IF(Atletas!I264="Qiangshu Grupo A",53,IF(Atletas!I264="Nangun Grupo A",54,IF(Atletas!I264="Gunshu Opcional",55,IF(Atletas!I264="Qiangshu Opcional",56,IF(Atletas!I264="Nangun Opcional",57,IF(Atletas!I264="Gunshu Adulto",58,IF(Atletas!I264="Qiangshu Adulto",59,IF(Atletas!I264="Nangun Adulto",60,""))))))))))))))))))))</f>
        <v/>
      </c>
      <c r="BF268" s="52" t="str">
        <f>IF(Atletas!J264="","",IF(Atletas!B264="Feminino",100,IF(Atletas!B264="Masculino",200,""))+(IF(Atletas!J264="Equipe 1 Grupo B",1,IF(Atletas!J264="Equipe 2 Grupo B",2,IF(Atletas!J264="Equipe 1 Grupo A",3,IF(Atletas!J264="Equipe 2 Grupo A",4,IF(Atletas!J264="Equipe 1 Adulto",5,IF(Atletas!J264="Equipe 2 Adulto",6,""))))))))</f>
        <v/>
      </c>
      <c r="BK268" s="52" t="str">
        <f>IF(Atletas!K264="","",IF(Atletas!W264&lt;&gt;"",10000,0)+(IF(Atletas!B264="Feminino",1000,IF(Atletas!B264="Masculino",2000,""))+IF(Atletas!K264="Choylayfut A",1,IF(Atletas!K264="Hunggar A",2,IF(Atletas!K264="Wuzuquan A",3,IF(Atletas!K264="Wingchun A",4,IF(Atletas!K264="Outra Mão de Sul A",5,IF(Atletas!K264="Choylayfut B",6,IF(Atletas!K264="Hunggar B",7,IF(Atletas!K264="Wuzuquan B",8,IF(Atletas!K264="Wingchun B",9,IF(Atletas!K264="Outra Mão de Sul B",10,IF(Atletas!K264="Choylayfut C",11,IF(Atletas!K264="Hunggar C",12,IF(Atletas!K264="Wuzuquan C",13,IF(Atletas!K264="Wingchun C",14,IF(Atletas!K264="Outra Mão de Sul C",15,IF(Atletas!K264="Choylayfut D",16,IF(Atletas!K264="Hunggar D",17,IF(Atletas!K264="Wuzuquan D",18,IF(Atletas!K264="Wingchun D",19,IF(Atletas!K264="Outra Mão de Sul D",20,IF(Atletas!K264="Choylayfut E",21,IF(Atletas!K264="Hunggar E",22,IF(Atletas!K264="Wuzuquan E",23,IF(Atletas!K264="Wingchun E",24,IF(Atletas!K264="Outra Mão de Sul E",25,IF(Atletas!K264="Choylayfut F",26,IF(Atletas!K264="Hunggar F",27,IF(Atletas!K264="Wuzuquan F",28,IF(Atletas!K264="Wingchun F",29,IF(Atletas!K264="Outra Mão de Sul F",30,""))))))))))))))))))))))))))))))))</f>
        <v/>
      </c>
      <c r="BL268" s="52" t="str">
        <f>IF(Atletas!L264="","",IF(Atletas!W264&lt;&gt;"",10000,0)+(IF(Atletas!B264="Feminino",1000,IF(Atletas!B264="Masculino",2000,""))+(IF(Atletas!L264="Chaquan A",101,IF(Atletas!L264="Emeiquan A",102,IF(Atletas!L264="Fanziquan A",103,IF(Atletas!L264="Huaquan A",104,IF(Atletas!L264="Hongquan A",105,IF(Atletas!L264="Paochui A",106,IF(Atletas!L264="Piguaquan A",107,IF(Atletas!L264="Shaolinquan A",108,IF(Atletas!L264="Tanglangquan A",109,IF(Atletas!L264="Yinzhaophai A",110,IF(Atletas!L264="Tongbeiquan A",111,IF(Atletas!L264="Wudangquan A",112,IF(Atletas!L264="Outros Estilos A",113,IF(Atletas!L264="Chaquan B",114,IF(Atletas!L264="Emeiquan B",115,IF(Atletas!L264="Fanziquan B",116,IF(Atletas!L264="Huaquan B",117,IF(Atletas!L264="Hongquan B",118,IF(Atletas!L264="Paochui B",119,IF(Atletas!L264="Piguaquan B",120,IF(Atletas!L264="Shaolinquan B",121,IF(Atletas!L264="Tanglangquan B",122,IF(Atletas!L264="Yinzhaophai B",123,IF(Atletas!L264="Tongbeiquan B",124,IF(Atletas!L264="Wudangquan B",125,IF(Atletas!L264="Outros Estilos B",126,IF(Atletas!L264="Chaquan C",127,IF(Atletas!L264="Emeiquan C",128,IF(Atletas!L264="Fanziquan C",129,IF(Atletas!L264="Huaquan C",130,IF(Atletas!L264="Hongquan C",131,IF(Atletas!L264="Paochui C",132,IF(Atletas!L264="Piguaquan C",133,IF(Atletas!L264="Shaolinquan C",134,IF(Atletas!L264="Tanglangquan C",135,IF(Atletas!L264="Yinzhaophai C",136,IF(Atletas!L264="Tongbeiquan C",137,IF(Atletas!L264="Wudangquan C",138,IF(Atletas!L264="Outros Estilos C",139,0))))))))))))))))))))))))))))))))))))))))))</f>
        <v/>
      </c>
      <c r="BM268" s="52" t="str">
        <f>IF(Atletas!L264="","",IF(Atletas!W264&lt;&gt;"",10000,0)+(IF(Atletas!B264="Feminino",1000,IF(Atletas!B264="Masculino",2000,""))+(IF(Atletas!L264="Chaquan D",140,IF(Atletas!L264="Emeiquan D",141,IF(Atletas!L264="Fanziquan D",142,IF(Atletas!L264="Huaquan D",143,IF(Atletas!L264="Hongquan D",144,IF(Atletas!L264="Paochui D",145,IF(Atletas!L264="Piguaquan D",146,IF(Atletas!L264="Shaolinquan D",147,IF(Atletas!L264="Tanglangquan D",148,IF(Atletas!L264="Yinzhaophai D",149,IF(Atletas!L264="Tongbeiquan D",150,IF(Atletas!L264="Wudangquan D",151,IF(Atletas!L264="Outros Estilos D",152,IF(Atletas!L264="Chaquan E",153,IF(Atletas!L264="Emeiquan E",154,IF(Atletas!L264="Fanziquan E",155,IF(Atletas!L264="Huaquan E",156,IF(Atletas!L264="Hongquan E",157,IF(Atletas!L264="Paochui E",158,IF(Atletas!L264="Piguaquan E",159,IF(Atletas!L264="Shaolinquan E",160,IF(Atletas!L264="Tanglangquan E",161,IF(Atletas!L264="Yinzhaophai E",162,IF(Atletas!L264="Tongbeiquan E",163,IF(Atletas!L264="Wudangquan E",164,IF(Atletas!L264="Outros Estilos E",165,IF(Atletas!L264="Chaquan F",166,IF(Atletas!L264="Emeiquan F",167,IF(Atletas!L264="Fanziquan F",168,IF(Atletas!L264="Huaquan F",169,IF(Atletas!L264="Hongquan F",170,IF(Atletas!L264="Paochui F",171,IF(Atletas!L264="Piguaquan F",172,IF(Atletas!L264="Shaolinquan F",173,IF(Atletas!L264="Tanglangquan F",174,IF(Atletas!L264="Yinzhaophai F",175,IF(Atletas!L264="Tongbeiquan F",176,IF(Atletas!L264="Wudangquan F",177,IF(Atletas!L264="Outros Estilos F",178,0))))))))))))))))))))))))))))))))))))))))))</f>
        <v/>
      </c>
      <c r="BN268" s="52" t="str">
        <f>IF(Atletas!M264="","",IF(Atletas!W264&lt;&gt;"",10000,0)+(IF(Atletas!B264="Feminino",1000,IF(Atletas!B264="Masculino",2000,""))+(IF(Atletas!M264="Ditangquan A",201,IF(Atletas!M264="Houquan A",202,IF(Atletas!M264="Zuiquan A",203,IF(Atletas!M264="Ditangquan B",204,IF(Atletas!M264="Houquan B",205,IF(Atletas!M264="Zuiquan B",206,IF(Atletas!M264="Ditangquan C",207,IF(Atletas!M264="Houquan C",208,IF(Atletas!M264="Zuiquan C",209,IF(Atletas!M264="Ditangquan D",210,IF(Atletas!M264="Houquan D",211,IF(Atletas!M264="Zuiquan D",212,IF(Atletas!M264="Ditangquan E",213,IF(Atletas!M264="Houquan E",214,IF(Atletas!M264="Zuiquan E",215,IF(Atletas!M264="Ditangquan F",216,IF(Atletas!M264="Houquan F",217,IF(Atletas!M264="Zuiquan F",218,"")))))))))))))))))))))</f>
        <v/>
      </c>
      <c r="BO268" s="52" t="str">
        <f>IF(Atletas!N264="","",IF(Atletas!W264&lt;&gt;"",10000,0)+IF(Atletas!B264="Feminino",1000,IF(Atletas!B264="Masculino",2000,""))+IF(Atletas!N264="Yang A",301,IF(Atletas!N264="Chen A",30,IF(Atletas!N264="Sun A",303,IF(Atletas!N264="Wu A",304,IF(Atletas!N264="Wu-Hao A",305,IF(Atletas!N264="Outro Taijiquan A",306,IF(Atletas!N264="Yang B",307,IF(Atletas!N264="Chen B",308,IF(Atletas!N264="Sun B",309,IF(Atletas!N264="Wu B",310,IF(Atletas!N264="Wu-Hao B",311,IF(Atletas!N264="Outro Taijiquan B",312,IF(Atletas!N264="Yang C",313,IF(Atletas!N264="Chen C",314,IF(Atletas!N264="Sun C",315,IF(Atletas!N264="Wu C",316,IF(Atletas!N264="Wu-Hao C",317,IF(Atletas!N264="Outro Taijiquan C",318,IF(Atletas!N264="Yang D",319,IF(Atletas!N264="Chen D",320,IF(Atletas!N264="Sun D",321,IF(Atletas!N264="Wu D",322,IF(Atletas!N264="Wu-Hao D",323,IF(Atletas!N264="Outro Taijiquan D",324,IF(Atletas!N264="Yang E",325,IF(Atletas!N264="Chen E",326,IF(Atletas!N264="Sun E",327,IF(Atletas!N264="Wu E",328,IF(Atletas!N264="Wu-Hao E",329,IF(Atletas!N264="Outro Taijiquan E",330,IF(Atletas!N264="Yang F",331,IF(Atletas!N264="Chen F",332,IF(Atletas!N264="Sun F",333,IF(Atletas!N264="Wu F",334,IF(Atletas!N264="Wu-Hao F",335,IF(Atletas!N264="Outro Taijiquan F",336,"")))))))))))))))))))))))))))))))))))))</f>
        <v/>
      </c>
      <c r="BP268" s="52" t="str">
        <f>IF(Atletas!O264="","",IF(Atletas!W264&lt;&gt;"",10000,0)+IF(Atletas!B264="Feminino",1000,IF(Atletas!B264="Masculino",2000,""))+IF(OR(Atletas!O264="Yang 26 A",Atletas!O264="Yang 40 A"),401,IF(OR(Atletas!O264="Chen 25 A",Atletas!O264="Chen 36 A",Atletas!O264="Chen 56 A"),402,IF(Atletas!O264="Sun 73 A",403,IF(Atletas!O264="Wu 45 A",404,IF(Atletas!O264="Wu-Hao 46 A",405,IF(OR(Atletas!O264="Taijiquan 16 A",Atletas!O264="Taijiquan 24 A",Atletas!O264="Taijiquan 32 A",Atletas!O264="Taijiquan 42 A"),406,IF(OR(Atletas!O264="Yang 26 B",Atletas!O264="Yang 40 B"),407,IF(OR(Atletas!O264="Chen 25 B",Atletas!O264="Chen 36 B",Atletas!O264="Chen 56 B"),408,IF(Atletas!O264="Sun 73 B",409,IF(Atletas!O264="Wu 45 B",410,IF(Atletas!O264="Wu-Hao 46 B",411,IF(OR(Atletas!O264="Taijiquan 16 B",Atletas!O264="Taijiquan 24 B",Atletas!O264="Taijiquan 32 B",Atletas!O264="Taijiquan 42 B"),412,IF(OR(Atletas!O264="Yang 26 C",Atletas!O264="Yang 40 C"),413,IF(OR(Atletas!O264="Chen 25 C",Atletas!O264="Chen 36 C",Atletas!O264="Chen 56 C"),414,IF(Atletas!O264="Sun 73 C",415,IF(Atletas!O264="Wu 45 C",416,IF(Atletas!O264="Wu-Hao 46 C",417,IF(OR(Atletas!O264="Taijiquan 16 C",Atletas!O264="Taijiquan 24 C",Atletas!O264="Taijiquan 32 C",Atletas!O264="Taijiquan 42 C"),418,0)))))))))))))))))))</f>
        <v/>
      </c>
      <c r="BQ268" s="52" t="str">
        <f>IF(Atletas!O264="","",IF(Atletas!W264&lt;&gt;"",10000,0)+IF(Atletas!B264="Feminino",1000,IF(Atletas!B264="Masculino",2000,""))+IF(OR(Atletas!O264="Yang 26 D",Atletas!O264="Yang 40 D"),419,IF(OR(Atletas!O264="Chen 25 D",Atletas!O264="Chen 36 D",Atletas!O264="Chen 56 D"),420,IF(Atletas!O264="Sun 73 D",421,IF(Atletas!O264="Wu 45 D",422,IF(Atletas!O264="Wu-Hao 46 D",423,IF(OR(Atletas!O264="Taijiquan 16 D",Atletas!O264="Taijiquan 24 D",Atletas!O264="Taijiquan 32 D",Atletas!O264="Taijiquan 42 D"),424,IF(OR(Atletas!O264="Yang 26 E",Atletas!O264="Yang 40 E"),425,IF(OR(Atletas!O264="Chen 25 E",Atletas!O264="Chen 36 E",Atletas!O264="Chen 56 E"),426,IF(Atletas!O264="Sun 73 E",427,IF(Atletas!O264="Wu 45 E",428,IF(Atletas!O264="Wu-Hao 46 E",429,IF(OR(Atletas!O264="Taijiquan 16 E",Atletas!O264="Taijiquan 24 E",Atletas!O264="Taijiquan 32 E",Atletas!O264="Taijiquan 42 E"),430,IF(OR(Atletas!O264="Yang 26 F",Atletas!O264="Yang 40 F"),431,IF(OR(Atletas!O264="Chen 25 F",Atletas!O264="Chen 36 F",Atletas!O264="Chen 56 F"),432,IF(Atletas!O264="Sun 73 F",433,IF(Atletas!O264="Wu 45 F",434,IF(Atletas!O264="Wu-Hao 46 F",435,IF(OR(Atletas!O264="Taijiquan 16 F",Atletas!O264="Taijiquan 24 F",Atletas!O264="Taijiquan 32 F",Atletas!O264="Taijiquan 42 F"),436,0)))))))))))))))))))</f>
        <v/>
      </c>
      <c r="BR268" s="52" t="str">
        <f>IF(Atletas!P264="","",IF(Atletas!W264&lt;&gt;"",10000,0)+IF(Atletas!B264="Feminino",1000,IF(Atletas!B264="Masculino",2000,""))+IF(Atletas!P264="Xingyiquan A",501,IF(Atletas!P264="Baguazhang A",502,IF(Atletas!P264="Outro Estilo Interno A",503,IF(Atletas!P264="Xingyiquan B",504,IF(Atletas!P264="Baguazhang B",505,IF(Atletas!P264="Outro Estilo Interno B",506,IF(Atletas!P264="Xingyiquan C",507,IF(Atletas!P264="Baguazhang C",508,IF(Atletas!P264="Outro Estilo Interno C",509,IF(Atletas!P264="Xingyiquan D",510,IF(Atletas!P264="Baguazhang D",511,IF(Atletas!P264="Outro Estilo Interno D",512,IF(Atletas!P264="Xingyiquan E",513,IF(Atletas!P264="Baguazhang E",514,IF(Atletas!P264="Outro Estilo Interno E",515,IF(Atletas!P264="Xingyiquan F",516,IF(Atletas!P264="Baguazhang F",517,IF(Atletas!P264="Outro Estilo Interno F",518, "")))))))))))))))))))</f>
        <v/>
      </c>
      <c r="BS268" s="52" t="str">
        <f>IF(Atletas!Q264="","",IF(Atletas!W264&lt;&gt;"",10000,0)+IF(Atletas!B264="Feminino",1000,IF(Atletas!B264="Masculino",2000,""))+IF(Atletas!Q264="Dao A",601,IF(Atletas!Q264="Jian A",602,IF(Atletas!Q264="Bishou A",603,IF(Atletas!Q264="Shan A",604,IF(Atletas!Q264="Outra Arma Curta A",605,IF(Atletas!Q264="Dao B",606,IF(Atletas!Q264="Jian B",607,IF(Atletas!Q264="Bishou B",608,IF(Atletas!Q264="Shan B",609,IF(Atletas!Q264="Outra Arma Curta B",610,IF(Atletas!Q264="Dao C",611,IF(Atletas!Q264="Jian C",612,IF(Atletas!Q264="Bishou C",613,IF(Atletas!Q264="Shan C",614,IF(Atletas!Q264="Outra Arma Curta C",615,IF(Atletas!Q264="Dao D",616,IF(Atletas!Q264="Jian D",617,IF(Atletas!Q264="Bishou D",618,IF(Atletas!Q264="Shan D",619,IF(Atletas!Q264="Outra Arma Curta D",620,IF(Atletas!Q264="Dao E",621,IF(Atletas!Q264="Jian E",622,IF(Atletas!Q264="Bishou E",623,IF(Atletas!Q264="Shan E",624,IF(Atletas!Q264="Outra Arma Curta E",625,IF(Atletas!Q264="Dao F",626,IF(Atletas!Q264="Jian F",627,IF(Atletas!Q264="Bishou F",628,IF(Atletas!Q264="Shan F",629,IF(Atletas!Q264="Outra Arma Curta F",630, "")))))))))))))))))))))))))))))))</f>
        <v/>
      </c>
      <c r="BT268" s="52" t="str">
        <f>IF(Atletas!R264="","",IF(Atletas!W264&lt;&gt;"",10000,0)+IF(Atletas!B264="Feminino",1000,IF(Atletas!B264="Masculino",2000,""))+IF(Atletas!R264="Gun A",701,IF(Atletas!R264="Qiang A",702,IF(Atletas!R264="Pudao / Guandao A",703,IF(Atletas!R264="Outra Arma Longa A",704,IF(Atletas!R264="Gun B",705,IF(Atletas!R264="Qiang B",706,IF(Atletas!R264="Pudao / Guandao B",707,IF(Atletas!R264="Outra Arma Longa B",708,IF(Atletas!R264="Gun C",709,IF(Atletas!R264="Qiang C",710,IF(Atletas!R264="Pudao / Guandao C",711,IF(Atletas!R264="Outra Arma Longa C",712,IF(Atletas!R264="Gun D",713,IF(Atletas!R264="Qiang D",714,IF(Atletas!R264="Pudao / Guandao D",715,IF(Atletas!R264="Outra Arma Longa D",716,IF(Atletas!R264="Gun E",717,IF(Atletas!R264="Qiang E",718,IF(Atletas!R264="Pudao / Guandao E",719,IF(Atletas!R264="Outra Arma Longa E",720,IF(Atletas!R264="Gun F",721,IF(Atletas!R264="Qiang F",722,IF(Atletas!R264="Pudao / Guandao F",723,IF(Atletas!R264="Outra Arma Longa F",724,"")))))))))))))))))))))))))</f>
        <v/>
      </c>
      <c r="BU268" s="52" t="str">
        <f>IF(Atletas!S264="","",IF(Atletas!W264&lt;&gt;"",10000,0)+IF(Atletas!B264="Feminino",1000,IF(Atletas!B264="Masculino",2000,""))+IF(Atletas!S264="Arma Dupla A",801,IF(Atletas!S264="Arma Maleável A",802,IF(Atletas!S264="Arma Dupla B",803,IF(Atletas!S264="Arma Maleável B",804,IF(Atletas!S264="Arma Dupla C",805,IF(Atletas!S264="Arma Maleável C",806,IF(Atletas!S264="Arma Dupla D",807,IF(Atletas!S264="Arma Maleável D",808,IF(Atletas!S264="Arma Dupla E",809,IF(Atletas!S264="Arma Maleável E",810,IF(Atletas!S264="Arma Dupla F",811,IF(Atletas!S264="Arma Maleável F",812, "")))))))))))))</f>
        <v/>
      </c>
      <c r="BV268" s="52" t="str">
        <f>IF(Atletas!T264="","",IF(Atletas!W264&lt;&gt;"",10000,0)+IF(Atletas!B264="Feminino",1000,IF(Atletas!B264="Masculino",2000,""))+IF(Atletas!T264="Taijijian Yang A",901,IF(Atletas!T264="Taijijian Chen A",902,IF(Atletas!T264="Taijijian Sun A",903,IF(Atletas!T264="Taijijian Wu A",904,IF(Atletas!T264="Taijijian Wu-Hao A",905,IF(Atletas!T264="Taijijian 32 A",906,IF(Atletas!T264="Taijijian 42 A",907,IF(Atletas!T264="Taijijian Yang B",908,IF(Atletas!T264="Taijijian Chen B",909,IF(Atletas!T264="Taijijian Sun B",910,IF(Atletas!T264="Taijijian Wu B",911,IF(Atletas!T264="Taijijian Wu-Hao B",912,IF(Atletas!T264="Taijijian 32 B",913,IF(Atletas!T264="Taijijian 42 B",914,IF(Atletas!T264="Taijijian Yang C",915,IF(Atletas!T264="Taijijian Chen C",916,IF(Atletas!T264="Taijijian Sun C",917,IF(Atletas!T264="Taijijian Wu C",918,IF(Atletas!T264="Taijijian Wu-Hao C",919,IF(Atletas!T264="Taijijian 32 C",920,IF(Atletas!T264="Taijijian 42 C",921,IF(Atletas!T264="Taijijian Yang D",922,IF(Atletas!T264="Taijijian Chen D",923,IF(Atletas!T264="Taijijian Sun D",924,IF(Atletas!T264="Taijijian Wu D",925,IF(Atletas!T264="Taijijian Wu-Hao D",926,IF(Atletas!T264="Taijijian 32 D",927,IF(Atletas!T264="Taijijian 42 D",928,IF(Atletas!T264="Taijijian Yang E",929,IF(Atletas!T264="Taijijian Chen E",930,IF(Atletas!T264="Taijijian Sun E",931,IF(Atletas!T264="Taijijian Wu E",932,IF(Atletas!T264="Taijijian Wu-Hao E",933,IF(Atletas!T264="Taijijian 32 E",934,IF(Atletas!T264="Taijijian 42 E",935,IF(Atletas!T264="Taijijian Yang F",936,IF(Atletas!T264="Taijijian Chen F",937,IF(Atletas!T264="Taijijian Sun F",938,IF(Atletas!T264="Taijijian Wu F",939,IF(Atletas!T264="Taijijian Wu-Hao F",940,IF(Atletas!T264="Taijijian 32 F",941,IF(Atletas!T264="Taijijian 42 F",942,"")))))))))))))))))))))))))))))))))))))))))))</f>
        <v/>
      </c>
      <c r="BW268" s="52" t="str">
        <f>IF(Atletas!U264="","",IF(Atletas!W264&lt;&gt;"",10000,0)+IF(Atletas!B264="Feminino",1000,IF(Atletas!B264="Masculino",2000,""))+IF(Atletas!T264="Taijijian 42 F",942,IF(Atletas!U264="Taijidao A",943,IF(Atletas!U264="Taijishan A",944,IF(Atletas!U264="Taijiqiang A",945,IF(Atletas!U264="Taijidao B",946,IF(Atletas!U264="Taijishan B",947,IF(Atletas!U264="Taijiqiang B",948,IF(Atletas!U264="Taijidao C",949,IF(Atletas!U264="Taijishan C",950,IF(Atletas!U264="Taijiqiang C",951,IF(Atletas!U264="Taijidao D",952,IF(Atletas!U264="Taijishan D",953,IF(Atletas!U264="Taijiqiang D",954,IF(Atletas!U264="Taijidao E",955,IF(Atletas!U264="Taijishan E",956,IF(Atletas!U264="Taijiqiang E",957,IF(Atletas!U264="Taijidao F",958,IF(Atletas!U264="Taijishan F",959,IF(Atletas!U264="Taijiqiang F",960))))))))))))))))))))</f>
        <v/>
      </c>
      <c r="BX268" s="72" t="str">
        <f>IF(BY268&lt;&gt;"","Outra Arma Longa D","")</f>
        <v/>
      </c>
      <c r="BY268" s="72" t="str">
        <f>IF(COUNTIF(BK:BW,1716)&gt;0,COUNTIF(BK:BW,1716),"")</f>
        <v/>
      </c>
      <c r="BZ268" s="72" t="str">
        <f>IF(CA268&lt;&gt;"","Outra Arma Longa D","")</f>
        <v/>
      </c>
      <c r="CA268" s="72" t="str">
        <f>IF(COUNTIF(BK:BW,2716)&gt;0,COUNTIF(BK:BW,2716),"")</f>
        <v/>
      </c>
      <c r="CB268" s="72" t="str">
        <f>IF(CC268&lt;&gt;"","Xingyiquan B","")</f>
        <v/>
      </c>
      <c r="CC268" s="64" t="str">
        <f>IF(COUNTIF(BK:BW,11504)&gt;0,COUNTIF(BK:BW,11504),"")</f>
        <v/>
      </c>
      <c r="CD268" s="64" t="str">
        <f>IF(CE268&lt;&gt;"","Xingyiquan B","")</f>
        <v/>
      </c>
      <c r="CE268" s="64" t="str">
        <f>IF(COUNTIF(BK:BW,12504)&gt;0,COUNTIF(BK:BW,12504),"")</f>
        <v/>
      </c>
      <c r="CF268" s="52" t="str">
        <f xml:space="preserve"> IF(Atletas!V264="","",IF(Atletas!V264="Duilian de Mãos AB - Equipe 1",1,IF(Atletas!V264="Duilian de Mãos AB - Equipe 2",2,IF(Atletas!V264="Duilian de Armas AB - Equipe 1",3,IF(Atletas!V264="Duilian de Armas AB - Equipe 2",4,IF(Atletas!V264="Duilian de Tuishou - Equipe 1",5,IF(Atletas!V264="Duilian de Tuishou - Equipe 2",6,IF(Atletas!V264="Grupo Externo AB - Equipe 1",7,IF(Atletas!V264="Grupo Externo AB - Equipe 2",8,IF(Atletas!V264="Grupo Interno AB - Equipe 1",9,IF(Atletas!V264="Grupo Interno AB - Equipe 2",10,IF(Atletas!V264="Duilian de Mãos CD - Equipe 1",11,IF(Atletas!V264="Duilian de Mãos CD - Equipe 2",12,IF(Atletas!V264="Duilian de Armas CD - Equipe 1",13,IF(Atletas!V264="Duilian de Armas CD - Equipe 2",14,IF(Atletas!V264="Duilian de Tuishou - Equipe 1",15,IF(Atletas!V264="Duilian de Tuishou - Equipe 2",16,IF(Atletas!V264="Grupo Externo CDEF - Equipe 1",17,IF(Atletas!V264="Grupo Externo CDEF - Equipe 2",18,IF(Atletas!V264="Grupo Interno CDEF - Equipe 1",19,IF(Atletas!V264="Grupo Interno CDEF - Equipe 2",20,IF(Atletas!V264="Duilian de Mãos EF - Equipe 1",21,IF(Atletas!V264="Duilian de Mãos EF - Equipe 2",22,IF(Atletas!V264="Duilian de Armas EF - Equipe 1",23,IF(Atletas!V264="Duilian de Armas EF - Equipe 2",24,IF(Atletas!V264="Duilian de Tuishou - Equipe 1",25,IF(Atletas!V264="Duilian de Tuishou - Equipe 2",26,"")))))))))))))))))))))))))))</f>
        <v/>
      </c>
    </row>
    <row r="269" spans="2:84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 t="str">
        <f t="array" ref="V269">IFERROR(INDEX(BX$7:BX$336,SMALL(IF(BX$7:BX$336&lt;&gt;"",ROW(BX$7:BX$336)-ROW(BX$7)+1),ROWS(BX$7:BX226))),"")</f>
        <v/>
      </c>
      <c r="W269" s="4" t="str">
        <f t="array" ref="W269">IFERROR(INDEX(BY$7:BY$336,SMALL(IF(BY$7:BY$336&lt;&gt;"",ROW(BY$7:BY$336)-ROW(BY$7)+1),ROWS(BY$7:BY226))),"")</f>
        <v/>
      </c>
      <c r="X269" s="4" t="str">
        <f t="array" ref="X269">IFERROR(INDEX(BZ$7:BZ$336,SMALL(IF(BZ$7:BZ$336&lt;&gt;"",ROW(BZ$7:BZ$336)-ROW(BZ$7)+1),ROWS(BZ$7:BZ226))),"")</f>
        <v/>
      </c>
      <c r="Y269" s="4" t="str">
        <f t="array" ref="Y269">IFERROR(INDEX(CA$7:CA$336,SMALL(IF(CA$7:CA$336&lt;&gt;"",ROW(CA$7:CA$336)-ROW(CA$7)+1),ROWS(CA$7:CA226))),"")</f>
        <v/>
      </c>
      <c r="Z269" s="4" t="str">
        <f t="array" ref="Z269">IFERROR(INDEX(CB$7:CB$378,SMALL(IF(CB$7:CB$378&lt;&gt;"",ROW(CB$7:CB$378)-ROW(CB$7)+1),ROWS(CB$7:CB268))),"")</f>
        <v/>
      </c>
      <c r="AA269" s="4" t="str">
        <f t="array" ref="AA269">IFERROR(INDEX(CC$7:CC$378,SMALL(IF(CC$7:CC$378&lt;&gt;"",ROW(CC$7:CC$378)-ROW(CC$7)+1),ROWS(CC$7:CC268))),"")</f>
        <v/>
      </c>
      <c r="AB269" s="4" t="str">
        <f t="array" ref="AB269">IFERROR(INDEX(CD$7:CD$378,SMALL(IF(CD$7:CD$378&lt;&gt;"",ROW(CD$7:CD$378)-ROW(CD$7)+1),ROWS(CD$7:CD268))),"")</f>
        <v/>
      </c>
      <c r="AC269" s="4" t="str">
        <f t="array" ref="AC269">IFERROR(INDEX(CE$7:CE$378,SMALL(IF(CE$7:CE$378&lt;&gt;"",ROW(CE$7:CE$378)-ROW(CE$7)+1),ROWS(CE$7:CE268))),"")</f>
        <v/>
      </c>
      <c r="AD269" s="4"/>
      <c r="AE269" s="4"/>
      <c r="AF269" s="4"/>
      <c r="AG269" s="4"/>
      <c r="AH269" s="4"/>
      <c r="AI269" s="4"/>
      <c r="AJ269" s="46" t="str">
        <f>IF(Atletas!D265="","",IF(Atletas!B265="Feminino",100,IF(Atletas!B265="Masculino",200,""))+(IF(Atletas!D265="Infantil 39kg",1,IF(Atletas!D265="Infantil 42kg",2,IF(Atletas!D265="Infantil 45kg",3,IF(Atletas!D265="Infantil 48kg",4,IF(Atletas!D265="Infantil 52kg",5,IF(Atletas!D265="Infantil 56kg",6,IF(Atletas!D265="Infantil 60kg",7,IF(Atletas!D265="Juvenil 48kg",8,IF(Atletas!D265="Juvenil 52kg",9,IF(Atletas!D265="Juvenil 56kg",10,IF(Atletas!D265="Juvenil 60kg",11,IF(Atletas!D265="Juvenil 65kg",12,IF(Atletas!D265="Juvenil 70kg",13,IF(Atletas!D265="Juvenil 75kg",14,IF(Atletas!D265="Juvenil 80kg",15,IF(Atletas!D265="Adulto 48kg",16,IF(Atletas!D265="Adulto 52kg",17,IF(Atletas!D265="Adulto 56kg",18,IF(Atletas!D265="Adulto 60kg",19,IF(Atletas!D265="Adulto 65kg",20,IF(Atletas!D265="Adulto 70kg",21,IF(Atletas!D265="Adulto 75kg",22,IF(Atletas!D265="Adulto 80kg",23,IF(Atletas!D265="Adulto 85kg",24,IF(Atletas!D265="Adulto 90kg",25,IF(Atletas!D265="Adulto +90kg",26,""))))))))))))))))))))))))))))</f>
        <v/>
      </c>
      <c r="AO269" s="10" t="str">
        <f>IF(Atletas!E265="","",IF(Atletas!B265="Feminino",100,IF(Atletas!B265="Masculino",200,""))+(IF(Atletas!E265="Juvenil 44kg",1,IF(Atletas!E265="Juvenil 48kg",2,IF(Atletas!E265="Juvenil 52kg",3,IF(Atletas!E265="Juvenil 56kg",4,IF(Atletas!E265="Juvenil 60kg",5,IF(Atletas!E265="Juvenil 65kg",6,IF(Atletas!E265="Juvenil 70kg",7,IF(Atletas!E265="Juvenil 75kg",8,IF(Atletas!E265="Juvenil 82kg",9,IF(Atletas!E265="Juvenil 90kg",10,IF(Atletas!E265="Juvenil 100kg",11,IF(Atletas!E265="Adulto 48kg",12,IF(Atletas!E265="Adulto 52kg",13,IF(Atletas!E265="Adulto 56kg",14,IF(Atletas!E265="Adulto 60kg",15,IF(Atletas!E265="Adulto 65kg",16,IF(Atletas!E265="Adulto 70kg",17,IF(Atletas!E265="Adulto 75kg",18,IF(Atletas!E265="Adulto 82kg",19,IF(Atletas!E265="Adulto 90kg",20,IF(Atletas!E265="Adulto 100kg",21,IF(Atletas!E265="Adulto +100kg",22,""))))))))))))))))))))))))</f>
        <v/>
      </c>
      <c r="AT269" s="10" t="str">
        <f>IF(Atletas!F265="","",IF(Atletas!B265="Feminino",100,IF(Atletas!B265="Masculino",200,""))+(IF(Atletas!F265="Adulto 48kg",1,IF(Atletas!F265="Adulto 56kg",2,IF(Atletas!F265="Adulto 65kg",3,IF(Atletas!F265="Adulto 75kg",4,IF(Atletas!F265="Adulto +75kg",5,IF(Atletas!F265="Adulto 52kg",6,IF(Atletas!F265="Adulto 60kg",7,IF(Atletas!F265="Adulto 70kg",8,IF(Atletas!F265="Adulto 80kg",9,IF(Atletas!F265="Adulto 90kg",10,IF(Atletas!F265="Adulto +90kg",11,"")))))))))))))</f>
        <v/>
      </c>
      <c r="AY269" s="46" t="str">
        <f>IF(Atletas!G265="","",IF(Atletas!B265="Feminino",100,IF(Atletas!B265="Masculino",200,""))+(IF(Atletas!G265="Changquan Mirim",1,IF(Atletas!G265="Nanquan Mirim",2,IF(Atletas!G265="Taijiquan Mirim",3,IF(Atletas!G265="Changquan Grupo C",4,IF(Atletas!G265="Nanquan Grupo C",5,IF(Atletas!G265="Taijiquan Grupo C",6,IF(Atletas!G265="Changquan Grupo B",7,IF(Atletas!G265="Nanquan Grupo B",8,IF(Atletas!G265="Taijiquan Grupo B",9,IF(Atletas!G265="Changquan Grupo A",10,IF(Atletas!G265="Nanquan Grupo A",11,IF(Atletas!G265="Taijiquan Grupo A",12,IF(Atletas!G265="Changquan Opcional",13,IF(Atletas!G265="Nanquan Opcional",14,IF(Atletas!G265="Taijiquan Opcional",15,IF(Atletas!G265="Changquan Adulto",16,IF(Atletas!G265="Nanquan Adulto",17,IF(Atletas!G265="Taijiquan Adulto",18,""))))))))))))))))))))</f>
        <v/>
      </c>
      <c r="AZ269" s="46" t="str">
        <f>IF(Atletas!H265="","",IF(Atletas!B265="Feminino",100,IF(Atletas!B265="Masculino",200,""))+(IF(Atletas!H265="Daoshu Mirim",19,IF(Atletas!H265="Jianshu Mirim",20,IF(Atletas!H265="Nandao Mirim",21,IF(Atletas!H265="Taijijian Mirim",22,IF(Atletas!H265="Daoshu Grupo C",23,IF(Atletas!H265="Jianshu Grupo C",24,IF(Atletas!H265="Nandao Grupo C",25,IF(Atletas!H265="Taijijian Grupo C",26,IF(Atletas!H265="Daoshu Grupo B",27,IF(Atletas!H265="Jianshu Grupo B",28,IF(Atletas!H265="Nandao Grupo B",29,IF(Atletas!H265="Taijijian Grupo B",30,IF(Atletas!H265="Daoshu Grupo A",31,IF(Atletas!H265="Jianshu Grupo A",32,IF(Atletas!H265="Nandao Grupo A",33,IF(Atletas!H265="Taijijian Grupo A",34,IF(Atletas!H265="Daoshu Opcional",35,IF(Atletas!H265="Jianshu Opcional",36,IF(Atletas!H265="Nandao Opcional",37,IF(Atletas!H265="Taijijian Opcional",38,IF(Atletas!H265="Daoshu Adulto",39,IF(Atletas!H265="Jianshu Adulto",40,IF(Atletas!H265="Nandao Adulto",41,IF(Atletas!H265="Taijijian Adulto",42,""))))))))))))))))))))))))))</f>
        <v/>
      </c>
      <c r="BA269" s="46" t="str">
        <f>IF(Atletas!I265="","",IF(Atletas!B265="Feminino",100,IF(Atletas!B265="Masculino",200,""))+(IF(Atletas!I265="Gunshu Mirim",43,IF(Atletas!I265="Qiangshu Mirim",44,IF(Atletas!I265="Nangun Mirim",45,IF(Atletas!I265="Gunshu Grupo C",46,IF(Atletas!I265="Qiangshu Grupo C",47,IF(Atletas!I265="Nangun Grupo C",48,IF(Atletas!I265="Gunshu Grupo B",49,IF(Atletas!I265="Qiangshu Grupo B",50,IF(Atletas!I265="Nangun Grupo B",51,IF(Atletas!I265="Gunshu Grupo A",52,IF(Atletas!I265="Qiangshu Grupo A",53,IF(Atletas!I265="Nangun Grupo A",54,IF(Atletas!I265="Gunshu Opcional",55,IF(Atletas!I265="Qiangshu Opcional",56,IF(Atletas!I265="Nangun Opcional",57,IF(Atletas!I265="Gunshu Adulto",58,IF(Atletas!I265="Qiangshu Adulto",59,IF(Atletas!I265="Nangun Adulto",60,""))))))))))))))))))))</f>
        <v/>
      </c>
      <c r="BF269" s="52" t="str">
        <f>IF(Atletas!J265="","",IF(Atletas!B265="Feminino",100,IF(Atletas!B265="Masculino",200,""))+(IF(Atletas!J265="Equipe 1 Grupo B",1,IF(Atletas!J265="Equipe 2 Grupo B",2,IF(Atletas!J265="Equipe 1 Grupo A",3,IF(Atletas!J265="Equipe 2 Grupo A",4,IF(Atletas!J265="Equipe 1 Adulto",5,IF(Atletas!J265="Equipe 2 Adulto",6,""))))))))</f>
        <v/>
      </c>
      <c r="BK269" s="52" t="str">
        <f>IF(Atletas!K265="","",IF(Atletas!W265&lt;&gt;"",10000,0)+(IF(Atletas!B265="Feminino",1000,IF(Atletas!B265="Masculino",2000,""))+IF(Atletas!K265="Choylayfut A",1,IF(Atletas!K265="Hunggar A",2,IF(Atletas!K265="Wuzuquan A",3,IF(Atletas!K265="Wingchun A",4,IF(Atletas!K265="Outra Mão de Sul A",5,IF(Atletas!K265="Choylayfut B",6,IF(Atletas!K265="Hunggar B",7,IF(Atletas!K265="Wuzuquan B",8,IF(Atletas!K265="Wingchun B",9,IF(Atletas!K265="Outra Mão de Sul B",10,IF(Atletas!K265="Choylayfut C",11,IF(Atletas!K265="Hunggar C",12,IF(Atletas!K265="Wuzuquan C",13,IF(Atletas!K265="Wingchun C",14,IF(Atletas!K265="Outra Mão de Sul C",15,IF(Atletas!K265="Choylayfut D",16,IF(Atletas!K265="Hunggar D",17,IF(Atletas!K265="Wuzuquan D",18,IF(Atletas!K265="Wingchun D",19,IF(Atletas!K265="Outra Mão de Sul D",20,IF(Atletas!K265="Choylayfut E",21,IF(Atletas!K265="Hunggar E",22,IF(Atletas!K265="Wuzuquan E",23,IF(Atletas!K265="Wingchun E",24,IF(Atletas!K265="Outra Mão de Sul E",25,IF(Atletas!K265="Choylayfut F",26,IF(Atletas!K265="Hunggar F",27,IF(Atletas!K265="Wuzuquan F",28,IF(Atletas!K265="Wingchun F",29,IF(Atletas!K265="Outra Mão de Sul F",30,""))))))))))))))))))))))))))))))))</f>
        <v/>
      </c>
      <c r="BL269" s="52" t="str">
        <f>IF(Atletas!L265="","",IF(Atletas!W265&lt;&gt;"",10000,0)+(IF(Atletas!B265="Feminino",1000,IF(Atletas!B265="Masculino",2000,""))+(IF(Atletas!L265="Chaquan A",101,IF(Atletas!L265="Emeiquan A",102,IF(Atletas!L265="Fanziquan A",103,IF(Atletas!L265="Huaquan A",104,IF(Atletas!L265="Hongquan A",105,IF(Atletas!L265="Paochui A",106,IF(Atletas!L265="Piguaquan A",107,IF(Atletas!L265="Shaolinquan A",108,IF(Atletas!L265="Tanglangquan A",109,IF(Atletas!L265="Yinzhaophai A",110,IF(Atletas!L265="Tongbeiquan A",111,IF(Atletas!L265="Wudangquan A",112,IF(Atletas!L265="Outros Estilos A",113,IF(Atletas!L265="Chaquan B",114,IF(Atletas!L265="Emeiquan B",115,IF(Atletas!L265="Fanziquan B",116,IF(Atletas!L265="Huaquan B",117,IF(Atletas!L265="Hongquan B",118,IF(Atletas!L265="Paochui B",119,IF(Atletas!L265="Piguaquan B",120,IF(Atletas!L265="Shaolinquan B",121,IF(Atletas!L265="Tanglangquan B",122,IF(Atletas!L265="Yinzhaophai B",123,IF(Atletas!L265="Tongbeiquan B",124,IF(Atletas!L265="Wudangquan B",125,IF(Atletas!L265="Outros Estilos B",126,IF(Atletas!L265="Chaquan C",127,IF(Atletas!L265="Emeiquan C",128,IF(Atletas!L265="Fanziquan C",129,IF(Atletas!L265="Huaquan C",130,IF(Atletas!L265="Hongquan C",131,IF(Atletas!L265="Paochui C",132,IF(Atletas!L265="Piguaquan C",133,IF(Atletas!L265="Shaolinquan C",134,IF(Atletas!L265="Tanglangquan C",135,IF(Atletas!L265="Yinzhaophai C",136,IF(Atletas!L265="Tongbeiquan C",137,IF(Atletas!L265="Wudangquan C",138,IF(Atletas!L265="Outros Estilos C",139,0))))))))))))))))))))))))))))))))))))))))))</f>
        <v/>
      </c>
      <c r="BM269" s="52" t="str">
        <f>IF(Atletas!L265="","",IF(Atletas!W265&lt;&gt;"",10000,0)+(IF(Atletas!B265="Feminino",1000,IF(Atletas!B265="Masculino",2000,""))+(IF(Atletas!L265="Chaquan D",140,IF(Atletas!L265="Emeiquan D",141,IF(Atletas!L265="Fanziquan D",142,IF(Atletas!L265="Huaquan D",143,IF(Atletas!L265="Hongquan D",144,IF(Atletas!L265="Paochui D",145,IF(Atletas!L265="Piguaquan D",146,IF(Atletas!L265="Shaolinquan D",147,IF(Atletas!L265="Tanglangquan D",148,IF(Atletas!L265="Yinzhaophai D",149,IF(Atletas!L265="Tongbeiquan D",150,IF(Atletas!L265="Wudangquan D",151,IF(Atletas!L265="Outros Estilos D",152,IF(Atletas!L265="Chaquan E",153,IF(Atletas!L265="Emeiquan E",154,IF(Atletas!L265="Fanziquan E",155,IF(Atletas!L265="Huaquan E",156,IF(Atletas!L265="Hongquan E",157,IF(Atletas!L265="Paochui E",158,IF(Atletas!L265="Piguaquan E",159,IF(Atletas!L265="Shaolinquan E",160,IF(Atletas!L265="Tanglangquan E",161,IF(Atletas!L265="Yinzhaophai E",162,IF(Atletas!L265="Tongbeiquan E",163,IF(Atletas!L265="Wudangquan E",164,IF(Atletas!L265="Outros Estilos E",165,IF(Atletas!L265="Chaquan F",166,IF(Atletas!L265="Emeiquan F",167,IF(Atletas!L265="Fanziquan F",168,IF(Atletas!L265="Huaquan F",169,IF(Atletas!L265="Hongquan F",170,IF(Atletas!L265="Paochui F",171,IF(Atletas!L265="Piguaquan F",172,IF(Atletas!L265="Shaolinquan F",173,IF(Atletas!L265="Tanglangquan F",174,IF(Atletas!L265="Yinzhaophai F",175,IF(Atletas!L265="Tongbeiquan F",176,IF(Atletas!L265="Wudangquan F",177,IF(Atletas!L265="Outros Estilos F",178,0))))))))))))))))))))))))))))))))))))))))))</f>
        <v/>
      </c>
      <c r="BN269" s="52" t="str">
        <f>IF(Atletas!M265="","",IF(Atletas!W265&lt;&gt;"",10000,0)+(IF(Atletas!B265="Feminino",1000,IF(Atletas!B265="Masculino",2000,""))+(IF(Atletas!M265="Ditangquan A",201,IF(Atletas!M265="Houquan A",202,IF(Atletas!M265="Zuiquan A",203,IF(Atletas!M265="Ditangquan B",204,IF(Atletas!M265="Houquan B",205,IF(Atletas!M265="Zuiquan B",206,IF(Atletas!M265="Ditangquan C",207,IF(Atletas!M265="Houquan C",208,IF(Atletas!M265="Zuiquan C",209,IF(Atletas!M265="Ditangquan D",210,IF(Atletas!M265="Houquan D",211,IF(Atletas!M265="Zuiquan D",212,IF(Atletas!M265="Ditangquan E",213,IF(Atletas!M265="Houquan E",214,IF(Atletas!M265="Zuiquan E",215,IF(Atletas!M265="Ditangquan F",216,IF(Atletas!M265="Houquan F",217,IF(Atletas!M265="Zuiquan F",218,"")))))))))))))))))))))</f>
        <v/>
      </c>
      <c r="BO269" s="52" t="str">
        <f>IF(Atletas!N265="","",IF(Atletas!W265&lt;&gt;"",10000,0)+IF(Atletas!B265="Feminino",1000,IF(Atletas!B265="Masculino",2000,""))+IF(Atletas!N265="Yang A",301,IF(Atletas!N265="Chen A",30,IF(Atletas!N265="Sun A",303,IF(Atletas!N265="Wu A",304,IF(Atletas!N265="Wu-Hao A",305,IF(Atletas!N265="Outro Taijiquan A",306,IF(Atletas!N265="Yang B",307,IF(Atletas!N265="Chen B",308,IF(Atletas!N265="Sun B",309,IF(Atletas!N265="Wu B",310,IF(Atletas!N265="Wu-Hao B",311,IF(Atletas!N265="Outro Taijiquan B",312,IF(Atletas!N265="Yang C",313,IF(Atletas!N265="Chen C",314,IF(Atletas!N265="Sun C",315,IF(Atletas!N265="Wu C",316,IF(Atletas!N265="Wu-Hao C",317,IF(Atletas!N265="Outro Taijiquan C",318,IF(Atletas!N265="Yang D",319,IF(Atletas!N265="Chen D",320,IF(Atletas!N265="Sun D",321,IF(Atletas!N265="Wu D",322,IF(Atletas!N265="Wu-Hao D",323,IF(Atletas!N265="Outro Taijiquan D",324,IF(Atletas!N265="Yang E",325,IF(Atletas!N265="Chen E",326,IF(Atletas!N265="Sun E",327,IF(Atletas!N265="Wu E",328,IF(Atletas!N265="Wu-Hao E",329,IF(Atletas!N265="Outro Taijiquan E",330,IF(Atletas!N265="Yang F",331,IF(Atletas!N265="Chen F",332,IF(Atletas!N265="Sun F",333,IF(Atletas!N265="Wu F",334,IF(Atletas!N265="Wu-Hao F",335,IF(Atletas!N265="Outro Taijiquan F",336,"")))))))))))))))))))))))))))))))))))))</f>
        <v/>
      </c>
      <c r="BP269" s="52" t="str">
        <f>IF(Atletas!O265="","",IF(Atletas!W265&lt;&gt;"",10000,0)+IF(Atletas!B265="Feminino",1000,IF(Atletas!B265="Masculino",2000,""))+IF(OR(Atletas!O265="Yang 26 A",Atletas!O265="Yang 40 A"),401,IF(OR(Atletas!O265="Chen 25 A",Atletas!O265="Chen 36 A",Atletas!O265="Chen 56 A"),402,IF(Atletas!O265="Sun 73 A",403,IF(Atletas!O265="Wu 45 A",404,IF(Atletas!O265="Wu-Hao 46 A",405,IF(OR(Atletas!O265="Taijiquan 16 A",Atletas!O265="Taijiquan 24 A",Atletas!O265="Taijiquan 32 A",Atletas!O265="Taijiquan 42 A"),406,IF(OR(Atletas!O265="Yang 26 B",Atletas!O265="Yang 40 B"),407,IF(OR(Atletas!O265="Chen 25 B",Atletas!O265="Chen 36 B",Atletas!O265="Chen 56 B"),408,IF(Atletas!O265="Sun 73 B",409,IF(Atletas!O265="Wu 45 B",410,IF(Atletas!O265="Wu-Hao 46 B",411,IF(OR(Atletas!O265="Taijiquan 16 B",Atletas!O265="Taijiquan 24 B",Atletas!O265="Taijiquan 32 B",Atletas!O265="Taijiquan 42 B"),412,IF(OR(Atletas!O265="Yang 26 C",Atletas!O265="Yang 40 C"),413,IF(OR(Atletas!O265="Chen 25 C",Atletas!O265="Chen 36 C",Atletas!O265="Chen 56 C"),414,IF(Atletas!O265="Sun 73 C",415,IF(Atletas!O265="Wu 45 C",416,IF(Atletas!O265="Wu-Hao 46 C",417,IF(OR(Atletas!O265="Taijiquan 16 C",Atletas!O265="Taijiquan 24 C",Atletas!O265="Taijiquan 32 C",Atletas!O265="Taijiquan 42 C"),418,0)))))))))))))))))))</f>
        <v/>
      </c>
      <c r="BQ269" s="52" t="str">
        <f>IF(Atletas!O265="","",IF(Atletas!W265&lt;&gt;"",10000,0)+IF(Atletas!B265="Feminino",1000,IF(Atletas!B265="Masculino",2000,""))+IF(OR(Atletas!O265="Yang 26 D",Atletas!O265="Yang 40 D"),419,IF(OR(Atletas!O265="Chen 25 D",Atletas!O265="Chen 36 D",Atletas!O265="Chen 56 D"),420,IF(Atletas!O265="Sun 73 D",421,IF(Atletas!O265="Wu 45 D",422,IF(Atletas!O265="Wu-Hao 46 D",423,IF(OR(Atletas!O265="Taijiquan 16 D",Atletas!O265="Taijiquan 24 D",Atletas!O265="Taijiquan 32 D",Atletas!O265="Taijiquan 42 D"),424,IF(OR(Atletas!O265="Yang 26 E",Atletas!O265="Yang 40 E"),425,IF(OR(Atletas!O265="Chen 25 E",Atletas!O265="Chen 36 E",Atletas!O265="Chen 56 E"),426,IF(Atletas!O265="Sun 73 E",427,IF(Atletas!O265="Wu 45 E",428,IF(Atletas!O265="Wu-Hao 46 E",429,IF(OR(Atletas!O265="Taijiquan 16 E",Atletas!O265="Taijiquan 24 E",Atletas!O265="Taijiquan 32 E",Atletas!O265="Taijiquan 42 E"),430,IF(OR(Atletas!O265="Yang 26 F",Atletas!O265="Yang 40 F"),431,IF(OR(Atletas!O265="Chen 25 F",Atletas!O265="Chen 36 F",Atletas!O265="Chen 56 F"),432,IF(Atletas!O265="Sun 73 F",433,IF(Atletas!O265="Wu 45 F",434,IF(Atletas!O265="Wu-Hao 46 F",435,IF(OR(Atletas!O265="Taijiquan 16 F",Atletas!O265="Taijiquan 24 F",Atletas!O265="Taijiquan 32 F",Atletas!O265="Taijiquan 42 F"),436,0)))))))))))))))))))</f>
        <v/>
      </c>
      <c r="BR269" s="52" t="str">
        <f>IF(Atletas!P265="","",IF(Atletas!W265&lt;&gt;"",10000,0)+IF(Atletas!B265="Feminino",1000,IF(Atletas!B265="Masculino",2000,""))+IF(Atletas!P265="Xingyiquan A",501,IF(Atletas!P265="Baguazhang A",502,IF(Atletas!P265="Outro Estilo Interno A",503,IF(Atletas!P265="Xingyiquan B",504,IF(Atletas!P265="Baguazhang B",505,IF(Atletas!P265="Outro Estilo Interno B",506,IF(Atletas!P265="Xingyiquan C",507,IF(Atletas!P265="Baguazhang C",508,IF(Atletas!P265="Outro Estilo Interno C",509,IF(Atletas!P265="Xingyiquan D",510,IF(Atletas!P265="Baguazhang D",511,IF(Atletas!P265="Outro Estilo Interno D",512,IF(Atletas!P265="Xingyiquan E",513,IF(Atletas!P265="Baguazhang E",514,IF(Atletas!P265="Outro Estilo Interno E",515,IF(Atletas!P265="Xingyiquan F",516,IF(Atletas!P265="Baguazhang F",517,IF(Atletas!P265="Outro Estilo Interno F",518, "")))))))))))))))))))</f>
        <v/>
      </c>
      <c r="BS269" s="52" t="str">
        <f>IF(Atletas!Q265="","",IF(Atletas!W265&lt;&gt;"",10000,0)+IF(Atletas!B265="Feminino",1000,IF(Atletas!B265="Masculino",2000,""))+IF(Atletas!Q265="Dao A",601,IF(Atletas!Q265="Jian A",602,IF(Atletas!Q265="Bishou A",603,IF(Atletas!Q265="Shan A",604,IF(Atletas!Q265="Outra Arma Curta A",605,IF(Atletas!Q265="Dao B",606,IF(Atletas!Q265="Jian B",607,IF(Atletas!Q265="Bishou B",608,IF(Atletas!Q265="Shan B",609,IF(Atletas!Q265="Outra Arma Curta B",610,IF(Atletas!Q265="Dao C",611,IF(Atletas!Q265="Jian C",612,IF(Atletas!Q265="Bishou C",613,IF(Atletas!Q265="Shan C",614,IF(Atletas!Q265="Outra Arma Curta C",615,IF(Atletas!Q265="Dao D",616,IF(Atletas!Q265="Jian D",617,IF(Atletas!Q265="Bishou D",618,IF(Atletas!Q265="Shan D",619,IF(Atletas!Q265="Outra Arma Curta D",620,IF(Atletas!Q265="Dao E",621,IF(Atletas!Q265="Jian E",622,IF(Atletas!Q265="Bishou E",623,IF(Atletas!Q265="Shan E",624,IF(Atletas!Q265="Outra Arma Curta E",625,IF(Atletas!Q265="Dao F",626,IF(Atletas!Q265="Jian F",627,IF(Atletas!Q265="Bishou F",628,IF(Atletas!Q265="Shan F",629,IF(Atletas!Q265="Outra Arma Curta F",630, "")))))))))))))))))))))))))))))))</f>
        <v/>
      </c>
      <c r="BT269" s="52" t="str">
        <f>IF(Atletas!R265="","",IF(Atletas!W265&lt;&gt;"",10000,0)+IF(Atletas!B265="Feminino",1000,IF(Atletas!B265="Masculino",2000,""))+IF(Atletas!R265="Gun A",701,IF(Atletas!R265="Qiang A",702,IF(Atletas!R265="Pudao / Guandao A",703,IF(Atletas!R265="Outra Arma Longa A",704,IF(Atletas!R265="Gun B",705,IF(Atletas!R265="Qiang B",706,IF(Atletas!R265="Pudao / Guandao B",707,IF(Atletas!R265="Outra Arma Longa B",708,IF(Atletas!R265="Gun C",709,IF(Atletas!R265="Qiang C",710,IF(Atletas!R265="Pudao / Guandao C",711,IF(Atletas!R265="Outra Arma Longa C",712,IF(Atletas!R265="Gun D",713,IF(Atletas!R265="Qiang D",714,IF(Atletas!R265="Pudao / Guandao D",715,IF(Atletas!R265="Outra Arma Longa D",716,IF(Atletas!R265="Gun E",717,IF(Atletas!R265="Qiang E",718,IF(Atletas!R265="Pudao / Guandao E",719,IF(Atletas!R265="Outra Arma Longa E",720,IF(Atletas!R265="Gun F",721,IF(Atletas!R265="Qiang F",722,IF(Atletas!R265="Pudao / Guandao F",723,IF(Atletas!R265="Outra Arma Longa F",724,"")))))))))))))))))))))))))</f>
        <v/>
      </c>
      <c r="BU269" s="52" t="str">
        <f>IF(Atletas!S265="","",IF(Atletas!W265&lt;&gt;"",10000,0)+IF(Atletas!B265="Feminino",1000,IF(Atletas!B265="Masculino",2000,""))+IF(Atletas!S265="Arma Dupla A",801,IF(Atletas!S265="Arma Maleável A",802,IF(Atletas!S265="Arma Dupla B",803,IF(Atletas!S265="Arma Maleável B",804,IF(Atletas!S265="Arma Dupla C",805,IF(Atletas!S265="Arma Maleável C",806,IF(Atletas!S265="Arma Dupla D",807,IF(Atletas!S265="Arma Maleável D",808,IF(Atletas!S265="Arma Dupla E",809,IF(Atletas!S265="Arma Maleável E",810,IF(Atletas!S265="Arma Dupla F",811,IF(Atletas!S265="Arma Maleável F",812, "")))))))))))))</f>
        <v/>
      </c>
      <c r="BV269" s="52" t="str">
        <f>IF(Atletas!T265="","",IF(Atletas!W265&lt;&gt;"",10000,0)+IF(Atletas!B265="Feminino",1000,IF(Atletas!B265="Masculino",2000,""))+IF(Atletas!T265="Taijijian Yang A",901,IF(Atletas!T265="Taijijian Chen A",902,IF(Atletas!T265="Taijijian Sun A",903,IF(Atletas!T265="Taijijian Wu A",904,IF(Atletas!T265="Taijijian Wu-Hao A",905,IF(Atletas!T265="Taijijian 32 A",906,IF(Atletas!T265="Taijijian 42 A",907,IF(Atletas!T265="Taijijian Yang B",908,IF(Atletas!T265="Taijijian Chen B",909,IF(Atletas!T265="Taijijian Sun B",910,IF(Atletas!T265="Taijijian Wu B",911,IF(Atletas!T265="Taijijian Wu-Hao B",912,IF(Atletas!T265="Taijijian 32 B",913,IF(Atletas!T265="Taijijian 42 B",914,IF(Atletas!T265="Taijijian Yang C",915,IF(Atletas!T265="Taijijian Chen C",916,IF(Atletas!T265="Taijijian Sun C",917,IF(Atletas!T265="Taijijian Wu C",918,IF(Atletas!T265="Taijijian Wu-Hao C",919,IF(Atletas!T265="Taijijian 32 C",920,IF(Atletas!T265="Taijijian 42 C",921,IF(Atletas!T265="Taijijian Yang D",922,IF(Atletas!T265="Taijijian Chen D",923,IF(Atletas!T265="Taijijian Sun D",924,IF(Atletas!T265="Taijijian Wu D",925,IF(Atletas!T265="Taijijian Wu-Hao D",926,IF(Atletas!T265="Taijijian 32 D",927,IF(Atletas!T265="Taijijian 42 D",928,IF(Atletas!T265="Taijijian Yang E",929,IF(Atletas!T265="Taijijian Chen E",930,IF(Atletas!T265="Taijijian Sun E",931,IF(Atletas!T265="Taijijian Wu E",932,IF(Atletas!T265="Taijijian Wu-Hao E",933,IF(Atletas!T265="Taijijian 32 E",934,IF(Atletas!T265="Taijijian 42 E",935,IF(Atletas!T265="Taijijian Yang F",936,IF(Atletas!T265="Taijijian Chen F",937,IF(Atletas!T265="Taijijian Sun F",938,IF(Atletas!T265="Taijijian Wu F",939,IF(Atletas!T265="Taijijian Wu-Hao F",940,IF(Atletas!T265="Taijijian 32 F",941,IF(Atletas!T265="Taijijian 42 F",942,"")))))))))))))))))))))))))))))))))))))))))))</f>
        <v/>
      </c>
      <c r="BW269" s="52" t="str">
        <f>IF(Atletas!U265="","",IF(Atletas!W265&lt;&gt;"",10000,0)+IF(Atletas!B265="Feminino",1000,IF(Atletas!B265="Masculino",2000,""))+IF(Atletas!T265="Taijijian 42 F",942,IF(Atletas!U265="Taijidao A",943,IF(Atletas!U265="Taijishan A",944,IF(Atletas!U265="Taijiqiang A",945,IF(Atletas!U265="Taijidao B",946,IF(Atletas!U265="Taijishan B",947,IF(Atletas!U265="Taijiqiang B",948,IF(Atletas!U265="Taijidao C",949,IF(Atletas!U265="Taijishan C",950,IF(Atletas!U265="Taijiqiang C",951,IF(Atletas!U265="Taijidao D",952,IF(Atletas!U265="Taijishan D",953,IF(Atletas!U265="Taijiqiang D",954,IF(Atletas!U265="Taijidao E",955,IF(Atletas!U265="Taijishan E",956,IF(Atletas!U265="Taijiqiang E",957,IF(Atletas!U265="Taijidao F",958,IF(Atletas!U265="Taijishan F",959,IF(Atletas!U265="Taijiqiang F",960))))))))))))))))))))</f>
        <v/>
      </c>
      <c r="BX269" s="72" t="str">
        <f>IF(BY269&lt;&gt;"","Gun E","")</f>
        <v/>
      </c>
      <c r="BY269" s="72" t="str">
        <f>IF(COUNTIF(BK:BW,1717)&gt;0,COUNTIF(BK:BW,1717),"")</f>
        <v/>
      </c>
      <c r="BZ269" s="72" t="str">
        <f>IF(CA269&lt;&gt;"","Gun E","")</f>
        <v/>
      </c>
      <c r="CA269" s="72" t="str">
        <f>IF(COUNTIF(BK:BW,2717)&gt;0,COUNTIF(BK:BW,2717),"")</f>
        <v/>
      </c>
      <c r="CB269" s="72" t="str">
        <f>IF(CC269&lt;&gt;"","Baguazhang B ","")</f>
        <v/>
      </c>
      <c r="CC269" s="64" t="str">
        <f>IF(COUNTIF(BK:BW,11505)&gt;0,COUNTIF(BK:BW,11505),"")</f>
        <v/>
      </c>
      <c r="CD269" s="64" t="str">
        <f>IF(CE269&lt;&gt;"","Baguazhang B ","")</f>
        <v/>
      </c>
      <c r="CE269" s="64" t="str">
        <f>IF(COUNTIF(BK:BW,12505)&gt;0,COUNTIF(BK:BW,12505),"")</f>
        <v/>
      </c>
      <c r="CF269" s="52" t="str">
        <f xml:space="preserve"> IF(Atletas!V265="","",IF(Atletas!V265="Duilian de Mãos AB - Equipe 1",1,IF(Atletas!V265="Duilian de Mãos AB - Equipe 2",2,IF(Atletas!V265="Duilian de Armas AB - Equipe 1",3,IF(Atletas!V265="Duilian de Armas AB - Equipe 2",4,IF(Atletas!V265="Duilian de Tuishou - Equipe 1",5,IF(Atletas!V265="Duilian de Tuishou - Equipe 2",6,IF(Atletas!V265="Grupo Externo AB - Equipe 1",7,IF(Atletas!V265="Grupo Externo AB - Equipe 2",8,IF(Atletas!V265="Grupo Interno AB - Equipe 1",9,IF(Atletas!V265="Grupo Interno AB - Equipe 2",10,IF(Atletas!V265="Duilian de Mãos CD - Equipe 1",11,IF(Atletas!V265="Duilian de Mãos CD - Equipe 2",12,IF(Atletas!V265="Duilian de Armas CD - Equipe 1",13,IF(Atletas!V265="Duilian de Armas CD - Equipe 2",14,IF(Atletas!V265="Duilian de Tuishou - Equipe 1",15,IF(Atletas!V265="Duilian de Tuishou - Equipe 2",16,IF(Atletas!V265="Grupo Externo CDEF - Equipe 1",17,IF(Atletas!V265="Grupo Externo CDEF - Equipe 2",18,IF(Atletas!V265="Grupo Interno CDEF - Equipe 1",19,IF(Atletas!V265="Grupo Interno CDEF - Equipe 2",20,IF(Atletas!V265="Duilian de Mãos EF - Equipe 1",21,IF(Atletas!V265="Duilian de Mãos EF - Equipe 2",22,IF(Atletas!V265="Duilian de Armas EF - Equipe 1",23,IF(Atletas!V265="Duilian de Armas EF - Equipe 2",24,IF(Atletas!V265="Duilian de Tuishou - Equipe 1",25,IF(Atletas!V265="Duilian de Tuishou - Equipe 2",26,"")))))))))))))))))))))))))))</f>
        <v/>
      </c>
    </row>
    <row r="270" spans="2:84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 t="str">
        <f t="array" ref="V270">IFERROR(INDEX(BX$7:BX$336,SMALL(IF(BX$7:BX$336&lt;&gt;"",ROW(BX$7:BX$336)-ROW(BX$7)+1),ROWS(BX$7:BX227))),"")</f>
        <v/>
      </c>
      <c r="W270" s="4" t="str">
        <f t="array" ref="W270">IFERROR(INDEX(BY$7:BY$336,SMALL(IF(BY$7:BY$336&lt;&gt;"",ROW(BY$7:BY$336)-ROW(BY$7)+1),ROWS(BY$7:BY227))),"")</f>
        <v/>
      </c>
      <c r="X270" s="4" t="str">
        <f t="array" ref="X270">IFERROR(INDEX(BZ$7:BZ$336,SMALL(IF(BZ$7:BZ$336&lt;&gt;"",ROW(BZ$7:BZ$336)-ROW(BZ$7)+1),ROWS(BZ$7:BZ227))),"")</f>
        <v/>
      </c>
      <c r="Y270" s="4" t="str">
        <f t="array" ref="Y270">IFERROR(INDEX(CA$7:CA$336,SMALL(IF(CA$7:CA$336&lt;&gt;"",ROW(CA$7:CA$336)-ROW(CA$7)+1),ROWS(CA$7:CA227))),"")</f>
        <v/>
      </c>
      <c r="Z270" s="4" t="str">
        <f t="array" ref="Z270">IFERROR(INDEX(CB$7:CB$378,SMALL(IF(CB$7:CB$378&lt;&gt;"",ROW(CB$7:CB$378)-ROW(CB$7)+1),ROWS(CB$7:CB269))),"")</f>
        <v/>
      </c>
      <c r="AA270" s="4" t="str">
        <f t="array" ref="AA270">IFERROR(INDEX(CC$7:CC$378,SMALL(IF(CC$7:CC$378&lt;&gt;"",ROW(CC$7:CC$378)-ROW(CC$7)+1),ROWS(CC$7:CC269))),"")</f>
        <v/>
      </c>
      <c r="AB270" s="4" t="str">
        <f t="array" ref="AB270">IFERROR(INDEX(CD$7:CD$378,SMALL(IF(CD$7:CD$378&lt;&gt;"",ROW(CD$7:CD$378)-ROW(CD$7)+1),ROWS(CD$7:CD269))),"")</f>
        <v/>
      </c>
      <c r="AC270" s="4" t="str">
        <f t="array" ref="AC270">IFERROR(INDEX(CE$7:CE$378,SMALL(IF(CE$7:CE$378&lt;&gt;"",ROW(CE$7:CE$378)-ROW(CE$7)+1),ROWS(CE$7:CE269))),"")</f>
        <v/>
      </c>
      <c r="AD270" s="4"/>
      <c r="AE270" s="4"/>
      <c r="AF270" s="4"/>
      <c r="AG270" s="4"/>
      <c r="AH270" s="4"/>
      <c r="AI270" s="4"/>
      <c r="AJ270" s="46" t="str">
        <f>IF(Atletas!D266="","",IF(Atletas!B266="Feminino",100,IF(Atletas!B266="Masculino",200,""))+(IF(Atletas!D266="Infantil 39kg",1,IF(Atletas!D266="Infantil 42kg",2,IF(Atletas!D266="Infantil 45kg",3,IF(Atletas!D266="Infantil 48kg",4,IF(Atletas!D266="Infantil 52kg",5,IF(Atletas!D266="Infantil 56kg",6,IF(Atletas!D266="Infantil 60kg",7,IF(Atletas!D266="Juvenil 48kg",8,IF(Atletas!D266="Juvenil 52kg",9,IF(Atletas!D266="Juvenil 56kg",10,IF(Atletas!D266="Juvenil 60kg",11,IF(Atletas!D266="Juvenil 65kg",12,IF(Atletas!D266="Juvenil 70kg",13,IF(Atletas!D266="Juvenil 75kg",14,IF(Atletas!D266="Juvenil 80kg",15,IF(Atletas!D266="Adulto 48kg",16,IF(Atletas!D266="Adulto 52kg",17,IF(Atletas!D266="Adulto 56kg",18,IF(Atletas!D266="Adulto 60kg",19,IF(Atletas!D266="Adulto 65kg",20,IF(Atletas!D266="Adulto 70kg",21,IF(Atletas!D266="Adulto 75kg",22,IF(Atletas!D266="Adulto 80kg",23,IF(Atletas!D266="Adulto 85kg",24,IF(Atletas!D266="Adulto 90kg",25,IF(Atletas!D266="Adulto +90kg",26,""))))))))))))))))))))))))))))</f>
        <v/>
      </c>
      <c r="AO270" s="10" t="str">
        <f>IF(Atletas!E266="","",IF(Atletas!B266="Feminino",100,IF(Atletas!B266="Masculino",200,""))+(IF(Atletas!E266="Juvenil 44kg",1,IF(Atletas!E266="Juvenil 48kg",2,IF(Atletas!E266="Juvenil 52kg",3,IF(Atletas!E266="Juvenil 56kg",4,IF(Atletas!E266="Juvenil 60kg",5,IF(Atletas!E266="Juvenil 65kg",6,IF(Atletas!E266="Juvenil 70kg",7,IF(Atletas!E266="Juvenil 75kg",8,IF(Atletas!E266="Juvenil 82kg",9,IF(Atletas!E266="Juvenil 90kg",10,IF(Atletas!E266="Juvenil 100kg",11,IF(Atletas!E266="Adulto 48kg",12,IF(Atletas!E266="Adulto 52kg",13,IF(Atletas!E266="Adulto 56kg",14,IF(Atletas!E266="Adulto 60kg",15,IF(Atletas!E266="Adulto 65kg",16,IF(Atletas!E266="Adulto 70kg",17,IF(Atletas!E266="Adulto 75kg",18,IF(Atletas!E266="Adulto 82kg",19,IF(Atletas!E266="Adulto 90kg",20,IF(Atletas!E266="Adulto 100kg",21,IF(Atletas!E266="Adulto +100kg",22,""))))))))))))))))))))))))</f>
        <v/>
      </c>
      <c r="AT270" s="10" t="str">
        <f>IF(Atletas!F266="","",IF(Atletas!B266="Feminino",100,IF(Atletas!B266="Masculino",200,""))+(IF(Atletas!F266="Adulto 48kg",1,IF(Atletas!F266="Adulto 56kg",2,IF(Atletas!F266="Adulto 65kg",3,IF(Atletas!F266="Adulto 75kg",4,IF(Atletas!F266="Adulto +75kg",5,IF(Atletas!F266="Adulto 52kg",6,IF(Atletas!F266="Adulto 60kg",7,IF(Atletas!F266="Adulto 70kg",8,IF(Atletas!F266="Adulto 80kg",9,IF(Atletas!F266="Adulto 90kg",10,IF(Atletas!F266="Adulto +90kg",11,"")))))))))))))</f>
        <v/>
      </c>
      <c r="AY270" s="46" t="str">
        <f>IF(Atletas!G266="","",IF(Atletas!B266="Feminino",100,IF(Atletas!B266="Masculino",200,""))+(IF(Atletas!G266="Changquan Mirim",1,IF(Atletas!G266="Nanquan Mirim",2,IF(Atletas!G266="Taijiquan Mirim",3,IF(Atletas!G266="Changquan Grupo C",4,IF(Atletas!G266="Nanquan Grupo C",5,IF(Atletas!G266="Taijiquan Grupo C",6,IF(Atletas!G266="Changquan Grupo B",7,IF(Atletas!G266="Nanquan Grupo B",8,IF(Atletas!G266="Taijiquan Grupo B",9,IF(Atletas!G266="Changquan Grupo A",10,IF(Atletas!G266="Nanquan Grupo A",11,IF(Atletas!G266="Taijiquan Grupo A",12,IF(Atletas!G266="Changquan Opcional",13,IF(Atletas!G266="Nanquan Opcional",14,IF(Atletas!G266="Taijiquan Opcional",15,IF(Atletas!G266="Changquan Adulto",16,IF(Atletas!G266="Nanquan Adulto",17,IF(Atletas!G266="Taijiquan Adulto",18,""))))))))))))))))))))</f>
        <v/>
      </c>
      <c r="AZ270" s="46" t="str">
        <f>IF(Atletas!H266="","",IF(Atletas!B266="Feminino",100,IF(Atletas!B266="Masculino",200,""))+(IF(Atletas!H266="Daoshu Mirim",19,IF(Atletas!H266="Jianshu Mirim",20,IF(Atletas!H266="Nandao Mirim",21,IF(Atletas!H266="Taijijian Mirim",22,IF(Atletas!H266="Daoshu Grupo C",23,IF(Atletas!H266="Jianshu Grupo C",24,IF(Atletas!H266="Nandao Grupo C",25,IF(Atletas!H266="Taijijian Grupo C",26,IF(Atletas!H266="Daoshu Grupo B",27,IF(Atletas!H266="Jianshu Grupo B",28,IF(Atletas!H266="Nandao Grupo B",29,IF(Atletas!H266="Taijijian Grupo B",30,IF(Atletas!H266="Daoshu Grupo A",31,IF(Atletas!H266="Jianshu Grupo A",32,IF(Atletas!H266="Nandao Grupo A",33,IF(Atletas!H266="Taijijian Grupo A",34,IF(Atletas!H266="Daoshu Opcional",35,IF(Atletas!H266="Jianshu Opcional",36,IF(Atletas!H266="Nandao Opcional",37,IF(Atletas!H266="Taijijian Opcional",38,IF(Atletas!H266="Daoshu Adulto",39,IF(Atletas!H266="Jianshu Adulto",40,IF(Atletas!H266="Nandao Adulto",41,IF(Atletas!H266="Taijijian Adulto",42,""))))))))))))))))))))))))))</f>
        <v/>
      </c>
      <c r="BA270" s="46" t="str">
        <f>IF(Atletas!I266="","",IF(Atletas!B266="Feminino",100,IF(Atletas!B266="Masculino",200,""))+(IF(Atletas!I266="Gunshu Mirim",43,IF(Atletas!I266="Qiangshu Mirim",44,IF(Atletas!I266="Nangun Mirim",45,IF(Atletas!I266="Gunshu Grupo C",46,IF(Atletas!I266="Qiangshu Grupo C",47,IF(Atletas!I266="Nangun Grupo C",48,IF(Atletas!I266="Gunshu Grupo B",49,IF(Atletas!I266="Qiangshu Grupo B",50,IF(Atletas!I266="Nangun Grupo B",51,IF(Atletas!I266="Gunshu Grupo A",52,IF(Atletas!I266="Qiangshu Grupo A",53,IF(Atletas!I266="Nangun Grupo A",54,IF(Atletas!I266="Gunshu Opcional",55,IF(Atletas!I266="Qiangshu Opcional",56,IF(Atletas!I266="Nangun Opcional",57,IF(Atletas!I266="Gunshu Adulto",58,IF(Atletas!I266="Qiangshu Adulto",59,IF(Atletas!I266="Nangun Adulto",60,""))))))))))))))))))))</f>
        <v/>
      </c>
      <c r="BF270" s="52" t="str">
        <f>IF(Atletas!J266="","",IF(Atletas!B266="Feminino",100,IF(Atletas!B266="Masculino",200,""))+(IF(Atletas!J266="Equipe 1 Grupo B",1,IF(Atletas!J266="Equipe 2 Grupo B",2,IF(Atletas!J266="Equipe 1 Grupo A",3,IF(Atletas!J266="Equipe 2 Grupo A",4,IF(Atletas!J266="Equipe 1 Adulto",5,IF(Atletas!J266="Equipe 2 Adulto",6,""))))))))</f>
        <v/>
      </c>
      <c r="BK270" s="52" t="str">
        <f>IF(Atletas!K266="","",IF(Atletas!W266&lt;&gt;"",10000,0)+(IF(Atletas!B266="Feminino",1000,IF(Atletas!B266="Masculino",2000,""))+IF(Atletas!K266="Choylayfut A",1,IF(Atletas!K266="Hunggar A",2,IF(Atletas!K266="Wuzuquan A",3,IF(Atletas!K266="Wingchun A",4,IF(Atletas!K266="Outra Mão de Sul A",5,IF(Atletas!K266="Choylayfut B",6,IF(Atletas!K266="Hunggar B",7,IF(Atletas!K266="Wuzuquan B",8,IF(Atletas!K266="Wingchun B",9,IF(Atletas!K266="Outra Mão de Sul B",10,IF(Atletas!K266="Choylayfut C",11,IF(Atletas!K266="Hunggar C",12,IF(Atletas!K266="Wuzuquan C",13,IF(Atletas!K266="Wingchun C",14,IF(Atletas!K266="Outra Mão de Sul C",15,IF(Atletas!K266="Choylayfut D",16,IF(Atletas!K266="Hunggar D",17,IF(Atletas!K266="Wuzuquan D",18,IF(Atletas!K266="Wingchun D",19,IF(Atletas!K266="Outra Mão de Sul D",20,IF(Atletas!K266="Choylayfut E",21,IF(Atletas!K266="Hunggar E",22,IF(Atletas!K266="Wuzuquan E",23,IF(Atletas!K266="Wingchun E",24,IF(Atletas!K266="Outra Mão de Sul E",25,IF(Atletas!K266="Choylayfut F",26,IF(Atletas!K266="Hunggar F",27,IF(Atletas!K266="Wuzuquan F",28,IF(Atletas!K266="Wingchun F",29,IF(Atletas!K266="Outra Mão de Sul F",30,""))))))))))))))))))))))))))))))))</f>
        <v/>
      </c>
      <c r="BL270" s="52" t="str">
        <f>IF(Atletas!L266="","",IF(Atletas!W266&lt;&gt;"",10000,0)+(IF(Atletas!B266="Feminino",1000,IF(Atletas!B266="Masculino",2000,""))+(IF(Atletas!L266="Chaquan A",101,IF(Atletas!L266="Emeiquan A",102,IF(Atletas!L266="Fanziquan A",103,IF(Atletas!L266="Huaquan A",104,IF(Atletas!L266="Hongquan A",105,IF(Atletas!L266="Paochui A",106,IF(Atletas!L266="Piguaquan A",107,IF(Atletas!L266="Shaolinquan A",108,IF(Atletas!L266="Tanglangquan A",109,IF(Atletas!L266="Yinzhaophai A",110,IF(Atletas!L266="Tongbeiquan A",111,IF(Atletas!L266="Wudangquan A",112,IF(Atletas!L266="Outros Estilos A",113,IF(Atletas!L266="Chaquan B",114,IF(Atletas!L266="Emeiquan B",115,IF(Atletas!L266="Fanziquan B",116,IF(Atletas!L266="Huaquan B",117,IF(Atletas!L266="Hongquan B",118,IF(Atletas!L266="Paochui B",119,IF(Atletas!L266="Piguaquan B",120,IF(Atletas!L266="Shaolinquan B",121,IF(Atletas!L266="Tanglangquan B",122,IF(Atletas!L266="Yinzhaophai B",123,IF(Atletas!L266="Tongbeiquan B",124,IF(Atletas!L266="Wudangquan B",125,IF(Atletas!L266="Outros Estilos B",126,IF(Atletas!L266="Chaquan C",127,IF(Atletas!L266="Emeiquan C",128,IF(Atletas!L266="Fanziquan C",129,IF(Atletas!L266="Huaquan C",130,IF(Atletas!L266="Hongquan C",131,IF(Atletas!L266="Paochui C",132,IF(Atletas!L266="Piguaquan C",133,IF(Atletas!L266="Shaolinquan C",134,IF(Atletas!L266="Tanglangquan C",135,IF(Atletas!L266="Yinzhaophai C",136,IF(Atletas!L266="Tongbeiquan C",137,IF(Atletas!L266="Wudangquan C",138,IF(Atletas!L266="Outros Estilos C",139,0))))))))))))))))))))))))))))))))))))))))))</f>
        <v/>
      </c>
      <c r="BM270" s="52" t="str">
        <f>IF(Atletas!L266="","",IF(Atletas!W266&lt;&gt;"",10000,0)+(IF(Atletas!B266="Feminino",1000,IF(Atletas!B266="Masculino",2000,""))+(IF(Atletas!L266="Chaquan D",140,IF(Atletas!L266="Emeiquan D",141,IF(Atletas!L266="Fanziquan D",142,IF(Atletas!L266="Huaquan D",143,IF(Atletas!L266="Hongquan D",144,IF(Atletas!L266="Paochui D",145,IF(Atletas!L266="Piguaquan D",146,IF(Atletas!L266="Shaolinquan D",147,IF(Atletas!L266="Tanglangquan D",148,IF(Atletas!L266="Yinzhaophai D",149,IF(Atletas!L266="Tongbeiquan D",150,IF(Atletas!L266="Wudangquan D",151,IF(Atletas!L266="Outros Estilos D",152,IF(Atletas!L266="Chaquan E",153,IF(Atletas!L266="Emeiquan E",154,IF(Atletas!L266="Fanziquan E",155,IF(Atletas!L266="Huaquan E",156,IF(Atletas!L266="Hongquan E",157,IF(Atletas!L266="Paochui E",158,IF(Atletas!L266="Piguaquan E",159,IF(Atletas!L266="Shaolinquan E",160,IF(Atletas!L266="Tanglangquan E",161,IF(Atletas!L266="Yinzhaophai E",162,IF(Atletas!L266="Tongbeiquan E",163,IF(Atletas!L266="Wudangquan E",164,IF(Atletas!L266="Outros Estilos E",165,IF(Atletas!L266="Chaquan F",166,IF(Atletas!L266="Emeiquan F",167,IF(Atletas!L266="Fanziquan F",168,IF(Atletas!L266="Huaquan F",169,IF(Atletas!L266="Hongquan F",170,IF(Atletas!L266="Paochui F",171,IF(Atletas!L266="Piguaquan F",172,IF(Atletas!L266="Shaolinquan F",173,IF(Atletas!L266="Tanglangquan F",174,IF(Atletas!L266="Yinzhaophai F",175,IF(Atletas!L266="Tongbeiquan F",176,IF(Atletas!L266="Wudangquan F",177,IF(Atletas!L266="Outros Estilos F",178,0))))))))))))))))))))))))))))))))))))))))))</f>
        <v/>
      </c>
      <c r="BN270" s="52" t="str">
        <f>IF(Atletas!M266="","",IF(Atletas!W266&lt;&gt;"",10000,0)+(IF(Atletas!B266="Feminino",1000,IF(Atletas!B266="Masculino",2000,""))+(IF(Atletas!M266="Ditangquan A",201,IF(Atletas!M266="Houquan A",202,IF(Atletas!M266="Zuiquan A",203,IF(Atletas!M266="Ditangquan B",204,IF(Atletas!M266="Houquan B",205,IF(Atletas!M266="Zuiquan B",206,IF(Atletas!M266="Ditangquan C",207,IF(Atletas!M266="Houquan C",208,IF(Atletas!M266="Zuiquan C",209,IF(Atletas!M266="Ditangquan D",210,IF(Atletas!M266="Houquan D",211,IF(Atletas!M266="Zuiquan D",212,IF(Atletas!M266="Ditangquan E",213,IF(Atletas!M266="Houquan E",214,IF(Atletas!M266="Zuiquan E",215,IF(Atletas!M266="Ditangquan F",216,IF(Atletas!M266="Houquan F",217,IF(Atletas!M266="Zuiquan F",218,"")))))))))))))))))))))</f>
        <v/>
      </c>
      <c r="BO270" s="52" t="str">
        <f>IF(Atletas!N266="","",IF(Atletas!W266&lt;&gt;"",10000,0)+IF(Atletas!B266="Feminino",1000,IF(Atletas!B266="Masculino",2000,""))+IF(Atletas!N266="Yang A",301,IF(Atletas!N266="Chen A",30,IF(Atletas!N266="Sun A",303,IF(Atletas!N266="Wu A",304,IF(Atletas!N266="Wu-Hao A",305,IF(Atletas!N266="Outro Taijiquan A",306,IF(Atletas!N266="Yang B",307,IF(Atletas!N266="Chen B",308,IF(Atletas!N266="Sun B",309,IF(Atletas!N266="Wu B",310,IF(Atletas!N266="Wu-Hao B",311,IF(Atletas!N266="Outro Taijiquan B",312,IF(Atletas!N266="Yang C",313,IF(Atletas!N266="Chen C",314,IF(Atletas!N266="Sun C",315,IF(Atletas!N266="Wu C",316,IF(Atletas!N266="Wu-Hao C",317,IF(Atletas!N266="Outro Taijiquan C",318,IF(Atletas!N266="Yang D",319,IF(Atletas!N266="Chen D",320,IF(Atletas!N266="Sun D",321,IF(Atletas!N266="Wu D",322,IF(Atletas!N266="Wu-Hao D",323,IF(Atletas!N266="Outro Taijiquan D",324,IF(Atletas!N266="Yang E",325,IF(Atletas!N266="Chen E",326,IF(Atletas!N266="Sun E",327,IF(Atletas!N266="Wu E",328,IF(Atletas!N266="Wu-Hao E",329,IF(Atletas!N266="Outro Taijiquan E",330,IF(Atletas!N266="Yang F",331,IF(Atletas!N266="Chen F",332,IF(Atletas!N266="Sun F",333,IF(Atletas!N266="Wu F",334,IF(Atletas!N266="Wu-Hao F",335,IF(Atletas!N266="Outro Taijiquan F",336,"")))))))))))))))))))))))))))))))))))))</f>
        <v/>
      </c>
      <c r="BP270" s="52" t="str">
        <f>IF(Atletas!O266="","",IF(Atletas!W266&lt;&gt;"",10000,0)+IF(Atletas!B266="Feminino",1000,IF(Atletas!B266="Masculino",2000,""))+IF(OR(Atletas!O266="Yang 26 A",Atletas!O266="Yang 40 A"),401,IF(OR(Atletas!O266="Chen 25 A",Atletas!O266="Chen 36 A",Atletas!O266="Chen 56 A"),402,IF(Atletas!O266="Sun 73 A",403,IF(Atletas!O266="Wu 45 A",404,IF(Atletas!O266="Wu-Hao 46 A",405,IF(OR(Atletas!O266="Taijiquan 16 A",Atletas!O266="Taijiquan 24 A",Atletas!O266="Taijiquan 32 A",Atletas!O266="Taijiquan 42 A"),406,IF(OR(Atletas!O266="Yang 26 B",Atletas!O266="Yang 40 B"),407,IF(OR(Atletas!O266="Chen 25 B",Atletas!O266="Chen 36 B",Atletas!O266="Chen 56 B"),408,IF(Atletas!O266="Sun 73 B",409,IF(Atletas!O266="Wu 45 B",410,IF(Atletas!O266="Wu-Hao 46 B",411,IF(OR(Atletas!O266="Taijiquan 16 B",Atletas!O266="Taijiquan 24 B",Atletas!O266="Taijiquan 32 B",Atletas!O266="Taijiquan 42 B"),412,IF(OR(Atletas!O266="Yang 26 C",Atletas!O266="Yang 40 C"),413,IF(OR(Atletas!O266="Chen 25 C",Atletas!O266="Chen 36 C",Atletas!O266="Chen 56 C"),414,IF(Atletas!O266="Sun 73 C",415,IF(Atletas!O266="Wu 45 C",416,IF(Atletas!O266="Wu-Hao 46 C",417,IF(OR(Atletas!O266="Taijiquan 16 C",Atletas!O266="Taijiquan 24 C",Atletas!O266="Taijiquan 32 C",Atletas!O266="Taijiquan 42 C"),418,0)))))))))))))))))))</f>
        <v/>
      </c>
      <c r="BQ270" s="52" t="str">
        <f>IF(Atletas!O266="","",IF(Atletas!W266&lt;&gt;"",10000,0)+IF(Atletas!B266="Feminino",1000,IF(Atletas!B266="Masculino",2000,""))+IF(OR(Atletas!O266="Yang 26 D",Atletas!O266="Yang 40 D"),419,IF(OR(Atletas!O266="Chen 25 D",Atletas!O266="Chen 36 D",Atletas!O266="Chen 56 D"),420,IF(Atletas!O266="Sun 73 D",421,IF(Atletas!O266="Wu 45 D",422,IF(Atletas!O266="Wu-Hao 46 D",423,IF(OR(Atletas!O266="Taijiquan 16 D",Atletas!O266="Taijiquan 24 D",Atletas!O266="Taijiquan 32 D",Atletas!O266="Taijiquan 42 D"),424,IF(OR(Atletas!O266="Yang 26 E",Atletas!O266="Yang 40 E"),425,IF(OR(Atletas!O266="Chen 25 E",Atletas!O266="Chen 36 E",Atletas!O266="Chen 56 E"),426,IF(Atletas!O266="Sun 73 E",427,IF(Atletas!O266="Wu 45 E",428,IF(Atletas!O266="Wu-Hao 46 E",429,IF(OR(Atletas!O266="Taijiquan 16 E",Atletas!O266="Taijiquan 24 E",Atletas!O266="Taijiquan 32 E",Atletas!O266="Taijiquan 42 E"),430,IF(OR(Atletas!O266="Yang 26 F",Atletas!O266="Yang 40 F"),431,IF(OR(Atletas!O266="Chen 25 F",Atletas!O266="Chen 36 F",Atletas!O266="Chen 56 F"),432,IF(Atletas!O266="Sun 73 F",433,IF(Atletas!O266="Wu 45 F",434,IF(Atletas!O266="Wu-Hao 46 F",435,IF(OR(Atletas!O266="Taijiquan 16 F",Atletas!O266="Taijiquan 24 F",Atletas!O266="Taijiquan 32 F",Atletas!O266="Taijiquan 42 F"),436,0)))))))))))))))))))</f>
        <v/>
      </c>
      <c r="BR270" s="52" t="str">
        <f>IF(Atletas!P266="","",IF(Atletas!W266&lt;&gt;"",10000,0)+IF(Atletas!B266="Feminino",1000,IF(Atletas!B266="Masculino",2000,""))+IF(Atletas!P266="Xingyiquan A",501,IF(Atletas!P266="Baguazhang A",502,IF(Atletas!P266="Outro Estilo Interno A",503,IF(Atletas!P266="Xingyiquan B",504,IF(Atletas!P266="Baguazhang B",505,IF(Atletas!P266="Outro Estilo Interno B",506,IF(Atletas!P266="Xingyiquan C",507,IF(Atletas!P266="Baguazhang C",508,IF(Atletas!P266="Outro Estilo Interno C",509,IF(Atletas!P266="Xingyiquan D",510,IF(Atletas!P266="Baguazhang D",511,IF(Atletas!P266="Outro Estilo Interno D",512,IF(Atletas!P266="Xingyiquan E",513,IF(Atletas!P266="Baguazhang E",514,IF(Atletas!P266="Outro Estilo Interno E",515,IF(Atletas!P266="Xingyiquan F",516,IF(Atletas!P266="Baguazhang F",517,IF(Atletas!P266="Outro Estilo Interno F",518, "")))))))))))))))))))</f>
        <v/>
      </c>
      <c r="BS270" s="52" t="str">
        <f>IF(Atletas!Q266="","",IF(Atletas!W266&lt;&gt;"",10000,0)+IF(Atletas!B266="Feminino",1000,IF(Atletas!B266="Masculino",2000,""))+IF(Atletas!Q266="Dao A",601,IF(Atletas!Q266="Jian A",602,IF(Atletas!Q266="Bishou A",603,IF(Atletas!Q266="Shan A",604,IF(Atletas!Q266="Outra Arma Curta A",605,IF(Atletas!Q266="Dao B",606,IF(Atletas!Q266="Jian B",607,IF(Atletas!Q266="Bishou B",608,IF(Atletas!Q266="Shan B",609,IF(Atletas!Q266="Outra Arma Curta B",610,IF(Atletas!Q266="Dao C",611,IF(Atletas!Q266="Jian C",612,IF(Atletas!Q266="Bishou C",613,IF(Atletas!Q266="Shan C",614,IF(Atletas!Q266="Outra Arma Curta C",615,IF(Atletas!Q266="Dao D",616,IF(Atletas!Q266="Jian D",617,IF(Atletas!Q266="Bishou D",618,IF(Atletas!Q266="Shan D",619,IF(Atletas!Q266="Outra Arma Curta D",620,IF(Atletas!Q266="Dao E",621,IF(Atletas!Q266="Jian E",622,IF(Atletas!Q266="Bishou E",623,IF(Atletas!Q266="Shan E",624,IF(Atletas!Q266="Outra Arma Curta E",625,IF(Atletas!Q266="Dao F",626,IF(Atletas!Q266="Jian F",627,IF(Atletas!Q266="Bishou F",628,IF(Atletas!Q266="Shan F",629,IF(Atletas!Q266="Outra Arma Curta F",630, "")))))))))))))))))))))))))))))))</f>
        <v/>
      </c>
      <c r="BT270" s="52" t="str">
        <f>IF(Atletas!R266="","",IF(Atletas!W266&lt;&gt;"",10000,0)+IF(Atletas!B266="Feminino",1000,IF(Atletas!B266="Masculino",2000,""))+IF(Atletas!R266="Gun A",701,IF(Atletas!R266="Qiang A",702,IF(Atletas!R266="Pudao / Guandao A",703,IF(Atletas!R266="Outra Arma Longa A",704,IF(Atletas!R266="Gun B",705,IF(Atletas!R266="Qiang B",706,IF(Atletas!R266="Pudao / Guandao B",707,IF(Atletas!R266="Outra Arma Longa B",708,IF(Atletas!R266="Gun C",709,IF(Atletas!R266="Qiang C",710,IF(Atletas!R266="Pudao / Guandao C",711,IF(Atletas!R266="Outra Arma Longa C",712,IF(Atletas!R266="Gun D",713,IF(Atletas!R266="Qiang D",714,IF(Atletas!R266="Pudao / Guandao D",715,IF(Atletas!R266="Outra Arma Longa D",716,IF(Atletas!R266="Gun E",717,IF(Atletas!R266="Qiang E",718,IF(Atletas!R266="Pudao / Guandao E",719,IF(Atletas!R266="Outra Arma Longa E",720,IF(Atletas!R266="Gun F",721,IF(Atletas!R266="Qiang F",722,IF(Atletas!R266="Pudao / Guandao F",723,IF(Atletas!R266="Outra Arma Longa F",724,"")))))))))))))))))))))))))</f>
        <v/>
      </c>
      <c r="BU270" s="52" t="str">
        <f>IF(Atletas!S266="","",IF(Atletas!W266&lt;&gt;"",10000,0)+IF(Atletas!B266="Feminino",1000,IF(Atletas!B266="Masculino",2000,""))+IF(Atletas!S266="Arma Dupla A",801,IF(Atletas!S266="Arma Maleável A",802,IF(Atletas!S266="Arma Dupla B",803,IF(Atletas!S266="Arma Maleável B",804,IF(Atletas!S266="Arma Dupla C",805,IF(Atletas!S266="Arma Maleável C",806,IF(Atletas!S266="Arma Dupla D",807,IF(Atletas!S266="Arma Maleável D",808,IF(Atletas!S266="Arma Dupla E",809,IF(Atletas!S266="Arma Maleável E",810,IF(Atletas!S266="Arma Dupla F",811,IF(Atletas!S266="Arma Maleável F",812, "")))))))))))))</f>
        <v/>
      </c>
      <c r="BV270" s="52" t="str">
        <f>IF(Atletas!T266="","",IF(Atletas!W266&lt;&gt;"",10000,0)+IF(Atletas!B266="Feminino",1000,IF(Atletas!B266="Masculino",2000,""))+IF(Atletas!T266="Taijijian Yang A",901,IF(Atletas!T266="Taijijian Chen A",902,IF(Atletas!T266="Taijijian Sun A",903,IF(Atletas!T266="Taijijian Wu A",904,IF(Atletas!T266="Taijijian Wu-Hao A",905,IF(Atletas!T266="Taijijian 32 A",906,IF(Atletas!T266="Taijijian 42 A",907,IF(Atletas!T266="Taijijian Yang B",908,IF(Atletas!T266="Taijijian Chen B",909,IF(Atletas!T266="Taijijian Sun B",910,IF(Atletas!T266="Taijijian Wu B",911,IF(Atletas!T266="Taijijian Wu-Hao B",912,IF(Atletas!T266="Taijijian 32 B",913,IF(Atletas!T266="Taijijian 42 B",914,IF(Atletas!T266="Taijijian Yang C",915,IF(Atletas!T266="Taijijian Chen C",916,IF(Atletas!T266="Taijijian Sun C",917,IF(Atletas!T266="Taijijian Wu C",918,IF(Atletas!T266="Taijijian Wu-Hao C",919,IF(Atletas!T266="Taijijian 32 C",920,IF(Atletas!T266="Taijijian 42 C",921,IF(Atletas!T266="Taijijian Yang D",922,IF(Atletas!T266="Taijijian Chen D",923,IF(Atletas!T266="Taijijian Sun D",924,IF(Atletas!T266="Taijijian Wu D",925,IF(Atletas!T266="Taijijian Wu-Hao D",926,IF(Atletas!T266="Taijijian 32 D",927,IF(Atletas!T266="Taijijian 42 D",928,IF(Atletas!T266="Taijijian Yang E",929,IF(Atletas!T266="Taijijian Chen E",930,IF(Atletas!T266="Taijijian Sun E",931,IF(Atletas!T266="Taijijian Wu E",932,IF(Atletas!T266="Taijijian Wu-Hao E",933,IF(Atletas!T266="Taijijian 32 E",934,IF(Atletas!T266="Taijijian 42 E",935,IF(Atletas!T266="Taijijian Yang F",936,IF(Atletas!T266="Taijijian Chen F",937,IF(Atletas!T266="Taijijian Sun F",938,IF(Atletas!T266="Taijijian Wu F",939,IF(Atletas!T266="Taijijian Wu-Hao F",940,IF(Atletas!T266="Taijijian 32 F",941,IF(Atletas!T266="Taijijian 42 F",942,"")))))))))))))))))))))))))))))))))))))))))))</f>
        <v/>
      </c>
      <c r="BW270" s="52" t="str">
        <f>IF(Atletas!U266="","",IF(Atletas!W266&lt;&gt;"",10000,0)+IF(Atletas!B266="Feminino",1000,IF(Atletas!B266="Masculino",2000,""))+IF(Atletas!T266="Taijijian 42 F",942,IF(Atletas!U266="Taijidao A",943,IF(Atletas!U266="Taijishan A",944,IF(Atletas!U266="Taijiqiang A",945,IF(Atletas!U266="Taijidao B",946,IF(Atletas!U266="Taijishan B",947,IF(Atletas!U266="Taijiqiang B",948,IF(Atletas!U266="Taijidao C",949,IF(Atletas!U266="Taijishan C",950,IF(Atletas!U266="Taijiqiang C",951,IF(Atletas!U266="Taijidao D",952,IF(Atletas!U266="Taijishan D",953,IF(Atletas!U266="Taijiqiang D",954,IF(Atletas!U266="Taijidao E",955,IF(Atletas!U266="Taijishan E",956,IF(Atletas!U266="Taijiqiang E",957,IF(Atletas!U266="Taijidao F",958,IF(Atletas!U266="Taijishan F",959,IF(Atletas!U266="Taijiqiang F",960))))))))))))))))))))</f>
        <v/>
      </c>
      <c r="BX270" s="72" t="str">
        <f>IF(BY270&lt;&gt;"","Qiang E","")</f>
        <v/>
      </c>
      <c r="BY270" s="72" t="str">
        <f>IF(COUNTIF(BK:BW,1718)&gt;0,COUNTIF(BK:BW,1718),"")</f>
        <v/>
      </c>
      <c r="BZ270" s="72" t="str">
        <f>IF(CA270&lt;&gt;"","Qiang E","")</f>
        <v/>
      </c>
      <c r="CA270" s="72" t="str">
        <f>IF(COUNTIF(BK:BW,2718)&gt;0,COUNTIF(BK:BW,2718),"")</f>
        <v/>
      </c>
      <c r="CB270" s="72" t="str">
        <f>IF(CC270&lt;&gt;"","Outro Estilo Interno B","")</f>
        <v/>
      </c>
      <c r="CC270" s="64" t="str">
        <f>IF(COUNTIF(BK:BW,11506)&gt;0,COUNTIF(BK:BW,11506),"")</f>
        <v/>
      </c>
      <c r="CD270" s="64" t="str">
        <f>IF(CE270&lt;&gt;"","Outro Estilo Interno B","")</f>
        <v/>
      </c>
      <c r="CE270" s="64" t="str">
        <f>IF(COUNTIF(BK:BW,12506)&gt;0,COUNTIF(BK:BW,12506),"")</f>
        <v/>
      </c>
      <c r="CF270" s="52" t="str">
        <f xml:space="preserve"> IF(Atletas!V266="","",IF(Atletas!V266="Duilian de Mãos AB - Equipe 1",1,IF(Atletas!V266="Duilian de Mãos AB - Equipe 2",2,IF(Atletas!V266="Duilian de Armas AB - Equipe 1",3,IF(Atletas!V266="Duilian de Armas AB - Equipe 2",4,IF(Atletas!V266="Duilian de Tuishou - Equipe 1",5,IF(Atletas!V266="Duilian de Tuishou - Equipe 2",6,IF(Atletas!V266="Grupo Externo AB - Equipe 1",7,IF(Atletas!V266="Grupo Externo AB - Equipe 2",8,IF(Atletas!V266="Grupo Interno AB - Equipe 1",9,IF(Atletas!V266="Grupo Interno AB - Equipe 2",10,IF(Atletas!V266="Duilian de Mãos CD - Equipe 1",11,IF(Atletas!V266="Duilian de Mãos CD - Equipe 2",12,IF(Atletas!V266="Duilian de Armas CD - Equipe 1",13,IF(Atletas!V266="Duilian de Armas CD - Equipe 2",14,IF(Atletas!V266="Duilian de Tuishou - Equipe 1",15,IF(Atletas!V266="Duilian de Tuishou - Equipe 2",16,IF(Atletas!V266="Grupo Externo CDEF - Equipe 1",17,IF(Atletas!V266="Grupo Externo CDEF - Equipe 2",18,IF(Atletas!V266="Grupo Interno CDEF - Equipe 1",19,IF(Atletas!V266="Grupo Interno CDEF - Equipe 2",20,IF(Atletas!V266="Duilian de Mãos EF - Equipe 1",21,IF(Atletas!V266="Duilian de Mãos EF - Equipe 2",22,IF(Atletas!V266="Duilian de Armas EF - Equipe 1",23,IF(Atletas!V266="Duilian de Armas EF - Equipe 2",24,IF(Atletas!V266="Duilian de Tuishou - Equipe 1",25,IF(Atletas!V266="Duilian de Tuishou - Equipe 2",26,"")))))))))))))))))))))))))))</f>
        <v/>
      </c>
    </row>
    <row r="271" spans="2:84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 t="str">
        <f t="array" ref="V271">IFERROR(INDEX(BX$7:BX$336,SMALL(IF(BX$7:BX$336&lt;&gt;"",ROW(BX$7:BX$336)-ROW(BX$7)+1),ROWS(BX$7:BX228))),"")</f>
        <v/>
      </c>
      <c r="W271" s="4" t="str">
        <f t="array" ref="W271">IFERROR(INDEX(BY$7:BY$336,SMALL(IF(BY$7:BY$336&lt;&gt;"",ROW(BY$7:BY$336)-ROW(BY$7)+1),ROWS(BY$7:BY228))),"")</f>
        <v/>
      </c>
      <c r="X271" s="4" t="str">
        <f t="array" ref="X271">IFERROR(INDEX(BZ$7:BZ$336,SMALL(IF(BZ$7:BZ$336&lt;&gt;"",ROW(BZ$7:BZ$336)-ROW(BZ$7)+1),ROWS(BZ$7:BZ228))),"")</f>
        <v/>
      </c>
      <c r="Y271" s="4" t="str">
        <f t="array" ref="Y271">IFERROR(INDEX(CA$7:CA$336,SMALL(IF(CA$7:CA$336&lt;&gt;"",ROW(CA$7:CA$336)-ROW(CA$7)+1),ROWS(CA$7:CA228))),"")</f>
        <v/>
      </c>
      <c r="Z271" s="4" t="str">
        <f t="array" ref="Z271">IFERROR(INDEX(CB$7:CB$378,SMALL(IF(CB$7:CB$378&lt;&gt;"",ROW(CB$7:CB$378)-ROW(CB$7)+1),ROWS(CB$7:CB270))),"")</f>
        <v/>
      </c>
      <c r="AA271" s="4" t="str">
        <f t="array" ref="AA271">IFERROR(INDEX(CC$7:CC$378,SMALL(IF(CC$7:CC$378&lt;&gt;"",ROW(CC$7:CC$378)-ROW(CC$7)+1),ROWS(CC$7:CC270))),"")</f>
        <v/>
      </c>
      <c r="AB271" s="4" t="str">
        <f t="array" ref="AB271">IFERROR(INDEX(CD$7:CD$378,SMALL(IF(CD$7:CD$378&lt;&gt;"",ROW(CD$7:CD$378)-ROW(CD$7)+1),ROWS(CD$7:CD270))),"")</f>
        <v/>
      </c>
      <c r="AC271" s="4" t="str">
        <f t="array" ref="AC271">IFERROR(INDEX(CE$7:CE$378,SMALL(IF(CE$7:CE$378&lt;&gt;"",ROW(CE$7:CE$378)-ROW(CE$7)+1),ROWS(CE$7:CE270))),"")</f>
        <v/>
      </c>
      <c r="AD271" s="4"/>
      <c r="AE271" s="4"/>
      <c r="AF271" s="4"/>
      <c r="AG271" s="4"/>
      <c r="AH271" s="4"/>
      <c r="AI271" s="4"/>
      <c r="AJ271" s="46" t="str">
        <f>IF(Atletas!D267="","",IF(Atletas!B267="Feminino",100,IF(Atletas!B267="Masculino",200,""))+(IF(Atletas!D267="Infantil 39kg",1,IF(Atletas!D267="Infantil 42kg",2,IF(Atletas!D267="Infantil 45kg",3,IF(Atletas!D267="Infantil 48kg",4,IF(Atletas!D267="Infantil 52kg",5,IF(Atletas!D267="Infantil 56kg",6,IF(Atletas!D267="Infantil 60kg",7,IF(Atletas!D267="Juvenil 48kg",8,IF(Atletas!D267="Juvenil 52kg",9,IF(Atletas!D267="Juvenil 56kg",10,IF(Atletas!D267="Juvenil 60kg",11,IF(Atletas!D267="Juvenil 65kg",12,IF(Atletas!D267="Juvenil 70kg",13,IF(Atletas!D267="Juvenil 75kg",14,IF(Atletas!D267="Juvenil 80kg",15,IF(Atletas!D267="Adulto 48kg",16,IF(Atletas!D267="Adulto 52kg",17,IF(Atletas!D267="Adulto 56kg",18,IF(Atletas!D267="Adulto 60kg",19,IF(Atletas!D267="Adulto 65kg",20,IF(Atletas!D267="Adulto 70kg",21,IF(Atletas!D267="Adulto 75kg",22,IF(Atletas!D267="Adulto 80kg",23,IF(Atletas!D267="Adulto 85kg",24,IF(Atletas!D267="Adulto 90kg",25,IF(Atletas!D267="Adulto +90kg",26,""))))))))))))))))))))))))))))</f>
        <v/>
      </c>
      <c r="AO271" s="10" t="str">
        <f>IF(Atletas!E267="","",IF(Atletas!B267="Feminino",100,IF(Atletas!B267="Masculino",200,""))+(IF(Atletas!E267="Juvenil 44kg",1,IF(Atletas!E267="Juvenil 48kg",2,IF(Atletas!E267="Juvenil 52kg",3,IF(Atletas!E267="Juvenil 56kg",4,IF(Atletas!E267="Juvenil 60kg",5,IF(Atletas!E267="Juvenil 65kg",6,IF(Atletas!E267="Juvenil 70kg",7,IF(Atletas!E267="Juvenil 75kg",8,IF(Atletas!E267="Juvenil 82kg",9,IF(Atletas!E267="Juvenil 90kg",10,IF(Atletas!E267="Juvenil 100kg",11,IF(Atletas!E267="Adulto 48kg",12,IF(Atletas!E267="Adulto 52kg",13,IF(Atletas!E267="Adulto 56kg",14,IF(Atletas!E267="Adulto 60kg",15,IF(Atletas!E267="Adulto 65kg",16,IF(Atletas!E267="Adulto 70kg",17,IF(Atletas!E267="Adulto 75kg",18,IF(Atletas!E267="Adulto 82kg",19,IF(Atletas!E267="Adulto 90kg",20,IF(Atletas!E267="Adulto 100kg",21,IF(Atletas!E267="Adulto +100kg",22,""))))))))))))))))))))))))</f>
        <v/>
      </c>
      <c r="AT271" s="10" t="str">
        <f>IF(Atletas!F267="","",IF(Atletas!B267="Feminino",100,IF(Atletas!B267="Masculino",200,""))+(IF(Atletas!F267="Adulto 48kg",1,IF(Atletas!F267="Adulto 56kg",2,IF(Atletas!F267="Adulto 65kg",3,IF(Atletas!F267="Adulto 75kg",4,IF(Atletas!F267="Adulto +75kg",5,IF(Atletas!F267="Adulto 52kg",6,IF(Atletas!F267="Adulto 60kg",7,IF(Atletas!F267="Adulto 70kg",8,IF(Atletas!F267="Adulto 80kg",9,IF(Atletas!F267="Adulto 90kg",10,IF(Atletas!F267="Adulto +90kg",11,"")))))))))))))</f>
        <v/>
      </c>
      <c r="AY271" s="46" t="str">
        <f>IF(Atletas!G267="","",IF(Atletas!B267="Feminino",100,IF(Atletas!B267="Masculino",200,""))+(IF(Atletas!G267="Changquan Mirim",1,IF(Atletas!G267="Nanquan Mirim",2,IF(Atletas!G267="Taijiquan Mirim",3,IF(Atletas!G267="Changquan Grupo C",4,IF(Atletas!G267="Nanquan Grupo C",5,IF(Atletas!G267="Taijiquan Grupo C",6,IF(Atletas!G267="Changquan Grupo B",7,IF(Atletas!G267="Nanquan Grupo B",8,IF(Atletas!G267="Taijiquan Grupo B",9,IF(Atletas!G267="Changquan Grupo A",10,IF(Atletas!G267="Nanquan Grupo A",11,IF(Atletas!G267="Taijiquan Grupo A",12,IF(Atletas!G267="Changquan Opcional",13,IF(Atletas!G267="Nanquan Opcional",14,IF(Atletas!G267="Taijiquan Opcional",15,IF(Atletas!G267="Changquan Adulto",16,IF(Atletas!G267="Nanquan Adulto",17,IF(Atletas!G267="Taijiquan Adulto",18,""))))))))))))))))))))</f>
        <v/>
      </c>
      <c r="AZ271" s="46" t="str">
        <f>IF(Atletas!H267="","",IF(Atletas!B267="Feminino",100,IF(Atletas!B267="Masculino",200,""))+(IF(Atletas!H267="Daoshu Mirim",19,IF(Atletas!H267="Jianshu Mirim",20,IF(Atletas!H267="Nandao Mirim",21,IF(Atletas!H267="Taijijian Mirim",22,IF(Atletas!H267="Daoshu Grupo C",23,IF(Atletas!H267="Jianshu Grupo C",24,IF(Atletas!H267="Nandao Grupo C",25,IF(Atletas!H267="Taijijian Grupo C",26,IF(Atletas!H267="Daoshu Grupo B",27,IF(Atletas!H267="Jianshu Grupo B",28,IF(Atletas!H267="Nandao Grupo B",29,IF(Atletas!H267="Taijijian Grupo B",30,IF(Atletas!H267="Daoshu Grupo A",31,IF(Atletas!H267="Jianshu Grupo A",32,IF(Atletas!H267="Nandao Grupo A",33,IF(Atletas!H267="Taijijian Grupo A",34,IF(Atletas!H267="Daoshu Opcional",35,IF(Atletas!H267="Jianshu Opcional",36,IF(Atletas!H267="Nandao Opcional",37,IF(Atletas!H267="Taijijian Opcional",38,IF(Atletas!H267="Daoshu Adulto",39,IF(Atletas!H267="Jianshu Adulto",40,IF(Atletas!H267="Nandao Adulto",41,IF(Atletas!H267="Taijijian Adulto",42,""))))))))))))))))))))))))))</f>
        <v/>
      </c>
      <c r="BA271" s="46" t="str">
        <f>IF(Atletas!I267="","",IF(Atletas!B267="Feminino",100,IF(Atletas!B267="Masculino",200,""))+(IF(Atletas!I267="Gunshu Mirim",43,IF(Atletas!I267="Qiangshu Mirim",44,IF(Atletas!I267="Nangun Mirim",45,IF(Atletas!I267="Gunshu Grupo C",46,IF(Atletas!I267="Qiangshu Grupo C",47,IF(Atletas!I267="Nangun Grupo C",48,IF(Atletas!I267="Gunshu Grupo B",49,IF(Atletas!I267="Qiangshu Grupo B",50,IF(Atletas!I267="Nangun Grupo B",51,IF(Atletas!I267="Gunshu Grupo A",52,IF(Atletas!I267="Qiangshu Grupo A",53,IF(Atletas!I267="Nangun Grupo A",54,IF(Atletas!I267="Gunshu Opcional",55,IF(Atletas!I267="Qiangshu Opcional",56,IF(Atletas!I267="Nangun Opcional",57,IF(Atletas!I267="Gunshu Adulto",58,IF(Atletas!I267="Qiangshu Adulto",59,IF(Atletas!I267="Nangun Adulto",60,""))))))))))))))))))))</f>
        <v/>
      </c>
      <c r="BF271" s="52" t="str">
        <f>IF(Atletas!J267="","",IF(Atletas!B267="Feminino",100,IF(Atletas!B267="Masculino",200,""))+(IF(Atletas!J267="Equipe 1 Grupo B",1,IF(Atletas!J267="Equipe 2 Grupo B",2,IF(Atletas!J267="Equipe 1 Grupo A",3,IF(Atletas!J267="Equipe 2 Grupo A",4,IF(Atletas!J267="Equipe 1 Adulto",5,IF(Atletas!J267="Equipe 2 Adulto",6,""))))))))</f>
        <v/>
      </c>
      <c r="BK271" s="52" t="str">
        <f>IF(Atletas!K267="","",IF(Atletas!W267&lt;&gt;"",10000,0)+(IF(Atletas!B267="Feminino",1000,IF(Atletas!B267="Masculino",2000,""))+IF(Atletas!K267="Choylayfut A",1,IF(Atletas!K267="Hunggar A",2,IF(Atletas!K267="Wuzuquan A",3,IF(Atletas!K267="Wingchun A",4,IF(Atletas!K267="Outra Mão de Sul A",5,IF(Atletas!K267="Choylayfut B",6,IF(Atletas!K267="Hunggar B",7,IF(Atletas!K267="Wuzuquan B",8,IF(Atletas!K267="Wingchun B",9,IF(Atletas!K267="Outra Mão de Sul B",10,IF(Atletas!K267="Choylayfut C",11,IF(Atletas!K267="Hunggar C",12,IF(Atletas!K267="Wuzuquan C",13,IF(Atletas!K267="Wingchun C",14,IF(Atletas!K267="Outra Mão de Sul C",15,IF(Atletas!K267="Choylayfut D",16,IF(Atletas!K267="Hunggar D",17,IF(Atletas!K267="Wuzuquan D",18,IF(Atletas!K267="Wingchun D",19,IF(Atletas!K267="Outra Mão de Sul D",20,IF(Atletas!K267="Choylayfut E",21,IF(Atletas!K267="Hunggar E",22,IF(Atletas!K267="Wuzuquan E",23,IF(Atletas!K267="Wingchun E",24,IF(Atletas!K267="Outra Mão de Sul E",25,IF(Atletas!K267="Choylayfut F",26,IF(Atletas!K267="Hunggar F",27,IF(Atletas!K267="Wuzuquan F",28,IF(Atletas!K267="Wingchun F",29,IF(Atletas!K267="Outra Mão de Sul F",30,""))))))))))))))))))))))))))))))))</f>
        <v/>
      </c>
      <c r="BL271" s="52" t="str">
        <f>IF(Atletas!L267="","",IF(Atletas!W267&lt;&gt;"",10000,0)+(IF(Atletas!B267="Feminino",1000,IF(Atletas!B267="Masculino",2000,""))+(IF(Atletas!L267="Chaquan A",101,IF(Atletas!L267="Emeiquan A",102,IF(Atletas!L267="Fanziquan A",103,IF(Atletas!L267="Huaquan A",104,IF(Atletas!L267="Hongquan A",105,IF(Atletas!L267="Paochui A",106,IF(Atletas!L267="Piguaquan A",107,IF(Atletas!L267="Shaolinquan A",108,IF(Atletas!L267="Tanglangquan A",109,IF(Atletas!L267="Yinzhaophai A",110,IF(Atletas!L267="Tongbeiquan A",111,IF(Atletas!L267="Wudangquan A",112,IF(Atletas!L267="Outros Estilos A",113,IF(Atletas!L267="Chaquan B",114,IF(Atletas!L267="Emeiquan B",115,IF(Atletas!L267="Fanziquan B",116,IF(Atletas!L267="Huaquan B",117,IF(Atletas!L267="Hongquan B",118,IF(Atletas!L267="Paochui B",119,IF(Atletas!L267="Piguaquan B",120,IF(Atletas!L267="Shaolinquan B",121,IF(Atletas!L267="Tanglangquan B",122,IF(Atletas!L267="Yinzhaophai B",123,IF(Atletas!L267="Tongbeiquan B",124,IF(Atletas!L267="Wudangquan B",125,IF(Atletas!L267="Outros Estilos B",126,IF(Atletas!L267="Chaquan C",127,IF(Atletas!L267="Emeiquan C",128,IF(Atletas!L267="Fanziquan C",129,IF(Atletas!L267="Huaquan C",130,IF(Atletas!L267="Hongquan C",131,IF(Atletas!L267="Paochui C",132,IF(Atletas!L267="Piguaquan C",133,IF(Atletas!L267="Shaolinquan C",134,IF(Atletas!L267="Tanglangquan C",135,IF(Atletas!L267="Yinzhaophai C",136,IF(Atletas!L267="Tongbeiquan C",137,IF(Atletas!L267="Wudangquan C",138,IF(Atletas!L267="Outros Estilos C",139,0))))))))))))))))))))))))))))))))))))))))))</f>
        <v/>
      </c>
      <c r="BM271" s="52" t="str">
        <f>IF(Atletas!L267="","",IF(Atletas!W267&lt;&gt;"",10000,0)+(IF(Atletas!B267="Feminino",1000,IF(Atletas!B267="Masculino",2000,""))+(IF(Atletas!L267="Chaquan D",140,IF(Atletas!L267="Emeiquan D",141,IF(Atletas!L267="Fanziquan D",142,IF(Atletas!L267="Huaquan D",143,IF(Atletas!L267="Hongquan D",144,IF(Atletas!L267="Paochui D",145,IF(Atletas!L267="Piguaquan D",146,IF(Atletas!L267="Shaolinquan D",147,IF(Atletas!L267="Tanglangquan D",148,IF(Atletas!L267="Yinzhaophai D",149,IF(Atletas!L267="Tongbeiquan D",150,IF(Atletas!L267="Wudangquan D",151,IF(Atletas!L267="Outros Estilos D",152,IF(Atletas!L267="Chaquan E",153,IF(Atletas!L267="Emeiquan E",154,IF(Atletas!L267="Fanziquan E",155,IF(Atletas!L267="Huaquan E",156,IF(Atletas!L267="Hongquan E",157,IF(Atletas!L267="Paochui E",158,IF(Atletas!L267="Piguaquan E",159,IF(Atletas!L267="Shaolinquan E",160,IF(Atletas!L267="Tanglangquan E",161,IF(Atletas!L267="Yinzhaophai E",162,IF(Atletas!L267="Tongbeiquan E",163,IF(Atletas!L267="Wudangquan E",164,IF(Atletas!L267="Outros Estilos E",165,IF(Atletas!L267="Chaquan F",166,IF(Atletas!L267="Emeiquan F",167,IF(Atletas!L267="Fanziquan F",168,IF(Atletas!L267="Huaquan F",169,IF(Atletas!L267="Hongquan F",170,IF(Atletas!L267="Paochui F",171,IF(Atletas!L267="Piguaquan F",172,IF(Atletas!L267="Shaolinquan F",173,IF(Atletas!L267="Tanglangquan F",174,IF(Atletas!L267="Yinzhaophai F",175,IF(Atletas!L267="Tongbeiquan F",176,IF(Atletas!L267="Wudangquan F",177,IF(Atletas!L267="Outros Estilos F",178,0))))))))))))))))))))))))))))))))))))))))))</f>
        <v/>
      </c>
      <c r="BN271" s="52" t="str">
        <f>IF(Atletas!M267="","",IF(Atletas!W267&lt;&gt;"",10000,0)+(IF(Atletas!B267="Feminino",1000,IF(Atletas!B267="Masculino",2000,""))+(IF(Atletas!M267="Ditangquan A",201,IF(Atletas!M267="Houquan A",202,IF(Atletas!M267="Zuiquan A",203,IF(Atletas!M267="Ditangquan B",204,IF(Atletas!M267="Houquan B",205,IF(Atletas!M267="Zuiquan B",206,IF(Atletas!M267="Ditangquan C",207,IF(Atletas!M267="Houquan C",208,IF(Atletas!M267="Zuiquan C",209,IF(Atletas!M267="Ditangquan D",210,IF(Atletas!M267="Houquan D",211,IF(Atletas!M267="Zuiquan D",212,IF(Atletas!M267="Ditangquan E",213,IF(Atletas!M267="Houquan E",214,IF(Atletas!M267="Zuiquan E",215,IF(Atletas!M267="Ditangquan F",216,IF(Atletas!M267="Houquan F",217,IF(Atletas!M267="Zuiquan F",218,"")))))))))))))))))))))</f>
        <v/>
      </c>
      <c r="BO271" s="52" t="str">
        <f>IF(Atletas!N267="","",IF(Atletas!W267&lt;&gt;"",10000,0)+IF(Atletas!B267="Feminino",1000,IF(Atletas!B267="Masculino",2000,""))+IF(Atletas!N267="Yang A",301,IF(Atletas!N267="Chen A",30,IF(Atletas!N267="Sun A",303,IF(Atletas!N267="Wu A",304,IF(Atletas!N267="Wu-Hao A",305,IF(Atletas!N267="Outro Taijiquan A",306,IF(Atletas!N267="Yang B",307,IF(Atletas!N267="Chen B",308,IF(Atletas!N267="Sun B",309,IF(Atletas!N267="Wu B",310,IF(Atletas!N267="Wu-Hao B",311,IF(Atletas!N267="Outro Taijiquan B",312,IF(Atletas!N267="Yang C",313,IF(Atletas!N267="Chen C",314,IF(Atletas!N267="Sun C",315,IF(Atletas!N267="Wu C",316,IF(Atletas!N267="Wu-Hao C",317,IF(Atletas!N267="Outro Taijiquan C",318,IF(Atletas!N267="Yang D",319,IF(Atletas!N267="Chen D",320,IF(Atletas!N267="Sun D",321,IF(Atletas!N267="Wu D",322,IF(Atletas!N267="Wu-Hao D",323,IF(Atletas!N267="Outro Taijiquan D",324,IF(Atletas!N267="Yang E",325,IF(Atletas!N267="Chen E",326,IF(Atletas!N267="Sun E",327,IF(Atletas!N267="Wu E",328,IF(Atletas!N267="Wu-Hao E",329,IF(Atletas!N267="Outro Taijiquan E",330,IF(Atletas!N267="Yang F",331,IF(Atletas!N267="Chen F",332,IF(Atletas!N267="Sun F",333,IF(Atletas!N267="Wu F",334,IF(Atletas!N267="Wu-Hao F",335,IF(Atletas!N267="Outro Taijiquan F",336,"")))))))))))))))))))))))))))))))))))))</f>
        <v/>
      </c>
      <c r="BP271" s="52" t="str">
        <f>IF(Atletas!O267="","",IF(Atletas!W267&lt;&gt;"",10000,0)+IF(Atletas!B267="Feminino",1000,IF(Atletas!B267="Masculino",2000,""))+IF(OR(Atletas!O267="Yang 26 A",Atletas!O267="Yang 40 A"),401,IF(OR(Atletas!O267="Chen 25 A",Atletas!O267="Chen 36 A",Atletas!O267="Chen 56 A"),402,IF(Atletas!O267="Sun 73 A",403,IF(Atletas!O267="Wu 45 A",404,IF(Atletas!O267="Wu-Hao 46 A",405,IF(OR(Atletas!O267="Taijiquan 16 A",Atletas!O267="Taijiquan 24 A",Atletas!O267="Taijiquan 32 A",Atletas!O267="Taijiquan 42 A"),406,IF(OR(Atletas!O267="Yang 26 B",Atletas!O267="Yang 40 B"),407,IF(OR(Atletas!O267="Chen 25 B",Atletas!O267="Chen 36 B",Atletas!O267="Chen 56 B"),408,IF(Atletas!O267="Sun 73 B",409,IF(Atletas!O267="Wu 45 B",410,IF(Atletas!O267="Wu-Hao 46 B",411,IF(OR(Atletas!O267="Taijiquan 16 B",Atletas!O267="Taijiquan 24 B",Atletas!O267="Taijiquan 32 B",Atletas!O267="Taijiquan 42 B"),412,IF(OR(Atletas!O267="Yang 26 C",Atletas!O267="Yang 40 C"),413,IF(OR(Atletas!O267="Chen 25 C",Atletas!O267="Chen 36 C",Atletas!O267="Chen 56 C"),414,IF(Atletas!O267="Sun 73 C",415,IF(Atletas!O267="Wu 45 C",416,IF(Atletas!O267="Wu-Hao 46 C",417,IF(OR(Atletas!O267="Taijiquan 16 C",Atletas!O267="Taijiquan 24 C",Atletas!O267="Taijiquan 32 C",Atletas!O267="Taijiquan 42 C"),418,0)))))))))))))))))))</f>
        <v/>
      </c>
      <c r="BQ271" s="52" t="str">
        <f>IF(Atletas!O267="","",IF(Atletas!W267&lt;&gt;"",10000,0)+IF(Atletas!B267="Feminino",1000,IF(Atletas!B267="Masculino",2000,""))+IF(OR(Atletas!O267="Yang 26 D",Atletas!O267="Yang 40 D"),419,IF(OR(Atletas!O267="Chen 25 D",Atletas!O267="Chen 36 D",Atletas!O267="Chen 56 D"),420,IF(Atletas!O267="Sun 73 D",421,IF(Atletas!O267="Wu 45 D",422,IF(Atletas!O267="Wu-Hao 46 D",423,IF(OR(Atletas!O267="Taijiquan 16 D",Atletas!O267="Taijiquan 24 D",Atletas!O267="Taijiquan 32 D",Atletas!O267="Taijiquan 42 D"),424,IF(OR(Atletas!O267="Yang 26 E",Atletas!O267="Yang 40 E"),425,IF(OR(Atletas!O267="Chen 25 E",Atletas!O267="Chen 36 E",Atletas!O267="Chen 56 E"),426,IF(Atletas!O267="Sun 73 E",427,IF(Atletas!O267="Wu 45 E",428,IF(Atletas!O267="Wu-Hao 46 E",429,IF(OR(Atletas!O267="Taijiquan 16 E",Atletas!O267="Taijiquan 24 E",Atletas!O267="Taijiquan 32 E",Atletas!O267="Taijiquan 42 E"),430,IF(OR(Atletas!O267="Yang 26 F",Atletas!O267="Yang 40 F"),431,IF(OR(Atletas!O267="Chen 25 F",Atletas!O267="Chen 36 F",Atletas!O267="Chen 56 F"),432,IF(Atletas!O267="Sun 73 F",433,IF(Atletas!O267="Wu 45 F",434,IF(Atletas!O267="Wu-Hao 46 F",435,IF(OR(Atletas!O267="Taijiquan 16 F",Atletas!O267="Taijiquan 24 F",Atletas!O267="Taijiquan 32 F",Atletas!O267="Taijiquan 42 F"),436,0)))))))))))))))))))</f>
        <v/>
      </c>
      <c r="BR271" s="52" t="str">
        <f>IF(Atletas!P267="","",IF(Atletas!W267&lt;&gt;"",10000,0)+IF(Atletas!B267="Feminino",1000,IF(Atletas!B267="Masculino",2000,""))+IF(Atletas!P267="Xingyiquan A",501,IF(Atletas!P267="Baguazhang A",502,IF(Atletas!P267="Outro Estilo Interno A",503,IF(Atletas!P267="Xingyiquan B",504,IF(Atletas!P267="Baguazhang B",505,IF(Atletas!P267="Outro Estilo Interno B",506,IF(Atletas!P267="Xingyiquan C",507,IF(Atletas!P267="Baguazhang C",508,IF(Atletas!P267="Outro Estilo Interno C",509,IF(Atletas!P267="Xingyiquan D",510,IF(Atletas!P267="Baguazhang D",511,IF(Atletas!P267="Outro Estilo Interno D",512,IF(Atletas!P267="Xingyiquan E",513,IF(Atletas!P267="Baguazhang E",514,IF(Atletas!P267="Outro Estilo Interno E",515,IF(Atletas!P267="Xingyiquan F",516,IF(Atletas!P267="Baguazhang F",517,IF(Atletas!P267="Outro Estilo Interno F",518, "")))))))))))))))))))</f>
        <v/>
      </c>
      <c r="BS271" s="52" t="str">
        <f>IF(Atletas!Q267="","",IF(Atletas!W267&lt;&gt;"",10000,0)+IF(Atletas!B267="Feminino",1000,IF(Atletas!B267="Masculino",2000,""))+IF(Atletas!Q267="Dao A",601,IF(Atletas!Q267="Jian A",602,IF(Atletas!Q267="Bishou A",603,IF(Atletas!Q267="Shan A",604,IF(Atletas!Q267="Outra Arma Curta A",605,IF(Atletas!Q267="Dao B",606,IF(Atletas!Q267="Jian B",607,IF(Atletas!Q267="Bishou B",608,IF(Atletas!Q267="Shan B",609,IF(Atletas!Q267="Outra Arma Curta B",610,IF(Atletas!Q267="Dao C",611,IF(Atletas!Q267="Jian C",612,IF(Atletas!Q267="Bishou C",613,IF(Atletas!Q267="Shan C",614,IF(Atletas!Q267="Outra Arma Curta C",615,IF(Atletas!Q267="Dao D",616,IF(Atletas!Q267="Jian D",617,IF(Atletas!Q267="Bishou D",618,IF(Atletas!Q267="Shan D",619,IF(Atletas!Q267="Outra Arma Curta D",620,IF(Atletas!Q267="Dao E",621,IF(Atletas!Q267="Jian E",622,IF(Atletas!Q267="Bishou E",623,IF(Atletas!Q267="Shan E",624,IF(Atletas!Q267="Outra Arma Curta E",625,IF(Atletas!Q267="Dao F",626,IF(Atletas!Q267="Jian F",627,IF(Atletas!Q267="Bishou F",628,IF(Atletas!Q267="Shan F",629,IF(Atletas!Q267="Outra Arma Curta F",630, "")))))))))))))))))))))))))))))))</f>
        <v/>
      </c>
      <c r="BT271" s="52" t="str">
        <f>IF(Atletas!R267="","",IF(Atletas!W267&lt;&gt;"",10000,0)+IF(Atletas!B267="Feminino",1000,IF(Atletas!B267="Masculino",2000,""))+IF(Atletas!R267="Gun A",701,IF(Atletas!R267="Qiang A",702,IF(Atletas!R267="Pudao / Guandao A",703,IF(Atletas!R267="Outra Arma Longa A",704,IF(Atletas!R267="Gun B",705,IF(Atletas!R267="Qiang B",706,IF(Atletas!R267="Pudao / Guandao B",707,IF(Atletas!R267="Outra Arma Longa B",708,IF(Atletas!R267="Gun C",709,IF(Atletas!R267="Qiang C",710,IF(Atletas!R267="Pudao / Guandao C",711,IF(Atletas!R267="Outra Arma Longa C",712,IF(Atletas!R267="Gun D",713,IF(Atletas!R267="Qiang D",714,IF(Atletas!R267="Pudao / Guandao D",715,IF(Atletas!R267="Outra Arma Longa D",716,IF(Atletas!R267="Gun E",717,IF(Atletas!R267="Qiang E",718,IF(Atletas!R267="Pudao / Guandao E",719,IF(Atletas!R267="Outra Arma Longa E",720,IF(Atletas!R267="Gun F",721,IF(Atletas!R267="Qiang F",722,IF(Atletas!R267="Pudao / Guandao F",723,IF(Atletas!R267="Outra Arma Longa F",724,"")))))))))))))))))))))))))</f>
        <v/>
      </c>
      <c r="BU271" s="52" t="str">
        <f>IF(Atletas!S267="","",IF(Atletas!W267&lt;&gt;"",10000,0)+IF(Atletas!B267="Feminino",1000,IF(Atletas!B267="Masculino",2000,""))+IF(Atletas!S267="Arma Dupla A",801,IF(Atletas!S267="Arma Maleável A",802,IF(Atletas!S267="Arma Dupla B",803,IF(Atletas!S267="Arma Maleável B",804,IF(Atletas!S267="Arma Dupla C",805,IF(Atletas!S267="Arma Maleável C",806,IF(Atletas!S267="Arma Dupla D",807,IF(Atletas!S267="Arma Maleável D",808,IF(Atletas!S267="Arma Dupla E",809,IF(Atletas!S267="Arma Maleável E",810,IF(Atletas!S267="Arma Dupla F",811,IF(Atletas!S267="Arma Maleável F",812, "")))))))))))))</f>
        <v/>
      </c>
      <c r="BV271" s="52" t="str">
        <f>IF(Atletas!T267="","",IF(Atletas!W267&lt;&gt;"",10000,0)+IF(Atletas!B267="Feminino",1000,IF(Atletas!B267="Masculino",2000,""))+IF(Atletas!T267="Taijijian Yang A",901,IF(Atletas!T267="Taijijian Chen A",902,IF(Atletas!T267="Taijijian Sun A",903,IF(Atletas!T267="Taijijian Wu A",904,IF(Atletas!T267="Taijijian Wu-Hao A",905,IF(Atletas!T267="Taijijian 32 A",906,IF(Atletas!T267="Taijijian 42 A",907,IF(Atletas!T267="Taijijian Yang B",908,IF(Atletas!T267="Taijijian Chen B",909,IF(Atletas!T267="Taijijian Sun B",910,IF(Atletas!T267="Taijijian Wu B",911,IF(Atletas!T267="Taijijian Wu-Hao B",912,IF(Atletas!T267="Taijijian 32 B",913,IF(Atletas!T267="Taijijian 42 B",914,IF(Atletas!T267="Taijijian Yang C",915,IF(Atletas!T267="Taijijian Chen C",916,IF(Atletas!T267="Taijijian Sun C",917,IF(Atletas!T267="Taijijian Wu C",918,IF(Atletas!T267="Taijijian Wu-Hao C",919,IF(Atletas!T267="Taijijian 32 C",920,IF(Atletas!T267="Taijijian 42 C",921,IF(Atletas!T267="Taijijian Yang D",922,IF(Atletas!T267="Taijijian Chen D",923,IF(Atletas!T267="Taijijian Sun D",924,IF(Atletas!T267="Taijijian Wu D",925,IF(Atletas!T267="Taijijian Wu-Hao D",926,IF(Atletas!T267="Taijijian 32 D",927,IF(Atletas!T267="Taijijian 42 D",928,IF(Atletas!T267="Taijijian Yang E",929,IF(Atletas!T267="Taijijian Chen E",930,IF(Atletas!T267="Taijijian Sun E",931,IF(Atletas!T267="Taijijian Wu E",932,IF(Atletas!T267="Taijijian Wu-Hao E",933,IF(Atletas!T267="Taijijian 32 E",934,IF(Atletas!T267="Taijijian 42 E",935,IF(Atletas!T267="Taijijian Yang F",936,IF(Atletas!T267="Taijijian Chen F",937,IF(Atletas!T267="Taijijian Sun F",938,IF(Atletas!T267="Taijijian Wu F",939,IF(Atletas!T267="Taijijian Wu-Hao F",940,IF(Atletas!T267="Taijijian 32 F",941,IF(Atletas!T267="Taijijian 42 F",942,"")))))))))))))))))))))))))))))))))))))))))))</f>
        <v/>
      </c>
      <c r="BW271" s="52" t="str">
        <f>IF(Atletas!U267="","",IF(Atletas!W267&lt;&gt;"",10000,0)+IF(Atletas!B267="Feminino",1000,IF(Atletas!B267="Masculino",2000,""))+IF(Atletas!T267="Taijijian 42 F",942,IF(Atletas!U267="Taijidao A",943,IF(Atletas!U267="Taijishan A",944,IF(Atletas!U267="Taijiqiang A",945,IF(Atletas!U267="Taijidao B",946,IF(Atletas!U267="Taijishan B",947,IF(Atletas!U267="Taijiqiang B",948,IF(Atletas!U267="Taijidao C",949,IF(Atletas!U267="Taijishan C",950,IF(Atletas!U267="Taijiqiang C",951,IF(Atletas!U267="Taijidao D",952,IF(Atletas!U267="Taijishan D",953,IF(Atletas!U267="Taijiqiang D",954,IF(Atletas!U267="Taijidao E",955,IF(Atletas!U267="Taijishan E",956,IF(Atletas!U267="Taijiqiang E",957,IF(Atletas!U267="Taijidao F",958,IF(Atletas!U267="Taijishan F",959,IF(Atletas!U267="Taijiqiang F",960))))))))))))))))))))</f>
        <v/>
      </c>
      <c r="BX271" s="72" t="str">
        <f>IF(BY271&lt;&gt;"","Pudao / Gaundao E","")</f>
        <v/>
      </c>
      <c r="BY271" s="72" t="str">
        <f>IF(COUNTIF(BK:BW,1719)&gt;0,COUNTIF(BK:BW,1719),"")</f>
        <v/>
      </c>
      <c r="BZ271" s="72" t="str">
        <f>IF(CA271&lt;&gt;"","Pudao / Gaundao E","")</f>
        <v/>
      </c>
      <c r="CA271" s="72" t="str">
        <f>IF(COUNTIF(BK:BW,2719)&gt;0,COUNTIF(BK:BW,2719),"")</f>
        <v/>
      </c>
      <c r="CB271" s="72" t="str">
        <f>IF(CC271&lt;&gt;"","Xingyiquan C","")</f>
        <v/>
      </c>
      <c r="CC271" s="64" t="str">
        <f>IF(COUNTIF(BK:BW,11507)&gt;0,COUNTIF(BK:BW,11507),"")</f>
        <v/>
      </c>
      <c r="CD271" s="64" t="str">
        <f>IF(CE271&lt;&gt;"","Xingyiquan C","")</f>
        <v/>
      </c>
      <c r="CE271" s="64" t="str">
        <f>IF(COUNTIF(BK:BW,12507)&gt;0,COUNTIF(BK:BW,12507),"")</f>
        <v/>
      </c>
      <c r="CF271" s="52" t="str">
        <f xml:space="preserve"> IF(Atletas!V267="","",IF(Atletas!V267="Duilian de Mãos AB - Equipe 1",1,IF(Atletas!V267="Duilian de Mãos AB - Equipe 2",2,IF(Atletas!V267="Duilian de Armas AB - Equipe 1",3,IF(Atletas!V267="Duilian de Armas AB - Equipe 2",4,IF(Atletas!V267="Duilian de Tuishou - Equipe 1",5,IF(Atletas!V267="Duilian de Tuishou - Equipe 2",6,IF(Atletas!V267="Grupo Externo AB - Equipe 1",7,IF(Atletas!V267="Grupo Externo AB - Equipe 2",8,IF(Atletas!V267="Grupo Interno AB - Equipe 1",9,IF(Atletas!V267="Grupo Interno AB - Equipe 2",10,IF(Atletas!V267="Duilian de Mãos CD - Equipe 1",11,IF(Atletas!V267="Duilian de Mãos CD - Equipe 2",12,IF(Atletas!V267="Duilian de Armas CD - Equipe 1",13,IF(Atletas!V267="Duilian de Armas CD - Equipe 2",14,IF(Atletas!V267="Duilian de Tuishou - Equipe 1",15,IF(Atletas!V267="Duilian de Tuishou - Equipe 2",16,IF(Atletas!V267="Grupo Externo CDEF - Equipe 1",17,IF(Atletas!V267="Grupo Externo CDEF - Equipe 2",18,IF(Atletas!V267="Grupo Interno CDEF - Equipe 1",19,IF(Atletas!V267="Grupo Interno CDEF - Equipe 2",20,IF(Atletas!V267="Duilian de Mãos EF - Equipe 1",21,IF(Atletas!V267="Duilian de Mãos EF - Equipe 2",22,IF(Atletas!V267="Duilian de Armas EF - Equipe 1",23,IF(Atletas!V267="Duilian de Armas EF - Equipe 2",24,IF(Atletas!V267="Duilian de Tuishou - Equipe 1",25,IF(Atletas!V267="Duilian de Tuishou - Equipe 2",26,"")))))))))))))))))))))))))))</f>
        <v/>
      </c>
    </row>
    <row r="272" spans="2:84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 t="str">
        <f t="array" ref="V272">IFERROR(INDEX(BX$7:BX$336,SMALL(IF(BX$7:BX$336&lt;&gt;"",ROW(BX$7:BX$336)-ROW(BX$7)+1),ROWS(BX$7:BX229))),"")</f>
        <v/>
      </c>
      <c r="W272" s="4" t="str">
        <f t="array" ref="W272">IFERROR(INDEX(BY$7:BY$336,SMALL(IF(BY$7:BY$336&lt;&gt;"",ROW(BY$7:BY$336)-ROW(BY$7)+1),ROWS(BY$7:BY229))),"")</f>
        <v/>
      </c>
      <c r="X272" s="4" t="str">
        <f t="array" ref="X272">IFERROR(INDEX(BZ$7:BZ$336,SMALL(IF(BZ$7:BZ$336&lt;&gt;"",ROW(BZ$7:BZ$336)-ROW(BZ$7)+1),ROWS(BZ$7:BZ229))),"")</f>
        <v/>
      </c>
      <c r="Y272" s="4" t="str">
        <f t="array" ref="Y272">IFERROR(INDEX(CA$7:CA$336,SMALL(IF(CA$7:CA$336&lt;&gt;"",ROW(CA$7:CA$336)-ROW(CA$7)+1),ROWS(CA$7:CA229))),"")</f>
        <v/>
      </c>
      <c r="Z272" s="4" t="str">
        <f t="array" ref="Z272">IFERROR(INDEX(CB$7:CB$378,SMALL(IF(CB$7:CB$378&lt;&gt;"",ROW(CB$7:CB$378)-ROW(CB$7)+1),ROWS(CB$7:CB271))),"")</f>
        <v/>
      </c>
      <c r="AA272" s="4" t="str">
        <f t="array" ref="AA272">IFERROR(INDEX(CC$7:CC$378,SMALL(IF(CC$7:CC$378&lt;&gt;"",ROW(CC$7:CC$378)-ROW(CC$7)+1),ROWS(CC$7:CC271))),"")</f>
        <v/>
      </c>
      <c r="AB272" s="4" t="str">
        <f t="array" ref="AB272">IFERROR(INDEX(CD$7:CD$378,SMALL(IF(CD$7:CD$378&lt;&gt;"",ROW(CD$7:CD$378)-ROW(CD$7)+1),ROWS(CD$7:CD271))),"")</f>
        <v/>
      </c>
      <c r="AC272" s="4" t="str">
        <f t="array" ref="AC272">IFERROR(INDEX(CE$7:CE$378,SMALL(IF(CE$7:CE$378&lt;&gt;"",ROW(CE$7:CE$378)-ROW(CE$7)+1),ROWS(CE$7:CE271))),"")</f>
        <v/>
      </c>
      <c r="AD272" s="4"/>
      <c r="AE272" s="4"/>
      <c r="AF272" s="4"/>
      <c r="AG272" s="4"/>
      <c r="AH272" s="4"/>
      <c r="AI272" s="4"/>
      <c r="AJ272" s="46" t="str">
        <f>IF(Atletas!D268="","",IF(Atletas!B268="Feminino",100,IF(Atletas!B268="Masculino",200,""))+(IF(Atletas!D268="Infantil 39kg",1,IF(Atletas!D268="Infantil 42kg",2,IF(Atletas!D268="Infantil 45kg",3,IF(Atletas!D268="Infantil 48kg",4,IF(Atletas!D268="Infantil 52kg",5,IF(Atletas!D268="Infantil 56kg",6,IF(Atletas!D268="Infantil 60kg",7,IF(Atletas!D268="Juvenil 48kg",8,IF(Atletas!D268="Juvenil 52kg",9,IF(Atletas!D268="Juvenil 56kg",10,IF(Atletas!D268="Juvenil 60kg",11,IF(Atletas!D268="Juvenil 65kg",12,IF(Atletas!D268="Juvenil 70kg",13,IF(Atletas!D268="Juvenil 75kg",14,IF(Atletas!D268="Juvenil 80kg",15,IF(Atletas!D268="Adulto 48kg",16,IF(Atletas!D268="Adulto 52kg",17,IF(Atletas!D268="Adulto 56kg",18,IF(Atletas!D268="Adulto 60kg",19,IF(Atletas!D268="Adulto 65kg",20,IF(Atletas!D268="Adulto 70kg",21,IF(Atletas!D268="Adulto 75kg",22,IF(Atletas!D268="Adulto 80kg",23,IF(Atletas!D268="Adulto 85kg",24,IF(Atletas!D268="Adulto 90kg",25,IF(Atletas!D268="Adulto +90kg",26,""))))))))))))))))))))))))))))</f>
        <v/>
      </c>
      <c r="AO272" s="10" t="str">
        <f>IF(Atletas!E268="","",IF(Atletas!B268="Feminino",100,IF(Atletas!B268="Masculino",200,""))+(IF(Atletas!E268="Juvenil 44kg",1,IF(Atletas!E268="Juvenil 48kg",2,IF(Atletas!E268="Juvenil 52kg",3,IF(Atletas!E268="Juvenil 56kg",4,IF(Atletas!E268="Juvenil 60kg",5,IF(Atletas!E268="Juvenil 65kg",6,IF(Atletas!E268="Juvenil 70kg",7,IF(Atletas!E268="Juvenil 75kg",8,IF(Atletas!E268="Juvenil 82kg",9,IF(Atletas!E268="Juvenil 90kg",10,IF(Atletas!E268="Juvenil 100kg",11,IF(Atletas!E268="Adulto 48kg",12,IF(Atletas!E268="Adulto 52kg",13,IF(Atletas!E268="Adulto 56kg",14,IF(Atletas!E268="Adulto 60kg",15,IF(Atletas!E268="Adulto 65kg",16,IF(Atletas!E268="Adulto 70kg",17,IF(Atletas!E268="Adulto 75kg",18,IF(Atletas!E268="Adulto 82kg",19,IF(Atletas!E268="Adulto 90kg",20,IF(Atletas!E268="Adulto 100kg",21,IF(Atletas!E268="Adulto +100kg",22,""))))))))))))))))))))))))</f>
        <v/>
      </c>
      <c r="AT272" s="10" t="str">
        <f>IF(Atletas!F268="","",IF(Atletas!B268="Feminino",100,IF(Atletas!B268="Masculino",200,""))+(IF(Atletas!F268="Adulto 48kg",1,IF(Atletas!F268="Adulto 56kg",2,IF(Atletas!F268="Adulto 65kg",3,IF(Atletas!F268="Adulto 75kg",4,IF(Atletas!F268="Adulto +75kg",5,IF(Atletas!F268="Adulto 52kg",6,IF(Atletas!F268="Adulto 60kg",7,IF(Atletas!F268="Adulto 70kg",8,IF(Atletas!F268="Adulto 80kg",9,IF(Atletas!F268="Adulto 90kg",10,IF(Atletas!F268="Adulto +90kg",11,"")))))))))))))</f>
        <v/>
      </c>
      <c r="AY272" s="46" t="str">
        <f>IF(Atletas!G268="","",IF(Atletas!B268="Feminino",100,IF(Atletas!B268="Masculino",200,""))+(IF(Atletas!G268="Changquan Mirim",1,IF(Atletas!G268="Nanquan Mirim",2,IF(Atletas!G268="Taijiquan Mirim",3,IF(Atletas!G268="Changquan Grupo C",4,IF(Atletas!G268="Nanquan Grupo C",5,IF(Atletas!G268="Taijiquan Grupo C",6,IF(Atletas!G268="Changquan Grupo B",7,IF(Atletas!G268="Nanquan Grupo B",8,IF(Atletas!G268="Taijiquan Grupo B",9,IF(Atletas!G268="Changquan Grupo A",10,IF(Atletas!G268="Nanquan Grupo A",11,IF(Atletas!G268="Taijiquan Grupo A",12,IF(Atletas!G268="Changquan Opcional",13,IF(Atletas!G268="Nanquan Opcional",14,IF(Atletas!G268="Taijiquan Opcional",15,IF(Atletas!G268="Changquan Adulto",16,IF(Atletas!G268="Nanquan Adulto",17,IF(Atletas!G268="Taijiquan Adulto",18,""))))))))))))))))))))</f>
        <v/>
      </c>
      <c r="AZ272" s="46" t="str">
        <f>IF(Atletas!H268="","",IF(Atletas!B268="Feminino",100,IF(Atletas!B268="Masculino",200,""))+(IF(Atletas!H268="Daoshu Mirim",19,IF(Atletas!H268="Jianshu Mirim",20,IF(Atletas!H268="Nandao Mirim",21,IF(Atletas!H268="Taijijian Mirim",22,IF(Atletas!H268="Daoshu Grupo C",23,IF(Atletas!H268="Jianshu Grupo C",24,IF(Atletas!H268="Nandao Grupo C",25,IF(Atletas!H268="Taijijian Grupo C",26,IF(Atletas!H268="Daoshu Grupo B",27,IF(Atletas!H268="Jianshu Grupo B",28,IF(Atletas!H268="Nandao Grupo B",29,IF(Atletas!H268="Taijijian Grupo B",30,IF(Atletas!H268="Daoshu Grupo A",31,IF(Atletas!H268="Jianshu Grupo A",32,IF(Atletas!H268="Nandao Grupo A",33,IF(Atletas!H268="Taijijian Grupo A",34,IF(Atletas!H268="Daoshu Opcional",35,IF(Atletas!H268="Jianshu Opcional",36,IF(Atletas!H268="Nandao Opcional",37,IF(Atletas!H268="Taijijian Opcional",38,IF(Atletas!H268="Daoshu Adulto",39,IF(Atletas!H268="Jianshu Adulto",40,IF(Atletas!H268="Nandao Adulto",41,IF(Atletas!H268="Taijijian Adulto",42,""))))))))))))))))))))))))))</f>
        <v/>
      </c>
      <c r="BA272" s="46" t="str">
        <f>IF(Atletas!I268="","",IF(Atletas!B268="Feminino",100,IF(Atletas!B268="Masculino",200,""))+(IF(Atletas!I268="Gunshu Mirim",43,IF(Atletas!I268="Qiangshu Mirim",44,IF(Atletas!I268="Nangun Mirim",45,IF(Atletas!I268="Gunshu Grupo C",46,IF(Atletas!I268="Qiangshu Grupo C",47,IF(Atletas!I268="Nangun Grupo C",48,IF(Atletas!I268="Gunshu Grupo B",49,IF(Atletas!I268="Qiangshu Grupo B",50,IF(Atletas!I268="Nangun Grupo B",51,IF(Atletas!I268="Gunshu Grupo A",52,IF(Atletas!I268="Qiangshu Grupo A",53,IF(Atletas!I268="Nangun Grupo A",54,IF(Atletas!I268="Gunshu Opcional",55,IF(Atletas!I268="Qiangshu Opcional",56,IF(Atletas!I268="Nangun Opcional",57,IF(Atletas!I268="Gunshu Adulto",58,IF(Atletas!I268="Qiangshu Adulto",59,IF(Atletas!I268="Nangun Adulto",60,""))))))))))))))))))))</f>
        <v/>
      </c>
      <c r="BF272" s="52" t="str">
        <f>IF(Atletas!J268="","",IF(Atletas!B268="Feminino",100,IF(Atletas!B268="Masculino",200,""))+(IF(Atletas!J268="Equipe 1 Grupo B",1,IF(Atletas!J268="Equipe 2 Grupo B",2,IF(Atletas!J268="Equipe 1 Grupo A",3,IF(Atletas!J268="Equipe 2 Grupo A",4,IF(Atletas!J268="Equipe 1 Adulto",5,IF(Atletas!J268="Equipe 2 Adulto",6,""))))))))</f>
        <v/>
      </c>
      <c r="BK272" s="52" t="str">
        <f>IF(Atletas!K268="","",IF(Atletas!W268&lt;&gt;"",10000,0)+(IF(Atletas!B268="Feminino",1000,IF(Atletas!B268="Masculino",2000,""))+IF(Atletas!K268="Choylayfut A",1,IF(Atletas!K268="Hunggar A",2,IF(Atletas!K268="Wuzuquan A",3,IF(Atletas!K268="Wingchun A",4,IF(Atletas!K268="Outra Mão de Sul A",5,IF(Atletas!K268="Choylayfut B",6,IF(Atletas!K268="Hunggar B",7,IF(Atletas!K268="Wuzuquan B",8,IF(Atletas!K268="Wingchun B",9,IF(Atletas!K268="Outra Mão de Sul B",10,IF(Atletas!K268="Choylayfut C",11,IF(Atletas!K268="Hunggar C",12,IF(Atletas!K268="Wuzuquan C",13,IF(Atletas!K268="Wingchun C",14,IF(Atletas!K268="Outra Mão de Sul C",15,IF(Atletas!K268="Choylayfut D",16,IF(Atletas!K268="Hunggar D",17,IF(Atletas!K268="Wuzuquan D",18,IF(Atletas!K268="Wingchun D",19,IF(Atletas!K268="Outra Mão de Sul D",20,IF(Atletas!K268="Choylayfut E",21,IF(Atletas!K268="Hunggar E",22,IF(Atletas!K268="Wuzuquan E",23,IF(Atletas!K268="Wingchun E",24,IF(Atletas!K268="Outra Mão de Sul E",25,IF(Atletas!K268="Choylayfut F",26,IF(Atletas!K268="Hunggar F",27,IF(Atletas!K268="Wuzuquan F",28,IF(Atletas!K268="Wingchun F",29,IF(Atletas!K268="Outra Mão de Sul F",30,""))))))))))))))))))))))))))))))))</f>
        <v/>
      </c>
      <c r="BL272" s="52" t="str">
        <f>IF(Atletas!L268="","",IF(Atletas!W268&lt;&gt;"",10000,0)+(IF(Atletas!B268="Feminino",1000,IF(Atletas!B268="Masculino",2000,""))+(IF(Atletas!L268="Chaquan A",101,IF(Atletas!L268="Emeiquan A",102,IF(Atletas!L268="Fanziquan A",103,IF(Atletas!L268="Huaquan A",104,IF(Atletas!L268="Hongquan A",105,IF(Atletas!L268="Paochui A",106,IF(Atletas!L268="Piguaquan A",107,IF(Atletas!L268="Shaolinquan A",108,IF(Atletas!L268="Tanglangquan A",109,IF(Atletas!L268="Yinzhaophai A",110,IF(Atletas!L268="Tongbeiquan A",111,IF(Atletas!L268="Wudangquan A",112,IF(Atletas!L268="Outros Estilos A",113,IF(Atletas!L268="Chaquan B",114,IF(Atletas!L268="Emeiquan B",115,IF(Atletas!L268="Fanziquan B",116,IF(Atletas!L268="Huaquan B",117,IF(Atletas!L268="Hongquan B",118,IF(Atletas!L268="Paochui B",119,IF(Atletas!L268="Piguaquan B",120,IF(Atletas!L268="Shaolinquan B",121,IF(Atletas!L268="Tanglangquan B",122,IF(Atletas!L268="Yinzhaophai B",123,IF(Atletas!L268="Tongbeiquan B",124,IF(Atletas!L268="Wudangquan B",125,IF(Atletas!L268="Outros Estilos B",126,IF(Atletas!L268="Chaquan C",127,IF(Atletas!L268="Emeiquan C",128,IF(Atletas!L268="Fanziquan C",129,IF(Atletas!L268="Huaquan C",130,IF(Atletas!L268="Hongquan C",131,IF(Atletas!L268="Paochui C",132,IF(Atletas!L268="Piguaquan C",133,IF(Atletas!L268="Shaolinquan C",134,IF(Atletas!L268="Tanglangquan C",135,IF(Atletas!L268="Yinzhaophai C",136,IF(Atletas!L268="Tongbeiquan C",137,IF(Atletas!L268="Wudangquan C",138,IF(Atletas!L268="Outros Estilos C",139,0))))))))))))))))))))))))))))))))))))))))))</f>
        <v/>
      </c>
      <c r="BM272" s="52" t="str">
        <f>IF(Atletas!L268="","",IF(Atletas!W268&lt;&gt;"",10000,0)+(IF(Atletas!B268="Feminino",1000,IF(Atletas!B268="Masculino",2000,""))+(IF(Atletas!L268="Chaquan D",140,IF(Atletas!L268="Emeiquan D",141,IF(Atletas!L268="Fanziquan D",142,IF(Atletas!L268="Huaquan D",143,IF(Atletas!L268="Hongquan D",144,IF(Atletas!L268="Paochui D",145,IF(Atletas!L268="Piguaquan D",146,IF(Atletas!L268="Shaolinquan D",147,IF(Atletas!L268="Tanglangquan D",148,IF(Atletas!L268="Yinzhaophai D",149,IF(Atletas!L268="Tongbeiquan D",150,IF(Atletas!L268="Wudangquan D",151,IF(Atletas!L268="Outros Estilos D",152,IF(Atletas!L268="Chaquan E",153,IF(Atletas!L268="Emeiquan E",154,IF(Atletas!L268="Fanziquan E",155,IF(Atletas!L268="Huaquan E",156,IF(Atletas!L268="Hongquan E",157,IF(Atletas!L268="Paochui E",158,IF(Atletas!L268="Piguaquan E",159,IF(Atletas!L268="Shaolinquan E",160,IF(Atletas!L268="Tanglangquan E",161,IF(Atletas!L268="Yinzhaophai E",162,IF(Atletas!L268="Tongbeiquan E",163,IF(Atletas!L268="Wudangquan E",164,IF(Atletas!L268="Outros Estilos E",165,IF(Atletas!L268="Chaquan F",166,IF(Atletas!L268="Emeiquan F",167,IF(Atletas!L268="Fanziquan F",168,IF(Atletas!L268="Huaquan F",169,IF(Atletas!L268="Hongquan F",170,IF(Atletas!L268="Paochui F",171,IF(Atletas!L268="Piguaquan F",172,IF(Atletas!L268="Shaolinquan F",173,IF(Atletas!L268="Tanglangquan F",174,IF(Atletas!L268="Yinzhaophai F",175,IF(Atletas!L268="Tongbeiquan F",176,IF(Atletas!L268="Wudangquan F",177,IF(Atletas!L268="Outros Estilos F",178,0))))))))))))))))))))))))))))))))))))))))))</f>
        <v/>
      </c>
      <c r="BN272" s="52" t="str">
        <f>IF(Atletas!M268="","",IF(Atletas!W268&lt;&gt;"",10000,0)+(IF(Atletas!B268="Feminino",1000,IF(Atletas!B268="Masculino",2000,""))+(IF(Atletas!M268="Ditangquan A",201,IF(Atletas!M268="Houquan A",202,IF(Atletas!M268="Zuiquan A",203,IF(Atletas!M268="Ditangquan B",204,IF(Atletas!M268="Houquan B",205,IF(Atletas!M268="Zuiquan B",206,IF(Atletas!M268="Ditangquan C",207,IF(Atletas!M268="Houquan C",208,IF(Atletas!M268="Zuiquan C",209,IF(Atletas!M268="Ditangquan D",210,IF(Atletas!M268="Houquan D",211,IF(Atletas!M268="Zuiquan D",212,IF(Atletas!M268="Ditangquan E",213,IF(Atletas!M268="Houquan E",214,IF(Atletas!M268="Zuiquan E",215,IF(Atletas!M268="Ditangquan F",216,IF(Atletas!M268="Houquan F",217,IF(Atletas!M268="Zuiquan F",218,"")))))))))))))))))))))</f>
        <v/>
      </c>
      <c r="BO272" s="52" t="str">
        <f>IF(Atletas!N268="","",IF(Atletas!W268&lt;&gt;"",10000,0)+IF(Atletas!B268="Feminino",1000,IF(Atletas!B268="Masculino",2000,""))+IF(Atletas!N268="Yang A",301,IF(Atletas!N268="Chen A",30,IF(Atletas!N268="Sun A",303,IF(Atletas!N268="Wu A",304,IF(Atletas!N268="Wu-Hao A",305,IF(Atletas!N268="Outro Taijiquan A",306,IF(Atletas!N268="Yang B",307,IF(Atletas!N268="Chen B",308,IF(Atletas!N268="Sun B",309,IF(Atletas!N268="Wu B",310,IF(Atletas!N268="Wu-Hao B",311,IF(Atletas!N268="Outro Taijiquan B",312,IF(Atletas!N268="Yang C",313,IF(Atletas!N268="Chen C",314,IF(Atletas!N268="Sun C",315,IF(Atletas!N268="Wu C",316,IF(Atletas!N268="Wu-Hao C",317,IF(Atletas!N268="Outro Taijiquan C",318,IF(Atletas!N268="Yang D",319,IF(Atletas!N268="Chen D",320,IF(Atletas!N268="Sun D",321,IF(Atletas!N268="Wu D",322,IF(Atletas!N268="Wu-Hao D",323,IF(Atletas!N268="Outro Taijiquan D",324,IF(Atletas!N268="Yang E",325,IF(Atletas!N268="Chen E",326,IF(Atletas!N268="Sun E",327,IF(Atletas!N268="Wu E",328,IF(Atletas!N268="Wu-Hao E",329,IF(Atletas!N268="Outro Taijiquan E",330,IF(Atletas!N268="Yang F",331,IF(Atletas!N268="Chen F",332,IF(Atletas!N268="Sun F",333,IF(Atletas!N268="Wu F",334,IF(Atletas!N268="Wu-Hao F",335,IF(Atletas!N268="Outro Taijiquan F",336,"")))))))))))))))))))))))))))))))))))))</f>
        <v/>
      </c>
      <c r="BP272" s="52" t="str">
        <f>IF(Atletas!O268="","",IF(Atletas!W268&lt;&gt;"",10000,0)+IF(Atletas!B268="Feminino",1000,IF(Atletas!B268="Masculino",2000,""))+IF(OR(Atletas!O268="Yang 26 A",Atletas!O268="Yang 40 A"),401,IF(OR(Atletas!O268="Chen 25 A",Atletas!O268="Chen 36 A",Atletas!O268="Chen 56 A"),402,IF(Atletas!O268="Sun 73 A",403,IF(Atletas!O268="Wu 45 A",404,IF(Atletas!O268="Wu-Hao 46 A",405,IF(OR(Atletas!O268="Taijiquan 16 A",Atletas!O268="Taijiquan 24 A",Atletas!O268="Taijiquan 32 A",Atletas!O268="Taijiquan 42 A"),406,IF(OR(Atletas!O268="Yang 26 B",Atletas!O268="Yang 40 B"),407,IF(OR(Atletas!O268="Chen 25 B",Atletas!O268="Chen 36 B",Atletas!O268="Chen 56 B"),408,IF(Atletas!O268="Sun 73 B",409,IF(Atletas!O268="Wu 45 B",410,IF(Atletas!O268="Wu-Hao 46 B",411,IF(OR(Atletas!O268="Taijiquan 16 B",Atletas!O268="Taijiquan 24 B",Atletas!O268="Taijiquan 32 B",Atletas!O268="Taijiquan 42 B"),412,IF(OR(Atletas!O268="Yang 26 C",Atletas!O268="Yang 40 C"),413,IF(OR(Atletas!O268="Chen 25 C",Atletas!O268="Chen 36 C",Atletas!O268="Chen 56 C"),414,IF(Atletas!O268="Sun 73 C",415,IF(Atletas!O268="Wu 45 C",416,IF(Atletas!O268="Wu-Hao 46 C",417,IF(OR(Atletas!O268="Taijiquan 16 C",Atletas!O268="Taijiquan 24 C",Atletas!O268="Taijiquan 32 C",Atletas!O268="Taijiquan 42 C"),418,0)))))))))))))))))))</f>
        <v/>
      </c>
      <c r="BQ272" s="52" t="str">
        <f>IF(Atletas!O268="","",IF(Atletas!W268&lt;&gt;"",10000,0)+IF(Atletas!B268="Feminino",1000,IF(Atletas!B268="Masculino",2000,""))+IF(OR(Atletas!O268="Yang 26 D",Atletas!O268="Yang 40 D"),419,IF(OR(Atletas!O268="Chen 25 D",Atletas!O268="Chen 36 D",Atletas!O268="Chen 56 D"),420,IF(Atletas!O268="Sun 73 D",421,IF(Atletas!O268="Wu 45 D",422,IF(Atletas!O268="Wu-Hao 46 D",423,IF(OR(Atletas!O268="Taijiquan 16 D",Atletas!O268="Taijiquan 24 D",Atletas!O268="Taijiquan 32 D",Atletas!O268="Taijiquan 42 D"),424,IF(OR(Atletas!O268="Yang 26 E",Atletas!O268="Yang 40 E"),425,IF(OR(Atletas!O268="Chen 25 E",Atletas!O268="Chen 36 E",Atletas!O268="Chen 56 E"),426,IF(Atletas!O268="Sun 73 E",427,IF(Atletas!O268="Wu 45 E",428,IF(Atletas!O268="Wu-Hao 46 E",429,IF(OR(Atletas!O268="Taijiquan 16 E",Atletas!O268="Taijiquan 24 E",Atletas!O268="Taijiquan 32 E",Atletas!O268="Taijiquan 42 E"),430,IF(OR(Atletas!O268="Yang 26 F",Atletas!O268="Yang 40 F"),431,IF(OR(Atletas!O268="Chen 25 F",Atletas!O268="Chen 36 F",Atletas!O268="Chen 56 F"),432,IF(Atletas!O268="Sun 73 F",433,IF(Atletas!O268="Wu 45 F",434,IF(Atletas!O268="Wu-Hao 46 F",435,IF(OR(Atletas!O268="Taijiquan 16 F",Atletas!O268="Taijiquan 24 F",Atletas!O268="Taijiquan 32 F",Atletas!O268="Taijiquan 42 F"),436,0)))))))))))))))))))</f>
        <v/>
      </c>
      <c r="BR272" s="52" t="str">
        <f>IF(Atletas!P268="","",IF(Atletas!W268&lt;&gt;"",10000,0)+IF(Atletas!B268="Feminino",1000,IF(Atletas!B268="Masculino",2000,""))+IF(Atletas!P268="Xingyiquan A",501,IF(Atletas!P268="Baguazhang A",502,IF(Atletas!P268="Outro Estilo Interno A",503,IF(Atletas!P268="Xingyiquan B",504,IF(Atletas!P268="Baguazhang B",505,IF(Atletas!P268="Outro Estilo Interno B",506,IF(Atletas!P268="Xingyiquan C",507,IF(Atletas!P268="Baguazhang C",508,IF(Atletas!P268="Outro Estilo Interno C",509,IF(Atletas!P268="Xingyiquan D",510,IF(Atletas!P268="Baguazhang D",511,IF(Atletas!P268="Outro Estilo Interno D",512,IF(Atletas!P268="Xingyiquan E",513,IF(Atletas!P268="Baguazhang E",514,IF(Atletas!P268="Outro Estilo Interno E",515,IF(Atletas!P268="Xingyiquan F",516,IF(Atletas!P268="Baguazhang F",517,IF(Atletas!P268="Outro Estilo Interno F",518, "")))))))))))))))))))</f>
        <v/>
      </c>
      <c r="BS272" s="52" t="str">
        <f>IF(Atletas!Q268="","",IF(Atletas!W268&lt;&gt;"",10000,0)+IF(Atletas!B268="Feminino",1000,IF(Atletas!B268="Masculino",2000,""))+IF(Atletas!Q268="Dao A",601,IF(Atletas!Q268="Jian A",602,IF(Atletas!Q268="Bishou A",603,IF(Atletas!Q268="Shan A",604,IF(Atletas!Q268="Outra Arma Curta A",605,IF(Atletas!Q268="Dao B",606,IF(Atletas!Q268="Jian B",607,IF(Atletas!Q268="Bishou B",608,IF(Atletas!Q268="Shan B",609,IF(Atletas!Q268="Outra Arma Curta B",610,IF(Atletas!Q268="Dao C",611,IF(Atletas!Q268="Jian C",612,IF(Atletas!Q268="Bishou C",613,IF(Atletas!Q268="Shan C",614,IF(Atletas!Q268="Outra Arma Curta C",615,IF(Atletas!Q268="Dao D",616,IF(Atletas!Q268="Jian D",617,IF(Atletas!Q268="Bishou D",618,IF(Atletas!Q268="Shan D",619,IF(Atletas!Q268="Outra Arma Curta D",620,IF(Atletas!Q268="Dao E",621,IF(Atletas!Q268="Jian E",622,IF(Atletas!Q268="Bishou E",623,IF(Atletas!Q268="Shan E",624,IF(Atletas!Q268="Outra Arma Curta E",625,IF(Atletas!Q268="Dao F",626,IF(Atletas!Q268="Jian F",627,IF(Atletas!Q268="Bishou F",628,IF(Atletas!Q268="Shan F",629,IF(Atletas!Q268="Outra Arma Curta F",630, "")))))))))))))))))))))))))))))))</f>
        <v/>
      </c>
      <c r="BT272" s="52" t="str">
        <f>IF(Atletas!R268="","",IF(Atletas!W268&lt;&gt;"",10000,0)+IF(Atletas!B268="Feminino",1000,IF(Atletas!B268="Masculino",2000,""))+IF(Atletas!R268="Gun A",701,IF(Atletas!R268="Qiang A",702,IF(Atletas!R268="Pudao / Guandao A",703,IF(Atletas!R268="Outra Arma Longa A",704,IF(Atletas!R268="Gun B",705,IF(Atletas!R268="Qiang B",706,IF(Atletas!R268="Pudao / Guandao B",707,IF(Atletas!R268="Outra Arma Longa B",708,IF(Atletas!R268="Gun C",709,IF(Atletas!R268="Qiang C",710,IF(Atletas!R268="Pudao / Guandao C",711,IF(Atletas!R268="Outra Arma Longa C",712,IF(Atletas!R268="Gun D",713,IF(Atletas!R268="Qiang D",714,IF(Atletas!R268="Pudao / Guandao D",715,IF(Atletas!R268="Outra Arma Longa D",716,IF(Atletas!R268="Gun E",717,IF(Atletas!R268="Qiang E",718,IF(Atletas!R268="Pudao / Guandao E",719,IF(Atletas!R268="Outra Arma Longa E",720,IF(Atletas!R268="Gun F",721,IF(Atletas!R268="Qiang F",722,IF(Atletas!R268="Pudao / Guandao F",723,IF(Atletas!R268="Outra Arma Longa F",724,"")))))))))))))))))))))))))</f>
        <v/>
      </c>
      <c r="BU272" s="52" t="str">
        <f>IF(Atletas!S268="","",IF(Atletas!W268&lt;&gt;"",10000,0)+IF(Atletas!B268="Feminino",1000,IF(Atletas!B268="Masculino",2000,""))+IF(Atletas!S268="Arma Dupla A",801,IF(Atletas!S268="Arma Maleável A",802,IF(Atletas!S268="Arma Dupla B",803,IF(Atletas!S268="Arma Maleável B",804,IF(Atletas!S268="Arma Dupla C",805,IF(Atletas!S268="Arma Maleável C",806,IF(Atletas!S268="Arma Dupla D",807,IF(Atletas!S268="Arma Maleável D",808,IF(Atletas!S268="Arma Dupla E",809,IF(Atletas!S268="Arma Maleável E",810,IF(Atletas!S268="Arma Dupla F",811,IF(Atletas!S268="Arma Maleável F",812, "")))))))))))))</f>
        <v/>
      </c>
      <c r="BV272" s="52" t="str">
        <f>IF(Atletas!T268="","",IF(Atletas!W268&lt;&gt;"",10000,0)+IF(Atletas!B268="Feminino",1000,IF(Atletas!B268="Masculino",2000,""))+IF(Atletas!T268="Taijijian Yang A",901,IF(Atletas!T268="Taijijian Chen A",902,IF(Atletas!T268="Taijijian Sun A",903,IF(Atletas!T268="Taijijian Wu A",904,IF(Atletas!T268="Taijijian Wu-Hao A",905,IF(Atletas!T268="Taijijian 32 A",906,IF(Atletas!T268="Taijijian 42 A",907,IF(Atletas!T268="Taijijian Yang B",908,IF(Atletas!T268="Taijijian Chen B",909,IF(Atletas!T268="Taijijian Sun B",910,IF(Atletas!T268="Taijijian Wu B",911,IF(Atletas!T268="Taijijian Wu-Hao B",912,IF(Atletas!T268="Taijijian 32 B",913,IF(Atletas!T268="Taijijian 42 B",914,IF(Atletas!T268="Taijijian Yang C",915,IF(Atletas!T268="Taijijian Chen C",916,IF(Atletas!T268="Taijijian Sun C",917,IF(Atletas!T268="Taijijian Wu C",918,IF(Atletas!T268="Taijijian Wu-Hao C",919,IF(Atletas!T268="Taijijian 32 C",920,IF(Atletas!T268="Taijijian 42 C",921,IF(Atletas!T268="Taijijian Yang D",922,IF(Atletas!T268="Taijijian Chen D",923,IF(Atletas!T268="Taijijian Sun D",924,IF(Atletas!T268="Taijijian Wu D",925,IF(Atletas!T268="Taijijian Wu-Hao D",926,IF(Atletas!T268="Taijijian 32 D",927,IF(Atletas!T268="Taijijian 42 D",928,IF(Atletas!T268="Taijijian Yang E",929,IF(Atletas!T268="Taijijian Chen E",930,IF(Atletas!T268="Taijijian Sun E",931,IF(Atletas!T268="Taijijian Wu E",932,IF(Atletas!T268="Taijijian Wu-Hao E",933,IF(Atletas!T268="Taijijian 32 E",934,IF(Atletas!T268="Taijijian 42 E",935,IF(Atletas!T268="Taijijian Yang F",936,IF(Atletas!T268="Taijijian Chen F",937,IF(Atletas!T268="Taijijian Sun F",938,IF(Atletas!T268="Taijijian Wu F",939,IF(Atletas!T268="Taijijian Wu-Hao F",940,IF(Atletas!T268="Taijijian 32 F",941,IF(Atletas!T268="Taijijian 42 F",942,"")))))))))))))))))))))))))))))))))))))))))))</f>
        <v/>
      </c>
      <c r="BW272" s="52" t="str">
        <f>IF(Atletas!U268="","",IF(Atletas!W268&lt;&gt;"",10000,0)+IF(Atletas!B268="Feminino",1000,IF(Atletas!B268="Masculino",2000,""))+IF(Atletas!T268="Taijijian 42 F",942,IF(Atletas!U268="Taijidao A",943,IF(Atletas!U268="Taijishan A",944,IF(Atletas!U268="Taijiqiang A",945,IF(Atletas!U268="Taijidao B",946,IF(Atletas!U268="Taijishan B",947,IF(Atletas!U268="Taijiqiang B",948,IF(Atletas!U268="Taijidao C",949,IF(Atletas!U268="Taijishan C",950,IF(Atletas!U268="Taijiqiang C",951,IF(Atletas!U268="Taijidao D",952,IF(Atletas!U268="Taijishan D",953,IF(Atletas!U268="Taijiqiang D",954,IF(Atletas!U268="Taijidao E",955,IF(Atletas!U268="Taijishan E",956,IF(Atletas!U268="Taijiqiang E",957,IF(Atletas!U268="Taijidao F",958,IF(Atletas!U268="Taijishan F",959,IF(Atletas!U268="Taijiqiang F",960))))))))))))))))))))</f>
        <v/>
      </c>
      <c r="BX272" s="72" t="str">
        <f>IF(BY272&lt;&gt;"","Outra Arma Longa E","")</f>
        <v/>
      </c>
      <c r="BY272" s="72" t="str">
        <f>IF(COUNTIF(BK:BW,1720)&gt;0,COUNTIF(BK:BW,1720),"")</f>
        <v/>
      </c>
      <c r="BZ272" s="72" t="str">
        <f>IF(CA272&lt;&gt;"","Outra Arma Longa E","")</f>
        <v/>
      </c>
      <c r="CA272" s="72" t="str">
        <f>IF(COUNTIF(BK:BW,2720)&gt;0,COUNTIF(BK:BW,2720),"")</f>
        <v/>
      </c>
      <c r="CB272" s="72" t="str">
        <f>IF(CC272&lt;&gt;"","Baguazhang C ","")</f>
        <v/>
      </c>
      <c r="CC272" s="64" t="str">
        <f>IF(COUNTIF(BK:BW,11508)&gt;0,COUNTIF(BK:BW,11508),"")</f>
        <v/>
      </c>
      <c r="CD272" s="64" t="str">
        <f>IF(CE272&lt;&gt;"","Baguazhang C ","")</f>
        <v/>
      </c>
      <c r="CE272" s="64" t="str">
        <f>IF(COUNTIF(BK:BW,12508)&gt;0,COUNTIF(BK:BW,12508),"")</f>
        <v/>
      </c>
      <c r="CF272" s="52" t="str">
        <f xml:space="preserve"> IF(Atletas!V268="","",IF(Atletas!V268="Duilian de Mãos AB - Equipe 1",1,IF(Atletas!V268="Duilian de Mãos AB - Equipe 2",2,IF(Atletas!V268="Duilian de Armas AB - Equipe 1",3,IF(Atletas!V268="Duilian de Armas AB - Equipe 2",4,IF(Atletas!V268="Duilian de Tuishou - Equipe 1",5,IF(Atletas!V268="Duilian de Tuishou - Equipe 2",6,IF(Atletas!V268="Grupo Externo AB - Equipe 1",7,IF(Atletas!V268="Grupo Externo AB - Equipe 2",8,IF(Atletas!V268="Grupo Interno AB - Equipe 1",9,IF(Atletas!V268="Grupo Interno AB - Equipe 2",10,IF(Atletas!V268="Duilian de Mãos CD - Equipe 1",11,IF(Atletas!V268="Duilian de Mãos CD - Equipe 2",12,IF(Atletas!V268="Duilian de Armas CD - Equipe 1",13,IF(Atletas!V268="Duilian de Armas CD - Equipe 2",14,IF(Atletas!V268="Duilian de Tuishou - Equipe 1",15,IF(Atletas!V268="Duilian de Tuishou - Equipe 2",16,IF(Atletas!V268="Grupo Externo CDEF - Equipe 1",17,IF(Atletas!V268="Grupo Externo CDEF - Equipe 2",18,IF(Atletas!V268="Grupo Interno CDEF - Equipe 1",19,IF(Atletas!V268="Grupo Interno CDEF - Equipe 2",20,IF(Atletas!V268="Duilian de Mãos EF - Equipe 1",21,IF(Atletas!V268="Duilian de Mãos EF - Equipe 2",22,IF(Atletas!V268="Duilian de Armas EF - Equipe 1",23,IF(Atletas!V268="Duilian de Armas EF - Equipe 2",24,IF(Atletas!V268="Duilian de Tuishou - Equipe 1",25,IF(Atletas!V268="Duilian de Tuishou - Equipe 2",26,"")))))))))))))))))))))))))))</f>
        <v/>
      </c>
    </row>
    <row r="273" spans="2:84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 t="str">
        <f t="array" ref="V273">IFERROR(INDEX(BX$7:BX$336,SMALL(IF(BX$7:BX$336&lt;&gt;"",ROW(BX$7:BX$336)-ROW(BX$7)+1),ROWS(BX$7:BX230))),"")</f>
        <v/>
      </c>
      <c r="W273" s="4" t="str">
        <f t="array" ref="W273">IFERROR(INDEX(BY$7:BY$336,SMALL(IF(BY$7:BY$336&lt;&gt;"",ROW(BY$7:BY$336)-ROW(BY$7)+1),ROWS(BY$7:BY230))),"")</f>
        <v/>
      </c>
      <c r="X273" s="4" t="str">
        <f t="array" ref="X273">IFERROR(INDEX(BZ$7:BZ$336,SMALL(IF(BZ$7:BZ$336&lt;&gt;"",ROW(BZ$7:BZ$336)-ROW(BZ$7)+1),ROWS(BZ$7:BZ230))),"")</f>
        <v/>
      </c>
      <c r="Y273" s="4" t="str">
        <f t="array" ref="Y273">IFERROR(INDEX(CA$7:CA$336,SMALL(IF(CA$7:CA$336&lt;&gt;"",ROW(CA$7:CA$336)-ROW(CA$7)+1),ROWS(CA$7:CA230))),"")</f>
        <v/>
      </c>
      <c r="Z273" s="4" t="str">
        <f t="array" ref="Z273">IFERROR(INDEX(CB$7:CB$378,SMALL(IF(CB$7:CB$378&lt;&gt;"",ROW(CB$7:CB$378)-ROW(CB$7)+1),ROWS(CB$7:CB272))),"")</f>
        <v/>
      </c>
      <c r="AA273" s="4" t="str">
        <f t="array" ref="AA273">IFERROR(INDEX(CC$7:CC$378,SMALL(IF(CC$7:CC$378&lt;&gt;"",ROW(CC$7:CC$378)-ROW(CC$7)+1),ROWS(CC$7:CC272))),"")</f>
        <v/>
      </c>
      <c r="AB273" s="4" t="str">
        <f t="array" ref="AB273">IFERROR(INDEX(CD$7:CD$378,SMALL(IF(CD$7:CD$378&lt;&gt;"",ROW(CD$7:CD$378)-ROW(CD$7)+1),ROWS(CD$7:CD272))),"")</f>
        <v/>
      </c>
      <c r="AC273" s="4" t="str">
        <f t="array" ref="AC273">IFERROR(INDEX(CE$7:CE$378,SMALL(IF(CE$7:CE$378&lt;&gt;"",ROW(CE$7:CE$378)-ROW(CE$7)+1),ROWS(CE$7:CE272))),"")</f>
        <v/>
      </c>
      <c r="AD273" s="4"/>
      <c r="AE273" s="4"/>
      <c r="AF273" s="4"/>
      <c r="AG273" s="4"/>
      <c r="AH273" s="4"/>
      <c r="AI273" s="4"/>
      <c r="AJ273" s="46" t="str">
        <f>IF(Atletas!D269="","",IF(Atletas!B269="Feminino",100,IF(Atletas!B269="Masculino",200,""))+(IF(Atletas!D269="Infantil 39kg",1,IF(Atletas!D269="Infantil 42kg",2,IF(Atletas!D269="Infantil 45kg",3,IF(Atletas!D269="Infantil 48kg",4,IF(Atletas!D269="Infantil 52kg",5,IF(Atletas!D269="Infantil 56kg",6,IF(Atletas!D269="Infantil 60kg",7,IF(Atletas!D269="Juvenil 48kg",8,IF(Atletas!D269="Juvenil 52kg",9,IF(Atletas!D269="Juvenil 56kg",10,IF(Atletas!D269="Juvenil 60kg",11,IF(Atletas!D269="Juvenil 65kg",12,IF(Atletas!D269="Juvenil 70kg",13,IF(Atletas!D269="Juvenil 75kg",14,IF(Atletas!D269="Juvenil 80kg",15,IF(Atletas!D269="Adulto 48kg",16,IF(Atletas!D269="Adulto 52kg",17,IF(Atletas!D269="Adulto 56kg",18,IF(Atletas!D269="Adulto 60kg",19,IF(Atletas!D269="Adulto 65kg",20,IF(Atletas!D269="Adulto 70kg",21,IF(Atletas!D269="Adulto 75kg",22,IF(Atletas!D269="Adulto 80kg",23,IF(Atletas!D269="Adulto 85kg",24,IF(Atletas!D269="Adulto 90kg",25,IF(Atletas!D269="Adulto +90kg",26,""))))))))))))))))))))))))))))</f>
        <v/>
      </c>
      <c r="AO273" s="10" t="str">
        <f>IF(Atletas!E269="","",IF(Atletas!B269="Feminino",100,IF(Atletas!B269="Masculino",200,""))+(IF(Atletas!E269="Juvenil 44kg",1,IF(Atletas!E269="Juvenil 48kg",2,IF(Atletas!E269="Juvenil 52kg",3,IF(Atletas!E269="Juvenil 56kg",4,IF(Atletas!E269="Juvenil 60kg",5,IF(Atletas!E269="Juvenil 65kg",6,IF(Atletas!E269="Juvenil 70kg",7,IF(Atletas!E269="Juvenil 75kg",8,IF(Atletas!E269="Juvenil 82kg",9,IF(Atletas!E269="Juvenil 90kg",10,IF(Atletas!E269="Juvenil 100kg",11,IF(Atletas!E269="Adulto 48kg",12,IF(Atletas!E269="Adulto 52kg",13,IF(Atletas!E269="Adulto 56kg",14,IF(Atletas!E269="Adulto 60kg",15,IF(Atletas!E269="Adulto 65kg",16,IF(Atletas!E269="Adulto 70kg",17,IF(Atletas!E269="Adulto 75kg",18,IF(Atletas!E269="Adulto 82kg",19,IF(Atletas!E269="Adulto 90kg",20,IF(Atletas!E269="Adulto 100kg",21,IF(Atletas!E269="Adulto +100kg",22,""))))))))))))))))))))))))</f>
        <v/>
      </c>
      <c r="AT273" s="10" t="str">
        <f>IF(Atletas!F269="","",IF(Atletas!B269="Feminino",100,IF(Atletas!B269="Masculino",200,""))+(IF(Atletas!F269="Adulto 48kg",1,IF(Atletas!F269="Adulto 56kg",2,IF(Atletas!F269="Adulto 65kg",3,IF(Atletas!F269="Adulto 75kg",4,IF(Atletas!F269="Adulto +75kg",5,IF(Atletas!F269="Adulto 52kg",6,IF(Atletas!F269="Adulto 60kg",7,IF(Atletas!F269="Adulto 70kg",8,IF(Atletas!F269="Adulto 80kg",9,IF(Atletas!F269="Adulto 90kg",10,IF(Atletas!F269="Adulto +90kg",11,"")))))))))))))</f>
        <v/>
      </c>
      <c r="AY273" s="46" t="str">
        <f>IF(Atletas!G269="","",IF(Atletas!B269="Feminino",100,IF(Atletas!B269="Masculino",200,""))+(IF(Atletas!G269="Changquan Mirim",1,IF(Atletas!G269="Nanquan Mirim",2,IF(Atletas!G269="Taijiquan Mirim",3,IF(Atletas!G269="Changquan Grupo C",4,IF(Atletas!G269="Nanquan Grupo C",5,IF(Atletas!G269="Taijiquan Grupo C",6,IF(Atletas!G269="Changquan Grupo B",7,IF(Atletas!G269="Nanquan Grupo B",8,IF(Atletas!G269="Taijiquan Grupo B",9,IF(Atletas!G269="Changquan Grupo A",10,IF(Atletas!G269="Nanquan Grupo A",11,IF(Atletas!G269="Taijiquan Grupo A",12,IF(Atletas!G269="Changquan Opcional",13,IF(Atletas!G269="Nanquan Opcional",14,IF(Atletas!G269="Taijiquan Opcional",15,IF(Atletas!G269="Changquan Adulto",16,IF(Atletas!G269="Nanquan Adulto",17,IF(Atletas!G269="Taijiquan Adulto",18,""))))))))))))))))))))</f>
        <v/>
      </c>
      <c r="AZ273" s="46" t="str">
        <f>IF(Atletas!H269="","",IF(Atletas!B269="Feminino",100,IF(Atletas!B269="Masculino",200,""))+(IF(Atletas!H269="Daoshu Mirim",19,IF(Atletas!H269="Jianshu Mirim",20,IF(Atletas!H269="Nandao Mirim",21,IF(Atletas!H269="Taijijian Mirim",22,IF(Atletas!H269="Daoshu Grupo C",23,IF(Atletas!H269="Jianshu Grupo C",24,IF(Atletas!H269="Nandao Grupo C",25,IF(Atletas!H269="Taijijian Grupo C",26,IF(Atletas!H269="Daoshu Grupo B",27,IF(Atletas!H269="Jianshu Grupo B",28,IF(Atletas!H269="Nandao Grupo B",29,IF(Atletas!H269="Taijijian Grupo B",30,IF(Atletas!H269="Daoshu Grupo A",31,IF(Atletas!H269="Jianshu Grupo A",32,IF(Atletas!H269="Nandao Grupo A",33,IF(Atletas!H269="Taijijian Grupo A",34,IF(Atletas!H269="Daoshu Opcional",35,IF(Atletas!H269="Jianshu Opcional",36,IF(Atletas!H269="Nandao Opcional",37,IF(Atletas!H269="Taijijian Opcional",38,IF(Atletas!H269="Daoshu Adulto",39,IF(Atletas!H269="Jianshu Adulto",40,IF(Atletas!H269="Nandao Adulto",41,IF(Atletas!H269="Taijijian Adulto",42,""))))))))))))))))))))))))))</f>
        <v/>
      </c>
      <c r="BA273" s="46" t="str">
        <f>IF(Atletas!I269="","",IF(Atletas!B269="Feminino",100,IF(Atletas!B269="Masculino",200,""))+(IF(Atletas!I269="Gunshu Mirim",43,IF(Atletas!I269="Qiangshu Mirim",44,IF(Atletas!I269="Nangun Mirim",45,IF(Atletas!I269="Gunshu Grupo C",46,IF(Atletas!I269="Qiangshu Grupo C",47,IF(Atletas!I269="Nangun Grupo C",48,IF(Atletas!I269="Gunshu Grupo B",49,IF(Atletas!I269="Qiangshu Grupo B",50,IF(Atletas!I269="Nangun Grupo B",51,IF(Atletas!I269="Gunshu Grupo A",52,IF(Atletas!I269="Qiangshu Grupo A",53,IF(Atletas!I269="Nangun Grupo A",54,IF(Atletas!I269="Gunshu Opcional",55,IF(Atletas!I269="Qiangshu Opcional",56,IF(Atletas!I269="Nangun Opcional",57,IF(Atletas!I269="Gunshu Adulto",58,IF(Atletas!I269="Qiangshu Adulto",59,IF(Atletas!I269="Nangun Adulto",60,""))))))))))))))))))))</f>
        <v/>
      </c>
      <c r="BF273" s="52" t="str">
        <f>IF(Atletas!J269="","",IF(Atletas!B269="Feminino",100,IF(Atletas!B269="Masculino",200,""))+(IF(Atletas!J269="Equipe 1 Grupo B",1,IF(Atletas!J269="Equipe 2 Grupo B",2,IF(Atletas!J269="Equipe 1 Grupo A",3,IF(Atletas!J269="Equipe 2 Grupo A",4,IF(Atletas!J269="Equipe 1 Adulto",5,IF(Atletas!J269="Equipe 2 Adulto",6,""))))))))</f>
        <v/>
      </c>
      <c r="BK273" s="52" t="str">
        <f>IF(Atletas!K269="","",IF(Atletas!W269&lt;&gt;"",10000,0)+(IF(Atletas!B269="Feminino",1000,IF(Atletas!B269="Masculino",2000,""))+IF(Atletas!K269="Choylayfut A",1,IF(Atletas!K269="Hunggar A",2,IF(Atletas!K269="Wuzuquan A",3,IF(Atletas!K269="Wingchun A",4,IF(Atletas!K269="Outra Mão de Sul A",5,IF(Atletas!K269="Choylayfut B",6,IF(Atletas!K269="Hunggar B",7,IF(Atletas!K269="Wuzuquan B",8,IF(Atletas!K269="Wingchun B",9,IF(Atletas!K269="Outra Mão de Sul B",10,IF(Atletas!K269="Choylayfut C",11,IF(Atletas!K269="Hunggar C",12,IF(Atletas!K269="Wuzuquan C",13,IF(Atletas!K269="Wingchun C",14,IF(Atletas!K269="Outra Mão de Sul C",15,IF(Atletas!K269="Choylayfut D",16,IF(Atletas!K269="Hunggar D",17,IF(Atletas!K269="Wuzuquan D",18,IF(Atletas!K269="Wingchun D",19,IF(Atletas!K269="Outra Mão de Sul D",20,IF(Atletas!K269="Choylayfut E",21,IF(Atletas!K269="Hunggar E",22,IF(Atletas!K269="Wuzuquan E",23,IF(Atletas!K269="Wingchun E",24,IF(Atletas!K269="Outra Mão de Sul E",25,IF(Atletas!K269="Choylayfut F",26,IF(Atletas!K269="Hunggar F",27,IF(Atletas!K269="Wuzuquan F",28,IF(Atletas!K269="Wingchun F",29,IF(Atletas!K269="Outra Mão de Sul F",30,""))))))))))))))))))))))))))))))))</f>
        <v/>
      </c>
      <c r="BL273" s="52" t="str">
        <f>IF(Atletas!L269="","",IF(Atletas!W269&lt;&gt;"",10000,0)+(IF(Atletas!B269="Feminino",1000,IF(Atletas!B269="Masculino",2000,""))+(IF(Atletas!L269="Chaquan A",101,IF(Atletas!L269="Emeiquan A",102,IF(Atletas!L269="Fanziquan A",103,IF(Atletas!L269="Huaquan A",104,IF(Atletas!L269="Hongquan A",105,IF(Atletas!L269="Paochui A",106,IF(Atletas!L269="Piguaquan A",107,IF(Atletas!L269="Shaolinquan A",108,IF(Atletas!L269="Tanglangquan A",109,IF(Atletas!L269="Yinzhaophai A",110,IF(Atletas!L269="Tongbeiquan A",111,IF(Atletas!L269="Wudangquan A",112,IF(Atletas!L269="Outros Estilos A",113,IF(Atletas!L269="Chaquan B",114,IF(Atletas!L269="Emeiquan B",115,IF(Atletas!L269="Fanziquan B",116,IF(Atletas!L269="Huaquan B",117,IF(Atletas!L269="Hongquan B",118,IF(Atletas!L269="Paochui B",119,IF(Atletas!L269="Piguaquan B",120,IF(Atletas!L269="Shaolinquan B",121,IF(Atletas!L269="Tanglangquan B",122,IF(Atletas!L269="Yinzhaophai B",123,IF(Atletas!L269="Tongbeiquan B",124,IF(Atletas!L269="Wudangquan B",125,IF(Atletas!L269="Outros Estilos B",126,IF(Atletas!L269="Chaquan C",127,IF(Atletas!L269="Emeiquan C",128,IF(Atletas!L269="Fanziquan C",129,IF(Atletas!L269="Huaquan C",130,IF(Atletas!L269="Hongquan C",131,IF(Atletas!L269="Paochui C",132,IF(Atletas!L269="Piguaquan C",133,IF(Atletas!L269="Shaolinquan C",134,IF(Atletas!L269="Tanglangquan C",135,IF(Atletas!L269="Yinzhaophai C",136,IF(Atletas!L269="Tongbeiquan C",137,IF(Atletas!L269="Wudangquan C",138,IF(Atletas!L269="Outros Estilos C",139,0))))))))))))))))))))))))))))))))))))))))))</f>
        <v/>
      </c>
      <c r="BM273" s="52" t="str">
        <f>IF(Atletas!L269="","",IF(Atletas!W269&lt;&gt;"",10000,0)+(IF(Atletas!B269="Feminino",1000,IF(Atletas!B269="Masculino",2000,""))+(IF(Atletas!L269="Chaquan D",140,IF(Atletas!L269="Emeiquan D",141,IF(Atletas!L269="Fanziquan D",142,IF(Atletas!L269="Huaquan D",143,IF(Atletas!L269="Hongquan D",144,IF(Atletas!L269="Paochui D",145,IF(Atletas!L269="Piguaquan D",146,IF(Atletas!L269="Shaolinquan D",147,IF(Atletas!L269="Tanglangquan D",148,IF(Atletas!L269="Yinzhaophai D",149,IF(Atletas!L269="Tongbeiquan D",150,IF(Atletas!L269="Wudangquan D",151,IF(Atletas!L269="Outros Estilos D",152,IF(Atletas!L269="Chaquan E",153,IF(Atletas!L269="Emeiquan E",154,IF(Atletas!L269="Fanziquan E",155,IF(Atletas!L269="Huaquan E",156,IF(Atletas!L269="Hongquan E",157,IF(Atletas!L269="Paochui E",158,IF(Atletas!L269="Piguaquan E",159,IF(Atletas!L269="Shaolinquan E",160,IF(Atletas!L269="Tanglangquan E",161,IF(Atletas!L269="Yinzhaophai E",162,IF(Atletas!L269="Tongbeiquan E",163,IF(Atletas!L269="Wudangquan E",164,IF(Atletas!L269="Outros Estilos E",165,IF(Atletas!L269="Chaquan F",166,IF(Atletas!L269="Emeiquan F",167,IF(Atletas!L269="Fanziquan F",168,IF(Atletas!L269="Huaquan F",169,IF(Atletas!L269="Hongquan F",170,IF(Atletas!L269="Paochui F",171,IF(Atletas!L269="Piguaquan F",172,IF(Atletas!L269="Shaolinquan F",173,IF(Atletas!L269="Tanglangquan F",174,IF(Atletas!L269="Yinzhaophai F",175,IF(Atletas!L269="Tongbeiquan F",176,IF(Atletas!L269="Wudangquan F",177,IF(Atletas!L269="Outros Estilos F",178,0))))))))))))))))))))))))))))))))))))))))))</f>
        <v/>
      </c>
      <c r="BN273" s="52" t="str">
        <f>IF(Atletas!M269="","",IF(Atletas!W269&lt;&gt;"",10000,0)+(IF(Atletas!B269="Feminino",1000,IF(Atletas!B269="Masculino",2000,""))+(IF(Atletas!M269="Ditangquan A",201,IF(Atletas!M269="Houquan A",202,IF(Atletas!M269="Zuiquan A",203,IF(Atletas!M269="Ditangquan B",204,IF(Atletas!M269="Houquan B",205,IF(Atletas!M269="Zuiquan B",206,IF(Atletas!M269="Ditangquan C",207,IF(Atletas!M269="Houquan C",208,IF(Atletas!M269="Zuiquan C",209,IF(Atletas!M269="Ditangquan D",210,IF(Atletas!M269="Houquan D",211,IF(Atletas!M269="Zuiquan D",212,IF(Atletas!M269="Ditangquan E",213,IF(Atletas!M269="Houquan E",214,IF(Atletas!M269="Zuiquan E",215,IF(Atletas!M269="Ditangquan F",216,IF(Atletas!M269="Houquan F",217,IF(Atletas!M269="Zuiquan F",218,"")))))))))))))))))))))</f>
        <v/>
      </c>
      <c r="BO273" s="52" t="str">
        <f>IF(Atletas!N269="","",IF(Atletas!W269&lt;&gt;"",10000,0)+IF(Atletas!B269="Feminino",1000,IF(Atletas!B269="Masculino",2000,""))+IF(Atletas!N269="Yang A",301,IF(Atletas!N269="Chen A",30,IF(Atletas!N269="Sun A",303,IF(Atletas!N269="Wu A",304,IF(Atletas!N269="Wu-Hao A",305,IF(Atletas!N269="Outro Taijiquan A",306,IF(Atletas!N269="Yang B",307,IF(Atletas!N269="Chen B",308,IF(Atletas!N269="Sun B",309,IF(Atletas!N269="Wu B",310,IF(Atletas!N269="Wu-Hao B",311,IF(Atletas!N269="Outro Taijiquan B",312,IF(Atletas!N269="Yang C",313,IF(Atletas!N269="Chen C",314,IF(Atletas!N269="Sun C",315,IF(Atletas!N269="Wu C",316,IF(Atletas!N269="Wu-Hao C",317,IF(Atletas!N269="Outro Taijiquan C",318,IF(Atletas!N269="Yang D",319,IF(Atletas!N269="Chen D",320,IF(Atletas!N269="Sun D",321,IF(Atletas!N269="Wu D",322,IF(Atletas!N269="Wu-Hao D",323,IF(Atletas!N269="Outro Taijiquan D",324,IF(Atletas!N269="Yang E",325,IF(Atletas!N269="Chen E",326,IF(Atletas!N269="Sun E",327,IF(Atletas!N269="Wu E",328,IF(Atletas!N269="Wu-Hao E",329,IF(Atletas!N269="Outro Taijiquan E",330,IF(Atletas!N269="Yang F",331,IF(Atletas!N269="Chen F",332,IF(Atletas!N269="Sun F",333,IF(Atletas!N269="Wu F",334,IF(Atletas!N269="Wu-Hao F",335,IF(Atletas!N269="Outro Taijiquan F",336,"")))))))))))))))))))))))))))))))))))))</f>
        <v/>
      </c>
      <c r="BP273" s="52" t="str">
        <f>IF(Atletas!O269="","",IF(Atletas!W269&lt;&gt;"",10000,0)+IF(Atletas!B269="Feminino",1000,IF(Atletas!B269="Masculino",2000,""))+IF(OR(Atletas!O269="Yang 26 A",Atletas!O269="Yang 40 A"),401,IF(OR(Atletas!O269="Chen 25 A",Atletas!O269="Chen 36 A",Atletas!O269="Chen 56 A"),402,IF(Atletas!O269="Sun 73 A",403,IF(Atletas!O269="Wu 45 A",404,IF(Atletas!O269="Wu-Hao 46 A",405,IF(OR(Atletas!O269="Taijiquan 16 A",Atletas!O269="Taijiquan 24 A",Atletas!O269="Taijiquan 32 A",Atletas!O269="Taijiquan 42 A"),406,IF(OR(Atletas!O269="Yang 26 B",Atletas!O269="Yang 40 B"),407,IF(OR(Atletas!O269="Chen 25 B",Atletas!O269="Chen 36 B",Atletas!O269="Chen 56 B"),408,IF(Atletas!O269="Sun 73 B",409,IF(Atletas!O269="Wu 45 B",410,IF(Atletas!O269="Wu-Hao 46 B",411,IF(OR(Atletas!O269="Taijiquan 16 B",Atletas!O269="Taijiquan 24 B",Atletas!O269="Taijiquan 32 B",Atletas!O269="Taijiquan 42 B"),412,IF(OR(Atletas!O269="Yang 26 C",Atletas!O269="Yang 40 C"),413,IF(OR(Atletas!O269="Chen 25 C",Atletas!O269="Chen 36 C",Atletas!O269="Chen 56 C"),414,IF(Atletas!O269="Sun 73 C",415,IF(Atletas!O269="Wu 45 C",416,IF(Atletas!O269="Wu-Hao 46 C",417,IF(OR(Atletas!O269="Taijiquan 16 C",Atletas!O269="Taijiquan 24 C",Atletas!O269="Taijiquan 32 C",Atletas!O269="Taijiquan 42 C"),418,0)))))))))))))))))))</f>
        <v/>
      </c>
      <c r="BQ273" s="52" t="str">
        <f>IF(Atletas!O269="","",IF(Atletas!W269&lt;&gt;"",10000,0)+IF(Atletas!B269="Feminino",1000,IF(Atletas!B269="Masculino",2000,""))+IF(OR(Atletas!O269="Yang 26 D",Atletas!O269="Yang 40 D"),419,IF(OR(Atletas!O269="Chen 25 D",Atletas!O269="Chen 36 D",Atletas!O269="Chen 56 D"),420,IF(Atletas!O269="Sun 73 D",421,IF(Atletas!O269="Wu 45 D",422,IF(Atletas!O269="Wu-Hao 46 D",423,IF(OR(Atletas!O269="Taijiquan 16 D",Atletas!O269="Taijiquan 24 D",Atletas!O269="Taijiquan 32 D",Atletas!O269="Taijiquan 42 D"),424,IF(OR(Atletas!O269="Yang 26 E",Atletas!O269="Yang 40 E"),425,IF(OR(Atletas!O269="Chen 25 E",Atletas!O269="Chen 36 E",Atletas!O269="Chen 56 E"),426,IF(Atletas!O269="Sun 73 E",427,IF(Atletas!O269="Wu 45 E",428,IF(Atletas!O269="Wu-Hao 46 E",429,IF(OR(Atletas!O269="Taijiquan 16 E",Atletas!O269="Taijiquan 24 E",Atletas!O269="Taijiquan 32 E",Atletas!O269="Taijiquan 42 E"),430,IF(OR(Atletas!O269="Yang 26 F",Atletas!O269="Yang 40 F"),431,IF(OR(Atletas!O269="Chen 25 F",Atletas!O269="Chen 36 F",Atletas!O269="Chen 56 F"),432,IF(Atletas!O269="Sun 73 F",433,IF(Atletas!O269="Wu 45 F",434,IF(Atletas!O269="Wu-Hao 46 F",435,IF(OR(Atletas!O269="Taijiquan 16 F",Atletas!O269="Taijiquan 24 F",Atletas!O269="Taijiquan 32 F",Atletas!O269="Taijiquan 42 F"),436,0)))))))))))))))))))</f>
        <v/>
      </c>
      <c r="BR273" s="52" t="str">
        <f>IF(Atletas!P269="","",IF(Atletas!W269&lt;&gt;"",10000,0)+IF(Atletas!B269="Feminino",1000,IF(Atletas!B269="Masculino",2000,""))+IF(Atletas!P269="Xingyiquan A",501,IF(Atletas!P269="Baguazhang A",502,IF(Atletas!P269="Outro Estilo Interno A",503,IF(Atletas!P269="Xingyiquan B",504,IF(Atletas!P269="Baguazhang B",505,IF(Atletas!P269="Outro Estilo Interno B",506,IF(Atletas!P269="Xingyiquan C",507,IF(Atletas!P269="Baguazhang C",508,IF(Atletas!P269="Outro Estilo Interno C",509,IF(Atletas!P269="Xingyiquan D",510,IF(Atletas!P269="Baguazhang D",511,IF(Atletas!P269="Outro Estilo Interno D",512,IF(Atletas!P269="Xingyiquan E",513,IF(Atletas!P269="Baguazhang E",514,IF(Atletas!P269="Outro Estilo Interno E",515,IF(Atletas!P269="Xingyiquan F",516,IF(Atletas!P269="Baguazhang F",517,IF(Atletas!P269="Outro Estilo Interno F",518, "")))))))))))))))))))</f>
        <v/>
      </c>
      <c r="BS273" s="52" t="str">
        <f>IF(Atletas!Q269="","",IF(Atletas!W269&lt;&gt;"",10000,0)+IF(Atletas!B269="Feminino",1000,IF(Atletas!B269="Masculino",2000,""))+IF(Atletas!Q269="Dao A",601,IF(Atletas!Q269="Jian A",602,IF(Atletas!Q269="Bishou A",603,IF(Atletas!Q269="Shan A",604,IF(Atletas!Q269="Outra Arma Curta A",605,IF(Atletas!Q269="Dao B",606,IF(Atletas!Q269="Jian B",607,IF(Atletas!Q269="Bishou B",608,IF(Atletas!Q269="Shan B",609,IF(Atletas!Q269="Outra Arma Curta B",610,IF(Atletas!Q269="Dao C",611,IF(Atletas!Q269="Jian C",612,IF(Atletas!Q269="Bishou C",613,IF(Atletas!Q269="Shan C",614,IF(Atletas!Q269="Outra Arma Curta C",615,IF(Atletas!Q269="Dao D",616,IF(Atletas!Q269="Jian D",617,IF(Atletas!Q269="Bishou D",618,IF(Atletas!Q269="Shan D",619,IF(Atletas!Q269="Outra Arma Curta D",620,IF(Atletas!Q269="Dao E",621,IF(Atletas!Q269="Jian E",622,IF(Atletas!Q269="Bishou E",623,IF(Atletas!Q269="Shan E",624,IF(Atletas!Q269="Outra Arma Curta E",625,IF(Atletas!Q269="Dao F",626,IF(Atletas!Q269="Jian F",627,IF(Atletas!Q269="Bishou F",628,IF(Atletas!Q269="Shan F",629,IF(Atletas!Q269="Outra Arma Curta F",630, "")))))))))))))))))))))))))))))))</f>
        <v/>
      </c>
      <c r="BT273" s="52" t="str">
        <f>IF(Atletas!R269="","",IF(Atletas!W269&lt;&gt;"",10000,0)+IF(Atletas!B269="Feminino",1000,IF(Atletas!B269="Masculino",2000,""))+IF(Atletas!R269="Gun A",701,IF(Atletas!R269="Qiang A",702,IF(Atletas!R269="Pudao / Guandao A",703,IF(Atletas!R269="Outra Arma Longa A",704,IF(Atletas!R269="Gun B",705,IF(Atletas!R269="Qiang B",706,IF(Atletas!R269="Pudao / Guandao B",707,IF(Atletas!R269="Outra Arma Longa B",708,IF(Atletas!R269="Gun C",709,IF(Atletas!R269="Qiang C",710,IF(Atletas!R269="Pudao / Guandao C",711,IF(Atletas!R269="Outra Arma Longa C",712,IF(Atletas!R269="Gun D",713,IF(Atletas!R269="Qiang D",714,IF(Atletas!R269="Pudao / Guandao D",715,IF(Atletas!R269="Outra Arma Longa D",716,IF(Atletas!R269="Gun E",717,IF(Atletas!R269="Qiang E",718,IF(Atletas!R269="Pudao / Guandao E",719,IF(Atletas!R269="Outra Arma Longa E",720,IF(Atletas!R269="Gun F",721,IF(Atletas!R269="Qiang F",722,IF(Atletas!R269="Pudao / Guandao F",723,IF(Atletas!R269="Outra Arma Longa F",724,"")))))))))))))))))))))))))</f>
        <v/>
      </c>
      <c r="BU273" s="52" t="str">
        <f>IF(Atletas!S269="","",IF(Atletas!W269&lt;&gt;"",10000,0)+IF(Atletas!B269="Feminino",1000,IF(Atletas!B269="Masculino",2000,""))+IF(Atletas!S269="Arma Dupla A",801,IF(Atletas!S269="Arma Maleável A",802,IF(Atletas!S269="Arma Dupla B",803,IF(Atletas!S269="Arma Maleável B",804,IF(Atletas!S269="Arma Dupla C",805,IF(Atletas!S269="Arma Maleável C",806,IF(Atletas!S269="Arma Dupla D",807,IF(Atletas!S269="Arma Maleável D",808,IF(Atletas!S269="Arma Dupla E",809,IF(Atletas!S269="Arma Maleável E",810,IF(Atletas!S269="Arma Dupla F",811,IF(Atletas!S269="Arma Maleável F",812, "")))))))))))))</f>
        <v/>
      </c>
      <c r="BV273" s="52" t="str">
        <f>IF(Atletas!T269="","",IF(Atletas!W269&lt;&gt;"",10000,0)+IF(Atletas!B269="Feminino",1000,IF(Atletas!B269="Masculino",2000,""))+IF(Atletas!T269="Taijijian Yang A",901,IF(Atletas!T269="Taijijian Chen A",902,IF(Atletas!T269="Taijijian Sun A",903,IF(Atletas!T269="Taijijian Wu A",904,IF(Atletas!T269="Taijijian Wu-Hao A",905,IF(Atletas!T269="Taijijian 32 A",906,IF(Atletas!T269="Taijijian 42 A",907,IF(Atletas!T269="Taijijian Yang B",908,IF(Atletas!T269="Taijijian Chen B",909,IF(Atletas!T269="Taijijian Sun B",910,IF(Atletas!T269="Taijijian Wu B",911,IF(Atletas!T269="Taijijian Wu-Hao B",912,IF(Atletas!T269="Taijijian 32 B",913,IF(Atletas!T269="Taijijian 42 B",914,IF(Atletas!T269="Taijijian Yang C",915,IF(Atletas!T269="Taijijian Chen C",916,IF(Atletas!T269="Taijijian Sun C",917,IF(Atletas!T269="Taijijian Wu C",918,IF(Atletas!T269="Taijijian Wu-Hao C",919,IF(Atletas!T269="Taijijian 32 C",920,IF(Atletas!T269="Taijijian 42 C",921,IF(Atletas!T269="Taijijian Yang D",922,IF(Atletas!T269="Taijijian Chen D",923,IF(Atletas!T269="Taijijian Sun D",924,IF(Atletas!T269="Taijijian Wu D",925,IF(Atletas!T269="Taijijian Wu-Hao D",926,IF(Atletas!T269="Taijijian 32 D",927,IF(Atletas!T269="Taijijian 42 D",928,IF(Atletas!T269="Taijijian Yang E",929,IF(Atletas!T269="Taijijian Chen E",930,IF(Atletas!T269="Taijijian Sun E",931,IF(Atletas!T269="Taijijian Wu E",932,IF(Atletas!T269="Taijijian Wu-Hao E",933,IF(Atletas!T269="Taijijian 32 E",934,IF(Atletas!T269="Taijijian 42 E",935,IF(Atletas!T269="Taijijian Yang F",936,IF(Atletas!T269="Taijijian Chen F",937,IF(Atletas!T269="Taijijian Sun F",938,IF(Atletas!T269="Taijijian Wu F",939,IF(Atletas!T269="Taijijian Wu-Hao F",940,IF(Atletas!T269="Taijijian 32 F",941,IF(Atletas!T269="Taijijian 42 F",942,"")))))))))))))))))))))))))))))))))))))))))))</f>
        <v/>
      </c>
      <c r="BW273" s="52" t="str">
        <f>IF(Atletas!U269="","",IF(Atletas!W269&lt;&gt;"",10000,0)+IF(Atletas!B269="Feminino",1000,IF(Atletas!B269="Masculino",2000,""))+IF(Atletas!T269="Taijijian 42 F",942,IF(Atletas!U269="Taijidao A",943,IF(Atletas!U269="Taijishan A",944,IF(Atletas!U269="Taijiqiang A",945,IF(Atletas!U269="Taijidao B",946,IF(Atletas!U269="Taijishan B",947,IF(Atletas!U269="Taijiqiang B",948,IF(Atletas!U269="Taijidao C",949,IF(Atletas!U269="Taijishan C",950,IF(Atletas!U269="Taijiqiang C",951,IF(Atletas!U269="Taijidao D",952,IF(Atletas!U269="Taijishan D",953,IF(Atletas!U269="Taijiqiang D",954,IF(Atletas!U269="Taijidao E",955,IF(Atletas!U269="Taijishan E",956,IF(Atletas!U269="Taijiqiang E",957,IF(Atletas!U269="Taijidao F",958,IF(Atletas!U269="Taijishan F",959,IF(Atletas!U269="Taijiqiang F",960))))))))))))))))))))</f>
        <v/>
      </c>
      <c r="BX273" s="72" t="str">
        <f>IF(BY273&lt;&gt;"","Gun F","")</f>
        <v/>
      </c>
      <c r="BY273" s="72" t="str">
        <f>IF(COUNTIF(BK:BW,1721)&gt;0,COUNTIF(BK:BW,1721),"")</f>
        <v/>
      </c>
      <c r="BZ273" s="72" t="str">
        <f>IF(CA273&lt;&gt;"","Gun F","")</f>
        <v/>
      </c>
      <c r="CA273" s="72" t="str">
        <f>IF(COUNTIF(BK:BW,2721)&gt;0,COUNTIF(BK:BW,2721),"")</f>
        <v/>
      </c>
      <c r="CB273" s="72" t="str">
        <f>IF(CC273&lt;&gt;"","Outro Estilo Interno C","")</f>
        <v/>
      </c>
      <c r="CC273" s="64" t="str">
        <f>IF(COUNTIF(BK:BW,11509)&gt;0,COUNTIF(BK:BW,11509),"")</f>
        <v/>
      </c>
      <c r="CD273" s="64" t="str">
        <f>IF(CE273&lt;&gt;"","Outro Estilo Interno C","")</f>
        <v/>
      </c>
      <c r="CE273" s="64" t="str">
        <f>IF(COUNTIF(BK:BW,12509)&gt;0,COUNTIF(BK:BW,12509),"")</f>
        <v/>
      </c>
      <c r="CF273" s="52" t="str">
        <f xml:space="preserve"> IF(Atletas!V269="","",IF(Atletas!V269="Duilian de Mãos AB - Equipe 1",1,IF(Atletas!V269="Duilian de Mãos AB - Equipe 2",2,IF(Atletas!V269="Duilian de Armas AB - Equipe 1",3,IF(Atletas!V269="Duilian de Armas AB - Equipe 2",4,IF(Atletas!V269="Duilian de Tuishou - Equipe 1",5,IF(Atletas!V269="Duilian de Tuishou - Equipe 2",6,IF(Atletas!V269="Grupo Externo AB - Equipe 1",7,IF(Atletas!V269="Grupo Externo AB - Equipe 2",8,IF(Atletas!V269="Grupo Interno AB - Equipe 1",9,IF(Atletas!V269="Grupo Interno AB - Equipe 2",10,IF(Atletas!V269="Duilian de Mãos CD - Equipe 1",11,IF(Atletas!V269="Duilian de Mãos CD - Equipe 2",12,IF(Atletas!V269="Duilian de Armas CD - Equipe 1",13,IF(Atletas!V269="Duilian de Armas CD - Equipe 2",14,IF(Atletas!V269="Duilian de Tuishou - Equipe 1",15,IF(Atletas!V269="Duilian de Tuishou - Equipe 2",16,IF(Atletas!V269="Grupo Externo CDEF - Equipe 1",17,IF(Atletas!V269="Grupo Externo CDEF - Equipe 2",18,IF(Atletas!V269="Grupo Interno CDEF - Equipe 1",19,IF(Atletas!V269="Grupo Interno CDEF - Equipe 2",20,IF(Atletas!V269="Duilian de Mãos EF - Equipe 1",21,IF(Atletas!V269="Duilian de Mãos EF - Equipe 2",22,IF(Atletas!V269="Duilian de Armas EF - Equipe 1",23,IF(Atletas!V269="Duilian de Armas EF - Equipe 2",24,IF(Atletas!V269="Duilian de Tuishou - Equipe 1",25,IF(Atletas!V269="Duilian de Tuishou - Equipe 2",26,"")))))))))))))))))))))))))))</f>
        <v/>
      </c>
    </row>
    <row r="274" spans="2:84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 t="str">
        <f t="array" ref="V274">IFERROR(INDEX(BX$7:BX$336,SMALL(IF(BX$7:BX$336&lt;&gt;"",ROW(BX$7:BX$336)-ROW(BX$7)+1),ROWS(BX$7:BX231))),"")</f>
        <v/>
      </c>
      <c r="W274" s="4" t="str">
        <f t="array" ref="W274">IFERROR(INDEX(BY$7:BY$336,SMALL(IF(BY$7:BY$336&lt;&gt;"",ROW(BY$7:BY$336)-ROW(BY$7)+1),ROWS(BY$7:BY231))),"")</f>
        <v/>
      </c>
      <c r="X274" s="4" t="str">
        <f t="array" ref="X274">IFERROR(INDEX(BZ$7:BZ$336,SMALL(IF(BZ$7:BZ$336&lt;&gt;"",ROW(BZ$7:BZ$336)-ROW(BZ$7)+1),ROWS(BZ$7:BZ231))),"")</f>
        <v/>
      </c>
      <c r="Y274" s="4" t="str">
        <f t="array" ref="Y274">IFERROR(INDEX(CA$7:CA$336,SMALL(IF(CA$7:CA$336&lt;&gt;"",ROW(CA$7:CA$336)-ROW(CA$7)+1),ROWS(CA$7:CA231))),"")</f>
        <v/>
      </c>
      <c r="Z274" s="4" t="str">
        <f t="array" ref="Z274">IFERROR(INDEX(CB$7:CB$378,SMALL(IF(CB$7:CB$378&lt;&gt;"",ROW(CB$7:CB$378)-ROW(CB$7)+1),ROWS(CB$7:CB273))),"")</f>
        <v/>
      </c>
      <c r="AA274" s="4" t="str">
        <f t="array" ref="AA274">IFERROR(INDEX(CC$7:CC$378,SMALL(IF(CC$7:CC$378&lt;&gt;"",ROW(CC$7:CC$378)-ROW(CC$7)+1),ROWS(CC$7:CC273))),"")</f>
        <v/>
      </c>
      <c r="AB274" s="4" t="str">
        <f t="array" ref="AB274">IFERROR(INDEX(CD$7:CD$378,SMALL(IF(CD$7:CD$378&lt;&gt;"",ROW(CD$7:CD$378)-ROW(CD$7)+1),ROWS(CD$7:CD273))),"")</f>
        <v/>
      </c>
      <c r="AC274" s="4" t="str">
        <f t="array" ref="AC274">IFERROR(INDEX(CE$7:CE$378,SMALL(IF(CE$7:CE$378&lt;&gt;"",ROW(CE$7:CE$378)-ROW(CE$7)+1),ROWS(CE$7:CE273))),"")</f>
        <v/>
      </c>
      <c r="AD274" s="4"/>
      <c r="AE274" s="4"/>
      <c r="AF274" s="4"/>
      <c r="AG274" s="4"/>
      <c r="AH274" s="4"/>
      <c r="AI274" s="4"/>
      <c r="AJ274" s="46" t="str">
        <f>IF(Atletas!D270="","",IF(Atletas!B270="Feminino",100,IF(Atletas!B270="Masculino",200,""))+(IF(Atletas!D270="Infantil 39kg",1,IF(Atletas!D270="Infantil 42kg",2,IF(Atletas!D270="Infantil 45kg",3,IF(Atletas!D270="Infantil 48kg",4,IF(Atletas!D270="Infantil 52kg",5,IF(Atletas!D270="Infantil 56kg",6,IF(Atletas!D270="Infantil 60kg",7,IF(Atletas!D270="Juvenil 48kg",8,IF(Atletas!D270="Juvenil 52kg",9,IF(Atletas!D270="Juvenil 56kg",10,IF(Atletas!D270="Juvenil 60kg",11,IF(Atletas!D270="Juvenil 65kg",12,IF(Atletas!D270="Juvenil 70kg",13,IF(Atletas!D270="Juvenil 75kg",14,IF(Atletas!D270="Juvenil 80kg",15,IF(Atletas!D270="Adulto 48kg",16,IF(Atletas!D270="Adulto 52kg",17,IF(Atletas!D270="Adulto 56kg",18,IF(Atletas!D270="Adulto 60kg",19,IF(Atletas!D270="Adulto 65kg",20,IF(Atletas!D270="Adulto 70kg",21,IF(Atletas!D270="Adulto 75kg",22,IF(Atletas!D270="Adulto 80kg",23,IF(Atletas!D270="Adulto 85kg",24,IF(Atletas!D270="Adulto 90kg",25,IF(Atletas!D270="Adulto +90kg",26,""))))))))))))))))))))))))))))</f>
        <v/>
      </c>
      <c r="AO274" s="10" t="str">
        <f>IF(Atletas!E270="","",IF(Atletas!B270="Feminino",100,IF(Atletas!B270="Masculino",200,""))+(IF(Atletas!E270="Juvenil 44kg",1,IF(Atletas!E270="Juvenil 48kg",2,IF(Atletas!E270="Juvenil 52kg",3,IF(Atletas!E270="Juvenil 56kg",4,IF(Atletas!E270="Juvenil 60kg",5,IF(Atletas!E270="Juvenil 65kg",6,IF(Atletas!E270="Juvenil 70kg",7,IF(Atletas!E270="Juvenil 75kg",8,IF(Atletas!E270="Juvenil 82kg",9,IF(Atletas!E270="Juvenil 90kg",10,IF(Atletas!E270="Juvenil 100kg",11,IF(Atletas!E270="Adulto 48kg",12,IF(Atletas!E270="Adulto 52kg",13,IF(Atletas!E270="Adulto 56kg",14,IF(Atletas!E270="Adulto 60kg",15,IF(Atletas!E270="Adulto 65kg",16,IF(Atletas!E270="Adulto 70kg",17,IF(Atletas!E270="Adulto 75kg",18,IF(Atletas!E270="Adulto 82kg",19,IF(Atletas!E270="Adulto 90kg",20,IF(Atletas!E270="Adulto 100kg",21,IF(Atletas!E270="Adulto +100kg",22,""))))))))))))))))))))))))</f>
        <v/>
      </c>
      <c r="AT274" s="10" t="str">
        <f>IF(Atletas!F270="","",IF(Atletas!B270="Feminino",100,IF(Atletas!B270="Masculino",200,""))+(IF(Atletas!F270="Adulto 48kg",1,IF(Atletas!F270="Adulto 56kg",2,IF(Atletas!F270="Adulto 65kg",3,IF(Atletas!F270="Adulto 75kg",4,IF(Atletas!F270="Adulto +75kg",5,IF(Atletas!F270="Adulto 52kg",6,IF(Atletas!F270="Adulto 60kg",7,IF(Atletas!F270="Adulto 70kg",8,IF(Atletas!F270="Adulto 80kg",9,IF(Atletas!F270="Adulto 90kg",10,IF(Atletas!F270="Adulto +90kg",11,"")))))))))))))</f>
        <v/>
      </c>
      <c r="AY274" s="46" t="str">
        <f>IF(Atletas!G270="","",IF(Atletas!B270="Feminino",100,IF(Atletas!B270="Masculino",200,""))+(IF(Atletas!G270="Changquan Mirim",1,IF(Atletas!G270="Nanquan Mirim",2,IF(Atletas!G270="Taijiquan Mirim",3,IF(Atletas!G270="Changquan Grupo C",4,IF(Atletas!G270="Nanquan Grupo C",5,IF(Atletas!G270="Taijiquan Grupo C",6,IF(Atletas!G270="Changquan Grupo B",7,IF(Atletas!G270="Nanquan Grupo B",8,IF(Atletas!G270="Taijiquan Grupo B",9,IF(Atletas!G270="Changquan Grupo A",10,IF(Atletas!G270="Nanquan Grupo A",11,IF(Atletas!G270="Taijiquan Grupo A",12,IF(Atletas!G270="Changquan Opcional",13,IF(Atletas!G270="Nanquan Opcional",14,IF(Atletas!G270="Taijiquan Opcional",15,IF(Atletas!G270="Changquan Adulto",16,IF(Atletas!G270="Nanquan Adulto",17,IF(Atletas!G270="Taijiquan Adulto",18,""))))))))))))))))))))</f>
        <v/>
      </c>
      <c r="AZ274" s="46" t="str">
        <f>IF(Atletas!H270="","",IF(Atletas!B270="Feminino",100,IF(Atletas!B270="Masculino",200,""))+(IF(Atletas!H270="Daoshu Mirim",19,IF(Atletas!H270="Jianshu Mirim",20,IF(Atletas!H270="Nandao Mirim",21,IF(Atletas!H270="Taijijian Mirim",22,IF(Atletas!H270="Daoshu Grupo C",23,IF(Atletas!H270="Jianshu Grupo C",24,IF(Atletas!H270="Nandao Grupo C",25,IF(Atletas!H270="Taijijian Grupo C",26,IF(Atletas!H270="Daoshu Grupo B",27,IF(Atletas!H270="Jianshu Grupo B",28,IF(Atletas!H270="Nandao Grupo B",29,IF(Atletas!H270="Taijijian Grupo B",30,IF(Atletas!H270="Daoshu Grupo A",31,IF(Atletas!H270="Jianshu Grupo A",32,IF(Atletas!H270="Nandao Grupo A",33,IF(Atletas!H270="Taijijian Grupo A",34,IF(Atletas!H270="Daoshu Opcional",35,IF(Atletas!H270="Jianshu Opcional",36,IF(Atletas!H270="Nandao Opcional",37,IF(Atletas!H270="Taijijian Opcional",38,IF(Atletas!H270="Daoshu Adulto",39,IF(Atletas!H270="Jianshu Adulto",40,IF(Atletas!H270="Nandao Adulto",41,IF(Atletas!H270="Taijijian Adulto",42,""))))))))))))))))))))))))))</f>
        <v/>
      </c>
      <c r="BA274" s="46" t="str">
        <f>IF(Atletas!I270="","",IF(Atletas!B270="Feminino",100,IF(Atletas!B270="Masculino",200,""))+(IF(Atletas!I270="Gunshu Mirim",43,IF(Atletas!I270="Qiangshu Mirim",44,IF(Atletas!I270="Nangun Mirim",45,IF(Atletas!I270="Gunshu Grupo C",46,IF(Atletas!I270="Qiangshu Grupo C",47,IF(Atletas!I270="Nangun Grupo C",48,IF(Atletas!I270="Gunshu Grupo B",49,IF(Atletas!I270="Qiangshu Grupo B",50,IF(Atletas!I270="Nangun Grupo B",51,IF(Atletas!I270="Gunshu Grupo A",52,IF(Atletas!I270="Qiangshu Grupo A",53,IF(Atletas!I270="Nangun Grupo A",54,IF(Atletas!I270="Gunshu Opcional",55,IF(Atletas!I270="Qiangshu Opcional",56,IF(Atletas!I270="Nangun Opcional",57,IF(Atletas!I270="Gunshu Adulto",58,IF(Atletas!I270="Qiangshu Adulto",59,IF(Atletas!I270="Nangun Adulto",60,""))))))))))))))))))))</f>
        <v/>
      </c>
      <c r="BF274" s="52" t="str">
        <f>IF(Atletas!J270="","",IF(Atletas!B270="Feminino",100,IF(Atletas!B270="Masculino",200,""))+(IF(Atletas!J270="Equipe 1 Grupo B",1,IF(Atletas!J270="Equipe 2 Grupo B",2,IF(Atletas!J270="Equipe 1 Grupo A",3,IF(Atletas!J270="Equipe 2 Grupo A",4,IF(Atletas!J270="Equipe 1 Adulto",5,IF(Atletas!J270="Equipe 2 Adulto",6,""))))))))</f>
        <v/>
      </c>
      <c r="BK274" s="52" t="str">
        <f>IF(Atletas!K270="","",IF(Atletas!W270&lt;&gt;"",10000,0)+(IF(Atletas!B270="Feminino",1000,IF(Atletas!B270="Masculino",2000,""))+IF(Atletas!K270="Choylayfut A",1,IF(Atletas!K270="Hunggar A",2,IF(Atletas!K270="Wuzuquan A",3,IF(Atletas!K270="Wingchun A",4,IF(Atletas!K270="Outra Mão de Sul A",5,IF(Atletas!K270="Choylayfut B",6,IF(Atletas!K270="Hunggar B",7,IF(Atletas!K270="Wuzuquan B",8,IF(Atletas!K270="Wingchun B",9,IF(Atletas!K270="Outra Mão de Sul B",10,IF(Atletas!K270="Choylayfut C",11,IF(Atletas!K270="Hunggar C",12,IF(Atletas!K270="Wuzuquan C",13,IF(Atletas!K270="Wingchun C",14,IF(Atletas!K270="Outra Mão de Sul C",15,IF(Atletas!K270="Choylayfut D",16,IF(Atletas!K270="Hunggar D",17,IF(Atletas!K270="Wuzuquan D",18,IF(Atletas!K270="Wingchun D",19,IF(Atletas!K270="Outra Mão de Sul D",20,IF(Atletas!K270="Choylayfut E",21,IF(Atletas!K270="Hunggar E",22,IF(Atletas!K270="Wuzuquan E",23,IF(Atletas!K270="Wingchun E",24,IF(Atletas!K270="Outra Mão de Sul E",25,IF(Atletas!K270="Choylayfut F",26,IF(Atletas!K270="Hunggar F",27,IF(Atletas!K270="Wuzuquan F",28,IF(Atletas!K270="Wingchun F",29,IF(Atletas!K270="Outra Mão de Sul F",30,""))))))))))))))))))))))))))))))))</f>
        <v/>
      </c>
      <c r="BL274" s="52" t="str">
        <f>IF(Atletas!L270="","",IF(Atletas!W270&lt;&gt;"",10000,0)+(IF(Atletas!B270="Feminino",1000,IF(Atletas!B270="Masculino",2000,""))+(IF(Atletas!L270="Chaquan A",101,IF(Atletas!L270="Emeiquan A",102,IF(Atletas!L270="Fanziquan A",103,IF(Atletas!L270="Huaquan A",104,IF(Atletas!L270="Hongquan A",105,IF(Atletas!L270="Paochui A",106,IF(Atletas!L270="Piguaquan A",107,IF(Atletas!L270="Shaolinquan A",108,IF(Atletas!L270="Tanglangquan A",109,IF(Atletas!L270="Yinzhaophai A",110,IF(Atletas!L270="Tongbeiquan A",111,IF(Atletas!L270="Wudangquan A",112,IF(Atletas!L270="Outros Estilos A",113,IF(Atletas!L270="Chaquan B",114,IF(Atletas!L270="Emeiquan B",115,IF(Atletas!L270="Fanziquan B",116,IF(Atletas!L270="Huaquan B",117,IF(Atletas!L270="Hongquan B",118,IF(Atletas!L270="Paochui B",119,IF(Atletas!L270="Piguaquan B",120,IF(Atletas!L270="Shaolinquan B",121,IF(Atletas!L270="Tanglangquan B",122,IF(Atletas!L270="Yinzhaophai B",123,IF(Atletas!L270="Tongbeiquan B",124,IF(Atletas!L270="Wudangquan B",125,IF(Atletas!L270="Outros Estilos B",126,IF(Atletas!L270="Chaquan C",127,IF(Atletas!L270="Emeiquan C",128,IF(Atletas!L270="Fanziquan C",129,IF(Atletas!L270="Huaquan C",130,IF(Atletas!L270="Hongquan C",131,IF(Atletas!L270="Paochui C",132,IF(Atletas!L270="Piguaquan C",133,IF(Atletas!L270="Shaolinquan C",134,IF(Atletas!L270="Tanglangquan C",135,IF(Atletas!L270="Yinzhaophai C",136,IF(Atletas!L270="Tongbeiquan C",137,IF(Atletas!L270="Wudangquan C",138,IF(Atletas!L270="Outros Estilos C",139,0))))))))))))))))))))))))))))))))))))))))))</f>
        <v/>
      </c>
      <c r="BM274" s="52" t="str">
        <f>IF(Atletas!L270="","",IF(Atletas!W270&lt;&gt;"",10000,0)+(IF(Atletas!B270="Feminino",1000,IF(Atletas!B270="Masculino",2000,""))+(IF(Atletas!L270="Chaquan D",140,IF(Atletas!L270="Emeiquan D",141,IF(Atletas!L270="Fanziquan D",142,IF(Atletas!L270="Huaquan D",143,IF(Atletas!L270="Hongquan D",144,IF(Atletas!L270="Paochui D",145,IF(Atletas!L270="Piguaquan D",146,IF(Atletas!L270="Shaolinquan D",147,IF(Atletas!L270="Tanglangquan D",148,IF(Atletas!L270="Yinzhaophai D",149,IF(Atletas!L270="Tongbeiquan D",150,IF(Atletas!L270="Wudangquan D",151,IF(Atletas!L270="Outros Estilos D",152,IF(Atletas!L270="Chaquan E",153,IF(Atletas!L270="Emeiquan E",154,IF(Atletas!L270="Fanziquan E",155,IF(Atletas!L270="Huaquan E",156,IF(Atletas!L270="Hongquan E",157,IF(Atletas!L270="Paochui E",158,IF(Atletas!L270="Piguaquan E",159,IF(Atletas!L270="Shaolinquan E",160,IF(Atletas!L270="Tanglangquan E",161,IF(Atletas!L270="Yinzhaophai E",162,IF(Atletas!L270="Tongbeiquan E",163,IF(Atletas!L270="Wudangquan E",164,IF(Atletas!L270="Outros Estilos E",165,IF(Atletas!L270="Chaquan F",166,IF(Atletas!L270="Emeiquan F",167,IF(Atletas!L270="Fanziquan F",168,IF(Atletas!L270="Huaquan F",169,IF(Atletas!L270="Hongquan F",170,IF(Atletas!L270="Paochui F",171,IF(Atletas!L270="Piguaquan F",172,IF(Atletas!L270="Shaolinquan F",173,IF(Atletas!L270="Tanglangquan F",174,IF(Atletas!L270="Yinzhaophai F",175,IF(Atletas!L270="Tongbeiquan F",176,IF(Atletas!L270="Wudangquan F",177,IF(Atletas!L270="Outros Estilos F",178,0))))))))))))))))))))))))))))))))))))))))))</f>
        <v/>
      </c>
      <c r="BN274" s="52" t="str">
        <f>IF(Atletas!M270="","",IF(Atletas!W270&lt;&gt;"",10000,0)+(IF(Atletas!B270="Feminino",1000,IF(Atletas!B270="Masculino",2000,""))+(IF(Atletas!M270="Ditangquan A",201,IF(Atletas!M270="Houquan A",202,IF(Atletas!M270="Zuiquan A",203,IF(Atletas!M270="Ditangquan B",204,IF(Atletas!M270="Houquan B",205,IF(Atletas!M270="Zuiquan B",206,IF(Atletas!M270="Ditangquan C",207,IF(Atletas!M270="Houquan C",208,IF(Atletas!M270="Zuiquan C",209,IF(Atletas!M270="Ditangquan D",210,IF(Atletas!M270="Houquan D",211,IF(Atletas!M270="Zuiquan D",212,IF(Atletas!M270="Ditangquan E",213,IF(Atletas!M270="Houquan E",214,IF(Atletas!M270="Zuiquan E",215,IF(Atletas!M270="Ditangquan F",216,IF(Atletas!M270="Houquan F",217,IF(Atletas!M270="Zuiquan F",218,"")))))))))))))))))))))</f>
        <v/>
      </c>
      <c r="BO274" s="52" t="str">
        <f>IF(Atletas!N270="","",IF(Atletas!W270&lt;&gt;"",10000,0)+IF(Atletas!B270="Feminino",1000,IF(Atletas!B270="Masculino",2000,""))+IF(Atletas!N270="Yang A",301,IF(Atletas!N270="Chen A",30,IF(Atletas!N270="Sun A",303,IF(Atletas!N270="Wu A",304,IF(Atletas!N270="Wu-Hao A",305,IF(Atletas!N270="Outro Taijiquan A",306,IF(Atletas!N270="Yang B",307,IF(Atletas!N270="Chen B",308,IF(Atletas!N270="Sun B",309,IF(Atletas!N270="Wu B",310,IF(Atletas!N270="Wu-Hao B",311,IF(Atletas!N270="Outro Taijiquan B",312,IF(Atletas!N270="Yang C",313,IF(Atletas!N270="Chen C",314,IF(Atletas!N270="Sun C",315,IF(Atletas!N270="Wu C",316,IF(Atletas!N270="Wu-Hao C",317,IF(Atletas!N270="Outro Taijiquan C",318,IF(Atletas!N270="Yang D",319,IF(Atletas!N270="Chen D",320,IF(Atletas!N270="Sun D",321,IF(Atletas!N270="Wu D",322,IF(Atletas!N270="Wu-Hao D",323,IF(Atletas!N270="Outro Taijiquan D",324,IF(Atletas!N270="Yang E",325,IF(Atletas!N270="Chen E",326,IF(Atletas!N270="Sun E",327,IF(Atletas!N270="Wu E",328,IF(Atletas!N270="Wu-Hao E",329,IF(Atletas!N270="Outro Taijiquan E",330,IF(Atletas!N270="Yang F",331,IF(Atletas!N270="Chen F",332,IF(Atletas!N270="Sun F",333,IF(Atletas!N270="Wu F",334,IF(Atletas!N270="Wu-Hao F",335,IF(Atletas!N270="Outro Taijiquan F",336,"")))))))))))))))))))))))))))))))))))))</f>
        <v/>
      </c>
      <c r="BP274" s="52" t="str">
        <f>IF(Atletas!O270="","",IF(Atletas!W270&lt;&gt;"",10000,0)+IF(Atletas!B270="Feminino",1000,IF(Atletas!B270="Masculino",2000,""))+IF(OR(Atletas!O270="Yang 26 A",Atletas!O270="Yang 40 A"),401,IF(OR(Atletas!O270="Chen 25 A",Atletas!O270="Chen 36 A",Atletas!O270="Chen 56 A"),402,IF(Atletas!O270="Sun 73 A",403,IF(Atletas!O270="Wu 45 A",404,IF(Atletas!O270="Wu-Hao 46 A",405,IF(OR(Atletas!O270="Taijiquan 16 A",Atletas!O270="Taijiquan 24 A",Atletas!O270="Taijiquan 32 A",Atletas!O270="Taijiquan 42 A"),406,IF(OR(Atletas!O270="Yang 26 B",Atletas!O270="Yang 40 B"),407,IF(OR(Atletas!O270="Chen 25 B",Atletas!O270="Chen 36 B",Atletas!O270="Chen 56 B"),408,IF(Atletas!O270="Sun 73 B",409,IF(Atletas!O270="Wu 45 B",410,IF(Atletas!O270="Wu-Hao 46 B",411,IF(OR(Atletas!O270="Taijiquan 16 B",Atletas!O270="Taijiquan 24 B",Atletas!O270="Taijiquan 32 B",Atletas!O270="Taijiquan 42 B"),412,IF(OR(Atletas!O270="Yang 26 C",Atletas!O270="Yang 40 C"),413,IF(OR(Atletas!O270="Chen 25 C",Atletas!O270="Chen 36 C",Atletas!O270="Chen 56 C"),414,IF(Atletas!O270="Sun 73 C",415,IF(Atletas!O270="Wu 45 C",416,IF(Atletas!O270="Wu-Hao 46 C",417,IF(OR(Atletas!O270="Taijiquan 16 C",Atletas!O270="Taijiquan 24 C",Atletas!O270="Taijiquan 32 C",Atletas!O270="Taijiquan 42 C"),418,0)))))))))))))))))))</f>
        <v/>
      </c>
      <c r="BQ274" s="52" t="str">
        <f>IF(Atletas!O270="","",IF(Atletas!W270&lt;&gt;"",10000,0)+IF(Atletas!B270="Feminino",1000,IF(Atletas!B270="Masculino",2000,""))+IF(OR(Atletas!O270="Yang 26 D",Atletas!O270="Yang 40 D"),419,IF(OR(Atletas!O270="Chen 25 D",Atletas!O270="Chen 36 D",Atletas!O270="Chen 56 D"),420,IF(Atletas!O270="Sun 73 D",421,IF(Atletas!O270="Wu 45 D",422,IF(Atletas!O270="Wu-Hao 46 D",423,IF(OR(Atletas!O270="Taijiquan 16 D",Atletas!O270="Taijiquan 24 D",Atletas!O270="Taijiquan 32 D",Atletas!O270="Taijiquan 42 D"),424,IF(OR(Atletas!O270="Yang 26 E",Atletas!O270="Yang 40 E"),425,IF(OR(Atletas!O270="Chen 25 E",Atletas!O270="Chen 36 E",Atletas!O270="Chen 56 E"),426,IF(Atletas!O270="Sun 73 E",427,IF(Atletas!O270="Wu 45 E",428,IF(Atletas!O270="Wu-Hao 46 E",429,IF(OR(Atletas!O270="Taijiquan 16 E",Atletas!O270="Taijiquan 24 E",Atletas!O270="Taijiquan 32 E",Atletas!O270="Taijiquan 42 E"),430,IF(OR(Atletas!O270="Yang 26 F",Atletas!O270="Yang 40 F"),431,IF(OR(Atletas!O270="Chen 25 F",Atletas!O270="Chen 36 F",Atletas!O270="Chen 56 F"),432,IF(Atletas!O270="Sun 73 F",433,IF(Atletas!O270="Wu 45 F",434,IF(Atletas!O270="Wu-Hao 46 F",435,IF(OR(Atletas!O270="Taijiquan 16 F",Atletas!O270="Taijiquan 24 F",Atletas!O270="Taijiquan 32 F",Atletas!O270="Taijiquan 42 F"),436,0)))))))))))))))))))</f>
        <v/>
      </c>
      <c r="BR274" s="52" t="str">
        <f>IF(Atletas!P270="","",IF(Atletas!W270&lt;&gt;"",10000,0)+IF(Atletas!B270="Feminino",1000,IF(Atletas!B270="Masculino",2000,""))+IF(Atletas!P270="Xingyiquan A",501,IF(Atletas!P270="Baguazhang A",502,IF(Atletas!P270="Outro Estilo Interno A",503,IF(Atletas!P270="Xingyiquan B",504,IF(Atletas!P270="Baguazhang B",505,IF(Atletas!P270="Outro Estilo Interno B",506,IF(Atletas!P270="Xingyiquan C",507,IF(Atletas!P270="Baguazhang C",508,IF(Atletas!P270="Outro Estilo Interno C",509,IF(Atletas!P270="Xingyiquan D",510,IF(Atletas!P270="Baguazhang D",511,IF(Atletas!P270="Outro Estilo Interno D",512,IF(Atletas!P270="Xingyiquan E",513,IF(Atletas!P270="Baguazhang E",514,IF(Atletas!P270="Outro Estilo Interno E",515,IF(Atletas!P270="Xingyiquan F",516,IF(Atletas!P270="Baguazhang F",517,IF(Atletas!P270="Outro Estilo Interno F",518, "")))))))))))))))))))</f>
        <v/>
      </c>
      <c r="BS274" s="52" t="str">
        <f>IF(Atletas!Q270="","",IF(Atletas!W270&lt;&gt;"",10000,0)+IF(Atletas!B270="Feminino",1000,IF(Atletas!B270="Masculino",2000,""))+IF(Atletas!Q270="Dao A",601,IF(Atletas!Q270="Jian A",602,IF(Atletas!Q270="Bishou A",603,IF(Atletas!Q270="Shan A",604,IF(Atletas!Q270="Outra Arma Curta A",605,IF(Atletas!Q270="Dao B",606,IF(Atletas!Q270="Jian B",607,IF(Atletas!Q270="Bishou B",608,IF(Atletas!Q270="Shan B",609,IF(Atletas!Q270="Outra Arma Curta B",610,IF(Atletas!Q270="Dao C",611,IF(Atletas!Q270="Jian C",612,IF(Atletas!Q270="Bishou C",613,IF(Atletas!Q270="Shan C",614,IF(Atletas!Q270="Outra Arma Curta C",615,IF(Atletas!Q270="Dao D",616,IF(Atletas!Q270="Jian D",617,IF(Atletas!Q270="Bishou D",618,IF(Atletas!Q270="Shan D",619,IF(Atletas!Q270="Outra Arma Curta D",620,IF(Atletas!Q270="Dao E",621,IF(Atletas!Q270="Jian E",622,IF(Atletas!Q270="Bishou E",623,IF(Atletas!Q270="Shan E",624,IF(Atletas!Q270="Outra Arma Curta E",625,IF(Atletas!Q270="Dao F",626,IF(Atletas!Q270="Jian F",627,IF(Atletas!Q270="Bishou F",628,IF(Atletas!Q270="Shan F",629,IF(Atletas!Q270="Outra Arma Curta F",630, "")))))))))))))))))))))))))))))))</f>
        <v/>
      </c>
      <c r="BT274" s="52" t="str">
        <f>IF(Atletas!R270="","",IF(Atletas!W270&lt;&gt;"",10000,0)+IF(Atletas!B270="Feminino",1000,IF(Atletas!B270="Masculino",2000,""))+IF(Atletas!R270="Gun A",701,IF(Atletas!R270="Qiang A",702,IF(Atletas!R270="Pudao / Guandao A",703,IF(Atletas!R270="Outra Arma Longa A",704,IF(Atletas!R270="Gun B",705,IF(Atletas!R270="Qiang B",706,IF(Atletas!R270="Pudao / Guandao B",707,IF(Atletas!R270="Outra Arma Longa B",708,IF(Atletas!R270="Gun C",709,IF(Atletas!R270="Qiang C",710,IF(Atletas!R270="Pudao / Guandao C",711,IF(Atletas!R270="Outra Arma Longa C",712,IF(Atletas!R270="Gun D",713,IF(Atletas!R270="Qiang D",714,IF(Atletas!R270="Pudao / Guandao D",715,IF(Atletas!R270="Outra Arma Longa D",716,IF(Atletas!R270="Gun E",717,IF(Atletas!R270="Qiang E",718,IF(Atletas!R270="Pudao / Guandao E",719,IF(Atletas!R270="Outra Arma Longa E",720,IF(Atletas!R270="Gun F",721,IF(Atletas!R270="Qiang F",722,IF(Atletas!R270="Pudao / Guandao F",723,IF(Atletas!R270="Outra Arma Longa F",724,"")))))))))))))))))))))))))</f>
        <v/>
      </c>
      <c r="BU274" s="52" t="str">
        <f>IF(Atletas!S270="","",IF(Atletas!W270&lt;&gt;"",10000,0)+IF(Atletas!B270="Feminino",1000,IF(Atletas!B270="Masculino",2000,""))+IF(Atletas!S270="Arma Dupla A",801,IF(Atletas!S270="Arma Maleável A",802,IF(Atletas!S270="Arma Dupla B",803,IF(Atletas!S270="Arma Maleável B",804,IF(Atletas!S270="Arma Dupla C",805,IF(Atletas!S270="Arma Maleável C",806,IF(Atletas!S270="Arma Dupla D",807,IF(Atletas!S270="Arma Maleável D",808,IF(Atletas!S270="Arma Dupla E",809,IF(Atletas!S270="Arma Maleável E",810,IF(Atletas!S270="Arma Dupla F",811,IF(Atletas!S270="Arma Maleável F",812, "")))))))))))))</f>
        <v/>
      </c>
      <c r="BV274" s="52" t="str">
        <f>IF(Atletas!T270="","",IF(Atletas!W270&lt;&gt;"",10000,0)+IF(Atletas!B270="Feminino",1000,IF(Atletas!B270="Masculino",2000,""))+IF(Atletas!T270="Taijijian Yang A",901,IF(Atletas!T270="Taijijian Chen A",902,IF(Atletas!T270="Taijijian Sun A",903,IF(Atletas!T270="Taijijian Wu A",904,IF(Atletas!T270="Taijijian Wu-Hao A",905,IF(Atletas!T270="Taijijian 32 A",906,IF(Atletas!T270="Taijijian 42 A",907,IF(Atletas!T270="Taijijian Yang B",908,IF(Atletas!T270="Taijijian Chen B",909,IF(Atletas!T270="Taijijian Sun B",910,IF(Atletas!T270="Taijijian Wu B",911,IF(Atletas!T270="Taijijian Wu-Hao B",912,IF(Atletas!T270="Taijijian 32 B",913,IF(Atletas!T270="Taijijian 42 B",914,IF(Atletas!T270="Taijijian Yang C",915,IF(Atletas!T270="Taijijian Chen C",916,IF(Atletas!T270="Taijijian Sun C",917,IF(Atletas!T270="Taijijian Wu C",918,IF(Atletas!T270="Taijijian Wu-Hao C",919,IF(Atletas!T270="Taijijian 32 C",920,IF(Atletas!T270="Taijijian 42 C",921,IF(Atletas!T270="Taijijian Yang D",922,IF(Atletas!T270="Taijijian Chen D",923,IF(Atletas!T270="Taijijian Sun D",924,IF(Atletas!T270="Taijijian Wu D",925,IF(Atletas!T270="Taijijian Wu-Hao D",926,IF(Atletas!T270="Taijijian 32 D",927,IF(Atletas!T270="Taijijian 42 D",928,IF(Atletas!T270="Taijijian Yang E",929,IF(Atletas!T270="Taijijian Chen E",930,IF(Atletas!T270="Taijijian Sun E",931,IF(Atletas!T270="Taijijian Wu E",932,IF(Atletas!T270="Taijijian Wu-Hao E",933,IF(Atletas!T270="Taijijian 32 E",934,IF(Atletas!T270="Taijijian 42 E",935,IF(Atletas!T270="Taijijian Yang F",936,IF(Atletas!T270="Taijijian Chen F",937,IF(Atletas!T270="Taijijian Sun F",938,IF(Atletas!T270="Taijijian Wu F",939,IF(Atletas!T270="Taijijian Wu-Hao F",940,IF(Atletas!T270="Taijijian 32 F",941,IF(Atletas!T270="Taijijian 42 F",942,"")))))))))))))))))))))))))))))))))))))))))))</f>
        <v/>
      </c>
      <c r="BW274" s="52" t="str">
        <f>IF(Atletas!U270="","",IF(Atletas!W270&lt;&gt;"",10000,0)+IF(Atletas!B270="Feminino",1000,IF(Atletas!B270="Masculino",2000,""))+IF(Atletas!T270="Taijijian 42 F",942,IF(Atletas!U270="Taijidao A",943,IF(Atletas!U270="Taijishan A",944,IF(Atletas!U270="Taijiqiang A",945,IF(Atletas!U270="Taijidao B",946,IF(Atletas!U270="Taijishan B",947,IF(Atletas!U270="Taijiqiang B",948,IF(Atletas!U270="Taijidao C",949,IF(Atletas!U270="Taijishan C",950,IF(Atletas!U270="Taijiqiang C",951,IF(Atletas!U270="Taijidao D",952,IF(Atletas!U270="Taijishan D",953,IF(Atletas!U270="Taijiqiang D",954,IF(Atletas!U270="Taijidao E",955,IF(Atletas!U270="Taijishan E",956,IF(Atletas!U270="Taijiqiang E",957,IF(Atletas!U270="Taijidao F",958,IF(Atletas!U270="Taijishan F",959,IF(Atletas!U270="Taijiqiang F",960))))))))))))))))))))</f>
        <v/>
      </c>
      <c r="BX274" s="72" t="str">
        <f>IF(BY274&lt;&gt;"","Qiang F","")</f>
        <v/>
      </c>
      <c r="BY274" s="72" t="str">
        <f>IF(COUNTIF(BK:BW,1722)&gt;0,COUNTIF(BK:BW,1722),"")</f>
        <v/>
      </c>
      <c r="BZ274" s="72" t="str">
        <f>IF(CA274&lt;&gt;"","Qiang F","")</f>
        <v/>
      </c>
      <c r="CA274" s="72" t="str">
        <f>IF(COUNTIF(BK:BW,2722)&gt;0,COUNTIF(BK:BW,2722),"")</f>
        <v/>
      </c>
      <c r="CB274" s="72" t="str">
        <f>IF(CC274&lt;&gt;"","Xingyiquan D","")</f>
        <v/>
      </c>
      <c r="CC274" s="64" t="str">
        <f>IF(COUNTIF(BK:BW,11510)&gt;0,COUNTIF(BK:BW,11510),"")</f>
        <v/>
      </c>
      <c r="CD274" s="64" t="str">
        <f>IF(CE274&lt;&gt;"","Xingyiquan D","")</f>
        <v/>
      </c>
      <c r="CE274" s="64" t="str">
        <f>IF(COUNTIF(BK:BW,12510)&gt;0,COUNTIF(BK:BW,12510),"")</f>
        <v/>
      </c>
      <c r="CF274" s="52" t="str">
        <f xml:space="preserve"> IF(Atletas!V270="","",IF(Atletas!V270="Duilian de Mãos AB - Equipe 1",1,IF(Atletas!V270="Duilian de Mãos AB - Equipe 2",2,IF(Atletas!V270="Duilian de Armas AB - Equipe 1",3,IF(Atletas!V270="Duilian de Armas AB - Equipe 2",4,IF(Atletas!V270="Duilian de Tuishou - Equipe 1",5,IF(Atletas!V270="Duilian de Tuishou - Equipe 2",6,IF(Atletas!V270="Grupo Externo AB - Equipe 1",7,IF(Atletas!V270="Grupo Externo AB - Equipe 2",8,IF(Atletas!V270="Grupo Interno AB - Equipe 1",9,IF(Atletas!V270="Grupo Interno AB - Equipe 2",10,IF(Atletas!V270="Duilian de Mãos CD - Equipe 1",11,IF(Atletas!V270="Duilian de Mãos CD - Equipe 2",12,IF(Atletas!V270="Duilian de Armas CD - Equipe 1",13,IF(Atletas!V270="Duilian de Armas CD - Equipe 2",14,IF(Atletas!V270="Duilian de Tuishou - Equipe 1",15,IF(Atletas!V270="Duilian de Tuishou - Equipe 2",16,IF(Atletas!V270="Grupo Externo CDEF - Equipe 1",17,IF(Atletas!V270="Grupo Externo CDEF - Equipe 2",18,IF(Atletas!V270="Grupo Interno CDEF - Equipe 1",19,IF(Atletas!V270="Grupo Interno CDEF - Equipe 2",20,IF(Atletas!V270="Duilian de Mãos EF - Equipe 1",21,IF(Atletas!V270="Duilian de Mãos EF - Equipe 2",22,IF(Atletas!V270="Duilian de Armas EF - Equipe 1",23,IF(Atletas!V270="Duilian de Armas EF - Equipe 2",24,IF(Atletas!V270="Duilian de Tuishou - Equipe 1",25,IF(Atletas!V270="Duilian de Tuishou - Equipe 2",26,"")))))))))))))))))))))))))))</f>
        <v/>
      </c>
    </row>
    <row r="275" spans="2:84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 t="str">
        <f t="array" ref="V275">IFERROR(INDEX(BX$7:BX$336,SMALL(IF(BX$7:BX$336&lt;&gt;"",ROW(BX$7:BX$336)-ROW(BX$7)+1),ROWS(BX$7:BX232))),"")</f>
        <v/>
      </c>
      <c r="W275" s="4" t="str">
        <f t="array" ref="W275">IFERROR(INDEX(BY$7:BY$336,SMALL(IF(BY$7:BY$336&lt;&gt;"",ROW(BY$7:BY$336)-ROW(BY$7)+1),ROWS(BY$7:BY232))),"")</f>
        <v/>
      </c>
      <c r="X275" s="4" t="str">
        <f t="array" ref="X275">IFERROR(INDEX(BZ$7:BZ$336,SMALL(IF(BZ$7:BZ$336&lt;&gt;"",ROW(BZ$7:BZ$336)-ROW(BZ$7)+1),ROWS(BZ$7:BZ232))),"")</f>
        <v/>
      </c>
      <c r="Y275" s="4" t="str">
        <f t="array" ref="Y275">IFERROR(INDEX(CA$7:CA$336,SMALL(IF(CA$7:CA$336&lt;&gt;"",ROW(CA$7:CA$336)-ROW(CA$7)+1),ROWS(CA$7:CA232))),"")</f>
        <v/>
      </c>
      <c r="Z275" s="4" t="str">
        <f t="array" ref="Z275">IFERROR(INDEX(CB$7:CB$378,SMALL(IF(CB$7:CB$378&lt;&gt;"",ROW(CB$7:CB$378)-ROW(CB$7)+1),ROWS(CB$7:CB274))),"")</f>
        <v/>
      </c>
      <c r="AA275" s="4" t="str">
        <f t="array" ref="AA275">IFERROR(INDEX(CC$7:CC$378,SMALL(IF(CC$7:CC$378&lt;&gt;"",ROW(CC$7:CC$378)-ROW(CC$7)+1),ROWS(CC$7:CC274))),"")</f>
        <v/>
      </c>
      <c r="AB275" s="4" t="str">
        <f t="array" ref="AB275">IFERROR(INDEX(CD$7:CD$378,SMALL(IF(CD$7:CD$378&lt;&gt;"",ROW(CD$7:CD$378)-ROW(CD$7)+1),ROWS(CD$7:CD274))),"")</f>
        <v/>
      </c>
      <c r="AC275" s="4" t="str">
        <f t="array" ref="AC275">IFERROR(INDEX(CE$7:CE$378,SMALL(IF(CE$7:CE$378&lt;&gt;"",ROW(CE$7:CE$378)-ROW(CE$7)+1),ROWS(CE$7:CE274))),"")</f>
        <v/>
      </c>
      <c r="AD275" s="4"/>
      <c r="AE275" s="4"/>
      <c r="AF275" s="4"/>
      <c r="AG275" s="4"/>
      <c r="AH275" s="4"/>
      <c r="AI275" s="4"/>
      <c r="AJ275" s="46" t="str">
        <f>IF(Atletas!D271="","",IF(Atletas!B271="Feminino",100,IF(Atletas!B271="Masculino",200,""))+(IF(Atletas!D271="Infantil 39kg",1,IF(Atletas!D271="Infantil 42kg",2,IF(Atletas!D271="Infantil 45kg",3,IF(Atletas!D271="Infantil 48kg",4,IF(Atletas!D271="Infantil 52kg",5,IF(Atletas!D271="Infantil 56kg",6,IF(Atletas!D271="Infantil 60kg",7,IF(Atletas!D271="Juvenil 48kg",8,IF(Atletas!D271="Juvenil 52kg",9,IF(Atletas!D271="Juvenil 56kg",10,IF(Atletas!D271="Juvenil 60kg",11,IF(Atletas!D271="Juvenil 65kg",12,IF(Atletas!D271="Juvenil 70kg",13,IF(Atletas!D271="Juvenil 75kg",14,IF(Atletas!D271="Juvenil 80kg",15,IF(Atletas!D271="Adulto 48kg",16,IF(Atletas!D271="Adulto 52kg",17,IF(Atletas!D271="Adulto 56kg",18,IF(Atletas!D271="Adulto 60kg",19,IF(Atletas!D271="Adulto 65kg",20,IF(Atletas!D271="Adulto 70kg",21,IF(Atletas!D271="Adulto 75kg",22,IF(Atletas!D271="Adulto 80kg",23,IF(Atletas!D271="Adulto 85kg",24,IF(Atletas!D271="Adulto 90kg",25,IF(Atletas!D271="Adulto +90kg",26,""))))))))))))))))))))))))))))</f>
        <v/>
      </c>
      <c r="AO275" s="10" t="str">
        <f>IF(Atletas!E271="","",IF(Atletas!B271="Feminino",100,IF(Atletas!B271="Masculino",200,""))+(IF(Atletas!E271="Juvenil 44kg",1,IF(Atletas!E271="Juvenil 48kg",2,IF(Atletas!E271="Juvenil 52kg",3,IF(Atletas!E271="Juvenil 56kg",4,IF(Atletas!E271="Juvenil 60kg",5,IF(Atletas!E271="Juvenil 65kg",6,IF(Atletas!E271="Juvenil 70kg",7,IF(Atletas!E271="Juvenil 75kg",8,IF(Atletas!E271="Juvenil 82kg",9,IF(Atletas!E271="Juvenil 90kg",10,IF(Atletas!E271="Juvenil 100kg",11,IF(Atletas!E271="Adulto 48kg",12,IF(Atletas!E271="Adulto 52kg",13,IF(Atletas!E271="Adulto 56kg",14,IF(Atletas!E271="Adulto 60kg",15,IF(Atletas!E271="Adulto 65kg",16,IF(Atletas!E271="Adulto 70kg",17,IF(Atletas!E271="Adulto 75kg",18,IF(Atletas!E271="Adulto 82kg",19,IF(Atletas!E271="Adulto 90kg",20,IF(Atletas!E271="Adulto 100kg",21,IF(Atletas!E271="Adulto +100kg",22,""))))))))))))))))))))))))</f>
        <v/>
      </c>
      <c r="AT275" s="10" t="str">
        <f>IF(Atletas!F271="","",IF(Atletas!B271="Feminino",100,IF(Atletas!B271="Masculino",200,""))+(IF(Atletas!F271="Adulto 48kg",1,IF(Atletas!F271="Adulto 56kg",2,IF(Atletas!F271="Adulto 65kg",3,IF(Atletas!F271="Adulto 75kg",4,IF(Atletas!F271="Adulto +75kg",5,IF(Atletas!F271="Adulto 52kg",6,IF(Atletas!F271="Adulto 60kg",7,IF(Atletas!F271="Adulto 70kg",8,IF(Atletas!F271="Adulto 80kg",9,IF(Atletas!F271="Adulto 90kg",10,IF(Atletas!F271="Adulto +90kg",11,"")))))))))))))</f>
        <v/>
      </c>
      <c r="AY275" s="46" t="str">
        <f>IF(Atletas!G271="","",IF(Atletas!B271="Feminino",100,IF(Atletas!B271="Masculino",200,""))+(IF(Atletas!G271="Changquan Mirim",1,IF(Atletas!G271="Nanquan Mirim",2,IF(Atletas!G271="Taijiquan Mirim",3,IF(Atletas!G271="Changquan Grupo C",4,IF(Atletas!G271="Nanquan Grupo C",5,IF(Atletas!G271="Taijiquan Grupo C",6,IF(Atletas!G271="Changquan Grupo B",7,IF(Atletas!G271="Nanquan Grupo B",8,IF(Atletas!G271="Taijiquan Grupo B",9,IF(Atletas!G271="Changquan Grupo A",10,IF(Atletas!G271="Nanquan Grupo A",11,IF(Atletas!G271="Taijiquan Grupo A",12,IF(Atletas!G271="Changquan Opcional",13,IF(Atletas!G271="Nanquan Opcional",14,IF(Atletas!G271="Taijiquan Opcional",15,IF(Atletas!G271="Changquan Adulto",16,IF(Atletas!G271="Nanquan Adulto",17,IF(Atletas!G271="Taijiquan Adulto",18,""))))))))))))))))))))</f>
        <v/>
      </c>
      <c r="AZ275" s="46" t="str">
        <f>IF(Atletas!H271="","",IF(Atletas!B271="Feminino",100,IF(Atletas!B271="Masculino",200,""))+(IF(Atletas!H271="Daoshu Mirim",19,IF(Atletas!H271="Jianshu Mirim",20,IF(Atletas!H271="Nandao Mirim",21,IF(Atletas!H271="Taijijian Mirim",22,IF(Atletas!H271="Daoshu Grupo C",23,IF(Atletas!H271="Jianshu Grupo C",24,IF(Atletas!H271="Nandao Grupo C",25,IF(Atletas!H271="Taijijian Grupo C",26,IF(Atletas!H271="Daoshu Grupo B",27,IF(Atletas!H271="Jianshu Grupo B",28,IF(Atletas!H271="Nandao Grupo B",29,IF(Atletas!H271="Taijijian Grupo B",30,IF(Atletas!H271="Daoshu Grupo A",31,IF(Atletas!H271="Jianshu Grupo A",32,IF(Atletas!H271="Nandao Grupo A",33,IF(Atletas!H271="Taijijian Grupo A",34,IF(Atletas!H271="Daoshu Opcional",35,IF(Atletas!H271="Jianshu Opcional",36,IF(Atletas!H271="Nandao Opcional",37,IF(Atletas!H271="Taijijian Opcional",38,IF(Atletas!H271="Daoshu Adulto",39,IF(Atletas!H271="Jianshu Adulto",40,IF(Atletas!H271="Nandao Adulto",41,IF(Atletas!H271="Taijijian Adulto",42,""))))))))))))))))))))))))))</f>
        <v/>
      </c>
      <c r="BA275" s="46" t="str">
        <f>IF(Atletas!I271="","",IF(Atletas!B271="Feminino",100,IF(Atletas!B271="Masculino",200,""))+(IF(Atletas!I271="Gunshu Mirim",43,IF(Atletas!I271="Qiangshu Mirim",44,IF(Atletas!I271="Nangun Mirim",45,IF(Atletas!I271="Gunshu Grupo C",46,IF(Atletas!I271="Qiangshu Grupo C",47,IF(Atletas!I271="Nangun Grupo C",48,IF(Atletas!I271="Gunshu Grupo B",49,IF(Atletas!I271="Qiangshu Grupo B",50,IF(Atletas!I271="Nangun Grupo B",51,IF(Atletas!I271="Gunshu Grupo A",52,IF(Atletas!I271="Qiangshu Grupo A",53,IF(Atletas!I271="Nangun Grupo A",54,IF(Atletas!I271="Gunshu Opcional",55,IF(Atletas!I271="Qiangshu Opcional",56,IF(Atletas!I271="Nangun Opcional",57,IF(Atletas!I271="Gunshu Adulto",58,IF(Atletas!I271="Qiangshu Adulto",59,IF(Atletas!I271="Nangun Adulto",60,""))))))))))))))))))))</f>
        <v/>
      </c>
      <c r="BF275" s="52" t="str">
        <f>IF(Atletas!J271="","",IF(Atletas!B271="Feminino",100,IF(Atletas!B271="Masculino",200,""))+(IF(Atletas!J271="Equipe 1 Grupo B",1,IF(Atletas!J271="Equipe 2 Grupo B",2,IF(Atletas!J271="Equipe 1 Grupo A",3,IF(Atletas!J271="Equipe 2 Grupo A",4,IF(Atletas!J271="Equipe 1 Adulto",5,IF(Atletas!J271="Equipe 2 Adulto",6,""))))))))</f>
        <v/>
      </c>
      <c r="BK275" s="52" t="str">
        <f>IF(Atletas!K271="","",IF(Atletas!W271&lt;&gt;"",10000,0)+(IF(Atletas!B271="Feminino",1000,IF(Atletas!B271="Masculino",2000,""))+IF(Atletas!K271="Choylayfut A",1,IF(Atletas!K271="Hunggar A",2,IF(Atletas!K271="Wuzuquan A",3,IF(Atletas!K271="Wingchun A",4,IF(Atletas!K271="Outra Mão de Sul A",5,IF(Atletas!K271="Choylayfut B",6,IF(Atletas!K271="Hunggar B",7,IF(Atletas!K271="Wuzuquan B",8,IF(Atletas!K271="Wingchun B",9,IF(Atletas!K271="Outra Mão de Sul B",10,IF(Atletas!K271="Choylayfut C",11,IF(Atletas!K271="Hunggar C",12,IF(Atletas!K271="Wuzuquan C",13,IF(Atletas!K271="Wingchun C",14,IF(Atletas!K271="Outra Mão de Sul C",15,IF(Atletas!K271="Choylayfut D",16,IF(Atletas!K271="Hunggar D",17,IF(Atletas!K271="Wuzuquan D",18,IF(Atletas!K271="Wingchun D",19,IF(Atletas!K271="Outra Mão de Sul D",20,IF(Atletas!K271="Choylayfut E",21,IF(Atletas!K271="Hunggar E",22,IF(Atletas!K271="Wuzuquan E",23,IF(Atletas!K271="Wingchun E",24,IF(Atletas!K271="Outra Mão de Sul E",25,IF(Atletas!K271="Choylayfut F",26,IF(Atletas!K271="Hunggar F",27,IF(Atletas!K271="Wuzuquan F",28,IF(Atletas!K271="Wingchun F",29,IF(Atletas!K271="Outra Mão de Sul F",30,""))))))))))))))))))))))))))))))))</f>
        <v/>
      </c>
      <c r="BL275" s="52" t="str">
        <f>IF(Atletas!L271="","",IF(Atletas!W271&lt;&gt;"",10000,0)+(IF(Atletas!B271="Feminino",1000,IF(Atletas!B271="Masculino",2000,""))+(IF(Atletas!L271="Chaquan A",101,IF(Atletas!L271="Emeiquan A",102,IF(Atletas!L271="Fanziquan A",103,IF(Atletas!L271="Huaquan A",104,IF(Atletas!L271="Hongquan A",105,IF(Atletas!L271="Paochui A",106,IF(Atletas!L271="Piguaquan A",107,IF(Atletas!L271="Shaolinquan A",108,IF(Atletas!L271="Tanglangquan A",109,IF(Atletas!L271="Yinzhaophai A",110,IF(Atletas!L271="Tongbeiquan A",111,IF(Atletas!L271="Wudangquan A",112,IF(Atletas!L271="Outros Estilos A",113,IF(Atletas!L271="Chaquan B",114,IF(Atletas!L271="Emeiquan B",115,IF(Atletas!L271="Fanziquan B",116,IF(Atletas!L271="Huaquan B",117,IF(Atletas!L271="Hongquan B",118,IF(Atletas!L271="Paochui B",119,IF(Atletas!L271="Piguaquan B",120,IF(Atletas!L271="Shaolinquan B",121,IF(Atletas!L271="Tanglangquan B",122,IF(Atletas!L271="Yinzhaophai B",123,IF(Atletas!L271="Tongbeiquan B",124,IF(Atletas!L271="Wudangquan B",125,IF(Atletas!L271="Outros Estilos B",126,IF(Atletas!L271="Chaquan C",127,IF(Atletas!L271="Emeiquan C",128,IF(Atletas!L271="Fanziquan C",129,IF(Atletas!L271="Huaquan C",130,IF(Atletas!L271="Hongquan C",131,IF(Atletas!L271="Paochui C",132,IF(Atletas!L271="Piguaquan C",133,IF(Atletas!L271="Shaolinquan C",134,IF(Atletas!L271="Tanglangquan C",135,IF(Atletas!L271="Yinzhaophai C",136,IF(Atletas!L271="Tongbeiquan C",137,IF(Atletas!L271="Wudangquan C",138,IF(Atletas!L271="Outros Estilos C",139,0))))))))))))))))))))))))))))))))))))))))))</f>
        <v/>
      </c>
      <c r="BM275" s="52" t="str">
        <f>IF(Atletas!L271="","",IF(Atletas!W271&lt;&gt;"",10000,0)+(IF(Atletas!B271="Feminino",1000,IF(Atletas!B271="Masculino",2000,""))+(IF(Atletas!L271="Chaquan D",140,IF(Atletas!L271="Emeiquan D",141,IF(Atletas!L271="Fanziquan D",142,IF(Atletas!L271="Huaquan D",143,IF(Atletas!L271="Hongquan D",144,IF(Atletas!L271="Paochui D",145,IF(Atletas!L271="Piguaquan D",146,IF(Atletas!L271="Shaolinquan D",147,IF(Atletas!L271="Tanglangquan D",148,IF(Atletas!L271="Yinzhaophai D",149,IF(Atletas!L271="Tongbeiquan D",150,IF(Atletas!L271="Wudangquan D",151,IF(Atletas!L271="Outros Estilos D",152,IF(Atletas!L271="Chaquan E",153,IF(Atletas!L271="Emeiquan E",154,IF(Atletas!L271="Fanziquan E",155,IF(Atletas!L271="Huaquan E",156,IF(Atletas!L271="Hongquan E",157,IF(Atletas!L271="Paochui E",158,IF(Atletas!L271="Piguaquan E",159,IF(Atletas!L271="Shaolinquan E",160,IF(Atletas!L271="Tanglangquan E",161,IF(Atletas!L271="Yinzhaophai E",162,IF(Atletas!L271="Tongbeiquan E",163,IF(Atletas!L271="Wudangquan E",164,IF(Atletas!L271="Outros Estilos E",165,IF(Atletas!L271="Chaquan F",166,IF(Atletas!L271="Emeiquan F",167,IF(Atletas!L271="Fanziquan F",168,IF(Atletas!L271="Huaquan F",169,IF(Atletas!L271="Hongquan F",170,IF(Atletas!L271="Paochui F",171,IF(Atletas!L271="Piguaquan F",172,IF(Atletas!L271="Shaolinquan F",173,IF(Atletas!L271="Tanglangquan F",174,IF(Atletas!L271="Yinzhaophai F",175,IF(Atletas!L271="Tongbeiquan F",176,IF(Atletas!L271="Wudangquan F",177,IF(Atletas!L271="Outros Estilos F",178,0))))))))))))))))))))))))))))))))))))))))))</f>
        <v/>
      </c>
      <c r="BN275" s="52" t="str">
        <f>IF(Atletas!M271="","",IF(Atletas!W271&lt;&gt;"",10000,0)+(IF(Atletas!B271="Feminino",1000,IF(Atletas!B271="Masculino",2000,""))+(IF(Atletas!M271="Ditangquan A",201,IF(Atletas!M271="Houquan A",202,IF(Atletas!M271="Zuiquan A",203,IF(Atletas!M271="Ditangquan B",204,IF(Atletas!M271="Houquan B",205,IF(Atletas!M271="Zuiquan B",206,IF(Atletas!M271="Ditangquan C",207,IF(Atletas!M271="Houquan C",208,IF(Atletas!M271="Zuiquan C",209,IF(Atletas!M271="Ditangquan D",210,IF(Atletas!M271="Houquan D",211,IF(Atletas!M271="Zuiquan D",212,IF(Atletas!M271="Ditangquan E",213,IF(Atletas!M271="Houquan E",214,IF(Atletas!M271="Zuiquan E",215,IF(Atletas!M271="Ditangquan F",216,IF(Atletas!M271="Houquan F",217,IF(Atletas!M271="Zuiquan F",218,"")))))))))))))))))))))</f>
        <v/>
      </c>
      <c r="BO275" s="52" t="str">
        <f>IF(Atletas!N271="","",IF(Atletas!W271&lt;&gt;"",10000,0)+IF(Atletas!B271="Feminino",1000,IF(Atletas!B271="Masculino",2000,""))+IF(Atletas!N271="Yang A",301,IF(Atletas!N271="Chen A",30,IF(Atletas!N271="Sun A",303,IF(Atletas!N271="Wu A",304,IF(Atletas!N271="Wu-Hao A",305,IF(Atletas!N271="Outro Taijiquan A",306,IF(Atletas!N271="Yang B",307,IF(Atletas!N271="Chen B",308,IF(Atletas!N271="Sun B",309,IF(Atletas!N271="Wu B",310,IF(Atletas!N271="Wu-Hao B",311,IF(Atletas!N271="Outro Taijiquan B",312,IF(Atletas!N271="Yang C",313,IF(Atletas!N271="Chen C",314,IF(Atletas!N271="Sun C",315,IF(Atletas!N271="Wu C",316,IF(Atletas!N271="Wu-Hao C",317,IF(Atletas!N271="Outro Taijiquan C",318,IF(Atletas!N271="Yang D",319,IF(Atletas!N271="Chen D",320,IF(Atletas!N271="Sun D",321,IF(Atletas!N271="Wu D",322,IF(Atletas!N271="Wu-Hao D",323,IF(Atletas!N271="Outro Taijiquan D",324,IF(Atletas!N271="Yang E",325,IF(Atletas!N271="Chen E",326,IF(Atletas!N271="Sun E",327,IF(Atletas!N271="Wu E",328,IF(Atletas!N271="Wu-Hao E",329,IF(Atletas!N271="Outro Taijiquan E",330,IF(Atletas!N271="Yang F",331,IF(Atletas!N271="Chen F",332,IF(Atletas!N271="Sun F",333,IF(Atletas!N271="Wu F",334,IF(Atletas!N271="Wu-Hao F",335,IF(Atletas!N271="Outro Taijiquan F",336,"")))))))))))))))))))))))))))))))))))))</f>
        <v/>
      </c>
      <c r="BP275" s="52" t="str">
        <f>IF(Atletas!O271="","",IF(Atletas!W271&lt;&gt;"",10000,0)+IF(Atletas!B271="Feminino",1000,IF(Atletas!B271="Masculino",2000,""))+IF(OR(Atletas!O271="Yang 26 A",Atletas!O271="Yang 40 A"),401,IF(OR(Atletas!O271="Chen 25 A",Atletas!O271="Chen 36 A",Atletas!O271="Chen 56 A"),402,IF(Atletas!O271="Sun 73 A",403,IF(Atletas!O271="Wu 45 A",404,IF(Atletas!O271="Wu-Hao 46 A",405,IF(OR(Atletas!O271="Taijiquan 16 A",Atletas!O271="Taijiquan 24 A",Atletas!O271="Taijiquan 32 A",Atletas!O271="Taijiquan 42 A"),406,IF(OR(Atletas!O271="Yang 26 B",Atletas!O271="Yang 40 B"),407,IF(OR(Atletas!O271="Chen 25 B",Atletas!O271="Chen 36 B",Atletas!O271="Chen 56 B"),408,IF(Atletas!O271="Sun 73 B",409,IF(Atletas!O271="Wu 45 B",410,IF(Atletas!O271="Wu-Hao 46 B",411,IF(OR(Atletas!O271="Taijiquan 16 B",Atletas!O271="Taijiquan 24 B",Atletas!O271="Taijiquan 32 B",Atletas!O271="Taijiquan 42 B"),412,IF(OR(Atletas!O271="Yang 26 C",Atletas!O271="Yang 40 C"),413,IF(OR(Atletas!O271="Chen 25 C",Atletas!O271="Chen 36 C",Atletas!O271="Chen 56 C"),414,IF(Atletas!O271="Sun 73 C",415,IF(Atletas!O271="Wu 45 C",416,IF(Atletas!O271="Wu-Hao 46 C",417,IF(OR(Atletas!O271="Taijiquan 16 C",Atletas!O271="Taijiquan 24 C",Atletas!O271="Taijiquan 32 C",Atletas!O271="Taijiquan 42 C"),418,0)))))))))))))))))))</f>
        <v/>
      </c>
      <c r="BQ275" s="52" t="str">
        <f>IF(Atletas!O271="","",IF(Atletas!W271&lt;&gt;"",10000,0)+IF(Atletas!B271="Feminino",1000,IF(Atletas!B271="Masculino",2000,""))+IF(OR(Atletas!O271="Yang 26 D",Atletas!O271="Yang 40 D"),419,IF(OR(Atletas!O271="Chen 25 D",Atletas!O271="Chen 36 D",Atletas!O271="Chen 56 D"),420,IF(Atletas!O271="Sun 73 D",421,IF(Atletas!O271="Wu 45 D",422,IF(Atletas!O271="Wu-Hao 46 D",423,IF(OR(Atletas!O271="Taijiquan 16 D",Atletas!O271="Taijiquan 24 D",Atletas!O271="Taijiquan 32 D",Atletas!O271="Taijiquan 42 D"),424,IF(OR(Atletas!O271="Yang 26 E",Atletas!O271="Yang 40 E"),425,IF(OR(Atletas!O271="Chen 25 E",Atletas!O271="Chen 36 E",Atletas!O271="Chen 56 E"),426,IF(Atletas!O271="Sun 73 E",427,IF(Atletas!O271="Wu 45 E",428,IF(Atletas!O271="Wu-Hao 46 E",429,IF(OR(Atletas!O271="Taijiquan 16 E",Atletas!O271="Taijiquan 24 E",Atletas!O271="Taijiquan 32 E",Atletas!O271="Taijiquan 42 E"),430,IF(OR(Atletas!O271="Yang 26 F",Atletas!O271="Yang 40 F"),431,IF(OR(Atletas!O271="Chen 25 F",Atletas!O271="Chen 36 F",Atletas!O271="Chen 56 F"),432,IF(Atletas!O271="Sun 73 F",433,IF(Atletas!O271="Wu 45 F",434,IF(Atletas!O271="Wu-Hao 46 F",435,IF(OR(Atletas!O271="Taijiquan 16 F",Atletas!O271="Taijiquan 24 F",Atletas!O271="Taijiquan 32 F",Atletas!O271="Taijiquan 42 F"),436,0)))))))))))))))))))</f>
        <v/>
      </c>
      <c r="BR275" s="52" t="str">
        <f>IF(Atletas!P271="","",IF(Atletas!W271&lt;&gt;"",10000,0)+IF(Atletas!B271="Feminino",1000,IF(Atletas!B271="Masculino",2000,""))+IF(Atletas!P271="Xingyiquan A",501,IF(Atletas!P271="Baguazhang A",502,IF(Atletas!P271="Outro Estilo Interno A",503,IF(Atletas!P271="Xingyiquan B",504,IF(Atletas!P271="Baguazhang B",505,IF(Atletas!P271="Outro Estilo Interno B",506,IF(Atletas!P271="Xingyiquan C",507,IF(Atletas!P271="Baguazhang C",508,IF(Atletas!P271="Outro Estilo Interno C",509,IF(Atletas!P271="Xingyiquan D",510,IF(Atletas!P271="Baguazhang D",511,IF(Atletas!P271="Outro Estilo Interno D",512,IF(Atletas!P271="Xingyiquan E",513,IF(Atletas!P271="Baguazhang E",514,IF(Atletas!P271="Outro Estilo Interno E",515,IF(Atletas!P271="Xingyiquan F",516,IF(Atletas!P271="Baguazhang F",517,IF(Atletas!P271="Outro Estilo Interno F",518, "")))))))))))))))))))</f>
        <v/>
      </c>
      <c r="BS275" s="52" t="str">
        <f>IF(Atletas!Q271="","",IF(Atletas!W271&lt;&gt;"",10000,0)+IF(Atletas!B271="Feminino",1000,IF(Atletas!B271="Masculino",2000,""))+IF(Atletas!Q271="Dao A",601,IF(Atletas!Q271="Jian A",602,IF(Atletas!Q271="Bishou A",603,IF(Atletas!Q271="Shan A",604,IF(Atletas!Q271="Outra Arma Curta A",605,IF(Atletas!Q271="Dao B",606,IF(Atletas!Q271="Jian B",607,IF(Atletas!Q271="Bishou B",608,IF(Atletas!Q271="Shan B",609,IF(Atletas!Q271="Outra Arma Curta B",610,IF(Atletas!Q271="Dao C",611,IF(Atletas!Q271="Jian C",612,IF(Atletas!Q271="Bishou C",613,IF(Atletas!Q271="Shan C",614,IF(Atletas!Q271="Outra Arma Curta C",615,IF(Atletas!Q271="Dao D",616,IF(Atletas!Q271="Jian D",617,IF(Atletas!Q271="Bishou D",618,IF(Atletas!Q271="Shan D",619,IF(Atletas!Q271="Outra Arma Curta D",620,IF(Atletas!Q271="Dao E",621,IF(Atletas!Q271="Jian E",622,IF(Atletas!Q271="Bishou E",623,IF(Atletas!Q271="Shan E",624,IF(Atletas!Q271="Outra Arma Curta E",625,IF(Atletas!Q271="Dao F",626,IF(Atletas!Q271="Jian F",627,IF(Atletas!Q271="Bishou F",628,IF(Atletas!Q271="Shan F",629,IF(Atletas!Q271="Outra Arma Curta F",630, "")))))))))))))))))))))))))))))))</f>
        <v/>
      </c>
      <c r="BT275" s="52" t="str">
        <f>IF(Atletas!R271="","",IF(Atletas!W271&lt;&gt;"",10000,0)+IF(Atletas!B271="Feminino",1000,IF(Atletas!B271="Masculino",2000,""))+IF(Atletas!R271="Gun A",701,IF(Atletas!R271="Qiang A",702,IF(Atletas!R271="Pudao / Guandao A",703,IF(Atletas!R271="Outra Arma Longa A",704,IF(Atletas!R271="Gun B",705,IF(Atletas!R271="Qiang B",706,IF(Atletas!R271="Pudao / Guandao B",707,IF(Atletas!R271="Outra Arma Longa B",708,IF(Atletas!R271="Gun C",709,IF(Atletas!R271="Qiang C",710,IF(Atletas!R271="Pudao / Guandao C",711,IF(Atletas!R271="Outra Arma Longa C",712,IF(Atletas!R271="Gun D",713,IF(Atletas!R271="Qiang D",714,IF(Atletas!R271="Pudao / Guandao D",715,IF(Atletas!R271="Outra Arma Longa D",716,IF(Atletas!R271="Gun E",717,IF(Atletas!R271="Qiang E",718,IF(Atletas!R271="Pudao / Guandao E",719,IF(Atletas!R271="Outra Arma Longa E",720,IF(Atletas!R271="Gun F",721,IF(Atletas!R271="Qiang F",722,IF(Atletas!R271="Pudao / Guandao F",723,IF(Atletas!R271="Outra Arma Longa F",724,"")))))))))))))))))))))))))</f>
        <v/>
      </c>
      <c r="BU275" s="52" t="str">
        <f>IF(Atletas!S271="","",IF(Atletas!W271&lt;&gt;"",10000,0)+IF(Atletas!B271="Feminino",1000,IF(Atletas!B271="Masculino",2000,""))+IF(Atletas!S271="Arma Dupla A",801,IF(Atletas!S271="Arma Maleável A",802,IF(Atletas!S271="Arma Dupla B",803,IF(Atletas!S271="Arma Maleável B",804,IF(Atletas!S271="Arma Dupla C",805,IF(Atletas!S271="Arma Maleável C",806,IF(Atletas!S271="Arma Dupla D",807,IF(Atletas!S271="Arma Maleável D",808,IF(Atletas!S271="Arma Dupla E",809,IF(Atletas!S271="Arma Maleável E",810,IF(Atletas!S271="Arma Dupla F",811,IF(Atletas!S271="Arma Maleável F",812, "")))))))))))))</f>
        <v/>
      </c>
      <c r="BV275" s="52" t="str">
        <f>IF(Atletas!T271="","",IF(Atletas!W271&lt;&gt;"",10000,0)+IF(Atletas!B271="Feminino",1000,IF(Atletas!B271="Masculino",2000,""))+IF(Atletas!T271="Taijijian Yang A",901,IF(Atletas!T271="Taijijian Chen A",902,IF(Atletas!T271="Taijijian Sun A",903,IF(Atletas!T271="Taijijian Wu A",904,IF(Atletas!T271="Taijijian Wu-Hao A",905,IF(Atletas!T271="Taijijian 32 A",906,IF(Atletas!T271="Taijijian 42 A",907,IF(Atletas!T271="Taijijian Yang B",908,IF(Atletas!T271="Taijijian Chen B",909,IF(Atletas!T271="Taijijian Sun B",910,IF(Atletas!T271="Taijijian Wu B",911,IF(Atletas!T271="Taijijian Wu-Hao B",912,IF(Atletas!T271="Taijijian 32 B",913,IF(Atletas!T271="Taijijian 42 B",914,IF(Atletas!T271="Taijijian Yang C",915,IF(Atletas!T271="Taijijian Chen C",916,IF(Atletas!T271="Taijijian Sun C",917,IF(Atletas!T271="Taijijian Wu C",918,IF(Atletas!T271="Taijijian Wu-Hao C",919,IF(Atletas!T271="Taijijian 32 C",920,IF(Atletas!T271="Taijijian 42 C",921,IF(Atletas!T271="Taijijian Yang D",922,IF(Atletas!T271="Taijijian Chen D",923,IF(Atletas!T271="Taijijian Sun D",924,IF(Atletas!T271="Taijijian Wu D",925,IF(Atletas!T271="Taijijian Wu-Hao D",926,IF(Atletas!T271="Taijijian 32 D",927,IF(Atletas!T271="Taijijian 42 D",928,IF(Atletas!T271="Taijijian Yang E",929,IF(Atletas!T271="Taijijian Chen E",930,IF(Atletas!T271="Taijijian Sun E",931,IF(Atletas!T271="Taijijian Wu E",932,IF(Atletas!T271="Taijijian Wu-Hao E",933,IF(Atletas!T271="Taijijian 32 E",934,IF(Atletas!T271="Taijijian 42 E",935,IF(Atletas!T271="Taijijian Yang F",936,IF(Atletas!T271="Taijijian Chen F",937,IF(Atletas!T271="Taijijian Sun F",938,IF(Atletas!T271="Taijijian Wu F",939,IF(Atletas!T271="Taijijian Wu-Hao F",940,IF(Atletas!T271="Taijijian 32 F",941,IF(Atletas!T271="Taijijian 42 F",942,"")))))))))))))))))))))))))))))))))))))))))))</f>
        <v/>
      </c>
      <c r="BW275" s="52" t="str">
        <f>IF(Atletas!U271="","",IF(Atletas!W271&lt;&gt;"",10000,0)+IF(Atletas!B271="Feminino",1000,IF(Atletas!B271="Masculino",2000,""))+IF(Atletas!T271="Taijijian 42 F",942,IF(Atletas!U271="Taijidao A",943,IF(Atletas!U271="Taijishan A",944,IF(Atletas!U271="Taijiqiang A",945,IF(Atletas!U271="Taijidao B",946,IF(Atletas!U271="Taijishan B",947,IF(Atletas!U271="Taijiqiang B",948,IF(Atletas!U271="Taijidao C",949,IF(Atletas!U271="Taijishan C",950,IF(Atletas!U271="Taijiqiang C",951,IF(Atletas!U271="Taijidao D",952,IF(Atletas!U271="Taijishan D",953,IF(Atletas!U271="Taijiqiang D",954,IF(Atletas!U271="Taijidao E",955,IF(Atletas!U271="Taijishan E",956,IF(Atletas!U271="Taijiqiang E",957,IF(Atletas!U271="Taijidao F",958,IF(Atletas!U271="Taijishan F",959,IF(Atletas!U271="Taijiqiang F",960))))))))))))))))))))</f>
        <v/>
      </c>
      <c r="BX275" s="72" t="str">
        <f>IF(BY275&lt;&gt;"","Pudao / Gaundao F","")</f>
        <v/>
      </c>
      <c r="BY275" s="72" t="str">
        <f>IF(COUNTIF(BK:BW,1723)&gt;0,COUNTIF(BK:BW,1723),"")</f>
        <v/>
      </c>
      <c r="BZ275" s="72" t="str">
        <f>IF(CA275&lt;&gt;"","Pudao / Gaundao F","")</f>
        <v/>
      </c>
      <c r="CA275" s="72" t="str">
        <f>IF(COUNTIF(BK:BW,2723)&gt;0,COUNTIF(BK:BW,2723),"")</f>
        <v/>
      </c>
      <c r="CB275" s="72" t="str">
        <f>IF(CC275&lt;&gt;"","Baguazhang D ","")</f>
        <v/>
      </c>
      <c r="CC275" s="64" t="str">
        <f>IF(COUNTIF(BK:BW,11511)&gt;0,COUNTIF(BK:BW,11511),"")</f>
        <v/>
      </c>
      <c r="CD275" s="64" t="str">
        <f>IF(CE275&lt;&gt;"","Baguazhang D ","")</f>
        <v/>
      </c>
      <c r="CE275" s="64" t="str">
        <f>IF(COUNTIF(BK:BW,12511)&gt;0,COUNTIF(BK:BW,12511),"")</f>
        <v/>
      </c>
      <c r="CF275" s="52" t="str">
        <f xml:space="preserve"> IF(Atletas!V271="","",IF(Atletas!V271="Duilian de Mãos AB - Equipe 1",1,IF(Atletas!V271="Duilian de Mãos AB - Equipe 2",2,IF(Atletas!V271="Duilian de Armas AB - Equipe 1",3,IF(Atletas!V271="Duilian de Armas AB - Equipe 2",4,IF(Atletas!V271="Duilian de Tuishou - Equipe 1",5,IF(Atletas!V271="Duilian de Tuishou - Equipe 2",6,IF(Atletas!V271="Grupo Externo AB - Equipe 1",7,IF(Atletas!V271="Grupo Externo AB - Equipe 2",8,IF(Atletas!V271="Grupo Interno AB - Equipe 1",9,IF(Atletas!V271="Grupo Interno AB - Equipe 2",10,IF(Atletas!V271="Duilian de Mãos CD - Equipe 1",11,IF(Atletas!V271="Duilian de Mãos CD - Equipe 2",12,IF(Atletas!V271="Duilian de Armas CD - Equipe 1",13,IF(Atletas!V271="Duilian de Armas CD - Equipe 2",14,IF(Atletas!V271="Duilian de Tuishou - Equipe 1",15,IF(Atletas!V271="Duilian de Tuishou - Equipe 2",16,IF(Atletas!V271="Grupo Externo CDEF - Equipe 1",17,IF(Atletas!V271="Grupo Externo CDEF - Equipe 2",18,IF(Atletas!V271="Grupo Interno CDEF - Equipe 1",19,IF(Atletas!V271="Grupo Interno CDEF - Equipe 2",20,IF(Atletas!V271="Duilian de Mãos EF - Equipe 1",21,IF(Atletas!V271="Duilian de Mãos EF - Equipe 2",22,IF(Atletas!V271="Duilian de Armas EF - Equipe 1",23,IF(Atletas!V271="Duilian de Armas EF - Equipe 2",24,IF(Atletas!V271="Duilian de Tuishou - Equipe 1",25,IF(Atletas!V271="Duilian de Tuishou - Equipe 2",26,"")))))))))))))))))))))))))))</f>
        <v/>
      </c>
    </row>
    <row r="276" spans="2:84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 t="str">
        <f t="array" ref="V276">IFERROR(INDEX(BX$7:BX$336,SMALL(IF(BX$7:BX$336&lt;&gt;"",ROW(BX$7:BX$336)-ROW(BX$7)+1),ROWS(BX$7:BX233))),"")</f>
        <v/>
      </c>
      <c r="W276" s="4" t="str">
        <f t="array" ref="W276">IFERROR(INDEX(BY$7:BY$336,SMALL(IF(BY$7:BY$336&lt;&gt;"",ROW(BY$7:BY$336)-ROW(BY$7)+1),ROWS(BY$7:BY233))),"")</f>
        <v/>
      </c>
      <c r="X276" s="4" t="str">
        <f t="array" ref="X276">IFERROR(INDEX(BZ$7:BZ$336,SMALL(IF(BZ$7:BZ$336&lt;&gt;"",ROW(BZ$7:BZ$336)-ROW(BZ$7)+1),ROWS(BZ$7:BZ233))),"")</f>
        <v/>
      </c>
      <c r="Y276" s="4" t="str">
        <f t="array" ref="Y276">IFERROR(INDEX(CA$7:CA$336,SMALL(IF(CA$7:CA$336&lt;&gt;"",ROW(CA$7:CA$336)-ROW(CA$7)+1),ROWS(CA$7:CA233))),"")</f>
        <v/>
      </c>
      <c r="Z276" s="4" t="str">
        <f t="array" ref="Z276">IFERROR(INDEX(CB$7:CB$378,SMALL(IF(CB$7:CB$378&lt;&gt;"",ROW(CB$7:CB$378)-ROW(CB$7)+1),ROWS(CB$7:CB275))),"")</f>
        <v/>
      </c>
      <c r="AA276" s="4" t="str">
        <f t="array" ref="AA276">IFERROR(INDEX(CC$7:CC$378,SMALL(IF(CC$7:CC$378&lt;&gt;"",ROW(CC$7:CC$378)-ROW(CC$7)+1),ROWS(CC$7:CC275))),"")</f>
        <v/>
      </c>
      <c r="AB276" s="4" t="str">
        <f t="array" ref="AB276">IFERROR(INDEX(CD$7:CD$378,SMALL(IF(CD$7:CD$378&lt;&gt;"",ROW(CD$7:CD$378)-ROW(CD$7)+1),ROWS(CD$7:CD275))),"")</f>
        <v/>
      </c>
      <c r="AC276" s="4" t="str">
        <f t="array" ref="AC276">IFERROR(INDEX(CE$7:CE$378,SMALL(IF(CE$7:CE$378&lt;&gt;"",ROW(CE$7:CE$378)-ROW(CE$7)+1),ROWS(CE$7:CE275))),"")</f>
        <v/>
      </c>
      <c r="AD276" s="4"/>
      <c r="AE276" s="4"/>
      <c r="AF276" s="4"/>
      <c r="AG276" s="4"/>
      <c r="AH276" s="4"/>
      <c r="AI276" s="4"/>
      <c r="AJ276" s="46" t="str">
        <f>IF(Atletas!D272="","",IF(Atletas!B272="Feminino",100,IF(Atletas!B272="Masculino",200,""))+(IF(Atletas!D272="Infantil 39kg",1,IF(Atletas!D272="Infantil 42kg",2,IF(Atletas!D272="Infantil 45kg",3,IF(Atletas!D272="Infantil 48kg",4,IF(Atletas!D272="Infantil 52kg",5,IF(Atletas!D272="Infantil 56kg",6,IF(Atletas!D272="Infantil 60kg",7,IF(Atletas!D272="Juvenil 48kg",8,IF(Atletas!D272="Juvenil 52kg",9,IF(Atletas!D272="Juvenil 56kg",10,IF(Atletas!D272="Juvenil 60kg",11,IF(Atletas!D272="Juvenil 65kg",12,IF(Atletas!D272="Juvenil 70kg",13,IF(Atletas!D272="Juvenil 75kg",14,IF(Atletas!D272="Juvenil 80kg",15,IF(Atletas!D272="Adulto 48kg",16,IF(Atletas!D272="Adulto 52kg",17,IF(Atletas!D272="Adulto 56kg",18,IF(Atletas!D272="Adulto 60kg",19,IF(Atletas!D272="Adulto 65kg",20,IF(Atletas!D272="Adulto 70kg",21,IF(Atletas!D272="Adulto 75kg",22,IF(Atletas!D272="Adulto 80kg",23,IF(Atletas!D272="Adulto 85kg",24,IF(Atletas!D272="Adulto 90kg",25,IF(Atletas!D272="Adulto +90kg",26,""))))))))))))))))))))))))))))</f>
        <v/>
      </c>
      <c r="AO276" s="10" t="str">
        <f>IF(Atletas!E272="","",IF(Atletas!B272="Feminino",100,IF(Atletas!B272="Masculino",200,""))+(IF(Atletas!E272="Juvenil 44kg",1,IF(Atletas!E272="Juvenil 48kg",2,IF(Atletas!E272="Juvenil 52kg",3,IF(Atletas!E272="Juvenil 56kg",4,IF(Atletas!E272="Juvenil 60kg",5,IF(Atletas!E272="Juvenil 65kg",6,IF(Atletas!E272="Juvenil 70kg",7,IF(Atletas!E272="Juvenil 75kg",8,IF(Atletas!E272="Juvenil 82kg",9,IF(Atletas!E272="Juvenil 90kg",10,IF(Atletas!E272="Juvenil 100kg",11,IF(Atletas!E272="Adulto 48kg",12,IF(Atletas!E272="Adulto 52kg",13,IF(Atletas!E272="Adulto 56kg",14,IF(Atletas!E272="Adulto 60kg",15,IF(Atletas!E272="Adulto 65kg",16,IF(Atletas!E272="Adulto 70kg",17,IF(Atletas!E272="Adulto 75kg",18,IF(Atletas!E272="Adulto 82kg",19,IF(Atletas!E272="Adulto 90kg",20,IF(Atletas!E272="Adulto 100kg",21,IF(Atletas!E272="Adulto +100kg",22,""))))))))))))))))))))))))</f>
        <v/>
      </c>
      <c r="AT276" s="10" t="str">
        <f>IF(Atletas!F272="","",IF(Atletas!B272="Feminino",100,IF(Atletas!B272="Masculino",200,""))+(IF(Atletas!F272="Adulto 48kg",1,IF(Atletas!F272="Adulto 56kg",2,IF(Atletas!F272="Adulto 65kg",3,IF(Atletas!F272="Adulto 75kg",4,IF(Atletas!F272="Adulto +75kg",5,IF(Atletas!F272="Adulto 52kg",6,IF(Atletas!F272="Adulto 60kg",7,IF(Atletas!F272="Adulto 70kg",8,IF(Atletas!F272="Adulto 80kg",9,IF(Atletas!F272="Adulto 90kg",10,IF(Atletas!F272="Adulto +90kg",11,"")))))))))))))</f>
        <v/>
      </c>
      <c r="AY276" s="46" t="str">
        <f>IF(Atletas!G272="","",IF(Atletas!B272="Feminino",100,IF(Atletas!B272="Masculino",200,""))+(IF(Atletas!G272="Changquan Mirim",1,IF(Atletas!G272="Nanquan Mirim",2,IF(Atletas!G272="Taijiquan Mirim",3,IF(Atletas!G272="Changquan Grupo C",4,IF(Atletas!G272="Nanquan Grupo C",5,IF(Atletas!G272="Taijiquan Grupo C",6,IF(Atletas!G272="Changquan Grupo B",7,IF(Atletas!G272="Nanquan Grupo B",8,IF(Atletas!G272="Taijiquan Grupo B",9,IF(Atletas!G272="Changquan Grupo A",10,IF(Atletas!G272="Nanquan Grupo A",11,IF(Atletas!G272="Taijiquan Grupo A",12,IF(Atletas!G272="Changquan Opcional",13,IF(Atletas!G272="Nanquan Opcional",14,IF(Atletas!G272="Taijiquan Opcional",15,IF(Atletas!G272="Changquan Adulto",16,IF(Atletas!G272="Nanquan Adulto",17,IF(Atletas!G272="Taijiquan Adulto",18,""))))))))))))))))))))</f>
        <v/>
      </c>
      <c r="AZ276" s="46" t="str">
        <f>IF(Atletas!H272="","",IF(Atletas!B272="Feminino",100,IF(Atletas!B272="Masculino",200,""))+(IF(Atletas!H272="Daoshu Mirim",19,IF(Atletas!H272="Jianshu Mirim",20,IF(Atletas!H272="Nandao Mirim",21,IF(Atletas!H272="Taijijian Mirim",22,IF(Atletas!H272="Daoshu Grupo C",23,IF(Atletas!H272="Jianshu Grupo C",24,IF(Atletas!H272="Nandao Grupo C",25,IF(Atletas!H272="Taijijian Grupo C",26,IF(Atletas!H272="Daoshu Grupo B",27,IF(Atletas!H272="Jianshu Grupo B",28,IF(Atletas!H272="Nandao Grupo B",29,IF(Atletas!H272="Taijijian Grupo B",30,IF(Atletas!H272="Daoshu Grupo A",31,IF(Atletas!H272="Jianshu Grupo A",32,IF(Atletas!H272="Nandao Grupo A",33,IF(Atletas!H272="Taijijian Grupo A",34,IF(Atletas!H272="Daoshu Opcional",35,IF(Atletas!H272="Jianshu Opcional",36,IF(Atletas!H272="Nandao Opcional",37,IF(Atletas!H272="Taijijian Opcional",38,IF(Atletas!H272="Daoshu Adulto",39,IF(Atletas!H272="Jianshu Adulto",40,IF(Atletas!H272="Nandao Adulto",41,IF(Atletas!H272="Taijijian Adulto",42,""))))))))))))))))))))))))))</f>
        <v/>
      </c>
      <c r="BA276" s="46" t="str">
        <f>IF(Atletas!I272="","",IF(Atletas!B272="Feminino",100,IF(Atletas!B272="Masculino",200,""))+(IF(Atletas!I272="Gunshu Mirim",43,IF(Atletas!I272="Qiangshu Mirim",44,IF(Atletas!I272="Nangun Mirim",45,IF(Atletas!I272="Gunshu Grupo C",46,IF(Atletas!I272="Qiangshu Grupo C",47,IF(Atletas!I272="Nangun Grupo C",48,IF(Atletas!I272="Gunshu Grupo B",49,IF(Atletas!I272="Qiangshu Grupo B",50,IF(Atletas!I272="Nangun Grupo B",51,IF(Atletas!I272="Gunshu Grupo A",52,IF(Atletas!I272="Qiangshu Grupo A",53,IF(Atletas!I272="Nangun Grupo A",54,IF(Atletas!I272="Gunshu Opcional",55,IF(Atletas!I272="Qiangshu Opcional",56,IF(Atletas!I272="Nangun Opcional",57,IF(Atletas!I272="Gunshu Adulto",58,IF(Atletas!I272="Qiangshu Adulto",59,IF(Atletas!I272="Nangun Adulto",60,""))))))))))))))))))))</f>
        <v/>
      </c>
      <c r="BF276" s="52" t="str">
        <f>IF(Atletas!J272="","",IF(Atletas!B272="Feminino",100,IF(Atletas!B272="Masculino",200,""))+(IF(Atletas!J272="Equipe 1 Grupo B",1,IF(Atletas!J272="Equipe 2 Grupo B",2,IF(Atletas!J272="Equipe 1 Grupo A",3,IF(Atletas!J272="Equipe 2 Grupo A",4,IF(Atletas!J272="Equipe 1 Adulto",5,IF(Atletas!J272="Equipe 2 Adulto",6,""))))))))</f>
        <v/>
      </c>
      <c r="BK276" s="52" t="str">
        <f>IF(Atletas!K272="","",IF(Atletas!W272&lt;&gt;"",10000,0)+(IF(Atletas!B272="Feminino",1000,IF(Atletas!B272="Masculino",2000,""))+IF(Atletas!K272="Choylayfut A",1,IF(Atletas!K272="Hunggar A",2,IF(Atletas!K272="Wuzuquan A",3,IF(Atletas!K272="Wingchun A",4,IF(Atletas!K272="Outra Mão de Sul A",5,IF(Atletas!K272="Choylayfut B",6,IF(Atletas!K272="Hunggar B",7,IF(Atletas!K272="Wuzuquan B",8,IF(Atletas!K272="Wingchun B",9,IF(Atletas!K272="Outra Mão de Sul B",10,IF(Atletas!K272="Choylayfut C",11,IF(Atletas!K272="Hunggar C",12,IF(Atletas!K272="Wuzuquan C",13,IF(Atletas!K272="Wingchun C",14,IF(Atletas!K272="Outra Mão de Sul C",15,IF(Atletas!K272="Choylayfut D",16,IF(Atletas!K272="Hunggar D",17,IF(Atletas!K272="Wuzuquan D",18,IF(Atletas!K272="Wingchun D",19,IF(Atletas!K272="Outra Mão de Sul D",20,IF(Atletas!K272="Choylayfut E",21,IF(Atletas!K272="Hunggar E",22,IF(Atletas!K272="Wuzuquan E",23,IF(Atletas!K272="Wingchun E",24,IF(Atletas!K272="Outra Mão de Sul E",25,IF(Atletas!K272="Choylayfut F",26,IF(Atletas!K272="Hunggar F",27,IF(Atletas!K272="Wuzuquan F",28,IF(Atletas!K272="Wingchun F",29,IF(Atletas!K272="Outra Mão de Sul F",30,""))))))))))))))))))))))))))))))))</f>
        <v/>
      </c>
      <c r="BL276" s="52" t="str">
        <f>IF(Atletas!L272="","",IF(Atletas!W272&lt;&gt;"",10000,0)+(IF(Atletas!B272="Feminino",1000,IF(Atletas!B272="Masculino",2000,""))+(IF(Atletas!L272="Chaquan A",101,IF(Atletas!L272="Emeiquan A",102,IF(Atletas!L272="Fanziquan A",103,IF(Atletas!L272="Huaquan A",104,IF(Atletas!L272="Hongquan A",105,IF(Atletas!L272="Paochui A",106,IF(Atletas!L272="Piguaquan A",107,IF(Atletas!L272="Shaolinquan A",108,IF(Atletas!L272="Tanglangquan A",109,IF(Atletas!L272="Yinzhaophai A",110,IF(Atletas!L272="Tongbeiquan A",111,IF(Atletas!L272="Wudangquan A",112,IF(Atletas!L272="Outros Estilos A",113,IF(Atletas!L272="Chaquan B",114,IF(Atletas!L272="Emeiquan B",115,IF(Atletas!L272="Fanziquan B",116,IF(Atletas!L272="Huaquan B",117,IF(Atletas!L272="Hongquan B",118,IF(Atletas!L272="Paochui B",119,IF(Atletas!L272="Piguaquan B",120,IF(Atletas!L272="Shaolinquan B",121,IF(Atletas!L272="Tanglangquan B",122,IF(Atletas!L272="Yinzhaophai B",123,IF(Atletas!L272="Tongbeiquan B",124,IF(Atletas!L272="Wudangquan B",125,IF(Atletas!L272="Outros Estilos B",126,IF(Atletas!L272="Chaquan C",127,IF(Atletas!L272="Emeiquan C",128,IF(Atletas!L272="Fanziquan C",129,IF(Atletas!L272="Huaquan C",130,IF(Atletas!L272="Hongquan C",131,IF(Atletas!L272="Paochui C",132,IF(Atletas!L272="Piguaquan C",133,IF(Atletas!L272="Shaolinquan C",134,IF(Atletas!L272="Tanglangquan C",135,IF(Atletas!L272="Yinzhaophai C",136,IF(Atletas!L272="Tongbeiquan C",137,IF(Atletas!L272="Wudangquan C",138,IF(Atletas!L272="Outros Estilos C",139,0))))))))))))))))))))))))))))))))))))))))))</f>
        <v/>
      </c>
      <c r="BM276" s="52" t="str">
        <f>IF(Atletas!L272="","",IF(Atletas!W272&lt;&gt;"",10000,0)+(IF(Atletas!B272="Feminino",1000,IF(Atletas!B272="Masculino",2000,""))+(IF(Atletas!L272="Chaquan D",140,IF(Atletas!L272="Emeiquan D",141,IF(Atletas!L272="Fanziquan D",142,IF(Atletas!L272="Huaquan D",143,IF(Atletas!L272="Hongquan D",144,IF(Atletas!L272="Paochui D",145,IF(Atletas!L272="Piguaquan D",146,IF(Atletas!L272="Shaolinquan D",147,IF(Atletas!L272="Tanglangquan D",148,IF(Atletas!L272="Yinzhaophai D",149,IF(Atletas!L272="Tongbeiquan D",150,IF(Atletas!L272="Wudangquan D",151,IF(Atletas!L272="Outros Estilos D",152,IF(Atletas!L272="Chaquan E",153,IF(Atletas!L272="Emeiquan E",154,IF(Atletas!L272="Fanziquan E",155,IF(Atletas!L272="Huaquan E",156,IF(Atletas!L272="Hongquan E",157,IF(Atletas!L272="Paochui E",158,IF(Atletas!L272="Piguaquan E",159,IF(Atletas!L272="Shaolinquan E",160,IF(Atletas!L272="Tanglangquan E",161,IF(Atletas!L272="Yinzhaophai E",162,IF(Atletas!L272="Tongbeiquan E",163,IF(Atletas!L272="Wudangquan E",164,IF(Atletas!L272="Outros Estilos E",165,IF(Atletas!L272="Chaquan F",166,IF(Atletas!L272="Emeiquan F",167,IF(Atletas!L272="Fanziquan F",168,IF(Atletas!L272="Huaquan F",169,IF(Atletas!L272="Hongquan F",170,IF(Atletas!L272="Paochui F",171,IF(Atletas!L272="Piguaquan F",172,IF(Atletas!L272="Shaolinquan F",173,IF(Atletas!L272="Tanglangquan F",174,IF(Atletas!L272="Yinzhaophai F",175,IF(Atletas!L272="Tongbeiquan F",176,IF(Atletas!L272="Wudangquan F",177,IF(Atletas!L272="Outros Estilos F",178,0))))))))))))))))))))))))))))))))))))))))))</f>
        <v/>
      </c>
      <c r="BN276" s="52" t="str">
        <f>IF(Atletas!M272="","",IF(Atletas!W272&lt;&gt;"",10000,0)+(IF(Atletas!B272="Feminino",1000,IF(Atletas!B272="Masculino",2000,""))+(IF(Atletas!M272="Ditangquan A",201,IF(Atletas!M272="Houquan A",202,IF(Atletas!M272="Zuiquan A",203,IF(Atletas!M272="Ditangquan B",204,IF(Atletas!M272="Houquan B",205,IF(Atletas!M272="Zuiquan B",206,IF(Atletas!M272="Ditangquan C",207,IF(Atletas!M272="Houquan C",208,IF(Atletas!M272="Zuiquan C",209,IF(Atletas!M272="Ditangquan D",210,IF(Atletas!M272="Houquan D",211,IF(Atletas!M272="Zuiquan D",212,IF(Atletas!M272="Ditangquan E",213,IF(Atletas!M272="Houquan E",214,IF(Atletas!M272="Zuiquan E",215,IF(Atletas!M272="Ditangquan F",216,IF(Atletas!M272="Houquan F",217,IF(Atletas!M272="Zuiquan F",218,"")))))))))))))))))))))</f>
        <v/>
      </c>
      <c r="BO276" s="52" t="str">
        <f>IF(Atletas!N272="","",IF(Atletas!W272&lt;&gt;"",10000,0)+IF(Atletas!B272="Feminino",1000,IF(Atletas!B272="Masculino",2000,""))+IF(Atletas!N272="Yang A",301,IF(Atletas!N272="Chen A",30,IF(Atletas!N272="Sun A",303,IF(Atletas!N272="Wu A",304,IF(Atletas!N272="Wu-Hao A",305,IF(Atletas!N272="Outro Taijiquan A",306,IF(Atletas!N272="Yang B",307,IF(Atletas!N272="Chen B",308,IF(Atletas!N272="Sun B",309,IF(Atletas!N272="Wu B",310,IF(Atletas!N272="Wu-Hao B",311,IF(Atletas!N272="Outro Taijiquan B",312,IF(Atletas!N272="Yang C",313,IF(Atletas!N272="Chen C",314,IF(Atletas!N272="Sun C",315,IF(Atletas!N272="Wu C",316,IF(Atletas!N272="Wu-Hao C",317,IF(Atletas!N272="Outro Taijiquan C",318,IF(Atletas!N272="Yang D",319,IF(Atletas!N272="Chen D",320,IF(Atletas!N272="Sun D",321,IF(Atletas!N272="Wu D",322,IF(Atletas!N272="Wu-Hao D",323,IF(Atletas!N272="Outro Taijiquan D",324,IF(Atletas!N272="Yang E",325,IF(Atletas!N272="Chen E",326,IF(Atletas!N272="Sun E",327,IF(Atletas!N272="Wu E",328,IF(Atletas!N272="Wu-Hao E",329,IF(Atletas!N272="Outro Taijiquan E",330,IF(Atletas!N272="Yang F",331,IF(Atletas!N272="Chen F",332,IF(Atletas!N272="Sun F",333,IF(Atletas!N272="Wu F",334,IF(Atletas!N272="Wu-Hao F",335,IF(Atletas!N272="Outro Taijiquan F",336,"")))))))))))))))))))))))))))))))))))))</f>
        <v/>
      </c>
      <c r="BP276" s="52" t="str">
        <f>IF(Atletas!O272="","",IF(Atletas!W272&lt;&gt;"",10000,0)+IF(Atletas!B272="Feminino",1000,IF(Atletas!B272="Masculino",2000,""))+IF(OR(Atletas!O272="Yang 26 A",Atletas!O272="Yang 40 A"),401,IF(OR(Atletas!O272="Chen 25 A",Atletas!O272="Chen 36 A",Atletas!O272="Chen 56 A"),402,IF(Atletas!O272="Sun 73 A",403,IF(Atletas!O272="Wu 45 A",404,IF(Atletas!O272="Wu-Hao 46 A",405,IF(OR(Atletas!O272="Taijiquan 16 A",Atletas!O272="Taijiquan 24 A",Atletas!O272="Taijiquan 32 A",Atletas!O272="Taijiquan 42 A"),406,IF(OR(Atletas!O272="Yang 26 B",Atletas!O272="Yang 40 B"),407,IF(OR(Atletas!O272="Chen 25 B",Atletas!O272="Chen 36 B",Atletas!O272="Chen 56 B"),408,IF(Atletas!O272="Sun 73 B",409,IF(Atletas!O272="Wu 45 B",410,IF(Atletas!O272="Wu-Hao 46 B",411,IF(OR(Atletas!O272="Taijiquan 16 B",Atletas!O272="Taijiquan 24 B",Atletas!O272="Taijiquan 32 B",Atletas!O272="Taijiquan 42 B"),412,IF(OR(Atletas!O272="Yang 26 C",Atletas!O272="Yang 40 C"),413,IF(OR(Atletas!O272="Chen 25 C",Atletas!O272="Chen 36 C",Atletas!O272="Chen 56 C"),414,IF(Atletas!O272="Sun 73 C",415,IF(Atletas!O272="Wu 45 C",416,IF(Atletas!O272="Wu-Hao 46 C",417,IF(OR(Atletas!O272="Taijiquan 16 C",Atletas!O272="Taijiquan 24 C",Atletas!O272="Taijiquan 32 C",Atletas!O272="Taijiquan 42 C"),418,0)))))))))))))))))))</f>
        <v/>
      </c>
      <c r="BQ276" s="52" t="str">
        <f>IF(Atletas!O272="","",IF(Atletas!W272&lt;&gt;"",10000,0)+IF(Atletas!B272="Feminino",1000,IF(Atletas!B272="Masculino",2000,""))+IF(OR(Atletas!O272="Yang 26 D",Atletas!O272="Yang 40 D"),419,IF(OR(Atletas!O272="Chen 25 D",Atletas!O272="Chen 36 D",Atletas!O272="Chen 56 D"),420,IF(Atletas!O272="Sun 73 D",421,IF(Atletas!O272="Wu 45 D",422,IF(Atletas!O272="Wu-Hao 46 D",423,IF(OR(Atletas!O272="Taijiquan 16 D",Atletas!O272="Taijiquan 24 D",Atletas!O272="Taijiquan 32 D",Atletas!O272="Taijiquan 42 D"),424,IF(OR(Atletas!O272="Yang 26 E",Atletas!O272="Yang 40 E"),425,IF(OR(Atletas!O272="Chen 25 E",Atletas!O272="Chen 36 E",Atletas!O272="Chen 56 E"),426,IF(Atletas!O272="Sun 73 E",427,IF(Atletas!O272="Wu 45 E",428,IF(Atletas!O272="Wu-Hao 46 E",429,IF(OR(Atletas!O272="Taijiquan 16 E",Atletas!O272="Taijiquan 24 E",Atletas!O272="Taijiquan 32 E",Atletas!O272="Taijiquan 42 E"),430,IF(OR(Atletas!O272="Yang 26 F",Atletas!O272="Yang 40 F"),431,IF(OR(Atletas!O272="Chen 25 F",Atletas!O272="Chen 36 F",Atletas!O272="Chen 56 F"),432,IF(Atletas!O272="Sun 73 F",433,IF(Atletas!O272="Wu 45 F",434,IF(Atletas!O272="Wu-Hao 46 F",435,IF(OR(Atletas!O272="Taijiquan 16 F",Atletas!O272="Taijiquan 24 F",Atletas!O272="Taijiquan 32 F",Atletas!O272="Taijiquan 42 F"),436,0)))))))))))))))))))</f>
        <v/>
      </c>
      <c r="BR276" s="52" t="str">
        <f>IF(Atletas!P272="","",IF(Atletas!W272&lt;&gt;"",10000,0)+IF(Atletas!B272="Feminino",1000,IF(Atletas!B272="Masculino",2000,""))+IF(Atletas!P272="Xingyiquan A",501,IF(Atletas!P272="Baguazhang A",502,IF(Atletas!P272="Outro Estilo Interno A",503,IF(Atletas!P272="Xingyiquan B",504,IF(Atletas!P272="Baguazhang B",505,IF(Atletas!P272="Outro Estilo Interno B",506,IF(Atletas!P272="Xingyiquan C",507,IF(Atletas!P272="Baguazhang C",508,IF(Atletas!P272="Outro Estilo Interno C",509,IF(Atletas!P272="Xingyiquan D",510,IF(Atletas!P272="Baguazhang D",511,IF(Atletas!P272="Outro Estilo Interno D",512,IF(Atletas!P272="Xingyiquan E",513,IF(Atletas!P272="Baguazhang E",514,IF(Atletas!P272="Outro Estilo Interno E",515,IF(Atletas!P272="Xingyiquan F",516,IF(Atletas!P272="Baguazhang F",517,IF(Atletas!P272="Outro Estilo Interno F",518, "")))))))))))))))))))</f>
        <v/>
      </c>
      <c r="BS276" s="52" t="str">
        <f>IF(Atletas!Q272="","",IF(Atletas!W272&lt;&gt;"",10000,0)+IF(Atletas!B272="Feminino",1000,IF(Atletas!B272="Masculino",2000,""))+IF(Atletas!Q272="Dao A",601,IF(Atletas!Q272="Jian A",602,IF(Atletas!Q272="Bishou A",603,IF(Atletas!Q272="Shan A",604,IF(Atletas!Q272="Outra Arma Curta A",605,IF(Atletas!Q272="Dao B",606,IF(Atletas!Q272="Jian B",607,IF(Atletas!Q272="Bishou B",608,IF(Atletas!Q272="Shan B",609,IF(Atletas!Q272="Outra Arma Curta B",610,IF(Atletas!Q272="Dao C",611,IF(Atletas!Q272="Jian C",612,IF(Atletas!Q272="Bishou C",613,IF(Atletas!Q272="Shan C",614,IF(Atletas!Q272="Outra Arma Curta C",615,IF(Atletas!Q272="Dao D",616,IF(Atletas!Q272="Jian D",617,IF(Atletas!Q272="Bishou D",618,IF(Atletas!Q272="Shan D",619,IF(Atletas!Q272="Outra Arma Curta D",620,IF(Atletas!Q272="Dao E",621,IF(Atletas!Q272="Jian E",622,IF(Atletas!Q272="Bishou E",623,IF(Atletas!Q272="Shan E",624,IF(Atletas!Q272="Outra Arma Curta E",625,IF(Atletas!Q272="Dao F",626,IF(Atletas!Q272="Jian F",627,IF(Atletas!Q272="Bishou F",628,IF(Atletas!Q272="Shan F",629,IF(Atletas!Q272="Outra Arma Curta F",630, "")))))))))))))))))))))))))))))))</f>
        <v/>
      </c>
      <c r="BT276" s="52" t="str">
        <f>IF(Atletas!R272="","",IF(Atletas!W272&lt;&gt;"",10000,0)+IF(Atletas!B272="Feminino",1000,IF(Atletas!B272="Masculino",2000,""))+IF(Atletas!R272="Gun A",701,IF(Atletas!R272="Qiang A",702,IF(Atletas!R272="Pudao / Guandao A",703,IF(Atletas!R272="Outra Arma Longa A",704,IF(Atletas!R272="Gun B",705,IF(Atletas!R272="Qiang B",706,IF(Atletas!R272="Pudao / Guandao B",707,IF(Atletas!R272="Outra Arma Longa B",708,IF(Atletas!R272="Gun C",709,IF(Atletas!R272="Qiang C",710,IF(Atletas!R272="Pudao / Guandao C",711,IF(Atletas!R272="Outra Arma Longa C",712,IF(Atletas!R272="Gun D",713,IF(Atletas!R272="Qiang D",714,IF(Atletas!R272="Pudao / Guandao D",715,IF(Atletas!R272="Outra Arma Longa D",716,IF(Atletas!R272="Gun E",717,IF(Atletas!R272="Qiang E",718,IF(Atletas!R272="Pudao / Guandao E",719,IF(Atletas!R272="Outra Arma Longa E",720,IF(Atletas!R272="Gun F",721,IF(Atletas!R272="Qiang F",722,IF(Atletas!R272="Pudao / Guandao F",723,IF(Atletas!R272="Outra Arma Longa F",724,"")))))))))))))))))))))))))</f>
        <v/>
      </c>
      <c r="BU276" s="52" t="str">
        <f>IF(Atletas!S272="","",IF(Atletas!W272&lt;&gt;"",10000,0)+IF(Atletas!B272="Feminino",1000,IF(Atletas!B272="Masculino",2000,""))+IF(Atletas!S272="Arma Dupla A",801,IF(Atletas!S272="Arma Maleável A",802,IF(Atletas!S272="Arma Dupla B",803,IF(Atletas!S272="Arma Maleável B",804,IF(Atletas!S272="Arma Dupla C",805,IF(Atletas!S272="Arma Maleável C",806,IF(Atletas!S272="Arma Dupla D",807,IF(Atletas!S272="Arma Maleável D",808,IF(Atletas!S272="Arma Dupla E",809,IF(Atletas!S272="Arma Maleável E",810,IF(Atletas!S272="Arma Dupla F",811,IF(Atletas!S272="Arma Maleável F",812, "")))))))))))))</f>
        <v/>
      </c>
      <c r="BV276" s="52" t="str">
        <f>IF(Atletas!T272="","",IF(Atletas!W272&lt;&gt;"",10000,0)+IF(Atletas!B272="Feminino",1000,IF(Atletas!B272="Masculino",2000,""))+IF(Atletas!T272="Taijijian Yang A",901,IF(Atletas!T272="Taijijian Chen A",902,IF(Atletas!T272="Taijijian Sun A",903,IF(Atletas!T272="Taijijian Wu A",904,IF(Atletas!T272="Taijijian Wu-Hao A",905,IF(Atletas!T272="Taijijian 32 A",906,IF(Atletas!T272="Taijijian 42 A",907,IF(Atletas!T272="Taijijian Yang B",908,IF(Atletas!T272="Taijijian Chen B",909,IF(Atletas!T272="Taijijian Sun B",910,IF(Atletas!T272="Taijijian Wu B",911,IF(Atletas!T272="Taijijian Wu-Hao B",912,IF(Atletas!T272="Taijijian 32 B",913,IF(Atletas!T272="Taijijian 42 B",914,IF(Atletas!T272="Taijijian Yang C",915,IF(Atletas!T272="Taijijian Chen C",916,IF(Atletas!T272="Taijijian Sun C",917,IF(Atletas!T272="Taijijian Wu C",918,IF(Atletas!T272="Taijijian Wu-Hao C",919,IF(Atletas!T272="Taijijian 32 C",920,IF(Atletas!T272="Taijijian 42 C",921,IF(Atletas!T272="Taijijian Yang D",922,IF(Atletas!T272="Taijijian Chen D",923,IF(Atletas!T272="Taijijian Sun D",924,IF(Atletas!T272="Taijijian Wu D",925,IF(Atletas!T272="Taijijian Wu-Hao D",926,IF(Atletas!T272="Taijijian 32 D",927,IF(Atletas!T272="Taijijian 42 D",928,IF(Atletas!T272="Taijijian Yang E",929,IF(Atletas!T272="Taijijian Chen E",930,IF(Atletas!T272="Taijijian Sun E",931,IF(Atletas!T272="Taijijian Wu E",932,IF(Atletas!T272="Taijijian Wu-Hao E",933,IF(Atletas!T272="Taijijian 32 E",934,IF(Atletas!T272="Taijijian 42 E",935,IF(Atletas!T272="Taijijian Yang F",936,IF(Atletas!T272="Taijijian Chen F",937,IF(Atletas!T272="Taijijian Sun F",938,IF(Atletas!T272="Taijijian Wu F",939,IF(Atletas!T272="Taijijian Wu-Hao F",940,IF(Atletas!T272="Taijijian 32 F",941,IF(Atletas!T272="Taijijian 42 F",942,"")))))))))))))))))))))))))))))))))))))))))))</f>
        <v/>
      </c>
      <c r="BW276" s="52" t="str">
        <f>IF(Atletas!U272="","",IF(Atletas!W272&lt;&gt;"",10000,0)+IF(Atletas!B272="Feminino",1000,IF(Atletas!B272="Masculino",2000,""))+IF(Atletas!T272="Taijijian 42 F",942,IF(Atletas!U272="Taijidao A",943,IF(Atletas!U272="Taijishan A",944,IF(Atletas!U272="Taijiqiang A",945,IF(Atletas!U272="Taijidao B",946,IF(Atletas!U272="Taijishan B",947,IF(Atletas!U272="Taijiqiang B",948,IF(Atletas!U272="Taijidao C",949,IF(Atletas!U272="Taijishan C",950,IF(Atletas!U272="Taijiqiang C",951,IF(Atletas!U272="Taijidao D",952,IF(Atletas!U272="Taijishan D",953,IF(Atletas!U272="Taijiqiang D",954,IF(Atletas!U272="Taijidao E",955,IF(Atletas!U272="Taijishan E",956,IF(Atletas!U272="Taijiqiang E",957,IF(Atletas!U272="Taijidao F",958,IF(Atletas!U272="Taijishan F",959,IF(Atletas!U272="Taijiqiang F",960))))))))))))))))))))</f>
        <v/>
      </c>
      <c r="BX276" s="72" t="str">
        <f>IF(BY276&lt;&gt;"","Outra Arma Longa F","")</f>
        <v/>
      </c>
      <c r="BY276" s="72" t="str">
        <f>IF(COUNTIF(BK:BW,1724)&gt;0,COUNTIF(BK:BW,1724),"")</f>
        <v/>
      </c>
      <c r="BZ276" s="72" t="str">
        <f>IF(CA276&lt;&gt;"","Outra Arma Longa F","")</f>
        <v/>
      </c>
      <c r="CA276" s="72" t="str">
        <f>IF(COUNTIF(BK:BW,2724)&gt;0,COUNTIF(BK:BW,2724),"")</f>
        <v/>
      </c>
      <c r="CB276" s="72" t="str">
        <f>IF(CC276&lt;&gt;"","Outro Estilo Interno D","")</f>
        <v/>
      </c>
      <c r="CC276" s="64" t="str">
        <f>IF(COUNTIF(BK:BW,11512)&gt;0,COUNTIF(BK:BW,11512),"")</f>
        <v/>
      </c>
      <c r="CD276" s="64" t="str">
        <f>IF(CE276&lt;&gt;"","Outro Estilo Interno D","")</f>
        <v/>
      </c>
      <c r="CE276" s="64" t="str">
        <f>IF(COUNTIF(BK:BW,12512)&gt;0,COUNTIF(BK:BW,12512),"")</f>
        <v/>
      </c>
      <c r="CF276" s="52" t="str">
        <f xml:space="preserve"> IF(Atletas!V272="","",IF(Atletas!V272="Duilian de Mãos AB - Equipe 1",1,IF(Atletas!V272="Duilian de Mãos AB - Equipe 2",2,IF(Atletas!V272="Duilian de Armas AB - Equipe 1",3,IF(Atletas!V272="Duilian de Armas AB - Equipe 2",4,IF(Atletas!V272="Duilian de Tuishou - Equipe 1",5,IF(Atletas!V272="Duilian de Tuishou - Equipe 2",6,IF(Atletas!V272="Grupo Externo AB - Equipe 1",7,IF(Atletas!V272="Grupo Externo AB - Equipe 2",8,IF(Atletas!V272="Grupo Interno AB - Equipe 1",9,IF(Atletas!V272="Grupo Interno AB - Equipe 2",10,IF(Atletas!V272="Duilian de Mãos CD - Equipe 1",11,IF(Atletas!V272="Duilian de Mãos CD - Equipe 2",12,IF(Atletas!V272="Duilian de Armas CD - Equipe 1",13,IF(Atletas!V272="Duilian de Armas CD - Equipe 2",14,IF(Atletas!V272="Duilian de Tuishou - Equipe 1",15,IF(Atletas!V272="Duilian de Tuishou - Equipe 2",16,IF(Atletas!V272="Grupo Externo CDEF - Equipe 1",17,IF(Atletas!V272="Grupo Externo CDEF - Equipe 2",18,IF(Atletas!V272="Grupo Interno CDEF - Equipe 1",19,IF(Atletas!V272="Grupo Interno CDEF - Equipe 2",20,IF(Atletas!V272="Duilian de Mãos EF - Equipe 1",21,IF(Atletas!V272="Duilian de Mãos EF - Equipe 2",22,IF(Atletas!V272="Duilian de Armas EF - Equipe 1",23,IF(Atletas!V272="Duilian de Armas EF - Equipe 2",24,IF(Atletas!V272="Duilian de Tuishou - Equipe 1",25,IF(Atletas!V272="Duilian de Tuishou - Equipe 2",26,"")))))))))))))))))))))))))))</f>
        <v/>
      </c>
    </row>
    <row r="277" spans="2:84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 t="str">
        <f t="array" ref="V277">IFERROR(INDEX(BX$7:BX$336,SMALL(IF(BX$7:BX$336&lt;&gt;"",ROW(BX$7:BX$336)-ROW(BX$7)+1),ROWS(BX$7:BX234))),"")</f>
        <v/>
      </c>
      <c r="W277" s="4" t="str">
        <f t="array" ref="W277">IFERROR(INDEX(BY$7:BY$336,SMALL(IF(BY$7:BY$336&lt;&gt;"",ROW(BY$7:BY$336)-ROW(BY$7)+1),ROWS(BY$7:BY234))),"")</f>
        <v/>
      </c>
      <c r="X277" s="4" t="str">
        <f t="array" ref="X277">IFERROR(INDEX(BZ$7:BZ$336,SMALL(IF(BZ$7:BZ$336&lt;&gt;"",ROW(BZ$7:BZ$336)-ROW(BZ$7)+1),ROWS(BZ$7:BZ234))),"")</f>
        <v/>
      </c>
      <c r="Y277" s="4" t="str">
        <f t="array" ref="Y277">IFERROR(INDEX(CA$7:CA$336,SMALL(IF(CA$7:CA$336&lt;&gt;"",ROW(CA$7:CA$336)-ROW(CA$7)+1),ROWS(CA$7:CA234))),"")</f>
        <v/>
      </c>
      <c r="Z277" s="4" t="str">
        <f t="array" ref="Z277">IFERROR(INDEX(CB$7:CB$378,SMALL(IF(CB$7:CB$378&lt;&gt;"",ROW(CB$7:CB$378)-ROW(CB$7)+1),ROWS(CB$7:CB276))),"")</f>
        <v/>
      </c>
      <c r="AA277" s="4" t="str">
        <f t="array" ref="AA277">IFERROR(INDEX(CC$7:CC$378,SMALL(IF(CC$7:CC$378&lt;&gt;"",ROW(CC$7:CC$378)-ROW(CC$7)+1),ROWS(CC$7:CC276))),"")</f>
        <v/>
      </c>
      <c r="AB277" s="4" t="str">
        <f t="array" ref="AB277">IFERROR(INDEX(CD$7:CD$378,SMALL(IF(CD$7:CD$378&lt;&gt;"",ROW(CD$7:CD$378)-ROW(CD$7)+1),ROWS(CD$7:CD276))),"")</f>
        <v/>
      </c>
      <c r="AC277" s="4" t="str">
        <f t="array" ref="AC277">IFERROR(INDEX(CE$7:CE$378,SMALL(IF(CE$7:CE$378&lt;&gt;"",ROW(CE$7:CE$378)-ROW(CE$7)+1),ROWS(CE$7:CE276))),"")</f>
        <v/>
      </c>
      <c r="AD277" s="4"/>
      <c r="AE277" s="4"/>
      <c r="AF277" s="4"/>
      <c r="AG277" s="4"/>
      <c r="AH277" s="4"/>
      <c r="AI277" s="4"/>
      <c r="AJ277" s="46" t="str">
        <f>IF(Atletas!D273="","",IF(Atletas!B273="Feminino",100,IF(Atletas!B273="Masculino",200,""))+(IF(Atletas!D273="Infantil 39kg",1,IF(Atletas!D273="Infantil 42kg",2,IF(Atletas!D273="Infantil 45kg",3,IF(Atletas!D273="Infantil 48kg",4,IF(Atletas!D273="Infantil 52kg",5,IF(Atletas!D273="Infantil 56kg",6,IF(Atletas!D273="Infantil 60kg",7,IF(Atletas!D273="Juvenil 48kg",8,IF(Atletas!D273="Juvenil 52kg",9,IF(Atletas!D273="Juvenil 56kg",10,IF(Atletas!D273="Juvenil 60kg",11,IF(Atletas!D273="Juvenil 65kg",12,IF(Atletas!D273="Juvenil 70kg",13,IF(Atletas!D273="Juvenil 75kg",14,IF(Atletas!D273="Juvenil 80kg",15,IF(Atletas!D273="Adulto 48kg",16,IF(Atletas!D273="Adulto 52kg",17,IF(Atletas!D273="Adulto 56kg",18,IF(Atletas!D273="Adulto 60kg",19,IF(Atletas!D273="Adulto 65kg",20,IF(Atletas!D273="Adulto 70kg",21,IF(Atletas!D273="Adulto 75kg",22,IF(Atletas!D273="Adulto 80kg",23,IF(Atletas!D273="Adulto 85kg",24,IF(Atletas!D273="Adulto 90kg",25,IF(Atletas!D273="Adulto +90kg",26,""))))))))))))))))))))))))))))</f>
        <v/>
      </c>
      <c r="AO277" s="10" t="str">
        <f>IF(Atletas!E273="","",IF(Atletas!B273="Feminino",100,IF(Atletas!B273="Masculino",200,""))+(IF(Atletas!E273="Juvenil 44kg",1,IF(Atletas!E273="Juvenil 48kg",2,IF(Atletas!E273="Juvenil 52kg",3,IF(Atletas!E273="Juvenil 56kg",4,IF(Atletas!E273="Juvenil 60kg",5,IF(Atletas!E273="Juvenil 65kg",6,IF(Atletas!E273="Juvenil 70kg",7,IF(Atletas!E273="Juvenil 75kg",8,IF(Atletas!E273="Juvenil 82kg",9,IF(Atletas!E273="Juvenil 90kg",10,IF(Atletas!E273="Juvenil 100kg",11,IF(Atletas!E273="Adulto 48kg",12,IF(Atletas!E273="Adulto 52kg",13,IF(Atletas!E273="Adulto 56kg",14,IF(Atletas!E273="Adulto 60kg",15,IF(Atletas!E273="Adulto 65kg",16,IF(Atletas!E273="Adulto 70kg",17,IF(Atletas!E273="Adulto 75kg",18,IF(Atletas!E273="Adulto 82kg",19,IF(Atletas!E273="Adulto 90kg",20,IF(Atletas!E273="Adulto 100kg",21,IF(Atletas!E273="Adulto +100kg",22,""))))))))))))))))))))))))</f>
        <v/>
      </c>
      <c r="AT277" s="10" t="str">
        <f>IF(Atletas!F273="","",IF(Atletas!B273="Feminino",100,IF(Atletas!B273="Masculino",200,""))+(IF(Atletas!F273="Adulto 48kg",1,IF(Atletas!F273="Adulto 56kg",2,IF(Atletas!F273="Adulto 65kg",3,IF(Atletas!F273="Adulto 75kg",4,IF(Atletas!F273="Adulto +75kg",5,IF(Atletas!F273="Adulto 52kg",6,IF(Atletas!F273="Adulto 60kg",7,IF(Atletas!F273="Adulto 70kg",8,IF(Atletas!F273="Adulto 80kg",9,IF(Atletas!F273="Adulto 90kg",10,IF(Atletas!F273="Adulto +90kg",11,"")))))))))))))</f>
        <v/>
      </c>
      <c r="AY277" s="46" t="str">
        <f>IF(Atletas!G273="","",IF(Atletas!B273="Feminino",100,IF(Atletas!B273="Masculino",200,""))+(IF(Atletas!G273="Changquan Mirim",1,IF(Atletas!G273="Nanquan Mirim",2,IF(Atletas!G273="Taijiquan Mirim",3,IF(Atletas!G273="Changquan Grupo C",4,IF(Atletas!G273="Nanquan Grupo C",5,IF(Atletas!G273="Taijiquan Grupo C",6,IF(Atletas!G273="Changquan Grupo B",7,IF(Atletas!G273="Nanquan Grupo B",8,IF(Atletas!G273="Taijiquan Grupo B",9,IF(Atletas!G273="Changquan Grupo A",10,IF(Atletas!G273="Nanquan Grupo A",11,IF(Atletas!G273="Taijiquan Grupo A",12,IF(Atletas!G273="Changquan Opcional",13,IF(Atletas!G273="Nanquan Opcional",14,IF(Atletas!G273="Taijiquan Opcional",15,IF(Atletas!G273="Changquan Adulto",16,IF(Atletas!G273="Nanquan Adulto",17,IF(Atletas!G273="Taijiquan Adulto",18,""))))))))))))))))))))</f>
        <v/>
      </c>
      <c r="AZ277" s="46" t="str">
        <f>IF(Atletas!H273="","",IF(Atletas!B273="Feminino",100,IF(Atletas!B273="Masculino",200,""))+(IF(Atletas!H273="Daoshu Mirim",19,IF(Atletas!H273="Jianshu Mirim",20,IF(Atletas!H273="Nandao Mirim",21,IF(Atletas!H273="Taijijian Mirim",22,IF(Atletas!H273="Daoshu Grupo C",23,IF(Atletas!H273="Jianshu Grupo C",24,IF(Atletas!H273="Nandao Grupo C",25,IF(Atletas!H273="Taijijian Grupo C",26,IF(Atletas!H273="Daoshu Grupo B",27,IF(Atletas!H273="Jianshu Grupo B",28,IF(Atletas!H273="Nandao Grupo B",29,IF(Atletas!H273="Taijijian Grupo B",30,IF(Atletas!H273="Daoshu Grupo A",31,IF(Atletas!H273="Jianshu Grupo A",32,IF(Atletas!H273="Nandao Grupo A",33,IF(Atletas!H273="Taijijian Grupo A",34,IF(Atletas!H273="Daoshu Opcional",35,IF(Atletas!H273="Jianshu Opcional",36,IF(Atletas!H273="Nandao Opcional",37,IF(Atletas!H273="Taijijian Opcional",38,IF(Atletas!H273="Daoshu Adulto",39,IF(Atletas!H273="Jianshu Adulto",40,IF(Atletas!H273="Nandao Adulto",41,IF(Atletas!H273="Taijijian Adulto",42,""))))))))))))))))))))))))))</f>
        <v/>
      </c>
      <c r="BA277" s="46" t="str">
        <f>IF(Atletas!I273="","",IF(Atletas!B273="Feminino",100,IF(Atletas!B273="Masculino",200,""))+(IF(Atletas!I273="Gunshu Mirim",43,IF(Atletas!I273="Qiangshu Mirim",44,IF(Atletas!I273="Nangun Mirim",45,IF(Atletas!I273="Gunshu Grupo C",46,IF(Atletas!I273="Qiangshu Grupo C",47,IF(Atletas!I273="Nangun Grupo C",48,IF(Atletas!I273="Gunshu Grupo B",49,IF(Atletas!I273="Qiangshu Grupo B",50,IF(Atletas!I273="Nangun Grupo B",51,IF(Atletas!I273="Gunshu Grupo A",52,IF(Atletas!I273="Qiangshu Grupo A",53,IF(Atletas!I273="Nangun Grupo A",54,IF(Atletas!I273="Gunshu Opcional",55,IF(Atletas!I273="Qiangshu Opcional",56,IF(Atletas!I273="Nangun Opcional",57,IF(Atletas!I273="Gunshu Adulto",58,IF(Atletas!I273="Qiangshu Adulto",59,IF(Atletas!I273="Nangun Adulto",60,""))))))))))))))))))))</f>
        <v/>
      </c>
      <c r="BF277" s="52" t="str">
        <f>IF(Atletas!J273="","",IF(Atletas!B273="Feminino",100,IF(Atletas!B273="Masculino",200,""))+(IF(Atletas!J273="Equipe 1 Grupo B",1,IF(Atletas!J273="Equipe 2 Grupo B",2,IF(Atletas!J273="Equipe 1 Grupo A",3,IF(Atletas!J273="Equipe 2 Grupo A",4,IF(Atletas!J273="Equipe 1 Adulto",5,IF(Atletas!J273="Equipe 2 Adulto",6,""))))))))</f>
        <v/>
      </c>
      <c r="BK277" s="52" t="str">
        <f>IF(Atletas!K273="","",IF(Atletas!W273&lt;&gt;"",10000,0)+(IF(Atletas!B273="Feminino",1000,IF(Atletas!B273="Masculino",2000,""))+IF(Atletas!K273="Choylayfut A",1,IF(Atletas!K273="Hunggar A",2,IF(Atletas!K273="Wuzuquan A",3,IF(Atletas!K273="Wingchun A",4,IF(Atletas!K273="Outra Mão de Sul A",5,IF(Atletas!K273="Choylayfut B",6,IF(Atletas!K273="Hunggar B",7,IF(Atletas!K273="Wuzuquan B",8,IF(Atletas!K273="Wingchun B",9,IF(Atletas!K273="Outra Mão de Sul B",10,IF(Atletas!K273="Choylayfut C",11,IF(Atletas!K273="Hunggar C",12,IF(Atletas!K273="Wuzuquan C",13,IF(Atletas!K273="Wingchun C",14,IF(Atletas!K273="Outra Mão de Sul C",15,IF(Atletas!K273="Choylayfut D",16,IF(Atletas!K273="Hunggar D",17,IF(Atletas!K273="Wuzuquan D",18,IF(Atletas!K273="Wingchun D",19,IF(Atletas!K273="Outra Mão de Sul D",20,IF(Atletas!K273="Choylayfut E",21,IF(Atletas!K273="Hunggar E",22,IF(Atletas!K273="Wuzuquan E",23,IF(Atletas!K273="Wingchun E",24,IF(Atletas!K273="Outra Mão de Sul E",25,IF(Atletas!K273="Choylayfut F",26,IF(Atletas!K273="Hunggar F",27,IF(Atletas!K273="Wuzuquan F",28,IF(Atletas!K273="Wingchun F",29,IF(Atletas!K273="Outra Mão de Sul F",30,""))))))))))))))))))))))))))))))))</f>
        <v/>
      </c>
      <c r="BL277" s="52" t="str">
        <f>IF(Atletas!L273="","",IF(Atletas!W273&lt;&gt;"",10000,0)+(IF(Atletas!B273="Feminino",1000,IF(Atletas!B273="Masculino",2000,""))+(IF(Atletas!L273="Chaquan A",101,IF(Atletas!L273="Emeiquan A",102,IF(Atletas!L273="Fanziquan A",103,IF(Atletas!L273="Huaquan A",104,IF(Atletas!L273="Hongquan A",105,IF(Atletas!L273="Paochui A",106,IF(Atletas!L273="Piguaquan A",107,IF(Atletas!L273="Shaolinquan A",108,IF(Atletas!L273="Tanglangquan A",109,IF(Atletas!L273="Yinzhaophai A",110,IF(Atletas!L273="Tongbeiquan A",111,IF(Atletas!L273="Wudangquan A",112,IF(Atletas!L273="Outros Estilos A",113,IF(Atletas!L273="Chaquan B",114,IF(Atletas!L273="Emeiquan B",115,IF(Atletas!L273="Fanziquan B",116,IF(Atletas!L273="Huaquan B",117,IF(Atletas!L273="Hongquan B",118,IF(Atletas!L273="Paochui B",119,IF(Atletas!L273="Piguaquan B",120,IF(Atletas!L273="Shaolinquan B",121,IF(Atletas!L273="Tanglangquan B",122,IF(Atletas!L273="Yinzhaophai B",123,IF(Atletas!L273="Tongbeiquan B",124,IF(Atletas!L273="Wudangquan B",125,IF(Atletas!L273="Outros Estilos B",126,IF(Atletas!L273="Chaquan C",127,IF(Atletas!L273="Emeiquan C",128,IF(Atletas!L273="Fanziquan C",129,IF(Atletas!L273="Huaquan C",130,IF(Atletas!L273="Hongquan C",131,IF(Atletas!L273="Paochui C",132,IF(Atletas!L273="Piguaquan C",133,IF(Atletas!L273="Shaolinquan C",134,IF(Atletas!L273="Tanglangquan C",135,IF(Atletas!L273="Yinzhaophai C",136,IF(Atletas!L273="Tongbeiquan C",137,IF(Atletas!L273="Wudangquan C",138,IF(Atletas!L273="Outros Estilos C",139,0))))))))))))))))))))))))))))))))))))))))))</f>
        <v/>
      </c>
      <c r="BM277" s="52" t="str">
        <f>IF(Atletas!L273="","",IF(Atletas!W273&lt;&gt;"",10000,0)+(IF(Atletas!B273="Feminino",1000,IF(Atletas!B273="Masculino",2000,""))+(IF(Atletas!L273="Chaquan D",140,IF(Atletas!L273="Emeiquan D",141,IF(Atletas!L273="Fanziquan D",142,IF(Atletas!L273="Huaquan D",143,IF(Atletas!L273="Hongquan D",144,IF(Atletas!L273="Paochui D",145,IF(Atletas!L273="Piguaquan D",146,IF(Atletas!L273="Shaolinquan D",147,IF(Atletas!L273="Tanglangquan D",148,IF(Atletas!L273="Yinzhaophai D",149,IF(Atletas!L273="Tongbeiquan D",150,IF(Atletas!L273="Wudangquan D",151,IF(Atletas!L273="Outros Estilos D",152,IF(Atletas!L273="Chaquan E",153,IF(Atletas!L273="Emeiquan E",154,IF(Atletas!L273="Fanziquan E",155,IF(Atletas!L273="Huaquan E",156,IF(Atletas!L273="Hongquan E",157,IF(Atletas!L273="Paochui E",158,IF(Atletas!L273="Piguaquan E",159,IF(Atletas!L273="Shaolinquan E",160,IF(Atletas!L273="Tanglangquan E",161,IF(Atletas!L273="Yinzhaophai E",162,IF(Atletas!L273="Tongbeiquan E",163,IF(Atletas!L273="Wudangquan E",164,IF(Atletas!L273="Outros Estilos E",165,IF(Atletas!L273="Chaquan F",166,IF(Atletas!L273="Emeiquan F",167,IF(Atletas!L273="Fanziquan F",168,IF(Atletas!L273="Huaquan F",169,IF(Atletas!L273="Hongquan F",170,IF(Atletas!L273="Paochui F",171,IF(Atletas!L273="Piguaquan F",172,IF(Atletas!L273="Shaolinquan F",173,IF(Atletas!L273="Tanglangquan F",174,IF(Atletas!L273="Yinzhaophai F",175,IF(Atletas!L273="Tongbeiquan F",176,IF(Atletas!L273="Wudangquan F",177,IF(Atletas!L273="Outros Estilos F",178,0))))))))))))))))))))))))))))))))))))))))))</f>
        <v/>
      </c>
      <c r="BN277" s="52" t="str">
        <f>IF(Atletas!M273="","",IF(Atletas!W273&lt;&gt;"",10000,0)+(IF(Atletas!B273="Feminino",1000,IF(Atletas!B273="Masculino",2000,""))+(IF(Atletas!M273="Ditangquan A",201,IF(Atletas!M273="Houquan A",202,IF(Atletas!M273="Zuiquan A",203,IF(Atletas!M273="Ditangquan B",204,IF(Atletas!M273="Houquan B",205,IF(Atletas!M273="Zuiquan B",206,IF(Atletas!M273="Ditangquan C",207,IF(Atletas!M273="Houquan C",208,IF(Atletas!M273="Zuiquan C",209,IF(Atletas!M273="Ditangquan D",210,IF(Atletas!M273="Houquan D",211,IF(Atletas!M273="Zuiquan D",212,IF(Atletas!M273="Ditangquan E",213,IF(Atletas!M273="Houquan E",214,IF(Atletas!M273="Zuiquan E",215,IF(Atletas!M273="Ditangquan F",216,IF(Atletas!M273="Houquan F",217,IF(Atletas!M273="Zuiquan F",218,"")))))))))))))))))))))</f>
        <v/>
      </c>
      <c r="BO277" s="52" t="str">
        <f>IF(Atletas!N273="","",IF(Atletas!W273&lt;&gt;"",10000,0)+IF(Atletas!B273="Feminino",1000,IF(Atletas!B273="Masculino",2000,""))+IF(Atletas!N273="Yang A",301,IF(Atletas!N273="Chen A",30,IF(Atletas!N273="Sun A",303,IF(Atletas!N273="Wu A",304,IF(Atletas!N273="Wu-Hao A",305,IF(Atletas!N273="Outro Taijiquan A",306,IF(Atletas!N273="Yang B",307,IF(Atletas!N273="Chen B",308,IF(Atletas!N273="Sun B",309,IF(Atletas!N273="Wu B",310,IF(Atletas!N273="Wu-Hao B",311,IF(Atletas!N273="Outro Taijiquan B",312,IF(Atletas!N273="Yang C",313,IF(Atletas!N273="Chen C",314,IF(Atletas!N273="Sun C",315,IF(Atletas!N273="Wu C",316,IF(Atletas!N273="Wu-Hao C",317,IF(Atletas!N273="Outro Taijiquan C",318,IF(Atletas!N273="Yang D",319,IF(Atletas!N273="Chen D",320,IF(Atletas!N273="Sun D",321,IF(Atletas!N273="Wu D",322,IF(Atletas!N273="Wu-Hao D",323,IF(Atletas!N273="Outro Taijiquan D",324,IF(Atletas!N273="Yang E",325,IF(Atletas!N273="Chen E",326,IF(Atletas!N273="Sun E",327,IF(Atletas!N273="Wu E",328,IF(Atletas!N273="Wu-Hao E",329,IF(Atletas!N273="Outro Taijiquan E",330,IF(Atletas!N273="Yang F",331,IF(Atletas!N273="Chen F",332,IF(Atletas!N273="Sun F",333,IF(Atletas!N273="Wu F",334,IF(Atletas!N273="Wu-Hao F",335,IF(Atletas!N273="Outro Taijiquan F",336,"")))))))))))))))))))))))))))))))))))))</f>
        <v/>
      </c>
      <c r="BP277" s="52" t="str">
        <f>IF(Atletas!O273="","",IF(Atletas!W273&lt;&gt;"",10000,0)+IF(Atletas!B273="Feminino",1000,IF(Atletas!B273="Masculino",2000,""))+IF(OR(Atletas!O273="Yang 26 A",Atletas!O273="Yang 40 A"),401,IF(OR(Atletas!O273="Chen 25 A",Atletas!O273="Chen 36 A",Atletas!O273="Chen 56 A"),402,IF(Atletas!O273="Sun 73 A",403,IF(Atletas!O273="Wu 45 A",404,IF(Atletas!O273="Wu-Hao 46 A",405,IF(OR(Atletas!O273="Taijiquan 16 A",Atletas!O273="Taijiquan 24 A",Atletas!O273="Taijiquan 32 A",Atletas!O273="Taijiquan 42 A"),406,IF(OR(Atletas!O273="Yang 26 B",Atletas!O273="Yang 40 B"),407,IF(OR(Atletas!O273="Chen 25 B",Atletas!O273="Chen 36 B",Atletas!O273="Chen 56 B"),408,IF(Atletas!O273="Sun 73 B",409,IF(Atletas!O273="Wu 45 B",410,IF(Atletas!O273="Wu-Hao 46 B",411,IF(OR(Atletas!O273="Taijiquan 16 B",Atletas!O273="Taijiquan 24 B",Atletas!O273="Taijiquan 32 B",Atletas!O273="Taijiquan 42 B"),412,IF(OR(Atletas!O273="Yang 26 C",Atletas!O273="Yang 40 C"),413,IF(OR(Atletas!O273="Chen 25 C",Atletas!O273="Chen 36 C",Atletas!O273="Chen 56 C"),414,IF(Atletas!O273="Sun 73 C",415,IF(Atletas!O273="Wu 45 C",416,IF(Atletas!O273="Wu-Hao 46 C",417,IF(OR(Atletas!O273="Taijiquan 16 C",Atletas!O273="Taijiquan 24 C",Atletas!O273="Taijiquan 32 C",Atletas!O273="Taijiquan 42 C"),418,0)))))))))))))))))))</f>
        <v/>
      </c>
      <c r="BQ277" s="52" t="str">
        <f>IF(Atletas!O273="","",IF(Atletas!W273&lt;&gt;"",10000,0)+IF(Atletas!B273="Feminino",1000,IF(Atletas!B273="Masculino",2000,""))+IF(OR(Atletas!O273="Yang 26 D",Atletas!O273="Yang 40 D"),419,IF(OR(Atletas!O273="Chen 25 D",Atletas!O273="Chen 36 D",Atletas!O273="Chen 56 D"),420,IF(Atletas!O273="Sun 73 D",421,IF(Atletas!O273="Wu 45 D",422,IF(Atletas!O273="Wu-Hao 46 D",423,IF(OR(Atletas!O273="Taijiquan 16 D",Atletas!O273="Taijiquan 24 D",Atletas!O273="Taijiquan 32 D",Atletas!O273="Taijiquan 42 D"),424,IF(OR(Atletas!O273="Yang 26 E",Atletas!O273="Yang 40 E"),425,IF(OR(Atletas!O273="Chen 25 E",Atletas!O273="Chen 36 E",Atletas!O273="Chen 56 E"),426,IF(Atletas!O273="Sun 73 E",427,IF(Atletas!O273="Wu 45 E",428,IF(Atletas!O273="Wu-Hao 46 E",429,IF(OR(Atletas!O273="Taijiquan 16 E",Atletas!O273="Taijiquan 24 E",Atletas!O273="Taijiquan 32 E",Atletas!O273="Taijiquan 42 E"),430,IF(OR(Atletas!O273="Yang 26 F",Atletas!O273="Yang 40 F"),431,IF(OR(Atletas!O273="Chen 25 F",Atletas!O273="Chen 36 F",Atletas!O273="Chen 56 F"),432,IF(Atletas!O273="Sun 73 F",433,IF(Atletas!O273="Wu 45 F",434,IF(Atletas!O273="Wu-Hao 46 F",435,IF(OR(Atletas!O273="Taijiquan 16 F",Atletas!O273="Taijiquan 24 F",Atletas!O273="Taijiquan 32 F",Atletas!O273="Taijiquan 42 F"),436,0)))))))))))))))))))</f>
        <v/>
      </c>
      <c r="BR277" s="52" t="str">
        <f>IF(Atletas!P273="","",IF(Atletas!W273&lt;&gt;"",10000,0)+IF(Atletas!B273="Feminino",1000,IF(Atletas!B273="Masculino",2000,""))+IF(Atletas!P273="Xingyiquan A",501,IF(Atletas!P273="Baguazhang A",502,IF(Atletas!P273="Outro Estilo Interno A",503,IF(Atletas!P273="Xingyiquan B",504,IF(Atletas!P273="Baguazhang B",505,IF(Atletas!P273="Outro Estilo Interno B",506,IF(Atletas!P273="Xingyiquan C",507,IF(Atletas!P273="Baguazhang C",508,IF(Atletas!P273="Outro Estilo Interno C",509,IF(Atletas!P273="Xingyiquan D",510,IF(Atletas!P273="Baguazhang D",511,IF(Atletas!P273="Outro Estilo Interno D",512,IF(Atletas!P273="Xingyiquan E",513,IF(Atletas!P273="Baguazhang E",514,IF(Atletas!P273="Outro Estilo Interno E",515,IF(Atletas!P273="Xingyiquan F",516,IF(Atletas!P273="Baguazhang F",517,IF(Atletas!P273="Outro Estilo Interno F",518, "")))))))))))))))))))</f>
        <v/>
      </c>
      <c r="BS277" s="52" t="str">
        <f>IF(Atletas!Q273="","",IF(Atletas!W273&lt;&gt;"",10000,0)+IF(Atletas!B273="Feminino",1000,IF(Atletas!B273="Masculino",2000,""))+IF(Atletas!Q273="Dao A",601,IF(Atletas!Q273="Jian A",602,IF(Atletas!Q273="Bishou A",603,IF(Atletas!Q273="Shan A",604,IF(Atletas!Q273="Outra Arma Curta A",605,IF(Atletas!Q273="Dao B",606,IF(Atletas!Q273="Jian B",607,IF(Atletas!Q273="Bishou B",608,IF(Atletas!Q273="Shan B",609,IF(Atletas!Q273="Outra Arma Curta B",610,IF(Atletas!Q273="Dao C",611,IF(Atletas!Q273="Jian C",612,IF(Atletas!Q273="Bishou C",613,IF(Atletas!Q273="Shan C",614,IF(Atletas!Q273="Outra Arma Curta C",615,IF(Atletas!Q273="Dao D",616,IF(Atletas!Q273="Jian D",617,IF(Atletas!Q273="Bishou D",618,IF(Atletas!Q273="Shan D",619,IF(Atletas!Q273="Outra Arma Curta D",620,IF(Atletas!Q273="Dao E",621,IF(Atletas!Q273="Jian E",622,IF(Atletas!Q273="Bishou E",623,IF(Atletas!Q273="Shan E",624,IF(Atletas!Q273="Outra Arma Curta E",625,IF(Atletas!Q273="Dao F",626,IF(Atletas!Q273="Jian F",627,IF(Atletas!Q273="Bishou F",628,IF(Atletas!Q273="Shan F",629,IF(Atletas!Q273="Outra Arma Curta F",630, "")))))))))))))))))))))))))))))))</f>
        <v/>
      </c>
      <c r="BT277" s="52" t="str">
        <f>IF(Atletas!R273="","",IF(Atletas!W273&lt;&gt;"",10000,0)+IF(Atletas!B273="Feminino",1000,IF(Atletas!B273="Masculino",2000,""))+IF(Atletas!R273="Gun A",701,IF(Atletas!R273="Qiang A",702,IF(Atletas!R273="Pudao / Guandao A",703,IF(Atletas!R273="Outra Arma Longa A",704,IF(Atletas!R273="Gun B",705,IF(Atletas!R273="Qiang B",706,IF(Atletas!R273="Pudao / Guandao B",707,IF(Atletas!R273="Outra Arma Longa B",708,IF(Atletas!R273="Gun C",709,IF(Atletas!R273="Qiang C",710,IF(Atletas!R273="Pudao / Guandao C",711,IF(Atletas!R273="Outra Arma Longa C",712,IF(Atletas!R273="Gun D",713,IF(Atletas!R273="Qiang D",714,IF(Atletas!R273="Pudao / Guandao D",715,IF(Atletas!R273="Outra Arma Longa D",716,IF(Atletas!R273="Gun E",717,IF(Atletas!R273="Qiang E",718,IF(Atletas!R273="Pudao / Guandao E",719,IF(Atletas!R273="Outra Arma Longa E",720,IF(Atletas!R273="Gun F",721,IF(Atletas!R273="Qiang F",722,IF(Atletas!R273="Pudao / Guandao F",723,IF(Atletas!R273="Outra Arma Longa F",724,"")))))))))))))))))))))))))</f>
        <v/>
      </c>
      <c r="BU277" s="52" t="str">
        <f>IF(Atletas!S273="","",IF(Atletas!W273&lt;&gt;"",10000,0)+IF(Atletas!B273="Feminino",1000,IF(Atletas!B273="Masculino",2000,""))+IF(Atletas!S273="Arma Dupla A",801,IF(Atletas!S273="Arma Maleável A",802,IF(Atletas!S273="Arma Dupla B",803,IF(Atletas!S273="Arma Maleável B",804,IF(Atletas!S273="Arma Dupla C",805,IF(Atletas!S273="Arma Maleável C",806,IF(Atletas!S273="Arma Dupla D",807,IF(Atletas!S273="Arma Maleável D",808,IF(Atletas!S273="Arma Dupla E",809,IF(Atletas!S273="Arma Maleável E",810,IF(Atletas!S273="Arma Dupla F",811,IF(Atletas!S273="Arma Maleável F",812, "")))))))))))))</f>
        <v/>
      </c>
      <c r="BV277" s="52" t="str">
        <f>IF(Atletas!T273="","",IF(Atletas!W273&lt;&gt;"",10000,0)+IF(Atletas!B273="Feminino",1000,IF(Atletas!B273="Masculino",2000,""))+IF(Atletas!T273="Taijijian Yang A",901,IF(Atletas!T273="Taijijian Chen A",902,IF(Atletas!T273="Taijijian Sun A",903,IF(Atletas!T273="Taijijian Wu A",904,IF(Atletas!T273="Taijijian Wu-Hao A",905,IF(Atletas!T273="Taijijian 32 A",906,IF(Atletas!T273="Taijijian 42 A",907,IF(Atletas!T273="Taijijian Yang B",908,IF(Atletas!T273="Taijijian Chen B",909,IF(Atletas!T273="Taijijian Sun B",910,IF(Atletas!T273="Taijijian Wu B",911,IF(Atletas!T273="Taijijian Wu-Hao B",912,IF(Atletas!T273="Taijijian 32 B",913,IF(Atletas!T273="Taijijian 42 B",914,IF(Atletas!T273="Taijijian Yang C",915,IF(Atletas!T273="Taijijian Chen C",916,IF(Atletas!T273="Taijijian Sun C",917,IF(Atletas!T273="Taijijian Wu C",918,IF(Atletas!T273="Taijijian Wu-Hao C",919,IF(Atletas!T273="Taijijian 32 C",920,IF(Atletas!T273="Taijijian 42 C",921,IF(Atletas!T273="Taijijian Yang D",922,IF(Atletas!T273="Taijijian Chen D",923,IF(Atletas!T273="Taijijian Sun D",924,IF(Atletas!T273="Taijijian Wu D",925,IF(Atletas!T273="Taijijian Wu-Hao D",926,IF(Atletas!T273="Taijijian 32 D",927,IF(Atletas!T273="Taijijian 42 D",928,IF(Atletas!T273="Taijijian Yang E",929,IF(Atletas!T273="Taijijian Chen E",930,IF(Atletas!T273="Taijijian Sun E",931,IF(Atletas!T273="Taijijian Wu E",932,IF(Atletas!T273="Taijijian Wu-Hao E",933,IF(Atletas!T273="Taijijian 32 E",934,IF(Atletas!T273="Taijijian 42 E",935,IF(Atletas!T273="Taijijian Yang F",936,IF(Atletas!T273="Taijijian Chen F",937,IF(Atletas!T273="Taijijian Sun F",938,IF(Atletas!T273="Taijijian Wu F",939,IF(Atletas!T273="Taijijian Wu-Hao F",940,IF(Atletas!T273="Taijijian 32 F",941,IF(Atletas!T273="Taijijian 42 F",942,"")))))))))))))))))))))))))))))))))))))))))))</f>
        <v/>
      </c>
      <c r="BW277" s="52" t="str">
        <f>IF(Atletas!U273="","",IF(Atletas!W273&lt;&gt;"",10000,0)+IF(Atletas!B273="Feminino",1000,IF(Atletas!B273="Masculino",2000,""))+IF(Atletas!T273="Taijijian 42 F",942,IF(Atletas!U273="Taijidao A",943,IF(Atletas!U273="Taijishan A",944,IF(Atletas!U273="Taijiqiang A",945,IF(Atletas!U273="Taijidao B",946,IF(Atletas!U273="Taijishan B",947,IF(Atletas!U273="Taijiqiang B",948,IF(Atletas!U273="Taijidao C",949,IF(Atletas!U273="Taijishan C",950,IF(Atletas!U273="Taijiqiang C",951,IF(Atletas!U273="Taijidao D",952,IF(Atletas!U273="Taijishan D",953,IF(Atletas!U273="Taijiqiang D",954,IF(Atletas!U273="Taijidao E",955,IF(Atletas!U273="Taijishan E",956,IF(Atletas!U273="Taijiqiang E",957,IF(Atletas!U273="Taijidao F",958,IF(Atletas!U273="Taijishan F",959,IF(Atletas!U273="Taijiqiang F",960))))))))))))))))))))</f>
        <v/>
      </c>
      <c r="BX277" s="72" t="str">
        <f>IF(BY277&lt;&gt;"","Arma Dupla A","")</f>
        <v/>
      </c>
      <c r="BY277" s="72" t="str">
        <f>IF(COUNTIF(BK:BW,1801)&gt;0,COUNTIF(BK:BW,1801),"")</f>
        <v/>
      </c>
      <c r="BZ277" s="72" t="str">
        <f>IF(CA277&lt;&gt;"","Arma Dupla A","")</f>
        <v/>
      </c>
      <c r="CA277" s="72" t="str">
        <f>IF(COUNTIF(BK:BW,2801)&gt;0,COUNTIF(BK:BW,2801),"")</f>
        <v/>
      </c>
      <c r="CB277" s="72" t="str">
        <f>IF(CC277&lt;&gt;"","Xingyiquan E","")</f>
        <v/>
      </c>
      <c r="CC277" s="64" t="str">
        <f>IF(COUNTIF(BK:BW,11513)&gt;0,COUNTIF(BK:BW,11513),"")</f>
        <v/>
      </c>
      <c r="CD277" s="64" t="str">
        <f>IF(CE277&lt;&gt;"","Xingyiquan E","")</f>
        <v/>
      </c>
      <c r="CE277" s="64" t="str">
        <f>IF(COUNTIF(BK:BW,12513)&gt;0,COUNTIF(BK:BW,12513),"")</f>
        <v/>
      </c>
      <c r="CF277" s="52" t="str">
        <f xml:space="preserve"> IF(Atletas!V273="","",IF(Atletas!V273="Duilian de Mãos AB - Equipe 1",1,IF(Atletas!V273="Duilian de Mãos AB - Equipe 2",2,IF(Atletas!V273="Duilian de Armas AB - Equipe 1",3,IF(Atletas!V273="Duilian de Armas AB - Equipe 2",4,IF(Atletas!V273="Duilian de Tuishou - Equipe 1",5,IF(Atletas!V273="Duilian de Tuishou - Equipe 2",6,IF(Atletas!V273="Grupo Externo AB - Equipe 1",7,IF(Atletas!V273="Grupo Externo AB - Equipe 2",8,IF(Atletas!V273="Grupo Interno AB - Equipe 1",9,IF(Atletas!V273="Grupo Interno AB - Equipe 2",10,IF(Atletas!V273="Duilian de Mãos CD - Equipe 1",11,IF(Atletas!V273="Duilian de Mãos CD - Equipe 2",12,IF(Atletas!V273="Duilian de Armas CD - Equipe 1",13,IF(Atletas!V273="Duilian de Armas CD - Equipe 2",14,IF(Atletas!V273="Duilian de Tuishou - Equipe 1",15,IF(Atletas!V273="Duilian de Tuishou - Equipe 2",16,IF(Atletas!V273="Grupo Externo CDEF - Equipe 1",17,IF(Atletas!V273="Grupo Externo CDEF - Equipe 2",18,IF(Atletas!V273="Grupo Interno CDEF - Equipe 1",19,IF(Atletas!V273="Grupo Interno CDEF - Equipe 2",20,IF(Atletas!V273="Duilian de Mãos EF - Equipe 1",21,IF(Atletas!V273="Duilian de Mãos EF - Equipe 2",22,IF(Atletas!V273="Duilian de Armas EF - Equipe 1",23,IF(Atletas!V273="Duilian de Armas EF - Equipe 2",24,IF(Atletas!V273="Duilian de Tuishou - Equipe 1",25,IF(Atletas!V273="Duilian de Tuishou - Equipe 2",26,"")))))))))))))))))))))))))))</f>
        <v/>
      </c>
    </row>
    <row r="278" spans="2:84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 t="str">
        <f t="array" ref="V278">IFERROR(INDEX(BX$7:BX$336,SMALL(IF(BX$7:BX$336&lt;&gt;"",ROW(BX$7:BX$336)-ROW(BX$7)+1),ROWS(BX$7:BX235))),"")</f>
        <v/>
      </c>
      <c r="W278" s="4" t="str">
        <f t="array" ref="W278">IFERROR(INDEX(BY$7:BY$336,SMALL(IF(BY$7:BY$336&lt;&gt;"",ROW(BY$7:BY$336)-ROW(BY$7)+1),ROWS(BY$7:BY235))),"")</f>
        <v/>
      </c>
      <c r="X278" s="4" t="str">
        <f t="array" ref="X278">IFERROR(INDEX(BZ$7:BZ$336,SMALL(IF(BZ$7:BZ$336&lt;&gt;"",ROW(BZ$7:BZ$336)-ROW(BZ$7)+1),ROWS(BZ$7:BZ235))),"")</f>
        <v/>
      </c>
      <c r="Y278" s="4" t="str">
        <f t="array" ref="Y278">IFERROR(INDEX(CA$7:CA$336,SMALL(IF(CA$7:CA$336&lt;&gt;"",ROW(CA$7:CA$336)-ROW(CA$7)+1),ROWS(CA$7:CA235))),"")</f>
        <v/>
      </c>
      <c r="Z278" s="4" t="str">
        <f t="array" ref="Z278">IFERROR(INDEX(CB$7:CB$378,SMALL(IF(CB$7:CB$378&lt;&gt;"",ROW(CB$7:CB$378)-ROW(CB$7)+1),ROWS(CB$7:CB277))),"")</f>
        <v/>
      </c>
      <c r="AA278" s="4" t="str">
        <f t="array" ref="AA278">IFERROR(INDEX(CC$7:CC$378,SMALL(IF(CC$7:CC$378&lt;&gt;"",ROW(CC$7:CC$378)-ROW(CC$7)+1),ROWS(CC$7:CC277))),"")</f>
        <v/>
      </c>
      <c r="AB278" s="4" t="str">
        <f t="array" ref="AB278">IFERROR(INDEX(CD$7:CD$378,SMALL(IF(CD$7:CD$378&lt;&gt;"",ROW(CD$7:CD$378)-ROW(CD$7)+1),ROWS(CD$7:CD277))),"")</f>
        <v/>
      </c>
      <c r="AC278" s="4" t="str">
        <f t="array" ref="AC278">IFERROR(INDEX(CE$7:CE$378,SMALL(IF(CE$7:CE$378&lt;&gt;"",ROW(CE$7:CE$378)-ROW(CE$7)+1),ROWS(CE$7:CE277))),"")</f>
        <v/>
      </c>
      <c r="AD278" s="4"/>
      <c r="AE278" s="4"/>
      <c r="AF278" s="4"/>
      <c r="AG278" s="4"/>
      <c r="AH278" s="4"/>
      <c r="AI278" s="4"/>
      <c r="AJ278" s="46" t="str">
        <f>IF(Atletas!D274="","",IF(Atletas!B274="Feminino",100,IF(Atletas!B274="Masculino",200,""))+(IF(Atletas!D274="Infantil 39kg",1,IF(Atletas!D274="Infantil 42kg",2,IF(Atletas!D274="Infantil 45kg",3,IF(Atletas!D274="Infantil 48kg",4,IF(Atletas!D274="Infantil 52kg",5,IF(Atletas!D274="Infantil 56kg",6,IF(Atletas!D274="Infantil 60kg",7,IF(Atletas!D274="Juvenil 48kg",8,IF(Atletas!D274="Juvenil 52kg",9,IF(Atletas!D274="Juvenil 56kg",10,IF(Atletas!D274="Juvenil 60kg",11,IF(Atletas!D274="Juvenil 65kg",12,IF(Atletas!D274="Juvenil 70kg",13,IF(Atletas!D274="Juvenil 75kg",14,IF(Atletas!D274="Juvenil 80kg",15,IF(Atletas!D274="Adulto 48kg",16,IF(Atletas!D274="Adulto 52kg",17,IF(Atletas!D274="Adulto 56kg",18,IF(Atletas!D274="Adulto 60kg",19,IF(Atletas!D274="Adulto 65kg",20,IF(Atletas!D274="Adulto 70kg",21,IF(Atletas!D274="Adulto 75kg",22,IF(Atletas!D274="Adulto 80kg",23,IF(Atletas!D274="Adulto 85kg",24,IF(Atletas!D274="Adulto 90kg",25,IF(Atletas!D274="Adulto +90kg",26,""))))))))))))))))))))))))))))</f>
        <v/>
      </c>
      <c r="AO278" s="10" t="str">
        <f>IF(Atletas!E274="","",IF(Atletas!B274="Feminino",100,IF(Atletas!B274="Masculino",200,""))+(IF(Atletas!E274="Juvenil 44kg",1,IF(Atletas!E274="Juvenil 48kg",2,IF(Atletas!E274="Juvenil 52kg",3,IF(Atletas!E274="Juvenil 56kg",4,IF(Atletas!E274="Juvenil 60kg",5,IF(Atletas!E274="Juvenil 65kg",6,IF(Atletas!E274="Juvenil 70kg",7,IF(Atletas!E274="Juvenil 75kg",8,IF(Atletas!E274="Juvenil 82kg",9,IF(Atletas!E274="Juvenil 90kg",10,IF(Atletas!E274="Juvenil 100kg",11,IF(Atletas!E274="Adulto 48kg",12,IF(Atletas!E274="Adulto 52kg",13,IF(Atletas!E274="Adulto 56kg",14,IF(Atletas!E274="Adulto 60kg",15,IF(Atletas!E274="Adulto 65kg",16,IF(Atletas!E274="Adulto 70kg",17,IF(Atletas!E274="Adulto 75kg",18,IF(Atletas!E274="Adulto 82kg",19,IF(Atletas!E274="Adulto 90kg",20,IF(Atletas!E274="Adulto 100kg",21,IF(Atletas!E274="Adulto +100kg",22,""))))))))))))))))))))))))</f>
        <v/>
      </c>
      <c r="AT278" s="10" t="str">
        <f>IF(Atletas!F274="","",IF(Atletas!B274="Feminino",100,IF(Atletas!B274="Masculino",200,""))+(IF(Atletas!F274="Adulto 48kg",1,IF(Atletas!F274="Adulto 56kg",2,IF(Atletas!F274="Adulto 65kg",3,IF(Atletas!F274="Adulto 75kg",4,IF(Atletas!F274="Adulto +75kg",5,IF(Atletas!F274="Adulto 52kg",6,IF(Atletas!F274="Adulto 60kg",7,IF(Atletas!F274="Adulto 70kg",8,IF(Atletas!F274="Adulto 80kg",9,IF(Atletas!F274="Adulto 90kg",10,IF(Atletas!F274="Adulto +90kg",11,"")))))))))))))</f>
        <v/>
      </c>
      <c r="AY278" s="46" t="str">
        <f>IF(Atletas!G274="","",IF(Atletas!B274="Feminino",100,IF(Atletas!B274="Masculino",200,""))+(IF(Atletas!G274="Changquan Mirim",1,IF(Atletas!G274="Nanquan Mirim",2,IF(Atletas!G274="Taijiquan Mirim",3,IF(Atletas!G274="Changquan Grupo C",4,IF(Atletas!G274="Nanquan Grupo C",5,IF(Atletas!G274="Taijiquan Grupo C",6,IF(Atletas!G274="Changquan Grupo B",7,IF(Atletas!G274="Nanquan Grupo B",8,IF(Atletas!G274="Taijiquan Grupo B",9,IF(Atletas!G274="Changquan Grupo A",10,IF(Atletas!G274="Nanquan Grupo A",11,IF(Atletas!G274="Taijiquan Grupo A",12,IF(Atletas!G274="Changquan Opcional",13,IF(Atletas!G274="Nanquan Opcional",14,IF(Atletas!G274="Taijiquan Opcional",15,IF(Atletas!G274="Changquan Adulto",16,IF(Atletas!G274="Nanquan Adulto",17,IF(Atletas!G274="Taijiquan Adulto",18,""))))))))))))))))))))</f>
        <v/>
      </c>
      <c r="AZ278" s="46" t="str">
        <f>IF(Atletas!H274="","",IF(Atletas!B274="Feminino",100,IF(Atletas!B274="Masculino",200,""))+(IF(Atletas!H274="Daoshu Mirim",19,IF(Atletas!H274="Jianshu Mirim",20,IF(Atletas!H274="Nandao Mirim",21,IF(Atletas!H274="Taijijian Mirim",22,IF(Atletas!H274="Daoshu Grupo C",23,IF(Atletas!H274="Jianshu Grupo C",24,IF(Atletas!H274="Nandao Grupo C",25,IF(Atletas!H274="Taijijian Grupo C",26,IF(Atletas!H274="Daoshu Grupo B",27,IF(Atletas!H274="Jianshu Grupo B",28,IF(Atletas!H274="Nandao Grupo B",29,IF(Atletas!H274="Taijijian Grupo B",30,IF(Atletas!H274="Daoshu Grupo A",31,IF(Atletas!H274="Jianshu Grupo A",32,IF(Atletas!H274="Nandao Grupo A",33,IF(Atletas!H274="Taijijian Grupo A",34,IF(Atletas!H274="Daoshu Opcional",35,IF(Atletas!H274="Jianshu Opcional",36,IF(Atletas!H274="Nandao Opcional",37,IF(Atletas!H274="Taijijian Opcional",38,IF(Atletas!H274="Daoshu Adulto",39,IF(Atletas!H274="Jianshu Adulto",40,IF(Atletas!H274="Nandao Adulto",41,IF(Atletas!H274="Taijijian Adulto",42,""))))))))))))))))))))))))))</f>
        <v/>
      </c>
      <c r="BA278" s="46" t="str">
        <f>IF(Atletas!I274="","",IF(Atletas!B274="Feminino",100,IF(Atletas!B274="Masculino",200,""))+(IF(Atletas!I274="Gunshu Mirim",43,IF(Atletas!I274="Qiangshu Mirim",44,IF(Atletas!I274="Nangun Mirim",45,IF(Atletas!I274="Gunshu Grupo C",46,IF(Atletas!I274="Qiangshu Grupo C",47,IF(Atletas!I274="Nangun Grupo C",48,IF(Atletas!I274="Gunshu Grupo B",49,IF(Atletas!I274="Qiangshu Grupo B",50,IF(Atletas!I274="Nangun Grupo B",51,IF(Atletas!I274="Gunshu Grupo A",52,IF(Atletas!I274="Qiangshu Grupo A",53,IF(Atletas!I274="Nangun Grupo A",54,IF(Atletas!I274="Gunshu Opcional",55,IF(Atletas!I274="Qiangshu Opcional",56,IF(Atletas!I274="Nangun Opcional",57,IF(Atletas!I274="Gunshu Adulto",58,IF(Atletas!I274="Qiangshu Adulto",59,IF(Atletas!I274="Nangun Adulto",60,""))))))))))))))))))))</f>
        <v/>
      </c>
      <c r="BF278" s="52" t="str">
        <f>IF(Atletas!J274="","",IF(Atletas!B274="Feminino",100,IF(Atletas!B274="Masculino",200,""))+(IF(Atletas!J274="Equipe 1 Grupo B",1,IF(Atletas!J274="Equipe 2 Grupo B",2,IF(Atletas!J274="Equipe 1 Grupo A",3,IF(Atletas!J274="Equipe 2 Grupo A",4,IF(Atletas!J274="Equipe 1 Adulto",5,IF(Atletas!J274="Equipe 2 Adulto",6,""))))))))</f>
        <v/>
      </c>
      <c r="BK278" s="52" t="str">
        <f>IF(Atletas!K274="","",IF(Atletas!W274&lt;&gt;"",10000,0)+(IF(Atletas!B274="Feminino",1000,IF(Atletas!B274="Masculino",2000,""))+IF(Atletas!K274="Choylayfut A",1,IF(Atletas!K274="Hunggar A",2,IF(Atletas!K274="Wuzuquan A",3,IF(Atletas!K274="Wingchun A",4,IF(Atletas!K274="Outra Mão de Sul A",5,IF(Atletas!K274="Choylayfut B",6,IF(Atletas!K274="Hunggar B",7,IF(Atletas!K274="Wuzuquan B",8,IF(Atletas!K274="Wingchun B",9,IF(Atletas!K274="Outra Mão de Sul B",10,IF(Atletas!K274="Choylayfut C",11,IF(Atletas!K274="Hunggar C",12,IF(Atletas!K274="Wuzuquan C",13,IF(Atletas!K274="Wingchun C",14,IF(Atletas!K274="Outra Mão de Sul C",15,IF(Atletas!K274="Choylayfut D",16,IF(Atletas!K274="Hunggar D",17,IF(Atletas!K274="Wuzuquan D",18,IF(Atletas!K274="Wingchun D",19,IF(Atletas!K274="Outra Mão de Sul D",20,IF(Atletas!K274="Choylayfut E",21,IF(Atletas!K274="Hunggar E",22,IF(Atletas!K274="Wuzuquan E",23,IF(Atletas!K274="Wingchun E",24,IF(Atletas!K274="Outra Mão de Sul E",25,IF(Atletas!K274="Choylayfut F",26,IF(Atletas!K274="Hunggar F",27,IF(Atletas!K274="Wuzuquan F",28,IF(Atletas!K274="Wingchun F",29,IF(Atletas!K274="Outra Mão de Sul F",30,""))))))))))))))))))))))))))))))))</f>
        <v/>
      </c>
      <c r="BL278" s="52" t="str">
        <f>IF(Atletas!L274="","",IF(Atletas!W274&lt;&gt;"",10000,0)+(IF(Atletas!B274="Feminino",1000,IF(Atletas!B274="Masculino",2000,""))+(IF(Atletas!L274="Chaquan A",101,IF(Atletas!L274="Emeiquan A",102,IF(Atletas!L274="Fanziquan A",103,IF(Atletas!L274="Huaquan A",104,IF(Atletas!L274="Hongquan A",105,IF(Atletas!L274="Paochui A",106,IF(Atletas!L274="Piguaquan A",107,IF(Atletas!L274="Shaolinquan A",108,IF(Atletas!L274="Tanglangquan A",109,IF(Atletas!L274="Yinzhaophai A",110,IF(Atletas!L274="Tongbeiquan A",111,IF(Atletas!L274="Wudangquan A",112,IF(Atletas!L274="Outros Estilos A",113,IF(Atletas!L274="Chaquan B",114,IF(Atletas!L274="Emeiquan B",115,IF(Atletas!L274="Fanziquan B",116,IF(Atletas!L274="Huaquan B",117,IF(Atletas!L274="Hongquan B",118,IF(Atletas!L274="Paochui B",119,IF(Atletas!L274="Piguaquan B",120,IF(Atletas!L274="Shaolinquan B",121,IF(Atletas!L274="Tanglangquan B",122,IF(Atletas!L274="Yinzhaophai B",123,IF(Atletas!L274="Tongbeiquan B",124,IF(Atletas!L274="Wudangquan B",125,IF(Atletas!L274="Outros Estilos B",126,IF(Atletas!L274="Chaquan C",127,IF(Atletas!L274="Emeiquan C",128,IF(Atletas!L274="Fanziquan C",129,IF(Atletas!L274="Huaquan C",130,IF(Atletas!L274="Hongquan C",131,IF(Atletas!L274="Paochui C",132,IF(Atletas!L274="Piguaquan C",133,IF(Atletas!L274="Shaolinquan C",134,IF(Atletas!L274="Tanglangquan C",135,IF(Atletas!L274="Yinzhaophai C",136,IF(Atletas!L274="Tongbeiquan C",137,IF(Atletas!L274="Wudangquan C",138,IF(Atletas!L274="Outros Estilos C",139,0))))))))))))))))))))))))))))))))))))))))))</f>
        <v/>
      </c>
      <c r="BM278" s="52" t="str">
        <f>IF(Atletas!L274="","",IF(Atletas!W274&lt;&gt;"",10000,0)+(IF(Atletas!B274="Feminino",1000,IF(Atletas!B274="Masculino",2000,""))+(IF(Atletas!L274="Chaquan D",140,IF(Atletas!L274="Emeiquan D",141,IF(Atletas!L274="Fanziquan D",142,IF(Atletas!L274="Huaquan D",143,IF(Atletas!L274="Hongquan D",144,IF(Atletas!L274="Paochui D",145,IF(Atletas!L274="Piguaquan D",146,IF(Atletas!L274="Shaolinquan D",147,IF(Atletas!L274="Tanglangquan D",148,IF(Atletas!L274="Yinzhaophai D",149,IF(Atletas!L274="Tongbeiquan D",150,IF(Atletas!L274="Wudangquan D",151,IF(Atletas!L274="Outros Estilos D",152,IF(Atletas!L274="Chaquan E",153,IF(Atletas!L274="Emeiquan E",154,IF(Atletas!L274="Fanziquan E",155,IF(Atletas!L274="Huaquan E",156,IF(Atletas!L274="Hongquan E",157,IF(Atletas!L274="Paochui E",158,IF(Atletas!L274="Piguaquan E",159,IF(Atletas!L274="Shaolinquan E",160,IF(Atletas!L274="Tanglangquan E",161,IF(Atletas!L274="Yinzhaophai E",162,IF(Atletas!L274="Tongbeiquan E",163,IF(Atletas!L274="Wudangquan E",164,IF(Atletas!L274="Outros Estilos E",165,IF(Atletas!L274="Chaquan F",166,IF(Atletas!L274="Emeiquan F",167,IF(Atletas!L274="Fanziquan F",168,IF(Atletas!L274="Huaquan F",169,IF(Atletas!L274="Hongquan F",170,IF(Atletas!L274="Paochui F",171,IF(Atletas!L274="Piguaquan F",172,IF(Atletas!L274="Shaolinquan F",173,IF(Atletas!L274="Tanglangquan F",174,IF(Atletas!L274="Yinzhaophai F",175,IF(Atletas!L274="Tongbeiquan F",176,IF(Atletas!L274="Wudangquan F",177,IF(Atletas!L274="Outros Estilos F",178,0))))))))))))))))))))))))))))))))))))))))))</f>
        <v/>
      </c>
      <c r="BN278" s="52" t="str">
        <f>IF(Atletas!M274="","",IF(Atletas!W274&lt;&gt;"",10000,0)+(IF(Atletas!B274="Feminino",1000,IF(Atletas!B274="Masculino",2000,""))+(IF(Atletas!M274="Ditangquan A",201,IF(Atletas!M274="Houquan A",202,IF(Atletas!M274="Zuiquan A",203,IF(Atletas!M274="Ditangquan B",204,IF(Atletas!M274="Houquan B",205,IF(Atletas!M274="Zuiquan B",206,IF(Atletas!M274="Ditangquan C",207,IF(Atletas!M274="Houquan C",208,IF(Atletas!M274="Zuiquan C",209,IF(Atletas!M274="Ditangquan D",210,IF(Atletas!M274="Houquan D",211,IF(Atletas!M274="Zuiquan D",212,IF(Atletas!M274="Ditangquan E",213,IF(Atletas!M274="Houquan E",214,IF(Atletas!M274="Zuiquan E",215,IF(Atletas!M274="Ditangquan F",216,IF(Atletas!M274="Houquan F",217,IF(Atletas!M274="Zuiquan F",218,"")))))))))))))))))))))</f>
        <v/>
      </c>
      <c r="BO278" s="52" t="str">
        <f>IF(Atletas!N274="","",IF(Atletas!W274&lt;&gt;"",10000,0)+IF(Atletas!B274="Feminino",1000,IF(Atletas!B274="Masculino",2000,""))+IF(Atletas!N274="Yang A",301,IF(Atletas!N274="Chen A",30,IF(Atletas!N274="Sun A",303,IF(Atletas!N274="Wu A",304,IF(Atletas!N274="Wu-Hao A",305,IF(Atletas!N274="Outro Taijiquan A",306,IF(Atletas!N274="Yang B",307,IF(Atletas!N274="Chen B",308,IF(Atletas!N274="Sun B",309,IF(Atletas!N274="Wu B",310,IF(Atletas!N274="Wu-Hao B",311,IF(Atletas!N274="Outro Taijiquan B",312,IF(Atletas!N274="Yang C",313,IF(Atletas!N274="Chen C",314,IF(Atletas!N274="Sun C",315,IF(Atletas!N274="Wu C",316,IF(Atletas!N274="Wu-Hao C",317,IF(Atletas!N274="Outro Taijiquan C",318,IF(Atletas!N274="Yang D",319,IF(Atletas!N274="Chen D",320,IF(Atletas!N274="Sun D",321,IF(Atletas!N274="Wu D",322,IF(Atletas!N274="Wu-Hao D",323,IF(Atletas!N274="Outro Taijiquan D",324,IF(Atletas!N274="Yang E",325,IF(Atletas!N274="Chen E",326,IF(Atletas!N274="Sun E",327,IF(Atletas!N274="Wu E",328,IF(Atletas!N274="Wu-Hao E",329,IF(Atletas!N274="Outro Taijiquan E",330,IF(Atletas!N274="Yang F",331,IF(Atletas!N274="Chen F",332,IF(Atletas!N274="Sun F",333,IF(Atletas!N274="Wu F",334,IF(Atletas!N274="Wu-Hao F",335,IF(Atletas!N274="Outro Taijiquan F",336,"")))))))))))))))))))))))))))))))))))))</f>
        <v/>
      </c>
      <c r="BP278" s="52" t="str">
        <f>IF(Atletas!O274="","",IF(Atletas!W274&lt;&gt;"",10000,0)+IF(Atletas!B274="Feminino",1000,IF(Atletas!B274="Masculino",2000,""))+IF(OR(Atletas!O274="Yang 26 A",Atletas!O274="Yang 40 A"),401,IF(OR(Atletas!O274="Chen 25 A",Atletas!O274="Chen 36 A",Atletas!O274="Chen 56 A"),402,IF(Atletas!O274="Sun 73 A",403,IF(Atletas!O274="Wu 45 A",404,IF(Atletas!O274="Wu-Hao 46 A",405,IF(OR(Atletas!O274="Taijiquan 16 A",Atletas!O274="Taijiquan 24 A",Atletas!O274="Taijiquan 32 A",Atletas!O274="Taijiquan 42 A"),406,IF(OR(Atletas!O274="Yang 26 B",Atletas!O274="Yang 40 B"),407,IF(OR(Atletas!O274="Chen 25 B",Atletas!O274="Chen 36 B",Atletas!O274="Chen 56 B"),408,IF(Atletas!O274="Sun 73 B",409,IF(Atletas!O274="Wu 45 B",410,IF(Atletas!O274="Wu-Hao 46 B",411,IF(OR(Atletas!O274="Taijiquan 16 B",Atletas!O274="Taijiquan 24 B",Atletas!O274="Taijiquan 32 B",Atletas!O274="Taijiquan 42 B"),412,IF(OR(Atletas!O274="Yang 26 C",Atletas!O274="Yang 40 C"),413,IF(OR(Atletas!O274="Chen 25 C",Atletas!O274="Chen 36 C",Atletas!O274="Chen 56 C"),414,IF(Atletas!O274="Sun 73 C",415,IF(Atletas!O274="Wu 45 C",416,IF(Atletas!O274="Wu-Hao 46 C",417,IF(OR(Atletas!O274="Taijiquan 16 C",Atletas!O274="Taijiquan 24 C",Atletas!O274="Taijiquan 32 C",Atletas!O274="Taijiquan 42 C"),418,0)))))))))))))))))))</f>
        <v/>
      </c>
      <c r="BQ278" s="52" t="str">
        <f>IF(Atletas!O274="","",IF(Atletas!W274&lt;&gt;"",10000,0)+IF(Atletas!B274="Feminino",1000,IF(Atletas!B274="Masculino",2000,""))+IF(OR(Atletas!O274="Yang 26 D",Atletas!O274="Yang 40 D"),419,IF(OR(Atletas!O274="Chen 25 D",Atletas!O274="Chen 36 D",Atletas!O274="Chen 56 D"),420,IF(Atletas!O274="Sun 73 D",421,IF(Atletas!O274="Wu 45 D",422,IF(Atletas!O274="Wu-Hao 46 D",423,IF(OR(Atletas!O274="Taijiquan 16 D",Atletas!O274="Taijiquan 24 D",Atletas!O274="Taijiquan 32 D",Atletas!O274="Taijiquan 42 D"),424,IF(OR(Atletas!O274="Yang 26 E",Atletas!O274="Yang 40 E"),425,IF(OR(Atletas!O274="Chen 25 E",Atletas!O274="Chen 36 E",Atletas!O274="Chen 56 E"),426,IF(Atletas!O274="Sun 73 E",427,IF(Atletas!O274="Wu 45 E",428,IF(Atletas!O274="Wu-Hao 46 E",429,IF(OR(Atletas!O274="Taijiquan 16 E",Atletas!O274="Taijiquan 24 E",Atletas!O274="Taijiquan 32 E",Atletas!O274="Taijiquan 42 E"),430,IF(OR(Atletas!O274="Yang 26 F",Atletas!O274="Yang 40 F"),431,IF(OR(Atletas!O274="Chen 25 F",Atletas!O274="Chen 36 F",Atletas!O274="Chen 56 F"),432,IF(Atletas!O274="Sun 73 F",433,IF(Atletas!O274="Wu 45 F",434,IF(Atletas!O274="Wu-Hao 46 F",435,IF(OR(Atletas!O274="Taijiquan 16 F",Atletas!O274="Taijiquan 24 F",Atletas!O274="Taijiquan 32 F",Atletas!O274="Taijiquan 42 F"),436,0)))))))))))))))))))</f>
        <v/>
      </c>
      <c r="BR278" s="52" t="str">
        <f>IF(Atletas!P274="","",IF(Atletas!W274&lt;&gt;"",10000,0)+IF(Atletas!B274="Feminino",1000,IF(Atletas!B274="Masculino",2000,""))+IF(Atletas!P274="Xingyiquan A",501,IF(Atletas!P274="Baguazhang A",502,IF(Atletas!P274="Outro Estilo Interno A",503,IF(Atletas!P274="Xingyiquan B",504,IF(Atletas!P274="Baguazhang B",505,IF(Atletas!P274="Outro Estilo Interno B",506,IF(Atletas!P274="Xingyiquan C",507,IF(Atletas!P274="Baguazhang C",508,IF(Atletas!P274="Outro Estilo Interno C",509,IF(Atletas!P274="Xingyiquan D",510,IF(Atletas!P274="Baguazhang D",511,IF(Atletas!P274="Outro Estilo Interno D",512,IF(Atletas!P274="Xingyiquan E",513,IF(Atletas!P274="Baguazhang E",514,IF(Atletas!P274="Outro Estilo Interno E",515,IF(Atletas!P274="Xingyiquan F",516,IF(Atletas!P274="Baguazhang F",517,IF(Atletas!P274="Outro Estilo Interno F",518, "")))))))))))))))))))</f>
        <v/>
      </c>
      <c r="BS278" s="52" t="str">
        <f>IF(Atletas!Q274="","",IF(Atletas!W274&lt;&gt;"",10000,0)+IF(Atletas!B274="Feminino",1000,IF(Atletas!B274="Masculino",2000,""))+IF(Atletas!Q274="Dao A",601,IF(Atletas!Q274="Jian A",602,IF(Atletas!Q274="Bishou A",603,IF(Atletas!Q274="Shan A",604,IF(Atletas!Q274="Outra Arma Curta A",605,IF(Atletas!Q274="Dao B",606,IF(Atletas!Q274="Jian B",607,IF(Atletas!Q274="Bishou B",608,IF(Atletas!Q274="Shan B",609,IF(Atletas!Q274="Outra Arma Curta B",610,IF(Atletas!Q274="Dao C",611,IF(Atletas!Q274="Jian C",612,IF(Atletas!Q274="Bishou C",613,IF(Atletas!Q274="Shan C",614,IF(Atletas!Q274="Outra Arma Curta C",615,IF(Atletas!Q274="Dao D",616,IF(Atletas!Q274="Jian D",617,IF(Atletas!Q274="Bishou D",618,IF(Atletas!Q274="Shan D",619,IF(Atletas!Q274="Outra Arma Curta D",620,IF(Atletas!Q274="Dao E",621,IF(Atletas!Q274="Jian E",622,IF(Atletas!Q274="Bishou E",623,IF(Atletas!Q274="Shan E",624,IF(Atletas!Q274="Outra Arma Curta E",625,IF(Atletas!Q274="Dao F",626,IF(Atletas!Q274="Jian F",627,IF(Atletas!Q274="Bishou F",628,IF(Atletas!Q274="Shan F",629,IF(Atletas!Q274="Outra Arma Curta F",630, "")))))))))))))))))))))))))))))))</f>
        <v/>
      </c>
      <c r="BT278" s="52" t="str">
        <f>IF(Atletas!R274="","",IF(Atletas!W274&lt;&gt;"",10000,0)+IF(Atletas!B274="Feminino",1000,IF(Atletas!B274="Masculino",2000,""))+IF(Atletas!R274="Gun A",701,IF(Atletas!R274="Qiang A",702,IF(Atletas!R274="Pudao / Guandao A",703,IF(Atletas!R274="Outra Arma Longa A",704,IF(Atletas!R274="Gun B",705,IF(Atletas!R274="Qiang B",706,IF(Atletas!R274="Pudao / Guandao B",707,IF(Atletas!R274="Outra Arma Longa B",708,IF(Atletas!R274="Gun C",709,IF(Atletas!R274="Qiang C",710,IF(Atletas!R274="Pudao / Guandao C",711,IF(Atletas!R274="Outra Arma Longa C",712,IF(Atletas!R274="Gun D",713,IF(Atletas!R274="Qiang D",714,IF(Atletas!R274="Pudao / Guandao D",715,IF(Atletas!R274="Outra Arma Longa D",716,IF(Atletas!R274="Gun E",717,IF(Atletas!R274="Qiang E",718,IF(Atletas!R274="Pudao / Guandao E",719,IF(Atletas!R274="Outra Arma Longa E",720,IF(Atletas!R274="Gun F",721,IF(Atletas!R274="Qiang F",722,IF(Atletas!R274="Pudao / Guandao F",723,IF(Atletas!R274="Outra Arma Longa F",724,"")))))))))))))))))))))))))</f>
        <v/>
      </c>
      <c r="BU278" s="52" t="str">
        <f>IF(Atletas!S274="","",IF(Atletas!W274&lt;&gt;"",10000,0)+IF(Atletas!B274="Feminino",1000,IF(Atletas!B274="Masculino",2000,""))+IF(Atletas!S274="Arma Dupla A",801,IF(Atletas!S274="Arma Maleável A",802,IF(Atletas!S274="Arma Dupla B",803,IF(Atletas!S274="Arma Maleável B",804,IF(Atletas!S274="Arma Dupla C",805,IF(Atletas!S274="Arma Maleável C",806,IF(Atletas!S274="Arma Dupla D",807,IF(Atletas!S274="Arma Maleável D",808,IF(Atletas!S274="Arma Dupla E",809,IF(Atletas!S274="Arma Maleável E",810,IF(Atletas!S274="Arma Dupla F",811,IF(Atletas!S274="Arma Maleável F",812, "")))))))))))))</f>
        <v/>
      </c>
      <c r="BV278" s="52" t="str">
        <f>IF(Atletas!T274="","",IF(Atletas!W274&lt;&gt;"",10000,0)+IF(Atletas!B274="Feminino",1000,IF(Atletas!B274="Masculino",2000,""))+IF(Atletas!T274="Taijijian Yang A",901,IF(Atletas!T274="Taijijian Chen A",902,IF(Atletas!T274="Taijijian Sun A",903,IF(Atletas!T274="Taijijian Wu A",904,IF(Atletas!T274="Taijijian Wu-Hao A",905,IF(Atletas!T274="Taijijian 32 A",906,IF(Atletas!T274="Taijijian 42 A",907,IF(Atletas!T274="Taijijian Yang B",908,IF(Atletas!T274="Taijijian Chen B",909,IF(Atletas!T274="Taijijian Sun B",910,IF(Atletas!T274="Taijijian Wu B",911,IF(Atletas!T274="Taijijian Wu-Hao B",912,IF(Atletas!T274="Taijijian 32 B",913,IF(Atletas!T274="Taijijian 42 B",914,IF(Atletas!T274="Taijijian Yang C",915,IF(Atletas!T274="Taijijian Chen C",916,IF(Atletas!T274="Taijijian Sun C",917,IF(Atletas!T274="Taijijian Wu C",918,IF(Atletas!T274="Taijijian Wu-Hao C",919,IF(Atletas!T274="Taijijian 32 C",920,IF(Atletas!T274="Taijijian 42 C",921,IF(Atletas!T274="Taijijian Yang D",922,IF(Atletas!T274="Taijijian Chen D",923,IF(Atletas!T274="Taijijian Sun D",924,IF(Atletas!T274="Taijijian Wu D",925,IF(Atletas!T274="Taijijian Wu-Hao D",926,IF(Atletas!T274="Taijijian 32 D",927,IF(Atletas!T274="Taijijian 42 D",928,IF(Atletas!T274="Taijijian Yang E",929,IF(Atletas!T274="Taijijian Chen E",930,IF(Atletas!T274="Taijijian Sun E",931,IF(Atletas!T274="Taijijian Wu E",932,IF(Atletas!T274="Taijijian Wu-Hao E",933,IF(Atletas!T274="Taijijian 32 E",934,IF(Atletas!T274="Taijijian 42 E",935,IF(Atletas!T274="Taijijian Yang F",936,IF(Atletas!T274="Taijijian Chen F",937,IF(Atletas!T274="Taijijian Sun F",938,IF(Atletas!T274="Taijijian Wu F",939,IF(Atletas!T274="Taijijian Wu-Hao F",940,IF(Atletas!T274="Taijijian 32 F",941,IF(Atletas!T274="Taijijian 42 F",942,"")))))))))))))))))))))))))))))))))))))))))))</f>
        <v/>
      </c>
      <c r="BW278" s="52" t="str">
        <f>IF(Atletas!U274="","",IF(Atletas!W274&lt;&gt;"",10000,0)+IF(Atletas!B274="Feminino",1000,IF(Atletas!B274="Masculino",2000,""))+IF(Atletas!T274="Taijijian 42 F",942,IF(Atletas!U274="Taijidao A",943,IF(Atletas!U274="Taijishan A",944,IF(Atletas!U274="Taijiqiang A",945,IF(Atletas!U274="Taijidao B",946,IF(Atletas!U274="Taijishan B",947,IF(Atletas!U274="Taijiqiang B",948,IF(Atletas!U274="Taijidao C",949,IF(Atletas!U274="Taijishan C",950,IF(Atletas!U274="Taijiqiang C",951,IF(Atletas!U274="Taijidao D",952,IF(Atletas!U274="Taijishan D",953,IF(Atletas!U274="Taijiqiang D",954,IF(Atletas!U274="Taijidao E",955,IF(Atletas!U274="Taijishan E",956,IF(Atletas!U274="Taijiqiang E",957,IF(Atletas!U274="Taijidao F",958,IF(Atletas!U274="Taijishan F",959,IF(Atletas!U274="Taijiqiang F",960))))))))))))))))))))</f>
        <v/>
      </c>
      <c r="BX278" s="72" t="str">
        <f>IF(BY278&lt;&gt;"","Arma Maleável A","")</f>
        <v/>
      </c>
      <c r="BY278" s="72" t="str">
        <f>IF(COUNTIF(BK:BW,1802)&gt;0,COUNTIF(BK:BW,1802),"")</f>
        <v/>
      </c>
      <c r="BZ278" s="72" t="str">
        <f>IF(CA278&lt;&gt;"","Arma Maleável A","")</f>
        <v/>
      </c>
      <c r="CA278" s="72" t="str">
        <f>IF(COUNTIF(BK:BW,2802)&gt;0,COUNTIF(BK:BW,2802),"")</f>
        <v/>
      </c>
      <c r="CB278" s="72" t="str">
        <f>IF(CC278&lt;&gt;"","Baguazhang E ","")</f>
        <v/>
      </c>
      <c r="CC278" s="64" t="str">
        <f>IF(COUNTIF(BK:BW,11514)&gt;0,COUNTIF(BK:BW,11514),"")</f>
        <v/>
      </c>
      <c r="CD278" s="64" t="str">
        <f>IF(CE278&lt;&gt;"","Baguazhang E ","")</f>
        <v/>
      </c>
      <c r="CE278" s="64" t="str">
        <f>IF(COUNTIF(BK:BW,12514)&gt;0,COUNTIF(BK:BW,12514),"")</f>
        <v/>
      </c>
      <c r="CF278" s="52" t="str">
        <f xml:space="preserve"> IF(Atletas!V274="","",IF(Atletas!V274="Duilian de Mãos AB - Equipe 1",1,IF(Atletas!V274="Duilian de Mãos AB - Equipe 2",2,IF(Atletas!V274="Duilian de Armas AB - Equipe 1",3,IF(Atletas!V274="Duilian de Armas AB - Equipe 2",4,IF(Atletas!V274="Duilian de Tuishou - Equipe 1",5,IF(Atletas!V274="Duilian de Tuishou - Equipe 2",6,IF(Atletas!V274="Grupo Externo AB - Equipe 1",7,IF(Atletas!V274="Grupo Externo AB - Equipe 2",8,IF(Atletas!V274="Grupo Interno AB - Equipe 1",9,IF(Atletas!V274="Grupo Interno AB - Equipe 2",10,IF(Atletas!V274="Duilian de Mãos CD - Equipe 1",11,IF(Atletas!V274="Duilian de Mãos CD - Equipe 2",12,IF(Atletas!V274="Duilian de Armas CD - Equipe 1",13,IF(Atletas!V274="Duilian de Armas CD - Equipe 2",14,IF(Atletas!V274="Duilian de Tuishou - Equipe 1",15,IF(Atletas!V274="Duilian de Tuishou - Equipe 2",16,IF(Atletas!V274="Grupo Externo CDEF - Equipe 1",17,IF(Atletas!V274="Grupo Externo CDEF - Equipe 2",18,IF(Atletas!V274="Grupo Interno CDEF - Equipe 1",19,IF(Atletas!V274="Grupo Interno CDEF - Equipe 2",20,IF(Atletas!V274="Duilian de Mãos EF - Equipe 1",21,IF(Atletas!V274="Duilian de Mãos EF - Equipe 2",22,IF(Atletas!V274="Duilian de Armas EF - Equipe 1",23,IF(Atletas!V274="Duilian de Armas EF - Equipe 2",24,IF(Atletas!V274="Duilian de Tuishou - Equipe 1",25,IF(Atletas!V274="Duilian de Tuishou - Equipe 2",26,"")))))))))))))))))))))))))))</f>
        <v/>
      </c>
    </row>
    <row r="279" spans="2:84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 t="str">
        <f t="array" ref="V279">IFERROR(INDEX(BX$7:BX$336,SMALL(IF(BX$7:BX$336&lt;&gt;"",ROW(BX$7:BX$336)-ROW(BX$7)+1),ROWS(BX$7:BX236))),"")</f>
        <v/>
      </c>
      <c r="W279" s="4" t="str">
        <f t="array" ref="W279">IFERROR(INDEX(BY$7:BY$336,SMALL(IF(BY$7:BY$336&lt;&gt;"",ROW(BY$7:BY$336)-ROW(BY$7)+1),ROWS(BY$7:BY236))),"")</f>
        <v/>
      </c>
      <c r="X279" s="4" t="str">
        <f t="array" ref="X279">IFERROR(INDEX(BZ$7:BZ$336,SMALL(IF(BZ$7:BZ$336&lt;&gt;"",ROW(BZ$7:BZ$336)-ROW(BZ$7)+1),ROWS(BZ$7:BZ236))),"")</f>
        <v/>
      </c>
      <c r="Y279" s="4" t="str">
        <f t="array" ref="Y279">IFERROR(INDEX(CA$7:CA$336,SMALL(IF(CA$7:CA$336&lt;&gt;"",ROW(CA$7:CA$336)-ROW(CA$7)+1),ROWS(CA$7:CA236))),"")</f>
        <v/>
      </c>
      <c r="Z279" s="4" t="str">
        <f t="array" ref="Z279">IFERROR(INDEX(CB$7:CB$378,SMALL(IF(CB$7:CB$378&lt;&gt;"",ROW(CB$7:CB$378)-ROW(CB$7)+1),ROWS(CB$7:CB278))),"")</f>
        <v/>
      </c>
      <c r="AA279" s="4" t="str">
        <f t="array" ref="AA279">IFERROR(INDEX(CC$7:CC$378,SMALL(IF(CC$7:CC$378&lt;&gt;"",ROW(CC$7:CC$378)-ROW(CC$7)+1),ROWS(CC$7:CC278))),"")</f>
        <v/>
      </c>
      <c r="AB279" s="4" t="str">
        <f t="array" ref="AB279">IFERROR(INDEX(CD$7:CD$378,SMALL(IF(CD$7:CD$378&lt;&gt;"",ROW(CD$7:CD$378)-ROW(CD$7)+1),ROWS(CD$7:CD278))),"")</f>
        <v/>
      </c>
      <c r="AC279" s="4" t="str">
        <f t="array" ref="AC279">IFERROR(INDEX(CE$7:CE$378,SMALL(IF(CE$7:CE$378&lt;&gt;"",ROW(CE$7:CE$378)-ROW(CE$7)+1),ROWS(CE$7:CE278))),"")</f>
        <v/>
      </c>
      <c r="AD279" s="4"/>
      <c r="AE279" s="4"/>
      <c r="AF279" s="4"/>
      <c r="AG279" s="4"/>
      <c r="AH279" s="4"/>
      <c r="AI279" s="4"/>
      <c r="AJ279" s="46" t="str">
        <f>IF(Atletas!D275="","",IF(Atletas!B275="Feminino",100,IF(Atletas!B275="Masculino",200,""))+(IF(Atletas!D275="Infantil 39kg",1,IF(Atletas!D275="Infantil 42kg",2,IF(Atletas!D275="Infantil 45kg",3,IF(Atletas!D275="Infantil 48kg",4,IF(Atletas!D275="Infantil 52kg",5,IF(Atletas!D275="Infantil 56kg",6,IF(Atletas!D275="Infantil 60kg",7,IF(Atletas!D275="Juvenil 48kg",8,IF(Atletas!D275="Juvenil 52kg",9,IF(Atletas!D275="Juvenil 56kg",10,IF(Atletas!D275="Juvenil 60kg",11,IF(Atletas!D275="Juvenil 65kg",12,IF(Atletas!D275="Juvenil 70kg",13,IF(Atletas!D275="Juvenil 75kg",14,IF(Atletas!D275="Juvenil 80kg",15,IF(Atletas!D275="Adulto 48kg",16,IF(Atletas!D275="Adulto 52kg",17,IF(Atletas!D275="Adulto 56kg",18,IF(Atletas!D275="Adulto 60kg",19,IF(Atletas!D275="Adulto 65kg",20,IF(Atletas!D275="Adulto 70kg",21,IF(Atletas!D275="Adulto 75kg",22,IF(Atletas!D275="Adulto 80kg",23,IF(Atletas!D275="Adulto 85kg",24,IF(Atletas!D275="Adulto 90kg",25,IF(Atletas!D275="Adulto +90kg",26,""))))))))))))))))))))))))))))</f>
        <v/>
      </c>
      <c r="AO279" s="10" t="str">
        <f>IF(Atletas!E275="","",IF(Atletas!B275="Feminino",100,IF(Atletas!B275="Masculino",200,""))+(IF(Atletas!E275="Juvenil 44kg",1,IF(Atletas!E275="Juvenil 48kg",2,IF(Atletas!E275="Juvenil 52kg",3,IF(Atletas!E275="Juvenil 56kg",4,IF(Atletas!E275="Juvenil 60kg",5,IF(Atletas!E275="Juvenil 65kg",6,IF(Atletas!E275="Juvenil 70kg",7,IF(Atletas!E275="Juvenil 75kg",8,IF(Atletas!E275="Juvenil 82kg",9,IF(Atletas!E275="Juvenil 90kg",10,IF(Atletas!E275="Juvenil 100kg",11,IF(Atletas!E275="Adulto 48kg",12,IF(Atletas!E275="Adulto 52kg",13,IF(Atletas!E275="Adulto 56kg",14,IF(Atletas!E275="Adulto 60kg",15,IF(Atletas!E275="Adulto 65kg",16,IF(Atletas!E275="Adulto 70kg",17,IF(Atletas!E275="Adulto 75kg",18,IF(Atletas!E275="Adulto 82kg",19,IF(Atletas!E275="Adulto 90kg",20,IF(Atletas!E275="Adulto 100kg",21,IF(Atletas!E275="Adulto +100kg",22,""))))))))))))))))))))))))</f>
        <v/>
      </c>
      <c r="AT279" s="10" t="str">
        <f>IF(Atletas!F275="","",IF(Atletas!B275="Feminino",100,IF(Atletas!B275="Masculino",200,""))+(IF(Atletas!F275="Adulto 48kg",1,IF(Atletas!F275="Adulto 56kg",2,IF(Atletas!F275="Adulto 65kg",3,IF(Atletas!F275="Adulto 75kg",4,IF(Atletas!F275="Adulto +75kg",5,IF(Atletas!F275="Adulto 52kg",6,IF(Atletas!F275="Adulto 60kg",7,IF(Atletas!F275="Adulto 70kg",8,IF(Atletas!F275="Adulto 80kg",9,IF(Atletas!F275="Adulto 90kg",10,IF(Atletas!F275="Adulto +90kg",11,"")))))))))))))</f>
        <v/>
      </c>
      <c r="AY279" s="46" t="str">
        <f>IF(Atletas!G275="","",IF(Atletas!B275="Feminino",100,IF(Atletas!B275="Masculino",200,""))+(IF(Atletas!G275="Changquan Mirim",1,IF(Atletas!G275="Nanquan Mirim",2,IF(Atletas!G275="Taijiquan Mirim",3,IF(Atletas!G275="Changquan Grupo C",4,IF(Atletas!G275="Nanquan Grupo C",5,IF(Atletas!G275="Taijiquan Grupo C",6,IF(Atletas!G275="Changquan Grupo B",7,IF(Atletas!G275="Nanquan Grupo B",8,IF(Atletas!G275="Taijiquan Grupo B",9,IF(Atletas!G275="Changquan Grupo A",10,IF(Atletas!G275="Nanquan Grupo A",11,IF(Atletas!G275="Taijiquan Grupo A",12,IF(Atletas!G275="Changquan Opcional",13,IF(Atletas!G275="Nanquan Opcional",14,IF(Atletas!G275="Taijiquan Opcional",15,IF(Atletas!G275="Changquan Adulto",16,IF(Atletas!G275="Nanquan Adulto",17,IF(Atletas!G275="Taijiquan Adulto",18,""))))))))))))))))))))</f>
        <v/>
      </c>
      <c r="AZ279" s="46" t="str">
        <f>IF(Atletas!H275="","",IF(Atletas!B275="Feminino",100,IF(Atletas!B275="Masculino",200,""))+(IF(Atletas!H275="Daoshu Mirim",19,IF(Atletas!H275="Jianshu Mirim",20,IF(Atletas!H275="Nandao Mirim",21,IF(Atletas!H275="Taijijian Mirim",22,IF(Atletas!H275="Daoshu Grupo C",23,IF(Atletas!H275="Jianshu Grupo C",24,IF(Atletas!H275="Nandao Grupo C",25,IF(Atletas!H275="Taijijian Grupo C",26,IF(Atletas!H275="Daoshu Grupo B",27,IF(Atletas!H275="Jianshu Grupo B",28,IF(Atletas!H275="Nandao Grupo B",29,IF(Atletas!H275="Taijijian Grupo B",30,IF(Atletas!H275="Daoshu Grupo A",31,IF(Atletas!H275="Jianshu Grupo A",32,IF(Atletas!H275="Nandao Grupo A",33,IF(Atletas!H275="Taijijian Grupo A",34,IF(Atletas!H275="Daoshu Opcional",35,IF(Atletas!H275="Jianshu Opcional",36,IF(Atletas!H275="Nandao Opcional",37,IF(Atletas!H275="Taijijian Opcional",38,IF(Atletas!H275="Daoshu Adulto",39,IF(Atletas!H275="Jianshu Adulto",40,IF(Atletas!H275="Nandao Adulto",41,IF(Atletas!H275="Taijijian Adulto",42,""))))))))))))))))))))))))))</f>
        <v/>
      </c>
      <c r="BA279" s="46" t="str">
        <f>IF(Atletas!I275="","",IF(Atletas!B275="Feminino",100,IF(Atletas!B275="Masculino",200,""))+(IF(Atletas!I275="Gunshu Mirim",43,IF(Atletas!I275="Qiangshu Mirim",44,IF(Atletas!I275="Nangun Mirim",45,IF(Atletas!I275="Gunshu Grupo C",46,IF(Atletas!I275="Qiangshu Grupo C",47,IF(Atletas!I275="Nangun Grupo C",48,IF(Atletas!I275="Gunshu Grupo B",49,IF(Atletas!I275="Qiangshu Grupo B",50,IF(Atletas!I275="Nangun Grupo B",51,IF(Atletas!I275="Gunshu Grupo A",52,IF(Atletas!I275="Qiangshu Grupo A",53,IF(Atletas!I275="Nangun Grupo A",54,IF(Atletas!I275="Gunshu Opcional",55,IF(Atletas!I275="Qiangshu Opcional",56,IF(Atletas!I275="Nangun Opcional",57,IF(Atletas!I275="Gunshu Adulto",58,IF(Atletas!I275="Qiangshu Adulto",59,IF(Atletas!I275="Nangun Adulto",60,""))))))))))))))))))))</f>
        <v/>
      </c>
      <c r="BF279" s="52" t="str">
        <f>IF(Atletas!J275="","",IF(Atletas!B275="Feminino",100,IF(Atletas!B275="Masculino",200,""))+(IF(Atletas!J275="Equipe 1 Grupo B",1,IF(Atletas!J275="Equipe 2 Grupo B",2,IF(Atletas!J275="Equipe 1 Grupo A",3,IF(Atletas!J275="Equipe 2 Grupo A",4,IF(Atletas!J275="Equipe 1 Adulto",5,IF(Atletas!J275="Equipe 2 Adulto",6,""))))))))</f>
        <v/>
      </c>
      <c r="BK279" s="52" t="str">
        <f>IF(Atletas!K275="","",IF(Atletas!W275&lt;&gt;"",10000,0)+(IF(Atletas!B275="Feminino",1000,IF(Atletas!B275="Masculino",2000,""))+IF(Atletas!K275="Choylayfut A",1,IF(Atletas!K275="Hunggar A",2,IF(Atletas!K275="Wuzuquan A",3,IF(Atletas!K275="Wingchun A",4,IF(Atletas!K275="Outra Mão de Sul A",5,IF(Atletas!K275="Choylayfut B",6,IF(Atletas!K275="Hunggar B",7,IF(Atletas!K275="Wuzuquan B",8,IF(Atletas!K275="Wingchun B",9,IF(Atletas!K275="Outra Mão de Sul B",10,IF(Atletas!K275="Choylayfut C",11,IF(Atletas!K275="Hunggar C",12,IF(Atletas!K275="Wuzuquan C",13,IF(Atletas!K275="Wingchun C",14,IF(Atletas!K275="Outra Mão de Sul C",15,IF(Atletas!K275="Choylayfut D",16,IF(Atletas!K275="Hunggar D",17,IF(Atletas!K275="Wuzuquan D",18,IF(Atletas!K275="Wingchun D",19,IF(Atletas!K275="Outra Mão de Sul D",20,IF(Atletas!K275="Choylayfut E",21,IF(Atletas!K275="Hunggar E",22,IF(Atletas!K275="Wuzuquan E",23,IF(Atletas!K275="Wingchun E",24,IF(Atletas!K275="Outra Mão de Sul E",25,IF(Atletas!K275="Choylayfut F",26,IF(Atletas!K275="Hunggar F",27,IF(Atletas!K275="Wuzuquan F",28,IF(Atletas!K275="Wingchun F",29,IF(Atletas!K275="Outra Mão de Sul F",30,""))))))))))))))))))))))))))))))))</f>
        <v/>
      </c>
      <c r="BL279" s="52" t="str">
        <f>IF(Atletas!L275="","",IF(Atletas!W275&lt;&gt;"",10000,0)+(IF(Atletas!B275="Feminino",1000,IF(Atletas!B275="Masculino",2000,""))+(IF(Atletas!L275="Chaquan A",101,IF(Atletas!L275="Emeiquan A",102,IF(Atletas!L275="Fanziquan A",103,IF(Atletas!L275="Huaquan A",104,IF(Atletas!L275="Hongquan A",105,IF(Atletas!L275="Paochui A",106,IF(Atletas!L275="Piguaquan A",107,IF(Atletas!L275="Shaolinquan A",108,IF(Atletas!L275="Tanglangquan A",109,IF(Atletas!L275="Yinzhaophai A",110,IF(Atletas!L275="Tongbeiquan A",111,IF(Atletas!L275="Wudangquan A",112,IF(Atletas!L275="Outros Estilos A",113,IF(Atletas!L275="Chaquan B",114,IF(Atletas!L275="Emeiquan B",115,IF(Atletas!L275="Fanziquan B",116,IF(Atletas!L275="Huaquan B",117,IF(Atletas!L275="Hongquan B",118,IF(Atletas!L275="Paochui B",119,IF(Atletas!L275="Piguaquan B",120,IF(Atletas!L275="Shaolinquan B",121,IF(Atletas!L275="Tanglangquan B",122,IF(Atletas!L275="Yinzhaophai B",123,IF(Atletas!L275="Tongbeiquan B",124,IF(Atletas!L275="Wudangquan B",125,IF(Atletas!L275="Outros Estilos B",126,IF(Atletas!L275="Chaquan C",127,IF(Atletas!L275="Emeiquan C",128,IF(Atletas!L275="Fanziquan C",129,IF(Atletas!L275="Huaquan C",130,IF(Atletas!L275="Hongquan C",131,IF(Atletas!L275="Paochui C",132,IF(Atletas!L275="Piguaquan C",133,IF(Atletas!L275="Shaolinquan C",134,IF(Atletas!L275="Tanglangquan C",135,IF(Atletas!L275="Yinzhaophai C",136,IF(Atletas!L275="Tongbeiquan C",137,IF(Atletas!L275="Wudangquan C",138,IF(Atletas!L275="Outros Estilos C",139,0))))))))))))))))))))))))))))))))))))))))))</f>
        <v/>
      </c>
      <c r="BM279" s="52" t="str">
        <f>IF(Atletas!L275="","",IF(Atletas!W275&lt;&gt;"",10000,0)+(IF(Atletas!B275="Feminino",1000,IF(Atletas!B275="Masculino",2000,""))+(IF(Atletas!L275="Chaquan D",140,IF(Atletas!L275="Emeiquan D",141,IF(Atletas!L275="Fanziquan D",142,IF(Atletas!L275="Huaquan D",143,IF(Atletas!L275="Hongquan D",144,IF(Atletas!L275="Paochui D",145,IF(Atletas!L275="Piguaquan D",146,IF(Atletas!L275="Shaolinquan D",147,IF(Atletas!L275="Tanglangquan D",148,IF(Atletas!L275="Yinzhaophai D",149,IF(Atletas!L275="Tongbeiquan D",150,IF(Atletas!L275="Wudangquan D",151,IF(Atletas!L275="Outros Estilos D",152,IF(Atletas!L275="Chaquan E",153,IF(Atletas!L275="Emeiquan E",154,IF(Atletas!L275="Fanziquan E",155,IF(Atletas!L275="Huaquan E",156,IF(Atletas!L275="Hongquan E",157,IF(Atletas!L275="Paochui E",158,IF(Atletas!L275="Piguaquan E",159,IF(Atletas!L275="Shaolinquan E",160,IF(Atletas!L275="Tanglangquan E",161,IF(Atletas!L275="Yinzhaophai E",162,IF(Atletas!L275="Tongbeiquan E",163,IF(Atletas!L275="Wudangquan E",164,IF(Atletas!L275="Outros Estilos E",165,IF(Atletas!L275="Chaquan F",166,IF(Atletas!L275="Emeiquan F",167,IF(Atletas!L275="Fanziquan F",168,IF(Atletas!L275="Huaquan F",169,IF(Atletas!L275="Hongquan F",170,IF(Atletas!L275="Paochui F",171,IF(Atletas!L275="Piguaquan F",172,IF(Atletas!L275="Shaolinquan F",173,IF(Atletas!L275="Tanglangquan F",174,IF(Atletas!L275="Yinzhaophai F",175,IF(Atletas!L275="Tongbeiquan F",176,IF(Atletas!L275="Wudangquan F",177,IF(Atletas!L275="Outros Estilos F",178,0))))))))))))))))))))))))))))))))))))))))))</f>
        <v/>
      </c>
      <c r="BN279" s="52" t="str">
        <f>IF(Atletas!M275="","",IF(Atletas!W275&lt;&gt;"",10000,0)+(IF(Atletas!B275="Feminino",1000,IF(Atletas!B275="Masculino",2000,""))+(IF(Atletas!M275="Ditangquan A",201,IF(Atletas!M275="Houquan A",202,IF(Atletas!M275="Zuiquan A",203,IF(Atletas!M275="Ditangquan B",204,IF(Atletas!M275="Houquan B",205,IF(Atletas!M275="Zuiquan B",206,IF(Atletas!M275="Ditangquan C",207,IF(Atletas!M275="Houquan C",208,IF(Atletas!M275="Zuiquan C",209,IF(Atletas!M275="Ditangquan D",210,IF(Atletas!M275="Houquan D",211,IF(Atletas!M275="Zuiquan D",212,IF(Atletas!M275="Ditangquan E",213,IF(Atletas!M275="Houquan E",214,IF(Atletas!M275="Zuiquan E",215,IF(Atletas!M275="Ditangquan F",216,IF(Atletas!M275="Houquan F",217,IF(Atletas!M275="Zuiquan F",218,"")))))))))))))))))))))</f>
        <v/>
      </c>
      <c r="BO279" s="52" t="str">
        <f>IF(Atletas!N275="","",IF(Atletas!W275&lt;&gt;"",10000,0)+IF(Atletas!B275="Feminino",1000,IF(Atletas!B275="Masculino",2000,""))+IF(Atletas!N275="Yang A",301,IF(Atletas!N275="Chen A",30,IF(Atletas!N275="Sun A",303,IF(Atletas!N275="Wu A",304,IF(Atletas!N275="Wu-Hao A",305,IF(Atletas!N275="Outro Taijiquan A",306,IF(Atletas!N275="Yang B",307,IF(Atletas!N275="Chen B",308,IF(Atletas!N275="Sun B",309,IF(Atletas!N275="Wu B",310,IF(Atletas!N275="Wu-Hao B",311,IF(Atletas!N275="Outro Taijiquan B",312,IF(Atletas!N275="Yang C",313,IF(Atletas!N275="Chen C",314,IF(Atletas!N275="Sun C",315,IF(Atletas!N275="Wu C",316,IF(Atletas!N275="Wu-Hao C",317,IF(Atletas!N275="Outro Taijiquan C",318,IF(Atletas!N275="Yang D",319,IF(Atletas!N275="Chen D",320,IF(Atletas!N275="Sun D",321,IF(Atletas!N275="Wu D",322,IF(Atletas!N275="Wu-Hao D",323,IF(Atletas!N275="Outro Taijiquan D",324,IF(Atletas!N275="Yang E",325,IF(Atletas!N275="Chen E",326,IF(Atletas!N275="Sun E",327,IF(Atletas!N275="Wu E",328,IF(Atletas!N275="Wu-Hao E",329,IF(Atletas!N275="Outro Taijiquan E",330,IF(Atletas!N275="Yang F",331,IF(Atletas!N275="Chen F",332,IF(Atletas!N275="Sun F",333,IF(Atletas!N275="Wu F",334,IF(Atletas!N275="Wu-Hao F",335,IF(Atletas!N275="Outro Taijiquan F",336,"")))))))))))))))))))))))))))))))))))))</f>
        <v/>
      </c>
      <c r="BP279" s="52" t="str">
        <f>IF(Atletas!O275="","",IF(Atletas!W275&lt;&gt;"",10000,0)+IF(Atletas!B275="Feminino",1000,IF(Atletas!B275="Masculino",2000,""))+IF(OR(Atletas!O275="Yang 26 A",Atletas!O275="Yang 40 A"),401,IF(OR(Atletas!O275="Chen 25 A",Atletas!O275="Chen 36 A",Atletas!O275="Chen 56 A"),402,IF(Atletas!O275="Sun 73 A",403,IF(Atletas!O275="Wu 45 A",404,IF(Atletas!O275="Wu-Hao 46 A",405,IF(OR(Atletas!O275="Taijiquan 16 A",Atletas!O275="Taijiquan 24 A",Atletas!O275="Taijiquan 32 A",Atletas!O275="Taijiquan 42 A"),406,IF(OR(Atletas!O275="Yang 26 B",Atletas!O275="Yang 40 B"),407,IF(OR(Atletas!O275="Chen 25 B",Atletas!O275="Chen 36 B",Atletas!O275="Chen 56 B"),408,IF(Atletas!O275="Sun 73 B",409,IF(Atletas!O275="Wu 45 B",410,IF(Atletas!O275="Wu-Hao 46 B",411,IF(OR(Atletas!O275="Taijiquan 16 B",Atletas!O275="Taijiquan 24 B",Atletas!O275="Taijiquan 32 B",Atletas!O275="Taijiquan 42 B"),412,IF(OR(Atletas!O275="Yang 26 C",Atletas!O275="Yang 40 C"),413,IF(OR(Atletas!O275="Chen 25 C",Atletas!O275="Chen 36 C",Atletas!O275="Chen 56 C"),414,IF(Atletas!O275="Sun 73 C",415,IF(Atletas!O275="Wu 45 C",416,IF(Atletas!O275="Wu-Hao 46 C",417,IF(OR(Atletas!O275="Taijiquan 16 C",Atletas!O275="Taijiquan 24 C",Atletas!O275="Taijiquan 32 C",Atletas!O275="Taijiquan 42 C"),418,0)))))))))))))))))))</f>
        <v/>
      </c>
      <c r="BQ279" s="52" t="str">
        <f>IF(Atletas!O275="","",IF(Atletas!W275&lt;&gt;"",10000,0)+IF(Atletas!B275="Feminino",1000,IF(Atletas!B275="Masculino",2000,""))+IF(OR(Atletas!O275="Yang 26 D",Atletas!O275="Yang 40 D"),419,IF(OR(Atletas!O275="Chen 25 D",Atletas!O275="Chen 36 D",Atletas!O275="Chen 56 D"),420,IF(Atletas!O275="Sun 73 D",421,IF(Atletas!O275="Wu 45 D",422,IF(Atletas!O275="Wu-Hao 46 D",423,IF(OR(Atletas!O275="Taijiquan 16 D",Atletas!O275="Taijiquan 24 D",Atletas!O275="Taijiquan 32 D",Atletas!O275="Taijiquan 42 D"),424,IF(OR(Atletas!O275="Yang 26 E",Atletas!O275="Yang 40 E"),425,IF(OR(Atletas!O275="Chen 25 E",Atletas!O275="Chen 36 E",Atletas!O275="Chen 56 E"),426,IF(Atletas!O275="Sun 73 E",427,IF(Atletas!O275="Wu 45 E",428,IF(Atletas!O275="Wu-Hao 46 E",429,IF(OR(Atletas!O275="Taijiquan 16 E",Atletas!O275="Taijiquan 24 E",Atletas!O275="Taijiquan 32 E",Atletas!O275="Taijiquan 42 E"),430,IF(OR(Atletas!O275="Yang 26 F",Atletas!O275="Yang 40 F"),431,IF(OR(Atletas!O275="Chen 25 F",Atletas!O275="Chen 36 F",Atletas!O275="Chen 56 F"),432,IF(Atletas!O275="Sun 73 F",433,IF(Atletas!O275="Wu 45 F",434,IF(Atletas!O275="Wu-Hao 46 F",435,IF(OR(Atletas!O275="Taijiquan 16 F",Atletas!O275="Taijiquan 24 F",Atletas!O275="Taijiquan 32 F",Atletas!O275="Taijiquan 42 F"),436,0)))))))))))))))))))</f>
        <v/>
      </c>
      <c r="BR279" s="52" t="str">
        <f>IF(Atletas!P275="","",IF(Atletas!W275&lt;&gt;"",10000,0)+IF(Atletas!B275="Feminino",1000,IF(Atletas!B275="Masculino",2000,""))+IF(Atletas!P275="Xingyiquan A",501,IF(Atletas!P275="Baguazhang A",502,IF(Atletas!P275="Outro Estilo Interno A",503,IF(Atletas!P275="Xingyiquan B",504,IF(Atletas!P275="Baguazhang B",505,IF(Atletas!P275="Outro Estilo Interno B",506,IF(Atletas!P275="Xingyiquan C",507,IF(Atletas!P275="Baguazhang C",508,IF(Atletas!P275="Outro Estilo Interno C",509,IF(Atletas!P275="Xingyiquan D",510,IF(Atletas!P275="Baguazhang D",511,IF(Atletas!P275="Outro Estilo Interno D",512,IF(Atletas!P275="Xingyiquan E",513,IF(Atletas!P275="Baguazhang E",514,IF(Atletas!P275="Outro Estilo Interno E",515,IF(Atletas!P275="Xingyiquan F",516,IF(Atletas!P275="Baguazhang F",517,IF(Atletas!P275="Outro Estilo Interno F",518, "")))))))))))))))))))</f>
        <v/>
      </c>
      <c r="BS279" s="52" t="str">
        <f>IF(Atletas!Q275="","",IF(Atletas!W275&lt;&gt;"",10000,0)+IF(Atletas!B275="Feminino",1000,IF(Atletas!B275="Masculino",2000,""))+IF(Atletas!Q275="Dao A",601,IF(Atletas!Q275="Jian A",602,IF(Atletas!Q275="Bishou A",603,IF(Atletas!Q275="Shan A",604,IF(Atletas!Q275="Outra Arma Curta A",605,IF(Atletas!Q275="Dao B",606,IF(Atletas!Q275="Jian B",607,IF(Atletas!Q275="Bishou B",608,IF(Atletas!Q275="Shan B",609,IF(Atletas!Q275="Outra Arma Curta B",610,IF(Atletas!Q275="Dao C",611,IF(Atletas!Q275="Jian C",612,IF(Atletas!Q275="Bishou C",613,IF(Atletas!Q275="Shan C",614,IF(Atletas!Q275="Outra Arma Curta C",615,IF(Atletas!Q275="Dao D",616,IF(Atletas!Q275="Jian D",617,IF(Atletas!Q275="Bishou D",618,IF(Atletas!Q275="Shan D",619,IF(Atletas!Q275="Outra Arma Curta D",620,IF(Atletas!Q275="Dao E",621,IF(Atletas!Q275="Jian E",622,IF(Atletas!Q275="Bishou E",623,IF(Atletas!Q275="Shan E",624,IF(Atletas!Q275="Outra Arma Curta E",625,IF(Atletas!Q275="Dao F",626,IF(Atletas!Q275="Jian F",627,IF(Atletas!Q275="Bishou F",628,IF(Atletas!Q275="Shan F",629,IF(Atletas!Q275="Outra Arma Curta F",630, "")))))))))))))))))))))))))))))))</f>
        <v/>
      </c>
      <c r="BT279" s="52" t="str">
        <f>IF(Atletas!R275="","",IF(Atletas!W275&lt;&gt;"",10000,0)+IF(Atletas!B275="Feminino",1000,IF(Atletas!B275="Masculino",2000,""))+IF(Atletas!R275="Gun A",701,IF(Atletas!R275="Qiang A",702,IF(Atletas!R275="Pudao / Guandao A",703,IF(Atletas!R275="Outra Arma Longa A",704,IF(Atletas!R275="Gun B",705,IF(Atletas!R275="Qiang B",706,IF(Atletas!R275="Pudao / Guandao B",707,IF(Atletas!R275="Outra Arma Longa B",708,IF(Atletas!R275="Gun C",709,IF(Atletas!R275="Qiang C",710,IF(Atletas!R275="Pudao / Guandao C",711,IF(Atletas!R275="Outra Arma Longa C",712,IF(Atletas!R275="Gun D",713,IF(Atletas!R275="Qiang D",714,IF(Atletas!R275="Pudao / Guandao D",715,IF(Atletas!R275="Outra Arma Longa D",716,IF(Atletas!R275="Gun E",717,IF(Atletas!R275="Qiang E",718,IF(Atletas!R275="Pudao / Guandao E",719,IF(Atletas!R275="Outra Arma Longa E",720,IF(Atletas!R275="Gun F",721,IF(Atletas!R275="Qiang F",722,IF(Atletas!R275="Pudao / Guandao F",723,IF(Atletas!R275="Outra Arma Longa F",724,"")))))))))))))))))))))))))</f>
        <v/>
      </c>
      <c r="BU279" s="52" t="str">
        <f>IF(Atletas!S275="","",IF(Atletas!W275&lt;&gt;"",10000,0)+IF(Atletas!B275="Feminino",1000,IF(Atletas!B275="Masculino",2000,""))+IF(Atletas!S275="Arma Dupla A",801,IF(Atletas!S275="Arma Maleável A",802,IF(Atletas!S275="Arma Dupla B",803,IF(Atletas!S275="Arma Maleável B",804,IF(Atletas!S275="Arma Dupla C",805,IF(Atletas!S275="Arma Maleável C",806,IF(Atletas!S275="Arma Dupla D",807,IF(Atletas!S275="Arma Maleável D",808,IF(Atletas!S275="Arma Dupla E",809,IF(Atletas!S275="Arma Maleável E",810,IF(Atletas!S275="Arma Dupla F",811,IF(Atletas!S275="Arma Maleável F",812, "")))))))))))))</f>
        <v/>
      </c>
      <c r="BV279" s="52" t="str">
        <f>IF(Atletas!T275="","",IF(Atletas!W275&lt;&gt;"",10000,0)+IF(Atletas!B275="Feminino",1000,IF(Atletas!B275="Masculino",2000,""))+IF(Atletas!T275="Taijijian Yang A",901,IF(Atletas!T275="Taijijian Chen A",902,IF(Atletas!T275="Taijijian Sun A",903,IF(Atletas!T275="Taijijian Wu A",904,IF(Atletas!T275="Taijijian Wu-Hao A",905,IF(Atletas!T275="Taijijian 32 A",906,IF(Atletas!T275="Taijijian 42 A",907,IF(Atletas!T275="Taijijian Yang B",908,IF(Atletas!T275="Taijijian Chen B",909,IF(Atletas!T275="Taijijian Sun B",910,IF(Atletas!T275="Taijijian Wu B",911,IF(Atletas!T275="Taijijian Wu-Hao B",912,IF(Atletas!T275="Taijijian 32 B",913,IF(Atletas!T275="Taijijian 42 B",914,IF(Atletas!T275="Taijijian Yang C",915,IF(Atletas!T275="Taijijian Chen C",916,IF(Atletas!T275="Taijijian Sun C",917,IF(Atletas!T275="Taijijian Wu C",918,IF(Atletas!T275="Taijijian Wu-Hao C",919,IF(Atletas!T275="Taijijian 32 C",920,IF(Atletas!T275="Taijijian 42 C",921,IF(Atletas!T275="Taijijian Yang D",922,IF(Atletas!T275="Taijijian Chen D",923,IF(Atletas!T275="Taijijian Sun D",924,IF(Atletas!T275="Taijijian Wu D",925,IF(Atletas!T275="Taijijian Wu-Hao D",926,IF(Atletas!T275="Taijijian 32 D",927,IF(Atletas!T275="Taijijian 42 D",928,IF(Atletas!T275="Taijijian Yang E",929,IF(Atletas!T275="Taijijian Chen E",930,IF(Atletas!T275="Taijijian Sun E",931,IF(Atletas!T275="Taijijian Wu E",932,IF(Atletas!T275="Taijijian Wu-Hao E",933,IF(Atletas!T275="Taijijian 32 E",934,IF(Atletas!T275="Taijijian 42 E",935,IF(Atletas!T275="Taijijian Yang F",936,IF(Atletas!T275="Taijijian Chen F",937,IF(Atletas!T275="Taijijian Sun F",938,IF(Atletas!T275="Taijijian Wu F",939,IF(Atletas!T275="Taijijian Wu-Hao F",940,IF(Atletas!T275="Taijijian 32 F",941,IF(Atletas!T275="Taijijian 42 F",942,"")))))))))))))))))))))))))))))))))))))))))))</f>
        <v/>
      </c>
      <c r="BW279" s="52" t="str">
        <f>IF(Atletas!U275="","",IF(Atletas!W275&lt;&gt;"",10000,0)+IF(Atletas!B275="Feminino",1000,IF(Atletas!B275="Masculino",2000,""))+IF(Atletas!T275="Taijijian 42 F",942,IF(Atletas!U275="Taijidao A",943,IF(Atletas!U275="Taijishan A",944,IF(Atletas!U275="Taijiqiang A",945,IF(Atletas!U275="Taijidao B",946,IF(Atletas!U275="Taijishan B",947,IF(Atletas!U275="Taijiqiang B",948,IF(Atletas!U275="Taijidao C",949,IF(Atletas!U275="Taijishan C",950,IF(Atletas!U275="Taijiqiang C",951,IF(Atletas!U275="Taijidao D",952,IF(Atletas!U275="Taijishan D",953,IF(Atletas!U275="Taijiqiang D",954,IF(Atletas!U275="Taijidao E",955,IF(Atletas!U275="Taijishan E",956,IF(Atletas!U275="Taijiqiang E",957,IF(Atletas!U275="Taijidao F",958,IF(Atletas!U275="Taijishan F",959,IF(Atletas!U275="Taijiqiang F",960))))))))))))))))))))</f>
        <v/>
      </c>
      <c r="BX279" s="72" t="str">
        <f>IF(BY279&lt;&gt;"","Arma Dupla B","")</f>
        <v/>
      </c>
      <c r="BY279" s="72" t="str">
        <f>IF(COUNTIF(BK:BW,1803)&gt;0,COUNTIF(BK:BW,1803),"")</f>
        <v/>
      </c>
      <c r="BZ279" s="72" t="str">
        <f>IF(CA279&lt;&gt;"","Arma Dupla B","")</f>
        <v/>
      </c>
      <c r="CA279" s="72" t="str">
        <f>IF(COUNTIF(BK:BW,2803)&gt;0,COUNTIF(BK:BW,2803),"")</f>
        <v/>
      </c>
      <c r="CB279" s="72" t="str">
        <f>IF(CC279&lt;&gt;"","Outro Estilo Interno E","")</f>
        <v/>
      </c>
      <c r="CC279" s="64" t="str">
        <f>IF(COUNTIF(BK:BW,11515)&gt;0,COUNTIF(BK:BW,11515),"")</f>
        <v/>
      </c>
      <c r="CD279" s="64" t="str">
        <f>IF(CE279&lt;&gt;"","Outro Estilo Interno E","")</f>
        <v/>
      </c>
      <c r="CE279" s="64" t="str">
        <f>IF(COUNTIF(BK:BW,12515)&gt;0,COUNTIF(BK:BW,12515),"")</f>
        <v/>
      </c>
      <c r="CF279" s="52" t="str">
        <f xml:space="preserve"> IF(Atletas!V275="","",IF(Atletas!V275="Duilian de Mãos AB - Equipe 1",1,IF(Atletas!V275="Duilian de Mãos AB - Equipe 2",2,IF(Atletas!V275="Duilian de Armas AB - Equipe 1",3,IF(Atletas!V275="Duilian de Armas AB - Equipe 2",4,IF(Atletas!V275="Duilian de Tuishou - Equipe 1",5,IF(Atletas!V275="Duilian de Tuishou - Equipe 2",6,IF(Atletas!V275="Grupo Externo AB - Equipe 1",7,IF(Atletas!V275="Grupo Externo AB - Equipe 2",8,IF(Atletas!V275="Grupo Interno AB - Equipe 1",9,IF(Atletas!V275="Grupo Interno AB - Equipe 2",10,IF(Atletas!V275="Duilian de Mãos CD - Equipe 1",11,IF(Atletas!V275="Duilian de Mãos CD - Equipe 2",12,IF(Atletas!V275="Duilian de Armas CD - Equipe 1",13,IF(Atletas!V275="Duilian de Armas CD - Equipe 2",14,IF(Atletas!V275="Duilian de Tuishou - Equipe 1",15,IF(Atletas!V275="Duilian de Tuishou - Equipe 2",16,IF(Atletas!V275="Grupo Externo CDEF - Equipe 1",17,IF(Atletas!V275="Grupo Externo CDEF - Equipe 2",18,IF(Atletas!V275="Grupo Interno CDEF - Equipe 1",19,IF(Atletas!V275="Grupo Interno CDEF - Equipe 2",20,IF(Atletas!V275="Duilian de Mãos EF - Equipe 1",21,IF(Atletas!V275="Duilian de Mãos EF - Equipe 2",22,IF(Atletas!V275="Duilian de Armas EF - Equipe 1",23,IF(Atletas!V275="Duilian de Armas EF - Equipe 2",24,IF(Atletas!V275="Duilian de Tuishou - Equipe 1",25,IF(Atletas!V275="Duilian de Tuishou - Equipe 2",26,"")))))))))))))))))))))))))))</f>
        <v/>
      </c>
    </row>
    <row r="280" spans="2:84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 t="str">
        <f t="array" ref="V280">IFERROR(INDEX(BX$7:BX$336,SMALL(IF(BX$7:BX$336&lt;&gt;"",ROW(BX$7:BX$336)-ROW(BX$7)+1),ROWS(BX$7:BX237))),"")</f>
        <v/>
      </c>
      <c r="W280" s="4" t="str">
        <f t="array" ref="W280">IFERROR(INDEX(BY$7:BY$336,SMALL(IF(BY$7:BY$336&lt;&gt;"",ROW(BY$7:BY$336)-ROW(BY$7)+1),ROWS(BY$7:BY237))),"")</f>
        <v/>
      </c>
      <c r="X280" s="4" t="str">
        <f t="array" ref="X280">IFERROR(INDEX(BZ$7:BZ$336,SMALL(IF(BZ$7:BZ$336&lt;&gt;"",ROW(BZ$7:BZ$336)-ROW(BZ$7)+1),ROWS(BZ$7:BZ237))),"")</f>
        <v/>
      </c>
      <c r="Y280" s="4" t="str">
        <f t="array" ref="Y280">IFERROR(INDEX(CA$7:CA$336,SMALL(IF(CA$7:CA$336&lt;&gt;"",ROW(CA$7:CA$336)-ROW(CA$7)+1),ROWS(CA$7:CA237))),"")</f>
        <v/>
      </c>
      <c r="Z280" s="4" t="str">
        <f t="array" ref="Z280">IFERROR(INDEX(CB$7:CB$378,SMALL(IF(CB$7:CB$378&lt;&gt;"",ROW(CB$7:CB$378)-ROW(CB$7)+1),ROWS(CB$7:CB279))),"")</f>
        <v/>
      </c>
      <c r="AA280" s="4" t="str">
        <f t="array" ref="AA280">IFERROR(INDEX(CC$7:CC$378,SMALL(IF(CC$7:CC$378&lt;&gt;"",ROW(CC$7:CC$378)-ROW(CC$7)+1),ROWS(CC$7:CC279))),"")</f>
        <v/>
      </c>
      <c r="AB280" s="4" t="str">
        <f t="array" ref="AB280">IFERROR(INDEX(CD$7:CD$378,SMALL(IF(CD$7:CD$378&lt;&gt;"",ROW(CD$7:CD$378)-ROW(CD$7)+1),ROWS(CD$7:CD279))),"")</f>
        <v/>
      </c>
      <c r="AC280" s="4" t="str">
        <f t="array" ref="AC280">IFERROR(INDEX(CE$7:CE$378,SMALL(IF(CE$7:CE$378&lt;&gt;"",ROW(CE$7:CE$378)-ROW(CE$7)+1),ROWS(CE$7:CE279))),"")</f>
        <v/>
      </c>
      <c r="AD280" s="4"/>
      <c r="AE280" s="4"/>
      <c r="AF280" s="4"/>
      <c r="AG280" s="4"/>
      <c r="AH280" s="4"/>
      <c r="AI280" s="4"/>
      <c r="AJ280" s="46" t="str">
        <f>IF(Atletas!D276="","",IF(Atletas!B276="Feminino",100,IF(Atletas!B276="Masculino",200,""))+(IF(Atletas!D276="Infantil 39kg",1,IF(Atletas!D276="Infantil 42kg",2,IF(Atletas!D276="Infantil 45kg",3,IF(Atletas!D276="Infantil 48kg",4,IF(Atletas!D276="Infantil 52kg",5,IF(Atletas!D276="Infantil 56kg",6,IF(Atletas!D276="Infantil 60kg",7,IF(Atletas!D276="Juvenil 48kg",8,IF(Atletas!D276="Juvenil 52kg",9,IF(Atletas!D276="Juvenil 56kg",10,IF(Atletas!D276="Juvenil 60kg",11,IF(Atletas!D276="Juvenil 65kg",12,IF(Atletas!D276="Juvenil 70kg",13,IF(Atletas!D276="Juvenil 75kg",14,IF(Atletas!D276="Juvenil 80kg",15,IF(Atletas!D276="Adulto 48kg",16,IF(Atletas!D276="Adulto 52kg",17,IF(Atletas!D276="Adulto 56kg",18,IF(Atletas!D276="Adulto 60kg",19,IF(Atletas!D276="Adulto 65kg",20,IF(Atletas!D276="Adulto 70kg",21,IF(Atletas!D276="Adulto 75kg",22,IF(Atletas!D276="Adulto 80kg",23,IF(Atletas!D276="Adulto 85kg",24,IF(Atletas!D276="Adulto 90kg",25,IF(Atletas!D276="Adulto +90kg",26,""))))))))))))))))))))))))))))</f>
        <v/>
      </c>
      <c r="AO280" s="10" t="str">
        <f>IF(Atletas!E276="","",IF(Atletas!B276="Feminino",100,IF(Atletas!B276="Masculino",200,""))+(IF(Atletas!E276="Juvenil 44kg",1,IF(Atletas!E276="Juvenil 48kg",2,IF(Atletas!E276="Juvenil 52kg",3,IF(Atletas!E276="Juvenil 56kg",4,IF(Atletas!E276="Juvenil 60kg",5,IF(Atletas!E276="Juvenil 65kg",6,IF(Atletas!E276="Juvenil 70kg",7,IF(Atletas!E276="Juvenil 75kg",8,IF(Atletas!E276="Juvenil 82kg",9,IF(Atletas!E276="Juvenil 90kg",10,IF(Atletas!E276="Juvenil 100kg",11,IF(Atletas!E276="Adulto 48kg",12,IF(Atletas!E276="Adulto 52kg",13,IF(Atletas!E276="Adulto 56kg",14,IF(Atletas!E276="Adulto 60kg",15,IF(Atletas!E276="Adulto 65kg",16,IF(Atletas!E276="Adulto 70kg",17,IF(Atletas!E276="Adulto 75kg",18,IF(Atletas!E276="Adulto 82kg",19,IF(Atletas!E276="Adulto 90kg",20,IF(Atletas!E276="Adulto 100kg",21,IF(Atletas!E276="Adulto +100kg",22,""))))))))))))))))))))))))</f>
        <v/>
      </c>
      <c r="AT280" s="10" t="str">
        <f>IF(Atletas!F276="","",IF(Atletas!B276="Feminino",100,IF(Atletas!B276="Masculino",200,""))+(IF(Atletas!F276="Adulto 48kg",1,IF(Atletas!F276="Adulto 56kg",2,IF(Atletas!F276="Adulto 65kg",3,IF(Atletas!F276="Adulto 75kg",4,IF(Atletas!F276="Adulto +75kg",5,IF(Atletas!F276="Adulto 52kg",6,IF(Atletas!F276="Adulto 60kg",7,IF(Atletas!F276="Adulto 70kg",8,IF(Atletas!F276="Adulto 80kg",9,IF(Atletas!F276="Adulto 90kg",10,IF(Atletas!F276="Adulto +90kg",11,"")))))))))))))</f>
        <v/>
      </c>
      <c r="AY280" s="46" t="str">
        <f>IF(Atletas!G276="","",IF(Atletas!B276="Feminino",100,IF(Atletas!B276="Masculino",200,""))+(IF(Atletas!G276="Changquan Mirim",1,IF(Atletas!G276="Nanquan Mirim",2,IF(Atletas!G276="Taijiquan Mirim",3,IF(Atletas!G276="Changquan Grupo C",4,IF(Atletas!G276="Nanquan Grupo C",5,IF(Atletas!G276="Taijiquan Grupo C",6,IF(Atletas!G276="Changquan Grupo B",7,IF(Atletas!G276="Nanquan Grupo B",8,IF(Atletas!G276="Taijiquan Grupo B",9,IF(Atletas!G276="Changquan Grupo A",10,IF(Atletas!G276="Nanquan Grupo A",11,IF(Atletas!G276="Taijiquan Grupo A",12,IF(Atletas!G276="Changquan Opcional",13,IF(Atletas!G276="Nanquan Opcional",14,IF(Atletas!G276="Taijiquan Opcional",15,IF(Atletas!G276="Changquan Adulto",16,IF(Atletas!G276="Nanquan Adulto",17,IF(Atletas!G276="Taijiquan Adulto",18,""))))))))))))))))))))</f>
        <v/>
      </c>
      <c r="AZ280" s="46" t="str">
        <f>IF(Atletas!H276="","",IF(Atletas!B276="Feminino",100,IF(Atletas!B276="Masculino",200,""))+(IF(Atletas!H276="Daoshu Mirim",19,IF(Atletas!H276="Jianshu Mirim",20,IF(Atletas!H276="Nandao Mirim",21,IF(Atletas!H276="Taijijian Mirim",22,IF(Atletas!H276="Daoshu Grupo C",23,IF(Atletas!H276="Jianshu Grupo C",24,IF(Atletas!H276="Nandao Grupo C",25,IF(Atletas!H276="Taijijian Grupo C",26,IF(Atletas!H276="Daoshu Grupo B",27,IF(Atletas!H276="Jianshu Grupo B",28,IF(Atletas!H276="Nandao Grupo B",29,IF(Atletas!H276="Taijijian Grupo B",30,IF(Atletas!H276="Daoshu Grupo A",31,IF(Atletas!H276="Jianshu Grupo A",32,IF(Atletas!H276="Nandao Grupo A",33,IF(Atletas!H276="Taijijian Grupo A",34,IF(Atletas!H276="Daoshu Opcional",35,IF(Atletas!H276="Jianshu Opcional",36,IF(Atletas!H276="Nandao Opcional",37,IF(Atletas!H276="Taijijian Opcional",38,IF(Atletas!H276="Daoshu Adulto",39,IF(Atletas!H276="Jianshu Adulto",40,IF(Atletas!H276="Nandao Adulto",41,IF(Atletas!H276="Taijijian Adulto",42,""))))))))))))))))))))))))))</f>
        <v/>
      </c>
      <c r="BA280" s="46" t="str">
        <f>IF(Atletas!I276="","",IF(Atletas!B276="Feminino",100,IF(Atletas!B276="Masculino",200,""))+(IF(Atletas!I276="Gunshu Mirim",43,IF(Atletas!I276="Qiangshu Mirim",44,IF(Atletas!I276="Nangun Mirim",45,IF(Atletas!I276="Gunshu Grupo C",46,IF(Atletas!I276="Qiangshu Grupo C",47,IF(Atletas!I276="Nangun Grupo C",48,IF(Atletas!I276="Gunshu Grupo B",49,IF(Atletas!I276="Qiangshu Grupo B",50,IF(Atletas!I276="Nangun Grupo B",51,IF(Atletas!I276="Gunshu Grupo A",52,IF(Atletas!I276="Qiangshu Grupo A",53,IF(Atletas!I276="Nangun Grupo A",54,IF(Atletas!I276="Gunshu Opcional",55,IF(Atletas!I276="Qiangshu Opcional",56,IF(Atletas!I276="Nangun Opcional",57,IF(Atletas!I276="Gunshu Adulto",58,IF(Atletas!I276="Qiangshu Adulto",59,IF(Atletas!I276="Nangun Adulto",60,""))))))))))))))))))))</f>
        <v/>
      </c>
      <c r="BF280" s="52" t="str">
        <f>IF(Atletas!J276="","",IF(Atletas!B276="Feminino",100,IF(Atletas!B276="Masculino",200,""))+(IF(Atletas!J276="Equipe 1 Grupo B",1,IF(Atletas!J276="Equipe 2 Grupo B",2,IF(Atletas!J276="Equipe 1 Grupo A",3,IF(Atletas!J276="Equipe 2 Grupo A",4,IF(Atletas!J276="Equipe 1 Adulto",5,IF(Atletas!J276="Equipe 2 Adulto",6,""))))))))</f>
        <v/>
      </c>
      <c r="BK280" s="52" t="str">
        <f>IF(Atletas!K276="","",IF(Atletas!W276&lt;&gt;"",10000,0)+(IF(Atletas!B276="Feminino",1000,IF(Atletas!B276="Masculino",2000,""))+IF(Atletas!K276="Choylayfut A",1,IF(Atletas!K276="Hunggar A",2,IF(Atletas!K276="Wuzuquan A",3,IF(Atletas!K276="Wingchun A",4,IF(Atletas!K276="Outra Mão de Sul A",5,IF(Atletas!K276="Choylayfut B",6,IF(Atletas!K276="Hunggar B",7,IF(Atletas!K276="Wuzuquan B",8,IF(Atletas!K276="Wingchun B",9,IF(Atletas!K276="Outra Mão de Sul B",10,IF(Atletas!K276="Choylayfut C",11,IF(Atletas!K276="Hunggar C",12,IF(Atletas!K276="Wuzuquan C",13,IF(Atletas!K276="Wingchun C",14,IF(Atletas!K276="Outra Mão de Sul C",15,IF(Atletas!K276="Choylayfut D",16,IF(Atletas!K276="Hunggar D",17,IF(Atletas!K276="Wuzuquan D",18,IF(Atletas!K276="Wingchun D",19,IF(Atletas!K276="Outra Mão de Sul D",20,IF(Atletas!K276="Choylayfut E",21,IF(Atletas!K276="Hunggar E",22,IF(Atletas!K276="Wuzuquan E",23,IF(Atletas!K276="Wingchun E",24,IF(Atletas!K276="Outra Mão de Sul E",25,IF(Atletas!K276="Choylayfut F",26,IF(Atletas!K276="Hunggar F",27,IF(Atletas!K276="Wuzuquan F",28,IF(Atletas!K276="Wingchun F",29,IF(Atletas!K276="Outra Mão de Sul F",30,""))))))))))))))))))))))))))))))))</f>
        <v/>
      </c>
      <c r="BL280" s="52" t="str">
        <f>IF(Atletas!L276="","",IF(Atletas!W276&lt;&gt;"",10000,0)+(IF(Atletas!B276="Feminino",1000,IF(Atletas!B276="Masculino",2000,""))+(IF(Atletas!L276="Chaquan A",101,IF(Atletas!L276="Emeiquan A",102,IF(Atletas!L276="Fanziquan A",103,IF(Atletas!L276="Huaquan A",104,IF(Atletas!L276="Hongquan A",105,IF(Atletas!L276="Paochui A",106,IF(Atletas!L276="Piguaquan A",107,IF(Atletas!L276="Shaolinquan A",108,IF(Atletas!L276="Tanglangquan A",109,IF(Atletas!L276="Yinzhaophai A",110,IF(Atletas!L276="Tongbeiquan A",111,IF(Atletas!L276="Wudangquan A",112,IF(Atletas!L276="Outros Estilos A",113,IF(Atletas!L276="Chaquan B",114,IF(Atletas!L276="Emeiquan B",115,IF(Atletas!L276="Fanziquan B",116,IF(Atletas!L276="Huaquan B",117,IF(Atletas!L276="Hongquan B",118,IF(Atletas!L276="Paochui B",119,IF(Atletas!L276="Piguaquan B",120,IF(Atletas!L276="Shaolinquan B",121,IF(Atletas!L276="Tanglangquan B",122,IF(Atletas!L276="Yinzhaophai B",123,IF(Atletas!L276="Tongbeiquan B",124,IF(Atletas!L276="Wudangquan B",125,IF(Atletas!L276="Outros Estilos B",126,IF(Atletas!L276="Chaquan C",127,IF(Atletas!L276="Emeiquan C",128,IF(Atletas!L276="Fanziquan C",129,IF(Atletas!L276="Huaquan C",130,IF(Atletas!L276="Hongquan C",131,IF(Atletas!L276="Paochui C",132,IF(Atletas!L276="Piguaquan C",133,IF(Atletas!L276="Shaolinquan C",134,IF(Atletas!L276="Tanglangquan C",135,IF(Atletas!L276="Yinzhaophai C",136,IF(Atletas!L276="Tongbeiquan C",137,IF(Atletas!L276="Wudangquan C",138,IF(Atletas!L276="Outros Estilos C",139,0))))))))))))))))))))))))))))))))))))))))))</f>
        <v/>
      </c>
      <c r="BM280" s="52" t="str">
        <f>IF(Atletas!L276="","",IF(Atletas!W276&lt;&gt;"",10000,0)+(IF(Atletas!B276="Feminino",1000,IF(Atletas!B276="Masculino",2000,""))+(IF(Atletas!L276="Chaquan D",140,IF(Atletas!L276="Emeiquan D",141,IF(Atletas!L276="Fanziquan D",142,IF(Atletas!L276="Huaquan D",143,IF(Atletas!L276="Hongquan D",144,IF(Atletas!L276="Paochui D",145,IF(Atletas!L276="Piguaquan D",146,IF(Atletas!L276="Shaolinquan D",147,IF(Atletas!L276="Tanglangquan D",148,IF(Atletas!L276="Yinzhaophai D",149,IF(Atletas!L276="Tongbeiquan D",150,IF(Atletas!L276="Wudangquan D",151,IF(Atletas!L276="Outros Estilos D",152,IF(Atletas!L276="Chaquan E",153,IF(Atletas!L276="Emeiquan E",154,IF(Atletas!L276="Fanziquan E",155,IF(Atletas!L276="Huaquan E",156,IF(Atletas!L276="Hongquan E",157,IF(Atletas!L276="Paochui E",158,IF(Atletas!L276="Piguaquan E",159,IF(Atletas!L276="Shaolinquan E",160,IF(Atletas!L276="Tanglangquan E",161,IF(Atletas!L276="Yinzhaophai E",162,IF(Atletas!L276="Tongbeiquan E",163,IF(Atletas!L276="Wudangquan E",164,IF(Atletas!L276="Outros Estilos E",165,IF(Atletas!L276="Chaquan F",166,IF(Atletas!L276="Emeiquan F",167,IF(Atletas!L276="Fanziquan F",168,IF(Atletas!L276="Huaquan F",169,IF(Atletas!L276="Hongquan F",170,IF(Atletas!L276="Paochui F",171,IF(Atletas!L276="Piguaquan F",172,IF(Atletas!L276="Shaolinquan F",173,IF(Atletas!L276="Tanglangquan F",174,IF(Atletas!L276="Yinzhaophai F",175,IF(Atletas!L276="Tongbeiquan F",176,IF(Atletas!L276="Wudangquan F",177,IF(Atletas!L276="Outros Estilos F",178,0))))))))))))))))))))))))))))))))))))))))))</f>
        <v/>
      </c>
      <c r="BN280" s="52" t="str">
        <f>IF(Atletas!M276="","",IF(Atletas!W276&lt;&gt;"",10000,0)+(IF(Atletas!B276="Feminino",1000,IF(Atletas!B276="Masculino",2000,""))+(IF(Atletas!M276="Ditangquan A",201,IF(Atletas!M276="Houquan A",202,IF(Atletas!M276="Zuiquan A",203,IF(Atletas!M276="Ditangquan B",204,IF(Atletas!M276="Houquan B",205,IF(Atletas!M276="Zuiquan B",206,IF(Atletas!M276="Ditangquan C",207,IF(Atletas!M276="Houquan C",208,IF(Atletas!M276="Zuiquan C",209,IF(Atletas!M276="Ditangquan D",210,IF(Atletas!M276="Houquan D",211,IF(Atletas!M276="Zuiquan D",212,IF(Atletas!M276="Ditangquan E",213,IF(Atletas!M276="Houquan E",214,IF(Atletas!M276="Zuiquan E",215,IF(Atletas!M276="Ditangquan F",216,IF(Atletas!M276="Houquan F",217,IF(Atletas!M276="Zuiquan F",218,"")))))))))))))))))))))</f>
        <v/>
      </c>
      <c r="BO280" s="52" t="str">
        <f>IF(Atletas!N276="","",IF(Atletas!W276&lt;&gt;"",10000,0)+IF(Atletas!B276="Feminino",1000,IF(Atletas!B276="Masculino",2000,""))+IF(Atletas!N276="Yang A",301,IF(Atletas!N276="Chen A",30,IF(Atletas!N276="Sun A",303,IF(Atletas!N276="Wu A",304,IF(Atletas!N276="Wu-Hao A",305,IF(Atletas!N276="Outro Taijiquan A",306,IF(Atletas!N276="Yang B",307,IF(Atletas!N276="Chen B",308,IF(Atletas!N276="Sun B",309,IF(Atletas!N276="Wu B",310,IF(Atletas!N276="Wu-Hao B",311,IF(Atletas!N276="Outro Taijiquan B",312,IF(Atletas!N276="Yang C",313,IF(Atletas!N276="Chen C",314,IF(Atletas!N276="Sun C",315,IF(Atletas!N276="Wu C",316,IF(Atletas!N276="Wu-Hao C",317,IF(Atletas!N276="Outro Taijiquan C",318,IF(Atletas!N276="Yang D",319,IF(Atletas!N276="Chen D",320,IF(Atletas!N276="Sun D",321,IF(Atletas!N276="Wu D",322,IF(Atletas!N276="Wu-Hao D",323,IF(Atletas!N276="Outro Taijiquan D",324,IF(Atletas!N276="Yang E",325,IF(Atletas!N276="Chen E",326,IF(Atletas!N276="Sun E",327,IF(Atletas!N276="Wu E",328,IF(Atletas!N276="Wu-Hao E",329,IF(Atletas!N276="Outro Taijiquan E",330,IF(Atletas!N276="Yang F",331,IF(Atletas!N276="Chen F",332,IF(Atletas!N276="Sun F",333,IF(Atletas!N276="Wu F",334,IF(Atletas!N276="Wu-Hao F",335,IF(Atletas!N276="Outro Taijiquan F",336,"")))))))))))))))))))))))))))))))))))))</f>
        <v/>
      </c>
      <c r="BP280" s="52" t="str">
        <f>IF(Atletas!O276="","",IF(Atletas!W276&lt;&gt;"",10000,0)+IF(Atletas!B276="Feminino",1000,IF(Atletas!B276="Masculino",2000,""))+IF(OR(Atletas!O276="Yang 26 A",Atletas!O276="Yang 40 A"),401,IF(OR(Atletas!O276="Chen 25 A",Atletas!O276="Chen 36 A",Atletas!O276="Chen 56 A"),402,IF(Atletas!O276="Sun 73 A",403,IF(Atletas!O276="Wu 45 A",404,IF(Atletas!O276="Wu-Hao 46 A",405,IF(OR(Atletas!O276="Taijiquan 16 A",Atletas!O276="Taijiquan 24 A",Atletas!O276="Taijiquan 32 A",Atletas!O276="Taijiquan 42 A"),406,IF(OR(Atletas!O276="Yang 26 B",Atletas!O276="Yang 40 B"),407,IF(OR(Atletas!O276="Chen 25 B",Atletas!O276="Chen 36 B",Atletas!O276="Chen 56 B"),408,IF(Atletas!O276="Sun 73 B",409,IF(Atletas!O276="Wu 45 B",410,IF(Atletas!O276="Wu-Hao 46 B",411,IF(OR(Atletas!O276="Taijiquan 16 B",Atletas!O276="Taijiquan 24 B",Atletas!O276="Taijiquan 32 B",Atletas!O276="Taijiquan 42 B"),412,IF(OR(Atletas!O276="Yang 26 C",Atletas!O276="Yang 40 C"),413,IF(OR(Atletas!O276="Chen 25 C",Atletas!O276="Chen 36 C",Atletas!O276="Chen 56 C"),414,IF(Atletas!O276="Sun 73 C",415,IF(Atletas!O276="Wu 45 C",416,IF(Atletas!O276="Wu-Hao 46 C",417,IF(OR(Atletas!O276="Taijiquan 16 C",Atletas!O276="Taijiquan 24 C",Atletas!O276="Taijiquan 32 C",Atletas!O276="Taijiquan 42 C"),418,0)))))))))))))))))))</f>
        <v/>
      </c>
      <c r="BQ280" s="52" t="str">
        <f>IF(Atletas!O276="","",IF(Atletas!W276&lt;&gt;"",10000,0)+IF(Atletas!B276="Feminino",1000,IF(Atletas!B276="Masculino",2000,""))+IF(OR(Atletas!O276="Yang 26 D",Atletas!O276="Yang 40 D"),419,IF(OR(Atletas!O276="Chen 25 D",Atletas!O276="Chen 36 D",Atletas!O276="Chen 56 D"),420,IF(Atletas!O276="Sun 73 D",421,IF(Atletas!O276="Wu 45 D",422,IF(Atletas!O276="Wu-Hao 46 D",423,IF(OR(Atletas!O276="Taijiquan 16 D",Atletas!O276="Taijiquan 24 D",Atletas!O276="Taijiquan 32 D",Atletas!O276="Taijiquan 42 D"),424,IF(OR(Atletas!O276="Yang 26 E",Atletas!O276="Yang 40 E"),425,IF(OR(Atletas!O276="Chen 25 E",Atletas!O276="Chen 36 E",Atletas!O276="Chen 56 E"),426,IF(Atletas!O276="Sun 73 E",427,IF(Atletas!O276="Wu 45 E",428,IF(Atletas!O276="Wu-Hao 46 E",429,IF(OR(Atletas!O276="Taijiquan 16 E",Atletas!O276="Taijiquan 24 E",Atletas!O276="Taijiquan 32 E",Atletas!O276="Taijiquan 42 E"),430,IF(OR(Atletas!O276="Yang 26 F",Atletas!O276="Yang 40 F"),431,IF(OR(Atletas!O276="Chen 25 F",Atletas!O276="Chen 36 F",Atletas!O276="Chen 56 F"),432,IF(Atletas!O276="Sun 73 F",433,IF(Atletas!O276="Wu 45 F",434,IF(Atletas!O276="Wu-Hao 46 F",435,IF(OR(Atletas!O276="Taijiquan 16 F",Atletas!O276="Taijiquan 24 F",Atletas!O276="Taijiquan 32 F",Atletas!O276="Taijiquan 42 F"),436,0)))))))))))))))))))</f>
        <v/>
      </c>
      <c r="BR280" s="52" t="str">
        <f>IF(Atletas!P276="","",IF(Atletas!W276&lt;&gt;"",10000,0)+IF(Atletas!B276="Feminino",1000,IF(Atletas!B276="Masculino",2000,""))+IF(Atletas!P276="Xingyiquan A",501,IF(Atletas!P276="Baguazhang A",502,IF(Atletas!P276="Outro Estilo Interno A",503,IF(Atletas!P276="Xingyiquan B",504,IF(Atletas!P276="Baguazhang B",505,IF(Atletas!P276="Outro Estilo Interno B",506,IF(Atletas!P276="Xingyiquan C",507,IF(Atletas!P276="Baguazhang C",508,IF(Atletas!P276="Outro Estilo Interno C",509,IF(Atletas!P276="Xingyiquan D",510,IF(Atletas!P276="Baguazhang D",511,IF(Atletas!P276="Outro Estilo Interno D",512,IF(Atletas!P276="Xingyiquan E",513,IF(Atletas!P276="Baguazhang E",514,IF(Atletas!P276="Outro Estilo Interno E",515,IF(Atletas!P276="Xingyiquan F",516,IF(Atletas!P276="Baguazhang F",517,IF(Atletas!P276="Outro Estilo Interno F",518, "")))))))))))))))))))</f>
        <v/>
      </c>
      <c r="BS280" s="52" t="str">
        <f>IF(Atletas!Q276="","",IF(Atletas!W276&lt;&gt;"",10000,0)+IF(Atletas!B276="Feminino",1000,IF(Atletas!B276="Masculino",2000,""))+IF(Atletas!Q276="Dao A",601,IF(Atletas!Q276="Jian A",602,IF(Atletas!Q276="Bishou A",603,IF(Atletas!Q276="Shan A",604,IF(Atletas!Q276="Outra Arma Curta A",605,IF(Atletas!Q276="Dao B",606,IF(Atletas!Q276="Jian B",607,IF(Atletas!Q276="Bishou B",608,IF(Atletas!Q276="Shan B",609,IF(Atletas!Q276="Outra Arma Curta B",610,IF(Atletas!Q276="Dao C",611,IF(Atletas!Q276="Jian C",612,IF(Atletas!Q276="Bishou C",613,IF(Atletas!Q276="Shan C",614,IF(Atletas!Q276="Outra Arma Curta C",615,IF(Atletas!Q276="Dao D",616,IF(Atletas!Q276="Jian D",617,IF(Atletas!Q276="Bishou D",618,IF(Atletas!Q276="Shan D",619,IF(Atletas!Q276="Outra Arma Curta D",620,IF(Atletas!Q276="Dao E",621,IF(Atletas!Q276="Jian E",622,IF(Atletas!Q276="Bishou E",623,IF(Atletas!Q276="Shan E",624,IF(Atletas!Q276="Outra Arma Curta E",625,IF(Atletas!Q276="Dao F",626,IF(Atletas!Q276="Jian F",627,IF(Atletas!Q276="Bishou F",628,IF(Atletas!Q276="Shan F",629,IF(Atletas!Q276="Outra Arma Curta F",630, "")))))))))))))))))))))))))))))))</f>
        <v/>
      </c>
      <c r="BT280" s="52" t="str">
        <f>IF(Atletas!R276="","",IF(Atletas!W276&lt;&gt;"",10000,0)+IF(Atletas!B276="Feminino",1000,IF(Atletas!B276="Masculino",2000,""))+IF(Atletas!R276="Gun A",701,IF(Atletas!R276="Qiang A",702,IF(Atletas!R276="Pudao / Guandao A",703,IF(Atletas!R276="Outra Arma Longa A",704,IF(Atletas!R276="Gun B",705,IF(Atletas!R276="Qiang B",706,IF(Atletas!R276="Pudao / Guandao B",707,IF(Atletas!R276="Outra Arma Longa B",708,IF(Atletas!R276="Gun C",709,IF(Atletas!R276="Qiang C",710,IF(Atletas!R276="Pudao / Guandao C",711,IF(Atletas!R276="Outra Arma Longa C",712,IF(Atletas!R276="Gun D",713,IF(Atletas!R276="Qiang D",714,IF(Atletas!R276="Pudao / Guandao D",715,IF(Atletas!R276="Outra Arma Longa D",716,IF(Atletas!R276="Gun E",717,IF(Atletas!R276="Qiang E",718,IF(Atletas!R276="Pudao / Guandao E",719,IF(Atletas!R276="Outra Arma Longa E",720,IF(Atletas!R276="Gun F",721,IF(Atletas!R276="Qiang F",722,IF(Atletas!R276="Pudao / Guandao F",723,IF(Atletas!R276="Outra Arma Longa F",724,"")))))))))))))))))))))))))</f>
        <v/>
      </c>
      <c r="BU280" s="52" t="str">
        <f>IF(Atletas!S276="","",IF(Atletas!W276&lt;&gt;"",10000,0)+IF(Atletas!B276="Feminino",1000,IF(Atletas!B276="Masculino",2000,""))+IF(Atletas!S276="Arma Dupla A",801,IF(Atletas!S276="Arma Maleável A",802,IF(Atletas!S276="Arma Dupla B",803,IF(Atletas!S276="Arma Maleável B",804,IF(Atletas!S276="Arma Dupla C",805,IF(Atletas!S276="Arma Maleável C",806,IF(Atletas!S276="Arma Dupla D",807,IF(Atletas!S276="Arma Maleável D",808,IF(Atletas!S276="Arma Dupla E",809,IF(Atletas!S276="Arma Maleável E",810,IF(Atletas!S276="Arma Dupla F",811,IF(Atletas!S276="Arma Maleável F",812, "")))))))))))))</f>
        <v/>
      </c>
      <c r="BV280" s="52" t="str">
        <f>IF(Atletas!T276="","",IF(Atletas!W276&lt;&gt;"",10000,0)+IF(Atletas!B276="Feminino",1000,IF(Atletas!B276="Masculino",2000,""))+IF(Atletas!T276="Taijijian Yang A",901,IF(Atletas!T276="Taijijian Chen A",902,IF(Atletas!T276="Taijijian Sun A",903,IF(Atletas!T276="Taijijian Wu A",904,IF(Atletas!T276="Taijijian Wu-Hao A",905,IF(Atletas!T276="Taijijian 32 A",906,IF(Atletas!T276="Taijijian 42 A",907,IF(Atletas!T276="Taijijian Yang B",908,IF(Atletas!T276="Taijijian Chen B",909,IF(Atletas!T276="Taijijian Sun B",910,IF(Atletas!T276="Taijijian Wu B",911,IF(Atletas!T276="Taijijian Wu-Hao B",912,IF(Atletas!T276="Taijijian 32 B",913,IF(Atletas!T276="Taijijian 42 B",914,IF(Atletas!T276="Taijijian Yang C",915,IF(Atletas!T276="Taijijian Chen C",916,IF(Atletas!T276="Taijijian Sun C",917,IF(Atletas!T276="Taijijian Wu C",918,IF(Atletas!T276="Taijijian Wu-Hao C",919,IF(Atletas!T276="Taijijian 32 C",920,IF(Atletas!T276="Taijijian 42 C",921,IF(Atletas!T276="Taijijian Yang D",922,IF(Atletas!T276="Taijijian Chen D",923,IF(Atletas!T276="Taijijian Sun D",924,IF(Atletas!T276="Taijijian Wu D",925,IF(Atletas!T276="Taijijian Wu-Hao D",926,IF(Atletas!T276="Taijijian 32 D",927,IF(Atletas!T276="Taijijian 42 D",928,IF(Atletas!T276="Taijijian Yang E",929,IF(Atletas!T276="Taijijian Chen E",930,IF(Atletas!T276="Taijijian Sun E",931,IF(Atletas!T276="Taijijian Wu E",932,IF(Atletas!T276="Taijijian Wu-Hao E",933,IF(Atletas!T276="Taijijian 32 E",934,IF(Atletas!T276="Taijijian 42 E",935,IF(Atletas!T276="Taijijian Yang F",936,IF(Atletas!T276="Taijijian Chen F",937,IF(Atletas!T276="Taijijian Sun F",938,IF(Atletas!T276="Taijijian Wu F",939,IF(Atletas!T276="Taijijian Wu-Hao F",940,IF(Atletas!T276="Taijijian 32 F",941,IF(Atletas!T276="Taijijian 42 F",942,"")))))))))))))))))))))))))))))))))))))))))))</f>
        <v/>
      </c>
      <c r="BW280" s="52" t="str">
        <f>IF(Atletas!U276="","",IF(Atletas!W276&lt;&gt;"",10000,0)+IF(Atletas!B276="Feminino",1000,IF(Atletas!B276="Masculino",2000,""))+IF(Atletas!T276="Taijijian 42 F",942,IF(Atletas!U276="Taijidao A",943,IF(Atletas!U276="Taijishan A",944,IF(Atletas!U276="Taijiqiang A",945,IF(Atletas!U276="Taijidao B",946,IF(Atletas!U276="Taijishan B",947,IF(Atletas!U276="Taijiqiang B",948,IF(Atletas!U276="Taijidao C",949,IF(Atletas!U276="Taijishan C",950,IF(Atletas!U276="Taijiqiang C",951,IF(Atletas!U276="Taijidao D",952,IF(Atletas!U276="Taijishan D",953,IF(Atletas!U276="Taijiqiang D",954,IF(Atletas!U276="Taijidao E",955,IF(Atletas!U276="Taijishan E",956,IF(Atletas!U276="Taijiqiang E",957,IF(Atletas!U276="Taijidao F",958,IF(Atletas!U276="Taijishan F",959,IF(Atletas!U276="Taijiqiang F",960))))))))))))))))))))</f>
        <v/>
      </c>
      <c r="BX280" s="72" t="str">
        <f>IF(BY280&lt;&gt;"","Arma Maleável B","")</f>
        <v/>
      </c>
      <c r="BY280" s="72" t="str">
        <f>IF(COUNTIF(BK:BW,1804)&gt;0,COUNTIF(BK:BW,1804),"")</f>
        <v/>
      </c>
      <c r="BZ280" s="72" t="str">
        <f>IF(CA280&lt;&gt;"","Arma Maleável B","")</f>
        <v/>
      </c>
      <c r="CA280" s="72" t="str">
        <f>IF(COUNTIF(BK:BW,2804)&gt;0,COUNTIF(BK:BW,2804),"")</f>
        <v/>
      </c>
      <c r="CB280" s="72" t="str">
        <f>IF(CC280&lt;&gt;"","Xingyiquan F","")</f>
        <v/>
      </c>
      <c r="CC280" s="64" t="str">
        <f>IF(COUNTIF(BK:BW,11516)&gt;0,COUNTIF(BK:BW,11516),"")</f>
        <v/>
      </c>
      <c r="CD280" s="64" t="str">
        <f>IF(CE280&lt;&gt;"","Xingyiquan F","")</f>
        <v/>
      </c>
      <c r="CE280" s="64" t="str">
        <f>IF(COUNTIF(BK:BW,12516)&gt;0,COUNTIF(BK:BW,12516),"")</f>
        <v/>
      </c>
      <c r="CF280" s="52" t="str">
        <f xml:space="preserve"> IF(Atletas!V276="","",IF(Atletas!V276="Duilian de Mãos AB - Equipe 1",1,IF(Atletas!V276="Duilian de Mãos AB - Equipe 2",2,IF(Atletas!V276="Duilian de Armas AB - Equipe 1",3,IF(Atletas!V276="Duilian de Armas AB - Equipe 2",4,IF(Atletas!V276="Duilian de Tuishou - Equipe 1",5,IF(Atletas!V276="Duilian de Tuishou - Equipe 2",6,IF(Atletas!V276="Grupo Externo AB - Equipe 1",7,IF(Atletas!V276="Grupo Externo AB - Equipe 2",8,IF(Atletas!V276="Grupo Interno AB - Equipe 1",9,IF(Atletas!V276="Grupo Interno AB - Equipe 2",10,IF(Atletas!V276="Duilian de Mãos CD - Equipe 1",11,IF(Atletas!V276="Duilian de Mãos CD - Equipe 2",12,IF(Atletas!V276="Duilian de Armas CD - Equipe 1",13,IF(Atletas!V276="Duilian de Armas CD - Equipe 2",14,IF(Atletas!V276="Duilian de Tuishou - Equipe 1",15,IF(Atletas!V276="Duilian de Tuishou - Equipe 2",16,IF(Atletas!V276="Grupo Externo CDEF - Equipe 1",17,IF(Atletas!V276="Grupo Externo CDEF - Equipe 2",18,IF(Atletas!V276="Grupo Interno CDEF - Equipe 1",19,IF(Atletas!V276="Grupo Interno CDEF - Equipe 2",20,IF(Atletas!V276="Duilian de Mãos EF - Equipe 1",21,IF(Atletas!V276="Duilian de Mãos EF - Equipe 2",22,IF(Atletas!V276="Duilian de Armas EF - Equipe 1",23,IF(Atletas!V276="Duilian de Armas EF - Equipe 2",24,IF(Atletas!V276="Duilian de Tuishou - Equipe 1",25,IF(Atletas!V276="Duilian de Tuishou - Equipe 2",26,"")))))))))))))))))))))))))))</f>
        <v/>
      </c>
    </row>
    <row r="281" spans="2:84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 t="str">
        <f t="array" ref="V281">IFERROR(INDEX(BX$7:BX$336,SMALL(IF(BX$7:BX$336&lt;&gt;"",ROW(BX$7:BX$336)-ROW(BX$7)+1),ROWS(BX$7:BX238))),"")</f>
        <v/>
      </c>
      <c r="W281" s="4" t="str">
        <f t="array" ref="W281">IFERROR(INDEX(BY$7:BY$336,SMALL(IF(BY$7:BY$336&lt;&gt;"",ROW(BY$7:BY$336)-ROW(BY$7)+1),ROWS(BY$7:BY238))),"")</f>
        <v/>
      </c>
      <c r="X281" s="4" t="str">
        <f t="array" ref="X281">IFERROR(INDEX(BZ$7:BZ$336,SMALL(IF(BZ$7:BZ$336&lt;&gt;"",ROW(BZ$7:BZ$336)-ROW(BZ$7)+1),ROWS(BZ$7:BZ238))),"")</f>
        <v/>
      </c>
      <c r="Y281" s="4" t="str">
        <f t="array" ref="Y281">IFERROR(INDEX(CA$7:CA$336,SMALL(IF(CA$7:CA$336&lt;&gt;"",ROW(CA$7:CA$336)-ROW(CA$7)+1),ROWS(CA$7:CA238))),"")</f>
        <v/>
      </c>
      <c r="Z281" s="4" t="str">
        <f t="array" ref="Z281">IFERROR(INDEX(CB$7:CB$378,SMALL(IF(CB$7:CB$378&lt;&gt;"",ROW(CB$7:CB$378)-ROW(CB$7)+1),ROWS(CB$7:CB280))),"")</f>
        <v/>
      </c>
      <c r="AA281" s="4" t="str">
        <f t="array" ref="AA281">IFERROR(INDEX(CC$7:CC$378,SMALL(IF(CC$7:CC$378&lt;&gt;"",ROW(CC$7:CC$378)-ROW(CC$7)+1),ROWS(CC$7:CC280))),"")</f>
        <v/>
      </c>
      <c r="AB281" s="4" t="str">
        <f t="array" ref="AB281">IFERROR(INDEX(CD$7:CD$378,SMALL(IF(CD$7:CD$378&lt;&gt;"",ROW(CD$7:CD$378)-ROW(CD$7)+1),ROWS(CD$7:CD280))),"")</f>
        <v/>
      </c>
      <c r="AC281" s="4" t="str">
        <f t="array" ref="AC281">IFERROR(INDEX(CE$7:CE$378,SMALL(IF(CE$7:CE$378&lt;&gt;"",ROW(CE$7:CE$378)-ROW(CE$7)+1),ROWS(CE$7:CE280))),"")</f>
        <v/>
      </c>
      <c r="AD281" s="4"/>
      <c r="AE281" s="4"/>
      <c r="AF281" s="4"/>
      <c r="AG281" s="4"/>
      <c r="AH281" s="4"/>
      <c r="AI281" s="4"/>
      <c r="AJ281" s="46" t="str">
        <f>IF(Atletas!D277="","",IF(Atletas!B277="Feminino",100,IF(Atletas!B277="Masculino",200,""))+(IF(Atletas!D277="Infantil 39kg",1,IF(Atletas!D277="Infantil 42kg",2,IF(Atletas!D277="Infantil 45kg",3,IF(Atletas!D277="Infantil 48kg",4,IF(Atletas!D277="Infantil 52kg",5,IF(Atletas!D277="Infantil 56kg",6,IF(Atletas!D277="Infantil 60kg",7,IF(Atletas!D277="Juvenil 48kg",8,IF(Atletas!D277="Juvenil 52kg",9,IF(Atletas!D277="Juvenil 56kg",10,IF(Atletas!D277="Juvenil 60kg",11,IF(Atletas!D277="Juvenil 65kg",12,IF(Atletas!D277="Juvenil 70kg",13,IF(Atletas!D277="Juvenil 75kg",14,IF(Atletas!D277="Juvenil 80kg",15,IF(Atletas!D277="Adulto 48kg",16,IF(Atletas!D277="Adulto 52kg",17,IF(Atletas!D277="Adulto 56kg",18,IF(Atletas!D277="Adulto 60kg",19,IF(Atletas!D277="Adulto 65kg",20,IF(Atletas!D277="Adulto 70kg",21,IF(Atletas!D277="Adulto 75kg",22,IF(Atletas!D277="Adulto 80kg",23,IF(Atletas!D277="Adulto 85kg",24,IF(Atletas!D277="Adulto 90kg",25,IF(Atletas!D277="Adulto +90kg",26,""))))))))))))))))))))))))))))</f>
        <v/>
      </c>
      <c r="AO281" s="10" t="str">
        <f>IF(Atletas!E277="","",IF(Atletas!B277="Feminino",100,IF(Atletas!B277="Masculino",200,""))+(IF(Atletas!E277="Juvenil 44kg",1,IF(Atletas!E277="Juvenil 48kg",2,IF(Atletas!E277="Juvenil 52kg",3,IF(Atletas!E277="Juvenil 56kg",4,IF(Atletas!E277="Juvenil 60kg",5,IF(Atletas!E277="Juvenil 65kg",6,IF(Atletas!E277="Juvenil 70kg",7,IF(Atletas!E277="Juvenil 75kg",8,IF(Atletas!E277="Juvenil 82kg",9,IF(Atletas!E277="Juvenil 90kg",10,IF(Atletas!E277="Juvenil 100kg",11,IF(Atletas!E277="Adulto 48kg",12,IF(Atletas!E277="Adulto 52kg",13,IF(Atletas!E277="Adulto 56kg",14,IF(Atletas!E277="Adulto 60kg",15,IF(Atletas!E277="Adulto 65kg",16,IF(Atletas!E277="Adulto 70kg",17,IF(Atletas!E277="Adulto 75kg",18,IF(Atletas!E277="Adulto 82kg",19,IF(Atletas!E277="Adulto 90kg",20,IF(Atletas!E277="Adulto 100kg",21,IF(Atletas!E277="Adulto +100kg",22,""))))))))))))))))))))))))</f>
        <v/>
      </c>
      <c r="AT281" s="10" t="str">
        <f>IF(Atletas!F277="","",IF(Atletas!B277="Feminino",100,IF(Atletas!B277="Masculino",200,""))+(IF(Atletas!F277="Adulto 48kg",1,IF(Atletas!F277="Adulto 56kg",2,IF(Atletas!F277="Adulto 65kg",3,IF(Atletas!F277="Adulto 75kg",4,IF(Atletas!F277="Adulto +75kg",5,IF(Atletas!F277="Adulto 52kg",6,IF(Atletas!F277="Adulto 60kg",7,IF(Atletas!F277="Adulto 70kg",8,IF(Atletas!F277="Adulto 80kg",9,IF(Atletas!F277="Adulto 90kg",10,IF(Atletas!F277="Adulto +90kg",11,"")))))))))))))</f>
        <v/>
      </c>
      <c r="AY281" s="46" t="str">
        <f>IF(Atletas!G277="","",IF(Atletas!B277="Feminino",100,IF(Atletas!B277="Masculino",200,""))+(IF(Atletas!G277="Changquan Mirim",1,IF(Atletas!G277="Nanquan Mirim",2,IF(Atletas!G277="Taijiquan Mirim",3,IF(Atletas!G277="Changquan Grupo C",4,IF(Atletas!G277="Nanquan Grupo C",5,IF(Atletas!G277="Taijiquan Grupo C",6,IF(Atletas!G277="Changquan Grupo B",7,IF(Atletas!G277="Nanquan Grupo B",8,IF(Atletas!G277="Taijiquan Grupo B",9,IF(Atletas!G277="Changquan Grupo A",10,IF(Atletas!G277="Nanquan Grupo A",11,IF(Atletas!G277="Taijiquan Grupo A",12,IF(Atletas!G277="Changquan Opcional",13,IF(Atletas!G277="Nanquan Opcional",14,IF(Atletas!G277="Taijiquan Opcional",15,IF(Atletas!G277="Changquan Adulto",16,IF(Atletas!G277="Nanquan Adulto",17,IF(Atletas!G277="Taijiquan Adulto",18,""))))))))))))))))))))</f>
        <v/>
      </c>
      <c r="AZ281" s="46" t="str">
        <f>IF(Atletas!H277="","",IF(Atletas!B277="Feminino",100,IF(Atletas!B277="Masculino",200,""))+(IF(Atletas!H277="Daoshu Mirim",19,IF(Atletas!H277="Jianshu Mirim",20,IF(Atletas!H277="Nandao Mirim",21,IF(Atletas!H277="Taijijian Mirim",22,IF(Atletas!H277="Daoshu Grupo C",23,IF(Atletas!H277="Jianshu Grupo C",24,IF(Atletas!H277="Nandao Grupo C",25,IF(Atletas!H277="Taijijian Grupo C",26,IF(Atletas!H277="Daoshu Grupo B",27,IF(Atletas!H277="Jianshu Grupo B",28,IF(Atletas!H277="Nandao Grupo B",29,IF(Atletas!H277="Taijijian Grupo B",30,IF(Atletas!H277="Daoshu Grupo A",31,IF(Atletas!H277="Jianshu Grupo A",32,IF(Atletas!H277="Nandao Grupo A",33,IF(Atletas!H277="Taijijian Grupo A",34,IF(Atletas!H277="Daoshu Opcional",35,IF(Atletas!H277="Jianshu Opcional",36,IF(Atletas!H277="Nandao Opcional",37,IF(Atletas!H277="Taijijian Opcional",38,IF(Atletas!H277="Daoshu Adulto",39,IF(Atletas!H277="Jianshu Adulto",40,IF(Atletas!H277="Nandao Adulto",41,IF(Atletas!H277="Taijijian Adulto",42,""))))))))))))))))))))))))))</f>
        <v/>
      </c>
      <c r="BA281" s="46" t="str">
        <f>IF(Atletas!I277="","",IF(Atletas!B277="Feminino",100,IF(Atletas!B277="Masculino",200,""))+(IF(Atletas!I277="Gunshu Mirim",43,IF(Atletas!I277="Qiangshu Mirim",44,IF(Atletas!I277="Nangun Mirim",45,IF(Atletas!I277="Gunshu Grupo C",46,IF(Atletas!I277="Qiangshu Grupo C",47,IF(Atletas!I277="Nangun Grupo C",48,IF(Atletas!I277="Gunshu Grupo B",49,IF(Atletas!I277="Qiangshu Grupo B",50,IF(Atletas!I277="Nangun Grupo B",51,IF(Atletas!I277="Gunshu Grupo A",52,IF(Atletas!I277="Qiangshu Grupo A",53,IF(Atletas!I277="Nangun Grupo A",54,IF(Atletas!I277="Gunshu Opcional",55,IF(Atletas!I277="Qiangshu Opcional",56,IF(Atletas!I277="Nangun Opcional",57,IF(Atletas!I277="Gunshu Adulto",58,IF(Atletas!I277="Qiangshu Adulto",59,IF(Atletas!I277="Nangun Adulto",60,""))))))))))))))))))))</f>
        <v/>
      </c>
      <c r="BF281" s="52" t="str">
        <f>IF(Atletas!J277="","",IF(Atletas!B277="Feminino",100,IF(Atletas!B277="Masculino",200,""))+(IF(Atletas!J277="Equipe 1 Grupo B",1,IF(Atletas!J277="Equipe 2 Grupo B",2,IF(Atletas!J277="Equipe 1 Grupo A",3,IF(Atletas!J277="Equipe 2 Grupo A",4,IF(Atletas!J277="Equipe 1 Adulto",5,IF(Atletas!J277="Equipe 2 Adulto",6,""))))))))</f>
        <v/>
      </c>
      <c r="BK281" s="52" t="str">
        <f>IF(Atletas!K277="","",IF(Atletas!W277&lt;&gt;"",10000,0)+(IF(Atletas!B277="Feminino",1000,IF(Atletas!B277="Masculino",2000,""))+IF(Atletas!K277="Choylayfut A",1,IF(Atletas!K277="Hunggar A",2,IF(Atletas!K277="Wuzuquan A",3,IF(Atletas!K277="Wingchun A",4,IF(Atletas!K277="Outra Mão de Sul A",5,IF(Atletas!K277="Choylayfut B",6,IF(Atletas!K277="Hunggar B",7,IF(Atletas!K277="Wuzuquan B",8,IF(Atletas!K277="Wingchun B",9,IF(Atletas!K277="Outra Mão de Sul B",10,IF(Atletas!K277="Choylayfut C",11,IF(Atletas!K277="Hunggar C",12,IF(Atletas!K277="Wuzuquan C",13,IF(Atletas!K277="Wingchun C",14,IF(Atletas!K277="Outra Mão de Sul C",15,IF(Atletas!K277="Choylayfut D",16,IF(Atletas!K277="Hunggar D",17,IF(Atletas!K277="Wuzuquan D",18,IF(Atletas!K277="Wingchun D",19,IF(Atletas!K277="Outra Mão de Sul D",20,IF(Atletas!K277="Choylayfut E",21,IF(Atletas!K277="Hunggar E",22,IF(Atletas!K277="Wuzuquan E",23,IF(Atletas!K277="Wingchun E",24,IF(Atletas!K277="Outra Mão de Sul E",25,IF(Atletas!K277="Choylayfut F",26,IF(Atletas!K277="Hunggar F",27,IF(Atletas!K277="Wuzuquan F",28,IF(Atletas!K277="Wingchun F",29,IF(Atletas!K277="Outra Mão de Sul F",30,""))))))))))))))))))))))))))))))))</f>
        <v/>
      </c>
      <c r="BL281" s="52" t="str">
        <f>IF(Atletas!L277="","",IF(Atletas!W277&lt;&gt;"",10000,0)+(IF(Atletas!B277="Feminino",1000,IF(Atletas!B277="Masculino",2000,""))+(IF(Atletas!L277="Chaquan A",101,IF(Atletas!L277="Emeiquan A",102,IF(Atletas!L277="Fanziquan A",103,IF(Atletas!L277="Huaquan A",104,IF(Atletas!L277="Hongquan A",105,IF(Atletas!L277="Paochui A",106,IF(Atletas!L277="Piguaquan A",107,IF(Atletas!L277="Shaolinquan A",108,IF(Atletas!L277="Tanglangquan A",109,IF(Atletas!L277="Yinzhaophai A",110,IF(Atletas!L277="Tongbeiquan A",111,IF(Atletas!L277="Wudangquan A",112,IF(Atletas!L277="Outros Estilos A",113,IF(Atletas!L277="Chaquan B",114,IF(Atletas!L277="Emeiquan B",115,IF(Atletas!L277="Fanziquan B",116,IF(Atletas!L277="Huaquan B",117,IF(Atletas!L277="Hongquan B",118,IF(Atletas!L277="Paochui B",119,IF(Atletas!L277="Piguaquan B",120,IF(Atletas!L277="Shaolinquan B",121,IF(Atletas!L277="Tanglangquan B",122,IF(Atletas!L277="Yinzhaophai B",123,IF(Atletas!L277="Tongbeiquan B",124,IF(Atletas!L277="Wudangquan B",125,IF(Atletas!L277="Outros Estilos B",126,IF(Atletas!L277="Chaquan C",127,IF(Atletas!L277="Emeiquan C",128,IF(Atletas!L277="Fanziquan C",129,IF(Atletas!L277="Huaquan C",130,IF(Atletas!L277="Hongquan C",131,IF(Atletas!L277="Paochui C",132,IF(Atletas!L277="Piguaquan C",133,IF(Atletas!L277="Shaolinquan C",134,IF(Atletas!L277="Tanglangquan C",135,IF(Atletas!L277="Yinzhaophai C",136,IF(Atletas!L277="Tongbeiquan C",137,IF(Atletas!L277="Wudangquan C",138,IF(Atletas!L277="Outros Estilos C",139,0))))))))))))))))))))))))))))))))))))))))))</f>
        <v/>
      </c>
      <c r="BM281" s="52" t="str">
        <f>IF(Atletas!L277="","",IF(Atletas!W277&lt;&gt;"",10000,0)+(IF(Atletas!B277="Feminino",1000,IF(Atletas!B277="Masculino",2000,""))+(IF(Atletas!L277="Chaquan D",140,IF(Atletas!L277="Emeiquan D",141,IF(Atletas!L277="Fanziquan D",142,IF(Atletas!L277="Huaquan D",143,IF(Atletas!L277="Hongquan D",144,IF(Atletas!L277="Paochui D",145,IF(Atletas!L277="Piguaquan D",146,IF(Atletas!L277="Shaolinquan D",147,IF(Atletas!L277="Tanglangquan D",148,IF(Atletas!L277="Yinzhaophai D",149,IF(Atletas!L277="Tongbeiquan D",150,IF(Atletas!L277="Wudangquan D",151,IF(Atletas!L277="Outros Estilos D",152,IF(Atletas!L277="Chaquan E",153,IF(Atletas!L277="Emeiquan E",154,IF(Atletas!L277="Fanziquan E",155,IF(Atletas!L277="Huaquan E",156,IF(Atletas!L277="Hongquan E",157,IF(Atletas!L277="Paochui E",158,IF(Atletas!L277="Piguaquan E",159,IF(Atletas!L277="Shaolinquan E",160,IF(Atletas!L277="Tanglangquan E",161,IF(Atletas!L277="Yinzhaophai E",162,IF(Atletas!L277="Tongbeiquan E",163,IF(Atletas!L277="Wudangquan E",164,IF(Atletas!L277="Outros Estilos E",165,IF(Atletas!L277="Chaquan F",166,IF(Atletas!L277="Emeiquan F",167,IF(Atletas!L277="Fanziquan F",168,IF(Atletas!L277="Huaquan F",169,IF(Atletas!L277="Hongquan F",170,IF(Atletas!L277="Paochui F",171,IF(Atletas!L277="Piguaquan F",172,IF(Atletas!L277="Shaolinquan F",173,IF(Atletas!L277="Tanglangquan F",174,IF(Atletas!L277="Yinzhaophai F",175,IF(Atletas!L277="Tongbeiquan F",176,IF(Atletas!L277="Wudangquan F",177,IF(Atletas!L277="Outros Estilos F",178,0))))))))))))))))))))))))))))))))))))))))))</f>
        <v/>
      </c>
      <c r="BN281" s="52" t="str">
        <f>IF(Atletas!M277="","",IF(Atletas!W277&lt;&gt;"",10000,0)+(IF(Atletas!B277="Feminino",1000,IF(Atletas!B277="Masculino",2000,""))+(IF(Atletas!M277="Ditangquan A",201,IF(Atletas!M277="Houquan A",202,IF(Atletas!M277="Zuiquan A",203,IF(Atletas!M277="Ditangquan B",204,IF(Atletas!M277="Houquan B",205,IF(Atletas!M277="Zuiquan B",206,IF(Atletas!M277="Ditangquan C",207,IF(Atletas!M277="Houquan C",208,IF(Atletas!M277="Zuiquan C",209,IF(Atletas!M277="Ditangquan D",210,IF(Atletas!M277="Houquan D",211,IF(Atletas!M277="Zuiquan D",212,IF(Atletas!M277="Ditangquan E",213,IF(Atletas!M277="Houquan E",214,IF(Atletas!M277="Zuiquan E",215,IF(Atletas!M277="Ditangquan F",216,IF(Atletas!M277="Houquan F",217,IF(Atletas!M277="Zuiquan F",218,"")))))))))))))))))))))</f>
        <v/>
      </c>
      <c r="BO281" s="52" t="str">
        <f>IF(Atletas!N277="","",IF(Atletas!W277&lt;&gt;"",10000,0)+IF(Atletas!B277="Feminino",1000,IF(Atletas!B277="Masculino",2000,""))+IF(Atletas!N277="Yang A",301,IF(Atletas!N277="Chen A",30,IF(Atletas!N277="Sun A",303,IF(Atletas!N277="Wu A",304,IF(Atletas!N277="Wu-Hao A",305,IF(Atletas!N277="Outro Taijiquan A",306,IF(Atletas!N277="Yang B",307,IF(Atletas!N277="Chen B",308,IF(Atletas!N277="Sun B",309,IF(Atletas!N277="Wu B",310,IF(Atletas!N277="Wu-Hao B",311,IF(Atletas!N277="Outro Taijiquan B",312,IF(Atletas!N277="Yang C",313,IF(Atletas!N277="Chen C",314,IF(Atletas!N277="Sun C",315,IF(Atletas!N277="Wu C",316,IF(Atletas!N277="Wu-Hao C",317,IF(Atletas!N277="Outro Taijiquan C",318,IF(Atletas!N277="Yang D",319,IF(Atletas!N277="Chen D",320,IF(Atletas!N277="Sun D",321,IF(Atletas!N277="Wu D",322,IF(Atletas!N277="Wu-Hao D",323,IF(Atletas!N277="Outro Taijiquan D",324,IF(Atletas!N277="Yang E",325,IF(Atletas!N277="Chen E",326,IF(Atletas!N277="Sun E",327,IF(Atletas!N277="Wu E",328,IF(Atletas!N277="Wu-Hao E",329,IF(Atletas!N277="Outro Taijiquan E",330,IF(Atletas!N277="Yang F",331,IF(Atletas!N277="Chen F",332,IF(Atletas!N277="Sun F",333,IF(Atletas!N277="Wu F",334,IF(Atletas!N277="Wu-Hao F",335,IF(Atletas!N277="Outro Taijiquan F",336,"")))))))))))))))))))))))))))))))))))))</f>
        <v/>
      </c>
      <c r="BP281" s="52" t="str">
        <f>IF(Atletas!O277="","",IF(Atletas!W277&lt;&gt;"",10000,0)+IF(Atletas!B277="Feminino",1000,IF(Atletas!B277="Masculino",2000,""))+IF(OR(Atletas!O277="Yang 26 A",Atletas!O277="Yang 40 A"),401,IF(OR(Atletas!O277="Chen 25 A",Atletas!O277="Chen 36 A",Atletas!O277="Chen 56 A"),402,IF(Atletas!O277="Sun 73 A",403,IF(Atletas!O277="Wu 45 A",404,IF(Atletas!O277="Wu-Hao 46 A",405,IF(OR(Atletas!O277="Taijiquan 16 A",Atletas!O277="Taijiquan 24 A",Atletas!O277="Taijiquan 32 A",Atletas!O277="Taijiquan 42 A"),406,IF(OR(Atletas!O277="Yang 26 B",Atletas!O277="Yang 40 B"),407,IF(OR(Atletas!O277="Chen 25 B",Atletas!O277="Chen 36 B",Atletas!O277="Chen 56 B"),408,IF(Atletas!O277="Sun 73 B",409,IF(Atletas!O277="Wu 45 B",410,IF(Atletas!O277="Wu-Hao 46 B",411,IF(OR(Atletas!O277="Taijiquan 16 B",Atletas!O277="Taijiquan 24 B",Atletas!O277="Taijiquan 32 B",Atletas!O277="Taijiquan 42 B"),412,IF(OR(Atletas!O277="Yang 26 C",Atletas!O277="Yang 40 C"),413,IF(OR(Atletas!O277="Chen 25 C",Atletas!O277="Chen 36 C",Atletas!O277="Chen 56 C"),414,IF(Atletas!O277="Sun 73 C",415,IF(Atletas!O277="Wu 45 C",416,IF(Atletas!O277="Wu-Hao 46 C",417,IF(OR(Atletas!O277="Taijiquan 16 C",Atletas!O277="Taijiquan 24 C",Atletas!O277="Taijiquan 32 C",Atletas!O277="Taijiquan 42 C"),418,0)))))))))))))))))))</f>
        <v/>
      </c>
      <c r="BQ281" s="52" t="str">
        <f>IF(Atletas!O277="","",IF(Atletas!W277&lt;&gt;"",10000,0)+IF(Atletas!B277="Feminino",1000,IF(Atletas!B277="Masculino",2000,""))+IF(OR(Atletas!O277="Yang 26 D",Atletas!O277="Yang 40 D"),419,IF(OR(Atletas!O277="Chen 25 D",Atletas!O277="Chen 36 D",Atletas!O277="Chen 56 D"),420,IF(Atletas!O277="Sun 73 D",421,IF(Atletas!O277="Wu 45 D",422,IF(Atletas!O277="Wu-Hao 46 D",423,IF(OR(Atletas!O277="Taijiquan 16 D",Atletas!O277="Taijiquan 24 D",Atletas!O277="Taijiquan 32 D",Atletas!O277="Taijiquan 42 D"),424,IF(OR(Atletas!O277="Yang 26 E",Atletas!O277="Yang 40 E"),425,IF(OR(Atletas!O277="Chen 25 E",Atletas!O277="Chen 36 E",Atletas!O277="Chen 56 E"),426,IF(Atletas!O277="Sun 73 E",427,IF(Atletas!O277="Wu 45 E",428,IF(Atletas!O277="Wu-Hao 46 E",429,IF(OR(Atletas!O277="Taijiquan 16 E",Atletas!O277="Taijiquan 24 E",Atletas!O277="Taijiquan 32 E",Atletas!O277="Taijiquan 42 E"),430,IF(OR(Atletas!O277="Yang 26 F",Atletas!O277="Yang 40 F"),431,IF(OR(Atletas!O277="Chen 25 F",Atletas!O277="Chen 36 F",Atletas!O277="Chen 56 F"),432,IF(Atletas!O277="Sun 73 F",433,IF(Atletas!O277="Wu 45 F",434,IF(Atletas!O277="Wu-Hao 46 F",435,IF(OR(Atletas!O277="Taijiquan 16 F",Atletas!O277="Taijiquan 24 F",Atletas!O277="Taijiquan 32 F",Atletas!O277="Taijiquan 42 F"),436,0)))))))))))))))))))</f>
        <v/>
      </c>
      <c r="BR281" s="52" t="str">
        <f>IF(Atletas!P277="","",IF(Atletas!W277&lt;&gt;"",10000,0)+IF(Atletas!B277="Feminino",1000,IF(Atletas!B277="Masculino",2000,""))+IF(Atletas!P277="Xingyiquan A",501,IF(Atletas!P277="Baguazhang A",502,IF(Atletas!P277="Outro Estilo Interno A",503,IF(Atletas!P277="Xingyiquan B",504,IF(Atletas!P277="Baguazhang B",505,IF(Atletas!P277="Outro Estilo Interno B",506,IF(Atletas!P277="Xingyiquan C",507,IF(Atletas!P277="Baguazhang C",508,IF(Atletas!P277="Outro Estilo Interno C",509,IF(Atletas!P277="Xingyiquan D",510,IF(Atletas!P277="Baguazhang D",511,IF(Atletas!P277="Outro Estilo Interno D",512,IF(Atletas!P277="Xingyiquan E",513,IF(Atletas!P277="Baguazhang E",514,IF(Atletas!P277="Outro Estilo Interno E",515,IF(Atletas!P277="Xingyiquan F",516,IF(Atletas!P277="Baguazhang F",517,IF(Atletas!P277="Outro Estilo Interno F",518, "")))))))))))))))))))</f>
        <v/>
      </c>
      <c r="BS281" s="52" t="str">
        <f>IF(Atletas!Q277="","",IF(Atletas!W277&lt;&gt;"",10000,0)+IF(Atletas!B277="Feminino",1000,IF(Atletas!B277="Masculino",2000,""))+IF(Atletas!Q277="Dao A",601,IF(Atletas!Q277="Jian A",602,IF(Atletas!Q277="Bishou A",603,IF(Atletas!Q277="Shan A",604,IF(Atletas!Q277="Outra Arma Curta A",605,IF(Atletas!Q277="Dao B",606,IF(Atletas!Q277="Jian B",607,IF(Atletas!Q277="Bishou B",608,IF(Atletas!Q277="Shan B",609,IF(Atletas!Q277="Outra Arma Curta B",610,IF(Atletas!Q277="Dao C",611,IF(Atletas!Q277="Jian C",612,IF(Atletas!Q277="Bishou C",613,IF(Atletas!Q277="Shan C",614,IF(Atletas!Q277="Outra Arma Curta C",615,IF(Atletas!Q277="Dao D",616,IF(Atletas!Q277="Jian D",617,IF(Atletas!Q277="Bishou D",618,IF(Atletas!Q277="Shan D",619,IF(Atletas!Q277="Outra Arma Curta D",620,IF(Atletas!Q277="Dao E",621,IF(Atletas!Q277="Jian E",622,IF(Atletas!Q277="Bishou E",623,IF(Atletas!Q277="Shan E",624,IF(Atletas!Q277="Outra Arma Curta E",625,IF(Atletas!Q277="Dao F",626,IF(Atletas!Q277="Jian F",627,IF(Atletas!Q277="Bishou F",628,IF(Atletas!Q277="Shan F",629,IF(Atletas!Q277="Outra Arma Curta F",630, "")))))))))))))))))))))))))))))))</f>
        <v/>
      </c>
      <c r="BT281" s="52" t="str">
        <f>IF(Atletas!R277="","",IF(Atletas!W277&lt;&gt;"",10000,0)+IF(Atletas!B277="Feminino",1000,IF(Atletas!B277="Masculino",2000,""))+IF(Atletas!R277="Gun A",701,IF(Atletas!R277="Qiang A",702,IF(Atletas!R277="Pudao / Guandao A",703,IF(Atletas!R277="Outra Arma Longa A",704,IF(Atletas!R277="Gun B",705,IF(Atletas!R277="Qiang B",706,IF(Atletas!R277="Pudao / Guandao B",707,IF(Atletas!R277="Outra Arma Longa B",708,IF(Atletas!R277="Gun C",709,IF(Atletas!R277="Qiang C",710,IF(Atletas!R277="Pudao / Guandao C",711,IF(Atletas!R277="Outra Arma Longa C",712,IF(Atletas!R277="Gun D",713,IF(Atletas!R277="Qiang D",714,IF(Atletas!R277="Pudao / Guandao D",715,IF(Atletas!R277="Outra Arma Longa D",716,IF(Atletas!R277="Gun E",717,IF(Atletas!R277="Qiang E",718,IF(Atletas!R277="Pudao / Guandao E",719,IF(Atletas!R277="Outra Arma Longa E",720,IF(Atletas!R277="Gun F",721,IF(Atletas!R277="Qiang F",722,IF(Atletas!R277="Pudao / Guandao F",723,IF(Atletas!R277="Outra Arma Longa F",724,"")))))))))))))))))))))))))</f>
        <v/>
      </c>
      <c r="BU281" s="52" t="str">
        <f>IF(Atletas!S277="","",IF(Atletas!W277&lt;&gt;"",10000,0)+IF(Atletas!B277="Feminino",1000,IF(Atletas!B277="Masculino",2000,""))+IF(Atletas!S277="Arma Dupla A",801,IF(Atletas!S277="Arma Maleável A",802,IF(Atletas!S277="Arma Dupla B",803,IF(Atletas!S277="Arma Maleável B",804,IF(Atletas!S277="Arma Dupla C",805,IF(Atletas!S277="Arma Maleável C",806,IF(Atletas!S277="Arma Dupla D",807,IF(Atletas!S277="Arma Maleável D",808,IF(Atletas!S277="Arma Dupla E",809,IF(Atletas!S277="Arma Maleável E",810,IF(Atletas!S277="Arma Dupla F",811,IF(Atletas!S277="Arma Maleável F",812, "")))))))))))))</f>
        <v/>
      </c>
      <c r="BV281" s="52" t="str">
        <f>IF(Atletas!T277="","",IF(Atletas!W277&lt;&gt;"",10000,0)+IF(Atletas!B277="Feminino",1000,IF(Atletas!B277="Masculino",2000,""))+IF(Atletas!T277="Taijijian Yang A",901,IF(Atletas!T277="Taijijian Chen A",902,IF(Atletas!T277="Taijijian Sun A",903,IF(Atletas!T277="Taijijian Wu A",904,IF(Atletas!T277="Taijijian Wu-Hao A",905,IF(Atletas!T277="Taijijian 32 A",906,IF(Atletas!T277="Taijijian 42 A",907,IF(Atletas!T277="Taijijian Yang B",908,IF(Atletas!T277="Taijijian Chen B",909,IF(Atletas!T277="Taijijian Sun B",910,IF(Atletas!T277="Taijijian Wu B",911,IF(Atletas!T277="Taijijian Wu-Hao B",912,IF(Atletas!T277="Taijijian 32 B",913,IF(Atletas!T277="Taijijian 42 B",914,IF(Atletas!T277="Taijijian Yang C",915,IF(Atletas!T277="Taijijian Chen C",916,IF(Atletas!T277="Taijijian Sun C",917,IF(Atletas!T277="Taijijian Wu C",918,IF(Atletas!T277="Taijijian Wu-Hao C",919,IF(Atletas!T277="Taijijian 32 C",920,IF(Atletas!T277="Taijijian 42 C",921,IF(Atletas!T277="Taijijian Yang D",922,IF(Atletas!T277="Taijijian Chen D",923,IF(Atletas!T277="Taijijian Sun D",924,IF(Atletas!T277="Taijijian Wu D",925,IF(Atletas!T277="Taijijian Wu-Hao D",926,IF(Atletas!T277="Taijijian 32 D",927,IF(Atletas!T277="Taijijian 42 D",928,IF(Atletas!T277="Taijijian Yang E",929,IF(Atletas!T277="Taijijian Chen E",930,IF(Atletas!T277="Taijijian Sun E",931,IF(Atletas!T277="Taijijian Wu E",932,IF(Atletas!T277="Taijijian Wu-Hao E",933,IF(Atletas!T277="Taijijian 32 E",934,IF(Atletas!T277="Taijijian 42 E",935,IF(Atletas!T277="Taijijian Yang F",936,IF(Atletas!T277="Taijijian Chen F",937,IF(Atletas!T277="Taijijian Sun F",938,IF(Atletas!T277="Taijijian Wu F",939,IF(Atletas!T277="Taijijian Wu-Hao F",940,IF(Atletas!T277="Taijijian 32 F",941,IF(Atletas!T277="Taijijian 42 F",942,"")))))))))))))))))))))))))))))))))))))))))))</f>
        <v/>
      </c>
      <c r="BW281" s="52" t="str">
        <f>IF(Atletas!U277="","",IF(Atletas!W277&lt;&gt;"",10000,0)+IF(Atletas!B277="Feminino",1000,IF(Atletas!B277="Masculino",2000,""))+IF(Atletas!T277="Taijijian 42 F",942,IF(Atletas!U277="Taijidao A",943,IF(Atletas!U277="Taijishan A",944,IF(Atletas!U277="Taijiqiang A",945,IF(Atletas!U277="Taijidao B",946,IF(Atletas!U277="Taijishan B",947,IF(Atletas!U277="Taijiqiang B",948,IF(Atletas!U277="Taijidao C",949,IF(Atletas!U277="Taijishan C",950,IF(Atletas!U277="Taijiqiang C",951,IF(Atletas!U277="Taijidao D",952,IF(Atletas!U277="Taijishan D",953,IF(Atletas!U277="Taijiqiang D",954,IF(Atletas!U277="Taijidao E",955,IF(Atletas!U277="Taijishan E",956,IF(Atletas!U277="Taijiqiang E",957,IF(Atletas!U277="Taijidao F",958,IF(Atletas!U277="Taijishan F",959,IF(Atletas!U277="Taijiqiang F",960))))))))))))))))))))</f>
        <v/>
      </c>
      <c r="BX281" s="72" t="str">
        <f>IF(BY281&lt;&gt;"","Arma Dupla C","")</f>
        <v/>
      </c>
      <c r="BY281" s="72" t="str">
        <f>IF(COUNTIF(BK:BW,1805)&gt;0,COUNTIF(BK:BW,1805),"")</f>
        <v/>
      </c>
      <c r="BZ281" s="72" t="str">
        <f>IF(CA281&lt;&gt;"","Arma Dupla C","")</f>
        <v/>
      </c>
      <c r="CA281" s="72" t="str">
        <f>IF(COUNTIF(BK:BW,2805)&gt;0,COUNTIF(BK:BW,2805),"")</f>
        <v/>
      </c>
      <c r="CB281" s="72" t="str">
        <f>IF(CC281&lt;&gt;"","Baguazhang F ","")</f>
        <v/>
      </c>
      <c r="CC281" s="64" t="str">
        <f>IF(COUNTIF(BK:BW,11517)&gt;0,COUNTIF(BK:BW,11517),"")</f>
        <v/>
      </c>
      <c r="CD281" s="64" t="str">
        <f>IF(CE281&lt;&gt;"","Baguazhang F ","")</f>
        <v/>
      </c>
      <c r="CE281" s="64" t="str">
        <f>IF(COUNTIF(BK:BW,12517)&gt;0,COUNTIF(BK:BW,12517),"")</f>
        <v/>
      </c>
      <c r="CF281" s="52" t="str">
        <f xml:space="preserve"> IF(Atletas!V277="","",IF(Atletas!V277="Duilian de Mãos AB - Equipe 1",1,IF(Atletas!V277="Duilian de Mãos AB - Equipe 2",2,IF(Atletas!V277="Duilian de Armas AB - Equipe 1",3,IF(Atletas!V277="Duilian de Armas AB - Equipe 2",4,IF(Atletas!V277="Duilian de Tuishou - Equipe 1",5,IF(Atletas!V277="Duilian de Tuishou - Equipe 2",6,IF(Atletas!V277="Grupo Externo AB - Equipe 1",7,IF(Atletas!V277="Grupo Externo AB - Equipe 2",8,IF(Atletas!V277="Grupo Interno AB - Equipe 1",9,IF(Atletas!V277="Grupo Interno AB - Equipe 2",10,IF(Atletas!V277="Duilian de Mãos CD - Equipe 1",11,IF(Atletas!V277="Duilian de Mãos CD - Equipe 2",12,IF(Atletas!V277="Duilian de Armas CD - Equipe 1",13,IF(Atletas!V277="Duilian de Armas CD - Equipe 2",14,IF(Atletas!V277="Duilian de Tuishou - Equipe 1",15,IF(Atletas!V277="Duilian de Tuishou - Equipe 2",16,IF(Atletas!V277="Grupo Externo CDEF - Equipe 1",17,IF(Atletas!V277="Grupo Externo CDEF - Equipe 2",18,IF(Atletas!V277="Grupo Interno CDEF - Equipe 1",19,IF(Atletas!V277="Grupo Interno CDEF - Equipe 2",20,IF(Atletas!V277="Duilian de Mãos EF - Equipe 1",21,IF(Atletas!V277="Duilian de Mãos EF - Equipe 2",22,IF(Atletas!V277="Duilian de Armas EF - Equipe 1",23,IF(Atletas!V277="Duilian de Armas EF - Equipe 2",24,IF(Atletas!V277="Duilian de Tuishou - Equipe 1",25,IF(Atletas!V277="Duilian de Tuishou - Equipe 2",26,"")))))))))))))))))))))))))))</f>
        <v/>
      </c>
    </row>
    <row r="282" spans="2:84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 t="str">
        <f t="array" ref="V282">IFERROR(INDEX(BX$7:BX$336,SMALL(IF(BX$7:BX$336&lt;&gt;"",ROW(BX$7:BX$336)-ROW(BX$7)+1),ROWS(BX$7:BX239))),"")</f>
        <v/>
      </c>
      <c r="W282" s="4" t="str">
        <f t="array" ref="W282">IFERROR(INDEX(BY$7:BY$336,SMALL(IF(BY$7:BY$336&lt;&gt;"",ROW(BY$7:BY$336)-ROW(BY$7)+1),ROWS(BY$7:BY239))),"")</f>
        <v/>
      </c>
      <c r="X282" s="4" t="str">
        <f t="array" ref="X282">IFERROR(INDEX(BZ$7:BZ$336,SMALL(IF(BZ$7:BZ$336&lt;&gt;"",ROW(BZ$7:BZ$336)-ROW(BZ$7)+1),ROWS(BZ$7:BZ239))),"")</f>
        <v/>
      </c>
      <c r="Y282" s="4" t="str">
        <f t="array" ref="Y282">IFERROR(INDEX(CA$7:CA$336,SMALL(IF(CA$7:CA$336&lt;&gt;"",ROW(CA$7:CA$336)-ROW(CA$7)+1),ROWS(CA$7:CA239))),"")</f>
        <v/>
      </c>
      <c r="Z282" s="4" t="str">
        <f t="array" ref="Z282">IFERROR(INDEX(CB$7:CB$378,SMALL(IF(CB$7:CB$378&lt;&gt;"",ROW(CB$7:CB$378)-ROW(CB$7)+1),ROWS(CB$7:CB281))),"")</f>
        <v/>
      </c>
      <c r="AA282" s="4" t="str">
        <f t="array" ref="AA282">IFERROR(INDEX(CC$7:CC$378,SMALL(IF(CC$7:CC$378&lt;&gt;"",ROW(CC$7:CC$378)-ROW(CC$7)+1),ROWS(CC$7:CC281))),"")</f>
        <v/>
      </c>
      <c r="AB282" s="4" t="str">
        <f t="array" ref="AB282">IFERROR(INDEX(CD$7:CD$378,SMALL(IF(CD$7:CD$378&lt;&gt;"",ROW(CD$7:CD$378)-ROW(CD$7)+1),ROWS(CD$7:CD281))),"")</f>
        <v/>
      </c>
      <c r="AC282" s="4" t="str">
        <f t="array" ref="AC282">IFERROR(INDEX(CE$7:CE$378,SMALL(IF(CE$7:CE$378&lt;&gt;"",ROW(CE$7:CE$378)-ROW(CE$7)+1),ROWS(CE$7:CE281))),"")</f>
        <v/>
      </c>
      <c r="AD282" s="4"/>
      <c r="AE282" s="4"/>
      <c r="AF282" s="4"/>
      <c r="AG282" s="4"/>
      <c r="AH282" s="4"/>
      <c r="AI282" s="4"/>
      <c r="AJ282" s="46" t="str">
        <f>IF(Atletas!D278="","",IF(Atletas!B278="Feminino",100,IF(Atletas!B278="Masculino",200,""))+(IF(Atletas!D278="Infantil 39kg",1,IF(Atletas!D278="Infantil 42kg",2,IF(Atletas!D278="Infantil 45kg",3,IF(Atletas!D278="Infantil 48kg",4,IF(Atletas!D278="Infantil 52kg",5,IF(Atletas!D278="Infantil 56kg",6,IF(Atletas!D278="Infantil 60kg",7,IF(Atletas!D278="Juvenil 48kg",8,IF(Atletas!D278="Juvenil 52kg",9,IF(Atletas!D278="Juvenil 56kg",10,IF(Atletas!D278="Juvenil 60kg",11,IF(Atletas!D278="Juvenil 65kg",12,IF(Atletas!D278="Juvenil 70kg",13,IF(Atletas!D278="Juvenil 75kg",14,IF(Atletas!D278="Juvenil 80kg",15,IF(Atletas!D278="Adulto 48kg",16,IF(Atletas!D278="Adulto 52kg",17,IF(Atletas!D278="Adulto 56kg",18,IF(Atletas!D278="Adulto 60kg",19,IF(Atletas!D278="Adulto 65kg",20,IF(Atletas!D278="Adulto 70kg",21,IF(Atletas!D278="Adulto 75kg",22,IF(Atletas!D278="Adulto 80kg",23,IF(Atletas!D278="Adulto 85kg",24,IF(Atletas!D278="Adulto 90kg",25,IF(Atletas!D278="Adulto +90kg",26,""))))))))))))))))))))))))))))</f>
        <v/>
      </c>
      <c r="AO282" s="10" t="str">
        <f>IF(Atletas!E278="","",IF(Atletas!B278="Feminino",100,IF(Atletas!B278="Masculino",200,""))+(IF(Atletas!E278="Juvenil 44kg",1,IF(Atletas!E278="Juvenil 48kg",2,IF(Atletas!E278="Juvenil 52kg",3,IF(Atletas!E278="Juvenil 56kg",4,IF(Atletas!E278="Juvenil 60kg",5,IF(Atletas!E278="Juvenil 65kg",6,IF(Atletas!E278="Juvenil 70kg",7,IF(Atletas!E278="Juvenil 75kg",8,IF(Atletas!E278="Juvenil 82kg",9,IF(Atletas!E278="Juvenil 90kg",10,IF(Atletas!E278="Juvenil 100kg",11,IF(Atletas!E278="Adulto 48kg",12,IF(Atletas!E278="Adulto 52kg",13,IF(Atletas!E278="Adulto 56kg",14,IF(Atletas!E278="Adulto 60kg",15,IF(Atletas!E278="Adulto 65kg",16,IF(Atletas!E278="Adulto 70kg",17,IF(Atletas!E278="Adulto 75kg",18,IF(Atletas!E278="Adulto 82kg",19,IF(Atletas!E278="Adulto 90kg",20,IF(Atletas!E278="Adulto 100kg",21,IF(Atletas!E278="Adulto +100kg",22,""))))))))))))))))))))))))</f>
        <v/>
      </c>
      <c r="AT282" s="10" t="str">
        <f>IF(Atletas!F278="","",IF(Atletas!B278="Feminino",100,IF(Atletas!B278="Masculino",200,""))+(IF(Atletas!F278="Adulto 48kg",1,IF(Atletas!F278="Adulto 56kg",2,IF(Atletas!F278="Adulto 65kg",3,IF(Atletas!F278="Adulto 75kg",4,IF(Atletas!F278="Adulto +75kg",5,IF(Atletas!F278="Adulto 52kg",6,IF(Atletas!F278="Adulto 60kg",7,IF(Atletas!F278="Adulto 70kg",8,IF(Atletas!F278="Adulto 80kg",9,IF(Atletas!F278="Adulto 90kg",10,IF(Atletas!F278="Adulto +90kg",11,"")))))))))))))</f>
        <v/>
      </c>
      <c r="AY282" s="46" t="str">
        <f>IF(Atletas!G278="","",IF(Atletas!B278="Feminino",100,IF(Atletas!B278="Masculino",200,""))+(IF(Atletas!G278="Changquan Mirim",1,IF(Atletas!G278="Nanquan Mirim",2,IF(Atletas!G278="Taijiquan Mirim",3,IF(Atletas!G278="Changquan Grupo C",4,IF(Atletas!G278="Nanquan Grupo C",5,IF(Atletas!G278="Taijiquan Grupo C",6,IF(Atletas!G278="Changquan Grupo B",7,IF(Atletas!G278="Nanquan Grupo B",8,IF(Atletas!G278="Taijiquan Grupo B",9,IF(Atletas!G278="Changquan Grupo A",10,IF(Atletas!G278="Nanquan Grupo A",11,IF(Atletas!G278="Taijiquan Grupo A",12,IF(Atletas!G278="Changquan Opcional",13,IF(Atletas!G278="Nanquan Opcional",14,IF(Atletas!G278="Taijiquan Opcional",15,IF(Atletas!G278="Changquan Adulto",16,IF(Atletas!G278="Nanquan Adulto",17,IF(Atletas!G278="Taijiquan Adulto",18,""))))))))))))))))))))</f>
        <v/>
      </c>
      <c r="AZ282" s="46" t="str">
        <f>IF(Atletas!H278="","",IF(Atletas!B278="Feminino",100,IF(Atletas!B278="Masculino",200,""))+(IF(Atletas!H278="Daoshu Mirim",19,IF(Atletas!H278="Jianshu Mirim",20,IF(Atletas!H278="Nandao Mirim",21,IF(Atletas!H278="Taijijian Mirim",22,IF(Atletas!H278="Daoshu Grupo C",23,IF(Atletas!H278="Jianshu Grupo C",24,IF(Atletas!H278="Nandao Grupo C",25,IF(Atletas!H278="Taijijian Grupo C",26,IF(Atletas!H278="Daoshu Grupo B",27,IF(Atletas!H278="Jianshu Grupo B",28,IF(Atletas!H278="Nandao Grupo B",29,IF(Atletas!H278="Taijijian Grupo B",30,IF(Atletas!H278="Daoshu Grupo A",31,IF(Atletas!H278="Jianshu Grupo A",32,IF(Atletas!H278="Nandao Grupo A",33,IF(Atletas!H278="Taijijian Grupo A",34,IF(Atletas!H278="Daoshu Opcional",35,IF(Atletas!H278="Jianshu Opcional",36,IF(Atletas!H278="Nandao Opcional",37,IF(Atletas!H278="Taijijian Opcional",38,IF(Atletas!H278="Daoshu Adulto",39,IF(Atletas!H278="Jianshu Adulto",40,IF(Atletas!H278="Nandao Adulto",41,IF(Atletas!H278="Taijijian Adulto",42,""))))))))))))))))))))))))))</f>
        <v/>
      </c>
      <c r="BA282" s="46" t="str">
        <f>IF(Atletas!I278="","",IF(Atletas!B278="Feminino",100,IF(Atletas!B278="Masculino",200,""))+(IF(Atletas!I278="Gunshu Mirim",43,IF(Atletas!I278="Qiangshu Mirim",44,IF(Atletas!I278="Nangun Mirim",45,IF(Atletas!I278="Gunshu Grupo C",46,IF(Atletas!I278="Qiangshu Grupo C",47,IF(Atletas!I278="Nangun Grupo C",48,IF(Atletas!I278="Gunshu Grupo B",49,IF(Atletas!I278="Qiangshu Grupo B",50,IF(Atletas!I278="Nangun Grupo B",51,IF(Atletas!I278="Gunshu Grupo A",52,IF(Atletas!I278="Qiangshu Grupo A",53,IF(Atletas!I278="Nangun Grupo A",54,IF(Atletas!I278="Gunshu Opcional",55,IF(Atletas!I278="Qiangshu Opcional",56,IF(Atletas!I278="Nangun Opcional",57,IF(Atletas!I278="Gunshu Adulto",58,IF(Atletas!I278="Qiangshu Adulto",59,IF(Atletas!I278="Nangun Adulto",60,""))))))))))))))))))))</f>
        <v/>
      </c>
      <c r="BF282" s="52" t="str">
        <f>IF(Atletas!J278="","",IF(Atletas!B278="Feminino",100,IF(Atletas!B278="Masculino",200,""))+(IF(Atletas!J278="Equipe 1 Grupo B",1,IF(Atletas!J278="Equipe 2 Grupo B",2,IF(Atletas!J278="Equipe 1 Grupo A",3,IF(Atletas!J278="Equipe 2 Grupo A",4,IF(Atletas!J278="Equipe 1 Adulto",5,IF(Atletas!J278="Equipe 2 Adulto",6,""))))))))</f>
        <v/>
      </c>
      <c r="BK282" s="52" t="str">
        <f>IF(Atletas!K278="","",IF(Atletas!W278&lt;&gt;"",10000,0)+(IF(Atletas!B278="Feminino",1000,IF(Atletas!B278="Masculino",2000,""))+IF(Atletas!K278="Choylayfut A",1,IF(Atletas!K278="Hunggar A",2,IF(Atletas!K278="Wuzuquan A",3,IF(Atletas!K278="Wingchun A",4,IF(Atletas!K278="Outra Mão de Sul A",5,IF(Atletas!K278="Choylayfut B",6,IF(Atletas!K278="Hunggar B",7,IF(Atletas!K278="Wuzuquan B",8,IF(Atletas!K278="Wingchun B",9,IF(Atletas!K278="Outra Mão de Sul B",10,IF(Atletas!K278="Choylayfut C",11,IF(Atletas!K278="Hunggar C",12,IF(Atletas!K278="Wuzuquan C",13,IF(Atletas!K278="Wingchun C",14,IF(Atletas!K278="Outra Mão de Sul C",15,IF(Atletas!K278="Choylayfut D",16,IF(Atletas!K278="Hunggar D",17,IF(Atletas!K278="Wuzuquan D",18,IF(Atletas!K278="Wingchun D",19,IF(Atletas!K278="Outra Mão de Sul D",20,IF(Atletas!K278="Choylayfut E",21,IF(Atletas!K278="Hunggar E",22,IF(Atletas!K278="Wuzuquan E",23,IF(Atletas!K278="Wingchun E",24,IF(Atletas!K278="Outra Mão de Sul E",25,IF(Atletas!K278="Choylayfut F",26,IF(Atletas!K278="Hunggar F",27,IF(Atletas!K278="Wuzuquan F",28,IF(Atletas!K278="Wingchun F",29,IF(Atletas!K278="Outra Mão de Sul F",30,""))))))))))))))))))))))))))))))))</f>
        <v/>
      </c>
      <c r="BL282" s="52" t="str">
        <f>IF(Atletas!L278="","",IF(Atletas!W278&lt;&gt;"",10000,0)+(IF(Atletas!B278="Feminino",1000,IF(Atletas!B278="Masculino",2000,""))+(IF(Atletas!L278="Chaquan A",101,IF(Atletas!L278="Emeiquan A",102,IF(Atletas!L278="Fanziquan A",103,IF(Atletas!L278="Huaquan A",104,IF(Atletas!L278="Hongquan A",105,IF(Atletas!L278="Paochui A",106,IF(Atletas!L278="Piguaquan A",107,IF(Atletas!L278="Shaolinquan A",108,IF(Atletas!L278="Tanglangquan A",109,IF(Atletas!L278="Yinzhaophai A",110,IF(Atletas!L278="Tongbeiquan A",111,IF(Atletas!L278="Wudangquan A",112,IF(Atletas!L278="Outros Estilos A",113,IF(Atletas!L278="Chaquan B",114,IF(Atletas!L278="Emeiquan B",115,IF(Atletas!L278="Fanziquan B",116,IF(Atletas!L278="Huaquan B",117,IF(Atletas!L278="Hongquan B",118,IF(Atletas!L278="Paochui B",119,IF(Atletas!L278="Piguaquan B",120,IF(Atletas!L278="Shaolinquan B",121,IF(Atletas!L278="Tanglangquan B",122,IF(Atletas!L278="Yinzhaophai B",123,IF(Atletas!L278="Tongbeiquan B",124,IF(Atletas!L278="Wudangquan B",125,IF(Atletas!L278="Outros Estilos B",126,IF(Atletas!L278="Chaquan C",127,IF(Atletas!L278="Emeiquan C",128,IF(Atletas!L278="Fanziquan C",129,IF(Atletas!L278="Huaquan C",130,IF(Atletas!L278="Hongquan C",131,IF(Atletas!L278="Paochui C",132,IF(Atletas!L278="Piguaquan C",133,IF(Atletas!L278="Shaolinquan C",134,IF(Atletas!L278="Tanglangquan C",135,IF(Atletas!L278="Yinzhaophai C",136,IF(Atletas!L278="Tongbeiquan C",137,IF(Atletas!L278="Wudangquan C",138,IF(Atletas!L278="Outros Estilos C",139,0))))))))))))))))))))))))))))))))))))))))))</f>
        <v/>
      </c>
      <c r="BM282" s="52" t="str">
        <f>IF(Atletas!L278="","",IF(Atletas!W278&lt;&gt;"",10000,0)+(IF(Atletas!B278="Feminino",1000,IF(Atletas!B278="Masculino",2000,""))+(IF(Atletas!L278="Chaquan D",140,IF(Atletas!L278="Emeiquan D",141,IF(Atletas!L278="Fanziquan D",142,IF(Atletas!L278="Huaquan D",143,IF(Atletas!L278="Hongquan D",144,IF(Atletas!L278="Paochui D",145,IF(Atletas!L278="Piguaquan D",146,IF(Atletas!L278="Shaolinquan D",147,IF(Atletas!L278="Tanglangquan D",148,IF(Atletas!L278="Yinzhaophai D",149,IF(Atletas!L278="Tongbeiquan D",150,IF(Atletas!L278="Wudangquan D",151,IF(Atletas!L278="Outros Estilos D",152,IF(Atletas!L278="Chaquan E",153,IF(Atletas!L278="Emeiquan E",154,IF(Atletas!L278="Fanziquan E",155,IF(Atletas!L278="Huaquan E",156,IF(Atletas!L278="Hongquan E",157,IF(Atletas!L278="Paochui E",158,IF(Atletas!L278="Piguaquan E",159,IF(Atletas!L278="Shaolinquan E",160,IF(Atletas!L278="Tanglangquan E",161,IF(Atletas!L278="Yinzhaophai E",162,IF(Atletas!L278="Tongbeiquan E",163,IF(Atletas!L278="Wudangquan E",164,IF(Atletas!L278="Outros Estilos E",165,IF(Atletas!L278="Chaquan F",166,IF(Atletas!L278="Emeiquan F",167,IF(Atletas!L278="Fanziquan F",168,IF(Atletas!L278="Huaquan F",169,IF(Atletas!L278="Hongquan F",170,IF(Atletas!L278="Paochui F",171,IF(Atletas!L278="Piguaquan F",172,IF(Atletas!L278="Shaolinquan F",173,IF(Atletas!L278="Tanglangquan F",174,IF(Atletas!L278="Yinzhaophai F",175,IF(Atletas!L278="Tongbeiquan F",176,IF(Atletas!L278="Wudangquan F",177,IF(Atletas!L278="Outros Estilos F",178,0))))))))))))))))))))))))))))))))))))))))))</f>
        <v/>
      </c>
      <c r="BN282" s="52" t="str">
        <f>IF(Atletas!M278="","",IF(Atletas!W278&lt;&gt;"",10000,0)+(IF(Atletas!B278="Feminino",1000,IF(Atletas!B278="Masculino",2000,""))+(IF(Atletas!M278="Ditangquan A",201,IF(Atletas!M278="Houquan A",202,IF(Atletas!M278="Zuiquan A",203,IF(Atletas!M278="Ditangquan B",204,IF(Atletas!M278="Houquan B",205,IF(Atletas!M278="Zuiquan B",206,IF(Atletas!M278="Ditangquan C",207,IF(Atletas!M278="Houquan C",208,IF(Atletas!M278="Zuiquan C",209,IF(Atletas!M278="Ditangquan D",210,IF(Atletas!M278="Houquan D",211,IF(Atletas!M278="Zuiquan D",212,IF(Atletas!M278="Ditangquan E",213,IF(Atletas!M278="Houquan E",214,IF(Atletas!M278="Zuiquan E",215,IF(Atletas!M278="Ditangquan F",216,IF(Atletas!M278="Houquan F",217,IF(Atletas!M278="Zuiquan F",218,"")))))))))))))))))))))</f>
        <v/>
      </c>
      <c r="BO282" s="52" t="str">
        <f>IF(Atletas!N278="","",IF(Atletas!W278&lt;&gt;"",10000,0)+IF(Atletas!B278="Feminino",1000,IF(Atletas!B278="Masculino",2000,""))+IF(Atletas!N278="Yang A",301,IF(Atletas!N278="Chen A",30,IF(Atletas!N278="Sun A",303,IF(Atletas!N278="Wu A",304,IF(Atletas!N278="Wu-Hao A",305,IF(Atletas!N278="Outro Taijiquan A",306,IF(Atletas!N278="Yang B",307,IF(Atletas!N278="Chen B",308,IF(Atletas!N278="Sun B",309,IF(Atletas!N278="Wu B",310,IF(Atletas!N278="Wu-Hao B",311,IF(Atletas!N278="Outro Taijiquan B",312,IF(Atletas!N278="Yang C",313,IF(Atletas!N278="Chen C",314,IF(Atletas!N278="Sun C",315,IF(Atletas!N278="Wu C",316,IF(Atletas!N278="Wu-Hao C",317,IF(Atletas!N278="Outro Taijiquan C",318,IF(Atletas!N278="Yang D",319,IF(Atletas!N278="Chen D",320,IF(Atletas!N278="Sun D",321,IF(Atletas!N278="Wu D",322,IF(Atletas!N278="Wu-Hao D",323,IF(Atletas!N278="Outro Taijiquan D",324,IF(Atletas!N278="Yang E",325,IF(Atletas!N278="Chen E",326,IF(Atletas!N278="Sun E",327,IF(Atletas!N278="Wu E",328,IF(Atletas!N278="Wu-Hao E",329,IF(Atletas!N278="Outro Taijiquan E",330,IF(Atletas!N278="Yang F",331,IF(Atletas!N278="Chen F",332,IF(Atletas!N278="Sun F",333,IF(Atletas!N278="Wu F",334,IF(Atletas!N278="Wu-Hao F",335,IF(Atletas!N278="Outro Taijiquan F",336,"")))))))))))))))))))))))))))))))))))))</f>
        <v/>
      </c>
      <c r="BP282" s="52" t="str">
        <f>IF(Atletas!O278="","",IF(Atletas!W278&lt;&gt;"",10000,0)+IF(Atletas!B278="Feminino",1000,IF(Atletas!B278="Masculino",2000,""))+IF(OR(Atletas!O278="Yang 26 A",Atletas!O278="Yang 40 A"),401,IF(OR(Atletas!O278="Chen 25 A",Atletas!O278="Chen 36 A",Atletas!O278="Chen 56 A"),402,IF(Atletas!O278="Sun 73 A",403,IF(Atletas!O278="Wu 45 A",404,IF(Atletas!O278="Wu-Hao 46 A",405,IF(OR(Atletas!O278="Taijiquan 16 A",Atletas!O278="Taijiquan 24 A",Atletas!O278="Taijiquan 32 A",Atletas!O278="Taijiquan 42 A"),406,IF(OR(Atletas!O278="Yang 26 B",Atletas!O278="Yang 40 B"),407,IF(OR(Atletas!O278="Chen 25 B",Atletas!O278="Chen 36 B",Atletas!O278="Chen 56 B"),408,IF(Atletas!O278="Sun 73 B",409,IF(Atletas!O278="Wu 45 B",410,IF(Atletas!O278="Wu-Hao 46 B",411,IF(OR(Atletas!O278="Taijiquan 16 B",Atletas!O278="Taijiquan 24 B",Atletas!O278="Taijiquan 32 B",Atletas!O278="Taijiquan 42 B"),412,IF(OR(Atletas!O278="Yang 26 C",Atletas!O278="Yang 40 C"),413,IF(OR(Atletas!O278="Chen 25 C",Atletas!O278="Chen 36 C",Atletas!O278="Chen 56 C"),414,IF(Atletas!O278="Sun 73 C",415,IF(Atletas!O278="Wu 45 C",416,IF(Atletas!O278="Wu-Hao 46 C",417,IF(OR(Atletas!O278="Taijiquan 16 C",Atletas!O278="Taijiquan 24 C",Atletas!O278="Taijiquan 32 C",Atletas!O278="Taijiquan 42 C"),418,0)))))))))))))))))))</f>
        <v/>
      </c>
      <c r="BQ282" s="52" t="str">
        <f>IF(Atletas!O278="","",IF(Atletas!W278&lt;&gt;"",10000,0)+IF(Atletas!B278="Feminino",1000,IF(Atletas!B278="Masculino",2000,""))+IF(OR(Atletas!O278="Yang 26 D",Atletas!O278="Yang 40 D"),419,IF(OR(Atletas!O278="Chen 25 D",Atletas!O278="Chen 36 D",Atletas!O278="Chen 56 D"),420,IF(Atletas!O278="Sun 73 D",421,IF(Atletas!O278="Wu 45 D",422,IF(Atletas!O278="Wu-Hao 46 D",423,IF(OR(Atletas!O278="Taijiquan 16 D",Atletas!O278="Taijiquan 24 D",Atletas!O278="Taijiquan 32 D",Atletas!O278="Taijiquan 42 D"),424,IF(OR(Atletas!O278="Yang 26 E",Atletas!O278="Yang 40 E"),425,IF(OR(Atletas!O278="Chen 25 E",Atletas!O278="Chen 36 E",Atletas!O278="Chen 56 E"),426,IF(Atletas!O278="Sun 73 E",427,IF(Atletas!O278="Wu 45 E",428,IF(Atletas!O278="Wu-Hao 46 E",429,IF(OR(Atletas!O278="Taijiquan 16 E",Atletas!O278="Taijiquan 24 E",Atletas!O278="Taijiquan 32 E",Atletas!O278="Taijiquan 42 E"),430,IF(OR(Atletas!O278="Yang 26 F",Atletas!O278="Yang 40 F"),431,IF(OR(Atletas!O278="Chen 25 F",Atletas!O278="Chen 36 F",Atletas!O278="Chen 56 F"),432,IF(Atletas!O278="Sun 73 F",433,IF(Atletas!O278="Wu 45 F",434,IF(Atletas!O278="Wu-Hao 46 F",435,IF(OR(Atletas!O278="Taijiquan 16 F",Atletas!O278="Taijiquan 24 F",Atletas!O278="Taijiquan 32 F",Atletas!O278="Taijiquan 42 F"),436,0)))))))))))))))))))</f>
        <v/>
      </c>
      <c r="BR282" s="52" t="str">
        <f>IF(Atletas!P278="","",IF(Atletas!W278&lt;&gt;"",10000,0)+IF(Atletas!B278="Feminino",1000,IF(Atletas!B278="Masculino",2000,""))+IF(Atletas!P278="Xingyiquan A",501,IF(Atletas!P278="Baguazhang A",502,IF(Atletas!P278="Outro Estilo Interno A",503,IF(Atletas!P278="Xingyiquan B",504,IF(Atletas!P278="Baguazhang B",505,IF(Atletas!P278="Outro Estilo Interno B",506,IF(Atletas!P278="Xingyiquan C",507,IF(Atletas!P278="Baguazhang C",508,IF(Atletas!P278="Outro Estilo Interno C",509,IF(Atletas!P278="Xingyiquan D",510,IF(Atletas!P278="Baguazhang D",511,IF(Atletas!P278="Outro Estilo Interno D",512,IF(Atletas!P278="Xingyiquan E",513,IF(Atletas!P278="Baguazhang E",514,IF(Atletas!P278="Outro Estilo Interno E",515,IF(Atletas!P278="Xingyiquan F",516,IF(Atletas!P278="Baguazhang F",517,IF(Atletas!P278="Outro Estilo Interno F",518, "")))))))))))))))))))</f>
        <v/>
      </c>
      <c r="BS282" s="52" t="str">
        <f>IF(Atletas!Q278="","",IF(Atletas!W278&lt;&gt;"",10000,0)+IF(Atletas!B278="Feminino",1000,IF(Atletas!B278="Masculino",2000,""))+IF(Atletas!Q278="Dao A",601,IF(Atletas!Q278="Jian A",602,IF(Atletas!Q278="Bishou A",603,IF(Atletas!Q278="Shan A",604,IF(Atletas!Q278="Outra Arma Curta A",605,IF(Atletas!Q278="Dao B",606,IF(Atletas!Q278="Jian B",607,IF(Atletas!Q278="Bishou B",608,IF(Atletas!Q278="Shan B",609,IF(Atletas!Q278="Outra Arma Curta B",610,IF(Atletas!Q278="Dao C",611,IF(Atletas!Q278="Jian C",612,IF(Atletas!Q278="Bishou C",613,IF(Atletas!Q278="Shan C",614,IF(Atletas!Q278="Outra Arma Curta C",615,IF(Atletas!Q278="Dao D",616,IF(Atletas!Q278="Jian D",617,IF(Atletas!Q278="Bishou D",618,IF(Atletas!Q278="Shan D",619,IF(Atletas!Q278="Outra Arma Curta D",620,IF(Atletas!Q278="Dao E",621,IF(Atletas!Q278="Jian E",622,IF(Atletas!Q278="Bishou E",623,IF(Atletas!Q278="Shan E",624,IF(Atletas!Q278="Outra Arma Curta E",625,IF(Atletas!Q278="Dao F",626,IF(Atletas!Q278="Jian F",627,IF(Atletas!Q278="Bishou F",628,IF(Atletas!Q278="Shan F",629,IF(Atletas!Q278="Outra Arma Curta F",630, "")))))))))))))))))))))))))))))))</f>
        <v/>
      </c>
      <c r="BT282" s="52" t="str">
        <f>IF(Atletas!R278="","",IF(Atletas!W278&lt;&gt;"",10000,0)+IF(Atletas!B278="Feminino",1000,IF(Atletas!B278="Masculino",2000,""))+IF(Atletas!R278="Gun A",701,IF(Atletas!R278="Qiang A",702,IF(Atletas!R278="Pudao / Guandao A",703,IF(Atletas!R278="Outra Arma Longa A",704,IF(Atletas!R278="Gun B",705,IF(Atletas!R278="Qiang B",706,IF(Atletas!R278="Pudao / Guandao B",707,IF(Atletas!R278="Outra Arma Longa B",708,IF(Atletas!R278="Gun C",709,IF(Atletas!R278="Qiang C",710,IF(Atletas!R278="Pudao / Guandao C",711,IF(Atletas!R278="Outra Arma Longa C",712,IF(Atletas!R278="Gun D",713,IF(Atletas!R278="Qiang D",714,IF(Atletas!R278="Pudao / Guandao D",715,IF(Atletas!R278="Outra Arma Longa D",716,IF(Atletas!R278="Gun E",717,IF(Atletas!R278="Qiang E",718,IF(Atletas!R278="Pudao / Guandao E",719,IF(Atletas!R278="Outra Arma Longa E",720,IF(Atletas!R278="Gun F",721,IF(Atletas!R278="Qiang F",722,IF(Atletas!R278="Pudao / Guandao F",723,IF(Atletas!R278="Outra Arma Longa F",724,"")))))))))))))))))))))))))</f>
        <v/>
      </c>
      <c r="BU282" s="52" t="str">
        <f>IF(Atletas!S278="","",IF(Atletas!W278&lt;&gt;"",10000,0)+IF(Atletas!B278="Feminino",1000,IF(Atletas!B278="Masculino",2000,""))+IF(Atletas!S278="Arma Dupla A",801,IF(Atletas!S278="Arma Maleável A",802,IF(Atletas!S278="Arma Dupla B",803,IF(Atletas!S278="Arma Maleável B",804,IF(Atletas!S278="Arma Dupla C",805,IF(Atletas!S278="Arma Maleável C",806,IF(Atletas!S278="Arma Dupla D",807,IF(Atletas!S278="Arma Maleável D",808,IF(Atletas!S278="Arma Dupla E",809,IF(Atletas!S278="Arma Maleável E",810,IF(Atletas!S278="Arma Dupla F",811,IF(Atletas!S278="Arma Maleável F",812, "")))))))))))))</f>
        <v/>
      </c>
      <c r="BV282" s="52" t="str">
        <f>IF(Atletas!T278="","",IF(Atletas!W278&lt;&gt;"",10000,0)+IF(Atletas!B278="Feminino",1000,IF(Atletas!B278="Masculino",2000,""))+IF(Atletas!T278="Taijijian Yang A",901,IF(Atletas!T278="Taijijian Chen A",902,IF(Atletas!T278="Taijijian Sun A",903,IF(Atletas!T278="Taijijian Wu A",904,IF(Atletas!T278="Taijijian Wu-Hao A",905,IF(Atletas!T278="Taijijian 32 A",906,IF(Atletas!T278="Taijijian 42 A",907,IF(Atletas!T278="Taijijian Yang B",908,IF(Atletas!T278="Taijijian Chen B",909,IF(Atletas!T278="Taijijian Sun B",910,IF(Atletas!T278="Taijijian Wu B",911,IF(Atletas!T278="Taijijian Wu-Hao B",912,IF(Atletas!T278="Taijijian 32 B",913,IF(Atletas!T278="Taijijian 42 B",914,IF(Atletas!T278="Taijijian Yang C",915,IF(Atletas!T278="Taijijian Chen C",916,IF(Atletas!T278="Taijijian Sun C",917,IF(Atletas!T278="Taijijian Wu C",918,IF(Atletas!T278="Taijijian Wu-Hao C",919,IF(Atletas!T278="Taijijian 32 C",920,IF(Atletas!T278="Taijijian 42 C",921,IF(Atletas!T278="Taijijian Yang D",922,IF(Atletas!T278="Taijijian Chen D",923,IF(Atletas!T278="Taijijian Sun D",924,IF(Atletas!T278="Taijijian Wu D",925,IF(Atletas!T278="Taijijian Wu-Hao D",926,IF(Atletas!T278="Taijijian 32 D",927,IF(Atletas!T278="Taijijian 42 D",928,IF(Atletas!T278="Taijijian Yang E",929,IF(Atletas!T278="Taijijian Chen E",930,IF(Atletas!T278="Taijijian Sun E",931,IF(Atletas!T278="Taijijian Wu E",932,IF(Atletas!T278="Taijijian Wu-Hao E",933,IF(Atletas!T278="Taijijian 32 E",934,IF(Atletas!T278="Taijijian 42 E",935,IF(Atletas!T278="Taijijian Yang F",936,IF(Atletas!T278="Taijijian Chen F",937,IF(Atletas!T278="Taijijian Sun F",938,IF(Atletas!T278="Taijijian Wu F",939,IF(Atletas!T278="Taijijian Wu-Hao F",940,IF(Atletas!T278="Taijijian 32 F",941,IF(Atletas!T278="Taijijian 42 F",942,"")))))))))))))))))))))))))))))))))))))))))))</f>
        <v/>
      </c>
      <c r="BW282" s="52" t="str">
        <f>IF(Atletas!U278="","",IF(Atletas!W278&lt;&gt;"",10000,0)+IF(Atletas!B278="Feminino",1000,IF(Atletas!B278="Masculino",2000,""))+IF(Atletas!T278="Taijijian 42 F",942,IF(Atletas!U278="Taijidao A",943,IF(Atletas!U278="Taijishan A",944,IF(Atletas!U278="Taijiqiang A",945,IF(Atletas!U278="Taijidao B",946,IF(Atletas!U278="Taijishan B",947,IF(Atletas!U278="Taijiqiang B",948,IF(Atletas!U278="Taijidao C",949,IF(Atletas!U278="Taijishan C",950,IF(Atletas!U278="Taijiqiang C",951,IF(Atletas!U278="Taijidao D",952,IF(Atletas!U278="Taijishan D",953,IF(Atletas!U278="Taijiqiang D",954,IF(Atletas!U278="Taijidao E",955,IF(Atletas!U278="Taijishan E",956,IF(Atletas!U278="Taijiqiang E",957,IF(Atletas!U278="Taijidao F",958,IF(Atletas!U278="Taijishan F",959,IF(Atletas!U278="Taijiqiang F",960))))))))))))))))))))</f>
        <v/>
      </c>
      <c r="BX282" s="72" t="str">
        <f>IF(BY282&lt;&gt;"","Arma Maleável C","")</f>
        <v/>
      </c>
      <c r="BY282" s="72" t="str">
        <f>IF(COUNTIF(BK:BW,1806)&gt;0,COUNTIF(BK:BW,1806),"")</f>
        <v/>
      </c>
      <c r="BZ282" s="72" t="str">
        <f>IF(CA282&lt;&gt;"","Arma Maleável C","")</f>
        <v/>
      </c>
      <c r="CA282" s="72" t="str">
        <f>IF(COUNTIF(BK:BW,2806)&gt;0,COUNTIF(BK:BW,2806),"")</f>
        <v/>
      </c>
      <c r="CB282" s="72" t="str">
        <f>IF(CC282&lt;&gt;"","Outro Estilo Interno F","")</f>
        <v/>
      </c>
      <c r="CC282" s="64" t="str">
        <f>IF(COUNTIF(BK:BW,11518)&gt;0,COUNTIF(BK:BW,11518),"")</f>
        <v/>
      </c>
      <c r="CD282" s="64" t="str">
        <f>IF(CE282&lt;&gt;"","Outro Estilo Interno F","")</f>
        <v/>
      </c>
      <c r="CE282" s="64" t="str">
        <f>IF(COUNTIF(BK:BW,12518)&gt;0,COUNTIF(BK:BW,12518),"")</f>
        <v/>
      </c>
      <c r="CF282" s="52" t="str">
        <f xml:space="preserve"> IF(Atletas!V278="","",IF(Atletas!V278="Duilian de Mãos AB - Equipe 1",1,IF(Atletas!V278="Duilian de Mãos AB - Equipe 2",2,IF(Atletas!V278="Duilian de Armas AB - Equipe 1",3,IF(Atletas!V278="Duilian de Armas AB - Equipe 2",4,IF(Atletas!V278="Duilian de Tuishou - Equipe 1",5,IF(Atletas!V278="Duilian de Tuishou - Equipe 2",6,IF(Atletas!V278="Grupo Externo AB - Equipe 1",7,IF(Atletas!V278="Grupo Externo AB - Equipe 2",8,IF(Atletas!V278="Grupo Interno AB - Equipe 1",9,IF(Atletas!V278="Grupo Interno AB - Equipe 2",10,IF(Atletas!V278="Duilian de Mãos CD - Equipe 1",11,IF(Atletas!V278="Duilian de Mãos CD - Equipe 2",12,IF(Atletas!V278="Duilian de Armas CD - Equipe 1",13,IF(Atletas!V278="Duilian de Armas CD - Equipe 2",14,IF(Atletas!V278="Duilian de Tuishou - Equipe 1",15,IF(Atletas!V278="Duilian de Tuishou - Equipe 2",16,IF(Atletas!V278="Grupo Externo CDEF - Equipe 1",17,IF(Atletas!V278="Grupo Externo CDEF - Equipe 2",18,IF(Atletas!V278="Grupo Interno CDEF - Equipe 1",19,IF(Atletas!V278="Grupo Interno CDEF - Equipe 2",20,IF(Atletas!V278="Duilian de Mãos EF - Equipe 1",21,IF(Atletas!V278="Duilian de Mãos EF - Equipe 2",22,IF(Atletas!V278="Duilian de Armas EF - Equipe 1",23,IF(Atletas!V278="Duilian de Armas EF - Equipe 2",24,IF(Atletas!V278="Duilian de Tuishou - Equipe 1",25,IF(Atletas!V278="Duilian de Tuishou - Equipe 2",26,"")))))))))))))))))))))))))))</f>
        <v/>
      </c>
    </row>
    <row r="283" spans="2:84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 t="str">
        <f t="array" ref="V283">IFERROR(INDEX(BX$7:BX$336,SMALL(IF(BX$7:BX$336&lt;&gt;"",ROW(BX$7:BX$336)-ROW(BX$7)+1),ROWS(BX$7:BX240))),"")</f>
        <v/>
      </c>
      <c r="W283" s="4" t="str">
        <f t="array" ref="W283">IFERROR(INDEX(BY$7:BY$336,SMALL(IF(BY$7:BY$336&lt;&gt;"",ROW(BY$7:BY$336)-ROW(BY$7)+1),ROWS(BY$7:BY240))),"")</f>
        <v/>
      </c>
      <c r="X283" s="4" t="str">
        <f t="array" ref="X283">IFERROR(INDEX(BZ$7:BZ$336,SMALL(IF(BZ$7:BZ$336&lt;&gt;"",ROW(BZ$7:BZ$336)-ROW(BZ$7)+1),ROWS(BZ$7:BZ240))),"")</f>
        <v/>
      </c>
      <c r="Y283" s="4" t="str">
        <f t="array" ref="Y283">IFERROR(INDEX(CA$7:CA$336,SMALL(IF(CA$7:CA$336&lt;&gt;"",ROW(CA$7:CA$336)-ROW(CA$7)+1),ROWS(CA$7:CA240))),"")</f>
        <v/>
      </c>
      <c r="Z283" s="4" t="str">
        <f t="array" ref="Z283">IFERROR(INDEX(CB$7:CB$378,SMALL(IF(CB$7:CB$378&lt;&gt;"",ROW(CB$7:CB$378)-ROW(CB$7)+1),ROWS(CB$7:CB282))),"")</f>
        <v/>
      </c>
      <c r="AA283" s="4" t="str">
        <f t="array" ref="AA283">IFERROR(INDEX(CC$7:CC$378,SMALL(IF(CC$7:CC$378&lt;&gt;"",ROW(CC$7:CC$378)-ROW(CC$7)+1),ROWS(CC$7:CC282))),"")</f>
        <v/>
      </c>
      <c r="AB283" s="4" t="str">
        <f t="array" ref="AB283">IFERROR(INDEX(CD$7:CD$378,SMALL(IF(CD$7:CD$378&lt;&gt;"",ROW(CD$7:CD$378)-ROW(CD$7)+1),ROWS(CD$7:CD282))),"")</f>
        <v/>
      </c>
      <c r="AC283" s="4" t="str">
        <f t="array" ref="AC283">IFERROR(INDEX(CE$7:CE$378,SMALL(IF(CE$7:CE$378&lt;&gt;"",ROW(CE$7:CE$378)-ROW(CE$7)+1),ROWS(CE$7:CE282))),"")</f>
        <v/>
      </c>
      <c r="AD283" s="4"/>
      <c r="AE283" s="4"/>
      <c r="AF283" s="4"/>
      <c r="AG283" s="4"/>
      <c r="AH283" s="4"/>
      <c r="AI283" s="4"/>
      <c r="AJ283" s="46" t="str">
        <f>IF(Atletas!D279="","",IF(Atletas!B279="Feminino",100,IF(Atletas!B279="Masculino",200,""))+(IF(Atletas!D279="Infantil 39kg",1,IF(Atletas!D279="Infantil 42kg",2,IF(Atletas!D279="Infantil 45kg",3,IF(Atletas!D279="Infantil 48kg",4,IF(Atletas!D279="Infantil 52kg",5,IF(Atletas!D279="Infantil 56kg",6,IF(Atletas!D279="Infantil 60kg",7,IF(Atletas!D279="Juvenil 48kg",8,IF(Atletas!D279="Juvenil 52kg",9,IF(Atletas!D279="Juvenil 56kg",10,IF(Atletas!D279="Juvenil 60kg",11,IF(Atletas!D279="Juvenil 65kg",12,IF(Atletas!D279="Juvenil 70kg",13,IF(Atletas!D279="Juvenil 75kg",14,IF(Atletas!D279="Juvenil 80kg",15,IF(Atletas!D279="Adulto 48kg",16,IF(Atletas!D279="Adulto 52kg",17,IF(Atletas!D279="Adulto 56kg",18,IF(Atletas!D279="Adulto 60kg",19,IF(Atletas!D279="Adulto 65kg",20,IF(Atletas!D279="Adulto 70kg",21,IF(Atletas!D279="Adulto 75kg",22,IF(Atletas!D279="Adulto 80kg",23,IF(Atletas!D279="Adulto 85kg",24,IF(Atletas!D279="Adulto 90kg",25,IF(Atletas!D279="Adulto +90kg",26,""))))))))))))))))))))))))))))</f>
        <v/>
      </c>
      <c r="AO283" s="10" t="str">
        <f>IF(Atletas!E279="","",IF(Atletas!B279="Feminino",100,IF(Atletas!B279="Masculino",200,""))+(IF(Atletas!E279="Juvenil 44kg",1,IF(Atletas!E279="Juvenil 48kg",2,IF(Atletas!E279="Juvenil 52kg",3,IF(Atletas!E279="Juvenil 56kg",4,IF(Atletas!E279="Juvenil 60kg",5,IF(Atletas!E279="Juvenil 65kg",6,IF(Atletas!E279="Juvenil 70kg",7,IF(Atletas!E279="Juvenil 75kg",8,IF(Atletas!E279="Juvenil 82kg",9,IF(Atletas!E279="Juvenil 90kg",10,IF(Atletas!E279="Juvenil 100kg",11,IF(Atletas!E279="Adulto 48kg",12,IF(Atletas!E279="Adulto 52kg",13,IF(Atletas!E279="Adulto 56kg",14,IF(Atletas!E279="Adulto 60kg",15,IF(Atletas!E279="Adulto 65kg",16,IF(Atletas!E279="Adulto 70kg",17,IF(Atletas!E279="Adulto 75kg",18,IF(Atletas!E279="Adulto 82kg",19,IF(Atletas!E279="Adulto 90kg",20,IF(Atletas!E279="Adulto 100kg",21,IF(Atletas!E279="Adulto +100kg",22,""))))))))))))))))))))))))</f>
        <v/>
      </c>
      <c r="AT283" s="10" t="str">
        <f>IF(Atletas!F279="","",IF(Atletas!B279="Feminino",100,IF(Atletas!B279="Masculino",200,""))+(IF(Atletas!F279="Adulto 48kg",1,IF(Atletas!F279="Adulto 56kg",2,IF(Atletas!F279="Adulto 65kg",3,IF(Atletas!F279="Adulto 75kg",4,IF(Atletas!F279="Adulto +75kg",5,IF(Atletas!F279="Adulto 52kg",6,IF(Atletas!F279="Adulto 60kg",7,IF(Atletas!F279="Adulto 70kg",8,IF(Atletas!F279="Adulto 80kg",9,IF(Atletas!F279="Adulto 90kg",10,IF(Atletas!F279="Adulto +90kg",11,"")))))))))))))</f>
        <v/>
      </c>
      <c r="AY283" s="46" t="str">
        <f>IF(Atletas!G279="","",IF(Atletas!B279="Feminino",100,IF(Atletas!B279="Masculino",200,""))+(IF(Atletas!G279="Changquan Mirim",1,IF(Atletas!G279="Nanquan Mirim",2,IF(Atletas!G279="Taijiquan Mirim",3,IF(Atletas!G279="Changquan Grupo C",4,IF(Atletas!G279="Nanquan Grupo C",5,IF(Atletas!G279="Taijiquan Grupo C",6,IF(Atletas!G279="Changquan Grupo B",7,IF(Atletas!G279="Nanquan Grupo B",8,IF(Atletas!G279="Taijiquan Grupo B",9,IF(Atletas!G279="Changquan Grupo A",10,IF(Atletas!G279="Nanquan Grupo A",11,IF(Atletas!G279="Taijiquan Grupo A",12,IF(Atletas!G279="Changquan Opcional",13,IF(Atletas!G279="Nanquan Opcional",14,IF(Atletas!G279="Taijiquan Opcional",15,IF(Atletas!G279="Changquan Adulto",16,IF(Atletas!G279="Nanquan Adulto",17,IF(Atletas!G279="Taijiquan Adulto",18,""))))))))))))))))))))</f>
        <v/>
      </c>
      <c r="AZ283" s="46" t="str">
        <f>IF(Atletas!H279="","",IF(Atletas!B279="Feminino",100,IF(Atletas!B279="Masculino",200,""))+(IF(Atletas!H279="Daoshu Mirim",19,IF(Atletas!H279="Jianshu Mirim",20,IF(Atletas!H279="Nandao Mirim",21,IF(Atletas!H279="Taijijian Mirim",22,IF(Atletas!H279="Daoshu Grupo C",23,IF(Atletas!H279="Jianshu Grupo C",24,IF(Atletas!H279="Nandao Grupo C",25,IF(Atletas!H279="Taijijian Grupo C",26,IF(Atletas!H279="Daoshu Grupo B",27,IF(Atletas!H279="Jianshu Grupo B",28,IF(Atletas!H279="Nandao Grupo B",29,IF(Atletas!H279="Taijijian Grupo B",30,IF(Atletas!H279="Daoshu Grupo A",31,IF(Atletas!H279="Jianshu Grupo A",32,IF(Atletas!H279="Nandao Grupo A",33,IF(Atletas!H279="Taijijian Grupo A",34,IF(Atletas!H279="Daoshu Opcional",35,IF(Atletas!H279="Jianshu Opcional",36,IF(Atletas!H279="Nandao Opcional",37,IF(Atletas!H279="Taijijian Opcional",38,IF(Atletas!H279="Daoshu Adulto",39,IF(Atletas!H279="Jianshu Adulto",40,IF(Atletas!H279="Nandao Adulto",41,IF(Atletas!H279="Taijijian Adulto",42,""))))))))))))))))))))))))))</f>
        <v/>
      </c>
      <c r="BA283" s="46" t="str">
        <f>IF(Atletas!I279="","",IF(Atletas!B279="Feminino",100,IF(Atletas!B279="Masculino",200,""))+(IF(Atletas!I279="Gunshu Mirim",43,IF(Atletas!I279="Qiangshu Mirim",44,IF(Atletas!I279="Nangun Mirim",45,IF(Atletas!I279="Gunshu Grupo C",46,IF(Atletas!I279="Qiangshu Grupo C",47,IF(Atletas!I279="Nangun Grupo C",48,IF(Atletas!I279="Gunshu Grupo B",49,IF(Atletas!I279="Qiangshu Grupo B",50,IF(Atletas!I279="Nangun Grupo B",51,IF(Atletas!I279="Gunshu Grupo A",52,IF(Atletas!I279="Qiangshu Grupo A",53,IF(Atletas!I279="Nangun Grupo A",54,IF(Atletas!I279="Gunshu Opcional",55,IF(Atletas!I279="Qiangshu Opcional",56,IF(Atletas!I279="Nangun Opcional",57,IF(Atletas!I279="Gunshu Adulto",58,IF(Atletas!I279="Qiangshu Adulto",59,IF(Atletas!I279="Nangun Adulto",60,""))))))))))))))))))))</f>
        <v/>
      </c>
      <c r="BF283" s="52" t="str">
        <f>IF(Atletas!J279="","",IF(Atletas!B279="Feminino",100,IF(Atletas!B279="Masculino",200,""))+(IF(Atletas!J279="Equipe 1 Grupo B",1,IF(Atletas!J279="Equipe 2 Grupo B",2,IF(Atletas!J279="Equipe 1 Grupo A",3,IF(Atletas!J279="Equipe 2 Grupo A",4,IF(Atletas!J279="Equipe 1 Adulto",5,IF(Atletas!J279="Equipe 2 Adulto",6,""))))))))</f>
        <v/>
      </c>
      <c r="BK283" s="52" t="str">
        <f>IF(Atletas!K279="","",IF(Atletas!W279&lt;&gt;"",10000,0)+(IF(Atletas!B279="Feminino",1000,IF(Atletas!B279="Masculino",2000,""))+IF(Atletas!K279="Choylayfut A",1,IF(Atletas!K279="Hunggar A",2,IF(Atletas!K279="Wuzuquan A",3,IF(Atletas!K279="Wingchun A",4,IF(Atletas!K279="Outra Mão de Sul A",5,IF(Atletas!K279="Choylayfut B",6,IF(Atletas!K279="Hunggar B",7,IF(Atletas!K279="Wuzuquan B",8,IF(Atletas!K279="Wingchun B",9,IF(Atletas!K279="Outra Mão de Sul B",10,IF(Atletas!K279="Choylayfut C",11,IF(Atletas!K279="Hunggar C",12,IF(Atletas!K279="Wuzuquan C",13,IF(Atletas!K279="Wingchun C",14,IF(Atletas!K279="Outra Mão de Sul C",15,IF(Atletas!K279="Choylayfut D",16,IF(Atletas!K279="Hunggar D",17,IF(Atletas!K279="Wuzuquan D",18,IF(Atletas!K279="Wingchun D",19,IF(Atletas!K279="Outra Mão de Sul D",20,IF(Atletas!K279="Choylayfut E",21,IF(Atletas!K279="Hunggar E",22,IF(Atletas!K279="Wuzuquan E",23,IF(Atletas!K279="Wingchun E",24,IF(Atletas!K279="Outra Mão de Sul E",25,IF(Atletas!K279="Choylayfut F",26,IF(Atletas!K279="Hunggar F",27,IF(Atletas!K279="Wuzuquan F",28,IF(Atletas!K279="Wingchun F",29,IF(Atletas!K279="Outra Mão de Sul F",30,""))))))))))))))))))))))))))))))))</f>
        <v/>
      </c>
      <c r="BL283" s="52" t="str">
        <f>IF(Atletas!L279="","",IF(Atletas!W279&lt;&gt;"",10000,0)+(IF(Atletas!B279="Feminino",1000,IF(Atletas!B279="Masculino",2000,""))+(IF(Atletas!L279="Chaquan A",101,IF(Atletas!L279="Emeiquan A",102,IF(Atletas!L279="Fanziquan A",103,IF(Atletas!L279="Huaquan A",104,IF(Atletas!L279="Hongquan A",105,IF(Atletas!L279="Paochui A",106,IF(Atletas!L279="Piguaquan A",107,IF(Atletas!L279="Shaolinquan A",108,IF(Atletas!L279="Tanglangquan A",109,IF(Atletas!L279="Yinzhaophai A",110,IF(Atletas!L279="Tongbeiquan A",111,IF(Atletas!L279="Wudangquan A",112,IF(Atletas!L279="Outros Estilos A",113,IF(Atletas!L279="Chaquan B",114,IF(Atletas!L279="Emeiquan B",115,IF(Atletas!L279="Fanziquan B",116,IF(Atletas!L279="Huaquan B",117,IF(Atletas!L279="Hongquan B",118,IF(Atletas!L279="Paochui B",119,IF(Atletas!L279="Piguaquan B",120,IF(Atletas!L279="Shaolinquan B",121,IF(Atletas!L279="Tanglangquan B",122,IF(Atletas!L279="Yinzhaophai B",123,IF(Atletas!L279="Tongbeiquan B",124,IF(Atletas!L279="Wudangquan B",125,IF(Atletas!L279="Outros Estilos B",126,IF(Atletas!L279="Chaquan C",127,IF(Atletas!L279="Emeiquan C",128,IF(Atletas!L279="Fanziquan C",129,IF(Atletas!L279="Huaquan C",130,IF(Atletas!L279="Hongquan C",131,IF(Atletas!L279="Paochui C",132,IF(Atletas!L279="Piguaquan C",133,IF(Atletas!L279="Shaolinquan C",134,IF(Atletas!L279="Tanglangquan C",135,IF(Atletas!L279="Yinzhaophai C",136,IF(Atletas!L279="Tongbeiquan C",137,IF(Atletas!L279="Wudangquan C",138,IF(Atletas!L279="Outros Estilos C",139,0))))))))))))))))))))))))))))))))))))))))))</f>
        <v/>
      </c>
      <c r="BM283" s="52" t="str">
        <f>IF(Atletas!L279="","",IF(Atletas!W279&lt;&gt;"",10000,0)+(IF(Atletas!B279="Feminino",1000,IF(Atletas!B279="Masculino",2000,""))+(IF(Atletas!L279="Chaquan D",140,IF(Atletas!L279="Emeiquan D",141,IF(Atletas!L279="Fanziquan D",142,IF(Atletas!L279="Huaquan D",143,IF(Atletas!L279="Hongquan D",144,IF(Atletas!L279="Paochui D",145,IF(Atletas!L279="Piguaquan D",146,IF(Atletas!L279="Shaolinquan D",147,IF(Atletas!L279="Tanglangquan D",148,IF(Atletas!L279="Yinzhaophai D",149,IF(Atletas!L279="Tongbeiquan D",150,IF(Atletas!L279="Wudangquan D",151,IF(Atletas!L279="Outros Estilos D",152,IF(Atletas!L279="Chaquan E",153,IF(Atletas!L279="Emeiquan E",154,IF(Atletas!L279="Fanziquan E",155,IF(Atletas!L279="Huaquan E",156,IF(Atletas!L279="Hongquan E",157,IF(Atletas!L279="Paochui E",158,IF(Atletas!L279="Piguaquan E",159,IF(Atletas!L279="Shaolinquan E",160,IF(Atletas!L279="Tanglangquan E",161,IF(Atletas!L279="Yinzhaophai E",162,IF(Atletas!L279="Tongbeiquan E",163,IF(Atletas!L279="Wudangquan E",164,IF(Atletas!L279="Outros Estilos E",165,IF(Atletas!L279="Chaquan F",166,IF(Atletas!L279="Emeiquan F",167,IF(Atletas!L279="Fanziquan F",168,IF(Atletas!L279="Huaquan F",169,IF(Atletas!L279="Hongquan F",170,IF(Atletas!L279="Paochui F",171,IF(Atletas!L279="Piguaquan F",172,IF(Atletas!L279="Shaolinquan F",173,IF(Atletas!L279="Tanglangquan F",174,IF(Atletas!L279="Yinzhaophai F",175,IF(Atletas!L279="Tongbeiquan F",176,IF(Atletas!L279="Wudangquan F",177,IF(Atletas!L279="Outros Estilos F",178,0))))))))))))))))))))))))))))))))))))))))))</f>
        <v/>
      </c>
      <c r="BN283" s="52" t="str">
        <f>IF(Atletas!M279="","",IF(Atletas!W279&lt;&gt;"",10000,0)+(IF(Atletas!B279="Feminino",1000,IF(Atletas!B279="Masculino",2000,""))+(IF(Atletas!M279="Ditangquan A",201,IF(Atletas!M279="Houquan A",202,IF(Atletas!M279="Zuiquan A",203,IF(Atletas!M279="Ditangquan B",204,IF(Atletas!M279="Houquan B",205,IF(Atletas!M279="Zuiquan B",206,IF(Atletas!M279="Ditangquan C",207,IF(Atletas!M279="Houquan C",208,IF(Atletas!M279="Zuiquan C",209,IF(Atletas!M279="Ditangquan D",210,IF(Atletas!M279="Houquan D",211,IF(Atletas!M279="Zuiquan D",212,IF(Atletas!M279="Ditangquan E",213,IF(Atletas!M279="Houquan E",214,IF(Atletas!M279="Zuiquan E",215,IF(Atletas!M279="Ditangquan F",216,IF(Atletas!M279="Houquan F",217,IF(Atletas!M279="Zuiquan F",218,"")))))))))))))))))))))</f>
        <v/>
      </c>
      <c r="BO283" s="52" t="str">
        <f>IF(Atletas!N279="","",IF(Atletas!W279&lt;&gt;"",10000,0)+IF(Atletas!B279="Feminino",1000,IF(Atletas!B279="Masculino",2000,""))+IF(Atletas!N279="Yang A",301,IF(Atletas!N279="Chen A",30,IF(Atletas!N279="Sun A",303,IF(Atletas!N279="Wu A",304,IF(Atletas!N279="Wu-Hao A",305,IF(Atletas!N279="Outro Taijiquan A",306,IF(Atletas!N279="Yang B",307,IF(Atletas!N279="Chen B",308,IF(Atletas!N279="Sun B",309,IF(Atletas!N279="Wu B",310,IF(Atletas!N279="Wu-Hao B",311,IF(Atletas!N279="Outro Taijiquan B",312,IF(Atletas!N279="Yang C",313,IF(Atletas!N279="Chen C",314,IF(Atletas!N279="Sun C",315,IF(Atletas!N279="Wu C",316,IF(Atletas!N279="Wu-Hao C",317,IF(Atletas!N279="Outro Taijiquan C",318,IF(Atletas!N279="Yang D",319,IF(Atletas!N279="Chen D",320,IF(Atletas!N279="Sun D",321,IF(Atletas!N279="Wu D",322,IF(Atletas!N279="Wu-Hao D",323,IF(Atletas!N279="Outro Taijiquan D",324,IF(Atletas!N279="Yang E",325,IF(Atletas!N279="Chen E",326,IF(Atletas!N279="Sun E",327,IF(Atletas!N279="Wu E",328,IF(Atletas!N279="Wu-Hao E",329,IF(Atletas!N279="Outro Taijiquan E",330,IF(Atletas!N279="Yang F",331,IF(Atletas!N279="Chen F",332,IF(Atletas!N279="Sun F",333,IF(Atletas!N279="Wu F",334,IF(Atletas!N279="Wu-Hao F",335,IF(Atletas!N279="Outro Taijiquan F",336,"")))))))))))))))))))))))))))))))))))))</f>
        <v/>
      </c>
      <c r="BP283" s="52" t="str">
        <f>IF(Atletas!O279="","",IF(Atletas!W279&lt;&gt;"",10000,0)+IF(Atletas!B279="Feminino",1000,IF(Atletas!B279="Masculino",2000,""))+IF(OR(Atletas!O279="Yang 26 A",Atletas!O279="Yang 40 A"),401,IF(OR(Atletas!O279="Chen 25 A",Atletas!O279="Chen 36 A",Atletas!O279="Chen 56 A"),402,IF(Atletas!O279="Sun 73 A",403,IF(Atletas!O279="Wu 45 A",404,IF(Atletas!O279="Wu-Hao 46 A",405,IF(OR(Atletas!O279="Taijiquan 16 A",Atletas!O279="Taijiquan 24 A",Atletas!O279="Taijiquan 32 A",Atletas!O279="Taijiquan 42 A"),406,IF(OR(Atletas!O279="Yang 26 B",Atletas!O279="Yang 40 B"),407,IF(OR(Atletas!O279="Chen 25 B",Atletas!O279="Chen 36 B",Atletas!O279="Chen 56 B"),408,IF(Atletas!O279="Sun 73 B",409,IF(Atletas!O279="Wu 45 B",410,IF(Atletas!O279="Wu-Hao 46 B",411,IF(OR(Atletas!O279="Taijiquan 16 B",Atletas!O279="Taijiquan 24 B",Atletas!O279="Taijiquan 32 B",Atletas!O279="Taijiquan 42 B"),412,IF(OR(Atletas!O279="Yang 26 C",Atletas!O279="Yang 40 C"),413,IF(OR(Atletas!O279="Chen 25 C",Atletas!O279="Chen 36 C",Atletas!O279="Chen 56 C"),414,IF(Atletas!O279="Sun 73 C",415,IF(Atletas!O279="Wu 45 C",416,IF(Atletas!O279="Wu-Hao 46 C",417,IF(OR(Atletas!O279="Taijiquan 16 C",Atletas!O279="Taijiquan 24 C",Atletas!O279="Taijiquan 32 C",Atletas!O279="Taijiquan 42 C"),418,0)))))))))))))))))))</f>
        <v/>
      </c>
      <c r="BQ283" s="52" t="str">
        <f>IF(Atletas!O279="","",IF(Atletas!W279&lt;&gt;"",10000,0)+IF(Atletas!B279="Feminino",1000,IF(Atletas!B279="Masculino",2000,""))+IF(OR(Atletas!O279="Yang 26 D",Atletas!O279="Yang 40 D"),419,IF(OR(Atletas!O279="Chen 25 D",Atletas!O279="Chen 36 D",Atletas!O279="Chen 56 D"),420,IF(Atletas!O279="Sun 73 D",421,IF(Atletas!O279="Wu 45 D",422,IF(Atletas!O279="Wu-Hao 46 D",423,IF(OR(Atletas!O279="Taijiquan 16 D",Atletas!O279="Taijiquan 24 D",Atletas!O279="Taijiquan 32 D",Atletas!O279="Taijiquan 42 D"),424,IF(OR(Atletas!O279="Yang 26 E",Atletas!O279="Yang 40 E"),425,IF(OR(Atletas!O279="Chen 25 E",Atletas!O279="Chen 36 E",Atletas!O279="Chen 56 E"),426,IF(Atletas!O279="Sun 73 E",427,IF(Atletas!O279="Wu 45 E",428,IF(Atletas!O279="Wu-Hao 46 E",429,IF(OR(Atletas!O279="Taijiquan 16 E",Atletas!O279="Taijiquan 24 E",Atletas!O279="Taijiquan 32 E",Atletas!O279="Taijiquan 42 E"),430,IF(OR(Atletas!O279="Yang 26 F",Atletas!O279="Yang 40 F"),431,IF(OR(Atletas!O279="Chen 25 F",Atletas!O279="Chen 36 F",Atletas!O279="Chen 56 F"),432,IF(Atletas!O279="Sun 73 F",433,IF(Atletas!O279="Wu 45 F",434,IF(Atletas!O279="Wu-Hao 46 F",435,IF(OR(Atletas!O279="Taijiquan 16 F",Atletas!O279="Taijiquan 24 F",Atletas!O279="Taijiquan 32 F",Atletas!O279="Taijiquan 42 F"),436,0)))))))))))))))))))</f>
        <v/>
      </c>
      <c r="BR283" s="52" t="str">
        <f>IF(Atletas!P279="","",IF(Atletas!W279&lt;&gt;"",10000,0)+IF(Atletas!B279="Feminino",1000,IF(Atletas!B279="Masculino",2000,""))+IF(Atletas!P279="Xingyiquan A",501,IF(Atletas!P279="Baguazhang A",502,IF(Atletas!P279="Outro Estilo Interno A",503,IF(Atletas!P279="Xingyiquan B",504,IF(Atletas!P279="Baguazhang B",505,IF(Atletas!P279="Outro Estilo Interno B",506,IF(Atletas!P279="Xingyiquan C",507,IF(Atletas!P279="Baguazhang C",508,IF(Atletas!P279="Outro Estilo Interno C",509,IF(Atletas!P279="Xingyiquan D",510,IF(Atletas!P279="Baguazhang D",511,IF(Atletas!P279="Outro Estilo Interno D",512,IF(Atletas!P279="Xingyiquan E",513,IF(Atletas!P279="Baguazhang E",514,IF(Atletas!P279="Outro Estilo Interno E",515,IF(Atletas!P279="Xingyiquan F",516,IF(Atletas!P279="Baguazhang F",517,IF(Atletas!P279="Outro Estilo Interno F",518, "")))))))))))))))))))</f>
        <v/>
      </c>
      <c r="BS283" s="52" t="str">
        <f>IF(Atletas!Q279="","",IF(Atletas!W279&lt;&gt;"",10000,0)+IF(Atletas!B279="Feminino",1000,IF(Atletas!B279="Masculino",2000,""))+IF(Atletas!Q279="Dao A",601,IF(Atletas!Q279="Jian A",602,IF(Atletas!Q279="Bishou A",603,IF(Atletas!Q279="Shan A",604,IF(Atletas!Q279="Outra Arma Curta A",605,IF(Atletas!Q279="Dao B",606,IF(Atletas!Q279="Jian B",607,IF(Atletas!Q279="Bishou B",608,IF(Atletas!Q279="Shan B",609,IF(Atletas!Q279="Outra Arma Curta B",610,IF(Atletas!Q279="Dao C",611,IF(Atletas!Q279="Jian C",612,IF(Atletas!Q279="Bishou C",613,IF(Atletas!Q279="Shan C",614,IF(Atletas!Q279="Outra Arma Curta C",615,IF(Atletas!Q279="Dao D",616,IF(Atletas!Q279="Jian D",617,IF(Atletas!Q279="Bishou D",618,IF(Atletas!Q279="Shan D",619,IF(Atletas!Q279="Outra Arma Curta D",620,IF(Atletas!Q279="Dao E",621,IF(Atletas!Q279="Jian E",622,IF(Atletas!Q279="Bishou E",623,IF(Atletas!Q279="Shan E",624,IF(Atletas!Q279="Outra Arma Curta E",625,IF(Atletas!Q279="Dao F",626,IF(Atletas!Q279="Jian F",627,IF(Atletas!Q279="Bishou F",628,IF(Atletas!Q279="Shan F",629,IF(Atletas!Q279="Outra Arma Curta F",630, "")))))))))))))))))))))))))))))))</f>
        <v/>
      </c>
      <c r="BT283" s="52" t="str">
        <f>IF(Atletas!R279="","",IF(Atletas!W279&lt;&gt;"",10000,0)+IF(Atletas!B279="Feminino",1000,IF(Atletas!B279="Masculino",2000,""))+IF(Atletas!R279="Gun A",701,IF(Atletas!R279="Qiang A",702,IF(Atletas!R279="Pudao / Guandao A",703,IF(Atletas!R279="Outra Arma Longa A",704,IF(Atletas!R279="Gun B",705,IF(Atletas!R279="Qiang B",706,IF(Atletas!R279="Pudao / Guandao B",707,IF(Atletas!R279="Outra Arma Longa B",708,IF(Atletas!R279="Gun C",709,IF(Atletas!R279="Qiang C",710,IF(Atletas!R279="Pudao / Guandao C",711,IF(Atletas!R279="Outra Arma Longa C",712,IF(Atletas!R279="Gun D",713,IF(Atletas!R279="Qiang D",714,IF(Atletas!R279="Pudao / Guandao D",715,IF(Atletas!R279="Outra Arma Longa D",716,IF(Atletas!R279="Gun E",717,IF(Atletas!R279="Qiang E",718,IF(Atletas!R279="Pudao / Guandao E",719,IF(Atletas!R279="Outra Arma Longa E",720,IF(Atletas!R279="Gun F",721,IF(Atletas!R279="Qiang F",722,IF(Atletas!R279="Pudao / Guandao F",723,IF(Atletas!R279="Outra Arma Longa F",724,"")))))))))))))))))))))))))</f>
        <v/>
      </c>
      <c r="BU283" s="52" t="str">
        <f>IF(Atletas!S279="","",IF(Atletas!W279&lt;&gt;"",10000,0)+IF(Atletas!B279="Feminino",1000,IF(Atletas!B279="Masculino",2000,""))+IF(Atletas!S279="Arma Dupla A",801,IF(Atletas!S279="Arma Maleável A",802,IF(Atletas!S279="Arma Dupla B",803,IF(Atletas!S279="Arma Maleável B",804,IF(Atletas!S279="Arma Dupla C",805,IF(Atletas!S279="Arma Maleável C",806,IF(Atletas!S279="Arma Dupla D",807,IF(Atletas!S279="Arma Maleável D",808,IF(Atletas!S279="Arma Dupla E",809,IF(Atletas!S279="Arma Maleável E",810,IF(Atletas!S279="Arma Dupla F",811,IF(Atletas!S279="Arma Maleável F",812, "")))))))))))))</f>
        <v/>
      </c>
      <c r="BV283" s="52" t="str">
        <f>IF(Atletas!T279="","",IF(Atletas!W279&lt;&gt;"",10000,0)+IF(Atletas!B279="Feminino",1000,IF(Atletas!B279="Masculino",2000,""))+IF(Atletas!T279="Taijijian Yang A",901,IF(Atletas!T279="Taijijian Chen A",902,IF(Atletas!T279="Taijijian Sun A",903,IF(Atletas!T279="Taijijian Wu A",904,IF(Atletas!T279="Taijijian Wu-Hao A",905,IF(Atletas!T279="Taijijian 32 A",906,IF(Atletas!T279="Taijijian 42 A",907,IF(Atletas!T279="Taijijian Yang B",908,IF(Atletas!T279="Taijijian Chen B",909,IF(Atletas!T279="Taijijian Sun B",910,IF(Atletas!T279="Taijijian Wu B",911,IF(Atletas!T279="Taijijian Wu-Hao B",912,IF(Atletas!T279="Taijijian 32 B",913,IF(Atletas!T279="Taijijian 42 B",914,IF(Atletas!T279="Taijijian Yang C",915,IF(Atletas!T279="Taijijian Chen C",916,IF(Atletas!T279="Taijijian Sun C",917,IF(Atletas!T279="Taijijian Wu C",918,IF(Atletas!T279="Taijijian Wu-Hao C",919,IF(Atletas!T279="Taijijian 32 C",920,IF(Atletas!T279="Taijijian 42 C",921,IF(Atletas!T279="Taijijian Yang D",922,IF(Atletas!T279="Taijijian Chen D",923,IF(Atletas!T279="Taijijian Sun D",924,IF(Atletas!T279="Taijijian Wu D",925,IF(Atletas!T279="Taijijian Wu-Hao D",926,IF(Atletas!T279="Taijijian 32 D",927,IF(Atletas!T279="Taijijian 42 D",928,IF(Atletas!T279="Taijijian Yang E",929,IF(Atletas!T279="Taijijian Chen E",930,IF(Atletas!T279="Taijijian Sun E",931,IF(Atletas!T279="Taijijian Wu E",932,IF(Atletas!T279="Taijijian Wu-Hao E",933,IF(Atletas!T279="Taijijian 32 E",934,IF(Atletas!T279="Taijijian 42 E",935,IF(Atletas!T279="Taijijian Yang F",936,IF(Atletas!T279="Taijijian Chen F",937,IF(Atletas!T279="Taijijian Sun F",938,IF(Atletas!T279="Taijijian Wu F",939,IF(Atletas!T279="Taijijian Wu-Hao F",940,IF(Atletas!T279="Taijijian 32 F",941,IF(Atletas!T279="Taijijian 42 F",942,"")))))))))))))))))))))))))))))))))))))))))))</f>
        <v/>
      </c>
      <c r="BW283" s="52" t="str">
        <f>IF(Atletas!U279="","",IF(Atletas!W279&lt;&gt;"",10000,0)+IF(Atletas!B279="Feminino",1000,IF(Atletas!B279="Masculino",2000,""))+IF(Atletas!T279="Taijijian 42 F",942,IF(Atletas!U279="Taijidao A",943,IF(Atletas!U279="Taijishan A",944,IF(Atletas!U279="Taijiqiang A",945,IF(Atletas!U279="Taijidao B",946,IF(Atletas!U279="Taijishan B",947,IF(Atletas!U279="Taijiqiang B",948,IF(Atletas!U279="Taijidao C",949,IF(Atletas!U279="Taijishan C",950,IF(Atletas!U279="Taijiqiang C",951,IF(Atletas!U279="Taijidao D",952,IF(Atletas!U279="Taijishan D",953,IF(Atletas!U279="Taijiqiang D",954,IF(Atletas!U279="Taijidao E",955,IF(Atletas!U279="Taijishan E",956,IF(Atletas!U279="Taijiqiang E",957,IF(Atletas!U279="Taijidao F",958,IF(Atletas!U279="Taijishan F",959,IF(Atletas!U279="Taijiqiang F",960))))))))))))))))))))</f>
        <v/>
      </c>
      <c r="BX283" s="72" t="str">
        <f>IF(BY283&lt;&gt;"","Arma Dupla D","")</f>
        <v/>
      </c>
      <c r="BY283" s="72" t="str">
        <f>IF(COUNTIF(BK:BW,1807)&gt;0,COUNTIF(BK:BW,1807),"")</f>
        <v/>
      </c>
      <c r="BZ283" s="72" t="str">
        <f>IF(CA283&lt;&gt;"","Arma Dupla D","")</f>
        <v/>
      </c>
      <c r="CA283" s="72" t="str">
        <f>IF(COUNTIF(BK:BW,2807)&gt;0,COUNTIF(BK:BW,2807),"")</f>
        <v/>
      </c>
      <c r="CB283" s="72" t="str">
        <f>IF(CC283&lt;&gt;"","Dao A","")</f>
        <v/>
      </c>
      <c r="CC283" s="64" t="str">
        <f>IF(COUNTIF(BK:BW,11601)&gt;0,COUNTIF(BK:BW,11601),"")</f>
        <v/>
      </c>
      <c r="CD283" s="64" t="str">
        <f>IF(CE283&lt;&gt;"","Dao A","")</f>
        <v/>
      </c>
      <c r="CE283" s="64" t="str">
        <f>IF(COUNTIF(BK:BW,12601)&gt;0,COUNTIF(BK:BW,12601),"")</f>
        <v/>
      </c>
      <c r="CF283" s="52" t="str">
        <f xml:space="preserve"> IF(Atletas!V279="","",IF(Atletas!V279="Duilian de Mãos AB - Equipe 1",1,IF(Atletas!V279="Duilian de Mãos AB - Equipe 2",2,IF(Atletas!V279="Duilian de Armas AB - Equipe 1",3,IF(Atletas!V279="Duilian de Armas AB - Equipe 2",4,IF(Atletas!V279="Duilian de Tuishou - Equipe 1",5,IF(Atletas!V279="Duilian de Tuishou - Equipe 2",6,IF(Atletas!V279="Grupo Externo AB - Equipe 1",7,IF(Atletas!V279="Grupo Externo AB - Equipe 2",8,IF(Atletas!V279="Grupo Interno AB - Equipe 1",9,IF(Atletas!V279="Grupo Interno AB - Equipe 2",10,IF(Atletas!V279="Duilian de Mãos CD - Equipe 1",11,IF(Atletas!V279="Duilian de Mãos CD - Equipe 2",12,IF(Atletas!V279="Duilian de Armas CD - Equipe 1",13,IF(Atletas!V279="Duilian de Armas CD - Equipe 2",14,IF(Atletas!V279="Duilian de Tuishou - Equipe 1",15,IF(Atletas!V279="Duilian de Tuishou - Equipe 2",16,IF(Atletas!V279="Grupo Externo CDEF - Equipe 1",17,IF(Atletas!V279="Grupo Externo CDEF - Equipe 2",18,IF(Atletas!V279="Grupo Interno CDEF - Equipe 1",19,IF(Atletas!V279="Grupo Interno CDEF - Equipe 2",20,IF(Atletas!V279="Duilian de Mãos EF - Equipe 1",21,IF(Atletas!V279="Duilian de Mãos EF - Equipe 2",22,IF(Atletas!V279="Duilian de Armas EF - Equipe 1",23,IF(Atletas!V279="Duilian de Armas EF - Equipe 2",24,IF(Atletas!V279="Duilian de Tuishou - Equipe 1",25,IF(Atletas!V279="Duilian de Tuishou - Equipe 2",26,"")))))))))))))))))))))))))))</f>
        <v/>
      </c>
    </row>
    <row r="284" spans="2:84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 t="str">
        <f t="array" ref="V284">IFERROR(INDEX(BX$7:BX$336,SMALL(IF(BX$7:BX$336&lt;&gt;"",ROW(BX$7:BX$336)-ROW(BX$7)+1),ROWS(BX$7:BX241))),"")</f>
        <v/>
      </c>
      <c r="W284" s="4" t="str">
        <f t="array" ref="W284">IFERROR(INDEX(BY$7:BY$336,SMALL(IF(BY$7:BY$336&lt;&gt;"",ROW(BY$7:BY$336)-ROW(BY$7)+1),ROWS(BY$7:BY241))),"")</f>
        <v/>
      </c>
      <c r="X284" s="4" t="str">
        <f t="array" ref="X284">IFERROR(INDEX(BZ$7:BZ$336,SMALL(IF(BZ$7:BZ$336&lt;&gt;"",ROW(BZ$7:BZ$336)-ROW(BZ$7)+1),ROWS(BZ$7:BZ241))),"")</f>
        <v/>
      </c>
      <c r="Y284" s="4" t="str">
        <f t="array" ref="Y284">IFERROR(INDEX(CA$7:CA$336,SMALL(IF(CA$7:CA$336&lt;&gt;"",ROW(CA$7:CA$336)-ROW(CA$7)+1),ROWS(CA$7:CA241))),"")</f>
        <v/>
      </c>
      <c r="Z284" s="4" t="str">
        <f t="array" ref="Z284">IFERROR(INDEX(CB$7:CB$378,SMALL(IF(CB$7:CB$378&lt;&gt;"",ROW(CB$7:CB$378)-ROW(CB$7)+1),ROWS(CB$7:CB283))),"")</f>
        <v/>
      </c>
      <c r="AA284" s="4" t="str">
        <f t="array" ref="AA284">IFERROR(INDEX(CC$7:CC$378,SMALL(IF(CC$7:CC$378&lt;&gt;"",ROW(CC$7:CC$378)-ROW(CC$7)+1),ROWS(CC$7:CC283))),"")</f>
        <v/>
      </c>
      <c r="AB284" s="4" t="str">
        <f t="array" ref="AB284">IFERROR(INDEX(CD$7:CD$378,SMALL(IF(CD$7:CD$378&lt;&gt;"",ROW(CD$7:CD$378)-ROW(CD$7)+1),ROWS(CD$7:CD283))),"")</f>
        <v/>
      </c>
      <c r="AC284" s="4" t="str">
        <f t="array" ref="AC284">IFERROR(INDEX(CE$7:CE$378,SMALL(IF(CE$7:CE$378&lt;&gt;"",ROW(CE$7:CE$378)-ROW(CE$7)+1),ROWS(CE$7:CE283))),"")</f>
        <v/>
      </c>
      <c r="AD284" s="4"/>
      <c r="AE284" s="4"/>
      <c r="AF284" s="4"/>
      <c r="AG284" s="4"/>
      <c r="AH284" s="4"/>
      <c r="AI284" s="4"/>
      <c r="AJ284" s="46" t="str">
        <f>IF(Atletas!D280="","",IF(Atletas!B280="Feminino",100,IF(Atletas!B280="Masculino",200,""))+(IF(Atletas!D280="Infantil 39kg",1,IF(Atletas!D280="Infantil 42kg",2,IF(Atletas!D280="Infantil 45kg",3,IF(Atletas!D280="Infantil 48kg",4,IF(Atletas!D280="Infantil 52kg",5,IF(Atletas!D280="Infantil 56kg",6,IF(Atletas!D280="Infantil 60kg",7,IF(Atletas!D280="Juvenil 48kg",8,IF(Atletas!D280="Juvenil 52kg",9,IF(Atletas!D280="Juvenil 56kg",10,IF(Atletas!D280="Juvenil 60kg",11,IF(Atletas!D280="Juvenil 65kg",12,IF(Atletas!D280="Juvenil 70kg",13,IF(Atletas!D280="Juvenil 75kg",14,IF(Atletas!D280="Juvenil 80kg",15,IF(Atletas!D280="Adulto 48kg",16,IF(Atletas!D280="Adulto 52kg",17,IF(Atletas!D280="Adulto 56kg",18,IF(Atletas!D280="Adulto 60kg",19,IF(Atletas!D280="Adulto 65kg",20,IF(Atletas!D280="Adulto 70kg",21,IF(Atletas!D280="Adulto 75kg",22,IF(Atletas!D280="Adulto 80kg",23,IF(Atletas!D280="Adulto 85kg",24,IF(Atletas!D280="Adulto 90kg",25,IF(Atletas!D280="Adulto +90kg",26,""))))))))))))))))))))))))))))</f>
        <v/>
      </c>
      <c r="AO284" s="10" t="str">
        <f>IF(Atletas!E280="","",IF(Atletas!B280="Feminino",100,IF(Atletas!B280="Masculino",200,""))+(IF(Atletas!E280="Juvenil 44kg",1,IF(Atletas!E280="Juvenil 48kg",2,IF(Atletas!E280="Juvenil 52kg",3,IF(Atletas!E280="Juvenil 56kg",4,IF(Atletas!E280="Juvenil 60kg",5,IF(Atletas!E280="Juvenil 65kg",6,IF(Atletas!E280="Juvenil 70kg",7,IF(Atletas!E280="Juvenil 75kg",8,IF(Atletas!E280="Juvenil 82kg",9,IF(Atletas!E280="Juvenil 90kg",10,IF(Atletas!E280="Juvenil 100kg",11,IF(Atletas!E280="Adulto 48kg",12,IF(Atletas!E280="Adulto 52kg",13,IF(Atletas!E280="Adulto 56kg",14,IF(Atletas!E280="Adulto 60kg",15,IF(Atletas!E280="Adulto 65kg",16,IF(Atletas!E280="Adulto 70kg",17,IF(Atletas!E280="Adulto 75kg",18,IF(Atletas!E280="Adulto 82kg",19,IF(Atletas!E280="Adulto 90kg",20,IF(Atletas!E280="Adulto 100kg",21,IF(Atletas!E280="Adulto +100kg",22,""))))))))))))))))))))))))</f>
        <v/>
      </c>
      <c r="AT284" s="10" t="str">
        <f>IF(Atletas!F280="","",IF(Atletas!B280="Feminino",100,IF(Atletas!B280="Masculino",200,""))+(IF(Atletas!F280="Adulto 48kg",1,IF(Atletas!F280="Adulto 56kg",2,IF(Atletas!F280="Adulto 65kg",3,IF(Atletas!F280="Adulto 75kg",4,IF(Atletas!F280="Adulto +75kg",5,IF(Atletas!F280="Adulto 52kg",6,IF(Atletas!F280="Adulto 60kg",7,IF(Atletas!F280="Adulto 70kg",8,IF(Atletas!F280="Adulto 80kg",9,IF(Atletas!F280="Adulto 90kg",10,IF(Atletas!F280="Adulto +90kg",11,"")))))))))))))</f>
        <v/>
      </c>
      <c r="AY284" s="46" t="str">
        <f>IF(Atletas!G280="","",IF(Atletas!B280="Feminino",100,IF(Atletas!B280="Masculino",200,""))+(IF(Atletas!G280="Changquan Mirim",1,IF(Atletas!G280="Nanquan Mirim",2,IF(Atletas!G280="Taijiquan Mirim",3,IF(Atletas!G280="Changquan Grupo C",4,IF(Atletas!G280="Nanquan Grupo C",5,IF(Atletas!G280="Taijiquan Grupo C",6,IF(Atletas!G280="Changquan Grupo B",7,IF(Atletas!G280="Nanquan Grupo B",8,IF(Atletas!G280="Taijiquan Grupo B",9,IF(Atletas!G280="Changquan Grupo A",10,IF(Atletas!G280="Nanquan Grupo A",11,IF(Atletas!G280="Taijiquan Grupo A",12,IF(Atletas!G280="Changquan Opcional",13,IF(Atletas!G280="Nanquan Opcional",14,IF(Atletas!G280="Taijiquan Opcional",15,IF(Atletas!G280="Changquan Adulto",16,IF(Atletas!G280="Nanquan Adulto",17,IF(Atletas!G280="Taijiquan Adulto",18,""))))))))))))))))))))</f>
        <v/>
      </c>
      <c r="AZ284" s="46" t="str">
        <f>IF(Atletas!H280="","",IF(Atletas!B280="Feminino",100,IF(Atletas!B280="Masculino",200,""))+(IF(Atletas!H280="Daoshu Mirim",19,IF(Atletas!H280="Jianshu Mirim",20,IF(Atletas!H280="Nandao Mirim",21,IF(Atletas!H280="Taijijian Mirim",22,IF(Atletas!H280="Daoshu Grupo C",23,IF(Atletas!H280="Jianshu Grupo C",24,IF(Atletas!H280="Nandao Grupo C",25,IF(Atletas!H280="Taijijian Grupo C",26,IF(Atletas!H280="Daoshu Grupo B",27,IF(Atletas!H280="Jianshu Grupo B",28,IF(Atletas!H280="Nandao Grupo B",29,IF(Atletas!H280="Taijijian Grupo B",30,IF(Atletas!H280="Daoshu Grupo A",31,IF(Atletas!H280="Jianshu Grupo A",32,IF(Atletas!H280="Nandao Grupo A",33,IF(Atletas!H280="Taijijian Grupo A",34,IF(Atletas!H280="Daoshu Opcional",35,IF(Atletas!H280="Jianshu Opcional",36,IF(Atletas!H280="Nandao Opcional",37,IF(Atletas!H280="Taijijian Opcional",38,IF(Atletas!H280="Daoshu Adulto",39,IF(Atletas!H280="Jianshu Adulto",40,IF(Atletas!H280="Nandao Adulto",41,IF(Atletas!H280="Taijijian Adulto",42,""))))))))))))))))))))))))))</f>
        <v/>
      </c>
      <c r="BA284" s="46" t="str">
        <f>IF(Atletas!I280="","",IF(Atletas!B280="Feminino",100,IF(Atletas!B280="Masculino",200,""))+(IF(Atletas!I280="Gunshu Mirim",43,IF(Atletas!I280="Qiangshu Mirim",44,IF(Atletas!I280="Nangun Mirim",45,IF(Atletas!I280="Gunshu Grupo C",46,IF(Atletas!I280="Qiangshu Grupo C",47,IF(Atletas!I280="Nangun Grupo C",48,IF(Atletas!I280="Gunshu Grupo B",49,IF(Atletas!I280="Qiangshu Grupo B",50,IF(Atletas!I280="Nangun Grupo B",51,IF(Atletas!I280="Gunshu Grupo A",52,IF(Atletas!I280="Qiangshu Grupo A",53,IF(Atletas!I280="Nangun Grupo A",54,IF(Atletas!I280="Gunshu Opcional",55,IF(Atletas!I280="Qiangshu Opcional",56,IF(Atletas!I280="Nangun Opcional",57,IF(Atletas!I280="Gunshu Adulto",58,IF(Atletas!I280="Qiangshu Adulto",59,IF(Atletas!I280="Nangun Adulto",60,""))))))))))))))))))))</f>
        <v/>
      </c>
      <c r="BF284" s="52" t="str">
        <f>IF(Atletas!J280="","",IF(Atletas!B280="Feminino",100,IF(Atletas!B280="Masculino",200,""))+(IF(Atletas!J280="Equipe 1 Grupo B",1,IF(Atletas!J280="Equipe 2 Grupo B",2,IF(Atletas!J280="Equipe 1 Grupo A",3,IF(Atletas!J280="Equipe 2 Grupo A",4,IF(Atletas!J280="Equipe 1 Adulto",5,IF(Atletas!J280="Equipe 2 Adulto",6,""))))))))</f>
        <v/>
      </c>
      <c r="BK284" s="52" t="str">
        <f>IF(Atletas!K280="","",IF(Atletas!W280&lt;&gt;"",10000,0)+(IF(Atletas!B280="Feminino",1000,IF(Atletas!B280="Masculino",2000,""))+IF(Atletas!K280="Choylayfut A",1,IF(Atletas!K280="Hunggar A",2,IF(Atletas!K280="Wuzuquan A",3,IF(Atletas!K280="Wingchun A",4,IF(Atletas!K280="Outra Mão de Sul A",5,IF(Atletas!K280="Choylayfut B",6,IF(Atletas!K280="Hunggar B",7,IF(Atletas!K280="Wuzuquan B",8,IF(Atletas!K280="Wingchun B",9,IF(Atletas!K280="Outra Mão de Sul B",10,IF(Atletas!K280="Choylayfut C",11,IF(Atletas!K280="Hunggar C",12,IF(Atletas!K280="Wuzuquan C",13,IF(Atletas!K280="Wingchun C",14,IF(Atletas!K280="Outra Mão de Sul C",15,IF(Atletas!K280="Choylayfut D",16,IF(Atletas!K280="Hunggar D",17,IF(Atletas!K280="Wuzuquan D",18,IF(Atletas!K280="Wingchun D",19,IF(Atletas!K280="Outra Mão de Sul D",20,IF(Atletas!K280="Choylayfut E",21,IF(Atletas!K280="Hunggar E",22,IF(Atletas!K280="Wuzuquan E",23,IF(Atletas!K280="Wingchun E",24,IF(Atletas!K280="Outra Mão de Sul E",25,IF(Atletas!K280="Choylayfut F",26,IF(Atletas!K280="Hunggar F",27,IF(Atletas!K280="Wuzuquan F",28,IF(Atletas!K280="Wingchun F",29,IF(Atletas!K280="Outra Mão de Sul F",30,""))))))))))))))))))))))))))))))))</f>
        <v/>
      </c>
      <c r="BL284" s="52" t="str">
        <f>IF(Atletas!L280="","",IF(Atletas!W280&lt;&gt;"",10000,0)+(IF(Atletas!B280="Feminino",1000,IF(Atletas!B280="Masculino",2000,""))+(IF(Atletas!L280="Chaquan A",101,IF(Atletas!L280="Emeiquan A",102,IF(Atletas!L280="Fanziquan A",103,IF(Atletas!L280="Huaquan A",104,IF(Atletas!L280="Hongquan A",105,IF(Atletas!L280="Paochui A",106,IF(Atletas!L280="Piguaquan A",107,IF(Atletas!L280="Shaolinquan A",108,IF(Atletas!L280="Tanglangquan A",109,IF(Atletas!L280="Yinzhaophai A",110,IF(Atletas!L280="Tongbeiquan A",111,IF(Atletas!L280="Wudangquan A",112,IF(Atletas!L280="Outros Estilos A",113,IF(Atletas!L280="Chaquan B",114,IF(Atletas!L280="Emeiquan B",115,IF(Atletas!L280="Fanziquan B",116,IF(Atletas!L280="Huaquan B",117,IF(Atletas!L280="Hongquan B",118,IF(Atletas!L280="Paochui B",119,IF(Atletas!L280="Piguaquan B",120,IF(Atletas!L280="Shaolinquan B",121,IF(Atletas!L280="Tanglangquan B",122,IF(Atletas!L280="Yinzhaophai B",123,IF(Atletas!L280="Tongbeiquan B",124,IF(Atletas!L280="Wudangquan B",125,IF(Atletas!L280="Outros Estilos B",126,IF(Atletas!L280="Chaquan C",127,IF(Atletas!L280="Emeiquan C",128,IF(Atletas!L280="Fanziquan C",129,IF(Atletas!L280="Huaquan C",130,IF(Atletas!L280="Hongquan C",131,IF(Atletas!L280="Paochui C",132,IF(Atletas!L280="Piguaquan C",133,IF(Atletas!L280="Shaolinquan C",134,IF(Atletas!L280="Tanglangquan C",135,IF(Atletas!L280="Yinzhaophai C",136,IF(Atletas!L280="Tongbeiquan C",137,IF(Atletas!L280="Wudangquan C",138,IF(Atletas!L280="Outros Estilos C",139,0))))))))))))))))))))))))))))))))))))))))))</f>
        <v/>
      </c>
      <c r="BM284" s="52" t="str">
        <f>IF(Atletas!L280="","",IF(Atletas!W280&lt;&gt;"",10000,0)+(IF(Atletas!B280="Feminino",1000,IF(Atletas!B280="Masculino",2000,""))+(IF(Atletas!L280="Chaquan D",140,IF(Atletas!L280="Emeiquan D",141,IF(Atletas!L280="Fanziquan D",142,IF(Atletas!L280="Huaquan D",143,IF(Atletas!L280="Hongquan D",144,IF(Atletas!L280="Paochui D",145,IF(Atletas!L280="Piguaquan D",146,IF(Atletas!L280="Shaolinquan D",147,IF(Atletas!L280="Tanglangquan D",148,IF(Atletas!L280="Yinzhaophai D",149,IF(Atletas!L280="Tongbeiquan D",150,IF(Atletas!L280="Wudangquan D",151,IF(Atletas!L280="Outros Estilos D",152,IF(Atletas!L280="Chaquan E",153,IF(Atletas!L280="Emeiquan E",154,IF(Atletas!L280="Fanziquan E",155,IF(Atletas!L280="Huaquan E",156,IF(Atletas!L280="Hongquan E",157,IF(Atletas!L280="Paochui E",158,IF(Atletas!L280="Piguaquan E",159,IF(Atletas!L280="Shaolinquan E",160,IF(Atletas!L280="Tanglangquan E",161,IF(Atletas!L280="Yinzhaophai E",162,IF(Atletas!L280="Tongbeiquan E",163,IF(Atletas!L280="Wudangquan E",164,IF(Atletas!L280="Outros Estilos E",165,IF(Atletas!L280="Chaquan F",166,IF(Atletas!L280="Emeiquan F",167,IF(Atletas!L280="Fanziquan F",168,IF(Atletas!L280="Huaquan F",169,IF(Atletas!L280="Hongquan F",170,IF(Atletas!L280="Paochui F",171,IF(Atletas!L280="Piguaquan F",172,IF(Atletas!L280="Shaolinquan F",173,IF(Atletas!L280="Tanglangquan F",174,IF(Atletas!L280="Yinzhaophai F",175,IF(Atletas!L280="Tongbeiquan F",176,IF(Atletas!L280="Wudangquan F",177,IF(Atletas!L280="Outros Estilos F",178,0))))))))))))))))))))))))))))))))))))))))))</f>
        <v/>
      </c>
      <c r="BN284" s="52" t="str">
        <f>IF(Atletas!M280="","",IF(Atletas!W280&lt;&gt;"",10000,0)+(IF(Atletas!B280="Feminino",1000,IF(Atletas!B280="Masculino",2000,""))+(IF(Atletas!M280="Ditangquan A",201,IF(Atletas!M280="Houquan A",202,IF(Atletas!M280="Zuiquan A",203,IF(Atletas!M280="Ditangquan B",204,IF(Atletas!M280="Houquan B",205,IF(Atletas!M280="Zuiquan B",206,IF(Atletas!M280="Ditangquan C",207,IF(Atletas!M280="Houquan C",208,IF(Atletas!M280="Zuiquan C",209,IF(Atletas!M280="Ditangquan D",210,IF(Atletas!M280="Houquan D",211,IF(Atletas!M280="Zuiquan D",212,IF(Atletas!M280="Ditangquan E",213,IF(Atletas!M280="Houquan E",214,IF(Atletas!M280="Zuiquan E",215,IF(Atletas!M280="Ditangquan F",216,IF(Atletas!M280="Houquan F",217,IF(Atletas!M280="Zuiquan F",218,"")))))))))))))))))))))</f>
        <v/>
      </c>
      <c r="BO284" s="52" t="str">
        <f>IF(Atletas!N280="","",IF(Atletas!W280&lt;&gt;"",10000,0)+IF(Atletas!B280="Feminino",1000,IF(Atletas!B280="Masculino",2000,""))+IF(Atletas!N280="Yang A",301,IF(Atletas!N280="Chen A",30,IF(Atletas!N280="Sun A",303,IF(Atletas!N280="Wu A",304,IF(Atletas!N280="Wu-Hao A",305,IF(Atletas!N280="Outro Taijiquan A",306,IF(Atletas!N280="Yang B",307,IF(Atletas!N280="Chen B",308,IF(Atletas!N280="Sun B",309,IF(Atletas!N280="Wu B",310,IF(Atletas!N280="Wu-Hao B",311,IF(Atletas!N280="Outro Taijiquan B",312,IF(Atletas!N280="Yang C",313,IF(Atletas!N280="Chen C",314,IF(Atletas!N280="Sun C",315,IF(Atletas!N280="Wu C",316,IF(Atletas!N280="Wu-Hao C",317,IF(Atletas!N280="Outro Taijiquan C",318,IF(Atletas!N280="Yang D",319,IF(Atletas!N280="Chen D",320,IF(Atletas!N280="Sun D",321,IF(Atletas!N280="Wu D",322,IF(Atletas!N280="Wu-Hao D",323,IF(Atletas!N280="Outro Taijiquan D",324,IF(Atletas!N280="Yang E",325,IF(Atletas!N280="Chen E",326,IF(Atletas!N280="Sun E",327,IF(Atletas!N280="Wu E",328,IF(Atletas!N280="Wu-Hao E",329,IF(Atletas!N280="Outro Taijiquan E",330,IF(Atletas!N280="Yang F",331,IF(Atletas!N280="Chen F",332,IF(Atletas!N280="Sun F",333,IF(Atletas!N280="Wu F",334,IF(Atletas!N280="Wu-Hao F",335,IF(Atletas!N280="Outro Taijiquan F",336,"")))))))))))))))))))))))))))))))))))))</f>
        <v/>
      </c>
      <c r="BP284" s="52" t="str">
        <f>IF(Atletas!O280="","",IF(Atletas!W280&lt;&gt;"",10000,0)+IF(Atletas!B280="Feminino",1000,IF(Atletas!B280="Masculino",2000,""))+IF(OR(Atletas!O280="Yang 26 A",Atletas!O280="Yang 40 A"),401,IF(OR(Atletas!O280="Chen 25 A",Atletas!O280="Chen 36 A",Atletas!O280="Chen 56 A"),402,IF(Atletas!O280="Sun 73 A",403,IF(Atletas!O280="Wu 45 A",404,IF(Atletas!O280="Wu-Hao 46 A",405,IF(OR(Atletas!O280="Taijiquan 16 A",Atletas!O280="Taijiquan 24 A",Atletas!O280="Taijiquan 32 A",Atletas!O280="Taijiquan 42 A"),406,IF(OR(Atletas!O280="Yang 26 B",Atletas!O280="Yang 40 B"),407,IF(OR(Atletas!O280="Chen 25 B",Atletas!O280="Chen 36 B",Atletas!O280="Chen 56 B"),408,IF(Atletas!O280="Sun 73 B",409,IF(Atletas!O280="Wu 45 B",410,IF(Atletas!O280="Wu-Hao 46 B",411,IF(OR(Atletas!O280="Taijiquan 16 B",Atletas!O280="Taijiquan 24 B",Atletas!O280="Taijiquan 32 B",Atletas!O280="Taijiquan 42 B"),412,IF(OR(Atletas!O280="Yang 26 C",Atletas!O280="Yang 40 C"),413,IF(OR(Atletas!O280="Chen 25 C",Atletas!O280="Chen 36 C",Atletas!O280="Chen 56 C"),414,IF(Atletas!O280="Sun 73 C",415,IF(Atletas!O280="Wu 45 C",416,IF(Atletas!O280="Wu-Hao 46 C",417,IF(OR(Atletas!O280="Taijiquan 16 C",Atletas!O280="Taijiquan 24 C",Atletas!O280="Taijiquan 32 C",Atletas!O280="Taijiquan 42 C"),418,0)))))))))))))))))))</f>
        <v/>
      </c>
      <c r="BQ284" s="52" t="str">
        <f>IF(Atletas!O280="","",IF(Atletas!W280&lt;&gt;"",10000,0)+IF(Atletas!B280="Feminino",1000,IF(Atletas!B280="Masculino",2000,""))+IF(OR(Atletas!O280="Yang 26 D",Atletas!O280="Yang 40 D"),419,IF(OR(Atletas!O280="Chen 25 D",Atletas!O280="Chen 36 D",Atletas!O280="Chen 56 D"),420,IF(Atletas!O280="Sun 73 D",421,IF(Atletas!O280="Wu 45 D",422,IF(Atletas!O280="Wu-Hao 46 D",423,IF(OR(Atletas!O280="Taijiquan 16 D",Atletas!O280="Taijiquan 24 D",Atletas!O280="Taijiquan 32 D",Atletas!O280="Taijiquan 42 D"),424,IF(OR(Atletas!O280="Yang 26 E",Atletas!O280="Yang 40 E"),425,IF(OR(Atletas!O280="Chen 25 E",Atletas!O280="Chen 36 E",Atletas!O280="Chen 56 E"),426,IF(Atletas!O280="Sun 73 E",427,IF(Atletas!O280="Wu 45 E",428,IF(Atletas!O280="Wu-Hao 46 E",429,IF(OR(Atletas!O280="Taijiquan 16 E",Atletas!O280="Taijiquan 24 E",Atletas!O280="Taijiquan 32 E",Atletas!O280="Taijiquan 42 E"),430,IF(OR(Atletas!O280="Yang 26 F",Atletas!O280="Yang 40 F"),431,IF(OR(Atletas!O280="Chen 25 F",Atletas!O280="Chen 36 F",Atletas!O280="Chen 56 F"),432,IF(Atletas!O280="Sun 73 F",433,IF(Atletas!O280="Wu 45 F",434,IF(Atletas!O280="Wu-Hao 46 F",435,IF(OR(Atletas!O280="Taijiquan 16 F",Atletas!O280="Taijiquan 24 F",Atletas!O280="Taijiquan 32 F",Atletas!O280="Taijiquan 42 F"),436,0)))))))))))))))))))</f>
        <v/>
      </c>
      <c r="BR284" s="52" t="str">
        <f>IF(Atletas!P280="","",IF(Atletas!W280&lt;&gt;"",10000,0)+IF(Atletas!B280="Feminino",1000,IF(Atletas!B280="Masculino",2000,""))+IF(Atletas!P280="Xingyiquan A",501,IF(Atletas!P280="Baguazhang A",502,IF(Atletas!P280="Outro Estilo Interno A",503,IF(Atletas!P280="Xingyiquan B",504,IF(Atletas!P280="Baguazhang B",505,IF(Atletas!P280="Outro Estilo Interno B",506,IF(Atletas!P280="Xingyiquan C",507,IF(Atletas!P280="Baguazhang C",508,IF(Atletas!P280="Outro Estilo Interno C",509,IF(Atletas!P280="Xingyiquan D",510,IF(Atletas!P280="Baguazhang D",511,IF(Atletas!P280="Outro Estilo Interno D",512,IF(Atletas!P280="Xingyiquan E",513,IF(Atletas!P280="Baguazhang E",514,IF(Atletas!P280="Outro Estilo Interno E",515,IF(Atletas!P280="Xingyiquan F",516,IF(Atletas!P280="Baguazhang F",517,IF(Atletas!P280="Outro Estilo Interno F",518, "")))))))))))))))))))</f>
        <v/>
      </c>
      <c r="BS284" s="52" t="str">
        <f>IF(Atletas!Q280="","",IF(Atletas!W280&lt;&gt;"",10000,0)+IF(Atletas!B280="Feminino",1000,IF(Atletas!B280="Masculino",2000,""))+IF(Atletas!Q280="Dao A",601,IF(Atletas!Q280="Jian A",602,IF(Atletas!Q280="Bishou A",603,IF(Atletas!Q280="Shan A",604,IF(Atletas!Q280="Outra Arma Curta A",605,IF(Atletas!Q280="Dao B",606,IF(Atletas!Q280="Jian B",607,IF(Atletas!Q280="Bishou B",608,IF(Atletas!Q280="Shan B",609,IF(Atletas!Q280="Outra Arma Curta B",610,IF(Atletas!Q280="Dao C",611,IF(Atletas!Q280="Jian C",612,IF(Atletas!Q280="Bishou C",613,IF(Atletas!Q280="Shan C",614,IF(Atletas!Q280="Outra Arma Curta C",615,IF(Atletas!Q280="Dao D",616,IF(Atletas!Q280="Jian D",617,IF(Atletas!Q280="Bishou D",618,IF(Atletas!Q280="Shan D",619,IF(Atletas!Q280="Outra Arma Curta D",620,IF(Atletas!Q280="Dao E",621,IF(Atletas!Q280="Jian E",622,IF(Atletas!Q280="Bishou E",623,IF(Atletas!Q280="Shan E",624,IF(Atletas!Q280="Outra Arma Curta E",625,IF(Atletas!Q280="Dao F",626,IF(Atletas!Q280="Jian F",627,IF(Atletas!Q280="Bishou F",628,IF(Atletas!Q280="Shan F",629,IF(Atletas!Q280="Outra Arma Curta F",630, "")))))))))))))))))))))))))))))))</f>
        <v/>
      </c>
      <c r="BT284" s="52" t="str">
        <f>IF(Atletas!R280="","",IF(Atletas!W280&lt;&gt;"",10000,0)+IF(Atletas!B280="Feminino",1000,IF(Atletas!B280="Masculino",2000,""))+IF(Atletas!R280="Gun A",701,IF(Atletas!R280="Qiang A",702,IF(Atletas!R280="Pudao / Guandao A",703,IF(Atletas!R280="Outra Arma Longa A",704,IF(Atletas!R280="Gun B",705,IF(Atletas!R280="Qiang B",706,IF(Atletas!R280="Pudao / Guandao B",707,IF(Atletas!R280="Outra Arma Longa B",708,IF(Atletas!R280="Gun C",709,IF(Atletas!R280="Qiang C",710,IF(Atletas!R280="Pudao / Guandao C",711,IF(Atletas!R280="Outra Arma Longa C",712,IF(Atletas!R280="Gun D",713,IF(Atletas!R280="Qiang D",714,IF(Atletas!R280="Pudao / Guandao D",715,IF(Atletas!R280="Outra Arma Longa D",716,IF(Atletas!R280="Gun E",717,IF(Atletas!R280="Qiang E",718,IF(Atletas!R280="Pudao / Guandao E",719,IF(Atletas!R280="Outra Arma Longa E",720,IF(Atletas!R280="Gun F",721,IF(Atletas!R280="Qiang F",722,IF(Atletas!R280="Pudao / Guandao F",723,IF(Atletas!R280="Outra Arma Longa F",724,"")))))))))))))))))))))))))</f>
        <v/>
      </c>
      <c r="BU284" s="52" t="str">
        <f>IF(Atletas!S280="","",IF(Atletas!W280&lt;&gt;"",10000,0)+IF(Atletas!B280="Feminino",1000,IF(Atletas!B280="Masculino",2000,""))+IF(Atletas!S280="Arma Dupla A",801,IF(Atletas!S280="Arma Maleável A",802,IF(Atletas!S280="Arma Dupla B",803,IF(Atletas!S280="Arma Maleável B",804,IF(Atletas!S280="Arma Dupla C",805,IF(Atletas!S280="Arma Maleável C",806,IF(Atletas!S280="Arma Dupla D",807,IF(Atletas!S280="Arma Maleável D",808,IF(Atletas!S280="Arma Dupla E",809,IF(Atletas!S280="Arma Maleável E",810,IF(Atletas!S280="Arma Dupla F",811,IF(Atletas!S280="Arma Maleável F",812, "")))))))))))))</f>
        <v/>
      </c>
      <c r="BV284" s="52" t="str">
        <f>IF(Atletas!T280="","",IF(Atletas!W280&lt;&gt;"",10000,0)+IF(Atletas!B280="Feminino",1000,IF(Atletas!B280="Masculino",2000,""))+IF(Atletas!T280="Taijijian Yang A",901,IF(Atletas!T280="Taijijian Chen A",902,IF(Atletas!T280="Taijijian Sun A",903,IF(Atletas!T280="Taijijian Wu A",904,IF(Atletas!T280="Taijijian Wu-Hao A",905,IF(Atletas!T280="Taijijian 32 A",906,IF(Atletas!T280="Taijijian 42 A",907,IF(Atletas!T280="Taijijian Yang B",908,IF(Atletas!T280="Taijijian Chen B",909,IF(Atletas!T280="Taijijian Sun B",910,IF(Atletas!T280="Taijijian Wu B",911,IF(Atletas!T280="Taijijian Wu-Hao B",912,IF(Atletas!T280="Taijijian 32 B",913,IF(Atletas!T280="Taijijian 42 B",914,IF(Atletas!T280="Taijijian Yang C",915,IF(Atletas!T280="Taijijian Chen C",916,IF(Atletas!T280="Taijijian Sun C",917,IF(Atletas!T280="Taijijian Wu C",918,IF(Atletas!T280="Taijijian Wu-Hao C",919,IF(Atletas!T280="Taijijian 32 C",920,IF(Atletas!T280="Taijijian 42 C",921,IF(Atletas!T280="Taijijian Yang D",922,IF(Atletas!T280="Taijijian Chen D",923,IF(Atletas!T280="Taijijian Sun D",924,IF(Atletas!T280="Taijijian Wu D",925,IF(Atletas!T280="Taijijian Wu-Hao D",926,IF(Atletas!T280="Taijijian 32 D",927,IF(Atletas!T280="Taijijian 42 D",928,IF(Atletas!T280="Taijijian Yang E",929,IF(Atletas!T280="Taijijian Chen E",930,IF(Atletas!T280="Taijijian Sun E",931,IF(Atletas!T280="Taijijian Wu E",932,IF(Atletas!T280="Taijijian Wu-Hao E",933,IF(Atletas!T280="Taijijian 32 E",934,IF(Atletas!T280="Taijijian 42 E",935,IF(Atletas!T280="Taijijian Yang F",936,IF(Atletas!T280="Taijijian Chen F",937,IF(Atletas!T280="Taijijian Sun F",938,IF(Atletas!T280="Taijijian Wu F",939,IF(Atletas!T280="Taijijian Wu-Hao F",940,IF(Atletas!T280="Taijijian 32 F",941,IF(Atletas!T280="Taijijian 42 F",942,"")))))))))))))))))))))))))))))))))))))))))))</f>
        <v/>
      </c>
      <c r="BW284" s="52" t="str">
        <f>IF(Atletas!U280="","",IF(Atletas!W280&lt;&gt;"",10000,0)+IF(Atletas!B280="Feminino",1000,IF(Atletas!B280="Masculino",2000,""))+IF(Atletas!T280="Taijijian 42 F",942,IF(Atletas!U280="Taijidao A",943,IF(Atletas!U280="Taijishan A",944,IF(Atletas!U280="Taijiqiang A",945,IF(Atletas!U280="Taijidao B",946,IF(Atletas!U280="Taijishan B",947,IF(Atletas!U280="Taijiqiang B",948,IF(Atletas!U280="Taijidao C",949,IF(Atletas!U280="Taijishan C",950,IF(Atletas!U280="Taijiqiang C",951,IF(Atletas!U280="Taijidao D",952,IF(Atletas!U280="Taijishan D",953,IF(Atletas!U280="Taijiqiang D",954,IF(Atletas!U280="Taijidao E",955,IF(Atletas!U280="Taijishan E",956,IF(Atletas!U280="Taijiqiang E",957,IF(Atletas!U280="Taijidao F",958,IF(Atletas!U280="Taijishan F",959,IF(Atletas!U280="Taijiqiang F",960))))))))))))))))))))</f>
        <v/>
      </c>
      <c r="BX284" s="72" t="str">
        <f>IF(BY284&lt;&gt;"","Arma Maleável D","")</f>
        <v/>
      </c>
      <c r="BY284" s="72" t="str">
        <f>IF(COUNTIF(BK:BW,1808)&gt;0,COUNTIF(BK:BW,1808),"")</f>
        <v/>
      </c>
      <c r="BZ284" s="72" t="str">
        <f>IF(CA284&lt;&gt;"","Arma Maleável D","")</f>
        <v/>
      </c>
      <c r="CA284" s="72" t="str">
        <f>IF(COUNTIF(BK:BW,2808)&gt;0,COUNTIF(BK:BW,2808),"")</f>
        <v/>
      </c>
      <c r="CB284" s="72" t="str">
        <f>IF(CC284&lt;&gt;"","Jian A","")</f>
        <v/>
      </c>
      <c r="CC284" s="64" t="str">
        <f>IF(COUNTIF(BK:BW,11602)&gt;0,COUNTIF(BK:BW,11602),"")</f>
        <v/>
      </c>
      <c r="CD284" s="64" t="str">
        <f>IF(CE284&lt;&gt;"","Jian A","")</f>
        <v/>
      </c>
      <c r="CE284" s="64" t="str">
        <f>IF(COUNTIF(BK:BW,12602)&gt;0,COUNTIF(BK:BW,12602),"")</f>
        <v/>
      </c>
      <c r="CF284" s="52" t="str">
        <f xml:space="preserve"> IF(Atletas!V280="","",IF(Atletas!V280="Duilian de Mãos AB - Equipe 1",1,IF(Atletas!V280="Duilian de Mãos AB - Equipe 2",2,IF(Atletas!V280="Duilian de Armas AB - Equipe 1",3,IF(Atletas!V280="Duilian de Armas AB - Equipe 2",4,IF(Atletas!V280="Duilian de Tuishou - Equipe 1",5,IF(Atletas!V280="Duilian de Tuishou - Equipe 2",6,IF(Atletas!V280="Grupo Externo AB - Equipe 1",7,IF(Atletas!V280="Grupo Externo AB - Equipe 2",8,IF(Atletas!V280="Grupo Interno AB - Equipe 1",9,IF(Atletas!V280="Grupo Interno AB - Equipe 2",10,IF(Atletas!V280="Duilian de Mãos CD - Equipe 1",11,IF(Atletas!V280="Duilian de Mãos CD - Equipe 2",12,IF(Atletas!V280="Duilian de Armas CD - Equipe 1",13,IF(Atletas!V280="Duilian de Armas CD - Equipe 2",14,IF(Atletas!V280="Duilian de Tuishou - Equipe 1",15,IF(Atletas!V280="Duilian de Tuishou - Equipe 2",16,IF(Atletas!V280="Grupo Externo CDEF - Equipe 1",17,IF(Atletas!V280="Grupo Externo CDEF - Equipe 2",18,IF(Atletas!V280="Grupo Interno CDEF - Equipe 1",19,IF(Atletas!V280="Grupo Interno CDEF - Equipe 2",20,IF(Atletas!V280="Duilian de Mãos EF - Equipe 1",21,IF(Atletas!V280="Duilian de Mãos EF - Equipe 2",22,IF(Atletas!V280="Duilian de Armas EF - Equipe 1",23,IF(Atletas!V280="Duilian de Armas EF - Equipe 2",24,IF(Atletas!V280="Duilian de Tuishou - Equipe 1",25,IF(Atletas!V280="Duilian de Tuishou - Equipe 2",26,"")))))))))))))))))))))))))))</f>
        <v/>
      </c>
    </row>
    <row r="285" spans="2:84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 t="str">
        <f t="array" ref="V285">IFERROR(INDEX(BX$7:BX$336,SMALL(IF(BX$7:BX$336&lt;&gt;"",ROW(BX$7:BX$336)-ROW(BX$7)+1),ROWS(BX$7:BX242))),"")</f>
        <v/>
      </c>
      <c r="W285" s="4" t="str">
        <f t="array" ref="W285">IFERROR(INDEX(BY$7:BY$336,SMALL(IF(BY$7:BY$336&lt;&gt;"",ROW(BY$7:BY$336)-ROW(BY$7)+1),ROWS(BY$7:BY242))),"")</f>
        <v/>
      </c>
      <c r="X285" s="4" t="str">
        <f t="array" ref="X285">IFERROR(INDEX(BZ$7:BZ$336,SMALL(IF(BZ$7:BZ$336&lt;&gt;"",ROW(BZ$7:BZ$336)-ROW(BZ$7)+1),ROWS(BZ$7:BZ242))),"")</f>
        <v/>
      </c>
      <c r="Y285" s="4" t="str">
        <f t="array" ref="Y285">IFERROR(INDEX(CA$7:CA$336,SMALL(IF(CA$7:CA$336&lt;&gt;"",ROW(CA$7:CA$336)-ROW(CA$7)+1),ROWS(CA$7:CA242))),"")</f>
        <v/>
      </c>
      <c r="Z285" s="4" t="str">
        <f t="array" ref="Z285">IFERROR(INDEX(CB$7:CB$378,SMALL(IF(CB$7:CB$378&lt;&gt;"",ROW(CB$7:CB$378)-ROW(CB$7)+1),ROWS(CB$7:CB284))),"")</f>
        <v/>
      </c>
      <c r="AA285" s="4" t="str">
        <f t="array" ref="AA285">IFERROR(INDEX(CC$7:CC$378,SMALL(IF(CC$7:CC$378&lt;&gt;"",ROW(CC$7:CC$378)-ROW(CC$7)+1),ROWS(CC$7:CC284))),"")</f>
        <v/>
      </c>
      <c r="AB285" s="4" t="str">
        <f t="array" ref="AB285">IFERROR(INDEX(CD$7:CD$378,SMALL(IF(CD$7:CD$378&lt;&gt;"",ROW(CD$7:CD$378)-ROW(CD$7)+1),ROWS(CD$7:CD284))),"")</f>
        <v/>
      </c>
      <c r="AC285" s="4" t="str">
        <f t="array" ref="AC285">IFERROR(INDEX(CE$7:CE$378,SMALL(IF(CE$7:CE$378&lt;&gt;"",ROW(CE$7:CE$378)-ROW(CE$7)+1),ROWS(CE$7:CE284))),"")</f>
        <v/>
      </c>
      <c r="AD285" s="4"/>
      <c r="AE285" s="4"/>
      <c r="AF285" s="4"/>
      <c r="AG285" s="4"/>
      <c r="AH285" s="4"/>
      <c r="AI285" s="4"/>
      <c r="AJ285" s="46" t="str">
        <f>IF(Atletas!D281="","",IF(Atletas!B281="Feminino",100,IF(Atletas!B281="Masculino",200,""))+(IF(Atletas!D281="Infantil 39kg",1,IF(Atletas!D281="Infantil 42kg",2,IF(Atletas!D281="Infantil 45kg",3,IF(Atletas!D281="Infantil 48kg",4,IF(Atletas!D281="Infantil 52kg",5,IF(Atletas!D281="Infantil 56kg",6,IF(Atletas!D281="Infantil 60kg",7,IF(Atletas!D281="Juvenil 48kg",8,IF(Atletas!D281="Juvenil 52kg",9,IF(Atletas!D281="Juvenil 56kg",10,IF(Atletas!D281="Juvenil 60kg",11,IF(Atletas!D281="Juvenil 65kg",12,IF(Atletas!D281="Juvenil 70kg",13,IF(Atletas!D281="Juvenil 75kg",14,IF(Atletas!D281="Juvenil 80kg",15,IF(Atletas!D281="Adulto 48kg",16,IF(Atletas!D281="Adulto 52kg",17,IF(Atletas!D281="Adulto 56kg",18,IF(Atletas!D281="Adulto 60kg",19,IF(Atletas!D281="Adulto 65kg",20,IF(Atletas!D281="Adulto 70kg",21,IF(Atletas!D281="Adulto 75kg",22,IF(Atletas!D281="Adulto 80kg",23,IF(Atletas!D281="Adulto 85kg",24,IF(Atletas!D281="Adulto 90kg",25,IF(Atletas!D281="Adulto +90kg",26,""))))))))))))))))))))))))))))</f>
        <v/>
      </c>
      <c r="AO285" s="10" t="str">
        <f>IF(Atletas!E281="","",IF(Atletas!B281="Feminino",100,IF(Atletas!B281="Masculino",200,""))+(IF(Atletas!E281="Juvenil 44kg",1,IF(Atletas!E281="Juvenil 48kg",2,IF(Atletas!E281="Juvenil 52kg",3,IF(Atletas!E281="Juvenil 56kg",4,IF(Atletas!E281="Juvenil 60kg",5,IF(Atletas!E281="Juvenil 65kg",6,IF(Atletas!E281="Juvenil 70kg",7,IF(Atletas!E281="Juvenil 75kg",8,IF(Atletas!E281="Juvenil 82kg",9,IF(Atletas!E281="Juvenil 90kg",10,IF(Atletas!E281="Juvenil 100kg",11,IF(Atletas!E281="Adulto 48kg",12,IF(Atletas!E281="Adulto 52kg",13,IF(Atletas!E281="Adulto 56kg",14,IF(Atletas!E281="Adulto 60kg",15,IF(Atletas!E281="Adulto 65kg",16,IF(Atletas!E281="Adulto 70kg",17,IF(Atletas!E281="Adulto 75kg",18,IF(Atletas!E281="Adulto 82kg",19,IF(Atletas!E281="Adulto 90kg",20,IF(Atletas!E281="Adulto 100kg",21,IF(Atletas!E281="Adulto +100kg",22,""))))))))))))))))))))))))</f>
        <v/>
      </c>
      <c r="AT285" s="10" t="str">
        <f>IF(Atletas!F281="","",IF(Atletas!B281="Feminino",100,IF(Atletas!B281="Masculino",200,""))+(IF(Atletas!F281="Adulto 48kg",1,IF(Atletas!F281="Adulto 56kg",2,IF(Atletas!F281="Adulto 65kg",3,IF(Atletas!F281="Adulto 75kg",4,IF(Atletas!F281="Adulto +75kg",5,IF(Atletas!F281="Adulto 52kg",6,IF(Atletas!F281="Adulto 60kg",7,IF(Atletas!F281="Adulto 70kg",8,IF(Atletas!F281="Adulto 80kg",9,IF(Atletas!F281="Adulto 90kg",10,IF(Atletas!F281="Adulto +90kg",11,"")))))))))))))</f>
        <v/>
      </c>
      <c r="AY285" s="46" t="str">
        <f>IF(Atletas!G281="","",IF(Atletas!B281="Feminino",100,IF(Atletas!B281="Masculino",200,""))+(IF(Atletas!G281="Changquan Mirim",1,IF(Atletas!G281="Nanquan Mirim",2,IF(Atletas!G281="Taijiquan Mirim",3,IF(Atletas!G281="Changquan Grupo C",4,IF(Atletas!G281="Nanquan Grupo C",5,IF(Atletas!G281="Taijiquan Grupo C",6,IF(Atletas!G281="Changquan Grupo B",7,IF(Atletas!G281="Nanquan Grupo B",8,IF(Atletas!G281="Taijiquan Grupo B",9,IF(Atletas!G281="Changquan Grupo A",10,IF(Atletas!G281="Nanquan Grupo A",11,IF(Atletas!G281="Taijiquan Grupo A",12,IF(Atletas!G281="Changquan Opcional",13,IF(Atletas!G281="Nanquan Opcional",14,IF(Atletas!G281="Taijiquan Opcional",15,IF(Atletas!G281="Changquan Adulto",16,IF(Atletas!G281="Nanquan Adulto",17,IF(Atletas!G281="Taijiquan Adulto",18,""))))))))))))))))))))</f>
        <v/>
      </c>
      <c r="AZ285" s="46" t="str">
        <f>IF(Atletas!H281="","",IF(Atletas!B281="Feminino",100,IF(Atletas!B281="Masculino",200,""))+(IF(Atletas!H281="Daoshu Mirim",19,IF(Atletas!H281="Jianshu Mirim",20,IF(Atletas!H281="Nandao Mirim",21,IF(Atletas!H281="Taijijian Mirim",22,IF(Atletas!H281="Daoshu Grupo C",23,IF(Atletas!H281="Jianshu Grupo C",24,IF(Atletas!H281="Nandao Grupo C",25,IF(Atletas!H281="Taijijian Grupo C",26,IF(Atletas!H281="Daoshu Grupo B",27,IF(Atletas!H281="Jianshu Grupo B",28,IF(Atletas!H281="Nandao Grupo B",29,IF(Atletas!H281="Taijijian Grupo B",30,IF(Atletas!H281="Daoshu Grupo A",31,IF(Atletas!H281="Jianshu Grupo A",32,IF(Atletas!H281="Nandao Grupo A",33,IF(Atletas!H281="Taijijian Grupo A",34,IF(Atletas!H281="Daoshu Opcional",35,IF(Atletas!H281="Jianshu Opcional",36,IF(Atletas!H281="Nandao Opcional",37,IF(Atletas!H281="Taijijian Opcional",38,IF(Atletas!H281="Daoshu Adulto",39,IF(Atletas!H281="Jianshu Adulto",40,IF(Atletas!H281="Nandao Adulto",41,IF(Atletas!H281="Taijijian Adulto",42,""))))))))))))))))))))))))))</f>
        <v/>
      </c>
      <c r="BA285" s="46" t="str">
        <f>IF(Atletas!I281="","",IF(Atletas!B281="Feminino",100,IF(Atletas!B281="Masculino",200,""))+(IF(Atletas!I281="Gunshu Mirim",43,IF(Atletas!I281="Qiangshu Mirim",44,IF(Atletas!I281="Nangun Mirim",45,IF(Atletas!I281="Gunshu Grupo C",46,IF(Atletas!I281="Qiangshu Grupo C",47,IF(Atletas!I281="Nangun Grupo C",48,IF(Atletas!I281="Gunshu Grupo B",49,IF(Atletas!I281="Qiangshu Grupo B",50,IF(Atletas!I281="Nangun Grupo B",51,IF(Atletas!I281="Gunshu Grupo A",52,IF(Atletas!I281="Qiangshu Grupo A",53,IF(Atletas!I281="Nangun Grupo A",54,IF(Atletas!I281="Gunshu Opcional",55,IF(Atletas!I281="Qiangshu Opcional",56,IF(Atletas!I281="Nangun Opcional",57,IF(Atletas!I281="Gunshu Adulto",58,IF(Atletas!I281="Qiangshu Adulto",59,IF(Atletas!I281="Nangun Adulto",60,""))))))))))))))))))))</f>
        <v/>
      </c>
      <c r="BF285" s="52" t="str">
        <f>IF(Atletas!J281="","",IF(Atletas!B281="Feminino",100,IF(Atletas!B281="Masculino",200,""))+(IF(Atletas!J281="Equipe 1 Grupo B",1,IF(Atletas!J281="Equipe 2 Grupo B",2,IF(Atletas!J281="Equipe 1 Grupo A",3,IF(Atletas!J281="Equipe 2 Grupo A",4,IF(Atletas!J281="Equipe 1 Adulto",5,IF(Atletas!J281="Equipe 2 Adulto",6,""))))))))</f>
        <v/>
      </c>
      <c r="BK285" s="52" t="str">
        <f>IF(Atletas!K281="","",IF(Atletas!W281&lt;&gt;"",10000,0)+(IF(Atletas!B281="Feminino",1000,IF(Atletas!B281="Masculino",2000,""))+IF(Atletas!K281="Choylayfut A",1,IF(Atletas!K281="Hunggar A",2,IF(Atletas!K281="Wuzuquan A",3,IF(Atletas!K281="Wingchun A",4,IF(Atletas!K281="Outra Mão de Sul A",5,IF(Atletas!K281="Choylayfut B",6,IF(Atletas!K281="Hunggar B",7,IF(Atletas!K281="Wuzuquan B",8,IF(Atletas!K281="Wingchun B",9,IF(Atletas!K281="Outra Mão de Sul B",10,IF(Atletas!K281="Choylayfut C",11,IF(Atletas!K281="Hunggar C",12,IF(Atletas!K281="Wuzuquan C",13,IF(Atletas!K281="Wingchun C",14,IF(Atletas!K281="Outra Mão de Sul C",15,IF(Atletas!K281="Choylayfut D",16,IF(Atletas!K281="Hunggar D",17,IF(Atletas!K281="Wuzuquan D",18,IF(Atletas!K281="Wingchun D",19,IF(Atletas!K281="Outra Mão de Sul D",20,IF(Atletas!K281="Choylayfut E",21,IF(Atletas!K281="Hunggar E",22,IF(Atletas!K281="Wuzuquan E",23,IF(Atletas!K281="Wingchun E",24,IF(Atletas!K281="Outra Mão de Sul E",25,IF(Atletas!K281="Choylayfut F",26,IF(Atletas!K281="Hunggar F",27,IF(Atletas!K281="Wuzuquan F",28,IF(Atletas!K281="Wingchun F",29,IF(Atletas!K281="Outra Mão de Sul F",30,""))))))))))))))))))))))))))))))))</f>
        <v/>
      </c>
      <c r="BL285" s="52" t="str">
        <f>IF(Atletas!L281="","",IF(Atletas!W281&lt;&gt;"",10000,0)+(IF(Atletas!B281="Feminino",1000,IF(Atletas!B281="Masculino",2000,""))+(IF(Atletas!L281="Chaquan A",101,IF(Atletas!L281="Emeiquan A",102,IF(Atletas!L281="Fanziquan A",103,IF(Atletas!L281="Huaquan A",104,IF(Atletas!L281="Hongquan A",105,IF(Atletas!L281="Paochui A",106,IF(Atletas!L281="Piguaquan A",107,IF(Atletas!L281="Shaolinquan A",108,IF(Atletas!L281="Tanglangquan A",109,IF(Atletas!L281="Yinzhaophai A",110,IF(Atletas!L281="Tongbeiquan A",111,IF(Atletas!L281="Wudangquan A",112,IF(Atletas!L281="Outros Estilos A",113,IF(Atletas!L281="Chaquan B",114,IF(Atletas!L281="Emeiquan B",115,IF(Atletas!L281="Fanziquan B",116,IF(Atletas!L281="Huaquan B",117,IF(Atletas!L281="Hongquan B",118,IF(Atletas!L281="Paochui B",119,IF(Atletas!L281="Piguaquan B",120,IF(Atletas!L281="Shaolinquan B",121,IF(Atletas!L281="Tanglangquan B",122,IF(Atletas!L281="Yinzhaophai B",123,IF(Atletas!L281="Tongbeiquan B",124,IF(Atletas!L281="Wudangquan B",125,IF(Atletas!L281="Outros Estilos B",126,IF(Atletas!L281="Chaquan C",127,IF(Atletas!L281="Emeiquan C",128,IF(Atletas!L281="Fanziquan C",129,IF(Atletas!L281="Huaquan C",130,IF(Atletas!L281="Hongquan C",131,IF(Atletas!L281="Paochui C",132,IF(Atletas!L281="Piguaquan C",133,IF(Atletas!L281="Shaolinquan C",134,IF(Atletas!L281="Tanglangquan C",135,IF(Atletas!L281="Yinzhaophai C",136,IF(Atletas!L281="Tongbeiquan C",137,IF(Atletas!L281="Wudangquan C",138,IF(Atletas!L281="Outros Estilos C",139,0))))))))))))))))))))))))))))))))))))))))))</f>
        <v/>
      </c>
      <c r="BM285" s="52" t="str">
        <f>IF(Atletas!L281="","",IF(Atletas!W281&lt;&gt;"",10000,0)+(IF(Atletas!B281="Feminino",1000,IF(Atletas!B281="Masculino",2000,""))+(IF(Atletas!L281="Chaquan D",140,IF(Atletas!L281="Emeiquan D",141,IF(Atletas!L281="Fanziquan D",142,IF(Atletas!L281="Huaquan D",143,IF(Atletas!L281="Hongquan D",144,IF(Atletas!L281="Paochui D",145,IF(Atletas!L281="Piguaquan D",146,IF(Atletas!L281="Shaolinquan D",147,IF(Atletas!L281="Tanglangquan D",148,IF(Atletas!L281="Yinzhaophai D",149,IF(Atletas!L281="Tongbeiquan D",150,IF(Atletas!L281="Wudangquan D",151,IF(Atletas!L281="Outros Estilos D",152,IF(Atletas!L281="Chaquan E",153,IF(Atletas!L281="Emeiquan E",154,IF(Atletas!L281="Fanziquan E",155,IF(Atletas!L281="Huaquan E",156,IF(Atletas!L281="Hongquan E",157,IF(Atletas!L281="Paochui E",158,IF(Atletas!L281="Piguaquan E",159,IF(Atletas!L281="Shaolinquan E",160,IF(Atletas!L281="Tanglangquan E",161,IF(Atletas!L281="Yinzhaophai E",162,IF(Atletas!L281="Tongbeiquan E",163,IF(Atletas!L281="Wudangquan E",164,IF(Atletas!L281="Outros Estilos E",165,IF(Atletas!L281="Chaquan F",166,IF(Atletas!L281="Emeiquan F",167,IF(Atletas!L281="Fanziquan F",168,IF(Atletas!L281="Huaquan F",169,IF(Atletas!L281="Hongquan F",170,IF(Atletas!L281="Paochui F",171,IF(Atletas!L281="Piguaquan F",172,IF(Atletas!L281="Shaolinquan F",173,IF(Atletas!L281="Tanglangquan F",174,IF(Atletas!L281="Yinzhaophai F",175,IF(Atletas!L281="Tongbeiquan F",176,IF(Atletas!L281="Wudangquan F",177,IF(Atletas!L281="Outros Estilos F",178,0))))))))))))))))))))))))))))))))))))))))))</f>
        <v/>
      </c>
      <c r="BN285" s="52" t="str">
        <f>IF(Atletas!M281="","",IF(Atletas!W281&lt;&gt;"",10000,0)+(IF(Atletas!B281="Feminino",1000,IF(Atletas!B281="Masculino",2000,""))+(IF(Atletas!M281="Ditangquan A",201,IF(Atletas!M281="Houquan A",202,IF(Atletas!M281="Zuiquan A",203,IF(Atletas!M281="Ditangquan B",204,IF(Atletas!M281="Houquan B",205,IF(Atletas!M281="Zuiquan B",206,IF(Atletas!M281="Ditangquan C",207,IF(Atletas!M281="Houquan C",208,IF(Atletas!M281="Zuiquan C",209,IF(Atletas!M281="Ditangquan D",210,IF(Atletas!M281="Houquan D",211,IF(Atletas!M281="Zuiquan D",212,IF(Atletas!M281="Ditangquan E",213,IF(Atletas!M281="Houquan E",214,IF(Atletas!M281="Zuiquan E",215,IF(Atletas!M281="Ditangquan F",216,IF(Atletas!M281="Houquan F",217,IF(Atletas!M281="Zuiquan F",218,"")))))))))))))))))))))</f>
        <v/>
      </c>
      <c r="BO285" s="52" t="str">
        <f>IF(Atletas!N281="","",IF(Atletas!W281&lt;&gt;"",10000,0)+IF(Atletas!B281="Feminino",1000,IF(Atletas!B281="Masculino",2000,""))+IF(Atletas!N281="Yang A",301,IF(Atletas!N281="Chen A",30,IF(Atletas!N281="Sun A",303,IF(Atletas!N281="Wu A",304,IF(Atletas!N281="Wu-Hao A",305,IF(Atletas!N281="Outro Taijiquan A",306,IF(Atletas!N281="Yang B",307,IF(Atletas!N281="Chen B",308,IF(Atletas!N281="Sun B",309,IF(Atletas!N281="Wu B",310,IF(Atletas!N281="Wu-Hao B",311,IF(Atletas!N281="Outro Taijiquan B",312,IF(Atletas!N281="Yang C",313,IF(Atletas!N281="Chen C",314,IF(Atletas!N281="Sun C",315,IF(Atletas!N281="Wu C",316,IF(Atletas!N281="Wu-Hao C",317,IF(Atletas!N281="Outro Taijiquan C",318,IF(Atletas!N281="Yang D",319,IF(Atletas!N281="Chen D",320,IF(Atletas!N281="Sun D",321,IF(Atletas!N281="Wu D",322,IF(Atletas!N281="Wu-Hao D",323,IF(Atletas!N281="Outro Taijiquan D",324,IF(Atletas!N281="Yang E",325,IF(Atletas!N281="Chen E",326,IF(Atletas!N281="Sun E",327,IF(Atletas!N281="Wu E",328,IF(Atletas!N281="Wu-Hao E",329,IF(Atletas!N281="Outro Taijiquan E",330,IF(Atletas!N281="Yang F",331,IF(Atletas!N281="Chen F",332,IF(Atletas!N281="Sun F",333,IF(Atletas!N281="Wu F",334,IF(Atletas!N281="Wu-Hao F",335,IF(Atletas!N281="Outro Taijiquan F",336,"")))))))))))))))))))))))))))))))))))))</f>
        <v/>
      </c>
      <c r="BP285" s="52" t="str">
        <f>IF(Atletas!O281="","",IF(Atletas!W281&lt;&gt;"",10000,0)+IF(Atletas!B281="Feminino",1000,IF(Atletas!B281="Masculino",2000,""))+IF(OR(Atletas!O281="Yang 26 A",Atletas!O281="Yang 40 A"),401,IF(OR(Atletas!O281="Chen 25 A",Atletas!O281="Chen 36 A",Atletas!O281="Chen 56 A"),402,IF(Atletas!O281="Sun 73 A",403,IF(Atletas!O281="Wu 45 A",404,IF(Atletas!O281="Wu-Hao 46 A",405,IF(OR(Atletas!O281="Taijiquan 16 A",Atletas!O281="Taijiquan 24 A",Atletas!O281="Taijiquan 32 A",Atletas!O281="Taijiquan 42 A"),406,IF(OR(Atletas!O281="Yang 26 B",Atletas!O281="Yang 40 B"),407,IF(OR(Atletas!O281="Chen 25 B",Atletas!O281="Chen 36 B",Atletas!O281="Chen 56 B"),408,IF(Atletas!O281="Sun 73 B",409,IF(Atletas!O281="Wu 45 B",410,IF(Atletas!O281="Wu-Hao 46 B",411,IF(OR(Atletas!O281="Taijiquan 16 B",Atletas!O281="Taijiquan 24 B",Atletas!O281="Taijiquan 32 B",Atletas!O281="Taijiquan 42 B"),412,IF(OR(Atletas!O281="Yang 26 C",Atletas!O281="Yang 40 C"),413,IF(OR(Atletas!O281="Chen 25 C",Atletas!O281="Chen 36 C",Atletas!O281="Chen 56 C"),414,IF(Atletas!O281="Sun 73 C",415,IF(Atletas!O281="Wu 45 C",416,IF(Atletas!O281="Wu-Hao 46 C",417,IF(OR(Atletas!O281="Taijiquan 16 C",Atletas!O281="Taijiquan 24 C",Atletas!O281="Taijiquan 32 C",Atletas!O281="Taijiquan 42 C"),418,0)))))))))))))))))))</f>
        <v/>
      </c>
      <c r="BQ285" s="52" t="str">
        <f>IF(Atletas!O281="","",IF(Atletas!W281&lt;&gt;"",10000,0)+IF(Atletas!B281="Feminino",1000,IF(Atletas!B281="Masculino",2000,""))+IF(OR(Atletas!O281="Yang 26 D",Atletas!O281="Yang 40 D"),419,IF(OR(Atletas!O281="Chen 25 D",Atletas!O281="Chen 36 D",Atletas!O281="Chen 56 D"),420,IF(Atletas!O281="Sun 73 D",421,IF(Atletas!O281="Wu 45 D",422,IF(Atletas!O281="Wu-Hao 46 D",423,IF(OR(Atletas!O281="Taijiquan 16 D",Atletas!O281="Taijiquan 24 D",Atletas!O281="Taijiquan 32 D",Atletas!O281="Taijiquan 42 D"),424,IF(OR(Atletas!O281="Yang 26 E",Atletas!O281="Yang 40 E"),425,IF(OR(Atletas!O281="Chen 25 E",Atletas!O281="Chen 36 E",Atletas!O281="Chen 56 E"),426,IF(Atletas!O281="Sun 73 E",427,IF(Atletas!O281="Wu 45 E",428,IF(Atletas!O281="Wu-Hao 46 E",429,IF(OR(Atletas!O281="Taijiquan 16 E",Atletas!O281="Taijiquan 24 E",Atletas!O281="Taijiquan 32 E",Atletas!O281="Taijiquan 42 E"),430,IF(OR(Atletas!O281="Yang 26 F",Atletas!O281="Yang 40 F"),431,IF(OR(Atletas!O281="Chen 25 F",Atletas!O281="Chen 36 F",Atletas!O281="Chen 56 F"),432,IF(Atletas!O281="Sun 73 F",433,IF(Atletas!O281="Wu 45 F",434,IF(Atletas!O281="Wu-Hao 46 F",435,IF(OR(Atletas!O281="Taijiquan 16 F",Atletas!O281="Taijiquan 24 F",Atletas!O281="Taijiquan 32 F",Atletas!O281="Taijiquan 42 F"),436,0)))))))))))))))))))</f>
        <v/>
      </c>
      <c r="BR285" s="52" t="str">
        <f>IF(Atletas!P281="","",IF(Atletas!W281&lt;&gt;"",10000,0)+IF(Atletas!B281="Feminino",1000,IF(Atletas!B281="Masculino",2000,""))+IF(Atletas!P281="Xingyiquan A",501,IF(Atletas!P281="Baguazhang A",502,IF(Atletas!P281="Outro Estilo Interno A",503,IF(Atletas!P281="Xingyiquan B",504,IF(Atletas!P281="Baguazhang B",505,IF(Atletas!P281="Outro Estilo Interno B",506,IF(Atletas!P281="Xingyiquan C",507,IF(Atletas!P281="Baguazhang C",508,IF(Atletas!P281="Outro Estilo Interno C",509,IF(Atletas!P281="Xingyiquan D",510,IF(Atletas!P281="Baguazhang D",511,IF(Atletas!P281="Outro Estilo Interno D",512,IF(Atletas!P281="Xingyiquan E",513,IF(Atletas!P281="Baguazhang E",514,IF(Atletas!P281="Outro Estilo Interno E",515,IF(Atletas!P281="Xingyiquan F",516,IF(Atletas!P281="Baguazhang F",517,IF(Atletas!P281="Outro Estilo Interno F",518, "")))))))))))))))))))</f>
        <v/>
      </c>
      <c r="BS285" s="52" t="str">
        <f>IF(Atletas!Q281="","",IF(Atletas!W281&lt;&gt;"",10000,0)+IF(Atletas!B281="Feminino",1000,IF(Atletas!B281="Masculino",2000,""))+IF(Atletas!Q281="Dao A",601,IF(Atletas!Q281="Jian A",602,IF(Atletas!Q281="Bishou A",603,IF(Atletas!Q281="Shan A",604,IF(Atletas!Q281="Outra Arma Curta A",605,IF(Atletas!Q281="Dao B",606,IF(Atletas!Q281="Jian B",607,IF(Atletas!Q281="Bishou B",608,IF(Atletas!Q281="Shan B",609,IF(Atletas!Q281="Outra Arma Curta B",610,IF(Atletas!Q281="Dao C",611,IF(Atletas!Q281="Jian C",612,IF(Atletas!Q281="Bishou C",613,IF(Atletas!Q281="Shan C",614,IF(Atletas!Q281="Outra Arma Curta C",615,IF(Atletas!Q281="Dao D",616,IF(Atletas!Q281="Jian D",617,IF(Atletas!Q281="Bishou D",618,IF(Atletas!Q281="Shan D",619,IF(Atletas!Q281="Outra Arma Curta D",620,IF(Atletas!Q281="Dao E",621,IF(Atletas!Q281="Jian E",622,IF(Atletas!Q281="Bishou E",623,IF(Atletas!Q281="Shan E",624,IF(Atletas!Q281="Outra Arma Curta E",625,IF(Atletas!Q281="Dao F",626,IF(Atletas!Q281="Jian F",627,IF(Atletas!Q281="Bishou F",628,IF(Atletas!Q281="Shan F",629,IF(Atletas!Q281="Outra Arma Curta F",630, "")))))))))))))))))))))))))))))))</f>
        <v/>
      </c>
      <c r="BT285" s="52" t="str">
        <f>IF(Atletas!R281="","",IF(Atletas!W281&lt;&gt;"",10000,0)+IF(Atletas!B281="Feminino",1000,IF(Atletas!B281="Masculino",2000,""))+IF(Atletas!R281="Gun A",701,IF(Atletas!R281="Qiang A",702,IF(Atletas!R281="Pudao / Guandao A",703,IF(Atletas!R281="Outra Arma Longa A",704,IF(Atletas!R281="Gun B",705,IF(Atletas!R281="Qiang B",706,IF(Atletas!R281="Pudao / Guandao B",707,IF(Atletas!R281="Outra Arma Longa B",708,IF(Atletas!R281="Gun C",709,IF(Atletas!R281="Qiang C",710,IF(Atletas!R281="Pudao / Guandao C",711,IF(Atletas!R281="Outra Arma Longa C",712,IF(Atletas!R281="Gun D",713,IF(Atletas!R281="Qiang D",714,IF(Atletas!R281="Pudao / Guandao D",715,IF(Atletas!R281="Outra Arma Longa D",716,IF(Atletas!R281="Gun E",717,IF(Atletas!R281="Qiang E",718,IF(Atletas!R281="Pudao / Guandao E",719,IF(Atletas!R281="Outra Arma Longa E",720,IF(Atletas!R281="Gun F",721,IF(Atletas!R281="Qiang F",722,IF(Atletas!R281="Pudao / Guandao F",723,IF(Atletas!R281="Outra Arma Longa F",724,"")))))))))))))))))))))))))</f>
        <v/>
      </c>
      <c r="BU285" s="52" t="str">
        <f>IF(Atletas!S281="","",IF(Atletas!W281&lt;&gt;"",10000,0)+IF(Atletas!B281="Feminino",1000,IF(Atletas!B281="Masculino",2000,""))+IF(Atletas!S281="Arma Dupla A",801,IF(Atletas!S281="Arma Maleável A",802,IF(Atletas!S281="Arma Dupla B",803,IF(Atletas!S281="Arma Maleável B",804,IF(Atletas!S281="Arma Dupla C",805,IF(Atletas!S281="Arma Maleável C",806,IF(Atletas!S281="Arma Dupla D",807,IF(Atletas!S281="Arma Maleável D",808,IF(Atletas!S281="Arma Dupla E",809,IF(Atletas!S281="Arma Maleável E",810,IF(Atletas!S281="Arma Dupla F",811,IF(Atletas!S281="Arma Maleável F",812, "")))))))))))))</f>
        <v/>
      </c>
      <c r="BV285" s="52" t="str">
        <f>IF(Atletas!T281="","",IF(Atletas!W281&lt;&gt;"",10000,0)+IF(Atletas!B281="Feminino",1000,IF(Atletas!B281="Masculino",2000,""))+IF(Atletas!T281="Taijijian Yang A",901,IF(Atletas!T281="Taijijian Chen A",902,IF(Atletas!T281="Taijijian Sun A",903,IF(Atletas!T281="Taijijian Wu A",904,IF(Atletas!T281="Taijijian Wu-Hao A",905,IF(Atletas!T281="Taijijian 32 A",906,IF(Atletas!T281="Taijijian 42 A",907,IF(Atletas!T281="Taijijian Yang B",908,IF(Atletas!T281="Taijijian Chen B",909,IF(Atletas!T281="Taijijian Sun B",910,IF(Atletas!T281="Taijijian Wu B",911,IF(Atletas!T281="Taijijian Wu-Hao B",912,IF(Atletas!T281="Taijijian 32 B",913,IF(Atletas!T281="Taijijian 42 B",914,IF(Atletas!T281="Taijijian Yang C",915,IF(Atletas!T281="Taijijian Chen C",916,IF(Atletas!T281="Taijijian Sun C",917,IF(Atletas!T281="Taijijian Wu C",918,IF(Atletas!T281="Taijijian Wu-Hao C",919,IF(Atletas!T281="Taijijian 32 C",920,IF(Atletas!T281="Taijijian 42 C",921,IF(Atletas!T281="Taijijian Yang D",922,IF(Atletas!T281="Taijijian Chen D",923,IF(Atletas!T281="Taijijian Sun D",924,IF(Atletas!T281="Taijijian Wu D",925,IF(Atletas!T281="Taijijian Wu-Hao D",926,IF(Atletas!T281="Taijijian 32 D",927,IF(Atletas!T281="Taijijian 42 D",928,IF(Atletas!T281="Taijijian Yang E",929,IF(Atletas!T281="Taijijian Chen E",930,IF(Atletas!T281="Taijijian Sun E",931,IF(Atletas!T281="Taijijian Wu E",932,IF(Atletas!T281="Taijijian Wu-Hao E",933,IF(Atletas!T281="Taijijian 32 E",934,IF(Atletas!T281="Taijijian 42 E",935,IF(Atletas!T281="Taijijian Yang F",936,IF(Atletas!T281="Taijijian Chen F",937,IF(Atletas!T281="Taijijian Sun F",938,IF(Atletas!T281="Taijijian Wu F",939,IF(Atletas!T281="Taijijian Wu-Hao F",940,IF(Atletas!T281="Taijijian 32 F",941,IF(Atletas!T281="Taijijian 42 F",942,"")))))))))))))))))))))))))))))))))))))))))))</f>
        <v/>
      </c>
      <c r="BW285" s="52" t="str">
        <f>IF(Atletas!U281="","",IF(Atletas!W281&lt;&gt;"",10000,0)+IF(Atletas!B281="Feminino",1000,IF(Atletas!B281="Masculino",2000,""))+IF(Atletas!T281="Taijijian 42 F",942,IF(Atletas!U281="Taijidao A",943,IF(Atletas!U281="Taijishan A",944,IF(Atletas!U281="Taijiqiang A",945,IF(Atletas!U281="Taijidao B",946,IF(Atletas!U281="Taijishan B",947,IF(Atletas!U281="Taijiqiang B",948,IF(Atletas!U281="Taijidao C",949,IF(Atletas!U281="Taijishan C",950,IF(Atletas!U281="Taijiqiang C",951,IF(Atletas!U281="Taijidao D",952,IF(Atletas!U281="Taijishan D",953,IF(Atletas!U281="Taijiqiang D",954,IF(Atletas!U281="Taijidao E",955,IF(Atletas!U281="Taijishan E",956,IF(Atletas!U281="Taijiqiang E",957,IF(Atletas!U281="Taijidao F",958,IF(Atletas!U281="Taijishan F",959,IF(Atletas!U281="Taijiqiang F",960))))))))))))))))))))</f>
        <v/>
      </c>
      <c r="BX285" s="72" t="str">
        <f>IF(BY285&lt;&gt;"","Arma Dupla E","")</f>
        <v/>
      </c>
      <c r="BY285" s="72" t="str">
        <f>IF(COUNTIF(BK:BW,1809)&gt;0,COUNTIF(BK:BW,1809),"")</f>
        <v/>
      </c>
      <c r="BZ285" s="72" t="str">
        <f>IF(CA285&lt;&gt;"","Arma Dupla E","")</f>
        <v/>
      </c>
      <c r="CA285" s="72" t="str">
        <f>IF(COUNTIF(BK:BW,2809)&gt;0,COUNTIF(BK:BW,2809),"")</f>
        <v/>
      </c>
      <c r="CB285" s="72" t="str">
        <f>IF(CC285&lt;&gt;"","Bishou A","")</f>
        <v/>
      </c>
      <c r="CC285" s="64" t="str">
        <f>IF(COUNTIF(BK:BW,11603)&gt;0,COUNTIF(BK:BW,11603),"")</f>
        <v/>
      </c>
      <c r="CD285" s="64" t="str">
        <f>IF(CE285&lt;&gt;"","Bishou A","")</f>
        <v/>
      </c>
      <c r="CE285" s="64" t="str">
        <f>IF(COUNTIF(BK:BW,12603)&gt;0,COUNTIF(BK:BW,12603),"")</f>
        <v/>
      </c>
      <c r="CF285" s="52" t="str">
        <f xml:space="preserve"> IF(Atletas!V281="","",IF(Atletas!V281="Duilian de Mãos AB - Equipe 1",1,IF(Atletas!V281="Duilian de Mãos AB - Equipe 2",2,IF(Atletas!V281="Duilian de Armas AB - Equipe 1",3,IF(Atletas!V281="Duilian de Armas AB - Equipe 2",4,IF(Atletas!V281="Duilian de Tuishou - Equipe 1",5,IF(Atletas!V281="Duilian de Tuishou - Equipe 2",6,IF(Atletas!V281="Grupo Externo AB - Equipe 1",7,IF(Atletas!V281="Grupo Externo AB - Equipe 2",8,IF(Atletas!V281="Grupo Interno AB - Equipe 1",9,IF(Atletas!V281="Grupo Interno AB - Equipe 2",10,IF(Atletas!V281="Duilian de Mãos CD - Equipe 1",11,IF(Atletas!V281="Duilian de Mãos CD - Equipe 2",12,IF(Atletas!V281="Duilian de Armas CD - Equipe 1",13,IF(Atletas!V281="Duilian de Armas CD - Equipe 2",14,IF(Atletas!V281="Duilian de Tuishou - Equipe 1",15,IF(Atletas!V281="Duilian de Tuishou - Equipe 2",16,IF(Atletas!V281="Grupo Externo CDEF - Equipe 1",17,IF(Atletas!V281="Grupo Externo CDEF - Equipe 2",18,IF(Atletas!V281="Grupo Interno CDEF - Equipe 1",19,IF(Atletas!V281="Grupo Interno CDEF - Equipe 2",20,IF(Atletas!V281="Duilian de Mãos EF - Equipe 1",21,IF(Atletas!V281="Duilian de Mãos EF - Equipe 2",22,IF(Atletas!V281="Duilian de Armas EF - Equipe 1",23,IF(Atletas!V281="Duilian de Armas EF - Equipe 2",24,IF(Atletas!V281="Duilian de Tuishou - Equipe 1",25,IF(Atletas!V281="Duilian de Tuishou - Equipe 2",26,"")))))))))))))))))))))))))))</f>
        <v/>
      </c>
    </row>
    <row r="286" spans="2:84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 t="str">
        <f t="array" ref="V286">IFERROR(INDEX(BX$7:BX$336,SMALL(IF(BX$7:BX$336&lt;&gt;"",ROW(BX$7:BX$336)-ROW(BX$7)+1),ROWS(BX$7:BX243))),"")</f>
        <v/>
      </c>
      <c r="W286" s="4" t="str">
        <f t="array" ref="W286">IFERROR(INDEX(BY$7:BY$336,SMALL(IF(BY$7:BY$336&lt;&gt;"",ROW(BY$7:BY$336)-ROW(BY$7)+1),ROWS(BY$7:BY243))),"")</f>
        <v/>
      </c>
      <c r="X286" s="4" t="str">
        <f t="array" ref="X286">IFERROR(INDEX(BZ$7:BZ$336,SMALL(IF(BZ$7:BZ$336&lt;&gt;"",ROW(BZ$7:BZ$336)-ROW(BZ$7)+1),ROWS(BZ$7:BZ243))),"")</f>
        <v/>
      </c>
      <c r="Y286" s="4" t="str">
        <f t="array" ref="Y286">IFERROR(INDEX(CA$7:CA$336,SMALL(IF(CA$7:CA$336&lt;&gt;"",ROW(CA$7:CA$336)-ROW(CA$7)+1),ROWS(CA$7:CA243))),"")</f>
        <v/>
      </c>
      <c r="Z286" s="4" t="str">
        <f t="array" ref="Z286">IFERROR(INDEX(CB$7:CB$378,SMALL(IF(CB$7:CB$378&lt;&gt;"",ROW(CB$7:CB$378)-ROW(CB$7)+1),ROWS(CB$7:CB285))),"")</f>
        <v/>
      </c>
      <c r="AA286" s="4" t="str">
        <f t="array" ref="AA286">IFERROR(INDEX(CC$7:CC$378,SMALL(IF(CC$7:CC$378&lt;&gt;"",ROW(CC$7:CC$378)-ROW(CC$7)+1),ROWS(CC$7:CC285))),"")</f>
        <v/>
      </c>
      <c r="AB286" s="4" t="str">
        <f t="array" ref="AB286">IFERROR(INDEX(CD$7:CD$378,SMALL(IF(CD$7:CD$378&lt;&gt;"",ROW(CD$7:CD$378)-ROW(CD$7)+1),ROWS(CD$7:CD285))),"")</f>
        <v/>
      </c>
      <c r="AC286" s="4" t="str">
        <f t="array" ref="AC286">IFERROR(INDEX(CE$7:CE$378,SMALL(IF(CE$7:CE$378&lt;&gt;"",ROW(CE$7:CE$378)-ROW(CE$7)+1),ROWS(CE$7:CE285))),"")</f>
        <v/>
      </c>
      <c r="AD286" s="4"/>
      <c r="AE286" s="4"/>
      <c r="AF286" s="4"/>
      <c r="AG286" s="4"/>
      <c r="AH286" s="4"/>
      <c r="AI286" s="4"/>
      <c r="AJ286" s="46" t="str">
        <f>IF(Atletas!D282="","",IF(Atletas!B282="Feminino",100,IF(Atletas!B282="Masculino",200,""))+(IF(Atletas!D282="Infantil 39kg",1,IF(Atletas!D282="Infantil 42kg",2,IF(Atletas!D282="Infantil 45kg",3,IF(Atletas!D282="Infantil 48kg",4,IF(Atletas!D282="Infantil 52kg",5,IF(Atletas!D282="Infantil 56kg",6,IF(Atletas!D282="Infantil 60kg",7,IF(Atletas!D282="Juvenil 48kg",8,IF(Atletas!D282="Juvenil 52kg",9,IF(Atletas!D282="Juvenil 56kg",10,IF(Atletas!D282="Juvenil 60kg",11,IF(Atletas!D282="Juvenil 65kg",12,IF(Atletas!D282="Juvenil 70kg",13,IF(Atletas!D282="Juvenil 75kg",14,IF(Atletas!D282="Juvenil 80kg",15,IF(Atletas!D282="Adulto 48kg",16,IF(Atletas!D282="Adulto 52kg",17,IF(Atletas!D282="Adulto 56kg",18,IF(Atletas!D282="Adulto 60kg",19,IF(Atletas!D282="Adulto 65kg",20,IF(Atletas!D282="Adulto 70kg",21,IF(Atletas!D282="Adulto 75kg",22,IF(Atletas!D282="Adulto 80kg",23,IF(Atletas!D282="Adulto 85kg",24,IF(Atletas!D282="Adulto 90kg",25,IF(Atletas!D282="Adulto +90kg",26,""))))))))))))))))))))))))))))</f>
        <v/>
      </c>
      <c r="AO286" s="10" t="str">
        <f>IF(Atletas!E282="","",IF(Atletas!B282="Feminino",100,IF(Atletas!B282="Masculino",200,""))+(IF(Atletas!E282="Juvenil 44kg",1,IF(Atletas!E282="Juvenil 48kg",2,IF(Atletas!E282="Juvenil 52kg",3,IF(Atletas!E282="Juvenil 56kg",4,IF(Atletas!E282="Juvenil 60kg",5,IF(Atletas!E282="Juvenil 65kg",6,IF(Atletas!E282="Juvenil 70kg",7,IF(Atletas!E282="Juvenil 75kg",8,IF(Atletas!E282="Juvenil 82kg",9,IF(Atletas!E282="Juvenil 90kg",10,IF(Atletas!E282="Juvenil 100kg",11,IF(Atletas!E282="Adulto 48kg",12,IF(Atletas!E282="Adulto 52kg",13,IF(Atletas!E282="Adulto 56kg",14,IF(Atletas!E282="Adulto 60kg",15,IF(Atletas!E282="Adulto 65kg",16,IF(Atletas!E282="Adulto 70kg",17,IF(Atletas!E282="Adulto 75kg",18,IF(Atletas!E282="Adulto 82kg",19,IF(Atletas!E282="Adulto 90kg",20,IF(Atletas!E282="Adulto 100kg",21,IF(Atletas!E282="Adulto +100kg",22,""))))))))))))))))))))))))</f>
        <v/>
      </c>
      <c r="AT286" s="10" t="str">
        <f>IF(Atletas!F282="","",IF(Atletas!B282="Feminino",100,IF(Atletas!B282="Masculino",200,""))+(IF(Atletas!F282="Adulto 48kg",1,IF(Atletas!F282="Adulto 56kg",2,IF(Atletas!F282="Adulto 65kg",3,IF(Atletas!F282="Adulto 75kg",4,IF(Atletas!F282="Adulto +75kg",5,IF(Atletas!F282="Adulto 52kg",6,IF(Atletas!F282="Adulto 60kg",7,IF(Atletas!F282="Adulto 70kg",8,IF(Atletas!F282="Adulto 80kg",9,IF(Atletas!F282="Adulto 90kg",10,IF(Atletas!F282="Adulto +90kg",11,"")))))))))))))</f>
        <v/>
      </c>
      <c r="AY286" s="46" t="str">
        <f>IF(Atletas!G282="","",IF(Atletas!B282="Feminino",100,IF(Atletas!B282="Masculino",200,""))+(IF(Atletas!G282="Changquan Mirim",1,IF(Atletas!G282="Nanquan Mirim",2,IF(Atletas!G282="Taijiquan Mirim",3,IF(Atletas!G282="Changquan Grupo C",4,IF(Atletas!G282="Nanquan Grupo C",5,IF(Atletas!G282="Taijiquan Grupo C",6,IF(Atletas!G282="Changquan Grupo B",7,IF(Atletas!G282="Nanquan Grupo B",8,IF(Atletas!G282="Taijiquan Grupo B",9,IF(Atletas!G282="Changquan Grupo A",10,IF(Atletas!G282="Nanquan Grupo A",11,IF(Atletas!G282="Taijiquan Grupo A",12,IF(Atletas!G282="Changquan Opcional",13,IF(Atletas!G282="Nanquan Opcional",14,IF(Atletas!G282="Taijiquan Opcional",15,IF(Atletas!G282="Changquan Adulto",16,IF(Atletas!G282="Nanquan Adulto",17,IF(Atletas!G282="Taijiquan Adulto",18,""))))))))))))))))))))</f>
        <v/>
      </c>
      <c r="AZ286" s="46" t="str">
        <f>IF(Atletas!H282="","",IF(Atletas!B282="Feminino",100,IF(Atletas!B282="Masculino",200,""))+(IF(Atletas!H282="Daoshu Mirim",19,IF(Atletas!H282="Jianshu Mirim",20,IF(Atletas!H282="Nandao Mirim",21,IF(Atletas!H282="Taijijian Mirim",22,IF(Atletas!H282="Daoshu Grupo C",23,IF(Atletas!H282="Jianshu Grupo C",24,IF(Atletas!H282="Nandao Grupo C",25,IF(Atletas!H282="Taijijian Grupo C",26,IF(Atletas!H282="Daoshu Grupo B",27,IF(Atletas!H282="Jianshu Grupo B",28,IF(Atletas!H282="Nandao Grupo B",29,IF(Atletas!H282="Taijijian Grupo B",30,IF(Atletas!H282="Daoshu Grupo A",31,IF(Atletas!H282="Jianshu Grupo A",32,IF(Atletas!H282="Nandao Grupo A",33,IF(Atletas!H282="Taijijian Grupo A",34,IF(Atletas!H282="Daoshu Opcional",35,IF(Atletas!H282="Jianshu Opcional",36,IF(Atletas!H282="Nandao Opcional",37,IF(Atletas!H282="Taijijian Opcional",38,IF(Atletas!H282="Daoshu Adulto",39,IF(Atletas!H282="Jianshu Adulto",40,IF(Atletas!H282="Nandao Adulto",41,IF(Atletas!H282="Taijijian Adulto",42,""))))))))))))))))))))))))))</f>
        <v/>
      </c>
      <c r="BA286" s="46" t="str">
        <f>IF(Atletas!I282="","",IF(Atletas!B282="Feminino",100,IF(Atletas!B282="Masculino",200,""))+(IF(Atletas!I282="Gunshu Mirim",43,IF(Atletas!I282="Qiangshu Mirim",44,IF(Atletas!I282="Nangun Mirim",45,IF(Atletas!I282="Gunshu Grupo C",46,IF(Atletas!I282="Qiangshu Grupo C",47,IF(Atletas!I282="Nangun Grupo C",48,IF(Atletas!I282="Gunshu Grupo B",49,IF(Atletas!I282="Qiangshu Grupo B",50,IF(Atletas!I282="Nangun Grupo B",51,IF(Atletas!I282="Gunshu Grupo A",52,IF(Atletas!I282="Qiangshu Grupo A",53,IF(Atletas!I282="Nangun Grupo A",54,IF(Atletas!I282="Gunshu Opcional",55,IF(Atletas!I282="Qiangshu Opcional",56,IF(Atletas!I282="Nangun Opcional",57,IF(Atletas!I282="Gunshu Adulto",58,IF(Atletas!I282="Qiangshu Adulto",59,IF(Atletas!I282="Nangun Adulto",60,""))))))))))))))))))))</f>
        <v/>
      </c>
      <c r="BF286" s="52" t="str">
        <f>IF(Atletas!J282="","",IF(Atletas!B282="Feminino",100,IF(Atletas!B282="Masculino",200,""))+(IF(Atletas!J282="Equipe 1 Grupo B",1,IF(Atletas!J282="Equipe 2 Grupo B",2,IF(Atletas!J282="Equipe 1 Grupo A",3,IF(Atletas!J282="Equipe 2 Grupo A",4,IF(Atletas!J282="Equipe 1 Adulto",5,IF(Atletas!J282="Equipe 2 Adulto",6,""))))))))</f>
        <v/>
      </c>
      <c r="BK286" s="52" t="str">
        <f>IF(Atletas!K282="","",IF(Atletas!W282&lt;&gt;"",10000,0)+(IF(Atletas!B282="Feminino",1000,IF(Atletas!B282="Masculino",2000,""))+IF(Atletas!K282="Choylayfut A",1,IF(Atletas!K282="Hunggar A",2,IF(Atletas!K282="Wuzuquan A",3,IF(Atletas!K282="Wingchun A",4,IF(Atletas!K282="Outra Mão de Sul A",5,IF(Atletas!K282="Choylayfut B",6,IF(Atletas!K282="Hunggar B",7,IF(Atletas!K282="Wuzuquan B",8,IF(Atletas!K282="Wingchun B",9,IF(Atletas!K282="Outra Mão de Sul B",10,IF(Atletas!K282="Choylayfut C",11,IF(Atletas!K282="Hunggar C",12,IF(Atletas!K282="Wuzuquan C",13,IF(Atletas!K282="Wingchun C",14,IF(Atletas!K282="Outra Mão de Sul C",15,IF(Atletas!K282="Choylayfut D",16,IF(Atletas!K282="Hunggar D",17,IF(Atletas!K282="Wuzuquan D",18,IF(Atletas!K282="Wingchun D",19,IF(Atletas!K282="Outra Mão de Sul D",20,IF(Atletas!K282="Choylayfut E",21,IF(Atletas!K282="Hunggar E",22,IF(Atletas!K282="Wuzuquan E",23,IF(Atletas!K282="Wingchun E",24,IF(Atletas!K282="Outra Mão de Sul E",25,IF(Atletas!K282="Choylayfut F",26,IF(Atletas!K282="Hunggar F",27,IF(Atletas!K282="Wuzuquan F",28,IF(Atletas!K282="Wingchun F",29,IF(Atletas!K282="Outra Mão de Sul F",30,""))))))))))))))))))))))))))))))))</f>
        <v/>
      </c>
      <c r="BL286" s="52" t="str">
        <f>IF(Atletas!L282="","",IF(Atletas!W282&lt;&gt;"",10000,0)+(IF(Atletas!B282="Feminino",1000,IF(Atletas!B282="Masculino",2000,""))+(IF(Atletas!L282="Chaquan A",101,IF(Atletas!L282="Emeiquan A",102,IF(Atletas!L282="Fanziquan A",103,IF(Atletas!L282="Huaquan A",104,IF(Atletas!L282="Hongquan A",105,IF(Atletas!L282="Paochui A",106,IF(Atletas!L282="Piguaquan A",107,IF(Atletas!L282="Shaolinquan A",108,IF(Atletas!L282="Tanglangquan A",109,IF(Atletas!L282="Yinzhaophai A",110,IF(Atletas!L282="Tongbeiquan A",111,IF(Atletas!L282="Wudangquan A",112,IF(Atletas!L282="Outros Estilos A",113,IF(Atletas!L282="Chaquan B",114,IF(Atletas!L282="Emeiquan B",115,IF(Atletas!L282="Fanziquan B",116,IF(Atletas!L282="Huaquan B",117,IF(Atletas!L282="Hongquan B",118,IF(Atletas!L282="Paochui B",119,IF(Atletas!L282="Piguaquan B",120,IF(Atletas!L282="Shaolinquan B",121,IF(Atletas!L282="Tanglangquan B",122,IF(Atletas!L282="Yinzhaophai B",123,IF(Atletas!L282="Tongbeiquan B",124,IF(Atletas!L282="Wudangquan B",125,IF(Atletas!L282="Outros Estilos B",126,IF(Atletas!L282="Chaquan C",127,IF(Atletas!L282="Emeiquan C",128,IF(Atletas!L282="Fanziquan C",129,IF(Atletas!L282="Huaquan C",130,IF(Atletas!L282="Hongquan C",131,IF(Atletas!L282="Paochui C",132,IF(Atletas!L282="Piguaquan C",133,IF(Atletas!L282="Shaolinquan C",134,IF(Atletas!L282="Tanglangquan C",135,IF(Atletas!L282="Yinzhaophai C",136,IF(Atletas!L282="Tongbeiquan C",137,IF(Atletas!L282="Wudangquan C",138,IF(Atletas!L282="Outros Estilos C",139,0))))))))))))))))))))))))))))))))))))))))))</f>
        <v/>
      </c>
      <c r="BM286" s="52" t="str">
        <f>IF(Atletas!L282="","",IF(Atletas!W282&lt;&gt;"",10000,0)+(IF(Atletas!B282="Feminino",1000,IF(Atletas!B282="Masculino",2000,""))+(IF(Atletas!L282="Chaquan D",140,IF(Atletas!L282="Emeiquan D",141,IF(Atletas!L282="Fanziquan D",142,IF(Atletas!L282="Huaquan D",143,IF(Atletas!L282="Hongquan D",144,IF(Atletas!L282="Paochui D",145,IF(Atletas!L282="Piguaquan D",146,IF(Atletas!L282="Shaolinquan D",147,IF(Atletas!L282="Tanglangquan D",148,IF(Atletas!L282="Yinzhaophai D",149,IF(Atletas!L282="Tongbeiquan D",150,IF(Atletas!L282="Wudangquan D",151,IF(Atletas!L282="Outros Estilos D",152,IF(Atletas!L282="Chaquan E",153,IF(Atletas!L282="Emeiquan E",154,IF(Atletas!L282="Fanziquan E",155,IF(Atletas!L282="Huaquan E",156,IF(Atletas!L282="Hongquan E",157,IF(Atletas!L282="Paochui E",158,IF(Atletas!L282="Piguaquan E",159,IF(Atletas!L282="Shaolinquan E",160,IF(Atletas!L282="Tanglangquan E",161,IF(Atletas!L282="Yinzhaophai E",162,IF(Atletas!L282="Tongbeiquan E",163,IF(Atletas!L282="Wudangquan E",164,IF(Atletas!L282="Outros Estilos E",165,IF(Atletas!L282="Chaquan F",166,IF(Atletas!L282="Emeiquan F",167,IF(Atletas!L282="Fanziquan F",168,IF(Atletas!L282="Huaquan F",169,IF(Atletas!L282="Hongquan F",170,IF(Atletas!L282="Paochui F",171,IF(Atletas!L282="Piguaquan F",172,IF(Atletas!L282="Shaolinquan F",173,IF(Atletas!L282="Tanglangquan F",174,IF(Atletas!L282="Yinzhaophai F",175,IF(Atletas!L282="Tongbeiquan F",176,IF(Atletas!L282="Wudangquan F",177,IF(Atletas!L282="Outros Estilos F",178,0))))))))))))))))))))))))))))))))))))))))))</f>
        <v/>
      </c>
      <c r="BN286" s="52" t="str">
        <f>IF(Atletas!M282="","",IF(Atletas!W282&lt;&gt;"",10000,0)+(IF(Atletas!B282="Feminino",1000,IF(Atletas!B282="Masculino",2000,""))+(IF(Atletas!M282="Ditangquan A",201,IF(Atletas!M282="Houquan A",202,IF(Atletas!M282="Zuiquan A",203,IF(Atletas!M282="Ditangquan B",204,IF(Atletas!M282="Houquan B",205,IF(Atletas!M282="Zuiquan B",206,IF(Atletas!M282="Ditangquan C",207,IF(Atletas!M282="Houquan C",208,IF(Atletas!M282="Zuiquan C",209,IF(Atletas!M282="Ditangquan D",210,IF(Atletas!M282="Houquan D",211,IF(Atletas!M282="Zuiquan D",212,IF(Atletas!M282="Ditangquan E",213,IF(Atletas!M282="Houquan E",214,IF(Atletas!M282="Zuiquan E",215,IF(Atletas!M282="Ditangquan F",216,IF(Atletas!M282="Houquan F",217,IF(Atletas!M282="Zuiquan F",218,"")))))))))))))))))))))</f>
        <v/>
      </c>
      <c r="BO286" s="52" t="str">
        <f>IF(Atletas!N282="","",IF(Atletas!W282&lt;&gt;"",10000,0)+IF(Atletas!B282="Feminino",1000,IF(Atletas!B282="Masculino",2000,""))+IF(Atletas!N282="Yang A",301,IF(Atletas!N282="Chen A",30,IF(Atletas!N282="Sun A",303,IF(Atletas!N282="Wu A",304,IF(Atletas!N282="Wu-Hao A",305,IF(Atletas!N282="Outro Taijiquan A",306,IF(Atletas!N282="Yang B",307,IF(Atletas!N282="Chen B",308,IF(Atletas!N282="Sun B",309,IF(Atletas!N282="Wu B",310,IF(Atletas!N282="Wu-Hao B",311,IF(Atletas!N282="Outro Taijiquan B",312,IF(Atletas!N282="Yang C",313,IF(Atletas!N282="Chen C",314,IF(Atletas!N282="Sun C",315,IF(Atletas!N282="Wu C",316,IF(Atletas!N282="Wu-Hao C",317,IF(Atletas!N282="Outro Taijiquan C",318,IF(Atletas!N282="Yang D",319,IF(Atletas!N282="Chen D",320,IF(Atletas!N282="Sun D",321,IF(Atletas!N282="Wu D",322,IF(Atletas!N282="Wu-Hao D",323,IF(Atletas!N282="Outro Taijiquan D",324,IF(Atletas!N282="Yang E",325,IF(Atletas!N282="Chen E",326,IF(Atletas!N282="Sun E",327,IF(Atletas!N282="Wu E",328,IF(Atletas!N282="Wu-Hao E",329,IF(Atletas!N282="Outro Taijiquan E",330,IF(Atletas!N282="Yang F",331,IF(Atletas!N282="Chen F",332,IF(Atletas!N282="Sun F",333,IF(Atletas!N282="Wu F",334,IF(Atletas!N282="Wu-Hao F",335,IF(Atletas!N282="Outro Taijiquan F",336,"")))))))))))))))))))))))))))))))))))))</f>
        <v/>
      </c>
      <c r="BP286" s="52" t="str">
        <f>IF(Atletas!O282="","",IF(Atletas!W282&lt;&gt;"",10000,0)+IF(Atletas!B282="Feminino",1000,IF(Atletas!B282="Masculino",2000,""))+IF(OR(Atletas!O282="Yang 26 A",Atletas!O282="Yang 40 A"),401,IF(OR(Atletas!O282="Chen 25 A",Atletas!O282="Chen 36 A",Atletas!O282="Chen 56 A"),402,IF(Atletas!O282="Sun 73 A",403,IF(Atletas!O282="Wu 45 A",404,IF(Atletas!O282="Wu-Hao 46 A",405,IF(OR(Atletas!O282="Taijiquan 16 A",Atletas!O282="Taijiquan 24 A",Atletas!O282="Taijiquan 32 A",Atletas!O282="Taijiquan 42 A"),406,IF(OR(Atletas!O282="Yang 26 B",Atletas!O282="Yang 40 B"),407,IF(OR(Atletas!O282="Chen 25 B",Atletas!O282="Chen 36 B",Atletas!O282="Chen 56 B"),408,IF(Atletas!O282="Sun 73 B",409,IF(Atletas!O282="Wu 45 B",410,IF(Atletas!O282="Wu-Hao 46 B",411,IF(OR(Atletas!O282="Taijiquan 16 B",Atletas!O282="Taijiquan 24 B",Atletas!O282="Taijiquan 32 B",Atletas!O282="Taijiquan 42 B"),412,IF(OR(Atletas!O282="Yang 26 C",Atletas!O282="Yang 40 C"),413,IF(OR(Atletas!O282="Chen 25 C",Atletas!O282="Chen 36 C",Atletas!O282="Chen 56 C"),414,IF(Atletas!O282="Sun 73 C",415,IF(Atletas!O282="Wu 45 C",416,IF(Atletas!O282="Wu-Hao 46 C",417,IF(OR(Atletas!O282="Taijiquan 16 C",Atletas!O282="Taijiquan 24 C",Atletas!O282="Taijiquan 32 C",Atletas!O282="Taijiquan 42 C"),418,0)))))))))))))))))))</f>
        <v/>
      </c>
      <c r="BQ286" s="52" t="str">
        <f>IF(Atletas!O282="","",IF(Atletas!W282&lt;&gt;"",10000,0)+IF(Atletas!B282="Feminino",1000,IF(Atletas!B282="Masculino",2000,""))+IF(OR(Atletas!O282="Yang 26 D",Atletas!O282="Yang 40 D"),419,IF(OR(Atletas!O282="Chen 25 D",Atletas!O282="Chen 36 D",Atletas!O282="Chen 56 D"),420,IF(Atletas!O282="Sun 73 D",421,IF(Atletas!O282="Wu 45 D",422,IF(Atletas!O282="Wu-Hao 46 D",423,IF(OR(Atletas!O282="Taijiquan 16 D",Atletas!O282="Taijiquan 24 D",Atletas!O282="Taijiquan 32 D",Atletas!O282="Taijiquan 42 D"),424,IF(OR(Atletas!O282="Yang 26 E",Atletas!O282="Yang 40 E"),425,IF(OR(Atletas!O282="Chen 25 E",Atletas!O282="Chen 36 E",Atletas!O282="Chen 56 E"),426,IF(Atletas!O282="Sun 73 E",427,IF(Atletas!O282="Wu 45 E",428,IF(Atletas!O282="Wu-Hao 46 E",429,IF(OR(Atletas!O282="Taijiquan 16 E",Atletas!O282="Taijiquan 24 E",Atletas!O282="Taijiquan 32 E",Atletas!O282="Taijiquan 42 E"),430,IF(OR(Atletas!O282="Yang 26 F",Atletas!O282="Yang 40 F"),431,IF(OR(Atletas!O282="Chen 25 F",Atletas!O282="Chen 36 F",Atletas!O282="Chen 56 F"),432,IF(Atletas!O282="Sun 73 F",433,IF(Atletas!O282="Wu 45 F",434,IF(Atletas!O282="Wu-Hao 46 F",435,IF(OR(Atletas!O282="Taijiquan 16 F",Atletas!O282="Taijiquan 24 F",Atletas!O282="Taijiquan 32 F",Atletas!O282="Taijiquan 42 F"),436,0)))))))))))))))))))</f>
        <v/>
      </c>
      <c r="BR286" s="52" t="str">
        <f>IF(Atletas!P282="","",IF(Atletas!W282&lt;&gt;"",10000,0)+IF(Atletas!B282="Feminino",1000,IF(Atletas!B282="Masculino",2000,""))+IF(Atletas!P282="Xingyiquan A",501,IF(Atletas!P282="Baguazhang A",502,IF(Atletas!P282="Outro Estilo Interno A",503,IF(Atletas!P282="Xingyiquan B",504,IF(Atletas!P282="Baguazhang B",505,IF(Atletas!P282="Outro Estilo Interno B",506,IF(Atletas!P282="Xingyiquan C",507,IF(Atletas!P282="Baguazhang C",508,IF(Atletas!P282="Outro Estilo Interno C",509,IF(Atletas!P282="Xingyiquan D",510,IF(Atletas!P282="Baguazhang D",511,IF(Atletas!P282="Outro Estilo Interno D",512,IF(Atletas!P282="Xingyiquan E",513,IF(Atletas!P282="Baguazhang E",514,IF(Atletas!P282="Outro Estilo Interno E",515,IF(Atletas!P282="Xingyiquan F",516,IF(Atletas!P282="Baguazhang F",517,IF(Atletas!P282="Outro Estilo Interno F",518, "")))))))))))))))))))</f>
        <v/>
      </c>
      <c r="BS286" s="52" t="str">
        <f>IF(Atletas!Q282="","",IF(Atletas!W282&lt;&gt;"",10000,0)+IF(Atletas!B282="Feminino",1000,IF(Atletas!B282="Masculino",2000,""))+IF(Atletas!Q282="Dao A",601,IF(Atletas!Q282="Jian A",602,IF(Atletas!Q282="Bishou A",603,IF(Atletas!Q282="Shan A",604,IF(Atletas!Q282="Outra Arma Curta A",605,IF(Atletas!Q282="Dao B",606,IF(Atletas!Q282="Jian B",607,IF(Atletas!Q282="Bishou B",608,IF(Atletas!Q282="Shan B",609,IF(Atletas!Q282="Outra Arma Curta B",610,IF(Atletas!Q282="Dao C",611,IF(Atletas!Q282="Jian C",612,IF(Atletas!Q282="Bishou C",613,IF(Atletas!Q282="Shan C",614,IF(Atletas!Q282="Outra Arma Curta C",615,IF(Atletas!Q282="Dao D",616,IF(Atletas!Q282="Jian D",617,IF(Atletas!Q282="Bishou D",618,IF(Atletas!Q282="Shan D",619,IF(Atletas!Q282="Outra Arma Curta D",620,IF(Atletas!Q282="Dao E",621,IF(Atletas!Q282="Jian E",622,IF(Atletas!Q282="Bishou E",623,IF(Atletas!Q282="Shan E",624,IF(Atletas!Q282="Outra Arma Curta E",625,IF(Atletas!Q282="Dao F",626,IF(Atletas!Q282="Jian F",627,IF(Atletas!Q282="Bishou F",628,IF(Atletas!Q282="Shan F",629,IF(Atletas!Q282="Outra Arma Curta F",630, "")))))))))))))))))))))))))))))))</f>
        <v/>
      </c>
      <c r="BT286" s="52" t="str">
        <f>IF(Atletas!R282="","",IF(Atletas!W282&lt;&gt;"",10000,0)+IF(Atletas!B282="Feminino",1000,IF(Atletas!B282="Masculino",2000,""))+IF(Atletas!R282="Gun A",701,IF(Atletas!R282="Qiang A",702,IF(Atletas!R282="Pudao / Guandao A",703,IF(Atletas!R282="Outra Arma Longa A",704,IF(Atletas!R282="Gun B",705,IF(Atletas!R282="Qiang B",706,IF(Atletas!R282="Pudao / Guandao B",707,IF(Atletas!R282="Outra Arma Longa B",708,IF(Atletas!R282="Gun C",709,IF(Atletas!R282="Qiang C",710,IF(Atletas!R282="Pudao / Guandao C",711,IF(Atletas!R282="Outra Arma Longa C",712,IF(Atletas!R282="Gun D",713,IF(Atletas!R282="Qiang D",714,IF(Atletas!R282="Pudao / Guandao D",715,IF(Atletas!R282="Outra Arma Longa D",716,IF(Atletas!R282="Gun E",717,IF(Atletas!R282="Qiang E",718,IF(Atletas!R282="Pudao / Guandao E",719,IF(Atletas!R282="Outra Arma Longa E",720,IF(Atletas!R282="Gun F",721,IF(Atletas!R282="Qiang F",722,IF(Atletas!R282="Pudao / Guandao F",723,IF(Atletas!R282="Outra Arma Longa F",724,"")))))))))))))))))))))))))</f>
        <v/>
      </c>
      <c r="BU286" s="52" t="str">
        <f>IF(Atletas!S282="","",IF(Atletas!W282&lt;&gt;"",10000,0)+IF(Atletas!B282="Feminino",1000,IF(Atletas!B282="Masculino",2000,""))+IF(Atletas!S282="Arma Dupla A",801,IF(Atletas!S282="Arma Maleável A",802,IF(Atletas!S282="Arma Dupla B",803,IF(Atletas!S282="Arma Maleável B",804,IF(Atletas!S282="Arma Dupla C",805,IF(Atletas!S282="Arma Maleável C",806,IF(Atletas!S282="Arma Dupla D",807,IF(Atletas!S282="Arma Maleável D",808,IF(Atletas!S282="Arma Dupla E",809,IF(Atletas!S282="Arma Maleável E",810,IF(Atletas!S282="Arma Dupla F",811,IF(Atletas!S282="Arma Maleável F",812, "")))))))))))))</f>
        <v/>
      </c>
      <c r="BV286" s="52" t="str">
        <f>IF(Atletas!T282="","",IF(Atletas!W282&lt;&gt;"",10000,0)+IF(Atletas!B282="Feminino",1000,IF(Atletas!B282="Masculino",2000,""))+IF(Atletas!T282="Taijijian Yang A",901,IF(Atletas!T282="Taijijian Chen A",902,IF(Atletas!T282="Taijijian Sun A",903,IF(Atletas!T282="Taijijian Wu A",904,IF(Atletas!T282="Taijijian Wu-Hao A",905,IF(Atletas!T282="Taijijian 32 A",906,IF(Atletas!T282="Taijijian 42 A",907,IF(Atletas!T282="Taijijian Yang B",908,IF(Atletas!T282="Taijijian Chen B",909,IF(Atletas!T282="Taijijian Sun B",910,IF(Atletas!T282="Taijijian Wu B",911,IF(Atletas!T282="Taijijian Wu-Hao B",912,IF(Atletas!T282="Taijijian 32 B",913,IF(Atletas!T282="Taijijian 42 B",914,IF(Atletas!T282="Taijijian Yang C",915,IF(Atletas!T282="Taijijian Chen C",916,IF(Atletas!T282="Taijijian Sun C",917,IF(Atletas!T282="Taijijian Wu C",918,IF(Atletas!T282="Taijijian Wu-Hao C",919,IF(Atletas!T282="Taijijian 32 C",920,IF(Atletas!T282="Taijijian 42 C",921,IF(Atletas!T282="Taijijian Yang D",922,IF(Atletas!T282="Taijijian Chen D",923,IF(Atletas!T282="Taijijian Sun D",924,IF(Atletas!T282="Taijijian Wu D",925,IF(Atletas!T282="Taijijian Wu-Hao D",926,IF(Atletas!T282="Taijijian 32 D",927,IF(Atletas!T282="Taijijian 42 D",928,IF(Atletas!T282="Taijijian Yang E",929,IF(Atletas!T282="Taijijian Chen E",930,IF(Atletas!T282="Taijijian Sun E",931,IF(Atletas!T282="Taijijian Wu E",932,IF(Atletas!T282="Taijijian Wu-Hao E",933,IF(Atletas!T282="Taijijian 32 E",934,IF(Atletas!T282="Taijijian 42 E",935,IF(Atletas!T282="Taijijian Yang F",936,IF(Atletas!T282="Taijijian Chen F",937,IF(Atletas!T282="Taijijian Sun F",938,IF(Atletas!T282="Taijijian Wu F",939,IF(Atletas!T282="Taijijian Wu-Hao F",940,IF(Atletas!T282="Taijijian 32 F",941,IF(Atletas!T282="Taijijian 42 F",942,"")))))))))))))))))))))))))))))))))))))))))))</f>
        <v/>
      </c>
      <c r="BW286" s="52" t="str">
        <f>IF(Atletas!U282="","",IF(Atletas!W282&lt;&gt;"",10000,0)+IF(Atletas!B282="Feminino",1000,IF(Atletas!B282="Masculino",2000,""))+IF(Atletas!T282="Taijijian 42 F",942,IF(Atletas!U282="Taijidao A",943,IF(Atletas!U282="Taijishan A",944,IF(Atletas!U282="Taijiqiang A",945,IF(Atletas!U282="Taijidao B",946,IF(Atletas!U282="Taijishan B",947,IF(Atletas!U282="Taijiqiang B",948,IF(Atletas!U282="Taijidao C",949,IF(Atletas!U282="Taijishan C",950,IF(Atletas!U282="Taijiqiang C",951,IF(Atletas!U282="Taijidao D",952,IF(Atletas!U282="Taijishan D",953,IF(Atletas!U282="Taijiqiang D",954,IF(Atletas!U282="Taijidao E",955,IF(Atletas!U282="Taijishan E",956,IF(Atletas!U282="Taijiqiang E",957,IF(Atletas!U282="Taijidao F",958,IF(Atletas!U282="Taijishan F",959,IF(Atletas!U282="Taijiqiang F",960))))))))))))))))))))</f>
        <v/>
      </c>
      <c r="BX286" s="72" t="str">
        <f>IF(BY286&lt;&gt;"","Arma Maleável E","")</f>
        <v/>
      </c>
      <c r="BY286" s="72" t="str">
        <f>IF(COUNTIF(BK:BW,1810)&gt;0,COUNTIF(BK:BW,1810),"")</f>
        <v/>
      </c>
      <c r="BZ286" s="72" t="str">
        <f>IF(CA286&lt;&gt;"","Arma Maleável E","")</f>
        <v/>
      </c>
      <c r="CA286" s="72" t="str">
        <f>IF(COUNTIF(BK:BW,2810)&gt;0,COUNTIF(BK:BW,2810),"")</f>
        <v/>
      </c>
      <c r="CB286" s="72" t="str">
        <f>IF(CC286&lt;&gt;"","Shan A","")</f>
        <v/>
      </c>
      <c r="CC286" s="64" t="str">
        <f>IF(COUNTIF(BK:BW,11604)&gt;0,COUNTIF(BK:BW,11604),"")</f>
        <v/>
      </c>
      <c r="CD286" s="64" t="str">
        <f>IF(CE286&lt;&gt;"","Shan A","")</f>
        <v/>
      </c>
      <c r="CE286" s="64" t="str">
        <f>IF(COUNTIF(BK:BW,12604)&gt;0,COUNTIF(BK:BW,12604),"")</f>
        <v/>
      </c>
      <c r="CF286" s="52" t="str">
        <f xml:space="preserve"> IF(Atletas!V282="","",IF(Atletas!V282="Duilian de Mãos AB - Equipe 1",1,IF(Atletas!V282="Duilian de Mãos AB - Equipe 2",2,IF(Atletas!V282="Duilian de Armas AB - Equipe 1",3,IF(Atletas!V282="Duilian de Armas AB - Equipe 2",4,IF(Atletas!V282="Duilian de Tuishou - Equipe 1",5,IF(Atletas!V282="Duilian de Tuishou - Equipe 2",6,IF(Atletas!V282="Grupo Externo AB - Equipe 1",7,IF(Atletas!V282="Grupo Externo AB - Equipe 2",8,IF(Atletas!V282="Grupo Interno AB - Equipe 1",9,IF(Atletas!V282="Grupo Interno AB - Equipe 2",10,IF(Atletas!V282="Duilian de Mãos CD - Equipe 1",11,IF(Atletas!V282="Duilian de Mãos CD - Equipe 2",12,IF(Atletas!V282="Duilian de Armas CD - Equipe 1",13,IF(Atletas!V282="Duilian de Armas CD - Equipe 2",14,IF(Atletas!V282="Duilian de Tuishou - Equipe 1",15,IF(Atletas!V282="Duilian de Tuishou - Equipe 2",16,IF(Atletas!V282="Grupo Externo CDEF - Equipe 1",17,IF(Atletas!V282="Grupo Externo CDEF - Equipe 2",18,IF(Atletas!V282="Grupo Interno CDEF - Equipe 1",19,IF(Atletas!V282="Grupo Interno CDEF - Equipe 2",20,IF(Atletas!V282="Duilian de Mãos EF - Equipe 1",21,IF(Atletas!V282="Duilian de Mãos EF - Equipe 2",22,IF(Atletas!V282="Duilian de Armas EF - Equipe 1",23,IF(Atletas!V282="Duilian de Armas EF - Equipe 2",24,IF(Atletas!V282="Duilian de Tuishou - Equipe 1",25,IF(Atletas!V282="Duilian de Tuishou - Equipe 2",26,"")))))))))))))))))))))))))))</f>
        <v/>
      </c>
    </row>
    <row r="287" spans="2:84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 t="str">
        <f t="array" ref="V287">IFERROR(INDEX(BX$7:BX$336,SMALL(IF(BX$7:BX$336&lt;&gt;"",ROW(BX$7:BX$336)-ROW(BX$7)+1),ROWS(BX$7:BX244))),"")</f>
        <v/>
      </c>
      <c r="W287" s="4" t="str">
        <f t="array" ref="W287">IFERROR(INDEX(BY$7:BY$336,SMALL(IF(BY$7:BY$336&lt;&gt;"",ROW(BY$7:BY$336)-ROW(BY$7)+1),ROWS(BY$7:BY244))),"")</f>
        <v/>
      </c>
      <c r="X287" s="4" t="str">
        <f t="array" ref="X287">IFERROR(INDEX(BZ$7:BZ$336,SMALL(IF(BZ$7:BZ$336&lt;&gt;"",ROW(BZ$7:BZ$336)-ROW(BZ$7)+1),ROWS(BZ$7:BZ244))),"")</f>
        <v/>
      </c>
      <c r="Y287" s="4" t="str">
        <f t="array" ref="Y287">IFERROR(INDEX(CA$7:CA$336,SMALL(IF(CA$7:CA$336&lt;&gt;"",ROW(CA$7:CA$336)-ROW(CA$7)+1),ROWS(CA$7:CA244))),"")</f>
        <v/>
      </c>
      <c r="Z287" s="4" t="str">
        <f t="array" ref="Z287">IFERROR(INDEX(CB$7:CB$378,SMALL(IF(CB$7:CB$378&lt;&gt;"",ROW(CB$7:CB$378)-ROW(CB$7)+1),ROWS(CB$7:CB286))),"")</f>
        <v/>
      </c>
      <c r="AA287" s="4" t="str">
        <f t="array" ref="AA287">IFERROR(INDEX(CC$7:CC$378,SMALL(IF(CC$7:CC$378&lt;&gt;"",ROW(CC$7:CC$378)-ROW(CC$7)+1),ROWS(CC$7:CC286))),"")</f>
        <v/>
      </c>
      <c r="AB287" s="4" t="str">
        <f t="array" ref="AB287">IFERROR(INDEX(CD$7:CD$378,SMALL(IF(CD$7:CD$378&lt;&gt;"",ROW(CD$7:CD$378)-ROW(CD$7)+1),ROWS(CD$7:CD286))),"")</f>
        <v/>
      </c>
      <c r="AC287" s="4" t="str">
        <f t="array" ref="AC287">IFERROR(INDEX(CE$7:CE$378,SMALL(IF(CE$7:CE$378&lt;&gt;"",ROW(CE$7:CE$378)-ROW(CE$7)+1),ROWS(CE$7:CE286))),"")</f>
        <v/>
      </c>
      <c r="AD287" s="4"/>
      <c r="AE287" s="4"/>
      <c r="AF287" s="4"/>
      <c r="AG287" s="4"/>
      <c r="AH287" s="4"/>
      <c r="AI287" s="4"/>
      <c r="AJ287" s="46" t="str">
        <f>IF(Atletas!D283="","",IF(Atletas!B283="Feminino",100,IF(Atletas!B283="Masculino",200,""))+(IF(Atletas!D283="Infantil 39kg",1,IF(Atletas!D283="Infantil 42kg",2,IF(Atletas!D283="Infantil 45kg",3,IF(Atletas!D283="Infantil 48kg",4,IF(Atletas!D283="Infantil 52kg",5,IF(Atletas!D283="Infantil 56kg",6,IF(Atletas!D283="Infantil 60kg",7,IF(Atletas!D283="Juvenil 48kg",8,IF(Atletas!D283="Juvenil 52kg",9,IF(Atletas!D283="Juvenil 56kg",10,IF(Atletas!D283="Juvenil 60kg",11,IF(Atletas!D283="Juvenil 65kg",12,IF(Atletas!D283="Juvenil 70kg",13,IF(Atletas!D283="Juvenil 75kg",14,IF(Atletas!D283="Juvenil 80kg",15,IF(Atletas!D283="Adulto 48kg",16,IF(Atletas!D283="Adulto 52kg",17,IF(Atletas!D283="Adulto 56kg",18,IF(Atletas!D283="Adulto 60kg",19,IF(Atletas!D283="Adulto 65kg",20,IF(Atletas!D283="Adulto 70kg",21,IF(Atletas!D283="Adulto 75kg",22,IF(Atletas!D283="Adulto 80kg",23,IF(Atletas!D283="Adulto 85kg",24,IF(Atletas!D283="Adulto 90kg",25,IF(Atletas!D283="Adulto +90kg",26,""))))))))))))))))))))))))))))</f>
        <v/>
      </c>
      <c r="AO287" s="10" t="str">
        <f>IF(Atletas!E283="","",IF(Atletas!B283="Feminino",100,IF(Atletas!B283="Masculino",200,""))+(IF(Atletas!E283="Juvenil 44kg",1,IF(Atletas!E283="Juvenil 48kg",2,IF(Atletas!E283="Juvenil 52kg",3,IF(Atletas!E283="Juvenil 56kg",4,IF(Atletas!E283="Juvenil 60kg",5,IF(Atletas!E283="Juvenil 65kg",6,IF(Atletas!E283="Juvenil 70kg",7,IF(Atletas!E283="Juvenil 75kg",8,IF(Atletas!E283="Juvenil 82kg",9,IF(Atletas!E283="Juvenil 90kg",10,IF(Atletas!E283="Juvenil 100kg",11,IF(Atletas!E283="Adulto 48kg",12,IF(Atletas!E283="Adulto 52kg",13,IF(Atletas!E283="Adulto 56kg",14,IF(Atletas!E283="Adulto 60kg",15,IF(Atletas!E283="Adulto 65kg",16,IF(Atletas!E283="Adulto 70kg",17,IF(Atletas!E283="Adulto 75kg",18,IF(Atletas!E283="Adulto 82kg",19,IF(Atletas!E283="Adulto 90kg",20,IF(Atletas!E283="Adulto 100kg",21,IF(Atletas!E283="Adulto +100kg",22,""))))))))))))))))))))))))</f>
        <v/>
      </c>
      <c r="AT287" s="10" t="str">
        <f>IF(Atletas!F283="","",IF(Atletas!B283="Feminino",100,IF(Atletas!B283="Masculino",200,""))+(IF(Atletas!F283="Adulto 48kg",1,IF(Atletas!F283="Adulto 56kg",2,IF(Atletas!F283="Adulto 65kg",3,IF(Atletas!F283="Adulto 75kg",4,IF(Atletas!F283="Adulto +75kg",5,IF(Atletas!F283="Adulto 52kg",6,IF(Atletas!F283="Adulto 60kg",7,IF(Atletas!F283="Adulto 70kg",8,IF(Atletas!F283="Adulto 80kg",9,IF(Atletas!F283="Adulto 90kg",10,IF(Atletas!F283="Adulto +90kg",11,"")))))))))))))</f>
        <v/>
      </c>
      <c r="AY287" s="46" t="str">
        <f>IF(Atletas!G283="","",IF(Atletas!B283="Feminino",100,IF(Atletas!B283="Masculino",200,""))+(IF(Atletas!G283="Changquan Mirim",1,IF(Atletas!G283="Nanquan Mirim",2,IF(Atletas!G283="Taijiquan Mirim",3,IF(Atletas!G283="Changquan Grupo C",4,IF(Atletas!G283="Nanquan Grupo C",5,IF(Atletas!G283="Taijiquan Grupo C",6,IF(Atletas!G283="Changquan Grupo B",7,IF(Atletas!G283="Nanquan Grupo B",8,IF(Atletas!G283="Taijiquan Grupo B",9,IF(Atletas!G283="Changquan Grupo A",10,IF(Atletas!G283="Nanquan Grupo A",11,IF(Atletas!G283="Taijiquan Grupo A",12,IF(Atletas!G283="Changquan Opcional",13,IF(Atletas!G283="Nanquan Opcional",14,IF(Atletas!G283="Taijiquan Opcional",15,IF(Atletas!G283="Changquan Adulto",16,IF(Atletas!G283="Nanquan Adulto",17,IF(Atletas!G283="Taijiquan Adulto",18,""))))))))))))))))))))</f>
        <v/>
      </c>
      <c r="AZ287" s="46" t="str">
        <f>IF(Atletas!H283="","",IF(Atletas!B283="Feminino",100,IF(Atletas!B283="Masculino",200,""))+(IF(Atletas!H283="Daoshu Mirim",19,IF(Atletas!H283="Jianshu Mirim",20,IF(Atletas!H283="Nandao Mirim",21,IF(Atletas!H283="Taijijian Mirim",22,IF(Atletas!H283="Daoshu Grupo C",23,IF(Atletas!H283="Jianshu Grupo C",24,IF(Atletas!H283="Nandao Grupo C",25,IF(Atletas!H283="Taijijian Grupo C",26,IF(Atletas!H283="Daoshu Grupo B",27,IF(Atletas!H283="Jianshu Grupo B",28,IF(Atletas!H283="Nandao Grupo B",29,IF(Atletas!H283="Taijijian Grupo B",30,IF(Atletas!H283="Daoshu Grupo A",31,IF(Atletas!H283="Jianshu Grupo A",32,IF(Atletas!H283="Nandao Grupo A",33,IF(Atletas!H283="Taijijian Grupo A",34,IF(Atletas!H283="Daoshu Opcional",35,IF(Atletas!H283="Jianshu Opcional",36,IF(Atletas!H283="Nandao Opcional",37,IF(Atletas!H283="Taijijian Opcional",38,IF(Atletas!H283="Daoshu Adulto",39,IF(Atletas!H283="Jianshu Adulto",40,IF(Atletas!H283="Nandao Adulto",41,IF(Atletas!H283="Taijijian Adulto",42,""))))))))))))))))))))))))))</f>
        <v/>
      </c>
      <c r="BA287" s="46" t="str">
        <f>IF(Atletas!I283="","",IF(Atletas!B283="Feminino",100,IF(Atletas!B283="Masculino",200,""))+(IF(Atletas!I283="Gunshu Mirim",43,IF(Atletas!I283="Qiangshu Mirim",44,IF(Atletas!I283="Nangun Mirim",45,IF(Atletas!I283="Gunshu Grupo C",46,IF(Atletas!I283="Qiangshu Grupo C",47,IF(Atletas!I283="Nangun Grupo C",48,IF(Atletas!I283="Gunshu Grupo B",49,IF(Atletas!I283="Qiangshu Grupo B",50,IF(Atletas!I283="Nangun Grupo B",51,IF(Atletas!I283="Gunshu Grupo A",52,IF(Atletas!I283="Qiangshu Grupo A",53,IF(Atletas!I283="Nangun Grupo A",54,IF(Atletas!I283="Gunshu Opcional",55,IF(Atletas!I283="Qiangshu Opcional",56,IF(Atletas!I283="Nangun Opcional",57,IF(Atletas!I283="Gunshu Adulto",58,IF(Atletas!I283="Qiangshu Adulto",59,IF(Atletas!I283="Nangun Adulto",60,""))))))))))))))))))))</f>
        <v/>
      </c>
      <c r="BF287" s="52" t="str">
        <f>IF(Atletas!J283="","",IF(Atletas!B283="Feminino",100,IF(Atletas!B283="Masculino",200,""))+(IF(Atletas!J283="Equipe 1 Grupo B",1,IF(Atletas!J283="Equipe 2 Grupo B",2,IF(Atletas!J283="Equipe 1 Grupo A",3,IF(Atletas!J283="Equipe 2 Grupo A",4,IF(Atletas!J283="Equipe 1 Adulto",5,IF(Atletas!J283="Equipe 2 Adulto",6,""))))))))</f>
        <v/>
      </c>
      <c r="BK287" s="52" t="str">
        <f>IF(Atletas!K283="","",IF(Atletas!W283&lt;&gt;"",10000,0)+(IF(Atletas!B283="Feminino",1000,IF(Atletas!B283="Masculino",2000,""))+IF(Atletas!K283="Choylayfut A",1,IF(Atletas!K283="Hunggar A",2,IF(Atletas!K283="Wuzuquan A",3,IF(Atletas!K283="Wingchun A",4,IF(Atletas!K283="Outra Mão de Sul A",5,IF(Atletas!K283="Choylayfut B",6,IF(Atletas!K283="Hunggar B",7,IF(Atletas!K283="Wuzuquan B",8,IF(Atletas!K283="Wingchun B",9,IF(Atletas!K283="Outra Mão de Sul B",10,IF(Atletas!K283="Choylayfut C",11,IF(Atletas!K283="Hunggar C",12,IF(Atletas!K283="Wuzuquan C",13,IF(Atletas!K283="Wingchun C",14,IF(Atletas!K283="Outra Mão de Sul C",15,IF(Atletas!K283="Choylayfut D",16,IF(Atletas!K283="Hunggar D",17,IF(Atletas!K283="Wuzuquan D",18,IF(Atletas!K283="Wingchun D",19,IF(Atletas!K283="Outra Mão de Sul D",20,IF(Atletas!K283="Choylayfut E",21,IF(Atletas!K283="Hunggar E",22,IF(Atletas!K283="Wuzuquan E",23,IF(Atletas!K283="Wingchun E",24,IF(Atletas!K283="Outra Mão de Sul E",25,IF(Atletas!K283="Choylayfut F",26,IF(Atletas!K283="Hunggar F",27,IF(Atletas!K283="Wuzuquan F",28,IF(Atletas!K283="Wingchun F",29,IF(Atletas!K283="Outra Mão de Sul F",30,""))))))))))))))))))))))))))))))))</f>
        <v/>
      </c>
      <c r="BL287" s="52" t="str">
        <f>IF(Atletas!L283="","",IF(Atletas!W283&lt;&gt;"",10000,0)+(IF(Atletas!B283="Feminino",1000,IF(Atletas!B283="Masculino",2000,""))+(IF(Atletas!L283="Chaquan A",101,IF(Atletas!L283="Emeiquan A",102,IF(Atletas!L283="Fanziquan A",103,IF(Atletas!L283="Huaquan A",104,IF(Atletas!L283="Hongquan A",105,IF(Atletas!L283="Paochui A",106,IF(Atletas!L283="Piguaquan A",107,IF(Atletas!L283="Shaolinquan A",108,IF(Atletas!L283="Tanglangquan A",109,IF(Atletas!L283="Yinzhaophai A",110,IF(Atletas!L283="Tongbeiquan A",111,IF(Atletas!L283="Wudangquan A",112,IF(Atletas!L283="Outros Estilos A",113,IF(Atletas!L283="Chaquan B",114,IF(Atletas!L283="Emeiquan B",115,IF(Atletas!L283="Fanziquan B",116,IF(Atletas!L283="Huaquan B",117,IF(Atletas!L283="Hongquan B",118,IF(Atletas!L283="Paochui B",119,IF(Atletas!L283="Piguaquan B",120,IF(Atletas!L283="Shaolinquan B",121,IF(Atletas!L283="Tanglangquan B",122,IF(Atletas!L283="Yinzhaophai B",123,IF(Atletas!L283="Tongbeiquan B",124,IF(Atletas!L283="Wudangquan B",125,IF(Atletas!L283="Outros Estilos B",126,IF(Atletas!L283="Chaquan C",127,IF(Atletas!L283="Emeiquan C",128,IF(Atletas!L283="Fanziquan C",129,IF(Atletas!L283="Huaquan C",130,IF(Atletas!L283="Hongquan C",131,IF(Atletas!L283="Paochui C",132,IF(Atletas!L283="Piguaquan C",133,IF(Atletas!L283="Shaolinquan C",134,IF(Atletas!L283="Tanglangquan C",135,IF(Atletas!L283="Yinzhaophai C",136,IF(Atletas!L283="Tongbeiquan C",137,IF(Atletas!L283="Wudangquan C",138,IF(Atletas!L283="Outros Estilos C",139,0))))))))))))))))))))))))))))))))))))))))))</f>
        <v/>
      </c>
      <c r="BM287" s="52" t="str">
        <f>IF(Atletas!L283="","",IF(Atletas!W283&lt;&gt;"",10000,0)+(IF(Atletas!B283="Feminino",1000,IF(Atletas!B283="Masculino",2000,""))+(IF(Atletas!L283="Chaquan D",140,IF(Atletas!L283="Emeiquan D",141,IF(Atletas!L283="Fanziquan D",142,IF(Atletas!L283="Huaquan D",143,IF(Atletas!L283="Hongquan D",144,IF(Atletas!L283="Paochui D",145,IF(Atletas!L283="Piguaquan D",146,IF(Atletas!L283="Shaolinquan D",147,IF(Atletas!L283="Tanglangquan D",148,IF(Atletas!L283="Yinzhaophai D",149,IF(Atletas!L283="Tongbeiquan D",150,IF(Atletas!L283="Wudangquan D",151,IF(Atletas!L283="Outros Estilos D",152,IF(Atletas!L283="Chaquan E",153,IF(Atletas!L283="Emeiquan E",154,IF(Atletas!L283="Fanziquan E",155,IF(Atletas!L283="Huaquan E",156,IF(Atletas!L283="Hongquan E",157,IF(Atletas!L283="Paochui E",158,IF(Atletas!L283="Piguaquan E",159,IF(Atletas!L283="Shaolinquan E",160,IF(Atletas!L283="Tanglangquan E",161,IF(Atletas!L283="Yinzhaophai E",162,IF(Atletas!L283="Tongbeiquan E",163,IF(Atletas!L283="Wudangquan E",164,IF(Atletas!L283="Outros Estilos E",165,IF(Atletas!L283="Chaquan F",166,IF(Atletas!L283="Emeiquan F",167,IF(Atletas!L283="Fanziquan F",168,IF(Atletas!L283="Huaquan F",169,IF(Atletas!L283="Hongquan F",170,IF(Atletas!L283="Paochui F",171,IF(Atletas!L283="Piguaquan F",172,IF(Atletas!L283="Shaolinquan F",173,IF(Atletas!L283="Tanglangquan F",174,IF(Atletas!L283="Yinzhaophai F",175,IF(Atletas!L283="Tongbeiquan F",176,IF(Atletas!L283="Wudangquan F",177,IF(Atletas!L283="Outros Estilos F",178,0))))))))))))))))))))))))))))))))))))))))))</f>
        <v/>
      </c>
      <c r="BN287" s="52" t="str">
        <f>IF(Atletas!M283="","",IF(Atletas!W283&lt;&gt;"",10000,0)+(IF(Atletas!B283="Feminino",1000,IF(Atletas!B283="Masculino",2000,""))+(IF(Atletas!M283="Ditangquan A",201,IF(Atletas!M283="Houquan A",202,IF(Atletas!M283="Zuiquan A",203,IF(Atletas!M283="Ditangquan B",204,IF(Atletas!M283="Houquan B",205,IF(Atletas!M283="Zuiquan B",206,IF(Atletas!M283="Ditangquan C",207,IF(Atletas!M283="Houquan C",208,IF(Atletas!M283="Zuiquan C",209,IF(Atletas!M283="Ditangquan D",210,IF(Atletas!M283="Houquan D",211,IF(Atletas!M283="Zuiquan D",212,IF(Atletas!M283="Ditangquan E",213,IF(Atletas!M283="Houquan E",214,IF(Atletas!M283="Zuiquan E",215,IF(Atletas!M283="Ditangquan F",216,IF(Atletas!M283="Houquan F",217,IF(Atletas!M283="Zuiquan F",218,"")))))))))))))))))))))</f>
        <v/>
      </c>
      <c r="BO287" s="52" t="str">
        <f>IF(Atletas!N283="","",IF(Atletas!W283&lt;&gt;"",10000,0)+IF(Atletas!B283="Feminino",1000,IF(Atletas!B283="Masculino",2000,""))+IF(Atletas!N283="Yang A",301,IF(Atletas!N283="Chen A",30,IF(Atletas!N283="Sun A",303,IF(Atletas!N283="Wu A",304,IF(Atletas!N283="Wu-Hao A",305,IF(Atletas!N283="Outro Taijiquan A",306,IF(Atletas!N283="Yang B",307,IF(Atletas!N283="Chen B",308,IF(Atletas!N283="Sun B",309,IF(Atletas!N283="Wu B",310,IF(Atletas!N283="Wu-Hao B",311,IF(Atletas!N283="Outro Taijiquan B",312,IF(Atletas!N283="Yang C",313,IF(Atletas!N283="Chen C",314,IF(Atletas!N283="Sun C",315,IF(Atletas!N283="Wu C",316,IF(Atletas!N283="Wu-Hao C",317,IF(Atletas!N283="Outro Taijiquan C",318,IF(Atletas!N283="Yang D",319,IF(Atletas!N283="Chen D",320,IF(Atletas!N283="Sun D",321,IF(Atletas!N283="Wu D",322,IF(Atletas!N283="Wu-Hao D",323,IF(Atletas!N283="Outro Taijiquan D",324,IF(Atletas!N283="Yang E",325,IF(Atletas!N283="Chen E",326,IF(Atletas!N283="Sun E",327,IF(Atletas!N283="Wu E",328,IF(Atletas!N283="Wu-Hao E",329,IF(Atletas!N283="Outro Taijiquan E",330,IF(Atletas!N283="Yang F",331,IF(Atletas!N283="Chen F",332,IF(Atletas!N283="Sun F",333,IF(Atletas!N283="Wu F",334,IF(Atletas!N283="Wu-Hao F",335,IF(Atletas!N283="Outro Taijiquan F",336,"")))))))))))))))))))))))))))))))))))))</f>
        <v/>
      </c>
      <c r="BP287" s="52" t="str">
        <f>IF(Atletas!O283="","",IF(Atletas!W283&lt;&gt;"",10000,0)+IF(Atletas!B283="Feminino",1000,IF(Atletas!B283="Masculino",2000,""))+IF(OR(Atletas!O283="Yang 26 A",Atletas!O283="Yang 40 A"),401,IF(OR(Atletas!O283="Chen 25 A",Atletas!O283="Chen 36 A",Atletas!O283="Chen 56 A"),402,IF(Atletas!O283="Sun 73 A",403,IF(Atletas!O283="Wu 45 A",404,IF(Atletas!O283="Wu-Hao 46 A",405,IF(OR(Atletas!O283="Taijiquan 16 A",Atletas!O283="Taijiquan 24 A",Atletas!O283="Taijiquan 32 A",Atletas!O283="Taijiquan 42 A"),406,IF(OR(Atletas!O283="Yang 26 B",Atletas!O283="Yang 40 B"),407,IF(OR(Atletas!O283="Chen 25 B",Atletas!O283="Chen 36 B",Atletas!O283="Chen 56 B"),408,IF(Atletas!O283="Sun 73 B",409,IF(Atletas!O283="Wu 45 B",410,IF(Atletas!O283="Wu-Hao 46 B",411,IF(OR(Atletas!O283="Taijiquan 16 B",Atletas!O283="Taijiquan 24 B",Atletas!O283="Taijiquan 32 B",Atletas!O283="Taijiquan 42 B"),412,IF(OR(Atletas!O283="Yang 26 C",Atletas!O283="Yang 40 C"),413,IF(OR(Atletas!O283="Chen 25 C",Atletas!O283="Chen 36 C",Atletas!O283="Chen 56 C"),414,IF(Atletas!O283="Sun 73 C",415,IF(Atletas!O283="Wu 45 C",416,IF(Atletas!O283="Wu-Hao 46 C",417,IF(OR(Atletas!O283="Taijiquan 16 C",Atletas!O283="Taijiquan 24 C",Atletas!O283="Taijiquan 32 C",Atletas!O283="Taijiquan 42 C"),418,0)))))))))))))))))))</f>
        <v/>
      </c>
      <c r="BQ287" s="52" t="str">
        <f>IF(Atletas!O283="","",IF(Atletas!W283&lt;&gt;"",10000,0)+IF(Atletas!B283="Feminino",1000,IF(Atletas!B283="Masculino",2000,""))+IF(OR(Atletas!O283="Yang 26 D",Atletas!O283="Yang 40 D"),419,IF(OR(Atletas!O283="Chen 25 D",Atletas!O283="Chen 36 D",Atletas!O283="Chen 56 D"),420,IF(Atletas!O283="Sun 73 D",421,IF(Atletas!O283="Wu 45 D",422,IF(Atletas!O283="Wu-Hao 46 D",423,IF(OR(Atletas!O283="Taijiquan 16 D",Atletas!O283="Taijiquan 24 D",Atletas!O283="Taijiquan 32 D",Atletas!O283="Taijiquan 42 D"),424,IF(OR(Atletas!O283="Yang 26 E",Atletas!O283="Yang 40 E"),425,IF(OR(Atletas!O283="Chen 25 E",Atletas!O283="Chen 36 E",Atletas!O283="Chen 56 E"),426,IF(Atletas!O283="Sun 73 E",427,IF(Atletas!O283="Wu 45 E",428,IF(Atletas!O283="Wu-Hao 46 E",429,IF(OR(Atletas!O283="Taijiquan 16 E",Atletas!O283="Taijiquan 24 E",Atletas!O283="Taijiquan 32 E",Atletas!O283="Taijiquan 42 E"),430,IF(OR(Atletas!O283="Yang 26 F",Atletas!O283="Yang 40 F"),431,IF(OR(Atletas!O283="Chen 25 F",Atletas!O283="Chen 36 F",Atletas!O283="Chen 56 F"),432,IF(Atletas!O283="Sun 73 F",433,IF(Atletas!O283="Wu 45 F",434,IF(Atletas!O283="Wu-Hao 46 F",435,IF(OR(Atletas!O283="Taijiquan 16 F",Atletas!O283="Taijiquan 24 F",Atletas!O283="Taijiquan 32 F",Atletas!O283="Taijiquan 42 F"),436,0)))))))))))))))))))</f>
        <v/>
      </c>
      <c r="BR287" s="52" t="str">
        <f>IF(Atletas!P283="","",IF(Atletas!W283&lt;&gt;"",10000,0)+IF(Atletas!B283="Feminino",1000,IF(Atletas!B283="Masculino",2000,""))+IF(Atletas!P283="Xingyiquan A",501,IF(Atletas!P283="Baguazhang A",502,IF(Atletas!P283="Outro Estilo Interno A",503,IF(Atletas!P283="Xingyiquan B",504,IF(Atletas!P283="Baguazhang B",505,IF(Atletas!P283="Outro Estilo Interno B",506,IF(Atletas!P283="Xingyiquan C",507,IF(Atletas!P283="Baguazhang C",508,IF(Atletas!P283="Outro Estilo Interno C",509,IF(Atletas!P283="Xingyiquan D",510,IF(Atletas!P283="Baguazhang D",511,IF(Atletas!P283="Outro Estilo Interno D",512,IF(Atletas!P283="Xingyiquan E",513,IF(Atletas!P283="Baguazhang E",514,IF(Atletas!P283="Outro Estilo Interno E",515,IF(Atletas!P283="Xingyiquan F",516,IF(Atletas!P283="Baguazhang F",517,IF(Atletas!P283="Outro Estilo Interno F",518, "")))))))))))))))))))</f>
        <v/>
      </c>
      <c r="BS287" s="52" t="str">
        <f>IF(Atletas!Q283="","",IF(Atletas!W283&lt;&gt;"",10000,0)+IF(Atletas!B283="Feminino",1000,IF(Atletas!B283="Masculino",2000,""))+IF(Atletas!Q283="Dao A",601,IF(Atletas!Q283="Jian A",602,IF(Atletas!Q283="Bishou A",603,IF(Atletas!Q283="Shan A",604,IF(Atletas!Q283="Outra Arma Curta A",605,IF(Atletas!Q283="Dao B",606,IF(Atletas!Q283="Jian B",607,IF(Atletas!Q283="Bishou B",608,IF(Atletas!Q283="Shan B",609,IF(Atletas!Q283="Outra Arma Curta B",610,IF(Atletas!Q283="Dao C",611,IF(Atletas!Q283="Jian C",612,IF(Atletas!Q283="Bishou C",613,IF(Atletas!Q283="Shan C",614,IF(Atletas!Q283="Outra Arma Curta C",615,IF(Atletas!Q283="Dao D",616,IF(Atletas!Q283="Jian D",617,IF(Atletas!Q283="Bishou D",618,IF(Atletas!Q283="Shan D",619,IF(Atletas!Q283="Outra Arma Curta D",620,IF(Atletas!Q283="Dao E",621,IF(Atletas!Q283="Jian E",622,IF(Atletas!Q283="Bishou E",623,IF(Atletas!Q283="Shan E",624,IF(Atletas!Q283="Outra Arma Curta E",625,IF(Atletas!Q283="Dao F",626,IF(Atletas!Q283="Jian F",627,IF(Atletas!Q283="Bishou F",628,IF(Atletas!Q283="Shan F",629,IF(Atletas!Q283="Outra Arma Curta F",630, "")))))))))))))))))))))))))))))))</f>
        <v/>
      </c>
      <c r="BT287" s="52" t="str">
        <f>IF(Atletas!R283="","",IF(Atletas!W283&lt;&gt;"",10000,0)+IF(Atletas!B283="Feminino",1000,IF(Atletas!B283="Masculino",2000,""))+IF(Atletas!R283="Gun A",701,IF(Atletas!R283="Qiang A",702,IF(Atletas!R283="Pudao / Guandao A",703,IF(Atletas!R283="Outra Arma Longa A",704,IF(Atletas!R283="Gun B",705,IF(Atletas!R283="Qiang B",706,IF(Atletas!R283="Pudao / Guandao B",707,IF(Atletas!R283="Outra Arma Longa B",708,IF(Atletas!R283="Gun C",709,IF(Atletas!R283="Qiang C",710,IF(Atletas!R283="Pudao / Guandao C",711,IF(Atletas!R283="Outra Arma Longa C",712,IF(Atletas!R283="Gun D",713,IF(Atletas!R283="Qiang D",714,IF(Atletas!R283="Pudao / Guandao D",715,IF(Atletas!R283="Outra Arma Longa D",716,IF(Atletas!R283="Gun E",717,IF(Atletas!R283="Qiang E",718,IF(Atletas!R283="Pudao / Guandao E",719,IF(Atletas!R283="Outra Arma Longa E",720,IF(Atletas!R283="Gun F",721,IF(Atletas!R283="Qiang F",722,IF(Atletas!R283="Pudao / Guandao F",723,IF(Atletas!R283="Outra Arma Longa F",724,"")))))))))))))))))))))))))</f>
        <v/>
      </c>
      <c r="BU287" s="52" t="str">
        <f>IF(Atletas!S283="","",IF(Atletas!W283&lt;&gt;"",10000,0)+IF(Atletas!B283="Feminino",1000,IF(Atletas!B283="Masculino",2000,""))+IF(Atletas!S283="Arma Dupla A",801,IF(Atletas!S283="Arma Maleável A",802,IF(Atletas!S283="Arma Dupla B",803,IF(Atletas!S283="Arma Maleável B",804,IF(Atletas!S283="Arma Dupla C",805,IF(Atletas!S283="Arma Maleável C",806,IF(Atletas!S283="Arma Dupla D",807,IF(Atletas!S283="Arma Maleável D",808,IF(Atletas!S283="Arma Dupla E",809,IF(Atletas!S283="Arma Maleável E",810,IF(Atletas!S283="Arma Dupla F",811,IF(Atletas!S283="Arma Maleável F",812, "")))))))))))))</f>
        <v/>
      </c>
      <c r="BV287" s="52" t="str">
        <f>IF(Atletas!T283="","",IF(Atletas!W283&lt;&gt;"",10000,0)+IF(Atletas!B283="Feminino",1000,IF(Atletas!B283="Masculino",2000,""))+IF(Atletas!T283="Taijijian Yang A",901,IF(Atletas!T283="Taijijian Chen A",902,IF(Atletas!T283="Taijijian Sun A",903,IF(Atletas!T283="Taijijian Wu A",904,IF(Atletas!T283="Taijijian Wu-Hao A",905,IF(Atletas!T283="Taijijian 32 A",906,IF(Atletas!T283="Taijijian 42 A",907,IF(Atletas!T283="Taijijian Yang B",908,IF(Atletas!T283="Taijijian Chen B",909,IF(Atletas!T283="Taijijian Sun B",910,IF(Atletas!T283="Taijijian Wu B",911,IF(Atletas!T283="Taijijian Wu-Hao B",912,IF(Atletas!T283="Taijijian 32 B",913,IF(Atletas!T283="Taijijian 42 B",914,IF(Atletas!T283="Taijijian Yang C",915,IF(Atletas!T283="Taijijian Chen C",916,IF(Atletas!T283="Taijijian Sun C",917,IF(Atletas!T283="Taijijian Wu C",918,IF(Atletas!T283="Taijijian Wu-Hao C",919,IF(Atletas!T283="Taijijian 32 C",920,IF(Atletas!T283="Taijijian 42 C",921,IF(Atletas!T283="Taijijian Yang D",922,IF(Atletas!T283="Taijijian Chen D",923,IF(Atletas!T283="Taijijian Sun D",924,IF(Atletas!T283="Taijijian Wu D",925,IF(Atletas!T283="Taijijian Wu-Hao D",926,IF(Atletas!T283="Taijijian 32 D",927,IF(Atletas!T283="Taijijian 42 D",928,IF(Atletas!T283="Taijijian Yang E",929,IF(Atletas!T283="Taijijian Chen E",930,IF(Atletas!T283="Taijijian Sun E",931,IF(Atletas!T283="Taijijian Wu E",932,IF(Atletas!T283="Taijijian Wu-Hao E",933,IF(Atletas!T283="Taijijian 32 E",934,IF(Atletas!T283="Taijijian 42 E",935,IF(Atletas!T283="Taijijian Yang F",936,IF(Atletas!T283="Taijijian Chen F",937,IF(Atletas!T283="Taijijian Sun F",938,IF(Atletas!T283="Taijijian Wu F",939,IF(Atletas!T283="Taijijian Wu-Hao F",940,IF(Atletas!T283="Taijijian 32 F",941,IF(Atletas!T283="Taijijian 42 F",942,"")))))))))))))))))))))))))))))))))))))))))))</f>
        <v/>
      </c>
      <c r="BW287" s="52" t="str">
        <f>IF(Atletas!U283="","",IF(Atletas!W283&lt;&gt;"",10000,0)+IF(Atletas!B283="Feminino",1000,IF(Atletas!B283="Masculino",2000,""))+IF(Atletas!T283="Taijijian 42 F",942,IF(Atletas!U283="Taijidao A",943,IF(Atletas!U283="Taijishan A",944,IF(Atletas!U283="Taijiqiang A",945,IF(Atletas!U283="Taijidao B",946,IF(Atletas!U283="Taijishan B",947,IF(Atletas!U283="Taijiqiang B",948,IF(Atletas!U283="Taijidao C",949,IF(Atletas!U283="Taijishan C",950,IF(Atletas!U283="Taijiqiang C",951,IF(Atletas!U283="Taijidao D",952,IF(Atletas!U283="Taijishan D",953,IF(Atletas!U283="Taijiqiang D",954,IF(Atletas!U283="Taijidao E",955,IF(Atletas!U283="Taijishan E",956,IF(Atletas!U283="Taijiqiang E",957,IF(Atletas!U283="Taijidao F",958,IF(Atletas!U283="Taijishan F",959,IF(Atletas!U283="Taijiqiang F",960))))))))))))))))))))</f>
        <v/>
      </c>
      <c r="BX287" s="72" t="str">
        <f>IF(BY287&lt;&gt;"","Arma Dupla F","")</f>
        <v/>
      </c>
      <c r="BY287" s="72" t="str">
        <f>IF(COUNTIF(BK:BW,1811)&gt;0,COUNTIF(BK:BW,1811),"")</f>
        <v/>
      </c>
      <c r="BZ287" s="72" t="str">
        <f>IF(CA287&lt;&gt;"","Arma Dupla F","")</f>
        <v/>
      </c>
      <c r="CA287" s="72" t="str">
        <f>IF(COUNTIF(BK:BW,2811)&gt;0,COUNTIF(BK:BW,2811),"")</f>
        <v/>
      </c>
      <c r="CB287" s="72" t="str">
        <f>IF(CC287&lt;&gt;"","Outra Arma Curta A","")</f>
        <v/>
      </c>
      <c r="CC287" s="64" t="str">
        <f>IF(COUNTIF(BK:BW,11605)&gt;0,COUNTIF(BK:BW,11605),"")</f>
        <v/>
      </c>
      <c r="CD287" s="64" t="str">
        <f>IF(CE287&lt;&gt;"","Outra Arma Curta A","")</f>
        <v/>
      </c>
      <c r="CE287" s="64" t="str">
        <f>IF(COUNTIF(BK:BW,12605)&gt;0,COUNTIF(BK:BW,12605),"")</f>
        <v/>
      </c>
      <c r="CF287" s="52" t="str">
        <f xml:space="preserve"> IF(Atletas!V283="","",IF(Atletas!V283="Duilian de Mãos AB - Equipe 1",1,IF(Atletas!V283="Duilian de Mãos AB - Equipe 2",2,IF(Atletas!V283="Duilian de Armas AB - Equipe 1",3,IF(Atletas!V283="Duilian de Armas AB - Equipe 2",4,IF(Atletas!V283="Duilian de Tuishou - Equipe 1",5,IF(Atletas!V283="Duilian de Tuishou - Equipe 2",6,IF(Atletas!V283="Grupo Externo AB - Equipe 1",7,IF(Atletas!V283="Grupo Externo AB - Equipe 2",8,IF(Atletas!V283="Grupo Interno AB - Equipe 1",9,IF(Atletas!V283="Grupo Interno AB - Equipe 2",10,IF(Atletas!V283="Duilian de Mãos CD - Equipe 1",11,IF(Atletas!V283="Duilian de Mãos CD - Equipe 2",12,IF(Atletas!V283="Duilian de Armas CD - Equipe 1",13,IF(Atletas!V283="Duilian de Armas CD - Equipe 2",14,IF(Atletas!V283="Duilian de Tuishou - Equipe 1",15,IF(Atletas!V283="Duilian de Tuishou - Equipe 2",16,IF(Atletas!V283="Grupo Externo CDEF - Equipe 1",17,IF(Atletas!V283="Grupo Externo CDEF - Equipe 2",18,IF(Atletas!V283="Grupo Interno CDEF - Equipe 1",19,IF(Atletas!V283="Grupo Interno CDEF - Equipe 2",20,IF(Atletas!V283="Duilian de Mãos EF - Equipe 1",21,IF(Atletas!V283="Duilian de Mãos EF - Equipe 2",22,IF(Atletas!V283="Duilian de Armas EF - Equipe 1",23,IF(Atletas!V283="Duilian de Armas EF - Equipe 2",24,IF(Atletas!V283="Duilian de Tuishou - Equipe 1",25,IF(Atletas!V283="Duilian de Tuishou - Equipe 2",26,"")))))))))))))))))))))))))))</f>
        <v/>
      </c>
    </row>
    <row r="288" spans="2:84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 t="str">
        <f t="array" ref="V288">IFERROR(INDEX(BX$7:BX$336,SMALL(IF(BX$7:BX$336&lt;&gt;"",ROW(BX$7:BX$336)-ROW(BX$7)+1),ROWS(BX$7:BX245))),"")</f>
        <v/>
      </c>
      <c r="W288" s="4" t="str">
        <f t="array" ref="W288">IFERROR(INDEX(BY$7:BY$336,SMALL(IF(BY$7:BY$336&lt;&gt;"",ROW(BY$7:BY$336)-ROW(BY$7)+1),ROWS(BY$7:BY245))),"")</f>
        <v/>
      </c>
      <c r="X288" s="4" t="str">
        <f t="array" ref="X288">IFERROR(INDEX(BZ$7:BZ$336,SMALL(IF(BZ$7:BZ$336&lt;&gt;"",ROW(BZ$7:BZ$336)-ROW(BZ$7)+1),ROWS(BZ$7:BZ245))),"")</f>
        <v/>
      </c>
      <c r="Y288" s="4" t="str">
        <f t="array" ref="Y288">IFERROR(INDEX(CA$7:CA$336,SMALL(IF(CA$7:CA$336&lt;&gt;"",ROW(CA$7:CA$336)-ROW(CA$7)+1),ROWS(CA$7:CA245))),"")</f>
        <v/>
      </c>
      <c r="Z288" s="4" t="str">
        <f t="array" ref="Z288">IFERROR(INDEX(CB$7:CB$378,SMALL(IF(CB$7:CB$378&lt;&gt;"",ROW(CB$7:CB$378)-ROW(CB$7)+1),ROWS(CB$7:CB287))),"")</f>
        <v/>
      </c>
      <c r="AA288" s="4" t="str">
        <f t="array" ref="AA288">IFERROR(INDEX(CC$7:CC$378,SMALL(IF(CC$7:CC$378&lt;&gt;"",ROW(CC$7:CC$378)-ROW(CC$7)+1),ROWS(CC$7:CC287))),"")</f>
        <v/>
      </c>
      <c r="AB288" s="4" t="str">
        <f t="array" ref="AB288">IFERROR(INDEX(CD$7:CD$378,SMALL(IF(CD$7:CD$378&lt;&gt;"",ROW(CD$7:CD$378)-ROW(CD$7)+1),ROWS(CD$7:CD287))),"")</f>
        <v/>
      </c>
      <c r="AC288" s="4" t="str">
        <f t="array" ref="AC288">IFERROR(INDEX(CE$7:CE$378,SMALL(IF(CE$7:CE$378&lt;&gt;"",ROW(CE$7:CE$378)-ROW(CE$7)+1),ROWS(CE$7:CE287))),"")</f>
        <v/>
      </c>
      <c r="AD288" s="4"/>
      <c r="AE288" s="4"/>
      <c r="AF288" s="4"/>
      <c r="AG288" s="4"/>
      <c r="AH288" s="4"/>
      <c r="AI288" s="4"/>
      <c r="AJ288" s="46" t="str">
        <f>IF(Atletas!D284="","",IF(Atletas!B284="Feminino",100,IF(Atletas!B284="Masculino",200,""))+(IF(Atletas!D284="Infantil 39kg",1,IF(Atletas!D284="Infantil 42kg",2,IF(Atletas!D284="Infantil 45kg",3,IF(Atletas!D284="Infantil 48kg",4,IF(Atletas!D284="Infantil 52kg",5,IF(Atletas!D284="Infantil 56kg",6,IF(Atletas!D284="Infantil 60kg",7,IF(Atletas!D284="Juvenil 48kg",8,IF(Atletas!D284="Juvenil 52kg",9,IF(Atletas!D284="Juvenil 56kg",10,IF(Atletas!D284="Juvenil 60kg",11,IF(Atletas!D284="Juvenil 65kg",12,IF(Atletas!D284="Juvenil 70kg",13,IF(Atletas!D284="Juvenil 75kg",14,IF(Atletas!D284="Juvenil 80kg",15,IF(Atletas!D284="Adulto 48kg",16,IF(Atletas!D284="Adulto 52kg",17,IF(Atletas!D284="Adulto 56kg",18,IF(Atletas!D284="Adulto 60kg",19,IF(Atletas!D284="Adulto 65kg",20,IF(Atletas!D284="Adulto 70kg",21,IF(Atletas!D284="Adulto 75kg",22,IF(Atletas!D284="Adulto 80kg",23,IF(Atletas!D284="Adulto 85kg",24,IF(Atletas!D284="Adulto 90kg",25,IF(Atletas!D284="Adulto +90kg",26,""))))))))))))))))))))))))))))</f>
        <v/>
      </c>
      <c r="AO288" s="10" t="str">
        <f>IF(Atletas!E284="","",IF(Atletas!B284="Feminino",100,IF(Atletas!B284="Masculino",200,""))+(IF(Atletas!E284="Juvenil 44kg",1,IF(Atletas!E284="Juvenil 48kg",2,IF(Atletas!E284="Juvenil 52kg",3,IF(Atletas!E284="Juvenil 56kg",4,IF(Atletas!E284="Juvenil 60kg",5,IF(Atletas!E284="Juvenil 65kg",6,IF(Atletas!E284="Juvenil 70kg",7,IF(Atletas!E284="Juvenil 75kg",8,IF(Atletas!E284="Juvenil 82kg",9,IF(Atletas!E284="Juvenil 90kg",10,IF(Atletas!E284="Juvenil 100kg",11,IF(Atletas!E284="Adulto 48kg",12,IF(Atletas!E284="Adulto 52kg",13,IF(Atletas!E284="Adulto 56kg",14,IF(Atletas!E284="Adulto 60kg",15,IF(Atletas!E284="Adulto 65kg",16,IF(Atletas!E284="Adulto 70kg",17,IF(Atletas!E284="Adulto 75kg",18,IF(Atletas!E284="Adulto 82kg",19,IF(Atletas!E284="Adulto 90kg",20,IF(Atletas!E284="Adulto 100kg",21,IF(Atletas!E284="Adulto +100kg",22,""))))))))))))))))))))))))</f>
        <v/>
      </c>
      <c r="AT288" s="10" t="str">
        <f>IF(Atletas!F284="","",IF(Atletas!B284="Feminino",100,IF(Atletas!B284="Masculino",200,""))+(IF(Atletas!F284="Adulto 48kg",1,IF(Atletas!F284="Adulto 56kg",2,IF(Atletas!F284="Adulto 65kg",3,IF(Atletas!F284="Adulto 75kg",4,IF(Atletas!F284="Adulto +75kg",5,IF(Atletas!F284="Adulto 52kg",6,IF(Atletas!F284="Adulto 60kg",7,IF(Atletas!F284="Adulto 70kg",8,IF(Atletas!F284="Adulto 80kg",9,IF(Atletas!F284="Adulto 90kg",10,IF(Atletas!F284="Adulto +90kg",11,"")))))))))))))</f>
        <v/>
      </c>
      <c r="AY288" s="46" t="str">
        <f>IF(Atletas!G284="","",IF(Atletas!B284="Feminino",100,IF(Atletas!B284="Masculino",200,""))+(IF(Atletas!G284="Changquan Mirim",1,IF(Atletas!G284="Nanquan Mirim",2,IF(Atletas!G284="Taijiquan Mirim",3,IF(Atletas!G284="Changquan Grupo C",4,IF(Atletas!G284="Nanquan Grupo C",5,IF(Atletas!G284="Taijiquan Grupo C",6,IF(Atletas!G284="Changquan Grupo B",7,IF(Atletas!G284="Nanquan Grupo B",8,IF(Atletas!G284="Taijiquan Grupo B",9,IF(Atletas!G284="Changquan Grupo A",10,IF(Atletas!G284="Nanquan Grupo A",11,IF(Atletas!G284="Taijiquan Grupo A",12,IF(Atletas!G284="Changquan Opcional",13,IF(Atletas!G284="Nanquan Opcional",14,IF(Atletas!G284="Taijiquan Opcional",15,IF(Atletas!G284="Changquan Adulto",16,IF(Atletas!G284="Nanquan Adulto",17,IF(Atletas!G284="Taijiquan Adulto",18,""))))))))))))))))))))</f>
        <v/>
      </c>
      <c r="AZ288" s="46" t="str">
        <f>IF(Atletas!H284="","",IF(Atletas!B284="Feminino",100,IF(Atletas!B284="Masculino",200,""))+(IF(Atletas!H284="Daoshu Mirim",19,IF(Atletas!H284="Jianshu Mirim",20,IF(Atletas!H284="Nandao Mirim",21,IF(Atletas!H284="Taijijian Mirim",22,IF(Atletas!H284="Daoshu Grupo C",23,IF(Atletas!H284="Jianshu Grupo C",24,IF(Atletas!H284="Nandao Grupo C",25,IF(Atletas!H284="Taijijian Grupo C",26,IF(Atletas!H284="Daoshu Grupo B",27,IF(Atletas!H284="Jianshu Grupo B",28,IF(Atletas!H284="Nandao Grupo B",29,IF(Atletas!H284="Taijijian Grupo B",30,IF(Atletas!H284="Daoshu Grupo A",31,IF(Atletas!H284="Jianshu Grupo A",32,IF(Atletas!H284="Nandao Grupo A",33,IF(Atletas!H284="Taijijian Grupo A",34,IF(Atletas!H284="Daoshu Opcional",35,IF(Atletas!H284="Jianshu Opcional",36,IF(Atletas!H284="Nandao Opcional",37,IF(Atletas!H284="Taijijian Opcional",38,IF(Atletas!H284="Daoshu Adulto",39,IF(Atletas!H284="Jianshu Adulto",40,IF(Atletas!H284="Nandao Adulto",41,IF(Atletas!H284="Taijijian Adulto",42,""))))))))))))))))))))))))))</f>
        <v/>
      </c>
      <c r="BA288" s="46" t="str">
        <f>IF(Atletas!I284="","",IF(Atletas!B284="Feminino",100,IF(Atletas!B284="Masculino",200,""))+(IF(Atletas!I284="Gunshu Mirim",43,IF(Atletas!I284="Qiangshu Mirim",44,IF(Atletas!I284="Nangun Mirim",45,IF(Atletas!I284="Gunshu Grupo C",46,IF(Atletas!I284="Qiangshu Grupo C",47,IF(Atletas!I284="Nangun Grupo C",48,IF(Atletas!I284="Gunshu Grupo B",49,IF(Atletas!I284="Qiangshu Grupo B",50,IF(Atletas!I284="Nangun Grupo B",51,IF(Atletas!I284="Gunshu Grupo A",52,IF(Atletas!I284="Qiangshu Grupo A",53,IF(Atletas!I284="Nangun Grupo A",54,IF(Atletas!I284="Gunshu Opcional",55,IF(Atletas!I284="Qiangshu Opcional",56,IF(Atletas!I284="Nangun Opcional",57,IF(Atletas!I284="Gunshu Adulto",58,IF(Atletas!I284="Qiangshu Adulto",59,IF(Atletas!I284="Nangun Adulto",60,""))))))))))))))))))))</f>
        <v/>
      </c>
      <c r="BF288" s="52" t="str">
        <f>IF(Atletas!J284="","",IF(Atletas!B284="Feminino",100,IF(Atletas!B284="Masculino",200,""))+(IF(Atletas!J284="Equipe 1 Grupo B",1,IF(Atletas!J284="Equipe 2 Grupo B",2,IF(Atletas!J284="Equipe 1 Grupo A",3,IF(Atletas!J284="Equipe 2 Grupo A",4,IF(Atletas!J284="Equipe 1 Adulto",5,IF(Atletas!J284="Equipe 2 Adulto",6,""))))))))</f>
        <v/>
      </c>
      <c r="BK288" s="52" t="str">
        <f>IF(Atletas!K284="","",IF(Atletas!W284&lt;&gt;"",10000,0)+(IF(Atletas!B284="Feminino",1000,IF(Atletas!B284="Masculino",2000,""))+IF(Atletas!K284="Choylayfut A",1,IF(Atletas!K284="Hunggar A",2,IF(Atletas!K284="Wuzuquan A",3,IF(Atletas!K284="Wingchun A",4,IF(Atletas!K284="Outra Mão de Sul A",5,IF(Atletas!K284="Choylayfut B",6,IF(Atletas!K284="Hunggar B",7,IF(Atletas!K284="Wuzuquan B",8,IF(Atletas!K284="Wingchun B",9,IF(Atletas!K284="Outra Mão de Sul B",10,IF(Atletas!K284="Choylayfut C",11,IF(Atletas!K284="Hunggar C",12,IF(Atletas!K284="Wuzuquan C",13,IF(Atletas!K284="Wingchun C",14,IF(Atletas!K284="Outra Mão de Sul C",15,IF(Atletas!K284="Choylayfut D",16,IF(Atletas!K284="Hunggar D",17,IF(Atletas!K284="Wuzuquan D",18,IF(Atletas!K284="Wingchun D",19,IF(Atletas!K284="Outra Mão de Sul D",20,IF(Atletas!K284="Choylayfut E",21,IF(Atletas!K284="Hunggar E",22,IF(Atletas!K284="Wuzuquan E",23,IF(Atletas!K284="Wingchun E",24,IF(Atletas!K284="Outra Mão de Sul E",25,IF(Atletas!K284="Choylayfut F",26,IF(Atletas!K284="Hunggar F",27,IF(Atletas!K284="Wuzuquan F",28,IF(Atletas!K284="Wingchun F",29,IF(Atletas!K284="Outra Mão de Sul F",30,""))))))))))))))))))))))))))))))))</f>
        <v/>
      </c>
      <c r="BL288" s="52" t="str">
        <f>IF(Atletas!L284="","",IF(Atletas!W284&lt;&gt;"",10000,0)+(IF(Atletas!B284="Feminino",1000,IF(Atletas!B284="Masculino",2000,""))+(IF(Atletas!L284="Chaquan A",101,IF(Atletas!L284="Emeiquan A",102,IF(Atletas!L284="Fanziquan A",103,IF(Atletas!L284="Huaquan A",104,IF(Atletas!L284="Hongquan A",105,IF(Atletas!L284="Paochui A",106,IF(Atletas!L284="Piguaquan A",107,IF(Atletas!L284="Shaolinquan A",108,IF(Atletas!L284="Tanglangquan A",109,IF(Atletas!L284="Yinzhaophai A",110,IF(Atletas!L284="Tongbeiquan A",111,IF(Atletas!L284="Wudangquan A",112,IF(Atletas!L284="Outros Estilos A",113,IF(Atletas!L284="Chaquan B",114,IF(Atletas!L284="Emeiquan B",115,IF(Atletas!L284="Fanziquan B",116,IF(Atletas!L284="Huaquan B",117,IF(Atletas!L284="Hongquan B",118,IF(Atletas!L284="Paochui B",119,IF(Atletas!L284="Piguaquan B",120,IF(Atletas!L284="Shaolinquan B",121,IF(Atletas!L284="Tanglangquan B",122,IF(Atletas!L284="Yinzhaophai B",123,IF(Atletas!L284="Tongbeiquan B",124,IF(Atletas!L284="Wudangquan B",125,IF(Atletas!L284="Outros Estilos B",126,IF(Atletas!L284="Chaquan C",127,IF(Atletas!L284="Emeiquan C",128,IF(Atletas!L284="Fanziquan C",129,IF(Atletas!L284="Huaquan C",130,IF(Atletas!L284="Hongquan C",131,IF(Atletas!L284="Paochui C",132,IF(Atletas!L284="Piguaquan C",133,IF(Atletas!L284="Shaolinquan C",134,IF(Atletas!L284="Tanglangquan C",135,IF(Atletas!L284="Yinzhaophai C",136,IF(Atletas!L284="Tongbeiquan C",137,IF(Atletas!L284="Wudangquan C",138,IF(Atletas!L284="Outros Estilos C",139,0))))))))))))))))))))))))))))))))))))))))))</f>
        <v/>
      </c>
      <c r="BM288" s="52" t="str">
        <f>IF(Atletas!L284="","",IF(Atletas!W284&lt;&gt;"",10000,0)+(IF(Atletas!B284="Feminino",1000,IF(Atletas!B284="Masculino",2000,""))+(IF(Atletas!L284="Chaquan D",140,IF(Atletas!L284="Emeiquan D",141,IF(Atletas!L284="Fanziquan D",142,IF(Atletas!L284="Huaquan D",143,IF(Atletas!L284="Hongquan D",144,IF(Atletas!L284="Paochui D",145,IF(Atletas!L284="Piguaquan D",146,IF(Atletas!L284="Shaolinquan D",147,IF(Atletas!L284="Tanglangquan D",148,IF(Atletas!L284="Yinzhaophai D",149,IF(Atletas!L284="Tongbeiquan D",150,IF(Atletas!L284="Wudangquan D",151,IF(Atletas!L284="Outros Estilos D",152,IF(Atletas!L284="Chaquan E",153,IF(Atletas!L284="Emeiquan E",154,IF(Atletas!L284="Fanziquan E",155,IF(Atletas!L284="Huaquan E",156,IF(Atletas!L284="Hongquan E",157,IF(Atletas!L284="Paochui E",158,IF(Atletas!L284="Piguaquan E",159,IF(Atletas!L284="Shaolinquan E",160,IF(Atletas!L284="Tanglangquan E",161,IF(Atletas!L284="Yinzhaophai E",162,IF(Atletas!L284="Tongbeiquan E",163,IF(Atletas!L284="Wudangquan E",164,IF(Atletas!L284="Outros Estilos E",165,IF(Atletas!L284="Chaquan F",166,IF(Atletas!L284="Emeiquan F",167,IF(Atletas!L284="Fanziquan F",168,IF(Atletas!L284="Huaquan F",169,IF(Atletas!L284="Hongquan F",170,IF(Atletas!L284="Paochui F",171,IF(Atletas!L284="Piguaquan F",172,IF(Atletas!L284="Shaolinquan F",173,IF(Atletas!L284="Tanglangquan F",174,IF(Atletas!L284="Yinzhaophai F",175,IF(Atletas!L284="Tongbeiquan F",176,IF(Atletas!L284="Wudangquan F",177,IF(Atletas!L284="Outros Estilos F",178,0))))))))))))))))))))))))))))))))))))))))))</f>
        <v/>
      </c>
      <c r="BN288" s="52" t="str">
        <f>IF(Atletas!M284="","",IF(Atletas!W284&lt;&gt;"",10000,0)+(IF(Atletas!B284="Feminino",1000,IF(Atletas!B284="Masculino",2000,""))+(IF(Atletas!M284="Ditangquan A",201,IF(Atletas!M284="Houquan A",202,IF(Atletas!M284="Zuiquan A",203,IF(Atletas!M284="Ditangquan B",204,IF(Atletas!M284="Houquan B",205,IF(Atletas!M284="Zuiquan B",206,IF(Atletas!M284="Ditangquan C",207,IF(Atletas!M284="Houquan C",208,IF(Atletas!M284="Zuiquan C",209,IF(Atletas!M284="Ditangquan D",210,IF(Atletas!M284="Houquan D",211,IF(Atletas!M284="Zuiquan D",212,IF(Atletas!M284="Ditangquan E",213,IF(Atletas!M284="Houquan E",214,IF(Atletas!M284="Zuiquan E",215,IF(Atletas!M284="Ditangquan F",216,IF(Atletas!M284="Houquan F",217,IF(Atletas!M284="Zuiquan F",218,"")))))))))))))))))))))</f>
        <v/>
      </c>
      <c r="BO288" s="52" t="str">
        <f>IF(Atletas!N284="","",IF(Atletas!W284&lt;&gt;"",10000,0)+IF(Atletas!B284="Feminino",1000,IF(Atletas!B284="Masculino",2000,""))+IF(Atletas!N284="Yang A",301,IF(Atletas!N284="Chen A",30,IF(Atletas!N284="Sun A",303,IF(Atletas!N284="Wu A",304,IF(Atletas!N284="Wu-Hao A",305,IF(Atletas!N284="Outro Taijiquan A",306,IF(Atletas!N284="Yang B",307,IF(Atletas!N284="Chen B",308,IF(Atletas!N284="Sun B",309,IF(Atletas!N284="Wu B",310,IF(Atletas!N284="Wu-Hao B",311,IF(Atletas!N284="Outro Taijiquan B",312,IF(Atletas!N284="Yang C",313,IF(Atletas!N284="Chen C",314,IF(Atletas!N284="Sun C",315,IF(Atletas!N284="Wu C",316,IF(Atletas!N284="Wu-Hao C",317,IF(Atletas!N284="Outro Taijiquan C",318,IF(Atletas!N284="Yang D",319,IF(Atletas!N284="Chen D",320,IF(Atletas!N284="Sun D",321,IF(Atletas!N284="Wu D",322,IF(Atletas!N284="Wu-Hao D",323,IF(Atletas!N284="Outro Taijiquan D",324,IF(Atletas!N284="Yang E",325,IF(Atletas!N284="Chen E",326,IF(Atletas!N284="Sun E",327,IF(Atletas!N284="Wu E",328,IF(Atletas!N284="Wu-Hao E",329,IF(Atletas!N284="Outro Taijiquan E",330,IF(Atletas!N284="Yang F",331,IF(Atletas!N284="Chen F",332,IF(Atletas!N284="Sun F",333,IF(Atletas!N284="Wu F",334,IF(Atletas!N284="Wu-Hao F",335,IF(Atletas!N284="Outro Taijiquan F",336,"")))))))))))))))))))))))))))))))))))))</f>
        <v/>
      </c>
      <c r="BP288" s="52" t="str">
        <f>IF(Atletas!O284="","",IF(Atletas!W284&lt;&gt;"",10000,0)+IF(Atletas!B284="Feminino",1000,IF(Atletas!B284="Masculino",2000,""))+IF(OR(Atletas!O284="Yang 26 A",Atletas!O284="Yang 40 A"),401,IF(OR(Atletas!O284="Chen 25 A",Atletas!O284="Chen 36 A",Atletas!O284="Chen 56 A"),402,IF(Atletas!O284="Sun 73 A",403,IF(Atletas!O284="Wu 45 A",404,IF(Atletas!O284="Wu-Hao 46 A",405,IF(OR(Atletas!O284="Taijiquan 16 A",Atletas!O284="Taijiquan 24 A",Atletas!O284="Taijiquan 32 A",Atletas!O284="Taijiquan 42 A"),406,IF(OR(Atletas!O284="Yang 26 B",Atletas!O284="Yang 40 B"),407,IF(OR(Atletas!O284="Chen 25 B",Atletas!O284="Chen 36 B",Atletas!O284="Chen 56 B"),408,IF(Atletas!O284="Sun 73 B",409,IF(Atletas!O284="Wu 45 B",410,IF(Atletas!O284="Wu-Hao 46 B",411,IF(OR(Atletas!O284="Taijiquan 16 B",Atletas!O284="Taijiquan 24 B",Atletas!O284="Taijiquan 32 B",Atletas!O284="Taijiquan 42 B"),412,IF(OR(Atletas!O284="Yang 26 C",Atletas!O284="Yang 40 C"),413,IF(OR(Atletas!O284="Chen 25 C",Atletas!O284="Chen 36 C",Atletas!O284="Chen 56 C"),414,IF(Atletas!O284="Sun 73 C",415,IF(Atletas!O284="Wu 45 C",416,IF(Atletas!O284="Wu-Hao 46 C",417,IF(OR(Atletas!O284="Taijiquan 16 C",Atletas!O284="Taijiquan 24 C",Atletas!O284="Taijiquan 32 C",Atletas!O284="Taijiquan 42 C"),418,0)))))))))))))))))))</f>
        <v/>
      </c>
      <c r="BQ288" s="52" t="str">
        <f>IF(Atletas!O284="","",IF(Atletas!W284&lt;&gt;"",10000,0)+IF(Atletas!B284="Feminino",1000,IF(Atletas!B284="Masculino",2000,""))+IF(OR(Atletas!O284="Yang 26 D",Atletas!O284="Yang 40 D"),419,IF(OR(Atletas!O284="Chen 25 D",Atletas!O284="Chen 36 D",Atletas!O284="Chen 56 D"),420,IF(Atletas!O284="Sun 73 D",421,IF(Atletas!O284="Wu 45 D",422,IF(Atletas!O284="Wu-Hao 46 D",423,IF(OR(Atletas!O284="Taijiquan 16 D",Atletas!O284="Taijiquan 24 D",Atletas!O284="Taijiquan 32 D",Atletas!O284="Taijiquan 42 D"),424,IF(OR(Atletas!O284="Yang 26 E",Atletas!O284="Yang 40 E"),425,IF(OR(Atletas!O284="Chen 25 E",Atletas!O284="Chen 36 E",Atletas!O284="Chen 56 E"),426,IF(Atletas!O284="Sun 73 E",427,IF(Atletas!O284="Wu 45 E",428,IF(Atletas!O284="Wu-Hao 46 E",429,IF(OR(Atletas!O284="Taijiquan 16 E",Atletas!O284="Taijiquan 24 E",Atletas!O284="Taijiquan 32 E",Atletas!O284="Taijiquan 42 E"),430,IF(OR(Atletas!O284="Yang 26 F",Atletas!O284="Yang 40 F"),431,IF(OR(Atletas!O284="Chen 25 F",Atletas!O284="Chen 36 F",Atletas!O284="Chen 56 F"),432,IF(Atletas!O284="Sun 73 F",433,IF(Atletas!O284="Wu 45 F",434,IF(Atletas!O284="Wu-Hao 46 F",435,IF(OR(Atletas!O284="Taijiquan 16 F",Atletas!O284="Taijiquan 24 F",Atletas!O284="Taijiquan 32 F",Atletas!O284="Taijiquan 42 F"),436,0)))))))))))))))))))</f>
        <v/>
      </c>
      <c r="BR288" s="52" t="str">
        <f>IF(Atletas!P284="","",IF(Atletas!W284&lt;&gt;"",10000,0)+IF(Atletas!B284="Feminino",1000,IF(Atletas!B284="Masculino",2000,""))+IF(Atletas!P284="Xingyiquan A",501,IF(Atletas!P284="Baguazhang A",502,IF(Atletas!P284="Outro Estilo Interno A",503,IF(Atletas!P284="Xingyiquan B",504,IF(Atletas!P284="Baguazhang B",505,IF(Atletas!P284="Outro Estilo Interno B",506,IF(Atletas!P284="Xingyiquan C",507,IF(Atletas!P284="Baguazhang C",508,IF(Atletas!P284="Outro Estilo Interno C",509,IF(Atletas!P284="Xingyiquan D",510,IF(Atletas!P284="Baguazhang D",511,IF(Atletas!P284="Outro Estilo Interno D",512,IF(Atletas!P284="Xingyiquan E",513,IF(Atletas!P284="Baguazhang E",514,IF(Atletas!P284="Outro Estilo Interno E",515,IF(Atletas!P284="Xingyiquan F",516,IF(Atletas!P284="Baguazhang F",517,IF(Atletas!P284="Outro Estilo Interno F",518, "")))))))))))))))))))</f>
        <v/>
      </c>
      <c r="BS288" s="52" t="str">
        <f>IF(Atletas!Q284="","",IF(Atletas!W284&lt;&gt;"",10000,0)+IF(Atletas!B284="Feminino",1000,IF(Atletas!B284="Masculino",2000,""))+IF(Atletas!Q284="Dao A",601,IF(Atletas!Q284="Jian A",602,IF(Atletas!Q284="Bishou A",603,IF(Atletas!Q284="Shan A",604,IF(Atletas!Q284="Outra Arma Curta A",605,IF(Atletas!Q284="Dao B",606,IF(Atletas!Q284="Jian B",607,IF(Atletas!Q284="Bishou B",608,IF(Atletas!Q284="Shan B",609,IF(Atletas!Q284="Outra Arma Curta B",610,IF(Atletas!Q284="Dao C",611,IF(Atletas!Q284="Jian C",612,IF(Atletas!Q284="Bishou C",613,IF(Atletas!Q284="Shan C",614,IF(Atletas!Q284="Outra Arma Curta C",615,IF(Atletas!Q284="Dao D",616,IF(Atletas!Q284="Jian D",617,IF(Atletas!Q284="Bishou D",618,IF(Atletas!Q284="Shan D",619,IF(Atletas!Q284="Outra Arma Curta D",620,IF(Atletas!Q284="Dao E",621,IF(Atletas!Q284="Jian E",622,IF(Atletas!Q284="Bishou E",623,IF(Atletas!Q284="Shan E",624,IF(Atletas!Q284="Outra Arma Curta E",625,IF(Atletas!Q284="Dao F",626,IF(Atletas!Q284="Jian F",627,IF(Atletas!Q284="Bishou F",628,IF(Atletas!Q284="Shan F",629,IF(Atletas!Q284="Outra Arma Curta F",630, "")))))))))))))))))))))))))))))))</f>
        <v/>
      </c>
      <c r="BT288" s="52" t="str">
        <f>IF(Atletas!R284="","",IF(Atletas!W284&lt;&gt;"",10000,0)+IF(Atletas!B284="Feminino",1000,IF(Atletas!B284="Masculino",2000,""))+IF(Atletas!R284="Gun A",701,IF(Atletas!R284="Qiang A",702,IF(Atletas!R284="Pudao / Guandao A",703,IF(Atletas!R284="Outra Arma Longa A",704,IF(Atletas!R284="Gun B",705,IF(Atletas!R284="Qiang B",706,IF(Atletas!R284="Pudao / Guandao B",707,IF(Atletas!R284="Outra Arma Longa B",708,IF(Atletas!R284="Gun C",709,IF(Atletas!R284="Qiang C",710,IF(Atletas!R284="Pudao / Guandao C",711,IF(Atletas!R284="Outra Arma Longa C",712,IF(Atletas!R284="Gun D",713,IF(Atletas!R284="Qiang D",714,IF(Atletas!R284="Pudao / Guandao D",715,IF(Atletas!R284="Outra Arma Longa D",716,IF(Atletas!R284="Gun E",717,IF(Atletas!R284="Qiang E",718,IF(Atletas!R284="Pudao / Guandao E",719,IF(Atletas!R284="Outra Arma Longa E",720,IF(Atletas!R284="Gun F",721,IF(Atletas!R284="Qiang F",722,IF(Atletas!R284="Pudao / Guandao F",723,IF(Atletas!R284="Outra Arma Longa F",724,"")))))))))))))))))))))))))</f>
        <v/>
      </c>
      <c r="BU288" s="52" t="str">
        <f>IF(Atletas!S284="","",IF(Atletas!W284&lt;&gt;"",10000,0)+IF(Atletas!B284="Feminino",1000,IF(Atletas!B284="Masculino",2000,""))+IF(Atletas!S284="Arma Dupla A",801,IF(Atletas!S284="Arma Maleável A",802,IF(Atletas!S284="Arma Dupla B",803,IF(Atletas!S284="Arma Maleável B",804,IF(Atletas!S284="Arma Dupla C",805,IF(Atletas!S284="Arma Maleável C",806,IF(Atletas!S284="Arma Dupla D",807,IF(Atletas!S284="Arma Maleável D",808,IF(Atletas!S284="Arma Dupla E",809,IF(Atletas!S284="Arma Maleável E",810,IF(Atletas!S284="Arma Dupla F",811,IF(Atletas!S284="Arma Maleável F",812, "")))))))))))))</f>
        <v/>
      </c>
      <c r="BV288" s="52" t="str">
        <f>IF(Atletas!T284="","",IF(Atletas!W284&lt;&gt;"",10000,0)+IF(Atletas!B284="Feminino",1000,IF(Atletas!B284="Masculino",2000,""))+IF(Atletas!T284="Taijijian Yang A",901,IF(Atletas!T284="Taijijian Chen A",902,IF(Atletas!T284="Taijijian Sun A",903,IF(Atletas!T284="Taijijian Wu A",904,IF(Atletas!T284="Taijijian Wu-Hao A",905,IF(Atletas!T284="Taijijian 32 A",906,IF(Atletas!T284="Taijijian 42 A",907,IF(Atletas!T284="Taijijian Yang B",908,IF(Atletas!T284="Taijijian Chen B",909,IF(Atletas!T284="Taijijian Sun B",910,IF(Atletas!T284="Taijijian Wu B",911,IF(Atletas!T284="Taijijian Wu-Hao B",912,IF(Atletas!T284="Taijijian 32 B",913,IF(Atletas!T284="Taijijian 42 B",914,IF(Atletas!T284="Taijijian Yang C",915,IF(Atletas!T284="Taijijian Chen C",916,IF(Atletas!T284="Taijijian Sun C",917,IF(Atletas!T284="Taijijian Wu C",918,IF(Atletas!T284="Taijijian Wu-Hao C",919,IF(Atletas!T284="Taijijian 32 C",920,IF(Atletas!T284="Taijijian 42 C",921,IF(Atletas!T284="Taijijian Yang D",922,IF(Atletas!T284="Taijijian Chen D",923,IF(Atletas!T284="Taijijian Sun D",924,IF(Atletas!T284="Taijijian Wu D",925,IF(Atletas!T284="Taijijian Wu-Hao D",926,IF(Atletas!T284="Taijijian 32 D",927,IF(Atletas!T284="Taijijian 42 D",928,IF(Atletas!T284="Taijijian Yang E",929,IF(Atletas!T284="Taijijian Chen E",930,IF(Atletas!T284="Taijijian Sun E",931,IF(Atletas!T284="Taijijian Wu E",932,IF(Atletas!T284="Taijijian Wu-Hao E",933,IF(Atletas!T284="Taijijian 32 E",934,IF(Atletas!T284="Taijijian 42 E",935,IF(Atletas!T284="Taijijian Yang F",936,IF(Atletas!T284="Taijijian Chen F",937,IF(Atletas!T284="Taijijian Sun F",938,IF(Atletas!T284="Taijijian Wu F",939,IF(Atletas!T284="Taijijian Wu-Hao F",940,IF(Atletas!T284="Taijijian 32 F",941,IF(Atletas!T284="Taijijian 42 F",942,"")))))))))))))))))))))))))))))))))))))))))))</f>
        <v/>
      </c>
      <c r="BW288" s="52" t="str">
        <f>IF(Atletas!U284="","",IF(Atletas!W284&lt;&gt;"",10000,0)+IF(Atletas!B284="Feminino",1000,IF(Atletas!B284="Masculino",2000,""))+IF(Atletas!T284="Taijijian 42 F",942,IF(Atletas!U284="Taijidao A",943,IF(Atletas!U284="Taijishan A",944,IF(Atletas!U284="Taijiqiang A",945,IF(Atletas!U284="Taijidao B",946,IF(Atletas!U284="Taijishan B",947,IF(Atletas!U284="Taijiqiang B",948,IF(Atletas!U284="Taijidao C",949,IF(Atletas!U284="Taijishan C",950,IF(Atletas!U284="Taijiqiang C",951,IF(Atletas!U284="Taijidao D",952,IF(Atletas!U284="Taijishan D",953,IF(Atletas!U284="Taijiqiang D",954,IF(Atletas!U284="Taijidao E",955,IF(Atletas!U284="Taijishan E",956,IF(Atletas!U284="Taijiqiang E",957,IF(Atletas!U284="Taijidao F",958,IF(Atletas!U284="Taijishan F",959,IF(Atletas!U284="Taijiqiang F",960))))))))))))))))))))</f>
        <v/>
      </c>
      <c r="BX288" s="72" t="str">
        <f>IF(BY288&lt;&gt;"","Arma Maleável F","")</f>
        <v/>
      </c>
      <c r="BY288" s="72" t="str">
        <f>IF(COUNTIF(BK:BW,1812)&gt;0,COUNTIF(BK:BW,1812),"")</f>
        <v/>
      </c>
      <c r="BZ288" s="72" t="str">
        <f>IF(CA288&lt;&gt;"","Arma Maleável F","")</f>
        <v/>
      </c>
      <c r="CA288" s="72" t="str">
        <f>IF(COUNTIF(BK:BW,2812)&gt;0,COUNTIF(BK:BW,2812),"")</f>
        <v/>
      </c>
      <c r="CB288" s="72" t="str">
        <f>IF(CC288&lt;&gt;"","Dao B","")</f>
        <v/>
      </c>
      <c r="CC288" s="64" t="str">
        <f>IF(COUNTIF(BK:BW,11606)&gt;0,COUNTIF(BK:BW,11606),"")</f>
        <v/>
      </c>
      <c r="CD288" s="64" t="str">
        <f>IF(CE288&lt;&gt;"","Dao B","")</f>
        <v/>
      </c>
      <c r="CE288" s="64" t="str">
        <f>IF(COUNTIF(BK:BW,12606)&gt;0,COUNTIF(BK:BW,12606),"")</f>
        <v/>
      </c>
      <c r="CF288" s="52" t="str">
        <f xml:space="preserve"> IF(Atletas!V284="","",IF(Atletas!V284="Duilian de Mãos AB - Equipe 1",1,IF(Atletas!V284="Duilian de Mãos AB - Equipe 2",2,IF(Atletas!V284="Duilian de Armas AB - Equipe 1",3,IF(Atletas!V284="Duilian de Armas AB - Equipe 2",4,IF(Atletas!V284="Duilian de Tuishou - Equipe 1",5,IF(Atletas!V284="Duilian de Tuishou - Equipe 2",6,IF(Atletas!V284="Grupo Externo AB - Equipe 1",7,IF(Atletas!V284="Grupo Externo AB - Equipe 2",8,IF(Atletas!V284="Grupo Interno AB - Equipe 1",9,IF(Atletas!V284="Grupo Interno AB - Equipe 2",10,IF(Atletas!V284="Duilian de Mãos CD - Equipe 1",11,IF(Atletas!V284="Duilian de Mãos CD - Equipe 2",12,IF(Atletas!V284="Duilian de Armas CD - Equipe 1",13,IF(Atletas!V284="Duilian de Armas CD - Equipe 2",14,IF(Atletas!V284="Duilian de Tuishou - Equipe 1",15,IF(Atletas!V284="Duilian de Tuishou - Equipe 2",16,IF(Atletas!V284="Grupo Externo CDEF - Equipe 1",17,IF(Atletas!V284="Grupo Externo CDEF - Equipe 2",18,IF(Atletas!V284="Grupo Interno CDEF - Equipe 1",19,IF(Atletas!V284="Grupo Interno CDEF - Equipe 2",20,IF(Atletas!V284="Duilian de Mãos EF - Equipe 1",21,IF(Atletas!V284="Duilian de Mãos EF - Equipe 2",22,IF(Atletas!V284="Duilian de Armas EF - Equipe 1",23,IF(Atletas!V284="Duilian de Armas EF - Equipe 2",24,IF(Atletas!V284="Duilian de Tuishou - Equipe 1",25,IF(Atletas!V284="Duilian de Tuishou - Equipe 2",26,"")))))))))))))))))))))))))))</f>
        <v/>
      </c>
    </row>
    <row r="289" spans="2:84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 t="str">
        <f t="array" ref="V289">IFERROR(INDEX(BX$7:BX$336,SMALL(IF(BX$7:BX$336&lt;&gt;"",ROW(BX$7:BX$336)-ROW(BX$7)+1),ROWS(BX$7:BX246))),"")</f>
        <v/>
      </c>
      <c r="W289" s="4" t="str">
        <f t="array" ref="W289">IFERROR(INDEX(BY$7:BY$336,SMALL(IF(BY$7:BY$336&lt;&gt;"",ROW(BY$7:BY$336)-ROW(BY$7)+1),ROWS(BY$7:BY246))),"")</f>
        <v/>
      </c>
      <c r="X289" s="4" t="str">
        <f t="array" ref="X289">IFERROR(INDEX(BZ$7:BZ$336,SMALL(IF(BZ$7:BZ$336&lt;&gt;"",ROW(BZ$7:BZ$336)-ROW(BZ$7)+1),ROWS(BZ$7:BZ246))),"")</f>
        <v/>
      </c>
      <c r="Y289" s="4" t="str">
        <f t="array" ref="Y289">IFERROR(INDEX(CA$7:CA$336,SMALL(IF(CA$7:CA$336&lt;&gt;"",ROW(CA$7:CA$336)-ROW(CA$7)+1),ROWS(CA$7:CA246))),"")</f>
        <v/>
      </c>
      <c r="Z289" s="4" t="str">
        <f t="array" ref="Z289">IFERROR(INDEX(CB$7:CB$378,SMALL(IF(CB$7:CB$378&lt;&gt;"",ROW(CB$7:CB$378)-ROW(CB$7)+1),ROWS(CB$7:CB288))),"")</f>
        <v/>
      </c>
      <c r="AA289" s="4" t="str">
        <f t="array" ref="AA289">IFERROR(INDEX(CC$7:CC$378,SMALL(IF(CC$7:CC$378&lt;&gt;"",ROW(CC$7:CC$378)-ROW(CC$7)+1),ROWS(CC$7:CC288))),"")</f>
        <v/>
      </c>
      <c r="AB289" s="4" t="str">
        <f t="array" ref="AB289">IFERROR(INDEX(CD$7:CD$378,SMALL(IF(CD$7:CD$378&lt;&gt;"",ROW(CD$7:CD$378)-ROW(CD$7)+1),ROWS(CD$7:CD288))),"")</f>
        <v/>
      </c>
      <c r="AC289" s="4" t="str">
        <f t="array" ref="AC289">IFERROR(INDEX(CE$7:CE$378,SMALL(IF(CE$7:CE$378&lt;&gt;"",ROW(CE$7:CE$378)-ROW(CE$7)+1),ROWS(CE$7:CE288))),"")</f>
        <v/>
      </c>
      <c r="AD289" s="4"/>
      <c r="AE289" s="4"/>
      <c r="AF289" s="4"/>
      <c r="AG289" s="4"/>
      <c r="AH289" s="4"/>
      <c r="AI289" s="4"/>
      <c r="AJ289" s="46" t="str">
        <f>IF(Atletas!D285="","",IF(Atletas!B285="Feminino",100,IF(Atletas!B285="Masculino",200,""))+(IF(Atletas!D285="Infantil 39kg",1,IF(Atletas!D285="Infantil 42kg",2,IF(Atletas!D285="Infantil 45kg",3,IF(Atletas!D285="Infantil 48kg",4,IF(Atletas!D285="Infantil 52kg",5,IF(Atletas!D285="Infantil 56kg",6,IF(Atletas!D285="Infantil 60kg",7,IF(Atletas!D285="Juvenil 48kg",8,IF(Atletas!D285="Juvenil 52kg",9,IF(Atletas!D285="Juvenil 56kg",10,IF(Atletas!D285="Juvenil 60kg",11,IF(Atletas!D285="Juvenil 65kg",12,IF(Atletas!D285="Juvenil 70kg",13,IF(Atletas!D285="Juvenil 75kg",14,IF(Atletas!D285="Juvenil 80kg",15,IF(Atletas!D285="Adulto 48kg",16,IF(Atletas!D285="Adulto 52kg",17,IF(Atletas!D285="Adulto 56kg",18,IF(Atletas!D285="Adulto 60kg",19,IF(Atletas!D285="Adulto 65kg",20,IF(Atletas!D285="Adulto 70kg",21,IF(Atletas!D285="Adulto 75kg",22,IF(Atletas!D285="Adulto 80kg",23,IF(Atletas!D285="Adulto 85kg",24,IF(Atletas!D285="Adulto 90kg",25,IF(Atletas!D285="Adulto +90kg",26,""))))))))))))))))))))))))))))</f>
        <v/>
      </c>
      <c r="AO289" s="10" t="str">
        <f>IF(Atletas!E285="","",IF(Atletas!B285="Feminino",100,IF(Atletas!B285="Masculino",200,""))+(IF(Atletas!E285="Juvenil 44kg",1,IF(Atletas!E285="Juvenil 48kg",2,IF(Atletas!E285="Juvenil 52kg",3,IF(Atletas!E285="Juvenil 56kg",4,IF(Atletas!E285="Juvenil 60kg",5,IF(Atletas!E285="Juvenil 65kg",6,IF(Atletas!E285="Juvenil 70kg",7,IF(Atletas!E285="Juvenil 75kg",8,IF(Atletas!E285="Juvenil 82kg",9,IF(Atletas!E285="Juvenil 90kg",10,IF(Atletas!E285="Juvenil 100kg",11,IF(Atletas!E285="Adulto 48kg",12,IF(Atletas!E285="Adulto 52kg",13,IF(Atletas!E285="Adulto 56kg",14,IF(Atletas!E285="Adulto 60kg",15,IF(Atletas!E285="Adulto 65kg",16,IF(Atletas!E285="Adulto 70kg",17,IF(Atletas!E285="Adulto 75kg",18,IF(Atletas!E285="Adulto 82kg",19,IF(Atletas!E285="Adulto 90kg",20,IF(Atletas!E285="Adulto 100kg",21,IF(Atletas!E285="Adulto +100kg",22,""))))))))))))))))))))))))</f>
        <v/>
      </c>
      <c r="AT289" s="10" t="str">
        <f>IF(Atletas!F285="","",IF(Atletas!B285="Feminino",100,IF(Atletas!B285="Masculino",200,""))+(IF(Atletas!F285="Adulto 48kg",1,IF(Atletas!F285="Adulto 56kg",2,IF(Atletas!F285="Adulto 65kg",3,IF(Atletas!F285="Adulto 75kg",4,IF(Atletas!F285="Adulto +75kg",5,IF(Atletas!F285="Adulto 52kg",6,IF(Atletas!F285="Adulto 60kg",7,IF(Atletas!F285="Adulto 70kg",8,IF(Atletas!F285="Adulto 80kg",9,IF(Atletas!F285="Adulto 90kg",10,IF(Atletas!F285="Adulto +90kg",11,"")))))))))))))</f>
        <v/>
      </c>
      <c r="AY289" s="46" t="str">
        <f>IF(Atletas!G285="","",IF(Atletas!B285="Feminino",100,IF(Atletas!B285="Masculino",200,""))+(IF(Atletas!G285="Changquan Mirim",1,IF(Atletas!G285="Nanquan Mirim",2,IF(Atletas!G285="Taijiquan Mirim",3,IF(Atletas!G285="Changquan Grupo C",4,IF(Atletas!G285="Nanquan Grupo C",5,IF(Atletas!G285="Taijiquan Grupo C",6,IF(Atletas!G285="Changquan Grupo B",7,IF(Atletas!G285="Nanquan Grupo B",8,IF(Atletas!G285="Taijiquan Grupo B",9,IF(Atletas!G285="Changquan Grupo A",10,IF(Atletas!G285="Nanquan Grupo A",11,IF(Atletas!G285="Taijiquan Grupo A",12,IF(Atletas!G285="Changquan Opcional",13,IF(Atletas!G285="Nanquan Opcional",14,IF(Atletas!G285="Taijiquan Opcional",15,IF(Atletas!G285="Changquan Adulto",16,IF(Atletas!G285="Nanquan Adulto",17,IF(Atletas!G285="Taijiquan Adulto",18,""))))))))))))))))))))</f>
        <v/>
      </c>
      <c r="AZ289" s="46" t="str">
        <f>IF(Atletas!H285="","",IF(Atletas!B285="Feminino",100,IF(Atletas!B285="Masculino",200,""))+(IF(Atletas!H285="Daoshu Mirim",19,IF(Atletas!H285="Jianshu Mirim",20,IF(Atletas!H285="Nandao Mirim",21,IF(Atletas!H285="Taijijian Mirim",22,IF(Atletas!H285="Daoshu Grupo C",23,IF(Atletas!H285="Jianshu Grupo C",24,IF(Atletas!H285="Nandao Grupo C",25,IF(Atletas!H285="Taijijian Grupo C",26,IF(Atletas!H285="Daoshu Grupo B",27,IF(Atletas!H285="Jianshu Grupo B",28,IF(Atletas!H285="Nandao Grupo B",29,IF(Atletas!H285="Taijijian Grupo B",30,IF(Atletas!H285="Daoshu Grupo A",31,IF(Atletas!H285="Jianshu Grupo A",32,IF(Atletas!H285="Nandao Grupo A",33,IF(Atletas!H285="Taijijian Grupo A",34,IF(Atletas!H285="Daoshu Opcional",35,IF(Atletas!H285="Jianshu Opcional",36,IF(Atletas!H285="Nandao Opcional",37,IF(Atletas!H285="Taijijian Opcional",38,IF(Atletas!H285="Daoshu Adulto",39,IF(Atletas!H285="Jianshu Adulto",40,IF(Atletas!H285="Nandao Adulto",41,IF(Atletas!H285="Taijijian Adulto",42,""))))))))))))))))))))))))))</f>
        <v/>
      </c>
      <c r="BA289" s="46" t="str">
        <f>IF(Atletas!I285="","",IF(Atletas!B285="Feminino",100,IF(Atletas!B285="Masculino",200,""))+(IF(Atletas!I285="Gunshu Mirim",43,IF(Atletas!I285="Qiangshu Mirim",44,IF(Atletas!I285="Nangun Mirim",45,IF(Atletas!I285="Gunshu Grupo C",46,IF(Atletas!I285="Qiangshu Grupo C",47,IF(Atletas!I285="Nangun Grupo C",48,IF(Atletas!I285="Gunshu Grupo B",49,IF(Atletas!I285="Qiangshu Grupo B",50,IF(Atletas!I285="Nangun Grupo B",51,IF(Atletas!I285="Gunshu Grupo A",52,IF(Atletas!I285="Qiangshu Grupo A",53,IF(Atletas!I285="Nangun Grupo A",54,IF(Atletas!I285="Gunshu Opcional",55,IF(Atletas!I285="Qiangshu Opcional",56,IF(Atletas!I285="Nangun Opcional",57,IF(Atletas!I285="Gunshu Adulto",58,IF(Atletas!I285="Qiangshu Adulto",59,IF(Atletas!I285="Nangun Adulto",60,""))))))))))))))))))))</f>
        <v/>
      </c>
      <c r="BF289" s="52" t="str">
        <f>IF(Atletas!J285="","",IF(Atletas!B285="Feminino",100,IF(Atletas!B285="Masculino",200,""))+(IF(Atletas!J285="Equipe 1 Grupo B",1,IF(Atletas!J285="Equipe 2 Grupo B",2,IF(Atletas!J285="Equipe 1 Grupo A",3,IF(Atletas!J285="Equipe 2 Grupo A",4,IF(Atletas!J285="Equipe 1 Adulto",5,IF(Atletas!J285="Equipe 2 Adulto",6,""))))))))</f>
        <v/>
      </c>
      <c r="BK289" s="52" t="str">
        <f>IF(Atletas!K285="","",IF(Atletas!W285&lt;&gt;"",10000,0)+(IF(Atletas!B285="Feminino",1000,IF(Atletas!B285="Masculino",2000,""))+IF(Atletas!K285="Choylayfut A",1,IF(Atletas!K285="Hunggar A",2,IF(Atletas!K285="Wuzuquan A",3,IF(Atletas!K285="Wingchun A",4,IF(Atletas!K285="Outra Mão de Sul A",5,IF(Atletas!K285="Choylayfut B",6,IF(Atletas!K285="Hunggar B",7,IF(Atletas!K285="Wuzuquan B",8,IF(Atletas!K285="Wingchun B",9,IF(Atletas!K285="Outra Mão de Sul B",10,IF(Atletas!K285="Choylayfut C",11,IF(Atletas!K285="Hunggar C",12,IF(Atletas!K285="Wuzuquan C",13,IF(Atletas!K285="Wingchun C",14,IF(Atletas!K285="Outra Mão de Sul C",15,IF(Atletas!K285="Choylayfut D",16,IF(Atletas!K285="Hunggar D",17,IF(Atletas!K285="Wuzuquan D",18,IF(Atletas!K285="Wingchun D",19,IF(Atletas!K285="Outra Mão de Sul D",20,IF(Atletas!K285="Choylayfut E",21,IF(Atletas!K285="Hunggar E",22,IF(Atletas!K285="Wuzuquan E",23,IF(Atletas!K285="Wingchun E",24,IF(Atletas!K285="Outra Mão de Sul E",25,IF(Atletas!K285="Choylayfut F",26,IF(Atletas!K285="Hunggar F",27,IF(Atletas!K285="Wuzuquan F",28,IF(Atletas!K285="Wingchun F",29,IF(Atletas!K285="Outra Mão de Sul F",30,""))))))))))))))))))))))))))))))))</f>
        <v/>
      </c>
      <c r="BL289" s="52" t="str">
        <f>IF(Atletas!L285="","",IF(Atletas!W285&lt;&gt;"",10000,0)+(IF(Atletas!B285="Feminino",1000,IF(Atletas!B285="Masculino",2000,""))+(IF(Atletas!L285="Chaquan A",101,IF(Atletas!L285="Emeiquan A",102,IF(Atletas!L285="Fanziquan A",103,IF(Atletas!L285="Huaquan A",104,IF(Atletas!L285="Hongquan A",105,IF(Atletas!L285="Paochui A",106,IF(Atletas!L285="Piguaquan A",107,IF(Atletas!L285="Shaolinquan A",108,IF(Atletas!L285="Tanglangquan A",109,IF(Atletas!L285="Yinzhaophai A",110,IF(Atletas!L285="Tongbeiquan A",111,IF(Atletas!L285="Wudangquan A",112,IF(Atletas!L285="Outros Estilos A",113,IF(Atletas!L285="Chaquan B",114,IF(Atletas!L285="Emeiquan B",115,IF(Atletas!L285="Fanziquan B",116,IF(Atletas!L285="Huaquan B",117,IF(Atletas!L285="Hongquan B",118,IF(Atletas!L285="Paochui B",119,IF(Atletas!L285="Piguaquan B",120,IF(Atletas!L285="Shaolinquan B",121,IF(Atletas!L285="Tanglangquan B",122,IF(Atletas!L285="Yinzhaophai B",123,IF(Atletas!L285="Tongbeiquan B",124,IF(Atletas!L285="Wudangquan B",125,IF(Atletas!L285="Outros Estilos B",126,IF(Atletas!L285="Chaquan C",127,IF(Atletas!L285="Emeiquan C",128,IF(Atletas!L285="Fanziquan C",129,IF(Atletas!L285="Huaquan C",130,IF(Atletas!L285="Hongquan C",131,IF(Atletas!L285="Paochui C",132,IF(Atletas!L285="Piguaquan C",133,IF(Atletas!L285="Shaolinquan C",134,IF(Atletas!L285="Tanglangquan C",135,IF(Atletas!L285="Yinzhaophai C",136,IF(Atletas!L285="Tongbeiquan C",137,IF(Atletas!L285="Wudangquan C",138,IF(Atletas!L285="Outros Estilos C",139,0))))))))))))))))))))))))))))))))))))))))))</f>
        <v/>
      </c>
      <c r="BM289" s="52" t="str">
        <f>IF(Atletas!L285="","",IF(Atletas!W285&lt;&gt;"",10000,0)+(IF(Atletas!B285="Feminino",1000,IF(Atletas!B285="Masculino",2000,""))+(IF(Atletas!L285="Chaquan D",140,IF(Atletas!L285="Emeiquan D",141,IF(Atletas!L285="Fanziquan D",142,IF(Atletas!L285="Huaquan D",143,IF(Atletas!L285="Hongquan D",144,IF(Atletas!L285="Paochui D",145,IF(Atletas!L285="Piguaquan D",146,IF(Atletas!L285="Shaolinquan D",147,IF(Atletas!L285="Tanglangquan D",148,IF(Atletas!L285="Yinzhaophai D",149,IF(Atletas!L285="Tongbeiquan D",150,IF(Atletas!L285="Wudangquan D",151,IF(Atletas!L285="Outros Estilos D",152,IF(Atletas!L285="Chaquan E",153,IF(Atletas!L285="Emeiquan E",154,IF(Atletas!L285="Fanziquan E",155,IF(Atletas!L285="Huaquan E",156,IF(Atletas!L285="Hongquan E",157,IF(Atletas!L285="Paochui E",158,IF(Atletas!L285="Piguaquan E",159,IF(Atletas!L285="Shaolinquan E",160,IF(Atletas!L285="Tanglangquan E",161,IF(Atletas!L285="Yinzhaophai E",162,IF(Atletas!L285="Tongbeiquan E",163,IF(Atletas!L285="Wudangquan E",164,IF(Atletas!L285="Outros Estilos E",165,IF(Atletas!L285="Chaquan F",166,IF(Atletas!L285="Emeiquan F",167,IF(Atletas!L285="Fanziquan F",168,IF(Atletas!L285="Huaquan F",169,IF(Atletas!L285="Hongquan F",170,IF(Atletas!L285="Paochui F",171,IF(Atletas!L285="Piguaquan F",172,IF(Atletas!L285="Shaolinquan F",173,IF(Atletas!L285="Tanglangquan F",174,IF(Atletas!L285="Yinzhaophai F",175,IF(Atletas!L285="Tongbeiquan F",176,IF(Atletas!L285="Wudangquan F",177,IF(Atletas!L285="Outros Estilos F",178,0))))))))))))))))))))))))))))))))))))))))))</f>
        <v/>
      </c>
      <c r="BN289" s="52" t="str">
        <f>IF(Atletas!M285="","",IF(Atletas!W285&lt;&gt;"",10000,0)+(IF(Atletas!B285="Feminino",1000,IF(Atletas!B285="Masculino",2000,""))+(IF(Atletas!M285="Ditangquan A",201,IF(Atletas!M285="Houquan A",202,IF(Atletas!M285="Zuiquan A",203,IF(Atletas!M285="Ditangquan B",204,IF(Atletas!M285="Houquan B",205,IF(Atletas!M285="Zuiquan B",206,IF(Atletas!M285="Ditangquan C",207,IF(Atletas!M285="Houquan C",208,IF(Atletas!M285="Zuiquan C",209,IF(Atletas!M285="Ditangquan D",210,IF(Atletas!M285="Houquan D",211,IF(Atletas!M285="Zuiquan D",212,IF(Atletas!M285="Ditangquan E",213,IF(Atletas!M285="Houquan E",214,IF(Atletas!M285="Zuiquan E",215,IF(Atletas!M285="Ditangquan F",216,IF(Atletas!M285="Houquan F",217,IF(Atletas!M285="Zuiquan F",218,"")))))))))))))))))))))</f>
        <v/>
      </c>
      <c r="BO289" s="52" t="str">
        <f>IF(Atletas!N285="","",IF(Atletas!W285&lt;&gt;"",10000,0)+IF(Atletas!B285="Feminino",1000,IF(Atletas!B285="Masculino",2000,""))+IF(Atletas!N285="Yang A",301,IF(Atletas!N285="Chen A",30,IF(Atletas!N285="Sun A",303,IF(Atletas!N285="Wu A",304,IF(Atletas!N285="Wu-Hao A",305,IF(Atletas!N285="Outro Taijiquan A",306,IF(Atletas!N285="Yang B",307,IF(Atletas!N285="Chen B",308,IF(Atletas!N285="Sun B",309,IF(Atletas!N285="Wu B",310,IF(Atletas!N285="Wu-Hao B",311,IF(Atletas!N285="Outro Taijiquan B",312,IF(Atletas!N285="Yang C",313,IF(Atletas!N285="Chen C",314,IF(Atletas!N285="Sun C",315,IF(Atletas!N285="Wu C",316,IF(Atletas!N285="Wu-Hao C",317,IF(Atletas!N285="Outro Taijiquan C",318,IF(Atletas!N285="Yang D",319,IF(Atletas!N285="Chen D",320,IF(Atletas!N285="Sun D",321,IF(Atletas!N285="Wu D",322,IF(Atletas!N285="Wu-Hao D",323,IF(Atletas!N285="Outro Taijiquan D",324,IF(Atletas!N285="Yang E",325,IF(Atletas!N285="Chen E",326,IF(Atletas!N285="Sun E",327,IF(Atletas!N285="Wu E",328,IF(Atletas!N285="Wu-Hao E",329,IF(Atletas!N285="Outro Taijiquan E",330,IF(Atletas!N285="Yang F",331,IF(Atletas!N285="Chen F",332,IF(Atletas!N285="Sun F",333,IF(Atletas!N285="Wu F",334,IF(Atletas!N285="Wu-Hao F",335,IF(Atletas!N285="Outro Taijiquan F",336,"")))))))))))))))))))))))))))))))))))))</f>
        <v/>
      </c>
      <c r="BP289" s="52" t="str">
        <f>IF(Atletas!O285="","",IF(Atletas!W285&lt;&gt;"",10000,0)+IF(Atletas!B285="Feminino",1000,IF(Atletas!B285="Masculino",2000,""))+IF(OR(Atletas!O285="Yang 26 A",Atletas!O285="Yang 40 A"),401,IF(OR(Atletas!O285="Chen 25 A",Atletas!O285="Chen 36 A",Atletas!O285="Chen 56 A"),402,IF(Atletas!O285="Sun 73 A",403,IF(Atletas!O285="Wu 45 A",404,IF(Atletas!O285="Wu-Hao 46 A",405,IF(OR(Atletas!O285="Taijiquan 16 A",Atletas!O285="Taijiquan 24 A",Atletas!O285="Taijiquan 32 A",Atletas!O285="Taijiquan 42 A"),406,IF(OR(Atletas!O285="Yang 26 B",Atletas!O285="Yang 40 B"),407,IF(OR(Atletas!O285="Chen 25 B",Atletas!O285="Chen 36 B",Atletas!O285="Chen 56 B"),408,IF(Atletas!O285="Sun 73 B",409,IF(Atletas!O285="Wu 45 B",410,IF(Atletas!O285="Wu-Hao 46 B",411,IF(OR(Atletas!O285="Taijiquan 16 B",Atletas!O285="Taijiquan 24 B",Atletas!O285="Taijiquan 32 B",Atletas!O285="Taijiquan 42 B"),412,IF(OR(Atletas!O285="Yang 26 C",Atletas!O285="Yang 40 C"),413,IF(OR(Atletas!O285="Chen 25 C",Atletas!O285="Chen 36 C",Atletas!O285="Chen 56 C"),414,IF(Atletas!O285="Sun 73 C",415,IF(Atletas!O285="Wu 45 C",416,IF(Atletas!O285="Wu-Hao 46 C",417,IF(OR(Atletas!O285="Taijiquan 16 C",Atletas!O285="Taijiquan 24 C",Atletas!O285="Taijiquan 32 C",Atletas!O285="Taijiquan 42 C"),418,0)))))))))))))))))))</f>
        <v/>
      </c>
      <c r="BQ289" s="52" t="str">
        <f>IF(Atletas!O285="","",IF(Atletas!W285&lt;&gt;"",10000,0)+IF(Atletas!B285="Feminino",1000,IF(Atletas!B285="Masculino",2000,""))+IF(OR(Atletas!O285="Yang 26 D",Atletas!O285="Yang 40 D"),419,IF(OR(Atletas!O285="Chen 25 D",Atletas!O285="Chen 36 D",Atletas!O285="Chen 56 D"),420,IF(Atletas!O285="Sun 73 D",421,IF(Atletas!O285="Wu 45 D",422,IF(Atletas!O285="Wu-Hao 46 D",423,IF(OR(Atletas!O285="Taijiquan 16 D",Atletas!O285="Taijiquan 24 D",Atletas!O285="Taijiquan 32 D",Atletas!O285="Taijiquan 42 D"),424,IF(OR(Atletas!O285="Yang 26 E",Atletas!O285="Yang 40 E"),425,IF(OR(Atletas!O285="Chen 25 E",Atletas!O285="Chen 36 E",Atletas!O285="Chen 56 E"),426,IF(Atletas!O285="Sun 73 E",427,IF(Atletas!O285="Wu 45 E",428,IF(Atletas!O285="Wu-Hao 46 E",429,IF(OR(Atletas!O285="Taijiquan 16 E",Atletas!O285="Taijiquan 24 E",Atletas!O285="Taijiquan 32 E",Atletas!O285="Taijiquan 42 E"),430,IF(OR(Atletas!O285="Yang 26 F",Atletas!O285="Yang 40 F"),431,IF(OR(Atletas!O285="Chen 25 F",Atletas!O285="Chen 36 F",Atletas!O285="Chen 56 F"),432,IF(Atletas!O285="Sun 73 F",433,IF(Atletas!O285="Wu 45 F",434,IF(Atletas!O285="Wu-Hao 46 F",435,IF(OR(Atletas!O285="Taijiquan 16 F",Atletas!O285="Taijiquan 24 F",Atletas!O285="Taijiquan 32 F",Atletas!O285="Taijiquan 42 F"),436,0)))))))))))))))))))</f>
        <v/>
      </c>
      <c r="BR289" s="52" t="str">
        <f>IF(Atletas!P285="","",IF(Atletas!W285&lt;&gt;"",10000,0)+IF(Atletas!B285="Feminino",1000,IF(Atletas!B285="Masculino",2000,""))+IF(Atletas!P285="Xingyiquan A",501,IF(Atletas!P285="Baguazhang A",502,IF(Atletas!P285="Outro Estilo Interno A",503,IF(Atletas!P285="Xingyiquan B",504,IF(Atletas!P285="Baguazhang B",505,IF(Atletas!P285="Outro Estilo Interno B",506,IF(Atletas!P285="Xingyiquan C",507,IF(Atletas!P285="Baguazhang C",508,IF(Atletas!P285="Outro Estilo Interno C",509,IF(Atletas!P285="Xingyiquan D",510,IF(Atletas!P285="Baguazhang D",511,IF(Atletas!P285="Outro Estilo Interno D",512,IF(Atletas!P285="Xingyiquan E",513,IF(Atletas!P285="Baguazhang E",514,IF(Atletas!P285="Outro Estilo Interno E",515,IF(Atletas!P285="Xingyiquan F",516,IF(Atletas!P285="Baguazhang F",517,IF(Atletas!P285="Outro Estilo Interno F",518, "")))))))))))))))))))</f>
        <v/>
      </c>
      <c r="BS289" s="52" t="str">
        <f>IF(Atletas!Q285="","",IF(Atletas!W285&lt;&gt;"",10000,0)+IF(Atletas!B285="Feminino",1000,IF(Atletas!B285="Masculino",2000,""))+IF(Atletas!Q285="Dao A",601,IF(Atletas!Q285="Jian A",602,IF(Atletas!Q285="Bishou A",603,IF(Atletas!Q285="Shan A",604,IF(Atletas!Q285="Outra Arma Curta A",605,IF(Atletas!Q285="Dao B",606,IF(Atletas!Q285="Jian B",607,IF(Atletas!Q285="Bishou B",608,IF(Atletas!Q285="Shan B",609,IF(Atletas!Q285="Outra Arma Curta B",610,IF(Atletas!Q285="Dao C",611,IF(Atletas!Q285="Jian C",612,IF(Atletas!Q285="Bishou C",613,IF(Atletas!Q285="Shan C",614,IF(Atletas!Q285="Outra Arma Curta C",615,IF(Atletas!Q285="Dao D",616,IF(Atletas!Q285="Jian D",617,IF(Atletas!Q285="Bishou D",618,IF(Atletas!Q285="Shan D",619,IF(Atletas!Q285="Outra Arma Curta D",620,IF(Atletas!Q285="Dao E",621,IF(Atletas!Q285="Jian E",622,IF(Atletas!Q285="Bishou E",623,IF(Atletas!Q285="Shan E",624,IF(Atletas!Q285="Outra Arma Curta E",625,IF(Atletas!Q285="Dao F",626,IF(Atletas!Q285="Jian F",627,IF(Atletas!Q285="Bishou F",628,IF(Atletas!Q285="Shan F",629,IF(Atletas!Q285="Outra Arma Curta F",630, "")))))))))))))))))))))))))))))))</f>
        <v/>
      </c>
      <c r="BT289" s="52" t="str">
        <f>IF(Atletas!R285="","",IF(Atletas!W285&lt;&gt;"",10000,0)+IF(Atletas!B285="Feminino",1000,IF(Atletas!B285="Masculino",2000,""))+IF(Atletas!R285="Gun A",701,IF(Atletas!R285="Qiang A",702,IF(Atletas!R285="Pudao / Guandao A",703,IF(Atletas!R285="Outra Arma Longa A",704,IF(Atletas!R285="Gun B",705,IF(Atletas!R285="Qiang B",706,IF(Atletas!R285="Pudao / Guandao B",707,IF(Atletas!R285="Outra Arma Longa B",708,IF(Atletas!R285="Gun C",709,IF(Atletas!R285="Qiang C",710,IF(Atletas!R285="Pudao / Guandao C",711,IF(Atletas!R285="Outra Arma Longa C",712,IF(Atletas!R285="Gun D",713,IF(Atletas!R285="Qiang D",714,IF(Atletas!R285="Pudao / Guandao D",715,IF(Atletas!R285="Outra Arma Longa D",716,IF(Atletas!R285="Gun E",717,IF(Atletas!R285="Qiang E",718,IF(Atletas!R285="Pudao / Guandao E",719,IF(Atletas!R285="Outra Arma Longa E",720,IF(Atletas!R285="Gun F",721,IF(Atletas!R285="Qiang F",722,IF(Atletas!R285="Pudao / Guandao F",723,IF(Atletas!R285="Outra Arma Longa F",724,"")))))))))))))))))))))))))</f>
        <v/>
      </c>
      <c r="BU289" s="52" t="str">
        <f>IF(Atletas!S285="","",IF(Atletas!W285&lt;&gt;"",10000,0)+IF(Atletas!B285="Feminino",1000,IF(Atletas!B285="Masculino",2000,""))+IF(Atletas!S285="Arma Dupla A",801,IF(Atletas!S285="Arma Maleável A",802,IF(Atletas!S285="Arma Dupla B",803,IF(Atletas!S285="Arma Maleável B",804,IF(Atletas!S285="Arma Dupla C",805,IF(Atletas!S285="Arma Maleável C",806,IF(Atletas!S285="Arma Dupla D",807,IF(Atletas!S285="Arma Maleável D",808,IF(Atletas!S285="Arma Dupla E",809,IF(Atletas!S285="Arma Maleável E",810,IF(Atletas!S285="Arma Dupla F",811,IF(Atletas!S285="Arma Maleável F",812, "")))))))))))))</f>
        <v/>
      </c>
      <c r="BV289" s="52" t="str">
        <f>IF(Atletas!T285="","",IF(Atletas!W285&lt;&gt;"",10000,0)+IF(Atletas!B285="Feminino",1000,IF(Atletas!B285="Masculino",2000,""))+IF(Atletas!T285="Taijijian Yang A",901,IF(Atletas!T285="Taijijian Chen A",902,IF(Atletas!T285="Taijijian Sun A",903,IF(Atletas!T285="Taijijian Wu A",904,IF(Atletas!T285="Taijijian Wu-Hao A",905,IF(Atletas!T285="Taijijian 32 A",906,IF(Atletas!T285="Taijijian 42 A",907,IF(Atletas!T285="Taijijian Yang B",908,IF(Atletas!T285="Taijijian Chen B",909,IF(Atletas!T285="Taijijian Sun B",910,IF(Atletas!T285="Taijijian Wu B",911,IF(Atletas!T285="Taijijian Wu-Hao B",912,IF(Atletas!T285="Taijijian 32 B",913,IF(Atletas!T285="Taijijian 42 B",914,IF(Atletas!T285="Taijijian Yang C",915,IF(Atletas!T285="Taijijian Chen C",916,IF(Atletas!T285="Taijijian Sun C",917,IF(Atletas!T285="Taijijian Wu C",918,IF(Atletas!T285="Taijijian Wu-Hao C",919,IF(Atletas!T285="Taijijian 32 C",920,IF(Atletas!T285="Taijijian 42 C",921,IF(Atletas!T285="Taijijian Yang D",922,IF(Atletas!T285="Taijijian Chen D",923,IF(Atletas!T285="Taijijian Sun D",924,IF(Atletas!T285="Taijijian Wu D",925,IF(Atletas!T285="Taijijian Wu-Hao D",926,IF(Atletas!T285="Taijijian 32 D",927,IF(Atletas!T285="Taijijian 42 D",928,IF(Atletas!T285="Taijijian Yang E",929,IF(Atletas!T285="Taijijian Chen E",930,IF(Atletas!T285="Taijijian Sun E",931,IF(Atletas!T285="Taijijian Wu E",932,IF(Atletas!T285="Taijijian Wu-Hao E",933,IF(Atletas!T285="Taijijian 32 E",934,IF(Atletas!T285="Taijijian 42 E",935,IF(Atletas!T285="Taijijian Yang F",936,IF(Atletas!T285="Taijijian Chen F",937,IF(Atletas!T285="Taijijian Sun F",938,IF(Atletas!T285="Taijijian Wu F",939,IF(Atletas!T285="Taijijian Wu-Hao F",940,IF(Atletas!T285="Taijijian 32 F",941,IF(Atletas!T285="Taijijian 42 F",942,"")))))))))))))))))))))))))))))))))))))))))))</f>
        <v/>
      </c>
      <c r="BW289" s="52" t="str">
        <f>IF(Atletas!U285="","",IF(Atletas!W285&lt;&gt;"",10000,0)+IF(Atletas!B285="Feminino",1000,IF(Atletas!B285="Masculino",2000,""))+IF(Atletas!T285="Taijijian 42 F",942,IF(Atletas!U285="Taijidao A",943,IF(Atletas!U285="Taijishan A",944,IF(Atletas!U285="Taijiqiang A",945,IF(Atletas!U285="Taijidao B",946,IF(Atletas!U285="Taijishan B",947,IF(Atletas!U285="Taijiqiang B",948,IF(Atletas!U285="Taijidao C",949,IF(Atletas!U285="Taijishan C",950,IF(Atletas!U285="Taijiqiang C",951,IF(Atletas!U285="Taijidao D",952,IF(Atletas!U285="Taijishan D",953,IF(Atletas!U285="Taijiqiang D",954,IF(Atletas!U285="Taijidao E",955,IF(Atletas!U285="Taijishan E",956,IF(Atletas!U285="Taijiqiang E",957,IF(Atletas!U285="Taijidao F",958,IF(Atletas!U285="Taijishan F",959,IF(Atletas!U285="Taijiqiang F",960))))))))))))))))))))</f>
        <v/>
      </c>
      <c r="BX289" s="72" t="str">
        <f>IF(BY289&lt;&gt;"","Taijijian Yang A","")</f>
        <v/>
      </c>
      <c r="BY289" s="72" t="str">
        <f>IF(COUNTIF(BK:BW,1901)&gt;0,COUNTIF(BK:BW,1901),"")</f>
        <v/>
      </c>
      <c r="BZ289" s="72" t="str">
        <f>IF(CA289&lt;&gt;"","Taijijian Yang A","")</f>
        <v/>
      </c>
      <c r="CA289" s="72" t="str">
        <f>IF(COUNTIF(BK:BW,2901)&gt;0,COUNTIF(BK:BW,2901),"")</f>
        <v/>
      </c>
      <c r="CB289" s="72" t="str">
        <f>IF(CC289&lt;&gt;"","Jian B","")</f>
        <v/>
      </c>
      <c r="CC289" s="64" t="str">
        <f>IF(COUNTIF(BK:BW,11607)&gt;0,COUNTIF(BK:BW,11607),"")</f>
        <v/>
      </c>
      <c r="CD289" s="64" t="str">
        <f>IF(CE289&lt;&gt;"","Jian B","")</f>
        <v/>
      </c>
      <c r="CE289" s="64" t="str">
        <f>IF(COUNTIF(BK:BW,12607)&gt;0,COUNTIF(BK:BW,12607),"")</f>
        <v/>
      </c>
      <c r="CF289" s="52" t="str">
        <f xml:space="preserve"> IF(Atletas!V285="","",IF(Atletas!V285="Duilian de Mãos AB - Equipe 1",1,IF(Atletas!V285="Duilian de Mãos AB - Equipe 2",2,IF(Atletas!V285="Duilian de Armas AB - Equipe 1",3,IF(Atletas!V285="Duilian de Armas AB - Equipe 2",4,IF(Atletas!V285="Duilian de Tuishou - Equipe 1",5,IF(Atletas!V285="Duilian de Tuishou - Equipe 2",6,IF(Atletas!V285="Grupo Externo AB - Equipe 1",7,IF(Atletas!V285="Grupo Externo AB - Equipe 2",8,IF(Atletas!V285="Grupo Interno AB - Equipe 1",9,IF(Atletas!V285="Grupo Interno AB - Equipe 2",10,IF(Atletas!V285="Duilian de Mãos CD - Equipe 1",11,IF(Atletas!V285="Duilian de Mãos CD - Equipe 2",12,IF(Atletas!V285="Duilian de Armas CD - Equipe 1",13,IF(Atletas!V285="Duilian de Armas CD - Equipe 2",14,IF(Atletas!V285="Duilian de Tuishou - Equipe 1",15,IF(Atletas!V285="Duilian de Tuishou - Equipe 2",16,IF(Atletas!V285="Grupo Externo CDEF - Equipe 1",17,IF(Atletas!V285="Grupo Externo CDEF - Equipe 2",18,IF(Atletas!V285="Grupo Interno CDEF - Equipe 1",19,IF(Atletas!V285="Grupo Interno CDEF - Equipe 2",20,IF(Atletas!V285="Duilian de Mãos EF - Equipe 1",21,IF(Atletas!V285="Duilian de Mãos EF - Equipe 2",22,IF(Atletas!V285="Duilian de Armas EF - Equipe 1",23,IF(Atletas!V285="Duilian de Armas EF - Equipe 2",24,IF(Atletas!V285="Duilian de Tuishou - Equipe 1",25,IF(Atletas!V285="Duilian de Tuishou - Equipe 2",26,"")))))))))))))))))))))))))))</f>
        <v/>
      </c>
    </row>
    <row r="290" spans="2:84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 t="str">
        <f t="array" ref="V290">IFERROR(INDEX(BX$7:BX$336,SMALL(IF(BX$7:BX$336&lt;&gt;"",ROW(BX$7:BX$336)-ROW(BX$7)+1),ROWS(BX$7:BX247))),"")</f>
        <v/>
      </c>
      <c r="W290" s="4" t="str">
        <f t="array" ref="W290">IFERROR(INDEX(BY$7:BY$336,SMALL(IF(BY$7:BY$336&lt;&gt;"",ROW(BY$7:BY$336)-ROW(BY$7)+1),ROWS(BY$7:BY247))),"")</f>
        <v/>
      </c>
      <c r="X290" s="4" t="str">
        <f t="array" ref="X290">IFERROR(INDEX(BZ$7:BZ$336,SMALL(IF(BZ$7:BZ$336&lt;&gt;"",ROW(BZ$7:BZ$336)-ROW(BZ$7)+1),ROWS(BZ$7:BZ247))),"")</f>
        <v/>
      </c>
      <c r="Y290" s="4" t="str">
        <f t="array" ref="Y290">IFERROR(INDEX(CA$7:CA$336,SMALL(IF(CA$7:CA$336&lt;&gt;"",ROW(CA$7:CA$336)-ROW(CA$7)+1),ROWS(CA$7:CA247))),"")</f>
        <v/>
      </c>
      <c r="Z290" s="4" t="str">
        <f t="array" ref="Z290">IFERROR(INDEX(CB$7:CB$378,SMALL(IF(CB$7:CB$378&lt;&gt;"",ROW(CB$7:CB$378)-ROW(CB$7)+1),ROWS(CB$7:CB289))),"")</f>
        <v/>
      </c>
      <c r="AA290" s="4" t="str">
        <f t="array" ref="AA290">IFERROR(INDEX(CC$7:CC$378,SMALL(IF(CC$7:CC$378&lt;&gt;"",ROW(CC$7:CC$378)-ROW(CC$7)+1),ROWS(CC$7:CC289))),"")</f>
        <v/>
      </c>
      <c r="AB290" s="4" t="str">
        <f t="array" ref="AB290">IFERROR(INDEX(CD$7:CD$378,SMALL(IF(CD$7:CD$378&lt;&gt;"",ROW(CD$7:CD$378)-ROW(CD$7)+1),ROWS(CD$7:CD289))),"")</f>
        <v/>
      </c>
      <c r="AC290" s="4" t="str">
        <f t="array" ref="AC290">IFERROR(INDEX(CE$7:CE$378,SMALL(IF(CE$7:CE$378&lt;&gt;"",ROW(CE$7:CE$378)-ROW(CE$7)+1),ROWS(CE$7:CE289))),"")</f>
        <v/>
      </c>
      <c r="AD290" s="4"/>
      <c r="AE290" s="4"/>
      <c r="AF290" s="4"/>
      <c r="AG290" s="4"/>
      <c r="AH290" s="4"/>
      <c r="AI290" s="4"/>
      <c r="AJ290" s="46" t="str">
        <f>IF(Atletas!D286="","",IF(Atletas!B286="Feminino",100,IF(Atletas!B286="Masculino",200,""))+(IF(Atletas!D286="Infantil 39kg",1,IF(Atletas!D286="Infantil 42kg",2,IF(Atletas!D286="Infantil 45kg",3,IF(Atletas!D286="Infantil 48kg",4,IF(Atletas!D286="Infantil 52kg",5,IF(Atletas!D286="Infantil 56kg",6,IF(Atletas!D286="Infantil 60kg",7,IF(Atletas!D286="Juvenil 48kg",8,IF(Atletas!D286="Juvenil 52kg",9,IF(Atletas!D286="Juvenil 56kg",10,IF(Atletas!D286="Juvenil 60kg",11,IF(Atletas!D286="Juvenil 65kg",12,IF(Atletas!D286="Juvenil 70kg",13,IF(Atletas!D286="Juvenil 75kg",14,IF(Atletas!D286="Juvenil 80kg",15,IF(Atletas!D286="Adulto 48kg",16,IF(Atletas!D286="Adulto 52kg",17,IF(Atletas!D286="Adulto 56kg",18,IF(Atletas!D286="Adulto 60kg",19,IF(Atletas!D286="Adulto 65kg",20,IF(Atletas!D286="Adulto 70kg",21,IF(Atletas!D286="Adulto 75kg",22,IF(Atletas!D286="Adulto 80kg",23,IF(Atletas!D286="Adulto 85kg",24,IF(Atletas!D286="Adulto 90kg",25,IF(Atletas!D286="Adulto +90kg",26,""))))))))))))))))))))))))))))</f>
        <v/>
      </c>
      <c r="AO290" s="10" t="str">
        <f>IF(Atletas!E286="","",IF(Atletas!B286="Feminino",100,IF(Atletas!B286="Masculino",200,""))+(IF(Atletas!E286="Juvenil 44kg",1,IF(Atletas!E286="Juvenil 48kg",2,IF(Atletas!E286="Juvenil 52kg",3,IF(Atletas!E286="Juvenil 56kg",4,IF(Atletas!E286="Juvenil 60kg",5,IF(Atletas!E286="Juvenil 65kg",6,IF(Atletas!E286="Juvenil 70kg",7,IF(Atletas!E286="Juvenil 75kg",8,IF(Atletas!E286="Juvenil 82kg",9,IF(Atletas!E286="Juvenil 90kg",10,IF(Atletas!E286="Juvenil 100kg",11,IF(Atletas!E286="Adulto 48kg",12,IF(Atletas!E286="Adulto 52kg",13,IF(Atletas!E286="Adulto 56kg",14,IF(Atletas!E286="Adulto 60kg",15,IF(Atletas!E286="Adulto 65kg",16,IF(Atletas!E286="Adulto 70kg",17,IF(Atletas!E286="Adulto 75kg",18,IF(Atletas!E286="Adulto 82kg",19,IF(Atletas!E286="Adulto 90kg",20,IF(Atletas!E286="Adulto 100kg",21,IF(Atletas!E286="Adulto +100kg",22,""))))))))))))))))))))))))</f>
        <v/>
      </c>
      <c r="AT290" s="10" t="str">
        <f>IF(Atletas!F286="","",IF(Atletas!B286="Feminino",100,IF(Atletas!B286="Masculino",200,""))+(IF(Atletas!F286="Adulto 48kg",1,IF(Atletas!F286="Adulto 56kg",2,IF(Atletas!F286="Adulto 65kg",3,IF(Atletas!F286="Adulto 75kg",4,IF(Atletas!F286="Adulto +75kg",5,IF(Atletas!F286="Adulto 52kg",6,IF(Atletas!F286="Adulto 60kg",7,IF(Atletas!F286="Adulto 70kg",8,IF(Atletas!F286="Adulto 80kg",9,IF(Atletas!F286="Adulto 90kg",10,IF(Atletas!F286="Adulto +90kg",11,"")))))))))))))</f>
        <v/>
      </c>
      <c r="AY290" s="46" t="str">
        <f>IF(Atletas!G286="","",IF(Atletas!B286="Feminino",100,IF(Atletas!B286="Masculino",200,""))+(IF(Atletas!G286="Changquan Mirim",1,IF(Atletas!G286="Nanquan Mirim",2,IF(Atletas!G286="Taijiquan Mirim",3,IF(Atletas!G286="Changquan Grupo C",4,IF(Atletas!G286="Nanquan Grupo C",5,IF(Atletas!G286="Taijiquan Grupo C",6,IF(Atletas!G286="Changquan Grupo B",7,IF(Atletas!G286="Nanquan Grupo B",8,IF(Atletas!G286="Taijiquan Grupo B",9,IF(Atletas!G286="Changquan Grupo A",10,IF(Atletas!G286="Nanquan Grupo A",11,IF(Atletas!G286="Taijiquan Grupo A",12,IF(Atletas!G286="Changquan Opcional",13,IF(Atletas!G286="Nanquan Opcional",14,IF(Atletas!G286="Taijiquan Opcional",15,IF(Atletas!G286="Changquan Adulto",16,IF(Atletas!G286="Nanquan Adulto",17,IF(Atletas!G286="Taijiquan Adulto",18,""))))))))))))))))))))</f>
        <v/>
      </c>
      <c r="AZ290" s="46" t="str">
        <f>IF(Atletas!H286="","",IF(Atletas!B286="Feminino",100,IF(Atletas!B286="Masculino",200,""))+(IF(Atletas!H286="Daoshu Mirim",19,IF(Atletas!H286="Jianshu Mirim",20,IF(Atletas!H286="Nandao Mirim",21,IF(Atletas!H286="Taijijian Mirim",22,IF(Atletas!H286="Daoshu Grupo C",23,IF(Atletas!H286="Jianshu Grupo C",24,IF(Atletas!H286="Nandao Grupo C",25,IF(Atletas!H286="Taijijian Grupo C",26,IF(Atletas!H286="Daoshu Grupo B",27,IF(Atletas!H286="Jianshu Grupo B",28,IF(Atletas!H286="Nandao Grupo B",29,IF(Atletas!H286="Taijijian Grupo B",30,IF(Atletas!H286="Daoshu Grupo A",31,IF(Atletas!H286="Jianshu Grupo A",32,IF(Atletas!H286="Nandao Grupo A",33,IF(Atletas!H286="Taijijian Grupo A",34,IF(Atletas!H286="Daoshu Opcional",35,IF(Atletas!H286="Jianshu Opcional",36,IF(Atletas!H286="Nandao Opcional",37,IF(Atletas!H286="Taijijian Opcional",38,IF(Atletas!H286="Daoshu Adulto",39,IF(Atletas!H286="Jianshu Adulto",40,IF(Atletas!H286="Nandao Adulto",41,IF(Atletas!H286="Taijijian Adulto",42,""))))))))))))))))))))))))))</f>
        <v/>
      </c>
      <c r="BA290" s="46" t="str">
        <f>IF(Atletas!I286="","",IF(Atletas!B286="Feminino",100,IF(Atletas!B286="Masculino",200,""))+(IF(Atletas!I286="Gunshu Mirim",43,IF(Atletas!I286="Qiangshu Mirim",44,IF(Atletas!I286="Nangun Mirim",45,IF(Atletas!I286="Gunshu Grupo C",46,IF(Atletas!I286="Qiangshu Grupo C",47,IF(Atletas!I286="Nangun Grupo C",48,IF(Atletas!I286="Gunshu Grupo B",49,IF(Atletas!I286="Qiangshu Grupo B",50,IF(Atletas!I286="Nangun Grupo B",51,IF(Atletas!I286="Gunshu Grupo A",52,IF(Atletas!I286="Qiangshu Grupo A",53,IF(Atletas!I286="Nangun Grupo A",54,IF(Atletas!I286="Gunshu Opcional",55,IF(Atletas!I286="Qiangshu Opcional",56,IF(Atletas!I286="Nangun Opcional",57,IF(Atletas!I286="Gunshu Adulto",58,IF(Atletas!I286="Qiangshu Adulto",59,IF(Atletas!I286="Nangun Adulto",60,""))))))))))))))))))))</f>
        <v/>
      </c>
      <c r="BF290" s="52" t="str">
        <f>IF(Atletas!J286="","",IF(Atletas!B286="Feminino",100,IF(Atletas!B286="Masculino",200,""))+(IF(Atletas!J286="Equipe 1 Grupo B",1,IF(Atletas!J286="Equipe 2 Grupo B",2,IF(Atletas!J286="Equipe 1 Grupo A",3,IF(Atletas!J286="Equipe 2 Grupo A",4,IF(Atletas!J286="Equipe 1 Adulto",5,IF(Atletas!J286="Equipe 2 Adulto",6,""))))))))</f>
        <v/>
      </c>
      <c r="BK290" s="52" t="str">
        <f>IF(Atletas!K286="","",IF(Atletas!W286&lt;&gt;"",10000,0)+(IF(Atletas!B286="Feminino",1000,IF(Atletas!B286="Masculino",2000,""))+IF(Atletas!K286="Choylayfut A",1,IF(Atletas!K286="Hunggar A",2,IF(Atletas!K286="Wuzuquan A",3,IF(Atletas!K286="Wingchun A",4,IF(Atletas!K286="Outra Mão de Sul A",5,IF(Atletas!K286="Choylayfut B",6,IF(Atletas!K286="Hunggar B",7,IF(Atletas!K286="Wuzuquan B",8,IF(Atletas!K286="Wingchun B",9,IF(Atletas!K286="Outra Mão de Sul B",10,IF(Atletas!K286="Choylayfut C",11,IF(Atletas!K286="Hunggar C",12,IF(Atletas!K286="Wuzuquan C",13,IF(Atletas!K286="Wingchun C",14,IF(Atletas!K286="Outra Mão de Sul C",15,IF(Atletas!K286="Choylayfut D",16,IF(Atletas!K286="Hunggar D",17,IF(Atletas!K286="Wuzuquan D",18,IF(Atletas!K286="Wingchun D",19,IF(Atletas!K286="Outra Mão de Sul D",20,IF(Atletas!K286="Choylayfut E",21,IF(Atletas!K286="Hunggar E",22,IF(Atletas!K286="Wuzuquan E",23,IF(Atletas!K286="Wingchun E",24,IF(Atletas!K286="Outra Mão de Sul E",25,IF(Atletas!K286="Choylayfut F",26,IF(Atletas!K286="Hunggar F",27,IF(Atletas!K286="Wuzuquan F",28,IF(Atletas!K286="Wingchun F",29,IF(Atletas!K286="Outra Mão de Sul F",30,""))))))))))))))))))))))))))))))))</f>
        <v/>
      </c>
      <c r="BL290" s="52" t="str">
        <f>IF(Atletas!L286="","",IF(Atletas!W286&lt;&gt;"",10000,0)+(IF(Atletas!B286="Feminino",1000,IF(Atletas!B286="Masculino",2000,""))+(IF(Atletas!L286="Chaquan A",101,IF(Atletas!L286="Emeiquan A",102,IF(Atletas!L286="Fanziquan A",103,IF(Atletas!L286="Huaquan A",104,IF(Atletas!L286="Hongquan A",105,IF(Atletas!L286="Paochui A",106,IF(Atletas!L286="Piguaquan A",107,IF(Atletas!L286="Shaolinquan A",108,IF(Atletas!L286="Tanglangquan A",109,IF(Atletas!L286="Yinzhaophai A",110,IF(Atletas!L286="Tongbeiquan A",111,IF(Atletas!L286="Wudangquan A",112,IF(Atletas!L286="Outros Estilos A",113,IF(Atletas!L286="Chaquan B",114,IF(Atletas!L286="Emeiquan B",115,IF(Atletas!L286="Fanziquan B",116,IF(Atletas!L286="Huaquan B",117,IF(Atletas!L286="Hongquan B",118,IF(Atletas!L286="Paochui B",119,IF(Atletas!L286="Piguaquan B",120,IF(Atletas!L286="Shaolinquan B",121,IF(Atletas!L286="Tanglangquan B",122,IF(Atletas!L286="Yinzhaophai B",123,IF(Atletas!L286="Tongbeiquan B",124,IF(Atletas!L286="Wudangquan B",125,IF(Atletas!L286="Outros Estilos B",126,IF(Atletas!L286="Chaquan C",127,IF(Atletas!L286="Emeiquan C",128,IF(Atletas!L286="Fanziquan C",129,IF(Atletas!L286="Huaquan C",130,IF(Atletas!L286="Hongquan C",131,IF(Atletas!L286="Paochui C",132,IF(Atletas!L286="Piguaquan C",133,IF(Atletas!L286="Shaolinquan C",134,IF(Atletas!L286="Tanglangquan C",135,IF(Atletas!L286="Yinzhaophai C",136,IF(Atletas!L286="Tongbeiquan C",137,IF(Atletas!L286="Wudangquan C",138,IF(Atletas!L286="Outros Estilos C",139,0))))))))))))))))))))))))))))))))))))))))))</f>
        <v/>
      </c>
      <c r="BM290" s="52" t="str">
        <f>IF(Atletas!L286="","",IF(Atletas!W286&lt;&gt;"",10000,0)+(IF(Atletas!B286="Feminino",1000,IF(Atletas!B286="Masculino",2000,""))+(IF(Atletas!L286="Chaquan D",140,IF(Atletas!L286="Emeiquan D",141,IF(Atletas!L286="Fanziquan D",142,IF(Atletas!L286="Huaquan D",143,IF(Atletas!L286="Hongquan D",144,IF(Atletas!L286="Paochui D",145,IF(Atletas!L286="Piguaquan D",146,IF(Atletas!L286="Shaolinquan D",147,IF(Atletas!L286="Tanglangquan D",148,IF(Atletas!L286="Yinzhaophai D",149,IF(Atletas!L286="Tongbeiquan D",150,IF(Atletas!L286="Wudangquan D",151,IF(Atletas!L286="Outros Estilos D",152,IF(Atletas!L286="Chaquan E",153,IF(Atletas!L286="Emeiquan E",154,IF(Atletas!L286="Fanziquan E",155,IF(Atletas!L286="Huaquan E",156,IF(Atletas!L286="Hongquan E",157,IF(Atletas!L286="Paochui E",158,IF(Atletas!L286="Piguaquan E",159,IF(Atletas!L286="Shaolinquan E",160,IF(Atletas!L286="Tanglangquan E",161,IF(Atletas!L286="Yinzhaophai E",162,IF(Atletas!L286="Tongbeiquan E",163,IF(Atletas!L286="Wudangquan E",164,IF(Atletas!L286="Outros Estilos E",165,IF(Atletas!L286="Chaquan F",166,IF(Atletas!L286="Emeiquan F",167,IF(Atletas!L286="Fanziquan F",168,IF(Atletas!L286="Huaquan F",169,IF(Atletas!L286="Hongquan F",170,IF(Atletas!L286="Paochui F",171,IF(Atletas!L286="Piguaquan F",172,IF(Atletas!L286="Shaolinquan F",173,IF(Atletas!L286="Tanglangquan F",174,IF(Atletas!L286="Yinzhaophai F",175,IF(Atletas!L286="Tongbeiquan F",176,IF(Atletas!L286="Wudangquan F",177,IF(Atletas!L286="Outros Estilos F",178,0))))))))))))))))))))))))))))))))))))))))))</f>
        <v/>
      </c>
      <c r="BN290" s="52" t="str">
        <f>IF(Atletas!M286="","",IF(Atletas!W286&lt;&gt;"",10000,0)+(IF(Atletas!B286="Feminino",1000,IF(Atletas!B286="Masculino",2000,""))+(IF(Atletas!M286="Ditangquan A",201,IF(Atletas!M286="Houquan A",202,IF(Atletas!M286="Zuiquan A",203,IF(Atletas!M286="Ditangquan B",204,IF(Atletas!M286="Houquan B",205,IF(Atletas!M286="Zuiquan B",206,IF(Atletas!M286="Ditangquan C",207,IF(Atletas!M286="Houquan C",208,IF(Atletas!M286="Zuiquan C",209,IF(Atletas!M286="Ditangquan D",210,IF(Atletas!M286="Houquan D",211,IF(Atletas!M286="Zuiquan D",212,IF(Atletas!M286="Ditangquan E",213,IF(Atletas!M286="Houquan E",214,IF(Atletas!M286="Zuiquan E",215,IF(Atletas!M286="Ditangquan F",216,IF(Atletas!M286="Houquan F",217,IF(Atletas!M286="Zuiquan F",218,"")))))))))))))))))))))</f>
        <v/>
      </c>
      <c r="BO290" s="52" t="str">
        <f>IF(Atletas!N286="","",IF(Atletas!W286&lt;&gt;"",10000,0)+IF(Atletas!B286="Feminino",1000,IF(Atletas!B286="Masculino",2000,""))+IF(Atletas!N286="Yang A",301,IF(Atletas!N286="Chen A",30,IF(Atletas!N286="Sun A",303,IF(Atletas!N286="Wu A",304,IF(Atletas!N286="Wu-Hao A",305,IF(Atletas!N286="Outro Taijiquan A",306,IF(Atletas!N286="Yang B",307,IF(Atletas!N286="Chen B",308,IF(Atletas!N286="Sun B",309,IF(Atletas!N286="Wu B",310,IF(Atletas!N286="Wu-Hao B",311,IF(Atletas!N286="Outro Taijiquan B",312,IF(Atletas!N286="Yang C",313,IF(Atletas!N286="Chen C",314,IF(Atletas!N286="Sun C",315,IF(Atletas!N286="Wu C",316,IF(Atletas!N286="Wu-Hao C",317,IF(Atletas!N286="Outro Taijiquan C",318,IF(Atletas!N286="Yang D",319,IF(Atletas!N286="Chen D",320,IF(Atletas!N286="Sun D",321,IF(Atletas!N286="Wu D",322,IF(Atletas!N286="Wu-Hao D",323,IF(Atletas!N286="Outro Taijiquan D",324,IF(Atletas!N286="Yang E",325,IF(Atletas!N286="Chen E",326,IF(Atletas!N286="Sun E",327,IF(Atletas!N286="Wu E",328,IF(Atletas!N286="Wu-Hao E",329,IF(Atletas!N286="Outro Taijiquan E",330,IF(Atletas!N286="Yang F",331,IF(Atletas!N286="Chen F",332,IF(Atletas!N286="Sun F",333,IF(Atletas!N286="Wu F",334,IF(Atletas!N286="Wu-Hao F",335,IF(Atletas!N286="Outro Taijiquan F",336,"")))))))))))))))))))))))))))))))))))))</f>
        <v/>
      </c>
      <c r="BP290" s="52" t="str">
        <f>IF(Atletas!O286="","",IF(Atletas!W286&lt;&gt;"",10000,0)+IF(Atletas!B286="Feminino",1000,IF(Atletas!B286="Masculino",2000,""))+IF(OR(Atletas!O286="Yang 26 A",Atletas!O286="Yang 40 A"),401,IF(OR(Atletas!O286="Chen 25 A",Atletas!O286="Chen 36 A",Atletas!O286="Chen 56 A"),402,IF(Atletas!O286="Sun 73 A",403,IF(Atletas!O286="Wu 45 A",404,IF(Atletas!O286="Wu-Hao 46 A",405,IF(OR(Atletas!O286="Taijiquan 16 A",Atletas!O286="Taijiquan 24 A",Atletas!O286="Taijiquan 32 A",Atletas!O286="Taijiquan 42 A"),406,IF(OR(Atletas!O286="Yang 26 B",Atletas!O286="Yang 40 B"),407,IF(OR(Atletas!O286="Chen 25 B",Atletas!O286="Chen 36 B",Atletas!O286="Chen 56 B"),408,IF(Atletas!O286="Sun 73 B",409,IF(Atletas!O286="Wu 45 B",410,IF(Atletas!O286="Wu-Hao 46 B",411,IF(OR(Atletas!O286="Taijiquan 16 B",Atletas!O286="Taijiquan 24 B",Atletas!O286="Taijiquan 32 B",Atletas!O286="Taijiquan 42 B"),412,IF(OR(Atletas!O286="Yang 26 C",Atletas!O286="Yang 40 C"),413,IF(OR(Atletas!O286="Chen 25 C",Atletas!O286="Chen 36 C",Atletas!O286="Chen 56 C"),414,IF(Atletas!O286="Sun 73 C",415,IF(Atletas!O286="Wu 45 C",416,IF(Atletas!O286="Wu-Hao 46 C",417,IF(OR(Atletas!O286="Taijiquan 16 C",Atletas!O286="Taijiquan 24 C",Atletas!O286="Taijiquan 32 C",Atletas!O286="Taijiquan 42 C"),418,0)))))))))))))))))))</f>
        <v/>
      </c>
      <c r="BQ290" s="52" t="str">
        <f>IF(Atletas!O286="","",IF(Atletas!W286&lt;&gt;"",10000,0)+IF(Atletas!B286="Feminino",1000,IF(Atletas!B286="Masculino",2000,""))+IF(OR(Atletas!O286="Yang 26 D",Atletas!O286="Yang 40 D"),419,IF(OR(Atletas!O286="Chen 25 D",Atletas!O286="Chen 36 D",Atletas!O286="Chen 56 D"),420,IF(Atletas!O286="Sun 73 D",421,IF(Atletas!O286="Wu 45 D",422,IF(Atletas!O286="Wu-Hao 46 D",423,IF(OR(Atletas!O286="Taijiquan 16 D",Atletas!O286="Taijiquan 24 D",Atletas!O286="Taijiquan 32 D",Atletas!O286="Taijiquan 42 D"),424,IF(OR(Atletas!O286="Yang 26 E",Atletas!O286="Yang 40 E"),425,IF(OR(Atletas!O286="Chen 25 E",Atletas!O286="Chen 36 E",Atletas!O286="Chen 56 E"),426,IF(Atletas!O286="Sun 73 E",427,IF(Atletas!O286="Wu 45 E",428,IF(Atletas!O286="Wu-Hao 46 E",429,IF(OR(Atletas!O286="Taijiquan 16 E",Atletas!O286="Taijiquan 24 E",Atletas!O286="Taijiquan 32 E",Atletas!O286="Taijiquan 42 E"),430,IF(OR(Atletas!O286="Yang 26 F",Atletas!O286="Yang 40 F"),431,IF(OR(Atletas!O286="Chen 25 F",Atletas!O286="Chen 36 F",Atletas!O286="Chen 56 F"),432,IF(Atletas!O286="Sun 73 F",433,IF(Atletas!O286="Wu 45 F",434,IF(Atletas!O286="Wu-Hao 46 F",435,IF(OR(Atletas!O286="Taijiquan 16 F",Atletas!O286="Taijiquan 24 F",Atletas!O286="Taijiquan 32 F",Atletas!O286="Taijiquan 42 F"),436,0)))))))))))))))))))</f>
        <v/>
      </c>
      <c r="BR290" s="52" t="str">
        <f>IF(Atletas!P286="","",IF(Atletas!W286&lt;&gt;"",10000,0)+IF(Atletas!B286="Feminino",1000,IF(Atletas!B286="Masculino",2000,""))+IF(Atletas!P286="Xingyiquan A",501,IF(Atletas!P286="Baguazhang A",502,IF(Atletas!P286="Outro Estilo Interno A",503,IF(Atletas!P286="Xingyiquan B",504,IF(Atletas!P286="Baguazhang B",505,IF(Atletas!P286="Outro Estilo Interno B",506,IF(Atletas!P286="Xingyiquan C",507,IF(Atletas!P286="Baguazhang C",508,IF(Atletas!P286="Outro Estilo Interno C",509,IF(Atletas!P286="Xingyiquan D",510,IF(Atletas!P286="Baguazhang D",511,IF(Atletas!P286="Outro Estilo Interno D",512,IF(Atletas!P286="Xingyiquan E",513,IF(Atletas!P286="Baguazhang E",514,IF(Atletas!P286="Outro Estilo Interno E",515,IF(Atletas!P286="Xingyiquan F",516,IF(Atletas!P286="Baguazhang F",517,IF(Atletas!P286="Outro Estilo Interno F",518, "")))))))))))))))))))</f>
        <v/>
      </c>
      <c r="BS290" s="52" t="str">
        <f>IF(Atletas!Q286="","",IF(Atletas!W286&lt;&gt;"",10000,0)+IF(Atletas!B286="Feminino",1000,IF(Atletas!B286="Masculino",2000,""))+IF(Atletas!Q286="Dao A",601,IF(Atletas!Q286="Jian A",602,IF(Atletas!Q286="Bishou A",603,IF(Atletas!Q286="Shan A",604,IF(Atletas!Q286="Outra Arma Curta A",605,IF(Atletas!Q286="Dao B",606,IF(Atletas!Q286="Jian B",607,IF(Atletas!Q286="Bishou B",608,IF(Atletas!Q286="Shan B",609,IF(Atletas!Q286="Outra Arma Curta B",610,IF(Atletas!Q286="Dao C",611,IF(Atletas!Q286="Jian C",612,IF(Atletas!Q286="Bishou C",613,IF(Atletas!Q286="Shan C",614,IF(Atletas!Q286="Outra Arma Curta C",615,IF(Atletas!Q286="Dao D",616,IF(Atletas!Q286="Jian D",617,IF(Atletas!Q286="Bishou D",618,IF(Atletas!Q286="Shan D",619,IF(Atletas!Q286="Outra Arma Curta D",620,IF(Atletas!Q286="Dao E",621,IF(Atletas!Q286="Jian E",622,IF(Atletas!Q286="Bishou E",623,IF(Atletas!Q286="Shan E",624,IF(Atletas!Q286="Outra Arma Curta E",625,IF(Atletas!Q286="Dao F",626,IF(Atletas!Q286="Jian F",627,IF(Atletas!Q286="Bishou F",628,IF(Atletas!Q286="Shan F",629,IF(Atletas!Q286="Outra Arma Curta F",630, "")))))))))))))))))))))))))))))))</f>
        <v/>
      </c>
      <c r="BT290" s="52" t="str">
        <f>IF(Atletas!R286="","",IF(Atletas!W286&lt;&gt;"",10000,0)+IF(Atletas!B286="Feminino",1000,IF(Atletas!B286="Masculino",2000,""))+IF(Atletas!R286="Gun A",701,IF(Atletas!R286="Qiang A",702,IF(Atletas!R286="Pudao / Guandao A",703,IF(Atletas!R286="Outra Arma Longa A",704,IF(Atletas!R286="Gun B",705,IF(Atletas!R286="Qiang B",706,IF(Atletas!R286="Pudao / Guandao B",707,IF(Atletas!R286="Outra Arma Longa B",708,IF(Atletas!R286="Gun C",709,IF(Atletas!R286="Qiang C",710,IF(Atletas!R286="Pudao / Guandao C",711,IF(Atletas!R286="Outra Arma Longa C",712,IF(Atletas!R286="Gun D",713,IF(Atletas!R286="Qiang D",714,IF(Atletas!R286="Pudao / Guandao D",715,IF(Atletas!R286="Outra Arma Longa D",716,IF(Atletas!R286="Gun E",717,IF(Atletas!R286="Qiang E",718,IF(Atletas!R286="Pudao / Guandao E",719,IF(Atletas!R286="Outra Arma Longa E",720,IF(Atletas!R286="Gun F",721,IF(Atletas!R286="Qiang F",722,IF(Atletas!R286="Pudao / Guandao F",723,IF(Atletas!R286="Outra Arma Longa F",724,"")))))))))))))))))))))))))</f>
        <v/>
      </c>
      <c r="BU290" s="52" t="str">
        <f>IF(Atletas!S286="","",IF(Atletas!W286&lt;&gt;"",10000,0)+IF(Atletas!B286="Feminino",1000,IF(Atletas!B286="Masculino",2000,""))+IF(Atletas!S286="Arma Dupla A",801,IF(Atletas!S286="Arma Maleável A",802,IF(Atletas!S286="Arma Dupla B",803,IF(Atletas!S286="Arma Maleável B",804,IF(Atletas!S286="Arma Dupla C",805,IF(Atletas!S286="Arma Maleável C",806,IF(Atletas!S286="Arma Dupla D",807,IF(Atletas!S286="Arma Maleável D",808,IF(Atletas!S286="Arma Dupla E",809,IF(Atletas!S286="Arma Maleável E",810,IF(Atletas!S286="Arma Dupla F",811,IF(Atletas!S286="Arma Maleável F",812, "")))))))))))))</f>
        <v/>
      </c>
      <c r="BV290" s="52" t="str">
        <f>IF(Atletas!T286="","",IF(Atletas!W286&lt;&gt;"",10000,0)+IF(Atletas!B286="Feminino",1000,IF(Atletas!B286="Masculino",2000,""))+IF(Atletas!T286="Taijijian Yang A",901,IF(Atletas!T286="Taijijian Chen A",902,IF(Atletas!T286="Taijijian Sun A",903,IF(Atletas!T286="Taijijian Wu A",904,IF(Atletas!T286="Taijijian Wu-Hao A",905,IF(Atletas!T286="Taijijian 32 A",906,IF(Atletas!T286="Taijijian 42 A",907,IF(Atletas!T286="Taijijian Yang B",908,IF(Atletas!T286="Taijijian Chen B",909,IF(Atletas!T286="Taijijian Sun B",910,IF(Atletas!T286="Taijijian Wu B",911,IF(Atletas!T286="Taijijian Wu-Hao B",912,IF(Atletas!T286="Taijijian 32 B",913,IF(Atletas!T286="Taijijian 42 B",914,IF(Atletas!T286="Taijijian Yang C",915,IF(Atletas!T286="Taijijian Chen C",916,IF(Atletas!T286="Taijijian Sun C",917,IF(Atletas!T286="Taijijian Wu C",918,IF(Atletas!T286="Taijijian Wu-Hao C",919,IF(Atletas!T286="Taijijian 32 C",920,IF(Atletas!T286="Taijijian 42 C",921,IF(Atletas!T286="Taijijian Yang D",922,IF(Atletas!T286="Taijijian Chen D",923,IF(Atletas!T286="Taijijian Sun D",924,IF(Atletas!T286="Taijijian Wu D",925,IF(Atletas!T286="Taijijian Wu-Hao D",926,IF(Atletas!T286="Taijijian 32 D",927,IF(Atletas!T286="Taijijian 42 D",928,IF(Atletas!T286="Taijijian Yang E",929,IF(Atletas!T286="Taijijian Chen E",930,IF(Atletas!T286="Taijijian Sun E",931,IF(Atletas!T286="Taijijian Wu E",932,IF(Atletas!T286="Taijijian Wu-Hao E",933,IF(Atletas!T286="Taijijian 32 E",934,IF(Atletas!T286="Taijijian 42 E",935,IF(Atletas!T286="Taijijian Yang F",936,IF(Atletas!T286="Taijijian Chen F",937,IF(Atletas!T286="Taijijian Sun F",938,IF(Atletas!T286="Taijijian Wu F",939,IF(Atletas!T286="Taijijian Wu-Hao F",940,IF(Atletas!T286="Taijijian 32 F",941,IF(Atletas!T286="Taijijian 42 F",942,"")))))))))))))))))))))))))))))))))))))))))))</f>
        <v/>
      </c>
      <c r="BW290" s="52" t="str">
        <f>IF(Atletas!U286="","",IF(Atletas!W286&lt;&gt;"",10000,0)+IF(Atletas!B286="Feminino",1000,IF(Atletas!B286="Masculino",2000,""))+IF(Atletas!T286="Taijijian 42 F",942,IF(Atletas!U286="Taijidao A",943,IF(Atletas!U286="Taijishan A",944,IF(Atletas!U286="Taijiqiang A",945,IF(Atletas!U286="Taijidao B",946,IF(Atletas!U286="Taijishan B",947,IF(Atletas!U286="Taijiqiang B",948,IF(Atletas!U286="Taijidao C",949,IF(Atletas!U286="Taijishan C",950,IF(Atletas!U286="Taijiqiang C",951,IF(Atletas!U286="Taijidao D",952,IF(Atletas!U286="Taijishan D",953,IF(Atletas!U286="Taijiqiang D",954,IF(Atletas!U286="Taijidao E",955,IF(Atletas!U286="Taijishan E",956,IF(Atletas!U286="Taijiqiang E",957,IF(Atletas!U286="Taijidao F",958,IF(Atletas!U286="Taijishan F",959,IF(Atletas!U286="Taijiqiang F",960))))))))))))))))))))</f>
        <v/>
      </c>
      <c r="BX290" s="72" t="str">
        <f>IF(BY290&lt;&gt;"","Taijijian Chen A","")</f>
        <v/>
      </c>
      <c r="BY290" s="72" t="str">
        <f>IF(COUNTIF(BK:BW,1902)&gt;0,COUNTIF(BK:BW,1902),"")</f>
        <v/>
      </c>
      <c r="BZ290" s="72" t="str">
        <f>IF(CA290&lt;&gt;"","Taijijian Chen A","")</f>
        <v/>
      </c>
      <c r="CA290" s="72" t="str">
        <f>IF(COUNTIF(BK:BW,2902)&gt;0,COUNTIF(BK:BW,2902),"")</f>
        <v/>
      </c>
      <c r="CB290" s="72" t="str">
        <f>IF(CC290&lt;&gt;"","Bishou B","")</f>
        <v/>
      </c>
      <c r="CC290" s="64" t="str">
        <f>IF(COUNTIF(BK:BW,11608)&gt;0,COUNTIF(BK:BW,11608),"")</f>
        <v/>
      </c>
      <c r="CD290" s="64" t="str">
        <f>IF(CE290&lt;&gt;"","Bishou B","")</f>
        <v/>
      </c>
      <c r="CE290" s="64" t="str">
        <f>IF(COUNTIF(BK:BW,12608)&gt;0,COUNTIF(BK:BW,12608),"")</f>
        <v/>
      </c>
      <c r="CF290" s="52" t="str">
        <f xml:space="preserve"> IF(Atletas!V286="","",IF(Atletas!V286="Duilian de Mãos AB - Equipe 1",1,IF(Atletas!V286="Duilian de Mãos AB - Equipe 2",2,IF(Atletas!V286="Duilian de Armas AB - Equipe 1",3,IF(Atletas!V286="Duilian de Armas AB - Equipe 2",4,IF(Atletas!V286="Duilian de Tuishou - Equipe 1",5,IF(Atletas!V286="Duilian de Tuishou - Equipe 2",6,IF(Atletas!V286="Grupo Externo AB - Equipe 1",7,IF(Atletas!V286="Grupo Externo AB - Equipe 2",8,IF(Atletas!V286="Grupo Interno AB - Equipe 1",9,IF(Atletas!V286="Grupo Interno AB - Equipe 2",10,IF(Atletas!V286="Duilian de Mãos CD - Equipe 1",11,IF(Atletas!V286="Duilian de Mãos CD - Equipe 2",12,IF(Atletas!V286="Duilian de Armas CD - Equipe 1",13,IF(Atletas!V286="Duilian de Armas CD - Equipe 2",14,IF(Atletas!V286="Duilian de Tuishou - Equipe 1",15,IF(Atletas!V286="Duilian de Tuishou - Equipe 2",16,IF(Atletas!V286="Grupo Externo CDEF - Equipe 1",17,IF(Atletas!V286="Grupo Externo CDEF - Equipe 2",18,IF(Atletas!V286="Grupo Interno CDEF - Equipe 1",19,IF(Atletas!V286="Grupo Interno CDEF - Equipe 2",20,IF(Atletas!V286="Duilian de Mãos EF - Equipe 1",21,IF(Atletas!V286="Duilian de Mãos EF - Equipe 2",22,IF(Atletas!V286="Duilian de Armas EF - Equipe 1",23,IF(Atletas!V286="Duilian de Armas EF - Equipe 2",24,IF(Atletas!V286="Duilian de Tuishou - Equipe 1",25,IF(Atletas!V286="Duilian de Tuishou - Equipe 2",26,"")))))))))))))))))))))))))))</f>
        <v/>
      </c>
    </row>
    <row r="291" spans="2:84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 t="str">
        <f t="array" ref="V291">IFERROR(INDEX(BX$7:BX$336,SMALL(IF(BX$7:BX$336&lt;&gt;"",ROW(BX$7:BX$336)-ROW(BX$7)+1),ROWS(BX$7:BX248))),"")</f>
        <v/>
      </c>
      <c r="W291" s="4" t="str">
        <f t="array" ref="W291">IFERROR(INDEX(BY$7:BY$336,SMALL(IF(BY$7:BY$336&lt;&gt;"",ROW(BY$7:BY$336)-ROW(BY$7)+1),ROWS(BY$7:BY248))),"")</f>
        <v/>
      </c>
      <c r="X291" s="4" t="str">
        <f t="array" ref="X291">IFERROR(INDEX(BZ$7:BZ$336,SMALL(IF(BZ$7:BZ$336&lt;&gt;"",ROW(BZ$7:BZ$336)-ROW(BZ$7)+1),ROWS(BZ$7:BZ248))),"")</f>
        <v/>
      </c>
      <c r="Y291" s="4" t="str">
        <f t="array" ref="Y291">IFERROR(INDEX(CA$7:CA$336,SMALL(IF(CA$7:CA$336&lt;&gt;"",ROW(CA$7:CA$336)-ROW(CA$7)+1),ROWS(CA$7:CA248))),"")</f>
        <v/>
      </c>
      <c r="Z291" s="4" t="str">
        <f t="array" ref="Z291">IFERROR(INDEX(CB$7:CB$378,SMALL(IF(CB$7:CB$378&lt;&gt;"",ROW(CB$7:CB$378)-ROW(CB$7)+1),ROWS(CB$7:CB290))),"")</f>
        <v/>
      </c>
      <c r="AA291" s="4" t="str">
        <f t="array" ref="AA291">IFERROR(INDEX(CC$7:CC$378,SMALL(IF(CC$7:CC$378&lt;&gt;"",ROW(CC$7:CC$378)-ROW(CC$7)+1),ROWS(CC$7:CC290))),"")</f>
        <v/>
      </c>
      <c r="AB291" s="4" t="str">
        <f t="array" ref="AB291">IFERROR(INDEX(CD$7:CD$378,SMALL(IF(CD$7:CD$378&lt;&gt;"",ROW(CD$7:CD$378)-ROW(CD$7)+1),ROWS(CD$7:CD290))),"")</f>
        <v/>
      </c>
      <c r="AC291" s="4" t="str">
        <f t="array" ref="AC291">IFERROR(INDEX(CE$7:CE$378,SMALL(IF(CE$7:CE$378&lt;&gt;"",ROW(CE$7:CE$378)-ROW(CE$7)+1),ROWS(CE$7:CE290))),"")</f>
        <v/>
      </c>
      <c r="AD291" s="4"/>
      <c r="AE291" s="4"/>
      <c r="AF291" s="4"/>
      <c r="AG291" s="4"/>
      <c r="AH291" s="4"/>
      <c r="AI291" s="4"/>
      <c r="AJ291" s="46" t="str">
        <f>IF(Atletas!D287="","",IF(Atletas!B287="Feminino",100,IF(Atletas!B287="Masculino",200,""))+(IF(Atletas!D287="Infantil 39kg",1,IF(Atletas!D287="Infantil 42kg",2,IF(Atletas!D287="Infantil 45kg",3,IF(Atletas!D287="Infantil 48kg",4,IF(Atletas!D287="Infantil 52kg",5,IF(Atletas!D287="Infantil 56kg",6,IF(Atletas!D287="Infantil 60kg",7,IF(Atletas!D287="Juvenil 48kg",8,IF(Atletas!D287="Juvenil 52kg",9,IF(Atletas!D287="Juvenil 56kg",10,IF(Atletas!D287="Juvenil 60kg",11,IF(Atletas!D287="Juvenil 65kg",12,IF(Atletas!D287="Juvenil 70kg",13,IF(Atletas!D287="Juvenil 75kg",14,IF(Atletas!D287="Juvenil 80kg",15,IF(Atletas!D287="Adulto 48kg",16,IF(Atletas!D287="Adulto 52kg",17,IF(Atletas!D287="Adulto 56kg",18,IF(Atletas!D287="Adulto 60kg",19,IF(Atletas!D287="Adulto 65kg",20,IF(Atletas!D287="Adulto 70kg",21,IF(Atletas!D287="Adulto 75kg",22,IF(Atletas!D287="Adulto 80kg",23,IF(Atletas!D287="Adulto 85kg",24,IF(Atletas!D287="Adulto 90kg",25,IF(Atletas!D287="Adulto +90kg",26,""))))))))))))))))))))))))))))</f>
        <v/>
      </c>
      <c r="AO291" s="10" t="str">
        <f>IF(Atletas!E287="","",IF(Atletas!B287="Feminino",100,IF(Atletas!B287="Masculino",200,""))+(IF(Atletas!E287="Juvenil 44kg",1,IF(Atletas!E287="Juvenil 48kg",2,IF(Atletas!E287="Juvenil 52kg",3,IF(Atletas!E287="Juvenil 56kg",4,IF(Atletas!E287="Juvenil 60kg",5,IF(Atletas!E287="Juvenil 65kg",6,IF(Atletas!E287="Juvenil 70kg",7,IF(Atletas!E287="Juvenil 75kg",8,IF(Atletas!E287="Juvenil 82kg",9,IF(Atletas!E287="Juvenil 90kg",10,IF(Atletas!E287="Juvenil 100kg",11,IF(Atletas!E287="Adulto 48kg",12,IF(Atletas!E287="Adulto 52kg",13,IF(Atletas!E287="Adulto 56kg",14,IF(Atletas!E287="Adulto 60kg",15,IF(Atletas!E287="Adulto 65kg",16,IF(Atletas!E287="Adulto 70kg",17,IF(Atletas!E287="Adulto 75kg",18,IF(Atletas!E287="Adulto 82kg",19,IF(Atletas!E287="Adulto 90kg",20,IF(Atletas!E287="Adulto 100kg",21,IF(Atletas!E287="Adulto +100kg",22,""))))))))))))))))))))))))</f>
        <v/>
      </c>
      <c r="AT291" s="10" t="str">
        <f>IF(Atletas!F287="","",IF(Atletas!B287="Feminino",100,IF(Atletas!B287="Masculino",200,""))+(IF(Atletas!F287="Adulto 48kg",1,IF(Atletas!F287="Adulto 56kg",2,IF(Atletas!F287="Adulto 65kg",3,IF(Atletas!F287="Adulto 75kg",4,IF(Atletas!F287="Adulto +75kg",5,IF(Atletas!F287="Adulto 52kg",6,IF(Atletas!F287="Adulto 60kg",7,IF(Atletas!F287="Adulto 70kg",8,IF(Atletas!F287="Adulto 80kg",9,IF(Atletas!F287="Adulto 90kg",10,IF(Atletas!F287="Adulto +90kg",11,"")))))))))))))</f>
        <v/>
      </c>
      <c r="AY291" s="46" t="str">
        <f>IF(Atletas!G287="","",IF(Atletas!B287="Feminino",100,IF(Atletas!B287="Masculino",200,""))+(IF(Atletas!G287="Changquan Mirim",1,IF(Atletas!G287="Nanquan Mirim",2,IF(Atletas!G287="Taijiquan Mirim",3,IF(Atletas!G287="Changquan Grupo C",4,IF(Atletas!G287="Nanquan Grupo C",5,IF(Atletas!G287="Taijiquan Grupo C",6,IF(Atletas!G287="Changquan Grupo B",7,IF(Atletas!G287="Nanquan Grupo B",8,IF(Atletas!G287="Taijiquan Grupo B",9,IF(Atletas!G287="Changquan Grupo A",10,IF(Atletas!G287="Nanquan Grupo A",11,IF(Atletas!G287="Taijiquan Grupo A",12,IF(Atletas!G287="Changquan Opcional",13,IF(Atletas!G287="Nanquan Opcional",14,IF(Atletas!G287="Taijiquan Opcional",15,IF(Atletas!G287="Changquan Adulto",16,IF(Atletas!G287="Nanquan Adulto",17,IF(Atletas!G287="Taijiquan Adulto",18,""))))))))))))))))))))</f>
        <v/>
      </c>
      <c r="AZ291" s="46" t="str">
        <f>IF(Atletas!H287="","",IF(Atletas!B287="Feminino",100,IF(Atletas!B287="Masculino",200,""))+(IF(Atletas!H287="Daoshu Mirim",19,IF(Atletas!H287="Jianshu Mirim",20,IF(Atletas!H287="Nandao Mirim",21,IF(Atletas!H287="Taijijian Mirim",22,IF(Atletas!H287="Daoshu Grupo C",23,IF(Atletas!H287="Jianshu Grupo C",24,IF(Atletas!H287="Nandao Grupo C",25,IF(Atletas!H287="Taijijian Grupo C",26,IF(Atletas!H287="Daoshu Grupo B",27,IF(Atletas!H287="Jianshu Grupo B",28,IF(Atletas!H287="Nandao Grupo B",29,IF(Atletas!H287="Taijijian Grupo B",30,IF(Atletas!H287="Daoshu Grupo A",31,IF(Atletas!H287="Jianshu Grupo A",32,IF(Atletas!H287="Nandao Grupo A",33,IF(Atletas!H287="Taijijian Grupo A",34,IF(Atletas!H287="Daoshu Opcional",35,IF(Atletas!H287="Jianshu Opcional",36,IF(Atletas!H287="Nandao Opcional",37,IF(Atletas!H287="Taijijian Opcional",38,IF(Atletas!H287="Daoshu Adulto",39,IF(Atletas!H287="Jianshu Adulto",40,IF(Atletas!H287="Nandao Adulto",41,IF(Atletas!H287="Taijijian Adulto",42,""))))))))))))))))))))))))))</f>
        <v/>
      </c>
      <c r="BA291" s="46" t="str">
        <f>IF(Atletas!I287="","",IF(Atletas!B287="Feminino",100,IF(Atletas!B287="Masculino",200,""))+(IF(Atletas!I287="Gunshu Mirim",43,IF(Atletas!I287="Qiangshu Mirim",44,IF(Atletas!I287="Nangun Mirim",45,IF(Atletas!I287="Gunshu Grupo C",46,IF(Atletas!I287="Qiangshu Grupo C",47,IF(Atletas!I287="Nangun Grupo C",48,IF(Atletas!I287="Gunshu Grupo B",49,IF(Atletas!I287="Qiangshu Grupo B",50,IF(Atletas!I287="Nangun Grupo B",51,IF(Atletas!I287="Gunshu Grupo A",52,IF(Atletas!I287="Qiangshu Grupo A",53,IF(Atletas!I287="Nangun Grupo A",54,IF(Atletas!I287="Gunshu Opcional",55,IF(Atletas!I287="Qiangshu Opcional",56,IF(Atletas!I287="Nangun Opcional",57,IF(Atletas!I287="Gunshu Adulto",58,IF(Atletas!I287="Qiangshu Adulto",59,IF(Atletas!I287="Nangun Adulto",60,""))))))))))))))))))))</f>
        <v/>
      </c>
      <c r="BF291" s="52" t="str">
        <f>IF(Atletas!J287="","",IF(Atletas!B287="Feminino",100,IF(Atletas!B287="Masculino",200,""))+(IF(Atletas!J287="Equipe 1 Grupo B",1,IF(Atletas!J287="Equipe 2 Grupo B",2,IF(Atletas!J287="Equipe 1 Grupo A",3,IF(Atletas!J287="Equipe 2 Grupo A",4,IF(Atletas!J287="Equipe 1 Adulto",5,IF(Atletas!J287="Equipe 2 Adulto",6,""))))))))</f>
        <v/>
      </c>
      <c r="BK291" s="52" t="str">
        <f>IF(Atletas!K287="","",IF(Atletas!W287&lt;&gt;"",10000,0)+(IF(Atletas!B287="Feminino",1000,IF(Atletas!B287="Masculino",2000,""))+IF(Atletas!K287="Choylayfut A",1,IF(Atletas!K287="Hunggar A",2,IF(Atletas!K287="Wuzuquan A",3,IF(Atletas!K287="Wingchun A",4,IF(Atletas!K287="Outra Mão de Sul A",5,IF(Atletas!K287="Choylayfut B",6,IF(Atletas!K287="Hunggar B",7,IF(Atletas!K287="Wuzuquan B",8,IF(Atletas!K287="Wingchun B",9,IF(Atletas!K287="Outra Mão de Sul B",10,IF(Atletas!K287="Choylayfut C",11,IF(Atletas!K287="Hunggar C",12,IF(Atletas!K287="Wuzuquan C",13,IF(Atletas!K287="Wingchun C",14,IF(Atletas!K287="Outra Mão de Sul C",15,IF(Atletas!K287="Choylayfut D",16,IF(Atletas!K287="Hunggar D",17,IF(Atletas!K287="Wuzuquan D",18,IF(Atletas!K287="Wingchun D",19,IF(Atletas!K287="Outra Mão de Sul D",20,IF(Atletas!K287="Choylayfut E",21,IF(Atletas!K287="Hunggar E",22,IF(Atletas!K287="Wuzuquan E",23,IF(Atletas!K287="Wingchun E",24,IF(Atletas!K287="Outra Mão de Sul E",25,IF(Atletas!K287="Choylayfut F",26,IF(Atletas!K287="Hunggar F",27,IF(Atletas!K287="Wuzuquan F",28,IF(Atletas!K287="Wingchun F",29,IF(Atletas!K287="Outra Mão de Sul F",30,""))))))))))))))))))))))))))))))))</f>
        <v/>
      </c>
      <c r="BL291" s="52" t="str">
        <f>IF(Atletas!L287="","",IF(Atletas!W287&lt;&gt;"",10000,0)+(IF(Atletas!B287="Feminino",1000,IF(Atletas!B287="Masculino",2000,""))+(IF(Atletas!L287="Chaquan A",101,IF(Atletas!L287="Emeiquan A",102,IF(Atletas!L287="Fanziquan A",103,IF(Atletas!L287="Huaquan A",104,IF(Atletas!L287="Hongquan A",105,IF(Atletas!L287="Paochui A",106,IF(Atletas!L287="Piguaquan A",107,IF(Atletas!L287="Shaolinquan A",108,IF(Atletas!L287="Tanglangquan A",109,IF(Atletas!L287="Yinzhaophai A",110,IF(Atletas!L287="Tongbeiquan A",111,IF(Atletas!L287="Wudangquan A",112,IF(Atletas!L287="Outros Estilos A",113,IF(Atletas!L287="Chaquan B",114,IF(Atletas!L287="Emeiquan B",115,IF(Atletas!L287="Fanziquan B",116,IF(Atletas!L287="Huaquan B",117,IF(Atletas!L287="Hongquan B",118,IF(Atletas!L287="Paochui B",119,IF(Atletas!L287="Piguaquan B",120,IF(Atletas!L287="Shaolinquan B",121,IF(Atletas!L287="Tanglangquan B",122,IF(Atletas!L287="Yinzhaophai B",123,IF(Atletas!L287="Tongbeiquan B",124,IF(Atletas!L287="Wudangquan B",125,IF(Atletas!L287="Outros Estilos B",126,IF(Atletas!L287="Chaquan C",127,IF(Atletas!L287="Emeiquan C",128,IF(Atletas!L287="Fanziquan C",129,IF(Atletas!L287="Huaquan C",130,IF(Atletas!L287="Hongquan C",131,IF(Atletas!L287="Paochui C",132,IF(Atletas!L287="Piguaquan C",133,IF(Atletas!L287="Shaolinquan C",134,IF(Atletas!L287="Tanglangquan C",135,IF(Atletas!L287="Yinzhaophai C",136,IF(Atletas!L287="Tongbeiquan C",137,IF(Atletas!L287="Wudangquan C",138,IF(Atletas!L287="Outros Estilos C",139,0))))))))))))))))))))))))))))))))))))))))))</f>
        <v/>
      </c>
      <c r="BM291" s="52" t="str">
        <f>IF(Atletas!L287="","",IF(Atletas!W287&lt;&gt;"",10000,0)+(IF(Atletas!B287="Feminino",1000,IF(Atletas!B287="Masculino",2000,""))+(IF(Atletas!L287="Chaquan D",140,IF(Atletas!L287="Emeiquan D",141,IF(Atletas!L287="Fanziquan D",142,IF(Atletas!L287="Huaquan D",143,IF(Atletas!L287="Hongquan D",144,IF(Atletas!L287="Paochui D",145,IF(Atletas!L287="Piguaquan D",146,IF(Atletas!L287="Shaolinquan D",147,IF(Atletas!L287="Tanglangquan D",148,IF(Atletas!L287="Yinzhaophai D",149,IF(Atletas!L287="Tongbeiquan D",150,IF(Atletas!L287="Wudangquan D",151,IF(Atletas!L287="Outros Estilos D",152,IF(Atletas!L287="Chaquan E",153,IF(Atletas!L287="Emeiquan E",154,IF(Atletas!L287="Fanziquan E",155,IF(Atletas!L287="Huaquan E",156,IF(Atletas!L287="Hongquan E",157,IF(Atletas!L287="Paochui E",158,IF(Atletas!L287="Piguaquan E",159,IF(Atletas!L287="Shaolinquan E",160,IF(Atletas!L287="Tanglangquan E",161,IF(Atletas!L287="Yinzhaophai E",162,IF(Atletas!L287="Tongbeiquan E",163,IF(Atletas!L287="Wudangquan E",164,IF(Atletas!L287="Outros Estilos E",165,IF(Atletas!L287="Chaquan F",166,IF(Atletas!L287="Emeiquan F",167,IF(Atletas!L287="Fanziquan F",168,IF(Atletas!L287="Huaquan F",169,IF(Atletas!L287="Hongquan F",170,IF(Atletas!L287="Paochui F",171,IF(Atletas!L287="Piguaquan F",172,IF(Atletas!L287="Shaolinquan F",173,IF(Atletas!L287="Tanglangquan F",174,IF(Atletas!L287="Yinzhaophai F",175,IF(Atletas!L287="Tongbeiquan F",176,IF(Atletas!L287="Wudangquan F",177,IF(Atletas!L287="Outros Estilos F",178,0))))))))))))))))))))))))))))))))))))))))))</f>
        <v/>
      </c>
      <c r="BN291" s="52" t="str">
        <f>IF(Atletas!M287="","",IF(Atletas!W287&lt;&gt;"",10000,0)+(IF(Atletas!B287="Feminino",1000,IF(Atletas!B287="Masculino",2000,""))+(IF(Atletas!M287="Ditangquan A",201,IF(Atletas!M287="Houquan A",202,IF(Atletas!M287="Zuiquan A",203,IF(Atletas!M287="Ditangquan B",204,IF(Atletas!M287="Houquan B",205,IF(Atletas!M287="Zuiquan B",206,IF(Atletas!M287="Ditangquan C",207,IF(Atletas!M287="Houquan C",208,IF(Atletas!M287="Zuiquan C",209,IF(Atletas!M287="Ditangquan D",210,IF(Atletas!M287="Houquan D",211,IF(Atletas!M287="Zuiquan D",212,IF(Atletas!M287="Ditangquan E",213,IF(Atletas!M287="Houquan E",214,IF(Atletas!M287="Zuiquan E",215,IF(Atletas!M287="Ditangquan F",216,IF(Atletas!M287="Houquan F",217,IF(Atletas!M287="Zuiquan F",218,"")))))))))))))))))))))</f>
        <v/>
      </c>
      <c r="BO291" s="52" t="str">
        <f>IF(Atletas!N287="","",IF(Atletas!W287&lt;&gt;"",10000,0)+IF(Atletas!B287="Feminino",1000,IF(Atletas!B287="Masculino",2000,""))+IF(Atletas!N287="Yang A",301,IF(Atletas!N287="Chen A",30,IF(Atletas!N287="Sun A",303,IF(Atletas!N287="Wu A",304,IF(Atletas!N287="Wu-Hao A",305,IF(Atletas!N287="Outro Taijiquan A",306,IF(Atletas!N287="Yang B",307,IF(Atletas!N287="Chen B",308,IF(Atletas!N287="Sun B",309,IF(Atletas!N287="Wu B",310,IF(Atletas!N287="Wu-Hao B",311,IF(Atletas!N287="Outro Taijiquan B",312,IF(Atletas!N287="Yang C",313,IF(Atletas!N287="Chen C",314,IF(Atletas!N287="Sun C",315,IF(Atletas!N287="Wu C",316,IF(Atletas!N287="Wu-Hao C",317,IF(Atletas!N287="Outro Taijiquan C",318,IF(Atletas!N287="Yang D",319,IF(Atletas!N287="Chen D",320,IF(Atletas!N287="Sun D",321,IF(Atletas!N287="Wu D",322,IF(Atletas!N287="Wu-Hao D",323,IF(Atletas!N287="Outro Taijiquan D",324,IF(Atletas!N287="Yang E",325,IF(Atletas!N287="Chen E",326,IF(Atletas!N287="Sun E",327,IF(Atletas!N287="Wu E",328,IF(Atletas!N287="Wu-Hao E",329,IF(Atletas!N287="Outro Taijiquan E",330,IF(Atletas!N287="Yang F",331,IF(Atletas!N287="Chen F",332,IF(Atletas!N287="Sun F",333,IF(Atletas!N287="Wu F",334,IF(Atletas!N287="Wu-Hao F",335,IF(Atletas!N287="Outro Taijiquan F",336,"")))))))))))))))))))))))))))))))))))))</f>
        <v/>
      </c>
      <c r="BP291" s="52" t="str">
        <f>IF(Atletas!O287="","",IF(Atletas!W287&lt;&gt;"",10000,0)+IF(Atletas!B287="Feminino",1000,IF(Atletas!B287="Masculino",2000,""))+IF(OR(Atletas!O287="Yang 26 A",Atletas!O287="Yang 40 A"),401,IF(OR(Atletas!O287="Chen 25 A",Atletas!O287="Chen 36 A",Atletas!O287="Chen 56 A"),402,IF(Atletas!O287="Sun 73 A",403,IF(Atletas!O287="Wu 45 A",404,IF(Atletas!O287="Wu-Hao 46 A",405,IF(OR(Atletas!O287="Taijiquan 16 A",Atletas!O287="Taijiquan 24 A",Atletas!O287="Taijiquan 32 A",Atletas!O287="Taijiquan 42 A"),406,IF(OR(Atletas!O287="Yang 26 B",Atletas!O287="Yang 40 B"),407,IF(OR(Atletas!O287="Chen 25 B",Atletas!O287="Chen 36 B",Atletas!O287="Chen 56 B"),408,IF(Atletas!O287="Sun 73 B",409,IF(Atletas!O287="Wu 45 B",410,IF(Atletas!O287="Wu-Hao 46 B",411,IF(OR(Atletas!O287="Taijiquan 16 B",Atletas!O287="Taijiquan 24 B",Atletas!O287="Taijiquan 32 B",Atletas!O287="Taijiquan 42 B"),412,IF(OR(Atletas!O287="Yang 26 C",Atletas!O287="Yang 40 C"),413,IF(OR(Atletas!O287="Chen 25 C",Atletas!O287="Chen 36 C",Atletas!O287="Chen 56 C"),414,IF(Atletas!O287="Sun 73 C",415,IF(Atletas!O287="Wu 45 C",416,IF(Atletas!O287="Wu-Hao 46 C",417,IF(OR(Atletas!O287="Taijiquan 16 C",Atletas!O287="Taijiquan 24 C",Atletas!O287="Taijiquan 32 C",Atletas!O287="Taijiquan 42 C"),418,0)))))))))))))))))))</f>
        <v/>
      </c>
      <c r="BQ291" s="52" t="str">
        <f>IF(Atletas!O287="","",IF(Atletas!W287&lt;&gt;"",10000,0)+IF(Atletas!B287="Feminino",1000,IF(Atletas!B287="Masculino",2000,""))+IF(OR(Atletas!O287="Yang 26 D",Atletas!O287="Yang 40 D"),419,IF(OR(Atletas!O287="Chen 25 D",Atletas!O287="Chen 36 D",Atletas!O287="Chen 56 D"),420,IF(Atletas!O287="Sun 73 D",421,IF(Atletas!O287="Wu 45 D",422,IF(Atletas!O287="Wu-Hao 46 D",423,IF(OR(Atletas!O287="Taijiquan 16 D",Atletas!O287="Taijiquan 24 D",Atletas!O287="Taijiquan 32 D",Atletas!O287="Taijiquan 42 D"),424,IF(OR(Atletas!O287="Yang 26 E",Atletas!O287="Yang 40 E"),425,IF(OR(Atletas!O287="Chen 25 E",Atletas!O287="Chen 36 E",Atletas!O287="Chen 56 E"),426,IF(Atletas!O287="Sun 73 E",427,IF(Atletas!O287="Wu 45 E",428,IF(Atletas!O287="Wu-Hao 46 E",429,IF(OR(Atletas!O287="Taijiquan 16 E",Atletas!O287="Taijiquan 24 E",Atletas!O287="Taijiquan 32 E",Atletas!O287="Taijiquan 42 E"),430,IF(OR(Atletas!O287="Yang 26 F",Atletas!O287="Yang 40 F"),431,IF(OR(Atletas!O287="Chen 25 F",Atletas!O287="Chen 36 F",Atletas!O287="Chen 56 F"),432,IF(Atletas!O287="Sun 73 F",433,IF(Atletas!O287="Wu 45 F",434,IF(Atletas!O287="Wu-Hao 46 F",435,IF(OR(Atletas!O287="Taijiquan 16 F",Atletas!O287="Taijiquan 24 F",Atletas!O287="Taijiquan 32 F",Atletas!O287="Taijiquan 42 F"),436,0)))))))))))))))))))</f>
        <v/>
      </c>
      <c r="BR291" s="52" t="str">
        <f>IF(Atletas!P287="","",IF(Atletas!W287&lt;&gt;"",10000,0)+IF(Atletas!B287="Feminino",1000,IF(Atletas!B287="Masculino",2000,""))+IF(Atletas!P287="Xingyiquan A",501,IF(Atletas!P287="Baguazhang A",502,IF(Atletas!P287="Outro Estilo Interno A",503,IF(Atletas!P287="Xingyiquan B",504,IF(Atletas!P287="Baguazhang B",505,IF(Atletas!P287="Outro Estilo Interno B",506,IF(Atletas!P287="Xingyiquan C",507,IF(Atletas!P287="Baguazhang C",508,IF(Atletas!P287="Outro Estilo Interno C",509,IF(Atletas!P287="Xingyiquan D",510,IF(Atletas!P287="Baguazhang D",511,IF(Atletas!P287="Outro Estilo Interno D",512,IF(Atletas!P287="Xingyiquan E",513,IF(Atletas!P287="Baguazhang E",514,IF(Atletas!P287="Outro Estilo Interno E",515,IF(Atletas!P287="Xingyiquan F",516,IF(Atletas!P287="Baguazhang F",517,IF(Atletas!P287="Outro Estilo Interno F",518, "")))))))))))))))))))</f>
        <v/>
      </c>
      <c r="BS291" s="52" t="str">
        <f>IF(Atletas!Q287="","",IF(Atletas!W287&lt;&gt;"",10000,0)+IF(Atletas!B287="Feminino",1000,IF(Atletas!B287="Masculino",2000,""))+IF(Atletas!Q287="Dao A",601,IF(Atletas!Q287="Jian A",602,IF(Atletas!Q287="Bishou A",603,IF(Atletas!Q287="Shan A",604,IF(Atletas!Q287="Outra Arma Curta A",605,IF(Atletas!Q287="Dao B",606,IF(Atletas!Q287="Jian B",607,IF(Atletas!Q287="Bishou B",608,IF(Atletas!Q287="Shan B",609,IF(Atletas!Q287="Outra Arma Curta B",610,IF(Atletas!Q287="Dao C",611,IF(Atletas!Q287="Jian C",612,IF(Atletas!Q287="Bishou C",613,IF(Atletas!Q287="Shan C",614,IF(Atletas!Q287="Outra Arma Curta C",615,IF(Atletas!Q287="Dao D",616,IF(Atletas!Q287="Jian D",617,IF(Atletas!Q287="Bishou D",618,IF(Atletas!Q287="Shan D",619,IF(Atletas!Q287="Outra Arma Curta D",620,IF(Atletas!Q287="Dao E",621,IF(Atletas!Q287="Jian E",622,IF(Atletas!Q287="Bishou E",623,IF(Atletas!Q287="Shan E",624,IF(Atletas!Q287="Outra Arma Curta E",625,IF(Atletas!Q287="Dao F",626,IF(Atletas!Q287="Jian F",627,IF(Atletas!Q287="Bishou F",628,IF(Atletas!Q287="Shan F",629,IF(Atletas!Q287="Outra Arma Curta F",630, "")))))))))))))))))))))))))))))))</f>
        <v/>
      </c>
      <c r="BT291" s="52" t="str">
        <f>IF(Atletas!R287="","",IF(Atletas!W287&lt;&gt;"",10000,0)+IF(Atletas!B287="Feminino",1000,IF(Atletas!B287="Masculino",2000,""))+IF(Atletas!R287="Gun A",701,IF(Atletas!R287="Qiang A",702,IF(Atletas!R287="Pudao / Guandao A",703,IF(Atletas!R287="Outra Arma Longa A",704,IF(Atletas!R287="Gun B",705,IF(Atletas!R287="Qiang B",706,IF(Atletas!R287="Pudao / Guandao B",707,IF(Atletas!R287="Outra Arma Longa B",708,IF(Atletas!R287="Gun C",709,IF(Atletas!R287="Qiang C",710,IF(Atletas!R287="Pudao / Guandao C",711,IF(Atletas!R287="Outra Arma Longa C",712,IF(Atletas!R287="Gun D",713,IF(Atletas!R287="Qiang D",714,IF(Atletas!R287="Pudao / Guandao D",715,IF(Atletas!R287="Outra Arma Longa D",716,IF(Atletas!R287="Gun E",717,IF(Atletas!R287="Qiang E",718,IF(Atletas!R287="Pudao / Guandao E",719,IF(Atletas!R287="Outra Arma Longa E",720,IF(Atletas!R287="Gun F",721,IF(Atletas!R287="Qiang F",722,IF(Atletas!R287="Pudao / Guandao F",723,IF(Atletas!R287="Outra Arma Longa F",724,"")))))))))))))))))))))))))</f>
        <v/>
      </c>
      <c r="BU291" s="52" t="str">
        <f>IF(Atletas!S287="","",IF(Atletas!W287&lt;&gt;"",10000,0)+IF(Atletas!B287="Feminino",1000,IF(Atletas!B287="Masculino",2000,""))+IF(Atletas!S287="Arma Dupla A",801,IF(Atletas!S287="Arma Maleável A",802,IF(Atletas!S287="Arma Dupla B",803,IF(Atletas!S287="Arma Maleável B",804,IF(Atletas!S287="Arma Dupla C",805,IF(Atletas!S287="Arma Maleável C",806,IF(Atletas!S287="Arma Dupla D",807,IF(Atletas!S287="Arma Maleável D",808,IF(Atletas!S287="Arma Dupla E",809,IF(Atletas!S287="Arma Maleável E",810,IF(Atletas!S287="Arma Dupla F",811,IF(Atletas!S287="Arma Maleável F",812, "")))))))))))))</f>
        <v/>
      </c>
      <c r="BV291" s="52" t="str">
        <f>IF(Atletas!T287="","",IF(Atletas!W287&lt;&gt;"",10000,0)+IF(Atletas!B287="Feminino",1000,IF(Atletas!B287="Masculino",2000,""))+IF(Atletas!T287="Taijijian Yang A",901,IF(Atletas!T287="Taijijian Chen A",902,IF(Atletas!T287="Taijijian Sun A",903,IF(Atletas!T287="Taijijian Wu A",904,IF(Atletas!T287="Taijijian Wu-Hao A",905,IF(Atletas!T287="Taijijian 32 A",906,IF(Atletas!T287="Taijijian 42 A",907,IF(Atletas!T287="Taijijian Yang B",908,IF(Atletas!T287="Taijijian Chen B",909,IF(Atletas!T287="Taijijian Sun B",910,IF(Atletas!T287="Taijijian Wu B",911,IF(Atletas!T287="Taijijian Wu-Hao B",912,IF(Atletas!T287="Taijijian 32 B",913,IF(Atletas!T287="Taijijian 42 B",914,IF(Atletas!T287="Taijijian Yang C",915,IF(Atletas!T287="Taijijian Chen C",916,IF(Atletas!T287="Taijijian Sun C",917,IF(Atletas!T287="Taijijian Wu C",918,IF(Atletas!T287="Taijijian Wu-Hao C",919,IF(Atletas!T287="Taijijian 32 C",920,IF(Atletas!T287="Taijijian 42 C",921,IF(Atletas!T287="Taijijian Yang D",922,IF(Atletas!T287="Taijijian Chen D",923,IF(Atletas!T287="Taijijian Sun D",924,IF(Atletas!T287="Taijijian Wu D",925,IF(Atletas!T287="Taijijian Wu-Hao D",926,IF(Atletas!T287="Taijijian 32 D",927,IF(Atletas!T287="Taijijian 42 D",928,IF(Atletas!T287="Taijijian Yang E",929,IF(Atletas!T287="Taijijian Chen E",930,IF(Atletas!T287="Taijijian Sun E",931,IF(Atletas!T287="Taijijian Wu E",932,IF(Atletas!T287="Taijijian Wu-Hao E",933,IF(Atletas!T287="Taijijian 32 E",934,IF(Atletas!T287="Taijijian 42 E",935,IF(Atletas!T287="Taijijian Yang F",936,IF(Atletas!T287="Taijijian Chen F",937,IF(Atletas!T287="Taijijian Sun F",938,IF(Atletas!T287="Taijijian Wu F",939,IF(Atletas!T287="Taijijian Wu-Hao F",940,IF(Atletas!T287="Taijijian 32 F",941,IF(Atletas!T287="Taijijian 42 F",942,"")))))))))))))))))))))))))))))))))))))))))))</f>
        <v/>
      </c>
      <c r="BW291" s="52" t="str">
        <f>IF(Atletas!U287="","",IF(Atletas!W287&lt;&gt;"",10000,0)+IF(Atletas!B287="Feminino",1000,IF(Atletas!B287="Masculino",2000,""))+IF(Atletas!T287="Taijijian 42 F",942,IF(Atletas!U287="Taijidao A",943,IF(Atletas!U287="Taijishan A",944,IF(Atletas!U287="Taijiqiang A",945,IF(Atletas!U287="Taijidao B",946,IF(Atletas!U287="Taijishan B",947,IF(Atletas!U287="Taijiqiang B",948,IF(Atletas!U287="Taijidao C",949,IF(Atletas!U287="Taijishan C",950,IF(Atletas!U287="Taijiqiang C",951,IF(Atletas!U287="Taijidao D",952,IF(Atletas!U287="Taijishan D",953,IF(Atletas!U287="Taijiqiang D",954,IF(Atletas!U287="Taijidao E",955,IF(Atletas!U287="Taijishan E",956,IF(Atletas!U287="Taijiqiang E",957,IF(Atletas!U287="Taijidao F",958,IF(Atletas!U287="Taijishan F",959,IF(Atletas!U287="Taijiqiang F",960))))))))))))))))))))</f>
        <v/>
      </c>
      <c r="BX291" s="72" t="str">
        <f>IF(BY291&lt;&gt;"","Taijijian Sun A","")</f>
        <v/>
      </c>
      <c r="BY291" s="72" t="str">
        <f>IF(COUNTIF(BK:BW,1903)&gt;0,COUNTIF(BK:BW,1903),"")</f>
        <v/>
      </c>
      <c r="BZ291" s="72" t="str">
        <f>IF(CA291&lt;&gt;"","Taijijian Sun A","")</f>
        <v/>
      </c>
      <c r="CA291" s="72" t="str">
        <f>IF(COUNTIF(BK:BW,2903)&gt;0,COUNTIF(BK:BW,2903),"")</f>
        <v/>
      </c>
      <c r="CB291" s="72" t="str">
        <f>IF(CC291&lt;&gt;"","Shan B","")</f>
        <v/>
      </c>
      <c r="CC291" s="64" t="str">
        <f>IF(COUNTIF(BK:BW,11609)&gt;0,COUNTIF(BK:BW,11609),"")</f>
        <v/>
      </c>
      <c r="CD291" s="64" t="str">
        <f>IF(CE291&lt;&gt;"","Shan B","")</f>
        <v/>
      </c>
      <c r="CE291" s="64" t="str">
        <f>IF(COUNTIF(BK:BW,12609)&gt;0,COUNTIF(BK:BW,12609),"")</f>
        <v/>
      </c>
      <c r="CF291" s="52" t="str">
        <f xml:space="preserve"> IF(Atletas!V287="","",IF(Atletas!V287="Duilian de Mãos AB - Equipe 1",1,IF(Atletas!V287="Duilian de Mãos AB - Equipe 2",2,IF(Atletas!V287="Duilian de Armas AB - Equipe 1",3,IF(Atletas!V287="Duilian de Armas AB - Equipe 2",4,IF(Atletas!V287="Duilian de Tuishou - Equipe 1",5,IF(Atletas!V287="Duilian de Tuishou - Equipe 2",6,IF(Atletas!V287="Grupo Externo AB - Equipe 1",7,IF(Atletas!V287="Grupo Externo AB - Equipe 2",8,IF(Atletas!V287="Grupo Interno AB - Equipe 1",9,IF(Atletas!V287="Grupo Interno AB - Equipe 2",10,IF(Atletas!V287="Duilian de Mãos CD - Equipe 1",11,IF(Atletas!V287="Duilian de Mãos CD - Equipe 2",12,IF(Atletas!V287="Duilian de Armas CD - Equipe 1",13,IF(Atletas!V287="Duilian de Armas CD - Equipe 2",14,IF(Atletas!V287="Duilian de Tuishou - Equipe 1",15,IF(Atletas!V287="Duilian de Tuishou - Equipe 2",16,IF(Atletas!V287="Grupo Externo CDEF - Equipe 1",17,IF(Atletas!V287="Grupo Externo CDEF - Equipe 2",18,IF(Atletas!V287="Grupo Interno CDEF - Equipe 1",19,IF(Atletas!V287="Grupo Interno CDEF - Equipe 2",20,IF(Atletas!V287="Duilian de Mãos EF - Equipe 1",21,IF(Atletas!V287="Duilian de Mãos EF - Equipe 2",22,IF(Atletas!V287="Duilian de Armas EF - Equipe 1",23,IF(Atletas!V287="Duilian de Armas EF - Equipe 2",24,IF(Atletas!V287="Duilian de Tuishou - Equipe 1",25,IF(Atletas!V287="Duilian de Tuishou - Equipe 2",26,"")))))))))))))))))))))))))))</f>
        <v/>
      </c>
    </row>
    <row r="292" spans="2:84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 t="str">
        <f t="array" ref="V292">IFERROR(INDEX(BX$7:BX$336,SMALL(IF(BX$7:BX$336&lt;&gt;"",ROW(BX$7:BX$336)-ROW(BX$7)+1),ROWS(BX$7:BX249))),"")</f>
        <v/>
      </c>
      <c r="W292" s="4" t="str">
        <f t="array" ref="W292">IFERROR(INDEX(BY$7:BY$336,SMALL(IF(BY$7:BY$336&lt;&gt;"",ROW(BY$7:BY$336)-ROW(BY$7)+1),ROWS(BY$7:BY249))),"")</f>
        <v/>
      </c>
      <c r="X292" s="4" t="str">
        <f t="array" ref="X292">IFERROR(INDEX(BZ$7:BZ$336,SMALL(IF(BZ$7:BZ$336&lt;&gt;"",ROW(BZ$7:BZ$336)-ROW(BZ$7)+1),ROWS(BZ$7:BZ249))),"")</f>
        <v/>
      </c>
      <c r="Y292" s="4" t="str">
        <f t="array" ref="Y292">IFERROR(INDEX(CA$7:CA$336,SMALL(IF(CA$7:CA$336&lt;&gt;"",ROW(CA$7:CA$336)-ROW(CA$7)+1),ROWS(CA$7:CA249))),"")</f>
        <v/>
      </c>
      <c r="Z292" s="4" t="str">
        <f t="array" ref="Z292">IFERROR(INDEX(CB$7:CB$378,SMALL(IF(CB$7:CB$378&lt;&gt;"",ROW(CB$7:CB$378)-ROW(CB$7)+1),ROWS(CB$7:CB291))),"")</f>
        <v/>
      </c>
      <c r="AA292" s="4" t="str">
        <f t="array" ref="AA292">IFERROR(INDEX(CC$7:CC$378,SMALL(IF(CC$7:CC$378&lt;&gt;"",ROW(CC$7:CC$378)-ROW(CC$7)+1),ROWS(CC$7:CC291))),"")</f>
        <v/>
      </c>
      <c r="AB292" s="4" t="str">
        <f t="array" ref="AB292">IFERROR(INDEX(CD$7:CD$378,SMALL(IF(CD$7:CD$378&lt;&gt;"",ROW(CD$7:CD$378)-ROW(CD$7)+1),ROWS(CD$7:CD291))),"")</f>
        <v/>
      </c>
      <c r="AC292" s="4" t="str">
        <f t="array" ref="AC292">IFERROR(INDEX(CE$7:CE$378,SMALL(IF(CE$7:CE$378&lt;&gt;"",ROW(CE$7:CE$378)-ROW(CE$7)+1),ROWS(CE$7:CE291))),"")</f>
        <v/>
      </c>
      <c r="AD292" s="4"/>
      <c r="AE292" s="4"/>
      <c r="AF292" s="4"/>
      <c r="AG292" s="4"/>
      <c r="AH292" s="4"/>
      <c r="AI292" s="4"/>
      <c r="AJ292" s="46" t="str">
        <f>IF(Atletas!D288="","",IF(Atletas!B288="Feminino",100,IF(Atletas!B288="Masculino",200,""))+(IF(Atletas!D288="Infantil 39kg",1,IF(Atletas!D288="Infantil 42kg",2,IF(Atletas!D288="Infantil 45kg",3,IF(Atletas!D288="Infantil 48kg",4,IF(Atletas!D288="Infantil 52kg",5,IF(Atletas!D288="Infantil 56kg",6,IF(Atletas!D288="Infantil 60kg",7,IF(Atletas!D288="Juvenil 48kg",8,IF(Atletas!D288="Juvenil 52kg",9,IF(Atletas!D288="Juvenil 56kg",10,IF(Atletas!D288="Juvenil 60kg",11,IF(Atletas!D288="Juvenil 65kg",12,IF(Atletas!D288="Juvenil 70kg",13,IF(Atletas!D288="Juvenil 75kg",14,IF(Atletas!D288="Juvenil 80kg",15,IF(Atletas!D288="Adulto 48kg",16,IF(Atletas!D288="Adulto 52kg",17,IF(Atletas!D288="Adulto 56kg",18,IF(Atletas!D288="Adulto 60kg",19,IF(Atletas!D288="Adulto 65kg",20,IF(Atletas!D288="Adulto 70kg",21,IF(Atletas!D288="Adulto 75kg",22,IF(Atletas!D288="Adulto 80kg",23,IF(Atletas!D288="Adulto 85kg",24,IF(Atletas!D288="Adulto 90kg",25,IF(Atletas!D288="Adulto +90kg",26,""))))))))))))))))))))))))))))</f>
        <v/>
      </c>
      <c r="AO292" s="10" t="str">
        <f>IF(Atletas!E288="","",IF(Atletas!B288="Feminino",100,IF(Atletas!B288="Masculino",200,""))+(IF(Atletas!E288="Juvenil 44kg",1,IF(Atletas!E288="Juvenil 48kg",2,IF(Atletas!E288="Juvenil 52kg",3,IF(Atletas!E288="Juvenil 56kg",4,IF(Atletas!E288="Juvenil 60kg",5,IF(Atletas!E288="Juvenil 65kg",6,IF(Atletas!E288="Juvenil 70kg",7,IF(Atletas!E288="Juvenil 75kg",8,IF(Atletas!E288="Juvenil 82kg",9,IF(Atletas!E288="Juvenil 90kg",10,IF(Atletas!E288="Juvenil 100kg",11,IF(Atletas!E288="Adulto 48kg",12,IF(Atletas!E288="Adulto 52kg",13,IF(Atletas!E288="Adulto 56kg",14,IF(Atletas!E288="Adulto 60kg",15,IF(Atletas!E288="Adulto 65kg",16,IF(Atletas!E288="Adulto 70kg",17,IF(Atletas!E288="Adulto 75kg",18,IF(Atletas!E288="Adulto 82kg",19,IF(Atletas!E288="Adulto 90kg",20,IF(Atletas!E288="Adulto 100kg",21,IF(Atletas!E288="Adulto +100kg",22,""))))))))))))))))))))))))</f>
        <v/>
      </c>
      <c r="AT292" s="10" t="str">
        <f>IF(Atletas!F288="","",IF(Atletas!B288="Feminino",100,IF(Atletas!B288="Masculino",200,""))+(IF(Atletas!F288="Adulto 48kg",1,IF(Atletas!F288="Adulto 56kg",2,IF(Atletas!F288="Adulto 65kg",3,IF(Atletas!F288="Adulto 75kg",4,IF(Atletas!F288="Adulto +75kg",5,IF(Atletas!F288="Adulto 52kg",6,IF(Atletas!F288="Adulto 60kg",7,IF(Atletas!F288="Adulto 70kg",8,IF(Atletas!F288="Adulto 80kg",9,IF(Atletas!F288="Adulto 90kg",10,IF(Atletas!F288="Adulto +90kg",11,"")))))))))))))</f>
        <v/>
      </c>
      <c r="AY292" s="46" t="str">
        <f>IF(Atletas!G288="","",IF(Atletas!B288="Feminino",100,IF(Atletas!B288="Masculino",200,""))+(IF(Atletas!G288="Changquan Mirim",1,IF(Atletas!G288="Nanquan Mirim",2,IF(Atletas!G288="Taijiquan Mirim",3,IF(Atletas!G288="Changquan Grupo C",4,IF(Atletas!G288="Nanquan Grupo C",5,IF(Atletas!G288="Taijiquan Grupo C",6,IF(Atletas!G288="Changquan Grupo B",7,IF(Atletas!G288="Nanquan Grupo B",8,IF(Atletas!G288="Taijiquan Grupo B",9,IF(Atletas!G288="Changquan Grupo A",10,IF(Atletas!G288="Nanquan Grupo A",11,IF(Atletas!G288="Taijiquan Grupo A",12,IF(Atletas!G288="Changquan Opcional",13,IF(Atletas!G288="Nanquan Opcional",14,IF(Atletas!G288="Taijiquan Opcional",15,IF(Atletas!G288="Changquan Adulto",16,IF(Atletas!G288="Nanquan Adulto",17,IF(Atletas!G288="Taijiquan Adulto",18,""))))))))))))))))))))</f>
        <v/>
      </c>
      <c r="AZ292" s="46" t="str">
        <f>IF(Atletas!H288="","",IF(Atletas!B288="Feminino",100,IF(Atletas!B288="Masculino",200,""))+(IF(Atletas!H288="Daoshu Mirim",19,IF(Atletas!H288="Jianshu Mirim",20,IF(Atletas!H288="Nandao Mirim",21,IF(Atletas!H288="Taijijian Mirim",22,IF(Atletas!H288="Daoshu Grupo C",23,IF(Atletas!H288="Jianshu Grupo C",24,IF(Atletas!H288="Nandao Grupo C",25,IF(Atletas!H288="Taijijian Grupo C",26,IF(Atletas!H288="Daoshu Grupo B",27,IF(Atletas!H288="Jianshu Grupo B",28,IF(Atletas!H288="Nandao Grupo B",29,IF(Atletas!H288="Taijijian Grupo B",30,IF(Atletas!H288="Daoshu Grupo A",31,IF(Atletas!H288="Jianshu Grupo A",32,IF(Atletas!H288="Nandao Grupo A",33,IF(Atletas!H288="Taijijian Grupo A",34,IF(Atletas!H288="Daoshu Opcional",35,IF(Atletas!H288="Jianshu Opcional",36,IF(Atletas!H288="Nandao Opcional",37,IF(Atletas!H288="Taijijian Opcional",38,IF(Atletas!H288="Daoshu Adulto",39,IF(Atletas!H288="Jianshu Adulto",40,IF(Atletas!H288="Nandao Adulto",41,IF(Atletas!H288="Taijijian Adulto",42,""))))))))))))))))))))))))))</f>
        <v/>
      </c>
      <c r="BA292" s="46" t="str">
        <f>IF(Atletas!I288="","",IF(Atletas!B288="Feminino",100,IF(Atletas!B288="Masculino",200,""))+(IF(Atletas!I288="Gunshu Mirim",43,IF(Atletas!I288="Qiangshu Mirim",44,IF(Atletas!I288="Nangun Mirim",45,IF(Atletas!I288="Gunshu Grupo C",46,IF(Atletas!I288="Qiangshu Grupo C",47,IF(Atletas!I288="Nangun Grupo C",48,IF(Atletas!I288="Gunshu Grupo B",49,IF(Atletas!I288="Qiangshu Grupo B",50,IF(Atletas!I288="Nangun Grupo B",51,IF(Atletas!I288="Gunshu Grupo A",52,IF(Atletas!I288="Qiangshu Grupo A",53,IF(Atletas!I288="Nangun Grupo A",54,IF(Atletas!I288="Gunshu Opcional",55,IF(Atletas!I288="Qiangshu Opcional",56,IF(Atletas!I288="Nangun Opcional",57,IF(Atletas!I288="Gunshu Adulto",58,IF(Atletas!I288="Qiangshu Adulto",59,IF(Atletas!I288="Nangun Adulto",60,""))))))))))))))))))))</f>
        <v/>
      </c>
      <c r="BF292" s="52" t="str">
        <f>IF(Atletas!J288="","",IF(Atletas!B288="Feminino",100,IF(Atletas!B288="Masculino",200,""))+(IF(Atletas!J288="Equipe 1 Grupo B",1,IF(Atletas!J288="Equipe 2 Grupo B",2,IF(Atletas!J288="Equipe 1 Grupo A",3,IF(Atletas!J288="Equipe 2 Grupo A",4,IF(Atletas!J288="Equipe 1 Adulto",5,IF(Atletas!J288="Equipe 2 Adulto",6,""))))))))</f>
        <v/>
      </c>
      <c r="BK292" s="52" t="str">
        <f>IF(Atletas!K288="","",IF(Atletas!W288&lt;&gt;"",10000,0)+(IF(Atletas!B288="Feminino",1000,IF(Atletas!B288="Masculino",2000,""))+IF(Atletas!K288="Choylayfut A",1,IF(Atletas!K288="Hunggar A",2,IF(Atletas!K288="Wuzuquan A",3,IF(Atletas!K288="Wingchun A",4,IF(Atletas!K288="Outra Mão de Sul A",5,IF(Atletas!K288="Choylayfut B",6,IF(Atletas!K288="Hunggar B",7,IF(Atletas!K288="Wuzuquan B",8,IF(Atletas!K288="Wingchun B",9,IF(Atletas!K288="Outra Mão de Sul B",10,IF(Atletas!K288="Choylayfut C",11,IF(Atletas!K288="Hunggar C",12,IF(Atletas!K288="Wuzuquan C",13,IF(Atletas!K288="Wingchun C",14,IF(Atletas!K288="Outra Mão de Sul C",15,IF(Atletas!K288="Choylayfut D",16,IF(Atletas!K288="Hunggar D",17,IF(Atletas!K288="Wuzuquan D",18,IF(Atletas!K288="Wingchun D",19,IF(Atletas!K288="Outra Mão de Sul D",20,IF(Atletas!K288="Choylayfut E",21,IF(Atletas!K288="Hunggar E",22,IF(Atletas!K288="Wuzuquan E",23,IF(Atletas!K288="Wingchun E",24,IF(Atletas!K288="Outra Mão de Sul E",25,IF(Atletas!K288="Choylayfut F",26,IF(Atletas!K288="Hunggar F",27,IF(Atletas!K288="Wuzuquan F",28,IF(Atletas!K288="Wingchun F",29,IF(Atletas!K288="Outra Mão de Sul F",30,""))))))))))))))))))))))))))))))))</f>
        <v/>
      </c>
      <c r="BL292" s="52" t="str">
        <f>IF(Atletas!L288="","",IF(Atletas!W288&lt;&gt;"",10000,0)+(IF(Atletas!B288="Feminino",1000,IF(Atletas!B288="Masculino",2000,""))+(IF(Atletas!L288="Chaquan A",101,IF(Atletas!L288="Emeiquan A",102,IF(Atletas!L288="Fanziquan A",103,IF(Atletas!L288="Huaquan A",104,IF(Atletas!L288="Hongquan A",105,IF(Atletas!L288="Paochui A",106,IF(Atletas!L288="Piguaquan A",107,IF(Atletas!L288="Shaolinquan A",108,IF(Atletas!L288="Tanglangquan A",109,IF(Atletas!L288="Yinzhaophai A",110,IF(Atletas!L288="Tongbeiquan A",111,IF(Atletas!L288="Wudangquan A",112,IF(Atletas!L288="Outros Estilos A",113,IF(Atletas!L288="Chaquan B",114,IF(Atletas!L288="Emeiquan B",115,IF(Atletas!L288="Fanziquan B",116,IF(Atletas!L288="Huaquan B",117,IF(Atletas!L288="Hongquan B",118,IF(Atletas!L288="Paochui B",119,IF(Atletas!L288="Piguaquan B",120,IF(Atletas!L288="Shaolinquan B",121,IF(Atletas!L288="Tanglangquan B",122,IF(Atletas!L288="Yinzhaophai B",123,IF(Atletas!L288="Tongbeiquan B",124,IF(Atletas!L288="Wudangquan B",125,IF(Atletas!L288="Outros Estilos B",126,IF(Atletas!L288="Chaquan C",127,IF(Atletas!L288="Emeiquan C",128,IF(Atletas!L288="Fanziquan C",129,IF(Atletas!L288="Huaquan C",130,IF(Atletas!L288="Hongquan C",131,IF(Atletas!L288="Paochui C",132,IF(Atletas!L288="Piguaquan C",133,IF(Atletas!L288="Shaolinquan C",134,IF(Atletas!L288="Tanglangquan C",135,IF(Atletas!L288="Yinzhaophai C",136,IF(Atletas!L288="Tongbeiquan C",137,IF(Atletas!L288="Wudangquan C",138,IF(Atletas!L288="Outros Estilos C",139,0))))))))))))))))))))))))))))))))))))))))))</f>
        <v/>
      </c>
      <c r="BM292" s="52" t="str">
        <f>IF(Atletas!L288="","",IF(Atletas!W288&lt;&gt;"",10000,0)+(IF(Atletas!B288="Feminino",1000,IF(Atletas!B288="Masculino",2000,""))+(IF(Atletas!L288="Chaquan D",140,IF(Atletas!L288="Emeiquan D",141,IF(Atletas!L288="Fanziquan D",142,IF(Atletas!L288="Huaquan D",143,IF(Atletas!L288="Hongquan D",144,IF(Atletas!L288="Paochui D",145,IF(Atletas!L288="Piguaquan D",146,IF(Atletas!L288="Shaolinquan D",147,IF(Atletas!L288="Tanglangquan D",148,IF(Atletas!L288="Yinzhaophai D",149,IF(Atletas!L288="Tongbeiquan D",150,IF(Atletas!L288="Wudangquan D",151,IF(Atletas!L288="Outros Estilos D",152,IF(Atletas!L288="Chaquan E",153,IF(Atletas!L288="Emeiquan E",154,IF(Atletas!L288="Fanziquan E",155,IF(Atletas!L288="Huaquan E",156,IF(Atletas!L288="Hongquan E",157,IF(Atletas!L288="Paochui E",158,IF(Atletas!L288="Piguaquan E",159,IF(Atletas!L288="Shaolinquan E",160,IF(Atletas!L288="Tanglangquan E",161,IF(Atletas!L288="Yinzhaophai E",162,IF(Atletas!L288="Tongbeiquan E",163,IF(Atletas!L288="Wudangquan E",164,IF(Atletas!L288="Outros Estilos E",165,IF(Atletas!L288="Chaquan F",166,IF(Atletas!L288="Emeiquan F",167,IF(Atletas!L288="Fanziquan F",168,IF(Atletas!L288="Huaquan F",169,IF(Atletas!L288="Hongquan F",170,IF(Atletas!L288="Paochui F",171,IF(Atletas!L288="Piguaquan F",172,IF(Atletas!L288="Shaolinquan F",173,IF(Atletas!L288="Tanglangquan F",174,IF(Atletas!L288="Yinzhaophai F",175,IF(Atletas!L288="Tongbeiquan F",176,IF(Atletas!L288="Wudangquan F",177,IF(Atletas!L288="Outros Estilos F",178,0))))))))))))))))))))))))))))))))))))))))))</f>
        <v/>
      </c>
      <c r="BN292" s="52" t="str">
        <f>IF(Atletas!M288="","",IF(Atletas!W288&lt;&gt;"",10000,0)+(IF(Atletas!B288="Feminino",1000,IF(Atletas!B288="Masculino",2000,""))+(IF(Atletas!M288="Ditangquan A",201,IF(Atletas!M288="Houquan A",202,IF(Atletas!M288="Zuiquan A",203,IF(Atletas!M288="Ditangquan B",204,IF(Atletas!M288="Houquan B",205,IF(Atletas!M288="Zuiquan B",206,IF(Atletas!M288="Ditangquan C",207,IF(Atletas!M288="Houquan C",208,IF(Atletas!M288="Zuiquan C",209,IF(Atletas!M288="Ditangquan D",210,IF(Atletas!M288="Houquan D",211,IF(Atletas!M288="Zuiquan D",212,IF(Atletas!M288="Ditangquan E",213,IF(Atletas!M288="Houquan E",214,IF(Atletas!M288="Zuiquan E",215,IF(Atletas!M288="Ditangquan F",216,IF(Atletas!M288="Houquan F",217,IF(Atletas!M288="Zuiquan F",218,"")))))))))))))))))))))</f>
        <v/>
      </c>
      <c r="BO292" s="52" t="str">
        <f>IF(Atletas!N288="","",IF(Atletas!W288&lt;&gt;"",10000,0)+IF(Atletas!B288="Feminino",1000,IF(Atletas!B288="Masculino",2000,""))+IF(Atletas!N288="Yang A",301,IF(Atletas!N288="Chen A",30,IF(Atletas!N288="Sun A",303,IF(Atletas!N288="Wu A",304,IF(Atletas!N288="Wu-Hao A",305,IF(Atletas!N288="Outro Taijiquan A",306,IF(Atletas!N288="Yang B",307,IF(Atletas!N288="Chen B",308,IF(Atletas!N288="Sun B",309,IF(Atletas!N288="Wu B",310,IF(Atletas!N288="Wu-Hao B",311,IF(Atletas!N288="Outro Taijiquan B",312,IF(Atletas!N288="Yang C",313,IF(Atletas!N288="Chen C",314,IF(Atletas!N288="Sun C",315,IF(Atletas!N288="Wu C",316,IF(Atletas!N288="Wu-Hao C",317,IF(Atletas!N288="Outro Taijiquan C",318,IF(Atletas!N288="Yang D",319,IF(Atletas!N288="Chen D",320,IF(Atletas!N288="Sun D",321,IF(Atletas!N288="Wu D",322,IF(Atletas!N288="Wu-Hao D",323,IF(Atletas!N288="Outro Taijiquan D",324,IF(Atletas!N288="Yang E",325,IF(Atletas!N288="Chen E",326,IF(Atletas!N288="Sun E",327,IF(Atletas!N288="Wu E",328,IF(Atletas!N288="Wu-Hao E",329,IF(Atletas!N288="Outro Taijiquan E",330,IF(Atletas!N288="Yang F",331,IF(Atletas!N288="Chen F",332,IF(Atletas!N288="Sun F",333,IF(Atletas!N288="Wu F",334,IF(Atletas!N288="Wu-Hao F",335,IF(Atletas!N288="Outro Taijiquan F",336,"")))))))))))))))))))))))))))))))))))))</f>
        <v/>
      </c>
      <c r="BP292" s="52" t="str">
        <f>IF(Atletas!O288="","",IF(Atletas!W288&lt;&gt;"",10000,0)+IF(Atletas!B288="Feminino",1000,IF(Atletas!B288="Masculino",2000,""))+IF(OR(Atletas!O288="Yang 26 A",Atletas!O288="Yang 40 A"),401,IF(OR(Atletas!O288="Chen 25 A",Atletas!O288="Chen 36 A",Atletas!O288="Chen 56 A"),402,IF(Atletas!O288="Sun 73 A",403,IF(Atletas!O288="Wu 45 A",404,IF(Atletas!O288="Wu-Hao 46 A",405,IF(OR(Atletas!O288="Taijiquan 16 A",Atletas!O288="Taijiquan 24 A",Atletas!O288="Taijiquan 32 A",Atletas!O288="Taijiquan 42 A"),406,IF(OR(Atletas!O288="Yang 26 B",Atletas!O288="Yang 40 B"),407,IF(OR(Atletas!O288="Chen 25 B",Atletas!O288="Chen 36 B",Atletas!O288="Chen 56 B"),408,IF(Atletas!O288="Sun 73 B",409,IF(Atletas!O288="Wu 45 B",410,IF(Atletas!O288="Wu-Hao 46 B",411,IF(OR(Atletas!O288="Taijiquan 16 B",Atletas!O288="Taijiquan 24 B",Atletas!O288="Taijiquan 32 B",Atletas!O288="Taijiquan 42 B"),412,IF(OR(Atletas!O288="Yang 26 C",Atletas!O288="Yang 40 C"),413,IF(OR(Atletas!O288="Chen 25 C",Atletas!O288="Chen 36 C",Atletas!O288="Chen 56 C"),414,IF(Atletas!O288="Sun 73 C",415,IF(Atletas!O288="Wu 45 C",416,IF(Atletas!O288="Wu-Hao 46 C",417,IF(OR(Atletas!O288="Taijiquan 16 C",Atletas!O288="Taijiquan 24 C",Atletas!O288="Taijiquan 32 C",Atletas!O288="Taijiquan 42 C"),418,0)))))))))))))))))))</f>
        <v/>
      </c>
      <c r="BQ292" s="52" t="str">
        <f>IF(Atletas!O288="","",IF(Atletas!W288&lt;&gt;"",10000,0)+IF(Atletas!B288="Feminino",1000,IF(Atletas!B288="Masculino",2000,""))+IF(OR(Atletas!O288="Yang 26 D",Atletas!O288="Yang 40 D"),419,IF(OR(Atletas!O288="Chen 25 D",Atletas!O288="Chen 36 D",Atletas!O288="Chen 56 D"),420,IF(Atletas!O288="Sun 73 D",421,IF(Atletas!O288="Wu 45 D",422,IF(Atletas!O288="Wu-Hao 46 D",423,IF(OR(Atletas!O288="Taijiquan 16 D",Atletas!O288="Taijiquan 24 D",Atletas!O288="Taijiquan 32 D",Atletas!O288="Taijiquan 42 D"),424,IF(OR(Atletas!O288="Yang 26 E",Atletas!O288="Yang 40 E"),425,IF(OR(Atletas!O288="Chen 25 E",Atletas!O288="Chen 36 E",Atletas!O288="Chen 56 E"),426,IF(Atletas!O288="Sun 73 E",427,IF(Atletas!O288="Wu 45 E",428,IF(Atletas!O288="Wu-Hao 46 E",429,IF(OR(Atletas!O288="Taijiquan 16 E",Atletas!O288="Taijiquan 24 E",Atletas!O288="Taijiquan 32 E",Atletas!O288="Taijiquan 42 E"),430,IF(OR(Atletas!O288="Yang 26 F",Atletas!O288="Yang 40 F"),431,IF(OR(Atletas!O288="Chen 25 F",Atletas!O288="Chen 36 F",Atletas!O288="Chen 56 F"),432,IF(Atletas!O288="Sun 73 F",433,IF(Atletas!O288="Wu 45 F",434,IF(Atletas!O288="Wu-Hao 46 F",435,IF(OR(Atletas!O288="Taijiquan 16 F",Atletas!O288="Taijiquan 24 F",Atletas!O288="Taijiquan 32 F",Atletas!O288="Taijiquan 42 F"),436,0)))))))))))))))))))</f>
        <v/>
      </c>
      <c r="BR292" s="52" t="str">
        <f>IF(Atletas!P288="","",IF(Atletas!W288&lt;&gt;"",10000,0)+IF(Atletas!B288="Feminino",1000,IF(Atletas!B288="Masculino",2000,""))+IF(Atletas!P288="Xingyiquan A",501,IF(Atletas!P288="Baguazhang A",502,IF(Atletas!P288="Outro Estilo Interno A",503,IF(Atletas!P288="Xingyiquan B",504,IF(Atletas!P288="Baguazhang B",505,IF(Atletas!P288="Outro Estilo Interno B",506,IF(Atletas!P288="Xingyiquan C",507,IF(Atletas!P288="Baguazhang C",508,IF(Atletas!P288="Outro Estilo Interno C",509,IF(Atletas!P288="Xingyiquan D",510,IF(Atletas!P288="Baguazhang D",511,IF(Atletas!P288="Outro Estilo Interno D",512,IF(Atletas!P288="Xingyiquan E",513,IF(Atletas!P288="Baguazhang E",514,IF(Atletas!P288="Outro Estilo Interno E",515,IF(Atletas!P288="Xingyiquan F",516,IF(Atletas!P288="Baguazhang F",517,IF(Atletas!P288="Outro Estilo Interno F",518, "")))))))))))))))))))</f>
        <v/>
      </c>
      <c r="BS292" s="52" t="str">
        <f>IF(Atletas!Q288="","",IF(Atletas!W288&lt;&gt;"",10000,0)+IF(Atletas!B288="Feminino",1000,IF(Atletas!B288="Masculino",2000,""))+IF(Atletas!Q288="Dao A",601,IF(Atletas!Q288="Jian A",602,IF(Atletas!Q288="Bishou A",603,IF(Atletas!Q288="Shan A",604,IF(Atletas!Q288="Outra Arma Curta A",605,IF(Atletas!Q288="Dao B",606,IF(Atletas!Q288="Jian B",607,IF(Atletas!Q288="Bishou B",608,IF(Atletas!Q288="Shan B",609,IF(Atletas!Q288="Outra Arma Curta B",610,IF(Atletas!Q288="Dao C",611,IF(Atletas!Q288="Jian C",612,IF(Atletas!Q288="Bishou C",613,IF(Atletas!Q288="Shan C",614,IF(Atletas!Q288="Outra Arma Curta C",615,IF(Atletas!Q288="Dao D",616,IF(Atletas!Q288="Jian D",617,IF(Atletas!Q288="Bishou D",618,IF(Atletas!Q288="Shan D",619,IF(Atletas!Q288="Outra Arma Curta D",620,IF(Atletas!Q288="Dao E",621,IF(Atletas!Q288="Jian E",622,IF(Atletas!Q288="Bishou E",623,IF(Atletas!Q288="Shan E",624,IF(Atletas!Q288="Outra Arma Curta E",625,IF(Atletas!Q288="Dao F",626,IF(Atletas!Q288="Jian F",627,IF(Atletas!Q288="Bishou F",628,IF(Atletas!Q288="Shan F",629,IF(Atletas!Q288="Outra Arma Curta F",630, "")))))))))))))))))))))))))))))))</f>
        <v/>
      </c>
      <c r="BT292" s="52" t="str">
        <f>IF(Atletas!R288="","",IF(Atletas!W288&lt;&gt;"",10000,0)+IF(Atletas!B288="Feminino",1000,IF(Atletas!B288="Masculino",2000,""))+IF(Atletas!R288="Gun A",701,IF(Atletas!R288="Qiang A",702,IF(Atletas!R288="Pudao / Guandao A",703,IF(Atletas!R288="Outra Arma Longa A",704,IF(Atletas!R288="Gun B",705,IF(Atletas!R288="Qiang B",706,IF(Atletas!R288="Pudao / Guandao B",707,IF(Atletas!R288="Outra Arma Longa B",708,IF(Atletas!R288="Gun C",709,IF(Atletas!R288="Qiang C",710,IF(Atletas!R288="Pudao / Guandao C",711,IF(Atletas!R288="Outra Arma Longa C",712,IF(Atletas!R288="Gun D",713,IF(Atletas!R288="Qiang D",714,IF(Atletas!R288="Pudao / Guandao D",715,IF(Atletas!R288="Outra Arma Longa D",716,IF(Atletas!R288="Gun E",717,IF(Atletas!R288="Qiang E",718,IF(Atletas!R288="Pudao / Guandao E",719,IF(Atletas!R288="Outra Arma Longa E",720,IF(Atletas!R288="Gun F",721,IF(Atletas!R288="Qiang F",722,IF(Atletas!R288="Pudao / Guandao F",723,IF(Atletas!R288="Outra Arma Longa F",724,"")))))))))))))))))))))))))</f>
        <v/>
      </c>
      <c r="BU292" s="52" t="str">
        <f>IF(Atletas!S288="","",IF(Atletas!W288&lt;&gt;"",10000,0)+IF(Atletas!B288="Feminino",1000,IF(Atletas!B288="Masculino",2000,""))+IF(Atletas!S288="Arma Dupla A",801,IF(Atletas!S288="Arma Maleável A",802,IF(Atletas!S288="Arma Dupla B",803,IF(Atletas!S288="Arma Maleável B",804,IF(Atletas!S288="Arma Dupla C",805,IF(Atletas!S288="Arma Maleável C",806,IF(Atletas!S288="Arma Dupla D",807,IF(Atletas!S288="Arma Maleável D",808,IF(Atletas!S288="Arma Dupla E",809,IF(Atletas!S288="Arma Maleável E",810,IF(Atletas!S288="Arma Dupla F",811,IF(Atletas!S288="Arma Maleável F",812, "")))))))))))))</f>
        <v/>
      </c>
      <c r="BV292" s="52" t="str">
        <f>IF(Atletas!T288="","",IF(Atletas!W288&lt;&gt;"",10000,0)+IF(Atletas!B288="Feminino",1000,IF(Atletas!B288="Masculino",2000,""))+IF(Atletas!T288="Taijijian Yang A",901,IF(Atletas!T288="Taijijian Chen A",902,IF(Atletas!T288="Taijijian Sun A",903,IF(Atletas!T288="Taijijian Wu A",904,IF(Atletas!T288="Taijijian Wu-Hao A",905,IF(Atletas!T288="Taijijian 32 A",906,IF(Atletas!T288="Taijijian 42 A",907,IF(Atletas!T288="Taijijian Yang B",908,IF(Atletas!T288="Taijijian Chen B",909,IF(Atletas!T288="Taijijian Sun B",910,IF(Atletas!T288="Taijijian Wu B",911,IF(Atletas!T288="Taijijian Wu-Hao B",912,IF(Atletas!T288="Taijijian 32 B",913,IF(Atletas!T288="Taijijian 42 B",914,IF(Atletas!T288="Taijijian Yang C",915,IF(Atletas!T288="Taijijian Chen C",916,IF(Atletas!T288="Taijijian Sun C",917,IF(Atletas!T288="Taijijian Wu C",918,IF(Atletas!T288="Taijijian Wu-Hao C",919,IF(Atletas!T288="Taijijian 32 C",920,IF(Atletas!T288="Taijijian 42 C",921,IF(Atletas!T288="Taijijian Yang D",922,IF(Atletas!T288="Taijijian Chen D",923,IF(Atletas!T288="Taijijian Sun D",924,IF(Atletas!T288="Taijijian Wu D",925,IF(Atletas!T288="Taijijian Wu-Hao D",926,IF(Atletas!T288="Taijijian 32 D",927,IF(Atletas!T288="Taijijian 42 D",928,IF(Atletas!T288="Taijijian Yang E",929,IF(Atletas!T288="Taijijian Chen E",930,IF(Atletas!T288="Taijijian Sun E",931,IF(Atletas!T288="Taijijian Wu E",932,IF(Atletas!T288="Taijijian Wu-Hao E",933,IF(Atletas!T288="Taijijian 32 E",934,IF(Atletas!T288="Taijijian 42 E",935,IF(Atletas!T288="Taijijian Yang F",936,IF(Atletas!T288="Taijijian Chen F",937,IF(Atletas!T288="Taijijian Sun F",938,IF(Atletas!T288="Taijijian Wu F",939,IF(Atletas!T288="Taijijian Wu-Hao F",940,IF(Atletas!T288="Taijijian 32 F",941,IF(Atletas!T288="Taijijian 42 F",942,"")))))))))))))))))))))))))))))))))))))))))))</f>
        <v/>
      </c>
      <c r="BW292" s="52" t="str">
        <f>IF(Atletas!U288="","",IF(Atletas!W288&lt;&gt;"",10000,0)+IF(Atletas!B288="Feminino",1000,IF(Atletas!B288="Masculino",2000,""))+IF(Atletas!T288="Taijijian 42 F",942,IF(Atletas!U288="Taijidao A",943,IF(Atletas!U288="Taijishan A",944,IF(Atletas!U288="Taijiqiang A",945,IF(Atletas!U288="Taijidao B",946,IF(Atletas!U288="Taijishan B",947,IF(Atletas!U288="Taijiqiang B",948,IF(Atletas!U288="Taijidao C",949,IF(Atletas!U288="Taijishan C",950,IF(Atletas!U288="Taijiqiang C",951,IF(Atletas!U288="Taijidao D",952,IF(Atletas!U288="Taijishan D",953,IF(Atletas!U288="Taijiqiang D",954,IF(Atletas!U288="Taijidao E",955,IF(Atletas!U288="Taijishan E",956,IF(Atletas!U288="Taijiqiang E",957,IF(Atletas!U288="Taijidao F",958,IF(Atletas!U288="Taijishan F",959,IF(Atletas!U288="Taijiqiang F",960))))))))))))))))))))</f>
        <v/>
      </c>
      <c r="BX292" s="72" t="str">
        <f>IF(BY292&lt;&gt;"","Taijijian Wu A","")</f>
        <v/>
      </c>
      <c r="BY292" s="72" t="str">
        <f>IF(COUNTIF(BK:BW,1904)&gt;0,COUNTIF(BK:BW,1904),"")</f>
        <v/>
      </c>
      <c r="BZ292" s="72" t="str">
        <f>IF(CA292&lt;&gt;"","Taijijian Wu A","")</f>
        <v/>
      </c>
      <c r="CA292" s="72" t="str">
        <f>IF(COUNTIF(BK:BW,2904)&gt;0,COUNTIF(BK:BW,2904),"")</f>
        <v/>
      </c>
      <c r="CB292" s="72" t="str">
        <f>IF(CC292&lt;&gt;"","Outra Arma Curta B","")</f>
        <v/>
      </c>
      <c r="CC292" s="64" t="str">
        <f>IF(COUNTIF(BK:BW,11610)&gt;0,COUNTIF(BK:BW,11610),"")</f>
        <v/>
      </c>
      <c r="CD292" s="64" t="str">
        <f>IF(CE292&lt;&gt;"","Outra Arma Curta B","")</f>
        <v/>
      </c>
      <c r="CE292" s="64" t="str">
        <f>IF(COUNTIF(BK:BW,12610)&gt;0,COUNTIF(BK:BW,12610),"")</f>
        <v/>
      </c>
      <c r="CF292" s="52" t="str">
        <f xml:space="preserve"> IF(Atletas!V288="","",IF(Atletas!V288="Duilian de Mãos AB - Equipe 1",1,IF(Atletas!V288="Duilian de Mãos AB - Equipe 2",2,IF(Atletas!V288="Duilian de Armas AB - Equipe 1",3,IF(Atletas!V288="Duilian de Armas AB - Equipe 2",4,IF(Atletas!V288="Duilian de Tuishou - Equipe 1",5,IF(Atletas!V288="Duilian de Tuishou - Equipe 2",6,IF(Atletas!V288="Grupo Externo AB - Equipe 1",7,IF(Atletas!V288="Grupo Externo AB - Equipe 2",8,IF(Atletas!V288="Grupo Interno AB - Equipe 1",9,IF(Atletas!V288="Grupo Interno AB - Equipe 2",10,IF(Atletas!V288="Duilian de Mãos CD - Equipe 1",11,IF(Atletas!V288="Duilian de Mãos CD - Equipe 2",12,IF(Atletas!V288="Duilian de Armas CD - Equipe 1",13,IF(Atletas!V288="Duilian de Armas CD - Equipe 2",14,IF(Atletas!V288="Duilian de Tuishou - Equipe 1",15,IF(Atletas!V288="Duilian de Tuishou - Equipe 2",16,IF(Atletas!V288="Grupo Externo CDEF - Equipe 1",17,IF(Atletas!V288="Grupo Externo CDEF - Equipe 2",18,IF(Atletas!V288="Grupo Interno CDEF - Equipe 1",19,IF(Atletas!V288="Grupo Interno CDEF - Equipe 2",20,IF(Atletas!V288="Duilian de Mãos EF - Equipe 1",21,IF(Atletas!V288="Duilian de Mãos EF - Equipe 2",22,IF(Atletas!V288="Duilian de Armas EF - Equipe 1",23,IF(Atletas!V288="Duilian de Armas EF - Equipe 2",24,IF(Atletas!V288="Duilian de Tuishou - Equipe 1",25,IF(Atletas!V288="Duilian de Tuishou - Equipe 2",26,"")))))))))))))))))))))))))))</f>
        <v/>
      </c>
    </row>
    <row r="293" spans="2:84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 t="str">
        <f t="array" ref="V293">IFERROR(INDEX(BX$7:BX$336,SMALL(IF(BX$7:BX$336&lt;&gt;"",ROW(BX$7:BX$336)-ROW(BX$7)+1),ROWS(BX$7:BX250))),"")</f>
        <v/>
      </c>
      <c r="W293" s="4" t="str">
        <f t="array" ref="W293">IFERROR(INDEX(BY$7:BY$336,SMALL(IF(BY$7:BY$336&lt;&gt;"",ROW(BY$7:BY$336)-ROW(BY$7)+1),ROWS(BY$7:BY250))),"")</f>
        <v/>
      </c>
      <c r="X293" s="4" t="str">
        <f t="array" ref="X293">IFERROR(INDEX(BZ$7:BZ$336,SMALL(IF(BZ$7:BZ$336&lt;&gt;"",ROW(BZ$7:BZ$336)-ROW(BZ$7)+1),ROWS(BZ$7:BZ250))),"")</f>
        <v/>
      </c>
      <c r="Y293" s="4" t="str">
        <f t="array" ref="Y293">IFERROR(INDEX(CA$7:CA$336,SMALL(IF(CA$7:CA$336&lt;&gt;"",ROW(CA$7:CA$336)-ROW(CA$7)+1),ROWS(CA$7:CA250))),"")</f>
        <v/>
      </c>
      <c r="Z293" s="4" t="str">
        <f t="array" ref="Z293">IFERROR(INDEX(CB$7:CB$378,SMALL(IF(CB$7:CB$378&lt;&gt;"",ROW(CB$7:CB$378)-ROW(CB$7)+1),ROWS(CB$7:CB292))),"")</f>
        <v/>
      </c>
      <c r="AA293" s="4" t="str">
        <f t="array" ref="AA293">IFERROR(INDEX(CC$7:CC$378,SMALL(IF(CC$7:CC$378&lt;&gt;"",ROW(CC$7:CC$378)-ROW(CC$7)+1),ROWS(CC$7:CC292))),"")</f>
        <v/>
      </c>
      <c r="AB293" s="4" t="str">
        <f t="array" ref="AB293">IFERROR(INDEX(CD$7:CD$378,SMALL(IF(CD$7:CD$378&lt;&gt;"",ROW(CD$7:CD$378)-ROW(CD$7)+1),ROWS(CD$7:CD292))),"")</f>
        <v/>
      </c>
      <c r="AC293" s="4" t="str">
        <f t="array" ref="AC293">IFERROR(INDEX(CE$7:CE$378,SMALL(IF(CE$7:CE$378&lt;&gt;"",ROW(CE$7:CE$378)-ROW(CE$7)+1),ROWS(CE$7:CE292))),"")</f>
        <v/>
      </c>
      <c r="AD293" s="4"/>
      <c r="AE293" s="4"/>
      <c r="AF293" s="4"/>
      <c r="AG293" s="4"/>
      <c r="AH293" s="4"/>
      <c r="AI293" s="4"/>
      <c r="AJ293" s="46" t="str">
        <f>IF(Atletas!D289="","",IF(Atletas!B289="Feminino",100,IF(Atletas!B289="Masculino",200,""))+(IF(Atletas!D289="Infantil 39kg",1,IF(Atletas!D289="Infantil 42kg",2,IF(Atletas!D289="Infantil 45kg",3,IF(Atletas!D289="Infantil 48kg",4,IF(Atletas!D289="Infantil 52kg",5,IF(Atletas!D289="Infantil 56kg",6,IF(Atletas!D289="Infantil 60kg",7,IF(Atletas!D289="Juvenil 48kg",8,IF(Atletas!D289="Juvenil 52kg",9,IF(Atletas!D289="Juvenil 56kg",10,IF(Atletas!D289="Juvenil 60kg",11,IF(Atletas!D289="Juvenil 65kg",12,IF(Atletas!D289="Juvenil 70kg",13,IF(Atletas!D289="Juvenil 75kg",14,IF(Atletas!D289="Juvenil 80kg",15,IF(Atletas!D289="Adulto 48kg",16,IF(Atletas!D289="Adulto 52kg",17,IF(Atletas!D289="Adulto 56kg",18,IF(Atletas!D289="Adulto 60kg",19,IF(Atletas!D289="Adulto 65kg",20,IF(Atletas!D289="Adulto 70kg",21,IF(Atletas!D289="Adulto 75kg",22,IF(Atletas!D289="Adulto 80kg",23,IF(Atletas!D289="Adulto 85kg",24,IF(Atletas!D289="Adulto 90kg",25,IF(Atletas!D289="Adulto +90kg",26,""))))))))))))))))))))))))))))</f>
        <v/>
      </c>
      <c r="AO293" s="10" t="str">
        <f>IF(Atletas!E289="","",IF(Atletas!B289="Feminino",100,IF(Atletas!B289="Masculino",200,""))+(IF(Atletas!E289="Juvenil 44kg",1,IF(Atletas!E289="Juvenil 48kg",2,IF(Atletas!E289="Juvenil 52kg",3,IF(Atletas!E289="Juvenil 56kg",4,IF(Atletas!E289="Juvenil 60kg",5,IF(Atletas!E289="Juvenil 65kg",6,IF(Atletas!E289="Juvenil 70kg",7,IF(Atletas!E289="Juvenil 75kg",8,IF(Atletas!E289="Juvenil 82kg",9,IF(Atletas!E289="Juvenil 90kg",10,IF(Atletas!E289="Juvenil 100kg",11,IF(Atletas!E289="Adulto 48kg",12,IF(Atletas!E289="Adulto 52kg",13,IF(Atletas!E289="Adulto 56kg",14,IF(Atletas!E289="Adulto 60kg",15,IF(Atletas!E289="Adulto 65kg",16,IF(Atletas!E289="Adulto 70kg",17,IF(Atletas!E289="Adulto 75kg",18,IF(Atletas!E289="Adulto 82kg",19,IF(Atletas!E289="Adulto 90kg",20,IF(Atletas!E289="Adulto 100kg",21,IF(Atletas!E289="Adulto +100kg",22,""))))))))))))))))))))))))</f>
        <v/>
      </c>
      <c r="AT293" s="10" t="str">
        <f>IF(Atletas!F289="","",IF(Atletas!B289="Feminino",100,IF(Atletas!B289="Masculino",200,""))+(IF(Atletas!F289="Adulto 48kg",1,IF(Atletas!F289="Adulto 56kg",2,IF(Atletas!F289="Adulto 65kg",3,IF(Atletas!F289="Adulto 75kg",4,IF(Atletas!F289="Adulto +75kg",5,IF(Atletas!F289="Adulto 52kg",6,IF(Atletas!F289="Adulto 60kg",7,IF(Atletas!F289="Adulto 70kg",8,IF(Atletas!F289="Adulto 80kg",9,IF(Atletas!F289="Adulto 90kg",10,IF(Atletas!F289="Adulto +90kg",11,"")))))))))))))</f>
        <v/>
      </c>
      <c r="AY293" s="46" t="str">
        <f>IF(Atletas!G289="","",IF(Atletas!B289="Feminino",100,IF(Atletas!B289="Masculino",200,""))+(IF(Atletas!G289="Changquan Mirim",1,IF(Atletas!G289="Nanquan Mirim",2,IF(Atletas!G289="Taijiquan Mirim",3,IF(Atletas!G289="Changquan Grupo C",4,IF(Atletas!G289="Nanquan Grupo C",5,IF(Atletas!G289="Taijiquan Grupo C",6,IF(Atletas!G289="Changquan Grupo B",7,IF(Atletas!G289="Nanquan Grupo B",8,IF(Atletas!G289="Taijiquan Grupo B",9,IF(Atletas!G289="Changquan Grupo A",10,IF(Atletas!G289="Nanquan Grupo A",11,IF(Atletas!G289="Taijiquan Grupo A",12,IF(Atletas!G289="Changquan Opcional",13,IF(Atletas!G289="Nanquan Opcional",14,IF(Atletas!G289="Taijiquan Opcional",15,IF(Atletas!G289="Changquan Adulto",16,IF(Atletas!G289="Nanquan Adulto",17,IF(Atletas!G289="Taijiquan Adulto",18,""))))))))))))))))))))</f>
        <v/>
      </c>
      <c r="AZ293" s="46" t="str">
        <f>IF(Atletas!H289="","",IF(Atletas!B289="Feminino",100,IF(Atletas!B289="Masculino",200,""))+(IF(Atletas!H289="Daoshu Mirim",19,IF(Atletas!H289="Jianshu Mirim",20,IF(Atletas!H289="Nandao Mirim",21,IF(Atletas!H289="Taijijian Mirim",22,IF(Atletas!H289="Daoshu Grupo C",23,IF(Atletas!H289="Jianshu Grupo C",24,IF(Atletas!H289="Nandao Grupo C",25,IF(Atletas!H289="Taijijian Grupo C",26,IF(Atletas!H289="Daoshu Grupo B",27,IF(Atletas!H289="Jianshu Grupo B",28,IF(Atletas!H289="Nandao Grupo B",29,IF(Atletas!H289="Taijijian Grupo B",30,IF(Atletas!H289="Daoshu Grupo A",31,IF(Atletas!H289="Jianshu Grupo A",32,IF(Atletas!H289="Nandao Grupo A",33,IF(Atletas!H289="Taijijian Grupo A",34,IF(Atletas!H289="Daoshu Opcional",35,IF(Atletas!H289="Jianshu Opcional",36,IF(Atletas!H289="Nandao Opcional",37,IF(Atletas!H289="Taijijian Opcional",38,IF(Atletas!H289="Daoshu Adulto",39,IF(Atletas!H289="Jianshu Adulto",40,IF(Atletas!H289="Nandao Adulto",41,IF(Atletas!H289="Taijijian Adulto",42,""))))))))))))))))))))))))))</f>
        <v/>
      </c>
      <c r="BA293" s="46" t="str">
        <f>IF(Atletas!I289="","",IF(Atletas!B289="Feminino",100,IF(Atletas!B289="Masculino",200,""))+(IF(Atletas!I289="Gunshu Mirim",43,IF(Atletas!I289="Qiangshu Mirim",44,IF(Atletas!I289="Nangun Mirim",45,IF(Atletas!I289="Gunshu Grupo C",46,IF(Atletas!I289="Qiangshu Grupo C",47,IF(Atletas!I289="Nangun Grupo C",48,IF(Atletas!I289="Gunshu Grupo B",49,IF(Atletas!I289="Qiangshu Grupo B",50,IF(Atletas!I289="Nangun Grupo B",51,IF(Atletas!I289="Gunshu Grupo A",52,IF(Atletas!I289="Qiangshu Grupo A",53,IF(Atletas!I289="Nangun Grupo A",54,IF(Atletas!I289="Gunshu Opcional",55,IF(Atletas!I289="Qiangshu Opcional",56,IF(Atletas!I289="Nangun Opcional",57,IF(Atletas!I289="Gunshu Adulto",58,IF(Atletas!I289="Qiangshu Adulto",59,IF(Atletas!I289="Nangun Adulto",60,""))))))))))))))))))))</f>
        <v/>
      </c>
      <c r="BF293" s="52" t="str">
        <f>IF(Atletas!J289="","",IF(Atletas!B289="Feminino",100,IF(Atletas!B289="Masculino",200,""))+(IF(Atletas!J289="Equipe 1 Grupo B",1,IF(Atletas!J289="Equipe 2 Grupo B",2,IF(Atletas!J289="Equipe 1 Grupo A",3,IF(Atletas!J289="Equipe 2 Grupo A",4,IF(Atletas!J289="Equipe 1 Adulto",5,IF(Atletas!J289="Equipe 2 Adulto",6,""))))))))</f>
        <v/>
      </c>
      <c r="BK293" s="52" t="str">
        <f>IF(Atletas!K289="","",IF(Atletas!W289&lt;&gt;"",10000,0)+(IF(Atletas!B289="Feminino",1000,IF(Atletas!B289="Masculino",2000,""))+IF(Atletas!K289="Choylayfut A",1,IF(Atletas!K289="Hunggar A",2,IF(Atletas!K289="Wuzuquan A",3,IF(Atletas!K289="Wingchun A",4,IF(Atletas!K289="Outra Mão de Sul A",5,IF(Atletas!K289="Choylayfut B",6,IF(Atletas!K289="Hunggar B",7,IF(Atletas!K289="Wuzuquan B",8,IF(Atletas!K289="Wingchun B",9,IF(Atletas!K289="Outra Mão de Sul B",10,IF(Atletas!K289="Choylayfut C",11,IF(Atletas!K289="Hunggar C",12,IF(Atletas!K289="Wuzuquan C",13,IF(Atletas!K289="Wingchun C",14,IF(Atletas!K289="Outra Mão de Sul C",15,IF(Atletas!K289="Choylayfut D",16,IF(Atletas!K289="Hunggar D",17,IF(Atletas!K289="Wuzuquan D",18,IF(Atletas!K289="Wingchun D",19,IF(Atletas!K289="Outra Mão de Sul D",20,IF(Atletas!K289="Choylayfut E",21,IF(Atletas!K289="Hunggar E",22,IF(Atletas!K289="Wuzuquan E",23,IF(Atletas!K289="Wingchun E",24,IF(Atletas!K289="Outra Mão de Sul E",25,IF(Atletas!K289="Choylayfut F",26,IF(Atletas!K289="Hunggar F",27,IF(Atletas!K289="Wuzuquan F",28,IF(Atletas!K289="Wingchun F",29,IF(Atletas!K289="Outra Mão de Sul F",30,""))))))))))))))))))))))))))))))))</f>
        <v/>
      </c>
      <c r="BL293" s="52" t="str">
        <f>IF(Atletas!L289="","",IF(Atletas!W289&lt;&gt;"",10000,0)+(IF(Atletas!B289="Feminino",1000,IF(Atletas!B289="Masculino",2000,""))+(IF(Atletas!L289="Chaquan A",101,IF(Atletas!L289="Emeiquan A",102,IF(Atletas!L289="Fanziquan A",103,IF(Atletas!L289="Huaquan A",104,IF(Atletas!L289="Hongquan A",105,IF(Atletas!L289="Paochui A",106,IF(Atletas!L289="Piguaquan A",107,IF(Atletas!L289="Shaolinquan A",108,IF(Atletas!L289="Tanglangquan A",109,IF(Atletas!L289="Yinzhaophai A",110,IF(Atletas!L289="Tongbeiquan A",111,IF(Atletas!L289="Wudangquan A",112,IF(Atletas!L289="Outros Estilos A",113,IF(Atletas!L289="Chaquan B",114,IF(Atletas!L289="Emeiquan B",115,IF(Atletas!L289="Fanziquan B",116,IF(Atletas!L289="Huaquan B",117,IF(Atletas!L289="Hongquan B",118,IF(Atletas!L289="Paochui B",119,IF(Atletas!L289="Piguaquan B",120,IF(Atletas!L289="Shaolinquan B",121,IF(Atletas!L289="Tanglangquan B",122,IF(Atletas!L289="Yinzhaophai B",123,IF(Atletas!L289="Tongbeiquan B",124,IF(Atletas!L289="Wudangquan B",125,IF(Atletas!L289="Outros Estilos B",126,IF(Atletas!L289="Chaquan C",127,IF(Atletas!L289="Emeiquan C",128,IF(Atletas!L289="Fanziquan C",129,IF(Atletas!L289="Huaquan C",130,IF(Atletas!L289="Hongquan C",131,IF(Atletas!L289="Paochui C",132,IF(Atletas!L289="Piguaquan C",133,IF(Atletas!L289="Shaolinquan C",134,IF(Atletas!L289="Tanglangquan C",135,IF(Atletas!L289="Yinzhaophai C",136,IF(Atletas!L289="Tongbeiquan C",137,IF(Atletas!L289="Wudangquan C",138,IF(Atletas!L289="Outros Estilos C",139,0))))))))))))))))))))))))))))))))))))))))))</f>
        <v/>
      </c>
      <c r="BM293" s="52" t="str">
        <f>IF(Atletas!L289="","",IF(Atletas!W289&lt;&gt;"",10000,0)+(IF(Atletas!B289="Feminino",1000,IF(Atletas!B289="Masculino",2000,""))+(IF(Atletas!L289="Chaquan D",140,IF(Atletas!L289="Emeiquan D",141,IF(Atletas!L289="Fanziquan D",142,IF(Atletas!L289="Huaquan D",143,IF(Atletas!L289="Hongquan D",144,IF(Atletas!L289="Paochui D",145,IF(Atletas!L289="Piguaquan D",146,IF(Atletas!L289="Shaolinquan D",147,IF(Atletas!L289="Tanglangquan D",148,IF(Atletas!L289="Yinzhaophai D",149,IF(Atletas!L289="Tongbeiquan D",150,IF(Atletas!L289="Wudangquan D",151,IF(Atletas!L289="Outros Estilos D",152,IF(Atletas!L289="Chaquan E",153,IF(Atletas!L289="Emeiquan E",154,IF(Atletas!L289="Fanziquan E",155,IF(Atletas!L289="Huaquan E",156,IF(Atletas!L289="Hongquan E",157,IF(Atletas!L289="Paochui E",158,IF(Atletas!L289="Piguaquan E",159,IF(Atletas!L289="Shaolinquan E",160,IF(Atletas!L289="Tanglangquan E",161,IF(Atletas!L289="Yinzhaophai E",162,IF(Atletas!L289="Tongbeiquan E",163,IF(Atletas!L289="Wudangquan E",164,IF(Atletas!L289="Outros Estilos E",165,IF(Atletas!L289="Chaquan F",166,IF(Atletas!L289="Emeiquan F",167,IF(Atletas!L289="Fanziquan F",168,IF(Atletas!L289="Huaquan F",169,IF(Atletas!L289="Hongquan F",170,IF(Atletas!L289="Paochui F",171,IF(Atletas!L289="Piguaquan F",172,IF(Atletas!L289="Shaolinquan F",173,IF(Atletas!L289="Tanglangquan F",174,IF(Atletas!L289="Yinzhaophai F",175,IF(Atletas!L289="Tongbeiquan F",176,IF(Atletas!L289="Wudangquan F",177,IF(Atletas!L289="Outros Estilos F",178,0))))))))))))))))))))))))))))))))))))))))))</f>
        <v/>
      </c>
      <c r="BN293" s="52" t="str">
        <f>IF(Atletas!M289="","",IF(Atletas!W289&lt;&gt;"",10000,0)+(IF(Atletas!B289="Feminino",1000,IF(Atletas!B289="Masculino",2000,""))+(IF(Atletas!M289="Ditangquan A",201,IF(Atletas!M289="Houquan A",202,IF(Atletas!M289="Zuiquan A",203,IF(Atletas!M289="Ditangquan B",204,IF(Atletas!M289="Houquan B",205,IF(Atletas!M289="Zuiquan B",206,IF(Atletas!M289="Ditangquan C",207,IF(Atletas!M289="Houquan C",208,IF(Atletas!M289="Zuiquan C",209,IF(Atletas!M289="Ditangquan D",210,IF(Atletas!M289="Houquan D",211,IF(Atletas!M289="Zuiquan D",212,IF(Atletas!M289="Ditangquan E",213,IF(Atletas!M289="Houquan E",214,IF(Atletas!M289="Zuiquan E",215,IF(Atletas!M289="Ditangquan F",216,IF(Atletas!M289="Houquan F",217,IF(Atletas!M289="Zuiquan F",218,"")))))))))))))))))))))</f>
        <v/>
      </c>
      <c r="BO293" s="52" t="str">
        <f>IF(Atletas!N289="","",IF(Atletas!W289&lt;&gt;"",10000,0)+IF(Atletas!B289="Feminino",1000,IF(Atletas!B289="Masculino",2000,""))+IF(Atletas!N289="Yang A",301,IF(Atletas!N289="Chen A",30,IF(Atletas!N289="Sun A",303,IF(Atletas!N289="Wu A",304,IF(Atletas!N289="Wu-Hao A",305,IF(Atletas!N289="Outro Taijiquan A",306,IF(Atletas!N289="Yang B",307,IF(Atletas!N289="Chen B",308,IF(Atletas!N289="Sun B",309,IF(Atletas!N289="Wu B",310,IF(Atletas!N289="Wu-Hao B",311,IF(Atletas!N289="Outro Taijiquan B",312,IF(Atletas!N289="Yang C",313,IF(Atletas!N289="Chen C",314,IF(Atletas!N289="Sun C",315,IF(Atletas!N289="Wu C",316,IF(Atletas!N289="Wu-Hao C",317,IF(Atletas!N289="Outro Taijiquan C",318,IF(Atletas!N289="Yang D",319,IF(Atletas!N289="Chen D",320,IF(Atletas!N289="Sun D",321,IF(Atletas!N289="Wu D",322,IF(Atletas!N289="Wu-Hao D",323,IF(Atletas!N289="Outro Taijiquan D",324,IF(Atletas!N289="Yang E",325,IF(Atletas!N289="Chen E",326,IF(Atletas!N289="Sun E",327,IF(Atletas!N289="Wu E",328,IF(Atletas!N289="Wu-Hao E",329,IF(Atletas!N289="Outro Taijiquan E",330,IF(Atletas!N289="Yang F",331,IF(Atletas!N289="Chen F",332,IF(Atletas!N289="Sun F",333,IF(Atletas!N289="Wu F",334,IF(Atletas!N289="Wu-Hao F",335,IF(Atletas!N289="Outro Taijiquan F",336,"")))))))))))))))))))))))))))))))))))))</f>
        <v/>
      </c>
      <c r="BP293" s="52" t="str">
        <f>IF(Atletas!O289="","",IF(Atletas!W289&lt;&gt;"",10000,0)+IF(Atletas!B289="Feminino",1000,IF(Atletas!B289="Masculino",2000,""))+IF(OR(Atletas!O289="Yang 26 A",Atletas!O289="Yang 40 A"),401,IF(OR(Atletas!O289="Chen 25 A",Atletas!O289="Chen 36 A",Atletas!O289="Chen 56 A"),402,IF(Atletas!O289="Sun 73 A",403,IF(Atletas!O289="Wu 45 A",404,IF(Atletas!O289="Wu-Hao 46 A",405,IF(OR(Atletas!O289="Taijiquan 16 A",Atletas!O289="Taijiquan 24 A",Atletas!O289="Taijiquan 32 A",Atletas!O289="Taijiquan 42 A"),406,IF(OR(Atletas!O289="Yang 26 B",Atletas!O289="Yang 40 B"),407,IF(OR(Atletas!O289="Chen 25 B",Atletas!O289="Chen 36 B",Atletas!O289="Chen 56 B"),408,IF(Atletas!O289="Sun 73 B",409,IF(Atletas!O289="Wu 45 B",410,IF(Atletas!O289="Wu-Hao 46 B",411,IF(OR(Atletas!O289="Taijiquan 16 B",Atletas!O289="Taijiquan 24 B",Atletas!O289="Taijiquan 32 B",Atletas!O289="Taijiquan 42 B"),412,IF(OR(Atletas!O289="Yang 26 C",Atletas!O289="Yang 40 C"),413,IF(OR(Atletas!O289="Chen 25 C",Atletas!O289="Chen 36 C",Atletas!O289="Chen 56 C"),414,IF(Atletas!O289="Sun 73 C",415,IF(Atletas!O289="Wu 45 C",416,IF(Atletas!O289="Wu-Hao 46 C",417,IF(OR(Atletas!O289="Taijiquan 16 C",Atletas!O289="Taijiquan 24 C",Atletas!O289="Taijiquan 32 C",Atletas!O289="Taijiquan 42 C"),418,0)))))))))))))))))))</f>
        <v/>
      </c>
      <c r="BQ293" s="52" t="str">
        <f>IF(Atletas!O289="","",IF(Atletas!W289&lt;&gt;"",10000,0)+IF(Atletas!B289="Feminino",1000,IF(Atletas!B289="Masculino",2000,""))+IF(OR(Atletas!O289="Yang 26 D",Atletas!O289="Yang 40 D"),419,IF(OR(Atletas!O289="Chen 25 D",Atletas!O289="Chen 36 D",Atletas!O289="Chen 56 D"),420,IF(Atletas!O289="Sun 73 D",421,IF(Atletas!O289="Wu 45 D",422,IF(Atletas!O289="Wu-Hao 46 D",423,IF(OR(Atletas!O289="Taijiquan 16 D",Atletas!O289="Taijiquan 24 D",Atletas!O289="Taijiquan 32 D",Atletas!O289="Taijiquan 42 D"),424,IF(OR(Atletas!O289="Yang 26 E",Atletas!O289="Yang 40 E"),425,IF(OR(Atletas!O289="Chen 25 E",Atletas!O289="Chen 36 E",Atletas!O289="Chen 56 E"),426,IF(Atletas!O289="Sun 73 E",427,IF(Atletas!O289="Wu 45 E",428,IF(Atletas!O289="Wu-Hao 46 E",429,IF(OR(Atletas!O289="Taijiquan 16 E",Atletas!O289="Taijiquan 24 E",Atletas!O289="Taijiquan 32 E",Atletas!O289="Taijiquan 42 E"),430,IF(OR(Atletas!O289="Yang 26 F",Atletas!O289="Yang 40 F"),431,IF(OR(Atletas!O289="Chen 25 F",Atletas!O289="Chen 36 F",Atletas!O289="Chen 56 F"),432,IF(Atletas!O289="Sun 73 F",433,IF(Atletas!O289="Wu 45 F",434,IF(Atletas!O289="Wu-Hao 46 F",435,IF(OR(Atletas!O289="Taijiquan 16 F",Atletas!O289="Taijiquan 24 F",Atletas!O289="Taijiquan 32 F",Atletas!O289="Taijiquan 42 F"),436,0)))))))))))))))))))</f>
        <v/>
      </c>
      <c r="BR293" s="52" t="str">
        <f>IF(Atletas!P289="","",IF(Atletas!W289&lt;&gt;"",10000,0)+IF(Atletas!B289="Feminino",1000,IF(Atletas!B289="Masculino",2000,""))+IF(Atletas!P289="Xingyiquan A",501,IF(Atletas!P289="Baguazhang A",502,IF(Atletas!P289="Outro Estilo Interno A",503,IF(Atletas!P289="Xingyiquan B",504,IF(Atletas!P289="Baguazhang B",505,IF(Atletas!P289="Outro Estilo Interno B",506,IF(Atletas!P289="Xingyiquan C",507,IF(Atletas!P289="Baguazhang C",508,IF(Atletas!P289="Outro Estilo Interno C",509,IF(Atletas!P289="Xingyiquan D",510,IF(Atletas!P289="Baguazhang D",511,IF(Atletas!P289="Outro Estilo Interno D",512,IF(Atletas!P289="Xingyiquan E",513,IF(Atletas!P289="Baguazhang E",514,IF(Atletas!P289="Outro Estilo Interno E",515,IF(Atletas!P289="Xingyiquan F",516,IF(Atletas!P289="Baguazhang F",517,IF(Atletas!P289="Outro Estilo Interno F",518, "")))))))))))))))))))</f>
        <v/>
      </c>
      <c r="BS293" s="52" t="str">
        <f>IF(Atletas!Q289="","",IF(Atletas!W289&lt;&gt;"",10000,0)+IF(Atletas!B289="Feminino",1000,IF(Atletas!B289="Masculino",2000,""))+IF(Atletas!Q289="Dao A",601,IF(Atletas!Q289="Jian A",602,IF(Atletas!Q289="Bishou A",603,IF(Atletas!Q289="Shan A",604,IF(Atletas!Q289="Outra Arma Curta A",605,IF(Atletas!Q289="Dao B",606,IF(Atletas!Q289="Jian B",607,IF(Atletas!Q289="Bishou B",608,IF(Atletas!Q289="Shan B",609,IF(Atletas!Q289="Outra Arma Curta B",610,IF(Atletas!Q289="Dao C",611,IF(Atletas!Q289="Jian C",612,IF(Atletas!Q289="Bishou C",613,IF(Atletas!Q289="Shan C",614,IF(Atletas!Q289="Outra Arma Curta C",615,IF(Atletas!Q289="Dao D",616,IF(Atletas!Q289="Jian D",617,IF(Atletas!Q289="Bishou D",618,IF(Atletas!Q289="Shan D",619,IF(Atletas!Q289="Outra Arma Curta D",620,IF(Atletas!Q289="Dao E",621,IF(Atletas!Q289="Jian E",622,IF(Atletas!Q289="Bishou E",623,IF(Atletas!Q289="Shan E",624,IF(Atletas!Q289="Outra Arma Curta E",625,IF(Atletas!Q289="Dao F",626,IF(Atletas!Q289="Jian F",627,IF(Atletas!Q289="Bishou F",628,IF(Atletas!Q289="Shan F",629,IF(Atletas!Q289="Outra Arma Curta F",630, "")))))))))))))))))))))))))))))))</f>
        <v/>
      </c>
      <c r="BT293" s="52" t="str">
        <f>IF(Atletas!R289="","",IF(Atletas!W289&lt;&gt;"",10000,0)+IF(Atletas!B289="Feminino",1000,IF(Atletas!B289="Masculino",2000,""))+IF(Atletas!R289="Gun A",701,IF(Atletas!R289="Qiang A",702,IF(Atletas!R289="Pudao / Guandao A",703,IF(Atletas!R289="Outra Arma Longa A",704,IF(Atletas!R289="Gun B",705,IF(Atletas!R289="Qiang B",706,IF(Atletas!R289="Pudao / Guandao B",707,IF(Atletas!R289="Outra Arma Longa B",708,IF(Atletas!R289="Gun C",709,IF(Atletas!R289="Qiang C",710,IF(Atletas!R289="Pudao / Guandao C",711,IF(Atletas!R289="Outra Arma Longa C",712,IF(Atletas!R289="Gun D",713,IF(Atletas!R289="Qiang D",714,IF(Atletas!R289="Pudao / Guandao D",715,IF(Atletas!R289="Outra Arma Longa D",716,IF(Atletas!R289="Gun E",717,IF(Atletas!R289="Qiang E",718,IF(Atletas!R289="Pudao / Guandao E",719,IF(Atletas!R289="Outra Arma Longa E",720,IF(Atletas!R289="Gun F",721,IF(Atletas!R289="Qiang F",722,IF(Atletas!R289="Pudao / Guandao F",723,IF(Atletas!R289="Outra Arma Longa F",724,"")))))))))))))))))))))))))</f>
        <v/>
      </c>
      <c r="BU293" s="52" t="str">
        <f>IF(Atletas!S289="","",IF(Atletas!W289&lt;&gt;"",10000,0)+IF(Atletas!B289="Feminino",1000,IF(Atletas!B289="Masculino",2000,""))+IF(Atletas!S289="Arma Dupla A",801,IF(Atletas!S289="Arma Maleável A",802,IF(Atletas!S289="Arma Dupla B",803,IF(Atletas!S289="Arma Maleável B",804,IF(Atletas!S289="Arma Dupla C",805,IF(Atletas!S289="Arma Maleável C",806,IF(Atletas!S289="Arma Dupla D",807,IF(Atletas!S289="Arma Maleável D",808,IF(Atletas!S289="Arma Dupla E",809,IF(Atletas!S289="Arma Maleável E",810,IF(Atletas!S289="Arma Dupla F",811,IF(Atletas!S289="Arma Maleável F",812, "")))))))))))))</f>
        <v/>
      </c>
      <c r="BV293" s="52" t="str">
        <f>IF(Atletas!T289="","",IF(Atletas!W289&lt;&gt;"",10000,0)+IF(Atletas!B289="Feminino",1000,IF(Atletas!B289="Masculino",2000,""))+IF(Atletas!T289="Taijijian Yang A",901,IF(Atletas!T289="Taijijian Chen A",902,IF(Atletas!T289="Taijijian Sun A",903,IF(Atletas!T289="Taijijian Wu A",904,IF(Atletas!T289="Taijijian Wu-Hao A",905,IF(Atletas!T289="Taijijian 32 A",906,IF(Atletas!T289="Taijijian 42 A",907,IF(Atletas!T289="Taijijian Yang B",908,IF(Atletas!T289="Taijijian Chen B",909,IF(Atletas!T289="Taijijian Sun B",910,IF(Atletas!T289="Taijijian Wu B",911,IF(Atletas!T289="Taijijian Wu-Hao B",912,IF(Atletas!T289="Taijijian 32 B",913,IF(Atletas!T289="Taijijian 42 B",914,IF(Atletas!T289="Taijijian Yang C",915,IF(Atletas!T289="Taijijian Chen C",916,IF(Atletas!T289="Taijijian Sun C",917,IF(Atletas!T289="Taijijian Wu C",918,IF(Atletas!T289="Taijijian Wu-Hao C",919,IF(Atletas!T289="Taijijian 32 C",920,IF(Atletas!T289="Taijijian 42 C",921,IF(Atletas!T289="Taijijian Yang D",922,IF(Atletas!T289="Taijijian Chen D",923,IF(Atletas!T289="Taijijian Sun D",924,IF(Atletas!T289="Taijijian Wu D",925,IF(Atletas!T289="Taijijian Wu-Hao D",926,IF(Atletas!T289="Taijijian 32 D",927,IF(Atletas!T289="Taijijian 42 D",928,IF(Atletas!T289="Taijijian Yang E",929,IF(Atletas!T289="Taijijian Chen E",930,IF(Atletas!T289="Taijijian Sun E",931,IF(Atletas!T289="Taijijian Wu E",932,IF(Atletas!T289="Taijijian Wu-Hao E",933,IF(Atletas!T289="Taijijian 32 E",934,IF(Atletas!T289="Taijijian 42 E",935,IF(Atletas!T289="Taijijian Yang F",936,IF(Atletas!T289="Taijijian Chen F",937,IF(Atletas!T289="Taijijian Sun F",938,IF(Atletas!T289="Taijijian Wu F",939,IF(Atletas!T289="Taijijian Wu-Hao F",940,IF(Atletas!T289="Taijijian 32 F",941,IF(Atletas!T289="Taijijian 42 F",942,"")))))))))))))))))))))))))))))))))))))))))))</f>
        <v/>
      </c>
      <c r="BW293" s="52" t="str">
        <f>IF(Atletas!U289="","",IF(Atletas!W289&lt;&gt;"",10000,0)+IF(Atletas!B289="Feminino",1000,IF(Atletas!B289="Masculino",2000,""))+IF(Atletas!T289="Taijijian 42 F",942,IF(Atletas!U289="Taijidao A",943,IF(Atletas!U289="Taijishan A",944,IF(Atletas!U289="Taijiqiang A",945,IF(Atletas!U289="Taijidao B",946,IF(Atletas!U289="Taijishan B",947,IF(Atletas!U289="Taijiqiang B",948,IF(Atletas!U289="Taijidao C",949,IF(Atletas!U289="Taijishan C",950,IF(Atletas!U289="Taijiqiang C",951,IF(Atletas!U289="Taijidao D",952,IF(Atletas!U289="Taijishan D",953,IF(Atletas!U289="Taijiqiang D",954,IF(Atletas!U289="Taijidao E",955,IF(Atletas!U289="Taijishan E",956,IF(Atletas!U289="Taijiqiang E",957,IF(Atletas!U289="Taijidao F",958,IF(Atletas!U289="Taijishan F",959,IF(Atletas!U289="Taijiqiang F",960))))))))))))))))))))</f>
        <v/>
      </c>
      <c r="BX293" s="72" t="str">
        <f>IF(BY293&lt;&gt;"","Taijijian Wu-Hao A","")</f>
        <v/>
      </c>
      <c r="BY293" s="72" t="str">
        <f>IF(COUNTIF(BK:BW,1905)&gt;0,COUNTIF(BK:BW,1905),"")</f>
        <v/>
      </c>
      <c r="BZ293" s="72" t="str">
        <f>IF(CA293&lt;&gt;"","Taijijian Wu-Hao A","")</f>
        <v/>
      </c>
      <c r="CA293" s="72" t="str">
        <f>IF(COUNTIF(BK:BW,2905)&gt;0,COUNTIF(BK:BW,2905),"")</f>
        <v/>
      </c>
      <c r="CB293" s="72" t="str">
        <f>IF(CC293&lt;&gt;"","Dao C","")</f>
        <v/>
      </c>
      <c r="CC293" s="64" t="str">
        <f>IF(COUNTIF(BK:BW,11611)&gt;0,COUNTIF(BK:BW,11611),"")</f>
        <v/>
      </c>
      <c r="CD293" s="64" t="str">
        <f>IF(CE293&lt;&gt;"","Dao C","")</f>
        <v/>
      </c>
      <c r="CE293" s="64" t="str">
        <f>IF(COUNTIF(BK:BW,12611)&gt;0,COUNTIF(BK:BW,12611),"")</f>
        <v/>
      </c>
      <c r="CF293" s="52" t="str">
        <f xml:space="preserve"> IF(Atletas!V289="","",IF(Atletas!V289="Duilian de Mãos AB - Equipe 1",1,IF(Atletas!V289="Duilian de Mãos AB - Equipe 2",2,IF(Atletas!V289="Duilian de Armas AB - Equipe 1",3,IF(Atletas!V289="Duilian de Armas AB - Equipe 2",4,IF(Atletas!V289="Duilian de Tuishou - Equipe 1",5,IF(Atletas!V289="Duilian de Tuishou - Equipe 2",6,IF(Atletas!V289="Grupo Externo AB - Equipe 1",7,IF(Atletas!V289="Grupo Externo AB - Equipe 2",8,IF(Atletas!V289="Grupo Interno AB - Equipe 1",9,IF(Atletas!V289="Grupo Interno AB - Equipe 2",10,IF(Atletas!V289="Duilian de Mãos CD - Equipe 1",11,IF(Atletas!V289="Duilian de Mãos CD - Equipe 2",12,IF(Atletas!V289="Duilian de Armas CD - Equipe 1",13,IF(Atletas!V289="Duilian de Armas CD - Equipe 2",14,IF(Atletas!V289="Duilian de Tuishou - Equipe 1",15,IF(Atletas!V289="Duilian de Tuishou - Equipe 2",16,IF(Atletas!V289="Grupo Externo CDEF - Equipe 1",17,IF(Atletas!V289="Grupo Externo CDEF - Equipe 2",18,IF(Atletas!V289="Grupo Interno CDEF - Equipe 1",19,IF(Atletas!V289="Grupo Interno CDEF - Equipe 2",20,IF(Atletas!V289="Duilian de Mãos EF - Equipe 1",21,IF(Atletas!V289="Duilian de Mãos EF - Equipe 2",22,IF(Atletas!V289="Duilian de Armas EF - Equipe 1",23,IF(Atletas!V289="Duilian de Armas EF - Equipe 2",24,IF(Atletas!V289="Duilian de Tuishou - Equipe 1",25,IF(Atletas!V289="Duilian de Tuishou - Equipe 2",26,"")))))))))))))))))))))))))))</f>
        <v/>
      </c>
    </row>
    <row r="294" spans="2:84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 t="str">
        <f t="array" ref="V294">IFERROR(INDEX(BX$7:BX$336,SMALL(IF(BX$7:BX$336&lt;&gt;"",ROW(BX$7:BX$336)-ROW(BX$7)+1),ROWS(BX$7:BX251))),"")</f>
        <v/>
      </c>
      <c r="W294" s="4" t="str">
        <f t="array" ref="W294">IFERROR(INDEX(BY$7:BY$336,SMALL(IF(BY$7:BY$336&lt;&gt;"",ROW(BY$7:BY$336)-ROW(BY$7)+1),ROWS(BY$7:BY251))),"")</f>
        <v/>
      </c>
      <c r="X294" s="4" t="str">
        <f t="array" ref="X294">IFERROR(INDEX(BZ$7:BZ$336,SMALL(IF(BZ$7:BZ$336&lt;&gt;"",ROW(BZ$7:BZ$336)-ROW(BZ$7)+1),ROWS(BZ$7:BZ251))),"")</f>
        <v/>
      </c>
      <c r="Y294" s="4" t="str">
        <f t="array" ref="Y294">IFERROR(INDEX(CA$7:CA$336,SMALL(IF(CA$7:CA$336&lt;&gt;"",ROW(CA$7:CA$336)-ROW(CA$7)+1),ROWS(CA$7:CA251))),"")</f>
        <v/>
      </c>
      <c r="Z294" s="4" t="str">
        <f t="array" ref="Z294">IFERROR(INDEX(CB$7:CB$378,SMALL(IF(CB$7:CB$378&lt;&gt;"",ROW(CB$7:CB$378)-ROW(CB$7)+1),ROWS(CB$7:CB293))),"")</f>
        <v/>
      </c>
      <c r="AA294" s="4" t="str">
        <f t="array" ref="AA294">IFERROR(INDEX(CC$7:CC$378,SMALL(IF(CC$7:CC$378&lt;&gt;"",ROW(CC$7:CC$378)-ROW(CC$7)+1),ROWS(CC$7:CC293))),"")</f>
        <v/>
      </c>
      <c r="AB294" s="4" t="str">
        <f t="array" ref="AB294">IFERROR(INDEX(CD$7:CD$378,SMALL(IF(CD$7:CD$378&lt;&gt;"",ROW(CD$7:CD$378)-ROW(CD$7)+1),ROWS(CD$7:CD293))),"")</f>
        <v/>
      </c>
      <c r="AC294" s="4" t="str">
        <f t="array" ref="AC294">IFERROR(INDEX(CE$7:CE$378,SMALL(IF(CE$7:CE$378&lt;&gt;"",ROW(CE$7:CE$378)-ROW(CE$7)+1),ROWS(CE$7:CE293))),"")</f>
        <v/>
      </c>
      <c r="AD294" s="4"/>
      <c r="AE294" s="4"/>
      <c r="AF294" s="4"/>
      <c r="AG294" s="4"/>
      <c r="AH294" s="4"/>
      <c r="AI294" s="4"/>
      <c r="AJ294" s="46" t="str">
        <f>IF(Atletas!D290="","",IF(Atletas!B290="Feminino",100,IF(Atletas!B290="Masculino",200,""))+(IF(Atletas!D290="Infantil 39kg",1,IF(Atletas!D290="Infantil 42kg",2,IF(Atletas!D290="Infantil 45kg",3,IF(Atletas!D290="Infantil 48kg",4,IF(Atletas!D290="Infantil 52kg",5,IF(Atletas!D290="Infantil 56kg",6,IF(Atletas!D290="Infantil 60kg",7,IF(Atletas!D290="Juvenil 48kg",8,IF(Atletas!D290="Juvenil 52kg",9,IF(Atletas!D290="Juvenil 56kg",10,IF(Atletas!D290="Juvenil 60kg",11,IF(Atletas!D290="Juvenil 65kg",12,IF(Atletas!D290="Juvenil 70kg",13,IF(Atletas!D290="Juvenil 75kg",14,IF(Atletas!D290="Juvenil 80kg",15,IF(Atletas!D290="Adulto 48kg",16,IF(Atletas!D290="Adulto 52kg",17,IF(Atletas!D290="Adulto 56kg",18,IF(Atletas!D290="Adulto 60kg",19,IF(Atletas!D290="Adulto 65kg",20,IF(Atletas!D290="Adulto 70kg",21,IF(Atletas!D290="Adulto 75kg",22,IF(Atletas!D290="Adulto 80kg",23,IF(Atletas!D290="Adulto 85kg",24,IF(Atletas!D290="Adulto 90kg",25,IF(Atletas!D290="Adulto +90kg",26,""))))))))))))))))))))))))))))</f>
        <v/>
      </c>
      <c r="AO294" s="10" t="str">
        <f>IF(Atletas!E290="","",IF(Atletas!B290="Feminino",100,IF(Atletas!B290="Masculino",200,""))+(IF(Atletas!E290="Juvenil 44kg",1,IF(Atletas!E290="Juvenil 48kg",2,IF(Atletas!E290="Juvenil 52kg",3,IF(Atletas!E290="Juvenil 56kg",4,IF(Atletas!E290="Juvenil 60kg",5,IF(Atletas!E290="Juvenil 65kg",6,IF(Atletas!E290="Juvenil 70kg",7,IF(Atletas!E290="Juvenil 75kg",8,IF(Atletas!E290="Juvenil 82kg",9,IF(Atletas!E290="Juvenil 90kg",10,IF(Atletas!E290="Juvenil 100kg",11,IF(Atletas!E290="Adulto 48kg",12,IF(Atletas!E290="Adulto 52kg",13,IF(Atletas!E290="Adulto 56kg",14,IF(Atletas!E290="Adulto 60kg",15,IF(Atletas!E290="Adulto 65kg",16,IF(Atletas!E290="Adulto 70kg",17,IF(Atletas!E290="Adulto 75kg",18,IF(Atletas!E290="Adulto 82kg",19,IF(Atletas!E290="Adulto 90kg",20,IF(Atletas!E290="Adulto 100kg",21,IF(Atletas!E290="Adulto +100kg",22,""))))))))))))))))))))))))</f>
        <v/>
      </c>
      <c r="AT294" s="10" t="str">
        <f>IF(Atletas!F290="","",IF(Atletas!B290="Feminino",100,IF(Atletas!B290="Masculino",200,""))+(IF(Atletas!F290="Adulto 48kg",1,IF(Atletas!F290="Adulto 56kg",2,IF(Atletas!F290="Adulto 65kg",3,IF(Atletas!F290="Adulto 75kg",4,IF(Atletas!F290="Adulto +75kg",5,IF(Atletas!F290="Adulto 52kg",6,IF(Atletas!F290="Adulto 60kg",7,IF(Atletas!F290="Adulto 70kg",8,IF(Atletas!F290="Adulto 80kg",9,IF(Atletas!F290="Adulto 90kg",10,IF(Atletas!F290="Adulto +90kg",11,"")))))))))))))</f>
        <v/>
      </c>
      <c r="AY294" s="46" t="str">
        <f>IF(Atletas!G290="","",IF(Atletas!B290="Feminino",100,IF(Atletas!B290="Masculino",200,""))+(IF(Atletas!G290="Changquan Mirim",1,IF(Atletas!G290="Nanquan Mirim",2,IF(Atletas!G290="Taijiquan Mirim",3,IF(Atletas!G290="Changquan Grupo C",4,IF(Atletas!G290="Nanquan Grupo C",5,IF(Atletas!G290="Taijiquan Grupo C",6,IF(Atletas!G290="Changquan Grupo B",7,IF(Atletas!G290="Nanquan Grupo B",8,IF(Atletas!G290="Taijiquan Grupo B",9,IF(Atletas!G290="Changquan Grupo A",10,IF(Atletas!G290="Nanquan Grupo A",11,IF(Atletas!G290="Taijiquan Grupo A",12,IF(Atletas!G290="Changquan Opcional",13,IF(Atletas!G290="Nanquan Opcional",14,IF(Atletas!G290="Taijiquan Opcional",15,IF(Atletas!G290="Changquan Adulto",16,IF(Atletas!G290="Nanquan Adulto",17,IF(Atletas!G290="Taijiquan Adulto",18,""))))))))))))))))))))</f>
        <v/>
      </c>
      <c r="AZ294" s="46" t="str">
        <f>IF(Atletas!H290="","",IF(Atletas!B290="Feminino",100,IF(Atletas!B290="Masculino",200,""))+(IF(Atletas!H290="Daoshu Mirim",19,IF(Atletas!H290="Jianshu Mirim",20,IF(Atletas!H290="Nandao Mirim",21,IF(Atletas!H290="Taijijian Mirim",22,IF(Atletas!H290="Daoshu Grupo C",23,IF(Atletas!H290="Jianshu Grupo C",24,IF(Atletas!H290="Nandao Grupo C",25,IF(Atletas!H290="Taijijian Grupo C",26,IF(Atletas!H290="Daoshu Grupo B",27,IF(Atletas!H290="Jianshu Grupo B",28,IF(Atletas!H290="Nandao Grupo B",29,IF(Atletas!H290="Taijijian Grupo B",30,IF(Atletas!H290="Daoshu Grupo A",31,IF(Atletas!H290="Jianshu Grupo A",32,IF(Atletas!H290="Nandao Grupo A",33,IF(Atletas!H290="Taijijian Grupo A",34,IF(Atletas!H290="Daoshu Opcional",35,IF(Atletas!H290="Jianshu Opcional",36,IF(Atletas!H290="Nandao Opcional",37,IF(Atletas!H290="Taijijian Opcional",38,IF(Atletas!H290="Daoshu Adulto",39,IF(Atletas!H290="Jianshu Adulto",40,IF(Atletas!H290="Nandao Adulto",41,IF(Atletas!H290="Taijijian Adulto",42,""))))))))))))))))))))))))))</f>
        <v/>
      </c>
      <c r="BA294" s="46" t="str">
        <f>IF(Atletas!I290="","",IF(Atletas!B290="Feminino",100,IF(Atletas!B290="Masculino",200,""))+(IF(Atletas!I290="Gunshu Mirim",43,IF(Atletas!I290="Qiangshu Mirim",44,IF(Atletas!I290="Nangun Mirim",45,IF(Atletas!I290="Gunshu Grupo C",46,IF(Atletas!I290="Qiangshu Grupo C",47,IF(Atletas!I290="Nangun Grupo C",48,IF(Atletas!I290="Gunshu Grupo B",49,IF(Atletas!I290="Qiangshu Grupo B",50,IF(Atletas!I290="Nangun Grupo B",51,IF(Atletas!I290="Gunshu Grupo A",52,IF(Atletas!I290="Qiangshu Grupo A",53,IF(Atletas!I290="Nangun Grupo A",54,IF(Atletas!I290="Gunshu Opcional",55,IF(Atletas!I290="Qiangshu Opcional",56,IF(Atletas!I290="Nangun Opcional",57,IF(Atletas!I290="Gunshu Adulto",58,IF(Atletas!I290="Qiangshu Adulto",59,IF(Atletas!I290="Nangun Adulto",60,""))))))))))))))))))))</f>
        <v/>
      </c>
      <c r="BF294" s="52" t="str">
        <f>IF(Atletas!J290="","",IF(Atletas!B290="Feminino",100,IF(Atletas!B290="Masculino",200,""))+(IF(Atletas!J290="Equipe 1 Grupo B",1,IF(Atletas!J290="Equipe 2 Grupo B",2,IF(Atletas!J290="Equipe 1 Grupo A",3,IF(Atletas!J290="Equipe 2 Grupo A",4,IF(Atletas!J290="Equipe 1 Adulto",5,IF(Atletas!J290="Equipe 2 Adulto",6,""))))))))</f>
        <v/>
      </c>
      <c r="BK294" s="52" t="str">
        <f>IF(Atletas!K290="","",IF(Atletas!W290&lt;&gt;"",10000,0)+(IF(Atletas!B290="Feminino",1000,IF(Atletas!B290="Masculino",2000,""))+IF(Atletas!K290="Choylayfut A",1,IF(Atletas!K290="Hunggar A",2,IF(Atletas!K290="Wuzuquan A",3,IF(Atletas!K290="Wingchun A",4,IF(Atletas!K290="Outra Mão de Sul A",5,IF(Atletas!K290="Choylayfut B",6,IF(Atletas!K290="Hunggar B",7,IF(Atletas!K290="Wuzuquan B",8,IF(Atletas!K290="Wingchun B",9,IF(Atletas!K290="Outra Mão de Sul B",10,IF(Atletas!K290="Choylayfut C",11,IF(Atletas!K290="Hunggar C",12,IF(Atletas!K290="Wuzuquan C",13,IF(Atletas!K290="Wingchun C",14,IF(Atletas!K290="Outra Mão de Sul C",15,IF(Atletas!K290="Choylayfut D",16,IF(Atletas!K290="Hunggar D",17,IF(Atletas!K290="Wuzuquan D",18,IF(Atletas!K290="Wingchun D",19,IF(Atletas!K290="Outra Mão de Sul D",20,IF(Atletas!K290="Choylayfut E",21,IF(Atletas!K290="Hunggar E",22,IF(Atletas!K290="Wuzuquan E",23,IF(Atletas!K290="Wingchun E",24,IF(Atletas!K290="Outra Mão de Sul E",25,IF(Atletas!K290="Choylayfut F",26,IF(Atletas!K290="Hunggar F",27,IF(Atletas!K290="Wuzuquan F",28,IF(Atletas!K290="Wingchun F",29,IF(Atletas!K290="Outra Mão de Sul F",30,""))))))))))))))))))))))))))))))))</f>
        <v/>
      </c>
      <c r="BL294" s="52" t="str">
        <f>IF(Atletas!L290="","",IF(Atletas!W290&lt;&gt;"",10000,0)+(IF(Atletas!B290="Feminino",1000,IF(Atletas!B290="Masculino",2000,""))+(IF(Atletas!L290="Chaquan A",101,IF(Atletas!L290="Emeiquan A",102,IF(Atletas!L290="Fanziquan A",103,IF(Atletas!L290="Huaquan A",104,IF(Atletas!L290="Hongquan A",105,IF(Atletas!L290="Paochui A",106,IF(Atletas!L290="Piguaquan A",107,IF(Atletas!L290="Shaolinquan A",108,IF(Atletas!L290="Tanglangquan A",109,IF(Atletas!L290="Yinzhaophai A",110,IF(Atletas!L290="Tongbeiquan A",111,IF(Atletas!L290="Wudangquan A",112,IF(Atletas!L290="Outros Estilos A",113,IF(Atletas!L290="Chaquan B",114,IF(Atletas!L290="Emeiquan B",115,IF(Atletas!L290="Fanziquan B",116,IF(Atletas!L290="Huaquan B",117,IF(Atletas!L290="Hongquan B",118,IF(Atletas!L290="Paochui B",119,IF(Atletas!L290="Piguaquan B",120,IF(Atletas!L290="Shaolinquan B",121,IF(Atletas!L290="Tanglangquan B",122,IF(Atletas!L290="Yinzhaophai B",123,IF(Atletas!L290="Tongbeiquan B",124,IF(Atletas!L290="Wudangquan B",125,IF(Atletas!L290="Outros Estilos B",126,IF(Atletas!L290="Chaquan C",127,IF(Atletas!L290="Emeiquan C",128,IF(Atletas!L290="Fanziquan C",129,IF(Atletas!L290="Huaquan C",130,IF(Atletas!L290="Hongquan C",131,IF(Atletas!L290="Paochui C",132,IF(Atletas!L290="Piguaquan C",133,IF(Atletas!L290="Shaolinquan C",134,IF(Atletas!L290="Tanglangquan C",135,IF(Atletas!L290="Yinzhaophai C",136,IF(Atletas!L290="Tongbeiquan C",137,IF(Atletas!L290="Wudangquan C",138,IF(Atletas!L290="Outros Estilos C",139,0))))))))))))))))))))))))))))))))))))))))))</f>
        <v/>
      </c>
      <c r="BM294" s="52" t="str">
        <f>IF(Atletas!L290="","",IF(Atletas!W290&lt;&gt;"",10000,0)+(IF(Atletas!B290="Feminino",1000,IF(Atletas!B290="Masculino",2000,""))+(IF(Atletas!L290="Chaquan D",140,IF(Atletas!L290="Emeiquan D",141,IF(Atletas!L290="Fanziquan D",142,IF(Atletas!L290="Huaquan D",143,IF(Atletas!L290="Hongquan D",144,IF(Atletas!L290="Paochui D",145,IF(Atletas!L290="Piguaquan D",146,IF(Atletas!L290="Shaolinquan D",147,IF(Atletas!L290="Tanglangquan D",148,IF(Atletas!L290="Yinzhaophai D",149,IF(Atletas!L290="Tongbeiquan D",150,IF(Atletas!L290="Wudangquan D",151,IF(Atletas!L290="Outros Estilos D",152,IF(Atletas!L290="Chaquan E",153,IF(Atletas!L290="Emeiquan E",154,IF(Atletas!L290="Fanziquan E",155,IF(Atletas!L290="Huaquan E",156,IF(Atletas!L290="Hongquan E",157,IF(Atletas!L290="Paochui E",158,IF(Atletas!L290="Piguaquan E",159,IF(Atletas!L290="Shaolinquan E",160,IF(Atletas!L290="Tanglangquan E",161,IF(Atletas!L290="Yinzhaophai E",162,IF(Atletas!L290="Tongbeiquan E",163,IF(Atletas!L290="Wudangquan E",164,IF(Atletas!L290="Outros Estilos E",165,IF(Atletas!L290="Chaquan F",166,IF(Atletas!L290="Emeiquan F",167,IF(Atletas!L290="Fanziquan F",168,IF(Atletas!L290="Huaquan F",169,IF(Atletas!L290="Hongquan F",170,IF(Atletas!L290="Paochui F",171,IF(Atletas!L290="Piguaquan F",172,IF(Atletas!L290="Shaolinquan F",173,IF(Atletas!L290="Tanglangquan F",174,IF(Atletas!L290="Yinzhaophai F",175,IF(Atletas!L290="Tongbeiquan F",176,IF(Atletas!L290="Wudangquan F",177,IF(Atletas!L290="Outros Estilos F",178,0))))))))))))))))))))))))))))))))))))))))))</f>
        <v/>
      </c>
      <c r="BN294" s="52" t="str">
        <f>IF(Atletas!M290="","",IF(Atletas!W290&lt;&gt;"",10000,0)+(IF(Atletas!B290="Feminino",1000,IF(Atletas!B290="Masculino",2000,""))+(IF(Atletas!M290="Ditangquan A",201,IF(Atletas!M290="Houquan A",202,IF(Atletas!M290="Zuiquan A",203,IF(Atletas!M290="Ditangquan B",204,IF(Atletas!M290="Houquan B",205,IF(Atletas!M290="Zuiquan B",206,IF(Atletas!M290="Ditangquan C",207,IF(Atletas!M290="Houquan C",208,IF(Atletas!M290="Zuiquan C",209,IF(Atletas!M290="Ditangquan D",210,IF(Atletas!M290="Houquan D",211,IF(Atletas!M290="Zuiquan D",212,IF(Atletas!M290="Ditangquan E",213,IF(Atletas!M290="Houquan E",214,IF(Atletas!M290="Zuiquan E",215,IF(Atletas!M290="Ditangquan F",216,IF(Atletas!M290="Houquan F",217,IF(Atletas!M290="Zuiquan F",218,"")))))))))))))))))))))</f>
        <v/>
      </c>
      <c r="BO294" s="52" t="str">
        <f>IF(Atletas!N290="","",IF(Atletas!W290&lt;&gt;"",10000,0)+IF(Atletas!B290="Feminino",1000,IF(Atletas!B290="Masculino",2000,""))+IF(Atletas!N290="Yang A",301,IF(Atletas!N290="Chen A",30,IF(Atletas!N290="Sun A",303,IF(Atletas!N290="Wu A",304,IF(Atletas!N290="Wu-Hao A",305,IF(Atletas!N290="Outro Taijiquan A",306,IF(Atletas!N290="Yang B",307,IF(Atletas!N290="Chen B",308,IF(Atletas!N290="Sun B",309,IF(Atletas!N290="Wu B",310,IF(Atletas!N290="Wu-Hao B",311,IF(Atletas!N290="Outro Taijiquan B",312,IF(Atletas!N290="Yang C",313,IF(Atletas!N290="Chen C",314,IF(Atletas!N290="Sun C",315,IF(Atletas!N290="Wu C",316,IF(Atletas!N290="Wu-Hao C",317,IF(Atletas!N290="Outro Taijiquan C",318,IF(Atletas!N290="Yang D",319,IF(Atletas!N290="Chen D",320,IF(Atletas!N290="Sun D",321,IF(Atletas!N290="Wu D",322,IF(Atletas!N290="Wu-Hao D",323,IF(Atletas!N290="Outro Taijiquan D",324,IF(Atletas!N290="Yang E",325,IF(Atletas!N290="Chen E",326,IF(Atletas!N290="Sun E",327,IF(Atletas!N290="Wu E",328,IF(Atletas!N290="Wu-Hao E",329,IF(Atletas!N290="Outro Taijiquan E",330,IF(Atletas!N290="Yang F",331,IF(Atletas!N290="Chen F",332,IF(Atletas!N290="Sun F",333,IF(Atletas!N290="Wu F",334,IF(Atletas!N290="Wu-Hao F",335,IF(Atletas!N290="Outro Taijiquan F",336,"")))))))))))))))))))))))))))))))))))))</f>
        <v/>
      </c>
      <c r="BP294" s="52" t="str">
        <f>IF(Atletas!O290="","",IF(Atletas!W290&lt;&gt;"",10000,0)+IF(Atletas!B290="Feminino",1000,IF(Atletas!B290="Masculino",2000,""))+IF(OR(Atletas!O290="Yang 26 A",Atletas!O290="Yang 40 A"),401,IF(OR(Atletas!O290="Chen 25 A",Atletas!O290="Chen 36 A",Atletas!O290="Chen 56 A"),402,IF(Atletas!O290="Sun 73 A",403,IF(Atletas!O290="Wu 45 A",404,IF(Atletas!O290="Wu-Hao 46 A",405,IF(OR(Atletas!O290="Taijiquan 16 A",Atletas!O290="Taijiquan 24 A",Atletas!O290="Taijiquan 32 A",Atletas!O290="Taijiquan 42 A"),406,IF(OR(Atletas!O290="Yang 26 B",Atletas!O290="Yang 40 B"),407,IF(OR(Atletas!O290="Chen 25 B",Atletas!O290="Chen 36 B",Atletas!O290="Chen 56 B"),408,IF(Atletas!O290="Sun 73 B",409,IF(Atletas!O290="Wu 45 B",410,IF(Atletas!O290="Wu-Hao 46 B",411,IF(OR(Atletas!O290="Taijiquan 16 B",Atletas!O290="Taijiquan 24 B",Atletas!O290="Taijiquan 32 B",Atletas!O290="Taijiquan 42 B"),412,IF(OR(Atletas!O290="Yang 26 C",Atletas!O290="Yang 40 C"),413,IF(OR(Atletas!O290="Chen 25 C",Atletas!O290="Chen 36 C",Atletas!O290="Chen 56 C"),414,IF(Atletas!O290="Sun 73 C",415,IF(Atletas!O290="Wu 45 C",416,IF(Atletas!O290="Wu-Hao 46 C",417,IF(OR(Atletas!O290="Taijiquan 16 C",Atletas!O290="Taijiquan 24 C",Atletas!O290="Taijiquan 32 C",Atletas!O290="Taijiquan 42 C"),418,0)))))))))))))))))))</f>
        <v/>
      </c>
      <c r="BQ294" s="52" t="str">
        <f>IF(Atletas!O290="","",IF(Atletas!W290&lt;&gt;"",10000,0)+IF(Atletas!B290="Feminino",1000,IF(Atletas!B290="Masculino",2000,""))+IF(OR(Atletas!O290="Yang 26 D",Atletas!O290="Yang 40 D"),419,IF(OR(Atletas!O290="Chen 25 D",Atletas!O290="Chen 36 D",Atletas!O290="Chen 56 D"),420,IF(Atletas!O290="Sun 73 D",421,IF(Atletas!O290="Wu 45 D",422,IF(Atletas!O290="Wu-Hao 46 D",423,IF(OR(Atletas!O290="Taijiquan 16 D",Atletas!O290="Taijiquan 24 D",Atletas!O290="Taijiquan 32 D",Atletas!O290="Taijiquan 42 D"),424,IF(OR(Atletas!O290="Yang 26 E",Atletas!O290="Yang 40 E"),425,IF(OR(Atletas!O290="Chen 25 E",Atletas!O290="Chen 36 E",Atletas!O290="Chen 56 E"),426,IF(Atletas!O290="Sun 73 E",427,IF(Atletas!O290="Wu 45 E",428,IF(Atletas!O290="Wu-Hao 46 E",429,IF(OR(Atletas!O290="Taijiquan 16 E",Atletas!O290="Taijiquan 24 E",Atletas!O290="Taijiquan 32 E",Atletas!O290="Taijiquan 42 E"),430,IF(OR(Atletas!O290="Yang 26 F",Atletas!O290="Yang 40 F"),431,IF(OR(Atletas!O290="Chen 25 F",Atletas!O290="Chen 36 F",Atletas!O290="Chen 56 F"),432,IF(Atletas!O290="Sun 73 F",433,IF(Atletas!O290="Wu 45 F",434,IF(Atletas!O290="Wu-Hao 46 F",435,IF(OR(Atletas!O290="Taijiquan 16 F",Atletas!O290="Taijiquan 24 F",Atletas!O290="Taijiquan 32 F",Atletas!O290="Taijiquan 42 F"),436,0)))))))))))))))))))</f>
        <v/>
      </c>
      <c r="BR294" s="52" t="str">
        <f>IF(Atletas!P290="","",IF(Atletas!W290&lt;&gt;"",10000,0)+IF(Atletas!B290="Feminino",1000,IF(Atletas!B290="Masculino",2000,""))+IF(Atletas!P290="Xingyiquan A",501,IF(Atletas!P290="Baguazhang A",502,IF(Atletas!P290="Outro Estilo Interno A",503,IF(Atletas!P290="Xingyiquan B",504,IF(Atletas!P290="Baguazhang B",505,IF(Atletas!P290="Outro Estilo Interno B",506,IF(Atletas!P290="Xingyiquan C",507,IF(Atletas!P290="Baguazhang C",508,IF(Atletas!P290="Outro Estilo Interno C",509,IF(Atletas!P290="Xingyiquan D",510,IF(Atletas!P290="Baguazhang D",511,IF(Atletas!P290="Outro Estilo Interno D",512,IF(Atletas!P290="Xingyiquan E",513,IF(Atletas!P290="Baguazhang E",514,IF(Atletas!P290="Outro Estilo Interno E",515,IF(Atletas!P290="Xingyiquan F",516,IF(Atletas!P290="Baguazhang F",517,IF(Atletas!P290="Outro Estilo Interno F",518, "")))))))))))))))))))</f>
        <v/>
      </c>
      <c r="BS294" s="52" t="str">
        <f>IF(Atletas!Q290="","",IF(Atletas!W290&lt;&gt;"",10000,0)+IF(Atletas!B290="Feminino",1000,IF(Atletas!B290="Masculino",2000,""))+IF(Atletas!Q290="Dao A",601,IF(Atletas!Q290="Jian A",602,IF(Atletas!Q290="Bishou A",603,IF(Atletas!Q290="Shan A",604,IF(Atletas!Q290="Outra Arma Curta A",605,IF(Atletas!Q290="Dao B",606,IF(Atletas!Q290="Jian B",607,IF(Atletas!Q290="Bishou B",608,IF(Atletas!Q290="Shan B",609,IF(Atletas!Q290="Outra Arma Curta B",610,IF(Atletas!Q290="Dao C",611,IF(Atletas!Q290="Jian C",612,IF(Atletas!Q290="Bishou C",613,IF(Atletas!Q290="Shan C",614,IF(Atletas!Q290="Outra Arma Curta C",615,IF(Atletas!Q290="Dao D",616,IF(Atletas!Q290="Jian D",617,IF(Atletas!Q290="Bishou D",618,IF(Atletas!Q290="Shan D",619,IF(Atletas!Q290="Outra Arma Curta D",620,IF(Atletas!Q290="Dao E",621,IF(Atletas!Q290="Jian E",622,IF(Atletas!Q290="Bishou E",623,IF(Atletas!Q290="Shan E",624,IF(Atletas!Q290="Outra Arma Curta E",625,IF(Atletas!Q290="Dao F",626,IF(Atletas!Q290="Jian F",627,IF(Atletas!Q290="Bishou F",628,IF(Atletas!Q290="Shan F",629,IF(Atletas!Q290="Outra Arma Curta F",630, "")))))))))))))))))))))))))))))))</f>
        <v/>
      </c>
      <c r="BT294" s="52" t="str">
        <f>IF(Atletas!R290="","",IF(Atletas!W290&lt;&gt;"",10000,0)+IF(Atletas!B290="Feminino",1000,IF(Atletas!B290="Masculino",2000,""))+IF(Atletas!R290="Gun A",701,IF(Atletas!R290="Qiang A",702,IF(Atletas!R290="Pudao / Guandao A",703,IF(Atletas!R290="Outra Arma Longa A",704,IF(Atletas!R290="Gun B",705,IF(Atletas!R290="Qiang B",706,IF(Atletas!R290="Pudao / Guandao B",707,IF(Atletas!R290="Outra Arma Longa B",708,IF(Atletas!R290="Gun C",709,IF(Atletas!R290="Qiang C",710,IF(Atletas!R290="Pudao / Guandao C",711,IF(Atletas!R290="Outra Arma Longa C",712,IF(Atletas!R290="Gun D",713,IF(Atletas!R290="Qiang D",714,IF(Atletas!R290="Pudao / Guandao D",715,IF(Atletas!R290="Outra Arma Longa D",716,IF(Atletas!R290="Gun E",717,IF(Atletas!R290="Qiang E",718,IF(Atletas!R290="Pudao / Guandao E",719,IF(Atletas!R290="Outra Arma Longa E",720,IF(Atletas!R290="Gun F",721,IF(Atletas!R290="Qiang F",722,IF(Atletas!R290="Pudao / Guandao F",723,IF(Atletas!R290="Outra Arma Longa F",724,"")))))))))))))))))))))))))</f>
        <v/>
      </c>
      <c r="BU294" s="52" t="str">
        <f>IF(Atletas!S290="","",IF(Atletas!W290&lt;&gt;"",10000,0)+IF(Atletas!B290="Feminino",1000,IF(Atletas!B290="Masculino",2000,""))+IF(Atletas!S290="Arma Dupla A",801,IF(Atletas!S290="Arma Maleável A",802,IF(Atletas!S290="Arma Dupla B",803,IF(Atletas!S290="Arma Maleável B",804,IF(Atletas!S290="Arma Dupla C",805,IF(Atletas!S290="Arma Maleável C",806,IF(Atletas!S290="Arma Dupla D",807,IF(Atletas!S290="Arma Maleável D",808,IF(Atletas!S290="Arma Dupla E",809,IF(Atletas!S290="Arma Maleável E",810,IF(Atletas!S290="Arma Dupla F",811,IF(Atletas!S290="Arma Maleável F",812, "")))))))))))))</f>
        <v/>
      </c>
      <c r="BV294" s="52" t="str">
        <f>IF(Atletas!T290="","",IF(Atletas!W290&lt;&gt;"",10000,0)+IF(Atletas!B290="Feminino",1000,IF(Atletas!B290="Masculino",2000,""))+IF(Atletas!T290="Taijijian Yang A",901,IF(Atletas!T290="Taijijian Chen A",902,IF(Atletas!T290="Taijijian Sun A",903,IF(Atletas!T290="Taijijian Wu A",904,IF(Atletas!T290="Taijijian Wu-Hao A",905,IF(Atletas!T290="Taijijian 32 A",906,IF(Atletas!T290="Taijijian 42 A",907,IF(Atletas!T290="Taijijian Yang B",908,IF(Atletas!T290="Taijijian Chen B",909,IF(Atletas!T290="Taijijian Sun B",910,IF(Atletas!T290="Taijijian Wu B",911,IF(Atletas!T290="Taijijian Wu-Hao B",912,IF(Atletas!T290="Taijijian 32 B",913,IF(Atletas!T290="Taijijian 42 B",914,IF(Atletas!T290="Taijijian Yang C",915,IF(Atletas!T290="Taijijian Chen C",916,IF(Atletas!T290="Taijijian Sun C",917,IF(Atletas!T290="Taijijian Wu C",918,IF(Atletas!T290="Taijijian Wu-Hao C",919,IF(Atletas!T290="Taijijian 32 C",920,IF(Atletas!T290="Taijijian 42 C",921,IF(Atletas!T290="Taijijian Yang D",922,IF(Atletas!T290="Taijijian Chen D",923,IF(Atletas!T290="Taijijian Sun D",924,IF(Atletas!T290="Taijijian Wu D",925,IF(Atletas!T290="Taijijian Wu-Hao D",926,IF(Atletas!T290="Taijijian 32 D",927,IF(Atletas!T290="Taijijian 42 D",928,IF(Atletas!T290="Taijijian Yang E",929,IF(Atletas!T290="Taijijian Chen E",930,IF(Atletas!T290="Taijijian Sun E",931,IF(Atletas!T290="Taijijian Wu E",932,IF(Atletas!T290="Taijijian Wu-Hao E",933,IF(Atletas!T290="Taijijian 32 E",934,IF(Atletas!T290="Taijijian 42 E",935,IF(Atletas!T290="Taijijian Yang F",936,IF(Atletas!T290="Taijijian Chen F",937,IF(Atletas!T290="Taijijian Sun F",938,IF(Atletas!T290="Taijijian Wu F",939,IF(Atletas!T290="Taijijian Wu-Hao F",940,IF(Atletas!T290="Taijijian 32 F",941,IF(Atletas!T290="Taijijian 42 F",942,"")))))))))))))))))))))))))))))))))))))))))))</f>
        <v/>
      </c>
      <c r="BW294" s="52" t="str">
        <f>IF(Atletas!U290="","",IF(Atletas!W290&lt;&gt;"",10000,0)+IF(Atletas!B290="Feminino",1000,IF(Atletas!B290="Masculino",2000,""))+IF(Atletas!T290="Taijijian 42 F",942,IF(Atletas!U290="Taijidao A",943,IF(Atletas!U290="Taijishan A",944,IF(Atletas!U290="Taijiqiang A",945,IF(Atletas!U290="Taijidao B",946,IF(Atletas!U290="Taijishan B",947,IF(Atletas!U290="Taijiqiang B",948,IF(Atletas!U290="Taijidao C",949,IF(Atletas!U290="Taijishan C",950,IF(Atletas!U290="Taijiqiang C",951,IF(Atletas!U290="Taijidao D",952,IF(Atletas!U290="Taijishan D",953,IF(Atletas!U290="Taijiqiang D",954,IF(Atletas!U290="Taijidao E",955,IF(Atletas!U290="Taijishan E",956,IF(Atletas!U290="Taijiqiang E",957,IF(Atletas!U290="Taijidao F",958,IF(Atletas!U290="Taijishan F",959,IF(Atletas!U290="Taijiqiang F",960))))))))))))))))))))</f>
        <v/>
      </c>
      <c r="BX294" s="72" t="str">
        <f>IF(BY294&lt;&gt;"","Taijijian Combinado A","")</f>
        <v/>
      </c>
      <c r="BY294" s="72" t="str">
        <f>IF((COUNTIF(BK:BW,1906)+COUNTIF(BK:BW,1907))&gt;0,(COUNTIF(BK:BW,1906)+COUNTIF(BK:BW,1907)),"")</f>
        <v/>
      </c>
      <c r="BZ294" s="72" t="str">
        <f>IF(CA294&lt;&gt;"","Taijijian Combinado A","")</f>
        <v/>
      </c>
      <c r="CA294" s="72" t="str">
        <f>IF((COUNTIF(BM:BY,2906)+COUNTIF(BM:BY,2907))&gt;0,(COUNTIF(BM:BY,2906)+COUNTIF(BM:BY,2907)),"")</f>
        <v/>
      </c>
      <c r="CB294" s="72" t="str">
        <f>IF(CC294&lt;&gt;"","Jian C","")</f>
        <v/>
      </c>
      <c r="CC294" s="64" t="str">
        <f>IF(COUNTIF(BK:BW,11612)&gt;0,COUNTIF(BK:BW,11612),"")</f>
        <v/>
      </c>
      <c r="CD294" s="64" t="str">
        <f>IF(CE294&lt;&gt;"","Jian C","")</f>
        <v/>
      </c>
      <c r="CE294" s="64" t="str">
        <f>IF(COUNTIF(BK:BW,12612)&gt;0,COUNTIF(BK:BW,12612),"")</f>
        <v/>
      </c>
      <c r="CF294" s="52" t="str">
        <f xml:space="preserve"> IF(Atletas!V290="","",IF(Atletas!V290="Duilian de Mãos AB - Equipe 1",1,IF(Atletas!V290="Duilian de Mãos AB - Equipe 2",2,IF(Atletas!V290="Duilian de Armas AB - Equipe 1",3,IF(Atletas!V290="Duilian de Armas AB - Equipe 2",4,IF(Atletas!V290="Duilian de Tuishou - Equipe 1",5,IF(Atletas!V290="Duilian de Tuishou - Equipe 2",6,IF(Atletas!V290="Grupo Externo AB - Equipe 1",7,IF(Atletas!V290="Grupo Externo AB - Equipe 2",8,IF(Atletas!V290="Grupo Interno AB - Equipe 1",9,IF(Atletas!V290="Grupo Interno AB - Equipe 2",10,IF(Atletas!V290="Duilian de Mãos CD - Equipe 1",11,IF(Atletas!V290="Duilian de Mãos CD - Equipe 2",12,IF(Atletas!V290="Duilian de Armas CD - Equipe 1",13,IF(Atletas!V290="Duilian de Armas CD - Equipe 2",14,IF(Atletas!V290="Duilian de Tuishou - Equipe 1",15,IF(Atletas!V290="Duilian de Tuishou - Equipe 2",16,IF(Atletas!V290="Grupo Externo CDEF - Equipe 1",17,IF(Atletas!V290="Grupo Externo CDEF - Equipe 2",18,IF(Atletas!V290="Grupo Interno CDEF - Equipe 1",19,IF(Atletas!V290="Grupo Interno CDEF - Equipe 2",20,IF(Atletas!V290="Duilian de Mãos EF - Equipe 1",21,IF(Atletas!V290="Duilian de Mãos EF - Equipe 2",22,IF(Atletas!V290="Duilian de Armas EF - Equipe 1",23,IF(Atletas!V290="Duilian de Armas EF - Equipe 2",24,IF(Atletas!V290="Duilian de Tuishou - Equipe 1",25,IF(Atletas!V290="Duilian de Tuishou - Equipe 2",26,"")))))))))))))))))))))))))))</f>
        <v/>
      </c>
    </row>
    <row r="295" spans="2:84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 t="str">
        <f t="array" ref="V295">IFERROR(INDEX(BX$7:BX$336,SMALL(IF(BX$7:BX$336&lt;&gt;"",ROW(BX$7:BX$336)-ROW(BX$7)+1),ROWS(BX$7:BX252))),"")</f>
        <v/>
      </c>
      <c r="W295" s="4" t="str">
        <f t="array" ref="W295">IFERROR(INDEX(BY$7:BY$336,SMALL(IF(BY$7:BY$336&lt;&gt;"",ROW(BY$7:BY$336)-ROW(BY$7)+1),ROWS(BY$7:BY252))),"")</f>
        <v/>
      </c>
      <c r="X295" s="4" t="str">
        <f t="array" ref="X295">IFERROR(INDEX(BZ$7:BZ$336,SMALL(IF(BZ$7:BZ$336&lt;&gt;"",ROW(BZ$7:BZ$336)-ROW(BZ$7)+1),ROWS(BZ$7:BZ252))),"")</f>
        <v/>
      </c>
      <c r="Y295" s="4" t="str">
        <f t="array" ref="Y295">IFERROR(INDEX(CA$7:CA$336,SMALL(IF(CA$7:CA$336&lt;&gt;"",ROW(CA$7:CA$336)-ROW(CA$7)+1),ROWS(CA$7:CA252))),"")</f>
        <v/>
      </c>
      <c r="Z295" s="4" t="str">
        <f t="array" ref="Z295">IFERROR(INDEX(CB$7:CB$378,SMALL(IF(CB$7:CB$378&lt;&gt;"",ROW(CB$7:CB$378)-ROW(CB$7)+1),ROWS(CB$7:CB294))),"")</f>
        <v/>
      </c>
      <c r="AA295" s="4" t="str">
        <f t="array" ref="AA295">IFERROR(INDEX(CC$7:CC$378,SMALL(IF(CC$7:CC$378&lt;&gt;"",ROW(CC$7:CC$378)-ROW(CC$7)+1),ROWS(CC$7:CC294))),"")</f>
        <v/>
      </c>
      <c r="AB295" s="4" t="str">
        <f t="array" ref="AB295">IFERROR(INDEX(CD$7:CD$378,SMALL(IF(CD$7:CD$378&lt;&gt;"",ROW(CD$7:CD$378)-ROW(CD$7)+1),ROWS(CD$7:CD294))),"")</f>
        <v/>
      </c>
      <c r="AC295" s="4" t="str">
        <f t="array" ref="AC295">IFERROR(INDEX(CE$7:CE$378,SMALL(IF(CE$7:CE$378&lt;&gt;"",ROW(CE$7:CE$378)-ROW(CE$7)+1),ROWS(CE$7:CE294))),"")</f>
        <v/>
      </c>
      <c r="AD295" s="4"/>
      <c r="AE295" s="4"/>
      <c r="AF295" s="4"/>
      <c r="AG295" s="4"/>
      <c r="AH295" s="4"/>
      <c r="AI295" s="4"/>
      <c r="AJ295" s="46" t="str">
        <f>IF(Atletas!D291="","",IF(Atletas!B291="Feminino",100,IF(Atletas!B291="Masculino",200,""))+(IF(Atletas!D291="Infantil 39kg",1,IF(Atletas!D291="Infantil 42kg",2,IF(Atletas!D291="Infantil 45kg",3,IF(Atletas!D291="Infantil 48kg",4,IF(Atletas!D291="Infantil 52kg",5,IF(Atletas!D291="Infantil 56kg",6,IF(Atletas!D291="Infantil 60kg",7,IF(Atletas!D291="Juvenil 48kg",8,IF(Atletas!D291="Juvenil 52kg",9,IF(Atletas!D291="Juvenil 56kg",10,IF(Atletas!D291="Juvenil 60kg",11,IF(Atletas!D291="Juvenil 65kg",12,IF(Atletas!D291="Juvenil 70kg",13,IF(Atletas!D291="Juvenil 75kg",14,IF(Atletas!D291="Juvenil 80kg",15,IF(Atletas!D291="Adulto 48kg",16,IF(Atletas!D291="Adulto 52kg",17,IF(Atletas!D291="Adulto 56kg",18,IF(Atletas!D291="Adulto 60kg",19,IF(Atletas!D291="Adulto 65kg",20,IF(Atletas!D291="Adulto 70kg",21,IF(Atletas!D291="Adulto 75kg",22,IF(Atletas!D291="Adulto 80kg",23,IF(Atletas!D291="Adulto 85kg",24,IF(Atletas!D291="Adulto 90kg",25,IF(Atletas!D291="Adulto +90kg",26,""))))))))))))))))))))))))))))</f>
        <v/>
      </c>
      <c r="AO295" s="10" t="str">
        <f>IF(Atletas!E291="","",IF(Atletas!B291="Feminino",100,IF(Atletas!B291="Masculino",200,""))+(IF(Atletas!E291="Juvenil 44kg",1,IF(Atletas!E291="Juvenil 48kg",2,IF(Atletas!E291="Juvenil 52kg",3,IF(Atletas!E291="Juvenil 56kg",4,IF(Atletas!E291="Juvenil 60kg",5,IF(Atletas!E291="Juvenil 65kg",6,IF(Atletas!E291="Juvenil 70kg",7,IF(Atletas!E291="Juvenil 75kg",8,IF(Atletas!E291="Juvenil 82kg",9,IF(Atletas!E291="Juvenil 90kg",10,IF(Atletas!E291="Juvenil 100kg",11,IF(Atletas!E291="Adulto 48kg",12,IF(Atletas!E291="Adulto 52kg",13,IF(Atletas!E291="Adulto 56kg",14,IF(Atletas!E291="Adulto 60kg",15,IF(Atletas!E291="Adulto 65kg",16,IF(Atletas!E291="Adulto 70kg",17,IF(Atletas!E291="Adulto 75kg",18,IF(Atletas!E291="Adulto 82kg",19,IF(Atletas!E291="Adulto 90kg",20,IF(Atletas!E291="Adulto 100kg",21,IF(Atletas!E291="Adulto +100kg",22,""))))))))))))))))))))))))</f>
        <v/>
      </c>
      <c r="AT295" s="10" t="str">
        <f>IF(Atletas!F291="","",IF(Atletas!B291="Feminino",100,IF(Atletas!B291="Masculino",200,""))+(IF(Atletas!F291="Adulto 48kg",1,IF(Atletas!F291="Adulto 56kg",2,IF(Atletas!F291="Adulto 65kg",3,IF(Atletas!F291="Adulto 75kg",4,IF(Atletas!F291="Adulto +75kg",5,IF(Atletas!F291="Adulto 52kg",6,IF(Atletas!F291="Adulto 60kg",7,IF(Atletas!F291="Adulto 70kg",8,IF(Atletas!F291="Adulto 80kg",9,IF(Atletas!F291="Adulto 90kg",10,IF(Atletas!F291="Adulto +90kg",11,"")))))))))))))</f>
        <v/>
      </c>
      <c r="AY295" s="46" t="str">
        <f>IF(Atletas!G291="","",IF(Atletas!B291="Feminino",100,IF(Atletas!B291="Masculino",200,""))+(IF(Atletas!G291="Changquan Mirim",1,IF(Atletas!G291="Nanquan Mirim",2,IF(Atletas!G291="Taijiquan Mirim",3,IF(Atletas!G291="Changquan Grupo C",4,IF(Atletas!G291="Nanquan Grupo C",5,IF(Atletas!G291="Taijiquan Grupo C",6,IF(Atletas!G291="Changquan Grupo B",7,IF(Atletas!G291="Nanquan Grupo B",8,IF(Atletas!G291="Taijiquan Grupo B",9,IF(Atletas!G291="Changquan Grupo A",10,IF(Atletas!G291="Nanquan Grupo A",11,IF(Atletas!G291="Taijiquan Grupo A",12,IF(Atletas!G291="Changquan Opcional",13,IF(Atletas!G291="Nanquan Opcional",14,IF(Atletas!G291="Taijiquan Opcional",15,IF(Atletas!G291="Changquan Adulto",16,IF(Atletas!G291="Nanquan Adulto",17,IF(Atletas!G291="Taijiquan Adulto",18,""))))))))))))))))))))</f>
        <v/>
      </c>
      <c r="AZ295" s="46" t="str">
        <f>IF(Atletas!H291="","",IF(Atletas!B291="Feminino",100,IF(Atletas!B291="Masculino",200,""))+(IF(Atletas!H291="Daoshu Mirim",19,IF(Atletas!H291="Jianshu Mirim",20,IF(Atletas!H291="Nandao Mirim",21,IF(Atletas!H291="Taijijian Mirim",22,IF(Atletas!H291="Daoshu Grupo C",23,IF(Atletas!H291="Jianshu Grupo C",24,IF(Atletas!H291="Nandao Grupo C",25,IF(Atletas!H291="Taijijian Grupo C",26,IF(Atletas!H291="Daoshu Grupo B",27,IF(Atletas!H291="Jianshu Grupo B",28,IF(Atletas!H291="Nandao Grupo B",29,IF(Atletas!H291="Taijijian Grupo B",30,IF(Atletas!H291="Daoshu Grupo A",31,IF(Atletas!H291="Jianshu Grupo A",32,IF(Atletas!H291="Nandao Grupo A",33,IF(Atletas!H291="Taijijian Grupo A",34,IF(Atletas!H291="Daoshu Opcional",35,IF(Atletas!H291="Jianshu Opcional",36,IF(Atletas!H291="Nandao Opcional",37,IF(Atletas!H291="Taijijian Opcional",38,IF(Atletas!H291="Daoshu Adulto",39,IF(Atletas!H291="Jianshu Adulto",40,IF(Atletas!H291="Nandao Adulto",41,IF(Atletas!H291="Taijijian Adulto",42,""))))))))))))))))))))))))))</f>
        <v/>
      </c>
      <c r="BA295" s="46" t="str">
        <f>IF(Atletas!I291="","",IF(Atletas!B291="Feminino",100,IF(Atletas!B291="Masculino",200,""))+(IF(Atletas!I291="Gunshu Mirim",43,IF(Atletas!I291="Qiangshu Mirim",44,IF(Atletas!I291="Nangun Mirim",45,IF(Atletas!I291="Gunshu Grupo C",46,IF(Atletas!I291="Qiangshu Grupo C",47,IF(Atletas!I291="Nangun Grupo C",48,IF(Atletas!I291="Gunshu Grupo B",49,IF(Atletas!I291="Qiangshu Grupo B",50,IF(Atletas!I291="Nangun Grupo B",51,IF(Atletas!I291="Gunshu Grupo A",52,IF(Atletas!I291="Qiangshu Grupo A",53,IF(Atletas!I291="Nangun Grupo A",54,IF(Atletas!I291="Gunshu Opcional",55,IF(Atletas!I291="Qiangshu Opcional",56,IF(Atletas!I291="Nangun Opcional",57,IF(Atletas!I291="Gunshu Adulto",58,IF(Atletas!I291="Qiangshu Adulto",59,IF(Atletas!I291="Nangun Adulto",60,""))))))))))))))))))))</f>
        <v/>
      </c>
      <c r="BF295" s="52" t="str">
        <f>IF(Atletas!J291="","",IF(Atletas!B291="Feminino",100,IF(Atletas!B291="Masculino",200,""))+(IF(Atletas!J291="Equipe 1 Grupo B",1,IF(Atletas!J291="Equipe 2 Grupo B",2,IF(Atletas!J291="Equipe 1 Grupo A",3,IF(Atletas!J291="Equipe 2 Grupo A",4,IF(Atletas!J291="Equipe 1 Adulto",5,IF(Atletas!J291="Equipe 2 Adulto",6,""))))))))</f>
        <v/>
      </c>
      <c r="BK295" s="52" t="str">
        <f>IF(Atletas!K291="","",IF(Atletas!W291&lt;&gt;"",10000,0)+(IF(Atletas!B291="Feminino",1000,IF(Atletas!B291="Masculino",2000,""))+IF(Atletas!K291="Choylayfut A",1,IF(Atletas!K291="Hunggar A",2,IF(Atletas!K291="Wuzuquan A",3,IF(Atletas!K291="Wingchun A",4,IF(Atletas!K291="Outra Mão de Sul A",5,IF(Atletas!K291="Choylayfut B",6,IF(Atletas!K291="Hunggar B",7,IF(Atletas!K291="Wuzuquan B",8,IF(Atletas!K291="Wingchun B",9,IF(Atletas!K291="Outra Mão de Sul B",10,IF(Atletas!K291="Choylayfut C",11,IF(Atletas!K291="Hunggar C",12,IF(Atletas!K291="Wuzuquan C",13,IF(Atletas!K291="Wingchun C",14,IF(Atletas!K291="Outra Mão de Sul C",15,IF(Atletas!K291="Choylayfut D",16,IF(Atletas!K291="Hunggar D",17,IF(Atletas!K291="Wuzuquan D",18,IF(Atletas!K291="Wingchun D",19,IF(Atletas!K291="Outra Mão de Sul D",20,IF(Atletas!K291="Choylayfut E",21,IF(Atletas!K291="Hunggar E",22,IF(Atletas!K291="Wuzuquan E",23,IF(Atletas!K291="Wingchun E",24,IF(Atletas!K291="Outra Mão de Sul E",25,IF(Atletas!K291="Choylayfut F",26,IF(Atletas!K291="Hunggar F",27,IF(Atletas!K291="Wuzuquan F",28,IF(Atletas!K291="Wingchun F",29,IF(Atletas!K291="Outra Mão de Sul F",30,""))))))))))))))))))))))))))))))))</f>
        <v/>
      </c>
      <c r="BL295" s="52" t="str">
        <f>IF(Atletas!L291="","",IF(Atletas!W291&lt;&gt;"",10000,0)+(IF(Atletas!B291="Feminino",1000,IF(Atletas!B291="Masculino",2000,""))+(IF(Atletas!L291="Chaquan A",101,IF(Atletas!L291="Emeiquan A",102,IF(Atletas!L291="Fanziquan A",103,IF(Atletas!L291="Huaquan A",104,IF(Atletas!L291="Hongquan A",105,IF(Atletas!L291="Paochui A",106,IF(Atletas!L291="Piguaquan A",107,IF(Atletas!L291="Shaolinquan A",108,IF(Atletas!L291="Tanglangquan A",109,IF(Atletas!L291="Yinzhaophai A",110,IF(Atletas!L291="Tongbeiquan A",111,IF(Atletas!L291="Wudangquan A",112,IF(Atletas!L291="Outros Estilos A",113,IF(Atletas!L291="Chaquan B",114,IF(Atletas!L291="Emeiquan B",115,IF(Atletas!L291="Fanziquan B",116,IF(Atletas!L291="Huaquan B",117,IF(Atletas!L291="Hongquan B",118,IF(Atletas!L291="Paochui B",119,IF(Atletas!L291="Piguaquan B",120,IF(Atletas!L291="Shaolinquan B",121,IF(Atletas!L291="Tanglangquan B",122,IF(Atletas!L291="Yinzhaophai B",123,IF(Atletas!L291="Tongbeiquan B",124,IF(Atletas!L291="Wudangquan B",125,IF(Atletas!L291="Outros Estilos B",126,IF(Atletas!L291="Chaquan C",127,IF(Atletas!L291="Emeiquan C",128,IF(Atletas!L291="Fanziquan C",129,IF(Atletas!L291="Huaquan C",130,IF(Atletas!L291="Hongquan C",131,IF(Atletas!L291="Paochui C",132,IF(Atletas!L291="Piguaquan C",133,IF(Atletas!L291="Shaolinquan C",134,IF(Atletas!L291="Tanglangquan C",135,IF(Atletas!L291="Yinzhaophai C",136,IF(Atletas!L291="Tongbeiquan C",137,IF(Atletas!L291="Wudangquan C",138,IF(Atletas!L291="Outros Estilos C",139,0))))))))))))))))))))))))))))))))))))))))))</f>
        <v/>
      </c>
      <c r="BM295" s="52" t="str">
        <f>IF(Atletas!L291="","",IF(Atletas!W291&lt;&gt;"",10000,0)+(IF(Atletas!B291="Feminino",1000,IF(Atletas!B291="Masculino",2000,""))+(IF(Atletas!L291="Chaquan D",140,IF(Atletas!L291="Emeiquan D",141,IF(Atletas!L291="Fanziquan D",142,IF(Atletas!L291="Huaquan D",143,IF(Atletas!L291="Hongquan D",144,IF(Atletas!L291="Paochui D",145,IF(Atletas!L291="Piguaquan D",146,IF(Atletas!L291="Shaolinquan D",147,IF(Atletas!L291="Tanglangquan D",148,IF(Atletas!L291="Yinzhaophai D",149,IF(Atletas!L291="Tongbeiquan D",150,IF(Atletas!L291="Wudangquan D",151,IF(Atletas!L291="Outros Estilos D",152,IF(Atletas!L291="Chaquan E",153,IF(Atletas!L291="Emeiquan E",154,IF(Atletas!L291="Fanziquan E",155,IF(Atletas!L291="Huaquan E",156,IF(Atletas!L291="Hongquan E",157,IF(Atletas!L291="Paochui E",158,IF(Atletas!L291="Piguaquan E",159,IF(Atletas!L291="Shaolinquan E",160,IF(Atletas!L291="Tanglangquan E",161,IF(Atletas!L291="Yinzhaophai E",162,IF(Atletas!L291="Tongbeiquan E",163,IF(Atletas!L291="Wudangquan E",164,IF(Atletas!L291="Outros Estilos E",165,IF(Atletas!L291="Chaquan F",166,IF(Atletas!L291="Emeiquan F",167,IF(Atletas!L291="Fanziquan F",168,IF(Atletas!L291="Huaquan F",169,IF(Atletas!L291="Hongquan F",170,IF(Atletas!L291="Paochui F",171,IF(Atletas!L291="Piguaquan F",172,IF(Atletas!L291="Shaolinquan F",173,IF(Atletas!L291="Tanglangquan F",174,IF(Atletas!L291="Yinzhaophai F",175,IF(Atletas!L291="Tongbeiquan F",176,IF(Atletas!L291="Wudangquan F",177,IF(Atletas!L291="Outros Estilos F",178,0))))))))))))))))))))))))))))))))))))))))))</f>
        <v/>
      </c>
      <c r="BN295" s="52" t="str">
        <f>IF(Atletas!M291="","",IF(Atletas!W291&lt;&gt;"",10000,0)+(IF(Atletas!B291="Feminino",1000,IF(Atletas!B291="Masculino",2000,""))+(IF(Atletas!M291="Ditangquan A",201,IF(Atletas!M291="Houquan A",202,IF(Atletas!M291="Zuiquan A",203,IF(Atletas!M291="Ditangquan B",204,IF(Atletas!M291="Houquan B",205,IF(Atletas!M291="Zuiquan B",206,IF(Atletas!M291="Ditangquan C",207,IF(Atletas!M291="Houquan C",208,IF(Atletas!M291="Zuiquan C",209,IF(Atletas!M291="Ditangquan D",210,IF(Atletas!M291="Houquan D",211,IF(Atletas!M291="Zuiquan D",212,IF(Atletas!M291="Ditangquan E",213,IF(Atletas!M291="Houquan E",214,IF(Atletas!M291="Zuiquan E",215,IF(Atletas!M291="Ditangquan F",216,IF(Atletas!M291="Houquan F",217,IF(Atletas!M291="Zuiquan F",218,"")))))))))))))))))))))</f>
        <v/>
      </c>
      <c r="BO295" s="52" t="str">
        <f>IF(Atletas!N291="","",IF(Atletas!W291&lt;&gt;"",10000,0)+IF(Atletas!B291="Feminino",1000,IF(Atletas!B291="Masculino",2000,""))+IF(Atletas!N291="Yang A",301,IF(Atletas!N291="Chen A",30,IF(Atletas!N291="Sun A",303,IF(Atletas!N291="Wu A",304,IF(Atletas!N291="Wu-Hao A",305,IF(Atletas!N291="Outro Taijiquan A",306,IF(Atletas!N291="Yang B",307,IF(Atletas!N291="Chen B",308,IF(Atletas!N291="Sun B",309,IF(Atletas!N291="Wu B",310,IF(Atletas!N291="Wu-Hao B",311,IF(Atletas!N291="Outro Taijiquan B",312,IF(Atletas!N291="Yang C",313,IF(Atletas!N291="Chen C",314,IF(Atletas!N291="Sun C",315,IF(Atletas!N291="Wu C",316,IF(Atletas!N291="Wu-Hao C",317,IF(Atletas!N291="Outro Taijiquan C",318,IF(Atletas!N291="Yang D",319,IF(Atletas!N291="Chen D",320,IF(Atletas!N291="Sun D",321,IF(Atletas!N291="Wu D",322,IF(Atletas!N291="Wu-Hao D",323,IF(Atletas!N291="Outro Taijiquan D",324,IF(Atletas!N291="Yang E",325,IF(Atletas!N291="Chen E",326,IF(Atletas!N291="Sun E",327,IF(Atletas!N291="Wu E",328,IF(Atletas!N291="Wu-Hao E",329,IF(Atletas!N291="Outro Taijiquan E",330,IF(Atletas!N291="Yang F",331,IF(Atletas!N291="Chen F",332,IF(Atletas!N291="Sun F",333,IF(Atletas!N291="Wu F",334,IF(Atletas!N291="Wu-Hao F",335,IF(Atletas!N291="Outro Taijiquan F",336,"")))))))))))))))))))))))))))))))))))))</f>
        <v/>
      </c>
      <c r="BP295" s="52" t="str">
        <f>IF(Atletas!O291="","",IF(Atletas!W291&lt;&gt;"",10000,0)+IF(Atletas!B291="Feminino",1000,IF(Atletas!B291="Masculino",2000,""))+IF(OR(Atletas!O291="Yang 26 A",Atletas!O291="Yang 40 A"),401,IF(OR(Atletas!O291="Chen 25 A",Atletas!O291="Chen 36 A",Atletas!O291="Chen 56 A"),402,IF(Atletas!O291="Sun 73 A",403,IF(Atletas!O291="Wu 45 A",404,IF(Atletas!O291="Wu-Hao 46 A",405,IF(OR(Atletas!O291="Taijiquan 16 A",Atletas!O291="Taijiquan 24 A",Atletas!O291="Taijiquan 32 A",Atletas!O291="Taijiquan 42 A"),406,IF(OR(Atletas!O291="Yang 26 B",Atletas!O291="Yang 40 B"),407,IF(OR(Atletas!O291="Chen 25 B",Atletas!O291="Chen 36 B",Atletas!O291="Chen 56 B"),408,IF(Atletas!O291="Sun 73 B",409,IF(Atletas!O291="Wu 45 B",410,IF(Atletas!O291="Wu-Hao 46 B",411,IF(OR(Atletas!O291="Taijiquan 16 B",Atletas!O291="Taijiquan 24 B",Atletas!O291="Taijiquan 32 B",Atletas!O291="Taijiquan 42 B"),412,IF(OR(Atletas!O291="Yang 26 C",Atletas!O291="Yang 40 C"),413,IF(OR(Atletas!O291="Chen 25 C",Atletas!O291="Chen 36 C",Atletas!O291="Chen 56 C"),414,IF(Atletas!O291="Sun 73 C",415,IF(Atletas!O291="Wu 45 C",416,IF(Atletas!O291="Wu-Hao 46 C",417,IF(OR(Atletas!O291="Taijiquan 16 C",Atletas!O291="Taijiquan 24 C",Atletas!O291="Taijiquan 32 C",Atletas!O291="Taijiquan 42 C"),418,0)))))))))))))))))))</f>
        <v/>
      </c>
      <c r="BQ295" s="52" t="str">
        <f>IF(Atletas!O291="","",IF(Atletas!W291&lt;&gt;"",10000,0)+IF(Atletas!B291="Feminino",1000,IF(Atletas!B291="Masculino",2000,""))+IF(OR(Atletas!O291="Yang 26 D",Atletas!O291="Yang 40 D"),419,IF(OR(Atletas!O291="Chen 25 D",Atletas!O291="Chen 36 D",Atletas!O291="Chen 56 D"),420,IF(Atletas!O291="Sun 73 D",421,IF(Atletas!O291="Wu 45 D",422,IF(Atletas!O291="Wu-Hao 46 D",423,IF(OR(Atletas!O291="Taijiquan 16 D",Atletas!O291="Taijiquan 24 D",Atletas!O291="Taijiquan 32 D",Atletas!O291="Taijiquan 42 D"),424,IF(OR(Atletas!O291="Yang 26 E",Atletas!O291="Yang 40 E"),425,IF(OR(Atletas!O291="Chen 25 E",Atletas!O291="Chen 36 E",Atletas!O291="Chen 56 E"),426,IF(Atletas!O291="Sun 73 E",427,IF(Atletas!O291="Wu 45 E",428,IF(Atletas!O291="Wu-Hao 46 E",429,IF(OR(Atletas!O291="Taijiquan 16 E",Atletas!O291="Taijiquan 24 E",Atletas!O291="Taijiquan 32 E",Atletas!O291="Taijiquan 42 E"),430,IF(OR(Atletas!O291="Yang 26 F",Atletas!O291="Yang 40 F"),431,IF(OR(Atletas!O291="Chen 25 F",Atletas!O291="Chen 36 F",Atletas!O291="Chen 56 F"),432,IF(Atletas!O291="Sun 73 F",433,IF(Atletas!O291="Wu 45 F",434,IF(Atletas!O291="Wu-Hao 46 F",435,IF(OR(Atletas!O291="Taijiquan 16 F",Atletas!O291="Taijiquan 24 F",Atletas!O291="Taijiquan 32 F",Atletas!O291="Taijiquan 42 F"),436,0)))))))))))))))))))</f>
        <v/>
      </c>
      <c r="BR295" s="52" t="str">
        <f>IF(Atletas!P291="","",IF(Atletas!W291&lt;&gt;"",10000,0)+IF(Atletas!B291="Feminino",1000,IF(Atletas!B291="Masculino",2000,""))+IF(Atletas!P291="Xingyiquan A",501,IF(Atletas!P291="Baguazhang A",502,IF(Atletas!P291="Outro Estilo Interno A",503,IF(Atletas!P291="Xingyiquan B",504,IF(Atletas!P291="Baguazhang B",505,IF(Atletas!P291="Outro Estilo Interno B",506,IF(Atletas!P291="Xingyiquan C",507,IF(Atletas!P291="Baguazhang C",508,IF(Atletas!P291="Outro Estilo Interno C",509,IF(Atletas!P291="Xingyiquan D",510,IF(Atletas!P291="Baguazhang D",511,IF(Atletas!P291="Outro Estilo Interno D",512,IF(Atletas!P291="Xingyiquan E",513,IF(Atletas!P291="Baguazhang E",514,IF(Atletas!P291="Outro Estilo Interno E",515,IF(Atletas!P291="Xingyiquan F",516,IF(Atletas!P291="Baguazhang F",517,IF(Atletas!P291="Outro Estilo Interno F",518, "")))))))))))))))))))</f>
        <v/>
      </c>
      <c r="BS295" s="52" t="str">
        <f>IF(Atletas!Q291="","",IF(Atletas!W291&lt;&gt;"",10000,0)+IF(Atletas!B291="Feminino",1000,IF(Atletas!B291="Masculino",2000,""))+IF(Atletas!Q291="Dao A",601,IF(Atletas!Q291="Jian A",602,IF(Atletas!Q291="Bishou A",603,IF(Atletas!Q291="Shan A",604,IF(Atletas!Q291="Outra Arma Curta A",605,IF(Atletas!Q291="Dao B",606,IF(Atletas!Q291="Jian B",607,IF(Atletas!Q291="Bishou B",608,IF(Atletas!Q291="Shan B",609,IF(Atletas!Q291="Outra Arma Curta B",610,IF(Atletas!Q291="Dao C",611,IF(Atletas!Q291="Jian C",612,IF(Atletas!Q291="Bishou C",613,IF(Atletas!Q291="Shan C",614,IF(Atletas!Q291="Outra Arma Curta C",615,IF(Atletas!Q291="Dao D",616,IF(Atletas!Q291="Jian D",617,IF(Atletas!Q291="Bishou D",618,IF(Atletas!Q291="Shan D",619,IF(Atletas!Q291="Outra Arma Curta D",620,IF(Atletas!Q291="Dao E",621,IF(Atletas!Q291="Jian E",622,IF(Atletas!Q291="Bishou E",623,IF(Atletas!Q291="Shan E",624,IF(Atletas!Q291="Outra Arma Curta E",625,IF(Atletas!Q291="Dao F",626,IF(Atletas!Q291="Jian F",627,IF(Atletas!Q291="Bishou F",628,IF(Atletas!Q291="Shan F",629,IF(Atletas!Q291="Outra Arma Curta F",630, "")))))))))))))))))))))))))))))))</f>
        <v/>
      </c>
      <c r="BT295" s="52" t="str">
        <f>IF(Atletas!R291="","",IF(Atletas!W291&lt;&gt;"",10000,0)+IF(Atletas!B291="Feminino",1000,IF(Atletas!B291="Masculino",2000,""))+IF(Atletas!R291="Gun A",701,IF(Atletas!R291="Qiang A",702,IF(Atletas!R291="Pudao / Guandao A",703,IF(Atletas!R291="Outra Arma Longa A",704,IF(Atletas!R291="Gun B",705,IF(Atletas!R291="Qiang B",706,IF(Atletas!R291="Pudao / Guandao B",707,IF(Atletas!R291="Outra Arma Longa B",708,IF(Atletas!R291="Gun C",709,IF(Atletas!R291="Qiang C",710,IF(Atletas!R291="Pudao / Guandao C",711,IF(Atletas!R291="Outra Arma Longa C",712,IF(Atletas!R291="Gun D",713,IF(Atletas!R291="Qiang D",714,IF(Atletas!R291="Pudao / Guandao D",715,IF(Atletas!R291="Outra Arma Longa D",716,IF(Atletas!R291="Gun E",717,IF(Atletas!R291="Qiang E",718,IF(Atletas!R291="Pudao / Guandao E",719,IF(Atletas!R291="Outra Arma Longa E",720,IF(Atletas!R291="Gun F",721,IF(Atletas!R291="Qiang F",722,IF(Atletas!R291="Pudao / Guandao F",723,IF(Atletas!R291="Outra Arma Longa F",724,"")))))))))))))))))))))))))</f>
        <v/>
      </c>
      <c r="BU295" s="52" t="str">
        <f>IF(Atletas!S291="","",IF(Atletas!W291&lt;&gt;"",10000,0)+IF(Atletas!B291="Feminino",1000,IF(Atletas!B291="Masculino",2000,""))+IF(Atletas!S291="Arma Dupla A",801,IF(Atletas!S291="Arma Maleável A",802,IF(Atletas!S291="Arma Dupla B",803,IF(Atletas!S291="Arma Maleável B",804,IF(Atletas!S291="Arma Dupla C",805,IF(Atletas!S291="Arma Maleável C",806,IF(Atletas!S291="Arma Dupla D",807,IF(Atletas!S291="Arma Maleável D",808,IF(Atletas!S291="Arma Dupla E",809,IF(Atletas!S291="Arma Maleável E",810,IF(Atletas!S291="Arma Dupla F",811,IF(Atletas!S291="Arma Maleável F",812, "")))))))))))))</f>
        <v/>
      </c>
      <c r="BV295" s="52" t="str">
        <f>IF(Atletas!T291="","",IF(Atletas!W291&lt;&gt;"",10000,0)+IF(Atletas!B291="Feminino",1000,IF(Atletas!B291="Masculino",2000,""))+IF(Atletas!T291="Taijijian Yang A",901,IF(Atletas!T291="Taijijian Chen A",902,IF(Atletas!T291="Taijijian Sun A",903,IF(Atletas!T291="Taijijian Wu A",904,IF(Atletas!T291="Taijijian Wu-Hao A",905,IF(Atletas!T291="Taijijian 32 A",906,IF(Atletas!T291="Taijijian 42 A",907,IF(Atletas!T291="Taijijian Yang B",908,IF(Atletas!T291="Taijijian Chen B",909,IF(Atletas!T291="Taijijian Sun B",910,IF(Atletas!T291="Taijijian Wu B",911,IF(Atletas!T291="Taijijian Wu-Hao B",912,IF(Atletas!T291="Taijijian 32 B",913,IF(Atletas!T291="Taijijian 42 B",914,IF(Atletas!T291="Taijijian Yang C",915,IF(Atletas!T291="Taijijian Chen C",916,IF(Atletas!T291="Taijijian Sun C",917,IF(Atletas!T291="Taijijian Wu C",918,IF(Atletas!T291="Taijijian Wu-Hao C",919,IF(Atletas!T291="Taijijian 32 C",920,IF(Atletas!T291="Taijijian 42 C",921,IF(Atletas!T291="Taijijian Yang D",922,IF(Atletas!T291="Taijijian Chen D",923,IF(Atletas!T291="Taijijian Sun D",924,IF(Atletas!T291="Taijijian Wu D",925,IF(Atletas!T291="Taijijian Wu-Hao D",926,IF(Atletas!T291="Taijijian 32 D",927,IF(Atletas!T291="Taijijian 42 D",928,IF(Atletas!T291="Taijijian Yang E",929,IF(Atletas!T291="Taijijian Chen E",930,IF(Atletas!T291="Taijijian Sun E",931,IF(Atletas!T291="Taijijian Wu E",932,IF(Atletas!T291="Taijijian Wu-Hao E",933,IF(Atletas!T291="Taijijian 32 E",934,IF(Atletas!T291="Taijijian 42 E",935,IF(Atletas!T291="Taijijian Yang F",936,IF(Atletas!T291="Taijijian Chen F",937,IF(Atletas!T291="Taijijian Sun F",938,IF(Atletas!T291="Taijijian Wu F",939,IF(Atletas!T291="Taijijian Wu-Hao F",940,IF(Atletas!T291="Taijijian 32 F",941,IF(Atletas!T291="Taijijian 42 F",942,"")))))))))))))))))))))))))))))))))))))))))))</f>
        <v/>
      </c>
      <c r="BW295" s="52" t="str">
        <f>IF(Atletas!U291="","",IF(Atletas!W291&lt;&gt;"",10000,0)+IF(Atletas!B291="Feminino",1000,IF(Atletas!B291="Masculino",2000,""))+IF(Atletas!T291="Taijijian 42 F",942,IF(Atletas!U291="Taijidao A",943,IF(Atletas!U291="Taijishan A",944,IF(Atletas!U291="Taijiqiang A",945,IF(Atletas!U291="Taijidao B",946,IF(Atletas!U291="Taijishan B",947,IF(Atletas!U291="Taijiqiang B",948,IF(Atletas!U291="Taijidao C",949,IF(Atletas!U291="Taijishan C",950,IF(Atletas!U291="Taijiqiang C",951,IF(Atletas!U291="Taijidao D",952,IF(Atletas!U291="Taijishan D",953,IF(Atletas!U291="Taijiqiang D",954,IF(Atletas!U291="Taijidao E",955,IF(Atletas!U291="Taijishan E",956,IF(Atletas!U291="Taijiqiang E",957,IF(Atletas!U291="Taijidao F",958,IF(Atletas!U291="Taijishan F",959,IF(Atletas!U291="Taijiqiang F",960))))))))))))))))))))</f>
        <v/>
      </c>
      <c r="BX295" s="72" t="str">
        <f>IF(BY295&lt;&gt;"","Taijijian Yang B","")</f>
        <v/>
      </c>
      <c r="BY295" s="72" t="str">
        <f>IF(COUNTIF(BK:BW,1908)&gt;0,COUNTIF(BK:BW,1908),"")</f>
        <v/>
      </c>
      <c r="BZ295" s="72" t="str">
        <f>IF(CA295&lt;&gt;"","Taijijian Yang B","")</f>
        <v/>
      </c>
      <c r="CA295" s="72" t="str">
        <f>IF(COUNTIF(BK:BW,2907)&gt;0,COUNTIF(BK:BW,2907),"")</f>
        <v/>
      </c>
      <c r="CB295" s="72" t="str">
        <f>IF(CC295&lt;&gt;"","Bishou C","")</f>
        <v/>
      </c>
      <c r="CC295" s="64" t="str">
        <f>IF(COUNTIF(BK:BW,11613)&gt;0,COUNTIF(BK:BW,11613),"")</f>
        <v/>
      </c>
      <c r="CD295" s="64" t="str">
        <f>IF(CE295&lt;&gt;"","Bishou C","")</f>
        <v/>
      </c>
      <c r="CE295" s="64" t="str">
        <f>IF(COUNTIF(BK:BW,12613)&gt;0,COUNTIF(BK:BW,12613),"")</f>
        <v/>
      </c>
      <c r="CF295" s="52" t="str">
        <f xml:space="preserve"> IF(Atletas!V291="","",IF(Atletas!V291="Duilian de Mãos AB - Equipe 1",1,IF(Atletas!V291="Duilian de Mãos AB - Equipe 2",2,IF(Atletas!V291="Duilian de Armas AB - Equipe 1",3,IF(Atletas!V291="Duilian de Armas AB - Equipe 2",4,IF(Atletas!V291="Duilian de Tuishou - Equipe 1",5,IF(Atletas!V291="Duilian de Tuishou - Equipe 2",6,IF(Atletas!V291="Grupo Externo AB - Equipe 1",7,IF(Atletas!V291="Grupo Externo AB - Equipe 2",8,IF(Atletas!V291="Grupo Interno AB - Equipe 1",9,IF(Atletas!V291="Grupo Interno AB - Equipe 2",10,IF(Atletas!V291="Duilian de Mãos CD - Equipe 1",11,IF(Atletas!V291="Duilian de Mãos CD - Equipe 2",12,IF(Atletas!V291="Duilian de Armas CD - Equipe 1",13,IF(Atletas!V291="Duilian de Armas CD - Equipe 2",14,IF(Atletas!V291="Duilian de Tuishou - Equipe 1",15,IF(Atletas!V291="Duilian de Tuishou - Equipe 2",16,IF(Atletas!V291="Grupo Externo CDEF - Equipe 1",17,IF(Atletas!V291="Grupo Externo CDEF - Equipe 2",18,IF(Atletas!V291="Grupo Interno CDEF - Equipe 1",19,IF(Atletas!V291="Grupo Interno CDEF - Equipe 2",20,IF(Atletas!V291="Duilian de Mãos EF - Equipe 1",21,IF(Atletas!V291="Duilian de Mãos EF - Equipe 2",22,IF(Atletas!V291="Duilian de Armas EF - Equipe 1",23,IF(Atletas!V291="Duilian de Armas EF - Equipe 2",24,IF(Atletas!V291="Duilian de Tuishou - Equipe 1",25,IF(Atletas!V291="Duilian de Tuishou - Equipe 2",26,"")))))))))))))))))))))))))))</f>
        <v/>
      </c>
    </row>
    <row r="296" spans="2:84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 t="str">
        <f t="array" ref="V296">IFERROR(INDEX(BX$7:BX$336,SMALL(IF(BX$7:BX$336&lt;&gt;"",ROW(BX$7:BX$336)-ROW(BX$7)+1),ROWS(BX$7:BX253))),"")</f>
        <v/>
      </c>
      <c r="W296" s="4" t="str">
        <f t="array" ref="W296">IFERROR(INDEX(BY$7:BY$336,SMALL(IF(BY$7:BY$336&lt;&gt;"",ROW(BY$7:BY$336)-ROW(BY$7)+1),ROWS(BY$7:BY253))),"")</f>
        <v/>
      </c>
      <c r="X296" s="4" t="str">
        <f t="array" ref="X296">IFERROR(INDEX(BZ$7:BZ$336,SMALL(IF(BZ$7:BZ$336&lt;&gt;"",ROW(BZ$7:BZ$336)-ROW(BZ$7)+1),ROWS(BZ$7:BZ253))),"")</f>
        <v/>
      </c>
      <c r="Y296" s="4" t="str">
        <f t="array" ref="Y296">IFERROR(INDEX(CA$7:CA$336,SMALL(IF(CA$7:CA$336&lt;&gt;"",ROW(CA$7:CA$336)-ROW(CA$7)+1),ROWS(CA$7:CA253))),"")</f>
        <v/>
      </c>
      <c r="Z296" s="4" t="str">
        <f t="array" ref="Z296">IFERROR(INDEX(CB$7:CB$378,SMALL(IF(CB$7:CB$378&lt;&gt;"",ROW(CB$7:CB$378)-ROW(CB$7)+1),ROWS(CB$7:CB295))),"")</f>
        <v/>
      </c>
      <c r="AA296" s="4" t="str">
        <f t="array" ref="AA296">IFERROR(INDEX(CC$7:CC$378,SMALL(IF(CC$7:CC$378&lt;&gt;"",ROW(CC$7:CC$378)-ROW(CC$7)+1),ROWS(CC$7:CC295))),"")</f>
        <v/>
      </c>
      <c r="AB296" s="4" t="str">
        <f t="array" ref="AB296">IFERROR(INDEX(CD$7:CD$378,SMALL(IF(CD$7:CD$378&lt;&gt;"",ROW(CD$7:CD$378)-ROW(CD$7)+1),ROWS(CD$7:CD295))),"")</f>
        <v/>
      </c>
      <c r="AC296" s="4" t="str">
        <f t="array" ref="AC296">IFERROR(INDEX(CE$7:CE$378,SMALL(IF(CE$7:CE$378&lt;&gt;"",ROW(CE$7:CE$378)-ROW(CE$7)+1),ROWS(CE$7:CE295))),"")</f>
        <v/>
      </c>
      <c r="AD296" s="4"/>
      <c r="AE296" s="4"/>
      <c r="AF296" s="4"/>
      <c r="AG296" s="4"/>
      <c r="AH296" s="4"/>
      <c r="AI296" s="4"/>
      <c r="AJ296" s="46" t="str">
        <f>IF(Atletas!D292="","",IF(Atletas!B292="Feminino",100,IF(Atletas!B292="Masculino",200,""))+(IF(Atletas!D292="Infantil 39kg",1,IF(Atletas!D292="Infantil 42kg",2,IF(Atletas!D292="Infantil 45kg",3,IF(Atletas!D292="Infantil 48kg",4,IF(Atletas!D292="Infantil 52kg",5,IF(Atletas!D292="Infantil 56kg",6,IF(Atletas!D292="Infantil 60kg",7,IF(Atletas!D292="Juvenil 48kg",8,IF(Atletas!D292="Juvenil 52kg",9,IF(Atletas!D292="Juvenil 56kg",10,IF(Atletas!D292="Juvenil 60kg",11,IF(Atletas!D292="Juvenil 65kg",12,IF(Atletas!D292="Juvenil 70kg",13,IF(Atletas!D292="Juvenil 75kg",14,IF(Atletas!D292="Juvenil 80kg",15,IF(Atletas!D292="Adulto 48kg",16,IF(Atletas!D292="Adulto 52kg",17,IF(Atletas!D292="Adulto 56kg",18,IF(Atletas!D292="Adulto 60kg",19,IF(Atletas!D292="Adulto 65kg",20,IF(Atletas!D292="Adulto 70kg",21,IF(Atletas!D292="Adulto 75kg",22,IF(Atletas!D292="Adulto 80kg",23,IF(Atletas!D292="Adulto 85kg",24,IF(Atletas!D292="Adulto 90kg",25,IF(Atletas!D292="Adulto +90kg",26,""))))))))))))))))))))))))))))</f>
        <v/>
      </c>
      <c r="AO296" s="10" t="str">
        <f>IF(Atletas!E292="","",IF(Atletas!B292="Feminino",100,IF(Atletas!B292="Masculino",200,""))+(IF(Atletas!E292="Juvenil 44kg",1,IF(Atletas!E292="Juvenil 48kg",2,IF(Atletas!E292="Juvenil 52kg",3,IF(Atletas!E292="Juvenil 56kg",4,IF(Atletas!E292="Juvenil 60kg",5,IF(Atletas!E292="Juvenil 65kg",6,IF(Atletas!E292="Juvenil 70kg",7,IF(Atletas!E292="Juvenil 75kg",8,IF(Atletas!E292="Juvenil 82kg",9,IF(Atletas!E292="Juvenil 90kg",10,IF(Atletas!E292="Juvenil 100kg",11,IF(Atletas!E292="Adulto 48kg",12,IF(Atletas!E292="Adulto 52kg",13,IF(Atletas!E292="Adulto 56kg",14,IF(Atletas!E292="Adulto 60kg",15,IF(Atletas!E292="Adulto 65kg",16,IF(Atletas!E292="Adulto 70kg",17,IF(Atletas!E292="Adulto 75kg",18,IF(Atletas!E292="Adulto 82kg",19,IF(Atletas!E292="Adulto 90kg",20,IF(Atletas!E292="Adulto 100kg",21,IF(Atletas!E292="Adulto +100kg",22,""))))))))))))))))))))))))</f>
        <v/>
      </c>
      <c r="AT296" s="10" t="str">
        <f>IF(Atletas!F292="","",IF(Atletas!B292="Feminino",100,IF(Atletas!B292="Masculino",200,""))+(IF(Atletas!F292="Adulto 48kg",1,IF(Atletas!F292="Adulto 56kg",2,IF(Atletas!F292="Adulto 65kg",3,IF(Atletas!F292="Adulto 75kg",4,IF(Atletas!F292="Adulto +75kg",5,IF(Atletas!F292="Adulto 52kg",6,IF(Atletas!F292="Adulto 60kg",7,IF(Atletas!F292="Adulto 70kg",8,IF(Atletas!F292="Adulto 80kg",9,IF(Atletas!F292="Adulto 90kg",10,IF(Atletas!F292="Adulto +90kg",11,"")))))))))))))</f>
        <v/>
      </c>
      <c r="AY296" s="46" t="str">
        <f>IF(Atletas!G292="","",IF(Atletas!B292="Feminino",100,IF(Atletas!B292="Masculino",200,""))+(IF(Atletas!G292="Changquan Mirim",1,IF(Atletas!G292="Nanquan Mirim",2,IF(Atletas!G292="Taijiquan Mirim",3,IF(Atletas!G292="Changquan Grupo C",4,IF(Atletas!G292="Nanquan Grupo C",5,IF(Atletas!G292="Taijiquan Grupo C",6,IF(Atletas!G292="Changquan Grupo B",7,IF(Atletas!G292="Nanquan Grupo B",8,IF(Atletas!G292="Taijiquan Grupo B",9,IF(Atletas!G292="Changquan Grupo A",10,IF(Atletas!G292="Nanquan Grupo A",11,IF(Atletas!G292="Taijiquan Grupo A",12,IF(Atletas!G292="Changquan Opcional",13,IF(Atletas!G292="Nanquan Opcional",14,IF(Atletas!G292="Taijiquan Opcional",15,IF(Atletas!G292="Changquan Adulto",16,IF(Atletas!G292="Nanquan Adulto",17,IF(Atletas!G292="Taijiquan Adulto",18,""))))))))))))))))))))</f>
        <v/>
      </c>
      <c r="AZ296" s="46" t="str">
        <f>IF(Atletas!H292="","",IF(Atletas!B292="Feminino",100,IF(Atletas!B292="Masculino",200,""))+(IF(Atletas!H292="Daoshu Mirim",19,IF(Atletas!H292="Jianshu Mirim",20,IF(Atletas!H292="Nandao Mirim",21,IF(Atletas!H292="Taijijian Mirim",22,IF(Atletas!H292="Daoshu Grupo C",23,IF(Atletas!H292="Jianshu Grupo C",24,IF(Atletas!H292="Nandao Grupo C",25,IF(Atletas!H292="Taijijian Grupo C",26,IF(Atletas!H292="Daoshu Grupo B",27,IF(Atletas!H292="Jianshu Grupo B",28,IF(Atletas!H292="Nandao Grupo B",29,IF(Atletas!H292="Taijijian Grupo B",30,IF(Atletas!H292="Daoshu Grupo A",31,IF(Atletas!H292="Jianshu Grupo A",32,IF(Atletas!H292="Nandao Grupo A",33,IF(Atletas!H292="Taijijian Grupo A",34,IF(Atletas!H292="Daoshu Opcional",35,IF(Atletas!H292="Jianshu Opcional",36,IF(Atletas!H292="Nandao Opcional",37,IF(Atletas!H292="Taijijian Opcional",38,IF(Atletas!H292="Daoshu Adulto",39,IF(Atletas!H292="Jianshu Adulto",40,IF(Atletas!H292="Nandao Adulto",41,IF(Atletas!H292="Taijijian Adulto",42,""))))))))))))))))))))))))))</f>
        <v/>
      </c>
      <c r="BA296" s="46" t="str">
        <f>IF(Atletas!I292="","",IF(Atletas!B292="Feminino",100,IF(Atletas!B292="Masculino",200,""))+(IF(Atletas!I292="Gunshu Mirim",43,IF(Atletas!I292="Qiangshu Mirim",44,IF(Atletas!I292="Nangun Mirim",45,IF(Atletas!I292="Gunshu Grupo C",46,IF(Atletas!I292="Qiangshu Grupo C",47,IF(Atletas!I292="Nangun Grupo C",48,IF(Atletas!I292="Gunshu Grupo B",49,IF(Atletas!I292="Qiangshu Grupo B",50,IF(Atletas!I292="Nangun Grupo B",51,IF(Atletas!I292="Gunshu Grupo A",52,IF(Atletas!I292="Qiangshu Grupo A",53,IF(Atletas!I292="Nangun Grupo A",54,IF(Atletas!I292="Gunshu Opcional",55,IF(Atletas!I292="Qiangshu Opcional",56,IF(Atletas!I292="Nangun Opcional",57,IF(Atletas!I292="Gunshu Adulto",58,IF(Atletas!I292="Qiangshu Adulto",59,IF(Atletas!I292="Nangun Adulto",60,""))))))))))))))))))))</f>
        <v/>
      </c>
      <c r="BF296" s="52" t="str">
        <f>IF(Atletas!J292="","",IF(Atletas!B292="Feminino",100,IF(Atletas!B292="Masculino",200,""))+(IF(Atletas!J292="Equipe 1 Grupo B",1,IF(Atletas!J292="Equipe 2 Grupo B",2,IF(Atletas!J292="Equipe 1 Grupo A",3,IF(Atletas!J292="Equipe 2 Grupo A",4,IF(Atletas!J292="Equipe 1 Adulto",5,IF(Atletas!J292="Equipe 2 Adulto",6,""))))))))</f>
        <v/>
      </c>
      <c r="BK296" s="52" t="str">
        <f>IF(Atletas!K292="","",IF(Atletas!W292&lt;&gt;"",10000,0)+(IF(Atletas!B292="Feminino",1000,IF(Atletas!B292="Masculino",2000,""))+IF(Atletas!K292="Choylayfut A",1,IF(Atletas!K292="Hunggar A",2,IF(Atletas!K292="Wuzuquan A",3,IF(Atletas!K292="Wingchun A",4,IF(Atletas!K292="Outra Mão de Sul A",5,IF(Atletas!K292="Choylayfut B",6,IF(Atletas!K292="Hunggar B",7,IF(Atletas!K292="Wuzuquan B",8,IF(Atletas!K292="Wingchun B",9,IF(Atletas!K292="Outra Mão de Sul B",10,IF(Atletas!K292="Choylayfut C",11,IF(Atletas!K292="Hunggar C",12,IF(Atletas!K292="Wuzuquan C",13,IF(Atletas!K292="Wingchun C",14,IF(Atletas!K292="Outra Mão de Sul C",15,IF(Atletas!K292="Choylayfut D",16,IF(Atletas!K292="Hunggar D",17,IF(Atletas!K292="Wuzuquan D",18,IF(Atletas!K292="Wingchun D",19,IF(Atletas!K292="Outra Mão de Sul D",20,IF(Atletas!K292="Choylayfut E",21,IF(Atletas!K292="Hunggar E",22,IF(Atletas!K292="Wuzuquan E",23,IF(Atletas!K292="Wingchun E",24,IF(Atletas!K292="Outra Mão de Sul E",25,IF(Atletas!K292="Choylayfut F",26,IF(Atletas!K292="Hunggar F",27,IF(Atletas!K292="Wuzuquan F",28,IF(Atletas!K292="Wingchun F",29,IF(Atletas!K292="Outra Mão de Sul F",30,""))))))))))))))))))))))))))))))))</f>
        <v/>
      </c>
      <c r="BL296" s="52" t="str">
        <f>IF(Atletas!L292="","",IF(Atletas!W292&lt;&gt;"",10000,0)+(IF(Atletas!B292="Feminino",1000,IF(Atletas!B292="Masculino",2000,""))+(IF(Atletas!L292="Chaquan A",101,IF(Atletas!L292="Emeiquan A",102,IF(Atletas!L292="Fanziquan A",103,IF(Atletas!L292="Huaquan A",104,IF(Atletas!L292="Hongquan A",105,IF(Atletas!L292="Paochui A",106,IF(Atletas!L292="Piguaquan A",107,IF(Atletas!L292="Shaolinquan A",108,IF(Atletas!L292="Tanglangquan A",109,IF(Atletas!L292="Yinzhaophai A",110,IF(Atletas!L292="Tongbeiquan A",111,IF(Atletas!L292="Wudangquan A",112,IF(Atletas!L292="Outros Estilos A",113,IF(Atletas!L292="Chaquan B",114,IF(Atletas!L292="Emeiquan B",115,IF(Atletas!L292="Fanziquan B",116,IF(Atletas!L292="Huaquan B",117,IF(Atletas!L292="Hongquan B",118,IF(Atletas!L292="Paochui B",119,IF(Atletas!L292="Piguaquan B",120,IF(Atletas!L292="Shaolinquan B",121,IF(Atletas!L292="Tanglangquan B",122,IF(Atletas!L292="Yinzhaophai B",123,IF(Atletas!L292="Tongbeiquan B",124,IF(Atletas!L292="Wudangquan B",125,IF(Atletas!L292="Outros Estilos B",126,IF(Atletas!L292="Chaquan C",127,IF(Atletas!L292="Emeiquan C",128,IF(Atletas!L292="Fanziquan C",129,IF(Atletas!L292="Huaquan C",130,IF(Atletas!L292="Hongquan C",131,IF(Atletas!L292="Paochui C",132,IF(Atletas!L292="Piguaquan C",133,IF(Atletas!L292="Shaolinquan C",134,IF(Atletas!L292="Tanglangquan C",135,IF(Atletas!L292="Yinzhaophai C",136,IF(Atletas!L292="Tongbeiquan C",137,IF(Atletas!L292="Wudangquan C",138,IF(Atletas!L292="Outros Estilos C",139,0))))))))))))))))))))))))))))))))))))))))))</f>
        <v/>
      </c>
      <c r="BM296" s="52" t="str">
        <f>IF(Atletas!L292="","",IF(Atletas!W292&lt;&gt;"",10000,0)+(IF(Atletas!B292="Feminino",1000,IF(Atletas!B292="Masculino",2000,""))+(IF(Atletas!L292="Chaquan D",140,IF(Atletas!L292="Emeiquan D",141,IF(Atletas!L292="Fanziquan D",142,IF(Atletas!L292="Huaquan D",143,IF(Atletas!L292="Hongquan D",144,IF(Atletas!L292="Paochui D",145,IF(Atletas!L292="Piguaquan D",146,IF(Atletas!L292="Shaolinquan D",147,IF(Atletas!L292="Tanglangquan D",148,IF(Atletas!L292="Yinzhaophai D",149,IF(Atletas!L292="Tongbeiquan D",150,IF(Atletas!L292="Wudangquan D",151,IF(Atletas!L292="Outros Estilos D",152,IF(Atletas!L292="Chaquan E",153,IF(Atletas!L292="Emeiquan E",154,IF(Atletas!L292="Fanziquan E",155,IF(Atletas!L292="Huaquan E",156,IF(Atletas!L292="Hongquan E",157,IF(Atletas!L292="Paochui E",158,IF(Atletas!L292="Piguaquan E",159,IF(Atletas!L292="Shaolinquan E",160,IF(Atletas!L292="Tanglangquan E",161,IF(Atletas!L292="Yinzhaophai E",162,IF(Atletas!L292="Tongbeiquan E",163,IF(Atletas!L292="Wudangquan E",164,IF(Atletas!L292="Outros Estilos E",165,IF(Atletas!L292="Chaquan F",166,IF(Atletas!L292="Emeiquan F",167,IF(Atletas!L292="Fanziquan F",168,IF(Atletas!L292="Huaquan F",169,IF(Atletas!L292="Hongquan F",170,IF(Atletas!L292="Paochui F",171,IF(Atletas!L292="Piguaquan F",172,IF(Atletas!L292="Shaolinquan F",173,IF(Atletas!L292="Tanglangquan F",174,IF(Atletas!L292="Yinzhaophai F",175,IF(Atletas!L292="Tongbeiquan F",176,IF(Atletas!L292="Wudangquan F",177,IF(Atletas!L292="Outros Estilos F",178,0))))))))))))))))))))))))))))))))))))))))))</f>
        <v/>
      </c>
      <c r="BN296" s="52" t="str">
        <f>IF(Atletas!M292="","",IF(Atletas!W292&lt;&gt;"",10000,0)+(IF(Atletas!B292="Feminino",1000,IF(Atletas!B292="Masculino",2000,""))+(IF(Atletas!M292="Ditangquan A",201,IF(Atletas!M292="Houquan A",202,IF(Atletas!M292="Zuiquan A",203,IF(Atletas!M292="Ditangquan B",204,IF(Atletas!M292="Houquan B",205,IF(Atletas!M292="Zuiquan B",206,IF(Atletas!M292="Ditangquan C",207,IF(Atletas!M292="Houquan C",208,IF(Atletas!M292="Zuiquan C",209,IF(Atletas!M292="Ditangquan D",210,IF(Atletas!M292="Houquan D",211,IF(Atletas!M292="Zuiquan D",212,IF(Atletas!M292="Ditangquan E",213,IF(Atletas!M292="Houquan E",214,IF(Atletas!M292="Zuiquan E",215,IF(Atletas!M292="Ditangquan F",216,IF(Atletas!M292="Houquan F",217,IF(Atletas!M292="Zuiquan F",218,"")))))))))))))))))))))</f>
        <v/>
      </c>
      <c r="BO296" s="52" t="str">
        <f>IF(Atletas!N292="","",IF(Atletas!W292&lt;&gt;"",10000,0)+IF(Atletas!B292="Feminino",1000,IF(Atletas!B292="Masculino",2000,""))+IF(Atletas!N292="Yang A",301,IF(Atletas!N292="Chen A",30,IF(Atletas!N292="Sun A",303,IF(Atletas!N292="Wu A",304,IF(Atletas!N292="Wu-Hao A",305,IF(Atletas!N292="Outro Taijiquan A",306,IF(Atletas!N292="Yang B",307,IF(Atletas!N292="Chen B",308,IF(Atletas!N292="Sun B",309,IF(Atletas!N292="Wu B",310,IF(Atletas!N292="Wu-Hao B",311,IF(Atletas!N292="Outro Taijiquan B",312,IF(Atletas!N292="Yang C",313,IF(Atletas!N292="Chen C",314,IF(Atletas!N292="Sun C",315,IF(Atletas!N292="Wu C",316,IF(Atletas!N292="Wu-Hao C",317,IF(Atletas!N292="Outro Taijiquan C",318,IF(Atletas!N292="Yang D",319,IF(Atletas!N292="Chen D",320,IF(Atletas!N292="Sun D",321,IF(Atletas!N292="Wu D",322,IF(Atletas!N292="Wu-Hao D",323,IF(Atletas!N292="Outro Taijiquan D",324,IF(Atletas!N292="Yang E",325,IF(Atletas!N292="Chen E",326,IF(Atletas!N292="Sun E",327,IF(Atletas!N292="Wu E",328,IF(Atletas!N292="Wu-Hao E",329,IF(Atletas!N292="Outro Taijiquan E",330,IF(Atletas!N292="Yang F",331,IF(Atletas!N292="Chen F",332,IF(Atletas!N292="Sun F",333,IF(Atletas!N292="Wu F",334,IF(Atletas!N292="Wu-Hao F",335,IF(Atletas!N292="Outro Taijiquan F",336,"")))))))))))))))))))))))))))))))))))))</f>
        <v/>
      </c>
      <c r="BP296" s="52" t="str">
        <f>IF(Atletas!O292="","",IF(Atletas!W292&lt;&gt;"",10000,0)+IF(Atletas!B292="Feminino",1000,IF(Atletas!B292="Masculino",2000,""))+IF(OR(Atletas!O292="Yang 26 A",Atletas!O292="Yang 40 A"),401,IF(OR(Atletas!O292="Chen 25 A",Atletas!O292="Chen 36 A",Atletas!O292="Chen 56 A"),402,IF(Atletas!O292="Sun 73 A",403,IF(Atletas!O292="Wu 45 A",404,IF(Atletas!O292="Wu-Hao 46 A",405,IF(OR(Atletas!O292="Taijiquan 16 A",Atletas!O292="Taijiquan 24 A",Atletas!O292="Taijiquan 32 A",Atletas!O292="Taijiquan 42 A"),406,IF(OR(Atletas!O292="Yang 26 B",Atletas!O292="Yang 40 B"),407,IF(OR(Atletas!O292="Chen 25 B",Atletas!O292="Chen 36 B",Atletas!O292="Chen 56 B"),408,IF(Atletas!O292="Sun 73 B",409,IF(Atletas!O292="Wu 45 B",410,IF(Atletas!O292="Wu-Hao 46 B",411,IF(OR(Atletas!O292="Taijiquan 16 B",Atletas!O292="Taijiquan 24 B",Atletas!O292="Taijiquan 32 B",Atletas!O292="Taijiquan 42 B"),412,IF(OR(Atletas!O292="Yang 26 C",Atletas!O292="Yang 40 C"),413,IF(OR(Atletas!O292="Chen 25 C",Atletas!O292="Chen 36 C",Atletas!O292="Chen 56 C"),414,IF(Atletas!O292="Sun 73 C",415,IF(Atletas!O292="Wu 45 C",416,IF(Atletas!O292="Wu-Hao 46 C",417,IF(OR(Atletas!O292="Taijiquan 16 C",Atletas!O292="Taijiquan 24 C",Atletas!O292="Taijiquan 32 C",Atletas!O292="Taijiquan 42 C"),418,0)))))))))))))))))))</f>
        <v/>
      </c>
      <c r="BQ296" s="52" t="str">
        <f>IF(Atletas!O292="","",IF(Atletas!W292&lt;&gt;"",10000,0)+IF(Atletas!B292="Feminino",1000,IF(Atletas!B292="Masculino",2000,""))+IF(OR(Atletas!O292="Yang 26 D",Atletas!O292="Yang 40 D"),419,IF(OR(Atletas!O292="Chen 25 D",Atletas!O292="Chen 36 D",Atletas!O292="Chen 56 D"),420,IF(Atletas!O292="Sun 73 D",421,IF(Atletas!O292="Wu 45 D",422,IF(Atletas!O292="Wu-Hao 46 D",423,IF(OR(Atletas!O292="Taijiquan 16 D",Atletas!O292="Taijiquan 24 D",Atletas!O292="Taijiquan 32 D",Atletas!O292="Taijiquan 42 D"),424,IF(OR(Atletas!O292="Yang 26 E",Atletas!O292="Yang 40 E"),425,IF(OR(Atletas!O292="Chen 25 E",Atletas!O292="Chen 36 E",Atletas!O292="Chen 56 E"),426,IF(Atletas!O292="Sun 73 E",427,IF(Atletas!O292="Wu 45 E",428,IF(Atletas!O292="Wu-Hao 46 E",429,IF(OR(Atletas!O292="Taijiquan 16 E",Atletas!O292="Taijiquan 24 E",Atletas!O292="Taijiquan 32 E",Atletas!O292="Taijiquan 42 E"),430,IF(OR(Atletas!O292="Yang 26 F",Atletas!O292="Yang 40 F"),431,IF(OR(Atletas!O292="Chen 25 F",Atletas!O292="Chen 36 F",Atletas!O292="Chen 56 F"),432,IF(Atletas!O292="Sun 73 F",433,IF(Atletas!O292="Wu 45 F",434,IF(Atletas!O292="Wu-Hao 46 F",435,IF(OR(Atletas!O292="Taijiquan 16 F",Atletas!O292="Taijiquan 24 F",Atletas!O292="Taijiquan 32 F",Atletas!O292="Taijiquan 42 F"),436,0)))))))))))))))))))</f>
        <v/>
      </c>
      <c r="BR296" s="52" t="str">
        <f>IF(Atletas!P292="","",IF(Atletas!W292&lt;&gt;"",10000,0)+IF(Atletas!B292="Feminino",1000,IF(Atletas!B292="Masculino",2000,""))+IF(Atletas!P292="Xingyiquan A",501,IF(Atletas!P292="Baguazhang A",502,IF(Atletas!P292="Outro Estilo Interno A",503,IF(Atletas!P292="Xingyiquan B",504,IF(Atletas!P292="Baguazhang B",505,IF(Atletas!P292="Outro Estilo Interno B",506,IF(Atletas!P292="Xingyiquan C",507,IF(Atletas!P292="Baguazhang C",508,IF(Atletas!P292="Outro Estilo Interno C",509,IF(Atletas!P292="Xingyiquan D",510,IF(Atletas!P292="Baguazhang D",511,IF(Atletas!P292="Outro Estilo Interno D",512,IF(Atletas!P292="Xingyiquan E",513,IF(Atletas!P292="Baguazhang E",514,IF(Atletas!P292="Outro Estilo Interno E",515,IF(Atletas!P292="Xingyiquan F",516,IF(Atletas!P292="Baguazhang F",517,IF(Atletas!P292="Outro Estilo Interno F",518, "")))))))))))))))))))</f>
        <v/>
      </c>
      <c r="BS296" s="52" t="str">
        <f>IF(Atletas!Q292="","",IF(Atletas!W292&lt;&gt;"",10000,0)+IF(Atletas!B292="Feminino",1000,IF(Atletas!B292="Masculino",2000,""))+IF(Atletas!Q292="Dao A",601,IF(Atletas!Q292="Jian A",602,IF(Atletas!Q292="Bishou A",603,IF(Atletas!Q292="Shan A",604,IF(Atletas!Q292="Outra Arma Curta A",605,IF(Atletas!Q292="Dao B",606,IF(Atletas!Q292="Jian B",607,IF(Atletas!Q292="Bishou B",608,IF(Atletas!Q292="Shan B",609,IF(Atletas!Q292="Outra Arma Curta B",610,IF(Atletas!Q292="Dao C",611,IF(Atletas!Q292="Jian C",612,IF(Atletas!Q292="Bishou C",613,IF(Atletas!Q292="Shan C",614,IF(Atletas!Q292="Outra Arma Curta C",615,IF(Atletas!Q292="Dao D",616,IF(Atletas!Q292="Jian D",617,IF(Atletas!Q292="Bishou D",618,IF(Atletas!Q292="Shan D",619,IF(Atletas!Q292="Outra Arma Curta D",620,IF(Atletas!Q292="Dao E",621,IF(Atletas!Q292="Jian E",622,IF(Atletas!Q292="Bishou E",623,IF(Atletas!Q292="Shan E",624,IF(Atletas!Q292="Outra Arma Curta E",625,IF(Atletas!Q292="Dao F",626,IF(Atletas!Q292="Jian F",627,IF(Atletas!Q292="Bishou F",628,IF(Atletas!Q292="Shan F",629,IF(Atletas!Q292="Outra Arma Curta F",630, "")))))))))))))))))))))))))))))))</f>
        <v/>
      </c>
      <c r="BT296" s="52" t="str">
        <f>IF(Atletas!R292="","",IF(Atletas!W292&lt;&gt;"",10000,0)+IF(Atletas!B292="Feminino",1000,IF(Atletas!B292="Masculino",2000,""))+IF(Atletas!R292="Gun A",701,IF(Atletas!R292="Qiang A",702,IF(Atletas!R292="Pudao / Guandao A",703,IF(Atletas!R292="Outra Arma Longa A",704,IF(Atletas!R292="Gun B",705,IF(Atletas!R292="Qiang B",706,IF(Atletas!R292="Pudao / Guandao B",707,IF(Atletas!R292="Outra Arma Longa B",708,IF(Atletas!R292="Gun C",709,IF(Atletas!R292="Qiang C",710,IF(Atletas!R292="Pudao / Guandao C",711,IF(Atletas!R292="Outra Arma Longa C",712,IF(Atletas!R292="Gun D",713,IF(Atletas!R292="Qiang D",714,IF(Atletas!R292="Pudao / Guandao D",715,IF(Atletas!R292="Outra Arma Longa D",716,IF(Atletas!R292="Gun E",717,IF(Atletas!R292="Qiang E",718,IF(Atletas!R292="Pudao / Guandao E",719,IF(Atletas!R292="Outra Arma Longa E",720,IF(Atletas!R292="Gun F",721,IF(Atletas!R292="Qiang F",722,IF(Atletas!R292="Pudao / Guandao F",723,IF(Atletas!R292="Outra Arma Longa F",724,"")))))))))))))))))))))))))</f>
        <v/>
      </c>
      <c r="BU296" s="52" t="str">
        <f>IF(Atletas!S292="","",IF(Atletas!W292&lt;&gt;"",10000,0)+IF(Atletas!B292="Feminino",1000,IF(Atletas!B292="Masculino",2000,""))+IF(Atletas!S292="Arma Dupla A",801,IF(Atletas!S292="Arma Maleável A",802,IF(Atletas!S292="Arma Dupla B",803,IF(Atletas!S292="Arma Maleável B",804,IF(Atletas!S292="Arma Dupla C",805,IF(Atletas!S292="Arma Maleável C",806,IF(Atletas!S292="Arma Dupla D",807,IF(Atletas!S292="Arma Maleável D",808,IF(Atletas!S292="Arma Dupla E",809,IF(Atletas!S292="Arma Maleável E",810,IF(Atletas!S292="Arma Dupla F",811,IF(Atletas!S292="Arma Maleável F",812, "")))))))))))))</f>
        <v/>
      </c>
      <c r="BV296" s="52" t="str">
        <f>IF(Atletas!T292="","",IF(Atletas!W292&lt;&gt;"",10000,0)+IF(Atletas!B292="Feminino",1000,IF(Atletas!B292="Masculino",2000,""))+IF(Atletas!T292="Taijijian Yang A",901,IF(Atletas!T292="Taijijian Chen A",902,IF(Atletas!T292="Taijijian Sun A",903,IF(Atletas!T292="Taijijian Wu A",904,IF(Atletas!T292="Taijijian Wu-Hao A",905,IF(Atletas!T292="Taijijian 32 A",906,IF(Atletas!T292="Taijijian 42 A",907,IF(Atletas!T292="Taijijian Yang B",908,IF(Atletas!T292="Taijijian Chen B",909,IF(Atletas!T292="Taijijian Sun B",910,IF(Atletas!T292="Taijijian Wu B",911,IF(Atletas!T292="Taijijian Wu-Hao B",912,IF(Atletas!T292="Taijijian 32 B",913,IF(Atletas!T292="Taijijian 42 B",914,IF(Atletas!T292="Taijijian Yang C",915,IF(Atletas!T292="Taijijian Chen C",916,IF(Atletas!T292="Taijijian Sun C",917,IF(Atletas!T292="Taijijian Wu C",918,IF(Atletas!T292="Taijijian Wu-Hao C",919,IF(Atletas!T292="Taijijian 32 C",920,IF(Atletas!T292="Taijijian 42 C",921,IF(Atletas!T292="Taijijian Yang D",922,IF(Atletas!T292="Taijijian Chen D",923,IF(Atletas!T292="Taijijian Sun D",924,IF(Atletas!T292="Taijijian Wu D",925,IF(Atletas!T292="Taijijian Wu-Hao D",926,IF(Atletas!T292="Taijijian 32 D",927,IF(Atletas!T292="Taijijian 42 D",928,IF(Atletas!T292="Taijijian Yang E",929,IF(Atletas!T292="Taijijian Chen E",930,IF(Atletas!T292="Taijijian Sun E",931,IF(Atletas!T292="Taijijian Wu E",932,IF(Atletas!T292="Taijijian Wu-Hao E",933,IF(Atletas!T292="Taijijian 32 E",934,IF(Atletas!T292="Taijijian 42 E",935,IF(Atletas!T292="Taijijian Yang F",936,IF(Atletas!T292="Taijijian Chen F",937,IF(Atletas!T292="Taijijian Sun F",938,IF(Atletas!T292="Taijijian Wu F",939,IF(Atletas!T292="Taijijian Wu-Hao F",940,IF(Atletas!T292="Taijijian 32 F",941,IF(Atletas!T292="Taijijian 42 F",942,"")))))))))))))))))))))))))))))))))))))))))))</f>
        <v/>
      </c>
      <c r="BW296" s="52" t="str">
        <f>IF(Atletas!U292="","",IF(Atletas!W292&lt;&gt;"",10000,0)+IF(Atletas!B292="Feminino",1000,IF(Atletas!B292="Masculino",2000,""))+IF(Atletas!T292="Taijijian 42 F",942,IF(Atletas!U292="Taijidao A",943,IF(Atletas!U292="Taijishan A",944,IF(Atletas!U292="Taijiqiang A",945,IF(Atletas!U292="Taijidao B",946,IF(Atletas!U292="Taijishan B",947,IF(Atletas!U292="Taijiqiang B",948,IF(Atletas!U292="Taijidao C",949,IF(Atletas!U292="Taijishan C",950,IF(Atletas!U292="Taijiqiang C",951,IF(Atletas!U292="Taijidao D",952,IF(Atletas!U292="Taijishan D",953,IF(Atletas!U292="Taijiqiang D",954,IF(Atletas!U292="Taijidao E",955,IF(Atletas!U292="Taijishan E",956,IF(Atletas!U292="Taijiqiang E",957,IF(Atletas!U292="Taijidao F",958,IF(Atletas!U292="Taijishan F",959,IF(Atletas!U292="Taijiqiang F",960))))))))))))))))))))</f>
        <v/>
      </c>
      <c r="BX296" s="72" t="str">
        <f>IF(BY296&lt;&gt;"","Taijijian Chen B","")</f>
        <v/>
      </c>
      <c r="BY296" s="72" t="str">
        <f>IF(COUNTIF(BK:BW,1909)&gt;0,COUNTIF(BK:BW,1909),"")</f>
        <v/>
      </c>
      <c r="BZ296" s="72" t="str">
        <f>IF(CA296&lt;&gt;"","Taijijian Chen B","")</f>
        <v/>
      </c>
      <c r="CA296" s="72" t="str">
        <f>IF(COUNTIF(BK:BW,2908)&gt;0,COUNTIF(BK:BW,2908),"")</f>
        <v/>
      </c>
      <c r="CB296" s="72" t="str">
        <f>IF(CC296&lt;&gt;"","Shan C","")</f>
        <v/>
      </c>
      <c r="CC296" s="64" t="str">
        <f>IF(COUNTIF(BK:BW,11614)&gt;0,COUNTIF(BK:BW,11614),"")</f>
        <v/>
      </c>
      <c r="CD296" s="64" t="str">
        <f>IF(CE296&lt;&gt;"","Shan C","")</f>
        <v/>
      </c>
      <c r="CE296" s="64" t="str">
        <f>IF(COUNTIF(BK:BW,12614)&gt;0,COUNTIF(BK:BW,12614),"")</f>
        <v/>
      </c>
      <c r="CF296" s="52" t="str">
        <f xml:space="preserve"> IF(Atletas!V292="","",IF(Atletas!V292="Duilian de Mãos AB - Equipe 1",1,IF(Atletas!V292="Duilian de Mãos AB - Equipe 2",2,IF(Atletas!V292="Duilian de Armas AB - Equipe 1",3,IF(Atletas!V292="Duilian de Armas AB - Equipe 2",4,IF(Atletas!V292="Duilian de Tuishou - Equipe 1",5,IF(Atletas!V292="Duilian de Tuishou - Equipe 2",6,IF(Atletas!V292="Grupo Externo AB - Equipe 1",7,IF(Atletas!V292="Grupo Externo AB - Equipe 2",8,IF(Atletas!V292="Grupo Interno AB - Equipe 1",9,IF(Atletas!V292="Grupo Interno AB - Equipe 2",10,IF(Atletas!V292="Duilian de Mãos CD - Equipe 1",11,IF(Atletas!V292="Duilian de Mãos CD - Equipe 2",12,IF(Atletas!V292="Duilian de Armas CD - Equipe 1",13,IF(Atletas!V292="Duilian de Armas CD - Equipe 2",14,IF(Atletas!V292="Duilian de Tuishou - Equipe 1",15,IF(Atletas!V292="Duilian de Tuishou - Equipe 2",16,IF(Atletas!V292="Grupo Externo CDEF - Equipe 1",17,IF(Atletas!V292="Grupo Externo CDEF - Equipe 2",18,IF(Atletas!V292="Grupo Interno CDEF - Equipe 1",19,IF(Atletas!V292="Grupo Interno CDEF - Equipe 2",20,IF(Atletas!V292="Duilian de Mãos EF - Equipe 1",21,IF(Atletas!V292="Duilian de Mãos EF - Equipe 2",22,IF(Atletas!V292="Duilian de Armas EF - Equipe 1",23,IF(Atletas!V292="Duilian de Armas EF - Equipe 2",24,IF(Atletas!V292="Duilian de Tuishou - Equipe 1",25,IF(Atletas!V292="Duilian de Tuishou - Equipe 2",26,"")))))))))))))))))))))))))))</f>
        <v/>
      </c>
    </row>
    <row r="297" spans="2:84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 t="str">
        <f t="array" ref="V297">IFERROR(INDEX(BX$7:BX$336,SMALL(IF(BX$7:BX$336&lt;&gt;"",ROW(BX$7:BX$336)-ROW(BX$7)+1),ROWS(BX$7:BX254))),"")</f>
        <v/>
      </c>
      <c r="W297" s="4" t="str">
        <f t="array" ref="W297">IFERROR(INDEX(BY$7:BY$336,SMALL(IF(BY$7:BY$336&lt;&gt;"",ROW(BY$7:BY$336)-ROW(BY$7)+1),ROWS(BY$7:BY254))),"")</f>
        <v/>
      </c>
      <c r="X297" s="4" t="str">
        <f t="array" ref="X297">IFERROR(INDEX(BZ$7:BZ$336,SMALL(IF(BZ$7:BZ$336&lt;&gt;"",ROW(BZ$7:BZ$336)-ROW(BZ$7)+1),ROWS(BZ$7:BZ254))),"")</f>
        <v/>
      </c>
      <c r="Y297" s="4" t="str">
        <f t="array" ref="Y297">IFERROR(INDEX(CA$7:CA$336,SMALL(IF(CA$7:CA$336&lt;&gt;"",ROW(CA$7:CA$336)-ROW(CA$7)+1),ROWS(CA$7:CA254))),"")</f>
        <v/>
      </c>
      <c r="Z297" s="4" t="str">
        <f t="array" ref="Z297">IFERROR(INDEX(CB$7:CB$378,SMALL(IF(CB$7:CB$378&lt;&gt;"",ROW(CB$7:CB$378)-ROW(CB$7)+1),ROWS(CB$7:CB296))),"")</f>
        <v/>
      </c>
      <c r="AA297" s="4" t="str">
        <f t="array" ref="AA297">IFERROR(INDEX(CC$7:CC$378,SMALL(IF(CC$7:CC$378&lt;&gt;"",ROW(CC$7:CC$378)-ROW(CC$7)+1),ROWS(CC$7:CC296))),"")</f>
        <v/>
      </c>
      <c r="AB297" s="4" t="str">
        <f t="array" ref="AB297">IFERROR(INDEX(CD$7:CD$378,SMALL(IF(CD$7:CD$378&lt;&gt;"",ROW(CD$7:CD$378)-ROW(CD$7)+1),ROWS(CD$7:CD296))),"")</f>
        <v/>
      </c>
      <c r="AC297" s="4" t="str">
        <f t="array" ref="AC297">IFERROR(INDEX(CE$7:CE$378,SMALL(IF(CE$7:CE$378&lt;&gt;"",ROW(CE$7:CE$378)-ROW(CE$7)+1),ROWS(CE$7:CE296))),"")</f>
        <v/>
      </c>
      <c r="AD297" s="4"/>
      <c r="AE297" s="4"/>
      <c r="AF297" s="4"/>
      <c r="AG297" s="4"/>
      <c r="AH297" s="4"/>
      <c r="AI297" s="4"/>
      <c r="AJ297" s="46" t="str">
        <f>IF(Atletas!D293="","",IF(Atletas!B293="Feminino",100,IF(Atletas!B293="Masculino",200,""))+(IF(Atletas!D293="Infantil 39kg",1,IF(Atletas!D293="Infantil 42kg",2,IF(Atletas!D293="Infantil 45kg",3,IF(Atletas!D293="Infantil 48kg",4,IF(Atletas!D293="Infantil 52kg",5,IF(Atletas!D293="Infantil 56kg",6,IF(Atletas!D293="Infantil 60kg",7,IF(Atletas!D293="Juvenil 48kg",8,IF(Atletas!D293="Juvenil 52kg",9,IF(Atletas!D293="Juvenil 56kg",10,IF(Atletas!D293="Juvenil 60kg",11,IF(Atletas!D293="Juvenil 65kg",12,IF(Atletas!D293="Juvenil 70kg",13,IF(Atletas!D293="Juvenil 75kg",14,IF(Atletas!D293="Juvenil 80kg",15,IF(Atletas!D293="Adulto 48kg",16,IF(Atletas!D293="Adulto 52kg",17,IF(Atletas!D293="Adulto 56kg",18,IF(Atletas!D293="Adulto 60kg",19,IF(Atletas!D293="Adulto 65kg",20,IF(Atletas!D293="Adulto 70kg",21,IF(Atletas!D293="Adulto 75kg",22,IF(Atletas!D293="Adulto 80kg",23,IF(Atletas!D293="Adulto 85kg",24,IF(Atletas!D293="Adulto 90kg",25,IF(Atletas!D293="Adulto +90kg",26,""))))))))))))))))))))))))))))</f>
        <v/>
      </c>
      <c r="AO297" s="10" t="str">
        <f>IF(Atletas!E293="","",IF(Atletas!B293="Feminino",100,IF(Atletas!B293="Masculino",200,""))+(IF(Atletas!E293="Juvenil 44kg",1,IF(Atletas!E293="Juvenil 48kg",2,IF(Atletas!E293="Juvenil 52kg",3,IF(Atletas!E293="Juvenil 56kg",4,IF(Atletas!E293="Juvenil 60kg",5,IF(Atletas!E293="Juvenil 65kg",6,IF(Atletas!E293="Juvenil 70kg",7,IF(Atletas!E293="Juvenil 75kg",8,IF(Atletas!E293="Juvenil 82kg",9,IF(Atletas!E293="Juvenil 90kg",10,IF(Atletas!E293="Juvenil 100kg",11,IF(Atletas!E293="Adulto 48kg",12,IF(Atletas!E293="Adulto 52kg",13,IF(Atletas!E293="Adulto 56kg",14,IF(Atletas!E293="Adulto 60kg",15,IF(Atletas!E293="Adulto 65kg",16,IF(Atletas!E293="Adulto 70kg",17,IF(Atletas!E293="Adulto 75kg",18,IF(Atletas!E293="Adulto 82kg",19,IF(Atletas!E293="Adulto 90kg",20,IF(Atletas!E293="Adulto 100kg",21,IF(Atletas!E293="Adulto +100kg",22,""))))))))))))))))))))))))</f>
        <v/>
      </c>
      <c r="AT297" s="10" t="str">
        <f>IF(Atletas!F293="","",IF(Atletas!B293="Feminino",100,IF(Atletas!B293="Masculino",200,""))+(IF(Atletas!F293="Adulto 48kg",1,IF(Atletas!F293="Adulto 56kg",2,IF(Atletas!F293="Adulto 65kg",3,IF(Atletas!F293="Adulto 75kg",4,IF(Atletas!F293="Adulto +75kg",5,IF(Atletas!F293="Adulto 52kg",6,IF(Atletas!F293="Adulto 60kg",7,IF(Atletas!F293="Adulto 70kg",8,IF(Atletas!F293="Adulto 80kg",9,IF(Atletas!F293="Adulto 90kg",10,IF(Atletas!F293="Adulto +90kg",11,"")))))))))))))</f>
        <v/>
      </c>
      <c r="AY297" s="46" t="str">
        <f>IF(Atletas!G293="","",IF(Atletas!B293="Feminino",100,IF(Atletas!B293="Masculino",200,""))+(IF(Atletas!G293="Changquan Mirim",1,IF(Atletas!G293="Nanquan Mirim",2,IF(Atletas!G293="Taijiquan Mirim",3,IF(Atletas!G293="Changquan Grupo C",4,IF(Atletas!G293="Nanquan Grupo C",5,IF(Atletas!G293="Taijiquan Grupo C",6,IF(Atletas!G293="Changquan Grupo B",7,IF(Atletas!G293="Nanquan Grupo B",8,IF(Atletas!G293="Taijiquan Grupo B",9,IF(Atletas!G293="Changquan Grupo A",10,IF(Atletas!G293="Nanquan Grupo A",11,IF(Atletas!G293="Taijiquan Grupo A",12,IF(Atletas!G293="Changquan Opcional",13,IF(Atletas!G293="Nanquan Opcional",14,IF(Atletas!G293="Taijiquan Opcional",15,IF(Atletas!G293="Changquan Adulto",16,IF(Atletas!G293="Nanquan Adulto",17,IF(Atletas!G293="Taijiquan Adulto",18,""))))))))))))))))))))</f>
        <v/>
      </c>
      <c r="AZ297" s="46" t="str">
        <f>IF(Atletas!H293="","",IF(Atletas!B293="Feminino",100,IF(Atletas!B293="Masculino",200,""))+(IF(Atletas!H293="Daoshu Mirim",19,IF(Atletas!H293="Jianshu Mirim",20,IF(Atletas!H293="Nandao Mirim",21,IF(Atletas!H293="Taijijian Mirim",22,IF(Atletas!H293="Daoshu Grupo C",23,IF(Atletas!H293="Jianshu Grupo C",24,IF(Atletas!H293="Nandao Grupo C",25,IF(Atletas!H293="Taijijian Grupo C",26,IF(Atletas!H293="Daoshu Grupo B",27,IF(Atletas!H293="Jianshu Grupo B",28,IF(Atletas!H293="Nandao Grupo B",29,IF(Atletas!H293="Taijijian Grupo B",30,IF(Atletas!H293="Daoshu Grupo A",31,IF(Atletas!H293="Jianshu Grupo A",32,IF(Atletas!H293="Nandao Grupo A",33,IF(Atletas!H293="Taijijian Grupo A",34,IF(Atletas!H293="Daoshu Opcional",35,IF(Atletas!H293="Jianshu Opcional",36,IF(Atletas!H293="Nandao Opcional",37,IF(Atletas!H293="Taijijian Opcional",38,IF(Atletas!H293="Daoshu Adulto",39,IF(Atletas!H293="Jianshu Adulto",40,IF(Atletas!H293="Nandao Adulto",41,IF(Atletas!H293="Taijijian Adulto",42,""))))))))))))))))))))))))))</f>
        <v/>
      </c>
      <c r="BA297" s="46" t="str">
        <f>IF(Atletas!I293="","",IF(Atletas!B293="Feminino",100,IF(Atletas!B293="Masculino",200,""))+(IF(Atletas!I293="Gunshu Mirim",43,IF(Atletas!I293="Qiangshu Mirim",44,IF(Atletas!I293="Nangun Mirim",45,IF(Atletas!I293="Gunshu Grupo C",46,IF(Atletas!I293="Qiangshu Grupo C",47,IF(Atletas!I293="Nangun Grupo C",48,IF(Atletas!I293="Gunshu Grupo B",49,IF(Atletas!I293="Qiangshu Grupo B",50,IF(Atletas!I293="Nangun Grupo B",51,IF(Atletas!I293="Gunshu Grupo A",52,IF(Atletas!I293="Qiangshu Grupo A",53,IF(Atletas!I293="Nangun Grupo A",54,IF(Atletas!I293="Gunshu Opcional",55,IF(Atletas!I293="Qiangshu Opcional",56,IF(Atletas!I293="Nangun Opcional",57,IF(Atletas!I293="Gunshu Adulto",58,IF(Atletas!I293="Qiangshu Adulto",59,IF(Atletas!I293="Nangun Adulto",60,""))))))))))))))))))))</f>
        <v/>
      </c>
      <c r="BF297" s="52" t="str">
        <f>IF(Atletas!J293="","",IF(Atletas!B293="Feminino",100,IF(Atletas!B293="Masculino",200,""))+(IF(Atletas!J293="Equipe 1 Grupo B",1,IF(Atletas!J293="Equipe 2 Grupo B",2,IF(Atletas!J293="Equipe 1 Grupo A",3,IF(Atletas!J293="Equipe 2 Grupo A",4,IF(Atletas!J293="Equipe 1 Adulto",5,IF(Atletas!J293="Equipe 2 Adulto",6,""))))))))</f>
        <v/>
      </c>
      <c r="BK297" s="52" t="str">
        <f>IF(Atletas!K293="","",IF(Atletas!W293&lt;&gt;"",10000,0)+(IF(Atletas!B293="Feminino",1000,IF(Atletas!B293="Masculino",2000,""))+IF(Atletas!K293="Choylayfut A",1,IF(Atletas!K293="Hunggar A",2,IF(Atletas!K293="Wuzuquan A",3,IF(Atletas!K293="Wingchun A",4,IF(Atletas!K293="Outra Mão de Sul A",5,IF(Atletas!K293="Choylayfut B",6,IF(Atletas!K293="Hunggar B",7,IF(Atletas!K293="Wuzuquan B",8,IF(Atletas!K293="Wingchun B",9,IF(Atletas!K293="Outra Mão de Sul B",10,IF(Atletas!K293="Choylayfut C",11,IF(Atletas!K293="Hunggar C",12,IF(Atletas!K293="Wuzuquan C",13,IF(Atletas!K293="Wingchun C",14,IF(Atletas!K293="Outra Mão de Sul C",15,IF(Atletas!K293="Choylayfut D",16,IF(Atletas!K293="Hunggar D",17,IF(Atletas!K293="Wuzuquan D",18,IF(Atletas!K293="Wingchun D",19,IF(Atletas!K293="Outra Mão de Sul D",20,IF(Atletas!K293="Choylayfut E",21,IF(Atletas!K293="Hunggar E",22,IF(Atletas!K293="Wuzuquan E",23,IF(Atletas!K293="Wingchun E",24,IF(Atletas!K293="Outra Mão de Sul E",25,IF(Atletas!K293="Choylayfut F",26,IF(Atletas!K293="Hunggar F",27,IF(Atletas!K293="Wuzuquan F",28,IF(Atletas!K293="Wingchun F",29,IF(Atletas!K293="Outra Mão de Sul F",30,""))))))))))))))))))))))))))))))))</f>
        <v/>
      </c>
      <c r="BL297" s="52" t="str">
        <f>IF(Atletas!L293="","",IF(Atletas!W293&lt;&gt;"",10000,0)+(IF(Atletas!B293="Feminino",1000,IF(Atletas!B293="Masculino",2000,""))+(IF(Atletas!L293="Chaquan A",101,IF(Atletas!L293="Emeiquan A",102,IF(Atletas!L293="Fanziquan A",103,IF(Atletas!L293="Huaquan A",104,IF(Atletas!L293="Hongquan A",105,IF(Atletas!L293="Paochui A",106,IF(Atletas!L293="Piguaquan A",107,IF(Atletas!L293="Shaolinquan A",108,IF(Atletas!L293="Tanglangquan A",109,IF(Atletas!L293="Yinzhaophai A",110,IF(Atletas!L293="Tongbeiquan A",111,IF(Atletas!L293="Wudangquan A",112,IF(Atletas!L293="Outros Estilos A",113,IF(Atletas!L293="Chaquan B",114,IF(Atletas!L293="Emeiquan B",115,IF(Atletas!L293="Fanziquan B",116,IF(Atletas!L293="Huaquan B",117,IF(Atletas!L293="Hongquan B",118,IF(Atletas!L293="Paochui B",119,IF(Atletas!L293="Piguaquan B",120,IF(Atletas!L293="Shaolinquan B",121,IF(Atletas!L293="Tanglangquan B",122,IF(Atletas!L293="Yinzhaophai B",123,IF(Atletas!L293="Tongbeiquan B",124,IF(Atletas!L293="Wudangquan B",125,IF(Atletas!L293="Outros Estilos B",126,IF(Atletas!L293="Chaquan C",127,IF(Atletas!L293="Emeiquan C",128,IF(Atletas!L293="Fanziquan C",129,IF(Atletas!L293="Huaquan C",130,IF(Atletas!L293="Hongquan C",131,IF(Atletas!L293="Paochui C",132,IF(Atletas!L293="Piguaquan C",133,IF(Atletas!L293="Shaolinquan C",134,IF(Atletas!L293="Tanglangquan C",135,IF(Atletas!L293="Yinzhaophai C",136,IF(Atletas!L293="Tongbeiquan C",137,IF(Atletas!L293="Wudangquan C",138,IF(Atletas!L293="Outros Estilos C",139,0))))))))))))))))))))))))))))))))))))))))))</f>
        <v/>
      </c>
      <c r="BM297" s="52" t="str">
        <f>IF(Atletas!L293="","",IF(Atletas!W293&lt;&gt;"",10000,0)+(IF(Atletas!B293="Feminino",1000,IF(Atletas!B293="Masculino",2000,""))+(IF(Atletas!L293="Chaquan D",140,IF(Atletas!L293="Emeiquan D",141,IF(Atletas!L293="Fanziquan D",142,IF(Atletas!L293="Huaquan D",143,IF(Atletas!L293="Hongquan D",144,IF(Atletas!L293="Paochui D",145,IF(Atletas!L293="Piguaquan D",146,IF(Atletas!L293="Shaolinquan D",147,IF(Atletas!L293="Tanglangquan D",148,IF(Atletas!L293="Yinzhaophai D",149,IF(Atletas!L293="Tongbeiquan D",150,IF(Atletas!L293="Wudangquan D",151,IF(Atletas!L293="Outros Estilos D",152,IF(Atletas!L293="Chaquan E",153,IF(Atletas!L293="Emeiquan E",154,IF(Atletas!L293="Fanziquan E",155,IF(Atletas!L293="Huaquan E",156,IF(Atletas!L293="Hongquan E",157,IF(Atletas!L293="Paochui E",158,IF(Atletas!L293="Piguaquan E",159,IF(Atletas!L293="Shaolinquan E",160,IF(Atletas!L293="Tanglangquan E",161,IF(Atletas!L293="Yinzhaophai E",162,IF(Atletas!L293="Tongbeiquan E",163,IF(Atletas!L293="Wudangquan E",164,IF(Atletas!L293="Outros Estilos E",165,IF(Atletas!L293="Chaquan F",166,IF(Atletas!L293="Emeiquan F",167,IF(Atletas!L293="Fanziquan F",168,IF(Atletas!L293="Huaquan F",169,IF(Atletas!L293="Hongquan F",170,IF(Atletas!L293="Paochui F",171,IF(Atletas!L293="Piguaquan F",172,IF(Atletas!L293="Shaolinquan F",173,IF(Atletas!L293="Tanglangquan F",174,IF(Atletas!L293="Yinzhaophai F",175,IF(Atletas!L293="Tongbeiquan F",176,IF(Atletas!L293="Wudangquan F",177,IF(Atletas!L293="Outros Estilos F",178,0))))))))))))))))))))))))))))))))))))))))))</f>
        <v/>
      </c>
      <c r="BN297" s="52" t="str">
        <f>IF(Atletas!M293="","",IF(Atletas!W293&lt;&gt;"",10000,0)+(IF(Atletas!B293="Feminino",1000,IF(Atletas!B293="Masculino",2000,""))+(IF(Atletas!M293="Ditangquan A",201,IF(Atletas!M293="Houquan A",202,IF(Atletas!M293="Zuiquan A",203,IF(Atletas!M293="Ditangquan B",204,IF(Atletas!M293="Houquan B",205,IF(Atletas!M293="Zuiquan B",206,IF(Atletas!M293="Ditangquan C",207,IF(Atletas!M293="Houquan C",208,IF(Atletas!M293="Zuiquan C",209,IF(Atletas!M293="Ditangquan D",210,IF(Atletas!M293="Houquan D",211,IF(Atletas!M293="Zuiquan D",212,IF(Atletas!M293="Ditangquan E",213,IF(Atletas!M293="Houquan E",214,IF(Atletas!M293="Zuiquan E",215,IF(Atletas!M293="Ditangquan F",216,IF(Atletas!M293="Houquan F",217,IF(Atletas!M293="Zuiquan F",218,"")))))))))))))))))))))</f>
        <v/>
      </c>
      <c r="BO297" s="52" t="str">
        <f>IF(Atletas!N293="","",IF(Atletas!W293&lt;&gt;"",10000,0)+IF(Atletas!B293="Feminino",1000,IF(Atletas!B293="Masculino",2000,""))+IF(Atletas!N293="Yang A",301,IF(Atletas!N293="Chen A",30,IF(Atletas!N293="Sun A",303,IF(Atletas!N293="Wu A",304,IF(Atletas!N293="Wu-Hao A",305,IF(Atletas!N293="Outro Taijiquan A",306,IF(Atletas!N293="Yang B",307,IF(Atletas!N293="Chen B",308,IF(Atletas!N293="Sun B",309,IF(Atletas!N293="Wu B",310,IF(Atletas!N293="Wu-Hao B",311,IF(Atletas!N293="Outro Taijiquan B",312,IF(Atletas!N293="Yang C",313,IF(Atletas!N293="Chen C",314,IF(Atletas!N293="Sun C",315,IF(Atletas!N293="Wu C",316,IF(Atletas!N293="Wu-Hao C",317,IF(Atletas!N293="Outro Taijiquan C",318,IF(Atletas!N293="Yang D",319,IF(Atletas!N293="Chen D",320,IF(Atletas!N293="Sun D",321,IF(Atletas!N293="Wu D",322,IF(Atletas!N293="Wu-Hao D",323,IF(Atletas!N293="Outro Taijiquan D",324,IF(Atletas!N293="Yang E",325,IF(Atletas!N293="Chen E",326,IF(Atletas!N293="Sun E",327,IF(Atletas!N293="Wu E",328,IF(Atletas!N293="Wu-Hao E",329,IF(Atletas!N293="Outro Taijiquan E",330,IF(Atletas!N293="Yang F",331,IF(Atletas!N293="Chen F",332,IF(Atletas!N293="Sun F",333,IF(Atletas!N293="Wu F",334,IF(Atletas!N293="Wu-Hao F",335,IF(Atletas!N293="Outro Taijiquan F",336,"")))))))))))))))))))))))))))))))))))))</f>
        <v/>
      </c>
      <c r="BP297" s="52" t="str">
        <f>IF(Atletas!O293="","",IF(Atletas!W293&lt;&gt;"",10000,0)+IF(Atletas!B293="Feminino",1000,IF(Atletas!B293="Masculino",2000,""))+IF(OR(Atletas!O293="Yang 26 A",Atletas!O293="Yang 40 A"),401,IF(OR(Atletas!O293="Chen 25 A",Atletas!O293="Chen 36 A",Atletas!O293="Chen 56 A"),402,IF(Atletas!O293="Sun 73 A",403,IF(Atletas!O293="Wu 45 A",404,IF(Atletas!O293="Wu-Hao 46 A",405,IF(OR(Atletas!O293="Taijiquan 16 A",Atletas!O293="Taijiquan 24 A",Atletas!O293="Taijiquan 32 A",Atletas!O293="Taijiquan 42 A"),406,IF(OR(Atletas!O293="Yang 26 B",Atletas!O293="Yang 40 B"),407,IF(OR(Atletas!O293="Chen 25 B",Atletas!O293="Chen 36 B",Atletas!O293="Chen 56 B"),408,IF(Atletas!O293="Sun 73 B",409,IF(Atletas!O293="Wu 45 B",410,IF(Atletas!O293="Wu-Hao 46 B",411,IF(OR(Atletas!O293="Taijiquan 16 B",Atletas!O293="Taijiquan 24 B",Atletas!O293="Taijiquan 32 B",Atletas!O293="Taijiquan 42 B"),412,IF(OR(Atletas!O293="Yang 26 C",Atletas!O293="Yang 40 C"),413,IF(OR(Atletas!O293="Chen 25 C",Atletas!O293="Chen 36 C",Atletas!O293="Chen 56 C"),414,IF(Atletas!O293="Sun 73 C",415,IF(Atletas!O293="Wu 45 C",416,IF(Atletas!O293="Wu-Hao 46 C",417,IF(OR(Atletas!O293="Taijiquan 16 C",Atletas!O293="Taijiquan 24 C",Atletas!O293="Taijiquan 32 C",Atletas!O293="Taijiquan 42 C"),418,0)))))))))))))))))))</f>
        <v/>
      </c>
      <c r="BQ297" s="52" t="str">
        <f>IF(Atletas!O293="","",IF(Atletas!W293&lt;&gt;"",10000,0)+IF(Atletas!B293="Feminino",1000,IF(Atletas!B293="Masculino",2000,""))+IF(OR(Atletas!O293="Yang 26 D",Atletas!O293="Yang 40 D"),419,IF(OR(Atletas!O293="Chen 25 D",Atletas!O293="Chen 36 D",Atletas!O293="Chen 56 D"),420,IF(Atletas!O293="Sun 73 D",421,IF(Atletas!O293="Wu 45 D",422,IF(Atletas!O293="Wu-Hao 46 D",423,IF(OR(Atletas!O293="Taijiquan 16 D",Atletas!O293="Taijiquan 24 D",Atletas!O293="Taijiquan 32 D",Atletas!O293="Taijiquan 42 D"),424,IF(OR(Atletas!O293="Yang 26 E",Atletas!O293="Yang 40 E"),425,IF(OR(Atletas!O293="Chen 25 E",Atletas!O293="Chen 36 E",Atletas!O293="Chen 56 E"),426,IF(Atletas!O293="Sun 73 E",427,IF(Atletas!O293="Wu 45 E",428,IF(Atletas!O293="Wu-Hao 46 E",429,IF(OR(Atletas!O293="Taijiquan 16 E",Atletas!O293="Taijiquan 24 E",Atletas!O293="Taijiquan 32 E",Atletas!O293="Taijiquan 42 E"),430,IF(OR(Atletas!O293="Yang 26 F",Atletas!O293="Yang 40 F"),431,IF(OR(Atletas!O293="Chen 25 F",Atletas!O293="Chen 36 F",Atletas!O293="Chen 56 F"),432,IF(Atletas!O293="Sun 73 F",433,IF(Atletas!O293="Wu 45 F",434,IF(Atletas!O293="Wu-Hao 46 F",435,IF(OR(Atletas!O293="Taijiquan 16 F",Atletas!O293="Taijiquan 24 F",Atletas!O293="Taijiquan 32 F",Atletas!O293="Taijiquan 42 F"),436,0)))))))))))))))))))</f>
        <v/>
      </c>
      <c r="BR297" s="52" t="str">
        <f>IF(Atletas!P293="","",IF(Atletas!W293&lt;&gt;"",10000,0)+IF(Atletas!B293="Feminino",1000,IF(Atletas!B293="Masculino",2000,""))+IF(Atletas!P293="Xingyiquan A",501,IF(Atletas!P293="Baguazhang A",502,IF(Atletas!P293="Outro Estilo Interno A",503,IF(Atletas!P293="Xingyiquan B",504,IF(Atletas!P293="Baguazhang B",505,IF(Atletas!P293="Outro Estilo Interno B",506,IF(Atletas!P293="Xingyiquan C",507,IF(Atletas!P293="Baguazhang C",508,IF(Atletas!P293="Outro Estilo Interno C",509,IF(Atletas!P293="Xingyiquan D",510,IF(Atletas!P293="Baguazhang D",511,IF(Atletas!P293="Outro Estilo Interno D",512,IF(Atletas!P293="Xingyiquan E",513,IF(Atletas!P293="Baguazhang E",514,IF(Atletas!P293="Outro Estilo Interno E",515,IF(Atletas!P293="Xingyiquan F",516,IF(Atletas!P293="Baguazhang F",517,IF(Atletas!P293="Outro Estilo Interno F",518, "")))))))))))))))))))</f>
        <v/>
      </c>
      <c r="BS297" s="52" t="str">
        <f>IF(Atletas!Q293="","",IF(Atletas!W293&lt;&gt;"",10000,0)+IF(Atletas!B293="Feminino",1000,IF(Atletas!B293="Masculino",2000,""))+IF(Atletas!Q293="Dao A",601,IF(Atletas!Q293="Jian A",602,IF(Atletas!Q293="Bishou A",603,IF(Atletas!Q293="Shan A",604,IF(Atletas!Q293="Outra Arma Curta A",605,IF(Atletas!Q293="Dao B",606,IF(Atletas!Q293="Jian B",607,IF(Atletas!Q293="Bishou B",608,IF(Atletas!Q293="Shan B",609,IF(Atletas!Q293="Outra Arma Curta B",610,IF(Atletas!Q293="Dao C",611,IF(Atletas!Q293="Jian C",612,IF(Atletas!Q293="Bishou C",613,IF(Atletas!Q293="Shan C",614,IF(Atletas!Q293="Outra Arma Curta C",615,IF(Atletas!Q293="Dao D",616,IF(Atletas!Q293="Jian D",617,IF(Atletas!Q293="Bishou D",618,IF(Atletas!Q293="Shan D",619,IF(Atletas!Q293="Outra Arma Curta D",620,IF(Atletas!Q293="Dao E",621,IF(Atletas!Q293="Jian E",622,IF(Atletas!Q293="Bishou E",623,IF(Atletas!Q293="Shan E",624,IF(Atletas!Q293="Outra Arma Curta E",625,IF(Atletas!Q293="Dao F",626,IF(Atletas!Q293="Jian F",627,IF(Atletas!Q293="Bishou F",628,IF(Atletas!Q293="Shan F",629,IF(Atletas!Q293="Outra Arma Curta F",630, "")))))))))))))))))))))))))))))))</f>
        <v/>
      </c>
      <c r="BT297" s="52" t="str">
        <f>IF(Atletas!R293="","",IF(Atletas!W293&lt;&gt;"",10000,0)+IF(Atletas!B293="Feminino",1000,IF(Atletas!B293="Masculino",2000,""))+IF(Atletas!R293="Gun A",701,IF(Atletas!R293="Qiang A",702,IF(Atletas!R293="Pudao / Guandao A",703,IF(Atletas!R293="Outra Arma Longa A",704,IF(Atletas!R293="Gun B",705,IF(Atletas!R293="Qiang B",706,IF(Atletas!R293="Pudao / Guandao B",707,IF(Atletas!R293="Outra Arma Longa B",708,IF(Atletas!R293="Gun C",709,IF(Atletas!R293="Qiang C",710,IF(Atletas!R293="Pudao / Guandao C",711,IF(Atletas!R293="Outra Arma Longa C",712,IF(Atletas!R293="Gun D",713,IF(Atletas!R293="Qiang D",714,IF(Atletas!R293="Pudao / Guandao D",715,IF(Atletas!R293="Outra Arma Longa D",716,IF(Atletas!R293="Gun E",717,IF(Atletas!R293="Qiang E",718,IF(Atletas!R293="Pudao / Guandao E",719,IF(Atletas!R293="Outra Arma Longa E",720,IF(Atletas!R293="Gun F",721,IF(Atletas!R293="Qiang F",722,IF(Atletas!R293="Pudao / Guandao F",723,IF(Atletas!R293="Outra Arma Longa F",724,"")))))))))))))))))))))))))</f>
        <v/>
      </c>
      <c r="BU297" s="52" t="str">
        <f>IF(Atletas!S293="","",IF(Atletas!W293&lt;&gt;"",10000,0)+IF(Atletas!B293="Feminino",1000,IF(Atletas!B293="Masculino",2000,""))+IF(Atletas!S293="Arma Dupla A",801,IF(Atletas!S293="Arma Maleável A",802,IF(Atletas!S293="Arma Dupla B",803,IF(Atletas!S293="Arma Maleável B",804,IF(Atletas!S293="Arma Dupla C",805,IF(Atletas!S293="Arma Maleável C",806,IF(Atletas!S293="Arma Dupla D",807,IF(Atletas!S293="Arma Maleável D",808,IF(Atletas!S293="Arma Dupla E",809,IF(Atletas!S293="Arma Maleável E",810,IF(Atletas!S293="Arma Dupla F",811,IF(Atletas!S293="Arma Maleável F",812, "")))))))))))))</f>
        <v/>
      </c>
      <c r="BV297" s="52" t="str">
        <f>IF(Atletas!T293="","",IF(Atletas!W293&lt;&gt;"",10000,0)+IF(Atletas!B293="Feminino",1000,IF(Atletas!B293="Masculino",2000,""))+IF(Atletas!T293="Taijijian Yang A",901,IF(Atletas!T293="Taijijian Chen A",902,IF(Atletas!T293="Taijijian Sun A",903,IF(Atletas!T293="Taijijian Wu A",904,IF(Atletas!T293="Taijijian Wu-Hao A",905,IF(Atletas!T293="Taijijian 32 A",906,IF(Atletas!T293="Taijijian 42 A",907,IF(Atletas!T293="Taijijian Yang B",908,IF(Atletas!T293="Taijijian Chen B",909,IF(Atletas!T293="Taijijian Sun B",910,IF(Atletas!T293="Taijijian Wu B",911,IF(Atletas!T293="Taijijian Wu-Hao B",912,IF(Atletas!T293="Taijijian 32 B",913,IF(Atletas!T293="Taijijian 42 B",914,IF(Atletas!T293="Taijijian Yang C",915,IF(Atletas!T293="Taijijian Chen C",916,IF(Atletas!T293="Taijijian Sun C",917,IF(Atletas!T293="Taijijian Wu C",918,IF(Atletas!T293="Taijijian Wu-Hao C",919,IF(Atletas!T293="Taijijian 32 C",920,IF(Atletas!T293="Taijijian 42 C",921,IF(Atletas!T293="Taijijian Yang D",922,IF(Atletas!T293="Taijijian Chen D",923,IF(Atletas!T293="Taijijian Sun D",924,IF(Atletas!T293="Taijijian Wu D",925,IF(Atletas!T293="Taijijian Wu-Hao D",926,IF(Atletas!T293="Taijijian 32 D",927,IF(Atletas!T293="Taijijian 42 D",928,IF(Atletas!T293="Taijijian Yang E",929,IF(Atletas!T293="Taijijian Chen E",930,IF(Atletas!T293="Taijijian Sun E",931,IF(Atletas!T293="Taijijian Wu E",932,IF(Atletas!T293="Taijijian Wu-Hao E",933,IF(Atletas!T293="Taijijian 32 E",934,IF(Atletas!T293="Taijijian 42 E",935,IF(Atletas!T293="Taijijian Yang F",936,IF(Atletas!T293="Taijijian Chen F",937,IF(Atletas!T293="Taijijian Sun F",938,IF(Atletas!T293="Taijijian Wu F",939,IF(Atletas!T293="Taijijian Wu-Hao F",940,IF(Atletas!T293="Taijijian 32 F",941,IF(Atletas!T293="Taijijian 42 F",942,"")))))))))))))))))))))))))))))))))))))))))))</f>
        <v/>
      </c>
      <c r="BW297" s="52" t="str">
        <f>IF(Atletas!U293="","",IF(Atletas!W293&lt;&gt;"",10000,0)+IF(Atletas!B293="Feminino",1000,IF(Atletas!B293="Masculino",2000,""))+IF(Atletas!T293="Taijijian 42 F",942,IF(Atletas!U293="Taijidao A",943,IF(Atletas!U293="Taijishan A",944,IF(Atletas!U293="Taijiqiang A",945,IF(Atletas!U293="Taijidao B",946,IF(Atletas!U293="Taijishan B",947,IF(Atletas!U293="Taijiqiang B",948,IF(Atletas!U293="Taijidao C",949,IF(Atletas!U293="Taijishan C",950,IF(Atletas!U293="Taijiqiang C",951,IF(Atletas!U293="Taijidao D",952,IF(Atletas!U293="Taijishan D",953,IF(Atletas!U293="Taijiqiang D",954,IF(Atletas!U293="Taijidao E",955,IF(Atletas!U293="Taijishan E",956,IF(Atletas!U293="Taijiqiang E",957,IF(Atletas!U293="Taijidao F",958,IF(Atletas!U293="Taijishan F",959,IF(Atletas!U293="Taijiqiang F",960))))))))))))))))))))</f>
        <v/>
      </c>
      <c r="BX297" s="72" t="str">
        <f>IF(BY297&lt;&gt;"","Taijijian Sun B","")</f>
        <v/>
      </c>
      <c r="BY297" s="72" t="str">
        <f>IF(COUNTIF(BK:BW,1910)&gt;0,COUNTIF(BK:BW,1910),"")</f>
        <v/>
      </c>
      <c r="BZ297" s="72" t="str">
        <f>IF(CA297&lt;&gt;"","Taijijian Sun B","")</f>
        <v/>
      </c>
      <c r="CA297" s="72" t="str">
        <f>IF(COUNTIF(BK:BW,2909)&gt;0,COUNTIF(BK:BW,2909),"")</f>
        <v/>
      </c>
      <c r="CB297" s="72" t="str">
        <f>IF(CC297&lt;&gt;"","Outra Arma Curta C","")</f>
        <v/>
      </c>
      <c r="CC297" s="64" t="str">
        <f>IF(COUNTIF(BK:BW,11615)&gt;0,COUNTIF(BK:BW,11615),"")</f>
        <v/>
      </c>
      <c r="CD297" s="64" t="str">
        <f>IF(CE297&lt;&gt;"","Outra Arma Curta C","")</f>
        <v/>
      </c>
      <c r="CE297" s="64" t="str">
        <f>IF(COUNTIF(BK:BW,12615)&gt;0,COUNTIF(BK:BW,12615),"")</f>
        <v/>
      </c>
      <c r="CF297" s="52" t="str">
        <f xml:space="preserve"> IF(Atletas!V293="","",IF(Atletas!V293="Duilian de Mãos AB - Equipe 1",1,IF(Atletas!V293="Duilian de Mãos AB - Equipe 2",2,IF(Atletas!V293="Duilian de Armas AB - Equipe 1",3,IF(Atletas!V293="Duilian de Armas AB - Equipe 2",4,IF(Atletas!V293="Duilian de Tuishou - Equipe 1",5,IF(Atletas!V293="Duilian de Tuishou - Equipe 2",6,IF(Atletas!V293="Grupo Externo AB - Equipe 1",7,IF(Atletas!V293="Grupo Externo AB - Equipe 2",8,IF(Atletas!V293="Grupo Interno AB - Equipe 1",9,IF(Atletas!V293="Grupo Interno AB - Equipe 2",10,IF(Atletas!V293="Duilian de Mãos CD - Equipe 1",11,IF(Atletas!V293="Duilian de Mãos CD - Equipe 2",12,IF(Atletas!V293="Duilian de Armas CD - Equipe 1",13,IF(Atletas!V293="Duilian de Armas CD - Equipe 2",14,IF(Atletas!V293="Duilian de Tuishou - Equipe 1",15,IF(Atletas!V293="Duilian de Tuishou - Equipe 2",16,IF(Atletas!V293="Grupo Externo CDEF - Equipe 1",17,IF(Atletas!V293="Grupo Externo CDEF - Equipe 2",18,IF(Atletas!V293="Grupo Interno CDEF - Equipe 1",19,IF(Atletas!V293="Grupo Interno CDEF - Equipe 2",20,IF(Atletas!V293="Duilian de Mãos EF - Equipe 1",21,IF(Atletas!V293="Duilian de Mãos EF - Equipe 2",22,IF(Atletas!V293="Duilian de Armas EF - Equipe 1",23,IF(Atletas!V293="Duilian de Armas EF - Equipe 2",24,IF(Atletas!V293="Duilian de Tuishou - Equipe 1",25,IF(Atletas!V293="Duilian de Tuishou - Equipe 2",26,"")))))))))))))))))))))))))))</f>
        <v/>
      </c>
    </row>
    <row r="298" spans="2:84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 t="str">
        <f t="array" ref="V298">IFERROR(INDEX(BX$7:BX$336,SMALL(IF(BX$7:BX$336&lt;&gt;"",ROW(BX$7:BX$336)-ROW(BX$7)+1),ROWS(BX$7:BX255))),"")</f>
        <v/>
      </c>
      <c r="W298" s="4" t="str">
        <f t="array" ref="W298">IFERROR(INDEX(BY$7:BY$336,SMALL(IF(BY$7:BY$336&lt;&gt;"",ROW(BY$7:BY$336)-ROW(BY$7)+1),ROWS(BY$7:BY255))),"")</f>
        <v/>
      </c>
      <c r="X298" s="4" t="str">
        <f t="array" ref="X298">IFERROR(INDEX(BZ$7:BZ$336,SMALL(IF(BZ$7:BZ$336&lt;&gt;"",ROW(BZ$7:BZ$336)-ROW(BZ$7)+1),ROWS(BZ$7:BZ255))),"")</f>
        <v/>
      </c>
      <c r="Y298" s="4" t="str">
        <f t="array" ref="Y298">IFERROR(INDEX(CA$7:CA$336,SMALL(IF(CA$7:CA$336&lt;&gt;"",ROW(CA$7:CA$336)-ROW(CA$7)+1),ROWS(CA$7:CA255))),"")</f>
        <v/>
      </c>
      <c r="Z298" s="4" t="str">
        <f t="array" ref="Z298">IFERROR(INDEX(CB$7:CB$378,SMALL(IF(CB$7:CB$378&lt;&gt;"",ROW(CB$7:CB$378)-ROW(CB$7)+1),ROWS(CB$7:CB297))),"")</f>
        <v/>
      </c>
      <c r="AA298" s="4" t="str">
        <f t="array" ref="AA298">IFERROR(INDEX(CC$7:CC$378,SMALL(IF(CC$7:CC$378&lt;&gt;"",ROW(CC$7:CC$378)-ROW(CC$7)+1),ROWS(CC$7:CC297))),"")</f>
        <v/>
      </c>
      <c r="AB298" s="4" t="str">
        <f t="array" ref="AB298">IFERROR(INDEX(CD$7:CD$378,SMALL(IF(CD$7:CD$378&lt;&gt;"",ROW(CD$7:CD$378)-ROW(CD$7)+1),ROWS(CD$7:CD297))),"")</f>
        <v/>
      </c>
      <c r="AC298" s="4" t="str">
        <f t="array" ref="AC298">IFERROR(INDEX(CE$7:CE$378,SMALL(IF(CE$7:CE$378&lt;&gt;"",ROW(CE$7:CE$378)-ROW(CE$7)+1),ROWS(CE$7:CE297))),"")</f>
        <v/>
      </c>
      <c r="AD298" s="4"/>
      <c r="AE298" s="4"/>
      <c r="AF298" s="4"/>
      <c r="AG298" s="4"/>
      <c r="AH298" s="4"/>
      <c r="AI298" s="4"/>
      <c r="AJ298" s="46" t="str">
        <f>IF(Atletas!D294="","",IF(Atletas!B294="Feminino",100,IF(Atletas!B294="Masculino",200,""))+(IF(Atletas!D294="Infantil 39kg",1,IF(Atletas!D294="Infantil 42kg",2,IF(Atletas!D294="Infantil 45kg",3,IF(Atletas!D294="Infantil 48kg",4,IF(Atletas!D294="Infantil 52kg",5,IF(Atletas!D294="Infantil 56kg",6,IF(Atletas!D294="Infantil 60kg",7,IF(Atletas!D294="Juvenil 48kg",8,IF(Atletas!D294="Juvenil 52kg",9,IF(Atletas!D294="Juvenil 56kg",10,IF(Atletas!D294="Juvenil 60kg",11,IF(Atletas!D294="Juvenil 65kg",12,IF(Atletas!D294="Juvenil 70kg",13,IF(Atletas!D294="Juvenil 75kg",14,IF(Atletas!D294="Juvenil 80kg",15,IF(Atletas!D294="Adulto 48kg",16,IF(Atletas!D294="Adulto 52kg",17,IF(Atletas!D294="Adulto 56kg",18,IF(Atletas!D294="Adulto 60kg",19,IF(Atletas!D294="Adulto 65kg",20,IF(Atletas!D294="Adulto 70kg",21,IF(Atletas!D294="Adulto 75kg",22,IF(Atletas!D294="Adulto 80kg",23,IF(Atletas!D294="Adulto 85kg",24,IF(Atletas!D294="Adulto 90kg",25,IF(Atletas!D294="Adulto +90kg",26,""))))))))))))))))))))))))))))</f>
        <v/>
      </c>
      <c r="AO298" s="10" t="str">
        <f>IF(Atletas!E294="","",IF(Atletas!B294="Feminino",100,IF(Atletas!B294="Masculino",200,""))+(IF(Atletas!E294="Juvenil 44kg",1,IF(Atletas!E294="Juvenil 48kg",2,IF(Atletas!E294="Juvenil 52kg",3,IF(Atletas!E294="Juvenil 56kg",4,IF(Atletas!E294="Juvenil 60kg",5,IF(Atletas!E294="Juvenil 65kg",6,IF(Atletas!E294="Juvenil 70kg",7,IF(Atletas!E294="Juvenil 75kg",8,IF(Atletas!E294="Juvenil 82kg",9,IF(Atletas!E294="Juvenil 90kg",10,IF(Atletas!E294="Juvenil 100kg",11,IF(Atletas!E294="Adulto 48kg",12,IF(Atletas!E294="Adulto 52kg",13,IF(Atletas!E294="Adulto 56kg",14,IF(Atletas!E294="Adulto 60kg",15,IF(Atletas!E294="Adulto 65kg",16,IF(Atletas!E294="Adulto 70kg",17,IF(Atletas!E294="Adulto 75kg",18,IF(Atletas!E294="Adulto 82kg",19,IF(Atletas!E294="Adulto 90kg",20,IF(Atletas!E294="Adulto 100kg",21,IF(Atletas!E294="Adulto +100kg",22,""))))))))))))))))))))))))</f>
        <v/>
      </c>
      <c r="AT298" s="10" t="str">
        <f>IF(Atletas!F294="","",IF(Atletas!B294="Feminino",100,IF(Atletas!B294="Masculino",200,""))+(IF(Atletas!F294="Adulto 48kg",1,IF(Atletas!F294="Adulto 56kg",2,IF(Atletas!F294="Adulto 65kg",3,IF(Atletas!F294="Adulto 75kg",4,IF(Atletas!F294="Adulto +75kg",5,IF(Atletas!F294="Adulto 52kg",6,IF(Atletas!F294="Adulto 60kg",7,IF(Atletas!F294="Adulto 70kg",8,IF(Atletas!F294="Adulto 80kg",9,IF(Atletas!F294="Adulto 90kg",10,IF(Atletas!F294="Adulto +90kg",11,"")))))))))))))</f>
        <v/>
      </c>
      <c r="AY298" s="46" t="str">
        <f>IF(Atletas!G294="","",IF(Atletas!B294="Feminino",100,IF(Atletas!B294="Masculino",200,""))+(IF(Atletas!G294="Changquan Mirim",1,IF(Atletas!G294="Nanquan Mirim",2,IF(Atletas!G294="Taijiquan Mirim",3,IF(Atletas!G294="Changquan Grupo C",4,IF(Atletas!G294="Nanquan Grupo C",5,IF(Atletas!G294="Taijiquan Grupo C",6,IF(Atletas!G294="Changquan Grupo B",7,IF(Atletas!G294="Nanquan Grupo B",8,IF(Atletas!G294="Taijiquan Grupo B",9,IF(Atletas!G294="Changquan Grupo A",10,IF(Atletas!G294="Nanquan Grupo A",11,IF(Atletas!G294="Taijiquan Grupo A",12,IF(Atletas!G294="Changquan Opcional",13,IF(Atletas!G294="Nanquan Opcional",14,IF(Atletas!G294="Taijiquan Opcional",15,IF(Atletas!G294="Changquan Adulto",16,IF(Atletas!G294="Nanquan Adulto",17,IF(Atletas!G294="Taijiquan Adulto",18,""))))))))))))))))))))</f>
        <v/>
      </c>
      <c r="AZ298" s="46" t="str">
        <f>IF(Atletas!H294="","",IF(Atletas!B294="Feminino",100,IF(Atletas!B294="Masculino",200,""))+(IF(Atletas!H294="Daoshu Mirim",19,IF(Atletas!H294="Jianshu Mirim",20,IF(Atletas!H294="Nandao Mirim",21,IF(Atletas!H294="Taijijian Mirim",22,IF(Atletas!H294="Daoshu Grupo C",23,IF(Atletas!H294="Jianshu Grupo C",24,IF(Atletas!H294="Nandao Grupo C",25,IF(Atletas!H294="Taijijian Grupo C",26,IF(Atletas!H294="Daoshu Grupo B",27,IF(Atletas!H294="Jianshu Grupo B",28,IF(Atletas!H294="Nandao Grupo B",29,IF(Atletas!H294="Taijijian Grupo B",30,IF(Atletas!H294="Daoshu Grupo A",31,IF(Atletas!H294="Jianshu Grupo A",32,IF(Atletas!H294="Nandao Grupo A",33,IF(Atletas!H294="Taijijian Grupo A",34,IF(Atletas!H294="Daoshu Opcional",35,IF(Atletas!H294="Jianshu Opcional",36,IF(Atletas!H294="Nandao Opcional",37,IF(Atletas!H294="Taijijian Opcional",38,IF(Atletas!H294="Daoshu Adulto",39,IF(Atletas!H294="Jianshu Adulto",40,IF(Atletas!H294="Nandao Adulto",41,IF(Atletas!H294="Taijijian Adulto",42,""))))))))))))))))))))))))))</f>
        <v/>
      </c>
      <c r="BA298" s="46" t="str">
        <f>IF(Atletas!I294="","",IF(Atletas!B294="Feminino",100,IF(Atletas!B294="Masculino",200,""))+(IF(Atletas!I294="Gunshu Mirim",43,IF(Atletas!I294="Qiangshu Mirim",44,IF(Atletas!I294="Nangun Mirim",45,IF(Atletas!I294="Gunshu Grupo C",46,IF(Atletas!I294="Qiangshu Grupo C",47,IF(Atletas!I294="Nangun Grupo C",48,IF(Atletas!I294="Gunshu Grupo B",49,IF(Atletas!I294="Qiangshu Grupo B",50,IF(Atletas!I294="Nangun Grupo B",51,IF(Atletas!I294="Gunshu Grupo A",52,IF(Atletas!I294="Qiangshu Grupo A",53,IF(Atletas!I294="Nangun Grupo A",54,IF(Atletas!I294="Gunshu Opcional",55,IF(Atletas!I294="Qiangshu Opcional",56,IF(Atletas!I294="Nangun Opcional",57,IF(Atletas!I294="Gunshu Adulto",58,IF(Atletas!I294="Qiangshu Adulto",59,IF(Atletas!I294="Nangun Adulto",60,""))))))))))))))))))))</f>
        <v/>
      </c>
      <c r="BF298" s="52" t="str">
        <f>IF(Atletas!J294="","",IF(Atletas!B294="Feminino",100,IF(Atletas!B294="Masculino",200,""))+(IF(Atletas!J294="Equipe 1 Grupo B",1,IF(Atletas!J294="Equipe 2 Grupo B",2,IF(Atletas!J294="Equipe 1 Grupo A",3,IF(Atletas!J294="Equipe 2 Grupo A",4,IF(Atletas!J294="Equipe 1 Adulto",5,IF(Atletas!J294="Equipe 2 Adulto",6,""))))))))</f>
        <v/>
      </c>
      <c r="BK298" s="52" t="str">
        <f>IF(Atletas!K294="","",IF(Atletas!W294&lt;&gt;"",10000,0)+(IF(Atletas!B294="Feminino",1000,IF(Atletas!B294="Masculino",2000,""))+IF(Atletas!K294="Choylayfut A",1,IF(Atletas!K294="Hunggar A",2,IF(Atletas!K294="Wuzuquan A",3,IF(Atletas!K294="Wingchun A",4,IF(Atletas!K294="Outra Mão de Sul A",5,IF(Atletas!K294="Choylayfut B",6,IF(Atletas!K294="Hunggar B",7,IF(Atletas!K294="Wuzuquan B",8,IF(Atletas!K294="Wingchun B",9,IF(Atletas!K294="Outra Mão de Sul B",10,IF(Atletas!K294="Choylayfut C",11,IF(Atletas!K294="Hunggar C",12,IF(Atletas!K294="Wuzuquan C",13,IF(Atletas!K294="Wingchun C",14,IF(Atletas!K294="Outra Mão de Sul C",15,IF(Atletas!K294="Choylayfut D",16,IF(Atletas!K294="Hunggar D",17,IF(Atletas!K294="Wuzuquan D",18,IF(Atletas!K294="Wingchun D",19,IF(Atletas!K294="Outra Mão de Sul D",20,IF(Atletas!K294="Choylayfut E",21,IF(Atletas!K294="Hunggar E",22,IF(Atletas!K294="Wuzuquan E",23,IF(Atletas!K294="Wingchun E",24,IF(Atletas!K294="Outra Mão de Sul E",25,IF(Atletas!K294="Choylayfut F",26,IF(Atletas!K294="Hunggar F",27,IF(Atletas!K294="Wuzuquan F",28,IF(Atletas!K294="Wingchun F",29,IF(Atletas!K294="Outra Mão de Sul F",30,""))))))))))))))))))))))))))))))))</f>
        <v/>
      </c>
      <c r="BL298" s="52" t="str">
        <f>IF(Atletas!L294="","",IF(Atletas!W294&lt;&gt;"",10000,0)+(IF(Atletas!B294="Feminino",1000,IF(Atletas!B294="Masculino",2000,""))+(IF(Atletas!L294="Chaquan A",101,IF(Atletas!L294="Emeiquan A",102,IF(Atletas!L294="Fanziquan A",103,IF(Atletas!L294="Huaquan A",104,IF(Atletas!L294="Hongquan A",105,IF(Atletas!L294="Paochui A",106,IF(Atletas!L294="Piguaquan A",107,IF(Atletas!L294="Shaolinquan A",108,IF(Atletas!L294="Tanglangquan A",109,IF(Atletas!L294="Yinzhaophai A",110,IF(Atletas!L294="Tongbeiquan A",111,IF(Atletas!L294="Wudangquan A",112,IF(Atletas!L294="Outros Estilos A",113,IF(Atletas!L294="Chaquan B",114,IF(Atletas!L294="Emeiquan B",115,IF(Atletas!L294="Fanziquan B",116,IF(Atletas!L294="Huaquan B",117,IF(Atletas!L294="Hongquan B",118,IF(Atletas!L294="Paochui B",119,IF(Atletas!L294="Piguaquan B",120,IF(Atletas!L294="Shaolinquan B",121,IF(Atletas!L294="Tanglangquan B",122,IF(Atletas!L294="Yinzhaophai B",123,IF(Atletas!L294="Tongbeiquan B",124,IF(Atletas!L294="Wudangquan B",125,IF(Atletas!L294="Outros Estilos B",126,IF(Atletas!L294="Chaquan C",127,IF(Atletas!L294="Emeiquan C",128,IF(Atletas!L294="Fanziquan C",129,IF(Atletas!L294="Huaquan C",130,IF(Atletas!L294="Hongquan C",131,IF(Atletas!L294="Paochui C",132,IF(Atletas!L294="Piguaquan C",133,IF(Atletas!L294="Shaolinquan C",134,IF(Atletas!L294="Tanglangquan C",135,IF(Atletas!L294="Yinzhaophai C",136,IF(Atletas!L294="Tongbeiquan C",137,IF(Atletas!L294="Wudangquan C",138,IF(Atletas!L294="Outros Estilos C",139,0))))))))))))))))))))))))))))))))))))))))))</f>
        <v/>
      </c>
      <c r="BM298" s="52" t="str">
        <f>IF(Atletas!L294="","",IF(Atletas!W294&lt;&gt;"",10000,0)+(IF(Atletas!B294="Feminino",1000,IF(Atletas!B294="Masculino",2000,""))+(IF(Atletas!L294="Chaquan D",140,IF(Atletas!L294="Emeiquan D",141,IF(Atletas!L294="Fanziquan D",142,IF(Atletas!L294="Huaquan D",143,IF(Atletas!L294="Hongquan D",144,IF(Atletas!L294="Paochui D",145,IF(Atletas!L294="Piguaquan D",146,IF(Atletas!L294="Shaolinquan D",147,IF(Atletas!L294="Tanglangquan D",148,IF(Atletas!L294="Yinzhaophai D",149,IF(Atletas!L294="Tongbeiquan D",150,IF(Atletas!L294="Wudangquan D",151,IF(Atletas!L294="Outros Estilos D",152,IF(Atletas!L294="Chaquan E",153,IF(Atletas!L294="Emeiquan E",154,IF(Atletas!L294="Fanziquan E",155,IF(Atletas!L294="Huaquan E",156,IF(Atletas!L294="Hongquan E",157,IF(Atletas!L294="Paochui E",158,IF(Atletas!L294="Piguaquan E",159,IF(Atletas!L294="Shaolinquan E",160,IF(Atletas!L294="Tanglangquan E",161,IF(Atletas!L294="Yinzhaophai E",162,IF(Atletas!L294="Tongbeiquan E",163,IF(Atletas!L294="Wudangquan E",164,IF(Atletas!L294="Outros Estilos E",165,IF(Atletas!L294="Chaquan F",166,IF(Atletas!L294="Emeiquan F",167,IF(Atletas!L294="Fanziquan F",168,IF(Atletas!L294="Huaquan F",169,IF(Atletas!L294="Hongquan F",170,IF(Atletas!L294="Paochui F",171,IF(Atletas!L294="Piguaquan F",172,IF(Atletas!L294="Shaolinquan F",173,IF(Atletas!L294="Tanglangquan F",174,IF(Atletas!L294="Yinzhaophai F",175,IF(Atletas!L294="Tongbeiquan F",176,IF(Atletas!L294="Wudangquan F",177,IF(Atletas!L294="Outros Estilos F",178,0))))))))))))))))))))))))))))))))))))))))))</f>
        <v/>
      </c>
      <c r="BN298" s="52" t="str">
        <f>IF(Atletas!M294="","",IF(Atletas!W294&lt;&gt;"",10000,0)+(IF(Atletas!B294="Feminino",1000,IF(Atletas!B294="Masculino",2000,""))+(IF(Atletas!M294="Ditangquan A",201,IF(Atletas!M294="Houquan A",202,IF(Atletas!M294="Zuiquan A",203,IF(Atletas!M294="Ditangquan B",204,IF(Atletas!M294="Houquan B",205,IF(Atletas!M294="Zuiquan B",206,IF(Atletas!M294="Ditangquan C",207,IF(Atletas!M294="Houquan C",208,IF(Atletas!M294="Zuiquan C",209,IF(Atletas!M294="Ditangquan D",210,IF(Atletas!M294="Houquan D",211,IF(Atletas!M294="Zuiquan D",212,IF(Atletas!M294="Ditangquan E",213,IF(Atletas!M294="Houquan E",214,IF(Atletas!M294="Zuiquan E",215,IF(Atletas!M294="Ditangquan F",216,IF(Atletas!M294="Houquan F",217,IF(Atletas!M294="Zuiquan F",218,"")))))))))))))))))))))</f>
        <v/>
      </c>
      <c r="BO298" s="52" t="str">
        <f>IF(Atletas!N294="","",IF(Atletas!W294&lt;&gt;"",10000,0)+IF(Atletas!B294="Feminino",1000,IF(Atletas!B294="Masculino",2000,""))+IF(Atletas!N294="Yang A",301,IF(Atletas!N294="Chen A",30,IF(Atletas!N294="Sun A",303,IF(Atletas!N294="Wu A",304,IF(Atletas!N294="Wu-Hao A",305,IF(Atletas!N294="Outro Taijiquan A",306,IF(Atletas!N294="Yang B",307,IF(Atletas!N294="Chen B",308,IF(Atletas!N294="Sun B",309,IF(Atletas!N294="Wu B",310,IF(Atletas!N294="Wu-Hao B",311,IF(Atletas!N294="Outro Taijiquan B",312,IF(Atletas!N294="Yang C",313,IF(Atletas!N294="Chen C",314,IF(Atletas!N294="Sun C",315,IF(Atletas!N294="Wu C",316,IF(Atletas!N294="Wu-Hao C",317,IF(Atletas!N294="Outro Taijiquan C",318,IF(Atletas!N294="Yang D",319,IF(Atletas!N294="Chen D",320,IF(Atletas!N294="Sun D",321,IF(Atletas!N294="Wu D",322,IF(Atletas!N294="Wu-Hao D",323,IF(Atletas!N294="Outro Taijiquan D",324,IF(Atletas!N294="Yang E",325,IF(Atletas!N294="Chen E",326,IF(Atletas!N294="Sun E",327,IF(Atletas!N294="Wu E",328,IF(Atletas!N294="Wu-Hao E",329,IF(Atletas!N294="Outro Taijiquan E",330,IF(Atletas!N294="Yang F",331,IF(Atletas!N294="Chen F",332,IF(Atletas!N294="Sun F",333,IF(Atletas!N294="Wu F",334,IF(Atletas!N294="Wu-Hao F",335,IF(Atletas!N294="Outro Taijiquan F",336,"")))))))))))))))))))))))))))))))))))))</f>
        <v/>
      </c>
      <c r="BP298" s="52" t="str">
        <f>IF(Atletas!O294="","",IF(Atletas!W294&lt;&gt;"",10000,0)+IF(Atletas!B294="Feminino",1000,IF(Atletas!B294="Masculino",2000,""))+IF(OR(Atletas!O294="Yang 26 A",Atletas!O294="Yang 40 A"),401,IF(OR(Atletas!O294="Chen 25 A",Atletas!O294="Chen 36 A",Atletas!O294="Chen 56 A"),402,IF(Atletas!O294="Sun 73 A",403,IF(Atletas!O294="Wu 45 A",404,IF(Atletas!O294="Wu-Hao 46 A",405,IF(OR(Atletas!O294="Taijiquan 16 A",Atletas!O294="Taijiquan 24 A",Atletas!O294="Taijiquan 32 A",Atletas!O294="Taijiquan 42 A"),406,IF(OR(Atletas!O294="Yang 26 B",Atletas!O294="Yang 40 B"),407,IF(OR(Atletas!O294="Chen 25 B",Atletas!O294="Chen 36 B",Atletas!O294="Chen 56 B"),408,IF(Atletas!O294="Sun 73 B",409,IF(Atletas!O294="Wu 45 B",410,IF(Atletas!O294="Wu-Hao 46 B",411,IF(OR(Atletas!O294="Taijiquan 16 B",Atletas!O294="Taijiquan 24 B",Atletas!O294="Taijiquan 32 B",Atletas!O294="Taijiquan 42 B"),412,IF(OR(Atletas!O294="Yang 26 C",Atletas!O294="Yang 40 C"),413,IF(OR(Atletas!O294="Chen 25 C",Atletas!O294="Chen 36 C",Atletas!O294="Chen 56 C"),414,IF(Atletas!O294="Sun 73 C",415,IF(Atletas!O294="Wu 45 C",416,IF(Atletas!O294="Wu-Hao 46 C",417,IF(OR(Atletas!O294="Taijiquan 16 C",Atletas!O294="Taijiquan 24 C",Atletas!O294="Taijiquan 32 C",Atletas!O294="Taijiquan 42 C"),418,0)))))))))))))))))))</f>
        <v/>
      </c>
      <c r="BQ298" s="52" t="str">
        <f>IF(Atletas!O294="","",IF(Atletas!W294&lt;&gt;"",10000,0)+IF(Atletas!B294="Feminino",1000,IF(Atletas!B294="Masculino",2000,""))+IF(OR(Atletas!O294="Yang 26 D",Atletas!O294="Yang 40 D"),419,IF(OR(Atletas!O294="Chen 25 D",Atletas!O294="Chen 36 D",Atletas!O294="Chen 56 D"),420,IF(Atletas!O294="Sun 73 D",421,IF(Atletas!O294="Wu 45 D",422,IF(Atletas!O294="Wu-Hao 46 D",423,IF(OR(Atletas!O294="Taijiquan 16 D",Atletas!O294="Taijiquan 24 D",Atletas!O294="Taijiquan 32 D",Atletas!O294="Taijiquan 42 D"),424,IF(OR(Atletas!O294="Yang 26 E",Atletas!O294="Yang 40 E"),425,IF(OR(Atletas!O294="Chen 25 E",Atletas!O294="Chen 36 E",Atletas!O294="Chen 56 E"),426,IF(Atletas!O294="Sun 73 E",427,IF(Atletas!O294="Wu 45 E",428,IF(Atletas!O294="Wu-Hao 46 E",429,IF(OR(Atletas!O294="Taijiquan 16 E",Atletas!O294="Taijiquan 24 E",Atletas!O294="Taijiquan 32 E",Atletas!O294="Taijiquan 42 E"),430,IF(OR(Atletas!O294="Yang 26 F",Atletas!O294="Yang 40 F"),431,IF(OR(Atletas!O294="Chen 25 F",Atletas!O294="Chen 36 F",Atletas!O294="Chen 56 F"),432,IF(Atletas!O294="Sun 73 F",433,IF(Atletas!O294="Wu 45 F",434,IF(Atletas!O294="Wu-Hao 46 F",435,IF(OR(Atletas!O294="Taijiquan 16 F",Atletas!O294="Taijiquan 24 F",Atletas!O294="Taijiquan 32 F",Atletas!O294="Taijiquan 42 F"),436,0)))))))))))))))))))</f>
        <v/>
      </c>
      <c r="BR298" s="52" t="str">
        <f>IF(Atletas!P294="","",IF(Atletas!W294&lt;&gt;"",10000,0)+IF(Atletas!B294="Feminino",1000,IF(Atletas!B294="Masculino",2000,""))+IF(Atletas!P294="Xingyiquan A",501,IF(Atletas!P294="Baguazhang A",502,IF(Atletas!P294="Outro Estilo Interno A",503,IF(Atletas!P294="Xingyiquan B",504,IF(Atletas!P294="Baguazhang B",505,IF(Atletas!P294="Outro Estilo Interno B",506,IF(Atletas!P294="Xingyiquan C",507,IF(Atletas!P294="Baguazhang C",508,IF(Atletas!P294="Outro Estilo Interno C",509,IF(Atletas!P294="Xingyiquan D",510,IF(Atletas!P294="Baguazhang D",511,IF(Atletas!P294="Outro Estilo Interno D",512,IF(Atletas!P294="Xingyiquan E",513,IF(Atletas!P294="Baguazhang E",514,IF(Atletas!P294="Outro Estilo Interno E",515,IF(Atletas!P294="Xingyiquan F",516,IF(Atletas!P294="Baguazhang F",517,IF(Atletas!P294="Outro Estilo Interno F",518, "")))))))))))))))))))</f>
        <v/>
      </c>
      <c r="BS298" s="52" t="str">
        <f>IF(Atletas!Q294="","",IF(Atletas!W294&lt;&gt;"",10000,0)+IF(Atletas!B294="Feminino",1000,IF(Atletas!B294="Masculino",2000,""))+IF(Atletas!Q294="Dao A",601,IF(Atletas!Q294="Jian A",602,IF(Atletas!Q294="Bishou A",603,IF(Atletas!Q294="Shan A",604,IF(Atletas!Q294="Outra Arma Curta A",605,IF(Atletas!Q294="Dao B",606,IF(Atletas!Q294="Jian B",607,IF(Atletas!Q294="Bishou B",608,IF(Atletas!Q294="Shan B",609,IF(Atletas!Q294="Outra Arma Curta B",610,IF(Atletas!Q294="Dao C",611,IF(Atletas!Q294="Jian C",612,IF(Atletas!Q294="Bishou C",613,IF(Atletas!Q294="Shan C",614,IF(Atletas!Q294="Outra Arma Curta C",615,IF(Atletas!Q294="Dao D",616,IF(Atletas!Q294="Jian D",617,IF(Atletas!Q294="Bishou D",618,IF(Atletas!Q294="Shan D",619,IF(Atletas!Q294="Outra Arma Curta D",620,IF(Atletas!Q294="Dao E",621,IF(Atletas!Q294="Jian E",622,IF(Atletas!Q294="Bishou E",623,IF(Atletas!Q294="Shan E",624,IF(Atletas!Q294="Outra Arma Curta E",625,IF(Atletas!Q294="Dao F",626,IF(Atletas!Q294="Jian F",627,IF(Atletas!Q294="Bishou F",628,IF(Atletas!Q294="Shan F",629,IF(Atletas!Q294="Outra Arma Curta F",630, "")))))))))))))))))))))))))))))))</f>
        <v/>
      </c>
      <c r="BT298" s="52" t="str">
        <f>IF(Atletas!R294="","",IF(Atletas!W294&lt;&gt;"",10000,0)+IF(Atletas!B294="Feminino",1000,IF(Atletas!B294="Masculino",2000,""))+IF(Atletas!R294="Gun A",701,IF(Atletas!R294="Qiang A",702,IF(Atletas!R294="Pudao / Guandao A",703,IF(Atletas!R294="Outra Arma Longa A",704,IF(Atletas!R294="Gun B",705,IF(Atletas!R294="Qiang B",706,IF(Atletas!R294="Pudao / Guandao B",707,IF(Atletas!R294="Outra Arma Longa B",708,IF(Atletas!R294="Gun C",709,IF(Atletas!R294="Qiang C",710,IF(Atletas!R294="Pudao / Guandao C",711,IF(Atletas!R294="Outra Arma Longa C",712,IF(Atletas!R294="Gun D",713,IF(Atletas!R294="Qiang D",714,IF(Atletas!R294="Pudao / Guandao D",715,IF(Atletas!R294="Outra Arma Longa D",716,IF(Atletas!R294="Gun E",717,IF(Atletas!R294="Qiang E",718,IF(Atletas!R294="Pudao / Guandao E",719,IF(Atletas!R294="Outra Arma Longa E",720,IF(Atletas!R294="Gun F",721,IF(Atletas!R294="Qiang F",722,IF(Atletas!R294="Pudao / Guandao F",723,IF(Atletas!R294="Outra Arma Longa F",724,"")))))))))))))))))))))))))</f>
        <v/>
      </c>
      <c r="BU298" s="52" t="str">
        <f>IF(Atletas!S294="","",IF(Atletas!W294&lt;&gt;"",10000,0)+IF(Atletas!B294="Feminino",1000,IF(Atletas!B294="Masculino",2000,""))+IF(Atletas!S294="Arma Dupla A",801,IF(Atletas!S294="Arma Maleável A",802,IF(Atletas!S294="Arma Dupla B",803,IF(Atletas!S294="Arma Maleável B",804,IF(Atletas!S294="Arma Dupla C",805,IF(Atletas!S294="Arma Maleável C",806,IF(Atletas!S294="Arma Dupla D",807,IF(Atletas!S294="Arma Maleável D",808,IF(Atletas!S294="Arma Dupla E",809,IF(Atletas!S294="Arma Maleável E",810,IF(Atletas!S294="Arma Dupla F",811,IF(Atletas!S294="Arma Maleável F",812, "")))))))))))))</f>
        <v/>
      </c>
      <c r="BV298" s="52" t="str">
        <f>IF(Atletas!T294="","",IF(Atletas!W294&lt;&gt;"",10000,0)+IF(Atletas!B294="Feminino",1000,IF(Atletas!B294="Masculino",2000,""))+IF(Atletas!T294="Taijijian Yang A",901,IF(Atletas!T294="Taijijian Chen A",902,IF(Atletas!T294="Taijijian Sun A",903,IF(Atletas!T294="Taijijian Wu A",904,IF(Atletas!T294="Taijijian Wu-Hao A",905,IF(Atletas!T294="Taijijian 32 A",906,IF(Atletas!T294="Taijijian 42 A",907,IF(Atletas!T294="Taijijian Yang B",908,IF(Atletas!T294="Taijijian Chen B",909,IF(Atletas!T294="Taijijian Sun B",910,IF(Atletas!T294="Taijijian Wu B",911,IF(Atletas!T294="Taijijian Wu-Hao B",912,IF(Atletas!T294="Taijijian 32 B",913,IF(Atletas!T294="Taijijian 42 B",914,IF(Atletas!T294="Taijijian Yang C",915,IF(Atletas!T294="Taijijian Chen C",916,IF(Atletas!T294="Taijijian Sun C",917,IF(Atletas!T294="Taijijian Wu C",918,IF(Atletas!T294="Taijijian Wu-Hao C",919,IF(Atletas!T294="Taijijian 32 C",920,IF(Atletas!T294="Taijijian 42 C",921,IF(Atletas!T294="Taijijian Yang D",922,IF(Atletas!T294="Taijijian Chen D",923,IF(Atletas!T294="Taijijian Sun D",924,IF(Atletas!T294="Taijijian Wu D",925,IF(Atletas!T294="Taijijian Wu-Hao D",926,IF(Atletas!T294="Taijijian 32 D",927,IF(Atletas!T294="Taijijian 42 D",928,IF(Atletas!T294="Taijijian Yang E",929,IF(Atletas!T294="Taijijian Chen E",930,IF(Atletas!T294="Taijijian Sun E",931,IF(Atletas!T294="Taijijian Wu E",932,IF(Atletas!T294="Taijijian Wu-Hao E",933,IF(Atletas!T294="Taijijian 32 E",934,IF(Atletas!T294="Taijijian 42 E",935,IF(Atletas!T294="Taijijian Yang F",936,IF(Atletas!T294="Taijijian Chen F",937,IF(Atletas!T294="Taijijian Sun F",938,IF(Atletas!T294="Taijijian Wu F",939,IF(Atletas!T294="Taijijian Wu-Hao F",940,IF(Atletas!T294="Taijijian 32 F",941,IF(Atletas!T294="Taijijian 42 F",942,"")))))))))))))))))))))))))))))))))))))))))))</f>
        <v/>
      </c>
      <c r="BW298" s="52" t="str">
        <f>IF(Atletas!U294="","",IF(Atletas!W294&lt;&gt;"",10000,0)+IF(Atletas!B294="Feminino",1000,IF(Atletas!B294="Masculino",2000,""))+IF(Atletas!T294="Taijijian 42 F",942,IF(Atletas!U294="Taijidao A",943,IF(Atletas!U294="Taijishan A",944,IF(Atletas!U294="Taijiqiang A",945,IF(Atletas!U294="Taijidao B",946,IF(Atletas!U294="Taijishan B",947,IF(Atletas!U294="Taijiqiang B",948,IF(Atletas!U294="Taijidao C",949,IF(Atletas!U294="Taijishan C",950,IF(Atletas!U294="Taijiqiang C",951,IF(Atletas!U294="Taijidao D",952,IF(Atletas!U294="Taijishan D",953,IF(Atletas!U294="Taijiqiang D",954,IF(Atletas!U294="Taijidao E",955,IF(Atletas!U294="Taijishan E",956,IF(Atletas!U294="Taijiqiang E",957,IF(Atletas!U294="Taijidao F",958,IF(Atletas!U294="Taijishan F",959,IF(Atletas!U294="Taijiqiang F",960))))))))))))))))))))</f>
        <v/>
      </c>
      <c r="BX298" s="72" t="str">
        <f>IF(BY298&lt;&gt;"","Taijijian Wu B","")</f>
        <v/>
      </c>
      <c r="BY298" s="72" t="str">
        <f>IF(COUNTIF(BK:BW,1911)&gt;0,COUNTIF(BK:BW,1911),"")</f>
        <v/>
      </c>
      <c r="BZ298" s="72" t="str">
        <f>IF(CA298&lt;&gt;"","Taijijian Wu B","")</f>
        <v/>
      </c>
      <c r="CA298" s="72" t="str">
        <f>IF(COUNTIF(BK:BW,2910)&gt;0,COUNTIF(BK:BW,2910),"")</f>
        <v/>
      </c>
      <c r="CB298" s="72" t="str">
        <f>IF(CC298&lt;&gt;"","Dao D","")</f>
        <v/>
      </c>
      <c r="CC298" s="64" t="str">
        <f>IF(COUNTIF(BK:BW,11616)&gt;0,COUNTIF(BK:BW,11616),"")</f>
        <v/>
      </c>
      <c r="CD298" s="64" t="str">
        <f>IF(CE298&lt;&gt;"","Dao D","")</f>
        <v/>
      </c>
      <c r="CE298" s="64" t="str">
        <f>IF(COUNTIF(BK:BW,12616)&gt;0,COUNTIF(BK:BW,12616),"")</f>
        <v/>
      </c>
      <c r="CF298" s="52" t="str">
        <f xml:space="preserve"> IF(Atletas!V294="","",IF(Atletas!V294="Duilian de Mãos AB - Equipe 1",1,IF(Atletas!V294="Duilian de Mãos AB - Equipe 2",2,IF(Atletas!V294="Duilian de Armas AB - Equipe 1",3,IF(Atletas!V294="Duilian de Armas AB - Equipe 2",4,IF(Atletas!V294="Duilian de Tuishou - Equipe 1",5,IF(Atletas!V294="Duilian de Tuishou - Equipe 2",6,IF(Atletas!V294="Grupo Externo AB - Equipe 1",7,IF(Atletas!V294="Grupo Externo AB - Equipe 2",8,IF(Atletas!V294="Grupo Interno AB - Equipe 1",9,IF(Atletas!V294="Grupo Interno AB - Equipe 2",10,IF(Atletas!V294="Duilian de Mãos CD - Equipe 1",11,IF(Atletas!V294="Duilian de Mãos CD - Equipe 2",12,IF(Atletas!V294="Duilian de Armas CD - Equipe 1",13,IF(Atletas!V294="Duilian de Armas CD - Equipe 2",14,IF(Atletas!V294="Duilian de Tuishou - Equipe 1",15,IF(Atletas!V294="Duilian de Tuishou - Equipe 2",16,IF(Atletas!V294="Grupo Externo CDEF - Equipe 1",17,IF(Atletas!V294="Grupo Externo CDEF - Equipe 2",18,IF(Atletas!V294="Grupo Interno CDEF - Equipe 1",19,IF(Atletas!V294="Grupo Interno CDEF - Equipe 2",20,IF(Atletas!V294="Duilian de Mãos EF - Equipe 1",21,IF(Atletas!V294="Duilian de Mãos EF - Equipe 2",22,IF(Atletas!V294="Duilian de Armas EF - Equipe 1",23,IF(Atletas!V294="Duilian de Armas EF - Equipe 2",24,IF(Atletas!V294="Duilian de Tuishou - Equipe 1",25,IF(Atletas!V294="Duilian de Tuishou - Equipe 2",26,"")))))))))))))))))))))))))))</f>
        <v/>
      </c>
    </row>
    <row r="299" spans="2:84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 t="str">
        <f t="array" ref="V299">IFERROR(INDEX(BX$7:BX$336,SMALL(IF(BX$7:BX$336&lt;&gt;"",ROW(BX$7:BX$336)-ROW(BX$7)+1),ROWS(BX$7:BX256))),"")</f>
        <v/>
      </c>
      <c r="W299" s="4" t="str">
        <f t="array" ref="W299">IFERROR(INDEX(BY$7:BY$336,SMALL(IF(BY$7:BY$336&lt;&gt;"",ROW(BY$7:BY$336)-ROW(BY$7)+1),ROWS(BY$7:BY256))),"")</f>
        <v/>
      </c>
      <c r="X299" s="4" t="str">
        <f t="array" ref="X299">IFERROR(INDEX(BZ$7:BZ$336,SMALL(IF(BZ$7:BZ$336&lt;&gt;"",ROW(BZ$7:BZ$336)-ROW(BZ$7)+1),ROWS(BZ$7:BZ256))),"")</f>
        <v/>
      </c>
      <c r="Y299" s="4" t="str">
        <f t="array" ref="Y299">IFERROR(INDEX(CA$7:CA$336,SMALL(IF(CA$7:CA$336&lt;&gt;"",ROW(CA$7:CA$336)-ROW(CA$7)+1),ROWS(CA$7:CA256))),"")</f>
        <v/>
      </c>
      <c r="Z299" s="4" t="str">
        <f t="array" ref="Z299">IFERROR(INDEX(CB$7:CB$378,SMALL(IF(CB$7:CB$378&lt;&gt;"",ROW(CB$7:CB$378)-ROW(CB$7)+1),ROWS(CB$7:CB298))),"")</f>
        <v/>
      </c>
      <c r="AA299" s="4" t="str">
        <f t="array" ref="AA299">IFERROR(INDEX(CC$7:CC$378,SMALL(IF(CC$7:CC$378&lt;&gt;"",ROW(CC$7:CC$378)-ROW(CC$7)+1),ROWS(CC$7:CC298))),"")</f>
        <v/>
      </c>
      <c r="AB299" s="4" t="str">
        <f t="array" ref="AB299">IFERROR(INDEX(CD$7:CD$378,SMALL(IF(CD$7:CD$378&lt;&gt;"",ROW(CD$7:CD$378)-ROW(CD$7)+1),ROWS(CD$7:CD298))),"")</f>
        <v/>
      </c>
      <c r="AC299" s="4" t="str">
        <f t="array" ref="AC299">IFERROR(INDEX(CE$7:CE$378,SMALL(IF(CE$7:CE$378&lt;&gt;"",ROW(CE$7:CE$378)-ROW(CE$7)+1),ROWS(CE$7:CE298))),"")</f>
        <v/>
      </c>
      <c r="AD299" s="4"/>
      <c r="AE299" s="4"/>
      <c r="AF299" s="4"/>
      <c r="AG299" s="4"/>
      <c r="AH299" s="4"/>
      <c r="AI299" s="4"/>
      <c r="AJ299" s="46" t="str">
        <f>IF(Atletas!D295="","",IF(Atletas!B295="Feminino",100,IF(Atletas!B295="Masculino",200,""))+(IF(Atletas!D295="Infantil 39kg",1,IF(Atletas!D295="Infantil 42kg",2,IF(Atletas!D295="Infantil 45kg",3,IF(Atletas!D295="Infantil 48kg",4,IF(Atletas!D295="Infantil 52kg",5,IF(Atletas!D295="Infantil 56kg",6,IF(Atletas!D295="Infantil 60kg",7,IF(Atletas!D295="Juvenil 48kg",8,IF(Atletas!D295="Juvenil 52kg",9,IF(Atletas!D295="Juvenil 56kg",10,IF(Atletas!D295="Juvenil 60kg",11,IF(Atletas!D295="Juvenil 65kg",12,IF(Atletas!D295="Juvenil 70kg",13,IF(Atletas!D295="Juvenil 75kg",14,IF(Atletas!D295="Juvenil 80kg",15,IF(Atletas!D295="Adulto 48kg",16,IF(Atletas!D295="Adulto 52kg",17,IF(Atletas!D295="Adulto 56kg",18,IF(Atletas!D295="Adulto 60kg",19,IF(Atletas!D295="Adulto 65kg",20,IF(Atletas!D295="Adulto 70kg",21,IF(Atletas!D295="Adulto 75kg",22,IF(Atletas!D295="Adulto 80kg",23,IF(Atletas!D295="Adulto 85kg",24,IF(Atletas!D295="Adulto 90kg",25,IF(Atletas!D295="Adulto +90kg",26,""))))))))))))))))))))))))))))</f>
        <v/>
      </c>
      <c r="AO299" s="10" t="str">
        <f>IF(Atletas!E295="","",IF(Atletas!B295="Feminino",100,IF(Atletas!B295="Masculino",200,""))+(IF(Atletas!E295="Juvenil 44kg",1,IF(Atletas!E295="Juvenil 48kg",2,IF(Atletas!E295="Juvenil 52kg",3,IF(Atletas!E295="Juvenil 56kg",4,IF(Atletas!E295="Juvenil 60kg",5,IF(Atletas!E295="Juvenil 65kg",6,IF(Atletas!E295="Juvenil 70kg",7,IF(Atletas!E295="Juvenil 75kg",8,IF(Atletas!E295="Juvenil 82kg",9,IF(Atletas!E295="Juvenil 90kg",10,IF(Atletas!E295="Juvenil 100kg",11,IF(Atletas!E295="Adulto 48kg",12,IF(Atletas!E295="Adulto 52kg",13,IF(Atletas!E295="Adulto 56kg",14,IF(Atletas!E295="Adulto 60kg",15,IF(Atletas!E295="Adulto 65kg",16,IF(Atletas!E295="Adulto 70kg",17,IF(Atletas!E295="Adulto 75kg",18,IF(Atletas!E295="Adulto 82kg",19,IF(Atletas!E295="Adulto 90kg",20,IF(Atletas!E295="Adulto 100kg",21,IF(Atletas!E295="Adulto +100kg",22,""))))))))))))))))))))))))</f>
        <v/>
      </c>
      <c r="AT299" s="10" t="str">
        <f>IF(Atletas!F295="","",IF(Atletas!B295="Feminino",100,IF(Atletas!B295="Masculino",200,""))+(IF(Atletas!F295="Adulto 48kg",1,IF(Atletas!F295="Adulto 56kg",2,IF(Atletas!F295="Adulto 65kg",3,IF(Atletas!F295="Adulto 75kg",4,IF(Atletas!F295="Adulto +75kg",5,IF(Atletas!F295="Adulto 52kg",6,IF(Atletas!F295="Adulto 60kg",7,IF(Atletas!F295="Adulto 70kg",8,IF(Atletas!F295="Adulto 80kg",9,IF(Atletas!F295="Adulto 90kg",10,IF(Atletas!F295="Adulto +90kg",11,"")))))))))))))</f>
        <v/>
      </c>
      <c r="AY299" s="46" t="str">
        <f>IF(Atletas!G295="","",IF(Atletas!B295="Feminino",100,IF(Atletas!B295="Masculino",200,""))+(IF(Atletas!G295="Changquan Mirim",1,IF(Atletas!G295="Nanquan Mirim",2,IF(Atletas!G295="Taijiquan Mirim",3,IF(Atletas!G295="Changquan Grupo C",4,IF(Atletas!G295="Nanquan Grupo C",5,IF(Atletas!G295="Taijiquan Grupo C",6,IF(Atletas!G295="Changquan Grupo B",7,IF(Atletas!G295="Nanquan Grupo B",8,IF(Atletas!G295="Taijiquan Grupo B",9,IF(Atletas!G295="Changquan Grupo A",10,IF(Atletas!G295="Nanquan Grupo A",11,IF(Atletas!G295="Taijiquan Grupo A",12,IF(Atletas!G295="Changquan Opcional",13,IF(Atletas!G295="Nanquan Opcional",14,IF(Atletas!G295="Taijiquan Opcional",15,IF(Atletas!G295="Changquan Adulto",16,IF(Atletas!G295="Nanquan Adulto",17,IF(Atletas!G295="Taijiquan Adulto",18,""))))))))))))))))))))</f>
        <v/>
      </c>
      <c r="AZ299" s="46" t="str">
        <f>IF(Atletas!H295="","",IF(Atletas!B295="Feminino",100,IF(Atletas!B295="Masculino",200,""))+(IF(Atletas!H295="Daoshu Mirim",19,IF(Atletas!H295="Jianshu Mirim",20,IF(Atletas!H295="Nandao Mirim",21,IF(Atletas!H295="Taijijian Mirim",22,IF(Atletas!H295="Daoshu Grupo C",23,IF(Atletas!H295="Jianshu Grupo C",24,IF(Atletas!H295="Nandao Grupo C",25,IF(Atletas!H295="Taijijian Grupo C",26,IF(Atletas!H295="Daoshu Grupo B",27,IF(Atletas!H295="Jianshu Grupo B",28,IF(Atletas!H295="Nandao Grupo B",29,IF(Atletas!H295="Taijijian Grupo B",30,IF(Atletas!H295="Daoshu Grupo A",31,IF(Atletas!H295="Jianshu Grupo A",32,IF(Atletas!H295="Nandao Grupo A",33,IF(Atletas!H295="Taijijian Grupo A",34,IF(Atletas!H295="Daoshu Opcional",35,IF(Atletas!H295="Jianshu Opcional",36,IF(Atletas!H295="Nandao Opcional",37,IF(Atletas!H295="Taijijian Opcional",38,IF(Atletas!H295="Daoshu Adulto",39,IF(Atletas!H295="Jianshu Adulto",40,IF(Atletas!H295="Nandao Adulto",41,IF(Atletas!H295="Taijijian Adulto",42,""))))))))))))))))))))))))))</f>
        <v/>
      </c>
      <c r="BA299" s="46" t="str">
        <f>IF(Atletas!I295="","",IF(Atletas!B295="Feminino",100,IF(Atletas!B295="Masculino",200,""))+(IF(Atletas!I295="Gunshu Mirim",43,IF(Atletas!I295="Qiangshu Mirim",44,IF(Atletas!I295="Nangun Mirim",45,IF(Atletas!I295="Gunshu Grupo C",46,IF(Atletas!I295="Qiangshu Grupo C",47,IF(Atletas!I295="Nangun Grupo C",48,IF(Atletas!I295="Gunshu Grupo B",49,IF(Atletas!I295="Qiangshu Grupo B",50,IF(Atletas!I295="Nangun Grupo B",51,IF(Atletas!I295="Gunshu Grupo A",52,IF(Atletas!I295="Qiangshu Grupo A",53,IF(Atletas!I295="Nangun Grupo A",54,IF(Atletas!I295="Gunshu Opcional",55,IF(Atletas!I295="Qiangshu Opcional",56,IF(Atletas!I295="Nangun Opcional",57,IF(Atletas!I295="Gunshu Adulto",58,IF(Atletas!I295="Qiangshu Adulto",59,IF(Atletas!I295="Nangun Adulto",60,""))))))))))))))))))))</f>
        <v/>
      </c>
      <c r="BF299" s="52" t="str">
        <f>IF(Atletas!J295="","",IF(Atletas!B295="Feminino",100,IF(Atletas!B295="Masculino",200,""))+(IF(Atletas!J295="Equipe 1 Grupo B",1,IF(Atletas!J295="Equipe 2 Grupo B",2,IF(Atletas!J295="Equipe 1 Grupo A",3,IF(Atletas!J295="Equipe 2 Grupo A",4,IF(Atletas!J295="Equipe 1 Adulto",5,IF(Atletas!J295="Equipe 2 Adulto",6,""))))))))</f>
        <v/>
      </c>
      <c r="BK299" s="52" t="str">
        <f>IF(Atletas!K295="","",IF(Atletas!W295&lt;&gt;"",10000,0)+(IF(Atletas!B295="Feminino",1000,IF(Atletas!B295="Masculino",2000,""))+IF(Atletas!K295="Choylayfut A",1,IF(Atletas!K295="Hunggar A",2,IF(Atletas!K295="Wuzuquan A",3,IF(Atletas!K295="Wingchun A",4,IF(Atletas!K295="Outra Mão de Sul A",5,IF(Atletas!K295="Choylayfut B",6,IF(Atletas!K295="Hunggar B",7,IF(Atletas!K295="Wuzuquan B",8,IF(Atletas!K295="Wingchun B",9,IF(Atletas!K295="Outra Mão de Sul B",10,IF(Atletas!K295="Choylayfut C",11,IF(Atletas!K295="Hunggar C",12,IF(Atletas!K295="Wuzuquan C",13,IF(Atletas!K295="Wingchun C",14,IF(Atletas!K295="Outra Mão de Sul C",15,IF(Atletas!K295="Choylayfut D",16,IF(Atletas!K295="Hunggar D",17,IF(Atletas!K295="Wuzuquan D",18,IF(Atletas!K295="Wingchun D",19,IF(Atletas!K295="Outra Mão de Sul D",20,IF(Atletas!K295="Choylayfut E",21,IF(Atletas!K295="Hunggar E",22,IF(Atletas!K295="Wuzuquan E",23,IF(Atletas!K295="Wingchun E",24,IF(Atletas!K295="Outra Mão de Sul E",25,IF(Atletas!K295="Choylayfut F",26,IF(Atletas!K295="Hunggar F",27,IF(Atletas!K295="Wuzuquan F",28,IF(Atletas!K295="Wingchun F",29,IF(Atletas!K295="Outra Mão de Sul F",30,""))))))))))))))))))))))))))))))))</f>
        <v/>
      </c>
      <c r="BL299" s="52" t="str">
        <f>IF(Atletas!L295="","",IF(Atletas!W295&lt;&gt;"",10000,0)+(IF(Atletas!B295="Feminino",1000,IF(Atletas!B295="Masculino",2000,""))+(IF(Atletas!L295="Chaquan A",101,IF(Atletas!L295="Emeiquan A",102,IF(Atletas!L295="Fanziquan A",103,IF(Atletas!L295="Huaquan A",104,IF(Atletas!L295="Hongquan A",105,IF(Atletas!L295="Paochui A",106,IF(Atletas!L295="Piguaquan A",107,IF(Atletas!L295="Shaolinquan A",108,IF(Atletas!L295="Tanglangquan A",109,IF(Atletas!L295="Yinzhaophai A",110,IF(Atletas!L295="Tongbeiquan A",111,IF(Atletas!L295="Wudangquan A",112,IF(Atletas!L295="Outros Estilos A",113,IF(Atletas!L295="Chaquan B",114,IF(Atletas!L295="Emeiquan B",115,IF(Atletas!L295="Fanziquan B",116,IF(Atletas!L295="Huaquan B",117,IF(Atletas!L295="Hongquan B",118,IF(Atletas!L295="Paochui B",119,IF(Atletas!L295="Piguaquan B",120,IF(Atletas!L295="Shaolinquan B",121,IF(Atletas!L295="Tanglangquan B",122,IF(Atletas!L295="Yinzhaophai B",123,IF(Atletas!L295="Tongbeiquan B",124,IF(Atletas!L295="Wudangquan B",125,IF(Atletas!L295="Outros Estilos B",126,IF(Atletas!L295="Chaquan C",127,IF(Atletas!L295="Emeiquan C",128,IF(Atletas!L295="Fanziquan C",129,IF(Atletas!L295="Huaquan C",130,IF(Atletas!L295="Hongquan C",131,IF(Atletas!L295="Paochui C",132,IF(Atletas!L295="Piguaquan C",133,IF(Atletas!L295="Shaolinquan C",134,IF(Atletas!L295="Tanglangquan C",135,IF(Atletas!L295="Yinzhaophai C",136,IF(Atletas!L295="Tongbeiquan C",137,IF(Atletas!L295="Wudangquan C",138,IF(Atletas!L295="Outros Estilos C",139,0))))))))))))))))))))))))))))))))))))))))))</f>
        <v/>
      </c>
      <c r="BM299" s="52" t="str">
        <f>IF(Atletas!L295="","",IF(Atletas!W295&lt;&gt;"",10000,0)+(IF(Atletas!B295="Feminino",1000,IF(Atletas!B295="Masculino",2000,""))+(IF(Atletas!L295="Chaquan D",140,IF(Atletas!L295="Emeiquan D",141,IF(Atletas!L295="Fanziquan D",142,IF(Atletas!L295="Huaquan D",143,IF(Atletas!L295="Hongquan D",144,IF(Atletas!L295="Paochui D",145,IF(Atletas!L295="Piguaquan D",146,IF(Atletas!L295="Shaolinquan D",147,IF(Atletas!L295="Tanglangquan D",148,IF(Atletas!L295="Yinzhaophai D",149,IF(Atletas!L295="Tongbeiquan D",150,IF(Atletas!L295="Wudangquan D",151,IF(Atletas!L295="Outros Estilos D",152,IF(Atletas!L295="Chaquan E",153,IF(Atletas!L295="Emeiquan E",154,IF(Atletas!L295="Fanziquan E",155,IF(Atletas!L295="Huaquan E",156,IF(Atletas!L295="Hongquan E",157,IF(Atletas!L295="Paochui E",158,IF(Atletas!L295="Piguaquan E",159,IF(Atletas!L295="Shaolinquan E",160,IF(Atletas!L295="Tanglangquan E",161,IF(Atletas!L295="Yinzhaophai E",162,IF(Atletas!L295="Tongbeiquan E",163,IF(Atletas!L295="Wudangquan E",164,IF(Atletas!L295="Outros Estilos E",165,IF(Atletas!L295="Chaquan F",166,IF(Atletas!L295="Emeiquan F",167,IF(Atletas!L295="Fanziquan F",168,IF(Atletas!L295="Huaquan F",169,IF(Atletas!L295="Hongquan F",170,IF(Atletas!L295="Paochui F",171,IF(Atletas!L295="Piguaquan F",172,IF(Atletas!L295="Shaolinquan F",173,IF(Atletas!L295="Tanglangquan F",174,IF(Atletas!L295="Yinzhaophai F",175,IF(Atletas!L295="Tongbeiquan F",176,IF(Atletas!L295="Wudangquan F",177,IF(Atletas!L295="Outros Estilos F",178,0))))))))))))))))))))))))))))))))))))))))))</f>
        <v/>
      </c>
      <c r="BN299" s="52" t="str">
        <f>IF(Atletas!M295="","",IF(Atletas!W295&lt;&gt;"",10000,0)+(IF(Atletas!B295="Feminino",1000,IF(Atletas!B295="Masculino",2000,""))+(IF(Atletas!M295="Ditangquan A",201,IF(Atletas!M295="Houquan A",202,IF(Atletas!M295="Zuiquan A",203,IF(Atletas!M295="Ditangquan B",204,IF(Atletas!M295="Houquan B",205,IF(Atletas!M295="Zuiquan B",206,IF(Atletas!M295="Ditangquan C",207,IF(Atletas!M295="Houquan C",208,IF(Atletas!M295="Zuiquan C",209,IF(Atletas!M295="Ditangquan D",210,IF(Atletas!M295="Houquan D",211,IF(Atletas!M295="Zuiquan D",212,IF(Atletas!M295="Ditangquan E",213,IF(Atletas!M295="Houquan E",214,IF(Atletas!M295="Zuiquan E",215,IF(Atletas!M295="Ditangquan F",216,IF(Atletas!M295="Houquan F",217,IF(Atletas!M295="Zuiquan F",218,"")))))))))))))))))))))</f>
        <v/>
      </c>
      <c r="BO299" s="52" t="str">
        <f>IF(Atletas!N295="","",IF(Atletas!W295&lt;&gt;"",10000,0)+IF(Atletas!B295="Feminino",1000,IF(Atletas!B295="Masculino",2000,""))+IF(Atletas!N295="Yang A",301,IF(Atletas!N295="Chen A",30,IF(Atletas!N295="Sun A",303,IF(Atletas!N295="Wu A",304,IF(Atletas!N295="Wu-Hao A",305,IF(Atletas!N295="Outro Taijiquan A",306,IF(Atletas!N295="Yang B",307,IF(Atletas!N295="Chen B",308,IF(Atletas!N295="Sun B",309,IF(Atletas!N295="Wu B",310,IF(Atletas!N295="Wu-Hao B",311,IF(Atletas!N295="Outro Taijiquan B",312,IF(Atletas!N295="Yang C",313,IF(Atletas!N295="Chen C",314,IF(Atletas!N295="Sun C",315,IF(Atletas!N295="Wu C",316,IF(Atletas!N295="Wu-Hao C",317,IF(Atletas!N295="Outro Taijiquan C",318,IF(Atletas!N295="Yang D",319,IF(Atletas!N295="Chen D",320,IF(Atletas!N295="Sun D",321,IF(Atletas!N295="Wu D",322,IF(Atletas!N295="Wu-Hao D",323,IF(Atletas!N295="Outro Taijiquan D",324,IF(Atletas!N295="Yang E",325,IF(Atletas!N295="Chen E",326,IF(Atletas!N295="Sun E",327,IF(Atletas!N295="Wu E",328,IF(Atletas!N295="Wu-Hao E",329,IF(Atletas!N295="Outro Taijiquan E",330,IF(Atletas!N295="Yang F",331,IF(Atletas!N295="Chen F",332,IF(Atletas!N295="Sun F",333,IF(Atletas!N295="Wu F",334,IF(Atletas!N295="Wu-Hao F",335,IF(Atletas!N295="Outro Taijiquan F",336,"")))))))))))))))))))))))))))))))))))))</f>
        <v/>
      </c>
      <c r="BP299" s="52" t="str">
        <f>IF(Atletas!O295="","",IF(Atletas!W295&lt;&gt;"",10000,0)+IF(Atletas!B295="Feminino",1000,IF(Atletas!B295="Masculino",2000,""))+IF(OR(Atletas!O295="Yang 26 A",Atletas!O295="Yang 40 A"),401,IF(OR(Atletas!O295="Chen 25 A",Atletas!O295="Chen 36 A",Atletas!O295="Chen 56 A"),402,IF(Atletas!O295="Sun 73 A",403,IF(Atletas!O295="Wu 45 A",404,IF(Atletas!O295="Wu-Hao 46 A",405,IF(OR(Atletas!O295="Taijiquan 16 A",Atletas!O295="Taijiquan 24 A",Atletas!O295="Taijiquan 32 A",Atletas!O295="Taijiquan 42 A"),406,IF(OR(Atletas!O295="Yang 26 B",Atletas!O295="Yang 40 B"),407,IF(OR(Atletas!O295="Chen 25 B",Atletas!O295="Chen 36 B",Atletas!O295="Chen 56 B"),408,IF(Atletas!O295="Sun 73 B",409,IF(Atletas!O295="Wu 45 B",410,IF(Atletas!O295="Wu-Hao 46 B",411,IF(OR(Atletas!O295="Taijiquan 16 B",Atletas!O295="Taijiquan 24 B",Atletas!O295="Taijiquan 32 B",Atletas!O295="Taijiquan 42 B"),412,IF(OR(Atletas!O295="Yang 26 C",Atletas!O295="Yang 40 C"),413,IF(OR(Atletas!O295="Chen 25 C",Atletas!O295="Chen 36 C",Atletas!O295="Chen 56 C"),414,IF(Atletas!O295="Sun 73 C",415,IF(Atletas!O295="Wu 45 C",416,IF(Atletas!O295="Wu-Hao 46 C",417,IF(OR(Atletas!O295="Taijiquan 16 C",Atletas!O295="Taijiquan 24 C",Atletas!O295="Taijiquan 32 C",Atletas!O295="Taijiquan 42 C"),418,0)))))))))))))))))))</f>
        <v/>
      </c>
      <c r="BQ299" s="52" t="str">
        <f>IF(Atletas!O295="","",IF(Atletas!W295&lt;&gt;"",10000,0)+IF(Atletas!B295="Feminino",1000,IF(Atletas!B295="Masculino",2000,""))+IF(OR(Atletas!O295="Yang 26 D",Atletas!O295="Yang 40 D"),419,IF(OR(Atletas!O295="Chen 25 D",Atletas!O295="Chen 36 D",Atletas!O295="Chen 56 D"),420,IF(Atletas!O295="Sun 73 D",421,IF(Atletas!O295="Wu 45 D",422,IF(Atletas!O295="Wu-Hao 46 D",423,IF(OR(Atletas!O295="Taijiquan 16 D",Atletas!O295="Taijiquan 24 D",Atletas!O295="Taijiquan 32 D",Atletas!O295="Taijiquan 42 D"),424,IF(OR(Atletas!O295="Yang 26 E",Atletas!O295="Yang 40 E"),425,IF(OR(Atletas!O295="Chen 25 E",Atletas!O295="Chen 36 E",Atletas!O295="Chen 56 E"),426,IF(Atletas!O295="Sun 73 E",427,IF(Atletas!O295="Wu 45 E",428,IF(Atletas!O295="Wu-Hao 46 E",429,IF(OR(Atletas!O295="Taijiquan 16 E",Atletas!O295="Taijiquan 24 E",Atletas!O295="Taijiquan 32 E",Atletas!O295="Taijiquan 42 E"),430,IF(OR(Atletas!O295="Yang 26 F",Atletas!O295="Yang 40 F"),431,IF(OR(Atletas!O295="Chen 25 F",Atletas!O295="Chen 36 F",Atletas!O295="Chen 56 F"),432,IF(Atletas!O295="Sun 73 F",433,IF(Atletas!O295="Wu 45 F",434,IF(Atletas!O295="Wu-Hao 46 F",435,IF(OR(Atletas!O295="Taijiquan 16 F",Atletas!O295="Taijiquan 24 F",Atletas!O295="Taijiquan 32 F",Atletas!O295="Taijiquan 42 F"),436,0)))))))))))))))))))</f>
        <v/>
      </c>
      <c r="BR299" s="52" t="str">
        <f>IF(Atletas!P295="","",IF(Atletas!W295&lt;&gt;"",10000,0)+IF(Atletas!B295="Feminino",1000,IF(Atletas!B295="Masculino",2000,""))+IF(Atletas!P295="Xingyiquan A",501,IF(Atletas!P295="Baguazhang A",502,IF(Atletas!P295="Outro Estilo Interno A",503,IF(Atletas!P295="Xingyiquan B",504,IF(Atletas!P295="Baguazhang B",505,IF(Atletas!P295="Outro Estilo Interno B",506,IF(Atletas!P295="Xingyiquan C",507,IF(Atletas!P295="Baguazhang C",508,IF(Atletas!P295="Outro Estilo Interno C",509,IF(Atletas!P295="Xingyiquan D",510,IF(Atletas!P295="Baguazhang D",511,IF(Atletas!P295="Outro Estilo Interno D",512,IF(Atletas!P295="Xingyiquan E",513,IF(Atletas!P295="Baguazhang E",514,IF(Atletas!P295="Outro Estilo Interno E",515,IF(Atletas!P295="Xingyiquan F",516,IF(Atletas!P295="Baguazhang F",517,IF(Atletas!P295="Outro Estilo Interno F",518, "")))))))))))))))))))</f>
        <v/>
      </c>
      <c r="BS299" s="52" t="str">
        <f>IF(Atletas!Q295="","",IF(Atletas!W295&lt;&gt;"",10000,0)+IF(Atletas!B295="Feminino",1000,IF(Atletas!B295="Masculino",2000,""))+IF(Atletas!Q295="Dao A",601,IF(Atletas!Q295="Jian A",602,IF(Atletas!Q295="Bishou A",603,IF(Atletas!Q295="Shan A",604,IF(Atletas!Q295="Outra Arma Curta A",605,IF(Atletas!Q295="Dao B",606,IF(Atletas!Q295="Jian B",607,IF(Atletas!Q295="Bishou B",608,IF(Atletas!Q295="Shan B",609,IF(Atletas!Q295="Outra Arma Curta B",610,IF(Atletas!Q295="Dao C",611,IF(Atletas!Q295="Jian C",612,IF(Atletas!Q295="Bishou C",613,IF(Atletas!Q295="Shan C",614,IF(Atletas!Q295="Outra Arma Curta C",615,IF(Atletas!Q295="Dao D",616,IF(Atletas!Q295="Jian D",617,IF(Atletas!Q295="Bishou D",618,IF(Atletas!Q295="Shan D",619,IF(Atletas!Q295="Outra Arma Curta D",620,IF(Atletas!Q295="Dao E",621,IF(Atletas!Q295="Jian E",622,IF(Atletas!Q295="Bishou E",623,IF(Atletas!Q295="Shan E",624,IF(Atletas!Q295="Outra Arma Curta E",625,IF(Atletas!Q295="Dao F",626,IF(Atletas!Q295="Jian F",627,IF(Atletas!Q295="Bishou F",628,IF(Atletas!Q295="Shan F",629,IF(Atletas!Q295="Outra Arma Curta F",630, "")))))))))))))))))))))))))))))))</f>
        <v/>
      </c>
      <c r="BT299" s="52" t="str">
        <f>IF(Atletas!R295="","",IF(Atletas!W295&lt;&gt;"",10000,0)+IF(Atletas!B295="Feminino",1000,IF(Atletas!B295="Masculino",2000,""))+IF(Atletas!R295="Gun A",701,IF(Atletas!R295="Qiang A",702,IF(Atletas!R295="Pudao / Guandao A",703,IF(Atletas!R295="Outra Arma Longa A",704,IF(Atletas!R295="Gun B",705,IF(Atletas!R295="Qiang B",706,IF(Atletas!R295="Pudao / Guandao B",707,IF(Atletas!R295="Outra Arma Longa B",708,IF(Atletas!R295="Gun C",709,IF(Atletas!R295="Qiang C",710,IF(Atletas!R295="Pudao / Guandao C",711,IF(Atletas!R295="Outra Arma Longa C",712,IF(Atletas!R295="Gun D",713,IF(Atletas!R295="Qiang D",714,IF(Atletas!R295="Pudao / Guandao D",715,IF(Atletas!R295="Outra Arma Longa D",716,IF(Atletas!R295="Gun E",717,IF(Atletas!R295="Qiang E",718,IF(Atletas!R295="Pudao / Guandao E",719,IF(Atletas!R295="Outra Arma Longa E",720,IF(Atletas!R295="Gun F",721,IF(Atletas!R295="Qiang F",722,IF(Atletas!R295="Pudao / Guandao F",723,IF(Atletas!R295="Outra Arma Longa F",724,"")))))))))))))))))))))))))</f>
        <v/>
      </c>
      <c r="BU299" s="52" t="str">
        <f>IF(Atletas!S295="","",IF(Atletas!W295&lt;&gt;"",10000,0)+IF(Atletas!B295="Feminino",1000,IF(Atletas!B295="Masculino",2000,""))+IF(Atletas!S295="Arma Dupla A",801,IF(Atletas!S295="Arma Maleável A",802,IF(Atletas!S295="Arma Dupla B",803,IF(Atletas!S295="Arma Maleável B",804,IF(Atletas!S295="Arma Dupla C",805,IF(Atletas!S295="Arma Maleável C",806,IF(Atletas!S295="Arma Dupla D",807,IF(Atletas!S295="Arma Maleável D",808,IF(Atletas!S295="Arma Dupla E",809,IF(Atletas!S295="Arma Maleável E",810,IF(Atletas!S295="Arma Dupla F",811,IF(Atletas!S295="Arma Maleável F",812, "")))))))))))))</f>
        <v/>
      </c>
      <c r="BV299" s="52" t="str">
        <f>IF(Atletas!T295="","",IF(Atletas!W295&lt;&gt;"",10000,0)+IF(Atletas!B295="Feminino",1000,IF(Atletas!B295="Masculino",2000,""))+IF(Atletas!T295="Taijijian Yang A",901,IF(Atletas!T295="Taijijian Chen A",902,IF(Atletas!T295="Taijijian Sun A",903,IF(Atletas!T295="Taijijian Wu A",904,IF(Atletas!T295="Taijijian Wu-Hao A",905,IF(Atletas!T295="Taijijian 32 A",906,IF(Atletas!T295="Taijijian 42 A",907,IF(Atletas!T295="Taijijian Yang B",908,IF(Atletas!T295="Taijijian Chen B",909,IF(Atletas!T295="Taijijian Sun B",910,IF(Atletas!T295="Taijijian Wu B",911,IF(Atletas!T295="Taijijian Wu-Hao B",912,IF(Atletas!T295="Taijijian 32 B",913,IF(Atletas!T295="Taijijian 42 B",914,IF(Atletas!T295="Taijijian Yang C",915,IF(Atletas!T295="Taijijian Chen C",916,IF(Atletas!T295="Taijijian Sun C",917,IF(Atletas!T295="Taijijian Wu C",918,IF(Atletas!T295="Taijijian Wu-Hao C",919,IF(Atletas!T295="Taijijian 32 C",920,IF(Atletas!T295="Taijijian 42 C",921,IF(Atletas!T295="Taijijian Yang D",922,IF(Atletas!T295="Taijijian Chen D",923,IF(Atletas!T295="Taijijian Sun D",924,IF(Atletas!T295="Taijijian Wu D",925,IF(Atletas!T295="Taijijian Wu-Hao D",926,IF(Atletas!T295="Taijijian 32 D",927,IF(Atletas!T295="Taijijian 42 D",928,IF(Atletas!T295="Taijijian Yang E",929,IF(Atletas!T295="Taijijian Chen E",930,IF(Atletas!T295="Taijijian Sun E",931,IF(Atletas!T295="Taijijian Wu E",932,IF(Atletas!T295="Taijijian Wu-Hao E",933,IF(Atletas!T295="Taijijian 32 E",934,IF(Atletas!T295="Taijijian 42 E",935,IF(Atletas!T295="Taijijian Yang F",936,IF(Atletas!T295="Taijijian Chen F",937,IF(Atletas!T295="Taijijian Sun F",938,IF(Atletas!T295="Taijijian Wu F",939,IF(Atletas!T295="Taijijian Wu-Hao F",940,IF(Atletas!T295="Taijijian 32 F",941,IF(Atletas!T295="Taijijian 42 F",942,"")))))))))))))))))))))))))))))))))))))))))))</f>
        <v/>
      </c>
      <c r="BW299" s="52" t="str">
        <f>IF(Atletas!U295="","",IF(Atletas!W295&lt;&gt;"",10000,0)+IF(Atletas!B295="Feminino",1000,IF(Atletas!B295="Masculino",2000,""))+IF(Atletas!T295="Taijijian 42 F",942,IF(Atletas!U295="Taijidao A",943,IF(Atletas!U295="Taijishan A",944,IF(Atletas!U295="Taijiqiang A",945,IF(Atletas!U295="Taijidao B",946,IF(Atletas!U295="Taijishan B",947,IF(Atletas!U295="Taijiqiang B",948,IF(Atletas!U295="Taijidao C",949,IF(Atletas!U295="Taijishan C",950,IF(Atletas!U295="Taijiqiang C",951,IF(Atletas!U295="Taijidao D",952,IF(Atletas!U295="Taijishan D",953,IF(Atletas!U295="Taijiqiang D",954,IF(Atletas!U295="Taijidao E",955,IF(Atletas!U295="Taijishan E",956,IF(Atletas!U295="Taijiqiang E",957,IF(Atletas!U295="Taijidao F",958,IF(Atletas!U295="Taijishan F",959,IF(Atletas!U295="Taijiqiang F",960))))))))))))))))))))</f>
        <v/>
      </c>
      <c r="BX299" s="72" t="str">
        <f>IF(BY299&lt;&gt;"","Taijijian Wu-Hao B","")</f>
        <v/>
      </c>
      <c r="BY299" s="72" t="str">
        <f>IF(COUNTIF(BK:BW,1912)&gt;0,COUNTIF(BK:BW,1912),"")</f>
        <v/>
      </c>
      <c r="BZ299" s="72" t="str">
        <f>IF(CA299&lt;&gt;"","Taijijian Wu-Hao B","")</f>
        <v/>
      </c>
      <c r="CA299" s="72" t="str">
        <f>IF(COUNTIF(BK:BW,2911)&gt;0,COUNTIF(BK:BW,2911),"")</f>
        <v/>
      </c>
      <c r="CB299" s="72" t="str">
        <f>IF(CC299&lt;&gt;"","Jian D","")</f>
        <v/>
      </c>
      <c r="CC299" s="64" t="str">
        <f>IF(COUNTIF(BK:BW,11617)&gt;0,COUNTIF(BK:BW,11617),"")</f>
        <v/>
      </c>
      <c r="CD299" s="64" t="str">
        <f>IF(CE299&lt;&gt;"","Jian D","")</f>
        <v/>
      </c>
      <c r="CE299" s="64" t="str">
        <f>IF(COUNTIF(BK:BW,12617)&gt;0,COUNTIF(BK:BW,12617),"")</f>
        <v/>
      </c>
      <c r="CF299" s="52" t="str">
        <f xml:space="preserve"> IF(Atletas!V295="","",IF(Atletas!V295="Duilian de Mãos AB - Equipe 1",1,IF(Atletas!V295="Duilian de Mãos AB - Equipe 2",2,IF(Atletas!V295="Duilian de Armas AB - Equipe 1",3,IF(Atletas!V295="Duilian de Armas AB - Equipe 2",4,IF(Atletas!V295="Duilian de Tuishou - Equipe 1",5,IF(Atletas!V295="Duilian de Tuishou - Equipe 2",6,IF(Atletas!V295="Grupo Externo AB - Equipe 1",7,IF(Atletas!V295="Grupo Externo AB - Equipe 2",8,IF(Atletas!V295="Grupo Interno AB - Equipe 1",9,IF(Atletas!V295="Grupo Interno AB - Equipe 2",10,IF(Atletas!V295="Duilian de Mãos CD - Equipe 1",11,IF(Atletas!V295="Duilian de Mãos CD - Equipe 2",12,IF(Atletas!V295="Duilian de Armas CD - Equipe 1",13,IF(Atletas!V295="Duilian de Armas CD - Equipe 2",14,IF(Atletas!V295="Duilian de Tuishou - Equipe 1",15,IF(Atletas!V295="Duilian de Tuishou - Equipe 2",16,IF(Atletas!V295="Grupo Externo CDEF - Equipe 1",17,IF(Atletas!V295="Grupo Externo CDEF - Equipe 2",18,IF(Atletas!V295="Grupo Interno CDEF - Equipe 1",19,IF(Atletas!V295="Grupo Interno CDEF - Equipe 2",20,IF(Atletas!V295="Duilian de Mãos EF - Equipe 1",21,IF(Atletas!V295="Duilian de Mãos EF - Equipe 2",22,IF(Atletas!V295="Duilian de Armas EF - Equipe 1",23,IF(Atletas!V295="Duilian de Armas EF - Equipe 2",24,IF(Atletas!V295="Duilian de Tuishou - Equipe 1",25,IF(Atletas!V295="Duilian de Tuishou - Equipe 2",26,"")))))))))))))))))))))))))))</f>
        <v/>
      </c>
    </row>
    <row r="300" spans="2:84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 t="str">
        <f t="array" ref="V300">IFERROR(INDEX(BX$7:BX$336,SMALL(IF(BX$7:BX$336&lt;&gt;"",ROW(BX$7:BX$336)-ROW(BX$7)+1),ROWS(BX$7:BX257))),"")</f>
        <v/>
      </c>
      <c r="W300" s="4" t="str">
        <f t="array" ref="W300">IFERROR(INDEX(BY$7:BY$336,SMALL(IF(BY$7:BY$336&lt;&gt;"",ROW(BY$7:BY$336)-ROW(BY$7)+1),ROWS(BY$7:BY257))),"")</f>
        <v/>
      </c>
      <c r="X300" s="4" t="str">
        <f t="array" ref="X300">IFERROR(INDEX(BZ$7:BZ$336,SMALL(IF(BZ$7:BZ$336&lt;&gt;"",ROW(BZ$7:BZ$336)-ROW(BZ$7)+1),ROWS(BZ$7:BZ257))),"")</f>
        <v/>
      </c>
      <c r="Y300" s="4" t="str">
        <f t="array" ref="Y300">IFERROR(INDEX(CA$7:CA$336,SMALL(IF(CA$7:CA$336&lt;&gt;"",ROW(CA$7:CA$336)-ROW(CA$7)+1),ROWS(CA$7:CA257))),"")</f>
        <v/>
      </c>
      <c r="Z300" s="4" t="str">
        <f t="array" ref="Z300">IFERROR(INDEX(CB$7:CB$378,SMALL(IF(CB$7:CB$378&lt;&gt;"",ROW(CB$7:CB$378)-ROW(CB$7)+1),ROWS(CB$7:CB299))),"")</f>
        <v/>
      </c>
      <c r="AA300" s="4" t="str">
        <f t="array" ref="AA300">IFERROR(INDEX(CC$7:CC$378,SMALL(IF(CC$7:CC$378&lt;&gt;"",ROW(CC$7:CC$378)-ROW(CC$7)+1),ROWS(CC$7:CC299))),"")</f>
        <v/>
      </c>
      <c r="AB300" s="4" t="str">
        <f t="array" ref="AB300">IFERROR(INDEX(CD$7:CD$378,SMALL(IF(CD$7:CD$378&lt;&gt;"",ROW(CD$7:CD$378)-ROW(CD$7)+1),ROWS(CD$7:CD299))),"")</f>
        <v/>
      </c>
      <c r="AC300" s="4" t="str">
        <f t="array" ref="AC300">IFERROR(INDEX(CE$7:CE$378,SMALL(IF(CE$7:CE$378&lt;&gt;"",ROW(CE$7:CE$378)-ROW(CE$7)+1),ROWS(CE$7:CE299))),"")</f>
        <v/>
      </c>
      <c r="AD300" s="4"/>
      <c r="AE300" s="4"/>
      <c r="AF300" s="4"/>
      <c r="AG300" s="4"/>
      <c r="AH300" s="4"/>
      <c r="AI300" s="4"/>
      <c r="AJ300" s="46" t="str">
        <f>IF(Atletas!D296="","",IF(Atletas!B296="Feminino",100,IF(Atletas!B296="Masculino",200,""))+(IF(Atletas!D296="Infantil 39kg",1,IF(Atletas!D296="Infantil 42kg",2,IF(Atletas!D296="Infantil 45kg",3,IF(Atletas!D296="Infantil 48kg",4,IF(Atletas!D296="Infantil 52kg",5,IF(Atletas!D296="Infantil 56kg",6,IF(Atletas!D296="Infantil 60kg",7,IF(Atletas!D296="Juvenil 48kg",8,IF(Atletas!D296="Juvenil 52kg",9,IF(Atletas!D296="Juvenil 56kg",10,IF(Atletas!D296="Juvenil 60kg",11,IF(Atletas!D296="Juvenil 65kg",12,IF(Atletas!D296="Juvenil 70kg",13,IF(Atletas!D296="Juvenil 75kg",14,IF(Atletas!D296="Juvenil 80kg",15,IF(Atletas!D296="Adulto 48kg",16,IF(Atletas!D296="Adulto 52kg",17,IF(Atletas!D296="Adulto 56kg",18,IF(Atletas!D296="Adulto 60kg",19,IF(Atletas!D296="Adulto 65kg",20,IF(Atletas!D296="Adulto 70kg",21,IF(Atletas!D296="Adulto 75kg",22,IF(Atletas!D296="Adulto 80kg",23,IF(Atletas!D296="Adulto 85kg",24,IF(Atletas!D296="Adulto 90kg",25,IF(Atletas!D296="Adulto +90kg",26,""))))))))))))))))))))))))))))</f>
        <v/>
      </c>
      <c r="AO300" s="10" t="str">
        <f>IF(Atletas!E296="","",IF(Atletas!B296="Feminino",100,IF(Atletas!B296="Masculino",200,""))+(IF(Atletas!E296="Juvenil 44kg",1,IF(Atletas!E296="Juvenil 48kg",2,IF(Atletas!E296="Juvenil 52kg",3,IF(Atletas!E296="Juvenil 56kg",4,IF(Atletas!E296="Juvenil 60kg",5,IF(Atletas!E296="Juvenil 65kg",6,IF(Atletas!E296="Juvenil 70kg",7,IF(Atletas!E296="Juvenil 75kg",8,IF(Atletas!E296="Juvenil 82kg",9,IF(Atletas!E296="Juvenil 90kg",10,IF(Atletas!E296="Juvenil 100kg",11,IF(Atletas!E296="Adulto 48kg",12,IF(Atletas!E296="Adulto 52kg",13,IF(Atletas!E296="Adulto 56kg",14,IF(Atletas!E296="Adulto 60kg",15,IF(Atletas!E296="Adulto 65kg",16,IF(Atletas!E296="Adulto 70kg",17,IF(Atletas!E296="Adulto 75kg",18,IF(Atletas!E296="Adulto 82kg",19,IF(Atletas!E296="Adulto 90kg",20,IF(Atletas!E296="Adulto 100kg",21,IF(Atletas!E296="Adulto +100kg",22,""))))))))))))))))))))))))</f>
        <v/>
      </c>
      <c r="AT300" s="10" t="str">
        <f>IF(Atletas!F296="","",IF(Atletas!B296="Feminino",100,IF(Atletas!B296="Masculino",200,""))+(IF(Atletas!F296="Adulto 48kg",1,IF(Atletas!F296="Adulto 56kg",2,IF(Atletas!F296="Adulto 65kg",3,IF(Atletas!F296="Adulto 75kg",4,IF(Atletas!F296="Adulto +75kg",5,IF(Atletas!F296="Adulto 52kg",6,IF(Atletas!F296="Adulto 60kg",7,IF(Atletas!F296="Adulto 70kg",8,IF(Atletas!F296="Adulto 80kg",9,IF(Atletas!F296="Adulto 90kg",10,IF(Atletas!F296="Adulto +90kg",11,"")))))))))))))</f>
        <v/>
      </c>
      <c r="AY300" s="46" t="str">
        <f>IF(Atletas!G296="","",IF(Atletas!B296="Feminino",100,IF(Atletas!B296="Masculino",200,""))+(IF(Atletas!G296="Changquan Mirim",1,IF(Atletas!G296="Nanquan Mirim",2,IF(Atletas!G296="Taijiquan Mirim",3,IF(Atletas!G296="Changquan Grupo C",4,IF(Atletas!G296="Nanquan Grupo C",5,IF(Atletas!G296="Taijiquan Grupo C",6,IF(Atletas!G296="Changquan Grupo B",7,IF(Atletas!G296="Nanquan Grupo B",8,IF(Atletas!G296="Taijiquan Grupo B",9,IF(Atletas!G296="Changquan Grupo A",10,IF(Atletas!G296="Nanquan Grupo A",11,IF(Atletas!G296="Taijiquan Grupo A",12,IF(Atletas!G296="Changquan Opcional",13,IF(Atletas!G296="Nanquan Opcional",14,IF(Atletas!G296="Taijiquan Opcional",15,IF(Atletas!G296="Changquan Adulto",16,IF(Atletas!G296="Nanquan Adulto",17,IF(Atletas!G296="Taijiquan Adulto",18,""))))))))))))))))))))</f>
        <v/>
      </c>
      <c r="AZ300" s="46" t="str">
        <f>IF(Atletas!H296="","",IF(Atletas!B296="Feminino",100,IF(Atletas!B296="Masculino",200,""))+(IF(Atletas!H296="Daoshu Mirim",19,IF(Atletas!H296="Jianshu Mirim",20,IF(Atletas!H296="Nandao Mirim",21,IF(Atletas!H296="Taijijian Mirim",22,IF(Atletas!H296="Daoshu Grupo C",23,IF(Atletas!H296="Jianshu Grupo C",24,IF(Atletas!H296="Nandao Grupo C",25,IF(Atletas!H296="Taijijian Grupo C",26,IF(Atletas!H296="Daoshu Grupo B",27,IF(Atletas!H296="Jianshu Grupo B",28,IF(Atletas!H296="Nandao Grupo B",29,IF(Atletas!H296="Taijijian Grupo B",30,IF(Atletas!H296="Daoshu Grupo A",31,IF(Atletas!H296="Jianshu Grupo A",32,IF(Atletas!H296="Nandao Grupo A",33,IF(Atletas!H296="Taijijian Grupo A",34,IF(Atletas!H296="Daoshu Opcional",35,IF(Atletas!H296="Jianshu Opcional",36,IF(Atletas!H296="Nandao Opcional",37,IF(Atletas!H296="Taijijian Opcional",38,IF(Atletas!H296="Daoshu Adulto",39,IF(Atletas!H296="Jianshu Adulto",40,IF(Atletas!H296="Nandao Adulto",41,IF(Atletas!H296="Taijijian Adulto",42,""))))))))))))))))))))))))))</f>
        <v/>
      </c>
      <c r="BA300" s="46" t="str">
        <f>IF(Atletas!I296="","",IF(Atletas!B296="Feminino",100,IF(Atletas!B296="Masculino",200,""))+(IF(Atletas!I296="Gunshu Mirim",43,IF(Atletas!I296="Qiangshu Mirim",44,IF(Atletas!I296="Nangun Mirim",45,IF(Atletas!I296="Gunshu Grupo C",46,IF(Atletas!I296="Qiangshu Grupo C",47,IF(Atletas!I296="Nangun Grupo C",48,IF(Atletas!I296="Gunshu Grupo B",49,IF(Atletas!I296="Qiangshu Grupo B",50,IF(Atletas!I296="Nangun Grupo B",51,IF(Atletas!I296="Gunshu Grupo A",52,IF(Atletas!I296="Qiangshu Grupo A",53,IF(Atletas!I296="Nangun Grupo A",54,IF(Atletas!I296="Gunshu Opcional",55,IF(Atletas!I296="Qiangshu Opcional",56,IF(Atletas!I296="Nangun Opcional",57,IF(Atletas!I296="Gunshu Adulto",58,IF(Atletas!I296="Qiangshu Adulto",59,IF(Atletas!I296="Nangun Adulto",60,""))))))))))))))))))))</f>
        <v/>
      </c>
      <c r="BF300" s="52" t="str">
        <f>IF(Atletas!J296="","",IF(Atletas!B296="Feminino",100,IF(Atletas!B296="Masculino",200,""))+(IF(Atletas!J296="Equipe 1 Grupo B",1,IF(Atletas!J296="Equipe 2 Grupo B",2,IF(Atletas!J296="Equipe 1 Grupo A",3,IF(Atletas!J296="Equipe 2 Grupo A",4,IF(Atletas!J296="Equipe 1 Adulto",5,IF(Atletas!J296="Equipe 2 Adulto",6,""))))))))</f>
        <v/>
      </c>
      <c r="BK300" s="52" t="str">
        <f>IF(Atletas!K296="","",IF(Atletas!W296&lt;&gt;"",10000,0)+(IF(Atletas!B296="Feminino",1000,IF(Atletas!B296="Masculino",2000,""))+IF(Atletas!K296="Choylayfut A",1,IF(Atletas!K296="Hunggar A",2,IF(Atletas!K296="Wuzuquan A",3,IF(Atletas!K296="Wingchun A",4,IF(Atletas!K296="Outra Mão de Sul A",5,IF(Atletas!K296="Choylayfut B",6,IF(Atletas!K296="Hunggar B",7,IF(Atletas!K296="Wuzuquan B",8,IF(Atletas!K296="Wingchun B",9,IF(Atletas!K296="Outra Mão de Sul B",10,IF(Atletas!K296="Choylayfut C",11,IF(Atletas!K296="Hunggar C",12,IF(Atletas!K296="Wuzuquan C",13,IF(Atletas!K296="Wingchun C",14,IF(Atletas!K296="Outra Mão de Sul C",15,IF(Atletas!K296="Choylayfut D",16,IF(Atletas!K296="Hunggar D",17,IF(Atletas!K296="Wuzuquan D",18,IF(Atletas!K296="Wingchun D",19,IF(Atletas!K296="Outra Mão de Sul D",20,IF(Atletas!K296="Choylayfut E",21,IF(Atletas!K296="Hunggar E",22,IF(Atletas!K296="Wuzuquan E",23,IF(Atletas!K296="Wingchun E",24,IF(Atletas!K296="Outra Mão de Sul E",25,IF(Atletas!K296="Choylayfut F",26,IF(Atletas!K296="Hunggar F",27,IF(Atletas!K296="Wuzuquan F",28,IF(Atletas!K296="Wingchun F",29,IF(Atletas!K296="Outra Mão de Sul F",30,""))))))))))))))))))))))))))))))))</f>
        <v/>
      </c>
      <c r="BL300" s="52" t="str">
        <f>IF(Atletas!L296="","",IF(Atletas!W296&lt;&gt;"",10000,0)+(IF(Atletas!B296="Feminino",1000,IF(Atletas!B296="Masculino",2000,""))+(IF(Atletas!L296="Chaquan A",101,IF(Atletas!L296="Emeiquan A",102,IF(Atletas!L296="Fanziquan A",103,IF(Atletas!L296="Huaquan A",104,IF(Atletas!L296="Hongquan A",105,IF(Atletas!L296="Paochui A",106,IF(Atletas!L296="Piguaquan A",107,IF(Atletas!L296="Shaolinquan A",108,IF(Atletas!L296="Tanglangquan A",109,IF(Atletas!L296="Yinzhaophai A",110,IF(Atletas!L296="Tongbeiquan A",111,IF(Atletas!L296="Wudangquan A",112,IF(Atletas!L296="Outros Estilos A",113,IF(Atletas!L296="Chaquan B",114,IF(Atletas!L296="Emeiquan B",115,IF(Atletas!L296="Fanziquan B",116,IF(Atletas!L296="Huaquan B",117,IF(Atletas!L296="Hongquan B",118,IF(Atletas!L296="Paochui B",119,IF(Atletas!L296="Piguaquan B",120,IF(Atletas!L296="Shaolinquan B",121,IF(Atletas!L296="Tanglangquan B",122,IF(Atletas!L296="Yinzhaophai B",123,IF(Atletas!L296="Tongbeiquan B",124,IF(Atletas!L296="Wudangquan B",125,IF(Atletas!L296="Outros Estilos B",126,IF(Atletas!L296="Chaquan C",127,IF(Atletas!L296="Emeiquan C",128,IF(Atletas!L296="Fanziquan C",129,IF(Atletas!L296="Huaquan C",130,IF(Atletas!L296="Hongquan C",131,IF(Atletas!L296="Paochui C",132,IF(Atletas!L296="Piguaquan C",133,IF(Atletas!L296="Shaolinquan C",134,IF(Atletas!L296="Tanglangquan C",135,IF(Atletas!L296="Yinzhaophai C",136,IF(Atletas!L296="Tongbeiquan C",137,IF(Atletas!L296="Wudangquan C",138,IF(Atletas!L296="Outros Estilos C",139,0))))))))))))))))))))))))))))))))))))))))))</f>
        <v/>
      </c>
      <c r="BM300" s="52" t="str">
        <f>IF(Atletas!L296="","",IF(Atletas!W296&lt;&gt;"",10000,0)+(IF(Atletas!B296="Feminino",1000,IF(Atletas!B296="Masculino",2000,""))+(IF(Atletas!L296="Chaquan D",140,IF(Atletas!L296="Emeiquan D",141,IF(Atletas!L296="Fanziquan D",142,IF(Atletas!L296="Huaquan D",143,IF(Atletas!L296="Hongquan D",144,IF(Atletas!L296="Paochui D",145,IF(Atletas!L296="Piguaquan D",146,IF(Atletas!L296="Shaolinquan D",147,IF(Atletas!L296="Tanglangquan D",148,IF(Atletas!L296="Yinzhaophai D",149,IF(Atletas!L296="Tongbeiquan D",150,IF(Atletas!L296="Wudangquan D",151,IF(Atletas!L296="Outros Estilos D",152,IF(Atletas!L296="Chaquan E",153,IF(Atletas!L296="Emeiquan E",154,IF(Atletas!L296="Fanziquan E",155,IF(Atletas!L296="Huaquan E",156,IF(Atletas!L296="Hongquan E",157,IF(Atletas!L296="Paochui E",158,IF(Atletas!L296="Piguaquan E",159,IF(Atletas!L296="Shaolinquan E",160,IF(Atletas!L296="Tanglangquan E",161,IF(Atletas!L296="Yinzhaophai E",162,IF(Atletas!L296="Tongbeiquan E",163,IF(Atletas!L296="Wudangquan E",164,IF(Atletas!L296="Outros Estilos E",165,IF(Atletas!L296="Chaquan F",166,IF(Atletas!L296="Emeiquan F",167,IF(Atletas!L296="Fanziquan F",168,IF(Atletas!L296="Huaquan F",169,IF(Atletas!L296="Hongquan F",170,IF(Atletas!L296="Paochui F",171,IF(Atletas!L296="Piguaquan F",172,IF(Atletas!L296="Shaolinquan F",173,IF(Atletas!L296="Tanglangquan F",174,IF(Atletas!L296="Yinzhaophai F",175,IF(Atletas!L296="Tongbeiquan F",176,IF(Atletas!L296="Wudangquan F",177,IF(Atletas!L296="Outros Estilos F",178,0))))))))))))))))))))))))))))))))))))))))))</f>
        <v/>
      </c>
      <c r="BN300" s="52" t="str">
        <f>IF(Atletas!M296="","",IF(Atletas!W296&lt;&gt;"",10000,0)+(IF(Atletas!B296="Feminino",1000,IF(Atletas!B296="Masculino",2000,""))+(IF(Atletas!M296="Ditangquan A",201,IF(Atletas!M296="Houquan A",202,IF(Atletas!M296="Zuiquan A",203,IF(Atletas!M296="Ditangquan B",204,IF(Atletas!M296="Houquan B",205,IF(Atletas!M296="Zuiquan B",206,IF(Atletas!M296="Ditangquan C",207,IF(Atletas!M296="Houquan C",208,IF(Atletas!M296="Zuiquan C",209,IF(Atletas!M296="Ditangquan D",210,IF(Atletas!M296="Houquan D",211,IF(Atletas!M296="Zuiquan D",212,IF(Atletas!M296="Ditangquan E",213,IF(Atletas!M296="Houquan E",214,IF(Atletas!M296="Zuiquan E",215,IF(Atletas!M296="Ditangquan F",216,IF(Atletas!M296="Houquan F",217,IF(Atletas!M296="Zuiquan F",218,"")))))))))))))))))))))</f>
        <v/>
      </c>
      <c r="BO300" s="52" t="str">
        <f>IF(Atletas!N296="","",IF(Atletas!W296&lt;&gt;"",10000,0)+IF(Atletas!B296="Feminino",1000,IF(Atletas!B296="Masculino",2000,""))+IF(Atletas!N296="Yang A",301,IF(Atletas!N296="Chen A",30,IF(Atletas!N296="Sun A",303,IF(Atletas!N296="Wu A",304,IF(Atletas!N296="Wu-Hao A",305,IF(Atletas!N296="Outro Taijiquan A",306,IF(Atletas!N296="Yang B",307,IF(Atletas!N296="Chen B",308,IF(Atletas!N296="Sun B",309,IF(Atletas!N296="Wu B",310,IF(Atletas!N296="Wu-Hao B",311,IF(Atletas!N296="Outro Taijiquan B",312,IF(Atletas!N296="Yang C",313,IF(Atletas!N296="Chen C",314,IF(Atletas!N296="Sun C",315,IF(Atletas!N296="Wu C",316,IF(Atletas!N296="Wu-Hao C",317,IF(Atletas!N296="Outro Taijiquan C",318,IF(Atletas!N296="Yang D",319,IF(Atletas!N296="Chen D",320,IF(Atletas!N296="Sun D",321,IF(Atletas!N296="Wu D",322,IF(Atletas!N296="Wu-Hao D",323,IF(Atletas!N296="Outro Taijiquan D",324,IF(Atletas!N296="Yang E",325,IF(Atletas!N296="Chen E",326,IF(Atletas!N296="Sun E",327,IF(Atletas!N296="Wu E",328,IF(Atletas!N296="Wu-Hao E",329,IF(Atletas!N296="Outro Taijiquan E",330,IF(Atletas!N296="Yang F",331,IF(Atletas!N296="Chen F",332,IF(Atletas!N296="Sun F",333,IF(Atletas!N296="Wu F",334,IF(Atletas!N296="Wu-Hao F",335,IF(Atletas!N296="Outro Taijiquan F",336,"")))))))))))))))))))))))))))))))))))))</f>
        <v/>
      </c>
      <c r="BP300" s="52" t="str">
        <f>IF(Atletas!O296="","",IF(Atletas!W296&lt;&gt;"",10000,0)+IF(Atletas!B296="Feminino",1000,IF(Atletas!B296="Masculino",2000,""))+IF(OR(Atletas!O296="Yang 26 A",Atletas!O296="Yang 40 A"),401,IF(OR(Atletas!O296="Chen 25 A",Atletas!O296="Chen 36 A",Atletas!O296="Chen 56 A"),402,IF(Atletas!O296="Sun 73 A",403,IF(Atletas!O296="Wu 45 A",404,IF(Atletas!O296="Wu-Hao 46 A",405,IF(OR(Atletas!O296="Taijiquan 16 A",Atletas!O296="Taijiquan 24 A",Atletas!O296="Taijiquan 32 A",Atletas!O296="Taijiquan 42 A"),406,IF(OR(Atletas!O296="Yang 26 B",Atletas!O296="Yang 40 B"),407,IF(OR(Atletas!O296="Chen 25 B",Atletas!O296="Chen 36 B",Atletas!O296="Chen 56 B"),408,IF(Atletas!O296="Sun 73 B",409,IF(Atletas!O296="Wu 45 B",410,IF(Atletas!O296="Wu-Hao 46 B",411,IF(OR(Atletas!O296="Taijiquan 16 B",Atletas!O296="Taijiquan 24 B",Atletas!O296="Taijiquan 32 B",Atletas!O296="Taijiquan 42 B"),412,IF(OR(Atletas!O296="Yang 26 C",Atletas!O296="Yang 40 C"),413,IF(OR(Atletas!O296="Chen 25 C",Atletas!O296="Chen 36 C",Atletas!O296="Chen 56 C"),414,IF(Atletas!O296="Sun 73 C",415,IF(Atletas!O296="Wu 45 C",416,IF(Atletas!O296="Wu-Hao 46 C",417,IF(OR(Atletas!O296="Taijiquan 16 C",Atletas!O296="Taijiquan 24 C",Atletas!O296="Taijiquan 32 C",Atletas!O296="Taijiquan 42 C"),418,0)))))))))))))))))))</f>
        <v/>
      </c>
      <c r="BQ300" s="52" t="str">
        <f>IF(Atletas!O296="","",IF(Atletas!W296&lt;&gt;"",10000,0)+IF(Atletas!B296="Feminino",1000,IF(Atletas!B296="Masculino",2000,""))+IF(OR(Atletas!O296="Yang 26 D",Atletas!O296="Yang 40 D"),419,IF(OR(Atletas!O296="Chen 25 D",Atletas!O296="Chen 36 D",Atletas!O296="Chen 56 D"),420,IF(Atletas!O296="Sun 73 D",421,IF(Atletas!O296="Wu 45 D",422,IF(Atletas!O296="Wu-Hao 46 D",423,IF(OR(Atletas!O296="Taijiquan 16 D",Atletas!O296="Taijiquan 24 D",Atletas!O296="Taijiquan 32 D",Atletas!O296="Taijiquan 42 D"),424,IF(OR(Atletas!O296="Yang 26 E",Atletas!O296="Yang 40 E"),425,IF(OR(Atletas!O296="Chen 25 E",Atletas!O296="Chen 36 E",Atletas!O296="Chen 56 E"),426,IF(Atletas!O296="Sun 73 E",427,IF(Atletas!O296="Wu 45 E",428,IF(Atletas!O296="Wu-Hao 46 E",429,IF(OR(Atletas!O296="Taijiquan 16 E",Atletas!O296="Taijiquan 24 E",Atletas!O296="Taijiquan 32 E",Atletas!O296="Taijiquan 42 E"),430,IF(OR(Atletas!O296="Yang 26 F",Atletas!O296="Yang 40 F"),431,IF(OR(Atletas!O296="Chen 25 F",Atletas!O296="Chen 36 F",Atletas!O296="Chen 56 F"),432,IF(Atletas!O296="Sun 73 F",433,IF(Atletas!O296="Wu 45 F",434,IF(Atletas!O296="Wu-Hao 46 F",435,IF(OR(Atletas!O296="Taijiquan 16 F",Atletas!O296="Taijiquan 24 F",Atletas!O296="Taijiquan 32 F",Atletas!O296="Taijiquan 42 F"),436,0)))))))))))))))))))</f>
        <v/>
      </c>
      <c r="BR300" s="52" t="str">
        <f>IF(Atletas!P296="","",IF(Atletas!W296&lt;&gt;"",10000,0)+IF(Atletas!B296="Feminino",1000,IF(Atletas!B296="Masculino",2000,""))+IF(Atletas!P296="Xingyiquan A",501,IF(Atletas!P296="Baguazhang A",502,IF(Atletas!P296="Outro Estilo Interno A",503,IF(Atletas!P296="Xingyiquan B",504,IF(Atletas!P296="Baguazhang B",505,IF(Atletas!P296="Outro Estilo Interno B",506,IF(Atletas!P296="Xingyiquan C",507,IF(Atletas!P296="Baguazhang C",508,IF(Atletas!P296="Outro Estilo Interno C",509,IF(Atletas!P296="Xingyiquan D",510,IF(Atletas!P296="Baguazhang D",511,IF(Atletas!P296="Outro Estilo Interno D",512,IF(Atletas!P296="Xingyiquan E",513,IF(Atletas!P296="Baguazhang E",514,IF(Atletas!P296="Outro Estilo Interno E",515,IF(Atletas!P296="Xingyiquan F",516,IF(Atletas!P296="Baguazhang F",517,IF(Atletas!P296="Outro Estilo Interno F",518, "")))))))))))))))))))</f>
        <v/>
      </c>
      <c r="BS300" s="52" t="str">
        <f>IF(Atletas!Q296="","",IF(Atletas!W296&lt;&gt;"",10000,0)+IF(Atletas!B296="Feminino",1000,IF(Atletas!B296="Masculino",2000,""))+IF(Atletas!Q296="Dao A",601,IF(Atletas!Q296="Jian A",602,IF(Atletas!Q296="Bishou A",603,IF(Atletas!Q296="Shan A",604,IF(Atletas!Q296="Outra Arma Curta A",605,IF(Atletas!Q296="Dao B",606,IF(Atletas!Q296="Jian B",607,IF(Atletas!Q296="Bishou B",608,IF(Atletas!Q296="Shan B",609,IF(Atletas!Q296="Outra Arma Curta B",610,IF(Atletas!Q296="Dao C",611,IF(Atletas!Q296="Jian C",612,IF(Atletas!Q296="Bishou C",613,IF(Atletas!Q296="Shan C",614,IF(Atletas!Q296="Outra Arma Curta C",615,IF(Atletas!Q296="Dao D",616,IF(Atletas!Q296="Jian D",617,IF(Atletas!Q296="Bishou D",618,IF(Atletas!Q296="Shan D",619,IF(Atletas!Q296="Outra Arma Curta D",620,IF(Atletas!Q296="Dao E",621,IF(Atletas!Q296="Jian E",622,IF(Atletas!Q296="Bishou E",623,IF(Atletas!Q296="Shan E",624,IF(Atletas!Q296="Outra Arma Curta E",625,IF(Atletas!Q296="Dao F",626,IF(Atletas!Q296="Jian F",627,IF(Atletas!Q296="Bishou F",628,IF(Atletas!Q296="Shan F",629,IF(Atletas!Q296="Outra Arma Curta F",630, "")))))))))))))))))))))))))))))))</f>
        <v/>
      </c>
      <c r="BT300" s="52" t="str">
        <f>IF(Atletas!R296="","",IF(Atletas!W296&lt;&gt;"",10000,0)+IF(Atletas!B296="Feminino",1000,IF(Atletas!B296="Masculino",2000,""))+IF(Atletas!R296="Gun A",701,IF(Atletas!R296="Qiang A",702,IF(Atletas!R296="Pudao / Guandao A",703,IF(Atletas!R296="Outra Arma Longa A",704,IF(Atletas!R296="Gun B",705,IF(Atletas!R296="Qiang B",706,IF(Atletas!R296="Pudao / Guandao B",707,IF(Atletas!R296="Outra Arma Longa B",708,IF(Atletas!R296="Gun C",709,IF(Atletas!R296="Qiang C",710,IF(Atletas!R296="Pudao / Guandao C",711,IF(Atletas!R296="Outra Arma Longa C",712,IF(Atletas!R296="Gun D",713,IF(Atletas!R296="Qiang D",714,IF(Atletas!R296="Pudao / Guandao D",715,IF(Atletas!R296="Outra Arma Longa D",716,IF(Atletas!R296="Gun E",717,IF(Atletas!R296="Qiang E",718,IF(Atletas!R296="Pudao / Guandao E",719,IF(Atletas!R296="Outra Arma Longa E",720,IF(Atletas!R296="Gun F",721,IF(Atletas!R296="Qiang F",722,IF(Atletas!R296="Pudao / Guandao F",723,IF(Atletas!R296="Outra Arma Longa F",724,"")))))))))))))))))))))))))</f>
        <v/>
      </c>
      <c r="BU300" s="52" t="str">
        <f>IF(Atletas!S296="","",IF(Atletas!W296&lt;&gt;"",10000,0)+IF(Atletas!B296="Feminino",1000,IF(Atletas!B296="Masculino",2000,""))+IF(Atletas!S296="Arma Dupla A",801,IF(Atletas!S296="Arma Maleável A",802,IF(Atletas!S296="Arma Dupla B",803,IF(Atletas!S296="Arma Maleável B",804,IF(Atletas!S296="Arma Dupla C",805,IF(Atletas!S296="Arma Maleável C",806,IF(Atletas!S296="Arma Dupla D",807,IF(Atletas!S296="Arma Maleável D",808,IF(Atletas!S296="Arma Dupla E",809,IF(Atletas!S296="Arma Maleável E",810,IF(Atletas!S296="Arma Dupla F",811,IF(Atletas!S296="Arma Maleável F",812, "")))))))))))))</f>
        <v/>
      </c>
      <c r="BV300" s="52" t="str">
        <f>IF(Atletas!T296="","",IF(Atletas!W296&lt;&gt;"",10000,0)+IF(Atletas!B296="Feminino",1000,IF(Atletas!B296="Masculino",2000,""))+IF(Atletas!T296="Taijijian Yang A",901,IF(Atletas!T296="Taijijian Chen A",902,IF(Atletas!T296="Taijijian Sun A",903,IF(Atletas!T296="Taijijian Wu A",904,IF(Atletas!T296="Taijijian Wu-Hao A",905,IF(Atletas!T296="Taijijian 32 A",906,IF(Atletas!T296="Taijijian 42 A",907,IF(Atletas!T296="Taijijian Yang B",908,IF(Atletas!T296="Taijijian Chen B",909,IF(Atletas!T296="Taijijian Sun B",910,IF(Atletas!T296="Taijijian Wu B",911,IF(Atletas!T296="Taijijian Wu-Hao B",912,IF(Atletas!T296="Taijijian 32 B",913,IF(Atletas!T296="Taijijian 42 B",914,IF(Atletas!T296="Taijijian Yang C",915,IF(Atletas!T296="Taijijian Chen C",916,IF(Atletas!T296="Taijijian Sun C",917,IF(Atletas!T296="Taijijian Wu C",918,IF(Atletas!T296="Taijijian Wu-Hao C",919,IF(Atletas!T296="Taijijian 32 C",920,IF(Atletas!T296="Taijijian 42 C",921,IF(Atletas!T296="Taijijian Yang D",922,IF(Atletas!T296="Taijijian Chen D",923,IF(Atletas!T296="Taijijian Sun D",924,IF(Atletas!T296="Taijijian Wu D",925,IF(Atletas!T296="Taijijian Wu-Hao D",926,IF(Atletas!T296="Taijijian 32 D",927,IF(Atletas!T296="Taijijian 42 D",928,IF(Atletas!T296="Taijijian Yang E",929,IF(Atletas!T296="Taijijian Chen E",930,IF(Atletas!T296="Taijijian Sun E",931,IF(Atletas!T296="Taijijian Wu E",932,IF(Atletas!T296="Taijijian Wu-Hao E",933,IF(Atletas!T296="Taijijian 32 E",934,IF(Atletas!T296="Taijijian 42 E",935,IF(Atletas!T296="Taijijian Yang F",936,IF(Atletas!T296="Taijijian Chen F",937,IF(Atletas!T296="Taijijian Sun F",938,IF(Atletas!T296="Taijijian Wu F",939,IF(Atletas!T296="Taijijian Wu-Hao F",940,IF(Atletas!T296="Taijijian 32 F",941,IF(Atletas!T296="Taijijian 42 F",942,"")))))))))))))))))))))))))))))))))))))))))))</f>
        <v/>
      </c>
      <c r="BW300" s="52" t="str">
        <f>IF(Atletas!U296="","",IF(Atletas!W296&lt;&gt;"",10000,0)+IF(Atletas!B296="Feminino",1000,IF(Atletas!B296="Masculino",2000,""))+IF(Atletas!T296="Taijijian 42 F",942,IF(Atletas!U296="Taijidao A",943,IF(Atletas!U296="Taijishan A",944,IF(Atletas!U296="Taijiqiang A",945,IF(Atletas!U296="Taijidao B",946,IF(Atletas!U296="Taijishan B",947,IF(Atletas!U296="Taijiqiang B",948,IF(Atletas!U296="Taijidao C",949,IF(Atletas!U296="Taijishan C",950,IF(Atletas!U296="Taijiqiang C",951,IF(Atletas!U296="Taijidao D",952,IF(Atletas!U296="Taijishan D",953,IF(Atletas!U296="Taijiqiang D",954,IF(Atletas!U296="Taijidao E",955,IF(Atletas!U296="Taijishan E",956,IF(Atletas!U296="Taijiqiang E",957,IF(Atletas!U296="Taijidao F",958,IF(Atletas!U296="Taijishan F",959,IF(Atletas!U296="Taijiqiang F",960))))))))))))))))))))</f>
        <v/>
      </c>
      <c r="BX300" s="72" t="str">
        <f>IF(BY300&lt;&gt;"","Taijijian Combinado B","")</f>
        <v/>
      </c>
      <c r="BY300" s="72" t="str">
        <f>IF((COUNTIF(BK:BW,1913)+COUNTIF(BK:BW,1914))&gt;0,(COUNTIF(BK:BW,1913)+COUNTIF(BK:BW,1914)),"")</f>
        <v/>
      </c>
      <c r="BZ300" s="72" t="str">
        <f>IF(CA300&lt;&gt;"","Taijijian Combinado B","")</f>
        <v/>
      </c>
      <c r="CA300" s="72" t="str">
        <f>IF(COUNTIF(BK:BW,2912)&gt;0,COUNTIF(BK:BW,2912),"")</f>
        <v/>
      </c>
      <c r="CB300" s="72" t="str">
        <f>IF(CC300&lt;&gt;"","Bishou D","")</f>
        <v/>
      </c>
      <c r="CC300" s="64" t="str">
        <f>IF(COUNTIF(BK:BW,11618)&gt;0,COUNTIF(BK:BW,11618),"")</f>
        <v/>
      </c>
      <c r="CD300" s="64" t="str">
        <f>IF(CE300&lt;&gt;"","Bishou D","")</f>
        <v/>
      </c>
      <c r="CE300" s="64" t="str">
        <f>IF(COUNTIF(BK:BW,12618)&gt;0,COUNTIF(BK:BW,12618),"")</f>
        <v/>
      </c>
      <c r="CF300" s="52" t="str">
        <f xml:space="preserve"> IF(Atletas!V296="","",IF(Atletas!V296="Duilian de Mãos AB - Equipe 1",1,IF(Atletas!V296="Duilian de Mãos AB - Equipe 2",2,IF(Atletas!V296="Duilian de Armas AB - Equipe 1",3,IF(Atletas!V296="Duilian de Armas AB - Equipe 2",4,IF(Atletas!V296="Duilian de Tuishou - Equipe 1",5,IF(Atletas!V296="Duilian de Tuishou - Equipe 2",6,IF(Atletas!V296="Grupo Externo AB - Equipe 1",7,IF(Atletas!V296="Grupo Externo AB - Equipe 2",8,IF(Atletas!V296="Grupo Interno AB - Equipe 1",9,IF(Atletas!V296="Grupo Interno AB - Equipe 2",10,IF(Atletas!V296="Duilian de Mãos CD - Equipe 1",11,IF(Atletas!V296="Duilian de Mãos CD - Equipe 2",12,IF(Atletas!V296="Duilian de Armas CD - Equipe 1",13,IF(Atletas!V296="Duilian de Armas CD - Equipe 2",14,IF(Atletas!V296="Duilian de Tuishou - Equipe 1",15,IF(Atletas!V296="Duilian de Tuishou - Equipe 2",16,IF(Atletas!V296="Grupo Externo CDEF - Equipe 1",17,IF(Atletas!V296="Grupo Externo CDEF - Equipe 2",18,IF(Atletas!V296="Grupo Interno CDEF - Equipe 1",19,IF(Atletas!V296="Grupo Interno CDEF - Equipe 2",20,IF(Atletas!V296="Duilian de Mãos EF - Equipe 1",21,IF(Atletas!V296="Duilian de Mãos EF - Equipe 2",22,IF(Atletas!V296="Duilian de Armas EF - Equipe 1",23,IF(Atletas!V296="Duilian de Armas EF - Equipe 2",24,IF(Atletas!V296="Duilian de Tuishou - Equipe 1",25,IF(Atletas!V296="Duilian de Tuishou - Equipe 2",26,"")))))))))))))))))))))))))))</f>
        <v/>
      </c>
    </row>
    <row r="301" spans="2:84">
      <c r="AJ301" s="46" t="str">
        <f>IF(Atletas!D297="","",IF(Atletas!B297="Feminino",100,IF(Atletas!B297="Masculino",200,""))+(IF(Atletas!D297="Infantil 39kg",1,IF(Atletas!D297="Infantil 42kg",2,IF(Atletas!D297="Infantil 45kg",3,IF(Atletas!D297="Infantil 48kg",4,IF(Atletas!D297="Infantil 52kg",5,IF(Atletas!D297="Infantil 56kg",6,IF(Atletas!D297="Infantil 60kg",7,IF(Atletas!D297="Juvenil 48kg",8,IF(Atletas!D297="Juvenil 52kg",9,IF(Atletas!D297="Juvenil 56kg",10,IF(Atletas!D297="Juvenil 60kg",11,IF(Atletas!D297="Juvenil 65kg",12,IF(Atletas!D297="Juvenil 70kg",13,IF(Atletas!D297="Juvenil 75kg",14,IF(Atletas!D297="Juvenil 80kg",15,IF(Atletas!D297="Adulto 48kg",16,IF(Atletas!D297="Adulto 52kg",17,IF(Atletas!D297="Adulto 56kg",18,IF(Atletas!D297="Adulto 60kg",19,IF(Atletas!D297="Adulto 65kg",20,IF(Atletas!D297="Adulto 70kg",21,IF(Atletas!D297="Adulto 75kg",22,IF(Atletas!D297="Adulto 80kg",23,IF(Atletas!D297="Adulto 85kg",24,IF(Atletas!D297="Adulto 90kg",25,IF(Atletas!D297="Adulto +90kg",26,""))))))))))))))))))))))))))))</f>
        <v/>
      </c>
      <c r="AO301" s="10" t="str">
        <f>IF(Atletas!E297="","",IF(Atletas!B297="Feminino",100,IF(Atletas!B297="Masculino",200,""))+(IF(Atletas!E297="Juvenil 44kg",1,IF(Atletas!E297="Juvenil 48kg",2,IF(Atletas!E297="Juvenil 52kg",3,IF(Atletas!E297="Juvenil 56kg",4,IF(Atletas!E297="Juvenil 60kg",5,IF(Atletas!E297="Juvenil 65kg",6,IF(Atletas!E297="Juvenil 70kg",7,IF(Atletas!E297="Juvenil 75kg",8,IF(Atletas!E297="Juvenil 82kg",9,IF(Atletas!E297="Juvenil 90kg",10,IF(Atletas!E297="Juvenil 100kg",11,IF(Atletas!E297="Adulto 48kg",12,IF(Atletas!E297="Adulto 52kg",13,IF(Atletas!E297="Adulto 56kg",14,IF(Atletas!E297="Adulto 60kg",15,IF(Atletas!E297="Adulto 65kg",16,IF(Atletas!E297="Adulto 70kg",17,IF(Atletas!E297="Adulto 75kg",18,IF(Atletas!E297="Adulto 82kg",19,IF(Atletas!E297="Adulto 90kg",20,IF(Atletas!E297="Adulto 100kg",21,IF(Atletas!E297="Adulto +100kg",22,""))))))))))))))))))))))))</f>
        <v/>
      </c>
      <c r="AT301" s="10" t="str">
        <f>IF(Atletas!F297="","",IF(Atletas!B297="Feminino",100,IF(Atletas!B297="Masculino",200,""))+(IF(Atletas!F297="Adulto 48kg",1,IF(Atletas!F297="Adulto 56kg",2,IF(Atletas!F297="Adulto 65kg",3,IF(Atletas!F297="Adulto 75kg",4,IF(Atletas!F297="Adulto +75kg",5,IF(Atletas!F297="Adulto 52kg",6,IF(Atletas!F297="Adulto 60kg",7,IF(Atletas!F297="Adulto 70kg",8,IF(Atletas!F297="Adulto 80kg",9,IF(Atletas!F297="Adulto 90kg",10,IF(Atletas!F297="Adulto +90kg",11,"")))))))))))))</f>
        <v/>
      </c>
      <c r="AY301" s="46" t="str">
        <f>IF(Atletas!G297="","",IF(Atletas!B297="Feminino",100,IF(Atletas!B297="Masculino",200,""))+(IF(Atletas!G297="Changquan Mirim",1,IF(Atletas!G297="Nanquan Mirim",2,IF(Atletas!G297="Taijiquan Mirim",3,IF(Atletas!G297="Changquan Grupo C",4,IF(Atletas!G297="Nanquan Grupo C",5,IF(Atletas!G297="Taijiquan Grupo C",6,IF(Atletas!G297="Changquan Grupo B",7,IF(Atletas!G297="Nanquan Grupo B",8,IF(Atletas!G297="Taijiquan Grupo B",9,IF(Atletas!G297="Changquan Grupo A",10,IF(Atletas!G297="Nanquan Grupo A",11,IF(Atletas!G297="Taijiquan Grupo A",12,IF(Atletas!G297="Changquan Opcional",13,IF(Atletas!G297="Nanquan Opcional",14,IF(Atletas!G297="Taijiquan Opcional",15,IF(Atletas!G297="Changquan Adulto",16,IF(Atletas!G297="Nanquan Adulto",17,IF(Atletas!G297="Taijiquan Adulto",18,""))))))))))))))))))))</f>
        <v/>
      </c>
      <c r="AZ301" s="46" t="str">
        <f>IF(Atletas!H297="","",IF(Atletas!B297="Feminino",100,IF(Atletas!B297="Masculino",200,""))+(IF(Atletas!H297="Daoshu Mirim",19,IF(Atletas!H297="Jianshu Mirim",20,IF(Atletas!H297="Nandao Mirim",21,IF(Atletas!H297="Taijijian Mirim",22,IF(Atletas!H297="Daoshu Grupo C",23,IF(Atletas!H297="Jianshu Grupo C",24,IF(Atletas!H297="Nandao Grupo C",25,IF(Atletas!H297="Taijijian Grupo C",26,IF(Atletas!H297="Daoshu Grupo B",27,IF(Atletas!H297="Jianshu Grupo B",28,IF(Atletas!H297="Nandao Grupo B",29,IF(Atletas!H297="Taijijian Grupo B",30,IF(Atletas!H297="Daoshu Grupo A",31,IF(Atletas!H297="Jianshu Grupo A",32,IF(Atletas!H297="Nandao Grupo A",33,IF(Atletas!H297="Taijijian Grupo A",34,IF(Atletas!H297="Daoshu Opcional",35,IF(Atletas!H297="Jianshu Opcional",36,IF(Atletas!H297="Nandao Opcional",37,IF(Atletas!H297="Taijijian Opcional",38,IF(Atletas!H297="Daoshu Adulto",39,IF(Atletas!H297="Jianshu Adulto",40,IF(Atletas!H297="Nandao Adulto",41,IF(Atletas!H297="Taijijian Adulto",42,""))))))))))))))))))))))))))</f>
        <v/>
      </c>
      <c r="BA301" s="46" t="str">
        <f>IF(Atletas!I297="","",IF(Atletas!B297="Feminino",100,IF(Atletas!B297="Masculino",200,""))+(IF(Atletas!I297="Gunshu Mirim",43,IF(Atletas!I297="Qiangshu Mirim",44,IF(Atletas!I297="Nangun Mirim",45,IF(Atletas!I297="Gunshu Grupo C",46,IF(Atletas!I297="Qiangshu Grupo C",47,IF(Atletas!I297="Nangun Grupo C",48,IF(Atletas!I297="Gunshu Grupo B",49,IF(Atletas!I297="Qiangshu Grupo B",50,IF(Atletas!I297="Nangun Grupo B",51,IF(Atletas!I297="Gunshu Grupo A",52,IF(Atletas!I297="Qiangshu Grupo A",53,IF(Atletas!I297="Nangun Grupo A",54,IF(Atletas!I297="Gunshu Opcional",55,IF(Atletas!I297="Qiangshu Opcional",56,IF(Atletas!I297="Nangun Opcional",57,IF(Atletas!I297="Gunshu Adulto",58,IF(Atletas!I297="Qiangshu Adulto",59,IF(Atletas!I297="Nangun Adulto",60,""))))))))))))))))))))</f>
        <v/>
      </c>
      <c r="BF301" s="52" t="str">
        <f>IF(Atletas!J297="","",IF(Atletas!B297="Feminino",100,IF(Atletas!B297="Masculino",200,""))+(IF(Atletas!J297="Equipe 1 Grupo B",1,IF(Atletas!J297="Equipe 2 Grupo B",2,IF(Atletas!J297="Equipe 1 Grupo A",3,IF(Atletas!J297="Equipe 2 Grupo A",4,IF(Atletas!J297="Equipe 1 Adulto",5,IF(Atletas!J297="Equipe 2 Adulto",6,""))))))))</f>
        <v/>
      </c>
      <c r="BK301" s="52" t="str">
        <f>IF(Atletas!K297="","",IF(Atletas!W297&lt;&gt;"",10000,0)+(IF(Atletas!B297="Feminino",1000,IF(Atletas!B297="Masculino",2000,""))+IF(Atletas!K297="Choylayfut A",1,IF(Atletas!K297="Hunggar A",2,IF(Atletas!K297="Wuzuquan A",3,IF(Atletas!K297="Wingchun A",4,IF(Atletas!K297="Outra Mão de Sul A",5,IF(Atletas!K297="Choylayfut B",6,IF(Atletas!K297="Hunggar B",7,IF(Atletas!K297="Wuzuquan B",8,IF(Atletas!K297="Wingchun B",9,IF(Atletas!K297="Outra Mão de Sul B",10,IF(Atletas!K297="Choylayfut C",11,IF(Atletas!K297="Hunggar C",12,IF(Atletas!K297="Wuzuquan C",13,IF(Atletas!K297="Wingchun C",14,IF(Atletas!K297="Outra Mão de Sul C",15,IF(Atletas!K297="Choylayfut D",16,IF(Atletas!K297="Hunggar D",17,IF(Atletas!K297="Wuzuquan D",18,IF(Atletas!K297="Wingchun D",19,IF(Atletas!K297="Outra Mão de Sul D",20,IF(Atletas!K297="Choylayfut E",21,IF(Atletas!K297="Hunggar E",22,IF(Atletas!K297="Wuzuquan E",23,IF(Atletas!K297="Wingchun E",24,IF(Atletas!K297="Outra Mão de Sul E",25,IF(Atletas!K297="Choylayfut F",26,IF(Atletas!K297="Hunggar F",27,IF(Atletas!K297="Wuzuquan F",28,IF(Atletas!K297="Wingchun F",29,IF(Atletas!K297="Outra Mão de Sul F",30,""))))))))))))))))))))))))))))))))</f>
        <v/>
      </c>
      <c r="BL301" s="52" t="str">
        <f>IF(Atletas!L297="","",IF(Atletas!W297&lt;&gt;"",10000,0)+(IF(Atletas!B297="Feminino",1000,IF(Atletas!B297="Masculino",2000,""))+(IF(Atletas!L297="Chaquan A",101,IF(Atletas!L297="Emeiquan A",102,IF(Atletas!L297="Fanziquan A",103,IF(Atletas!L297="Huaquan A",104,IF(Atletas!L297="Hongquan A",105,IF(Atletas!L297="Paochui A",106,IF(Atletas!L297="Piguaquan A",107,IF(Atletas!L297="Shaolinquan A",108,IF(Atletas!L297="Tanglangquan A",109,IF(Atletas!L297="Yinzhaophai A",110,IF(Atletas!L297="Tongbeiquan A",111,IF(Atletas!L297="Wudangquan A",112,IF(Atletas!L297="Outros Estilos A",113,IF(Atletas!L297="Chaquan B",114,IF(Atletas!L297="Emeiquan B",115,IF(Atletas!L297="Fanziquan B",116,IF(Atletas!L297="Huaquan B",117,IF(Atletas!L297="Hongquan B",118,IF(Atletas!L297="Paochui B",119,IF(Atletas!L297="Piguaquan B",120,IF(Atletas!L297="Shaolinquan B",121,IF(Atletas!L297="Tanglangquan B",122,IF(Atletas!L297="Yinzhaophai B",123,IF(Atletas!L297="Tongbeiquan B",124,IF(Atletas!L297="Wudangquan B",125,IF(Atletas!L297="Outros Estilos B",126,IF(Atletas!L297="Chaquan C",127,IF(Atletas!L297="Emeiquan C",128,IF(Atletas!L297="Fanziquan C",129,IF(Atletas!L297="Huaquan C",130,IF(Atletas!L297="Hongquan C",131,IF(Atletas!L297="Paochui C",132,IF(Atletas!L297="Piguaquan C",133,IF(Atletas!L297="Shaolinquan C",134,IF(Atletas!L297="Tanglangquan C",135,IF(Atletas!L297="Yinzhaophai C",136,IF(Atletas!L297="Tongbeiquan C",137,IF(Atletas!L297="Wudangquan C",138,IF(Atletas!L297="Outros Estilos C",139,0))))))))))))))))))))))))))))))))))))))))))</f>
        <v/>
      </c>
      <c r="BM301" s="52" t="str">
        <f>IF(Atletas!L297="","",IF(Atletas!W297&lt;&gt;"",10000,0)+(IF(Atletas!B297="Feminino",1000,IF(Atletas!B297="Masculino",2000,""))+(IF(Atletas!L297="Chaquan D",140,IF(Atletas!L297="Emeiquan D",141,IF(Atletas!L297="Fanziquan D",142,IF(Atletas!L297="Huaquan D",143,IF(Atletas!L297="Hongquan D",144,IF(Atletas!L297="Paochui D",145,IF(Atletas!L297="Piguaquan D",146,IF(Atletas!L297="Shaolinquan D",147,IF(Atletas!L297="Tanglangquan D",148,IF(Atletas!L297="Yinzhaophai D",149,IF(Atletas!L297="Tongbeiquan D",150,IF(Atletas!L297="Wudangquan D",151,IF(Atletas!L297="Outros Estilos D",152,IF(Atletas!L297="Chaquan E",153,IF(Atletas!L297="Emeiquan E",154,IF(Atletas!L297="Fanziquan E",155,IF(Atletas!L297="Huaquan E",156,IF(Atletas!L297="Hongquan E",157,IF(Atletas!L297="Paochui E",158,IF(Atletas!L297="Piguaquan E",159,IF(Atletas!L297="Shaolinquan E",160,IF(Atletas!L297="Tanglangquan E",161,IF(Atletas!L297="Yinzhaophai E",162,IF(Atletas!L297="Tongbeiquan E",163,IF(Atletas!L297="Wudangquan E",164,IF(Atletas!L297="Outros Estilos E",165,IF(Atletas!L297="Chaquan F",166,IF(Atletas!L297="Emeiquan F",167,IF(Atletas!L297="Fanziquan F",168,IF(Atletas!L297="Huaquan F",169,IF(Atletas!L297="Hongquan F",170,IF(Atletas!L297="Paochui F",171,IF(Atletas!L297="Piguaquan F",172,IF(Atletas!L297="Shaolinquan F",173,IF(Atletas!L297="Tanglangquan F",174,IF(Atletas!L297="Yinzhaophai F",175,IF(Atletas!L297="Tongbeiquan F",176,IF(Atletas!L297="Wudangquan F",177,IF(Atletas!L297="Outros Estilos F",178,0))))))))))))))))))))))))))))))))))))))))))</f>
        <v/>
      </c>
      <c r="BN301" s="52" t="str">
        <f>IF(Atletas!M297="","",IF(Atletas!W297&lt;&gt;"",10000,0)+(IF(Atletas!B297="Feminino",1000,IF(Atletas!B297="Masculino",2000,""))+(IF(Atletas!M297="Ditangquan A",201,IF(Atletas!M297="Houquan A",202,IF(Atletas!M297="Zuiquan A",203,IF(Atletas!M297="Ditangquan B",204,IF(Atletas!M297="Houquan B",205,IF(Atletas!M297="Zuiquan B",206,IF(Atletas!M297="Ditangquan C",207,IF(Atletas!M297="Houquan C",208,IF(Atletas!M297="Zuiquan C",209,IF(Atletas!M297="Ditangquan D",210,IF(Atletas!M297="Houquan D",211,IF(Atletas!M297="Zuiquan D",212,IF(Atletas!M297="Ditangquan E",213,IF(Atletas!M297="Houquan E",214,IF(Atletas!M297="Zuiquan E",215,IF(Atletas!M297="Ditangquan F",216,IF(Atletas!M297="Houquan F",217,IF(Atletas!M297="Zuiquan F",218,"")))))))))))))))))))))</f>
        <v/>
      </c>
      <c r="BO301" s="52" t="str">
        <f>IF(Atletas!N297="","",IF(Atletas!W297&lt;&gt;"",10000,0)+IF(Atletas!B297="Feminino",1000,IF(Atletas!B297="Masculino",2000,""))+IF(Atletas!N297="Yang A",301,IF(Atletas!N297="Chen A",30,IF(Atletas!N297="Sun A",303,IF(Atletas!N297="Wu A",304,IF(Atletas!N297="Wu-Hao A",305,IF(Atletas!N297="Outro Taijiquan A",306,IF(Atletas!N297="Yang B",307,IF(Atletas!N297="Chen B",308,IF(Atletas!N297="Sun B",309,IF(Atletas!N297="Wu B",310,IF(Atletas!N297="Wu-Hao B",311,IF(Atletas!N297="Outro Taijiquan B",312,IF(Atletas!N297="Yang C",313,IF(Atletas!N297="Chen C",314,IF(Atletas!N297="Sun C",315,IF(Atletas!N297="Wu C",316,IF(Atletas!N297="Wu-Hao C",317,IF(Atletas!N297="Outro Taijiquan C",318,IF(Atletas!N297="Yang D",319,IF(Atletas!N297="Chen D",320,IF(Atletas!N297="Sun D",321,IF(Atletas!N297="Wu D",322,IF(Atletas!N297="Wu-Hao D",323,IF(Atletas!N297="Outro Taijiquan D",324,IF(Atletas!N297="Yang E",325,IF(Atletas!N297="Chen E",326,IF(Atletas!N297="Sun E",327,IF(Atletas!N297="Wu E",328,IF(Atletas!N297="Wu-Hao E",329,IF(Atletas!N297="Outro Taijiquan E",330,IF(Atletas!N297="Yang F",331,IF(Atletas!N297="Chen F",332,IF(Atletas!N297="Sun F",333,IF(Atletas!N297="Wu F",334,IF(Atletas!N297="Wu-Hao F",335,IF(Atletas!N297="Outro Taijiquan F",336,"")))))))))))))))))))))))))))))))))))))</f>
        <v/>
      </c>
      <c r="BP301" s="52" t="str">
        <f>IF(Atletas!O297="","",IF(Atletas!W297&lt;&gt;"",10000,0)+IF(Atletas!B297="Feminino",1000,IF(Atletas!B297="Masculino",2000,""))+IF(OR(Atletas!O297="Yang 26 A",Atletas!O297="Yang 40 A"),401,IF(OR(Atletas!O297="Chen 25 A",Atletas!O297="Chen 36 A",Atletas!O297="Chen 56 A"),402,IF(Atletas!O297="Sun 73 A",403,IF(Atletas!O297="Wu 45 A",404,IF(Atletas!O297="Wu-Hao 46 A",405,IF(OR(Atletas!O297="Taijiquan 16 A",Atletas!O297="Taijiquan 24 A",Atletas!O297="Taijiquan 32 A",Atletas!O297="Taijiquan 42 A"),406,IF(OR(Atletas!O297="Yang 26 B",Atletas!O297="Yang 40 B"),407,IF(OR(Atletas!O297="Chen 25 B",Atletas!O297="Chen 36 B",Atletas!O297="Chen 56 B"),408,IF(Atletas!O297="Sun 73 B",409,IF(Atletas!O297="Wu 45 B",410,IF(Atletas!O297="Wu-Hao 46 B",411,IF(OR(Atletas!O297="Taijiquan 16 B",Atletas!O297="Taijiquan 24 B",Atletas!O297="Taijiquan 32 B",Atletas!O297="Taijiquan 42 B"),412,IF(OR(Atletas!O297="Yang 26 C",Atletas!O297="Yang 40 C"),413,IF(OR(Atletas!O297="Chen 25 C",Atletas!O297="Chen 36 C",Atletas!O297="Chen 56 C"),414,IF(Atletas!O297="Sun 73 C",415,IF(Atletas!O297="Wu 45 C",416,IF(Atletas!O297="Wu-Hao 46 C",417,IF(OR(Atletas!O297="Taijiquan 16 C",Atletas!O297="Taijiquan 24 C",Atletas!O297="Taijiquan 32 C",Atletas!O297="Taijiquan 42 C"),418,0)))))))))))))))))))</f>
        <v/>
      </c>
      <c r="BQ301" s="52" t="str">
        <f>IF(Atletas!O297="","",IF(Atletas!W297&lt;&gt;"",10000,0)+IF(Atletas!B297="Feminino",1000,IF(Atletas!B297="Masculino",2000,""))+IF(OR(Atletas!O297="Yang 26 D",Atletas!O297="Yang 40 D"),419,IF(OR(Atletas!O297="Chen 25 D",Atletas!O297="Chen 36 D",Atletas!O297="Chen 56 D"),420,IF(Atletas!O297="Sun 73 D",421,IF(Atletas!O297="Wu 45 D",422,IF(Atletas!O297="Wu-Hao 46 D",423,IF(OR(Atletas!O297="Taijiquan 16 D",Atletas!O297="Taijiquan 24 D",Atletas!O297="Taijiquan 32 D",Atletas!O297="Taijiquan 42 D"),424,IF(OR(Atletas!O297="Yang 26 E",Atletas!O297="Yang 40 E"),425,IF(OR(Atletas!O297="Chen 25 E",Atletas!O297="Chen 36 E",Atletas!O297="Chen 56 E"),426,IF(Atletas!O297="Sun 73 E",427,IF(Atletas!O297="Wu 45 E",428,IF(Atletas!O297="Wu-Hao 46 E",429,IF(OR(Atletas!O297="Taijiquan 16 E",Atletas!O297="Taijiquan 24 E",Atletas!O297="Taijiquan 32 E",Atletas!O297="Taijiquan 42 E"),430,IF(OR(Atletas!O297="Yang 26 F",Atletas!O297="Yang 40 F"),431,IF(OR(Atletas!O297="Chen 25 F",Atletas!O297="Chen 36 F",Atletas!O297="Chen 56 F"),432,IF(Atletas!O297="Sun 73 F",433,IF(Atletas!O297="Wu 45 F",434,IF(Atletas!O297="Wu-Hao 46 F",435,IF(OR(Atletas!O297="Taijiquan 16 F",Atletas!O297="Taijiquan 24 F",Atletas!O297="Taijiquan 32 F",Atletas!O297="Taijiquan 42 F"),436,0)))))))))))))))))))</f>
        <v/>
      </c>
      <c r="BR301" s="52" t="str">
        <f>IF(Atletas!P297="","",IF(Atletas!W297&lt;&gt;"",10000,0)+IF(Atletas!B297="Feminino",1000,IF(Atletas!B297="Masculino",2000,""))+IF(Atletas!P297="Xingyiquan A",501,IF(Atletas!P297="Baguazhang A",502,IF(Atletas!P297="Outro Estilo Interno A",503,IF(Atletas!P297="Xingyiquan B",504,IF(Atletas!P297="Baguazhang B",505,IF(Atletas!P297="Outro Estilo Interno B",506,IF(Atletas!P297="Xingyiquan C",507,IF(Atletas!P297="Baguazhang C",508,IF(Atletas!P297="Outro Estilo Interno C",509,IF(Atletas!P297="Xingyiquan D",510,IF(Atletas!P297="Baguazhang D",511,IF(Atletas!P297="Outro Estilo Interno D",512,IF(Atletas!P297="Xingyiquan E",513,IF(Atletas!P297="Baguazhang E",514,IF(Atletas!P297="Outro Estilo Interno E",515,IF(Atletas!P297="Xingyiquan F",516,IF(Atletas!P297="Baguazhang F",517,IF(Atletas!P297="Outro Estilo Interno F",518, "")))))))))))))))))))</f>
        <v/>
      </c>
      <c r="BS301" s="52" t="str">
        <f>IF(Atletas!Q297="","",IF(Atletas!W297&lt;&gt;"",10000,0)+IF(Atletas!B297="Feminino",1000,IF(Atletas!B297="Masculino",2000,""))+IF(Atletas!Q297="Dao A",601,IF(Atletas!Q297="Jian A",602,IF(Atletas!Q297="Bishou A",603,IF(Atletas!Q297="Shan A",604,IF(Atletas!Q297="Outra Arma Curta A",605,IF(Atletas!Q297="Dao B",606,IF(Atletas!Q297="Jian B",607,IF(Atletas!Q297="Bishou B",608,IF(Atletas!Q297="Shan B",609,IF(Atletas!Q297="Outra Arma Curta B",610,IF(Atletas!Q297="Dao C",611,IF(Atletas!Q297="Jian C",612,IF(Atletas!Q297="Bishou C",613,IF(Atletas!Q297="Shan C",614,IF(Atletas!Q297="Outra Arma Curta C",615,IF(Atletas!Q297="Dao D",616,IF(Atletas!Q297="Jian D",617,IF(Atletas!Q297="Bishou D",618,IF(Atletas!Q297="Shan D",619,IF(Atletas!Q297="Outra Arma Curta D",620,IF(Atletas!Q297="Dao E",621,IF(Atletas!Q297="Jian E",622,IF(Atletas!Q297="Bishou E",623,IF(Atletas!Q297="Shan E",624,IF(Atletas!Q297="Outra Arma Curta E",625,IF(Atletas!Q297="Dao F",626,IF(Atletas!Q297="Jian F",627,IF(Atletas!Q297="Bishou F",628,IF(Atletas!Q297="Shan F",629,IF(Atletas!Q297="Outra Arma Curta F",630, "")))))))))))))))))))))))))))))))</f>
        <v/>
      </c>
      <c r="BT301" s="52" t="str">
        <f>IF(Atletas!R297="","",IF(Atletas!W297&lt;&gt;"",10000,0)+IF(Atletas!B297="Feminino",1000,IF(Atletas!B297="Masculino",2000,""))+IF(Atletas!R297="Gun A",701,IF(Atletas!R297="Qiang A",702,IF(Atletas!R297="Pudao / Guandao A",703,IF(Atletas!R297="Outra Arma Longa A",704,IF(Atletas!R297="Gun B",705,IF(Atletas!R297="Qiang B",706,IF(Atletas!R297="Pudao / Guandao B",707,IF(Atletas!R297="Outra Arma Longa B",708,IF(Atletas!R297="Gun C",709,IF(Atletas!R297="Qiang C",710,IF(Atletas!R297="Pudao / Guandao C",711,IF(Atletas!R297="Outra Arma Longa C",712,IF(Atletas!R297="Gun D",713,IF(Atletas!R297="Qiang D",714,IF(Atletas!R297="Pudao / Guandao D",715,IF(Atletas!R297="Outra Arma Longa D",716,IF(Atletas!R297="Gun E",717,IF(Atletas!R297="Qiang E",718,IF(Atletas!R297="Pudao / Guandao E",719,IF(Atletas!R297="Outra Arma Longa E",720,IF(Atletas!R297="Gun F",721,IF(Atletas!R297="Qiang F",722,IF(Atletas!R297="Pudao / Guandao F",723,IF(Atletas!R297="Outra Arma Longa F",724,"")))))))))))))))))))))))))</f>
        <v/>
      </c>
      <c r="BU301" s="52" t="str">
        <f>IF(Atletas!S297="","",IF(Atletas!W297&lt;&gt;"",10000,0)+IF(Atletas!B297="Feminino",1000,IF(Atletas!B297="Masculino",2000,""))+IF(Atletas!S297="Arma Dupla A",801,IF(Atletas!S297="Arma Maleável A",802,IF(Atletas!S297="Arma Dupla B",803,IF(Atletas!S297="Arma Maleável B",804,IF(Atletas!S297="Arma Dupla C",805,IF(Atletas!S297="Arma Maleável C",806,IF(Atletas!S297="Arma Dupla D",807,IF(Atletas!S297="Arma Maleável D",808,IF(Atletas!S297="Arma Dupla E",809,IF(Atletas!S297="Arma Maleável E",810,IF(Atletas!S297="Arma Dupla F",811,IF(Atletas!S297="Arma Maleável F",812, "")))))))))))))</f>
        <v/>
      </c>
      <c r="BV301" s="52" t="str">
        <f>IF(Atletas!T297="","",IF(Atletas!W297&lt;&gt;"",10000,0)+IF(Atletas!B297="Feminino",1000,IF(Atletas!B297="Masculino",2000,""))+IF(Atletas!T297="Taijijian Yang A",901,IF(Atletas!T297="Taijijian Chen A",902,IF(Atletas!T297="Taijijian Sun A",903,IF(Atletas!T297="Taijijian Wu A",904,IF(Atletas!T297="Taijijian Wu-Hao A",905,IF(Atletas!T297="Taijijian 32 A",906,IF(Atletas!T297="Taijijian 42 A",907,IF(Atletas!T297="Taijijian Yang B",908,IF(Atletas!T297="Taijijian Chen B",909,IF(Atletas!T297="Taijijian Sun B",910,IF(Atletas!T297="Taijijian Wu B",911,IF(Atletas!T297="Taijijian Wu-Hao B",912,IF(Atletas!T297="Taijijian 32 B",913,IF(Atletas!T297="Taijijian 42 B",914,IF(Atletas!T297="Taijijian Yang C",915,IF(Atletas!T297="Taijijian Chen C",916,IF(Atletas!T297="Taijijian Sun C",917,IF(Atletas!T297="Taijijian Wu C",918,IF(Atletas!T297="Taijijian Wu-Hao C",919,IF(Atletas!T297="Taijijian 32 C",920,IF(Atletas!T297="Taijijian 42 C",921,IF(Atletas!T297="Taijijian Yang D",922,IF(Atletas!T297="Taijijian Chen D",923,IF(Atletas!T297="Taijijian Sun D",924,IF(Atletas!T297="Taijijian Wu D",925,IF(Atletas!T297="Taijijian Wu-Hao D",926,IF(Atletas!T297="Taijijian 32 D",927,IF(Atletas!T297="Taijijian 42 D",928,IF(Atletas!T297="Taijijian Yang E",929,IF(Atletas!T297="Taijijian Chen E",930,IF(Atletas!T297="Taijijian Sun E",931,IF(Atletas!T297="Taijijian Wu E",932,IF(Atletas!T297="Taijijian Wu-Hao E",933,IF(Atletas!T297="Taijijian 32 E",934,IF(Atletas!T297="Taijijian 42 E",935,IF(Atletas!T297="Taijijian Yang F",936,IF(Atletas!T297="Taijijian Chen F",937,IF(Atletas!T297="Taijijian Sun F",938,IF(Atletas!T297="Taijijian Wu F",939,IF(Atletas!T297="Taijijian Wu-Hao F",940,IF(Atletas!T297="Taijijian 32 F",941,IF(Atletas!T297="Taijijian 42 F",942,"")))))))))))))))))))))))))))))))))))))))))))</f>
        <v/>
      </c>
      <c r="BW301" s="52" t="str">
        <f>IF(Atletas!U297="","",IF(Atletas!W297&lt;&gt;"",10000,0)+IF(Atletas!B297="Feminino",1000,IF(Atletas!B297="Masculino",2000,""))+IF(Atletas!T297="Taijijian 42 F",942,IF(Atletas!U297="Taijidao A",943,IF(Atletas!U297="Taijishan A",944,IF(Atletas!U297="Taijiqiang A",945,IF(Atletas!U297="Taijidao B",946,IF(Atletas!U297="Taijishan B",947,IF(Atletas!U297="Taijiqiang B",948,IF(Atletas!U297="Taijidao C",949,IF(Atletas!U297="Taijishan C",950,IF(Atletas!U297="Taijiqiang C",951,IF(Atletas!U297="Taijidao D",952,IF(Atletas!U297="Taijishan D",953,IF(Atletas!U297="Taijiqiang D",954,IF(Atletas!U297="Taijidao E",955,IF(Atletas!U297="Taijishan E",956,IF(Atletas!U297="Taijiqiang E",957,IF(Atletas!U297="Taijidao F",958,IF(Atletas!U297="Taijishan F",959,IF(Atletas!U297="Taijiqiang F",960))))))))))))))))))))</f>
        <v/>
      </c>
      <c r="BX301" s="72" t="str">
        <f>IF(BY301&lt;&gt;"","Taijijian Yang C","")</f>
        <v/>
      </c>
      <c r="BY301" s="72" t="str">
        <f>IF(COUNTIF(BK:BW,1915)&gt;0,COUNTIF(BK:BW,1915),"")</f>
        <v/>
      </c>
      <c r="BZ301" s="72" t="str">
        <f>IF(CA301&lt;&gt;"","Taijijian Yang C","")</f>
        <v/>
      </c>
      <c r="CA301" s="72" t="str">
        <f>IF((COUNTIF(BM:BY,2913)+COUNTIF(BM:BY,2914))&gt;0,(COUNTIF(BM:BY,2913)+COUNTIF(BM:BY,2914)),"")</f>
        <v/>
      </c>
      <c r="CB301" s="72" t="str">
        <f>IF(CC301&lt;&gt;"","Shan D","")</f>
        <v/>
      </c>
      <c r="CC301" s="64" t="str">
        <f>IF(COUNTIF(BK:BW,11619)&gt;0,COUNTIF(BK:BW,11619),"")</f>
        <v/>
      </c>
      <c r="CD301" s="64" t="str">
        <f>IF(CE301&lt;&gt;"","Shan D","")</f>
        <v/>
      </c>
      <c r="CE301" s="64" t="str">
        <f>IF(COUNTIF(BK:BW,12619)&gt;0,COUNTIF(BK:BW,12619),"")</f>
        <v/>
      </c>
      <c r="CF301" s="52" t="str">
        <f xml:space="preserve"> IF(Atletas!V297="","",IF(Atletas!V297="Duilian de Mãos AB - Equipe 1",1,IF(Atletas!V297="Duilian de Mãos AB - Equipe 2",2,IF(Atletas!V297="Duilian de Armas AB - Equipe 1",3,IF(Atletas!V297="Duilian de Armas AB - Equipe 2",4,IF(Atletas!V297="Duilian de Tuishou - Equipe 1",5,IF(Atletas!V297="Duilian de Tuishou - Equipe 2",6,IF(Atletas!V297="Grupo Externo AB - Equipe 1",7,IF(Atletas!V297="Grupo Externo AB - Equipe 2",8,IF(Atletas!V297="Grupo Interno AB - Equipe 1",9,IF(Atletas!V297="Grupo Interno AB - Equipe 2",10,IF(Atletas!V297="Duilian de Mãos CD - Equipe 1",11,IF(Atletas!V297="Duilian de Mãos CD - Equipe 2",12,IF(Atletas!V297="Duilian de Armas CD - Equipe 1",13,IF(Atletas!V297="Duilian de Armas CD - Equipe 2",14,IF(Atletas!V297="Duilian de Tuishou - Equipe 1",15,IF(Atletas!V297="Duilian de Tuishou - Equipe 2",16,IF(Atletas!V297="Grupo Externo CDEF - Equipe 1",17,IF(Atletas!V297="Grupo Externo CDEF - Equipe 2",18,IF(Atletas!V297="Grupo Interno CDEF - Equipe 1",19,IF(Atletas!V297="Grupo Interno CDEF - Equipe 2",20,IF(Atletas!V297="Duilian de Mãos EF - Equipe 1",21,IF(Atletas!V297="Duilian de Mãos EF - Equipe 2",22,IF(Atletas!V297="Duilian de Armas EF - Equipe 1",23,IF(Atletas!V297="Duilian de Armas EF - Equipe 2",24,IF(Atletas!V297="Duilian de Tuishou - Equipe 1",25,IF(Atletas!V297="Duilian de Tuishou - Equipe 2",26,"")))))))))))))))))))))))))))</f>
        <v/>
      </c>
    </row>
    <row r="302" spans="2:84">
      <c r="AJ302" s="46" t="str">
        <f>IF(Atletas!D298="","",IF(Atletas!B298="Feminino",100,IF(Atletas!B298="Masculino",200,""))+(IF(Atletas!D298="Infantil 39kg",1,IF(Atletas!D298="Infantil 42kg",2,IF(Atletas!D298="Infantil 45kg",3,IF(Atletas!D298="Infantil 48kg",4,IF(Atletas!D298="Infantil 52kg",5,IF(Atletas!D298="Infantil 56kg",6,IF(Atletas!D298="Infantil 60kg",7,IF(Atletas!D298="Juvenil 48kg",8,IF(Atletas!D298="Juvenil 52kg",9,IF(Atletas!D298="Juvenil 56kg",10,IF(Atletas!D298="Juvenil 60kg",11,IF(Atletas!D298="Juvenil 65kg",12,IF(Atletas!D298="Juvenil 70kg",13,IF(Atletas!D298="Juvenil 75kg",14,IF(Atletas!D298="Juvenil 80kg",15,IF(Atletas!D298="Adulto 48kg",16,IF(Atletas!D298="Adulto 52kg",17,IF(Atletas!D298="Adulto 56kg",18,IF(Atletas!D298="Adulto 60kg",19,IF(Atletas!D298="Adulto 65kg",20,IF(Atletas!D298="Adulto 70kg",21,IF(Atletas!D298="Adulto 75kg",22,IF(Atletas!D298="Adulto 80kg",23,IF(Atletas!D298="Adulto 85kg",24,IF(Atletas!D298="Adulto 90kg",25,IF(Atletas!D298="Adulto +90kg",26,""))))))))))))))))))))))))))))</f>
        <v/>
      </c>
      <c r="AO302" s="10" t="str">
        <f>IF(Atletas!E298="","",IF(Atletas!B298="Feminino",100,IF(Atletas!B298="Masculino",200,""))+(IF(Atletas!E298="Juvenil 44kg",1,IF(Atletas!E298="Juvenil 48kg",2,IF(Atletas!E298="Juvenil 52kg",3,IF(Atletas!E298="Juvenil 56kg",4,IF(Atletas!E298="Juvenil 60kg",5,IF(Atletas!E298="Juvenil 65kg",6,IF(Atletas!E298="Juvenil 70kg",7,IF(Atletas!E298="Juvenil 75kg",8,IF(Atletas!E298="Juvenil 82kg",9,IF(Atletas!E298="Juvenil 90kg",10,IF(Atletas!E298="Juvenil 100kg",11,IF(Atletas!E298="Adulto 48kg",12,IF(Atletas!E298="Adulto 52kg",13,IF(Atletas!E298="Adulto 56kg",14,IF(Atletas!E298="Adulto 60kg",15,IF(Atletas!E298="Adulto 65kg",16,IF(Atletas!E298="Adulto 70kg",17,IF(Atletas!E298="Adulto 75kg",18,IF(Atletas!E298="Adulto 82kg",19,IF(Atletas!E298="Adulto 90kg",20,IF(Atletas!E298="Adulto 100kg",21,IF(Atletas!E298="Adulto +100kg",22,""))))))))))))))))))))))))</f>
        <v/>
      </c>
      <c r="AT302" s="10" t="str">
        <f>IF(Atletas!F298="","",IF(Atletas!B298="Feminino",100,IF(Atletas!B298="Masculino",200,""))+(IF(Atletas!F298="Adulto 48kg",1,IF(Atletas!F298="Adulto 56kg",2,IF(Atletas!F298="Adulto 65kg",3,IF(Atletas!F298="Adulto 75kg",4,IF(Atletas!F298="Adulto +75kg",5,IF(Atletas!F298="Adulto 52kg",6,IF(Atletas!F298="Adulto 60kg",7,IF(Atletas!F298="Adulto 70kg",8,IF(Atletas!F298="Adulto 80kg",9,IF(Atletas!F298="Adulto 90kg",10,IF(Atletas!F298="Adulto +90kg",11,"")))))))))))))</f>
        <v/>
      </c>
      <c r="AY302" s="46" t="str">
        <f>IF(Atletas!G298="","",IF(Atletas!B298="Feminino",100,IF(Atletas!B298="Masculino",200,""))+(IF(Atletas!G298="Changquan Mirim",1,IF(Atletas!G298="Nanquan Mirim",2,IF(Atletas!G298="Taijiquan Mirim",3,IF(Atletas!G298="Changquan Grupo C",4,IF(Atletas!G298="Nanquan Grupo C",5,IF(Atletas!G298="Taijiquan Grupo C",6,IF(Atletas!G298="Changquan Grupo B",7,IF(Atletas!G298="Nanquan Grupo B",8,IF(Atletas!G298="Taijiquan Grupo B",9,IF(Atletas!G298="Changquan Grupo A",10,IF(Atletas!G298="Nanquan Grupo A",11,IF(Atletas!G298="Taijiquan Grupo A",12,IF(Atletas!G298="Changquan Opcional",13,IF(Atletas!G298="Nanquan Opcional",14,IF(Atletas!G298="Taijiquan Opcional",15,IF(Atletas!G298="Changquan Adulto",16,IF(Atletas!G298="Nanquan Adulto",17,IF(Atletas!G298="Taijiquan Adulto",18,""))))))))))))))))))))</f>
        <v/>
      </c>
      <c r="AZ302" s="46" t="str">
        <f>IF(Atletas!H298="","",IF(Atletas!B298="Feminino",100,IF(Atletas!B298="Masculino",200,""))+(IF(Atletas!H298="Daoshu Mirim",19,IF(Atletas!H298="Jianshu Mirim",20,IF(Atletas!H298="Nandao Mirim",21,IF(Atletas!H298="Taijijian Mirim",22,IF(Atletas!H298="Daoshu Grupo C",23,IF(Atletas!H298="Jianshu Grupo C",24,IF(Atletas!H298="Nandao Grupo C",25,IF(Atletas!H298="Taijijian Grupo C",26,IF(Atletas!H298="Daoshu Grupo B",27,IF(Atletas!H298="Jianshu Grupo B",28,IF(Atletas!H298="Nandao Grupo B",29,IF(Atletas!H298="Taijijian Grupo B",30,IF(Atletas!H298="Daoshu Grupo A",31,IF(Atletas!H298="Jianshu Grupo A",32,IF(Atletas!H298="Nandao Grupo A",33,IF(Atletas!H298="Taijijian Grupo A",34,IF(Atletas!H298="Daoshu Opcional",35,IF(Atletas!H298="Jianshu Opcional",36,IF(Atletas!H298="Nandao Opcional",37,IF(Atletas!H298="Taijijian Opcional",38,IF(Atletas!H298="Daoshu Adulto",39,IF(Atletas!H298="Jianshu Adulto",40,IF(Atletas!H298="Nandao Adulto",41,IF(Atletas!H298="Taijijian Adulto",42,""))))))))))))))))))))))))))</f>
        <v/>
      </c>
      <c r="BA302" s="46" t="str">
        <f>IF(Atletas!I298="","",IF(Atletas!B298="Feminino",100,IF(Atletas!B298="Masculino",200,""))+(IF(Atletas!I298="Gunshu Mirim",43,IF(Atletas!I298="Qiangshu Mirim",44,IF(Atletas!I298="Nangun Mirim",45,IF(Atletas!I298="Gunshu Grupo C",46,IF(Atletas!I298="Qiangshu Grupo C",47,IF(Atletas!I298="Nangun Grupo C",48,IF(Atletas!I298="Gunshu Grupo B",49,IF(Atletas!I298="Qiangshu Grupo B",50,IF(Atletas!I298="Nangun Grupo B",51,IF(Atletas!I298="Gunshu Grupo A",52,IF(Atletas!I298="Qiangshu Grupo A",53,IF(Atletas!I298="Nangun Grupo A",54,IF(Atletas!I298="Gunshu Opcional",55,IF(Atletas!I298="Qiangshu Opcional",56,IF(Atletas!I298="Nangun Opcional",57,IF(Atletas!I298="Gunshu Adulto",58,IF(Atletas!I298="Qiangshu Adulto",59,IF(Atletas!I298="Nangun Adulto",60,""))))))))))))))))))))</f>
        <v/>
      </c>
      <c r="BF302" s="52" t="str">
        <f>IF(Atletas!J298="","",IF(Atletas!B298="Feminino",100,IF(Atletas!B298="Masculino",200,""))+(IF(Atletas!J298="Equipe 1 Grupo B",1,IF(Atletas!J298="Equipe 2 Grupo B",2,IF(Atletas!J298="Equipe 1 Grupo A",3,IF(Atletas!J298="Equipe 2 Grupo A",4,IF(Atletas!J298="Equipe 1 Adulto",5,IF(Atletas!J298="Equipe 2 Adulto",6,""))))))))</f>
        <v/>
      </c>
      <c r="BK302" s="52" t="str">
        <f>IF(Atletas!K298="","",IF(Atletas!W298&lt;&gt;"",10000,0)+(IF(Atletas!B298="Feminino",1000,IF(Atletas!B298="Masculino",2000,""))+IF(Atletas!K298="Choylayfut A",1,IF(Atletas!K298="Hunggar A",2,IF(Atletas!K298="Wuzuquan A",3,IF(Atletas!K298="Wingchun A",4,IF(Atletas!K298="Outra Mão de Sul A",5,IF(Atletas!K298="Choylayfut B",6,IF(Atletas!K298="Hunggar B",7,IF(Atletas!K298="Wuzuquan B",8,IF(Atletas!K298="Wingchun B",9,IF(Atletas!K298="Outra Mão de Sul B",10,IF(Atletas!K298="Choylayfut C",11,IF(Atletas!K298="Hunggar C",12,IF(Atletas!K298="Wuzuquan C",13,IF(Atletas!K298="Wingchun C",14,IF(Atletas!K298="Outra Mão de Sul C",15,IF(Atletas!K298="Choylayfut D",16,IF(Atletas!K298="Hunggar D",17,IF(Atletas!K298="Wuzuquan D",18,IF(Atletas!K298="Wingchun D",19,IF(Atletas!K298="Outra Mão de Sul D",20,IF(Atletas!K298="Choylayfut E",21,IF(Atletas!K298="Hunggar E",22,IF(Atletas!K298="Wuzuquan E",23,IF(Atletas!K298="Wingchun E",24,IF(Atletas!K298="Outra Mão de Sul E",25,IF(Atletas!K298="Choylayfut F",26,IF(Atletas!K298="Hunggar F",27,IF(Atletas!K298="Wuzuquan F",28,IF(Atletas!K298="Wingchun F",29,IF(Atletas!K298="Outra Mão de Sul F",30,""))))))))))))))))))))))))))))))))</f>
        <v/>
      </c>
      <c r="BL302" s="52" t="str">
        <f>IF(Atletas!L298="","",IF(Atletas!W298&lt;&gt;"",10000,0)+(IF(Atletas!B298="Feminino",1000,IF(Atletas!B298="Masculino",2000,""))+(IF(Atletas!L298="Chaquan A",101,IF(Atletas!L298="Emeiquan A",102,IF(Atletas!L298="Fanziquan A",103,IF(Atletas!L298="Huaquan A",104,IF(Atletas!L298="Hongquan A",105,IF(Atletas!L298="Paochui A",106,IF(Atletas!L298="Piguaquan A",107,IF(Atletas!L298="Shaolinquan A",108,IF(Atletas!L298="Tanglangquan A",109,IF(Atletas!L298="Yinzhaophai A",110,IF(Atletas!L298="Tongbeiquan A",111,IF(Atletas!L298="Wudangquan A",112,IF(Atletas!L298="Outros Estilos A",113,IF(Atletas!L298="Chaquan B",114,IF(Atletas!L298="Emeiquan B",115,IF(Atletas!L298="Fanziquan B",116,IF(Atletas!L298="Huaquan B",117,IF(Atletas!L298="Hongquan B",118,IF(Atletas!L298="Paochui B",119,IF(Atletas!L298="Piguaquan B",120,IF(Atletas!L298="Shaolinquan B",121,IF(Atletas!L298="Tanglangquan B",122,IF(Atletas!L298="Yinzhaophai B",123,IF(Atletas!L298="Tongbeiquan B",124,IF(Atletas!L298="Wudangquan B",125,IF(Atletas!L298="Outros Estilos B",126,IF(Atletas!L298="Chaquan C",127,IF(Atletas!L298="Emeiquan C",128,IF(Atletas!L298="Fanziquan C",129,IF(Atletas!L298="Huaquan C",130,IF(Atletas!L298="Hongquan C",131,IF(Atletas!L298="Paochui C",132,IF(Atletas!L298="Piguaquan C",133,IF(Atletas!L298="Shaolinquan C",134,IF(Atletas!L298="Tanglangquan C",135,IF(Atletas!L298="Yinzhaophai C",136,IF(Atletas!L298="Tongbeiquan C",137,IF(Atletas!L298="Wudangquan C",138,IF(Atletas!L298="Outros Estilos C",139,0))))))))))))))))))))))))))))))))))))))))))</f>
        <v/>
      </c>
      <c r="BM302" s="52" t="str">
        <f>IF(Atletas!L298="","",IF(Atletas!W298&lt;&gt;"",10000,0)+(IF(Atletas!B298="Feminino",1000,IF(Atletas!B298="Masculino",2000,""))+(IF(Atletas!L298="Chaquan D",140,IF(Atletas!L298="Emeiquan D",141,IF(Atletas!L298="Fanziquan D",142,IF(Atletas!L298="Huaquan D",143,IF(Atletas!L298="Hongquan D",144,IF(Atletas!L298="Paochui D",145,IF(Atletas!L298="Piguaquan D",146,IF(Atletas!L298="Shaolinquan D",147,IF(Atletas!L298="Tanglangquan D",148,IF(Atletas!L298="Yinzhaophai D",149,IF(Atletas!L298="Tongbeiquan D",150,IF(Atletas!L298="Wudangquan D",151,IF(Atletas!L298="Outros Estilos D",152,IF(Atletas!L298="Chaquan E",153,IF(Atletas!L298="Emeiquan E",154,IF(Atletas!L298="Fanziquan E",155,IF(Atletas!L298="Huaquan E",156,IF(Atletas!L298="Hongquan E",157,IF(Atletas!L298="Paochui E",158,IF(Atletas!L298="Piguaquan E",159,IF(Atletas!L298="Shaolinquan E",160,IF(Atletas!L298="Tanglangquan E",161,IF(Atletas!L298="Yinzhaophai E",162,IF(Atletas!L298="Tongbeiquan E",163,IF(Atletas!L298="Wudangquan E",164,IF(Atletas!L298="Outros Estilos E",165,IF(Atletas!L298="Chaquan F",166,IF(Atletas!L298="Emeiquan F",167,IF(Atletas!L298="Fanziquan F",168,IF(Atletas!L298="Huaquan F",169,IF(Atletas!L298="Hongquan F",170,IF(Atletas!L298="Paochui F",171,IF(Atletas!L298="Piguaquan F",172,IF(Atletas!L298="Shaolinquan F",173,IF(Atletas!L298="Tanglangquan F",174,IF(Atletas!L298="Yinzhaophai F",175,IF(Atletas!L298="Tongbeiquan F",176,IF(Atletas!L298="Wudangquan F",177,IF(Atletas!L298="Outros Estilos F",178,0))))))))))))))))))))))))))))))))))))))))))</f>
        <v/>
      </c>
      <c r="BN302" s="52" t="str">
        <f>IF(Atletas!M298="","",IF(Atletas!W298&lt;&gt;"",10000,0)+(IF(Atletas!B298="Feminino",1000,IF(Atletas!B298="Masculino",2000,""))+(IF(Atletas!M298="Ditangquan A",201,IF(Atletas!M298="Houquan A",202,IF(Atletas!M298="Zuiquan A",203,IF(Atletas!M298="Ditangquan B",204,IF(Atletas!M298="Houquan B",205,IF(Atletas!M298="Zuiquan B",206,IF(Atletas!M298="Ditangquan C",207,IF(Atletas!M298="Houquan C",208,IF(Atletas!M298="Zuiquan C",209,IF(Atletas!M298="Ditangquan D",210,IF(Atletas!M298="Houquan D",211,IF(Atletas!M298="Zuiquan D",212,IF(Atletas!M298="Ditangquan E",213,IF(Atletas!M298="Houquan E",214,IF(Atletas!M298="Zuiquan E",215,IF(Atletas!M298="Ditangquan F",216,IF(Atletas!M298="Houquan F",217,IF(Atletas!M298="Zuiquan F",218,"")))))))))))))))))))))</f>
        <v/>
      </c>
      <c r="BO302" s="52" t="str">
        <f>IF(Atletas!N298="","",IF(Atletas!W298&lt;&gt;"",10000,0)+IF(Atletas!B298="Feminino",1000,IF(Atletas!B298="Masculino",2000,""))+IF(Atletas!N298="Yang A",301,IF(Atletas!N298="Chen A",30,IF(Atletas!N298="Sun A",303,IF(Atletas!N298="Wu A",304,IF(Atletas!N298="Wu-Hao A",305,IF(Atletas!N298="Outro Taijiquan A",306,IF(Atletas!N298="Yang B",307,IF(Atletas!N298="Chen B",308,IF(Atletas!N298="Sun B",309,IF(Atletas!N298="Wu B",310,IF(Atletas!N298="Wu-Hao B",311,IF(Atletas!N298="Outro Taijiquan B",312,IF(Atletas!N298="Yang C",313,IF(Atletas!N298="Chen C",314,IF(Atletas!N298="Sun C",315,IF(Atletas!N298="Wu C",316,IF(Atletas!N298="Wu-Hao C",317,IF(Atletas!N298="Outro Taijiquan C",318,IF(Atletas!N298="Yang D",319,IF(Atletas!N298="Chen D",320,IF(Atletas!N298="Sun D",321,IF(Atletas!N298="Wu D",322,IF(Atletas!N298="Wu-Hao D",323,IF(Atletas!N298="Outro Taijiquan D",324,IF(Atletas!N298="Yang E",325,IF(Atletas!N298="Chen E",326,IF(Atletas!N298="Sun E",327,IF(Atletas!N298="Wu E",328,IF(Atletas!N298="Wu-Hao E",329,IF(Atletas!N298="Outro Taijiquan E",330,IF(Atletas!N298="Yang F",331,IF(Atletas!N298="Chen F",332,IF(Atletas!N298="Sun F",333,IF(Atletas!N298="Wu F",334,IF(Atletas!N298="Wu-Hao F",335,IF(Atletas!N298="Outro Taijiquan F",336,"")))))))))))))))))))))))))))))))))))))</f>
        <v/>
      </c>
      <c r="BP302" s="52" t="str">
        <f>IF(Atletas!O298="","",IF(Atletas!W298&lt;&gt;"",10000,0)+IF(Atletas!B298="Feminino",1000,IF(Atletas!B298="Masculino",2000,""))+IF(OR(Atletas!O298="Yang 26 A",Atletas!O298="Yang 40 A"),401,IF(OR(Atletas!O298="Chen 25 A",Atletas!O298="Chen 36 A",Atletas!O298="Chen 56 A"),402,IF(Atletas!O298="Sun 73 A",403,IF(Atletas!O298="Wu 45 A",404,IF(Atletas!O298="Wu-Hao 46 A",405,IF(OR(Atletas!O298="Taijiquan 16 A",Atletas!O298="Taijiquan 24 A",Atletas!O298="Taijiquan 32 A",Atletas!O298="Taijiquan 42 A"),406,IF(OR(Atletas!O298="Yang 26 B",Atletas!O298="Yang 40 B"),407,IF(OR(Atletas!O298="Chen 25 B",Atletas!O298="Chen 36 B",Atletas!O298="Chen 56 B"),408,IF(Atletas!O298="Sun 73 B",409,IF(Atletas!O298="Wu 45 B",410,IF(Atletas!O298="Wu-Hao 46 B",411,IF(OR(Atletas!O298="Taijiquan 16 B",Atletas!O298="Taijiquan 24 B",Atletas!O298="Taijiquan 32 B",Atletas!O298="Taijiquan 42 B"),412,IF(OR(Atletas!O298="Yang 26 C",Atletas!O298="Yang 40 C"),413,IF(OR(Atletas!O298="Chen 25 C",Atletas!O298="Chen 36 C",Atletas!O298="Chen 56 C"),414,IF(Atletas!O298="Sun 73 C",415,IF(Atletas!O298="Wu 45 C",416,IF(Atletas!O298="Wu-Hao 46 C",417,IF(OR(Atletas!O298="Taijiquan 16 C",Atletas!O298="Taijiquan 24 C",Atletas!O298="Taijiquan 32 C",Atletas!O298="Taijiquan 42 C"),418,0)))))))))))))))))))</f>
        <v/>
      </c>
      <c r="BQ302" s="52" t="str">
        <f>IF(Atletas!O298="","",IF(Atletas!W298&lt;&gt;"",10000,0)+IF(Atletas!B298="Feminino",1000,IF(Atletas!B298="Masculino",2000,""))+IF(OR(Atletas!O298="Yang 26 D",Atletas!O298="Yang 40 D"),419,IF(OR(Atletas!O298="Chen 25 D",Atletas!O298="Chen 36 D",Atletas!O298="Chen 56 D"),420,IF(Atletas!O298="Sun 73 D",421,IF(Atletas!O298="Wu 45 D",422,IF(Atletas!O298="Wu-Hao 46 D",423,IF(OR(Atletas!O298="Taijiquan 16 D",Atletas!O298="Taijiquan 24 D",Atletas!O298="Taijiquan 32 D",Atletas!O298="Taijiquan 42 D"),424,IF(OR(Atletas!O298="Yang 26 E",Atletas!O298="Yang 40 E"),425,IF(OR(Atletas!O298="Chen 25 E",Atletas!O298="Chen 36 E",Atletas!O298="Chen 56 E"),426,IF(Atletas!O298="Sun 73 E",427,IF(Atletas!O298="Wu 45 E",428,IF(Atletas!O298="Wu-Hao 46 E",429,IF(OR(Atletas!O298="Taijiquan 16 E",Atletas!O298="Taijiquan 24 E",Atletas!O298="Taijiquan 32 E",Atletas!O298="Taijiquan 42 E"),430,IF(OR(Atletas!O298="Yang 26 F",Atletas!O298="Yang 40 F"),431,IF(OR(Atletas!O298="Chen 25 F",Atletas!O298="Chen 36 F",Atletas!O298="Chen 56 F"),432,IF(Atletas!O298="Sun 73 F",433,IF(Atletas!O298="Wu 45 F",434,IF(Atletas!O298="Wu-Hao 46 F",435,IF(OR(Atletas!O298="Taijiquan 16 F",Atletas!O298="Taijiquan 24 F",Atletas!O298="Taijiquan 32 F",Atletas!O298="Taijiquan 42 F"),436,0)))))))))))))))))))</f>
        <v/>
      </c>
      <c r="BR302" s="52" t="str">
        <f>IF(Atletas!P298="","",IF(Atletas!W298&lt;&gt;"",10000,0)+IF(Atletas!B298="Feminino",1000,IF(Atletas!B298="Masculino",2000,""))+IF(Atletas!P298="Xingyiquan A",501,IF(Atletas!P298="Baguazhang A",502,IF(Atletas!P298="Outro Estilo Interno A",503,IF(Atletas!P298="Xingyiquan B",504,IF(Atletas!P298="Baguazhang B",505,IF(Atletas!P298="Outro Estilo Interno B",506,IF(Atletas!P298="Xingyiquan C",507,IF(Atletas!P298="Baguazhang C",508,IF(Atletas!P298="Outro Estilo Interno C",509,IF(Atletas!P298="Xingyiquan D",510,IF(Atletas!P298="Baguazhang D",511,IF(Atletas!P298="Outro Estilo Interno D",512,IF(Atletas!P298="Xingyiquan E",513,IF(Atletas!P298="Baguazhang E",514,IF(Atletas!P298="Outro Estilo Interno E",515,IF(Atletas!P298="Xingyiquan F",516,IF(Atletas!P298="Baguazhang F",517,IF(Atletas!P298="Outro Estilo Interno F",518, "")))))))))))))))))))</f>
        <v/>
      </c>
      <c r="BS302" s="52" t="str">
        <f>IF(Atletas!Q298="","",IF(Atletas!W298&lt;&gt;"",10000,0)+IF(Atletas!B298="Feminino",1000,IF(Atletas!B298="Masculino",2000,""))+IF(Atletas!Q298="Dao A",601,IF(Atletas!Q298="Jian A",602,IF(Atletas!Q298="Bishou A",603,IF(Atletas!Q298="Shan A",604,IF(Atletas!Q298="Outra Arma Curta A",605,IF(Atletas!Q298="Dao B",606,IF(Atletas!Q298="Jian B",607,IF(Atletas!Q298="Bishou B",608,IF(Atletas!Q298="Shan B",609,IF(Atletas!Q298="Outra Arma Curta B",610,IF(Atletas!Q298="Dao C",611,IF(Atletas!Q298="Jian C",612,IF(Atletas!Q298="Bishou C",613,IF(Atletas!Q298="Shan C",614,IF(Atletas!Q298="Outra Arma Curta C",615,IF(Atletas!Q298="Dao D",616,IF(Atletas!Q298="Jian D",617,IF(Atletas!Q298="Bishou D",618,IF(Atletas!Q298="Shan D",619,IF(Atletas!Q298="Outra Arma Curta D",620,IF(Atletas!Q298="Dao E",621,IF(Atletas!Q298="Jian E",622,IF(Atletas!Q298="Bishou E",623,IF(Atletas!Q298="Shan E",624,IF(Atletas!Q298="Outra Arma Curta E",625,IF(Atletas!Q298="Dao F",626,IF(Atletas!Q298="Jian F",627,IF(Atletas!Q298="Bishou F",628,IF(Atletas!Q298="Shan F",629,IF(Atletas!Q298="Outra Arma Curta F",630, "")))))))))))))))))))))))))))))))</f>
        <v/>
      </c>
      <c r="BT302" s="52" t="str">
        <f>IF(Atletas!R298="","",IF(Atletas!W298&lt;&gt;"",10000,0)+IF(Atletas!B298="Feminino",1000,IF(Atletas!B298="Masculino",2000,""))+IF(Atletas!R298="Gun A",701,IF(Atletas!R298="Qiang A",702,IF(Atletas!R298="Pudao / Guandao A",703,IF(Atletas!R298="Outra Arma Longa A",704,IF(Atletas!R298="Gun B",705,IF(Atletas!R298="Qiang B",706,IF(Atletas!R298="Pudao / Guandao B",707,IF(Atletas!R298="Outra Arma Longa B",708,IF(Atletas!R298="Gun C",709,IF(Atletas!R298="Qiang C",710,IF(Atletas!R298="Pudao / Guandao C",711,IF(Atletas!R298="Outra Arma Longa C",712,IF(Atletas!R298="Gun D",713,IF(Atletas!R298="Qiang D",714,IF(Atletas!R298="Pudao / Guandao D",715,IF(Atletas!R298="Outra Arma Longa D",716,IF(Atletas!R298="Gun E",717,IF(Atletas!R298="Qiang E",718,IF(Atletas!R298="Pudao / Guandao E",719,IF(Atletas!R298="Outra Arma Longa E",720,IF(Atletas!R298="Gun F",721,IF(Atletas!R298="Qiang F",722,IF(Atletas!R298="Pudao / Guandao F",723,IF(Atletas!R298="Outra Arma Longa F",724,"")))))))))))))))))))))))))</f>
        <v/>
      </c>
      <c r="BU302" s="52" t="str">
        <f>IF(Atletas!S298="","",IF(Atletas!W298&lt;&gt;"",10000,0)+IF(Atletas!B298="Feminino",1000,IF(Atletas!B298="Masculino",2000,""))+IF(Atletas!S298="Arma Dupla A",801,IF(Atletas!S298="Arma Maleável A",802,IF(Atletas!S298="Arma Dupla B",803,IF(Atletas!S298="Arma Maleável B",804,IF(Atletas!S298="Arma Dupla C",805,IF(Atletas!S298="Arma Maleável C",806,IF(Atletas!S298="Arma Dupla D",807,IF(Atletas!S298="Arma Maleável D",808,IF(Atletas!S298="Arma Dupla E",809,IF(Atletas!S298="Arma Maleável E",810,IF(Atletas!S298="Arma Dupla F",811,IF(Atletas!S298="Arma Maleável F",812, "")))))))))))))</f>
        <v/>
      </c>
      <c r="BV302" s="52" t="str">
        <f>IF(Atletas!T298="","",IF(Atletas!W298&lt;&gt;"",10000,0)+IF(Atletas!B298="Feminino",1000,IF(Atletas!B298="Masculino",2000,""))+IF(Atletas!T298="Taijijian Yang A",901,IF(Atletas!T298="Taijijian Chen A",902,IF(Atletas!T298="Taijijian Sun A",903,IF(Atletas!T298="Taijijian Wu A",904,IF(Atletas!T298="Taijijian Wu-Hao A",905,IF(Atletas!T298="Taijijian 32 A",906,IF(Atletas!T298="Taijijian 42 A",907,IF(Atletas!T298="Taijijian Yang B",908,IF(Atletas!T298="Taijijian Chen B",909,IF(Atletas!T298="Taijijian Sun B",910,IF(Atletas!T298="Taijijian Wu B",911,IF(Atletas!T298="Taijijian Wu-Hao B",912,IF(Atletas!T298="Taijijian 32 B",913,IF(Atletas!T298="Taijijian 42 B",914,IF(Atletas!T298="Taijijian Yang C",915,IF(Atletas!T298="Taijijian Chen C",916,IF(Atletas!T298="Taijijian Sun C",917,IF(Atletas!T298="Taijijian Wu C",918,IF(Atletas!T298="Taijijian Wu-Hao C",919,IF(Atletas!T298="Taijijian 32 C",920,IF(Atletas!T298="Taijijian 42 C",921,IF(Atletas!T298="Taijijian Yang D",922,IF(Atletas!T298="Taijijian Chen D",923,IF(Atletas!T298="Taijijian Sun D",924,IF(Atletas!T298="Taijijian Wu D",925,IF(Atletas!T298="Taijijian Wu-Hao D",926,IF(Atletas!T298="Taijijian 32 D",927,IF(Atletas!T298="Taijijian 42 D",928,IF(Atletas!T298="Taijijian Yang E",929,IF(Atletas!T298="Taijijian Chen E",930,IF(Atletas!T298="Taijijian Sun E",931,IF(Atletas!T298="Taijijian Wu E",932,IF(Atletas!T298="Taijijian Wu-Hao E",933,IF(Atletas!T298="Taijijian 32 E",934,IF(Atletas!T298="Taijijian 42 E",935,IF(Atletas!T298="Taijijian Yang F",936,IF(Atletas!T298="Taijijian Chen F",937,IF(Atletas!T298="Taijijian Sun F",938,IF(Atletas!T298="Taijijian Wu F",939,IF(Atletas!T298="Taijijian Wu-Hao F",940,IF(Atletas!T298="Taijijian 32 F",941,IF(Atletas!T298="Taijijian 42 F",942,"")))))))))))))))))))))))))))))))))))))))))))</f>
        <v/>
      </c>
      <c r="BW302" s="52" t="str">
        <f>IF(Atletas!U298="","",IF(Atletas!W298&lt;&gt;"",10000,0)+IF(Atletas!B298="Feminino",1000,IF(Atletas!B298="Masculino",2000,""))+IF(Atletas!T298="Taijijian 42 F",942,IF(Atletas!U298="Taijidao A",943,IF(Atletas!U298="Taijishan A",944,IF(Atletas!U298="Taijiqiang A",945,IF(Atletas!U298="Taijidao B",946,IF(Atletas!U298="Taijishan B",947,IF(Atletas!U298="Taijiqiang B",948,IF(Atletas!U298="Taijidao C",949,IF(Atletas!U298="Taijishan C",950,IF(Atletas!U298="Taijiqiang C",951,IF(Atletas!U298="Taijidao D",952,IF(Atletas!U298="Taijishan D",953,IF(Atletas!U298="Taijiqiang D",954,IF(Atletas!U298="Taijidao E",955,IF(Atletas!U298="Taijishan E",956,IF(Atletas!U298="Taijiqiang E",957,IF(Atletas!U298="Taijidao F",958,IF(Atletas!U298="Taijishan F",959,IF(Atletas!U298="Taijiqiang F",960))))))))))))))))))))</f>
        <v/>
      </c>
      <c r="BX302" s="72" t="str">
        <f>IF(BY302&lt;&gt;"","Taijijian Chen C","")</f>
        <v/>
      </c>
      <c r="BY302" s="72" t="str">
        <f>IF(COUNTIF(BK:BW,1916)&gt;0,COUNTIF(BK:BW,1916),"")</f>
        <v/>
      </c>
      <c r="BZ302" s="72" t="str">
        <f>IF(CA302&lt;&gt;"","Taijijian Chen C","")</f>
        <v/>
      </c>
      <c r="CA302" s="72" t="str">
        <f>IF(COUNTIF(BK:BW,2914)&gt;0,COUNTIF(BK:BW,2914),"")</f>
        <v/>
      </c>
      <c r="CB302" s="72" t="str">
        <f>IF(CC302&lt;&gt;"","Outra Arma Curta D","")</f>
        <v/>
      </c>
      <c r="CC302" s="64" t="str">
        <f>IF(COUNTIF(BK:BW,11620)&gt;0,COUNTIF(BK:BW,11620),"")</f>
        <v/>
      </c>
      <c r="CD302" s="64" t="str">
        <f>IF(CE302&lt;&gt;"","Outra Arma Curta D","")</f>
        <v/>
      </c>
      <c r="CE302" s="64" t="str">
        <f>IF(COUNTIF(BK:BW,12620)&gt;0,COUNTIF(BK:BW,12620),"")</f>
        <v/>
      </c>
      <c r="CF302" s="52" t="str">
        <f xml:space="preserve"> IF(Atletas!V298="","",IF(Atletas!V298="Duilian de Mãos AB - Equipe 1",1,IF(Atletas!V298="Duilian de Mãos AB - Equipe 2",2,IF(Atletas!V298="Duilian de Armas AB - Equipe 1",3,IF(Atletas!V298="Duilian de Armas AB - Equipe 2",4,IF(Atletas!V298="Duilian de Tuishou - Equipe 1",5,IF(Atletas!V298="Duilian de Tuishou - Equipe 2",6,IF(Atletas!V298="Grupo Externo AB - Equipe 1",7,IF(Atletas!V298="Grupo Externo AB - Equipe 2",8,IF(Atletas!V298="Grupo Interno AB - Equipe 1",9,IF(Atletas!V298="Grupo Interno AB - Equipe 2",10,IF(Atletas!V298="Duilian de Mãos CD - Equipe 1",11,IF(Atletas!V298="Duilian de Mãos CD - Equipe 2",12,IF(Atletas!V298="Duilian de Armas CD - Equipe 1",13,IF(Atletas!V298="Duilian de Armas CD - Equipe 2",14,IF(Atletas!V298="Duilian de Tuishou - Equipe 1",15,IF(Atletas!V298="Duilian de Tuishou - Equipe 2",16,IF(Atletas!V298="Grupo Externo CDEF - Equipe 1",17,IF(Atletas!V298="Grupo Externo CDEF - Equipe 2",18,IF(Atletas!V298="Grupo Interno CDEF - Equipe 1",19,IF(Atletas!V298="Grupo Interno CDEF - Equipe 2",20,IF(Atletas!V298="Duilian de Mãos EF - Equipe 1",21,IF(Atletas!V298="Duilian de Mãos EF - Equipe 2",22,IF(Atletas!V298="Duilian de Armas EF - Equipe 1",23,IF(Atletas!V298="Duilian de Armas EF - Equipe 2",24,IF(Atletas!V298="Duilian de Tuishou - Equipe 1",25,IF(Atletas!V298="Duilian de Tuishou - Equipe 2",26,"")))))))))))))))))))))))))))</f>
        <v/>
      </c>
    </row>
    <row r="303" spans="2:84">
      <c r="AJ303" s="46" t="str">
        <f>IF(Atletas!D299="","",IF(Atletas!B299="Feminino",100,IF(Atletas!B299="Masculino",200,""))+(IF(Atletas!D299="Infantil 39kg",1,IF(Atletas!D299="Infantil 42kg",2,IF(Atletas!D299="Infantil 45kg",3,IF(Atletas!D299="Infantil 48kg",4,IF(Atletas!D299="Infantil 52kg",5,IF(Atletas!D299="Infantil 56kg",6,IF(Atletas!D299="Infantil 60kg",7,IF(Atletas!D299="Juvenil 48kg",8,IF(Atletas!D299="Juvenil 52kg",9,IF(Atletas!D299="Juvenil 56kg",10,IF(Atletas!D299="Juvenil 60kg",11,IF(Atletas!D299="Juvenil 65kg",12,IF(Atletas!D299="Juvenil 70kg",13,IF(Atletas!D299="Juvenil 75kg",14,IF(Atletas!D299="Juvenil 80kg",15,IF(Atletas!D299="Adulto 48kg",16,IF(Atletas!D299="Adulto 52kg",17,IF(Atletas!D299="Adulto 56kg",18,IF(Atletas!D299="Adulto 60kg",19,IF(Atletas!D299="Adulto 65kg",20,IF(Atletas!D299="Adulto 70kg",21,IF(Atletas!D299="Adulto 75kg",22,IF(Atletas!D299="Adulto 80kg",23,IF(Atletas!D299="Adulto 85kg",24,IF(Atletas!D299="Adulto 90kg",25,IF(Atletas!D299="Adulto +90kg",26,""))))))))))))))))))))))))))))</f>
        <v/>
      </c>
      <c r="AO303" s="10" t="str">
        <f>IF(Atletas!E299="","",IF(Atletas!B299="Feminino",100,IF(Atletas!B299="Masculino",200,""))+(IF(Atletas!E299="Juvenil 44kg",1,IF(Atletas!E299="Juvenil 48kg",2,IF(Atletas!E299="Juvenil 52kg",3,IF(Atletas!E299="Juvenil 56kg",4,IF(Atletas!E299="Juvenil 60kg",5,IF(Atletas!E299="Juvenil 65kg",6,IF(Atletas!E299="Juvenil 70kg",7,IF(Atletas!E299="Juvenil 75kg",8,IF(Atletas!E299="Juvenil 82kg",9,IF(Atletas!E299="Juvenil 90kg",10,IF(Atletas!E299="Juvenil 100kg",11,IF(Atletas!E299="Adulto 48kg",12,IF(Atletas!E299="Adulto 52kg",13,IF(Atletas!E299="Adulto 56kg",14,IF(Atletas!E299="Adulto 60kg",15,IF(Atletas!E299="Adulto 65kg",16,IF(Atletas!E299="Adulto 70kg",17,IF(Atletas!E299="Adulto 75kg",18,IF(Atletas!E299="Adulto 82kg",19,IF(Atletas!E299="Adulto 90kg",20,IF(Atletas!E299="Adulto 100kg",21,IF(Atletas!E299="Adulto +100kg",22,""))))))))))))))))))))))))</f>
        <v/>
      </c>
      <c r="AT303" s="10" t="str">
        <f>IF(Atletas!F299="","",IF(Atletas!B299="Feminino",100,IF(Atletas!B299="Masculino",200,""))+(IF(Atletas!F299="Adulto 48kg",1,IF(Atletas!F299="Adulto 56kg",2,IF(Atletas!F299="Adulto 65kg",3,IF(Atletas!F299="Adulto 75kg",4,IF(Atletas!F299="Adulto +75kg",5,IF(Atletas!F299="Adulto 52kg",6,IF(Atletas!F299="Adulto 60kg",7,IF(Atletas!F299="Adulto 70kg",8,IF(Atletas!F299="Adulto 80kg",9,IF(Atletas!F299="Adulto 90kg",10,IF(Atletas!F299="Adulto +90kg",11,"")))))))))))))</f>
        <v/>
      </c>
      <c r="AY303" s="46" t="str">
        <f>IF(Atletas!G299="","",IF(Atletas!B299="Feminino",100,IF(Atletas!B299="Masculino",200,""))+(IF(Atletas!G299="Changquan Mirim",1,IF(Atletas!G299="Nanquan Mirim",2,IF(Atletas!G299="Taijiquan Mirim",3,IF(Atletas!G299="Changquan Grupo C",4,IF(Atletas!G299="Nanquan Grupo C",5,IF(Atletas!G299="Taijiquan Grupo C",6,IF(Atletas!G299="Changquan Grupo B",7,IF(Atletas!G299="Nanquan Grupo B",8,IF(Atletas!G299="Taijiquan Grupo B",9,IF(Atletas!G299="Changquan Grupo A",10,IF(Atletas!G299="Nanquan Grupo A",11,IF(Atletas!G299="Taijiquan Grupo A",12,IF(Atletas!G299="Changquan Opcional",13,IF(Atletas!G299="Nanquan Opcional",14,IF(Atletas!G299="Taijiquan Opcional",15,IF(Atletas!G299="Changquan Adulto",16,IF(Atletas!G299="Nanquan Adulto",17,IF(Atletas!G299="Taijiquan Adulto",18,""))))))))))))))))))))</f>
        <v/>
      </c>
      <c r="AZ303" s="46" t="str">
        <f>IF(Atletas!H299="","",IF(Atletas!B299="Feminino",100,IF(Atletas!B299="Masculino",200,""))+(IF(Atletas!H299="Daoshu Mirim",19,IF(Atletas!H299="Jianshu Mirim",20,IF(Atletas!H299="Nandao Mirim",21,IF(Atletas!H299="Taijijian Mirim",22,IF(Atletas!H299="Daoshu Grupo C",23,IF(Atletas!H299="Jianshu Grupo C",24,IF(Atletas!H299="Nandao Grupo C",25,IF(Atletas!H299="Taijijian Grupo C",26,IF(Atletas!H299="Daoshu Grupo B",27,IF(Atletas!H299="Jianshu Grupo B",28,IF(Atletas!H299="Nandao Grupo B",29,IF(Atletas!H299="Taijijian Grupo B",30,IF(Atletas!H299="Daoshu Grupo A",31,IF(Atletas!H299="Jianshu Grupo A",32,IF(Atletas!H299="Nandao Grupo A",33,IF(Atletas!H299="Taijijian Grupo A",34,IF(Atletas!H299="Daoshu Opcional",35,IF(Atletas!H299="Jianshu Opcional",36,IF(Atletas!H299="Nandao Opcional",37,IF(Atletas!H299="Taijijian Opcional",38,IF(Atletas!H299="Daoshu Adulto",39,IF(Atletas!H299="Jianshu Adulto",40,IF(Atletas!H299="Nandao Adulto",41,IF(Atletas!H299="Taijijian Adulto",42,""))))))))))))))))))))))))))</f>
        <v/>
      </c>
      <c r="BA303" s="46" t="str">
        <f>IF(Atletas!I299="","",IF(Atletas!B299="Feminino",100,IF(Atletas!B299="Masculino",200,""))+(IF(Atletas!I299="Gunshu Mirim",43,IF(Atletas!I299="Qiangshu Mirim",44,IF(Atletas!I299="Nangun Mirim",45,IF(Atletas!I299="Gunshu Grupo C",46,IF(Atletas!I299="Qiangshu Grupo C",47,IF(Atletas!I299="Nangun Grupo C",48,IF(Atletas!I299="Gunshu Grupo B",49,IF(Atletas!I299="Qiangshu Grupo B",50,IF(Atletas!I299="Nangun Grupo B",51,IF(Atletas!I299="Gunshu Grupo A",52,IF(Atletas!I299="Qiangshu Grupo A",53,IF(Atletas!I299="Nangun Grupo A",54,IF(Atletas!I299="Gunshu Opcional",55,IF(Atletas!I299="Qiangshu Opcional",56,IF(Atletas!I299="Nangun Opcional",57,IF(Atletas!I299="Gunshu Adulto",58,IF(Atletas!I299="Qiangshu Adulto",59,IF(Atletas!I299="Nangun Adulto",60,""))))))))))))))))))))</f>
        <v/>
      </c>
      <c r="BF303" s="52" t="str">
        <f>IF(Atletas!J299="","",IF(Atletas!B299="Feminino",100,IF(Atletas!B299="Masculino",200,""))+(IF(Atletas!J299="Equipe 1 Grupo B",1,IF(Atletas!J299="Equipe 2 Grupo B",2,IF(Atletas!J299="Equipe 1 Grupo A",3,IF(Atletas!J299="Equipe 2 Grupo A",4,IF(Atletas!J299="Equipe 1 Adulto",5,IF(Atletas!J299="Equipe 2 Adulto",6,""))))))))</f>
        <v/>
      </c>
      <c r="BK303" s="52" t="str">
        <f>IF(Atletas!K299="","",IF(Atletas!W299&lt;&gt;"",10000,0)+(IF(Atletas!B299="Feminino",1000,IF(Atletas!B299="Masculino",2000,""))+IF(Atletas!K299="Choylayfut A",1,IF(Atletas!K299="Hunggar A",2,IF(Atletas!K299="Wuzuquan A",3,IF(Atletas!K299="Wingchun A",4,IF(Atletas!K299="Outra Mão de Sul A",5,IF(Atletas!K299="Choylayfut B",6,IF(Atletas!K299="Hunggar B",7,IF(Atletas!K299="Wuzuquan B",8,IF(Atletas!K299="Wingchun B",9,IF(Atletas!K299="Outra Mão de Sul B",10,IF(Atletas!K299="Choylayfut C",11,IF(Atletas!K299="Hunggar C",12,IF(Atletas!K299="Wuzuquan C",13,IF(Atletas!K299="Wingchun C",14,IF(Atletas!K299="Outra Mão de Sul C",15,IF(Atletas!K299="Choylayfut D",16,IF(Atletas!K299="Hunggar D",17,IF(Atletas!K299="Wuzuquan D",18,IF(Atletas!K299="Wingchun D",19,IF(Atletas!K299="Outra Mão de Sul D",20,IF(Atletas!K299="Choylayfut E",21,IF(Atletas!K299="Hunggar E",22,IF(Atletas!K299="Wuzuquan E",23,IF(Atletas!K299="Wingchun E",24,IF(Atletas!K299="Outra Mão de Sul E",25,IF(Atletas!K299="Choylayfut F",26,IF(Atletas!K299="Hunggar F",27,IF(Atletas!K299="Wuzuquan F",28,IF(Atletas!K299="Wingchun F",29,IF(Atletas!K299="Outra Mão de Sul F",30,""))))))))))))))))))))))))))))))))</f>
        <v/>
      </c>
      <c r="BL303" s="52" t="str">
        <f>IF(Atletas!L299="","",IF(Atletas!W299&lt;&gt;"",10000,0)+(IF(Atletas!B299="Feminino",1000,IF(Atletas!B299="Masculino",2000,""))+(IF(Atletas!L299="Chaquan A",101,IF(Atletas!L299="Emeiquan A",102,IF(Atletas!L299="Fanziquan A",103,IF(Atletas!L299="Huaquan A",104,IF(Atletas!L299="Hongquan A",105,IF(Atletas!L299="Paochui A",106,IF(Atletas!L299="Piguaquan A",107,IF(Atletas!L299="Shaolinquan A",108,IF(Atletas!L299="Tanglangquan A",109,IF(Atletas!L299="Yinzhaophai A",110,IF(Atletas!L299="Tongbeiquan A",111,IF(Atletas!L299="Wudangquan A",112,IF(Atletas!L299="Outros Estilos A",113,IF(Atletas!L299="Chaquan B",114,IF(Atletas!L299="Emeiquan B",115,IF(Atletas!L299="Fanziquan B",116,IF(Atletas!L299="Huaquan B",117,IF(Atletas!L299="Hongquan B",118,IF(Atletas!L299="Paochui B",119,IF(Atletas!L299="Piguaquan B",120,IF(Atletas!L299="Shaolinquan B",121,IF(Atletas!L299="Tanglangquan B",122,IF(Atletas!L299="Yinzhaophai B",123,IF(Atletas!L299="Tongbeiquan B",124,IF(Atletas!L299="Wudangquan B",125,IF(Atletas!L299="Outros Estilos B",126,IF(Atletas!L299="Chaquan C",127,IF(Atletas!L299="Emeiquan C",128,IF(Atletas!L299="Fanziquan C",129,IF(Atletas!L299="Huaquan C",130,IF(Atletas!L299="Hongquan C",131,IF(Atletas!L299="Paochui C",132,IF(Atletas!L299="Piguaquan C",133,IF(Atletas!L299="Shaolinquan C",134,IF(Atletas!L299="Tanglangquan C",135,IF(Atletas!L299="Yinzhaophai C",136,IF(Atletas!L299="Tongbeiquan C",137,IF(Atletas!L299="Wudangquan C",138,IF(Atletas!L299="Outros Estilos C",139,0))))))))))))))))))))))))))))))))))))))))))</f>
        <v/>
      </c>
      <c r="BM303" s="52" t="str">
        <f>IF(Atletas!L299="","",IF(Atletas!W299&lt;&gt;"",10000,0)+(IF(Atletas!B299="Feminino",1000,IF(Atletas!B299="Masculino",2000,""))+(IF(Atletas!L299="Chaquan D",140,IF(Atletas!L299="Emeiquan D",141,IF(Atletas!L299="Fanziquan D",142,IF(Atletas!L299="Huaquan D",143,IF(Atletas!L299="Hongquan D",144,IF(Atletas!L299="Paochui D",145,IF(Atletas!L299="Piguaquan D",146,IF(Atletas!L299="Shaolinquan D",147,IF(Atletas!L299="Tanglangquan D",148,IF(Atletas!L299="Yinzhaophai D",149,IF(Atletas!L299="Tongbeiquan D",150,IF(Atletas!L299="Wudangquan D",151,IF(Atletas!L299="Outros Estilos D",152,IF(Atletas!L299="Chaquan E",153,IF(Atletas!L299="Emeiquan E",154,IF(Atletas!L299="Fanziquan E",155,IF(Atletas!L299="Huaquan E",156,IF(Atletas!L299="Hongquan E",157,IF(Atletas!L299="Paochui E",158,IF(Atletas!L299="Piguaquan E",159,IF(Atletas!L299="Shaolinquan E",160,IF(Atletas!L299="Tanglangquan E",161,IF(Atletas!L299="Yinzhaophai E",162,IF(Atletas!L299="Tongbeiquan E",163,IF(Atletas!L299="Wudangquan E",164,IF(Atletas!L299="Outros Estilos E",165,IF(Atletas!L299="Chaquan F",166,IF(Atletas!L299="Emeiquan F",167,IF(Atletas!L299="Fanziquan F",168,IF(Atletas!L299="Huaquan F",169,IF(Atletas!L299="Hongquan F",170,IF(Atletas!L299="Paochui F",171,IF(Atletas!L299="Piguaquan F",172,IF(Atletas!L299="Shaolinquan F",173,IF(Atletas!L299="Tanglangquan F",174,IF(Atletas!L299="Yinzhaophai F",175,IF(Atletas!L299="Tongbeiquan F",176,IF(Atletas!L299="Wudangquan F",177,IF(Atletas!L299="Outros Estilos F",178,0))))))))))))))))))))))))))))))))))))))))))</f>
        <v/>
      </c>
      <c r="BN303" s="52" t="str">
        <f>IF(Atletas!M299="","",IF(Atletas!W299&lt;&gt;"",10000,0)+(IF(Atletas!B299="Feminino",1000,IF(Atletas!B299="Masculino",2000,""))+(IF(Atletas!M299="Ditangquan A",201,IF(Atletas!M299="Houquan A",202,IF(Atletas!M299="Zuiquan A",203,IF(Atletas!M299="Ditangquan B",204,IF(Atletas!M299="Houquan B",205,IF(Atletas!M299="Zuiquan B",206,IF(Atletas!M299="Ditangquan C",207,IF(Atletas!M299="Houquan C",208,IF(Atletas!M299="Zuiquan C",209,IF(Atletas!M299="Ditangquan D",210,IF(Atletas!M299="Houquan D",211,IF(Atletas!M299="Zuiquan D",212,IF(Atletas!M299="Ditangquan E",213,IF(Atletas!M299="Houquan E",214,IF(Atletas!M299="Zuiquan E",215,IF(Atletas!M299="Ditangquan F",216,IF(Atletas!M299="Houquan F",217,IF(Atletas!M299="Zuiquan F",218,"")))))))))))))))))))))</f>
        <v/>
      </c>
      <c r="BO303" s="52" t="str">
        <f>IF(Atletas!N299="","",IF(Atletas!W299&lt;&gt;"",10000,0)+IF(Atletas!B299="Feminino",1000,IF(Atletas!B299="Masculino",2000,""))+IF(Atletas!N299="Yang A",301,IF(Atletas!N299="Chen A",30,IF(Atletas!N299="Sun A",303,IF(Atletas!N299="Wu A",304,IF(Atletas!N299="Wu-Hao A",305,IF(Atletas!N299="Outro Taijiquan A",306,IF(Atletas!N299="Yang B",307,IF(Atletas!N299="Chen B",308,IF(Atletas!N299="Sun B",309,IF(Atletas!N299="Wu B",310,IF(Atletas!N299="Wu-Hao B",311,IF(Atletas!N299="Outro Taijiquan B",312,IF(Atletas!N299="Yang C",313,IF(Atletas!N299="Chen C",314,IF(Atletas!N299="Sun C",315,IF(Atletas!N299="Wu C",316,IF(Atletas!N299="Wu-Hao C",317,IF(Atletas!N299="Outro Taijiquan C",318,IF(Atletas!N299="Yang D",319,IF(Atletas!N299="Chen D",320,IF(Atletas!N299="Sun D",321,IF(Atletas!N299="Wu D",322,IF(Atletas!N299="Wu-Hao D",323,IF(Atletas!N299="Outro Taijiquan D",324,IF(Atletas!N299="Yang E",325,IF(Atletas!N299="Chen E",326,IF(Atletas!N299="Sun E",327,IF(Atletas!N299="Wu E",328,IF(Atletas!N299="Wu-Hao E",329,IF(Atletas!N299="Outro Taijiquan E",330,IF(Atletas!N299="Yang F",331,IF(Atletas!N299="Chen F",332,IF(Atletas!N299="Sun F",333,IF(Atletas!N299="Wu F",334,IF(Atletas!N299="Wu-Hao F",335,IF(Atletas!N299="Outro Taijiquan F",336,"")))))))))))))))))))))))))))))))))))))</f>
        <v/>
      </c>
      <c r="BP303" s="52" t="str">
        <f>IF(Atletas!O299="","",IF(Atletas!W299&lt;&gt;"",10000,0)+IF(Atletas!B299="Feminino",1000,IF(Atletas!B299="Masculino",2000,""))+IF(OR(Atletas!O299="Yang 26 A",Atletas!O299="Yang 40 A"),401,IF(OR(Atletas!O299="Chen 25 A",Atletas!O299="Chen 36 A",Atletas!O299="Chen 56 A"),402,IF(Atletas!O299="Sun 73 A",403,IF(Atletas!O299="Wu 45 A",404,IF(Atletas!O299="Wu-Hao 46 A",405,IF(OR(Atletas!O299="Taijiquan 16 A",Atletas!O299="Taijiquan 24 A",Atletas!O299="Taijiquan 32 A",Atletas!O299="Taijiquan 42 A"),406,IF(OR(Atletas!O299="Yang 26 B",Atletas!O299="Yang 40 B"),407,IF(OR(Atletas!O299="Chen 25 B",Atletas!O299="Chen 36 B",Atletas!O299="Chen 56 B"),408,IF(Atletas!O299="Sun 73 B",409,IF(Atletas!O299="Wu 45 B",410,IF(Atletas!O299="Wu-Hao 46 B",411,IF(OR(Atletas!O299="Taijiquan 16 B",Atletas!O299="Taijiquan 24 B",Atletas!O299="Taijiquan 32 B",Atletas!O299="Taijiquan 42 B"),412,IF(OR(Atletas!O299="Yang 26 C",Atletas!O299="Yang 40 C"),413,IF(OR(Atletas!O299="Chen 25 C",Atletas!O299="Chen 36 C",Atletas!O299="Chen 56 C"),414,IF(Atletas!O299="Sun 73 C",415,IF(Atletas!O299="Wu 45 C",416,IF(Atletas!O299="Wu-Hao 46 C",417,IF(OR(Atletas!O299="Taijiquan 16 C",Atletas!O299="Taijiquan 24 C",Atletas!O299="Taijiquan 32 C",Atletas!O299="Taijiquan 42 C"),418,0)))))))))))))))))))</f>
        <v/>
      </c>
      <c r="BQ303" s="52" t="str">
        <f>IF(Atletas!O299="","",IF(Atletas!W299&lt;&gt;"",10000,0)+IF(Atletas!B299="Feminino",1000,IF(Atletas!B299="Masculino",2000,""))+IF(OR(Atletas!O299="Yang 26 D",Atletas!O299="Yang 40 D"),419,IF(OR(Atletas!O299="Chen 25 D",Atletas!O299="Chen 36 D",Atletas!O299="Chen 56 D"),420,IF(Atletas!O299="Sun 73 D",421,IF(Atletas!O299="Wu 45 D",422,IF(Atletas!O299="Wu-Hao 46 D",423,IF(OR(Atletas!O299="Taijiquan 16 D",Atletas!O299="Taijiquan 24 D",Atletas!O299="Taijiquan 32 D",Atletas!O299="Taijiquan 42 D"),424,IF(OR(Atletas!O299="Yang 26 E",Atletas!O299="Yang 40 E"),425,IF(OR(Atletas!O299="Chen 25 E",Atletas!O299="Chen 36 E",Atletas!O299="Chen 56 E"),426,IF(Atletas!O299="Sun 73 E",427,IF(Atletas!O299="Wu 45 E",428,IF(Atletas!O299="Wu-Hao 46 E",429,IF(OR(Atletas!O299="Taijiquan 16 E",Atletas!O299="Taijiquan 24 E",Atletas!O299="Taijiquan 32 E",Atletas!O299="Taijiquan 42 E"),430,IF(OR(Atletas!O299="Yang 26 F",Atletas!O299="Yang 40 F"),431,IF(OR(Atletas!O299="Chen 25 F",Atletas!O299="Chen 36 F",Atletas!O299="Chen 56 F"),432,IF(Atletas!O299="Sun 73 F",433,IF(Atletas!O299="Wu 45 F",434,IF(Atletas!O299="Wu-Hao 46 F",435,IF(OR(Atletas!O299="Taijiquan 16 F",Atletas!O299="Taijiquan 24 F",Atletas!O299="Taijiquan 32 F",Atletas!O299="Taijiquan 42 F"),436,0)))))))))))))))))))</f>
        <v/>
      </c>
      <c r="BR303" s="52" t="str">
        <f>IF(Atletas!P299="","",IF(Atletas!W299&lt;&gt;"",10000,0)+IF(Atletas!B299="Feminino",1000,IF(Atletas!B299="Masculino",2000,""))+IF(Atletas!P299="Xingyiquan A",501,IF(Atletas!P299="Baguazhang A",502,IF(Atletas!P299="Outro Estilo Interno A",503,IF(Atletas!P299="Xingyiquan B",504,IF(Atletas!P299="Baguazhang B",505,IF(Atletas!P299="Outro Estilo Interno B",506,IF(Atletas!P299="Xingyiquan C",507,IF(Atletas!P299="Baguazhang C",508,IF(Atletas!P299="Outro Estilo Interno C",509,IF(Atletas!P299="Xingyiquan D",510,IF(Atletas!P299="Baguazhang D",511,IF(Atletas!P299="Outro Estilo Interno D",512,IF(Atletas!P299="Xingyiquan E",513,IF(Atletas!P299="Baguazhang E",514,IF(Atletas!P299="Outro Estilo Interno E",515,IF(Atletas!P299="Xingyiquan F",516,IF(Atletas!P299="Baguazhang F",517,IF(Atletas!P299="Outro Estilo Interno F",518, "")))))))))))))))))))</f>
        <v/>
      </c>
      <c r="BS303" s="52" t="str">
        <f>IF(Atletas!Q299="","",IF(Atletas!W299&lt;&gt;"",10000,0)+IF(Atletas!B299="Feminino",1000,IF(Atletas!B299="Masculino",2000,""))+IF(Atletas!Q299="Dao A",601,IF(Atletas!Q299="Jian A",602,IF(Atletas!Q299="Bishou A",603,IF(Atletas!Q299="Shan A",604,IF(Atletas!Q299="Outra Arma Curta A",605,IF(Atletas!Q299="Dao B",606,IF(Atletas!Q299="Jian B",607,IF(Atletas!Q299="Bishou B",608,IF(Atletas!Q299="Shan B",609,IF(Atletas!Q299="Outra Arma Curta B",610,IF(Atletas!Q299="Dao C",611,IF(Atletas!Q299="Jian C",612,IF(Atletas!Q299="Bishou C",613,IF(Atletas!Q299="Shan C",614,IF(Atletas!Q299="Outra Arma Curta C",615,IF(Atletas!Q299="Dao D",616,IF(Atletas!Q299="Jian D",617,IF(Atletas!Q299="Bishou D",618,IF(Atletas!Q299="Shan D",619,IF(Atletas!Q299="Outra Arma Curta D",620,IF(Atletas!Q299="Dao E",621,IF(Atletas!Q299="Jian E",622,IF(Atletas!Q299="Bishou E",623,IF(Atletas!Q299="Shan E",624,IF(Atletas!Q299="Outra Arma Curta E",625,IF(Atletas!Q299="Dao F",626,IF(Atletas!Q299="Jian F",627,IF(Atletas!Q299="Bishou F",628,IF(Atletas!Q299="Shan F",629,IF(Atletas!Q299="Outra Arma Curta F",630, "")))))))))))))))))))))))))))))))</f>
        <v/>
      </c>
      <c r="BT303" s="52" t="str">
        <f>IF(Atletas!R299="","",IF(Atletas!W299&lt;&gt;"",10000,0)+IF(Atletas!B299="Feminino",1000,IF(Atletas!B299="Masculino",2000,""))+IF(Atletas!R299="Gun A",701,IF(Atletas!R299="Qiang A",702,IF(Atletas!R299="Pudao / Guandao A",703,IF(Atletas!R299="Outra Arma Longa A",704,IF(Atletas!R299="Gun B",705,IF(Atletas!R299="Qiang B",706,IF(Atletas!R299="Pudao / Guandao B",707,IF(Atletas!R299="Outra Arma Longa B",708,IF(Atletas!R299="Gun C",709,IF(Atletas!R299="Qiang C",710,IF(Atletas!R299="Pudao / Guandao C",711,IF(Atletas!R299="Outra Arma Longa C",712,IF(Atletas!R299="Gun D",713,IF(Atletas!R299="Qiang D",714,IF(Atletas!R299="Pudao / Guandao D",715,IF(Atletas!R299="Outra Arma Longa D",716,IF(Atletas!R299="Gun E",717,IF(Atletas!R299="Qiang E",718,IF(Atletas!R299="Pudao / Guandao E",719,IF(Atletas!R299="Outra Arma Longa E",720,IF(Atletas!R299="Gun F",721,IF(Atletas!R299="Qiang F",722,IF(Atletas!R299="Pudao / Guandao F",723,IF(Atletas!R299="Outra Arma Longa F",724,"")))))))))))))))))))))))))</f>
        <v/>
      </c>
      <c r="BU303" s="52" t="str">
        <f>IF(Atletas!S299="","",IF(Atletas!W299&lt;&gt;"",10000,0)+IF(Atletas!B299="Feminino",1000,IF(Atletas!B299="Masculino",2000,""))+IF(Atletas!S299="Arma Dupla A",801,IF(Atletas!S299="Arma Maleável A",802,IF(Atletas!S299="Arma Dupla B",803,IF(Atletas!S299="Arma Maleável B",804,IF(Atletas!S299="Arma Dupla C",805,IF(Atletas!S299="Arma Maleável C",806,IF(Atletas!S299="Arma Dupla D",807,IF(Atletas!S299="Arma Maleável D",808,IF(Atletas!S299="Arma Dupla E",809,IF(Atletas!S299="Arma Maleável E",810,IF(Atletas!S299="Arma Dupla F",811,IF(Atletas!S299="Arma Maleável F",812, "")))))))))))))</f>
        <v/>
      </c>
      <c r="BV303" s="52" t="str">
        <f>IF(Atletas!T299="","",IF(Atletas!W299&lt;&gt;"",10000,0)+IF(Atletas!B299="Feminino",1000,IF(Atletas!B299="Masculino",2000,""))+IF(Atletas!T299="Taijijian Yang A",901,IF(Atletas!T299="Taijijian Chen A",902,IF(Atletas!T299="Taijijian Sun A",903,IF(Atletas!T299="Taijijian Wu A",904,IF(Atletas!T299="Taijijian Wu-Hao A",905,IF(Atletas!T299="Taijijian 32 A",906,IF(Atletas!T299="Taijijian 42 A",907,IF(Atletas!T299="Taijijian Yang B",908,IF(Atletas!T299="Taijijian Chen B",909,IF(Atletas!T299="Taijijian Sun B",910,IF(Atletas!T299="Taijijian Wu B",911,IF(Atletas!T299="Taijijian Wu-Hao B",912,IF(Atletas!T299="Taijijian 32 B",913,IF(Atletas!T299="Taijijian 42 B",914,IF(Atletas!T299="Taijijian Yang C",915,IF(Atletas!T299="Taijijian Chen C",916,IF(Atletas!T299="Taijijian Sun C",917,IF(Atletas!T299="Taijijian Wu C",918,IF(Atletas!T299="Taijijian Wu-Hao C",919,IF(Atletas!T299="Taijijian 32 C",920,IF(Atletas!T299="Taijijian 42 C",921,IF(Atletas!T299="Taijijian Yang D",922,IF(Atletas!T299="Taijijian Chen D",923,IF(Atletas!T299="Taijijian Sun D",924,IF(Atletas!T299="Taijijian Wu D",925,IF(Atletas!T299="Taijijian Wu-Hao D",926,IF(Atletas!T299="Taijijian 32 D",927,IF(Atletas!T299="Taijijian 42 D",928,IF(Atletas!T299="Taijijian Yang E",929,IF(Atletas!T299="Taijijian Chen E",930,IF(Atletas!T299="Taijijian Sun E",931,IF(Atletas!T299="Taijijian Wu E",932,IF(Atletas!T299="Taijijian Wu-Hao E",933,IF(Atletas!T299="Taijijian 32 E",934,IF(Atletas!T299="Taijijian 42 E",935,IF(Atletas!T299="Taijijian Yang F",936,IF(Atletas!T299="Taijijian Chen F",937,IF(Atletas!T299="Taijijian Sun F",938,IF(Atletas!T299="Taijijian Wu F",939,IF(Atletas!T299="Taijijian Wu-Hao F",940,IF(Atletas!T299="Taijijian 32 F",941,IF(Atletas!T299="Taijijian 42 F",942,"")))))))))))))))))))))))))))))))))))))))))))</f>
        <v/>
      </c>
      <c r="BW303" s="52" t="str">
        <f>IF(Atletas!U299="","",IF(Atletas!W299&lt;&gt;"",10000,0)+IF(Atletas!B299="Feminino",1000,IF(Atletas!B299="Masculino",2000,""))+IF(Atletas!T299="Taijijian 42 F",942,IF(Atletas!U299="Taijidao A",943,IF(Atletas!U299="Taijishan A",944,IF(Atletas!U299="Taijiqiang A",945,IF(Atletas!U299="Taijidao B",946,IF(Atletas!U299="Taijishan B",947,IF(Atletas!U299="Taijiqiang B",948,IF(Atletas!U299="Taijidao C",949,IF(Atletas!U299="Taijishan C",950,IF(Atletas!U299="Taijiqiang C",951,IF(Atletas!U299="Taijidao D",952,IF(Atletas!U299="Taijishan D",953,IF(Atletas!U299="Taijiqiang D",954,IF(Atletas!U299="Taijidao E",955,IF(Atletas!U299="Taijishan E",956,IF(Atletas!U299="Taijiqiang E",957,IF(Atletas!U299="Taijidao F",958,IF(Atletas!U299="Taijishan F",959,IF(Atletas!U299="Taijiqiang F",960))))))))))))))))))))</f>
        <v/>
      </c>
      <c r="BX303" s="72" t="str">
        <f>IF(BY303&lt;&gt;"","Taijijian Sun C","")</f>
        <v/>
      </c>
      <c r="BY303" s="72" t="str">
        <f>IF(COUNTIF(BK:BW,1917)&gt;0,COUNTIF(BK:BW,1917),"")</f>
        <v/>
      </c>
      <c r="BZ303" s="72" t="str">
        <f>IF(CA303&lt;&gt;"","Taijijian Sun C","")</f>
        <v/>
      </c>
      <c r="CA303" s="72" t="str">
        <f>IF(COUNTIF(BK:BW,2915)&gt;0,COUNTIF(BK:BW,2915),"")</f>
        <v/>
      </c>
      <c r="CB303" s="72" t="str">
        <f>IF(CC303&lt;&gt;"","Dao E","")</f>
        <v/>
      </c>
      <c r="CC303" s="64" t="str">
        <f>IF(COUNTIF(BK:BW,11621)&gt;0,COUNTIF(BK:BW,11621),"")</f>
        <v/>
      </c>
      <c r="CD303" s="64" t="str">
        <f>IF(CE303&lt;&gt;"","Dao E","")</f>
        <v/>
      </c>
      <c r="CE303" s="64" t="str">
        <f>IF(COUNTIF(BK:BW,12621)&gt;0,COUNTIF(BK:BW,12621),"")</f>
        <v/>
      </c>
      <c r="CF303" s="52" t="str">
        <f xml:space="preserve"> IF(Atletas!V299="","",IF(Atletas!V299="Duilian de Mãos AB - Equipe 1",1,IF(Atletas!V299="Duilian de Mãos AB - Equipe 2",2,IF(Atletas!V299="Duilian de Armas AB - Equipe 1",3,IF(Atletas!V299="Duilian de Armas AB - Equipe 2",4,IF(Atletas!V299="Duilian de Tuishou - Equipe 1",5,IF(Atletas!V299="Duilian de Tuishou - Equipe 2",6,IF(Atletas!V299="Grupo Externo AB - Equipe 1",7,IF(Atletas!V299="Grupo Externo AB - Equipe 2",8,IF(Atletas!V299="Grupo Interno AB - Equipe 1",9,IF(Atletas!V299="Grupo Interno AB - Equipe 2",10,IF(Atletas!V299="Duilian de Mãos CD - Equipe 1",11,IF(Atletas!V299="Duilian de Mãos CD - Equipe 2",12,IF(Atletas!V299="Duilian de Armas CD - Equipe 1",13,IF(Atletas!V299="Duilian de Armas CD - Equipe 2",14,IF(Atletas!V299="Duilian de Tuishou - Equipe 1",15,IF(Atletas!V299="Duilian de Tuishou - Equipe 2",16,IF(Atletas!V299="Grupo Externo CDEF - Equipe 1",17,IF(Atletas!V299="Grupo Externo CDEF - Equipe 2",18,IF(Atletas!V299="Grupo Interno CDEF - Equipe 1",19,IF(Atletas!V299="Grupo Interno CDEF - Equipe 2",20,IF(Atletas!V299="Duilian de Mãos EF - Equipe 1",21,IF(Atletas!V299="Duilian de Mãos EF - Equipe 2",22,IF(Atletas!V299="Duilian de Armas EF - Equipe 1",23,IF(Atletas!V299="Duilian de Armas EF - Equipe 2",24,IF(Atletas!V299="Duilian de Tuishou - Equipe 1",25,IF(Atletas!V299="Duilian de Tuishou - Equipe 2",26,"")))))))))))))))))))))))))))</f>
        <v/>
      </c>
    </row>
    <row r="304" spans="2:84">
      <c r="AJ304" s="46" t="str">
        <f>IF(Atletas!D300="","",IF(Atletas!B300="Feminino",100,IF(Atletas!B300="Masculino",200,""))+(IF(Atletas!D300="Infantil 39kg",1,IF(Atletas!D300="Infantil 42kg",2,IF(Atletas!D300="Infantil 45kg",3,IF(Atletas!D300="Infantil 48kg",4,IF(Atletas!D300="Infantil 52kg",5,IF(Atletas!D300="Infantil 56kg",6,IF(Atletas!D300="Infantil 60kg",7,IF(Atletas!D300="Juvenil 48kg",8,IF(Atletas!D300="Juvenil 52kg",9,IF(Atletas!D300="Juvenil 56kg",10,IF(Atletas!D300="Juvenil 60kg",11,IF(Atletas!D300="Juvenil 65kg",12,IF(Atletas!D300="Juvenil 70kg",13,IF(Atletas!D300="Juvenil 75kg",14,IF(Atletas!D300="Juvenil 80kg",15,IF(Atletas!D300="Adulto 48kg",16,IF(Atletas!D300="Adulto 52kg",17,IF(Atletas!D300="Adulto 56kg",18,IF(Atletas!D300="Adulto 60kg",19,IF(Atletas!D300="Adulto 65kg",20,IF(Atletas!D300="Adulto 70kg",21,IF(Atletas!D300="Adulto 75kg",22,IF(Atletas!D300="Adulto 80kg",23,IF(Atletas!D300="Adulto 85kg",24,IF(Atletas!D300="Adulto 90kg",25,IF(Atletas!D300="Adulto +90kg",26,""))))))))))))))))))))))))))))</f>
        <v/>
      </c>
      <c r="AO304" s="10" t="str">
        <f>IF(Atletas!E300="","",IF(Atletas!B300="Feminino",100,IF(Atletas!B300="Masculino",200,""))+(IF(Atletas!E300="Juvenil 44kg",1,IF(Atletas!E300="Juvenil 48kg",2,IF(Atletas!E300="Juvenil 52kg",3,IF(Atletas!E300="Juvenil 56kg",4,IF(Atletas!E300="Juvenil 60kg",5,IF(Atletas!E300="Juvenil 65kg",6,IF(Atletas!E300="Juvenil 70kg",7,IF(Atletas!E300="Juvenil 75kg",8,IF(Atletas!E300="Juvenil 82kg",9,IF(Atletas!E300="Juvenil 90kg",10,IF(Atletas!E300="Juvenil 100kg",11,IF(Atletas!E300="Adulto 48kg",12,IF(Atletas!E300="Adulto 52kg",13,IF(Atletas!E300="Adulto 56kg",14,IF(Atletas!E300="Adulto 60kg",15,IF(Atletas!E300="Adulto 65kg",16,IF(Atletas!E300="Adulto 70kg",17,IF(Atletas!E300="Adulto 75kg",18,IF(Atletas!E300="Adulto 82kg",19,IF(Atletas!E300="Adulto 90kg",20,IF(Atletas!E300="Adulto 100kg",21,IF(Atletas!E300="Adulto +100kg",22,""))))))))))))))))))))))))</f>
        <v/>
      </c>
      <c r="AT304" s="10" t="str">
        <f>IF(Atletas!F300="","",IF(Atletas!B300="Feminino",100,IF(Atletas!B300="Masculino",200,""))+(IF(Atletas!F300="Adulto 48kg",1,IF(Atletas!F300="Adulto 56kg",2,IF(Atletas!F300="Adulto 65kg",3,IF(Atletas!F300="Adulto 75kg",4,IF(Atletas!F300="Adulto +75kg",5,IF(Atletas!F300="Adulto 52kg",6,IF(Atletas!F300="Adulto 60kg",7,IF(Atletas!F300="Adulto 70kg",8,IF(Atletas!F300="Adulto 80kg",9,IF(Atletas!F300="Adulto 90kg",10,IF(Atletas!F300="Adulto +90kg",11,"")))))))))))))</f>
        <v/>
      </c>
      <c r="AY304" s="46" t="str">
        <f>IF(Atletas!G300="","",IF(Atletas!B300="Feminino",100,IF(Atletas!B300="Masculino",200,""))+(IF(Atletas!G300="Changquan Mirim",1,IF(Atletas!G300="Nanquan Mirim",2,IF(Atletas!G300="Taijiquan Mirim",3,IF(Atletas!G300="Changquan Grupo C",4,IF(Atletas!G300="Nanquan Grupo C",5,IF(Atletas!G300="Taijiquan Grupo C",6,IF(Atletas!G300="Changquan Grupo B",7,IF(Atletas!G300="Nanquan Grupo B",8,IF(Atletas!G300="Taijiquan Grupo B",9,IF(Atletas!G300="Changquan Grupo A",10,IF(Atletas!G300="Nanquan Grupo A",11,IF(Atletas!G300="Taijiquan Grupo A",12,IF(Atletas!G300="Changquan Opcional",13,IF(Atletas!G300="Nanquan Opcional",14,IF(Atletas!G300="Taijiquan Opcional",15,IF(Atletas!G300="Changquan Adulto",16,IF(Atletas!G300="Nanquan Adulto",17,IF(Atletas!G300="Taijiquan Adulto",18,""))))))))))))))))))))</f>
        <v/>
      </c>
      <c r="AZ304" s="46" t="str">
        <f>IF(Atletas!H300="","",IF(Atletas!B300="Feminino",100,IF(Atletas!B300="Masculino",200,""))+(IF(Atletas!H300="Daoshu Mirim",19,IF(Atletas!H300="Jianshu Mirim",20,IF(Atletas!H300="Nandao Mirim",21,IF(Atletas!H300="Taijijian Mirim",22,IF(Atletas!H300="Daoshu Grupo C",23,IF(Atletas!H300="Jianshu Grupo C",24,IF(Atletas!H300="Nandao Grupo C",25,IF(Atletas!H300="Taijijian Grupo C",26,IF(Atletas!H300="Daoshu Grupo B",27,IF(Atletas!H300="Jianshu Grupo B",28,IF(Atletas!H300="Nandao Grupo B",29,IF(Atletas!H300="Taijijian Grupo B",30,IF(Atletas!H300="Daoshu Grupo A",31,IF(Atletas!H300="Jianshu Grupo A",32,IF(Atletas!H300="Nandao Grupo A",33,IF(Atletas!H300="Taijijian Grupo A",34,IF(Atletas!H300="Daoshu Opcional",35,IF(Atletas!H300="Jianshu Opcional",36,IF(Atletas!H300="Nandao Opcional",37,IF(Atletas!H300="Taijijian Opcional",38,IF(Atletas!H300="Daoshu Adulto",39,IF(Atletas!H300="Jianshu Adulto",40,IF(Atletas!H300="Nandao Adulto",41,IF(Atletas!H300="Taijijian Adulto",42,""))))))))))))))))))))))))))</f>
        <v/>
      </c>
      <c r="BA304" s="46" t="str">
        <f>IF(Atletas!I300="","",IF(Atletas!B300="Feminino",100,IF(Atletas!B300="Masculino",200,""))+(IF(Atletas!I300="Gunshu Mirim",43,IF(Atletas!I300="Qiangshu Mirim",44,IF(Atletas!I300="Nangun Mirim",45,IF(Atletas!I300="Gunshu Grupo C",46,IF(Atletas!I300="Qiangshu Grupo C",47,IF(Atletas!I300="Nangun Grupo C",48,IF(Atletas!I300="Gunshu Grupo B",49,IF(Atletas!I300="Qiangshu Grupo B",50,IF(Atletas!I300="Nangun Grupo B",51,IF(Atletas!I300="Gunshu Grupo A",52,IF(Atletas!I300="Qiangshu Grupo A",53,IF(Atletas!I300="Nangun Grupo A",54,IF(Atletas!I300="Gunshu Opcional",55,IF(Atletas!I300="Qiangshu Opcional",56,IF(Atletas!I300="Nangun Opcional",57,IF(Atletas!I300="Gunshu Adulto",58,IF(Atletas!I300="Qiangshu Adulto",59,IF(Atletas!I300="Nangun Adulto",60,""))))))))))))))))))))</f>
        <v/>
      </c>
      <c r="BF304" s="52" t="str">
        <f>IF(Atletas!J300="","",IF(Atletas!B300="Feminino",100,IF(Atletas!B300="Masculino",200,""))+(IF(Atletas!J300="Equipe 1 Grupo B",1,IF(Atletas!J300="Equipe 2 Grupo B",2,IF(Atletas!J300="Equipe 1 Grupo A",3,IF(Atletas!J300="Equipe 2 Grupo A",4,IF(Atletas!J300="Equipe 1 Adulto",5,IF(Atletas!J300="Equipe 2 Adulto",6,""))))))))</f>
        <v/>
      </c>
      <c r="BK304" s="52" t="str">
        <f>IF(Atletas!K300="","",IF(Atletas!W300&lt;&gt;"",10000,0)+(IF(Atletas!B300="Feminino",1000,IF(Atletas!B300="Masculino",2000,""))+IF(Atletas!K300="Choylayfut A",1,IF(Atletas!K300="Hunggar A",2,IF(Atletas!K300="Wuzuquan A",3,IF(Atletas!K300="Wingchun A",4,IF(Atletas!K300="Outra Mão de Sul A",5,IF(Atletas!K300="Choylayfut B",6,IF(Atletas!K300="Hunggar B",7,IF(Atletas!K300="Wuzuquan B",8,IF(Atletas!K300="Wingchun B",9,IF(Atletas!K300="Outra Mão de Sul B",10,IF(Atletas!K300="Choylayfut C",11,IF(Atletas!K300="Hunggar C",12,IF(Atletas!K300="Wuzuquan C",13,IF(Atletas!K300="Wingchun C",14,IF(Atletas!K300="Outra Mão de Sul C",15,IF(Atletas!K300="Choylayfut D",16,IF(Atletas!K300="Hunggar D",17,IF(Atletas!K300="Wuzuquan D",18,IF(Atletas!K300="Wingchun D",19,IF(Atletas!K300="Outra Mão de Sul D",20,IF(Atletas!K300="Choylayfut E",21,IF(Atletas!K300="Hunggar E",22,IF(Atletas!K300="Wuzuquan E",23,IF(Atletas!K300="Wingchun E",24,IF(Atletas!K300="Outra Mão de Sul E",25,IF(Atletas!K300="Choylayfut F",26,IF(Atletas!K300="Hunggar F",27,IF(Atletas!K300="Wuzuquan F",28,IF(Atletas!K300="Wingchun F",29,IF(Atletas!K300="Outra Mão de Sul F",30,""))))))))))))))))))))))))))))))))</f>
        <v/>
      </c>
      <c r="BL304" s="52" t="str">
        <f>IF(Atletas!L300="","",IF(Atletas!W300&lt;&gt;"",10000,0)+(IF(Atletas!B300="Feminino",1000,IF(Atletas!B300="Masculino",2000,""))+(IF(Atletas!L300="Chaquan A",101,IF(Atletas!L300="Emeiquan A",102,IF(Atletas!L300="Fanziquan A",103,IF(Atletas!L300="Huaquan A",104,IF(Atletas!L300="Hongquan A",105,IF(Atletas!L300="Paochui A",106,IF(Atletas!L300="Piguaquan A",107,IF(Atletas!L300="Shaolinquan A",108,IF(Atletas!L300="Tanglangquan A",109,IF(Atletas!L300="Yinzhaophai A",110,IF(Atletas!L300="Tongbeiquan A",111,IF(Atletas!L300="Wudangquan A",112,IF(Atletas!L300="Outros Estilos A",113,IF(Atletas!L300="Chaquan B",114,IF(Atletas!L300="Emeiquan B",115,IF(Atletas!L300="Fanziquan B",116,IF(Atletas!L300="Huaquan B",117,IF(Atletas!L300="Hongquan B",118,IF(Atletas!L300="Paochui B",119,IF(Atletas!L300="Piguaquan B",120,IF(Atletas!L300="Shaolinquan B",121,IF(Atletas!L300="Tanglangquan B",122,IF(Atletas!L300="Yinzhaophai B",123,IF(Atletas!L300="Tongbeiquan B",124,IF(Atletas!L300="Wudangquan B",125,IF(Atletas!L300="Outros Estilos B",126,IF(Atletas!L300="Chaquan C",127,IF(Atletas!L300="Emeiquan C",128,IF(Atletas!L300="Fanziquan C",129,IF(Atletas!L300="Huaquan C",130,IF(Atletas!L300="Hongquan C",131,IF(Atletas!L300="Paochui C",132,IF(Atletas!L300="Piguaquan C",133,IF(Atletas!L300="Shaolinquan C",134,IF(Atletas!L300="Tanglangquan C",135,IF(Atletas!L300="Yinzhaophai C",136,IF(Atletas!L300="Tongbeiquan C",137,IF(Atletas!L300="Wudangquan C",138,IF(Atletas!L300="Outros Estilos C",139,0))))))))))))))))))))))))))))))))))))))))))</f>
        <v/>
      </c>
      <c r="BM304" s="52" t="str">
        <f>IF(Atletas!L300="","",IF(Atletas!W300&lt;&gt;"",10000,0)+(IF(Atletas!B300="Feminino",1000,IF(Atletas!B300="Masculino",2000,""))+(IF(Atletas!L300="Chaquan D",140,IF(Atletas!L300="Emeiquan D",141,IF(Atletas!L300="Fanziquan D",142,IF(Atletas!L300="Huaquan D",143,IF(Atletas!L300="Hongquan D",144,IF(Atletas!L300="Paochui D",145,IF(Atletas!L300="Piguaquan D",146,IF(Atletas!L300="Shaolinquan D",147,IF(Atletas!L300="Tanglangquan D",148,IF(Atletas!L300="Yinzhaophai D",149,IF(Atletas!L300="Tongbeiquan D",150,IF(Atletas!L300="Wudangquan D",151,IF(Atletas!L300="Outros Estilos D",152,IF(Atletas!L300="Chaquan E",153,IF(Atletas!L300="Emeiquan E",154,IF(Atletas!L300="Fanziquan E",155,IF(Atletas!L300="Huaquan E",156,IF(Atletas!L300="Hongquan E",157,IF(Atletas!L300="Paochui E",158,IF(Atletas!L300="Piguaquan E",159,IF(Atletas!L300="Shaolinquan E",160,IF(Atletas!L300="Tanglangquan E",161,IF(Atletas!L300="Yinzhaophai E",162,IF(Atletas!L300="Tongbeiquan E",163,IF(Atletas!L300="Wudangquan E",164,IF(Atletas!L300="Outros Estilos E",165,IF(Atletas!L300="Chaquan F",166,IF(Atletas!L300="Emeiquan F",167,IF(Atletas!L300="Fanziquan F",168,IF(Atletas!L300="Huaquan F",169,IF(Atletas!L300="Hongquan F",170,IF(Atletas!L300="Paochui F",171,IF(Atletas!L300="Piguaquan F",172,IF(Atletas!L300="Shaolinquan F",173,IF(Atletas!L300="Tanglangquan F",174,IF(Atletas!L300="Yinzhaophai F",175,IF(Atletas!L300="Tongbeiquan F",176,IF(Atletas!L300="Wudangquan F",177,IF(Atletas!L300="Outros Estilos F",178,0))))))))))))))))))))))))))))))))))))))))))</f>
        <v/>
      </c>
      <c r="BN304" s="52" t="str">
        <f>IF(Atletas!M300="","",IF(Atletas!W300&lt;&gt;"",10000,0)+(IF(Atletas!B300="Feminino",1000,IF(Atletas!B300="Masculino",2000,""))+(IF(Atletas!M300="Ditangquan A",201,IF(Atletas!M300="Houquan A",202,IF(Atletas!M300="Zuiquan A",203,IF(Atletas!M300="Ditangquan B",204,IF(Atletas!M300="Houquan B",205,IF(Atletas!M300="Zuiquan B",206,IF(Atletas!M300="Ditangquan C",207,IF(Atletas!M300="Houquan C",208,IF(Atletas!M300="Zuiquan C",209,IF(Atletas!M300="Ditangquan D",210,IF(Atletas!M300="Houquan D",211,IF(Atletas!M300="Zuiquan D",212,IF(Atletas!M300="Ditangquan E",213,IF(Atletas!M300="Houquan E",214,IF(Atletas!M300="Zuiquan E",215,IF(Atletas!M300="Ditangquan F",216,IF(Atletas!M300="Houquan F",217,IF(Atletas!M300="Zuiquan F",218,"")))))))))))))))))))))</f>
        <v/>
      </c>
      <c r="BO304" s="52" t="str">
        <f>IF(Atletas!N300="","",IF(Atletas!W300&lt;&gt;"",10000,0)+IF(Atletas!B300="Feminino",1000,IF(Atletas!B300="Masculino",2000,""))+IF(Atletas!N300="Yang A",301,IF(Atletas!N300="Chen A",30,IF(Atletas!N300="Sun A",303,IF(Atletas!N300="Wu A",304,IF(Atletas!N300="Wu-Hao A",305,IF(Atletas!N300="Outro Taijiquan A",306,IF(Atletas!N300="Yang B",307,IF(Atletas!N300="Chen B",308,IF(Atletas!N300="Sun B",309,IF(Atletas!N300="Wu B",310,IF(Atletas!N300="Wu-Hao B",311,IF(Atletas!N300="Outro Taijiquan B",312,IF(Atletas!N300="Yang C",313,IF(Atletas!N300="Chen C",314,IF(Atletas!N300="Sun C",315,IF(Atletas!N300="Wu C",316,IF(Atletas!N300="Wu-Hao C",317,IF(Atletas!N300="Outro Taijiquan C",318,IF(Atletas!N300="Yang D",319,IF(Atletas!N300="Chen D",320,IF(Atletas!N300="Sun D",321,IF(Atletas!N300="Wu D",322,IF(Atletas!N300="Wu-Hao D",323,IF(Atletas!N300="Outro Taijiquan D",324,IF(Atletas!N300="Yang E",325,IF(Atletas!N300="Chen E",326,IF(Atletas!N300="Sun E",327,IF(Atletas!N300="Wu E",328,IF(Atletas!N300="Wu-Hao E",329,IF(Atletas!N300="Outro Taijiquan E",330,IF(Atletas!N300="Yang F",331,IF(Atletas!N300="Chen F",332,IF(Atletas!N300="Sun F",333,IF(Atletas!N300="Wu F",334,IF(Atletas!N300="Wu-Hao F",335,IF(Atletas!N300="Outro Taijiquan F",336,"")))))))))))))))))))))))))))))))))))))</f>
        <v/>
      </c>
      <c r="BP304" s="52" t="str">
        <f>IF(Atletas!O300="","",IF(Atletas!W300&lt;&gt;"",10000,0)+IF(Atletas!B300="Feminino",1000,IF(Atletas!B300="Masculino",2000,""))+IF(OR(Atletas!O300="Yang 26 A",Atletas!O300="Yang 40 A"),401,IF(OR(Atletas!O300="Chen 25 A",Atletas!O300="Chen 36 A",Atletas!O300="Chen 56 A"),402,IF(Atletas!O300="Sun 73 A",403,IF(Atletas!O300="Wu 45 A",404,IF(Atletas!O300="Wu-Hao 46 A",405,IF(OR(Atletas!O300="Taijiquan 16 A",Atletas!O300="Taijiquan 24 A",Atletas!O300="Taijiquan 32 A",Atletas!O300="Taijiquan 42 A"),406,IF(OR(Atletas!O300="Yang 26 B",Atletas!O300="Yang 40 B"),407,IF(OR(Atletas!O300="Chen 25 B",Atletas!O300="Chen 36 B",Atletas!O300="Chen 56 B"),408,IF(Atletas!O300="Sun 73 B",409,IF(Atletas!O300="Wu 45 B",410,IF(Atletas!O300="Wu-Hao 46 B",411,IF(OR(Atletas!O300="Taijiquan 16 B",Atletas!O300="Taijiquan 24 B",Atletas!O300="Taijiquan 32 B",Atletas!O300="Taijiquan 42 B"),412,IF(OR(Atletas!O300="Yang 26 C",Atletas!O300="Yang 40 C"),413,IF(OR(Atletas!O300="Chen 25 C",Atletas!O300="Chen 36 C",Atletas!O300="Chen 56 C"),414,IF(Atletas!O300="Sun 73 C",415,IF(Atletas!O300="Wu 45 C",416,IF(Atletas!O300="Wu-Hao 46 C",417,IF(OR(Atletas!O300="Taijiquan 16 C",Atletas!O300="Taijiquan 24 C",Atletas!O300="Taijiquan 32 C",Atletas!O300="Taijiquan 42 C"),418,0)))))))))))))))))))</f>
        <v/>
      </c>
      <c r="BQ304" s="52" t="str">
        <f>IF(Atletas!O300="","",IF(Atletas!W300&lt;&gt;"",10000,0)+IF(Atletas!B300="Feminino",1000,IF(Atletas!B300="Masculino",2000,""))+IF(OR(Atletas!O300="Yang 26 D",Atletas!O300="Yang 40 D"),419,IF(OR(Atletas!O300="Chen 25 D",Atletas!O300="Chen 36 D",Atletas!O300="Chen 56 D"),420,IF(Atletas!O300="Sun 73 D",421,IF(Atletas!O300="Wu 45 D",422,IF(Atletas!O300="Wu-Hao 46 D",423,IF(OR(Atletas!O300="Taijiquan 16 D",Atletas!O300="Taijiquan 24 D",Atletas!O300="Taijiquan 32 D",Atletas!O300="Taijiquan 42 D"),424,IF(OR(Atletas!O300="Yang 26 E",Atletas!O300="Yang 40 E"),425,IF(OR(Atletas!O300="Chen 25 E",Atletas!O300="Chen 36 E",Atletas!O300="Chen 56 E"),426,IF(Atletas!O300="Sun 73 E",427,IF(Atletas!O300="Wu 45 E",428,IF(Atletas!O300="Wu-Hao 46 E",429,IF(OR(Atletas!O300="Taijiquan 16 E",Atletas!O300="Taijiquan 24 E",Atletas!O300="Taijiquan 32 E",Atletas!O300="Taijiquan 42 E"),430,IF(OR(Atletas!O300="Yang 26 F",Atletas!O300="Yang 40 F"),431,IF(OR(Atletas!O300="Chen 25 F",Atletas!O300="Chen 36 F",Atletas!O300="Chen 56 F"),432,IF(Atletas!O300="Sun 73 F",433,IF(Atletas!O300="Wu 45 F",434,IF(Atletas!O300="Wu-Hao 46 F",435,IF(OR(Atletas!O300="Taijiquan 16 F",Atletas!O300="Taijiquan 24 F",Atletas!O300="Taijiquan 32 F",Atletas!O300="Taijiquan 42 F"),436,0)))))))))))))))))))</f>
        <v/>
      </c>
      <c r="BR304" s="52" t="str">
        <f>IF(Atletas!P300="","",IF(Atletas!W300&lt;&gt;"",10000,0)+IF(Atletas!B300="Feminino",1000,IF(Atletas!B300="Masculino",2000,""))+IF(Atletas!P300="Xingyiquan A",501,IF(Atletas!P300="Baguazhang A",502,IF(Atletas!P300="Outro Estilo Interno A",503,IF(Atletas!P300="Xingyiquan B",504,IF(Atletas!P300="Baguazhang B",505,IF(Atletas!P300="Outro Estilo Interno B",506,IF(Atletas!P300="Xingyiquan C",507,IF(Atletas!P300="Baguazhang C",508,IF(Atletas!P300="Outro Estilo Interno C",509,IF(Atletas!P300="Xingyiquan D",510,IF(Atletas!P300="Baguazhang D",511,IF(Atletas!P300="Outro Estilo Interno D",512,IF(Atletas!P300="Xingyiquan E",513,IF(Atletas!P300="Baguazhang E",514,IF(Atletas!P300="Outro Estilo Interno E",515,IF(Atletas!P300="Xingyiquan F",516,IF(Atletas!P300="Baguazhang F",517,IF(Atletas!P300="Outro Estilo Interno F",518, "")))))))))))))))))))</f>
        <v/>
      </c>
      <c r="BS304" s="52" t="str">
        <f>IF(Atletas!Q300="","",IF(Atletas!W300&lt;&gt;"",10000,0)+IF(Atletas!B300="Feminino",1000,IF(Atletas!B300="Masculino",2000,""))+IF(Atletas!Q300="Dao A",601,IF(Atletas!Q300="Jian A",602,IF(Atletas!Q300="Bishou A",603,IF(Atletas!Q300="Shan A",604,IF(Atletas!Q300="Outra Arma Curta A",605,IF(Atletas!Q300="Dao B",606,IF(Atletas!Q300="Jian B",607,IF(Atletas!Q300="Bishou B",608,IF(Atletas!Q300="Shan B",609,IF(Atletas!Q300="Outra Arma Curta B",610,IF(Atletas!Q300="Dao C",611,IF(Atletas!Q300="Jian C",612,IF(Atletas!Q300="Bishou C",613,IF(Atletas!Q300="Shan C",614,IF(Atletas!Q300="Outra Arma Curta C",615,IF(Atletas!Q300="Dao D",616,IF(Atletas!Q300="Jian D",617,IF(Atletas!Q300="Bishou D",618,IF(Atletas!Q300="Shan D",619,IF(Atletas!Q300="Outra Arma Curta D",620,IF(Atletas!Q300="Dao E",621,IF(Atletas!Q300="Jian E",622,IF(Atletas!Q300="Bishou E",623,IF(Atletas!Q300="Shan E",624,IF(Atletas!Q300="Outra Arma Curta E",625,IF(Atletas!Q300="Dao F",626,IF(Atletas!Q300="Jian F",627,IF(Atletas!Q300="Bishou F",628,IF(Atletas!Q300="Shan F",629,IF(Atletas!Q300="Outra Arma Curta F",630, "")))))))))))))))))))))))))))))))</f>
        <v/>
      </c>
      <c r="BT304" s="52" t="str">
        <f>IF(Atletas!R300="","",IF(Atletas!W300&lt;&gt;"",10000,0)+IF(Atletas!B300="Feminino",1000,IF(Atletas!B300="Masculino",2000,""))+IF(Atletas!R300="Gun A",701,IF(Atletas!R300="Qiang A",702,IF(Atletas!R300="Pudao / Guandao A",703,IF(Atletas!R300="Outra Arma Longa A",704,IF(Atletas!R300="Gun B",705,IF(Atletas!R300="Qiang B",706,IF(Atletas!R300="Pudao / Guandao B",707,IF(Atletas!R300="Outra Arma Longa B",708,IF(Atletas!R300="Gun C",709,IF(Atletas!R300="Qiang C",710,IF(Atletas!R300="Pudao / Guandao C",711,IF(Atletas!R300="Outra Arma Longa C",712,IF(Atletas!R300="Gun D",713,IF(Atletas!R300="Qiang D",714,IF(Atletas!R300="Pudao / Guandao D",715,IF(Atletas!R300="Outra Arma Longa D",716,IF(Atletas!R300="Gun E",717,IF(Atletas!R300="Qiang E",718,IF(Atletas!R300="Pudao / Guandao E",719,IF(Atletas!R300="Outra Arma Longa E",720,IF(Atletas!R300="Gun F",721,IF(Atletas!R300="Qiang F",722,IF(Atletas!R300="Pudao / Guandao F",723,IF(Atletas!R300="Outra Arma Longa F",724,"")))))))))))))))))))))))))</f>
        <v/>
      </c>
      <c r="BU304" s="52" t="str">
        <f>IF(Atletas!S300="","",IF(Atletas!W300&lt;&gt;"",10000,0)+IF(Atletas!B300="Feminino",1000,IF(Atletas!B300="Masculino",2000,""))+IF(Atletas!S300="Arma Dupla A",801,IF(Atletas!S300="Arma Maleável A",802,IF(Atletas!S300="Arma Dupla B",803,IF(Atletas!S300="Arma Maleável B",804,IF(Atletas!S300="Arma Dupla C",805,IF(Atletas!S300="Arma Maleável C",806,IF(Atletas!S300="Arma Dupla D",807,IF(Atletas!S300="Arma Maleável D",808,IF(Atletas!S300="Arma Dupla E",809,IF(Atletas!S300="Arma Maleável E",810,IF(Atletas!S300="Arma Dupla F",811,IF(Atletas!S300="Arma Maleável F",812, "")))))))))))))</f>
        <v/>
      </c>
      <c r="BV304" s="52" t="str">
        <f>IF(Atletas!T300="","",IF(Atletas!W300&lt;&gt;"",10000,0)+IF(Atletas!B300="Feminino",1000,IF(Atletas!B300="Masculino",2000,""))+IF(Atletas!T300="Taijijian Yang A",901,IF(Atletas!T300="Taijijian Chen A",902,IF(Atletas!T300="Taijijian Sun A",903,IF(Atletas!T300="Taijijian Wu A",904,IF(Atletas!T300="Taijijian Wu-Hao A",905,IF(Atletas!T300="Taijijian 32 A",906,IF(Atletas!T300="Taijijian 42 A",907,IF(Atletas!T300="Taijijian Yang B",908,IF(Atletas!T300="Taijijian Chen B",909,IF(Atletas!T300="Taijijian Sun B",910,IF(Atletas!T300="Taijijian Wu B",911,IF(Atletas!T300="Taijijian Wu-Hao B",912,IF(Atletas!T300="Taijijian 32 B",913,IF(Atletas!T300="Taijijian 42 B",914,IF(Atletas!T300="Taijijian Yang C",915,IF(Atletas!T300="Taijijian Chen C",916,IF(Atletas!T300="Taijijian Sun C",917,IF(Atletas!T300="Taijijian Wu C",918,IF(Atletas!T300="Taijijian Wu-Hao C",919,IF(Atletas!T300="Taijijian 32 C",920,IF(Atletas!T300="Taijijian 42 C",921,IF(Atletas!T300="Taijijian Yang D",922,IF(Atletas!T300="Taijijian Chen D",923,IF(Atletas!T300="Taijijian Sun D",924,IF(Atletas!T300="Taijijian Wu D",925,IF(Atletas!T300="Taijijian Wu-Hao D",926,IF(Atletas!T300="Taijijian 32 D",927,IF(Atletas!T300="Taijijian 42 D",928,IF(Atletas!T300="Taijijian Yang E",929,IF(Atletas!T300="Taijijian Chen E",930,IF(Atletas!T300="Taijijian Sun E",931,IF(Atletas!T300="Taijijian Wu E",932,IF(Atletas!T300="Taijijian Wu-Hao E",933,IF(Atletas!T300="Taijijian 32 E",934,IF(Atletas!T300="Taijijian 42 E",935,IF(Atletas!T300="Taijijian Yang F",936,IF(Atletas!T300="Taijijian Chen F",937,IF(Atletas!T300="Taijijian Sun F",938,IF(Atletas!T300="Taijijian Wu F",939,IF(Atletas!T300="Taijijian Wu-Hao F",940,IF(Atletas!T300="Taijijian 32 F",941,IF(Atletas!T300="Taijijian 42 F",942,"")))))))))))))))))))))))))))))))))))))))))))</f>
        <v/>
      </c>
      <c r="BW304" s="52" t="str">
        <f>IF(Atletas!U300="","",IF(Atletas!W300&lt;&gt;"",10000,0)+IF(Atletas!B300="Feminino",1000,IF(Atletas!B300="Masculino",2000,""))+IF(Atletas!T300="Taijijian 42 F",942,IF(Atletas!U300="Taijidao A",943,IF(Atletas!U300="Taijishan A",944,IF(Atletas!U300="Taijiqiang A",945,IF(Atletas!U300="Taijidao B",946,IF(Atletas!U300="Taijishan B",947,IF(Atletas!U300="Taijiqiang B",948,IF(Atletas!U300="Taijidao C",949,IF(Atletas!U300="Taijishan C",950,IF(Atletas!U300="Taijiqiang C",951,IF(Atletas!U300="Taijidao D",952,IF(Atletas!U300="Taijishan D",953,IF(Atletas!U300="Taijiqiang D",954,IF(Atletas!U300="Taijidao E",955,IF(Atletas!U300="Taijishan E",956,IF(Atletas!U300="Taijiqiang E",957,IF(Atletas!U300="Taijidao F",958,IF(Atletas!U300="Taijishan F",959,IF(Atletas!U300="Taijiqiang F",960))))))))))))))))))))</f>
        <v/>
      </c>
      <c r="BX304" s="72" t="str">
        <f>IF(BY304&lt;&gt;"","Taijijian Wu C","")</f>
        <v/>
      </c>
      <c r="BY304" s="72" t="str">
        <f>IF(COUNTIF(BK:BW,1918)&gt;0,COUNTIF(BK:BW,1918),"")</f>
        <v/>
      </c>
      <c r="BZ304" s="72" t="str">
        <f>IF(CA304&lt;&gt;"","Taijijian Wu C","")</f>
        <v/>
      </c>
      <c r="CA304" s="72" t="str">
        <f>IF(COUNTIF(BK:BW,2916)&gt;0,COUNTIF(BK:BW,2916),"")</f>
        <v/>
      </c>
      <c r="CB304" s="72" t="str">
        <f>IF(CC304&lt;&gt;"","Jian E","")</f>
        <v/>
      </c>
      <c r="CC304" s="64" t="str">
        <f>IF(COUNTIF(BK:BW,11622)&gt;0,COUNTIF(BK:BW,11622),"")</f>
        <v/>
      </c>
      <c r="CD304" s="64" t="str">
        <f>IF(CE304&lt;&gt;"","Jian E","")</f>
        <v/>
      </c>
      <c r="CE304" s="64" t="str">
        <f>IF(COUNTIF(BK:BW,12622)&gt;0,COUNTIF(BK:BW,12622),"")</f>
        <v/>
      </c>
      <c r="CF304" s="52" t="str">
        <f xml:space="preserve"> IF(Atletas!V300="","",IF(Atletas!V300="Duilian de Mãos AB - Equipe 1",1,IF(Atletas!V300="Duilian de Mãos AB - Equipe 2",2,IF(Atletas!V300="Duilian de Armas AB - Equipe 1",3,IF(Atletas!V300="Duilian de Armas AB - Equipe 2",4,IF(Atletas!V300="Duilian de Tuishou - Equipe 1",5,IF(Atletas!V300="Duilian de Tuishou - Equipe 2",6,IF(Atletas!V300="Grupo Externo AB - Equipe 1",7,IF(Atletas!V300="Grupo Externo AB - Equipe 2",8,IF(Atletas!V300="Grupo Interno AB - Equipe 1",9,IF(Atletas!V300="Grupo Interno AB - Equipe 2",10,IF(Atletas!V300="Duilian de Mãos CD - Equipe 1",11,IF(Atletas!V300="Duilian de Mãos CD - Equipe 2",12,IF(Atletas!V300="Duilian de Armas CD - Equipe 1",13,IF(Atletas!V300="Duilian de Armas CD - Equipe 2",14,IF(Atletas!V300="Duilian de Tuishou - Equipe 1",15,IF(Atletas!V300="Duilian de Tuishou - Equipe 2",16,IF(Atletas!V300="Grupo Externo CDEF - Equipe 1",17,IF(Atletas!V300="Grupo Externo CDEF - Equipe 2",18,IF(Atletas!V300="Grupo Interno CDEF - Equipe 1",19,IF(Atletas!V300="Grupo Interno CDEF - Equipe 2",20,IF(Atletas!V300="Duilian de Mãos EF - Equipe 1",21,IF(Atletas!V300="Duilian de Mãos EF - Equipe 2",22,IF(Atletas!V300="Duilian de Armas EF - Equipe 1",23,IF(Atletas!V300="Duilian de Armas EF - Equipe 2",24,IF(Atletas!V300="Duilian de Tuishou - Equipe 1",25,IF(Atletas!V300="Duilian de Tuishou - Equipe 2",26,"")))))))))))))))))))))))))))</f>
        <v/>
      </c>
    </row>
    <row r="305" spans="36:84">
      <c r="AJ305" s="46" t="str">
        <f>IF(Atletas!D301="","",IF(Atletas!B301="Feminino",100,IF(Atletas!B301="Masculino",200,""))+(IF(Atletas!D301="Infantil 39kg",1,IF(Atletas!D301="Infantil 42kg",2,IF(Atletas!D301="Infantil 45kg",3,IF(Atletas!D301="Infantil 48kg",4,IF(Atletas!D301="Infantil 52kg",5,IF(Atletas!D301="Infantil 56kg",6,IF(Atletas!D301="Infantil 60kg",7,IF(Atletas!D301="Juvenil 48kg",8,IF(Atletas!D301="Juvenil 52kg",9,IF(Atletas!D301="Juvenil 56kg",10,IF(Atletas!D301="Juvenil 60kg",11,IF(Atletas!D301="Juvenil 65kg",12,IF(Atletas!D301="Juvenil 70kg",13,IF(Atletas!D301="Juvenil 75kg",14,IF(Atletas!D301="Juvenil 80kg",15,IF(Atletas!D301="Adulto 48kg",16,IF(Atletas!D301="Adulto 52kg",17,IF(Atletas!D301="Adulto 56kg",18,IF(Atletas!D301="Adulto 60kg",19,IF(Atletas!D301="Adulto 65kg",20,IF(Atletas!D301="Adulto 70kg",21,IF(Atletas!D301="Adulto 75kg",22,IF(Atletas!D301="Adulto 80kg",23,IF(Atletas!D301="Adulto 85kg",24,IF(Atletas!D301="Adulto 90kg",25,IF(Atletas!D301="Adulto +90kg",26,""))))))))))))))))))))))))))))</f>
        <v/>
      </c>
      <c r="AO305" s="10" t="str">
        <f>IF(Atletas!E301="","",IF(Atletas!B301="Feminino",100,IF(Atletas!B301="Masculino",200,""))+(IF(Atletas!E301="Juvenil 44kg",1,IF(Atletas!E301="Juvenil 48kg",2,IF(Atletas!E301="Juvenil 52kg",3,IF(Atletas!E301="Juvenil 56kg",4,IF(Atletas!E301="Juvenil 60kg",5,IF(Atletas!E301="Juvenil 65kg",6,IF(Atletas!E301="Juvenil 70kg",7,IF(Atletas!E301="Juvenil 75kg",8,IF(Atletas!E301="Juvenil 82kg",9,IF(Atletas!E301="Juvenil 90kg",10,IF(Atletas!E301="Juvenil 100kg",11,IF(Atletas!E301="Adulto 48kg",12,IF(Atletas!E301="Adulto 52kg",13,IF(Atletas!E301="Adulto 56kg",14,IF(Atletas!E301="Adulto 60kg",15,IF(Atletas!E301="Adulto 65kg",16,IF(Atletas!E301="Adulto 70kg",17,IF(Atletas!E301="Adulto 75kg",18,IF(Atletas!E301="Adulto 82kg",19,IF(Atletas!E301="Adulto 90kg",20,IF(Atletas!E301="Adulto 100kg",21,IF(Atletas!E301="Adulto +100kg",22,""))))))))))))))))))))))))</f>
        <v/>
      </c>
      <c r="AT305" s="10" t="str">
        <f>IF(Atletas!F301="","",IF(Atletas!B301="Feminino",100,IF(Atletas!B301="Masculino",200,""))+(IF(Atletas!F301="Adulto 48kg",1,IF(Atletas!F301="Adulto 56kg",2,IF(Atletas!F301="Adulto 65kg",3,IF(Atletas!F301="Adulto 75kg",4,IF(Atletas!F301="Adulto +75kg",5,IF(Atletas!F301="Adulto 52kg",6,IF(Atletas!F301="Adulto 60kg",7,IF(Atletas!F301="Adulto 70kg",8,IF(Atletas!F301="Adulto 80kg",9,IF(Atletas!F301="Adulto 90kg",10,IF(Atletas!F301="Adulto +90kg",11,"")))))))))))))</f>
        <v/>
      </c>
      <c r="AY305" s="46" t="str">
        <f>IF(Atletas!G301="","",IF(Atletas!B301="Feminino",100,IF(Atletas!B301="Masculino",200,""))+(IF(Atletas!G301="Changquan Mirim",1,IF(Atletas!G301="Nanquan Mirim",2,IF(Atletas!G301="Taijiquan Mirim",3,IF(Atletas!G301="Changquan Grupo C",4,IF(Atletas!G301="Nanquan Grupo C",5,IF(Atletas!G301="Taijiquan Grupo C",6,IF(Atletas!G301="Changquan Grupo B",7,IF(Atletas!G301="Nanquan Grupo B",8,IF(Atletas!G301="Taijiquan Grupo B",9,IF(Atletas!G301="Changquan Grupo A",10,IF(Atletas!G301="Nanquan Grupo A",11,IF(Atletas!G301="Taijiquan Grupo A",12,IF(Atletas!G301="Changquan Opcional",13,IF(Atletas!G301="Nanquan Opcional",14,IF(Atletas!G301="Taijiquan Opcional",15,IF(Atletas!G301="Changquan Adulto",16,IF(Atletas!G301="Nanquan Adulto",17,IF(Atletas!G301="Taijiquan Adulto",18,""))))))))))))))))))))</f>
        <v/>
      </c>
      <c r="AZ305" s="46" t="str">
        <f>IF(Atletas!H301="","",IF(Atletas!B301="Feminino",100,IF(Atletas!B301="Masculino",200,""))+(IF(Atletas!H301="Daoshu Mirim",19,IF(Atletas!H301="Jianshu Mirim",20,IF(Atletas!H301="Nandao Mirim",21,IF(Atletas!H301="Taijijian Mirim",22,IF(Atletas!H301="Daoshu Grupo C",23,IF(Atletas!H301="Jianshu Grupo C",24,IF(Atletas!H301="Nandao Grupo C",25,IF(Atletas!H301="Taijijian Grupo C",26,IF(Atletas!H301="Daoshu Grupo B",27,IF(Atletas!H301="Jianshu Grupo B",28,IF(Atletas!H301="Nandao Grupo B",29,IF(Atletas!H301="Taijijian Grupo B",30,IF(Atletas!H301="Daoshu Grupo A",31,IF(Atletas!H301="Jianshu Grupo A",32,IF(Atletas!H301="Nandao Grupo A",33,IF(Atletas!H301="Taijijian Grupo A",34,IF(Atletas!H301="Daoshu Opcional",35,IF(Atletas!H301="Jianshu Opcional",36,IF(Atletas!H301="Nandao Opcional",37,IF(Atletas!H301="Taijijian Opcional",38,IF(Atletas!H301="Daoshu Adulto",39,IF(Atletas!H301="Jianshu Adulto",40,IF(Atletas!H301="Nandao Adulto",41,IF(Atletas!H301="Taijijian Adulto",42,""))))))))))))))))))))))))))</f>
        <v/>
      </c>
      <c r="BA305" s="46" t="str">
        <f>IF(Atletas!I301="","",IF(Atletas!B301="Feminino",100,IF(Atletas!B301="Masculino",200,""))+(IF(Atletas!I301="Gunshu Mirim",43,IF(Atletas!I301="Qiangshu Mirim",44,IF(Atletas!I301="Nangun Mirim",45,IF(Atletas!I301="Gunshu Grupo C",46,IF(Atletas!I301="Qiangshu Grupo C",47,IF(Atletas!I301="Nangun Grupo C",48,IF(Atletas!I301="Gunshu Grupo B",49,IF(Atletas!I301="Qiangshu Grupo B",50,IF(Atletas!I301="Nangun Grupo B",51,IF(Atletas!I301="Gunshu Grupo A",52,IF(Atletas!I301="Qiangshu Grupo A",53,IF(Atletas!I301="Nangun Grupo A",54,IF(Atletas!I301="Gunshu Opcional",55,IF(Atletas!I301="Qiangshu Opcional",56,IF(Atletas!I301="Nangun Opcional",57,IF(Atletas!I301="Gunshu Adulto",58,IF(Atletas!I301="Qiangshu Adulto",59,IF(Atletas!I301="Nangun Adulto",60,""))))))))))))))))))))</f>
        <v/>
      </c>
      <c r="BF305" s="52" t="str">
        <f>IF(Atletas!J301="","",IF(Atletas!B301="Feminino",100,IF(Atletas!B301="Masculino",200,""))+(IF(Atletas!J301="Equipe 1 Grupo B",1,IF(Atletas!J301="Equipe 2 Grupo B",2,IF(Atletas!J301="Equipe 1 Grupo A",3,IF(Atletas!J301="Equipe 2 Grupo A",4,IF(Atletas!J301="Equipe 1 Adulto",5,IF(Atletas!J301="Equipe 2 Adulto",6,""))))))))</f>
        <v/>
      </c>
      <c r="BK305" s="52" t="str">
        <f>IF(Atletas!K301="","",IF(Atletas!W301&lt;&gt;"",10000,0)+(IF(Atletas!B301="Feminino",1000,IF(Atletas!B301="Masculino",2000,""))+IF(Atletas!K301="Choylayfut A",1,IF(Atletas!K301="Hunggar A",2,IF(Atletas!K301="Wuzuquan A",3,IF(Atletas!K301="Wingchun A",4,IF(Atletas!K301="Outra Mão de Sul A",5,IF(Atletas!K301="Choylayfut B",6,IF(Atletas!K301="Hunggar B",7,IF(Atletas!K301="Wuzuquan B",8,IF(Atletas!K301="Wingchun B",9,IF(Atletas!K301="Outra Mão de Sul B",10,IF(Atletas!K301="Choylayfut C",11,IF(Atletas!K301="Hunggar C",12,IF(Atletas!K301="Wuzuquan C",13,IF(Atletas!K301="Wingchun C",14,IF(Atletas!K301="Outra Mão de Sul C",15,IF(Atletas!K301="Choylayfut D",16,IF(Atletas!K301="Hunggar D",17,IF(Atletas!K301="Wuzuquan D",18,IF(Atletas!K301="Wingchun D",19,IF(Atletas!K301="Outra Mão de Sul D",20,IF(Atletas!K301="Choylayfut E",21,IF(Atletas!K301="Hunggar E",22,IF(Atletas!K301="Wuzuquan E",23,IF(Atletas!K301="Wingchun E",24,IF(Atletas!K301="Outra Mão de Sul E",25,IF(Atletas!K301="Choylayfut F",26,IF(Atletas!K301="Hunggar F",27,IF(Atletas!K301="Wuzuquan F",28,IF(Atletas!K301="Wingchun F",29,IF(Atletas!K301="Outra Mão de Sul F",30,""))))))))))))))))))))))))))))))))</f>
        <v/>
      </c>
      <c r="BL305" s="52" t="str">
        <f>IF(Atletas!L301="","",IF(Atletas!W301&lt;&gt;"",10000,0)+(IF(Atletas!B301="Feminino",1000,IF(Atletas!B301="Masculino",2000,""))+(IF(Atletas!L301="Chaquan A",101,IF(Atletas!L301="Emeiquan A",102,IF(Atletas!L301="Fanziquan A",103,IF(Atletas!L301="Huaquan A",104,IF(Atletas!L301="Hongquan A",105,IF(Atletas!L301="Paochui A",106,IF(Atletas!L301="Piguaquan A",107,IF(Atletas!L301="Shaolinquan A",108,IF(Atletas!L301="Tanglangquan A",109,IF(Atletas!L301="Yinzhaophai A",110,IF(Atletas!L301="Tongbeiquan A",111,IF(Atletas!L301="Wudangquan A",112,IF(Atletas!L301="Outros Estilos A",113,IF(Atletas!L301="Chaquan B",114,IF(Atletas!L301="Emeiquan B",115,IF(Atletas!L301="Fanziquan B",116,IF(Atletas!L301="Huaquan B",117,IF(Atletas!L301="Hongquan B",118,IF(Atletas!L301="Paochui B",119,IF(Atletas!L301="Piguaquan B",120,IF(Atletas!L301="Shaolinquan B",121,IF(Atletas!L301="Tanglangquan B",122,IF(Atletas!L301="Yinzhaophai B",123,IF(Atletas!L301="Tongbeiquan B",124,IF(Atletas!L301="Wudangquan B",125,IF(Atletas!L301="Outros Estilos B",126,IF(Atletas!L301="Chaquan C",127,IF(Atletas!L301="Emeiquan C",128,IF(Atletas!L301="Fanziquan C",129,IF(Atletas!L301="Huaquan C",130,IF(Atletas!L301="Hongquan C",131,IF(Atletas!L301="Paochui C",132,IF(Atletas!L301="Piguaquan C",133,IF(Atletas!L301="Shaolinquan C",134,IF(Atletas!L301="Tanglangquan C",135,IF(Atletas!L301="Yinzhaophai C",136,IF(Atletas!L301="Tongbeiquan C",137,IF(Atletas!L301="Wudangquan C",138,IF(Atletas!L301="Outros Estilos C",139,0))))))))))))))))))))))))))))))))))))))))))</f>
        <v/>
      </c>
      <c r="BM305" s="52" t="str">
        <f>IF(Atletas!L301="","",IF(Atletas!W301&lt;&gt;"",10000,0)+(IF(Atletas!B301="Feminino",1000,IF(Atletas!B301="Masculino",2000,""))+(IF(Atletas!L301="Chaquan D",140,IF(Atletas!L301="Emeiquan D",141,IF(Atletas!L301="Fanziquan D",142,IF(Atletas!L301="Huaquan D",143,IF(Atletas!L301="Hongquan D",144,IF(Atletas!L301="Paochui D",145,IF(Atletas!L301="Piguaquan D",146,IF(Atletas!L301="Shaolinquan D",147,IF(Atletas!L301="Tanglangquan D",148,IF(Atletas!L301="Yinzhaophai D",149,IF(Atletas!L301="Tongbeiquan D",150,IF(Atletas!L301="Wudangquan D",151,IF(Atletas!L301="Outros Estilos D",152,IF(Atletas!L301="Chaquan E",153,IF(Atletas!L301="Emeiquan E",154,IF(Atletas!L301="Fanziquan E",155,IF(Atletas!L301="Huaquan E",156,IF(Atletas!L301="Hongquan E",157,IF(Atletas!L301="Paochui E",158,IF(Atletas!L301="Piguaquan E",159,IF(Atletas!L301="Shaolinquan E",160,IF(Atletas!L301="Tanglangquan E",161,IF(Atletas!L301="Yinzhaophai E",162,IF(Atletas!L301="Tongbeiquan E",163,IF(Atletas!L301="Wudangquan E",164,IF(Atletas!L301="Outros Estilos E",165,IF(Atletas!L301="Chaquan F",166,IF(Atletas!L301="Emeiquan F",167,IF(Atletas!L301="Fanziquan F",168,IF(Atletas!L301="Huaquan F",169,IF(Atletas!L301="Hongquan F",170,IF(Atletas!L301="Paochui F",171,IF(Atletas!L301="Piguaquan F",172,IF(Atletas!L301="Shaolinquan F",173,IF(Atletas!L301="Tanglangquan F",174,IF(Atletas!L301="Yinzhaophai F",175,IF(Atletas!L301="Tongbeiquan F",176,IF(Atletas!L301="Wudangquan F",177,IF(Atletas!L301="Outros Estilos F",178,0))))))))))))))))))))))))))))))))))))))))))</f>
        <v/>
      </c>
      <c r="BN305" s="52" t="str">
        <f>IF(Atletas!M301="","",IF(Atletas!W301&lt;&gt;"",10000,0)+(IF(Atletas!B301="Feminino",1000,IF(Atletas!B301="Masculino",2000,""))+(IF(Atletas!M301="Ditangquan A",201,IF(Atletas!M301="Houquan A",202,IF(Atletas!M301="Zuiquan A",203,IF(Atletas!M301="Ditangquan B",204,IF(Atletas!M301="Houquan B",205,IF(Atletas!M301="Zuiquan B",206,IF(Atletas!M301="Ditangquan C",207,IF(Atletas!M301="Houquan C",208,IF(Atletas!M301="Zuiquan C",209,IF(Atletas!M301="Ditangquan D",210,IF(Atletas!M301="Houquan D",211,IF(Atletas!M301="Zuiquan D",212,IF(Atletas!M301="Ditangquan E",213,IF(Atletas!M301="Houquan E",214,IF(Atletas!M301="Zuiquan E",215,IF(Atletas!M301="Ditangquan F",216,IF(Atletas!M301="Houquan F",217,IF(Atletas!M301="Zuiquan F",218,"")))))))))))))))))))))</f>
        <v/>
      </c>
      <c r="BO305" s="52" t="str">
        <f>IF(Atletas!N301="","",IF(Atletas!W301&lt;&gt;"",10000,0)+IF(Atletas!B301="Feminino",1000,IF(Atletas!B301="Masculino",2000,""))+IF(Atletas!N301="Yang A",301,IF(Atletas!N301="Chen A",30,IF(Atletas!N301="Sun A",303,IF(Atletas!N301="Wu A",304,IF(Atletas!N301="Wu-Hao A",305,IF(Atletas!N301="Outro Taijiquan A",306,IF(Atletas!N301="Yang B",307,IF(Atletas!N301="Chen B",308,IF(Atletas!N301="Sun B",309,IF(Atletas!N301="Wu B",310,IF(Atletas!N301="Wu-Hao B",311,IF(Atletas!N301="Outro Taijiquan B",312,IF(Atletas!N301="Yang C",313,IF(Atletas!N301="Chen C",314,IF(Atletas!N301="Sun C",315,IF(Atletas!N301="Wu C",316,IF(Atletas!N301="Wu-Hao C",317,IF(Atletas!N301="Outro Taijiquan C",318,IF(Atletas!N301="Yang D",319,IF(Atletas!N301="Chen D",320,IF(Atletas!N301="Sun D",321,IF(Atletas!N301="Wu D",322,IF(Atletas!N301="Wu-Hao D",323,IF(Atletas!N301="Outro Taijiquan D",324,IF(Atletas!N301="Yang E",325,IF(Atletas!N301="Chen E",326,IF(Atletas!N301="Sun E",327,IF(Atletas!N301="Wu E",328,IF(Atletas!N301="Wu-Hao E",329,IF(Atletas!N301="Outro Taijiquan E",330,IF(Atletas!N301="Yang F",331,IF(Atletas!N301="Chen F",332,IF(Atletas!N301="Sun F",333,IF(Atletas!N301="Wu F",334,IF(Atletas!N301="Wu-Hao F",335,IF(Atletas!N301="Outro Taijiquan F",336,"")))))))))))))))))))))))))))))))))))))</f>
        <v/>
      </c>
      <c r="BP305" s="52" t="str">
        <f>IF(Atletas!O301="","",IF(Atletas!W301&lt;&gt;"",10000,0)+IF(Atletas!B301="Feminino",1000,IF(Atletas!B301="Masculino",2000,""))+IF(OR(Atletas!O301="Yang 26 A",Atletas!O301="Yang 40 A"),401,IF(OR(Atletas!O301="Chen 25 A",Atletas!O301="Chen 36 A",Atletas!O301="Chen 56 A"),402,IF(Atletas!O301="Sun 73 A",403,IF(Atletas!O301="Wu 45 A",404,IF(Atletas!O301="Wu-Hao 46 A",405,IF(OR(Atletas!O301="Taijiquan 16 A",Atletas!O301="Taijiquan 24 A",Atletas!O301="Taijiquan 32 A",Atletas!O301="Taijiquan 42 A"),406,IF(OR(Atletas!O301="Yang 26 B",Atletas!O301="Yang 40 B"),407,IF(OR(Atletas!O301="Chen 25 B",Atletas!O301="Chen 36 B",Atletas!O301="Chen 56 B"),408,IF(Atletas!O301="Sun 73 B",409,IF(Atletas!O301="Wu 45 B",410,IF(Atletas!O301="Wu-Hao 46 B",411,IF(OR(Atletas!O301="Taijiquan 16 B",Atletas!O301="Taijiquan 24 B",Atletas!O301="Taijiquan 32 B",Atletas!O301="Taijiquan 42 B"),412,IF(OR(Atletas!O301="Yang 26 C",Atletas!O301="Yang 40 C"),413,IF(OR(Atletas!O301="Chen 25 C",Atletas!O301="Chen 36 C",Atletas!O301="Chen 56 C"),414,IF(Atletas!O301="Sun 73 C",415,IF(Atletas!O301="Wu 45 C",416,IF(Atletas!O301="Wu-Hao 46 C",417,IF(OR(Atletas!O301="Taijiquan 16 C",Atletas!O301="Taijiquan 24 C",Atletas!O301="Taijiquan 32 C",Atletas!O301="Taijiquan 42 C"),418,0)))))))))))))))))))</f>
        <v/>
      </c>
      <c r="BQ305" s="52" t="str">
        <f>IF(Atletas!O301="","",IF(Atletas!W301&lt;&gt;"",10000,0)+IF(Atletas!B301="Feminino",1000,IF(Atletas!B301="Masculino",2000,""))+IF(OR(Atletas!O301="Yang 26 D",Atletas!O301="Yang 40 D"),419,IF(OR(Atletas!O301="Chen 25 D",Atletas!O301="Chen 36 D",Atletas!O301="Chen 56 D"),420,IF(Atletas!O301="Sun 73 D",421,IF(Atletas!O301="Wu 45 D",422,IF(Atletas!O301="Wu-Hao 46 D",423,IF(OR(Atletas!O301="Taijiquan 16 D",Atletas!O301="Taijiquan 24 D",Atletas!O301="Taijiquan 32 D",Atletas!O301="Taijiquan 42 D"),424,IF(OR(Atletas!O301="Yang 26 E",Atletas!O301="Yang 40 E"),425,IF(OR(Atletas!O301="Chen 25 E",Atletas!O301="Chen 36 E",Atletas!O301="Chen 56 E"),426,IF(Atletas!O301="Sun 73 E",427,IF(Atletas!O301="Wu 45 E",428,IF(Atletas!O301="Wu-Hao 46 E",429,IF(OR(Atletas!O301="Taijiquan 16 E",Atletas!O301="Taijiquan 24 E",Atletas!O301="Taijiquan 32 E",Atletas!O301="Taijiquan 42 E"),430,IF(OR(Atletas!O301="Yang 26 F",Atletas!O301="Yang 40 F"),431,IF(OR(Atletas!O301="Chen 25 F",Atletas!O301="Chen 36 F",Atletas!O301="Chen 56 F"),432,IF(Atletas!O301="Sun 73 F",433,IF(Atletas!O301="Wu 45 F",434,IF(Atletas!O301="Wu-Hao 46 F",435,IF(OR(Atletas!O301="Taijiquan 16 F",Atletas!O301="Taijiquan 24 F",Atletas!O301="Taijiquan 32 F",Atletas!O301="Taijiquan 42 F"),436,0)))))))))))))))))))</f>
        <v/>
      </c>
      <c r="BR305" s="52" t="str">
        <f>IF(Atletas!P301="","",IF(Atletas!W301&lt;&gt;"",10000,0)+IF(Atletas!B301="Feminino",1000,IF(Atletas!B301="Masculino",2000,""))+IF(Atletas!P301="Xingyiquan A",501,IF(Atletas!P301="Baguazhang A",502,IF(Atletas!P301="Outro Estilo Interno A",503,IF(Atletas!P301="Xingyiquan B",504,IF(Atletas!P301="Baguazhang B",505,IF(Atletas!P301="Outro Estilo Interno B",506,IF(Atletas!P301="Xingyiquan C",507,IF(Atletas!P301="Baguazhang C",508,IF(Atletas!P301="Outro Estilo Interno C",509,IF(Atletas!P301="Xingyiquan D",510,IF(Atletas!P301="Baguazhang D",511,IF(Atletas!P301="Outro Estilo Interno D",512,IF(Atletas!P301="Xingyiquan E",513,IF(Atletas!P301="Baguazhang E",514,IF(Atletas!P301="Outro Estilo Interno E",515,IF(Atletas!P301="Xingyiquan F",516,IF(Atletas!P301="Baguazhang F",517,IF(Atletas!P301="Outro Estilo Interno F",518, "")))))))))))))))))))</f>
        <v/>
      </c>
      <c r="BS305" s="52" t="str">
        <f>IF(Atletas!Q301="","",IF(Atletas!W301&lt;&gt;"",10000,0)+IF(Atletas!B301="Feminino",1000,IF(Atletas!B301="Masculino",2000,""))+IF(Atletas!Q301="Dao A",601,IF(Atletas!Q301="Jian A",602,IF(Atletas!Q301="Bishou A",603,IF(Atletas!Q301="Shan A",604,IF(Atletas!Q301="Outra Arma Curta A",605,IF(Atletas!Q301="Dao B",606,IF(Atletas!Q301="Jian B",607,IF(Atletas!Q301="Bishou B",608,IF(Atletas!Q301="Shan B",609,IF(Atletas!Q301="Outra Arma Curta B",610,IF(Atletas!Q301="Dao C",611,IF(Atletas!Q301="Jian C",612,IF(Atletas!Q301="Bishou C",613,IF(Atletas!Q301="Shan C",614,IF(Atletas!Q301="Outra Arma Curta C",615,IF(Atletas!Q301="Dao D",616,IF(Atletas!Q301="Jian D",617,IF(Atletas!Q301="Bishou D",618,IF(Atletas!Q301="Shan D",619,IF(Atletas!Q301="Outra Arma Curta D",620,IF(Atletas!Q301="Dao E",621,IF(Atletas!Q301="Jian E",622,IF(Atletas!Q301="Bishou E",623,IF(Atletas!Q301="Shan E",624,IF(Atletas!Q301="Outra Arma Curta E",625,IF(Atletas!Q301="Dao F",626,IF(Atletas!Q301="Jian F",627,IF(Atletas!Q301="Bishou F",628,IF(Atletas!Q301="Shan F",629,IF(Atletas!Q301="Outra Arma Curta F",630, "")))))))))))))))))))))))))))))))</f>
        <v/>
      </c>
      <c r="BT305" s="52" t="str">
        <f>IF(Atletas!R301="","",IF(Atletas!W301&lt;&gt;"",10000,0)+IF(Atletas!B301="Feminino",1000,IF(Atletas!B301="Masculino",2000,""))+IF(Atletas!R301="Gun A",701,IF(Atletas!R301="Qiang A",702,IF(Atletas!R301="Pudao / Guandao A",703,IF(Atletas!R301="Outra Arma Longa A",704,IF(Atletas!R301="Gun B",705,IF(Atletas!R301="Qiang B",706,IF(Atletas!R301="Pudao / Guandao B",707,IF(Atletas!R301="Outra Arma Longa B",708,IF(Atletas!R301="Gun C",709,IF(Atletas!R301="Qiang C",710,IF(Atletas!R301="Pudao / Guandao C",711,IF(Atletas!R301="Outra Arma Longa C",712,IF(Atletas!R301="Gun D",713,IF(Atletas!R301="Qiang D",714,IF(Atletas!R301="Pudao / Guandao D",715,IF(Atletas!R301="Outra Arma Longa D",716,IF(Atletas!R301="Gun E",717,IF(Atletas!R301="Qiang E",718,IF(Atletas!R301="Pudao / Guandao E",719,IF(Atletas!R301="Outra Arma Longa E",720,IF(Atletas!R301="Gun F",721,IF(Atletas!R301="Qiang F",722,IF(Atletas!R301="Pudao / Guandao F",723,IF(Atletas!R301="Outra Arma Longa F",724,"")))))))))))))))))))))))))</f>
        <v/>
      </c>
      <c r="BU305" s="52" t="str">
        <f>IF(Atletas!S301="","",IF(Atletas!W301&lt;&gt;"",10000,0)+IF(Atletas!B301="Feminino",1000,IF(Atletas!B301="Masculino",2000,""))+IF(Atletas!S301="Arma Dupla A",801,IF(Atletas!S301="Arma Maleável A",802,IF(Atletas!S301="Arma Dupla B",803,IF(Atletas!S301="Arma Maleável B",804,IF(Atletas!S301="Arma Dupla C",805,IF(Atletas!S301="Arma Maleável C",806,IF(Atletas!S301="Arma Dupla D",807,IF(Atletas!S301="Arma Maleável D",808,IF(Atletas!S301="Arma Dupla E",809,IF(Atletas!S301="Arma Maleável E",810,IF(Atletas!S301="Arma Dupla F",811,IF(Atletas!S301="Arma Maleável F",812, "")))))))))))))</f>
        <v/>
      </c>
      <c r="BV305" s="52" t="str">
        <f>IF(Atletas!T301="","",IF(Atletas!W301&lt;&gt;"",10000,0)+IF(Atletas!B301="Feminino",1000,IF(Atletas!B301="Masculino",2000,""))+IF(Atletas!T301="Taijijian Yang A",901,IF(Atletas!T301="Taijijian Chen A",902,IF(Atletas!T301="Taijijian Sun A",903,IF(Atletas!T301="Taijijian Wu A",904,IF(Atletas!T301="Taijijian Wu-Hao A",905,IF(Atletas!T301="Taijijian 32 A",906,IF(Atletas!T301="Taijijian 42 A",907,IF(Atletas!T301="Taijijian Yang B",908,IF(Atletas!T301="Taijijian Chen B",909,IF(Atletas!T301="Taijijian Sun B",910,IF(Atletas!T301="Taijijian Wu B",911,IF(Atletas!T301="Taijijian Wu-Hao B",912,IF(Atletas!T301="Taijijian 32 B",913,IF(Atletas!T301="Taijijian 42 B",914,IF(Atletas!T301="Taijijian Yang C",915,IF(Atletas!T301="Taijijian Chen C",916,IF(Atletas!T301="Taijijian Sun C",917,IF(Atletas!T301="Taijijian Wu C",918,IF(Atletas!T301="Taijijian Wu-Hao C",919,IF(Atletas!T301="Taijijian 32 C",920,IF(Atletas!T301="Taijijian 42 C",921,IF(Atletas!T301="Taijijian Yang D",922,IF(Atletas!T301="Taijijian Chen D",923,IF(Atletas!T301="Taijijian Sun D",924,IF(Atletas!T301="Taijijian Wu D",925,IF(Atletas!T301="Taijijian Wu-Hao D",926,IF(Atletas!T301="Taijijian 32 D",927,IF(Atletas!T301="Taijijian 42 D",928,IF(Atletas!T301="Taijijian Yang E",929,IF(Atletas!T301="Taijijian Chen E",930,IF(Atletas!T301="Taijijian Sun E",931,IF(Atletas!T301="Taijijian Wu E",932,IF(Atletas!T301="Taijijian Wu-Hao E",933,IF(Atletas!T301="Taijijian 32 E",934,IF(Atletas!T301="Taijijian 42 E",935,IF(Atletas!T301="Taijijian Yang F",936,IF(Atletas!T301="Taijijian Chen F",937,IF(Atletas!T301="Taijijian Sun F",938,IF(Atletas!T301="Taijijian Wu F",939,IF(Atletas!T301="Taijijian Wu-Hao F",940,IF(Atletas!T301="Taijijian 32 F",941,IF(Atletas!T301="Taijijian 42 F",942,"")))))))))))))))))))))))))))))))))))))))))))</f>
        <v/>
      </c>
      <c r="BW305" s="52" t="str">
        <f>IF(Atletas!U301="","",IF(Atletas!W301&lt;&gt;"",10000,0)+IF(Atletas!B301="Feminino",1000,IF(Atletas!B301="Masculino",2000,""))+IF(Atletas!T301="Taijijian 42 F",942,IF(Atletas!U301="Taijidao A",943,IF(Atletas!U301="Taijishan A",944,IF(Atletas!U301="Taijiqiang A",945,IF(Atletas!U301="Taijidao B",946,IF(Atletas!U301="Taijishan B",947,IF(Atletas!U301="Taijiqiang B",948,IF(Atletas!U301="Taijidao C",949,IF(Atletas!U301="Taijishan C",950,IF(Atletas!U301="Taijiqiang C",951,IF(Atletas!U301="Taijidao D",952,IF(Atletas!U301="Taijishan D",953,IF(Atletas!U301="Taijiqiang D",954,IF(Atletas!U301="Taijidao E",955,IF(Atletas!U301="Taijishan E",956,IF(Atletas!U301="Taijiqiang E",957,IF(Atletas!U301="Taijidao F",958,IF(Atletas!U301="Taijishan F",959,IF(Atletas!U301="Taijiqiang F",960))))))))))))))))))))</f>
        <v/>
      </c>
      <c r="BX305" s="72" t="str">
        <f>IF(BY305&lt;&gt;"","Taijijian Wu-Hao C","")</f>
        <v/>
      </c>
      <c r="BY305" s="72" t="str">
        <f>IF(COUNTIF(BK:BW,1919)&gt;0,COUNTIF(BK:BW,1919),"")</f>
        <v/>
      </c>
      <c r="BZ305" s="72" t="str">
        <f>IF(CA305&lt;&gt;"","Taijijian Wu-Hao C","")</f>
        <v/>
      </c>
      <c r="CA305" s="72" t="str">
        <f>IF(COUNTIF(BK:BW,2917)&gt;0,COUNTIF(BK:BW,2917),"")</f>
        <v/>
      </c>
      <c r="CB305" s="72" t="str">
        <f>IF(CC305&lt;&gt;"","Bishou E","")</f>
        <v/>
      </c>
      <c r="CC305" s="64" t="str">
        <f>IF(COUNTIF(BK:BW,11623)&gt;0,COUNTIF(BK:BW,11623),"")</f>
        <v/>
      </c>
      <c r="CD305" s="64" t="str">
        <f>IF(CE305&lt;&gt;"","Bishou E","")</f>
        <v/>
      </c>
      <c r="CE305" s="64" t="str">
        <f>IF(COUNTIF(BK:BW,12623)&gt;0,COUNTIF(BK:BW,12623),"")</f>
        <v/>
      </c>
      <c r="CF305" s="52" t="str">
        <f xml:space="preserve"> IF(Atletas!V301="","",IF(Atletas!V301="Duilian de Mãos AB - Equipe 1",1,IF(Atletas!V301="Duilian de Mãos AB - Equipe 2",2,IF(Atletas!V301="Duilian de Armas AB - Equipe 1",3,IF(Atletas!V301="Duilian de Armas AB - Equipe 2",4,IF(Atletas!V301="Duilian de Tuishou - Equipe 1",5,IF(Atletas!V301="Duilian de Tuishou - Equipe 2",6,IF(Atletas!V301="Grupo Externo AB - Equipe 1",7,IF(Atletas!V301="Grupo Externo AB - Equipe 2",8,IF(Atletas!V301="Grupo Interno AB - Equipe 1",9,IF(Atletas!V301="Grupo Interno AB - Equipe 2",10,IF(Atletas!V301="Duilian de Mãos CD - Equipe 1",11,IF(Atletas!V301="Duilian de Mãos CD - Equipe 2",12,IF(Atletas!V301="Duilian de Armas CD - Equipe 1",13,IF(Atletas!V301="Duilian de Armas CD - Equipe 2",14,IF(Atletas!V301="Duilian de Tuishou - Equipe 1",15,IF(Atletas!V301="Duilian de Tuishou - Equipe 2",16,IF(Atletas!V301="Grupo Externo CDEF - Equipe 1",17,IF(Atletas!V301="Grupo Externo CDEF - Equipe 2",18,IF(Atletas!V301="Grupo Interno CDEF - Equipe 1",19,IF(Atletas!V301="Grupo Interno CDEF - Equipe 2",20,IF(Atletas!V301="Duilian de Mãos EF - Equipe 1",21,IF(Atletas!V301="Duilian de Mãos EF - Equipe 2",22,IF(Atletas!V301="Duilian de Armas EF - Equipe 1",23,IF(Atletas!V301="Duilian de Armas EF - Equipe 2",24,IF(Atletas!V301="Duilian de Tuishou - Equipe 1",25,IF(Atletas!V301="Duilian de Tuishou - Equipe 2",26,"")))))))))))))))))))))))))))</f>
        <v/>
      </c>
    </row>
    <row r="306" spans="36:84">
      <c r="AJ306" s="46" t="str">
        <f>IF(Atletas!D302="","",IF(Atletas!B302="Feminino",100,IF(Atletas!B302="Masculino",200,""))+(IF(Atletas!D302="Infantil 39kg",1,IF(Atletas!D302="Infantil 42kg",2,IF(Atletas!D302="Infantil 45kg",3,IF(Atletas!D302="Infantil 48kg",4,IF(Atletas!D302="Infantil 52kg",5,IF(Atletas!D302="Infantil 56kg",6,IF(Atletas!D302="Infantil 60kg",7,IF(Atletas!D302="Juvenil 48kg",8,IF(Atletas!D302="Juvenil 52kg",9,IF(Atletas!D302="Juvenil 56kg",10,IF(Atletas!D302="Juvenil 60kg",11,IF(Atletas!D302="Juvenil 65kg",12,IF(Atletas!D302="Juvenil 70kg",13,IF(Atletas!D302="Juvenil 75kg",14,IF(Atletas!D302="Juvenil 80kg",15,IF(Atletas!D302="Adulto 48kg",16,IF(Atletas!D302="Adulto 52kg",17,IF(Atletas!D302="Adulto 56kg",18,IF(Atletas!D302="Adulto 60kg",19,IF(Atletas!D302="Adulto 65kg",20,IF(Atletas!D302="Adulto 70kg",21,IF(Atletas!D302="Adulto 75kg",22,IF(Atletas!D302="Adulto 80kg",23,IF(Atletas!D302="Adulto 85kg",24,IF(Atletas!D302="Adulto 90kg",25,IF(Atletas!D302="Adulto +90kg",26,""))))))))))))))))))))))))))))</f>
        <v/>
      </c>
      <c r="AO306" s="10" t="str">
        <f>IF(Atletas!E302="","",IF(Atletas!B302="Feminino",100,IF(Atletas!B302="Masculino",200,""))+(IF(Atletas!E302="Juvenil 44kg",1,IF(Atletas!E302="Juvenil 48kg",2,IF(Atletas!E302="Juvenil 52kg",3,IF(Atletas!E302="Juvenil 56kg",4,IF(Atletas!E302="Juvenil 60kg",5,IF(Atletas!E302="Juvenil 65kg",6,IF(Atletas!E302="Juvenil 70kg",7,IF(Atletas!E302="Juvenil 75kg",8,IF(Atletas!E302="Juvenil 82kg",9,IF(Atletas!E302="Juvenil 90kg",10,IF(Atletas!E302="Juvenil 100kg",11,IF(Atletas!E302="Adulto 48kg",12,IF(Atletas!E302="Adulto 52kg",13,IF(Atletas!E302="Adulto 56kg",14,IF(Atletas!E302="Adulto 60kg",15,IF(Atletas!E302="Adulto 65kg",16,IF(Atletas!E302="Adulto 70kg",17,IF(Atletas!E302="Adulto 75kg",18,IF(Atletas!E302="Adulto 82kg",19,IF(Atletas!E302="Adulto 90kg",20,IF(Atletas!E302="Adulto 100kg",21,IF(Atletas!E302="Adulto +100kg",22,""))))))))))))))))))))))))</f>
        <v/>
      </c>
      <c r="AT306" s="10" t="str">
        <f>IF(Atletas!F302="","",IF(Atletas!B302="Feminino",100,IF(Atletas!B302="Masculino",200,""))+(IF(Atletas!F302="Adulto 48kg",1,IF(Atletas!F302="Adulto 56kg",2,IF(Atletas!F302="Adulto 65kg",3,IF(Atletas!F302="Adulto 75kg",4,IF(Atletas!F302="Adulto +75kg",5,IF(Atletas!F302="Adulto 52kg",6,IF(Atletas!F302="Adulto 60kg",7,IF(Atletas!F302="Adulto 70kg",8,IF(Atletas!F302="Adulto 80kg",9,IF(Atletas!F302="Adulto 90kg",10,IF(Atletas!F302="Adulto +90kg",11,"")))))))))))))</f>
        <v/>
      </c>
      <c r="AY306" s="46" t="str">
        <f>IF(Atletas!G302="","",IF(Atletas!B302="Feminino",100,IF(Atletas!B302="Masculino",200,""))+(IF(Atletas!G302="Changquan Mirim",1,IF(Atletas!G302="Nanquan Mirim",2,IF(Atletas!G302="Taijiquan Mirim",3,IF(Atletas!G302="Changquan Grupo C",4,IF(Atletas!G302="Nanquan Grupo C",5,IF(Atletas!G302="Taijiquan Grupo C",6,IF(Atletas!G302="Changquan Grupo B",7,IF(Atletas!G302="Nanquan Grupo B",8,IF(Atletas!G302="Taijiquan Grupo B",9,IF(Atletas!G302="Changquan Grupo A",10,IF(Atletas!G302="Nanquan Grupo A",11,IF(Atletas!G302="Taijiquan Grupo A",12,IF(Atletas!G302="Changquan Opcional",13,IF(Atletas!G302="Nanquan Opcional",14,IF(Atletas!G302="Taijiquan Opcional",15,IF(Atletas!G302="Changquan Adulto",16,IF(Atletas!G302="Nanquan Adulto",17,IF(Atletas!G302="Taijiquan Adulto",18,""))))))))))))))))))))</f>
        <v/>
      </c>
      <c r="AZ306" s="46" t="str">
        <f>IF(Atletas!H302="","",IF(Atletas!B302="Feminino",100,IF(Atletas!B302="Masculino",200,""))+(IF(Atletas!H302="Daoshu Mirim",19,IF(Atletas!H302="Jianshu Mirim",20,IF(Atletas!H302="Nandao Mirim",21,IF(Atletas!H302="Taijijian Mirim",22,IF(Atletas!H302="Daoshu Grupo C",23,IF(Atletas!H302="Jianshu Grupo C",24,IF(Atletas!H302="Nandao Grupo C",25,IF(Atletas!H302="Taijijian Grupo C",26,IF(Atletas!H302="Daoshu Grupo B",27,IF(Atletas!H302="Jianshu Grupo B",28,IF(Atletas!H302="Nandao Grupo B",29,IF(Atletas!H302="Taijijian Grupo B",30,IF(Atletas!H302="Daoshu Grupo A",31,IF(Atletas!H302="Jianshu Grupo A",32,IF(Atletas!H302="Nandao Grupo A",33,IF(Atletas!H302="Taijijian Grupo A",34,IF(Atletas!H302="Daoshu Opcional",35,IF(Atletas!H302="Jianshu Opcional",36,IF(Atletas!H302="Nandao Opcional",37,IF(Atletas!H302="Taijijian Opcional",38,IF(Atletas!H302="Daoshu Adulto",39,IF(Atletas!H302="Jianshu Adulto",40,IF(Atletas!H302="Nandao Adulto",41,IF(Atletas!H302="Taijijian Adulto",42,""))))))))))))))))))))))))))</f>
        <v/>
      </c>
      <c r="BA306" s="46" t="str">
        <f>IF(Atletas!I302="","",IF(Atletas!B302="Feminino",100,IF(Atletas!B302="Masculino",200,""))+(IF(Atletas!I302="Gunshu Mirim",43,IF(Atletas!I302="Qiangshu Mirim",44,IF(Atletas!I302="Nangun Mirim",45,IF(Atletas!I302="Gunshu Grupo C",46,IF(Atletas!I302="Qiangshu Grupo C",47,IF(Atletas!I302="Nangun Grupo C",48,IF(Atletas!I302="Gunshu Grupo B",49,IF(Atletas!I302="Qiangshu Grupo B",50,IF(Atletas!I302="Nangun Grupo B",51,IF(Atletas!I302="Gunshu Grupo A",52,IF(Atletas!I302="Qiangshu Grupo A",53,IF(Atletas!I302="Nangun Grupo A",54,IF(Atletas!I302="Gunshu Opcional",55,IF(Atletas!I302="Qiangshu Opcional",56,IF(Atletas!I302="Nangun Opcional",57,IF(Atletas!I302="Gunshu Adulto",58,IF(Atletas!I302="Qiangshu Adulto",59,IF(Atletas!I302="Nangun Adulto",60,""))))))))))))))))))))</f>
        <v/>
      </c>
      <c r="BF306" s="52" t="str">
        <f>IF(Atletas!J302="","",IF(Atletas!B302="Feminino",100,IF(Atletas!B302="Masculino",200,""))+(IF(Atletas!J302="Equipe 1 Grupo B",1,IF(Atletas!J302="Equipe 2 Grupo B",2,IF(Atletas!J302="Equipe 1 Grupo A",3,IF(Atletas!J302="Equipe 2 Grupo A",4,IF(Atletas!J302="Equipe 1 Adulto",5,IF(Atletas!J302="Equipe 2 Adulto",6,""))))))))</f>
        <v/>
      </c>
      <c r="BK306" s="52" t="str">
        <f>IF(Atletas!K302="","",IF(Atletas!W302&lt;&gt;"",10000,0)+(IF(Atletas!B302="Feminino",1000,IF(Atletas!B302="Masculino",2000,""))+IF(Atletas!K302="Choylayfut A",1,IF(Atletas!K302="Hunggar A",2,IF(Atletas!K302="Wuzuquan A",3,IF(Atletas!K302="Wingchun A",4,IF(Atletas!K302="Outra Mão de Sul A",5,IF(Atletas!K302="Choylayfut B",6,IF(Atletas!K302="Hunggar B",7,IF(Atletas!K302="Wuzuquan B",8,IF(Atletas!K302="Wingchun B",9,IF(Atletas!K302="Outra Mão de Sul B",10,IF(Atletas!K302="Choylayfut C",11,IF(Atletas!K302="Hunggar C",12,IF(Atletas!K302="Wuzuquan C",13,IF(Atletas!K302="Wingchun C",14,IF(Atletas!K302="Outra Mão de Sul C",15,IF(Atletas!K302="Choylayfut D",16,IF(Atletas!K302="Hunggar D",17,IF(Atletas!K302="Wuzuquan D",18,IF(Atletas!K302="Wingchun D",19,IF(Atletas!K302="Outra Mão de Sul D",20,IF(Atletas!K302="Choylayfut E",21,IF(Atletas!K302="Hunggar E",22,IF(Atletas!K302="Wuzuquan E",23,IF(Atletas!K302="Wingchun E",24,IF(Atletas!K302="Outra Mão de Sul E",25,IF(Atletas!K302="Choylayfut F",26,IF(Atletas!K302="Hunggar F",27,IF(Atletas!K302="Wuzuquan F",28,IF(Atletas!K302="Wingchun F",29,IF(Atletas!K302="Outra Mão de Sul F",30,""))))))))))))))))))))))))))))))))</f>
        <v/>
      </c>
      <c r="BL306" s="52" t="str">
        <f>IF(Atletas!L302="","",IF(Atletas!W302&lt;&gt;"",10000,0)+(IF(Atletas!B302="Feminino",1000,IF(Atletas!B302="Masculino",2000,""))+(IF(Atletas!L302="Chaquan A",101,IF(Atletas!L302="Emeiquan A",102,IF(Atletas!L302="Fanziquan A",103,IF(Atletas!L302="Huaquan A",104,IF(Atletas!L302="Hongquan A",105,IF(Atletas!L302="Paochui A",106,IF(Atletas!L302="Piguaquan A",107,IF(Atletas!L302="Shaolinquan A",108,IF(Atletas!L302="Tanglangquan A",109,IF(Atletas!L302="Yinzhaophai A",110,IF(Atletas!L302="Tongbeiquan A",111,IF(Atletas!L302="Wudangquan A",112,IF(Atletas!L302="Outros Estilos A",113,IF(Atletas!L302="Chaquan B",114,IF(Atletas!L302="Emeiquan B",115,IF(Atletas!L302="Fanziquan B",116,IF(Atletas!L302="Huaquan B",117,IF(Atletas!L302="Hongquan B",118,IF(Atletas!L302="Paochui B",119,IF(Atletas!L302="Piguaquan B",120,IF(Atletas!L302="Shaolinquan B",121,IF(Atletas!L302="Tanglangquan B",122,IF(Atletas!L302="Yinzhaophai B",123,IF(Atletas!L302="Tongbeiquan B",124,IF(Atletas!L302="Wudangquan B",125,IF(Atletas!L302="Outros Estilos B",126,IF(Atletas!L302="Chaquan C",127,IF(Atletas!L302="Emeiquan C",128,IF(Atletas!L302="Fanziquan C",129,IF(Atletas!L302="Huaquan C",130,IF(Atletas!L302="Hongquan C",131,IF(Atletas!L302="Paochui C",132,IF(Atletas!L302="Piguaquan C",133,IF(Atletas!L302="Shaolinquan C",134,IF(Atletas!L302="Tanglangquan C",135,IF(Atletas!L302="Yinzhaophai C",136,IF(Atletas!L302="Tongbeiquan C",137,IF(Atletas!L302="Wudangquan C",138,IF(Atletas!L302="Outros Estilos C",139,0))))))))))))))))))))))))))))))))))))))))))</f>
        <v/>
      </c>
      <c r="BM306" s="52" t="str">
        <f>IF(Atletas!L302="","",IF(Atletas!W302&lt;&gt;"",10000,0)+(IF(Atletas!B302="Feminino",1000,IF(Atletas!B302="Masculino",2000,""))+(IF(Atletas!L302="Chaquan D",140,IF(Atletas!L302="Emeiquan D",141,IF(Atletas!L302="Fanziquan D",142,IF(Atletas!L302="Huaquan D",143,IF(Atletas!L302="Hongquan D",144,IF(Atletas!L302="Paochui D",145,IF(Atletas!L302="Piguaquan D",146,IF(Atletas!L302="Shaolinquan D",147,IF(Atletas!L302="Tanglangquan D",148,IF(Atletas!L302="Yinzhaophai D",149,IF(Atletas!L302="Tongbeiquan D",150,IF(Atletas!L302="Wudangquan D",151,IF(Atletas!L302="Outros Estilos D",152,IF(Atletas!L302="Chaquan E",153,IF(Atletas!L302="Emeiquan E",154,IF(Atletas!L302="Fanziquan E",155,IF(Atletas!L302="Huaquan E",156,IF(Atletas!L302="Hongquan E",157,IF(Atletas!L302="Paochui E",158,IF(Atletas!L302="Piguaquan E",159,IF(Atletas!L302="Shaolinquan E",160,IF(Atletas!L302="Tanglangquan E",161,IF(Atletas!L302="Yinzhaophai E",162,IF(Atletas!L302="Tongbeiquan E",163,IF(Atletas!L302="Wudangquan E",164,IF(Atletas!L302="Outros Estilos E",165,IF(Atletas!L302="Chaquan F",166,IF(Atletas!L302="Emeiquan F",167,IF(Atletas!L302="Fanziquan F",168,IF(Atletas!L302="Huaquan F",169,IF(Atletas!L302="Hongquan F",170,IF(Atletas!L302="Paochui F",171,IF(Atletas!L302="Piguaquan F",172,IF(Atletas!L302="Shaolinquan F",173,IF(Atletas!L302="Tanglangquan F",174,IF(Atletas!L302="Yinzhaophai F",175,IF(Atletas!L302="Tongbeiquan F",176,IF(Atletas!L302="Wudangquan F",177,IF(Atletas!L302="Outros Estilos F",178,0))))))))))))))))))))))))))))))))))))))))))</f>
        <v/>
      </c>
      <c r="BN306" s="52" t="str">
        <f>IF(Atletas!M302="","",IF(Atletas!W302&lt;&gt;"",10000,0)+(IF(Atletas!B302="Feminino",1000,IF(Atletas!B302="Masculino",2000,""))+(IF(Atletas!M302="Ditangquan A",201,IF(Atletas!M302="Houquan A",202,IF(Atletas!M302="Zuiquan A",203,IF(Atletas!M302="Ditangquan B",204,IF(Atletas!M302="Houquan B",205,IF(Atletas!M302="Zuiquan B",206,IF(Atletas!M302="Ditangquan C",207,IF(Atletas!M302="Houquan C",208,IF(Atletas!M302="Zuiquan C",209,IF(Atletas!M302="Ditangquan D",210,IF(Atletas!M302="Houquan D",211,IF(Atletas!M302="Zuiquan D",212,IF(Atletas!M302="Ditangquan E",213,IF(Atletas!M302="Houquan E",214,IF(Atletas!M302="Zuiquan E",215,IF(Atletas!M302="Ditangquan F",216,IF(Atletas!M302="Houquan F",217,IF(Atletas!M302="Zuiquan F",218,"")))))))))))))))))))))</f>
        <v/>
      </c>
      <c r="BO306" s="52" t="str">
        <f>IF(Atletas!N302="","",IF(Atletas!W302&lt;&gt;"",10000,0)+IF(Atletas!B302="Feminino",1000,IF(Atletas!B302="Masculino",2000,""))+IF(Atletas!N302="Yang A",301,IF(Atletas!N302="Chen A",30,IF(Atletas!N302="Sun A",303,IF(Atletas!N302="Wu A",304,IF(Atletas!N302="Wu-Hao A",305,IF(Atletas!N302="Outro Taijiquan A",306,IF(Atletas!N302="Yang B",307,IF(Atletas!N302="Chen B",308,IF(Atletas!N302="Sun B",309,IF(Atletas!N302="Wu B",310,IF(Atletas!N302="Wu-Hao B",311,IF(Atletas!N302="Outro Taijiquan B",312,IF(Atletas!N302="Yang C",313,IF(Atletas!N302="Chen C",314,IF(Atletas!N302="Sun C",315,IF(Atletas!N302="Wu C",316,IF(Atletas!N302="Wu-Hao C",317,IF(Atletas!N302="Outro Taijiquan C",318,IF(Atletas!N302="Yang D",319,IF(Atletas!N302="Chen D",320,IF(Atletas!N302="Sun D",321,IF(Atletas!N302="Wu D",322,IF(Atletas!N302="Wu-Hao D",323,IF(Atletas!N302="Outro Taijiquan D",324,IF(Atletas!N302="Yang E",325,IF(Atletas!N302="Chen E",326,IF(Atletas!N302="Sun E",327,IF(Atletas!N302="Wu E",328,IF(Atletas!N302="Wu-Hao E",329,IF(Atletas!N302="Outro Taijiquan E",330,IF(Atletas!N302="Yang F",331,IF(Atletas!N302="Chen F",332,IF(Atletas!N302="Sun F",333,IF(Atletas!N302="Wu F",334,IF(Atletas!N302="Wu-Hao F",335,IF(Atletas!N302="Outro Taijiquan F",336,"")))))))))))))))))))))))))))))))))))))</f>
        <v/>
      </c>
      <c r="BP306" s="52" t="str">
        <f>IF(Atletas!O302="","",IF(Atletas!W302&lt;&gt;"",10000,0)+IF(Atletas!B302="Feminino",1000,IF(Atletas!B302="Masculino",2000,""))+IF(OR(Atletas!O302="Yang 26 A",Atletas!O302="Yang 40 A"),401,IF(OR(Atletas!O302="Chen 25 A",Atletas!O302="Chen 36 A",Atletas!O302="Chen 56 A"),402,IF(Atletas!O302="Sun 73 A",403,IF(Atletas!O302="Wu 45 A",404,IF(Atletas!O302="Wu-Hao 46 A",405,IF(OR(Atletas!O302="Taijiquan 16 A",Atletas!O302="Taijiquan 24 A",Atletas!O302="Taijiquan 32 A",Atletas!O302="Taijiquan 42 A"),406,IF(OR(Atletas!O302="Yang 26 B",Atletas!O302="Yang 40 B"),407,IF(OR(Atletas!O302="Chen 25 B",Atletas!O302="Chen 36 B",Atletas!O302="Chen 56 B"),408,IF(Atletas!O302="Sun 73 B",409,IF(Atletas!O302="Wu 45 B",410,IF(Atletas!O302="Wu-Hao 46 B",411,IF(OR(Atletas!O302="Taijiquan 16 B",Atletas!O302="Taijiquan 24 B",Atletas!O302="Taijiquan 32 B",Atletas!O302="Taijiquan 42 B"),412,IF(OR(Atletas!O302="Yang 26 C",Atletas!O302="Yang 40 C"),413,IF(OR(Atletas!O302="Chen 25 C",Atletas!O302="Chen 36 C",Atletas!O302="Chen 56 C"),414,IF(Atletas!O302="Sun 73 C",415,IF(Atletas!O302="Wu 45 C",416,IF(Atletas!O302="Wu-Hao 46 C",417,IF(OR(Atletas!O302="Taijiquan 16 C",Atletas!O302="Taijiquan 24 C",Atletas!O302="Taijiquan 32 C",Atletas!O302="Taijiquan 42 C"),418,0)))))))))))))))))))</f>
        <v/>
      </c>
      <c r="BQ306" s="52" t="str">
        <f>IF(Atletas!O302="","",IF(Atletas!W302&lt;&gt;"",10000,0)+IF(Atletas!B302="Feminino",1000,IF(Atletas!B302="Masculino",2000,""))+IF(OR(Atletas!O302="Yang 26 D",Atletas!O302="Yang 40 D"),419,IF(OR(Atletas!O302="Chen 25 D",Atletas!O302="Chen 36 D",Atletas!O302="Chen 56 D"),420,IF(Atletas!O302="Sun 73 D",421,IF(Atletas!O302="Wu 45 D",422,IF(Atletas!O302="Wu-Hao 46 D",423,IF(OR(Atletas!O302="Taijiquan 16 D",Atletas!O302="Taijiquan 24 D",Atletas!O302="Taijiquan 32 D",Atletas!O302="Taijiquan 42 D"),424,IF(OR(Atletas!O302="Yang 26 E",Atletas!O302="Yang 40 E"),425,IF(OR(Atletas!O302="Chen 25 E",Atletas!O302="Chen 36 E",Atletas!O302="Chen 56 E"),426,IF(Atletas!O302="Sun 73 E",427,IF(Atletas!O302="Wu 45 E",428,IF(Atletas!O302="Wu-Hao 46 E",429,IF(OR(Atletas!O302="Taijiquan 16 E",Atletas!O302="Taijiquan 24 E",Atletas!O302="Taijiquan 32 E",Atletas!O302="Taijiquan 42 E"),430,IF(OR(Atletas!O302="Yang 26 F",Atletas!O302="Yang 40 F"),431,IF(OR(Atletas!O302="Chen 25 F",Atletas!O302="Chen 36 F",Atletas!O302="Chen 56 F"),432,IF(Atletas!O302="Sun 73 F",433,IF(Atletas!O302="Wu 45 F",434,IF(Atletas!O302="Wu-Hao 46 F",435,IF(OR(Atletas!O302="Taijiquan 16 F",Atletas!O302="Taijiquan 24 F",Atletas!O302="Taijiquan 32 F",Atletas!O302="Taijiquan 42 F"),436,0)))))))))))))))))))</f>
        <v/>
      </c>
      <c r="BR306" s="52" t="str">
        <f>IF(Atletas!P302="","",IF(Atletas!W302&lt;&gt;"",10000,0)+IF(Atletas!B302="Feminino",1000,IF(Atletas!B302="Masculino",2000,""))+IF(Atletas!P302="Xingyiquan A",501,IF(Atletas!P302="Baguazhang A",502,IF(Atletas!P302="Outro Estilo Interno A",503,IF(Atletas!P302="Xingyiquan B",504,IF(Atletas!P302="Baguazhang B",505,IF(Atletas!P302="Outro Estilo Interno B",506,IF(Atletas!P302="Xingyiquan C",507,IF(Atletas!P302="Baguazhang C",508,IF(Atletas!P302="Outro Estilo Interno C",509,IF(Atletas!P302="Xingyiquan D",510,IF(Atletas!P302="Baguazhang D",511,IF(Atletas!P302="Outro Estilo Interno D",512,IF(Atletas!P302="Xingyiquan E",513,IF(Atletas!P302="Baguazhang E",514,IF(Atletas!P302="Outro Estilo Interno E",515,IF(Atletas!P302="Xingyiquan F",516,IF(Atletas!P302="Baguazhang F",517,IF(Atletas!P302="Outro Estilo Interno F",518, "")))))))))))))))))))</f>
        <v/>
      </c>
      <c r="BS306" s="52" t="str">
        <f>IF(Atletas!Q302="","",IF(Atletas!W302&lt;&gt;"",10000,0)+IF(Atletas!B302="Feminino",1000,IF(Atletas!B302="Masculino",2000,""))+IF(Atletas!Q302="Dao A",601,IF(Atletas!Q302="Jian A",602,IF(Atletas!Q302="Bishou A",603,IF(Atletas!Q302="Shan A",604,IF(Atletas!Q302="Outra Arma Curta A",605,IF(Atletas!Q302="Dao B",606,IF(Atletas!Q302="Jian B",607,IF(Atletas!Q302="Bishou B",608,IF(Atletas!Q302="Shan B",609,IF(Atletas!Q302="Outra Arma Curta B",610,IF(Atletas!Q302="Dao C",611,IF(Atletas!Q302="Jian C",612,IF(Atletas!Q302="Bishou C",613,IF(Atletas!Q302="Shan C",614,IF(Atletas!Q302="Outra Arma Curta C",615,IF(Atletas!Q302="Dao D",616,IF(Atletas!Q302="Jian D",617,IF(Atletas!Q302="Bishou D",618,IF(Atletas!Q302="Shan D",619,IF(Atletas!Q302="Outra Arma Curta D",620,IF(Atletas!Q302="Dao E",621,IF(Atletas!Q302="Jian E",622,IF(Atletas!Q302="Bishou E",623,IF(Atletas!Q302="Shan E",624,IF(Atletas!Q302="Outra Arma Curta E",625,IF(Atletas!Q302="Dao F",626,IF(Atletas!Q302="Jian F",627,IF(Atletas!Q302="Bishou F",628,IF(Atletas!Q302="Shan F",629,IF(Atletas!Q302="Outra Arma Curta F",630, "")))))))))))))))))))))))))))))))</f>
        <v/>
      </c>
      <c r="BT306" s="52" t="str">
        <f>IF(Atletas!R302="","",IF(Atletas!W302&lt;&gt;"",10000,0)+IF(Atletas!B302="Feminino",1000,IF(Atletas!B302="Masculino",2000,""))+IF(Atletas!R302="Gun A",701,IF(Atletas!R302="Qiang A",702,IF(Atletas!R302="Pudao / Guandao A",703,IF(Atletas!R302="Outra Arma Longa A",704,IF(Atletas!R302="Gun B",705,IF(Atletas!R302="Qiang B",706,IF(Atletas!R302="Pudao / Guandao B",707,IF(Atletas!R302="Outra Arma Longa B",708,IF(Atletas!R302="Gun C",709,IF(Atletas!R302="Qiang C",710,IF(Atletas!R302="Pudao / Guandao C",711,IF(Atletas!R302="Outra Arma Longa C",712,IF(Atletas!R302="Gun D",713,IF(Atletas!R302="Qiang D",714,IF(Atletas!R302="Pudao / Guandao D",715,IF(Atletas!R302="Outra Arma Longa D",716,IF(Atletas!R302="Gun E",717,IF(Atletas!R302="Qiang E",718,IF(Atletas!R302="Pudao / Guandao E",719,IF(Atletas!R302="Outra Arma Longa E",720,IF(Atletas!R302="Gun F",721,IF(Atletas!R302="Qiang F",722,IF(Atletas!R302="Pudao / Guandao F",723,IF(Atletas!R302="Outra Arma Longa F",724,"")))))))))))))))))))))))))</f>
        <v/>
      </c>
      <c r="BU306" s="52" t="str">
        <f>IF(Atletas!S302="","",IF(Atletas!W302&lt;&gt;"",10000,0)+IF(Atletas!B302="Feminino",1000,IF(Atletas!B302="Masculino",2000,""))+IF(Atletas!S302="Arma Dupla A",801,IF(Atletas!S302="Arma Maleável A",802,IF(Atletas!S302="Arma Dupla B",803,IF(Atletas!S302="Arma Maleável B",804,IF(Atletas!S302="Arma Dupla C",805,IF(Atletas!S302="Arma Maleável C",806,IF(Atletas!S302="Arma Dupla D",807,IF(Atletas!S302="Arma Maleável D",808,IF(Atletas!S302="Arma Dupla E",809,IF(Atletas!S302="Arma Maleável E",810,IF(Atletas!S302="Arma Dupla F",811,IF(Atletas!S302="Arma Maleável F",812, "")))))))))))))</f>
        <v/>
      </c>
      <c r="BV306" s="52" t="str">
        <f>IF(Atletas!T302="","",IF(Atletas!W302&lt;&gt;"",10000,0)+IF(Atletas!B302="Feminino",1000,IF(Atletas!B302="Masculino",2000,""))+IF(Atletas!T302="Taijijian Yang A",901,IF(Atletas!T302="Taijijian Chen A",902,IF(Atletas!T302="Taijijian Sun A",903,IF(Atletas!T302="Taijijian Wu A",904,IF(Atletas!T302="Taijijian Wu-Hao A",905,IF(Atletas!T302="Taijijian 32 A",906,IF(Atletas!T302="Taijijian 42 A",907,IF(Atletas!T302="Taijijian Yang B",908,IF(Atletas!T302="Taijijian Chen B",909,IF(Atletas!T302="Taijijian Sun B",910,IF(Atletas!T302="Taijijian Wu B",911,IF(Atletas!T302="Taijijian Wu-Hao B",912,IF(Atletas!T302="Taijijian 32 B",913,IF(Atletas!T302="Taijijian 42 B",914,IF(Atletas!T302="Taijijian Yang C",915,IF(Atletas!T302="Taijijian Chen C",916,IF(Atletas!T302="Taijijian Sun C",917,IF(Atletas!T302="Taijijian Wu C",918,IF(Atletas!T302="Taijijian Wu-Hao C",919,IF(Atletas!T302="Taijijian 32 C",920,IF(Atletas!T302="Taijijian 42 C",921,IF(Atletas!T302="Taijijian Yang D",922,IF(Atletas!T302="Taijijian Chen D",923,IF(Atletas!T302="Taijijian Sun D",924,IF(Atletas!T302="Taijijian Wu D",925,IF(Atletas!T302="Taijijian Wu-Hao D",926,IF(Atletas!T302="Taijijian 32 D",927,IF(Atletas!T302="Taijijian 42 D",928,IF(Atletas!T302="Taijijian Yang E",929,IF(Atletas!T302="Taijijian Chen E",930,IF(Atletas!T302="Taijijian Sun E",931,IF(Atletas!T302="Taijijian Wu E",932,IF(Atletas!T302="Taijijian Wu-Hao E",933,IF(Atletas!T302="Taijijian 32 E",934,IF(Atletas!T302="Taijijian 42 E",935,IF(Atletas!T302="Taijijian Yang F",936,IF(Atletas!T302="Taijijian Chen F",937,IF(Atletas!T302="Taijijian Sun F",938,IF(Atletas!T302="Taijijian Wu F",939,IF(Atletas!T302="Taijijian Wu-Hao F",940,IF(Atletas!T302="Taijijian 32 F",941,IF(Atletas!T302="Taijijian 42 F",942,"")))))))))))))))))))))))))))))))))))))))))))</f>
        <v/>
      </c>
      <c r="BW306" s="52" t="str">
        <f>IF(Atletas!U302="","",IF(Atletas!W302&lt;&gt;"",10000,0)+IF(Atletas!B302="Feminino",1000,IF(Atletas!B302="Masculino",2000,""))+IF(Atletas!T302="Taijijian 42 F",942,IF(Atletas!U302="Taijidao A",943,IF(Atletas!U302="Taijishan A",944,IF(Atletas!U302="Taijiqiang A",945,IF(Atletas!U302="Taijidao B",946,IF(Atletas!U302="Taijishan B",947,IF(Atletas!U302="Taijiqiang B",948,IF(Atletas!U302="Taijidao C",949,IF(Atletas!U302="Taijishan C",950,IF(Atletas!U302="Taijiqiang C",951,IF(Atletas!U302="Taijidao D",952,IF(Atletas!U302="Taijishan D",953,IF(Atletas!U302="Taijiqiang D",954,IF(Atletas!U302="Taijidao E",955,IF(Atletas!U302="Taijishan E",956,IF(Atletas!U302="Taijiqiang E",957,IF(Atletas!U302="Taijidao F",958,IF(Atletas!U302="Taijishan F",959,IF(Atletas!U302="Taijiqiang F",960))))))))))))))))))))</f>
        <v/>
      </c>
      <c r="BX306" s="72" t="str">
        <f>IF(BY306&lt;&gt;"","Taijijian Combinado C","")</f>
        <v/>
      </c>
      <c r="BY306" s="72" t="str">
        <f>IF((COUNTIF(BK:BW,1920)+COUNTIF(BK:BW,1921))&gt;0,(COUNTIF(BK:BW,1920)+COUNTIF(BK:BW,1921)),"")</f>
        <v/>
      </c>
      <c r="BZ306" s="72" t="str">
        <f>IF(CA306&lt;&gt;"","Taijijian Combinado C","")</f>
        <v/>
      </c>
      <c r="CA306" s="72" t="str">
        <f>IF(COUNTIF(BK:BW,2918)&gt;0,COUNTIF(BK:BW,2918),"")</f>
        <v/>
      </c>
      <c r="CB306" s="72" t="str">
        <f>IF(CC306&lt;&gt;"","Shan E","")</f>
        <v/>
      </c>
      <c r="CC306" s="64" t="str">
        <f>IF(COUNTIF(BK:BW,11624)&gt;0,COUNTIF(BK:BW,11624),"")</f>
        <v/>
      </c>
      <c r="CD306" s="64" t="str">
        <f>IF(CE306&lt;&gt;"","Shan E","")</f>
        <v/>
      </c>
      <c r="CE306" s="64" t="str">
        <f>IF(COUNTIF(BK:BW,12624)&gt;0,COUNTIF(BK:BW,12624),"")</f>
        <v/>
      </c>
      <c r="CF306" s="52" t="str">
        <f xml:space="preserve"> IF(Atletas!V302="","",IF(Atletas!V302="Duilian de Mãos AB - Equipe 1",1,IF(Atletas!V302="Duilian de Mãos AB - Equipe 2",2,IF(Atletas!V302="Duilian de Armas AB - Equipe 1",3,IF(Atletas!V302="Duilian de Armas AB - Equipe 2",4,IF(Atletas!V302="Duilian de Tuishou - Equipe 1",5,IF(Atletas!V302="Duilian de Tuishou - Equipe 2",6,IF(Atletas!V302="Grupo Externo AB - Equipe 1",7,IF(Atletas!V302="Grupo Externo AB - Equipe 2",8,IF(Atletas!V302="Grupo Interno AB - Equipe 1",9,IF(Atletas!V302="Grupo Interno AB - Equipe 2",10,IF(Atletas!V302="Duilian de Mãos CD - Equipe 1",11,IF(Atletas!V302="Duilian de Mãos CD - Equipe 2",12,IF(Atletas!V302="Duilian de Armas CD - Equipe 1",13,IF(Atletas!V302="Duilian de Armas CD - Equipe 2",14,IF(Atletas!V302="Duilian de Tuishou - Equipe 1",15,IF(Atletas!V302="Duilian de Tuishou - Equipe 2",16,IF(Atletas!V302="Grupo Externo CDEF - Equipe 1",17,IF(Atletas!V302="Grupo Externo CDEF - Equipe 2",18,IF(Atletas!V302="Grupo Interno CDEF - Equipe 1",19,IF(Atletas!V302="Grupo Interno CDEF - Equipe 2",20,IF(Atletas!V302="Duilian de Mãos EF - Equipe 1",21,IF(Atletas!V302="Duilian de Mãos EF - Equipe 2",22,IF(Atletas!V302="Duilian de Armas EF - Equipe 1",23,IF(Atletas!V302="Duilian de Armas EF - Equipe 2",24,IF(Atletas!V302="Duilian de Tuishou - Equipe 1",25,IF(Atletas!V302="Duilian de Tuishou - Equipe 2",26,"")))))))))))))))))))))))))))</f>
        <v/>
      </c>
    </row>
    <row r="307" spans="36:84">
      <c r="AJ307" s="46" t="str">
        <f>IF(Atletas!D303="","",IF(Atletas!B303="Feminino",100,IF(Atletas!B303="Masculino",200,""))+(IF(Atletas!D303="Infantil 39kg",1,IF(Atletas!D303="Infantil 42kg",2,IF(Atletas!D303="Infantil 45kg",3,IF(Atletas!D303="Infantil 48kg",4,IF(Atletas!D303="Infantil 52kg",5,IF(Atletas!D303="Infantil 56kg",6,IF(Atletas!D303="Infantil 60kg",7,IF(Atletas!D303="Juvenil 48kg",8,IF(Atletas!D303="Juvenil 52kg",9,IF(Atletas!D303="Juvenil 56kg",10,IF(Atletas!D303="Juvenil 60kg",11,IF(Atletas!D303="Juvenil 65kg",12,IF(Atletas!D303="Juvenil 70kg",13,IF(Atletas!D303="Juvenil 75kg",14,IF(Atletas!D303="Juvenil 80kg",15,IF(Atletas!D303="Adulto 48kg",16,IF(Atletas!D303="Adulto 52kg",17,IF(Atletas!D303="Adulto 56kg",18,IF(Atletas!D303="Adulto 60kg",19,IF(Atletas!D303="Adulto 65kg",20,IF(Atletas!D303="Adulto 70kg",21,IF(Atletas!D303="Adulto 75kg",22,IF(Atletas!D303="Adulto 80kg",23,IF(Atletas!D303="Adulto 85kg",24,IF(Atletas!D303="Adulto 90kg",25,IF(Atletas!D303="Adulto +90kg",26,""))))))))))))))))))))))))))))</f>
        <v/>
      </c>
      <c r="AO307" s="10" t="str">
        <f>IF(Atletas!E303="","",IF(Atletas!B303="Feminino",100,IF(Atletas!B303="Masculino",200,""))+(IF(Atletas!E303="Juvenil 44kg",1,IF(Atletas!E303="Juvenil 48kg",2,IF(Atletas!E303="Juvenil 52kg",3,IF(Atletas!E303="Juvenil 56kg",4,IF(Atletas!E303="Juvenil 60kg",5,IF(Atletas!E303="Juvenil 65kg",6,IF(Atletas!E303="Juvenil 70kg",7,IF(Atletas!E303="Juvenil 75kg",8,IF(Atletas!E303="Juvenil 82kg",9,IF(Atletas!E303="Juvenil 90kg",10,IF(Atletas!E303="Juvenil 100kg",11,IF(Atletas!E303="Adulto 48kg",12,IF(Atletas!E303="Adulto 52kg",13,IF(Atletas!E303="Adulto 56kg",14,IF(Atletas!E303="Adulto 60kg",15,IF(Atletas!E303="Adulto 65kg",16,IF(Atletas!E303="Adulto 70kg",17,IF(Atletas!E303="Adulto 75kg",18,IF(Atletas!E303="Adulto 82kg",19,IF(Atletas!E303="Adulto 90kg",20,IF(Atletas!E303="Adulto 100kg",21,IF(Atletas!E303="Adulto +100kg",22,""))))))))))))))))))))))))</f>
        <v/>
      </c>
      <c r="AT307" s="10" t="str">
        <f>IF(Atletas!F303="","",IF(Atletas!B303="Feminino",100,IF(Atletas!B303="Masculino",200,""))+(IF(Atletas!F303="Adulto 48kg",1,IF(Atletas!F303="Adulto 56kg",2,IF(Atletas!F303="Adulto 65kg",3,IF(Atletas!F303="Adulto 75kg",4,IF(Atletas!F303="Adulto +75kg",5,IF(Atletas!F303="Adulto 52kg",6,IF(Atletas!F303="Adulto 60kg",7,IF(Atletas!F303="Adulto 70kg",8,IF(Atletas!F303="Adulto 80kg",9,IF(Atletas!F303="Adulto 90kg",10,IF(Atletas!F303="Adulto +90kg",11,"")))))))))))))</f>
        <v/>
      </c>
      <c r="AY307" s="46" t="str">
        <f>IF(Atletas!G303="","",IF(Atletas!B303="Feminino",100,IF(Atletas!B303="Masculino",200,""))+(IF(Atletas!G303="Changquan Mirim",1,IF(Atletas!G303="Nanquan Mirim",2,IF(Atletas!G303="Taijiquan Mirim",3,IF(Atletas!G303="Changquan Grupo C",4,IF(Atletas!G303="Nanquan Grupo C",5,IF(Atletas!G303="Taijiquan Grupo C",6,IF(Atletas!G303="Changquan Grupo B",7,IF(Atletas!G303="Nanquan Grupo B",8,IF(Atletas!G303="Taijiquan Grupo B",9,IF(Atletas!G303="Changquan Grupo A",10,IF(Atletas!G303="Nanquan Grupo A",11,IF(Atletas!G303="Taijiquan Grupo A",12,IF(Atletas!G303="Changquan Opcional",13,IF(Atletas!G303="Nanquan Opcional",14,IF(Atletas!G303="Taijiquan Opcional",15,IF(Atletas!G303="Changquan Adulto",16,IF(Atletas!G303="Nanquan Adulto",17,IF(Atletas!G303="Taijiquan Adulto",18,""))))))))))))))))))))</f>
        <v/>
      </c>
      <c r="AZ307" s="46" t="str">
        <f>IF(Atletas!H303="","",IF(Atletas!B303="Feminino",100,IF(Atletas!B303="Masculino",200,""))+(IF(Atletas!H303="Daoshu Mirim",19,IF(Atletas!H303="Jianshu Mirim",20,IF(Atletas!H303="Nandao Mirim",21,IF(Atletas!H303="Taijijian Mirim",22,IF(Atletas!H303="Daoshu Grupo C",23,IF(Atletas!H303="Jianshu Grupo C",24,IF(Atletas!H303="Nandao Grupo C",25,IF(Atletas!H303="Taijijian Grupo C",26,IF(Atletas!H303="Daoshu Grupo B",27,IF(Atletas!H303="Jianshu Grupo B",28,IF(Atletas!H303="Nandao Grupo B",29,IF(Atletas!H303="Taijijian Grupo B",30,IF(Atletas!H303="Daoshu Grupo A",31,IF(Atletas!H303="Jianshu Grupo A",32,IF(Atletas!H303="Nandao Grupo A",33,IF(Atletas!H303="Taijijian Grupo A",34,IF(Atletas!H303="Daoshu Opcional",35,IF(Atletas!H303="Jianshu Opcional",36,IF(Atletas!H303="Nandao Opcional",37,IF(Atletas!H303="Taijijian Opcional",38,IF(Atletas!H303="Daoshu Adulto",39,IF(Atletas!H303="Jianshu Adulto",40,IF(Atletas!H303="Nandao Adulto",41,IF(Atletas!H303="Taijijian Adulto",42,""))))))))))))))))))))))))))</f>
        <v/>
      </c>
      <c r="BA307" s="46" t="str">
        <f>IF(Atletas!I303="","",IF(Atletas!B303="Feminino",100,IF(Atletas!B303="Masculino",200,""))+(IF(Atletas!I303="Gunshu Mirim",43,IF(Atletas!I303="Qiangshu Mirim",44,IF(Atletas!I303="Nangun Mirim",45,IF(Atletas!I303="Gunshu Grupo C",46,IF(Atletas!I303="Qiangshu Grupo C",47,IF(Atletas!I303="Nangun Grupo C",48,IF(Atletas!I303="Gunshu Grupo B",49,IF(Atletas!I303="Qiangshu Grupo B",50,IF(Atletas!I303="Nangun Grupo B",51,IF(Atletas!I303="Gunshu Grupo A",52,IF(Atletas!I303="Qiangshu Grupo A",53,IF(Atletas!I303="Nangun Grupo A",54,IF(Atletas!I303="Gunshu Opcional",55,IF(Atletas!I303="Qiangshu Opcional",56,IF(Atletas!I303="Nangun Opcional",57,IF(Atletas!I303="Gunshu Adulto",58,IF(Atletas!I303="Qiangshu Adulto",59,IF(Atletas!I303="Nangun Adulto",60,""))))))))))))))))))))</f>
        <v/>
      </c>
      <c r="BF307" s="52" t="str">
        <f>IF(Atletas!J303="","",IF(Atletas!B303="Feminino",100,IF(Atletas!B303="Masculino",200,""))+(IF(Atletas!J303="Equipe 1 Grupo B",1,IF(Atletas!J303="Equipe 2 Grupo B",2,IF(Atletas!J303="Equipe 1 Grupo A",3,IF(Atletas!J303="Equipe 2 Grupo A",4,IF(Atletas!J303="Equipe 1 Adulto",5,IF(Atletas!J303="Equipe 2 Adulto",6,""))))))))</f>
        <v/>
      </c>
      <c r="BK307" s="52" t="str">
        <f>IF(Atletas!K303="","",IF(Atletas!W303&lt;&gt;"",10000,0)+(IF(Atletas!B303="Feminino",1000,IF(Atletas!B303="Masculino",2000,""))+IF(Atletas!K303="Choylayfut A",1,IF(Atletas!K303="Hunggar A",2,IF(Atletas!K303="Wuzuquan A",3,IF(Atletas!K303="Wingchun A",4,IF(Atletas!K303="Outra Mão de Sul A",5,IF(Atletas!K303="Choylayfut B",6,IF(Atletas!K303="Hunggar B",7,IF(Atletas!K303="Wuzuquan B",8,IF(Atletas!K303="Wingchun B",9,IF(Atletas!K303="Outra Mão de Sul B",10,IF(Atletas!K303="Choylayfut C",11,IF(Atletas!K303="Hunggar C",12,IF(Atletas!K303="Wuzuquan C",13,IF(Atletas!K303="Wingchun C",14,IF(Atletas!K303="Outra Mão de Sul C",15,IF(Atletas!K303="Choylayfut D",16,IF(Atletas!K303="Hunggar D",17,IF(Atletas!K303="Wuzuquan D",18,IF(Atletas!K303="Wingchun D",19,IF(Atletas!K303="Outra Mão de Sul D",20,IF(Atletas!K303="Choylayfut E",21,IF(Atletas!K303="Hunggar E",22,IF(Atletas!K303="Wuzuquan E",23,IF(Atletas!K303="Wingchun E",24,IF(Atletas!K303="Outra Mão de Sul E",25,IF(Atletas!K303="Choylayfut F",26,IF(Atletas!K303="Hunggar F",27,IF(Atletas!K303="Wuzuquan F",28,IF(Atletas!K303="Wingchun F",29,IF(Atletas!K303="Outra Mão de Sul F",30,""))))))))))))))))))))))))))))))))</f>
        <v/>
      </c>
      <c r="BL307" s="52" t="str">
        <f>IF(Atletas!L303="","",IF(Atletas!W303&lt;&gt;"",10000,0)+(IF(Atletas!B303="Feminino",1000,IF(Atletas!B303="Masculino",2000,""))+(IF(Atletas!L303="Chaquan A",101,IF(Atletas!L303="Emeiquan A",102,IF(Atletas!L303="Fanziquan A",103,IF(Atletas!L303="Huaquan A",104,IF(Atletas!L303="Hongquan A",105,IF(Atletas!L303="Paochui A",106,IF(Atletas!L303="Piguaquan A",107,IF(Atletas!L303="Shaolinquan A",108,IF(Atletas!L303="Tanglangquan A",109,IF(Atletas!L303="Yinzhaophai A",110,IF(Atletas!L303="Tongbeiquan A",111,IF(Atletas!L303="Wudangquan A",112,IF(Atletas!L303="Outros Estilos A",113,IF(Atletas!L303="Chaquan B",114,IF(Atletas!L303="Emeiquan B",115,IF(Atletas!L303="Fanziquan B",116,IF(Atletas!L303="Huaquan B",117,IF(Atletas!L303="Hongquan B",118,IF(Atletas!L303="Paochui B",119,IF(Atletas!L303="Piguaquan B",120,IF(Atletas!L303="Shaolinquan B",121,IF(Atletas!L303="Tanglangquan B",122,IF(Atletas!L303="Yinzhaophai B",123,IF(Atletas!L303="Tongbeiquan B",124,IF(Atletas!L303="Wudangquan B",125,IF(Atletas!L303="Outros Estilos B",126,IF(Atletas!L303="Chaquan C",127,IF(Atletas!L303="Emeiquan C",128,IF(Atletas!L303="Fanziquan C",129,IF(Atletas!L303="Huaquan C",130,IF(Atletas!L303="Hongquan C",131,IF(Atletas!L303="Paochui C",132,IF(Atletas!L303="Piguaquan C",133,IF(Atletas!L303="Shaolinquan C",134,IF(Atletas!L303="Tanglangquan C",135,IF(Atletas!L303="Yinzhaophai C",136,IF(Atletas!L303="Tongbeiquan C",137,IF(Atletas!L303="Wudangquan C",138,IF(Atletas!L303="Outros Estilos C",139,0))))))))))))))))))))))))))))))))))))))))))</f>
        <v/>
      </c>
      <c r="BM307" s="52" t="str">
        <f>IF(Atletas!L303="","",IF(Atletas!W303&lt;&gt;"",10000,0)+(IF(Atletas!B303="Feminino",1000,IF(Atletas!B303="Masculino",2000,""))+(IF(Atletas!L303="Chaquan D",140,IF(Atletas!L303="Emeiquan D",141,IF(Atletas!L303="Fanziquan D",142,IF(Atletas!L303="Huaquan D",143,IF(Atletas!L303="Hongquan D",144,IF(Atletas!L303="Paochui D",145,IF(Atletas!L303="Piguaquan D",146,IF(Atletas!L303="Shaolinquan D",147,IF(Atletas!L303="Tanglangquan D",148,IF(Atletas!L303="Yinzhaophai D",149,IF(Atletas!L303="Tongbeiquan D",150,IF(Atletas!L303="Wudangquan D",151,IF(Atletas!L303="Outros Estilos D",152,IF(Atletas!L303="Chaquan E",153,IF(Atletas!L303="Emeiquan E",154,IF(Atletas!L303="Fanziquan E",155,IF(Atletas!L303="Huaquan E",156,IF(Atletas!L303="Hongquan E",157,IF(Atletas!L303="Paochui E",158,IF(Atletas!L303="Piguaquan E",159,IF(Atletas!L303="Shaolinquan E",160,IF(Atletas!L303="Tanglangquan E",161,IF(Atletas!L303="Yinzhaophai E",162,IF(Atletas!L303="Tongbeiquan E",163,IF(Atletas!L303="Wudangquan E",164,IF(Atletas!L303="Outros Estilos E",165,IF(Atletas!L303="Chaquan F",166,IF(Atletas!L303="Emeiquan F",167,IF(Atletas!L303="Fanziquan F",168,IF(Atletas!L303="Huaquan F",169,IF(Atletas!L303="Hongquan F",170,IF(Atletas!L303="Paochui F",171,IF(Atletas!L303="Piguaquan F",172,IF(Atletas!L303="Shaolinquan F",173,IF(Atletas!L303="Tanglangquan F",174,IF(Atletas!L303="Yinzhaophai F",175,IF(Atletas!L303="Tongbeiquan F",176,IF(Atletas!L303="Wudangquan F",177,IF(Atletas!L303="Outros Estilos F",178,0))))))))))))))))))))))))))))))))))))))))))</f>
        <v/>
      </c>
      <c r="BN307" s="52" t="str">
        <f>IF(Atletas!M303="","",IF(Atletas!W303&lt;&gt;"",10000,0)+(IF(Atletas!B303="Feminino",1000,IF(Atletas!B303="Masculino",2000,""))+(IF(Atletas!M303="Ditangquan A",201,IF(Atletas!M303="Houquan A",202,IF(Atletas!M303="Zuiquan A",203,IF(Atletas!M303="Ditangquan B",204,IF(Atletas!M303="Houquan B",205,IF(Atletas!M303="Zuiquan B",206,IF(Atletas!M303="Ditangquan C",207,IF(Atletas!M303="Houquan C",208,IF(Atletas!M303="Zuiquan C",209,IF(Atletas!M303="Ditangquan D",210,IF(Atletas!M303="Houquan D",211,IF(Atletas!M303="Zuiquan D",212,IF(Atletas!M303="Ditangquan E",213,IF(Atletas!M303="Houquan E",214,IF(Atletas!M303="Zuiquan E",215,IF(Atletas!M303="Ditangquan F",216,IF(Atletas!M303="Houquan F",217,IF(Atletas!M303="Zuiquan F",218,"")))))))))))))))))))))</f>
        <v/>
      </c>
      <c r="BO307" s="52" t="str">
        <f>IF(Atletas!N303="","",IF(Atletas!W303&lt;&gt;"",10000,0)+IF(Atletas!B303="Feminino",1000,IF(Atletas!B303="Masculino",2000,""))+IF(Atletas!N303="Yang A",301,IF(Atletas!N303="Chen A",30,IF(Atletas!N303="Sun A",303,IF(Atletas!N303="Wu A",304,IF(Atletas!N303="Wu-Hao A",305,IF(Atletas!N303="Outro Taijiquan A",306,IF(Atletas!N303="Yang B",307,IF(Atletas!N303="Chen B",308,IF(Atletas!N303="Sun B",309,IF(Atletas!N303="Wu B",310,IF(Atletas!N303="Wu-Hao B",311,IF(Atletas!N303="Outro Taijiquan B",312,IF(Atletas!N303="Yang C",313,IF(Atletas!N303="Chen C",314,IF(Atletas!N303="Sun C",315,IF(Atletas!N303="Wu C",316,IF(Atletas!N303="Wu-Hao C",317,IF(Atletas!N303="Outro Taijiquan C",318,IF(Atletas!N303="Yang D",319,IF(Atletas!N303="Chen D",320,IF(Atletas!N303="Sun D",321,IF(Atletas!N303="Wu D",322,IF(Atletas!N303="Wu-Hao D",323,IF(Atletas!N303="Outro Taijiquan D",324,IF(Atletas!N303="Yang E",325,IF(Atletas!N303="Chen E",326,IF(Atletas!N303="Sun E",327,IF(Atletas!N303="Wu E",328,IF(Atletas!N303="Wu-Hao E",329,IF(Atletas!N303="Outro Taijiquan E",330,IF(Atletas!N303="Yang F",331,IF(Atletas!N303="Chen F",332,IF(Atletas!N303="Sun F",333,IF(Atletas!N303="Wu F",334,IF(Atletas!N303="Wu-Hao F",335,IF(Atletas!N303="Outro Taijiquan F",336,"")))))))))))))))))))))))))))))))))))))</f>
        <v/>
      </c>
      <c r="BP307" s="52" t="str">
        <f>IF(Atletas!O303="","",IF(Atletas!W303&lt;&gt;"",10000,0)+IF(Atletas!B303="Feminino",1000,IF(Atletas!B303="Masculino",2000,""))+IF(OR(Atletas!O303="Yang 26 A",Atletas!O303="Yang 40 A"),401,IF(OR(Atletas!O303="Chen 25 A",Atletas!O303="Chen 36 A",Atletas!O303="Chen 56 A"),402,IF(Atletas!O303="Sun 73 A",403,IF(Atletas!O303="Wu 45 A",404,IF(Atletas!O303="Wu-Hao 46 A",405,IF(OR(Atletas!O303="Taijiquan 16 A",Atletas!O303="Taijiquan 24 A",Atletas!O303="Taijiquan 32 A",Atletas!O303="Taijiquan 42 A"),406,IF(OR(Atletas!O303="Yang 26 B",Atletas!O303="Yang 40 B"),407,IF(OR(Atletas!O303="Chen 25 B",Atletas!O303="Chen 36 B",Atletas!O303="Chen 56 B"),408,IF(Atletas!O303="Sun 73 B",409,IF(Atletas!O303="Wu 45 B",410,IF(Atletas!O303="Wu-Hao 46 B",411,IF(OR(Atletas!O303="Taijiquan 16 B",Atletas!O303="Taijiquan 24 B",Atletas!O303="Taijiquan 32 B",Atletas!O303="Taijiquan 42 B"),412,IF(OR(Atletas!O303="Yang 26 C",Atletas!O303="Yang 40 C"),413,IF(OR(Atletas!O303="Chen 25 C",Atletas!O303="Chen 36 C",Atletas!O303="Chen 56 C"),414,IF(Atletas!O303="Sun 73 C",415,IF(Atletas!O303="Wu 45 C",416,IF(Atletas!O303="Wu-Hao 46 C",417,IF(OR(Atletas!O303="Taijiquan 16 C",Atletas!O303="Taijiquan 24 C",Atletas!O303="Taijiquan 32 C",Atletas!O303="Taijiquan 42 C"),418,0)))))))))))))))))))</f>
        <v/>
      </c>
      <c r="BQ307" s="52" t="str">
        <f>IF(Atletas!O303="","",IF(Atletas!W303&lt;&gt;"",10000,0)+IF(Atletas!B303="Feminino",1000,IF(Atletas!B303="Masculino",2000,""))+IF(OR(Atletas!O303="Yang 26 D",Atletas!O303="Yang 40 D"),419,IF(OR(Atletas!O303="Chen 25 D",Atletas!O303="Chen 36 D",Atletas!O303="Chen 56 D"),420,IF(Atletas!O303="Sun 73 D",421,IF(Atletas!O303="Wu 45 D",422,IF(Atletas!O303="Wu-Hao 46 D",423,IF(OR(Atletas!O303="Taijiquan 16 D",Atletas!O303="Taijiquan 24 D",Atletas!O303="Taijiquan 32 D",Atletas!O303="Taijiquan 42 D"),424,IF(OR(Atletas!O303="Yang 26 E",Atletas!O303="Yang 40 E"),425,IF(OR(Atletas!O303="Chen 25 E",Atletas!O303="Chen 36 E",Atletas!O303="Chen 56 E"),426,IF(Atletas!O303="Sun 73 E",427,IF(Atletas!O303="Wu 45 E",428,IF(Atletas!O303="Wu-Hao 46 E",429,IF(OR(Atletas!O303="Taijiquan 16 E",Atletas!O303="Taijiquan 24 E",Atletas!O303="Taijiquan 32 E",Atletas!O303="Taijiquan 42 E"),430,IF(OR(Atletas!O303="Yang 26 F",Atletas!O303="Yang 40 F"),431,IF(OR(Atletas!O303="Chen 25 F",Atletas!O303="Chen 36 F",Atletas!O303="Chen 56 F"),432,IF(Atletas!O303="Sun 73 F",433,IF(Atletas!O303="Wu 45 F",434,IF(Atletas!O303="Wu-Hao 46 F",435,IF(OR(Atletas!O303="Taijiquan 16 F",Atletas!O303="Taijiquan 24 F",Atletas!O303="Taijiquan 32 F",Atletas!O303="Taijiquan 42 F"),436,0)))))))))))))))))))</f>
        <v/>
      </c>
      <c r="BR307" s="52" t="str">
        <f>IF(Atletas!P303="","",IF(Atletas!W303&lt;&gt;"",10000,0)+IF(Atletas!B303="Feminino",1000,IF(Atletas!B303="Masculino",2000,""))+IF(Atletas!P303="Xingyiquan A",501,IF(Atletas!P303="Baguazhang A",502,IF(Atletas!P303="Outro Estilo Interno A",503,IF(Atletas!P303="Xingyiquan B",504,IF(Atletas!P303="Baguazhang B",505,IF(Atletas!P303="Outro Estilo Interno B",506,IF(Atletas!P303="Xingyiquan C",507,IF(Atletas!P303="Baguazhang C",508,IF(Atletas!P303="Outro Estilo Interno C",509,IF(Atletas!P303="Xingyiquan D",510,IF(Atletas!P303="Baguazhang D",511,IF(Atletas!P303="Outro Estilo Interno D",512,IF(Atletas!P303="Xingyiquan E",513,IF(Atletas!P303="Baguazhang E",514,IF(Atletas!P303="Outro Estilo Interno E",515,IF(Atletas!P303="Xingyiquan F",516,IF(Atletas!P303="Baguazhang F",517,IF(Atletas!P303="Outro Estilo Interno F",518, "")))))))))))))))))))</f>
        <v/>
      </c>
      <c r="BS307" s="52" t="str">
        <f>IF(Atletas!Q303="","",IF(Atletas!W303&lt;&gt;"",10000,0)+IF(Atletas!B303="Feminino",1000,IF(Atletas!B303="Masculino",2000,""))+IF(Atletas!Q303="Dao A",601,IF(Atletas!Q303="Jian A",602,IF(Atletas!Q303="Bishou A",603,IF(Atletas!Q303="Shan A",604,IF(Atletas!Q303="Outra Arma Curta A",605,IF(Atletas!Q303="Dao B",606,IF(Atletas!Q303="Jian B",607,IF(Atletas!Q303="Bishou B",608,IF(Atletas!Q303="Shan B",609,IF(Atletas!Q303="Outra Arma Curta B",610,IF(Atletas!Q303="Dao C",611,IF(Atletas!Q303="Jian C",612,IF(Atletas!Q303="Bishou C",613,IF(Atletas!Q303="Shan C",614,IF(Atletas!Q303="Outra Arma Curta C",615,IF(Atletas!Q303="Dao D",616,IF(Atletas!Q303="Jian D",617,IF(Atletas!Q303="Bishou D",618,IF(Atletas!Q303="Shan D",619,IF(Atletas!Q303="Outra Arma Curta D",620,IF(Atletas!Q303="Dao E",621,IF(Atletas!Q303="Jian E",622,IF(Atletas!Q303="Bishou E",623,IF(Atletas!Q303="Shan E",624,IF(Atletas!Q303="Outra Arma Curta E",625,IF(Atletas!Q303="Dao F",626,IF(Atletas!Q303="Jian F",627,IF(Atletas!Q303="Bishou F",628,IF(Atletas!Q303="Shan F",629,IF(Atletas!Q303="Outra Arma Curta F",630, "")))))))))))))))))))))))))))))))</f>
        <v/>
      </c>
      <c r="BT307" s="52" t="str">
        <f>IF(Atletas!R303="","",IF(Atletas!W303&lt;&gt;"",10000,0)+IF(Atletas!B303="Feminino",1000,IF(Atletas!B303="Masculino",2000,""))+IF(Atletas!R303="Gun A",701,IF(Atletas!R303="Qiang A",702,IF(Atletas!R303="Pudao / Guandao A",703,IF(Atletas!R303="Outra Arma Longa A",704,IF(Atletas!R303="Gun B",705,IF(Atletas!R303="Qiang B",706,IF(Atletas!R303="Pudao / Guandao B",707,IF(Atletas!R303="Outra Arma Longa B",708,IF(Atletas!R303="Gun C",709,IF(Atletas!R303="Qiang C",710,IF(Atletas!R303="Pudao / Guandao C",711,IF(Atletas!R303="Outra Arma Longa C",712,IF(Atletas!R303="Gun D",713,IF(Atletas!R303="Qiang D",714,IF(Atletas!R303="Pudao / Guandao D",715,IF(Atletas!R303="Outra Arma Longa D",716,IF(Atletas!R303="Gun E",717,IF(Atletas!R303="Qiang E",718,IF(Atletas!R303="Pudao / Guandao E",719,IF(Atletas!R303="Outra Arma Longa E",720,IF(Atletas!R303="Gun F",721,IF(Atletas!R303="Qiang F",722,IF(Atletas!R303="Pudao / Guandao F",723,IF(Atletas!R303="Outra Arma Longa F",724,"")))))))))))))))))))))))))</f>
        <v/>
      </c>
      <c r="BU307" s="52" t="str">
        <f>IF(Atletas!S303="","",IF(Atletas!W303&lt;&gt;"",10000,0)+IF(Atletas!B303="Feminino",1000,IF(Atletas!B303="Masculino",2000,""))+IF(Atletas!S303="Arma Dupla A",801,IF(Atletas!S303="Arma Maleável A",802,IF(Atletas!S303="Arma Dupla B",803,IF(Atletas!S303="Arma Maleável B",804,IF(Atletas!S303="Arma Dupla C",805,IF(Atletas!S303="Arma Maleável C",806,IF(Atletas!S303="Arma Dupla D",807,IF(Atletas!S303="Arma Maleável D",808,IF(Atletas!S303="Arma Dupla E",809,IF(Atletas!S303="Arma Maleável E",810,IF(Atletas!S303="Arma Dupla F",811,IF(Atletas!S303="Arma Maleável F",812, "")))))))))))))</f>
        <v/>
      </c>
      <c r="BV307" s="52" t="str">
        <f>IF(Atletas!T303="","",IF(Atletas!W303&lt;&gt;"",10000,0)+IF(Atletas!B303="Feminino",1000,IF(Atletas!B303="Masculino",2000,""))+IF(Atletas!T303="Taijijian Yang A",901,IF(Atletas!T303="Taijijian Chen A",902,IF(Atletas!T303="Taijijian Sun A",903,IF(Atletas!T303="Taijijian Wu A",904,IF(Atletas!T303="Taijijian Wu-Hao A",905,IF(Atletas!T303="Taijijian 32 A",906,IF(Atletas!T303="Taijijian 42 A",907,IF(Atletas!T303="Taijijian Yang B",908,IF(Atletas!T303="Taijijian Chen B",909,IF(Atletas!T303="Taijijian Sun B",910,IF(Atletas!T303="Taijijian Wu B",911,IF(Atletas!T303="Taijijian Wu-Hao B",912,IF(Atletas!T303="Taijijian 32 B",913,IF(Atletas!T303="Taijijian 42 B",914,IF(Atletas!T303="Taijijian Yang C",915,IF(Atletas!T303="Taijijian Chen C",916,IF(Atletas!T303="Taijijian Sun C",917,IF(Atletas!T303="Taijijian Wu C",918,IF(Atletas!T303="Taijijian Wu-Hao C",919,IF(Atletas!T303="Taijijian 32 C",920,IF(Atletas!T303="Taijijian 42 C",921,IF(Atletas!T303="Taijijian Yang D",922,IF(Atletas!T303="Taijijian Chen D",923,IF(Atletas!T303="Taijijian Sun D",924,IF(Atletas!T303="Taijijian Wu D",925,IF(Atletas!T303="Taijijian Wu-Hao D",926,IF(Atletas!T303="Taijijian 32 D",927,IF(Atletas!T303="Taijijian 42 D",928,IF(Atletas!T303="Taijijian Yang E",929,IF(Atletas!T303="Taijijian Chen E",930,IF(Atletas!T303="Taijijian Sun E",931,IF(Atletas!T303="Taijijian Wu E",932,IF(Atletas!T303="Taijijian Wu-Hao E",933,IF(Atletas!T303="Taijijian 32 E",934,IF(Atletas!T303="Taijijian 42 E",935,IF(Atletas!T303="Taijijian Yang F",936,IF(Atletas!T303="Taijijian Chen F",937,IF(Atletas!T303="Taijijian Sun F",938,IF(Atletas!T303="Taijijian Wu F",939,IF(Atletas!T303="Taijijian Wu-Hao F",940,IF(Atletas!T303="Taijijian 32 F",941,IF(Atletas!T303="Taijijian 42 F",942,"")))))))))))))))))))))))))))))))))))))))))))</f>
        <v/>
      </c>
      <c r="BW307" s="52" t="str">
        <f>IF(Atletas!U303="","",IF(Atletas!W303&lt;&gt;"",10000,0)+IF(Atletas!B303="Feminino",1000,IF(Atletas!B303="Masculino",2000,""))+IF(Atletas!T303="Taijijian 42 F",942,IF(Atletas!U303="Taijidao A",943,IF(Atletas!U303="Taijishan A",944,IF(Atletas!U303="Taijiqiang A",945,IF(Atletas!U303="Taijidao B",946,IF(Atletas!U303="Taijishan B",947,IF(Atletas!U303="Taijiqiang B",948,IF(Atletas!U303="Taijidao C",949,IF(Atletas!U303="Taijishan C",950,IF(Atletas!U303="Taijiqiang C",951,IF(Atletas!U303="Taijidao D",952,IF(Atletas!U303="Taijishan D",953,IF(Atletas!U303="Taijiqiang D",954,IF(Atletas!U303="Taijidao E",955,IF(Atletas!U303="Taijishan E",956,IF(Atletas!U303="Taijiqiang E",957,IF(Atletas!U303="Taijidao F",958,IF(Atletas!U303="Taijishan F",959,IF(Atletas!U303="Taijiqiang F",960))))))))))))))))))))</f>
        <v/>
      </c>
      <c r="BX307" s="72" t="str">
        <f>IF(BY307&lt;&gt;"","Taijijian Yang D","")</f>
        <v/>
      </c>
      <c r="BY307" s="72" t="str">
        <f>IF(COUNTIF(BK:BW,1922)&gt;0,COUNTIF(BK:BW,1922),"")</f>
        <v/>
      </c>
      <c r="BZ307" s="72" t="str">
        <f>IF(CA307&lt;&gt;"","Taijijian Yang D","")</f>
        <v/>
      </c>
      <c r="CA307" s="72" t="str">
        <f>IF(COUNTIF(BK:BW,2922)&gt;0,COUNTIF(BK:BW,2922),"")</f>
        <v/>
      </c>
      <c r="CB307" s="72" t="str">
        <f>IF(CC307&lt;&gt;"","Outra Arma Curta E","")</f>
        <v/>
      </c>
      <c r="CC307" s="64" t="str">
        <f>IF(COUNTIF(BK:BW,11625)&gt;0,COUNTIF(BK:BW,11625),"")</f>
        <v/>
      </c>
      <c r="CD307" s="64" t="str">
        <f>IF(CE307&lt;&gt;"","Outra Arma Curta E","")</f>
        <v/>
      </c>
      <c r="CE307" s="64" t="str">
        <f>IF(COUNTIF(BK:BW,12625)&gt;0,COUNTIF(BK:BW,12625),"")</f>
        <v/>
      </c>
      <c r="CF307" s="52" t="str">
        <f xml:space="preserve"> IF(Atletas!V303="","",IF(Atletas!V303="Duilian de Mãos AB - Equipe 1",1,IF(Atletas!V303="Duilian de Mãos AB - Equipe 2",2,IF(Atletas!V303="Duilian de Armas AB - Equipe 1",3,IF(Atletas!V303="Duilian de Armas AB - Equipe 2",4,IF(Atletas!V303="Duilian de Tuishou - Equipe 1",5,IF(Atletas!V303="Duilian de Tuishou - Equipe 2",6,IF(Atletas!V303="Grupo Externo AB - Equipe 1",7,IF(Atletas!V303="Grupo Externo AB - Equipe 2",8,IF(Atletas!V303="Grupo Interno AB - Equipe 1",9,IF(Atletas!V303="Grupo Interno AB - Equipe 2",10,IF(Atletas!V303="Duilian de Mãos CD - Equipe 1",11,IF(Atletas!V303="Duilian de Mãos CD - Equipe 2",12,IF(Atletas!V303="Duilian de Armas CD - Equipe 1",13,IF(Atletas!V303="Duilian de Armas CD - Equipe 2",14,IF(Atletas!V303="Duilian de Tuishou - Equipe 1",15,IF(Atletas!V303="Duilian de Tuishou - Equipe 2",16,IF(Atletas!V303="Grupo Externo CDEF - Equipe 1",17,IF(Atletas!V303="Grupo Externo CDEF - Equipe 2",18,IF(Atletas!V303="Grupo Interno CDEF - Equipe 1",19,IF(Atletas!V303="Grupo Interno CDEF - Equipe 2",20,IF(Atletas!V303="Duilian de Mãos EF - Equipe 1",21,IF(Atletas!V303="Duilian de Mãos EF - Equipe 2",22,IF(Atletas!V303="Duilian de Armas EF - Equipe 1",23,IF(Atletas!V303="Duilian de Armas EF - Equipe 2",24,IF(Atletas!V303="Duilian de Tuishou - Equipe 1",25,IF(Atletas!V303="Duilian de Tuishou - Equipe 2",26,"")))))))))))))))))))))))))))</f>
        <v/>
      </c>
    </row>
    <row r="308" spans="36:84">
      <c r="AJ308" s="46" t="str">
        <f>IF(Atletas!D304="","",IF(Atletas!B304="Feminino",100,IF(Atletas!B304="Masculino",200,""))+(IF(Atletas!D304="Infantil 39kg",1,IF(Atletas!D304="Infantil 42kg",2,IF(Atletas!D304="Infantil 45kg",3,IF(Atletas!D304="Infantil 48kg",4,IF(Atletas!D304="Infantil 52kg",5,IF(Atletas!D304="Infantil 56kg",6,IF(Atletas!D304="Infantil 60kg",7,IF(Atletas!D304="Juvenil 48kg",8,IF(Atletas!D304="Juvenil 52kg",9,IF(Atletas!D304="Juvenil 56kg",10,IF(Atletas!D304="Juvenil 60kg",11,IF(Atletas!D304="Juvenil 65kg",12,IF(Atletas!D304="Juvenil 70kg",13,IF(Atletas!D304="Juvenil 75kg",14,IF(Atletas!D304="Juvenil 80kg",15,IF(Atletas!D304="Adulto 48kg",16,IF(Atletas!D304="Adulto 52kg",17,IF(Atletas!D304="Adulto 56kg",18,IF(Atletas!D304="Adulto 60kg",19,IF(Atletas!D304="Adulto 65kg",20,IF(Atletas!D304="Adulto 70kg",21,IF(Atletas!D304="Adulto 75kg",22,IF(Atletas!D304="Adulto 80kg",23,IF(Atletas!D304="Adulto 85kg",24,IF(Atletas!D304="Adulto 90kg",25,IF(Atletas!D304="Adulto +90kg",26,""))))))))))))))))))))))))))))</f>
        <v/>
      </c>
      <c r="AO308" s="10" t="str">
        <f>IF(Atletas!E304="","",IF(Atletas!B304="Feminino",100,IF(Atletas!B304="Masculino",200,""))+(IF(Atletas!E304="Juvenil 44kg",1,IF(Atletas!E304="Juvenil 48kg",2,IF(Atletas!E304="Juvenil 52kg",3,IF(Atletas!E304="Juvenil 56kg",4,IF(Atletas!E304="Juvenil 60kg",5,IF(Atletas!E304="Juvenil 65kg",6,IF(Atletas!E304="Juvenil 70kg",7,IF(Atletas!E304="Juvenil 75kg",8,IF(Atletas!E304="Juvenil 82kg",9,IF(Atletas!E304="Juvenil 90kg",10,IF(Atletas!E304="Juvenil 100kg",11,IF(Atletas!E304="Adulto 48kg",12,IF(Atletas!E304="Adulto 52kg",13,IF(Atletas!E304="Adulto 56kg",14,IF(Atletas!E304="Adulto 60kg",15,IF(Atletas!E304="Adulto 65kg",16,IF(Atletas!E304="Adulto 70kg",17,IF(Atletas!E304="Adulto 75kg",18,IF(Atletas!E304="Adulto 82kg",19,IF(Atletas!E304="Adulto 90kg",20,IF(Atletas!E304="Adulto 100kg",21,IF(Atletas!E304="Adulto +100kg",22,""))))))))))))))))))))))))</f>
        <v/>
      </c>
      <c r="AT308" s="10" t="str">
        <f>IF(Atletas!F304="","",IF(Atletas!B304="Feminino",100,IF(Atletas!B304="Masculino",200,""))+(IF(Atletas!F304="Adulto 48kg",1,IF(Atletas!F304="Adulto 56kg",2,IF(Atletas!F304="Adulto 65kg",3,IF(Atletas!F304="Adulto 75kg",4,IF(Atletas!F304="Adulto +75kg",5,IF(Atletas!F304="Adulto 52kg",6,IF(Atletas!F304="Adulto 60kg",7,IF(Atletas!F304="Adulto 70kg",8,IF(Atletas!F304="Adulto 80kg",9,IF(Atletas!F304="Adulto 90kg",10,IF(Atletas!F304="Adulto +90kg",11,"")))))))))))))</f>
        <v/>
      </c>
      <c r="AY308" s="46" t="str">
        <f>IF(Atletas!G304="","",IF(Atletas!B304="Feminino",100,IF(Atletas!B304="Masculino",200,""))+(IF(Atletas!G304="Changquan Mirim",1,IF(Atletas!G304="Nanquan Mirim",2,IF(Atletas!G304="Taijiquan Mirim",3,IF(Atletas!G304="Changquan Grupo C",4,IF(Atletas!G304="Nanquan Grupo C",5,IF(Atletas!G304="Taijiquan Grupo C",6,IF(Atletas!G304="Changquan Grupo B",7,IF(Atletas!G304="Nanquan Grupo B",8,IF(Atletas!G304="Taijiquan Grupo B",9,IF(Atletas!G304="Changquan Grupo A",10,IF(Atletas!G304="Nanquan Grupo A",11,IF(Atletas!G304="Taijiquan Grupo A",12,IF(Atletas!G304="Changquan Opcional",13,IF(Atletas!G304="Nanquan Opcional",14,IF(Atletas!G304="Taijiquan Opcional",15,IF(Atletas!G304="Changquan Adulto",16,IF(Atletas!G304="Nanquan Adulto",17,IF(Atletas!G304="Taijiquan Adulto",18,""))))))))))))))))))))</f>
        <v/>
      </c>
      <c r="AZ308" s="46" t="str">
        <f>IF(Atletas!H304="","",IF(Atletas!B304="Feminino",100,IF(Atletas!B304="Masculino",200,""))+(IF(Atletas!H304="Daoshu Mirim",19,IF(Atletas!H304="Jianshu Mirim",20,IF(Atletas!H304="Nandao Mirim",21,IF(Atletas!H304="Taijijian Mirim",22,IF(Atletas!H304="Daoshu Grupo C",23,IF(Atletas!H304="Jianshu Grupo C",24,IF(Atletas!H304="Nandao Grupo C",25,IF(Atletas!H304="Taijijian Grupo C",26,IF(Atletas!H304="Daoshu Grupo B",27,IF(Atletas!H304="Jianshu Grupo B",28,IF(Atletas!H304="Nandao Grupo B",29,IF(Atletas!H304="Taijijian Grupo B",30,IF(Atletas!H304="Daoshu Grupo A",31,IF(Atletas!H304="Jianshu Grupo A",32,IF(Atletas!H304="Nandao Grupo A",33,IF(Atletas!H304="Taijijian Grupo A",34,IF(Atletas!H304="Daoshu Opcional",35,IF(Atletas!H304="Jianshu Opcional",36,IF(Atletas!H304="Nandao Opcional",37,IF(Atletas!H304="Taijijian Opcional",38,IF(Atletas!H304="Daoshu Adulto",39,IF(Atletas!H304="Jianshu Adulto",40,IF(Atletas!H304="Nandao Adulto",41,IF(Atletas!H304="Taijijian Adulto",42,""))))))))))))))))))))))))))</f>
        <v/>
      </c>
      <c r="BA308" s="46" t="str">
        <f>IF(Atletas!I304="","",IF(Atletas!B304="Feminino",100,IF(Atletas!B304="Masculino",200,""))+(IF(Atletas!I304="Gunshu Mirim",43,IF(Atletas!I304="Qiangshu Mirim",44,IF(Atletas!I304="Nangun Mirim",45,IF(Atletas!I304="Gunshu Grupo C",46,IF(Atletas!I304="Qiangshu Grupo C",47,IF(Atletas!I304="Nangun Grupo C",48,IF(Atletas!I304="Gunshu Grupo B",49,IF(Atletas!I304="Qiangshu Grupo B",50,IF(Atletas!I304="Nangun Grupo B",51,IF(Atletas!I304="Gunshu Grupo A",52,IF(Atletas!I304="Qiangshu Grupo A",53,IF(Atletas!I304="Nangun Grupo A",54,IF(Atletas!I304="Gunshu Opcional",55,IF(Atletas!I304="Qiangshu Opcional",56,IF(Atletas!I304="Nangun Opcional",57,IF(Atletas!I304="Gunshu Adulto",58,IF(Atletas!I304="Qiangshu Adulto",59,IF(Atletas!I304="Nangun Adulto",60,""))))))))))))))))))))</f>
        <v/>
      </c>
      <c r="BF308" s="52" t="str">
        <f>IF(Atletas!J304="","",IF(Atletas!B304="Feminino",100,IF(Atletas!B304="Masculino",200,""))+(IF(Atletas!J304="Equipe 1 Grupo B",1,IF(Atletas!J304="Equipe 2 Grupo B",2,IF(Atletas!J304="Equipe 1 Grupo A",3,IF(Atletas!J304="Equipe 2 Grupo A",4,IF(Atletas!J304="Equipe 1 Adulto",5,IF(Atletas!J304="Equipe 2 Adulto",6,""))))))))</f>
        <v/>
      </c>
      <c r="BK308" s="52" t="str">
        <f>IF(Atletas!K304="","",IF(Atletas!W304&lt;&gt;"",10000,0)+(IF(Atletas!B304="Feminino",1000,IF(Atletas!B304="Masculino",2000,""))+IF(Atletas!K304="Choylayfut A",1,IF(Atletas!K304="Hunggar A",2,IF(Atletas!K304="Wuzuquan A",3,IF(Atletas!K304="Wingchun A",4,IF(Atletas!K304="Outra Mão de Sul A",5,IF(Atletas!K304="Choylayfut B",6,IF(Atletas!K304="Hunggar B",7,IF(Atletas!K304="Wuzuquan B",8,IF(Atletas!K304="Wingchun B",9,IF(Atletas!K304="Outra Mão de Sul B",10,IF(Atletas!K304="Choylayfut C",11,IF(Atletas!K304="Hunggar C",12,IF(Atletas!K304="Wuzuquan C",13,IF(Atletas!K304="Wingchun C",14,IF(Atletas!K304="Outra Mão de Sul C",15,IF(Atletas!K304="Choylayfut D",16,IF(Atletas!K304="Hunggar D",17,IF(Atletas!K304="Wuzuquan D",18,IF(Atletas!K304="Wingchun D",19,IF(Atletas!K304="Outra Mão de Sul D",20,IF(Atletas!K304="Choylayfut E",21,IF(Atletas!K304="Hunggar E",22,IF(Atletas!K304="Wuzuquan E",23,IF(Atletas!K304="Wingchun E",24,IF(Atletas!K304="Outra Mão de Sul E",25,IF(Atletas!K304="Choylayfut F",26,IF(Atletas!K304="Hunggar F",27,IF(Atletas!K304="Wuzuquan F",28,IF(Atletas!K304="Wingchun F",29,IF(Atletas!K304="Outra Mão de Sul F",30,""))))))))))))))))))))))))))))))))</f>
        <v/>
      </c>
      <c r="BL308" s="52" t="str">
        <f>IF(Atletas!L304="","",IF(Atletas!W304&lt;&gt;"",10000,0)+(IF(Atletas!B304="Feminino",1000,IF(Atletas!B304="Masculino",2000,""))+(IF(Atletas!L304="Chaquan A",101,IF(Atletas!L304="Emeiquan A",102,IF(Atletas!L304="Fanziquan A",103,IF(Atletas!L304="Huaquan A",104,IF(Atletas!L304="Hongquan A",105,IF(Atletas!L304="Paochui A",106,IF(Atletas!L304="Piguaquan A",107,IF(Atletas!L304="Shaolinquan A",108,IF(Atletas!L304="Tanglangquan A",109,IF(Atletas!L304="Yinzhaophai A",110,IF(Atletas!L304="Tongbeiquan A",111,IF(Atletas!L304="Wudangquan A",112,IF(Atletas!L304="Outros Estilos A",113,IF(Atletas!L304="Chaquan B",114,IF(Atletas!L304="Emeiquan B",115,IF(Atletas!L304="Fanziquan B",116,IF(Atletas!L304="Huaquan B",117,IF(Atletas!L304="Hongquan B",118,IF(Atletas!L304="Paochui B",119,IF(Atletas!L304="Piguaquan B",120,IF(Atletas!L304="Shaolinquan B",121,IF(Atletas!L304="Tanglangquan B",122,IF(Atletas!L304="Yinzhaophai B",123,IF(Atletas!L304="Tongbeiquan B",124,IF(Atletas!L304="Wudangquan B",125,IF(Atletas!L304="Outros Estilos B",126,IF(Atletas!L304="Chaquan C",127,IF(Atletas!L304="Emeiquan C",128,IF(Atletas!L304="Fanziquan C",129,IF(Atletas!L304="Huaquan C",130,IF(Atletas!L304="Hongquan C",131,IF(Atletas!L304="Paochui C",132,IF(Atletas!L304="Piguaquan C",133,IF(Atletas!L304="Shaolinquan C",134,IF(Atletas!L304="Tanglangquan C",135,IF(Atletas!L304="Yinzhaophai C",136,IF(Atletas!L304="Tongbeiquan C",137,IF(Atletas!L304="Wudangquan C",138,IF(Atletas!L304="Outros Estilos C",139,0))))))))))))))))))))))))))))))))))))))))))</f>
        <v/>
      </c>
      <c r="BM308" s="52" t="str">
        <f>IF(Atletas!L304="","",IF(Atletas!W304&lt;&gt;"",10000,0)+(IF(Atletas!B304="Feminino",1000,IF(Atletas!B304="Masculino",2000,""))+(IF(Atletas!L304="Chaquan D",140,IF(Atletas!L304="Emeiquan D",141,IF(Atletas!L304="Fanziquan D",142,IF(Atletas!L304="Huaquan D",143,IF(Atletas!L304="Hongquan D",144,IF(Atletas!L304="Paochui D",145,IF(Atletas!L304="Piguaquan D",146,IF(Atletas!L304="Shaolinquan D",147,IF(Atletas!L304="Tanglangquan D",148,IF(Atletas!L304="Yinzhaophai D",149,IF(Atletas!L304="Tongbeiquan D",150,IF(Atletas!L304="Wudangquan D",151,IF(Atletas!L304="Outros Estilos D",152,IF(Atletas!L304="Chaquan E",153,IF(Atletas!L304="Emeiquan E",154,IF(Atletas!L304="Fanziquan E",155,IF(Atletas!L304="Huaquan E",156,IF(Atletas!L304="Hongquan E",157,IF(Atletas!L304="Paochui E",158,IF(Atletas!L304="Piguaquan E",159,IF(Atletas!L304="Shaolinquan E",160,IF(Atletas!L304="Tanglangquan E",161,IF(Atletas!L304="Yinzhaophai E",162,IF(Atletas!L304="Tongbeiquan E",163,IF(Atletas!L304="Wudangquan E",164,IF(Atletas!L304="Outros Estilos E",165,IF(Atletas!L304="Chaquan F",166,IF(Atletas!L304="Emeiquan F",167,IF(Atletas!L304="Fanziquan F",168,IF(Atletas!L304="Huaquan F",169,IF(Atletas!L304="Hongquan F",170,IF(Atletas!L304="Paochui F",171,IF(Atletas!L304="Piguaquan F",172,IF(Atletas!L304="Shaolinquan F",173,IF(Atletas!L304="Tanglangquan F",174,IF(Atletas!L304="Yinzhaophai F",175,IF(Atletas!L304="Tongbeiquan F",176,IF(Atletas!L304="Wudangquan F",177,IF(Atletas!L304="Outros Estilos F",178,0))))))))))))))))))))))))))))))))))))))))))</f>
        <v/>
      </c>
      <c r="BN308" s="52" t="str">
        <f>IF(Atletas!M304="","",IF(Atletas!W304&lt;&gt;"",10000,0)+(IF(Atletas!B304="Feminino",1000,IF(Atletas!B304="Masculino",2000,""))+(IF(Atletas!M304="Ditangquan A",201,IF(Atletas!M304="Houquan A",202,IF(Atletas!M304="Zuiquan A",203,IF(Atletas!M304="Ditangquan B",204,IF(Atletas!M304="Houquan B",205,IF(Atletas!M304="Zuiquan B",206,IF(Atletas!M304="Ditangquan C",207,IF(Atletas!M304="Houquan C",208,IF(Atletas!M304="Zuiquan C",209,IF(Atletas!M304="Ditangquan D",210,IF(Atletas!M304="Houquan D",211,IF(Atletas!M304="Zuiquan D",212,IF(Atletas!M304="Ditangquan E",213,IF(Atletas!M304="Houquan E",214,IF(Atletas!M304="Zuiquan E",215,IF(Atletas!M304="Ditangquan F",216,IF(Atletas!M304="Houquan F",217,IF(Atletas!M304="Zuiquan F",218,"")))))))))))))))))))))</f>
        <v/>
      </c>
      <c r="BO308" s="52" t="str">
        <f>IF(Atletas!N304="","",IF(Atletas!W304&lt;&gt;"",10000,0)+IF(Atletas!B304="Feminino",1000,IF(Atletas!B304="Masculino",2000,""))+IF(Atletas!N304="Yang A",301,IF(Atletas!N304="Chen A",30,IF(Atletas!N304="Sun A",303,IF(Atletas!N304="Wu A",304,IF(Atletas!N304="Wu-Hao A",305,IF(Atletas!N304="Outro Taijiquan A",306,IF(Atletas!N304="Yang B",307,IF(Atletas!N304="Chen B",308,IF(Atletas!N304="Sun B",309,IF(Atletas!N304="Wu B",310,IF(Atletas!N304="Wu-Hao B",311,IF(Atletas!N304="Outro Taijiquan B",312,IF(Atletas!N304="Yang C",313,IF(Atletas!N304="Chen C",314,IF(Atletas!N304="Sun C",315,IF(Atletas!N304="Wu C",316,IF(Atletas!N304="Wu-Hao C",317,IF(Atletas!N304="Outro Taijiquan C",318,IF(Atletas!N304="Yang D",319,IF(Atletas!N304="Chen D",320,IF(Atletas!N304="Sun D",321,IF(Atletas!N304="Wu D",322,IF(Atletas!N304="Wu-Hao D",323,IF(Atletas!N304="Outro Taijiquan D",324,IF(Atletas!N304="Yang E",325,IF(Atletas!N304="Chen E",326,IF(Atletas!N304="Sun E",327,IF(Atletas!N304="Wu E",328,IF(Atletas!N304="Wu-Hao E",329,IF(Atletas!N304="Outro Taijiquan E",330,IF(Atletas!N304="Yang F",331,IF(Atletas!N304="Chen F",332,IF(Atletas!N304="Sun F",333,IF(Atletas!N304="Wu F",334,IF(Atletas!N304="Wu-Hao F",335,IF(Atletas!N304="Outro Taijiquan F",336,"")))))))))))))))))))))))))))))))))))))</f>
        <v/>
      </c>
      <c r="BP308" s="52" t="str">
        <f>IF(Atletas!O304="","",IF(Atletas!W304&lt;&gt;"",10000,0)+IF(Atletas!B304="Feminino",1000,IF(Atletas!B304="Masculino",2000,""))+IF(OR(Atletas!O304="Yang 26 A",Atletas!O304="Yang 40 A"),401,IF(OR(Atletas!O304="Chen 25 A",Atletas!O304="Chen 36 A",Atletas!O304="Chen 56 A"),402,IF(Atletas!O304="Sun 73 A",403,IF(Atletas!O304="Wu 45 A",404,IF(Atletas!O304="Wu-Hao 46 A",405,IF(OR(Atletas!O304="Taijiquan 16 A",Atletas!O304="Taijiquan 24 A",Atletas!O304="Taijiquan 32 A",Atletas!O304="Taijiquan 42 A"),406,IF(OR(Atletas!O304="Yang 26 B",Atletas!O304="Yang 40 B"),407,IF(OR(Atletas!O304="Chen 25 B",Atletas!O304="Chen 36 B",Atletas!O304="Chen 56 B"),408,IF(Atletas!O304="Sun 73 B",409,IF(Atletas!O304="Wu 45 B",410,IF(Atletas!O304="Wu-Hao 46 B",411,IF(OR(Atletas!O304="Taijiquan 16 B",Atletas!O304="Taijiquan 24 B",Atletas!O304="Taijiquan 32 B",Atletas!O304="Taijiquan 42 B"),412,IF(OR(Atletas!O304="Yang 26 C",Atletas!O304="Yang 40 C"),413,IF(OR(Atletas!O304="Chen 25 C",Atletas!O304="Chen 36 C",Atletas!O304="Chen 56 C"),414,IF(Atletas!O304="Sun 73 C",415,IF(Atletas!O304="Wu 45 C",416,IF(Atletas!O304="Wu-Hao 46 C",417,IF(OR(Atletas!O304="Taijiquan 16 C",Atletas!O304="Taijiquan 24 C",Atletas!O304="Taijiquan 32 C",Atletas!O304="Taijiquan 42 C"),418,0)))))))))))))))))))</f>
        <v/>
      </c>
      <c r="BQ308" s="52" t="str">
        <f>IF(Atletas!O304="","",IF(Atletas!W304&lt;&gt;"",10000,0)+IF(Atletas!B304="Feminino",1000,IF(Atletas!B304="Masculino",2000,""))+IF(OR(Atletas!O304="Yang 26 D",Atletas!O304="Yang 40 D"),419,IF(OR(Atletas!O304="Chen 25 D",Atletas!O304="Chen 36 D",Atletas!O304="Chen 56 D"),420,IF(Atletas!O304="Sun 73 D",421,IF(Atletas!O304="Wu 45 D",422,IF(Atletas!O304="Wu-Hao 46 D",423,IF(OR(Atletas!O304="Taijiquan 16 D",Atletas!O304="Taijiquan 24 D",Atletas!O304="Taijiquan 32 D",Atletas!O304="Taijiquan 42 D"),424,IF(OR(Atletas!O304="Yang 26 E",Atletas!O304="Yang 40 E"),425,IF(OR(Atletas!O304="Chen 25 E",Atletas!O304="Chen 36 E",Atletas!O304="Chen 56 E"),426,IF(Atletas!O304="Sun 73 E",427,IF(Atletas!O304="Wu 45 E",428,IF(Atletas!O304="Wu-Hao 46 E",429,IF(OR(Atletas!O304="Taijiquan 16 E",Atletas!O304="Taijiquan 24 E",Atletas!O304="Taijiquan 32 E",Atletas!O304="Taijiquan 42 E"),430,IF(OR(Atletas!O304="Yang 26 F",Atletas!O304="Yang 40 F"),431,IF(OR(Atletas!O304="Chen 25 F",Atletas!O304="Chen 36 F",Atletas!O304="Chen 56 F"),432,IF(Atletas!O304="Sun 73 F",433,IF(Atletas!O304="Wu 45 F",434,IF(Atletas!O304="Wu-Hao 46 F",435,IF(OR(Atletas!O304="Taijiquan 16 F",Atletas!O304="Taijiquan 24 F",Atletas!O304="Taijiquan 32 F",Atletas!O304="Taijiquan 42 F"),436,0)))))))))))))))))))</f>
        <v/>
      </c>
      <c r="BR308" s="52" t="str">
        <f>IF(Atletas!P304="","",IF(Atletas!W304&lt;&gt;"",10000,0)+IF(Atletas!B304="Feminino",1000,IF(Atletas!B304="Masculino",2000,""))+IF(Atletas!P304="Xingyiquan A",501,IF(Atletas!P304="Baguazhang A",502,IF(Atletas!P304="Outro Estilo Interno A",503,IF(Atletas!P304="Xingyiquan B",504,IF(Atletas!P304="Baguazhang B",505,IF(Atletas!P304="Outro Estilo Interno B",506,IF(Atletas!P304="Xingyiquan C",507,IF(Atletas!P304="Baguazhang C",508,IF(Atletas!P304="Outro Estilo Interno C",509,IF(Atletas!P304="Xingyiquan D",510,IF(Atletas!P304="Baguazhang D",511,IF(Atletas!P304="Outro Estilo Interno D",512,IF(Atletas!P304="Xingyiquan E",513,IF(Atletas!P304="Baguazhang E",514,IF(Atletas!P304="Outro Estilo Interno E",515,IF(Atletas!P304="Xingyiquan F",516,IF(Atletas!P304="Baguazhang F",517,IF(Atletas!P304="Outro Estilo Interno F",518, "")))))))))))))))))))</f>
        <v/>
      </c>
      <c r="BS308" s="52" t="str">
        <f>IF(Atletas!Q304="","",IF(Atletas!W304&lt;&gt;"",10000,0)+IF(Atletas!B304="Feminino",1000,IF(Atletas!B304="Masculino",2000,""))+IF(Atletas!Q304="Dao A",601,IF(Atletas!Q304="Jian A",602,IF(Atletas!Q304="Bishou A",603,IF(Atletas!Q304="Shan A",604,IF(Atletas!Q304="Outra Arma Curta A",605,IF(Atletas!Q304="Dao B",606,IF(Atletas!Q304="Jian B",607,IF(Atletas!Q304="Bishou B",608,IF(Atletas!Q304="Shan B",609,IF(Atletas!Q304="Outra Arma Curta B",610,IF(Atletas!Q304="Dao C",611,IF(Atletas!Q304="Jian C",612,IF(Atletas!Q304="Bishou C",613,IF(Atletas!Q304="Shan C",614,IF(Atletas!Q304="Outra Arma Curta C",615,IF(Atletas!Q304="Dao D",616,IF(Atletas!Q304="Jian D",617,IF(Atletas!Q304="Bishou D",618,IF(Atletas!Q304="Shan D",619,IF(Atletas!Q304="Outra Arma Curta D",620,IF(Atletas!Q304="Dao E",621,IF(Atletas!Q304="Jian E",622,IF(Atletas!Q304="Bishou E",623,IF(Atletas!Q304="Shan E",624,IF(Atletas!Q304="Outra Arma Curta E",625,IF(Atletas!Q304="Dao F",626,IF(Atletas!Q304="Jian F",627,IF(Atletas!Q304="Bishou F",628,IF(Atletas!Q304="Shan F",629,IF(Atletas!Q304="Outra Arma Curta F",630, "")))))))))))))))))))))))))))))))</f>
        <v/>
      </c>
      <c r="BT308" s="52" t="str">
        <f>IF(Atletas!R304="","",IF(Atletas!W304&lt;&gt;"",10000,0)+IF(Atletas!B304="Feminino",1000,IF(Atletas!B304="Masculino",2000,""))+IF(Atletas!R304="Gun A",701,IF(Atletas!R304="Qiang A",702,IF(Atletas!R304="Pudao / Guandao A",703,IF(Atletas!R304="Outra Arma Longa A",704,IF(Atletas!R304="Gun B",705,IF(Atletas!R304="Qiang B",706,IF(Atletas!R304="Pudao / Guandao B",707,IF(Atletas!R304="Outra Arma Longa B",708,IF(Atletas!R304="Gun C",709,IF(Atletas!R304="Qiang C",710,IF(Atletas!R304="Pudao / Guandao C",711,IF(Atletas!R304="Outra Arma Longa C",712,IF(Atletas!R304="Gun D",713,IF(Atletas!R304="Qiang D",714,IF(Atletas!R304="Pudao / Guandao D",715,IF(Atletas!R304="Outra Arma Longa D",716,IF(Atletas!R304="Gun E",717,IF(Atletas!R304="Qiang E",718,IF(Atletas!R304="Pudao / Guandao E",719,IF(Atletas!R304="Outra Arma Longa E",720,IF(Atletas!R304="Gun F",721,IF(Atletas!R304="Qiang F",722,IF(Atletas!R304="Pudao / Guandao F",723,IF(Atletas!R304="Outra Arma Longa F",724,"")))))))))))))))))))))))))</f>
        <v/>
      </c>
      <c r="BU308" s="52" t="str">
        <f>IF(Atletas!S304="","",IF(Atletas!W304&lt;&gt;"",10000,0)+IF(Atletas!B304="Feminino",1000,IF(Atletas!B304="Masculino",2000,""))+IF(Atletas!S304="Arma Dupla A",801,IF(Atletas!S304="Arma Maleável A",802,IF(Atletas!S304="Arma Dupla B",803,IF(Atletas!S304="Arma Maleável B",804,IF(Atletas!S304="Arma Dupla C",805,IF(Atletas!S304="Arma Maleável C",806,IF(Atletas!S304="Arma Dupla D",807,IF(Atletas!S304="Arma Maleável D",808,IF(Atletas!S304="Arma Dupla E",809,IF(Atletas!S304="Arma Maleável E",810,IF(Atletas!S304="Arma Dupla F",811,IF(Atletas!S304="Arma Maleável F",812, "")))))))))))))</f>
        <v/>
      </c>
      <c r="BV308" s="52" t="str">
        <f>IF(Atletas!T304="","",IF(Atletas!W304&lt;&gt;"",10000,0)+IF(Atletas!B304="Feminino",1000,IF(Atletas!B304="Masculino",2000,""))+IF(Atletas!T304="Taijijian Yang A",901,IF(Atletas!T304="Taijijian Chen A",902,IF(Atletas!T304="Taijijian Sun A",903,IF(Atletas!T304="Taijijian Wu A",904,IF(Atletas!T304="Taijijian Wu-Hao A",905,IF(Atletas!T304="Taijijian 32 A",906,IF(Atletas!T304="Taijijian 42 A",907,IF(Atletas!T304="Taijijian Yang B",908,IF(Atletas!T304="Taijijian Chen B",909,IF(Atletas!T304="Taijijian Sun B",910,IF(Atletas!T304="Taijijian Wu B",911,IF(Atletas!T304="Taijijian Wu-Hao B",912,IF(Atletas!T304="Taijijian 32 B",913,IF(Atletas!T304="Taijijian 42 B",914,IF(Atletas!T304="Taijijian Yang C",915,IF(Atletas!T304="Taijijian Chen C",916,IF(Atletas!T304="Taijijian Sun C",917,IF(Atletas!T304="Taijijian Wu C",918,IF(Atletas!T304="Taijijian Wu-Hao C",919,IF(Atletas!T304="Taijijian 32 C",920,IF(Atletas!T304="Taijijian 42 C",921,IF(Atletas!T304="Taijijian Yang D",922,IF(Atletas!T304="Taijijian Chen D",923,IF(Atletas!T304="Taijijian Sun D",924,IF(Atletas!T304="Taijijian Wu D",925,IF(Atletas!T304="Taijijian Wu-Hao D",926,IF(Atletas!T304="Taijijian 32 D",927,IF(Atletas!T304="Taijijian 42 D",928,IF(Atletas!T304="Taijijian Yang E",929,IF(Atletas!T304="Taijijian Chen E",930,IF(Atletas!T304="Taijijian Sun E",931,IF(Atletas!T304="Taijijian Wu E",932,IF(Atletas!T304="Taijijian Wu-Hao E",933,IF(Atletas!T304="Taijijian 32 E",934,IF(Atletas!T304="Taijijian 42 E",935,IF(Atletas!T304="Taijijian Yang F",936,IF(Atletas!T304="Taijijian Chen F",937,IF(Atletas!T304="Taijijian Sun F",938,IF(Atletas!T304="Taijijian Wu F",939,IF(Atletas!T304="Taijijian Wu-Hao F",940,IF(Atletas!T304="Taijijian 32 F",941,IF(Atletas!T304="Taijijian 42 F",942,"")))))))))))))))))))))))))))))))))))))))))))</f>
        <v/>
      </c>
      <c r="BW308" s="52" t="str">
        <f>IF(Atletas!U304="","",IF(Atletas!W304&lt;&gt;"",10000,0)+IF(Atletas!B304="Feminino",1000,IF(Atletas!B304="Masculino",2000,""))+IF(Atletas!T304="Taijijian 42 F",942,IF(Atletas!U304="Taijidao A",943,IF(Atletas!U304="Taijishan A",944,IF(Atletas!U304="Taijiqiang A",945,IF(Atletas!U304="Taijidao B",946,IF(Atletas!U304="Taijishan B",947,IF(Atletas!U304="Taijiqiang B",948,IF(Atletas!U304="Taijidao C",949,IF(Atletas!U304="Taijishan C",950,IF(Atletas!U304="Taijiqiang C",951,IF(Atletas!U304="Taijidao D",952,IF(Atletas!U304="Taijishan D",953,IF(Atletas!U304="Taijiqiang D",954,IF(Atletas!U304="Taijidao E",955,IF(Atletas!U304="Taijishan E",956,IF(Atletas!U304="Taijiqiang E",957,IF(Atletas!U304="Taijidao F",958,IF(Atletas!U304="Taijishan F",959,IF(Atletas!U304="Taijiqiang F",960))))))))))))))))))))</f>
        <v/>
      </c>
      <c r="BX308" s="72" t="str">
        <f>IF(BY308&lt;&gt;"","Taijijian Chen D","")</f>
        <v/>
      </c>
      <c r="BY308" s="72" t="str">
        <f>IF(COUNTIF(BK:BW,1923)&gt;0,COUNTIF(BK:BW,1923),"")</f>
        <v/>
      </c>
      <c r="BZ308" s="72" t="str">
        <f>IF(CA308&lt;&gt;"","Taijijian Chen D","")</f>
        <v/>
      </c>
      <c r="CA308" s="72" t="str">
        <f>IF(COUNTIF(BK:BW,2923)&gt;0,COUNTIF(BK:BW,2923),"")</f>
        <v/>
      </c>
      <c r="CB308" s="72" t="str">
        <f>IF(CC308&lt;&gt;"","Dao F","")</f>
        <v/>
      </c>
      <c r="CC308" s="64" t="str">
        <f>IF(COUNTIF(BK:BW,11626)&gt;0,COUNTIF(BK:BW,11626),"")</f>
        <v/>
      </c>
      <c r="CD308" s="64" t="str">
        <f>IF(CE308&lt;&gt;"","Dao F","")</f>
        <v/>
      </c>
      <c r="CE308" s="64" t="str">
        <f>IF(COUNTIF(BK:BW,12626)&gt;0,COUNTIF(BK:BW,12626),"")</f>
        <v/>
      </c>
      <c r="CF308" s="52" t="str">
        <f xml:space="preserve"> IF(Atletas!V304="","",IF(Atletas!V304="Duilian de Mãos AB - Equipe 1",1,IF(Atletas!V304="Duilian de Mãos AB - Equipe 2",2,IF(Atletas!V304="Duilian de Armas AB - Equipe 1",3,IF(Atletas!V304="Duilian de Armas AB - Equipe 2",4,IF(Atletas!V304="Duilian de Tuishou - Equipe 1",5,IF(Atletas!V304="Duilian de Tuishou - Equipe 2",6,IF(Atletas!V304="Grupo Externo AB - Equipe 1",7,IF(Atletas!V304="Grupo Externo AB - Equipe 2",8,IF(Atletas!V304="Grupo Interno AB - Equipe 1",9,IF(Atletas!V304="Grupo Interno AB - Equipe 2",10,IF(Atletas!V304="Duilian de Mãos CD - Equipe 1",11,IF(Atletas!V304="Duilian de Mãos CD - Equipe 2",12,IF(Atletas!V304="Duilian de Armas CD - Equipe 1",13,IF(Atletas!V304="Duilian de Armas CD - Equipe 2",14,IF(Atletas!V304="Duilian de Tuishou - Equipe 1",15,IF(Atletas!V304="Duilian de Tuishou - Equipe 2",16,IF(Atletas!V304="Grupo Externo CDEF - Equipe 1",17,IF(Atletas!V304="Grupo Externo CDEF - Equipe 2",18,IF(Atletas!V304="Grupo Interno CDEF - Equipe 1",19,IF(Atletas!V304="Grupo Interno CDEF - Equipe 2",20,IF(Atletas!V304="Duilian de Mãos EF - Equipe 1",21,IF(Atletas!V304="Duilian de Mãos EF - Equipe 2",22,IF(Atletas!V304="Duilian de Armas EF - Equipe 1",23,IF(Atletas!V304="Duilian de Armas EF - Equipe 2",24,IF(Atletas!V304="Duilian de Tuishou - Equipe 1",25,IF(Atletas!V304="Duilian de Tuishou - Equipe 2",26,"")))))))))))))))))))))))))))</f>
        <v/>
      </c>
    </row>
    <row r="309" spans="36:84">
      <c r="AJ309" s="46" t="str">
        <f>IF(Atletas!D305="","",IF(Atletas!B305="Feminino",100,IF(Atletas!B305="Masculino",200,""))+(IF(Atletas!D305="Infantil 39kg",1,IF(Atletas!D305="Infantil 42kg",2,IF(Atletas!D305="Infantil 45kg",3,IF(Atletas!D305="Infantil 48kg",4,IF(Atletas!D305="Infantil 52kg",5,IF(Atletas!D305="Infantil 56kg",6,IF(Atletas!D305="Infantil 60kg",7,IF(Atletas!D305="Juvenil 48kg",8,IF(Atletas!D305="Juvenil 52kg",9,IF(Atletas!D305="Juvenil 56kg",10,IF(Atletas!D305="Juvenil 60kg",11,IF(Atletas!D305="Juvenil 65kg",12,IF(Atletas!D305="Juvenil 70kg",13,IF(Atletas!D305="Juvenil 75kg",14,IF(Atletas!D305="Juvenil 80kg",15,IF(Atletas!D305="Adulto 48kg",16,IF(Atletas!D305="Adulto 52kg",17,IF(Atletas!D305="Adulto 56kg",18,IF(Atletas!D305="Adulto 60kg",19,IF(Atletas!D305="Adulto 65kg",20,IF(Atletas!D305="Adulto 70kg",21,IF(Atletas!D305="Adulto 75kg",22,IF(Atletas!D305="Adulto 80kg",23,IF(Atletas!D305="Adulto 85kg",24,IF(Atletas!D305="Adulto 90kg",25,IF(Atletas!D305="Adulto +90kg",26,""))))))))))))))))))))))))))))</f>
        <v/>
      </c>
      <c r="AO309" s="10" t="str">
        <f>IF(Atletas!E305="","",IF(Atletas!B305="Feminino",100,IF(Atletas!B305="Masculino",200,""))+(IF(Atletas!E305="Juvenil 44kg",1,IF(Atletas!E305="Juvenil 48kg",2,IF(Atletas!E305="Juvenil 52kg",3,IF(Atletas!E305="Juvenil 56kg",4,IF(Atletas!E305="Juvenil 60kg",5,IF(Atletas!E305="Juvenil 65kg",6,IF(Atletas!E305="Juvenil 70kg",7,IF(Atletas!E305="Juvenil 75kg",8,IF(Atletas!E305="Juvenil 82kg",9,IF(Atletas!E305="Juvenil 90kg",10,IF(Atletas!E305="Juvenil 100kg",11,IF(Atletas!E305="Adulto 48kg",12,IF(Atletas!E305="Adulto 52kg",13,IF(Atletas!E305="Adulto 56kg",14,IF(Atletas!E305="Adulto 60kg",15,IF(Atletas!E305="Adulto 65kg",16,IF(Atletas!E305="Adulto 70kg",17,IF(Atletas!E305="Adulto 75kg",18,IF(Atletas!E305="Adulto 82kg",19,IF(Atletas!E305="Adulto 90kg",20,IF(Atletas!E305="Adulto 100kg",21,IF(Atletas!E305="Adulto +100kg",22,""))))))))))))))))))))))))</f>
        <v/>
      </c>
      <c r="AT309" s="10" t="str">
        <f>IF(Atletas!F305="","",IF(Atletas!B305="Feminino",100,IF(Atletas!B305="Masculino",200,""))+(IF(Atletas!F305="Adulto 48kg",1,IF(Atletas!F305="Adulto 56kg",2,IF(Atletas!F305="Adulto 65kg",3,IF(Atletas!F305="Adulto 75kg",4,IF(Atletas!F305="Adulto +75kg",5,IF(Atletas!F305="Adulto 52kg",6,IF(Atletas!F305="Adulto 60kg",7,IF(Atletas!F305="Adulto 70kg",8,IF(Atletas!F305="Adulto 80kg",9,IF(Atletas!F305="Adulto 90kg",10,IF(Atletas!F305="Adulto +90kg",11,"")))))))))))))</f>
        <v/>
      </c>
      <c r="AY309" s="46" t="str">
        <f>IF(Atletas!G305="","",IF(Atletas!B305="Feminino",100,IF(Atletas!B305="Masculino",200,""))+(IF(Atletas!G305="Changquan Mirim",1,IF(Atletas!G305="Nanquan Mirim",2,IF(Atletas!G305="Taijiquan Mirim",3,IF(Atletas!G305="Changquan Grupo C",4,IF(Atletas!G305="Nanquan Grupo C",5,IF(Atletas!G305="Taijiquan Grupo C",6,IF(Atletas!G305="Changquan Grupo B",7,IF(Atletas!G305="Nanquan Grupo B",8,IF(Atletas!G305="Taijiquan Grupo B",9,IF(Atletas!G305="Changquan Grupo A",10,IF(Atletas!G305="Nanquan Grupo A",11,IF(Atletas!G305="Taijiquan Grupo A",12,IF(Atletas!G305="Changquan Opcional",13,IF(Atletas!G305="Nanquan Opcional",14,IF(Atletas!G305="Taijiquan Opcional",15,IF(Atletas!G305="Changquan Adulto",16,IF(Atletas!G305="Nanquan Adulto",17,IF(Atletas!G305="Taijiquan Adulto",18,""))))))))))))))))))))</f>
        <v/>
      </c>
      <c r="AZ309" s="46" t="str">
        <f>IF(Atletas!H305="","",IF(Atletas!B305="Feminino",100,IF(Atletas!B305="Masculino",200,""))+(IF(Atletas!H305="Daoshu Mirim",19,IF(Atletas!H305="Jianshu Mirim",20,IF(Atletas!H305="Nandao Mirim",21,IF(Atletas!H305="Taijijian Mirim",22,IF(Atletas!H305="Daoshu Grupo C",23,IF(Atletas!H305="Jianshu Grupo C",24,IF(Atletas!H305="Nandao Grupo C",25,IF(Atletas!H305="Taijijian Grupo C",26,IF(Atletas!H305="Daoshu Grupo B",27,IF(Atletas!H305="Jianshu Grupo B",28,IF(Atletas!H305="Nandao Grupo B",29,IF(Atletas!H305="Taijijian Grupo B",30,IF(Atletas!H305="Daoshu Grupo A",31,IF(Atletas!H305="Jianshu Grupo A",32,IF(Atletas!H305="Nandao Grupo A",33,IF(Atletas!H305="Taijijian Grupo A",34,IF(Atletas!H305="Daoshu Opcional",35,IF(Atletas!H305="Jianshu Opcional",36,IF(Atletas!H305="Nandao Opcional",37,IF(Atletas!H305="Taijijian Opcional",38,IF(Atletas!H305="Daoshu Adulto",39,IF(Atletas!H305="Jianshu Adulto",40,IF(Atletas!H305="Nandao Adulto",41,IF(Atletas!H305="Taijijian Adulto",42,""))))))))))))))))))))))))))</f>
        <v/>
      </c>
      <c r="BA309" s="46" t="str">
        <f>IF(Atletas!I305="","",IF(Atletas!B305="Feminino",100,IF(Atletas!B305="Masculino",200,""))+(IF(Atletas!I305="Gunshu Mirim",43,IF(Atletas!I305="Qiangshu Mirim",44,IF(Atletas!I305="Nangun Mirim",45,IF(Atletas!I305="Gunshu Grupo C",46,IF(Atletas!I305="Qiangshu Grupo C",47,IF(Atletas!I305="Nangun Grupo C",48,IF(Atletas!I305="Gunshu Grupo B",49,IF(Atletas!I305="Qiangshu Grupo B",50,IF(Atletas!I305="Nangun Grupo B",51,IF(Atletas!I305="Gunshu Grupo A",52,IF(Atletas!I305="Qiangshu Grupo A",53,IF(Atletas!I305="Nangun Grupo A",54,IF(Atletas!I305="Gunshu Opcional",55,IF(Atletas!I305="Qiangshu Opcional",56,IF(Atletas!I305="Nangun Opcional",57,IF(Atletas!I305="Gunshu Adulto",58,IF(Atletas!I305="Qiangshu Adulto",59,IF(Atletas!I305="Nangun Adulto",60,""))))))))))))))))))))</f>
        <v/>
      </c>
      <c r="BF309" s="52" t="str">
        <f>IF(Atletas!J305="","",IF(Atletas!B305="Feminino",100,IF(Atletas!B305="Masculino",200,""))+(IF(Atletas!J305="Equipe 1 Grupo B",1,IF(Atletas!J305="Equipe 2 Grupo B",2,IF(Atletas!J305="Equipe 1 Grupo A",3,IF(Atletas!J305="Equipe 2 Grupo A",4,IF(Atletas!J305="Equipe 1 Adulto",5,IF(Atletas!J305="Equipe 2 Adulto",6,""))))))))</f>
        <v/>
      </c>
      <c r="BK309" s="52" t="str">
        <f>IF(Atletas!K305="","",IF(Atletas!W305&lt;&gt;"",10000,0)+(IF(Atletas!B305="Feminino",1000,IF(Atletas!B305="Masculino",2000,""))+IF(Atletas!K305="Choylayfut A",1,IF(Atletas!K305="Hunggar A",2,IF(Atletas!K305="Wuzuquan A",3,IF(Atletas!K305="Wingchun A",4,IF(Atletas!K305="Outra Mão de Sul A",5,IF(Atletas!K305="Choylayfut B",6,IF(Atletas!K305="Hunggar B",7,IF(Atletas!K305="Wuzuquan B",8,IF(Atletas!K305="Wingchun B",9,IF(Atletas!K305="Outra Mão de Sul B",10,IF(Atletas!K305="Choylayfut C",11,IF(Atletas!K305="Hunggar C",12,IF(Atletas!K305="Wuzuquan C",13,IF(Atletas!K305="Wingchun C",14,IF(Atletas!K305="Outra Mão de Sul C",15,IF(Atletas!K305="Choylayfut D",16,IF(Atletas!K305="Hunggar D",17,IF(Atletas!K305="Wuzuquan D",18,IF(Atletas!K305="Wingchun D",19,IF(Atletas!K305="Outra Mão de Sul D",20,IF(Atletas!K305="Choylayfut E",21,IF(Atletas!K305="Hunggar E",22,IF(Atletas!K305="Wuzuquan E",23,IF(Atletas!K305="Wingchun E",24,IF(Atletas!K305="Outra Mão de Sul E",25,IF(Atletas!K305="Choylayfut F",26,IF(Atletas!K305="Hunggar F",27,IF(Atletas!K305="Wuzuquan F",28,IF(Atletas!K305="Wingchun F",29,IF(Atletas!K305="Outra Mão de Sul F",30,""))))))))))))))))))))))))))))))))</f>
        <v/>
      </c>
      <c r="BL309" s="52" t="str">
        <f>IF(Atletas!L305="","",IF(Atletas!W305&lt;&gt;"",10000,0)+(IF(Atletas!B305="Feminino",1000,IF(Atletas!B305="Masculino",2000,""))+(IF(Atletas!L305="Chaquan A",101,IF(Atletas!L305="Emeiquan A",102,IF(Atletas!L305="Fanziquan A",103,IF(Atletas!L305="Huaquan A",104,IF(Atletas!L305="Hongquan A",105,IF(Atletas!L305="Paochui A",106,IF(Atletas!L305="Piguaquan A",107,IF(Atletas!L305="Shaolinquan A",108,IF(Atletas!L305="Tanglangquan A",109,IF(Atletas!L305="Yinzhaophai A",110,IF(Atletas!L305="Tongbeiquan A",111,IF(Atletas!L305="Wudangquan A",112,IF(Atletas!L305="Outros Estilos A",113,IF(Atletas!L305="Chaquan B",114,IF(Atletas!L305="Emeiquan B",115,IF(Atletas!L305="Fanziquan B",116,IF(Atletas!L305="Huaquan B",117,IF(Atletas!L305="Hongquan B",118,IF(Atletas!L305="Paochui B",119,IF(Atletas!L305="Piguaquan B",120,IF(Atletas!L305="Shaolinquan B",121,IF(Atletas!L305="Tanglangquan B",122,IF(Atletas!L305="Yinzhaophai B",123,IF(Atletas!L305="Tongbeiquan B",124,IF(Atletas!L305="Wudangquan B",125,IF(Atletas!L305="Outros Estilos B",126,IF(Atletas!L305="Chaquan C",127,IF(Atletas!L305="Emeiquan C",128,IF(Atletas!L305="Fanziquan C",129,IF(Atletas!L305="Huaquan C",130,IF(Atletas!L305="Hongquan C",131,IF(Atletas!L305="Paochui C",132,IF(Atletas!L305="Piguaquan C",133,IF(Atletas!L305="Shaolinquan C",134,IF(Atletas!L305="Tanglangquan C",135,IF(Atletas!L305="Yinzhaophai C",136,IF(Atletas!L305="Tongbeiquan C",137,IF(Atletas!L305="Wudangquan C",138,IF(Atletas!L305="Outros Estilos C",139,0))))))))))))))))))))))))))))))))))))))))))</f>
        <v/>
      </c>
      <c r="BM309" s="52" t="str">
        <f>IF(Atletas!L305="","",IF(Atletas!W305&lt;&gt;"",10000,0)+(IF(Atletas!B305="Feminino",1000,IF(Atletas!B305="Masculino",2000,""))+(IF(Atletas!L305="Chaquan D",140,IF(Atletas!L305="Emeiquan D",141,IF(Atletas!L305="Fanziquan D",142,IF(Atletas!L305="Huaquan D",143,IF(Atletas!L305="Hongquan D",144,IF(Atletas!L305="Paochui D",145,IF(Atletas!L305="Piguaquan D",146,IF(Atletas!L305="Shaolinquan D",147,IF(Atletas!L305="Tanglangquan D",148,IF(Atletas!L305="Yinzhaophai D",149,IF(Atletas!L305="Tongbeiquan D",150,IF(Atletas!L305="Wudangquan D",151,IF(Atletas!L305="Outros Estilos D",152,IF(Atletas!L305="Chaquan E",153,IF(Atletas!L305="Emeiquan E",154,IF(Atletas!L305="Fanziquan E",155,IF(Atletas!L305="Huaquan E",156,IF(Atletas!L305="Hongquan E",157,IF(Atletas!L305="Paochui E",158,IF(Atletas!L305="Piguaquan E",159,IF(Atletas!L305="Shaolinquan E",160,IF(Atletas!L305="Tanglangquan E",161,IF(Atletas!L305="Yinzhaophai E",162,IF(Atletas!L305="Tongbeiquan E",163,IF(Atletas!L305="Wudangquan E",164,IF(Atletas!L305="Outros Estilos E",165,IF(Atletas!L305="Chaquan F",166,IF(Atletas!L305="Emeiquan F",167,IF(Atletas!L305="Fanziquan F",168,IF(Atletas!L305="Huaquan F",169,IF(Atletas!L305="Hongquan F",170,IF(Atletas!L305="Paochui F",171,IF(Atletas!L305="Piguaquan F",172,IF(Atletas!L305="Shaolinquan F",173,IF(Atletas!L305="Tanglangquan F",174,IF(Atletas!L305="Yinzhaophai F",175,IF(Atletas!L305="Tongbeiquan F",176,IF(Atletas!L305="Wudangquan F",177,IF(Atletas!L305="Outros Estilos F",178,0))))))))))))))))))))))))))))))))))))))))))</f>
        <v/>
      </c>
      <c r="BN309" s="52" t="str">
        <f>IF(Atletas!M305="","",IF(Atletas!W305&lt;&gt;"",10000,0)+(IF(Atletas!B305="Feminino",1000,IF(Atletas!B305="Masculino",2000,""))+(IF(Atletas!M305="Ditangquan A",201,IF(Atletas!M305="Houquan A",202,IF(Atletas!M305="Zuiquan A",203,IF(Atletas!M305="Ditangquan B",204,IF(Atletas!M305="Houquan B",205,IF(Atletas!M305="Zuiquan B",206,IF(Atletas!M305="Ditangquan C",207,IF(Atletas!M305="Houquan C",208,IF(Atletas!M305="Zuiquan C",209,IF(Atletas!M305="Ditangquan D",210,IF(Atletas!M305="Houquan D",211,IF(Atletas!M305="Zuiquan D",212,IF(Atletas!M305="Ditangquan E",213,IF(Atletas!M305="Houquan E",214,IF(Atletas!M305="Zuiquan E",215,IF(Atletas!M305="Ditangquan F",216,IF(Atletas!M305="Houquan F",217,IF(Atletas!M305="Zuiquan F",218,"")))))))))))))))))))))</f>
        <v/>
      </c>
      <c r="BO309" s="52" t="str">
        <f>IF(Atletas!N305="","",IF(Atletas!W305&lt;&gt;"",10000,0)+IF(Atletas!B305="Feminino",1000,IF(Atletas!B305="Masculino",2000,""))+IF(Atletas!N305="Yang A",301,IF(Atletas!N305="Chen A",30,IF(Atletas!N305="Sun A",303,IF(Atletas!N305="Wu A",304,IF(Atletas!N305="Wu-Hao A",305,IF(Atletas!N305="Outro Taijiquan A",306,IF(Atletas!N305="Yang B",307,IF(Atletas!N305="Chen B",308,IF(Atletas!N305="Sun B",309,IF(Atletas!N305="Wu B",310,IF(Atletas!N305="Wu-Hao B",311,IF(Atletas!N305="Outro Taijiquan B",312,IF(Atletas!N305="Yang C",313,IF(Atletas!N305="Chen C",314,IF(Atletas!N305="Sun C",315,IF(Atletas!N305="Wu C",316,IF(Atletas!N305="Wu-Hao C",317,IF(Atletas!N305="Outro Taijiquan C",318,IF(Atletas!N305="Yang D",319,IF(Atletas!N305="Chen D",320,IF(Atletas!N305="Sun D",321,IF(Atletas!N305="Wu D",322,IF(Atletas!N305="Wu-Hao D",323,IF(Atletas!N305="Outro Taijiquan D",324,IF(Atletas!N305="Yang E",325,IF(Atletas!N305="Chen E",326,IF(Atletas!N305="Sun E",327,IF(Atletas!N305="Wu E",328,IF(Atletas!N305="Wu-Hao E",329,IF(Atletas!N305="Outro Taijiquan E",330,IF(Atletas!N305="Yang F",331,IF(Atletas!N305="Chen F",332,IF(Atletas!N305="Sun F",333,IF(Atletas!N305="Wu F",334,IF(Atletas!N305="Wu-Hao F",335,IF(Atletas!N305="Outro Taijiquan F",336,"")))))))))))))))))))))))))))))))))))))</f>
        <v/>
      </c>
      <c r="BP309" s="52" t="str">
        <f>IF(Atletas!O305="","",IF(Atletas!W305&lt;&gt;"",10000,0)+IF(Atletas!B305="Feminino",1000,IF(Atletas!B305="Masculino",2000,""))+IF(OR(Atletas!O305="Yang 26 A",Atletas!O305="Yang 40 A"),401,IF(OR(Atletas!O305="Chen 25 A",Atletas!O305="Chen 36 A",Atletas!O305="Chen 56 A"),402,IF(Atletas!O305="Sun 73 A",403,IF(Atletas!O305="Wu 45 A",404,IF(Atletas!O305="Wu-Hao 46 A",405,IF(OR(Atletas!O305="Taijiquan 16 A",Atletas!O305="Taijiquan 24 A",Atletas!O305="Taijiquan 32 A",Atletas!O305="Taijiquan 42 A"),406,IF(OR(Atletas!O305="Yang 26 B",Atletas!O305="Yang 40 B"),407,IF(OR(Atletas!O305="Chen 25 B",Atletas!O305="Chen 36 B",Atletas!O305="Chen 56 B"),408,IF(Atletas!O305="Sun 73 B",409,IF(Atletas!O305="Wu 45 B",410,IF(Atletas!O305="Wu-Hao 46 B",411,IF(OR(Atletas!O305="Taijiquan 16 B",Atletas!O305="Taijiquan 24 B",Atletas!O305="Taijiquan 32 B",Atletas!O305="Taijiquan 42 B"),412,IF(OR(Atletas!O305="Yang 26 C",Atletas!O305="Yang 40 C"),413,IF(OR(Atletas!O305="Chen 25 C",Atletas!O305="Chen 36 C",Atletas!O305="Chen 56 C"),414,IF(Atletas!O305="Sun 73 C",415,IF(Atletas!O305="Wu 45 C",416,IF(Atletas!O305="Wu-Hao 46 C",417,IF(OR(Atletas!O305="Taijiquan 16 C",Atletas!O305="Taijiquan 24 C",Atletas!O305="Taijiquan 32 C",Atletas!O305="Taijiquan 42 C"),418,0)))))))))))))))))))</f>
        <v/>
      </c>
      <c r="BQ309" s="52" t="str">
        <f>IF(Atletas!O305="","",IF(Atletas!W305&lt;&gt;"",10000,0)+IF(Atletas!B305="Feminino",1000,IF(Atletas!B305="Masculino",2000,""))+IF(OR(Atletas!O305="Yang 26 D",Atletas!O305="Yang 40 D"),419,IF(OR(Atletas!O305="Chen 25 D",Atletas!O305="Chen 36 D",Atletas!O305="Chen 56 D"),420,IF(Atletas!O305="Sun 73 D",421,IF(Atletas!O305="Wu 45 D",422,IF(Atletas!O305="Wu-Hao 46 D",423,IF(OR(Atletas!O305="Taijiquan 16 D",Atletas!O305="Taijiquan 24 D",Atletas!O305="Taijiquan 32 D",Atletas!O305="Taijiquan 42 D"),424,IF(OR(Atletas!O305="Yang 26 E",Atletas!O305="Yang 40 E"),425,IF(OR(Atletas!O305="Chen 25 E",Atletas!O305="Chen 36 E",Atletas!O305="Chen 56 E"),426,IF(Atletas!O305="Sun 73 E",427,IF(Atletas!O305="Wu 45 E",428,IF(Atletas!O305="Wu-Hao 46 E",429,IF(OR(Atletas!O305="Taijiquan 16 E",Atletas!O305="Taijiquan 24 E",Atletas!O305="Taijiquan 32 E",Atletas!O305="Taijiquan 42 E"),430,IF(OR(Atletas!O305="Yang 26 F",Atletas!O305="Yang 40 F"),431,IF(OR(Atletas!O305="Chen 25 F",Atletas!O305="Chen 36 F",Atletas!O305="Chen 56 F"),432,IF(Atletas!O305="Sun 73 F",433,IF(Atletas!O305="Wu 45 F",434,IF(Atletas!O305="Wu-Hao 46 F",435,IF(OR(Atletas!O305="Taijiquan 16 F",Atletas!O305="Taijiquan 24 F",Atletas!O305="Taijiquan 32 F",Atletas!O305="Taijiquan 42 F"),436,0)))))))))))))))))))</f>
        <v/>
      </c>
      <c r="BR309" s="52" t="str">
        <f>IF(Atletas!P305="","",IF(Atletas!W305&lt;&gt;"",10000,0)+IF(Atletas!B305="Feminino",1000,IF(Atletas!B305="Masculino",2000,""))+IF(Atletas!P305="Xingyiquan A",501,IF(Atletas!P305="Baguazhang A",502,IF(Atletas!P305="Outro Estilo Interno A",503,IF(Atletas!P305="Xingyiquan B",504,IF(Atletas!P305="Baguazhang B",505,IF(Atletas!P305="Outro Estilo Interno B",506,IF(Atletas!P305="Xingyiquan C",507,IF(Atletas!P305="Baguazhang C",508,IF(Atletas!P305="Outro Estilo Interno C",509,IF(Atletas!P305="Xingyiquan D",510,IF(Atletas!P305="Baguazhang D",511,IF(Atletas!P305="Outro Estilo Interno D",512,IF(Atletas!P305="Xingyiquan E",513,IF(Atletas!P305="Baguazhang E",514,IF(Atletas!P305="Outro Estilo Interno E",515,IF(Atletas!P305="Xingyiquan F",516,IF(Atletas!P305="Baguazhang F",517,IF(Atletas!P305="Outro Estilo Interno F",518, "")))))))))))))))))))</f>
        <v/>
      </c>
      <c r="BS309" s="52" t="str">
        <f>IF(Atletas!Q305="","",IF(Atletas!W305&lt;&gt;"",10000,0)+IF(Atletas!B305="Feminino",1000,IF(Atletas!B305="Masculino",2000,""))+IF(Atletas!Q305="Dao A",601,IF(Atletas!Q305="Jian A",602,IF(Atletas!Q305="Bishou A",603,IF(Atletas!Q305="Shan A",604,IF(Atletas!Q305="Outra Arma Curta A",605,IF(Atletas!Q305="Dao B",606,IF(Atletas!Q305="Jian B",607,IF(Atletas!Q305="Bishou B",608,IF(Atletas!Q305="Shan B",609,IF(Atletas!Q305="Outra Arma Curta B",610,IF(Atletas!Q305="Dao C",611,IF(Atletas!Q305="Jian C",612,IF(Atletas!Q305="Bishou C",613,IF(Atletas!Q305="Shan C",614,IF(Atletas!Q305="Outra Arma Curta C",615,IF(Atletas!Q305="Dao D",616,IF(Atletas!Q305="Jian D",617,IF(Atletas!Q305="Bishou D",618,IF(Atletas!Q305="Shan D",619,IF(Atletas!Q305="Outra Arma Curta D",620,IF(Atletas!Q305="Dao E",621,IF(Atletas!Q305="Jian E",622,IF(Atletas!Q305="Bishou E",623,IF(Atletas!Q305="Shan E",624,IF(Atletas!Q305="Outra Arma Curta E",625,IF(Atletas!Q305="Dao F",626,IF(Atletas!Q305="Jian F",627,IF(Atletas!Q305="Bishou F",628,IF(Atletas!Q305="Shan F",629,IF(Atletas!Q305="Outra Arma Curta F",630, "")))))))))))))))))))))))))))))))</f>
        <v/>
      </c>
      <c r="BT309" s="52" t="str">
        <f>IF(Atletas!R305="","",IF(Atletas!W305&lt;&gt;"",10000,0)+IF(Atletas!B305="Feminino",1000,IF(Atletas!B305="Masculino",2000,""))+IF(Atletas!R305="Gun A",701,IF(Atletas!R305="Qiang A",702,IF(Atletas!R305="Pudao / Guandao A",703,IF(Atletas!R305="Outra Arma Longa A",704,IF(Atletas!R305="Gun B",705,IF(Atletas!R305="Qiang B",706,IF(Atletas!R305="Pudao / Guandao B",707,IF(Atletas!R305="Outra Arma Longa B",708,IF(Atletas!R305="Gun C",709,IF(Atletas!R305="Qiang C",710,IF(Atletas!R305="Pudao / Guandao C",711,IF(Atletas!R305="Outra Arma Longa C",712,IF(Atletas!R305="Gun D",713,IF(Atletas!R305="Qiang D",714,IF(Atletas!R305="Pudao / Guandao D",715,IF(Atletas!R305="Outra Arma Longa D",716,IF(Atletas!R305="Gun E",717,IF(Atletas!R305="Qiang E",718,IF(Atletas!R305="Pudao / Guandao E",719,IF(Atletas!R305="Outra Arma Longa E",720,IF(Atletas!R305="Gun F",721,IF(Atletas!R305="Qiang F",722,IF(Atletas!R305="Pudao / Guandao F",723,IF(Atletas!R305="Outra Arma Longa F",724,"")))))))))))))))))))))))))</f>
        <v/>
      </c>
      <c r="BU309" s="52" t="str">
        <f>IF(Atletas!S305="","",IF(Atletas!W305&lt;&gt;"",10000,0)+IF(Atletas!B305="Feminino",1000,IF(Atletas!B305="Masculino",2000,""))+IF(Atletas!S305="Arma Dupla A",801,IF(Atletas!S305="Arma Maleável A",802,IF(Atletas!S305="Arma Dupla B",803,IF(Atletas!S305="Arma Maleável B",804,IF(Atletas!S305="Arma Dupla C",805,IF(Atletas!S305="Arma Maleável C",806,IF(Atletas!S305="Arma Dupla D",807,IF(Atletas!S305="Arma Maleável D",808,IF(Atletas!S305="Arma Dupla E",809,IF(Atletas!S305="Arma Maleável E",810,IF(Atletas!S305="Arma Dupla F",811,IF(Atletas!S305="Arma Maleável F",812, "")))))))))))))</f>
        <v/>
      </c>
      <c r="BV309" s="52" t="str">
        <f>IF(Atletas!T305="","",IF(Atletas!W305&lt;&gt;"",10000,0)+IF(Atletas!B305="Feminino",1000,IF(Atletas!B305="Masculino",2000,""))+IF(Atletas!T305="Taijijian Yang A",901,IF(Atletas!T305="Taijijian Chen A",902,IF(Atletas!T305="Taijijian Sun A",903,IF(Atletas!T305="Taijijian Wu A",904,IF(Atletas!T305="Taijijian Wu-Hao A",905,IF(Atletas!T305="Taijijian 32 A",906,IF(Atletas!T305="Taijijian 42 A",907,IF(Atletas!T305="Taijijian Yang B",908,IF(Atletas!T305="Taijijian Chen B",909,IF(Atletas!T305="Taijijian Sun B",910,IF(Atletas!T305="Taijijian Wu B",911,IF(Atletas!T305="Taijijian Wu-Hao B",912,IF(Atletas!T305="Taijijian 32 B",913,IF(Atletas!T305="Taijijian 42 B",914,IF(Atletas!T305="Taijijian Yang C",915,IF(Atletas!T305="Taijijian Chen C",916,IF(Atletas!T305="Taijijian Sun C",917,IF(Atletas!T305="Taijijian Wu C",918,IF(Atletas!T305="Taijijian Wu-Hao C",919,IF(Atletas!T305="Taijijian 32 C",920,IF(Atletas!T305="Taijijian 42 C",921,IF(Atletas!T305="Taijijian Yang D",922,IF(Atletas!T305="Taijijian Chen D",923,IF(Atletas!T305="Taijijian Sun D",924,IF(Atletas!T305="Taijijian Wu D",925,IF(Atletas!T305="Taijijian Wu-Hao D",926,IF(Atletas!T305="Taijijian 32 D",927,IF(Atletas!T305="Taijijian 42 D",928,IF(Atletas!T305="Taijijian Yang E",929,IF(Atletas!T305="Taijijian Chen E",930,IF(Atletas!T305="Taijijian Sun E",931,IF(Atletas!T305="Taijijian Wu E",932,IF(Atletas!T305="Taijijian Wu-Hao E",933,IF(Atletas!T305="Taijijian 32 E",934,IF(Atletas!T305="Taijijian 42 E",935,IF(Atletas!T305="Taijijian Yang F",936,IF(Atletas!T305="Taijijian Chen F",937,IF(Atletas!T305="Taijijian Sun F",938,IF(Atletas!T305="Taijijian Wu F",939,IF(Atletas!T305="Taijijian Wu-Hao F",940,IF(Atletas!T305="Taijijian 32 F",941,IF(Atletas!T305="Taijijian 42 F",942,"")))))))))))))))))))))))))))))))))))))))))))</f>
        <v/>
      </c>
      <c r="BW309" s="52" t="str">
        <f>IF(Atletas!U305="","",IF(Atletas!W305&lt;&gt;"",10000,0)+IF(Atletas!B305="Feminino",1000,IF(Atletas!B305="Masculino",2000,""))+IF(Atletas!T305="Taijijian 42 F",942,IF(Atletas!U305="Taijidao A",943,IF(Atletas!U305="Taijishan A",944,IF(Atletas!U305="Taijiqiang A",945,IF(Atletas!U305="Taijidao B",946,IF(Atletas!U305="Taijishan B",947,IF(Atletas!U305="Taijiqiang B",948,IF(Atletas!U305="Taijidao C",949,IF(Atletas!U305="Taijishan C",950,IF(Atletas!U305="Taijiqiang C",951,IF(Atletas!U305="Taijidao D",952,IF(Atletas!U305="Taijishan D",953,IF(Atletas!U305="Taijiqiang D",954,IF(Atletas!U305="Taijidao E",955,IF(Atletas!U305="Taijishan E",956,IF(Atletas!U305="Taijiqiang E",957,IF(Atletas!U305="Taijidao F",958,IF(Atletas!U305="Taijishan F",959,IF(Atletas!U305="Taijiqiang F",960))))))))))))))))))))</f>
        <v/>
      </c>
      <c r="BX309" s="72" t="str">
        <f>IF(BY309&lt;&gt;"","Taijijian Sun D","")</f>
        <v/>
      </c>
      <c r="BY309" s="72" t="str">
        <f>IF(COUNTIF(BK:BW,1924)&gt;0,COUNTIF(BK:BW,1924),"")</f>
        <v/>
      </c>
      <c r="BZ309" s="72" t="str">
        <f>IF(CA309&lt;&gt;"","Taijijian Sun D","")</f>
        <v/>
      </c>
      <c r="CA309" s="72" t="str">
        <f>IF(COUNTIF(BK:BW,2924)&gt;0,COUNTIF(BK:BW,2924),"")</f>
        <v/>
      </c>
      <c r="CB309" s="72" t="str">
        <f>IF(CC309&lt;&gt;"","Jian F","")</f>
        <v/>
      </c>
      <c r="CC309" s="64" t="str">
        <f>IF(COUNTIF(BK:BW,11627)&gt;0,COUNTIF(BK:BW,11627),"")</f>
        <v/>
      </c>
      <c r="CD309" s="64" t="str">
        <f>IF(CE309&lt;&gt;"","Jian F","")</f>
        <v/>
      </c>
      <c r="CE309" s="64" t="str">
        <f>IF(COUNTIF(BK:BW,12627)&gt;0,COUNTIF(BK:BW,12627),"")</f>
        <v/>
      </c>
      <c r="CF309" s="52" t="str">
        <f xml:space="preserve"> IF(Atletas!V305="","",IF(Atletas!V305="Duilian de Mãos AB - Equipe 1",1,IF(Atletas!V305="Duilian de Mãos AB - Equipe 2",2,IF(Atletas!V305="Duilian de Armas AB - Equipe 1",3,IF(Atletas!V305="Duilian de Armas AB - Equipe 2",4,IF(Atletas!V305="Duilian de Tuishou - Equipe 1",5,IF(Atletas!V305="Duilian de Tuishou - Equipe 2",6,IF(Atletas!V305="Grupo Externo AB - Equipe 1",7,IF(Atletas!V305="Grupo Externo AB - Equipe 2",8,IF(Atletas!V305="Grupo Interno AB - Equipe 1",9,IF(Atletas!V305="Grupo Interno AB - Equipe 2",10,IF(Atletas!V305="Duilian de Mãos CD - Equipe 1",11,IF(Atletas!V305="Duilian de Mãos CD - Equipe 2",12,IF(Atletas!V305="Duilian de Armas CD - Equipe 1",13,IF(Atletas!V305="Duilian de Armas CD - Equipe 2",14,IF(Atletas!V305="Duilian de Tuishou - Equipe 1",15,IF(Atletas!V305="Duilian de Tuishou - Equipe 2",16,IF(Atletas!V305="Grupo Externo CDEF - Equipe 1",17,IF(Atletas!V305="Grupo Externo CDEF - Equipe 2",18,IF(Atletas!V305="Grupo Interno CDEF - Equipe 1",19,IF(Atletas!V305="Grupo Interno CDEF - Equipe 2",20,IF(Atletas!V305="Duilian de Mãos EF - Equipe 1",21,IF(Atletas!V305="Duilian de Mãos EF - Equipe 2",22,IF(Atletas!V305="Duilian de Armas EF - Equipe 1",23,IF(Atletas!V305="Duilian de Armas EF - Equipe 2",24,IF(Atletas!V305="Duilian de Tuishou - Equipe 1",25,IF(Atletas!V305="Duilian de Tuishou - Equipe 2",26,"")))))))))))))))))))))))))))</f>
        <v/>
      </c>
    </row>
    <row r="310" spans="36:84">
      <c r="AJ310" s="46" t="str">
        <f>IF(Atletas!D306="","",IF(Atletas!B306="Feminino",100,IF(Atletas!B306="Masculino",200,""))+(IF(Atletas!D306="Infantil 39kg",1,IF(Atletas!D306="Infantil 42kg",2,IF(Atletas!D306="Infantil 45kg",3,IF(Atletas!D306="Infantil 48kg",4,IF(Atletas!D306="Infantil 52kg",5,IF(Atletas!D306="Infantil 56kg",6,IF(Atletas!D306="Infantil 60kg",7,IF(Atletas!D306="Juvenil 48kg",8,IF(Atletas!D306="Juvenil 52kg",9,IF(Atletas!D306="Juvenil 56kg",10,IF(Atletas!D306="Juvenil 60kg",11,IF(Atletas!D306="Juvenil 65kg",12,IF(Atletas!D306="Juvenil 70kg",13,IF(Atletas!D306="Juvenil 75kg",14,IF(Atletas!D306="Juvenil 80kg",15,IF(Atletas!D306="Adulto 48kg",16,IF(Atletas!D306="Adulto 52kg",17,IF(Atletas!D306="Adulto 56kg",18,IF(Atletas!D306="Adulto 60kg",19,IF(Atletas!D306="Adulto 65kg",20,IF(Atletas!D306="Adulto 70kg",21,IF(Atletas!D306="Adulto 75kg",22,IF(Atletas!D306="Adulto 80kg",23,IF(Atletas!D306="Adulto 85kg",24,IF(Atletas!D306="Adulto 90kg",25,IF(Atletas!D306="Adulto +90kg",26,""))))))))))))))))))))))))))))</f>
        <v/>
      </c>
      <c r="AO310" s="10" t="str">
        <f>IF(Atletas!E306="","",IF(Atletas!B306="Feminino",100,IF(Atletas!B306="Masculino",200,""))+(IF(Atletas!E306="Juvenil 44kg",1,IF(Atletas!E306="Juvenil 48kg",2,IF(Atletas!E306="Juvenil 52kg",3,IF(Atletas!E306="Juvenil 56kg",4,IF(Atletas!E306="Juvenil 60kg",5,IF(Atletas!E306="Juvenil 65kg",6,IF(Atletas!E306="Juvenil 70kg",7,IF(Atletas!E306="Juvenil 75kg",8,IF(Atletas!E306="Juvenil 82kg",9,IF(Atletas!E306="Juvenil 90kg",10,IF(Atletas!E306="Juvenil 100kg",11,IF(Atletas!E306="Adulto 48kg",12,IF(Atletas!E306="Adulto 52kg",13,IF(Atletas!E306="Adulto 56kg",14,IF(Atletas!E306="Adulto 60kg",15,IF(Atletas!E306="Adulto 65kg",16,IF(Atletas!E306="Adulto 70kg",17,IF(Atletas!E306="Adulto 75kg",18,IF(Atletas!E306="Adulto 82kg",19,IF(Atletas!E306="Adulto 90kg",20,IF(Atletas!E306="Adulto 100kg",21,IF(Atletas!E306="Adulto +100kg",22,""))))))))))))))))))))))))</f>
        <v/>
      </c>
      <c r="AT310" s="10" t="str">
        <f>IF(Atletas!F306="","",IF(Atletas!B306="Feminino",100,IF(Atletas!B306="Masculino",200,""))+(IF(Atletas!F306="Adulto 48kg",1,IF(Atletas!F306="Adulto 56kg",2,IF(Atletas!F306="Adulto 65kg",3,IF(Atletas!F306="Adulto 75kg",4,IF(Atletas!F306="Adulto +75kg",5,IF(Atletas!F306="Adulto 52kg",6,IF(Atletas!F306="Adulto 60kg",7,IF(Atletas!F306="Adulto 70kg",8,IF(Atletas!F306="Adulto 80kg",9,IF(Atletas!F306="Adulto 90kg",10,IF(Atletas!F306="Adulto +90kg",11,"")))))))))))))</f>
        <v/>
      </c>
      <c r="AY310" s="46" t="str">
        <f>IF(Atletas!G306="","",IF(Atletas!B306="Feminino",100,IF(Atletas!B306="Masculino",200,""))+(IF(Atletas!G306="Changquan Mirim",1,IF(Atletas!G306="Nanquan Mirim",2,IF(Atletas!G306="Taijiquan Mirim",3,IF(Atletas!G306="Changquan Grupo C",4,IF(Atletas!G306="Nanquan Grupo C",5,IF(Atletas!G306="Taijiquan Grupo C",6,IF(Atletas!G306="Changquan Grupo B",7,IF(Atletas!G306="Nanquan Grupo B",8,IF(Atletas!G306="Taijiquan Grupo B",9,IF(Atletas!G306="Changquan Grupo A",10,IF(Atletas!G306="Nanquan Grupo A",11,IF(Atletas!G306="Taijiquan Grupo A",12,IF(Atletas!G306="Changquan Opcional",13,IF(Atletas!G306="Nanquan Opcional",14,IF(Atletas!G306="Taijiquan Opcional",15,IF(Atletas!G306="Changquan Adulto",16,IF(Atletas!G306="Nanquan Adulto",17,IF(Atletas!G306="Taijiquan Adulto",18,""))))))))))))))))))))</f>
        <v/>
      </c>
      <c r="AZ310" s="46" t="str">
        <f>IF(Atletas!H306="","",IF(Atletas!B306="Feminino",100,IF(Atletas!B306="Masculino",200,""))+(IF(Atletas!H306="Daoshu Mirim",19,IF(Atletas!H306="Jianshu Mirim",20,IF(Atletas!H306="Nandao Mirim",21,IF(Atletas!H306="Taijijian Mirim",22,IF(Atletas!H306="Daoshu Grupo C",23,IF(Atletas!H306="Jianshu Grupo C",24,IF(Atletas!H306="Nandao Grupo C",25,IF(Atletas!H306="Taijijian Grupo C",26,IF(Atletas!H306="Daoshu Grupo B",27,IF(Atletas!H306="Jianshu Grupo B",28,IF(Atletas!H306="Nandao Grupo B",29,IF(Atletas!H306="Taijijian Grupo B",30,IF(Atletas!H306="Daoshu Grupo A",31,IF(Atletas!H306="Jianshu Grupo A",32,IF(Atletas!H306="Nandao Grupo A",33,IF(Atletas!H306="Taijijian Grupo A",34,IF(Atletas!H306="Daoshu Opcional",35,IF(Atletas!H306="Jianshu Opcional",36,IF(Atletas!H306="Nandao Opcional",37,IF(Atletas!H306="Taijijian Opcional",38,IF(Atletas!H306="Daoshu Adulto",39,IF(Atletas!H306="Jianshu Adulto",40,IF(Atletas!H306="Nandao Adulto",41,IF(Atletas!H306="Taijijian Adulto",42,""))))))))))))))))))))))))))</f>
        <v/>
      </c>
      <c r="BA310" s="46" t="str">
        <f>IF(Atletas!I306="","",IF(Atletas!B306="Feminino",100,IF(Atletas!B306="Masculino",200,""))+(IF(Atletas!I306="Gunshu Mirim",43,IF(Atletas!I306="Qiangshu Mirim",44,IF(Atletas!I306="Nangun Mirim",45,IF(Atletas!I306="Gunshu Grupo C",46,IF(Atletas!I306="Qiangshu Grupo C",47,IF(Atletas!I306="Nangun Grupo C",48,IF(Atletas!I306="Gunshu Grupo B",49,IF(Atletas!I306="Qiangshu Grupo B",50,IF(Atletas!I306="Nangun Grupo B",51,IF(Atletas!I306="Gunshu Grupo A",52,IF(Atletas!I306="Qiangshu Grupo A",53,IF(Atletas!I306="Nangun Grupo A",54,IF(Atletas!I306="Gunshu Opcional",55,IF(Atletas!I306="Qiangshu Opcional",56,IF(Atletas!I306="Nangun Opcional",57,IF(Atletas!I306="Gunshu Adulto",58,IF(Atletas!I306="Qiangshu Adulto",59,IF(Atletas!I306="Nangun Adulto",60,""))))))))))))))))))))</f>
        <v/>
      </c>
      <c r="BF310" s="52" t="str">
        <f>IF(Atletas!J306="","",IF(Atletas!B306="Feminino",100,IF(Atletas!B306="Masculino",200,""))+(IF(Atletas!J306="Equipe 1 Grupo B",1,IF(Atletas!J306="Equipe 2 Grupo B",2,IF(Atletas!J306="Equipe 1 Grupo A",3,IF(Atletas!J306="Equipe 2 Grupo A",4,IF(Atletas!J306="Equipe 1 Adulto",5,IF(Atletas!J306="Equipe 2 Adulto",6,""))))))))</f>
        <v/>
      </c>
      <c r="BK310" s="52" t="str">
        <f>IF(Atletas!K306="","",IF(Atletas!W306&lt;&gt;"",10000,0)+(IF(Atletas!B306="Feminino",1000,IF(Atletas!B306="Masculino",2000,""))+IF(Atletas!K306="Choylayfut A",1,IF(Atletas!K306="Hunggar A",2,IF(Atletas!K306="Wuzuquan A",3,IF(Atletas!K306="Wingchun A",4,IF(Atletas!K306="Outra Mão de Sul A",5,IF(Atletas!K306="Choylayfut B",6,IF(Atletas!K306="Hunggar B",7,IF(Atletas!K306="Wuzuquan B",8,IF(Atletas!K306="Wingchun B",9,IF(Atletas!K306="Outra Mão de Sul B",10,IF(Atletas!K306="Choylayfut C",11,IF(Atletas!K306="Hunggar C",12,IF(Atletas!K306="Wuzuquan C",13,IF(Atletas!K306="Wingchun C",14,IF(Atletas!K306="Outra Mão de Sul C",15,IF(Atletas!K306="Choylayfut D",16,IF(Atletas!K306="Hunggar D",17,IF(Atletas!K306="Wuzuquan D",18,IF(Atletas!K306="Wingchun D",19,IF(Atletas!K306="Outra Mão de Sul D",20,IF(Atletas!K306="Choylayfut E",21,IF(Atletas!K306="Hunggar E",22,IF(Atletas!K306="Wuzuquan E",23,IF(Atletas!K306="Wingchun E",24,IF(Atletas!K306="Outra Mão de Sul E",25,IF(Atletas!K306="Choylayfut F",26,IF(Atletas!K306="Hunggar F",27,IF(Atletas!K306="Wuzuquan F",28,IF(Atletas!K306="Wingchun F",29,IF(Atletas!K306="Outra Mão de Sul F",30,""))))))))))))))))))))))))))))))))</f>
        <v/>
      </c>
      <c r="BL310" s="52" t="str">
        <f>IF(Atletas!L306="","",IF(Atletas!W306&lt;&gt;"",10000,0)+(IF(Atletas!B306="Feminino",1000,IF(Atletas!B306="Masculino",2000,""))+(IF(Atletas!L306="Chaquan A",101,IF(Atletas!L306="Emeiquan A",102,IF(Atletas!L306="Fanziquan A",103,IF(Atletas!L306="Huaquan A",104,IF(Atletas!L306="Hongquan A",105,IF(Atletas!L306="Paochui A",106,IF(Atletas!L306="Piguaquan A",107,IF(Atletas!L306="Shaolinquan A",108,IF(Atletas!L306="Tanglangquan A",109,IF(Atletas!L306="Yinzhaophai A",110,IF(Atletas!L306="Tongbeiquan A",111,IF(Atletas!L306="Wudangquan A",112,IF(Atletas!L306="Outros Estilos A",113,IF(Atletas!L306="Chaquan B",114,IF(Atletas!L306="Emeiquan B",115,IF(Atletas!L306="Fanziquan B",116,IF(Atletas!L306="Huaquan B",117,IF(Atletas!L306="Hongquan B",118,IF(Atletas!L306="Paochui B",119,IF(Atletas!L306="Piguaquan B",120,IF(Atletas!L306="Shaolinquan B",121,IF(Atletas!L306="Tanglangquan B",122,IF(Atletas!L306="Yinzhaophai B",123,IF(Atletas!L306="Tongbeiquan B",124,IF(Atletas!L306="Wudangquan B",125,IF(Atletas!L306="Outros Estilos B",126,IF(Atletas!L306="Chaquan C",127,IF(Atletas!L306="Emeiquan C",128,IF(Atletas!L306="Fanziquan C",129,IF(Atletas!L306="Huaquan C",130,IF(Atletas!L306="Hongquan C",131,IF(Atletas!L306="Paochui C",132,IF(Atletas!L306="Piguaquan C",133,IF(Atletas!L306="Shaolinquan C",134,IF(Atletas!L306="Tanglangquan C",135,IF(Atletas!L306="Yinzhaophai C",136,IF(Atletas!L306="Tongbeiquan C",137,IF(Atletas!L306="Wudangquan C",138,IF(Atletas!L306="Outros Estilos C",139,0))))))))))))))))))))))))))))))))))))))))))</f>
        <v/>
      </c>
      <c r="BM310" s="52" t="str">
        <f>IF(Atletas!L306="","",IF(Atletas!W306&lt;&gt;"",10000,0)+(IF(Atletas!B306="Feminino",1000,IF(Atletas!B306="Masculino",2000,""))+(IF(Atletas!L306="Chaquan D",140,IF(Atletas!L306="Emeiquan D",141,IF(Atletas!L306="Fanziquan D",142,IF(Atletas!L306="Huaquan D",143,IF(Atletas!L306="Hongquan D",144,IF(Atletas!L306="Paochui D",145,IF(Atletas!L306="Piguaquan D",146,IF(Atletas!L306="Shaolinquan D",147,IF(Atletas!L306="Tanglangquan D",148,IF(Atletas!L306="Yinzhaophai D",149,IF(Atletas!L306="Tongbeiquan D",150,IF(Atletas!L306="Wudangquan D",151,IF(Atletas!L306="Outros Estilos D",152,IF(Atletas!L306="Chaquan E",153,IF(Atletas!L306="Emeiquan E",154,IF(Atletas!L306="Fanziquan E",155,IF(Atletas!L306="Huaquan E",156,IF(Atletas!L306="Hongquan E",157,IF(Atletas!L306="Paochui E",158,IF(Atletas!L306="Piguaquan E",159,IF(Atletas!L306="Shaolinquan E",160,IF(Atletas!L306="Tanglangquan E",161,IF(Atletas!L306="Yinzhaophai E",162,IF(Atletas!L306="Tongbeiquan E",163,IF(Atletas!L306="Wudangquan E",164,IF(Atletas!L306="Outros Estilos E",165,IF(Atletas!L306="Chaquan F",166,IF(Atletas!L306="Emeiquan F",167,IF(Atletas!L306="Fanziquan F",168,IF(Atletas!L306="Huaquan F",169,IF(Atletas!L306="Hongquan F",170,IF(Atletas!L306="Paochui F",171,IF(Atletas!L306="Piguaquan F",172,IF(Atletas!L306="Shaolinquan F",173,IF(Atletas!L306="Tanglangquan F",174,IF(Atletas!L306="Yinzhaophai F",175,IF(Atletas!L306="Tongbeiquan F",176,IF(Atletas!L306="Wudangquan F",177,IF(Atletas!L306="Outros Estilos F",178,0))))))))))))))))))))))))))))))))))))))))))</f>
        <v/>
      </c>
      <c r="BN310" s="52" t="str">
        <f>IF(Atletas!M306="","",IF(Atletas!W306&lt;&gt;"",10000,0)+(IF(Atletas!B306="Feminino",1000,IF(Atletas!B306="Masculino",2000,""))+(IF(Atletas!M306="Ditangquan A",201,IF(Atletas!M306="Houquan A",202,IF(Atletas!M306="Zuiquan A",203,IF(Atletas!M306="Ditangquan B",204,IF(Atletas!M306="Houquan B",205,IF(Atletas!M306="Zuiquan B",206,IF(Atletas!M306="Ditangquan C",207,IF(Atletas!M306="Houquan C",208,IF(Atletas!M306="Zuiquan C",209,IF(Atletas!M306="Ditangquan D",210,IF(Atletas!M306="Houquan D",211,IF(Atletas!M306="Zuiquan D",212,IF(Atletas!M306="Ditangquan E",213,IF(Atletas!M306="Houquan E",214,IF(Atletas!M306="Zuiquan E",215,IF(Atletas!M306="Ditangquan F",216,IF(Atletas!M306="Houquan F",217,IF(Atletas!M306="Zuiquan F",218,"")))))))))))))))))))))</f>
        <v/>
      </c>
      <c r="BO310" s="52" t="str">
        <f>IF(Atletas!N306="","",IF(Atletas!W306&lt;&gt;"",10000,0)+IF(Atletas!B306="Feminino",1000,IF(Atletas!B306="Masculino",2000,""))+IF(Atletas!N306="Yang A",301,IF(Atletas!N306="Chen A",30,IF(Atletas!N306="Sun A",303,IF(Atletas!N306="Wu A",304,IF(Atletas!N306="Wu-Hao A",305,IF(Atletas!N306="Outro Taijiquan A",306,IF(Atletas!N306="Yang B",307,IF(Atletas!N306="Chen B",308,IF(Atletas!N306="Sun B",309,IF(Atletas!N306="Wu B",310,IF(Atletas!N306="Wu-Hao B",311,IF(Atletas!N306="Outro Taijiquan B",312,IF(Atletas!N306="Yang C",313,IF(Atletas!N306="Chen C",314,IF(Atletas!N306="Sun C",315,IF(Atletas!N306="Wu C",316,IF(Atletas!N306="Wu-Hao C",317,IF(Atletas!N306="Outro Taijiquan C",318,IF(Atletas!N306="Yang D",319,IF(Atletas!N306="Chen D",320,IF(Atletas!N306="Sun D",321,IF(Atletas!N306="Wu D",322,IF(Atletas!N306="Wu-Hao D",323,IF(Atletas!N306="Outro Taijiquan D",324,IF(Atletas!N306="Yang E",325,IF(Atletas!N306="Chen E",326,IF(Atletas!N306="Sun E",327,IF(Atletas!N306="Wu E",328,IF(Atletas!N306="Wu-Hao E",329,IF(Atletas!N306="Outro Taijiquan E",330,IF(Atletas!N306="Yang F",331,IF(Atletas!N306="Chen F",332,IF(Atletas!N306="Sun F",333,IF(Atletas!N306="Wu F",334,IF(Atletas!N306="Wu-Hao F",335,IF(Atletas!N306="Outro Taijiquan F",336,"")))))))))))))))))))))))))))))))))))))</f>
        <v/>
      </c>
      <c r="BP310" s="52" t="str">
        <f>IF(Atletas!O306="","",IF(Atletas!W306&lt;&gt;"",10000,0)+IF(Atletas!B306="Feminino",1000,IF(Atletas!B306="Masculino",2000,""))+IF(OR(Atletas!O306="Yang 26 A",Atletas!O306="Yang 40 A"),401,IF(OR(Atletas!O306="Chen 25 A",Atletas!O306="Chen 36 A",Atletas!O306="Chen 56 A"),402,IF(Atletas!O306="Sun 73 A",403,IF(Atletas!O306="Wu 45 A",404,IF(Atletas!O306="Wu-Hao 46 A",405,IF(OR(Atletas!O306="Taijiquan 16 A",Atletas!O306="Taijiquan 24 A",Atletas!O306="Taijiquan 32 A",Atletas!O306="Taijiquan 42 A"),406,IF(OR(Atletas!O306="Yang 26 B",Atletas!O306="Yang 40 B"),407,IF(OR(Atletas!O306="Chen 25 B",Atletas!O306="Chen 36 B",Atletas!O306="Chen 56 B"),408,IF(Atletas!O306="Sun 73 B",409,IF(Atletas!O306="Wu 45 B",410,IF(Atletas!O306="Wu-Hao 46 B",411,IF(OR(Atletas!O306="Taijiquan 16 B",Atletas!O306="Taijiquan 24 B",Atletas!O306="Taijiquan 32 B",Atletas!O306="Taijiquan 42 B"),412,IF(OR(Atletas!O306="Yang 26 C",Atletas!O306="Yang 40 C"),413,IF(OR(Atletas!O306="Chen 25 C",Atletas!O306="Chen 36 C",Atletas!O306="Chen 56 C"),414,IF(Atletas!O306="Sun 73 C",415,IF(Atletas!O306="Wu 45 C",416,IF(Atletas!O306="Wu-Hao 46 C",417,IF(OR(Atletas!O306="Taijiquan 16 C",Atletas!O306="Taijiquan 24 C",Atletas!O306="Taijiquan 32 C",Atletas!O306="Taijiquan 42 C"),418,0)))))))))))))))))))</f>
        <v/>
      </c>
      <c r="BQ310" s="52" t="str">
        <f>IF(Atletas!O306="","",IF(Atletas!W306&lt;&gt;"",10000,0)+IF(Atletas!B306="Feminino",1000,IF(Atletas!B306="Masculino",2000,""))+IF(OR(Atletas!O306="Yang 26 D",Atletas!O306="Yang 40 D"),419,IF(OR(Atletas!O306="Chen 25 D",Atletas!O306="Chen 36 D",Atletas!O306="Chen 56 D"),420,IF(Atletas!O306="Sun 73 D",421,IF(Atletas!O306="Wu 45 D",422,IF(Atletas!O306="Wu-Hao 46 D",423,IF(OR(Atletas!O306="Taijiquan 16 D",Atletas!O306="Taijiquan 24 D",Atletas!O306="Taijiquan 32 D",Atletas!O306="Taijiquan 42 D"),424,IF(OR(Atletas!O306="Yang 26 E",Atletas!O306="Yang 40 E"),425,IF(OR(Atletas!O306="Chen 25 E",Atletas!O306="Chen 36 E",Atletas!O306="Chen 56 E"),426,IF(Atletas!O306="Sun 73 E",427,IF(Atletas!O306="Wu 45 E",428,IF(Atletas!O306="Wu-Hao 46 E",429,IF(OR(Atletas!O306="Taijiquan 16 E",Atletas!O306="Taijiquan 24 E",Atletas!O306="Taijiquan 32 E",Atletas!O306="Taijiquan 42 E"),430,IF(OR(Atletas!O306="Yang 26 F",Atletas!O306="Yang 40 F"),431,IF(OR(Atletas!O306="Chen 25 F",Atletas!O306="Chen 36 F",Atletas!O306="Chen 56 F"),432,IF(Atletas!O306="Sun 73 F",433,IF(Atletas!O306="Wu 45 F",434,IF(Atletas!O306="Wu-Hao 46 F",435,IF(OR(Atletas!O306="Taijiquan 16 F",Atletas!O306="Taijiquan 24 F",Atletas!O306="Taijiquan 32 F",Atletas!O306="Taijiquan 42 F"),436,0)))))))))))))))))))</f>
        <v/>
      </c>
      <c r="BR310" s="52" t="str">
        <f>IF(Atletas!P306="","",IF(Atletas!W306&lt;&gt;"",10000,0)+IF(Atletas!B306="Feminino",1000,IF(Atletas!B306="Masculino",2000,""))+IF(Atletas!P306="Xingyiquan A",501,IF(Atletas!P306="Baguazhang A",502,IF(Atletas!P306="Outro Estilo Interno A",503,IF(Atletas!P306="Xingyiquan B",504,IF(Atletas!P306="Baguazhang B",505,IF(Atletas!P306="Outro Estilo Interno B",506,IF(Atletas!P306="Xingyiquan C",507,IF(Atletas!P306="Baguazhang C",508,IF(Atletas!P306="Outro Estilo Interno C",509,IF(Atletas!P306="Xingyiquan D",510,IF(Atletas!P306="Baguazhang D",511,IF(Atletas!P306="Outro Estilo Interno D",512,IF(Atletas!P306="Xingyiquan E",513,IF(Atletas!P306="Baguazhang E",514,IF(Atletas!P306="Outro Estilo Interno E",515,IF(Atletas!P306="Xingyiquan F",516,IF(Atletas!P306="Baguazhang F",517,IF(Atletas!P306="Outro Estilo Interno F",518, "")))))))))))))))))))</f>
        <v/>
      </c>
      <c r="BS310" s="52" t="str">
        <f>IF(Atletas!Q306="","",IF(Atletas!W306&lt;&gt;"",10000,0)+IF(Atletas!B306="Feminino",1000,IF(Atletas!B306="Masculino",2000,""))+IF(Atletas!Q306="Dao A",601,IF(Atletas!Q306="Jian A",602,IF(Atletas!Q306="Bishou A",603,IF(Atletas!Q306="Shan A",604,IF(Atletas!Q306="Outra Arma Curta A",605,IF(Atletas!Q306="Dao B",606,IF(Atletas!Q306="Jian B",607,IF(Atletas!Q306="Bishou B",608,IF(Atletas!Q306="Shan B",609,IF(Atletas!Q306="Outra Arma Curta B",610,IF(Atletas!Q306="Dao C",611,IF(Atletas!Q306="Jian C",612,IF(Atletas!Q306="Bishou C",613,IF(Atletas!Q306="Shan C",614,IF(Atletas!Q306="Outra Arma Curta C",615,IF(Atletas!Q306="Dao D",616,IF(Atletas!Q306="Jian D",617,IF(Atletas!Q306="Bishou D",618,IF(Atletas!Q306="Shan D",619,IF(Atletas!Q306="Outra Arma Curta D",620,IF(Atletas!Q306="Dao E",621,IF(Atletas!Q306="Jian E",622,IF(Atletas!Q306="Bishou E",623,IF(Atletas!Q306="Shan E",624,IF(Atletas!Q306="Outra Arma Curta E",625,IF(Atletas!Q306="Dao F",626,IF(Atletas!Q306="Jian F",627,IF(Atletas!Q306="Bishou F",628,IF(Atletas!Q306="Shan F",629,IF(Atletas!Q306="Outra Arma Curta F",630, "")))))))))))))))))))))))))))))))</f>
        <v/>
      </c>
      <c r="BT310" s="52" t="str">
        <f>IF(Atletas!R306="","",IF(Atletas!W306&lt;&gt;"",10000,0)+IF(Atletas!B306="Feminino",1000,IF(Atletas!B306="Masculino",2000,""))+IF(Atletas!R306="Gun A",701,IF(Atletas!R306="Qiang A",702,IF(Atletas!R306="Pudao / Guandao A",703,IF(Atletas!R306="Outra Arma Longa A",704,IF(Atletas!R306="Gun B",705,IF(Atletas!R306="Qiang B",706,IF(Atletas!R306="Pudao / Guandao B",707,IF(Atletas!R306="Outra Arma Longa B",708,IF(Atletas!R306="Gun C",709,IF(Atletas!R306="Qiang C",710,IF(Atletas!R306="Pudao / Guandao C",711,IF(Atletas!R306="Outra Arma Longa C",712,IF(Atletas!R306="Gun D",713,IF(Atletas!R306="Qiang D",714,IF(Atletas!R306="Pudao / Guandao D",715,IF(Atletas!R306="Outra Arma Longa D",716,IF(Atletas!R306="Gun E",717,IF(Atletas!R306="Qiang E",718,IF(Atletas!R306="Pudao / Guandao E",719,IF(Atletas!R306="Outra Arma Longa E",720,IF(Atletas!R306="Gun F",721,IF(Atletas!R306="Qiang F",722,IF(Atletas!R306="Pudao / Guandao F",723,IF(Atletas!R306="Outra Arma Longa F",724,"")))))))))))))))))))))))))</f>
        <v/>
      </c>
      <c r="BU310" s="52" t="str">
        <f>IF(Atletas!S306="","",IF(Atletas!W306&lt;&gt;"",10000,0)+IF(Atletas!B306="Feminino",1000,IF(Atletas!B306="Masculino",2000,""))+IF(Atletas!S306="Arma Dupla A",801,IF(Atletas!S306="Arma Maleável A",802,IF(Atletas!S306="Arma Dupla B",803,IF(Atletas!S306="Arma Maleável B",804,IF(Atletas!S306="Arma Dupla C",805,IF(Atletas!S306="Arma Maleável C",806,IF(Atletas!S306="Arma Dupla D",807,IF(Atletas!S306="Arma Maleável D",808,IF(Atletas!S306="Arma Dupla E",809,IF(Atletas!S306="Arma Maleável E",810,IF(Atletas!S306="Arma Dupla F",811,IF(Atletas!S306="Arma Maleável F",812, "")))))))))))))</f>
        <v/>
      </c>
      <c r="BV310" s="52" t="str">
        <f>IF(Atletas!T306="","",IF(Atletas!W306&lt;&gt;"",10000,0)+IF(Atletas!B306="Feminino",1000,IF(Atletas!B306="Masculino",2000,""))+IF(Atletas!T306="Taijijian Yang A",901,IF(Atletas!T306="Taijijian Chen A",902,IF(Atletas!T306="Taijijian Sun A",903,IF(Atletas!T306="Taijijian Wu A",904,IF(Atletas!T306="Taijijian Wu-Hao A",905,IF(Atletas!T306="Taijijian 32 A",906,IF(Atletas!T306="Taijijian 42 A",907,IF(Atletas!T306="Taijijian Yang B",908,IF(Atletas!T306="Taijijian Chen B",909,IF(Atletas!T306="Taijijian Sun B",910,IF(Atletas!T306="Taijijian Wu B",911,IF(Atletas!T306="Taijijian Wu-Hao B",912,IF(Atletas!T306="Taijijian 32 B",913,IF(Atletas!T306="Taijijian 42 B",914,IF(Atletas!T306="Taijijian Yang C",915,IF(Atletas!T306="Taijijian Chen C",916,IF(Atletas!T306="Taijijian Sun C",917,IF(Atletas!T306="Taijijian Wu C",918,IF(Atletas!T306="Taijijian Wu-Hao C",919,IF(Atletas!T306="Taijijian 32 C",920,IF(Atletas!T306="Taijijian 42 C",921,IF(Atletas!T306="Taijijian Yang D",922,IF(Atletas!T306="Taijijian Chen D",923,IF(Atletas!T306="Taijijian Sun D",924,IF(Atletas!T306="Taijijian Wu D",925,IF(Atletas!T306="Taijijian Wu-Hao D",926,IF(Atletas!T306="Taijijian 32 D",927,IF(Atletas!T306="Taijijian 42 D",928,IF(Atletas!T306="Taijijian Yang E",929,IF(Atletas!T306="Taijijian Chen E",930,IF(Atletas!T306="Taijijian Sun E",931,IF(Atletas!T306="Taijijian Wu E",932,IF(Atletas!T306="Taijijian Wu-Hao E",933,IF(Atletas!T306="Taijijian 32 E",934,IF(Atletas!T306="Taijijian 42 E",935,IF(Atletas!T306="Taijijian Yang F",936,IF(Atletas!T306="Taijijian Chen F",937,IF(Atletas!T306="Taijijian Sun F",938,IF(Atletas!T306="Taijijian Wu F",939,IF(Atletas!T306="Taijijian Wu-Hao F",940,IF(Atletas!T306="Taijijian 32 F",941,IF(Atletas!T306="Taijijian 42 F",942,"")))))))))))))))))))))))))))))))))))))))))))</f>
        <v/>
      </c>
      <c r="BW310" s="52" t="str">
        <f>IF(Atletas!U306="","",IF(Atletas!W306&lt;&gt;"",10000,0)+IF(Atletas!B306="Feminino",1000,IF(Atletas!B306="Masculino",2000,""))+IF(Atletas!T306="Taijijian 42 F",942,IF(Atletas!U306="Taijidao A",943,IF(Atletas!U306="Taijishan A",944,IF(Atletas!U306="Taijiqiang A",945,IF(Atletas!U306="Taijidao B",946,IF(Atletas!U306="Taijishan B",947,IF(Atletas!U306="Taijiqiang B",948,IF(Atletas!U306="Taijidao C",949,IF(Atletas!U306="Taijishan C",950,IF(Atletas!U306="Taijiqiang C",951,IF(Atletas!U306="Taijidao D",952,IF(Atletas!U306="Taijishan D",953,IF(Atletas!U306="Taijiqiang D",954,IF(Atletas!U306="Taijidao E",955,IF(Atletas!U306="Taijishan E",956,IF(Atletas!U306="Taijiqiang E",957,IF(Atletas!U306="Taijidao F",958,IF(Atletas!U306="Taijishan F",959,IF(Atletas!U306="Taijiqiang F",960))))))))))))))))))))</f>
        <v/>
      </c>
      <c r="BX310" s="72" t="str">
        <f>IF(BY310&lt;&gt;"","Taijijian Wu D","")</f>
        <v/>
      </c>
      <c r="BY310" s="72" t="str">
        <f>IF(COUNTIF(BK:BW,1925)&gt;0,COUNTIF(BK:BW,1925),"")</f>
        <v/>
      </c>
      <c r="BZ310" s="72" t="str">
        <f>IF(CA310&lt;&gt;"","Taijijian Wu D","")</f>
        <v/>
      </c>
      <c r="CA310" s="72" t="str">
        <f>IF(COUNTIF(BK:BW,2925)&gt;0,COUNTIF(BK:BW,2925),"")</f>
        <v/>
      </c>
      <c r="CB310" s="72" t="str">
        <f>IF(CC310&lt;&gt;"","Bishou F","")</f>
        <v/>
      </c>
      <c r="CC310" s="64" t="str">
        <f>IF(COUNTIF(BK:BW,11628)&gt;0,COUNTIF(BK:BW,11628),"")</f>
        <v/>
      </c>
      <c r="CD310" s="64" t="str">
        <f>IF(CE310&lt;&gt;"","Bishou F","")</f>
        <v/>
      </c>
      <c r="CE310" s="64" t="str">
        <f>IF(COUNTIF(BK:BW,12628)&gt;0,COUNTIF(BK:BW,12628),"")</f>
        <v/>
      </c>
      <c r="CF310" s="52" t="str">
        <f xml:space="preserve"> IF(Atletas!V306="","",IF(Atletas!V306="Duilian de Mãos AB - Equipe 1",1,IF(Atletas!V306="Duilian de Mãos AB - Equipe 2",2,IF(Atletas!V306="Duilian de Armas AB - Equipe 1",3,IF(Atletas!V306="Duilian de Armas AB - Equipe 2",4,IF(Atletas!V306="Duilian de Tuishou - Equipe 1",5,IF(Atletas!V306="Duilian de Tuishou - Equipe 2",6,IF(Atletas!V306="Grupo Externo AB - Equipe 1",7,IF(Atletas!V306="Grupo Externo AB - Equipe 2",8,IF(Atletas!V306="Grupo Interno AB - Equipe 1",9,IF(Atletas!V306="Grupo Interno AB - Equipe 2",10,IF(Atletas!V306="Duilian de Mãos CD - Equipe 1",11,IF(Atletas!V306="Duilian de Mãos CD - Equipe 2",12,IF(Atletas!V306="Duilian de Armas CD - Equipe 1",13,IF(Atletas!V306="Duilian de Armas CD - Equipe 2",14,IF(Atletas!V306="Duilian de Tuishou - Equipe 1",15,IF(Atletas!V306="Duilian de Tuishou - Equipe 2",16,IF(Atletas!V306="Grupo Externo CDEF - Equipe 1",17,IF(Atletas!V306="Grupo Externo CDEF - Equipe 2",18,IF(Atletas!V306="Grupo Interno CDEF - Equipe 1",19,IF(Atletas!V306="Grupo Interno CDEF - Equipe 2",20,IF(Atletas!V306="Duilian de Mãos EF - Equipe 1",21,IF(Atletas!V306="Duilian de Mãos EF - Equipe 2",22,IF(Atletas!V306="Duilian de Armas EF - Equipe 1",23,IF(Atletas!V306="Duilian de Armas EF - Equipe 2",24,IF(Atletas!V306="Duilian de Tuishou - Equipe 1",25,IF(Atletas!V306="Duilian de Tuishou - Equipe 2",26,"")))))))))))))))))))))))))))</f>
        <v/>
      </c>
    </row>
    <row r="311" spans="36:84">
      <c r="AJ311" s="46" t="str">
        <f>IF(Atletas!D307="","",IF(Atletas!B307="Feminino",100,IF(Atletas!B307="Masculino",200,""))+(IF(Atletas!D307="Infantil 39kg",1,IF(Atletas!D307="Infantil 42kg",2,IF(Atletas!D307="Infantil 45kg",3,IF(Atletas!D307="Infantil 48kg",4,IF(Atletas!D307="Infantil 52kg",5,IF(Atletas!D307="Infantil 56kg",6,IF(Atletas!D307="Infantil 60kg",7,IF(Atletas!D307="Juvenil 48kg",8,IF(Atletas!D307="Juvenil 52kg",9,IF(Atletas!D307="Juvenil 56kg",10,IF(Atletas!D307="Juvenil 60kg",11,IF(Atletas!D307="Juvenil 65kg",12,IF(Atletas!D307="Juvenil 70kg",13,IF(Atletas!D307="Juvenil 75kg",14,IF(Atletas!D307="Juvenil 80kg",15,IF(Atletas!D307="Adulto 48kg",16,IF(Atletas!D307="Adulto 52kg",17,IF(Atletas!D307="Adulto 56kg",18,IF(Atletas!D307="Adulto 60kg",19,IF(Atletas!D307="Adulto 65kg",20,IF(Atletas!D307="Adulto 70kg",21,IF(Atletas!D307="Adulto 75kg",22,IF(Atletas!D307="Adulto 80kg",23,IF(Atletas!D307="Adulto 85kg",24,IF(Atletas!D307="Adulto 90kg",25,IF(Atletas!D307="Adulto +90kg",26,""))))))))))))))))))))))))))))</f>
        <v/>
      </c>
      <c r="AO311" s="10" t="str">
        <f>IF(Atletas!E307="","",IF(Atletas!B307="Feminino",100,IF(Atletas!B307="Masculino",200,""))+(IF(Atletas!E307="Juvenil 44kg",1,IF(Atletas!E307="Juvenil 48kg",2,IF(Atletas!E307="Juvenil 52kg",3,IF(Atletas!E307="Juvenil 56kg",4,IF(Atletas!E307="Juvenil 60kg",5,IF(Atletas!E307="Juvenil 65kg",6,IF(Atletas!E307="Juvenil 70kg",7,IF(Atletas!E307="Juvenil 75kg",8,IF(Atletas!E307="Juvenil 82kg",9,IF(Atletas!E307="Juvenil 90kg",10,IF(Atletas!E307="Juvenil 100kg",11,IF(Atletas!E307="Adulto 48kg",12,IF(Atletas!E307="Adulto 52kg",13,IF(Atletas!E307="Adulto 56kg",14,IF(Atletas!E307="Adulto 60kg",15,IF(Atletas!E307="Adulto 65kg",16,IF(Atletas!E307="Adulto 70kg",17,IF(Atletas!E307="Adulto 75kg",18,IF(Atletas!E307="Adulto 82kg",19,IF(Atletas!E307="Adulto 90kg",20,IF(Atletas!E307="Adulto 100kg",21,IF(Atletas!E307="Adulto +100kg",22,""))))))))))))))))))))))))</f>
        <v/>
      </c>
      <c r="AT311" s="10" t="str">
        <f>IF(Atletas!F307="","",IF(Atletas!B307="Feminino",100,IF(Atletas!B307="Masculino",200,""))+(IF(Atletas!F307="Adulto 48kg",1,IF(Atletas!F307="Adulto 56kg",2,IF(Atletas!F307="Adulto 65kg",3,IF(Atletas!F307="Adulto 75kg",4,IF(Atletas!F307="Adulto +75kg",5,IF(Atletas!F307="Adulto 52kg",6,IF(Atletas!F307="Adulto 60kg",7,IF(Atletas!F307="Adulto 70kg",8,IF(Atletas!F307="Adulto 80kg",9,IF(Atletas!F307="Adulto 90kg",10,IF(Atletas!F307="Adulto +90kg",11,"")))))))))))))</f>
        <v/>
      </c>
      <c r="AY311" s="46" t="str">
        <f>IF(Atletas!G307="","",IF(Atletas!B307="Feminino",100,IF(Atletas!B307="Masculino",200,""))+(IF(Atletas!G307="Changquan Mirim",1,IF(Atletas!G307="Nanquan Mirim",2,IF(Atletas!G307="Taijiquan Mirim",3,IF(Atletas!G307="Changquan Grupo C",4,IF(Atletas!G307="Nanquan Grupo C",5,IF(Atletas!G307="Taijiquan Grupo C",6,IF(Atletas!G307="Changquan Grupo B",7,IF(Atletas!G307="Nanquan Grupo B",8,IF(Atletas!G307="Taijiquan Grupo B",9,IF(Atletas!G307="Changquan Grupo A",10,IF(Atletas!G307="Nanquan Grupo A",11,IF(Atletas!G307="Taijiquan Grupo A",12,IF(Atletas!G307="Changquan Opcional",13,IF(Atletas!G307="Nanquan Opcional",14,IF(Atletas!G307="Taijiquan Opcional",15,IF(Atletas!G307="Changquan Adulto",16,IF(Atletas!G307="Nanquan Adulto",17,IF(Atletas!G307="Taijiquan Adulto",18,""))))))))))))))))))))</f>
        <v/>
      </c>
      <c r="AZ311" s="46" t="str">
        <f>IF(Atletas!H307="","",IF(Atletas!B307="Feminino",100,IF(Atletas!B307="Masculino",200,""))+(IF(Atletas!H307="Daoshu Mirim",19,IF(Atletas!H307="Jianshu Mirim",20,IF(Atletas!H307="Nandao Mirim",21,IF(Atletas!H307="Taijijian Mirim",22,IF(Atletas!H307="Daoshu Grupo C",23,IF(Atletas!H307="Jianshu Grupo C",24,IF(Atletas!H307="Nandao Grupo C",25,IF(Atletas!H307="Taijijian Grupo C",26,IF(Atletas!H307="Daoshu Grupo B",27,IF(Atletas!H307="Jianshu Grupo B",28,IF(Atletas!H307="Nandao Grupo B",29,IF(Atletas!H307="Taijijian Grupo B",30,IF(Atletas!H307="Daoshu Grupo A",31,IF(Atletas!H307="Jianshu Grupo A",32,IF(Atletas!H307="Nandao Grupo A",33,IF(Atletas!H307="Taijijian Grupo A",34,IF(Atletas!H307="Daoshu Opcional",35,IF(Atletas!H307="Jianshu Opcional",36,IF(Atletas!H307="Nandao Opcional",37,IF(Atletas!H307="Taijijian Opcional",38,IF(Atletas!H307="Daoshu Adulto",39,IF(Atletas!H307="Jianshu Adulto",40,IF(Atletas!H307="Nandao Adulto",41,IF(Atletas!H307="Taijijian Adulto",42,""))))))))))))))))))))))))))</f>
        <v/>
      </c>
      <c r="BA311" s="46" t="str">
        <f>IF(Atletas!I307="","",IF(Atletas!B307="Feminino",100,IF(Atletas!B307="Masculino",200,""))+(IF(Atletas!I307="Gunshu Mirim",43,IF(Atletas!I307="Qiangshu Mirim",44,IF(Atletas!I307="Nangun Mirim",45,IF(Atletas!I307="Gunshu Grupo C",46,IF(Atletas!I307="Qiangshu Grupo C",47,IF(Atletas!I307="Nangun Grupo C",48,IF(Atletas!I307="Gunshu Grupo B",49,IF(Atletas!I307="Qiangshu Grupo B",50,IF(Atletas!I307="Nangun Grupo B",51,IF(Atletas!I307="Gunshu Grupo A",52,IF(Atletas!I307="Qiangshu Grupo A",53,IF(Atletas!I307="Nangun Grupo A",54,IF(Atletas!I307="Gunshu Opcional",55,IF(Atletas!I307="Qiangshu Opcional",56,IF(Atletas!I307="Nangun Opcional",57,IF(Atletas!I307="Gunshu Adulto",58,IF(Atletas!I307="Qiangshu Adulto",59,IF(Atletas!I307="Nangun Adulto",60,""))))))))))))))))))))</f>
        <v/>
      </c>
      <c r="BF311" s="52" t="str">
        <f>IF(Atletas!J307="","",IF(Atletas!B307="Feminino",100,IF(Atletas!B307="Masculino",200,""))+(IF(Atletas!J307="Equipe 1 Grupo B",1,IF(Atletas!J307="Equipe 2 Grupo B",2,IF(Atletas!J307="Equipe 1 Grupo A",3,IF(Atletas!J307="Equipe 2 Grupo A",4,IF(Atletas!J307="Equipe 1 Adulto",5,IF(Atletas!J307="Equipe 2 Adulto",6,""))))))))</f>
        <v/>
      </c>
      <c r="BK311" s="52" t="str">
        <f>IF(Atletas!K307="","",IF(Atletas!W307&lt;&gt;"",10000,0)+(IF(Atletas!B307="Feminino",1000,IF(Atletas!B307="Masculino",2000,""))+IF(Atletas!K307="Choylayfut A",1,IF(Atletas!K307="Hunggar A",2,IF(Atletas!K307="Wuzuquan A",3,IF(Atletas!K307="Wingchun A",4,IF(Atletas!K307="Outra Mão de Sul A",5,IF(Atletas!K307="Choylayfut B",6,IF(Atletas!K307="Hunggar B",7,IF(Atletas!K307="Wuzuquan B",8,IF(Atletas!K307="Wingchun B",9,IF(Atletas!K307="Outra Mão de Sul B",10,IF(Atletas!K307="Choylayfut C",11,IF(Atletas!K307="Hunggar C",12,IF(Atletas!K307="Wuzuquan C",13,IF(Atletas!K307="Wingchun C",14,IF(Atletas!K307="Outra Mão de Sul C",15,IF(Atletas!K307="Choylayfut D",16,IF(Atletas!K307="Hunggar D",17,IF(Atletas!K307="Wuzuquan D",18,IF(Atletas!K307="Wingchun D",19,IF(Atletas!K307="Outra Mão de Sul D",20,IF(Atletas!K307="Choylayfut E",21,IF(Atletas!K307="Hunggar E",22,IF(Atletas!K307="Wuzuquan E",23,IF(Atletas!K307="Wingchun E",24,IF(Atletas!K307="Outra Mão de Sul E",25,IF(Atletas!K307="Choylayfut F",26,IF(Atletas!K307="Hunggar F",27,IF(Atletas!K307="Wuzuquan F",28,IF(Atletas!K307="Wingchun F",29,IF(Atletas!K307="Outra Mão de Sul F",30,""))))))))))))))))))))))))))))))))</f>
        <v/>
      </c>
      <c r="BL311" s="52" t="str">
        <f>IF(Atletas!L307="","",IF(Atletas!W307&lt;&gt;"",10000,0)+(IF(Atletas!B307="Feminino",1000,IF(Atletas!B307="Masculino",2000,""))+(IF(Atletas!L307="Chaquan A",101,IF(Atletas!L307="Emeiquan A",102,IF(Atletas!L307="Fanziquan A",103,IF(Atletas!L307="Huaquan A",104,IF(Atletas!L307="Hongquan A",105,IF(Atletas!L307="Paochui A",106,IF(Atletas!L307="Piguaquan A",107,IF(Atletas!L307="Shaolinquan A",108,IF(Atletas!L307="Tanglangquan A",109,IF(Atletas!L307="Yinzhaophai A",110,IF(Atletas!L307="Tongbeiquan A",111,IF(Atletas!L307="Wudangquan A",112,IF(Atletas!L307="Outros Estilos A",113,IF(Atletas!L307="Chaquan B",114,IF(Atletas!L307="Emeiquan B",115,IF(Atletas!L307="Fanziquan B",116,IF(Atletas!L307="Huaquan B",117,IF(Atletas!L307="Hongquan B",118,IF(Atletas!L307="Paochui B",119,IF(Atletas!L307="Piguaquan B",120,IF(Atletas!L307="Shaolinquan B",121,IF(Atletas!L307="Tanglangquan B",122,IF(Atletas!L307="Yinzhaophai B",123,IF(Atletas!L307="Tongbeiquan B",124,IF(Atletas!L307="Wudangquan B",125,IF(Atletas!L307="Outros Estilos B",126,IF(Atletas!L307="Chaquan C",127,IF(Atletas!L307="Emeiquan C",128,IF(Atletas!L307="Fanziquan C",129,IF(Atletas!L307="Huaquan C",130,IF(Atletas!L307="Hongquan C",131,IF(Atletas!L307="Paochui C",132,IF(Atletas!L307="Piguaquan C",133,IF(Atletas!L307="Shaolinquan C",134,IF(Atletas!L307="Tanglangquan C",135,IF(Atletas!L307="Yinzhaophai C",136,IF(Atletas!L307="Tongbeiquan C",137,IF(Atletas!L307="Wudangquan C",138,IF(Atletas!L307="Outros Estilos C",139,0))))))))))))))))))))))))))))))))))))))))))</f>
        <v/>
      </c>
      <c r="BM311" s="52" t="str">
        <f>IF(Atletas!L307="","",IF(Atletas!W307&lt;&gt;"",10000,0)+(IF(Atletas!B307="Feminino",1000,IF(Atletas!B307="Masculino",2000,""))+(IF(Atletas!L307="Chaquan D",140,IF(Atletas!L307="Emeiquan D",141,IF(Atletas!L307="Fanziquan D",142,IF(Atletas!L307="Huaquan D",143,IF(Atletas!L307="Hongquan D",144,IF(Atletas!L307="Paochui D",145,IF(Atletas!L307="Piguaquan D",146,IF(Atletas!L307="Shaolinquan D",147,IF(Atletas!L307="Tanglangquan D",148,IF(Atletas!L307="Yinzhaophai D",149,IF(Atletas!L307="Tongbeiquan D",150,IF(Atletas!L307="Wudangquan D",151,IF(Atletas!L307="Outros Estilos D",152,IF(Atletas!L307="Chaquan E",153,IF(Atletas!L307="Emeiquan E",154,IF(Atletas!L307="Fanziquan E",155,IF(Atletas!L307="Huaquan E",156,IF(Atletas!L307="Hongquan E",157,IF(Atletas!L307="Paochui E",158,IF(Atletas!L307="Piguaquan E",159,IF(Atletas!L307="Shaolinquan E",160,IF(Atletas!L307="Tanglangquan E",161,IF(Atletas!L307="Yinzhaophai E",162,IF(Atletas!L307="Tongbeiquan E",163,IF(Atletas!L307="Wudangquan E",164,IF(Atletas!L307="Outros Estilos E",165,IF(Atletas!L307="Chaquan F",166,IF(Atletas!L307="Emeiquan F",167,IF(Atletas!L307="Fanziquan F",168,IF(Atletas!L307="Huaquan F",169,IF(Atletas!L307="Hongquan F",170,IF(Atletas!L307="Paochui F",171,IF(Atletas!L307="Piguaquan F",172,IF(Atletas!L307="Shaolinquan F",173,IF(Atletas!L307="Tanglangquan F",174,IF(Atletas!L307="Yinzhaophai F",175,IF(Atletas!L307="Tongbeiquan F",176,IF(Atletas!L307="Wudangquan F",177,IF(Atletas!L307="Outros Estilos F",178,0))))))))))))))))))))))))))))))))))))))))))</f>
        <v/>
      </c>
      <c r="BN311" s="52" t="str">
        <f>IF(Atletas!M307="","",IF(Atletas!W307&lt;&gt;"",10000,0)+(IF(Atletas!B307="Feminino",1000,IF(Atletas!B307="Masculino",2000,""))+(IF(Atletas!M307="Ditangquan A",201,IF(Atletas!M307="Houquan A",202,IF(Atletas!M307="Zuiquan A",203,IF(Atletas!M307="Ditangquan B",204,IF(Atletas!M307="Houquan B",205,IF(Atletas!M307="Zuiquan B",206,IF(Atletas!M307="Ditangquan C",207,IF(Atletas!M307="Houquan C",208,IF(Atletas!M307="Zuiquan C",209,IF(Atletas!M307="Ditangquan D",210,IF(Atletas!M307="Houquan D",211,IF(Atletas!M307="Zuiquan D",212,IF(Atletas!M307="Ditangquan E",213,IF(Atletas!M307="Houquan E",214,IF(Atletas!M307="Zuiquan E",215,IF(Atletas!M307="Ditangquan F",216,IF(Atletas!M307="Houquan F",217,IF(Atletas!M307="Zuiquan F",218,"")))))))))))))))))))))</f>
        <v/>
      </c>
      <c r="BO311" s="52" t="str">
        <f>IF(Atletas!N307="","",IF(Atletas!W307&lt;&gt;"",10000,0)+IF(Atletas!B307="Feminino",1000,IF(Atletas!B307="Masculino",2000,""))+IF(Atletas!N307="Yang A",301,IF(Atletas!N307="Chen A",30,IF(Atletas!N307="Sun A",303,IF(Atletas!N307="Wu A",304,IF(Atletas!N307="Wu-Hao A",305,IF(Atletas!N307="Outro Taijiquan A",306,IF(Atletas!N307="Yang B",307,IF(Atletas!N307="Chen B",308,IF(Atletas!N307="Sun B",309,IF(Atletas!N307="Wu B",310,IF(Atletas!N307="Wu-Hao B",311,IF(Atletas!N307="Outro Taijiquan B",312,IF(Atletas!N307="Yang C",313,IF(Atletas!N307="Chen C",314,IF(Atletas!N307="Sun C",315,IF(Atletas!N307="Wu C",316,IF(Atletas!N307="Wu-Hao C",317,IF(Atletas!N307="Outro Taijiquan C",318,IF(Atletas!N307="Yang D",319,IF(Atletas!N307="Chen D",320,IF(Atletas!N307="Sun D",321,IF(Atletas!N307="Wu D",322,IF(Atletas!N307="Wu-Hao D",323,IF(Atletas!N307="Outro Taijiquan D",324,IF(Atletas!N307="Yang E",325,IF(Atletas!N307="Chen E",326,IF(Atletas!N307="Sun E",327,IF(Atletas!N307="Wu E",328,IF(Atletas!N307="Wu-Hao E",329,IF(Atletas!N307="Outro Taijiquan E",330,IF(Atletas!N307="Yang F",331,IF(Atletas!N307="Chen F",332,IF(Atletas!N307="Sun F",333,IF(Atletas!N307="Wu F",334,IF(Atletas!N307="Wu-Hao F",335,IF(Atletas!N307="Outro Taijiquan F",336,"")))))))))))))))))))))))))))))))))))))</f>
        <v/>
      </c>
      <c r="BP311" s="52" t="str">
        <f>IF(Atletas!O307="","",IF(Atletas!W307&lt;&gt;"",10000,0)+IF(Atletas!B307="Feminino",1000,IF(Atletas!B307="Masculino",2000,""))+IF(OR(Atletas!O307="Yang 26 A",Atletas!O307="Yang 40 A"),401,IF(OR(Atletas!O307="Chen 25 A",Atletas!O307="Chen 36 A",Atletas!O307="Chen 56 A"),402,IF(Atletas!O307="Sun 73 A",403,IF(Atletas!O307="Wu 45 A",404,IF(Atletas!O307="Wu-Hao 46 A",405,IF(OR(Atletas!O307="Taijiquan 16 A",Atletas!O307="Taijiquan 24 A",Atletas!O307="Taijiquan 32 A",Atletas!O307="Taijiquan 42 A"),406,IF(OR(Atletas!O307="Yang 26 B",Atletas!O307="Yang 40 B"),407,IF(OR(Atletas!O307="Chen 25 B",Atletas!O307="Chen 36 B",Atletas!O307="Chen 56 B"),408,IF(Atletas!O307="Sun 73 B",409,IF(Atletas!O307="Wu 45 B",410,IF(Atletas!O307="Wu-Hao 46 B",411,IF(OR(Atletas!O307="Taijiquan 16 B",Atletas!O307="Taijiquan 24 B",Atletas!O307="Taijiquan 32 B",Atletas!O307="Taijiquan 42 B"),412,IF(OR(Atletas!O307="Yang 26 C",Atletas!O307="Yang 40 C"),413,IF(OR(Atletas!O307="Chen 25 C",Atletas!O307="Chen 36 C",Atletas!O307="Chen 56 C"),414,IF(Atletas!O307="Sun 73 C",415,IF(Atletas!O307="Wu 45 C",416,IF(Atletas!O307="Wu-Hao 46 C",417,IF(OR(Atletas!O307="Taijiquan 16 C",Atletas!O307="Taijiquan 24 C",Atletas!O307="Taijiquan 32 C",Atletas!O307="Taijiquan 42 C"),418,0)))))))))))))))))))</f>
        <v/>
      </c>
      <c r="BQ311" s="52" t="str">
        <f>IF(Atletas!O307="","",IF(Atletas!W307&lt;&gt;"",10000,0)+IF(Atletas!B307="Feminino",1000,IF(Atletas!B307="Masculino",2000,""))+IF(OR(Atletas!O307="Yang 26 D",Atletas!O307="Yang 40 D"),419,IF(OR(Atletas!O307="Chen 25 D",Atletas!O307="Chen 36 D",Atletas!O307="Chen 56 D"),420,IF(Atletas!O307="Sun 73 D",421,IF(Atletas!O307="Wu 45 D",422,IF(Atletas!O307="Wu-Hao 46 D",423,IF(OR(Atletas!O307="Taijiquan 16 D",Atletas!O307="Taijiquan 24 D",Atletas!O307="Taijiquan 32 D",Atletas!O307="Taijiquan 42 D"),424,IF(OR(Atletas!O307="Yang 26 E",Atletas!O307="Yang 40 E"),425,IF(OR(Atletas!O307="Chen 25 E",Atletas!O307="Chen 36 E",Atletas!O307="Chen 56 E"),426,IF(Atletas!O307="Sun 73 E",427,IF(Atletas!O307="Wu 45 E",428,IF(Atletas!O307="Wu-Hao 46 E",429,IF(OR(Atletas!O307="Taijiquan 16 E",Atletas!O307="Taijiquan 24 E",Atletas!O307="Taijiquan 32 E",Atletas!O307="Taijiquan 42 E"),430,IF(OR(Atletas!O307="Yang 26 F",Atletas!O307="Yang 40 F"),431,IF(OR(Atletas!O307="Chen 25 F",Atletas!O307="Chen 36 F",Atletas!O307="Chen 56 F"),432,IF(Atletas!O307="Sun 73 F",433,IF(Atletas!O307="Wu 45 F",434,IF(Atletas!O307="Wu-Hao 46 F",435,IF(OR(Atletas!O307="Taijiquan 16 F",Atletas!O307="Taijiquan 24 F",Atletas!O307="Taijiquan 32 F",Atletas!O307="Taijiquan 42 F"),436,0)))))))))))))))))))</f>
        <v/>
      </c>
      <c r="BR311" s="52" t="str">
        <f>IF(Atletas!P307="","",IF(Atletas!W307&lt;&gt;"",10000,0)+IF(Atletas!B307="Feminino",1000,IF(Atletas!B307="Masculino",2000,""))+IF(Atletas!P307="Xingyiquan A",501,IF(Atletas!P307="Baguazhang A",502,IF(Atletas!P307="Outro Estilo Interno A",503,IF(Atletas!P307="Xingyiquan B",504,IF(Atletas!P307="Baguazhang B",505,IF(Atletas!P307="Outro Estilo Interno B",506,IF(Atletas!P307="Xingyiquan C",507,IF(Atletas!P307="Baguazhang C",508,IF(Atletas!P307="Outro Estilo Interno C",509,IF(Atletas!P307="Xingyiquan D",510,IF(Atletas!P307="Baguazhang D",511,IF(Atletas!P307="Outro Estilo Interno D",512,IF(Atletas!P307="Xingyiquan E",513,IF(Atletas!P307="Baguazhang E",514,IF(Atletas!P307="Outro Estilo Interno E",515,IF(Atletas!P307="Xingyiquan F",516,IF(Atletas!P307="Baguazhang F",517,IF(Atletas!P307="Outro Estilo Interno F",518, "")))))))))))))))))))</f>
        <v/>
      </c>
      <c r="BS311" s="52" t="str">
        <f>IF(Atletas!Q307="","",IF(Atletas!W307&lt;&gt;"",10000,0)+IF(Atletas!B307="Feminino",1000,IF(Atletas!B307="Masculino",2000,""))+IF(Atletas!Q307="Dao A",601,IF(Atletas!Q307="Jian A",602,IF(Atletas!Q307="Bishou A",603,IF(Atletas!Q307="Shan A",604,IF(Atletas!Q307="Outra Arma Curta A",605,IF(Atletas!Q307="Dao B",606,IF(Atletas!Q307="Jian B",607,IF(Atletas!Q307="Bishou B",608,IF(Atletas!Q307="Shan B",609,IF(Atletas!Q307="Outra Arma Curta B",610,IF(Atletas!Q307="Dao C",611,IF(Atletas!Q307="Jian C",612,IF(Atletas!Q307="Bishou C",613,IF(Atletas!Q307="Shan C",614,IF(Atletas!Q307="Outra Arma Curta C",615,IF(Atletas!Q307="Dao D",616,IF(Atletas!Q307="Jian D",617,IF(Atletas!Q307="Bishou D",618,IF(Atletas!Q307="Shan D",619,IF(Atletas!Q307="Outra Arma Curta D",620,IF(Atletas!Q307="Dao E",621,IF(Atletas!Q307="Jian E",622,IF(Atletas!Q307="Bishou E",623,IF(Atletas!Q307="Shan E",624,IF(Atletas!Q307="Outra Arma Curta E",625,IF(Atletas!Q307="Dao F",626,IF(Atletas!Q307="Jian F",627,IF(Atletas!Q307="Bishou F",628,IF(Atletas!Q307="Shan F",629,IF(Atletas!Q307="Outra Arma Curta F",630, "")))))))))))))))))))))))))))))))</f>
        <v/>
      </c>
      <c r="BT311" s="52" t="str">
        <f>IF(Atletas!R307="","",IF(Atletas!W307&lt;&gt;"",10000,0)+IF(Atletas!B307="Feminino",1000,IF(Atletas!B307="Masculino",2000,""))+IF(Atletas!R307="Gun A",701,IF(Atletas!R307="Qiang A",702,IF(Atletas!R307="Pudao / Guandao A",703,IF(Atletas!R307="Outra Arma Longa A",704,IF(Atletas!R307="Gun B",705,IF(Atletas!R307="Qiang B",706,IF(Atletas!R307="Pudao / Guandao B",707,IF(Atletas!R307="Outra Arma Longa B",708,IF(Atletas!R307="Gun C",709,IF(Atletas!R307="Qiang C",710,IF(Atletas!R307="Pudao / Guandao C",711,IF(Atletas!R307="Outra Arma Longa C",712,IF(Atletas!R307="Gun D",713,IF(Atletas!R307="Qiang D",714,IF(Atletas!R307="Pudao / Guandao D",715,IF(Atletas!R307="Outra Arma Longa D",716,IF(Atletas!R307="Gun E",717,IF(Atletas!R307="Qiang E",718,IF(Atletas!R307="Pudao / Guandao E",719,IF(Atletas!R307="Outra Arma Longa E",720,IF(Atletas!R307="Gun F",721,IF(Atletas!R307="Qiang F",722,IF(Atletas!R307="Pudao / Guandao F",723,IF(Atletas!R307="Outra Arma Longa F",724,"")))))))))))))))))))))))))</f>
        <v/>
      </c>
      <c r="BU311" s="52" t="str">
        <f>IF(Atletas!S307="","",IF(Atletas!W307&lt;&gt;"",10000,0)+IF(Atletas!B307="Feminino",1000,IF(Atletas!B307="Masculino",2000,""))+IF(Atletas!S307="Arma Dupla A",801,IF(Atletas!S307="Arma Maleável A",802,IF(Atletas!S307="Arma Dupla B",803,IF(Atletas!S307="Arma Maleável B",804,IF(Atletas!S307="Arma Dupla C",805,IF(Atletas!S307="Arma Maleável C",806,IF(Atletas!S307="Arma Dupla D",807,IF(Atletas!S307="Arma Maleável D",808,IF(Atletas!S307="Arma Dupla E",809,IF(Atletas!S307="Arma Maleável E",810,IF(Atletas!S307="Arma Dupla F",811,IF(Atletas!S307="Arma Maleável F",812, "")))))))))))))</f>
        <v/>
      </c>
      <c r="BV311" s="52" t="str">
        <f>IF(Atletas!T307="","",IF(Atletas!W307&lt;&gt;"",10000,0)+IF(Atletas!B307="Feminino",1000,IF(Atletas!B307="Masculino",2000,""))+IF(Atletas!T307="Taijijian Yang A",901,IF(Atletas!T307="Taijijian Chen A",902,IF(Atletas!T307="Taijijian Sun A",903,IF(Atletas!T307="Taijijian Wu A",904,IF(Atletas!T307="Taijijian Wu-Hao A",905,IF(Atletas!T307="Taijijian 32 A",906,IF(Atletas!T307="Taijijian 42 A",907,IF(Atletas!T307="Taijijian Yang B",908,IF(Atletas!T307="Taijijian Chen B",909,IF(Atletas!T307="Taijijian Sun B",910,IF(Atletas!T307="Taijijian Wu B",911,IF(Atletas!T307="Taijijian Wu-Hao B",912,IF(Atletas!T307="Taijijian 32 B",913,IF(Atletas!T307="Taijijian 42 B",914,IF(Atletas!T307="Taijijian Yang C",915,IF(Atletas!T307="Taijijian Chen C",916,IF(Atletas!T307="Taijijian Sun C",917,IF(Atletas!T307="Taijijian Wu C",918,IF(Atletas!T307="Taijijian Wu-Hao C",919,IF(Atletas!T307="Taijijian 32 C",920,IF(Atletas!T307="Taijijian 42 C",921,IF(Atletas!T307="Taijijian Yang D",922,IF(Atletas!T307="Taijijian Chen D",923,IF(Atletas!T307="Taijijian Sun D",924,IF(Atletas!T307="Taijijian Wu D",925,IF(Atletas!T307="Taijijian Wu-Hao D",926,IF(Atletas!T307="Taijijian 32 D",927,IF(Atletas!T307="Taijijian 42 D",928,IF(Atletas!T307="Taijijian Yang E",929,IF(Atletas!T307="Taijijian Chen E",930,IF(Atletas!T307="Taijijian Sun E",931,IF(Atletas!T307="Taijijian Wu E",932,IF(Atletas!T307="Taijijian Wu-Hao E",933,IF(Atletas!T307="Taijijian 32 E",934,IF(Atletas!T307="Taijijian 42 E",935,IF(Atletas!T307="Taijijian Yang F",936,IF(Atletas!T307="Taijijian Chen F",937,IF(Atletas!T307="Taijijian Sun F",938,IF(Atletas!T307="Taijijian Wu F",939,IF(Atletas!T307="Taijijian Wu-Hao F",940,IF(Atletas!T307="Taijijian 32 F",941,IF(Atletas!T307="Taijijian 42 F",942,"")))))))))))))))))))))))))))))))))))))))))))</f>
        <v/>
      </c>
      <c r="BW311" s="52" t="str">
        <f>IF(Atletas!U307="","",IF(Atletas!W307&lt;&gt;"",10000,0)+IF(Atletas!B307="Feminino",1000,IF(Atletas!B307="Masculino",2000,""))+IF(Atletas!T307="Taijijian 42 F",942,IF(Atletas!U307="Taijidao A",943,IF(Atletas!U307="Taijishan A",944,IF(Atletas!U307="Taijiqiang A",945,IF(Atletas!U307="Taijidao B",946,IF(Atletas!U307="Taijishan B",947,IF(Atletas!U307="Taijiqiang B",948,IF(Atletas!U307="Taijidao C",949,IF(Atletas!U307="Taijishan C",950,IF(Atletas!U307="Taijiqiang C",951,IF(Atletas!U307="Taijidao D",952,IF(Atletas!U307="Taijishan D",953,IF(Atletas!U307="Taijiqiang D",954,IF(Atletas!U307="Taijidao E",955,IF(Atletas!U307="Taijishan E",956,IF(Atletas!U307="Taijiqiang E",957,IF(Atletas!U307="Taijidao F",958,IF(Atletas!U307="Taijishan F",959,IF(Atletas!U307="Taijiqiang F",960))))))))))))))))))))</f>
        <v/>
      </c>
      <c r="BX311" s="72" t="str">
        <f>IF(BY311&lt;&gt;"","Taijijian Wu-Hao D","")</f>
        <v/>
      </c>
      <c r="BY311" s="72" t="str">
        <f>IF(COUNTIF(BK:BW,1926)&gt;0,COUNTIF(BK:BW,1926),"")</f>
        <v/>
      </c>
      <c r="BZ311" s="72" t="str">
        <f>IF(CA311&lt;&gt;"","Taijijian Wu-Hao D","")</f>
        <v/>
      </c>
      <c r="CA311" s="72" t="str">
        <f>IF(COUNTIF(BK:BW,2926)&gt;0,COUNTIF(BK:BW,2926),"")</f>
        <v/>
      </c>
      <c r="CB311" s="72" t="str">
        <f>IF(CC311&lt;&gt;"","Shan F","")</f>
        <v/>
      </c>
      <c r="CC311" s="64" t="str">
        <f>IF(COUNTIF(BK:BW,11629)&gt;0,COUNTIF(BK:BW,11629),"")</f>
        <v/>
      </c>
      <c r="CD311" s="64" t="str">
        <f>IF(CE311&lt;&gt;"","Shan F","")</f>
        <v/>
      </c>
      <c r="CE311" s="64" t="str">
        <f>IF(COUNTIF(BK:BW,12629)&gt;0,COUNTIF(BK:BW,12629),"")</f>
        <v/>
      </c>
      <c r="CF311" s="52" t="str">
        <f xml:space="preserve"> IF(Atletas!V307="","",IF(Atletas!V307="Duilian de Mãos AB - Equipe 1",1,IF(Atletas!V307="Duilian de Mãos AB - Equipe 2",2,IF(Atletas!V307="Duilian de Armas AB - Equipe 1",3,IF(Atletas!V307="Duilian de Armas AB - Equipe 2",4,IF(Atletas!V307="Duilian de Tuishou - Equipe 1",5,IF(Atletas!V307="Duilian de Tuishou - Equipe 2",6,IF(Atletas!V307="Grupo Externo AB - Equipe 1",7,IF(Atletas!V307="Grupo Externo AB - Equipe 2",8,IF(Atletas!V307="Grupo Interno AB - Equipe 1",9,IF(Atletas!V307="Grupo Interno AB - Equipe 2",10,IF(Atletas!V307="Duilian de Mãos CD - Equipe 1",11,IF(Atletas!V307="Duilian de Mãos CD - Equipe 2",12,IF(Atletas!V307="Duilian de Armas CD - Equipe 1",13,IF(Atletas!V307="Duilian de Armas CD - Equipe 2",14,IF(Atletas!V307="Duilian de Tuishou - Equipe 1",15,IF(Atletas!V307="Duilian de Tuishou - Equipe 2",16,IF(Atletas!V307="Grupo Externo CDEF - Equipe 1",17,IF(Atletas!V307="Grupo Externo CDEF - Equipe 2",18,IF(Atletas!V307="Grupo Interno CDEF - Equipe 1",19,IF(Atletas!V307="Grupo Interno CDEF - Equipe 2",20,IF(Atletas!V307="Duilian de Mãos EF - Equipe 1",21,IF(Atletas!V307="Duilian de Mãos EF - Equipe 2",22,IF(Atletas!V307="Duilian de Armas EF - Equipe 1",23,IF(Atletas!V307="Duilian de Armas EF - Equipe 2",24,IF(Atletas!V307="Duilian de Tuishou - Equipe 1",25,IF(Atletas!V307="Duilian de Tuishou - Equipe 2",26,"")))))))))))))))))))))))))))</f>
        <v/>
      </c>
    </row>
    <row r="312" spans="36:84">
      <c r="AJ312" s="46" t="str">
        <f>IF(Atletas!D308="","",IF(Atletas!B308="Feminino",100,IF(Atletas!B308="Masculino",200,""))+(IF(Atletas!D308="Infantil 39kg",1,IF(Atletas!D308="Infantil 42kg",2,IF(Atletas!D308="Infantil 45kg",3,IF(Atletas!D308="Infantil 48kg",4,IF(Atletas!D308="Infantil 52kg",5,IF(Atletas!D308="Infantil 56kg",6,IF(Atletas!D308="Infantil 60kg",7,IF(Atletas!D308="Juvenil 48kg",8,IF(Atletas!D308="Juvenil 52kg",9,IF(Atletas!D308="Juvenil 56kg",10,IF(Atletas!D308="Juvenil 60kg",11,IF(Atletas!D308="Juvenil 65kg",12,IF(Atletas!D308="Juvenil 70kg",13,IF(Atletas!D308="Juvenil 75kg",14,IF(Atletas!D308="Juvenil 80kg",15,IF(Atletas!D308="Adulto 48kg",16,IF(Atletas!D308="Adulto 52kg",17,IF(Atletas!D308="Adulto 56kg",18,IF(Atletas!D308="Adulto 60kg",19,IF(Atletas!D308="Adulto 65kg",20,IF(Atletas!D308="Adulto 70kg",21,IF(Atletas!D308="Adulto 75kg",22,IF(Atletas!D308="Adulto 80kg",23,IF(Atletas!D308="Adulto 85kg",24,IF(Atletas!D308="Adulto 90kg",25,IF(Atletas!D308="Adulto +90kg",26,""))))))))))))))))))))))))))))</f>
        <v/>
      </c>
      <c r="AO312" s="10" t="str">
        <f>IF(Atletas!E308="","",IF(Atletas!B308="Feminino",100,IF(Atletas!B308="Masculino",200,""))+(IF(Atletas!E308="Juvenil 44kg",1,IF(Atletas!E308="Juvenil 48kg",2,IF(Atletas!E308="Juvenil 52kg",3,IF(Atletas!E308="Juvenil 56kg",4,IF(Atletas!E308="Juvenil 60kg",5,IF(Atletas!E308="Juvenil 65kg",6,IF(Atletas!E308="Juvenil 70kg",7,IF(Atletas!E308="Juvenil 75kg",8,IF(Atletas!E308="Juvenil 82kg",9,IF(Atletas!E308="Juvenil 90kg",10,IF(Atletas!E308="Juvenil 100kg",11,IF(Atletas!E308="Adulto 48kg",12,IF(Atletas!E308="Adulto 52kg",13,IF(Atletas!E308="Adulto 56kg",14,IF(Atletas!E308="Adulto 60kg",15,IF(Atletas!E308="Adulto 65kg",16,IF(Atletas!E308="Adulto 70kg",17,IF(Atletas!E308="Adulto 75kg",18,IF(Atletas!E308="Adulto 82kg",19,IF(Atletas!E308="Adulto 90kg",20,IF(Atletas!E308="Adulto 100kg",21,IF(Atletas!E308="Adulto +100kg",22,""))))))))))))))))))))))))</f>
        <v/>
      </c>
      <c r="AT312" s="10" t="str">
        <f>IF(Atletas!F308="","",IF(Atletas!B308="Feminino",100,IF(Atletas!B308="Masculino",200,""))+(IF(Atletas!F308="Adulto 48kg",1,IF(Atletas!F308="Adulto 56kg",2,IF(Atletas!F308="Adulto 65kg",3,IF(Atletas!F308="Adulto 75kg",4,IF(Atletas!F308="Adulto +75kg",5,IF(Atletas!F308="Adulto 52kg",6,IF(Atletas!F308="Adulto 60kg",7,IF(Atletas!F308="Adulto 70kg",8,IF(Atletas!F308="Adulto 80kg",9,IF(Atletas!F308="Adulto 90kg",10,IF(Atletas!F308="Adulto +90kg",11,"")))))))))))))</f>
        <v/>
      </c>
      <c r="AY312" s="46" t="str">
        <f>IF(Atletas!G308="","",IF(Atletas!B308="Feminino",100,IF(Atletas!B308="Masculino",200,""))+(IF(Atletas!G308="Changquan Mirim",1,IF(Atletas!G308="Nanquan Mirim",2,IF(Atletas!G308="Taijiquan Mirim",3,IF(Atletas!G308="Changquan Grupo C",4,IF(Atletas!G308="Nanquan Grupo C",5,IF(Atletas!G308="Taijiquan Grupo C",6,IF(Atletas!G308="Changquan Grupo B",7,IF(Atletas!G308="Nanquan Grupo B",8,IF(Atletas!G308="Taijiquan Grupo B",9,IF(Atletas!G308="Changquan Grupo A",10,IF(Atletas!G308="Nanquan Grupo A",11,IF(Atletas!G308="Taijiquan Grupo A",12,IF(Atletas!G308="Changquan Opcional",13,IF(Atletas!G308="Nanquan Opcional",14,IF(Atletas!G308="Taijiquan Opcional",15,IF(Atletas!G308="Changquan Adulto",16,IF(Atletas!G308="Nanquan Adulto",17,IF(Atletas!G308="Taijiquan Adulto",18,""))))))))))))))))))))</f>
        <v/>
      </c>
      <c r="AZ312" s="46" t="str">
        <f>IF(Atletas!H308="","",IF(Atletas!B308="Feminino",100,IF(Atletas!B308="Masculino",200,""))+(IF(Atletas!H308="Daoshu Mirim",19,IF(Atletas!H308="Jianshu Mirim",20,IF(Atletas!H308="Nandao Mirim",21,IF(Atletas!H308="Taijijian Mirim",22,IF(Atletas!H308="Daoshu Grupo C",23,IF(Atletas!H308="Jianshu Grupo C",24,IF(Atletas!H308="Nandao Grupo C",25,IF(Atletas!H308="Taijijian Grupo C",26,IF(Atletas!H308="Daoshu Grupo B",27,IF(Atletas!H308="Jianshu Grupo B",28,IF(Atletas!H308="Nandao Grupo B",29,IF(Atletas!H308="Taijijian Grupo B",30,IF(Atletas!H308="Daoshu Grupo A",31,IF(Atletas!H308="Jianshu Grupo A",32,IF(Atletas!H308="Nandao Grupo A",33,IF(Atletas!H308="Taijijian Grupo A",34,IF(Atletas!H308="Daoshu Opcional",35,IF(Atletas!H308="Jianshu Opcional",36,IF(Atletas!H308="Nandao Opcional",37,IF(Atletas!H308="Taijijian Opcional",38,IF(Atletas!H308="Daoshu Adulto",39,IF(Atletas!H308="Jianshu Adulto",40,IF(Atletas!H308="Nandao Adulto",41,IF(Atletas!H308="Taijijian Adulto",42,""))))))))))))))))))))))))))</f>
        <v/>
      </c>
      <c r="BA312" s="46" t="str">
        <f>IF(Atletas!I308="","",IF(Atletas!B308="Feminino",100,IF(Atletas!B308="Masculino",200,""))+(IF(Atletas!I308="Gunshu Mirim",43,IF(Atletas!I308="Qiangshu Mirim",44,IF(Atletas!I308="Nangun Mirim",45,IF(Atletas!I308="Gunshu Grupo C",46,IF(Atletas!I308="Qiangshu Grupo C",47,IF(Atletas!I308="Nangun Grupo C",48,IF(Atletas!I308="Gunshu Grupo B",49,IF(Atletas!I308="Qiangshu Grupo B",50,IF(Atletas!I308="Nangun Grupo B",51,IF(Atletas!I308="Gunshu Grupo A",52,IF(Atletas!I308="Qiangshu Grupo A",53,IF(Atletas!I308="Nangun Grupo A",54,IF(Atletas!I308="Gunshu Opcional",55,IF(Atletas!I308="Qiangshu Opcional",56,IF(Atletas!I308="Nangun Opcional",57,IF(Atletas!I308="Gunshu Adulto",58,IF(Atletas!I308="Qiangshu Adulto",59,IF(Atletas!I308="Nangun Adulto",60,""))))))))))))))))))))</f>
        <v/>
      </c>
      <c r="BF312" s="52" t="str">
        <f>IF(Atletas!J308="","",IF(Atletas!B308="Feminino",100,IF(Atletas!B308="Masculino",200,""))+(IF(Atletas!J308="Equipe 1 Grupo B",1,IF(Atletas!J308="Equipe 2 Grupo B",2,IF(Atletas!J308="Equipe 1 Grupo A",3,IF(Atletas!J308="Equipe 2 Grupo A",4,IF(Atletas!J308="Equipe 1 Adulto",5,IF(Atletas!J308="Equipe 2 Adulto",6,""))))))))</f>
        <v/>
      </c>
      <c r="BK312" s="52" t="str">
        <f>IF(Atletas!K308="","",IF(Atletas!W308&lt;&gt;"",10000,0)+(IF(Atletas!B308="Feminino",1000,IF(Atletas!B308="Masculino",2000,""))+IF(Atletas!K308="Choylayfut A",1,IF(Atletas!K308="Hunggar A",2,IF(Atletas!K308="Wuzuquan A",3,IF(Atletas!K308="Wingchun A",4,IF(Atletas!K308="Outra Mão de Sul A",5,IF(Atletas!K308="Choylayfut B",6,IF(Atletas!K308="Hunggar B",7,IF(Atletas!K308="Wuzuquan B",8,IF(Atletas!K308="Wingchun B",9,IF(Atletas!K308="Outra Mão de Sul B",10,IF(Atletas!K308="Choylayfut C",11,IF(Atletas!K308="Hunggar C",12,IF(Atletas!K308="Wuzuquan C",13,IF(Atletas!K308="Wingchun C",14,IF(Atletas!K308="Outra Mão de Sul C",15,IF(Atletas!K308="Choylayfut D",16,IF(Atletas!K308="Hunggar D",17,IF(Atletas!K308="Wuzuquan D",18,IF(Atletas!K308="Wingchun D",19,IF(Atletas!K308="Outra Mão de Sul D",20,IF(Atletas!K308="Choylayfut E",21,IF(Atletas!K308="Hunggar E",22,IF(Atletas!K308="Wuzuquan E",23,IF(Atletas!K308="Wingchun E",24,IF(Atletas!K308="Outra Mão de Sul E",25,IF(Atletas!K308="Choylayfut F",26,IF(Atletas!K308="Hunggar F",27,IF(Atletas!K308="Wuzuquan F",28,IF(Atletas!K308="Wingchun F",29,IF(Atletas!K308="Outra Mão de Sul F",30,""))))))))))))))))))))))))))))))))</f>
        <v/>
      </c>
      <c r="BL312" s="52" t="str">
        <f>IF(Atletas!L308="","",IF(Atletas!W308&lt;&gt;"",10000,0)+(IF(Atletas!B308="Feminino",1000,IF(Atletas!B308="Masculino",2000,""))+(IF(Atletas!L308="Chaquan A",101,IF(Atletas!L308="Emeiquan A",102,IF(Atletas!L308="Fanziquan A",103,IF(Atletas!L308="Huaquan A",104,IF(Atletas!L308="Hongquan A",105,IF(Atletas!L308="Paochui A",106,IF(Atletas!L308="Piguaquan A",107,IF(Atletas!L308="Shaolinquan A",108,IF(Atletas!L308="Tanglangquan A",109,IF(Atletas!L308="Yinzhaophai A",110,IF(Atletas!L308="Tongbeiquan A",111,IF(Atletas!L308="Wudangquan A",112,IF(Atletas!L308="Outros Estilos A",113,IF(Atletas!L308="Chaquan B",114,IF(Atletas!L308="Emeiquan B",115,IF(Atletas!L308="Fanziquan B",116,IF(Atletas!L308="Huaquan B",117,IF(Atletas!L308="Hongquan B",118,IF(Atletas!L308="Paochui B",119,IF(Atletas!L308="Piguaquan B",120,IF(Atletas!L308="Shaolinquan B",121,IF(Atletas!L308="Tanglangquan B",122,IF(Atletas!L308="Yinzhaophai B",123,IF(Atletas!L308="Tongbeiquan B",124,IF(Atletas!L308="Wudangquan B",125,IF(Atletas!L308="Outros Estilos B",126,IF(Atletas!L308="Chaquan C",127,IF(Atletas!L308="Emeiquan C",128,IF(Atletas!L308="Fanziquan C",129,IF(Atletas!L308="Huaquan C",130,IF(Atletas!L308="Hongquan C",131,IF(Atletas!L308="Paochui C",132,IF(Atletas!L308="Piguaquan C",133,IF(Atletas!L308="Shaolinquan C",134,IF(Atletas!L308="Tanglangquan C",135,IF(Atletas!L308="Yinzhaophai C",136,IF(Atletas!L308="Tongbeiquan C",137,IF(Atletas!L308="Wudangquan C",138,IF(Atletas!L308="Outros Estilos C",139,0))))))))))))))))))))))))))))))))))))))))))</f>
        <v/>
      </c>
      <c r="BM312" s="52" t="str">
        <f>IF(Atletas!L308="","",IF(Atletas!W308&lt;&gt;"",10000,0)+(IF(Atletas!B308="Feminino",1000,IF(Atletas!B308="Masculino",2000,""))+(IF(Atletas!L308="Chaquan D",140,IF(Atletas!L308="Emeiquan D",141,IF(Atletas!L308="Fanziquan D",142,IF(Atletas!L308="Huaquan D",143,IF(Atletas!L308="Hongquan D",144,IF(Atletas!L308="Paochui D",145,IF(Atletas!L308="Piguaquan D",146,IF(Atletas!L308="Shaolinquan D",147,IF(Atletas!L308="Tanglangquan D",148,IF(Atletas!L308="Yinzhaophai D",149,IF(Atletas!L308="Tongbeiquan D",150,IF(Atletas!L308="Wudangquan D",151,IF(Atletas!L308="Outros Estilos D",152,IF(Atletas!L308="Chaquan E",153,IF(Atletas!L308="Emeiquan E",154,IF(Atletas!L308="Fanziquan E",155,IF(Atletas!L308="Huaquan E",156,IF(Atletas!L308="Hongquan E",157,IF(Atletas!L308="Paochui E",158,IF(Atletas!L308="Piguaquan E",159,IF(Atletas!L308="Shaolinquan E",160,IF(Atletas!L308="Tanglangquan E",161,IF(Atletas!L308="Yinzhaophai E",162,IF(Atletas!L308="Tongbeiquan E",163,IF(Atletas!L308="Wudangquan E",164,IF(Atletas!L308="Outros Estilos E",165,IF(Atletas!L308="Chaquan F",166,IF(Atletas!L308="Emeiquan F",167,IF(Atletas!L308="Fanziquan F",168,IF(Atletas!L308="Huaquan F",169,IF(Atletas!L308="Hongquan F",170,IF(Atletas!L308="Paochui F",171,IF(Atletas!L308="Piguaquan F",172,IF(Atletas!L308="Shaolinquan F",173,IF(Atletas!L308="Tanglangquan F",174,IF(Atletas!L308="Yinzhaophai F",175,IF(Atletas!L308="Tongbeiquan F",176,IF(Atletas!L308="Wudangquan F",177,IF(Atletas!L308="Outros Estilos F",178,0))))))))))))))))))))))))))))))))))))))))))</f>
        <v/>
      </c>
      <c r="BN312" s="52" t="str">
        <f>IF(Atletas!M308="","",IF(Atletas!W308&lt;&gt;"",10000,0)+(IF(Atletas!B308="Feminino",1000,IF(Atletas!B308="Masculino",2000,""))+(IF(Atletas!M308="Ditangquan A",201,IF(Atletas!M308="Houquan A",202,IF(Atletas!M308="Zuiquan A",203,IF(Atletas!M308="Ditangquan B",204,IF(Atletas!M308="Houquan B",205,IF(Atletas!M308="Zuiquan B",206,IF(Atletas!M308="Ditangquan C",207,IF(Atletas!M308="Houquan C",208,IF(Atletas!M308="Zuiquan C",209,IF(Atletas!M308="Ditangquan D",210,IF(Atletas!M308="Houquan D",211,IF(Atletas!M308="Zuiquan D",212,IF(Atletas!M308="Ditangquan E",213,IF(Atletas!M308="Houquan E",214,IF(Atletas!M308="Zuiquan E",215,IF(Atletas!M308="Ditangquan F",216,IF(Atletas!M308="Houquan F",217,IF(Atletas!M308="Zuiquan F",218,"")))))))))))))))))))))</f>
        <v/>
      </c>
      <c r="BO312" s="52" t="str">
        <f>IF(Atletas!N308="","",IF(Atletas!W308&lt;&gt;"",10000,0)+IF(Atletas!B308="Feminino",1000,IF(Atletas!B308="Masculino",2000,""))+IF(Atletas!N308="Yang A",301,IF(Atletas!N308="Chen A",30,IF(Atletas!N308="Sun A",303,IF(Atletas!N308="Wu A",304,IF(Atletas!N308="Wu-Hao A",305,IF(Atletas!N308="Outro Taijiquan A",306,IF(Atletas!N308="Yang B",307,IF(Atletas!N308="Chen B",308,IF(Atletas!N308="Sun B",309,IF(Atletas!N308="Wu B",310,IF(Atletas!N308="Wu-Hao B",311,IF(Atletas!N308="Outro Taijiquan B",312,IF(Atletas!N308="Yang C",313,IF(Atletas!N308="Chen C",314,IF(Atletas!N308="Sun C",315,IF(Atletas!N308="Wu C",316,IF(Atletas!N308="Wu-Hao C",317,IF(Atletas!N308="Outro Taijiquan C",318,IF(Atletas!N308="Yang D",319,IF(Atletas!N308="Chen D",320,IF(Atletas!N308="Sun D",321,IF(Atletas!N308="Wu D",322,IF(Atletas!N308="Wu-Hao D",323,IF(Atletas!N308="Outro Taijiquan D",324,IF(Atletas!N308="Yang E",325,IF(Atletas!N308="Chen E",326,IF(Atletas!N308="Sun E",327,IF(Atletas!N308="Wu E",328,IF(Atletas!N308="Wu-Hao E",329,IF(Atletas!N308="Outro Taijiquan E",330,IF(Atletas!N308="Yang F",331,IF(Atletas!N308="Chen F",332,IF(Atletas!N308="Sun F",333,IF(Atletas!N308="Wu F",334,IF(Atletas!N308="Wu-Hao F",335,IF(Atletas!N308="Outro Taijiquan F",336,"")))))))))))))))))))))))))))))))))))))</f>
        <v/>
      </c>
      <c r="BP312" s="52" t="str">
        <f>IF(Atletas!O308="","",IF(Atletas!W308&lt;&gt;"",10000,0)+IF(Atletas!B308="Feminino",1000,IF(Atletas!B308="Masculino",2000,""))+IF(OR(Atletas!O308="Yang 26 A",Atletas!O308="Yang 40 A"),401,IF(OR(Atletas!O308="Chen 25 A",Atletas!O308="Chen 36 A",Atletas!O308="Chen 56 A"),402,IF(Atletas!O308="Sun 73 A",403,IF(Atletas!O308="Wu 45 A",404,IF(Atletas!O308="Wu-Hao 46 A",405,IF(OR(Atletas!O308="Taijiquan 16 A",Atletas!O308="Taijiquan 24 A",Atletas!O308="Taijiquan 32 A",Atletas!O308="Taijiquan 42 A"),406,IF(OR(Atletas!O308="Yang 26 B",Atletas!O308="Yang 40 B"),407,IF(OR(Atletas!O308="Chen 25 B",Atletas!O308="Chen 36 B",Atletas!O308="Chen 56 B"),408,IF(Atletas!O308="Sun 73 B",409,IF(Atletas!O308="Wu 45 B",410,IF(Atletas!O308="Wu-Hao 46 B",411,IF(OR(Atletas!O308="Taijiquan 16 B",Atletas!O308="Taijiquan 24 B",Atletas!O308="Taijiquan 32 B",Atletas!O308="Taijiquan 42 B"),412,IF(OR(Atletas!O308="Yang 26 C",Atletas!O308="Yang 40 C"),413,IF(OR(Atletas!O308="Chen 25 C",Atletas!O308="Chen 36 C",Atletas!O308="Chen 56 C"),414,IF(Atletas!O308="Sun 73 C",415,IF(Atletas!O308="Wu 45 C",416,IF(Atletas!O308="Wu-Hao 46 C",417,IF(OR(Atletas!O308="Taijiquan 16 C",Atletas!O308="Taijiquan 24 C",Atletas!O308="Taijiquan 32 C",Atletas!O308="Taijiquan 42 C"),418,0)))))))))))))))))))</f>
        <v/>
      </c>
      <c r="BQ312" s="52" t="str">
        <f>IF(Atletas!O308="","",IF(Atletas!W308&lt;&gt;"",10000,0)+IF(Atletas!B308="Feminino",1000,IF(Atletas!B308="Masculino",2000,""))+IF(OR(Atletas!O308="Yang 26 D",Atletas!O308="Yang 40 D"),419,IF(OR(Atletas!O308="Chen 25 D",Atletas!O308="Chen 36 D",Atletas!O308="Chen 56 D"),420,IF(Atletas!O308="Sun 73 D",421,IF(Atletas!O308="Wu 45 D",422,IF(Atletas!O308="Wu-Hao 46 D",423,IF(OR(Atletas!O308="Taijiquan 16 D",Atletas!O308="Taijiquan 24 D",Atletas!O308="Taijiquan 32 D",Atletas!O308="Taijiquan 42 D"),424,IF(OR(Atletas!O308="Yang 26 E",Atletas!O308="Yang 40 E"),425,IF(OR(Atletas!O308="Chen 25 E",Atletas!O308="Chen 36 E",Atletas!O308="Chen 56 E"),426,IF(Atletas!O308="Sun 73 E",427,IF(Atletas!O308="Wu 45 E",428,IF(Atletas!O308="Wu-Hao 46 E",429,IF(OR(Atletas!O308="Taijiquan 16 E",Atletas!O308="Taijiquan 24 E",Atletas!O308="Taijiquan 32 E",Atletas!O308="Taijiquan 42 E"),430,IF(OR(Atletas!O308="Yang 26 F",Atletas!O308="Yang 40 F"),431,IF(OR(Atletas!O308="Chen 25 F",Atletas!O308="Chen 36 F",Atletas!O308="Chen 56 F"),432,IF(Atletas!O308="Sun 73 F",433,IF(Atletas!O308="Wu 45 F",434,IF(Atletas!O308="Wu-Hao 46 F",435,IF(OR(Atletas!O308="Taijiquan 16 F",Atletas!O308="Taijiquan 24 F",Atletas!O308="Taijiquan 32 F",Atletas!O308="Taijiquan 42 F"),436,0)))))))))))))))))))</f>
        <v/>
      </c>
      <c r="BR312" s="52" t="str">
        <f>IF(Atletas!P308="","",IF(Atletas!W308&lt;&gt;"",10000,0)+IF(Atletas!B308="Feminino",1000,IF(Atletas!B308="Masculino",2000,""))+IF(Atletas!P308="Xingyiquan A",501,IF(Atletas!P308="Baguazhang A",502,IF(Atletas!P308="Outro Estilo Interno A",503,IF(Atletas!P308="Xingyiquan B",504,IF(Atletas!P308="Baguazhang B",505,IF(Atletas!P308="Outro Estilo Interno B",506,IF(Atletas!P308="Xingyiquan C",507,IF(Atletas!P308="Baguazhang C",508,IF(Atletas!P308="Outro Estilo Interno C",509,IF(Atletas!P308="Xingyiquan D",510,IF(Atletas!P308="Baguazhang D",511,IF(Atletas!P308="Outro Estilo Interno D",512,IF(Atletas!P308="Xingyiquan E",513,IF(Atletas!P308="Baguazhang E",514,IF(Atletas!P308="Outro Estilo Interno E",515,IF(Atletas!P308="Xingyiquan F",516,IF(Atletas!P308="Baguazhang F",517,IF(Atletas!P308="Outro Estilo Interno F",518, "")))))))))))))))))))</f>
        <v/>
      </c>
      <c r="BS312" s="52" t="str">
        <f>IF(Atletas!Q308="","",IF(Atletas!W308&lt;&gt;"",10000,0)+IF(Atletas!B308="Feminino",1000,IF(Atletas!B308="Masculino",2000,""))+IF(Atletas!Q308="Dao A",601,IF(Atletas!Q308="Jian A",602,IF(Atletas!Q308="Bishou A",603,IF(Atletas!Q308="Shan A",604,IF(Atletas!Q308="Outra Arma Curta A",605,IF(Atletas!Q308="Dao B",606,IF(Atletas!Q308="Jian B",607,IF(Atletas!Q308="Bishou B",608,IF(Atletas!Q308="Shan B",609,IF(Atletas!Q308="Outra Arma Curta B",610,IF(Atletas!Q308="Dao C",611,IF(Atletas!Q308="Jian C",612,IF(Atletas!Q308="Bishou C",613,IF(Atletas!Q308="Shan C",614,IF(Atletas!Q308="Outra Arma Curta C",615,IF(Atletas!Q308="Dao D",616,IF(Atletas!Q308="Jian D",617,IF(Atletas!Q308="Bishou D",618,IF(Atletas!Q308="Shan D",619,IF(Atletas!Q308="Outra Arma Curta D",620,IF(Atletas!Q308="Dao E",621,IF(Atletas!Q308="Jian E",622,IF(Atletas!Q308="Bishou E",623,IF(Atletas!Q308="Shan E",624,IF(Atletas!Q308="Outra Arma Curta E",625,IF(Atletas!Q308="Dao F",626,IF(Atletas!Q308="Jian F",627,IF(Atletas!Q308="Bishou F",628,IF(Atletas!Q308="Shan F",629,IF(Atletas!Q308="Outra Arma Curta F",630, "")))))))))))))))))))))))))))))))</f>
        <v/>
      </c>
      <c r="BT312" s="52" t="str">
        <f>IF(Atletas!R308="","",IF(Atletas!W308&lt;&gt;"",10000,0)+IF(Atletas!B308="Feminino",1000,IF(Atletas!B308="Masculino",2000,""))+IF(Atletas!R308="Gun A",701,IF(Atletas!R308="Qiang A",702,IF(Atletas!R308="Pudao / Guandao A",703,IF(Atletas!R308="Outra Arma Longa A",704,IF(Atletas!R308="Gun B",705,IF(Atletas!R308="Qiang B",706,IF(Atletas!R308="Pudao / Guandao B",707,IF(Atletas!R308="Outra Arma Longa B",708,IF(Atletas!R308="Gun C",709,IF(Atletas!R308="Qiang C",710,IF(Atletas!R308="Pudao / Guandao C",711,IF(Atletas!R308="Outra Arma Longa C",712,IF(Atletas!R308="Gun D",713,IF(Atletas!R308="Qiang D",714,IF(Atletas!R308="Pudao / Guandao D",715,IF(Atletas!R308="Outra Arma Longa D",716,IF(Atletas!R308="Gun E",717,IF(Atletas!R308="Qiang E",718,IF(Atletas!R308="Pudao / Guandao E",719,IF(Atletas!R308="Outra Arma Longa E",720,IF(Atletas!R308="Gun F",721,IF(Atletas!R308="Qiang F",722,IF(Atletas!R308="Pudao / Guandao F",723,IF(Atletas!R308="Outra Arma Longa F",724,"")))))))))))))))))))))))))</f>
        <v/>
      </c>
      <c r="BU312" s="52" t="str">
        <f>IF(Atletas!S308="","",IF(Atletas!W308&lt;&gt;"",10000,0)+IF(Atletas!B308="Feminino",1000,IF(Atletas!B308="Masculino",2000,""))+IF(Atletas!S308="Arma Dupla A",801,IF(Atletas!S308="Arma Maleável A",802,IF(Atletas!S308="Arma Dupla B",803,IF(Atletas!S308="Arma Maleável B",804,IF(Atletas!S308="Arma Dupla C",805,IF(Atletas!S308="Arma Maleável C",806,IF(Atletas!S308="Arma Dupla D",807,IF(Atletas!S308="Arma Maleável D",808,IF(Atletas!S308="Arma Dupla E",809,IF(Atletas!S308="Arma Maleável E",810,IF(Atletas!S308="Arma Dupla F",811,IF(Atletas!S308="Arma Maleável F",812, "")))))))))))))</f>
        <v/>
      </c>
      <c r="BV312" s="52" t="str">
        <f>IF(Atletas!T308="","",IF(Atletas!W308&lt;&gt;"",10000,0)+IF(Atletas!B308="Feminino",1000,IF(Atletas!B308="Masculino",2000,""))+IF(Atletas!T308="Taijijian Yang A",901,IF(Atletas!T308="Taijijian Chen A",902,IF(Atletas!T308="Taijijian Sun A",903,IF(Atletas!T308="Taijijian Wu A",904,IF(Atletas!T308="Taijijian Wu-Hao A",905,IF(Atletas!T308="Taijijian 32 A",906,IF(Atletas!T308="Taijijian 42 A",907,IF(Atletas!T308="Taijijian Yang B",908,IF(Atletas!T308="Taijijian Chen B",909,IF(Atletas!T308="Taijijian Sun B",910,IF(Atletas!T308="Taijijian Wu B",911,IF(Atletas!T308="Taijijian Wu-Hao B",912,IF(Atletas!T308="Taijijian 32 B",913,IF(Atletas!T308="Taijijian 42 B",914,IF(Atletas!T308="Taijijian Yang C",915,IF(Atletas!T308="Taijijian Chen C",916,IF(Atletas!T308="Taijijian Sun C",917,IF(Atletas!T308="Taijijian Wu C",918,IF(Atletas!T308="Taijijian Wu-Hao C",919,IF(Atletas!T308="Taijijian 32 C",920,IF(Atletas!T308="Taijijian 42 C",921,IF(Atletas!T308="Taijijian Yang D",922,IF(Atletas!T308="Taijijian Chen D",923,IF(Atletas!T308="Taijijian Sun D",924,IF(Atletas!T308="Taijijian Wu D",925,IF(Atletas!T308="Taijijian Wu-Hao D",926,IF(Atletas!T308="Taijijian 32 D",927,IF(Atletas!T308="Taijijian 42 D",928,IF(Atletas!T308="Taijijian Yang E",929,IF(Atletas!T308="Taijijian Chen E",930,IF(Atletas!T308="Taijijian Sun E",931,IF(Atletas!T308="Taijijian Wu E",932,IF(Atletas!T308="Taijijian Wu-Hao E",933,IF(Atletas!T308="Taijijian 32 E",934,IF(Atletas!T308="Taijijian 42 E",935,IF(Atletas!T308="Taijijian Yang F",936,IF(Atletas!T308="Taijijian Chen F",937,IF(Atletas!T308="Taijijian Sun F",938,IF(Atletas!T308="Taijijian Wu F",939,IF(Atletas!T308="Taijijian Wu-Hao F",940,IF(Atletas!T308="Taijijian 32 F",941,IF(Atletas!T308="Taijijian 42 F",942,"")))))))))))))))))))))))))))))))))))))))))))</f>
        <v/>
      </c>
      <c r="BW312" s="52" t="str">
        <f>IF(Atletas!U308="","",IF(Atletas!W308&lt;&gt;"",10000,0)+IF(Atletas!B308="Feminino",1000,IF(Atletas!B308="Masculino",2000,""))+IF(Atletas!T308="Taijijian 42 F",942,IF(Atletas!U308="Taijidao A",943,IF(Atletas!U308="Taijishan A",944,IF(Atletas!U308="Taijiqiang A",945,IF(Atletas!U308="Taijidao B",946,IF(Atletas!U308="Taijishan B",947,IF(Atletas!U308="Taijiqiang B",948,IF(Atletas!U308="Taijidao C",949,IF(Atletas!U308="Taijishan C",950,IF(Atletas!U308="Taijiqiang C",951,IF(Atletas!U308="Taijidao D",952,IF(Atletas!U308="Taijishan D",953,IF(Atletas!U308="Taijiqiang D",954,IF(Atletas!U308="Taijidao E",955,IF(Atletas!U308="Taijishan E",956,IF(Atletas!U308="Taijiqiang E",957,IF(Atletas!U308="Taijidao F",958,IF(Atletas!U308="Taijishan F",959,IF(Atletas!U308="Taijiqiang F",960))))))))))))))))))))</f>
        <v/>
      </c>
      <c r="BX312" s="72" t="str">
        <f>IF(BY312&lt;&gt;"","Taijijian Combinado D","")</f>
        <v/>
      </c>
      <c r="BY312" s="72" t="str">
        <f>IF((COUNTIF(BK:BW,1927)+COUNTIF(BK:BW,1928))&gt;0,(COUNTIF(BK:BW,1927)+COUNTIF(BK:BW,1928)),"")</f>
        <v/>
      </c>
      <c r="BZ312" s="72" t="str">
        <f>IF(CA312&lt;&gt;"","Taijijian Combinado D","")</f>
        <v/>
      </c>
      <c r="CA312" s="72" t="str">
        <f>IF((COUNTIF(BK:BW,2927)+COUNTIF(BK:BW,2928))&gt;0,(COUNTIF(BK:BW,2927)+COUNTIF(BK:BW,2928)),"")</f>
        <v/>
      </c>
      <c r="CB312" s="72" t="str">
        <f>IF(CC312&lt;&gt;"","Outra Arma Curta F","")</f>
        <v/>
      </c>
      <c r="CC312" s="64" t="str">
        <f>IF(COUNTIF(BK:BW,11630)&gt;0,COUNTIF(BK:BW,11630),"")</f>
        <v/>
      </c>
      <c r="CD312" s="64" t="str">
        <f>IF(CE312&lt;&gt;"","Outra Arma Curta F","")</f>
        <v/>
      </c>
      <c r="CE312" s="64" t="str">
        <f>IF(COUNTIF(BK:BW,12630)&gt;0,COUNTIF(BK:BW,12630),"")</f>
        <v/>
      </c>
      <c r="CF312" s="52" t="str">
        <f xml:space="preserve"> IF(Atletas!V308="","",IF(Atletas!V308="Duilian de Mãos AB - Equipe 1",1,IF(Atletas!V308="Duilian de Mãos AB - Equipe 2",2,IF(Atletas!V308="Duilian de Armas AB - Equipe 1",3,IF(Atletas!V308="Duilian de Armas AB - Equipe 2",4,IF(Atletas!V308="Duilian de Tuishou - Equipe 1",5,IF(Atletas!V308="Duilian de Tuishou - Equipe 2",6,IF(Atletas!V308="Grupo Externo AB - Equipe 1",7,IF(Atletas!V308="Grupo Externo AB - Equipe 2",8,IF(Atletas!V308="Grupo Interno AB - Equipe 1",9,IF(Atletas!V308="Grupo Interno AB - Equipe 2",10,IF(Atletas!V308="Duilian de Mãos CD - Equipe 1",11,IF(Atletas!V308="Duilian de Mãos CD - Equipe 2",12,IF(Atletas!V308="Duilian de Armas CD - Equipe 1",13,IF(Atletas!V308="Duilian de Armas CD - Equipe 2",14,IF(Atletas!V308="Duilian de Tuishou - Equipe 1",15,IF(Atletas!V308="Duilian de Tuishou - Equipe 2",16,IF(Atletas!V308="Grupo Externo CDEF - Equipe 1",17,IF(Atletas!V308="Grupo Externo CDEF - Equipe 2",18,IF(Atletas!V308="Grupo Interno CDEF - Equipe 1",19,IF(Atletas!V308="Grupo Interno CDEF - Equipe 2",20,IF(Atletas!V308="Duilian de Mãos EF - Equipe 1",21,IF(Atletas!V308="Duilian de Mãos EF - Equipe 2",22,IF(Atletas!V308="Duilian de Armas EF - Equipe 1",23,IF(Atletas!V308="Duilian de Armas EF - Equipe 2",24,IF(Atletas!V308="Duilian de Tuishou - Equipe 1",25,IF(Atletas!V308="Duilian de Tuishou - Equipe 2",26,"")))))))))))))))))))))))))))</f>
        <v/>
      </c>
    </row>
    <row r="313" spans="36:84">
      <c r="AJ313" s="46" t="str">
        <f>IF(Atletas!D309="","",IF(Atletas!B309="Feminino",100,IF(Atletas!B309="Masculino",200,""))+(IF(Atletas!D309="Infantil 39kg",1,IF(Atletas!D309="Infantil 42kg",2,IF(Atletas!D309="Infantil 45kg",3,IF(Atletas!D309="Infantil 48kg",4,IF(Atletas!D309="Infantil 52kg",5,IF(Atletas!D309="Infantil 56kg",6,IF(Atletas!D309="Infantil 60kg",7,IF(Atletas!D309="Juvenil 48kg",8,IF(Atletas!D309="Juvenil 52kg",9,IF(Atletas!D309="Juvenil 56kg",10,IF(Atletas!D309="Juvenil 60kg",11,IF(Atletas!D309="Juvenil 65kg",12,IF(Atletas!D309="Juvenil 70kg",13,IF(Atletas!D309="Juvenil 75kg",14,IF(Atletas!D309="Juvenil 80kg",15,IF(Atletas!D309="Adulto 48kg",16,IF(Atletas!D309="Adulto 52kg",17,IF(Atletas!D309="Adulto 56kg",18,IF(Atletas!D309="Adulto 60kg",19,IF(Atletas!D309="Adulto 65kg",20,IF(Atletas!D309="Adulto 70kg",21,IF(Atletas!D309="Adulto 75kg",22,IF(Atletas!D309="Adulto 80kg",23,IF(Atletas!D309="Adulto 85kg",24,IF(Atletas!D309="Adulto 90kg",25,IF(Atletas!D309="Adulto +90kg",26,""))))))))))))))))))))))))))))</f>
        <v/>
      </c>
      <c r="AO313" s="10" t="str">
        <f>IF(Atletas!E309="","",IF(Atletas!B309="Feminino",100,IF(Atletas!B309="Masculino",200,""))+(IF(Atletas!E309="Juvenil 44kg",1,IF(Atletas!E309="Juvenil 48kg",2,IF(Atletas!E309="Juvenil 52kg",3,IF(Atletas!E309="Juvenil 56kg",4,IF(Atletas!E309="Juvenil 60kg",5,IF(Atletas!E309="Juvenil 65kg",6,IF(Atletas!E309="Juvenil 70kg",7,IF(Atletas!E309="Juvenil 75kg",8,IF(Atletas!E309="Juvenil 82kg",9,IF(Atletas!E309="Juvenil 90kg",10,IF(Atletas!E309="Juvenil 100kg",11,IF(Atletas!E309="Adulto 48kg",12,IF(Atletas!E309="Adulto 52kg",13,IF(Atletas!E309="Adulto 56kg",14,IF(Atletas!E309="Adulto 60kg",15,IF(Atletas!E309="Adulto 65kg",16,IF(Atletas!E309="Adulto 70kg",17,IF(Atletas!E309="Adulto 75kg",18,IF(Atletas!E309="Adulto 82kg",19,IF(Atletas!E309="Adulto 90kg",20,IF(Atletas!E309="Adulto 100kg",21,IF(Atletas!E309="Adulto +100kg",22,""))))))))))))))))))))))))</f>
        <v/>
      </c>
      <c r="AT313" s="10" t="str">
        <f>IF(Atletas!F309="","",IF(Atletas!B309="Feminino",100,IF(Atletas!B309="Masculino",200,""))+(IF(Atletas!F309="Adulto 48kg",1,IF(Atletas!F309="Adulto 56kg",2,IF(Atletas!F309="Adulto 65kg",3,IF(Atletas!F309="Adulto 75kg",4,IF(Atletas!F309="Adulto +75kg",5,IF(Atletas!F309="Adulto 52kg",6,IF(Atletas!F309="Adulto 60kg",7,IF(Atletas!F309="Adulto 70kg",8,IF(Atletas!F309="Adulto 80kg",9,IF(Atletas!F309="Adulto 90kg",10,IF(Atletas!F309="Adulto +90kg",11,"")))))))))))))</f>
        <v/>
      </c>
      <c r="AY313" s="46" t="str">
        <f>IF(Atletas!G309="","",IF(Atletas!B309="Feminino",100,IF(Atletas!B309="Masculino",200,""))+(IF(Atletas!G309="Changquan Mirim",1,IF(Atletas!G309="Nanquan Mirim",2,IF(Atletas!G309="Taijiquan Mirim",3,IF(Atletas!G309="Changquan Grupo C",4,IF(Atletas!G309="Nanquan Grupo C",5,IF(Atletas!G309="Taijiquan Grupo C",6,IF(Atletas!G309="Changquan Grupo B",7,IF(Atletas!G309="Nanquan Grupo B",8,IF(Atletas!G309="Taijiquan Grupo B",9,IF(Atletas!G309="Changquan Grupo A",10,IF(Atletas!G309="Nanquan Grupo A",11,IF(Atletas!G309="Taijiquan Grupo A",12,IF(Atletas!G309="Changquan Opcional",13,IF(Atletas!G309="Nanquan Opcional",14,IF(Atletas!G309="Taijiquan Opcional",15,IF(Atletas!G309="Changquan Adulto",16,IF(Atletas!G309="Nanquan Adulto",17,IF(Atletas!G309="Taijiquan Adulto",18,""))))))))))))))))))))</f>
        <v/>
      </c>
      <c r="AZ313" s="46" t="str">
        <f>IF(Atletas!H309="","",IF(Atletas!B309="Feminino",100,IF(Atletas!B309="Masculino",200,""))+(IF(Atletas!H309="Daoshu Mirim",19,IF(Atletas!H309="Jianshu Mirim",20,IF(Atletas!H309="Nandao Mirim",21,IF(Atletas!H309="Taijijian Mirim",22,IF(Atletas!H309="Daoshu Grupo C",23,IF(Atletas!H309="Jianshu Grupo C",24,IF(Atletas!H309="Nandao Grupo C",25,IF(Atletas!H309="Taijijian Grupo C",26,IF(Atletas!H309="Daoshu Grupo B",27,IF(Atletas!H309="Jianshu Grupo B",28,IF(Atletas!H309="Nandao Grupo B",29,IF(Atletas!H309="Taijijian Grupo B",30,IF(Atletas!H309="Daoshu Grupo A",31,IF(Atletas!H309="Jianshu Grupo A",32,IF(Atletas!H309="Nandao Grupo A",33,IF(Atletas!H309="Taijijian Grupo A",34,IF(Atletas!H309="Daoshu Opcional",35,IF(Atletas!H309="Jianshu Opcional",36,IF(Atletas!H309="Nandao Opcional",37,IF(Atletas!H309="Taijijian Opcional",38,IF(Atletas!H309="Daoshu Adulto",39,IF(Atletas!H309="Jianshu Adulto",40,IF(Atletas!H309="Nandao Adulto",41,IF(Atletas!H309="Taijijian Adulto",42,""))))))))))))))))))))))))))</f>
        <v/>
      </c>
      <c r="BA313" s="46" t="str">
        <f>IF(Atletas!I309="","",IF(Atletas!B309="Feminino",100,IF(Atletas!B309="Masculino",200,""))+(IF(Atletas!I309="Gunshu Mirim",43,IF(Atletas!I309="Qiangshu Mirim",44,IF(Atletas!I309="Nangun Mirim",45,IF(Atletas!I309="Gunshu Grupo C",46,IF(Atletas!I309="Qiangshu Grupo C",47,IF(Atletas!I309="Nangun Grupo C",48,IF(Atletas!I309="Gunshu Grupo B",49,IF(Atletas!I309="Qiangshu Grupo B",50,IF(Atletas!I309="Nangun Grupo B",51,IF(Atletas!I309="Gunshu Grupo A",52,IF(Atletas!I309="Qiangshu Grupo A",53,IF(Atletas!I309="Nangun Grupo A",54,IF(Atletas!I309="Gunshu Opcional",55,IF(Atletas!I309="Qiangshu Opcional",56,IF(Atletas!I309="Nangun Opcional",57,IF(Atletas!I309="Gunshu Adulto",58,IF(Atletas!I309="Qiangshu Adulto",59,IF(Atletas!I309="Nangun Adulto",60,""))))))))))))))))))))</f>
        <v/>
      </c>
      <c r="BF313" s="52" t="str">
        <f>IF(Atletas!J309="","",IF(Atletas!B309="Feminino",100,IF(Atletas!B309="Masculino",200,""))+(IF(Atletas!J309="Equipe 1 Grupo B",1,IF(Atletas!J309="Equipe 2 Grupo B",2,IF(Atletas!J309="Equipe 1 Grupo A",3,IF(Atletas!J309="Equipe 2 Grupo A",4,IF(Atletas!J309="Equipe 1 Adulto",5,IF(Atletas!J309="Equipe 2 Adulto",6,""))))))))</f>
        <v/>
      </c>
      <c r="BK313" s="52" t="str">
        <f>IF(Atletas!K309="","",IF(Atletas!W309&lt;&gt;"",10000,0)+(IF(Atletas!B309="Feminino",1000,IF(Atletas!B309="Masculino",2000,""))+IF(Atletas!K309="Choylayfut A",1,IF(Atletas!K309="Hunggar A",2,IF(Atletas!K309="Wuzuquan A",3,IF(Atletas!K309="Wingchun A",4,IF(Atletas!K309="Outra Mão de Sul A",5,IF(Atletas!K309="Choylayfut B",6,IF(Atletas!K309="Hunggar B",7,IF(Atletas!K309="Wuzuquan B",8,IF(Atletas!K309="Wingchun B",9,IF(Atletas!K309="Outra Mão de Sul B",10,IF(Atletas!K309="Choylayfut C",11,IF(Atletas!K309="Hunggar C",12,IF(Atletas!K309="Wuzuquan C",13,IF(Atletas!K309="Wingchun C",14,IF(Atletas!K309="Outra Mão de Sul C",15,IF(Atletas!K309="Choylayfut D",16,IF(Atletas!K309="Hunggar D",17,IF(Atletas!K309="Wuzuquan D",18,IF(Atletas!K309="Wingchun D",19,IF(Atletas!K309="Outra Mão de Sul D",20,IF(Atletas!K309="Choylayfut E",21,IF(Atletas!K309="Hunggar E",22,IF(Atletas!K309="Wuzuquan E",23,IF(Atletas!K309="Wingchun E",24,IF(Atletas!K309="Outra Mão de Sul E",25,IF(Atletas!K309="Choylayfut F",26,IF(Atletas!K309="Hunggar F",27,IF(Atletas!K309="Wuzuquan F",28,IF(Atletas!K309="Wingchun F",29,IF(Atletas!K309="Outra Mão de Sul F",30,""))))))))))))))))))))))))))))))))</f>
        <v/>
      </c>
      <c r="BL313" s="52" t="str">
        <f>IF(Atletas!L309="","",IF(Atletas!W309&lt;&gt;"",10000,0)+(IF(Atletas!B309="Feminino",1000,IF(Atletas!B309="Masculino",2000,""))+(IF(Atletas!L309="Chaquan A",101,IF(Atletas!L309="Emeiquan A",102,IF(Atletas!L309="Fanziquan A",103,IF(Atletas!L309="Huaquan A",104,IF(Atletas!L309="Hongquan A",105,IF(Atletas!L309="Paochui A",106,IF(Atletas!L309="Piguaquan A",107,IF(Atletas!L309="Shaolinquan A",108,IF(Atletas!L309="Tanglangquan A",109,IF(Atletas!L309="Yinzhaophai A",110,IF(Atletas!L309="Tongbeiquan A",111,IF(Atletas!L309="Wudangquan A",112,IF(Atletas!L309="Outros Estilos A",113,IF(Atletas!L309="Chaquan B",114,IF(Atletas!L309="Emeiquan B",115,IF(Atletas!L309="Fanziquan B",116,IF(Atletas!L309="Huaquan B",117,IF(Atletas!L309="Hongquan B",118,IF(Atletas!L309="Paochui B",119,IF(Atletas!L309="Piguaquan B",120,IF(Atletas!L309="Shaolinquan B",121,IF(Atletas!L309="Tanglangquan B",122,IF(Atletas!L309="Yinzhaophai B",123,IF(Atletas!L309="Tongbeiquan B",124,IF(Atletas!L309="Wudangquan B",125,IF(Atletas!L309="Outros Estilos B",126,IF(Atletas!L309="Chaquan C",127,IF(Atletas!L309="Emeiquan C",128,IF(Atletas!L309="Fanziquan C",129,IF(Atletas!L309="Huaquan C",130,IF(Atletas!L309="Hongquan C",131,IF(Atletas!L309="Paochui C",132,IF(Atletas!L309="Piguaquan C",133,IF(Atletas!L309="Shaolinquan C",134,IF(Atletas!L309="Tanglangquan C",135,IF(Atletas!L309="Yinzhaophai C",136,IF(Atletas!L309="Tongbeiquan C",137,IF(Atletas!L309="Wudangquan C",138,IF(Atletas!L309="Outros Estilos C",139,0))))))))))))))))))))))))))))))))))))))))))</f>
        <v/>
      </c>
      <c r="BM313" s="52" t="str">
        <f>IF(Atletas!L309="","",IF(Atletas!W309&lt;&gt;"",10000,0)+(IF(Atletas!B309="Feminino",1000,IF(Atletas!B309="Masculino",2000,""))+(IF(Atletas!L309="Chaquan D",140,IF(Atletas!L309="Emeiquan D",141,IF(Atletas!L309="Fanziquan D",142,IF(Atletas!L309="Huaquan D",143,IF(Atletas!L309="Hongquan D",144,IF(Atletas!L309="Paochui D",145,IF(Atletas!L309="Piguaquan D",146,IF(Atletas!L309="Shaolinquan D",147,IF(Atletas!L309="Tanglangquan D",148,IF(Atletas!L309="Yinzhaophai D",149,IF(Atletas!L309="Tongbeiquan D",150,IF(Atletas!L309="Wudangquan D",151,IF(Atletas!L309="Outros Estilos D",152,IF(Atletas!L309="Chaquan E",153,IF(Atletas!L309="Emeiquan E",154,IF(Atletas!L309="Fanziquan E",155,IF(Atletas!L309="Huaquan E",156,IF(Atletas!L309="Hongquan E",157,IF(Atletas!L309="Paochui E",158,IF(Atletas!L309="Piguaquan E",159,IF(Atletas!L309="Shaolinquan E",160,IF(Atletas!L309="Tanglangquan E",161,IF(Atletas!L309="Yinzhaophai E",162,IF(Atletas!L309="Tongbeiquan E",163,IF(Atletas!L309="Wudangquan E",164,IF(Atletas!L309="Outros Estilos E",165,IF(Atletas!L309="Chaquan F",166,IF(Atletas!L309="Emeiquan F",167,IF(Atletas!L309="Fanziquan F",168,IF(Atletas!L309="Huaquan F",169,IF(Atletas!L309="Hongquan F",170,IF(Atletas!L309="Paochui F",171,IF(Atletas!L309="Piguaquan F",172,IF(Atletas!L309="Shaolinquan F",173,IF(Atletas!L309="Tanglangquan F",174,IF(Atletas!L309="Yinzhaophai F",175,IF(Atletas!L309="Tongbeiquan F",176,IF(Atletas!L309="Wudangquan F",177,IF(Atletas!L309="Outros Estilos F",178,0))))))))))))))))))))))))))))))))))))))))))</f>
        <v/>
      </c>
      <c r="BN313" s="52" t="str">
        <f>IF(Atletas!M309="","",IF(Atletas!W309&lt;&gt;"",10000,0)+(IF(Atletas!B309="Feminino",1000,IF(Atletas!B309="Masculino",2000,""))+(IF(Atletas!M309="Ditangquan A",201,IF(Atletas!M309="Houquan A",202,IF(Atletas!M309="Zuiquan A",203,IF(Atletas!M309="Ditangquan B",204,IF(Atletas!M309="Houquan B",205,IF(Atletas!M309="Zuiquan B",206,IF(Atletas!M309="Ditangquan C",207,IF(Atletas!M309="Houquan C",208,IF(Atletas!M309="Zuiquan C",209,IF(Atletas!M309="Ditangquan D",210,IF(Atletas!M309="Houquan D",211,IF(Atletas!M309="Zuiquan D",212,IF(Atletas!M309="Ditangquan E",213,IF(Atletas!M309="Houquan E",214,IF(Atletas!M309="Zuiquan E",215,IF(Atletas!M309="Ditangquan F",216,IF(Atletas!M309="Houquan F",217,IF(Atletas!M309="Zuiquan F",218,"")))))))))))))))))))))</f>
        <v/>
      </c>
      <c r="BO313" s="52" t="str">
        <f>IF(Atletas!N309="","",IF(Atletas!W309&lt;&gt;"",10000,0)+IF(Atletas!B309="Feminino",1000,IF(Atletas!B309="Masculino",2000,""))+IF(Atletas!N309="Yang A",301,IF(Atletas!N309="Chen A",30,IF(Atletas!N309="Sun A",303,IF(Atletas!N309="Wu A",304,IF(Atletas!N309="Wu-Hao A",305,IF(Atletas!N309="Outro Taijiquan A",306,IF(Atletas!N309="Yang B",307,IF(Atletas!N309="Chen B",308,IF(Atletas!N309="Sun B",309,IF(Atletas!N309="Wu B",310,IF(Atletas!N309="Wu-Hao B",311,IF(Atletas!N309="Outro Taijiquan B",312,IF(Atletas!N309="Yang C",313,IF(Atletas!N309="Chen C",314,IF(Atletas!N309="Sun C",315,IF(Atletas!N309="Wu C",316,IF(Atletas!N309="Wu-Hao C",317,IF(Atletas!N309="Outro Taijiquan C",318,IF(Atletas!N309="Yang D",319,IF(Atletas!N309="Chen D",320,IF(Atletas!N309="Sun D",321,IF(Atletas!N309="Wu D",322,IF(Atletas!N309="Wu-Hao D",323,IF(Atletas!N309="Outro Taijiquan D",324,IF(Atletas!N309="Yang E",325,IF(Atletas!N309="Chen E",326,IF(Atletas!N309="Sun E",327,IF(Atletas!N309="Wu E",328,IF(Atletas!N309="Wu-Hao E",329,IF(Atletas!N309="Outro Taijiquan E",330,IF(Atletas!N309="Yang F",331,IF(Atletas!N309="Chen F",332,IF(Atletas!N309="Sun F",333,IF(Atletas!N309="Wu F",334,IF(Atletas!N309="Wu-Hao F",335,IF(Atletas!N309="Outro Taijiquan F",336,"")))))))))))))))))))))))))))))))))))))</f>
        <v/>
      </c>
      <c r="BP313" s="52" t="str">
        <f>IF(Atletas!O309="","",IF(Atletas!W309&lt;&gt;"",10000,0)+IF(Atletas!B309="Feminino",1000,IF(Atletas!B309="Masculino",2000,""))+IF(OR(Atletas!O309="Yang 26 A",Atletas!O309="Yang 40 A"),401,IF(OR(Atletas!O309="Chen 25 A",Atletas!O309="Chen 36 A",Atletas!O309="Chen 56 A"),402,IF(Atletas!O309="Sun 73 A",403,IF(Atletas!O309="Wu 45 A",404,IF(Atletas!O309="Wu-Hao 46 A",405,IF(OR(Atletas!O309="Taijiquan 16 A",Atletas!O309="Taijiquan 24 A",Atletas!O309="Taijiquan 32 A",Atletas!O309="Taijiquan 42 A"),406,IF(OR(Atletas!O309="Yang 26 B",Atletas!O309="Yang 40 B"),407,IF(OR(Atletas!O309="Chen 25 B",Atletas!O309="Chen 36 B",Atletas!O309="Chen 56 B"),408,IF(Atletas!O309="Sun 73 B",409,IF(Atletas!O309="Wu 45 B",410,IF(Atletas!O309="Wu-Hao 46 B",411,IF(OR(Atletas!O309="Taijiquan 16 B",Atletas!O309="Taijiquan 24 B",Atletas!O309="Taijiquan 32 B",Atletas!O309="Taijiquan 42 B"),412,IF(OR(Atletas!O309="Yang 26 C",Atletas!O309="Yang 40 C"),413,IF(OR(Atletas!O309="Chen 25 C",Atletas!O309="Chen 36 C",Atletas!O309="Chen 56 C"),414,IF(Atletas!O309="Sun 73 C",415,IF(Atletas!O309="Wu 45 C",416,IF(Atletas!O309="Wu-Hao 46 C",417,IF(OR(Atletas!O309="Taijiquan 16 C",Atletas!O309="Taijiquan 24 C",Atletas!O309="Taijiquan 32 C",Atletas!O309="Taijiquan 42 C"),418,0)))))))))))))))))))</f>
        <v/>
      </c>
      <c r="BQ313" s="52" t="str">
        <f>IF(Atletas!O309="","",IF(Atletas!W309&lt;&gt;"",10000,0)+IF(Atletas!B309="Feminino",1000,IF(Atletas!B309="Masculino",2000,""))+IF(OR(Atletas!O309="Yang 26 D",Atletas!O309="Yang 40 D"),419,IF(OR(Atletas!O309="Chen 25 D",Atletas!O309="Chen 36 D",Atletas!O309="Chen 56 D"),420,IF(Atletas!O309="Sun 73 D",421,IF(Atletas!O309="Wu 45 D",422,IF(Atletas!O309="Wu-Hao 46 D",423,IF(OR(Atletas!O309="Taijiquan 16 D",Atletas!O309="Taijiquan 24 D",Atletas!O309="Taijiquan 32 D",Atletas!O309="Taijiquan 42 D"),424,IF(OR(Atletas!O309="Yang 26 E",Atletas!O309="Yang 40 E"),425,IF(OR(Atletas!O309="Chen 25 E",Atletas!O309="Chen 36 E",Atletas!O309="Chen 56 E"),426,IF(Atletas!O309="Sun 73 E",427,IF(Atletas!O309="Wu 45 E",428,IF(Atletas!O309="Wu-Hao 46 E",429,IF(OR(Atletas!O309="Taijiquan 16 E",Atletas!O309="Taijiquan 24 E",Atletas!O309="Taijiquan 32 E",Atletas!O309="Taijiquan 42 E"),430,IF(OR(Atletas!O309="Yang 26 F",Atletas!O309="Yang 40 F"),431,IF(OR(Atletas!O309="Chen 25 F",Atletas!O309="Chen 36 F",Atletas!O309="Chen 56 F"),432,IF(Atletas!O309="Sun 73 F",433,IF(Atletas!O309="Wu 45 F",434,IF(Atletas!O309="Wu-Hao 46 F",435,IF(OR(Atletas!O309="Taijiquan 16 F",Atletas!O309="Taijiquan 24 F",Atletas!O309="Taijiquan 32 F",Atletas!O309="Taijiquan 42 F"),436,0)))))))))))))))))))</f>
        <v/>
      </c>
      <c r="BR313" s="52" t="str">
        <f>IF(Atletas!P309="","",IF(Atletas!W309&lt;&gt;"",10000,0)+IF(Atletas!B309="Feminino",1000,IF(Atletas!B309="Masculino",2000,""))+IF(Atletas!P309="Xingyiquan A",501,IF(Atletas!P309="Baguazhang A",502,IF(Atletas!P309="Outro Estilo Interno A",503,IF(Atletas!P309="Xingyiquan B",504,IF(Atletas!P309="Baguazhang B",505,IF(Atletas!P309="Outro Estilo Interno B",506,IF(Atletas!P309="Xingyiquan C",507,IF(Atletas!P309="Baguazhang C",508,IF(Atletas!P309="Outro Estilo Interno C",509,IF(Atletas!P309="Xingyiquan D",510,IF(Atletas!P309="Baguazhang D",511,IF(Atletas!P309="Outro Estilo Interno D",512,IF(Atletas!P309="Xingyiquan E",513,IF(Atletas!P309="Baguazhang E",514,IF(Atletas!P309="Outro Estilo Interno E",515,IF(Atletas!P309="Xingyiquan F",516,IF(Atletas!P309="Baguazhang F",517,IF(Atletas!P309="Outro Estilo Interno F",518, "")))))))))))))))))))</f>
        <v/>
      </c>
      <c r="BS313" s="52" t="str">
        <f>IF(Atletas!Q309="","",IF(Atletas!W309&lt;&gt;"",10000,0)+IF(Atletas!B309="Feminino",1000,IF(Atletas!B309="Masculino",2000,""))+IF(Atletas!Q309="Dao A",601,IF(Atletas!Q309="Jian A",602,IF(Atletas!Q309="Bishou A",603,IF(Atletas!Q309="Shan A",604,IF(Atletas!Q309="Outra Arma Curta A",605,IF(Atletas!Q309="Dao B",606,IF(Atletas!Q309="Jian B",607,IF(Atletas!Q309="Bishou B",608,IF(Atletas!Q309="Shan B",609,IF(Atletas!Q309="Outra Arma Curta B",610,IF(Atletas!Q309="Dao C",611,IF(Atletas!Q309="Jian C",612,IF(Atletas!Q309="Bishou C",613,IF(Atletas!Q309="Shan C",614,IF(Atletas!Q309="Outra Arma Curta C",615,IF(Atletas!Q309="Dao D",616,IF(Atletas!Q309="Jian D",617,IF(Atletas!Q309="Bishou D",618,IF(Atletas!Q309="Shan D",619,IF(Atletas!Q309="Outra Arma Curta D",620,IF(Atletas!Q309="Dao E",621,IF(Atletas!Q309="Jian E",622,IF(Atletas!Q309="Bishou E",623,IF(Atletas!Q309="Shan E",624,IF(Atletas!Q309="Outra Arma Curta E",625,IF(Atletas!Q309="Dao F",626,IF(Atletas!Q309="Jian F",627,IF(Atletas!Q309="Bishou F",628,IF(Atletas!Q309="Shan F",629,IF(Atletas!Q309="Outra Arma Curta F",630, "")))))))))))))))))))))))))))))))</f>
        <v/>
      </c>
      <c r="BT313" s="52" t="str">
        <f>IF(Atletas!R309="","",IF(Atletas!W309&lt;&gt;"",10000,0)+IF(Atletas!B309="Feminino",1000,IF(Atletas!B309="Masculino",2000,""))+IF(Atletas!R309="Gun A",701,IF(Atletas!R309="Qiang A",702,IF(Atletas!R309="Pudao / Guandao A",703,IF(Atletas!R309="Outra Arma Longa A",704,IF(Atletas!R309="Gun B",705,IF(Atletas!R309="Qiang B",706,IF(Atletas!R309="Pudao / Guandao B",707,IF(Atletas!R309="Outra Arma Longa B",708,IF(Atletas!R309="Gun C",709,IF(Atletas!R309="Qiang C",710,IF(Atletas!R309="Pudao / Guandao C",711,IF(Atletas!R309="Outra Arma Longa C",712,IF(Atletas!R309="Gun D",713,IF(Atletas!R309="Qiang D",714,IF(Atletas!R309="Pudao / Guandao D",715,IF(Atletas!R309="Outra Arma Longa D",716,IF(Atletas!R309="Gun E",717,IF(Atletas!R309="Qiang E",718,IF(Atletas!R309="Pudao / Guandao E",719,IF(Atletas!R309="Outra Arma Longa E",720,IF(Atletas!R309="Gun F",721,IF(Atletas!R309="Qiang F",722,IF(Atletas!R309="Pudao / Guandao F",723,IF(Atletas!R309="Outra Arma Longa F",724,"")))))))))))))))))))))))))</f>
        <v/>
      </c>
      <c r="BU313" s="52" t="str">
        <f>IF(Atletas!S309="","",IF(Atletas!W309&lt;&gt;"",10000,0)+IF(Atletas!B309="Feminino",1000,IF(Atletas!B309="Masculino",2000,""))+IF(Atletas!S309="Arma Dupla A",801,IF(Atletas!S309="Arma Maleável A",802,IF(Atletas!S309="Arma Dupla B",803,IF(Atletas!S309="Arma Maleável B",804,IF(Atletas!S309="Arma Dupla C",805,IF(Atletas!S309="Arma Maleável C",806,IF(Atletas!S309="Arma Dupla D",807,IF(Atletas!S309="Arma Maleável D",808,IF(Atletas!S309="Arma Dupla E",809,IF(Atletas!S309="Arma Maleável E",810,IF(Atletas!S309="Arma Dupla F",811,IF(Atletas!S309="Arma Maleável F",812, "")))))))))))))</f>
        <v/>
      </c>
      <c r="BV313" s="52" t="str">
        <f>IF(Atletas!T309="","",IF(Atletas!W309&lt;&gt;"",10000,0)+IF(Atletas!B309="Feminino",1000,IF(Atletas!B309="Masculino",2000,""))+IF(Atletas!T309="Taijijian Yang A",901,IF(Atletas!T309="Taijijian Chen A",902,IF(Atletas!T309="Taijijian Sun A",903,IF(Atletas!T309="Taijijian Wu A",904,IF(Atletas!T309="Taijijian Wu-Hao A",905,IF(Atletas!T309="Taijijian 32 A",906,IF(Atletas!T309="Taijijian 42 A",907,IF(Atletas!T309="Taijijian Yang B",908,IF(Atletas!T309="Taijijian Chen B",909,IF(Atletas!T309="Taijijian Sun B",910,IF(Atletas!T309="Taijijian Wu B",911,IF(Atletas!T309="Taijijian Wu-Hao B",912,IF(Atletas!T309="Taijijian 32 B",913,IF(Atletas!T309="Taijijian 42 B",914,IF(Atletas!T309="Taijijian Yang C",915,IF(Atletas!T309="Taijijian Chen C",916,IF(Atletas!T309="Taijijian Sun C",917,IF(Atletas!T309="Taijijian Wu C",918,IF(Atletas!T309="Taijijian Wu-Hao C",919,IF(Atletas!T309="Taijijian 32 C",920,IF(Atletas!T309="Taijijian 42 C",921,IF(Atletas!T309="Taijijian Yang D",922,IF(Atletas!T309="Taijijian Chen D",923,IF(Atletas!T309="Taijijian Sun D",924,IF(Atletas!T309="Taijijian Wu D",925,IF(Atletas!T309="Taijijian Wu-Hao D",926,IF(Atletas!T309="Taijijian 32 D",927,IF(Atletas!T309="Taijijian 42 D",928,IF(Atletas!T309="Taijijian Yang E",929,IF(Atletas!T309="Taijijian Chen E",930,IF(Atletas!T309="Taijijian Sun E",931,IF(Atletas!T309="Taijijian Wu E",932,IF(Atletas!T309="Taijijian Wu-Hao E",933,IF(Atletas!T309="Taijijian 32 E",934,IF(Atletas!T309="Taijijian 42 E",935,IF(Atletas!T309="Taijijian Yang F",936,IF(Atletas!T309="Taijijian Chen F",937,IF(Atletas!T309="Taijijian Sun F",938,IF(Atletas!T309="Taijijian Wu F",939,IF(Atletas!T309="Taijijian Wu-Hao F",940,IF(Atletas!T309="Taijijian 32 F",941,IF(Atletas!T309="Taijijian 42 F",942,"")))))))))))))))))))))))))))))))))))))))))))</f>
        <v/>
      </c>
      <c r="BW313" s="52" t="str">
        <f>IF(Atletas!U309="","",IF(Atletas!W309&lt;&gt;"",10000,0)+IF(Atletas!B309="Feminino",1000,IF(Atletas!B309="Masculino",2000,""))+IF(Atletas!T309="Taijijian 42 F",942,IF(Atletas!U309="Taijidao A",943,IF(Atletas!U309="Taijishan A",944,IF(Atletas!U309="Taijiqiang A",945,IF(Atletas!U309="Taijidao B",946,IF(Atletas!U309="Taijishan B",947,IF(Atletas!U309="Taijiqiang B",948,IF(Atletas!U309="Taijidao C",949,IF(Atletas!U309="Taijishan C",950,IF(Atletas!U309="Taijiqiang C",951,IF(Atletas!U309="Taijidao D",952,IF(Atletas!U309="Taijishan D",953,IF(Atletas!U309="Taijiqiang D",954,IF(Atletas!U309="Taijidao E",955,IF(Atletas!U309="Taijishan E",956,IF(Atletas!U309="Taijiqiang E",957,IF(Atletas!U309="Taijidao F",958,IF(Atletas!U309="Taijishan F",959,IF(Atletas!U309="Taijiqiang F",960))))))))))))))))))))</f>
        <v/>
      </c>
      <c r="BX313" s="72" t="str">
        <f>IF(BY313&lt;&gt;"","Taijijian Yang E","")</f>
        <v/>
      </c>
      <c r="BY313" s="72" t="str">
        <f>IF(COUNTIF(BK:BW,1929)&gt;0,COUNTIF(BK:BW,1929),"")</f>
        <v/>
      </c>
      <c r="BZ313" s="72" t="str">
        <f>IF(CA313&lt;&gt;"","Taijijian Yang E","")</f>
        <v/>
      </c>
      <c r="CA313" s="72" t="str">
        <f>IF(COUNTIF(BK:BW,2929)&gt;0,COUNTIF(BK:BW,2929),"")</f>
        <v/>
      </c>
      <c r="CB313" s="72" t="str">
        <f>IF(CC313&lt;&gt;"","Gun A","")</f>
        <v/>
      </c>
      <c r="CC313" s="64" t="str">
        <f>IF(COUNTIF(BK:BW,11701)&gt;0,COUNTIF(BK:BW,11701),"")</f>
        <v/>
      </c>
      <c r="CD313" s="64" t="str">
        <f>IF(CE313&lt;&gt;"","Gun A","")</f>
        <v/>
      </c>
      <c r="CE313" s="64" t="str">
        <f>IF(COUNTIF(BK:BW,12701)&gt;0,COUNTIF(BK:BW,12701),"")</f>
        <v/>
      </c>
      <c r="CF313" s="52" t="str">
        <f xml:space="preserve"> IF(Atletas!V309="","",IF(Atletas!V309="Duilian de Mãos AB - Equipe 1",1,IF(Atletas!V309="Duilian de Mãos AB - Equipe 2",2,IF(Atletas!V309="Duilian de Armas AB - Equipe 1",3,IF(Atletas!V309="Duilian de Armas AB - Equipe 2",4,IF(Atletas!V309="Duilian de Tuishou - Equipe 1",5,IF(Atletas!V309="Duilian de Tuishou - Equipe 2",6,IF(Atletas!V309="Grupo Externo AB - Equipe 1",7,IF(Atletas!V309="Grupo Externo AB - Equipe 2",8,IF(Atletas!V309="Grupo Interno AB - Equipe 1",9,IF(Atletas!V309="Grupo Interno AB - Equipe 2",10,IF(Atletas!V309="Duilian de Mãos CD - Equipe 1",11,IF(Atletas!V309="Duilian de Mãos CD - Equipe 2",12,IF(Atletas!V309="Duilian de Armas CD - Equipe 1",13,IF(Atletas!V309="Duilian de Armas CD - Equipe 2",14,IF(Atletas!V309="Duilian de Tuishou - Equipe 1",15,IF(Atletas!V309="Duilian de Tuishou - Equipe 2",16,IF(Atletas!V309="Grupo Externo CDEF - Equipe 1",17,IF(Atletas!V309="Grupo Externo CDEF - Equipe 2",18,IF(Atletas!V309="Grupo Interno CDEF - Equipe 1",19,IF(Atletas!V309="Grupo Interno CDEF - Equipe 2",20,IF(Atletas!V309="Duilian de Mãos EF - Equipe 1",21,IF(Atletas!V309="Duilian de Mãos EF - Equipe 2",22,IF(Atletas!V309="Duilian de Armas EF - Equipe 1",23,IF(Atletas!V309="Duilian de Armas EF - Equipe 2",24,IF(Atletas!V309="Duilian de Tuishou - Equipe 1",25,IF(Atletas!V309="Duilian de Tuishou - Equipe 2",26,"")))))))))))))))))))))))))))</f>
        <v/>
      </c>
    </row>
    <row r="314" spans="36:84">
      <c r="AJ314" s="46" t="str">
        <f>IF(Atletas!D310="","",IF(Atletas!B310="Feminino",100,IF(Atletas!B310="Masculino",200,""))+(IF(Atletas!D310="Infantil 39kg",1,IF(Atletas!D310="Infantil 42kg",2,IF(Atletas!D310="Infantil 45kg",3,IF(Atletas!D310="Infantil 48kg",4,IF(Atletas!D310="Infantil 52kg",5,IF(Atletas!D310="Infantil 56kg",6,IF(Atletas!D310="Infantil 60kg",7,IF(Atletas!D310="Juvenil 48kg",8,IF(Atletas!D310="Juvenil 52kg",9,IF(Atletas!D310="Juvenil 56kg",10,IF(Atletas!D310="Juvenil 60kg",11,IF(Atletas!D310="Juvenil 65kg",12,IF(Atletas!D310="Juvenil 70kg",13,IF(Atletas!D310="Juvenil 75kg",14,IF(Atletas!D310="Juvenil 80kg",15,IF(Atletas!D310="Adulto 48kg",16,IF(Atletas!D310="Adulto 52kg",17,IF(Atletas!D310="Adulto 56kg",18,IF(Atletas!D310="Adulto 60kg",19,IF(Atletas!D310="Adulto 65kg",20,IF(Atletas!D310="Adulto 70kg",21,IF(Atletas!D310="Adulto 75kg",22,IF(Atletas!D310="Adulto 80kg",23,IF(Atletas!D310="Adulto 85kg",24,IF(Atletas!D310="Adulto 90kg",25,IF(Atletas!D310="Adulto +90kg",26,""))))))))))))))))))))))))))))</f>
        <v/>
      </c>
      <c r="AO314" s="10" t="str">
        <f>IF(Atletas!E310="","",IF(Atletas!B310="Feminino",100,IF(Atletas!B310="Masculino",200,""))+(IF(Atletas!E310="Juvenil 44kg",1,IF(Atletas!E310="Juvenil 48kg",2,IF(Atletas!E310="Juvenil 52kg",3,IF(Atletas!E310="Juvenil 56kg",4,IF(Atletas!E310="Juvenil 60kg",5,IF(Atletas!E310="Juvenil 65kg",6,IF(Atletas!E310="Juvenil 70kg",7,IF(Atletas!E310="Juvenil 75kg",8,IF(Atletas!E310="Juvenil 82kg",9,IF(Atletas!E310="Juvenil 90kg",10,IF(Atletas!E310="Juvenil 100kg",11,IF(Atletas!E310="Adulto 48kg",12,IF(Atletas!E310="Adulto 52kg",13,IF(Atletas!E310="Adulto 56kg",14,IF(Atletas!E310="Adulto 60kg",15,IF(Atletas!E310="Adulto 65kg",16,IF(Atletas!E310="Adulto 70kg",17,IF(Atletas!E310="Adulto 75kg",18,IF(Atletas!E310="Adulto 82kg",19,IF(Atletas!E310="Adulto 90kg",20,IF(Atletas!E310="Adulto 100kg",21,IF(Atletas!E310="Adulto +100kg",22,""))))))))))))))))))))))))</f>
        <v/>
      </c>
      <c r="AT314" s="10" t="str">
        <f>IF(Atletas!F310="","",IF(Atletas!B310="Feminino",100,IF(Atletas!B310="Masculino",200,""))+(IF(Atletas!F310="Adulto 48kg",1,IF(Atletas!F310="Adulto 56kg",2,IF(Atletas!F310="Adulto 65kg",3,IF(Atletas!F310="Adulto 75kg",4,IF(Atletas!F310="Adulto +75kg",5,IF(Atletas!F310="Adulto 52kg",6,IF(Atletas!F310="Adulto 60kg",7,IF(Atletas!F310="Adulto 70kg",8,IF(Atletas!F310="Adulto 80kg",9,IF(Atletas!F310="Adulto 90kg",10,IF(Atletas!F310="Adulto +90kg",11,"")))))))))))))</f>
        <v/>
      </c>
      <c r="AY314" s="46" t="str">
        <f>IF(Atletas!G310="","",IF(Atletas!B310="Feminino",100,IF(Atletas!B310="Masculino",200,""))+(IF(Atletas!G310="Changquan Mirim",1,IF(Atletas!G310="Nanquan Mirim",2,IF(Atletas!G310="Taijiquan Mirim",3,IF(Atletas!G310="Changquan Grupo C",4,IF(Atletas!G310="Nanquan Grupo C",5,IF(Atletas!G310="Taijiquan Grupo C",6,IF(Atletas!G310="Changquan Grupo B",7,IF(Atletas!G310="Nanquan Grupo B",8,IF(Atletas!G310="Taijiquan Grupo B",9,IF(Atletas!G310="Changquan Grupo A",10,IF(Atletas!G310="Nanquan Grupo A",11,IF(Atletas!G310="Taijiquan Grupo A",12,IF(Atletas!G310="Changquan Opcional",13,IF(Atletas!G310="Nanquan Opcional",14,IF(Atletas!G310="Taijiquan Opcional",15,IF(Atletas!G310="Changquan Adulto",16,IF(Atletas!G310="Nanquan Adulto",17,IF(Atletas!G310="Taijiquan Adulto",18,""))))))))))))))))))))</f>
        <v/>
      </c>
      <c r="AZ314" s="46" t="str">
        <f>IF(Atletas!H310="","",IF(Atletas!B310="Feminino",100,IF(Atletas!B310="Masculino",200,""))+(IF(Atletas!H310="Daoshu Mirim",19,IF(Atletas!H310="Jianshu Mirim",20,IF(Atletas!H310="Nandao Mirim",21,IF(Atletas!H310="Taijijian Mirim",22,IF(Atletas!H310="Daoshu Grupo C",23,IF(Atletas!H310="Jianshu Grupo C",24,IF(Atletas!H310="Nandao Grupo C",25,IF(Atletas!H310="Taijijian Grupo C",26,IF(Atletas!H310="Daoshu Grupo B",27,IF(Atletas!H310="Jianshu Grupo B",28,IF(Atletas!H310="Nandao Grupo B",29,IF(Atletas!H310="Taijijian Grupo B",30,IF(Atletas!H310="Daoshu Grupo A",31,IF(Atletas!H310="Jianshu Grupo A",32,IF(Atletas!H310="Nandao Grupo A",33,IF(Atletas!H310="Taijijian Grupo A",34,IF(Atletas!H310="Daoshu Opcional",35,IF(Atletas!H310="Jianshu Opcional",36,IF(Atletas!H310="Nandao Opcional",37,IF(Atletas!H310="Taijijian Opcional",38,IF(Atletas!H310="Daoshu Adulto",39,IF(Atletas!H310="Jianshu Adulto",40,IF(Atletas!H310="Nandao Adulto",41,IF(Atletas!H310="Taijijian Adulto",42,""))))))))))))))))))))))))))</f>
        <v/>
      </c>
      <c r="BA314" s="46" t="str">
        <f>IF(Atletas!I310="","",IF(Atletas!B310="Feminino",100,IF(Atletas!B310="Masculino",200,""))+(IF(Atletas!I310="Gunshu Mirim",43,IF(Atletas!I310="Qiangshu Mirim",44,IF(Atletas!I310="Nangun Mirim",45,IF(Atletas!I310="Gunshu Grupo C",46,IF(Atletas!I310="Qiangshu Grupo C",47,IF(Atletas!I310="Nangun Grupo C",48,IF(Atletas!I310="Gunshu Grupo B",49,IF(Atletas!I310="Qiangshu Grupo B",50,IF(Atletas!I310="Nangun Grupo B",51,IF(Atletas!I310="Gunshu Grupo A",52,IF(Atletas!I310="Qiangshu Grupo A",53,IF(Atletas!I310="Nangun Grupo A",54,IF(Atletas!I310="Gunshu Opcional",55,IF(Atletas!I310="Qiangshu Opcional",56,IF(Atletas!I310="Nangun Opcional",57,IF(Atletas!I310="Gunshu Adulto",58,IF(Atletas!I310="Qiangshu Adulto",59,IF(Atletas!I310="Nangun Adulto",60,""))))))))))))))))))))</f>
        <v/>
      </c>
      <c r="BF314" s="52" t="str">
        <f>IF(Atletas!J310="","",IF(Atletas!B310="Feminino",100,IF(Atletas!B310="Masculino",200,""))+(IF(Atletas!J310="Equipe 1 Grupo B",1,IF(Atletas!J310="Equipe 2 Grupo B",2,IF(Atletas!J310="Equipe 1 Grupo A",3,IF(Atletas!J310="Equipe 2 Grupo A",4,IF(Atletas!J310="Equipe 1 Adulto",5,IF(Atletas!J310="Equipe 2 Adulto",6,""))))))))</f>
        <v/>
      </c>
      <c r="BK314" s="52" t="str">
        <f>IF(Atletas!K310="","",IF(Atletas!W310&lt;&gt;"",10000,0)+(IF(Atletas!B310="Feminino",1000,IF(Atletas!B310="Masculino",2000,""))+IF(Atletas!K310="Choylayfut A",1,IF(Atletas!K310="Hunggar A",2,IF(Atletas!K310="Wuzuquan A",3,IF(Atletas!K310="Wingchun A",4,IF(Atletas!K310="Outra Mão de Sul A",5,IF(Atletas!K310="Choylayfut B",6,IF(Atletas!K310="Hunggar B",7,IF(Atletas!K310="Wuzuquan B",8,IF(Atletas!K310="Wingchun B",9,IF(Atletas!K310="Outra Mão de Sul B",10,IF(Atletas!K310="Choylayfut C",11,IF(Atletas!K310="Hunggar C",12,IF(Atletas!K310="Wuzuquan C",13,IF(Atletas!K310="Wingchun C",14,IF(Atletas!K310="Outra Mão de Sul C",15,IF(Atletas!K310="Choylayfut D",16,IF(Atletas!K310="Hunggar D",17,IF(Atletas!K310="Wuzuquan D",18,IF(Atletas!K310="Wingchun D",19,IF(Atletas!K310="Outra Mão de Sul D",20,IF(Atletas!K310="Choylayfut E",21,IF(Atletas!K310="Hunggar E",22,IF(Atletas!K310="Wuzuquan E",23,IF(Atletas!K310="Wingchun E",24,IF(Atletas!K310="Outra Mão de Sul E",25,IF(Atletas!K310="Choylayfut F",26,IF(Atletas!K310="Hunggar F",27,IF(Atletas!K310="Wuzuquan F",28,IF(Atletas!K310="Wingchun F",29,IF(Atletas!K310="Outra Mão de Sul F",30,""))))))))))))))))))))))))))))))))</f>
        <v/>
      </c>
      <c r="BL314" s="52" t="str">
        <f>IF(Atletas!L310="","",IF(Atletas!W310&lt;&gt;"",10000,0)+(IF(Atletas!B310="Feminino",1000,IF(Atletas!B310="Masculino",2000,""))+(IF(Atletas!L310="Chaquan A",101,IF(Atletas!L310="Emeiquan A",102,IF(Atletas!L310="Fanziquan A",103,IF(Atletas!L310="Huaquan A",104,IF(Atletas!L310="Hongquan A",105,IF(Atletas!L310="Paochui A",106,IF(Atletas!L310="Piguaquan A",107,IF(Atletas!L310="Shaolinquan A",108,IF(Atletas!L310="Tanglangquan A",109,IF(Atletas!L310="Yinzhaophai A",110,IF(Atletas!L310="Tongbeiquan A",111,IF(Atletas!L310="Wudangquan A",112,IF(Atletas!L310="Outros Estilos A",113,IF(Atletas!L310="Chaquan B",114,IF(Atletas!L310="Emeiquan B",115,IF(Atletas!L310="Fanziquan B",116,IF(Atletas!L310="Huaquan B",117,IF(Atletas!L310="Hongquan B",118,IF(Atletas!L310="Paochui B",119,IF(Atletas!L310="Piguaquan B",120,IF(Atletas!L310="Shaolinquan B",121,IF(Atletas!L310="Tanglangquan B",122,IF(Atletas!L310="Yinzhaophai B",123,IF(Atletas!L310="Tongbeiquan B",124,IF(Atletas!L310="Wudangquan B",125,IF(Atletas!L310="Outros Estilos B",126,IF(Atletas!L310="Chaquan C",127,IF(Atletas!L310="Emeiquan C",128,IF(Atletas!L310="Fanziquan C",129,IF(Atletas!L310="Huaquan C",130,IF(Atletas!L310="Hongquan C",131,IF(Atletas!L310="Paochui C",132,IF(Atletas!L310="Piguaquan C",133,IF(Atletas!L310="Shaolinquan C",134,IF(Atletas!L310="Tanglangquan C",135,IF(Atletas!L310="Yinzhaophai C",136,IF(Atletas!L310="Tongbeiquan C",137,IF(Atletas!L310="Wudangquan C",138,IF(Atletas!L310="Outros Estilos C",139,0))))))))))))))))))))))))))))))))))))))))))</f>
        <v/>
      </c>
      <c r="BM314" s="52" t="str">
        <f>IF(Atletas!L310="","",IF(Atletas!W310&lt;&gt;"",10000,0)+(IF(Atletas!B310="Feminino",1000,IF(Atletas!B310="Masculino",2000,""))+(IF(Atletas!L310="Chaquan D",140,IF(Atletas!L310="Emeiquan D",141,IF(Atletas!L310="Fanziquan D",142,IF(Atletas!L310="Huaquan D",143,IF(Atletas!L310="Hongquan D",144,IF(Atletas!L310="Paochui D",145,IF(Atletas!L310="Piguaquan D",146,IF(Atletas!L310="Shaolinquan D",147,IF(Atletas!L310="Tanglangquan D",148,IF(Atletas!L310="Yinzhaophai D",149,IF(Atletas!L310="Tongbeiquan D",150,IF(Atletas!L310="Wudangquan D",151,IF(Atletas!L310="Outros Estilos D",152,IF(Atletas!L310="Chaquan E",153,IF(Atletas!L310="Emeiquan E",154,IF(Atletas!L310="Fanziquan E",155,IF(Atletas!L310="Huaquan E",156,IF(Atletas!L310="Hongquan E",157,IF(Atletas!L310="Paochui E",158,IF(Atletas!L310="Piguaquan E",159,IF(Atletas!L310="Shaolinquan E",160,IF(Atletas!L310="Tanglangquan E",161,IF(Atletas!L310="Yinzhaophai E",162,IF(Atletas!L310="Tongbeiquan E",163,IF(Atletas!L310="Wudangquan E",164,IF(Atletas!L310="Outros Estilos E",165,IF(Atletas!L310="Chaquan F",166,IF(Atletas!L310="Emeiquan F",167,IF(Atletas!L310="Fanziquan F",168,IF(Atletas!L310="Huaquan F",169,IF(Atletas!L310="Hongquan F",170,IF(Atletas!L310="Paochui F",171,IF(Atletas!L310="Piguaquan F",172,IF(Atletas!L310="Shaolinquan F",173,IF(Atletas!L310="Tanglangquan F",174,IF(Atletas!L310="Yinzhaophai F",175,IF(Atletas!L310="Tongbeiquan F",176,IF(Atletas!L310="Wudangquan F",177,IF(Atletas!L310="Outros Estilos F",178,0))))))))))))))))))))))))))))))))))))))))))</f>
        <v/>
      </c>
      <c r="BN314" s="52" t="str">
        <f>IF(Atletas!M310="","",IF(Atletas!W310&lt;&gt;"",10000,0)+(IF(Atletas!B310="Feminino",1000,IF(Atletas!B310="Masculino",2000,""))+(IF(Atletas!M310="Ditangquan A",201,IF(Atletas!M310="Houquan A",202,IF(Atletas!M310="Zuiquan A",203,IF(Atletas!M310="Ditangquan B",204,IF(Atletas!M310="Houquan B",205,IF(Atletas!M310="Zuiquan B",206,IF(Atletas!M310="Ditangquan C",207,IF(Atletas!M310="Houquan C",208,IF(Atletas!M310="Zuiquan C",209,IF(Atletas!M310="Ditangquan D",210,IF(Atletas!M310="Houquan D",211,IF(Atletas!M310="Zuiquan D",212,IF(Atletas!M310="Ditangquan E",213,IF(Atletas!M310="Houquan E",214,IF(Atletas!M310="Zuiquan E",215,IF(Atletas!M310="Ditangquan F",216,IF(Atletas!M310="Houquan F",217,IF(Atletas!M310="Zuiquan F",218,"")))))))))))))))))))))</f>
        <v/>
      </c>
      <c r="BO314" s="52" t="str">
        <f>IF(Atletas!N310="","",IF(Atletas!W310&lt;&gt;"",10000,0)+IF(Atletas!B310="Feminino",1000,IF(Atletas!B310="Masculino",2000,""))+IF(Atletas!N310="Yang A",301,IF(Atletas!N310="Chen A",30,IF(Atletas!N310="Sun A",303,IF(Atletas!N310="Wu A",304,IF(Atletas!N310="Wu-Hao A",305,IF(Atletas!N310="Outro Taijiquan A",306,IF(Atletas!N310="Yang B",307,IF(Atletas!N310="Chen B",308,IF(Atletas!N310="Sun B",309,IF(Atletas!N310="Wu B",310,IF(Atletas!N310="Wu-Hao B",311,IF(Atletas!N310="Outro Taijiquan B",312,IF(Atletas!N310="Yang C",313,IF(Atletas!N310="Chen C",314,IF(Atletas!N310="Sun C",315,IF(Atletas!N310="Wu C",316,IF(Atletas!N310="Wu-Hao C",317,IF(Atletas!N310="Outro Taijiquan C",318,IF(Atletas!N310="Yang D",319,IF(Atletas!N310="Chen D",320,IF(Atletas!N310="Sun D",321,IF(Atletas!N310="Wu D",322,IF(Atletas!N310="Wu-Hao D",323,IF(Atletas!N310="Outro Taijiquan D",324,IF(Atletas!N310="Yang E",325,IF(Atletas!N310="Chen E",326,IF(Atletas!N310="Sun E",327,IF(Atletas!N310="Wu E",328,IF(Atletas!N310="Wu-Hao E",329,IF(Atletas!N310="Outro Taijiquan E",330,IF(Atletas!N310="Yang F",331,IF(Atletas!N310="Chen F",332,IF(Atletas!N310="Sun F",333,IF(Atletas!N310="Wu F",334,IF(Atletas!N310="Wu-Hao F",335,IF(Atletas!N310="Outro Taijiquan F",336,"")))))))))))))))))))))))))))))))))))))</f>
        <v/>
      </c>
      <c r="BP314" s="52" t="str">
        <f>IF(Atletas!O310="","",IF(Atletas!W310&lt;&gt;"",10000,0)+IF(Atletas!B310="Feminino",1000,IF(Atletas!B310="Masculino",2000,""))+IF(OR(Atletas!O310="Yang 26 A",Atletas!O310="Yang 40 A"),401,IF(OR(Atletas!O310="Chen 25 A",Atletas!O310="Chen 36 A",Atletas!O310="Chen 56 A"),402,IF(Atletas!O310="Sun 73 A",403,IF(Atletas!O310="Wu 45 A",404,IF(Atletas!O310="Wu-Hao 46 A",405,IF(OR(Atletas!O310="Taijiquan 16 A",Atletas!O310="Taijiquan 24 A",Atletas!O310="Taijiquan 32 A",Atletas!O310="Taijiquan 42 A"),406,IF(OR(Atletas!O310="Yang 26 B",Atletas!O310="Yang 40 B"),407,IF(OR(Atletas!O310="Chen 25 B",Atletas!O310="Chen 36 B",Atletas!O310="Chen 56 B"),408,IF(Atletas!O310="Sun 73 B",409,IF(Atletas!O310="Wu 45 B",410,IF(Atletas!O310="Wu-Hao 46 B",411,IF(OR(Atletas!O310="Taijiquan 16 B",Atletas!O310="Taijiquan 24 B",Atletas!O310="Taijiquan 32 B",Atletas!O310="Taijiquan 42 B"),412,IF(OR(Atletas!O310="Yang 26 C",Atletas!O310="Yang 40 C"),413,IF(OR(Atletas!O310="Chen 25 C",Atletas!O310="Chen 36 C",Atletas!O310="Chen 56 C"),414,IF(Atletas!O310="Sun 73 C",415,IF(Atletas!O310="Wu 45 C",416,IF(Atletas!O310="Wu-Hao 46 C",417,IF(OR(Atletas!O310="Taijiquan 16 C",Atletas!O310="Taijiquan 24 C",Atletas!O310="Taijiquan 32 C",Atletas!O310="Taijiquan 42 C"),418,0)))))))))))))))))))</f>
        <v/>
      </c>
      <c r="BQ314" s="52" t="str">
        <f>IF(Atletas!O310="","",IF(Atletas!W310&lt;&gt;"",10000,0)+IF(Atletas!B310="Feminino",1000,IF(Atletas!B310="Masculino",2000,""))+IF(OR(Atletas!O310="Yang 26 D",Atletas!O310="Yang 40 D"),419,IF(OR(Atletas!O310="Chen 25 D",Atletas!O310="Chen 36 D",Atletas!O310="Chen 56 D"),420,IF(Atletas!O310="Sun 73 D",421,IF(Atletas!O310="Wu 45 D",422,IF(Atletas!O310="Wu-Hao 46 D",423,IF(OR(Atletas!O310="Taijiquan 16 D",Atletas!O310="Taijiquan 24 D",Atletas!O310="Taijiquan 32 D",Atletas!O310="Taijiquan 42 D"),424,IF(OR(Atletas!O310="Yang 26 E",Atletas!O310="Yang 40 E"),425,IF(OR(Atletas!O310="Chen 25 E",Atletas!O310="Chen 36 E",Atletas!O310="Chen 56 E"),426,IF(Atletas!O310="Sun 73 E",427,IF(Atletas!O310="Wu 45 E",428,IF(Atletas!O310="Wu-Hao 46 E",429,IF(OR(Atletas!O310="Taijiquan 16 E",Atletas!O310="Taijiquan 24 E",Atletas!O310="Taijiquan 32 E",Atletas!O310="Taijiquan 42 E"),430,IF(OR(Atletas!O310="Yang 26 F",Atletas!O310="Yang 40 F"),431,IF(OR(Atletas!O310="Chen 25 F",Atletas!O310="Chen 36 F",Atletas!O310="Chen 56 F"),432,IF(Atletas!O310="Sun 73 F",433,IF(Atletas!O310="Wu 45 F",434,IF(Atletas!O310="Wu-Hao 46 F",435,IF(OR(Atletas!O310="Taijiquan 16 F",Atletas!O310="Taijiquan 24 F",Atletas!O310="Taijiquan 32 F",Atletas!O310="Taijiquan 42 F"),436,0)))))))))))))))))))</f>
        <v/>
      </c>
      <c r="BR314" s="52" t="str">
        <f>IF(Atletas!P310="","",IF(Atletas!W310&lt;&gt;"",10000,0)+IF(Atletas!B310="Feminino",1000,IF(Atletas!B310="Masculino",2000,""))+IF(Atletas!P310="Xingyiquan A",501,IF(Atletas!P310="Baguazhang A",502,IF(Atletas!P310="Outro Estilo Interno A",503,IF(Atletas!P310="Xingyiquan B",504,IF(Atletas!P310="Baguazhang B",505,IF(Atletas!P310="Outro Estilo Interno B",506,IF(Atletas!P310="Xingyiquan C",507,IF(Atletas!P310="Baguazhang C",508,IF(Atletas!P310="Outro Estilo Interno C",509,IF(Atletas!P310="Xingyiquan D",510,IF(Atletas!P310="Baguazhang D",511,IF(Atletas!P310="Outro Estilo Interno D",512,IF(Atletas!P310="Xingyiquan E",513,IF(Atletas!P310="Baguazhang E",514,IF(Atletas!P310="Outro Estilo Interno E",515,IF(Atletas!P310="Xingyiquan F",516,IF(Atletas!P310="Baguazhang F",517,IF(Atletas!P310="Outro Estilo Interno F",518, "")))))))))))))))))))</f>
        <v/>
      </c>
      <c r="BS314" s="52" t="str">
        <f>IF(Atletas!Q310="","",IF(Atletas!W310&lt;&gt;"",10000,0)+IF(Atletas!B310="Feminino",1000,IF(Atletas!B310="Masculino",2000,""))+IF(Atletas!Q310="Dao A",601,IF(Atletas!Q310="Jian A",602,IF(Atletas!Q310="Bishou A",603,IF(Atletas!Q310="Shan A",604,IF(Atletas!Q310="Outra Arma Curta A",605,IF(Atletas!Q310="Dao B",606,IF(Atletas!Q310="Jian B",607,IF(Atletas!Q310="Bishou B",608,IF(Atletas!Q310="Shan B",609,IF(Atletas!Q310="Outra Arma Curta B",610,IF(Atletas!Q310="Dao C",611,IF(Atletas!Q310="Jian C",612,IF(Atletas!Q310="Bishou C",613,IF(Atletas!Q310="Shan C",614,IF(Atletas!Q310="Outra Arma Curta C",615,IF(Atletas!Q310="Dao D",616,IF(Atletas!Q310="Jian D",617,IF(Atletas!Q310="Bishou D",618,IF(Atletas!Q310="Shan D",619,IF(Atletas!Q310="Outra Arma Curta D",620,IF(Atletas!Q310="Dao E",621,IF(Atletas!Q310="Jian E",622,IF(Atletas!Q310="Bishou E",623,IF(Atletas!Q310="Shan E",624,IF(Atletas!Q310="Outra Arma Curta E",625,IF(Atletas!Q310="Dao F",626,IF(Atletas!Q310="Jian F",627,IF(Atletas!Q310="Bishou F",628,IF(Atletas!Q310="Shan F",629,IF(Atletas!Q310="Outra Arma Curta F",630, "")))))))))))))))))))))))))))))))</f>
        <v/>
      </c>
      <c r="BT314" s="52" t="str">
        <f>IF(Atletas!R310="","",IF(Atletas!W310&lt;&gt;"",10000,0)+IF(Atletas!B310="Feminino",1000,IF(Atletas!B310="Masculino",2000,""))+IF(Atletas!R310="Gun A",701,IF(Atletas!R310="Qiang A",702,IF(Atletas!R310="Pudao / Guandao A",703,IF(Atletas!R310="Outra Arma Longa A",704,IF(Atletas!R310="Gun B",705,IF(Atletas!R310="Qiang B",706,IF(Atletas!R310="Pudao / Guandao B",707,IF(Atletas!R310="Outra Arma Longa B",708,IF(Atletas!R310="Gun C",709,IF(Atletas!R310="Qiang C",710,IF(Atletas!R310="Pudao / Guandao C",711,IF(Atletas!R310="Outra Arma Longa C",712,IF(Atletas!R310="Gun D",713,IF(Atletas!R310="Qiang D",714,IF(Atletas!R310="Pudao / Guandao D",715,IF(Atletas!R310="Outra Arma Longa D",716,IF(Atletas!R310="Gun E",717,IF(Atletas!R310="Qiang E",718,IF(Atletas!R310="Pudao / Guandao E",719,IF(Atletas!R310="Outra Arma Longa E",720,IF(Atletas!R310="Gun F",721,IF(Atletas!R310="Qiang F",722,IF(Atletas!R310="Pudao / Guandao F",723,IF(Atletas!R310="Outra Arma Longa F",724,"")))))))))))))))))))))))))</f>
        <v/>
      </c>
      <c r="BU314" s="52" t="str">
        <f>IF(Atletas!S310="","",IF(Atletas!W310&lt;&gt;"",10000,0)+IF(Atletas!B310="Feminino",1000,IF(Atletas!B310="Masculino",2000,""))+IF(Atletas!S310="Arma Dupla A",801,IF(Atletas!S310="Arma Maleável A",802,IF(Atletas!S310="Arma Dupla B",803,IF(Atletas!S310="Arma Maleável B",804,IF(Atletas!S310="Arma Dupla C",805,IF(Atletas!S310="Arma Maleável C",806,IF(Atletas!S310="Arma Dupla D",807,IF(Atletas!S310="Arma Maleável D",808,IF(Atletas!S310="Arma Dupla E",809,IF(Atletas!S310="Arma Maleável E",810,IF(Atletas!S310="Arma Dupla F",811,IF(Atletas!S310="Arma Maleável F",812, "")))))))))))))</f>
        <v/>
      </c>
      <c r="BV314" s="52" t="str">
        <f>IF(Atletas!T310="","",IF(Atletas!W310&lt;&gt;"",10000,0)+IF(Atletas!B310="Feminino",1000,IF(Atletas!B310="Masculino",2000,""))+IF(Atletas!T310="Taijijian Yang A",901,IF(Atletas!T310="Taijijian Chen A",902,IF(Atletas!T310="Taijijian Sun A",903,IF(Atletas!T310="Taijijian Wu A",904,IF(Atletas!T310="Taijijian Wu-Hao A",905,IF(Atletas!T310="Taijijian 32 A",906,IF(Atletas!T310="Taijijian 42 A",907,IF(Atletas!T310="Taijijian Yang B",908,IF(Atletas!T310="Taijijian Chen B",909,IF(Atletas!T310="Taijijian Sun B",910,IF(Atletas!T310="Taijijian Wu B",911,IF(Atletas!T310="Taijijian Wu-Hao B",912,IF(Atletas!T310="Taijijian 32 B",913,IF(Atletas!T310="Taijijian 42 B",914,IF(Atletas!T310="Taijijian Yang C",915,IF(Atletas!T310="Taijijian Chen C",916,IF(Atletas!T310="Taijijian Sun C",917,IF(Atletas!T310="Taijijian Wu C",918,IF(Atletas!T310="Taijijian Wu-Hao C",919,IF(Atletas!T310="Taijijian 32 C",920,IF(Atletas!T310="Taijijian 42 C",921,IF(Atletas!T310="Taijijian Yang D",922,IF(Atletas!T310="Taijijian Chen D",923,IF(Atletas!T310="Taijijian Sun D",924,IF(Atletas!T310="Taijijian Wu D",925,IF(Atletas!T310="Taijijian Wu-Hao D",926,IF(Atletas!T310="Taijijian 32 D",927,IF(Atletas!T310="Taijijian 42 D",928,IF(Atletas!T310="Taijijian Yang E",929,IF(Atletas!T310="Taijijian Chen E",930,IF(Atletas!T310="Taijijian Sun E",931,IF(Atletas!T310="Taijijian Wu E",932,IF(Atletas!T310="Taijijian Wu-Hao E",933,IF(Atletas!T310="Taijijian 32 E",934,IF(Atletas!T310="Taijijian 42 E",935,IF(Atletas!T310="Taijijian Yang F",936,IF(Atletas!T310="Taijijian Chen F",937,IF(Atletas!T310="Taijijian Sun F",938,IF(Atletas!T310="Taijijian Wu F",939,IF(Atletas!T310="Taijijian Wu-Hao F",940,IF(Atletas!T310="Taijijian 32 F",941,IF(Atletas!T310="Taijijian 42 F",942,"")))))))))))))))))))))))))))))))))))))))))))</f>
        <v/>
      </c>
      <c r="BW314" s="52" t="str">
        <f>IF(Atletas!U310="","",IF(Atletas!W310&lt;&gt;"",10000,0)+IF(Atletas!B310="Feminino",1000,IF(Atletas!B310="Masculino",2000,""))+IF(Atletas!T310="Taijijian 42 F",942,IF(Atletas!U310="Taijidao A",943,IF(Atletas!U310="Taijishan A",944,IF(Atletas!U310="Taijiqiang A",945,IF(Atletas!U310="Taijidao B",946,IF(Atletas!U310="Taijishan B",947,IF(Atletas!U310="Taijiqiang B",948,IF(Atletas!U310="Taijidao C",949,IF(Atletas!U310="Taijishan C",950,IF(Atletas!U310="Taijiqiang C",951,IF(Atletas!U310="Taijidao D",952,IF(Atletas!U310="Taijishan D",953,IF(Atletas!U310="Taijiqiang D",954,IF(Atletas!U310="Taijidao E",955,IF(Atletas!U310="Taijishan E",956,IF(Atletas!U310="Taijiqiang E",957,IF(Atletas!U310="Taijidao F",958,IF(Atletas!U310="Taijishan F",959,IF(Atletas!U310="Taijiqiang F",960))))))))))))))))))))</f>
        <v/>
      </c>
      <c r="BX314" s="72" t="str">
        <f>IF(BY314&lt;&gt;"","Taijijian Chen E","")</f>
        <v/>
      </c>
      <c r="BY314" s="72" t="str">
        <f>IF(COUNTIF(BK:BW,1930)&gt;0,COUNTIF(BK:BW,1930),"")</f>
        <v/>
      </c>
      <c r="BZ314" s="72" t="str">
        <f>IF(CA314&lt;&gt;"","Taijijian Chen E","")</f>
        <v/>
      </c>
      <c r="CA314" s="72" t="str">
        <f>IF(COUNTIF(BK:BW,2930)&gt;0,COUNTIF(BK:BW,2930),"")</f>
        <v/>
      </c>
      <c r="CB314" s="72" t="str">
        <f>IF(CC314&lt;&gt;"","Qiang A","")</f>
        <v/>
      </c>
      <c r="CC314" s="64" t="str">
        <f>IF(COUNTIF(BK:BW,11702)&gt;0,COUNTIF(BK:BW,11702),"")</f>
        <v/>
      </c>
      <c r="CD314" s="64" t="str">
        <f>IF(CE314&lt;&gt;"","Qiang A","")</f>
        <v/>
      </c>
      <c r="CE314" s="64" t="str">
        <f>IF(COUNTIF(BK:BW,12702)&gt;0,COUNTIF(BK:BW,12702),"")</f>
        <v/>
      </c>
      <c r="CF314" s="52" t="str">
        <f xml:space="preserve"> IF(Atletas!V310="","",IF(Atletas!V310="Duilian de Mãos AB - Equipe 1",1,IF(Atletas!V310="Duilian de Mãos AB - Equipe 2",2,IF(Atletas!V310="Duilian de Armas AB - Equipe 1",3,IF(Atletas!V310="Duilian de Armas AB - Equipe 2",4,IF(Atletas!V310="Duilian de Tuishou - Equipe 1",5,IF(Atletas!V310="Duilian de Tuishou - Equipe 2",6,IF(Atletas!V310="Grupo Externo AB - Equipe 1",7,IF(Atletas!V310="Grupo Externo AB - Equipe 2",8,IF(Atletas!V310="Grupo Interno AB - Equipe 1",9,IF(Atletas!V310="Grupo Interno AB - Equipe 2",10,IF(Atletas!V310="Duilian de Mãos CD - Equipe 1",11,IF(Atletas!V310="Duilian de Mãos CD - Equipe 2",12,IF(Atletas!V310="Duilian de Armas CD - Equipe 1",13,IF(Atletas!V310="Duilian de Armas CD - Equipe 2",14,IF(Atletas!V310="Duilian de Tuishou - Equipe 1",15,IF(Atletas!V310="Duilian de Tuishou - Equipe 2",16,IF(Atletas!V310="Grupo Externo CDEF - Equipe 1",17,IF(Atletas!V310="Grupo Externo CDEF - Equipe 2",18,IF(Atletas!V310="Grupo Interno CDEF - Equipe 1",19,IF(Atletas!V310="Grupo Interno CDEF - Equipe 2",20,IF(Atletas!V310="Duilian de Mãos EF - Equipe 1",21,IF(Atletas!V310="Duilian de Mãos EF - Equipe 2",22,IF(Atletas!V310="Duilian de Armas EF - Equipe 1",23,IF(Atletas!V310="Duilian de Armas EF - Equipe 2",24,IF(Atletas!V310="Duilian de Tuishou - Equipe 1",25,IF(Atletas!V310="Duilian de Tuishou - Equipe 2",26,"")))))))))))))))))))))))))))</f>
        <v/>
      </c>
    </row>
    <row r="315" spans="36:84">
      <c r="AJ315" s="46" t="str">
        <f>IF(Atletas!D311="","",IF(Atletas!B311="Feminino",100,IF(Atletas!B311="Masculino",200,""))+(IF(Atletas!D311="Infantil 39kg",1,IF(Atletas!D311="Infantil 42kg",2,IF(Atletas!D311="Infantil 45kg",3,IF(Atletas!D311="Infantil 48kg",4,IF(Atletas!D311="Infantil 52kg",5,IF(Atletas!D311="Infantil 56kg",6,IF(Atletas!D311="Infantil 60kg",7,IF(Atletas!D311="Juvenil 48kg",8,IF(Atletas!D311="Juvenil 52kg",9,IF(Atletas!D311="Juvenil 56kg",10,IF(Atletas!D311="Juvenil 60kg",11,IF(Atletas!D311="Juvenil 65kg",12,IF(Atletas!D311="Juvenil 70kg",13,IF(Atletas!D311="Juvenil 75kg",14,IF(Atletas!D311="Juvenil 80kg",15,IF(Atletas!D311="Adulto 48kg",16,IF(Atletas!D311="Adulto 52kg",17,IF(Atletas!D311="Adulto 56kg",18,IF(Atletas!D311="Adulto 60kg",19,IF(Atletas!D311="Adulto 65kg",20,IF(Atletas!D311="Adulto 70kg",21,IF(Atletas!D311="Adulto 75kg",22,IF(Atletas!D311="Adulto 80kg",23,IF(Atletas!D311="Adulto 85kg",24,IF(Atletas!D311="Adulto 90kg",25,IF(Atletas!D311="Adulto +90kg",26,""))))))))))))))))))))))))))))</f>
        <v/>
      </c>
      <c r="AO315" s="10" t="str">
        <f>IF(Atletas!E311="","",IF(Atletas!B311="Feminino",100,IF(Atletas!B311="Masculino",200,""))+(IF(Atletas!E311="Juvenil 44kg",1,IF(Atletas!E311="Juvenil 48kg",2,IF(Atletas!E311="Juvenil 52kg",3,IF(Atletas!E311="Juvenil 56kg",4,IF(Atletas!E311="Juvenil 60kg",5,IF(Atletas!E311="Juvenil 65kg",6,IF(Atletas!E311="Juvenil 70kg",7,IF(Atletas!E311="Juvenil 75kg",8,IF(Atletas!E311="Juvenil 82kg",9,IF(Atletas!E311="Juvenil 90kg",10,IF(Atletas!E311="Juvenil 100kg",11,IF(Atletas!E311="Adulto 48kg",12,IF(Atletas!E311="Adulto 52kg",13,IF(Atletas!E311="Adulto 56kg",14,IF(Atletas!E311="Adulto 60kg",15,IF(Atletas!E311="Adulto 65kg",16,IF(Atletas!E311="Adulto 70kg",17,IF(Atletas!E311="Adulto 75kg",18,IF(Atletas!E311="Adulto 82kg",19,IF(Atletas!E311="Adulto 90kg",20,IF(Atletas!E311="Adulto 100kg",21,IF(Atletas!E311="Adulto +100kg",22,""))))))))))))))))))))))))</f>
        <v/>
      </c>
      <c r="AT315" s="10" t="str">
        <f>IF(Atletas!F311="","",IF(Atletas!B311="Feminino",100,IF(Atletas!B311="Masculino",200,""))+(IF(Atletas!F311="Adulto 48kg",1,IF(Atletas!F311="Adulto 56kg",2,IF(Atletas!F311="Adulto 65kg",3,IF(Atletas!F311="Adulto 75kg",4,IF(Atletas!F311="Adulto +75kg",5,IF(Atletas!F311="Adulto 52kg",6,IF(Atletas!F311="Adulto 60kg",7,IF(Atletas!F311="Adulto 70kg",8,IF(Atletas!F311="Adulto 80kg",9,IF(Atletas!F311="Adulto 90kg",10,IF(Atletas!F311="Adulto +90kg",11,"")))))))))))))</f>
        <v/>
      </c>
      <c r="AY315" s="46" t="str">
        <f>IF(Atletas!G311="","",IF(Atletas!B311="Feminino",100,IF(Atletas!B311="Masculino",200,""))+(IF(Atletas!G311="Changquan Mirim",1,IF(Atletas!G311="Nanquan Mirim",2,IF(Atletas!G311="Taijiquan Mirim",3,IF(Atletas!G311="Changquan Grupo C",4,IF(Atletas!G311="Nanquan Grupo C",5,IF(Atletas!G311="Taijiquan Grupo C",6,IF(Atletas!G311="Changquan Grupo B",7,IF(Atletas!G311="Nanquan Grupo B",8,IF(Atletas!G311="Taijiquan Grupo B",9,IF(Atletas!G311="Changquan Grupo A",10,IF(Atletas!G311="Nanquan Grupo A",11,IF(Atletas!G311="Taijiquan Grupo A",12,IF(Atletas!G311="Changquan Opcional",13,IF(Atletas!G311="Nanquan Opcional",14,IF(Atletas!G311="Taijiquan Opcional",15,IF(Atletas!G311="Changquan Adulto",16,IF(Atletas!G311="Nanquan Adulto",17,IF(Atletas!G311="Taijiquan Adulto",18,""))))))))))))))))))))</f>
        <v/>
      </c>
      <c r="AZ315" s="46" t="str">
        <f>IF(Atletas!H311="","",IF(Atletas!B311="Feminino",100,IF(Atletas!B311="Masculino",200,""))+(IF(Atletas!H311="Daoshu Mirim",19,IF(Atletas!H311="Jianshu Mirim",20,IF(Atletas!H311="Nandao Mirim",21,IF(Atletas!H311="Taijijian Mirim",22,IF(Atletas!H311="Daoshu Grupo C",23,IF(Atletas!H311="Jianshu Grupo C",24,IF(Atletas!H311="Nandao Grupo C",25,IF(Atletas!H311="Taijijian Grupo C",26,IF(Atletas!H311="Daoshu Grupo B",27,IF(Atletas!H311="Jianshu Grupo B",28,IF(Atletas!H311="Nandao Grupo B",29,IF(Atletas!H311="Taijijian Grupo B",30,IF(Atletas!H311="Daoshu Grupo A",31,IF(Atletas!H311="Jianshu Grupo A",32,IF(Atletas!H311="Nandao Grupo A",33,IF(Atletas!H311="Taijijian Grupo A",34,IF(Atletas!H311="Daoshu Opcional",35,IF(Atletas!H311="Jianshu Opcional",36,IF(Atletas!H311="Nandao Opcional",37,IF(Atletas!H311="Taijijian Opcional",38,IF(Atletas!H311="Daoshu Adulto",39,IF(Atletas!H311="Jianshu Adulto",40,IF(Atletas!H311="Nandao Adulto",41,IF(Atletas!H311="Taijijian Adulto",42,""))))))))))))))))))))))))))</f>
        <v/>
      </c>
      <c r="BA315" s="46" t="str">
        <f>IF(Atletas!I311="","",IF(Atletas!B311="Feminino",100,IF(Atletas!B311="Masculino",200,""))+(IF(Atletas!I311="Gunshu Mirim",43,IF(Atletas!I311="Qiangshu Mirim",44,IF(Atletas!I311="Nangun Mirim",45,IF(Atletas!I311="Gunshu Grupo C",46,IF(Atletas!I311="Qiangshu Grupo C",47,IF(Atletas!I311="Nangun Grupo C",48,IF(Atletas!I311="Gunshu Grupo B",49,IF(Atletas!I311="Qiangshu Grupo B",50,IF(Atletas!I311="Nangun Grupo B",51,IF(Atletas!I311="Gunshu Grupo A",52,IF(Atletas!I311="Qiangshu Grupo A",53,IF(Atletas!I311="Nangun Grupo A",54,IF(Atletas!I311="Gunshu Opcional",55,IF(Atletas!I311="Qiangshu Opcional",56,IF(Atletas!I311="Nangun Opcional",57,IF(Atletas!I311="Gunshu Adulto",58,IF(Atletas!I311="Qiangshu Adulto",59,IF(Atletas!I311="Nangun Adulto",60,""))))))))))))))))))))</f>
        <v/>
      </c>
      <c r="BF315" s="52" t="str">
        <f>IF(Atletas!J311="","",IF(Atletas!B311="Feminino",100,IF(Atletas!B311="Masculino",200,""))+(IF(Atletas!J311="Equipe 1 Grupo B",1,IF(Atletas!J311="Equipe 2 Grupo B",2,IF(Atletas!J311="Equipe 1 Grupo A",3,IF(Atletas!J311="Equipe 2 Grupo A",4,IF(Atletas!J311="Equipe 1 Adulto",5,IF(Atletas!J311="Equipe 2 Adulto",6,""))))))))</f>
        <v/>
      </c>
      <c r="BK315" s="52" t="str">
        <f>IF(Atletas!K311="","",IF(Atletas!W311&lt;&gt;"",10000,0)+(IF(Atletas!B311="Feminino",1000,IF(Atletas!B311="Masculino",2000,""))+IF(Atletas!K311="Choylayfut A",1,IF(Atletas!K311="Hunggar A",2,IF(Atletas!K311="Wuzuquan A",3,IF(Atletas!K311="Wingchun A",4,IF(Atletas!K311="Outra Mão de Sul A",5,IF(Atletas!K311="Choylayfut B",6,IF(Atletas!K311="Hunggar B",7,IF(Atletas!K311="Wuzuquan B",8,IF(Atletas!K311="Wingchun B",9,IF(Atletas!K311="Outra Mão de Sul B",10,IF(Atletas!K311="Choylayfut C",11,IF(Atletas!K311="Hunggar C",12,IF(Atletas!K311="Wuzuquan C",13,IF(Atletas!K311="Wingchun C",14,IF(Atletas!K311="Outra Mão de Sul C",15,IF(Atletas!K311="Choylayfut D",16,IF(Atletas!K311="Hunggar D",17,IF(Atletas!K311="Wuzuquan D",18,IF(Atletas!K311="Wingchun D",19,IF(Atletas!K311="Outra Mão de Sul D",20,IF(Atletas!K311="Choylayfut E",21,IF(Atletas!K311="Hunggar E",22,IF(Atletas!K311="Wuzuquan E",23,IF(Atletas!K311="Wingchun E",24,IF(Atletas!K311="Outra Mão de Sul E",25,IF(Atletas!K311="Choylayfut F",26,IF(Atletas!K311="Hunggar F",27,IF(Atletas!K311="Wuzuquan F",28,IF(Atletas!K311="Wingchun F",29,IF(Atletas!K311="Outra Mão de Sul F",30,""))))))))))))))))))))))))))))))))</f>
        <v/>
      </c>
      <c r="BL315" s="52" t="str">
        <f>IF(Atletas!L311="","",IF(Atletas!W311&lt;&gt;"",10000,0)+(IF(Atletas!B311="Feminino",1000,IF(Atletas!B311="Masculino",2000,""))+(IF(Atletas!L311="Chaquan A",101,IF(Atletas!L311="Emeiquan A",102,IF(Atletas!L311="Fanziquan A",103,IF(Atletas!L311="Huaquan A",104,IF(Atletas!L311="Hongquan A",105,IF(Atletas!L311="Paochui A",106,IF(Atletas!L311="Piguaquan A",107,IF(Atletas!L311="Shaolinquan A",108,IF(Atletas!L311="Tanglangquan A",109,IF(Atletas!L311="Yinzhaophai A",110,IF(Atletas!L311="Tongbeiquan A",111,IF(Atletas!L311="Wudangquan A",112,IF(Atletas!L311="Outros Estilos A",113,IF(Atletas!L311="Chaquan B",114,IF(Atletas!L311="Emeiquan B",115,IF(Atletas!L311="Fanziquan B",116,IF(Atletas!L311="Huaquan B",117,IF(Atletas!L311="Hongquan B",118,IF(Atletas!L311="Paochui B",119,IF(Atletas!L311="Piguaquan B",120,IF(Atletas!L311="Shaolinquan B",121,IF(Atletas!L311="Tanglangquan B",122,IF(Atletas!L311="Yinzhaophai B",123,IF(Atletas!L311="Tongbeiquan B",124,IF(Atletas!L311="Wudangquan B",125,IF(Atletas!L311="Outros Estilos B",126,IF(Atletas!L311="Chaquan C",127,IF(Atletas!L311="Emeiquan C",128,IF(Atletas!L311="Fanziquan C",129,IF(Atletas!L311="Huaquan C",130,IF(Atletas!L311="Hongquan C",131,IF(Atletas!L311="Paochui C",132,IF(Atletas!L311="Piguaquan C",133,IF(Atletas!L311="Shaolinquan C",134,IF(Atletas!L311="Tanglangquan C",135,IF(Atletas!L311="Yinzhaophai C",136,IF(Atletas!L311="Tongbeiquan C",137,IF(Atletas!L311="Wudangquan C",138,IF(Atletas!L311="Outros Estilos C",139,0))))))))))))))))))))))))))))))))))))))))))</f>
        <v/>
      </c>
      <c r="BM315" s="52" t="str">
        <f>IF(Atletas!L311="","",IF(Atletas!W311&lt;&gt;"",10000,0)+(IF(Atletas!B311="Feminino",1000,IF(Atletas!B311="Masculino",2000,""))+(IF(Atletas!L311="Chaquan D",140,IF(Atletas!L311="Emeiquan D",141,IF(Atletas!L311="Fanziquan D",142,IF(Atletas!L311="Huaquan D",143,IF(Atletas!L311="Hongquan D",144,IF(Atletas!L311="Paochui D",145,IF(Atletas!L311="Piguaquan D",146,IF(Atletas!L311="Shaolinquan D",147,IF(Atletas!L311="Tanglangquan D",148,IF(Atletas!L311="Yinzhaophai D",149,IF(Atletas!L311="Tongbeiquan D",150,IF(Atletas!L311="Wudangquan D",151,IF(Atletas!L311="Outros Estilos D",152,IF(Atletas!L311="Chaquan E",153,IF(Atletas!L311="Emeiquan E",154,IF(Atletas!L311="Fanziquan E",155,IF(Atletas!L311="Huaquan E",156,IF(Atletas!L311="Hongquan E",157,IF(Atletas!L311="Paochui E",158,IF(Atletas!L311="Piguaquan E",159,IF(Atletas!L311="Shaolinquan E",160,IF(Atletas!L311="Tanglangquan E",161,IF(Atletas!L311="Yinzhaophai E",162,IF(Atletas!L311="Tongbeiquan E",163,IF(Atletas!L311="Wudangquan E",164,IF(Atletas!L311="Outros Estilos E",165,IF(Atletas!L311="Chaquan F",166,IF(Atletas!L311="Emeiquan F",167,IF(Atletas!L311="Fanziquan F",168,IF(Atletas!L311="Huaquan F",169,IF(Atletas!L311="Hongquan F",170,IF(Atletas!L311="Paochui F",171,IF(Atletas!L311="Piguaquan F",172,IF(Atletas!L311="Shaolinquan F",173,IF(Atletas!L311="Tanglangquan F",174,IF(Atletas!L311="Yinzhaophai F",175,IF(Atletas!L311="Tongbeiquan F",176,IF(Atletas!L311="Wudangquan F",177,IF(Atletas!L311="Outros Estilos F",178,0))))))))))))))))))))))))))))))))))))))))))</f>
        <v/>
      </c>
      <c r="BN315" s="52" t="str">
        <f>IF(Atletas!M311="","",IF(Atletas!W311&lt;&gt;"",10000,0)+(IF(Atletas!B311="Feminino",1000,IF(Atletas!B311="Masculino",2000,""))+(IF(Atletas!M311="Ditangquan A",201,IF(Atletas!M311="Houquan A",202,IF(Atletas!M311="Zuiquan A",203,IF(Atletas!M311="Ditangquan B",204,IF(Atletas!M311="Houquan B",205,IF(Atletas!M311="Zuiquan B",206,IF(Atletas!M311="Ditangquan C",207,IF(Atletas!M311="Houquan C",208,IF(Atletas!M311="Zuiquan C",209,IF(Atletas!M311="Ditangquan D",210,IF(Atletas!M311="Houquan D",211,IF(Atletas!M311="Zuiquan D",212,IF(Atletas!M311="Ditangquan E",213,IF(Atletas!M311="Houquan E",214,IF(Atletas!M311="Zuiquan E",215,IF(Atletas!M311="Ditangquan F",216,IF(Atletas!M311="Houquan F",217,IF(Atletas!M311="Zuiquan F",218,"")))))))))))))))))))))</f>
        <v/>
      </c>
      <c r="BO315" s="52" t="str">
        <f>IF(Atletas!N311="","",IF(Atletas!W311&lt;&gt;"",10000,0)+IF(Atletas!B311="Feminino",1000,IF(Atletas!B311="Masculino",2000,""))+IF(Atletas!N311="Yang A",301,IF(Atletas!N311="Chen A",30,IF(Atletas!N311="Sun A",303,IF(Atletas!N311="Wu A",304,IF(Atletas!N311="Wu-Hao A",305,IF(Atletas!N311="Outro Taijiquan A",306,IF(Atletas!N311="Yang B",307,IF(Atletas!N311="Chen B",308,IF(Atletas!N311="Sun B",309,IF(Atletas!N311="Wu B",310,IF(Atletas!N311="Wu-Hao B",311,IF(Atletas!N311="Outro Taijiquan B",312,IF(Atletas!N311="Yang C",313,IF(Atletas!N311="Chen C",314,IF(Atletas!N311="Sun C",315,IF(Atletas!N311="Wu C",316,IF(Atletas!N311="Wu-Hao C",317,IF(Atletas!N311="Outro Taijiquan C",318,IF(Atletas!N311="Yang D",319,IF(Atletas!N311="Chen D",320,IF(Atletas!N311="Sun D",321,IF(Atletas!N311="Wu D",322,IF(Atletas!N311="Wu-Hao D",323,IF(Atletas!N311="Outro Taijiquan D",324,IF(Atletas!N311="Yang E",325,IF(Atletas!N311="Chen E",326,IF(Atletas!N311="Sun E",327,IF(Atletas!N311="Wu E",328,IF(Atletas!N311="Wu-Hao E",329,IF(Atletas!N311="Outro Taijiquan E",330,IF(Atletas!N311="Yang F",331,IF(Atletas!N311="Chen F",332,IF(Atletas!N311="Sun F",333,IF(Atletas!N311="Wu F",334,IF(Atletas!N311="Wu-Hao F",335,IF(Atletas!N311="Outro Taijiquan F",336,"")))))))))))))))))))))))))))))))))))))</f>
        <v/>
      </c>
      <c r="BP315" s="52" t="str">
        <f>IF(Atletas!O311="","",IF(Atletas!W311&lt;&gt;"",10000,0)+IF(Atletas!B311="Feminino",1000,IF(Atletas!B311="Masculino",2000,""))+IF(OR(Atletas!O311="Yang 26 A",Atletas!O311="Yang 40 A"),401,IF(OR(Atletas!O311="Chen 25 A",Atletas!O311="Chen 36 A",Atletas!O311="Chen 56 A"),402,IF(Atletas!O311="Sun 73 A",403,IF(Atletas!O311="Wu 45 A",404,IF(Atletas!O311="Wu-Hao 46 A",405,IF(OR(Atletas!O311="Taijiquan 16 A",Atletas!O311="Taijiquan 24 A",Atletas!O311="Taijiquan 32 A",Atletas!O311="Taijiquan 42 A"),406,IF(OR(Atletas!O311="Yang 26 B",Atletas!O311="Yang 40 B"),407,IF(OR(Atletas!O311="Chen 25 B",Atletas!O311="Chen 36 B",Atletas!O311="Chen 56 B"),408,IF(Atletas!O311="Sun 73 B",409,IF(Atletas!O311="Wu 45 B",410,IF(Atletas!O311="Wu-Hao 46 B",411,IF(OR(Atletas!O311="Taijiquan 16 B",Atletas!O311="Taijiquan 24 B",Atletas!O311="Taijiquan 32 B",Atletas!O311="Taijiquan 42 B"),412,IF(OR(Atletas!O311="Yang 26 C",Atletas!O311="Yang 40 C"),413,IF(OR(Atletas!O311="Chen 25 C",Atletas!O311="Chen 36 C",Atletas!O311="Chen 56 C"),414,IF(Atletas!O311="Sun 73 C",415,IF(Atletas!O311="Wu 45 C",416,IF(Atletas!O311="Wu-Hao 46 C",417,IF(OR(Atletas!O311="Taijiquan 16 C",Atletas!O311="Taijiquan 24 C",Atletas!O311="Taijiquan 32 C",Atletas!O311="Taijiquan 42 C"),418,0)))))))))))))))))))</f>
        <v/>
      </c>
      <c r="BQ315" s="52" t="str">
        <f>IF(Atletas!O311="","",IF(Atletas!W311&lt;&gt;"",10000,0)+IF(Atletas!B311="Feminino",1000,IF(Atletas!B311="Masculino",2000,""))+IF(OR(Atletas!O311="Yang 26 D",Atletas!O311="Yang 40 D"),419,IF(OR(Atletas!O311="Chen 25 D",Atletas!O311="Chen 36 D",Atletas!O311="Chen 56 D"),420,IF(Atletas!O311="Sun 73 D",421,IF(Atletas!O311="Wu 45 D",422,IF(Atletas!O311="Wu-Hao 46 D",423,IF(OR(Atletas!O311="Taijiquan 16 D",Atletas!O311="Taijiquan 24 D",Atletas!O311="Taijiquan 32 D",Atletas!O311="Taijiquan 42 D"),424,IF(OR(Atletas!O311="Yang 26 E",Atletas!O311="Yang 40 E"),425,IF(OR(Atletas!O311="Chen 25 E",Atletas!O311="Chen 36 E",Atletas!O311="Chen 56 E"),426,IF(Atletas!O311="Sun 73 E",427,IF(Atletas!O311="Wu 45 E",428,IF(Atletas!O311="Wu-Hao 46 E",429,IF(OR(Atletas!O311="Taijiquan 16 E",Atletas!O311="Taijiquan 24 E",Atletas!O311="Taijiquan 32 E",Atletas!O311="Taijiquan 42 E"),430,IF(OR(Atletas!O311="Yang 26 F",Atletas!O311="Yang 40 F"),431,IF(OR(Atletas!O311="Chen 25 F",Atletas!O311="Chen 36 F",Atletas!O311="Chen 56 F"),432,IF(Atletas!O311="Sun 73 F",433,IF(Atletas!O311="Wu 45 F",434,IF(Atletas!O311="Wu-Hao 46 F",435,IF(OR(Atletas!O311="Taijiquan 16 F",Atletas!O311="Taijiquan 24 F",Atletas!O311="Taijiquan 32 F",Atletas!O311="Taijiquan 42 F"),436,0)))))))))))))))))))</f>
        <v/>
      </c>
      <c r="BR315" s="52" t="str">
        <f>IF(Atletas!P311="","",IF(Atletas!W311&lt;&gt;"",10000,0)+IF(Atletas!B311="Feminino",1000,IF(Atletas!B311="Masculino",2000,""))+IF(Atletas!P311="Xingyiquan A",501,IF(Atletas!P311="Baguazhang A",502,IF(Atletas!P311="Outro Estilo Interno A",503,IF(Atletas!P311="Xingyiquan B",504,IF(Atletas!P311="Baguazhang B",505,IF(Atletas!P311="Outro Estilo Interno B",506,IF(Atletas!P311="Xingyiquan C",507,IF(Atletas!P311="Baguazhang C",508,IF(Atletas!P311="Outro Estilo Interno C",509,IF(Atletas!P311="Xingyiquan D",510,IF(Atletas!P311="Baguazhang D",511,IF(Atletas!P311="Outro Estilo Interno D",512,IF(Atletas!P311="Xingyiquan E",513,IF(Atletas!P311="Baguazhang E",514,IF(Atletas!P311="Outro Estilo Interno E",515,IF(Atletas!P311="Xingyiquan F",516,IF(Atletas!P311="Baguazhang F",517,IF(Atletas!P311="Outro Estilo Interno F",518, "")))))))))))))))))))</f>
        <v/>
      </c>
      <c r="BS315" s="52" t="str">
        <f>IF(Atletas!Q311="","",IF(Atletas!W311&lt;&gt;"",10000,0)+IF(Atletas!B311="Feminino",1000,IF(Atletas!B311="Masculino",2000,""))+IF(Atletas!Q311="Dao A",601,IF(Atletas!Q311="Jian A",602,IF(Atletas!Q311="Bishou A",603,IF(Atletas!Q311="Shan A",604,IF(Atletas!Q311="Outra Arma Curta A",605,IF(Atletas!Q311="Dao B",606,IF(Atletas!Q311="Jian B",607,IF(Atletas!Q311="Bishou B",608,IF(Atletas!Q311="Shan B",609,IF(Atletas!Q311="Outra Arma Curta B",610,IF(Atletas!Q311="Dao C",611,IF(Atletas!Q311="Jian C",612,IF(Atletas!Q311="Bishou C",613,IF(Atletas!Q311="Shan C",614,IF(Atletas!Q311="Outra Arma Curta C",615,IF(Atletas!Q311="Dao D",616,IF(Atletas!Q311="Jian D",617,IF(Atletas!Q311="Bishou D",618,IF(Atletas!Q311="Shan D",619,IF(Atletas!Q311="Outra Arma Curta D",620,IF(Atletas!Q311="Dao E",621,IF(Atletas!Q311="Jian E",622,IF(Atletas!Q311="Bishou E",623,IF(Atletas!Q311="Shan E",624,IF(Atletas!Q311="Outra Arma Curta E",625,IF(Atletas!Q311="Dao F",626,IF(Atletas!Q311="Jian F",627,IF(Atletas!Q311="Bishou F",628,IF(Atletas!Q311="Shan F",629,IF(Atletas!Q311="Outra Arma Curta F",630, "")))))))))))))))))))))))))))))))</f>
        <v/>
      </c>
      <c r="BT315" s="52" t="str">
        <f>IF(Atletas!R311="","",IF(Atletas!W311&lt;&gt;"",10000,0)+IF(Atletas!B311="Feminino",1000,IF(Atletas!B311="Masculino",2000,""))+IF(Atletas!R311="Gun A",701,IF(Atletas!R311="Qiang A",702,IF(Atletas!R311="Pudao / Guandao A",703,IF(Atletas!R311="Outra Arma Longa A",704,IF(Atletas!R311="Gun B",705,IF(Atletas!R311="Qiang B",706,IF(Atletas!R311="Pudao / Guandao B",707,IF(Atletas!R311="Outra Arma Longa B",708,IF(Atletas!R311="Gun C",709,IF(Atletas!R311="Qiang C",710,IF(Atletas!R311="Pudao / Guandao C",711,IF(Atletas!R311="Outra Arma Longa C",712,IF(Atletas!R311="Gun D",713,IF(Atletas!R311="Qiang D",714,IF(Atletas!R311="Pudao / Guandao D",715,IF(Atletas!R311="Outra Arma Longa D",716,IF(Atletas!R311="Gun E",717,IF(Atletas!R311="Qiang E",718,IF(Atletas!R311="Pudao / Guandao E",719,IF(Atletas!R311="Outra Arma Longa E",720,IF(Atletas!R311="Gun F",721,IF(Atletas!R311="Qiang F",722,IF(Atletas!R311="Pudao / Guandao F",723,IF(Atletas!R311="Outra Arma Longa F",724,"")))))))))))))))))))))))))</f>
        <v/>
      </c>
      <c r="BU315" s="52" t="str">
        <f>IF(Atletas!S311="","",IF(Atletas!W311&lt;&gt;"",10000,0)+IF(Atletas!B311="Feminino",1000,IF(Atletas!B311="Masculino",2000,""))+IF(Atletas!S311="Arma Dupla A",801,IF(Atletas!S311="Arma Maleável A",802,IF(Atletas!S311="Arma Dupla B",803,IF(Atletas!S311="Arma Maleável B",804,IF(Atletas!S311="Arma Dupla C",805,IF(Atletas!S311="Arma Maleável C",806,IF(Atletas!S311="Arma Dupla D",807,IF(Atletas!S311="Arma Maleável D",808,IF(Atletas!S311="Arma Dupla E",809,IF(Atletas!S311="Arma Maleável E",810,IF(Atletas!S311="Arma Dupla F",811,IF(Atletas!S311="Arma Maleável F",812, "")))))))))))))</f>
        <v/>
      </c>
      <c r="BV315" s="52" t="str">
        <f>IF(Atletas!T311="","",IF(Atletas!W311&lt;&gt;"",10000,0)+IF(Atletas!B311="Feminino",1000,IF(Atletas!B311="Masculino",2000,""))+IF(Atletas!T311="Taijijian Yang A",901,IF(Atletas!T311="Taijijian Chen A",902,IF(Atletas!T311="Taijijian Sun A",903,IF(Atletas!T311="Taijijian Wu A",904,IF(Atletas!T311="Taijijian Wu-Hao A",905,IF(Atletas!T311="Taijijian 32 A",906,IF(Atletas!T311="Taijijian 42 A",907,IF(Atletas!T311="Taijijian Yang B",908,IF(Atletas!T311="Taijijian Chen B",909,IF(Atletas!T311="Taijijian Sun B",910,IF(Atletas!T311="Taijijian Wu B",911,IF(Atletas!T311="Taijijian Wu-Hao B",912,IF(Atletas!T311="Taijijian 32 B",913,IF(Atletas!T311="Taijijian 42 B",914,IF(Atletas!T311="Taijijian Yang C",915,IF(Atletas!T311="Taijijian Chen C",916,IF(Atletas!T311="Taijijian Sun C",917,IF(Atletas!T311="Taijijian Wu C",918,IF(Atletas!T311="Taijijian Wu-Hao C",919,IF(Atletas!T311="Taijijian 32 C",920,IF(Atletas!T311="Taijijian 42 C",921,IF(Atletas!T311="Taijijian Yang D",922,IF(Atletas!T311="Taijijian Chen D",923,IF(Atletas!T311="Taijijian Sun D",924,IF(Atletas!T311="Taijijian Wu D",925,IF(Atletas!T311="Taijijian Wu-Hao D",926,IF(Atletas!T311="Taijijian 32 D",927,IF(Atletas!T311="Taijijian 42 D",928,IF(Atletas!T311="Taijijian Yang E",929,IF(Atletas!T311="Taijijian Chen E",930,IF(Atletas!T311="Taijijian Sun E",931,IF(Atletas!T311="Taijijian Wu E",932,IF(Atletas!T311="Taijijian Wu-Hao E",933,IF(Atletas!T311="Taijijian 32 E",934,IF(Atletas!T311="Taijijian 42 E",935,IF(Atletas!T311="Taijijian Yang F",936,IF(Atletas!T311="Taijijian Chen F",937,IF(Atletas!T311="Taijijian Sun F",938,IF(Atletas!T311="Taijijian Wu F",939,IF(Atletas!T311="Taijijian Wu-Hao F",940,IF(Atletas!T311="Taijijian 32 F",941,IF(Atletas!T311="Taijijian 42 F",942,"")))))))))))))))))))))))))))))))))))))))))))</f>
        <v/>
      </c>
      <c r="BW315" s="52" t="str">
        <f>IF(Atletas!U311="","",IF(Atletas!W311&lt;&gt;"",10000,0)+IF(Atletas!B311="Feminino",1000,IF(Atletas!B311="Masculino",2000,""))+IF(Atletas!T311="Taijijian 42 F",942,IF(Atletas!U311="Taijidao A",943,IF(Atletas!U311="Taijishan A",944,IF(Atletas!U311="Taijiqiang A",945,IF(Atletas!U311="Taijidao B",946,IF(Atletas!U311="Taijishan B",947,IF(Atletas!U311="Taijiqiang B",948,IF(Atletas!U311="Taijidao C",949,IF(Atletas!U311="Taijishan C",950,IF(Atletas!U311="Taijiqiang C",951,IF(Atletas!U311="Taijidao D",952,IF(Atletas!U311="Taijishan D",953,IF(Atletas!U311="Taijiqiang D",954,IF(Atletas!U311="Taijidao E",955,IF(Atletas!U311="Taijishan E",956,IF(Atletas!U311="Taijiqiang E",957,IF(Atletas!U311="Taijidao F",958,IF(Atletas!U311="Taijishan F",959,IF(Atletas!U311="Taijiqiang F",960))))))))))))))))))))</f>
        <v/>
      </c>
      <c r="BX315" s="72" t="str">
        <f>IF(BY315&lt;&gt;"","Taijijian Sun E","")</f>
        <v/>
      </c>
      <c r="BY315" s="72" t="str">
        <f>IF(COUNTIF(BK:BW,1931)&gt;0,COUNTIF(BK:BW,1931),"")</f>
        <v/>
      </c>
      <c r="BZ315" s="72" t="str">
        <f>IF(CA315&lt;&gt;"","Taijijian Sun E","")</f>
        <v/>
      </c>
      <c r="CA315" s="72" t="str">
        <f>IF(COUNTIF(BK:BW,2931)&gt;0,COUNTIF(BK:BW,2931),"")</f>
        <v/>
      </c>
      <c r="CB315" s="72" t="str">
        <f>IF(CC315&lt;&gt;"","Pudao / Gaundao A","")</f>
        <v/>
      </c>
      <c r="CC315" s="64" t="str">
        <f>IF(COUNTIF(BK:BW,11703)&gt;0,COUNTIF(BK:BW,11703),"")</f>
        <v/>
      </c>
      <c r="CD315" s="64" t="str">
        <f>IF(CE315&lt;&gt;"","Pudao / Gaundao A","")</f>
        <v/>
      </c>
      <c r="CE315" s="64" t="str">
        <f>IF(COUNTIF(BK:BW,12703)&gt;0,COUNTIF(BK:BW,12703),"")</f>
        <v/>
      </c>
      <c r="CF315" s="52" t="str">
        <f xml:space="preserve"> IF(Atletas!V311="","",IF(Atletas!V311="Duilian de Mãos AB - Equipe 1",1,IF(Atletas!V311="Duilian de Mãos AB - Equipe 2",2,IF(Atletas!V311="Duilian de Armas AB - Equipe 1",3,IF(Atletas!V311="Duilian de Armas AB - Equipe 2",4,IF(Atletas!V311="Duilian de Tuishou - Equipe 1",5,IF(Atletas!V311="Duilian de Tuishou - Equipe 2",6,IF(Atletas!V311="Grupo Externo AB - Equipe 1",7,IF(Atletas!V311="Grupo Externo AB - Equipe 2",8,IF(Atletas!V311="Grupo Interno AB - Equipe 1",9,IF(Atletas!V311="Grupo Interno AB - Equipe 2",10,IF(Atletas!V311="Duilian de Mãos CD - Equipe 1",11,IF(Atletas!V311="Duilian de Mãos CD - Equipe 2",12,IF(Atletas!V311="Duilian de Armas CD - Equipe 1",13,IF(Atletas!V311="Duilian de Armas CD - Equipe 2",14,IF(Atletas!V311="Duilian de Tuishou - Equipe 1",15,IF(Atletas!V311="Duilian de Tuishou - Equipe 2",16,IF(Atletas!V311="Grupo Externo CDEF - Equipe 1",17,IF(Atletas!V311="Grupo Externo CDEF - Equipe 2",18,IF(Atletas!V311="Grupo Interno CDEF - Equipe 1",19,IF(Atletas!V311="Grupo Interno CDEF - Equipe 2",20,IF(Atletas!V311="Duilian de Mãos EF - Equipe 1",21,IF(Atletas!V311="Duilian de Mãos EF - Equipe 2",22,IF(Atletas!V311="Duilian de Armas EF - Equipe 1",23,IF(Atletas!V311="Duilian de Armas EF - Equipe 2",24,IF(Atletas!V311="Duilian de Tuishou - Equipe 1",25,IF(Atletas!V311="Duilian de Tuishou - Equipe 2",26,"")))))))))))))))))))))))))))</f>
        <v/>
      </c>
    </row>
    <row r="316" spans="36:84">
      <c r="AJ316" s="46" t="str">
        <f>IF(Atletas!D312="","",IF(Atletas!B312="Feminino",100,IF(Atletas!B312="Masculino",200,""))+(IF(Atletas!D312="Infantil 39kg",1,IF(Atletas!D312="Infantil 42kg",2,IF(Atletas!D312="Infantil 45kg",3,IF(Atletas!D312="Infantil 48kg",4,IF(Atletas!D312="Infantil 52kg",5,IF(Atletas!D312="Infantil 56kg",6,IF(Atletas!D312="Infantil 60kg",7,IF(Atletas!D312="Juvenil 48kg",8,IF(Atletas!D312="Juvenil 52kg",9,IF(Atletas!D312="Juvenil 56kg",10,IF(Atletas!D312="Juvenil 60kg",11,IF(Atletas!D312="Juvenil 65kg",12,IF(Atletas!D312="Juvenil 70kg",13,IF(Atletas!D312="Juvenil 75kg",14,IF(Atletas!D312="Juvenil 80kg",15,IF(Atletas!D312="Adulto 48kg",16,IF(Atletas!D312="Adulto 52kg",17,IF(Atletas!D312="Adulto 56kg",18,IF(Atletas!D312="Adulto 60kg",19,IF(Atletas!D312="Adulto 65kg",20,IF(Atletas!D312="Adulto 70kg",21,IF(Atletas!D312="Adulto 75kg",22,IF(Atletas!D312="Adulto 80kg",23,IF(Atletas!D312="Adulto 85kg",24,IF(Atletas!D312="Adulto 90kg",25,IF(Atletas!D312="Adulto +90kg",26,""))))))))))))))))))))))))))))</f>
        <v/>
      </c>
      <c r="AO316" s="10" t="str">
        <f>IF(Atletas!E312="","",IF(Atletas!B312="Feminino",100,IF(Atletas!B312="Masculino",200,""))+(IF(Atletas!E312="Juvenil 44kg",1,IF(Atletas!E312="Juvenil 48kg",2,IF(Atletas!E312="Juvenil 52kg",3,IF(Atletas!E312="Juvenil 56kg",4,IF(Atletas!E312="Juvenil 60kg",5,IF(Atletas!E312="Juvenil 65kg",6,IF(Atletas!E312="Juvenil 70kg",7,IF(Atletas!E312="Juvenil 75kg",8,IF(Atletas!E312="Juvenil 82kg",9,IF(Atletas!E312="Juvenil 90kg",10,IF(Atletas!E312="Juvenil 100kg",11,IF(Atletas!E312="Adulto 48kg",12,IF(Atletas!E312="Adulto 52kg",13,IF(Atletas!E312="Adulto 56kg",14,IF(Atletas!E312="Adulto 60kg",15,IF(Atletas!E312="Adulto 65kg",16,IF(Atletas!E312="Adulto 70kg",17,IF(Atletas!E312="Adulto 75kg",18,IF(Atletas!E312="Adulto 82kg",19,IF(Atletas!E312="Adulto 90kg",20,IF(Atletas!E312="Adulto 100kg",21,IF(Atletas!E312="Adulto +100kg",22,""))))))))))))))))))))))))</f>
        <v/>
      </c>
      <c r="AT316" s="10" t="str">
        <f>IF(Atletas!F312="","",IF(Atletas!B312="Feminino",100,IF(Atletas!B312="Masculino",200,""))+(IF(Atletas!F312="Adulto 48kg",1,IF(Atletas!F312="Adulto 56kg",2,IF(Atletas!F312="Adulto 65kg",3,IF(Atletas!F312="Adulto 75kg",4,IF(Atletas!F312="Adulto +75kg",5,IF(Atletas!F312="Adulto 52kg",6,IF(Atletas!F312="Adulto 60kg",7,IF(Atletas!F312="Adulto 70kg",8,IF(Atletas!F312="Adulto 80kg",9,IF(Atletas!F312="Adulto 90kg",10,IF(Atletas!F312="Adulto +90kg",11,"")))))))))))))</f>
        <v/>
      </c>
      <c r="AY316" s="46" t="str">
        <f>IF(Atletas!G312="","",IF(Atletas!B312="Feminino",100,IF(Atletas!B312="Masculino",200,""))+(IF(Atletas!G312="Changquan Mirim",1,IF(Atletas!G312="Nanquan Mirim",2,IF(Atletas!G312="Taijiquan Mirim",3,IF(Atletas!G312="Changquan Grupo C",4,IF(Atletas!G312="Nanquan Grupo C",5,IF(Atletas!G312="Taijiquan Grupo C",6,IF(Atletas!G312="Changquan Grupo B",7,IF(Atletas!G312="Nanquan Grupo B",8,IF(Atletas!G312="Taijiquan Grupo B",9,IF(Atletas!G312="Changquan Grupo A",10,IF(Atletas!G312="Nanquan Grupo A",11,IF(Atletas!G312="Taijiquan Grupo A",12,IF(Atletas!G312="Changquan Opcional",13,IF(Atletas!G312="Nanquan Opcional",14,IF(Atletas!G312="Taijiquan Opcional",15,IF(Atletas!G312="Changquan Adulto",16,IF(Atletas!G312="Nanquan Adulto",17,IF(Atletas!G312="Taijiquan Adulto",18,""))))))))))))))))))))</f>
        <v/>
      </c>
      <c r="AZ316" s="46" t="str">
        <f>IF(Atletas!H312="","",IF(Atletas!B312="Feminino",100,IF(Atletas!B312="Masculino",200,""))+(IF(Atletas!H312="Daoshu Mirim",19,IF(Atletas!H312="Jianshu Mirim",20,IF(Atletas!H312="Nandao Mirim",21,IF(Atletas!H312="Taijijian Mirim",22,IF(Atletas!H312="Daoshu Grupo C",23,IF(Atletas!H312="Jianshu Grupo C",24,IF(Atletas!H312="Nandao Grupo C",25,IF(Atletas!H312="Taijijian Grupo C",26,IF(Atletas!H312="Daoshu Grupo B",27,IF(Atletas!H312="Jianshu Grupo B",28,IF(Atletas!H312="Nandao Grupo B",29,IF(Atletas!H312="Taijijian Grupo B",30,IF(Atletas!H312="Daoshu Grupo A",31,IF(Atletas!H312="Jianshu Grupo A",32,IF(Atletas!H312="Nandao Grupo A",33,IF(Atletas!H312="Taijijian Grupo A",34,IF(Atletas!H312="Daoshu Opcional",35,IF(Atletas!H312="Jianshu Opcional",36,IF(Atletas!H312="Nandao Opcional",37,IF(Atletas!H312="Taijijian Opcional",38,IF(Atletas!H312="Daoshu Adulto",39,IF(Atletas!H312="Jianshu Adulto",40,IF(Atletas!H312="Nandao Adulto",41,IF(Atletas!H312="Taijijian Adulto",42,""))))))))))))))))))))))))))</f>
        <v/>
      </c>
      <c r="BA316" s="46" t="str">
        <f>IF(Atletas!I312="","",IF(Atletas!B312="Feminino",100,IF(Atletas!B312="Masculino",200,""))+(IF(Atletas!I312="Gunshu Mirim",43,IF(Atletas!I312="Qiangshu Mirim",44,IF(Atletas!I312="Nangun Mirim",45,IF(Atletas!I312="Gunshu Grupo C",46,IF(Atletas!I312="Qiangshu Grupo C",47,IF(Atletas!I312="Nangun Grupo C",48,IF(Atletas!I312="Gunshu Grupo B",49,IF(Atletas!I312="Qiangshu Grupo B",50,IF(Atletas!I312="Nangun Grupo B",51,IF(Atletas!I312="Gunshu Grupo A",52,IF(Atletas!I312="Qiangshu Grupo A",53,IF(Atletas!I312="Nangun Grupo A",54,IF(Atletas!I312="Gunshu Opcional",55,IF(Atletas!I312="Qiangshu Opcional",56,IF(Atletas!I312="Nangun Opcional",57,IF(Atletas!I312="Gunshu Adulto",58,IF(Atletas!I312="Qiangshu Adulto",59,IF(Atletas!I312="Nangun Adulto",60,""))))))))))))))))))))</f>
        <v/>
      </c>
      <c r="BF316" s="52" t="str">
        <f>IF(Atletas!J312="","",IF(Atletas!B312="Feminino",100,IF(Atletas!B312="Masculino",200,""))+(IF(Atletas!J312="Equipe 1 Grupo B",1,IF(Atletas!J312="Equipe 2 Grupo B",2,IF(Atletas!J312="Equipe 1 Grupo A",3,IF(Atletas!J312="Equipe 2 Grupo A",4,IF(Atletas!J312="Equipe 1 Adulto",5,IF(Atletas!J312="Equipe 2 Adulto",6,""))))))))</f>
        <v/>
      </c>
      <c r="BK316" s="52" t="str">
        <f>IF(Atletas!K312="","",IF(Atletas!W312&lt;&gt;"",10000,0)+(IF(Atletas!B312="Feminino",1000,IF(Atletas!B312="Masculino",2000,""))+IF(Atletas!K312="Choylayfut A",1,IF(Atletas!K312="Hunggar A",2,IF(Atletas!K312="Wuzuquan A",3,IF(Atletas!K312="Wingchun A",4,IF(Atletas!K312="Outra Mão de Sul A",5,IF(Atletas!K312="Choylayfut B",6,IF(Atletas!K312="Hunggar B",7,IF(Atletas!K312="Wuzuquan B",8,IF(Atletas!K312="Wingchun B",9,IF(Atletas!K312="Outra Mão de Sul B",10,IF(Atletas!K312="Choylayfut C",11,IF(Atletas!K312="Hunggar C",12,IF(Atletas!K312="Wuzuquan C",13,IF(Atletas!K312="Wingchun C",14,IF(Atletas!K312="Outra Mão de Sul C",15,IF(Atletas!K312="Choylayfut D",16,IF(Atletas!K312="Hunggar D",17,IF(Atletas!K312="Wuzuquan D",18,IF(Atletas!K312="Wingchun D",19,IF(Atletas!K312="Outra Mão de Sul D",20,IF(Atletas!K312="Choylayfut E",21,IF(Atletas!K312="Hunggar E",22,IF(Atletas!K312="Wuzuquan E",23,IF(Atletas!K312="Wingchun E",24,IF(Atletas!K312="Outra Mão de Sul E",25,IF(Atletas!K312="Choylayfut F",26,IF(Atletas!K312="Hunggar F",27,IF(Atletas!K312="Wuzuquan F",28,IF(Atletas!K312="Wingchun F",29,IF(Atletas!K312="Outra Mão de Sul F",30,""))))))))))))))))))))))))))))))))</f>
        <v/>
      </c>
      <c r="BL316" s="52" t="str">
        <f>IF(Atletas!L312="","",IF(Atletas!W312&lt;&gt;"",10000,0)+(IF(Atletas!B312="Feminino",1000,IF(Atletas!B312="Masculino",2000,""))+(IF(Atletas!L312="Chaquan A",101,IF(Atletas!L312="Emeiquan A",102,IF(Atletas!L312="Fanziquan A",103,IF(Atletas!L312="Huaquan A",104,IF(Atletas!L312="Hongquan A",105,IF(Atletas!L312="Paochui A",106,IF(Atletas!L312="Piguaquan A",107,IF(Atletas!L312="Shaolinquan A",108,IF(Atletas!L312="Tanglangquan A",109,IF(Atletas!L312="Yinzhaophai A",110,IF(Atletas!L312="Tongbeiquan A",111,IF(Atletas!L312="Wudangquan A",112,IF(Atletas!L312="Outros Estilos A",113,IF(Atletas!L312="Chaquan B",114,IF(Atletas!L312="Emeiquan B",115,IF(Atletas!L312="Fanziquan B",116,IF(Atletas!L312="Huaquan B",117,IF(Atletas!L312="Hongquan B",118,IF(Atletas!L312="Paochui B",119,IF(Atletas!L312="Piguaquan B",120,IF(Atletas!L312="Shaolinquan B",121,IF(Atletas!L312="Tanglangquan B",122,IF(Atletas!L312="Yinzhaophai B",123,IF(Atletas!L312="Tongbeiquan B",124,IF(Atletas!L312="Wudangquan B",125,IF(Atletas!L312="Outros Estilos B",126,IF(Atletas!L312="Chaquan C",127,IF(Atletas!L312="Emeiquan C",128,IF(Atletas!L312="Fanziquan C",129,IF(Atletas!L312="Huaquan C",130,IF(Atletas!L312="Hongquan C",131,IF(Atletas!L312="Paochui C",132,IF(Atletas!L312="Piguaquan C",133,IF(Atletas!L312="Shaolinquan C",134,IF(Atletas!L312="Tanglangquan C",135,IF(Atletas!L312="Yinzhaophai C",136,IF(Atletas!L312="Tongbeiquan C",137,IF(Atletas!L312="Wudangquan C",138,IF(Atletas!L312="Outros Estilos C",139,0))))))))))))))))))))))))))))))))))))))))))</f>
        <v/>
      </c>
      <c r="BM316" s="52" t="str">
        <f>IF(Atletas!L312="","",IF(Atletas!W312&lt;&gt;"",10000,0)+(IF(Atletas!B312="Feminino",1000,IF(Atletas!B312="Masculino",2000,""))+(IF(Atletas!L312="Chaquan D",140,IF(Atletas!L312="Emeiquan D",141,IF(Atletas!L312="Fanziquan D",142,IF(Atletas!L312="Huaquan D",143,IF(Atletas!L312="Hongquan D",144,IF(Atletas!L312="Paochui D",145,IF(Atletas!L312="Piguaquan D",146,IF(Atletas!L312="Shaolinquan D",147,IF(Atletas!L312="Tanglangquan D",148,IF(Atletas!L312="Yinzhaophai D",149,IF(Atletas!L312="Tongbeiquan D",150,IF(Atletas!L312="Wudangquan D",151,IF(Atletas!L312="Outros Estilos D",152,IF(Atletas!L312="Chaquan E",153,IF(Atletas!L312="Emeiquan E",154,IF(Atletas!L312="Fanziquan E",155,IF(Atletas!L312="Huaquan E",156,IF(Atletas!L312="Hongquan E",157,IF(Atletas!L312="Paochui E",158,IF(Atletas!L312="Piguaquan E",159,IF(Atletas!L312="Shaolinquan E",160,IF(Atletas!L312="Tanglangquan E",161,IF(Atletas!L312="Yinzhaophai E",162,IF(Atletas!L312="Tongbeiquan E",163,IF(Atletas!L312="Wudangquan E",164,IF(Atletas!L312="Outros Estilos E",165,IF(Atletas!L312="Chaquan F",166,IF(Atletas!L312="Emeiquan F",167,IF(Atletas!L312="Fanziquan F",168,IF(Atletas!L312="Huaquan F",169,IF(Atletas!L312="Hongquan F",170,IF(Atletas!L312="Paochui F",171,IF(Atletas!L312="Piguaquan F",172,IF(Atletas!L312="Shaolinquan F",173,IF(Atletas!L312="Tanglangquan F",174,IF(Atletas!L312="Yinzhaophai F",175,IF(Atletas!L312="Tongbeiquan F",176,IF(Atletas!L312="Wudangquan F",177,IF(Atletas!L312="Outros Estilos F",178,0))))))))))))))))))))))))))))))))))))))))))</f>
        <v/>
      </c>
      <c r="BN316" s="52" t="str">
        <f>IF(Atletas!M312="","",IF(Atletas!W312&lt;&gt;"",10000,0)+(IF(Atletas!B312="Feminino",1000,IF(Atletas!B312="Masculino",2000,""))+(IF(Atletas!M312="Ditangquan A",201,IF(Atletas!M312="Houquan A",202,IF(Atletas!M312="Zuiquan A",203,IF(Atletas!M312="Ditangquan B",204,IF(Atletas!M312="Houquan B",205,IF(Atletas!M312="Zuiquan B",206,IF(Atletas!M312="Ditangquan C",207,IF(Atletas!M312="Houquan C",208,IF(Atletas!M312="Zuiquan C",209,IF(Atletas!M312="Ditangquan D",210,IF(Atletas!M312="Houquan D",211,IF(Atletas!M312="Zuiquan D",212,IF(Atletas!M312="Ditangquan E",213,IF(Atletas!M312="Houquan E",214,IF(Atletas!M312="Zuiquan E",215,IF(Atletas!M312="Ditangquan F",216,IF(Atletas!M312="Houquan F",217,IF(Atletas!M312="Zuiquan F",218,"")))))))))))))))))))))</f>
        <v/>
      </c>
      <c r="BO316" s="52" t="str">
        <f>IF(Atletas!N312="","",IF(Atletas!W312&lt;&gt;"",10000,0)+IF(Atletas!B312="Feminino",1000,IF(Atletas!B312="Masculino",2000,""))+IF(Atletas!N312="Yang A",301,IF(Atletas!N312="Chen A",30,IF(Atletas!N312="Sun A",303,IF(Atletas!N312="Wu A",304,IF(Atletas!N312="Wu-Hao A",305,IF(Atletas!N312="Outro Taijiquan A",306,IF(Atletas!N312="Yang B",307,IF(Atletas!N312="Chen B",308,IF(Atletas!N312="Sun B",309,IF(Atletas!N312="Wu B",310,IF(Atletas!N312="Wu-Hao B",311,IF(Atletas!N312="Outro Taijiquan B",312,IF(Atletas!N312="Yang C",313,IF(Atletas!N312="Chen C",314,IF(Atletas!N312="Sun C",315,IF(Atletas!N312="Wu C",316,IF(Atletas!N312="Wu-Hao C",317,IF(Atletas!N312="Outro Taijiquan C",318,IF(Atletas!N312="Yang D",319,IF(Atletas!N312="Chen D",320,IF(Atletas!N312="Sun D",321,IF(Atletas!N312="Wu D",322,IF(Atletas!N312="Wu-Hao D",323,IF(Atletas!N312="Outro Taijiquan D",324,IF(Atletas!N312="Yang E",325,IF(Atletas!N312="Chen E",326,IF(Atletas!N312="Sun E",327,IF(Atletas!N312="Wu E",328,IF(Atletas!N312="Wu-Hao E",329,IF(Atletas!N312="Outro Taijiquan E",330,IF(Atletas!N312="Yang F",331,IF(Atletas!N312="Chen F",332,IF(Atletas!N312="Sun F",333,IF(Atletas!N312="Wu F",334,IF(Atletas!N312="Wu-Hao F",335,IF(Atletas!N312="Outro Taijiquan F",336,"")))))))))))))))))))))))))))))))))))))</f>
        <v/>
      </c>
      <c r="BP316" s="52" t="str">
        <f>IF(Atletas!O312="","",IF(Atletas!W312&lt;&gt;"",10000,0)+IF(Atletas!B312="Feminino",1000,IF(Atletas!B312="Masculino",2000,""))+IF(OR(Atletas!O312="Yang 26 A",Atletas!O312="Yang 40 A"),401,IF(OR(Atletas!O312="Chen 25 A",Atletas!O312="Chen 36 A",Atletas!O312="Chen 56 A"),402,IF(Atletas!O312="Sun 73 A",403,IF(Atletas!O312="Wu 45 A",404,IF(Atletas!O312="Wu-Hao 46 A",405,IF(OR(Atletas!O312="Taijiquan 16 A",Atletas!O312="Taijiquan 24 A",Atletas!O312="Taijiquan 32 A",Atletas!O312="Taijiquan 42 A"),406,IF(OR(Atletas!O312="Yang 26 B",Atletas!O312="Yang 40 B"),407,IF(OR(Atletas!O312="Chen 25 B",Atletas!O312="Chen 36 B",Atletas!O312="Chen 56 B"),408,IF(Atletas!O312="Sun 73 B",409,IF(Atletas!O312="Wu 45 B",410,IF(Atletas!O312="Wu-Hao 46 B",411,IF(OR(Atletas!O312="Taijiquan 16 B",Atletas!O312="Taijiquan 24 B",Atletas!O312="Taijiquan 32 B",Atletas!O312="Taijiquan 42 B"),412,IF(OR(Atletas!O312="Yang 26 C",Atletas!O312="Yang 40 C"),413,IF(OR(Atletas!O312="Chen 25 C",Atletas!O312="Chen 36 C",Atletas!O312="Chen 56 C"),414,IF(Atletas!O312="Sun 73 C",415,IF(Atletas!O312="Wu 45 C",416,IF(Atletas!O312="Wu-Hao 46 C",417,IF(OR(Atletas!O312="Taijiquan 16 C",Atletas!O312="Taijiquan 24 C",Atletas!O312="Taijiquan 32 C",Atletas!O312="Taijiquan 42 C"),418,0)))))))))))))))))))</f>
        <v/>
      </c>
      <c r="BQ316" s="52" t="str">
        <f>IF(Atletas!O312="","",IF(Atletas!W312&lt;&gt;"",10000,0)+IF(Atletas!B312="Feminino",1000,IF(Atletas!B312="Masculino",2000,""))+IF(OR(Atletas!O312="Yang 26 D",Atletas!O312="Yang 40 D"),419,IF(OR(Atletas!O312="Chen 25 D",Atletas!O312="Chen 36 D",Atletas!O312="Chen 56 D"),420,IF(Atletas!O312="Sun 73 D",421,IF(Atletas!O312="Wu 45 D",422,IF(Atletas!O312="Wu-Hao 46 D",423,IF(OR(Atletas!O312="Taijiquan 16 D",Atletas!O312="Taijiquan 24 D",Atletas!O312="Taijiquan 32 D",Atletas!O312="Taijiquan 42 D"),424,IF(OR(Atletas!O312="Yang 26 E",Atletas!O312="Yang 40 E"),425,IF(OR(Atletas!O312="Chen 25 E",Atletas!O312="Chen 36 E",Atletas!O312="Chen 56 E"),426,IF(Atletas!O312="Sun 73 E",427,IF(Atletas!O312="Wu 45 E",428,IF(Atletas!O312="Wu-Hao 46 E",429,IF(OR(Atletas!O312="Taijiquan 16 E",Atletas!O312="Taijiquan 24 E",Atletas!O312="Taijiquan 32 E",Atletas!O312="Taijiquan 42 E"),430,IF(OR(Atletas!O312="Yang 26 F",Atletas!O312="Yang 40 F"),431,IF(OR(Atletas!O312="Chen 25 F",Atletas!O312="Chen 36 F",Atletas!O312="Chen 56 F"),432,IF(Atletas!O312="Sun 73 F",433,IF(Atletas!O312="Wu 45 F",434,IF(Atletas!O312="Wu-Hao 46 F",435,IF(OR(Atletas!O312="Taijiquan 16 F",Atletas!O312="Taijiquan 24 F",Atletas!O312="Taijiquan 32 F",Atletas!O312="Taijiquan 42 F"),436,0)))))))))))))))))))</f>
        <v/>
      </c>
      <c r="BR316" s="52" t="str">
        <f>IF(Atletas!P312="","",IF(Atletas!W312&lt;&gt;"",10000,0)+IF(Atletas!B312="Feminino",1000,IF(Atletas!B312="Masculino",2000,""))+IF(Atletas!P312="Xingyiquan A",501,IF(Atletas!P312="Baguazhang A",502,IF(Atletas!P312="Outro Estilo Interno A",503,IF(Atletas!P312="Xingyiquan B",504,IF(Atletas!P312="Baguazhang B",505,IF(Atletas!P312="Outro Estilo Interno B",506,IF(Atletas!P312="Xingyiquan C",507,IF(Atletas!P312="Baguazhang C",508,IF(Atletas!P312="Outro Estilo Interno C",509,IF(Atletas!P312="Xingyiquan D",510,IF(Atletas!P312="Baguazhang D",511,IF(Atletas!P312="Outro Estilo Interno D",512,IF(Atletas!P312="Xingyiquan E",513,IF(Atletas!P312="Baguazhang E",514,IF(Atletas!P312="Outro Estilo Interno E",515,IF(Atletas!P312="Xingyiquan F",516,IF(Atletas!P312="Baguazhang F",517,IF(Atletas!P312="Outro Estilo Interno F",518, "")))))))))))))))))))</f>
        <v/>
      </c>
      <c r="BS316" s="52" t="str">
        <f>IF(Atletas!Q312="","",IF(Atletas!W312&lt;&gt;"",10000,0)+IF(Atletas!B312="Feminino",1000,IF(Atletas!B312="Masculino",2000,""))+IF(Atletas!Q312="Dao A",601,IF(Atletas!Q312="Jian A",602,IF(Atletas!Q312="Bishou A",603,IF(Atletas!Q312="Shan A",604,IF(Atletas!Q312="Outra Arma Curta A",605,IF(Atletas!Q312="Dao B",606,IF(Atletas!Q312="Jian B",607,IF(Atletas!Q312="Bishou B",608,IF(Atletas!Q312="Shan B",609,IF(Atletas!Q312="Outra Arma Curta B",610,IF(Atletas!Q312="Dao C",611,IF(Atletas!Q312="Jian C",612,IF(Atletas!Q312="Bishou C",613,IF(Atletas!Q312="Shan C",614,IF(Atletas!Q312="Outra Arma Curta C",615,IF(Atletas!Q312="Dao D",616,IF(Atletas!Q312="Jian D",617,IF(Atletas!Q312="Bishou D",618,IF(Atletas!Q312="Shan D",619,IF(Atletas!Q312="Outra Arma Curta D",620,IF(Atletas!Q312="Dao E",621,IF(Atletas!Q312="Jian E",622,IF(Atletas!Q312="Bishou E",623,IF(Atletas!Q312="Shan E",624,IF(Atletas!Q312="Outra Arma Curta E",625,IF(Atletas!Q312="Dao F",626,IF(Atletas!Q312="Jian F",627,IF(Atletas!Q312="Bishou F",628,IF(Atletas!Q312="Shan F",629,IF(Atletas!Q312="Outra Arma Curta F",630, "")))))))))))))))))))))))))))))))</f>
        <v/>
      </c>
      <c r="BT316" s="52" t="str">
        <f>IF(Atletas!R312="","",IF(Atletas!W312&lt;&gt;"",10000,0)+IF(Atletas!B312="Feminino",1000,IF(Atletas!B312="Masculino",2000,""))+IF(Atletas!R312="Gun A",701,IF(Atletas!R312="Qiang A",702,IF(Atletas!R312="Pudao / Guandao A",703,IF(Atletas!R312="Outra Arma Longa A",704,IF(Atletas!R312="Gun B",705,IF(Atletas!R312="Qiang B",706,IF(Atletas!R312="Pudao / Guandao B",707,IF(Atletas!R312="Outra Arma Longa B",708,IF(Atletas!R312="Gun C",709,IF(Atletas!R312="Qiang C",710,IF(Atletas!R312="Pudao / Guandao C",711,IF(Atletas!R312="Outra Arma Longa C",712,IF(Atletas!R312="Gun D",713,IF(Atletas!R312="Qiang D",714,IF(Atletas!R312="Pudao / Guandao D",715,IF(Atletas!R312="Outra Arma Longa D",716,IF(Atletas!R312="Gun E",717,IF(Atletas!R312="Qiang E",718,IF(Atletas!R312="Pudao / Guandao E",719,IF(Atletas!R312="Outra Arma Longa E",720,IF(Atletas!R312="Gun F",721,IF(Atletas!R312="Qiang F",722,IF(Atletas!R312="Pudao / Guandao F",723,IF(Atletas!R312="Outra Arma Longa F",724,"")))))))))))))))))))))))))</f>
        <v/>
      </c>
      <c r="BU316" s="52" t="str">
        <f>IF(Atletas!S312="","",IF(Atletas!W312&lt;&gt;"",10000,0)+IF(Atletas!B312="Feminino",1000,IF(Atletas!B312="Masculino",2000,""))+IF(Atletas!S312="Arma Dupla A",801,IF(Atletas!S312="Arma Maleável A",802,IF(Atletas!S312="Arma Dupla B",803,IF(Atletas!S312="Arma Maleável B",804,IF(Atletas!S312="Arma Dupla C",805,IF(Atletas!S312="Arma Maleável C",806,IF(Atletas!S312="Arma Dupla D",807,IF(Atletas!S312="Arma Maleável D",808,IF(Atletas!S312="Arma Dupla E",809,IF(Atletas!S312="Arma Maleável E",810,IF(Atletas!S312="Arma Dupla F",811,IF(Atletas!S312="Arma Maleável F",812, "")))))))))))))</f>
        <v/>
      </c>
      <c r="BV316" s="52" t="str">
        <f>IF(Atletas!T312="","",IF(Atletas!W312&lt;&gt;"",10000,0)+IF(Atletas!B312="Feminino",1000,IF(Atletas!B312="Masculino",2000,""))+IF(Atletas!T312="Taijijian Yang A",901,IF(Atletas!T312="Taijijian Chen A",902,IF(Atletas!T312="Taijijian Sun A",903,IF(Atletas!T312="Taijijian Wu A",904,IF(Atletas!T312="Taijijian Wu-Hao A",905,IF(Atletas!T312="Taijijian 32 A",906,IF(Atletas!T312="Taijijian 42 A",907,IF(Atletas!T312="Taijijian Yang B",908,IF(Atletas!T312="Taijijian Chen B",909,IF(Atletas!T312="Taijijian Sun B",910,IF(Atletas!T312="Taijijian Wu B",911,IF(Atletas!T312="Taijijian Wu-Hao B",912,IF(Atletas!T312="Taijijian 32 B",913,IF(Atletas!T312="Taijijian 42 B",914,IF(Atletas!T312="Taijijian Yang C",915,IF(Atletas!T312="Taijijian Chen C",916,IF(Atletas!T312="Taijijian Sun C",917,IF(Atletas!T312="Taijijian Wu C",918,IF(Atletas!T312="Taijijian Wu-Hao C",919,IF(Atletas!T312="Taijijian 32 C",920,IF(Atletas!T312="Taijijian 42 C",921,IF(Atletas!T312="Taijijian Yang D",922,IF(Atletas!T312="Taijijian Chen D",923,IF(Atletas!T312="Taijijian Sun D",924,IF(Atletas!T312="Taijijian Wu D",925,IF(Atletas!T312="Taijijian Wu-Hao D",926,IF(Atletas!T312="Taijijian 32 D",927,IF(Atletas!T312="Taijijian 42 D",928,IF(Atletas!T312="Taijijian Yang E",929,IF(Atletas!T312="Taijijian Chen E",930,IF(Atletas!T312="Taijijian Sun E",931,IF(Atletas!T312="Taijijian Wu E",932,IF(Atletas!T312="Taijijian Wu-Hao E",933,IF(Atletas!T312="Taijijian 32 E",934,IF(Atletas!T312="Taijijian 42 E",935,IF(Atletas!T312="Taijijian Yang F",936,IF(Atletas!T312="Taijijian Chen F",937,IF(Atletas!T312="Taijijian Sun F",938,IF(Atletas!T312="Taijijian Wu F",939,IF(Atletas!T312="Taijijian Wu-Hao F",940,IF(Atletas!T312="Taijijian 32 F",941,IF(Atletas!T312="Taijijian 42 F",942,"")))))))))))))))))))))))))))))))))))))))))))</f>
        <v/>
      </c>
      <c r="BW316" s="52" t="str">
        <f>IF(Atletas!U312="","",IF(Atletas!W312&lt;&gt;"",10000,0)+IF(Atletas!B312="Feminino",1000,IF(Atletas!B312="Masculino",2000,""))+IF(Atletas!T312="Taijijian 42 F",942,IF(Atletas!U312="Taijidao A",943,IF(Atletas!U312="Taijishan A",944,IF(Atletas!U312="Taijiqiang A",945,IF(Atletas!U312="Taijidao B",946,IF(Atletas!U312="Taijishan B",947,IF(Atletas!U312="Taijiqiang B",948,IF(Atletas!U312="Taijidao C",949,IF(Atletas!U312="Taijishan C",950,IF(Atletas!U312="Taijiqiang C",951,IF(Atletas!U312="Taijidao D",952,IF(Atletas!U312="Taijishan D",953,IF(Atletas!U312="Taijiqiang D",954,IF(Atletas!U312="Taijidao E",955,IF(Atletas!U312="Taijishan E",956,IF(Atletas!U312="Taijiqiang E",957,IF(Atletas!U312="Taijidao F",958,IF(Atletas!U312="Taijishan F",959,IF(Atletas!U312="Taijiqiang F",960))))))))))))))))))))</f>
        <v/>
      </c>
      <c r="BX316" s="72" t="str">
        <f>IF(BY316&lt;&gt;"","Taijijian Wu E","")</f>
        <v/>
      </c>
      <c r="BY316" s="72" t="str">
        <f>IF(COUNTIF(BK:BW,1932)&gt;0,COUNTIF(BK:BW,1932),"")</f>
        <v/>
      </c>
      <c r="BZ316" s="72" t="str">
        <f>IF(CA316&lt;&gt;"","Taijijian Wu E","")</f>
        <v/>
      </c>
      <c r="CA316" s="72" t="str">
        <f>IF(COUNTIF(BK:BW,2932)&gt;0,COUNTIF(BK:BW,2932),"")</f>
        <v/>
      </c>
      <c r="CB316" s="72" t="str">
        <f>IF(CC316&lt;&gt;"","Outra Arma Longa A","")</f>
        <v/>
      </c>
      <c r="CC316" s="64" t="str">
        <f>IF(COUNTIF(BK:BW,11704)&gt;0,COUNTIF(BK:BW,11704),"")</f>
        <v/>
      </c>
      <c r="CD316" s="64" t="str">
        <f>IF(CE316&lt;&gt;"","Outra Arma Longa A","")</f>
        <v/>
      </c>
      <c r="CE316" s="64" t="str">
        <f>IF(COUNTIF(BK:BW,12704)&gt;0,COUNTIF(BK:BW,12704),"")</f>
        <v/>
      </c>
      <c r="CF316" s="52" t="str">
        <f xml:space="preserve"> IF(Atletas!V312="","",IF(Atletas!V312="Duilian de Mãos AB - Equipe 1",1,IF(Atletas!V312="Duilian de Mãos AB - Equipe 2",2,IF(Atletas!V312="Duilian de Armas AB - Equipe 1",3,IF(Atletas!V312="Duilian de Armas AB - Equipe 2",4,IF(Atletas!V312="Duilian de Tuishou - Equipe 1",5,IF(Atletas!V312="Duilian de Tuishou - Equipe 2",6,IF(Atletas!V312="Grupo Externo AB - Equipe 1",7,IF(Atletas!V312="Grupo Externo AB - Equipe 2",8,IF(Atletas!V312="Grupo Interno AB - Equipe 1",9,IF(Atletas!V312="Grupo Interno AB - Equipe 2",10,IF(Atletas!V312="Duilian de Mãos CD - Equipe 1",11,IF(Atletas!V312="Duilian de Mãos CD - Equipe 2",12,IF(Atletas!V312="Duilian de Armas CD - Equipe 1",13,IF(Atletas!V312="Duilian de Armas CD - Equipe 2",14,IF(Atletas!V312="Duilian de Tuishou - Equipe 1",15,IF(Atletas!V312="Duilian de Tuishou - Equipe 2",16,IF(Atletas!V312="Grupo Externo CDEF - Equipe 1",17,IF(Atletas!V312="Grupo Externo CDEF - Equipe 2",18,IF(Atletas!V312="Grupo Interno CDEF - Equipe 1",19,IF(Atletas!V312="Grupo Interno CDEF - Equipe 2",20,IF(Atletas!V312="Duilian de Mãos EF - Equipe 1",21,IF(Atletas!V312="Duilian de Mãos EF - Equipe 2",22,IF(Atletas!V312="Duilian de Armas EF - Equipe 1",23,IF(Atletas!V312="Duilian de Armas EF - Equipe 2",24,IF(Atletas!V312="Duilian de Tuishou - Equipe 1",25,IF(Atletas!V312="Duilian de Tuishou - Equipe 2",26,"")))))))))))))))))))))))))))</f>
        <v/>
      </c>
    </row>
    <row r="317" spans="36:84">
      <c r="AJ317" s="46" t="str">
        <f>IF(Atletas!D313="","",IF(Atletas!B313="Feminino",100,IF(Atletas!B313="Masculino",200,""))+(IF(Atletas!D313="Infantil 39kg",1,IF(Atletas!D313="Infantil 42kg",2,IF(Atletas!D313="Infantil 45kg",3,IF(Atletas!D313="Infantil 48kg",4,IF(Atletas!D313="Infantil 52kg",5,IF(Atletas!D313="Infantil 56kg",6,IF(Atletas!D313="Infantil 60kg",7,IF(Atletas!D313="Juvenil 48kg",8,IF(Atletas!D313="Juvenil 52kg",9,IF(Atletas!D313="Juvenil 56kg",10,IF(Atletas!D313="Juvenil 60kg",11,IF(Atletas!D313="Juvenil 65kg",12,IF(Atletas!D313="Juvenil 70kg",13,IF(Atletas!D313="Juvenil 75kg",14,IF(Atletas!D313="Juvenil 80kg",15,IF(Atletas!D313="Adulto 48kg",16,IF(Atletas!D313="Adulto 52kg",17,IF(Atletas!D313="Adulto 56kg",18,IF(Atletas!D313="Adulto 60kg",19,IF(Atletas!D313="Adulto 65kg",20,IF(Atletas!D313="Adulto 70kg",21,IF(Atletas!D313="Adulto 75kg",22,IF(Atletas!D313="Adulto 80kg",23,IF(Atletas!D313="Adulto 85kg",24,IF(Atletas!D313="Adulto 90kg",25,IF(Atletas!D313="Adulto +90kg",26,""))))))))))))))))))))))))))))</f>
        <v/>
      </c>
      <c r="AO317" s="10" t="str">
        <f>IF(Atletas!E313="","",IF(Atletas!B313="Feminino",100,IF(Atletas!B313="Masculino",200,""))+(IF(Atletas!E313="Juvenil 44kg",1,IF(Atletas!E313="Juvenil 48kg",2,IF(Atletas!E313="Juvenil 52kg",3,IF(Atletas!E313="Juvenil 56kg",4,IF(Atletas!E313="Juvenil 60kg",5,IF(Atletas!E313="Juvenil 65kg",6,IF(Atletas!E313="Juvenil 70kg",7,IF(Atletas!E313="Juvenil 75kg",8,IF(Atletas!E313="Juvenil 82kg",9,IF(Atletas!E313="Juvenil 90kg",10,IF(Atletas!E313="Juvenil 100kg",11,IF(Atletas!E313="Adulto 48kg",12,IF(Atletas!E313="Adulto 52kg",13,IF(Atletas!E313="Adulto 56kg",14,IF(Atletas!E313="Adulto 60kg",15,IF(Atletas!E313="Adulto 65kg",16,IF(Atletas!E313="Adulto 70kg",17,IF(Atletas!E313="Adulto 75kg",18,IF(Atletas!E313="Adulto 82kg",19,IF(Atletas!E313="Adulto 90kg",20,IF(Atletas!E313="Adulto 100kg",21,IF(Atletas!E313="Adulto +100kg",22,""))))))))))))))))))))))))</f>
        <v/>
      </c>
      <c r="AT317" s="10" t="str">
        <f>IF(Atletas!F313="","",IF(Atletas!B313="Feminino",100,IF(Atletas!B313="Masculino",200,""))+(IF(Atletas!F313="Adulto 48kg",1,IF(Atletas!F313="Adulto 56kg",2,IF(Atletas!F313="Adulto 65kg",3,IF(Atletas!F313="Adulto 75kg",4,IF(Atletas!F313="Adulto +75kg",5,IF(Atletas!F313="Adulto 52kg",6,IF(Atletas!F313="Adulto 60kg",7,IF(Atletas!F313="Adulto 70kg",8,IF(Atletas!F313="Adulto 80kg",9,IF(Atletas!F313="Adulto 90kg",10,IF(Atletas!F313="Adulto +90kg",11,"")))))))))))))</f>
        <v/>
      </c>
      <c r="AY317" s="46" t="str">
        <f>IF(Atletas!G313="","",IF(Atletas!B313="Feminino",100,IF(Atletas!B313="Masculino",200,""))+(IF(Atletas!G313="Changquan Mirim",1,IF(Atletas!G313="Nanquan Mirim",2,IF(Atletas!G313="Taijiquan Mirim",3,IF(Atletas!G313="Changquan Grupo C",4,IF(Atletas!G313="Nanquan Grupo C",5,IF(Atletas!G313="Taijiquan Grupo C",6,IF(Atletas!G313="Changquan Grupo B",7,IF(Atletas!G313="Nanquan Grupo B",8,IF(Atletas!G313="Taijiquan Grupo B",9,IF(Atletas!G313="Changquan Grupo A",10,IF(Atletas!G313="Nanquan Grupo A",11,IF(Atletas!G313="Taijiquan Grupo A",12,IF(Atletas!G313="Changquan Opcional",13,IF(Atletas!G313="Nanquan Opcional",14,IF(Atletas!G313="Taijiquan Opcional",15,IF(Atletas!G313="Changquan Adulto",16,IF(Atletas!G313="Nanquan Adulto",17,IF(Atletas!G313="Taijiquan Adulto",18,""))))))))))))))))))))</f>
        <v/>
      </c>
      <c r="AZ317" s="46" t="str">
        <f>IF(Atletas!H313="","",IF(Atletas!B313="Feminino",100,IF(Atletas!B313="Masculino",200,""))+(IF(Atletas!H313="Daoshu Mirim",19,IF(Atletas!H313="Jianshu Mirim",20,IF(Atletas!H313="Nandao Mirim",21,IF(Atletas!H313="Taijijian Mirim",22,IF(Atletas!H313="Daoshu Grupo C",23,IF(Atletas!H313="Jianshu Grupo C",24,IF(Atletas!H313="Nandao Grupo C",25,IF(Atletas!H313="Taijijian Grupo C",26,IF(Atletas!H313="Daoshu Grupo B",27,IF(Atletas!H313="Jianshu Grupo B",28,IF(Atletas!H313="Nandao Grupo B",29,IF(Atletas!H313="Taijijian Grupo B",30,IF(Atletas!H313="Daoshu Grupo A",31,IF(Atletas!H313="Jianshu Grupo A",32,IF(Atletas!H313="Nandao Grupo A",33,IF(Atletas!H313="Taijijian Grupo A",34,IF(Atletas!H313="Daoshu Opcional",35,IF(Atletas!H313="Jianshu Opcional",36,IF(Atletas!H313="Nandao Opcional",37,IF(Atletas!H313="Taijijian Opcional",38,IF(Atletas!H313="Daoshu Adulto",39,IF(Atletas!H313="Jianshu Adulto",40,IF(Atletas!H313="Nandao Adulto",41,IF(Atletas!H313="Taijijian Adulto",42,""))))))))))))))))))))))))))</f>
        <v/>
      </c>
      <c r="BA317" s="46" t="str">
        <f>IF(Atletas!I313="","",IF(Atletas!B313="Feminino",100,IF(Atletas!B313="Masculino",200,""))+(IF(Atletas!I313="Gunshu Mirim",43,IF(Atletas!I313="Qiangshu Mirim",44,IF(Atletas!I313="Nangun Mirim",45,IF(Atletas!I313="Gunshu Grupo C",46,IF(Atletas!I313="Qiangshu Grupo C",47,IF(Atletas!I313="Nangun Grupo C",48,IF(Atletas!I313="Gunshu Grupo B",49,IF(Atletas!I313="Qiangshu Grupo B",50,IF(Atletas!I313="Nangun Grupo B",51,IF(Atletas!I313="Gunshu Grupo A",52,IF(Atletas!I313="Qiangshu Grupo A",53,IF(Atletas!I313="Nangun Grupo A",54,IF(Atletas!I313="Gunshu Opcional",55,IF(Atletas!I313="Qiangshu Opcional",56,IF(Atletas!I313="Nangun Opcional",57,IF(Atletas!I313="Gunshu Adulto",58,IF(Atletas!I313="Qiangshu Adulto",59,IF(Atletas!I313="Nangun Adulto",60,""))))))))))))))))))))</f>
        <v/>
      </c>
      <c r="BF317" s="52" t="str">
        <f>IF(Atletas!J313="","",IF(Atletas!B313="Feminino",100,IF(Atletas!B313="Masculino",200,""))+(IF(Atletas!J313="Equipe 1 Grupo B",1,IF(Atletas!J313="Equipe 2 Grupo B",2,IF(Atletas!J313="Equipe 1 Grupo A",3,IF(Atletas!J313="Equipe 2 Grupo A",4,IF(Atletas!J313="Equipe 1 Adulto",5,IF(Atletas!J313="Equipe 2 Adulto",6,""))))))))</f>
        <v/>
      </c>
      <c r="BK317" s="52" t="str">
        <f>IF(Atletas!K313="","",IF(Atletas!W313&lt;&gt;"",10000,0)+(IF(Atletas!B313="Feminino",1000,IF(Atletas!B313="Masculino",2000,""))+IF(Atletas!K313="Choylayfut A",1,IF(Atletas!K313="Hunggar A",2,IF(Atletas!K313="Wuzuquan A",3,IF(Atletas!K313="Wingchun A",4,IF(Atletas!K313="Outra Mão de Sul A",5,IF(Atletas!K313="Choylayfut B",6,IF(Atletas!K313="Hunggar B",7,IF(Atletas!K313="Wuzuquan B",8,IF(Atletas!K313="Wingchun B",9,IF(Atletas!K313="Outra Mão de Sul B",10,IF(Atletas!K313="Choylayfut C",11,IF(Atletas!K313="Hunggar C",12,IF(Atletas!K313="Wuzuquan C",13,IF(Atletas!K313="Wingchun C",14,IF(Atletas!K313="Outra Mão de Sul C",15,IF(Atletas!K313="Choylayfut D",16,IF(Atletas!K313="Hunggar D",17,IF(Atletas!K313="Wuzuquan D",18,IF(Atletas!K313="Wingchun D",19,IF(Atletas!K313="Outra Mão de Sul D",20,IF(Atletas!K313="Choylayfut E",21,IF(Atletas!K313="Hunggar E",22,IF(Atletas!K313="Wuzuquan E",23,IF(Atletas!K313="Wingchun E",24,IF(Atletas!K313="Outra Mão de Sul E",25,IF(Atletas!K313="Choylayfut F",26,IF(Atletas!K313="Hunggar F",27,IF(Atletas!K313="Wuzuquan F",28,IF(Atletas!K313="Wingchun F",29,IF(Atletas!K313="Outra Mão de Sul F",30,""))))))))))))))))))))))))))))))))</f>
        <v/>
      </c>
      <c r="BL317" s="52" t="str">
        <f>IF(Atletas!L313="","",IF(Atletas!W313&lt;&gt;"",10000,0)+(IF(Atletas!B313="Feminino",1000,IF(Atletas!B313="Masculino",2000,""))+(IF(Atletas!L313="Chaquan A",101,IF(Atletas!L313="Emeiquan A",102,IF(Atletas!L313="Fanziquan A",103,IF(Atletas!L313="Huaquan A",104,IF(Atletas!L313="Hongquan A",105,IF(Atletas!L313="Paochui A",106,IF(Atletas!L313="Piguaquan A",107,IF(Atletas!L313="Shaolinquan A",108,IF(Atletas!L313="Tanglangquan A",109,IF(Atletas!L313="Yinzhaophai A",110,IF(Atletas!L313="Tongbeiquan A",111,IF(Atletas!L313="Wudangquan A",112,IF(Atletas!L313="Outros Estilos A",113,IF(Atletas!L313="Chaquan B",114,IF(Atletas!L313="Emeiquan B",115,IF(Atletas!L313="Fanziquan B",116,IF(Atletas!L313="Huaquan B",117,IF(Atletas!L313="Hongquan B",118,IF(Atletas!L313="Paochui B",119,IF(Atletas!L313="Piguaquan B",120,IF(Atletas!L313="Shaolinquan B",121,IF(Atletas!L313="Tanglangquan B",122,IF(Atletas!L313="Yinzhaophai B",123,IF(Atletas!L313="Tongbeiquan B",124,IF(Atletas!L313="Wudangquan B",125,IF(Atletas!L313="Outros Estilos B",126,IF(Atletas!L313="Chaquan C",127,IF(Atletas!L313="Emeiquan C",128,IF(Atletas!L313="Fanziquan C",129,IF(Atletas!L313="Huaquan C",130,IF(Atletas!L313="Hongquan C",131,IF(Atletas!L313="Paochui C",132,IF(Atletas!L313="Piguaquan C",133,IF(Atletas!L313="Shaolinquan C",134,IF(Atletas!L313="Tanglangquan C",135,IF(Atletas!L313="Yinzhaophai C",136,IF(Atletas!L313="Tongbeiquan C",137,IF(Atletas!L313="Wudangquan C",138,IF(Atletas!L313="Outros Estilos C",139,0))))))))))))))))))))))))))))))))))))))))))</f>
        <v/>
      </c>
      <c r="BM317" s="52" t="str">
        <f>IF(Atletas!L313="","",IF(Atletas!W313&lt;&gt;"",10000,0)+(IF(Atletas!B313="Feminino",1000,IF(Atletas!B313="Masculino",2000,""))+(IF(Atletas!L313="Chaquan D",140,IF(Atletas!L313="Emeiquan D",141,IF(Atletas!L313="Fanziquan D",142,IF(Atletas!L313="Huaquan D",143,IF(Atletas!L313="Hongquan D",144,IF(Atletas!L313="Paochui D",145,IF(Atletas!L313="Piguaquan D",146,IF(Atletas!L313="Shaolinquan D",147,IF(Atletas!L313="Tanglangquan D",148,IF(Atletas!L313="Yinzhaophai D",149,IF(Atletas!L313="Tongbeiquan D",150,IF(Atletas!L313="Wudangquan D",151,IF(Atletas!L313="Outros Estilos D",152,IF(Atletas!L313="Chaquan E",153,IF(Atletas!L313="Emeiquan E",154,IF(Atletas!L313="Fanziquan E",155,IF(Atletas!L313="Huaquan E",156,IF(Atletas!L313="Hongquan E",157,IF(Atletas!L313="Paochui E",158,IF(Atletas!L313="Piguaquan E",159,IF(Atletas!L313="Shaolinquan E",160,IF(Atletas!L313="Tanglangquan E",161,IF(Atletas!L313="Yinzhaophai E",162,IF(Atletas!L313="Tongbeiquan E",163,IF(Atletas!L313="Wudangquan E",164,IF(Atletas!L313="Outros Estilos E",165,IF(Atletas!L313="Chaquan F",166,IF(Atletas!L313="Emeiquan F",167,IF(Atletas!L313="Fanziquan F",168,IF(Atletas!L313="Huaquan F",169,IF(Atletas!L313="Hongquan F",170,IF(Atletas!L313="Paochui F",171,IF(Atletas!L313="Piguaquan F",172,IF(Atletas!L313="Shaolinquan F",173,IF(Atletas!L313="Tanglangquan F",174,IF(Atletas!L313="Yinzhaophai F",175,IF(Atletas!L313="Tongbeiquan F",176,IF(Atletas!L313="Wudangquan F",177,IF(Atletas!L313="Outros Estilos F",178,0))))))))))))))))))))))))))))))))))))))))))</f>
        <v/>
      </c>
      <c r="BN317" s="52" t="str">
        <f>IF(Atletas!M313="","",IF(Atletas!W313&lt;&gt;"",10000,0)+(IF(Atletas!B313="Feminino",1000,IF(Atletas!B313="Masculino",2000,""))+(IF(Atletas!M313="Ditangquan A",201,IF(Atletas!M313="Houquan A",202,IF(Atletas!M313="Zuiquan A",203,IF(Atletas!M313="Ditangquan B",204,IF(Atletas!M313="Houquan B",205,IF(Atletas!M313="Zuiquan B",206,IF(Atletas!M313="Ditangquan C",207,IF(Atletas!M313="Houquan C",208,IF(Atletas!M313="Zuiquan C",209,IF(Atletas!M313="Ditangquan D",210,IF(Atletas!M313="Houquan D",211,IF(Atletas!M313="Zuiquan D",212,IF(Atletas!M313="Ditangquan E",213,IF(Atletas!M313="Houquan E",214,IF(Atletas!M313="Zuiquan E",215,IF(Atletas!M313="Ditangquan F",216,IF(Atletas!M313="Houquan F",217,IF(Atletas!M313="Zuiquan F",218,"")))))))))))))))))))))</f>
        <v/>
      </c>
      <c r="BO317" s="52" t="str">
        <f>IF(Atletas!N313="","",IF(Atletas!W313&lt;&gt;"",10000,0)+IF(Atletas!B313="Feminino",1000,IF(Atletas!B313="Masculino",2000,""))+IF(Atletas!N313="Yang A",301,IF(Atletas!N313="Chen A",30,IF(Atletas!N313="Sun A",303,IF(Atletas!N313="Wu A",304,IF(Atletas!N313="Wu-Hao A",305,IF(Atletas!N313="Outro Taijiquan A",306,IF(Atletas!N313="Yang B",307,IF(Atletas!N313="Chen B",308,IF(Atletas!N313="Sun B",309,IF(Atletas!N313="Wu B",310,IF(Atletas!N313="Wu-Hao B",311,IF(Atletas!N313="Outro Taijiquan B",312,IF(Atletas!N313="Yang C",313,IF(Atletas!N313="Chen C",314,IF(Atletas!N313="Sun C",315,IF(Atletas!N313="Wu C",316,IF(Atletas!N313="Wu-Hao C",317,IF(Atletas!N313="Outro Taijiquan C",318,IF(Atletas!N313="Yang D",319,IF(Atletas!N313="Chen D",320,IF(Atletas!N313="Sun D",321,IF(Atletas!N313="Wu D",322,IF(Atletas!N313="Wu-Hao D",323,IF(Atletas!N313="Outro Taijiquan D",324,IF(Atletas!N313="Yang E",325,IF(Atletas!N313="Chen E",326,IF(Atletas!N313="Sun E",327,IF(Atletas!N313="Wu E",328,IF(Atletas!N313="Wu-Hao E",329,IF(Atletas!N313="Outro Taijiquan E",330,IF(Atletas!N313="Yang F",331,IF(Atletas!N313="Chen F",332,IF(Atletas!N313="Sun F",333,IF(Atletas!N313="Wu F",334,IF(Atletas!N313="Wu-Hao F",335,IF(Atletas!N313="Outro Taijiquan F",336,"")))))))))))))))))))))))))))))))))))))</f>
        <v/>
      </c>
      <c r="BP317" s="52" t="str">
        <f>IF(Atletas!O313="","",IF(Atletas!W313&lt;&gt;"",10000,0)+IF(Atletas!B313="Feminino",1000,IF(Atletas!B313="Masculino",2000,""))+IF(OR(Atletas!O313="Yang 26 A",Atletas!O313="Yang 40 A"),401,IF(OR(Atletas!O313="Chen 25 A",Atletas!O313="Chen 36 A",Atletas!O313="Chen 56 A"),402,IF(Atletas!O313="Sun 73 A",403,IF(Atletas!O313="Wu 45 A",404,IF(Atletas!O313="Wu-Hao 46 A",405,IF(OR(Atletas!O313="Taijiquan 16 A",Atletas!O313="Taijiquan 24 A",Atletas!O313="Taijiquan 32 A",Atletas!O313="Taijiquan 42 A"),406,IF(OR(Atletas!O313="Yang 26 B",Atletas!O313="Yang 40 B"),407,IF(OR(Atletas!O313="Chen 25 B",Atletas!O313="Chen 36 B",Atletas!O313="Chen 56 B"),408,IF(Atletas!O313="Sun 73 B",409,IF(Atletas!O313="Wu 45 B",410,IF(Atletas!O313="Wu-Hao 46 B",411,IF(OR(Atletas!O313="Taijiquan 16 B",Atletas!O313="Taijiquan 24 B",Atletas!O313="Taijiquan 32 B",Atletas!O313="Taijiquan 42 B"),412,IF(OR(Atletas!O313="Yang 26 C",Atletas!O313="Yang 40 C"),413,IF(OR(Atletas!O313="Chen 25 C",Atletas!O313="Chen 36 C",Atletas!O313="Chen 56 C"),414,IF(Atletas!O313="Sun 73 C",415,IF(Atletas!O313="Wu 45 C",416,IF(Atletas!O313="Wu-Hao 46 C",417,IF(OR(Atletas!O313="Taijiquan 16 C",Atletas!O313="Taijiquan 24 C",Atletas!O313="Taijiquan 32 C",Atletas!O313="Taijiquan 42 C"),418,0)))))))))))))))))))</f>
        <v/>
      </c>
      <c r="BQ317" s="52" t="str">
        <f>IF(Atletas!O313="","",IF(Atletas!W313&lt;&gt;"",10000,0)+IF(Atletas!B313="Feminino",1000,IF(Atletas!B313="Masculino",2000,""))+IF(OR(Atletas!O313="Yang 26 D",Atletas!O313="Yang 40 D"),419,IF(OR(Atletas!O313="Chen 25 D",Atletas!O313="Chen 36 D",Atletas!O313="Chen 56 D"),420,IF(Atletas!O313="Sun 73 D",421,IF(Atletas!O313="Wu 45 D",422,IF(Atletas!O313="Wu-Hao 46 D",423,IF(OR(Atletas!O313="Taijiquan 16 D",Atletas!O313="Taijiquan 24 D",Atletas!O313="Taijiquan 32 D",Atletas!O313="Taijiquan 42 D"),424,IF(OR(Atletas!O313="Yang 26 E",Atletas!O313="Yang 40 E"),425,IF(OR(Atletas!O313="Chen 25 E",Atletas!O313="Chen 36 E",Atletas!O313="Chen 56 E"),426,IF(Atletas!O313="Sun 73 E",427,IF(Atletas!O313="Wu 45 E",428,IF(Atletas!O313="Wu-Hao 46 E",429,IF(OR(Atletas!O313="Taijiquan 16 E",Atletas!O313="Taijiquan 24 E",Atletas!O313="Taijiquan 32 E",Atletas!O313="Taijiquan 42 E"),430,IF(OR(Atletas!O313="Yang 26 F",Atletas!O313="Yang 40 F"),431,IF(OR(Atletas!O313="Chen 25 F",Atletas!O313="Chen 36 F",Atletas!O313="Chen 56 F"),432,IF(Atletas!O313="Sun 73 F",433,IF(Atletas!O313="Wu 45 F",434,IF(Atletas!O313="Wu-Hao 46 F",435,IF(OR(Atletas!O313="Taijiquan 16 F",Atletas!O313="Taijiquan 24 F",Atletas!O313="Taijiquan 32 F",Atletas!O313="Taijiquan 42 F"),436,0)))))))))))))))))))</f>
        <v/>
      </c>
      <c r="BR317" s="52" t="str">
        <f>IF(Atletas!P313="","",IF(Atletas!W313&lt;&gt;"",10000,0)+IF(Atletas!B313="Feminino",1000,IF(Atletas!B313="Masculino",2000,""))+IF(Atletas!P313="Xingyiquan A",501,IF(Atletas!P313="Baguazhang A",502,IF(Atletas!P313="Outro Estilo Interno A",503,IF(Atletas!P313="Xingyiquan B",504,IF(Atletas!P313="Baguazhang B",505,IF(Atletas!P313="Outro Estilo Interno B",506,IF(Atletas!P313="Xingyiquan C",507,IF(Atletas!P313="Baguazhang C",508,IF(Atletas!P313="Outro Estilo Interno C",509,IF(Atletas!P313="Xingyiquan D",510,IF(Atletas!P313="Baguazhang D",511,IF(Atletas!P313="Outro Estilo Interno D",512,IF(Atletas!P313="Xingyiquan E",513,IF(Atletas!P313="Baguazhang E",514,IF(Atletas!P313="Outro Estilo Interno E",515,IF(Atletas!P313="Xingyiquan F",516,IF(Atletas!P313="Baguazhang F",517,IF(Atletas!P313="Outro Estilo Interno F",518, "")))))))))))))))))))</f>
        <v/>
      </c>
      <c r="BS317" s="52" t="str">
        <f>IF(Atletas!Q313="","",IF(Atletas!W313&lt;&gt;"",10000,0)+IF(Atletas!B313="Feminino",1000,IF(Atletas!B313="Masculino",2000,""))+IF(Atletas!Q313="Dao A",601,IF(Atletas!Q313="Jian A",602,IF(Atletas!Q313="Bishou A",603,IF(Atletas!Q313="Shan A",604,IF(Atletas!Q313="Outra Arma Curta A",605,IF(Atletas!Q313="Dao B",606,IF(Atletas!Q313="Jian B",607,IF(Atletas!Q313="Bishou B",608,IF(Atletas!Q313="Shan B",609,IF(Atletas!Q313="Outra Arma Curta B",610,IF(Atletas!Q313="Dao C",611,IF(Atletas!Q313="Jian C",612,IF(Atletas!Q313="Bishou C",613,IF(Atletas!Q313="Shan C",614,IF(Atletas!Q313="Outra Arma Curta C",615,IF(Atletas!Q313="Dao D",616,IF(Atletas!Q313="Jian D",617,IF(Atletas!Q313="Bishou D",618,IF(Atletas!Q313="Shan D",619,IF(Atletas!Q313="Outra Arma Curta D",620,IF(Atletas!Q313="Dao E",621,IF(Atletas!Q313="Jian E",622,IF(Atletas!Q313="Bishou E",623,IF(Atletas!Q313="Shan E",624,IF(Atletas!Q313="Outra Arma Curta E",625,IF(Atletas!Q313="Dao F",626,IF(Atletas!Q313="Jian F",627,IF(Atletas!Q313="Bishou F",628,IF(Atletas!Q313="Shan F",629,IF(Atletas!Q313="Outra Arma Curta F",630, "")))))))))))))))))))))))))))))))</f>
        <v/>
      </c>
      <c r="BT317" s="52" t="str">
        <f>IF(Atletas!R313="","",IF(Atletas!W313&lt;&gt;"",10000,0)+IF(Atletas!B313="Feminino",1000,IF(Atletas!B313="Masculino",2000,""))+IF(Atletas!R313="Gun A",701,IF(Atletas!R313="Qiang A",702,IF(Atletas!R313="Pudao / Guandao A",703,IF(Atletas!R313="Outra Arma Longa A",704,IF(Atletas!R313="Gun B",705,IF(Atletas!R313="Qiang B",706,IF(Atletas!R313="Pudao / Guandao B",707,IF(Atletas!R313="Outra Arma Longa B",708,IF(Atletas!R313="Gun C",709,IF(Atletas!R313="Qiang C",710,IF(Atletas!R313="Pudao / Guandao C",711,IF(Atletas!R313="Outra Arma Longa C",712,IF(Atletas!R313="Gun D",713,IF(Atletas!R313="Qiang D",714,IF(Atletas!R313="Pudao / Guandao D",715,IF(Atletas!R313="Outra Arma Longa D",716,IF(Atletas!R313="Gun E",717,IF(Atletas!R313="Qiang E",718,IF(Atletas!R313="Pudao / Guandao E",719,IF(Atletas!R313="Outra Arma Longa E",720,IF(Atletas!R313="Gun F",721,IF(Atletas!R313="Qiang F",722,IF(Atletas!R313="Pudao / Guandao F",723,IF(Atletas!R313="Outra Arma Longa F",724,"")))))))))))))))))))))))))</f>
        <v/>
      </c>
      <c r="BU317" s="52" t="str">
        <f>IF(Atletas!S313="","",IF(Atletas!W313&lt;&gt;"",10000,0)+IF(Atletas!B313="Feminino",1000,IF(Atletas!B313="Masculino",2000,""))+IF(Atletas!S313="Arma Dupla A",801,IF(Atletas!S313="Arma Maleável A",802,IF(Atletas!S313="Arma Dupla B",803,IF(Atletas!S313="Arma Maleável B",804,IF(Atletas!S313="Arma Dupla C",805,IF(Atletas!S313="Arma Maleável C",806,IF(Atletas!S313="Arma Dupla D",807,IF(Atletas!S313="Arma Maleável D",808,IF(Atletas!S313="Arma Dupla E",809,IF(Atletas!S313="Arma Maleável E",810,IF(Atletas!S313="Arma Dupla F",811,IF(Atletas!S313="Arma Maleável F",812, "")))))))))))))</f>
        <v/>
      </c>
      <c r="BV317" s="52" t="str">
        <f>IF(Atletas!T313="","",IF(Atletas!W313&lt;&gt;"",10000,0)+IF(Atletas!B313="Feminino",1000,IF(Atletas!B313="Masculino",2000,""))+IF(Atletas!T313="Taijijian Yang A",901,IF(Atletas!T313="Taijijian Chen A",902,IF(Atletas!T313="Taijijian Sun A",903,IF(Atletas!T313="Taijijian Wu A",904,IF(Atletas!T313="Taijijian Wu-Hao A",905,IF(Atletas!T313="Taijijian 32 A",906,IF(Atletas!T313="Taijijian 42 A",907,IF(Atletas!T313="Taijijian Yang B",908,IF(Atletas!T313="Taijijian Chen B",909,IF(Atletas!T313="Taijijian Sun B",910,IF(Atletas!T313="Taijijian Wu B",911,IF(Atletas!T313="Taijijian Wu-Hao B",912,IF(Atletas!T313="Taijijian 32 B",913,IF(Atletas!T313="Taijijian 42 B",914,IF(Atletas!T313="Taijijian Yang C",915,IF(Atletas!T313="Taijijian Chen C",916,IF(Atletas!T313="Taijijian Sun C",917,IF(Atletas!T313="Taijijian Wu C",918,IF(Atletas!T313="Taijijian Wu-Hao C",919,IF(Atletas!T313="Taijijian 32 C",920,IF(Atletas!T313="Taijijian 42 C",921,IF(Atletas!T313="Taijijian Yang D",922,IF(Atletas!T313="Taijijian Chen D",923,IF(Atletas!T313="Taijijian Sun D",924,IF(Atletas!T313="Taijijian Wu D",925,IF(Atletas!T313="Taijijian Wu-Hao D",926,IF(Atletas!T313="Taijijian 32 D",927,IF(Atletas!T313="Taijijian 42 D",928,IF(Atletas!T313="Taijijian Yang E",929,IF(Atletas!T313="Taijijian Chen E",930,IF(Atletas!T313="Taijijian Sun E",931,IF(Atletas!T313="Taijijian Wu E",932,IF(Atletas!T313="Taijijian Wu-Hao E",933,IF(Atletas!T313="Taijijian 32 E",934,IF(Atletas!T313="Taijijian 42 E",935,IF(Atletas!T313="Taijijian Yang F",936,IF(Atletas!T313="Taijijian Chen F",937,IF(Atletas!T313="Taijijian Sun F",938,IF(Atletas!T313="Taijijian Wu F",939,IF(Atletas!T313="Taijijian Wu-Hao F",940,IF(Atletas!T313="Taijijian 32 F",941,IF(Atletas!T313="Taijijian 42 F",942,"")))))))))))))))))))))))))))))))))))))))))))</f>
        <v/>
      </c>
      <c r="BW317" s="52" t="str">
        <f>IF(Atletas!U313="","",IF(Atletas!W313&lt;&gt;"",10000,0)+IF(Atletas!B313="Feminino",1000,IF(Atletas!B313="Masculino",2000,""))+IF(Atletas!T313="Taijijian 42 F",942,IF(Atletas!U313="Taijidao A",943,IF(Atletas!U313="Taijishan A",944,IF(Atletas!U313="Taijiqiang A",945,IF(Atletas!U313="Taijidao B",946,IF(Atletas!U313="Taijishan B",947,IF(Atletas!U313="Taijiqiang B",948,IF(Atletas!U313="Taijidao C",949,IF(Atletas!U313="Taijishan C",950,IF(Atletas!U313="Taijiqiang C",951,IF(Atletas!U313="Taijidao D",952,IF(Atletas!U313="Taijishan D",953,IF(Atletas!U313="Taijiqiang D",954,IF(Atletas!U313="Taijidao E",955,IF(Atletas!U313="Taijishan E",956,IF(Atletas!U313="Taijiqiang E",957,IF(Atletas!U313="Taijidao F",958,IF(Atletas!U313="Taijishan F",959,IF(Atletas!U313="Taijiqiang F",960))))))))))))))))))))</f>
        <v/>
      </c>
      <c r="BX317" s="72" t="str">
        <f>IF(BY317&lt;&gt;"","Taijijian Wu-Hao E","")</f>
        <v/>
      </c>
      <c r="BY317" s="72" t="str">
        <f>IF(COUNTIF(BK:BW,1933)&gt;0,COUNTIF(BK:BW,1933),"")</f>
        <v/>
      </c>
      <c r="BZ317" s="72" t="str">
        <f>IF(CA317&lt;&gt;"","Taijijian Wu-Hao E","")</f>
        <v/>
      </c>
      <c r="CA317" s="72" t="str">
        <f>IF(COUNTIF(BK:BW,2933)&gt;0,COUNTIF(BK:BW,2933),"")</f>
        <v/>
      </c>
      <c r="CB317" s="72" t="str">
        <f>IF(CC317&lt;&gt;"","Gun B","")</f>
        <v/>
      </c>
      <c r="CC317" s="64" t="str">
        <f>IF(COUNTIF(BK:BW,11705)&gt;0,COUNTIF(BK:BW,11705),"")</f>
        <v/>
      </c>
      <c r="CD317" s="64" t="str">
        <f>IF(CE317&lt;&gt;"","Gun B","")</f>
        <v/>
      </c>
      <c r="CE317" s="64" t="str">
        <f>IF(COUNTIF(BK:BW,12705)&gt;0,COUNTIF(BK:BW,12705),"")</f>
        <v/>
      </c>
      <c r="CF317" s="52" t="str">
        <f xml:space="preserve"> IF(Atletas!V313="","",IF(Atletas!V313="Duilian de Mãos AB - Equipe 1",1,IF(Atletas!V313="Duilian de Mãos AB - Equipe 2",2,IF(Atletas!V313="Duilian de Armas AB - Equipe 1",3,IF(Atletas!V313="Duilian de Armas AB - Equipe 2",4,IF(Atletas!V313="Duilian de Tuishou - Equipe 1",5,IF(Atletas!V313="Duilian de Tuishou - Equipe 2",6,IF(Atletas!V313="Grupo Externo AB - Equipe 1",7,IF(Atletas!V313="Grupo Externo AB - Equipe 2",8,IF(Atletas!V313="Grupo Interno AB - Equipe 1",9,IF(Atletas!V313="Grupo Interno AB - Equipe 2",10,IF(Atletas!V313="Duilian de Mãos CD - Equipe 1",11,IF(Atletas!V313="Duilian de Mãos CD - Equipe 2",12,IF(Atletas!V313="Duilian de Armas CD - Equipe 1",13,IF(Atletas!V313="Duilian de Armas CD - Equipe 2",14,IF(Atletas!V313="Duilian de Tuishou - Equipe 1",15,IF(Atletas!V313="Duilian de Tuishou - Equipe 2",16,IF(Atletas!V313="Grupo Externo CDEF - Equipe 1",17,IF(Atletas!V313="Grupo Externo CDEF - Equipe 2",18,IF(Atletas!V313="Grupo Interno CDEF - Equipe 1",19,IF(Atletas!V313="Grupo Interno CDEF - Equipe 2",20,IF(Atletas!V313="Duilian de Mãos EF - Equipe 1",21,IF(Atletas!V313="Duilian de Mãos EF - Equipe 2",22,IF(Atletas!V313="Duilian de Armas EF - Equipe 1",23,IF(Atletas!V313="Duilian de Armas EF - Equipe 2",24,IF(Atletas!V313="Duilian de Tuishou - Equipe 1",25,IF(Atletas!V313="Duilian de Tuishou - Equipe 2",26,"")))))))))))))))))))))))))))</f>
        <v/>
      </c>
    </row>
    <row r="318" spans="36:84">
      <c r="AJ318" s="46" t="str">
        <f>IF(Atletas!D314="","",IF(Atletas!B314="Feminino",100,IF(Atletas!B314="Masculino",200,""))+(IF(Atletas!D314="Infantil 39kg",1,IF(Atletas!D314="Infantil 42kg",2,IF(Atletas!D314="Infantil 45kg",3,IF(Atletas!D314="Infantil 48kg",4,IF(Atletas!D314="Infantil 52kg",5,IF(Atletas!D314="Infantil 56kg",6,IF(Atletas!D314="Infantil 60kg",7,IF(Atletas!D314="Juvenil 48kg",8,IF(Atletas!D314="Juvenil 52kg",9,IF(Atletas!D314="Juvenil 56kg",10,IF(Atletas!D314="Juvenil 60kg",11,IF(Atletas!D314="Juvenil 65kg",12,IF(Atletas!D314="Juvenil 70kg",13,IF(Atletas!D314="Juvenil 75kg",14,IF(Atletas!D314="Juvenil 80kg",15,IF(Atletas!D314="Adulto 48kg",16,IF(Atletas!D314="Adulto 52kg",17,IF(Atletas!D314="Adulto 56kg",18,IF(Atletas!D314="Adulto 60kg",19,IF(Atletas!D314="Adulto 65kg",20,IF(Atletas!D314="Adulto 70kg",21,IF(Atletas!D314="Adulto 75kg",22,IF(Atletas!D314="Adulto 80kg",23,IF(Atletas!D314="Adulto 85kg",24,IF(Atletas!D314="Adulto 90kg",25,IF(Atletas!D314="Adulto +90kg",26,""))))))))))))))))))))))))))))</f>
        <v/>
      </c>
      <c r="AO318" s="10" t="str">
        <f>IF(Atletas!E314="","",IF(Atletas!B314="Feminino",100,IF(Atletas!B314="Masculino",200,""))+(IF(Atletas!E314="Juvenil 44kg",1,IF(Atletas!E314="Juvenil 48kg",2,IF(Atletas!E314="Juvenil 52kg",3,IF(Atletas!E314="Juvenil 56kg",4,IF(Atletas!E314="Juvenil 60kg",5,IF(Atletas!E314="Juvenil 65kg",6,IF(Atletas!E314="Juvenil 70kg",7,IF(Atletas!E314="Juvenil 75kg",8,IF(Atletas!E314="Juvenil 82kg",9,IF(Atletas!E314="Juvenil 90kg",10,IF(Atletas!E314="Juvenil 100kg",11,IF(Atletas!E314="Adulto 48kg",12,IF(Atletas!E314="Adulto 52kg",13,IF(Atletas!E314="Adulto 56kg",14,IF(Atletas!E314="Adulto 60kg",15,IF(Atletas!E314="Adulto 65kg",16,IF(Atletas!E314="Adulto 70kg",17,IF(Atletas!E314="Adulto 75kg",18,IF(Atletas!E314="Adulto 82kg",19,IF(Atletas!E314="Adulto 90kg",20,IF(Atletas!E314="Adulto 100kg",21,IF(Atletas!E314="Adulto +100kg",22,""))))))))))))))))))))))))</f>
        <v/>
      </c>
      <c r="AT318" s="10" t="str">
        <f>IF(Atletas!F314="","",IF(Atletas!B314="Feminino",100,IF(Atletas!B314="Masculino",200,""))+(IF(Atletas!F314="Adulto 48kg",1,IF(Atletas!F314="Adulto 56kg",2,IF(Atletas!F314="Adulto 65kg",3,IF(Atletas!F314="Adulto 75kg",4,IF(Atletas!F314="Adulto +75kg",5,IF(Atletas!F314="Adulto 52kg",6,IF(Atletas!F314="Adulto 60kg",7,IF(Atletas!F314="Adulto 70kg",8,IF(Atletas!F314="Adulto 80kg",9,IF(Atletas!F314="Adulto 90kg",10,IF(Atletas!F314="Adulto +90kg",11,"")))))))))))))</f>
        <v/>
      </c>
      <c r="AY318" s="46" t="str">
        <f>IF(Atletas!G314="","",IF(Atletas!B314="Feminino",100,IF(Atletas!B314="Masculino",200,""))+(IF(Atletas!G314="Changquan Mirim",1,IF(Atletas!G314="Nanquan Mirim",2,IF(Atletas!G314="Taijiquan Mirim",3,IF(Atletas!G314="Changquan Grupo C",4,IF(Atletas!G314="Nanquan Grupo C",5,IF(Atletas!G314="Taijiquan Grupo C",6,IF(Atletas!G314="Changquan Grupo B",7,IF(Atletas!G314="Nanquan Grupo B",8,IF(Atletas!G314="Taijiquan Grupo B",9,IF(Atletas!G314="Changquan Grupo A",10,IF(Atletas!G314="Nanquan Grupo A",11,IF(Atletas!G314="Taijiquan Grupo A",12,IF(Atletas!G314="Changquan Opcional",13,IF(Atletas!G314="Nanquan Opcional",14,IF(Atletas!G314="Taijiquan Opcional",15,IF(Atletas!G314="Changquan Adulto",16,IF(Atletas!G314="Nanquan Adulto",17,IF(Atletas!G314="Taijiquan Adulto",18,""))))))))))))))))))))</f>
        <v/>
      </c>
      <c r="AZ318" s="46" t="str">
        <f>IF(Atletas!H314="","",IF(Atletas!B314="Feminino",100,IF(Atletas!B314="Masculino",200,""))+(IF(Atletas!H314="Daoshu Mirim",19,IF(Atletas!H314="Jianshu Mirim",20,IF(Atletas!H314="Nandao Mirim",21,IF(Atletas!H314="Taijijian Mirim",22,IF(Atletas!H314="Daoshu Grupo C",23,IF(Atletas!H314="Jianshu Grupo C",24,IF(Atletas!H314="Nandao Grupo C",25,IF(Atletas!H314="Taijijian Grupo C",26,IF(Atletas!H314="Daoshu Grupo B",27,IF(Atletas!H314="Jianshu Grupo B",28,IF(Atletas!H314="Nandao Grupo B",29,IF(Atletas!H314="Taijijian Grupo B",30,IF(Atletas!H314="Daoshu Grupo A",31,IF(Atletas!H314="Jianshu Grupo A",32,IF(Atletas!H314="Nandao Grupo A",33,IF(Atletas!H314="Taijijian Grupo A",34,IF(Atletas!H314="Daoshu Opcional",35,IF(Atletas!H314="Jianshu Opcional",36,IF(Atletas!H314="Nandao Opcional",37,IF(Atletas!H314="Taijijian Opcional",38,IF(Atletas!H314="Daoshu Adulto",39,IF(Atletas!H314="Jianshu Adulto",40,IF(Atletas!H314="Nandao Adulto",41,IF(Atletas!H314="Taijijian Adulto",42,""))))))))))))))))))))))))))</f>
        <v/>
      </c>
      <c r="BA318" s="46" t="str">
        <f>IF(Atletas!I314="","",IF(Atletas!B314="Feminino",100,IF(Atletas!B314="Masculino",200,""))+(IF(Atletas!I314="Gunshu Mirim",43,IF(Atletas!I314="Qiangshu Mirim",44,IF(Atletas!I314="Nangun Mirim",45,IF(Atletas!I314="Gunshu Grupo C",46,IF(Atletas!I314="Qiangshu Grupo C",47,IF(Atletas!I314="Nangun Grupo C",48,IF(Atletas!I314="Gunshu Grupo B",49,IF(Atletas!I314="Qiangshu Grupo B",50,IF(Atletas!I314="Nangun Grupo B",51,IF(Atletas!I314="Gunshu Grupo A",52,IF(Atletas!I314="Qiangshu Grupo A",53,IF(Atletas!I314="Nangun Grupo A",54,IF(Atletas!I314="Gunshu Opcional",55,IF(Atletas!I314="Qiangshu Opcional",56,IF(Atletas!I314="Nangun Opcional",57,IF(Atletas!I314="Gunshu Adulto",58,IF(Atletas!I314="Qiangshu Adulto",59,IF(Atletas!I314="Nangun Adulto",60,""))))))))))))))))))))</f>
        <v/>
      </c>
      <c r="BF318" s="52" t="str">
        <f>IF(Atletas!J314="","",IF(Atletas!B314="Feminino",100,IF(Atletas!B314="Masculino",200,""))+(IF(Atletas!J314="Equipe 1 Grupo B",1,IF(Atletas!J314="Equipe 2 Grupo B",2,IF(Atletas!J314="Equipe 1 Grupo A",3,IF(Atletas!J314="Equipe 2 Grupo A",4,IF(Atletas!J314="Equipe 1 Adulto",5,IF(Atletas!J314="Equipe 2 Adulto",6,""))))))))</f>
        <v/>
      </c>
      <c r="BK318" s="52" t="str">
        <f>IF(Atletas!K314="","",IF(Atletas!W314&lt;&gt;"",10000,0)+(IF(Atletas!B314="Feminino",1000,IF(Atletas!B314="Masculino",2000,""))+IF(Atletas!K314="Choylayfut A",1,IF(Atletas!K314="Hunggar A",2,IF(Atletas!K314="Wuzuquan A",3,IF(Atletas!K314="Wingchun A",4,IF(Atletas!K314="Outra Mão de Sul A",5,IF(Atletas!K314="Choylayfut B",6,IF(Atletas!K314="Hunggar B",7,IF(Atletas!K314="Wuzuquan B",8,IF(Atletas!K314="Wingchun B",9,IF(Atletas!K314="Outra Mão de Sul B",10,IF(Atletas!K314="Choylayfut C",11,IF(Atletas!K314="Hunggar C",12,IF(Atletas!K314="Wuzuquan C",13,IF(Atletas!K314="Wingchun C",14,IF(Atletas!K314="Outra Mão de Sul C",15,IF(Atletas!K314="Choylayfut D",16,IF(Atletas!K314="Hunggar D",17,IF(Atletas!K314="Wuzuquan D",18,IF(Atletas!K314="Wingchun D",19,IF(Atletas!K314="Outra Mão de Sul D",20,IF(Atletas!K314="Choylayfut E",21,IF(Atletas!K314="Hunggar E",22,IF(Atletas!K314="Wuzuquan E",23,IF(Atletas!K314="Wingchun E",24,IF(Atletas!K314="Outra Mão de Sul E",25,IF(Atletas!K314="Choylayfut F",26,IF(Atletas!K314="Hunggar F",27,IF(Atletas!K314="Wuzuquan F",28,IF(Atletas!K314="Wingchun F",29,IF(Atletas!K314="Outra Mão de Sul F",30,""))))))))))))))))))))))))))))))))</f>
        <v/>
      </c>
      <c r="BL318" s="52" t="str">
        <f>IF(Atletas!L314="","",IF(Atletas!W314&lt;&gt;"",10000,0)+(IF(Atletas!B314="Feminino",1000,IF(Atletas!B314="Masculino",2000,""))+(IF(Atletas!L314="Chaquan A",101,IF(Atletas!L314="Emeiquan A",102,IF(Atletas!L314="Fanziquan A",103,IF(Atletas!L314="Huaquan A",104,IF(Atletas!L314="Hongquan A",105,IF(Atletas!L314="Paochui A",106,IF(Atletas!L314="Piguaquan A",107,IF(Atletas!L314="Shaolinquan A",108,IF(Atletas!L314="Tanglangquan A",109,IF(Atletas!L314="Yinzhaophai A",110,IF(Atletas!L314="Tongbeiquan A",111,IF(Atletas!L314="Wudangquan A",112,IF(Atletas!L314="Outros Estilos A",113,IF(Atletas!L314="Chaquan B",114,IF(Atletas!L314="Emeiquan B",115,IF(Atletas!L314="Fanziquan B",116,IF(Atletas!L314="Huaquan B",117,IF(Atletas!L314="Hongquan B",118,IF(Atletas!L314="Paochui B",119,IF(Atletas!L314="Piguaquan B",120,IF(Atletas!L314="Shaolinquan B",121,IF(Atletas!L314="Tanglangquan B",122,IF(Atletas!L314="Yinzhaophai B",123,IF(Atletas!L314="Tongbeiquan B",124,IF(Atletas!L314="Wudangquan B",125,IF(Atletas!L314="Outros Estilos B",126,IF(Atletas!L314="Chaquan C",127,IF(Atletas!L314="Emeiquan C",128,IF(Atletas!L314="Fanziquan C",129,IF(Atletas!L314="Huaquan C",130,IF(Atletas!L314="Hongquan C",131,IF(Atletas!L314="Paochui C",132,IF(Atletas!L314="Piguaquan C",133,IF(Atletas!L314="Shaolinquan C",134,IF(Atletas!L314="Tanglangquan C",135,IF(Atletas!L314="Yinzhaophai C",136,IF(Atletas!L314="Tongbeiquan C",137,IF(Atletas!L314="Wudangquan C",138,IF(Atletas!L314="Outros Estilos C",139,0))))))))))))))))))))))))))))))))))))))))))</f>
        <v/>
      </c>
      <c r="BM318" s="52" t="str">
        <f>IF(Atletas!L314="","",IF(Atletas!W314&lt;&gt;"",10000,0)+(IF(Atletas!B314="Feminino",1000,IF(Atletas!B314="Masculino",2000,""))+(IF(Atletas!L314="Chaquan D",140,IF(Atletas!L314="Emeiquan D",141,IF(Atletas!L314="Fanziquan D",142,IF(Atletas!L314="Huaquan D",143,IF(Atletas!L314="Hongquan D",144,IF(Atletas!L314="Paochui D",145,IF(Atletas!L314="Piguaquan D",146,IF(Atletas!L314="Shaolinquan D",147,IF(Atletas!L314="Tanglangquan D",148,IF(Atletas!L314="Yinzhaophai D",149,IF(Atletas!L314="Tongbeiquan D",150,IF(Atletas!L314="Wudangquan D",151,IF(Atletas!L314="Outros Estilos D",152,IF(Atletas!L314="Chaquan E",153,IF(Atletas!L314="Emeiquan E",154,IF(Atletas!L314="Fanziquan E",155,IF(Atletas!L314="Huaquan E",156,IF(Atletas!L314="Hongquan E",157,IF(Atletas!L314="Paochui E",158,IF(Atletas!L314="Piguaquan E",159,IF(Atletas!L314="Shaolinquan E",160,IF(Atletas!L314="Tanglangquan E",161,IF(Atletas!L314="Yinzhaophai E",162,IF(Atletas!L314="Tongbeiquan E",163,IF(Atletas!L314="Wudangquan E",164,IF(Atletas!L314="Outros Estilos E",165,IF(Atletas!L314="Chaquan F",166,IF(Atletas!L314="Emeiquan F",167,IF(Atletas!L314="Fanziquan F",168,IF(Atletas!L314="Huaquan F",169,IF(Atletas!L314="Hongquan F",170,IF(Atletas!L314="Paochui F",171,IF(Atletas!L314="Piguaquan F",172,IF(Atletas!L314="Shaolinquan F",173,IF(Atletas!L314="Tanglangquan F",174,IF(Atletas!L314="Yinzhaophai F",175,IF(Atletas!L314="Tongbeiquan F",176,IF(Atletas!L314="Wudangquan F",177,IF(Atletas!L314="Outros Estilos F",178,0))))))))))))))))))))))))))))))))))))))))))</f>
        <v/>
      </c>
      <c r="BN318" s="52" t="str">
        <f>IF(Atletas!M314="","",IF(Atletas!W314&lt;&gt;"",10000,0)+(IF(Atletas!B314="Feminino",1000,IF(Atletas!B314="Masculino",2000,""))+(IF(Atletas!M314="Ditangquan A",201,IF(Atletas!M314="Houquan A",202,IF(Atletas!M314="Zuiquan A",203,IF(Atletas!M314="Ditangquan B",204,IF(Atletas!M314="Houquan B",205,IF(Atletas!M314="Zuiquan B",206,IF(Atletas!M314="Ditangquan C",207,IF(Atletas!M314="Houquan C",208,IF(Atletas!M314="Zuiquan C",209,IF(Atletas!M314="Ditangquan D",210,IF(Atletas!M314="Houquan D",211,IF(Atletas!M314="Zuiquan D",212,IF(Atletas!M314="Ditangquan E",213,IF(Atletas!M314="Houquan E",214,IF(Atletas!M314="Zuiquan E",215,IF(Atletas!M314="Ditangquan F",216,IF(Atletas!M314="Houquan F",217,IF(Atletas!M314="Zuiquan F",218,"")))))))))))))))))))))</f>
        <v/>
      </c>
      <c r="BO318" s="52" t="str">
        <f>IF(Atletas!N314="","",IF(Atletas!W314&lt;&gt;"",10000,0)+IF(Atletas!B314="Feminino",1000,IF(Atletas!B314="Masculino",2000,""))+IF(Atletas!N314="Yang A",301,IF(Atletas!N314="Chen A",30,IF(Atletas!N314="Sun A",303,IF(Atletas!N314="Wu A",304,IF(Atletas!N314="Wu-Hao A",305,IF(Atletas!N314="Outro Taijiquan A",306,IF(Atletas!N314="Yang B",307,IF(Atletas!N314="Chen B",308,IF(Atletas!N314="Sun B",309,IF(Atletas!N314="Wu B",310,IF(Atletas!N314="Wu-Hao B",311,IF(Atletas!N314="Outro Taijiquan B",312,IF(Atletas!N314="Yang C",313,IF(Atletas!N314="Chen C",314,IF(Atletas!N314="Sun C",315,IF(Atletas!N314="Wu C",316,IF(Atletas!N314="Wu-Hao C",317,IF(Atletas!N314="Outro Taijiquan C",318,IF(Atletas!N314="Yang D",319,IF(Atletas!N314="Chen D",320,IF(Atletas!N314="Sun D",321,IF(Atletas!N314="Wu D",322,IF(Atletas!N314="Wu-Hao D",323,IF(Atletas!N314="Outro Taijiquan D",324,IF(Atletas!N314="Yang E",325,IF(Atletas!N314="Chen E",326,IF(Atletas!N314="Sun E",327,IF(Atletas!N314="Wu E",328,IF(Atletas!N314="Wu-Hao E",329,IF(Atletas!N314="Outro Taijiquan E",330,IF(Atletas!N314="Yang F",331,IF(Atletas!N314="Chen F",332,IF(Atletas!N314="Sun F",333,IF(Atletas!N314="Wu F",334,IF(Atletas!N314="Wu-Hao F",335,IF(Atletas!N314="Outro Taijiquan F",336,"")))))))))))))))))))))))))))))))))))))</f>
        <v/>
      </c>
      <c r="BP318" s="52" t="str">
        <f>IF(Atletas!O314="","",IF(Atletas!W314&lt;&gt;"",10000,0)+IF(Atletas!B314="Feminino",1000,IF(Atletas!B314="Masculino",2000,""))+IF(OR(Atletas!O314="Yang 26 A",Atletas!O314="Yang 40 A"),401,IF(OR(Atletas!O314="Chen 25 A",Atletas!O314="Chen 36 A",Atletas!O314="Chen 56 A"),402,IF(Atletas!O314="Sun 73 A",403,IF(Atletas!O314="Wu 45 A",404,IF(Atletas!O314="Wu-Hao 46 A",405,IF(OR(Atletas!O314="Taijiquan 16 A",Atletas!O314="Taijiquan 24 A",Atletas!O314="Taijiquan 32 A",Atletas!O314="Taijiquan 42 A"),406,IF(OR(Atletas!O314="Yang 26 B",Atletas!O314="Yang 40 B"),407,IF(OR(Atletas!O314="Chen 25 B",Atletas!O314="Chen 36 B",Atletas!O314="Chen 56 B"),408,IF(Atletas!O314="Sun 73 B",409,IF(Atletas!O314="Wu 45 B",410,IF(Atletas!O314="Wu-Hao 46 B",411,IF(OR(Atletas!O314="Taijiquan 16 B",Atletas!O314="Taijiquan 24 B",Atletas!O314="Taijiquan 32 B",Atletas!O314="Taijiquan 42 B"),412,IF(OR(Atletas!O314="Yang 26 C",Atletas!O314="Yang 40 C"),413,IF(OR(Atletas!O314="Chen 25 C",Atletas!O314="Chen 36 C",Atletas!O314="Chen 56 C"),414,IF(Atletas!O314="Sun 73 C",415,IF(Atletas!O314="Wu 45 C",416,IF(Atletas!O314="Wu-Hao 46 C",417,IF(OR(Atletas!O314="Taijiquan 16 C",Atletas!O314="Taijiquan 24 C",Atletas!O314="Taijiquan 32 C",Atletas!O314="Taijiquan 42 C"),418,0)))))))))))))))))))</f>
        <v/>
      </c>
      <c r="BQ318" s="52" t="str">
        <f>IF(Atletas!O314="","",IF(Atletas!W314&lt;&gt;"",10000,0)+IF(Atletas!B314="Feminino",1000,IF(Atletas!B314="Masculino",2000,""))+IF(OR(Atletas!O314="Yang 26 D",Atletas!O314="Yang 40 D"),419,IF(OR(Atletas!O314="Chen 25 D",Atletas!O314="Chen 36 D",Atletas!O314="Chen 56 D"),420,IF(Atletas!O314="Sun 73 D",421,IF(Atletas!O314="Wu 45 D",422,IF(Atletas!O314="Wu-Hao 46 D",423,IF(OR(Atletas!O314="Taijiquan 16 D",Atletas!O314="Taijiquan 24 D",Atletas!O314="Taijiquan 32 D",Atletas!O314="Taijiquan 42 D"),424,IF(OR(Atletas!O314="Yang 26 E",Atletas!O314="Yang 40 E"),425,IF(OR(Atletas!O314="Chen 25 E",Atletas!O314="Chen 36 E",Atletas!O314="Chen 56 E"),426,IF(Atletas!O314="Sun 73 E",427,IF(Atletas!O314="Wu 45 E",428,IF(Atletas!O314="Wu-Hao 46 E",429,IF(OR(Atletas!O314="Taijiquan 16 E",Atletas!O314="Taijiquan 24 E",Atletas!O314="Taijiquan 32 E",Atletas!O314="Taijiquan 42 E"),430,IF(OR(Atletas!O314="Yang 26 F",Atletas!O314="Yang 40 F"),431,IF(OR(Atletas!O314="Chen 25 F",Atletas!O314="Chen 36 F",Atletas!O314="Chen 56 F"),432,IF(Atletas!O314="Sun 73 F",433,IF(Atletas!O314="Wu 45 F",434,IF(Atletas!O314="Wu-Hao 46 F",435,IF(OR(Atletas!O314="Taijiquan 16 F",Atletas!O314="Taijiquan 24 F",Atletas!O314="Taijiquan 32 F",Atletas!O314="Taijiquan 42 F"),436,0)))))))))))))))))))</f>
        <v/>
      </c>
      <c r="BR318" s="52" t="str">
        <f>IF(Atletas!P314="","",IF(Atletas!W314&lt;&gt;"",10000,0)+IF(Atletas!B314="Feminino",1000,IF(Atletas!B314="Masculino",2000,""))+IF(Atletas!P314="Xingyiquan A",501,IF(Atletas!P314="Baguazhang A",502,IF(Atletas!P314="Outro Estilo Interno A",503,IF(Atletas!P314="Xingyiquan B",504,IF(Atletas!P314="Baguazhang B",505,IF(Atletas!P314="Outro Estilo Interno B",506,IF(Atletas!P314="Xingyiquan C",507,IF(Atletas!P314="Baguazhang C",508,IF(Atletas!P314="Outro Estilo Interno C",509,IF(Atletas!P314="Xingyiquan D",510,IF(Atletas!P314="Baguazhang D",511,IF(Atletas!P314="Outro Estilo Interno D",512,IF(Atletas!P314="Xingyiquan E",513,IF(Atletas!P314="Baguazhang E",514,IF(Atletas!P314="Outro Estilo Interno E",515,IF(Atletas!P314="Xingyiquan F",516,IF(Atletas!P314="Baguazhang F",517,IF(Atletas!P314="Outro Estilo Interno F",518, "")))))))))))))))))))</f>
        <v/>
      </c>
      <c r="BS318" s="52" t="str">
        <f>IF(Atletas!Q314="","",IF(Atletas!W314&lt;&gt;"",10000,0)+IF(Atletas!B314="Feminino",1000,IF(Atletas!B314="Masculino",2000,""))+IF(Atletas!Q314="Dao A",601,IF(Atletas!Q314="Jian A",602,IF(Atletas!Q314="Bishou A",603,IF(Atletas!Q314="Shan A",604,IF(Atletas!Q314="Outra Arma Curta A",605,IF(Atletas!Q314="Dao B",606,IF(Atletas!Q314="Jian B",607,IF(Atletas!Q314="Bishou B",608,IF(Atletas!Q314="Shan B",609,IF(Atletas!Q314="Outra Arma Curta B",610,IF(Atletas!Q314="Dao C",611,IF(Atletas!Q314="Jian C",612,IF(Atletas!Q314="Bishou C",613,IF(Atletas!Q314="Shan C",614,IF(Atletas!Q314="Outra Arma Curta C",615,IF(Atletas!Q314="Dao D",616,IF(Atletas!Q314="Jian D",617,IF(Atletas!Q314="Bishou D",618,IF(Atletas!Q314="Shan D",619,IF(Atletas!Q314="Outra Arma Curta D",620,IF(Atletas!Q314="Dao E",621,IF(Atletas!Q314="Jian E",622,IF(Atletas!Q314="Bishou E",623,IF(Atletas!Q314="Shan E",624,IF(Atletas!Q314="Outra Arma Curta E",625,IF(Atletas!Q314="Dao F",626,IF(Atletas!Q314="Jian F",627,IF(Atletas!Q314="Bishou F",628,IF(Atletas!Q314="Shan F",629,IF(Atletas!Q314="Outra Arma Curta F",630, "")))))))))))))))))))))))))))))))</f>
        <v/>
      </c>
      <c r="BT318" s="52" t="str">
        <f>IF(Atletas!R314="","",IF(Atletas!W314&lt;&gt;"",10000,0)+IF(Atletas!B314="Feminino",1000,IF(Atletas!B314="Masculino",2000,""))+IF(Atletas!R314="Gun A",701,IF(Atletas!R314="Qiang A",702,IF(Atletas!R314="Pudao / Guandao A",703,IF(Atletas!R314="Outra Arma Longa A",704,IF(Atletas!R314="Gun B",705,IF(Atletas!R314="Qiang B",706,IF(Atletas!R314="Pudao / Guandao B",707,IF(Atletas!R314="Outra Arma Longa B",708,IF(Atletas!R314="Gun C",709,IF(Atletas!R314="Qiang C",710,IF(Atletas!R314="Pudao / Guandao C",711,IF(Atletas!R314="Outra Arma Longa C",712,IF(Atletas!R314="Gun D",713,IF(Atletas!R314="Qiang D",714,IF(Atletas!R314="Pudao / Guandao D",715,IF(Atletas!R314="Outra Arma Longa D",716,IF(Atletas!R314="Gun E",717,IF(Atletas!R314="Qiang E",718,IF(Atletas!R314="Pudao / Guandao E",719,IF(Atletas!R314="Outra Arma Longa E",720,IF(Atletas!R314="Gun F",721,IF(Atletas!R314="Qiang F",722,IF(Atletas!R314="Pudao / Guandao F",723,IF(Atletas!R314="Outra Arma Longa F",724,"")))))))))))))))))))))))))</f>
        <v/>
      </c>
      <c r="BU318" s="52" t="str">
        <f>IF(Atletas!S314="","",IF(Atletas!W314&lt;&gt;"",10000,0)+IF(Atletas!B314="Feminino",1000,IF(Atletas!B314="Masculino",2000,""))+IF(Atletas!S314="Arma Dupla A",801,IF(Atletas!S314="Arma Maleável A",802,IF(Atletas!S314="Arma Dupla B",803,IF(Atletas!S314="Arma Maleável B",804,IF(Atletas!S314="Arma Dupla C",805,IF(Atletas!S314="Arma Maleável C",806,IF(Atletas!S314="Arma Dupla D",807,IF(Atletas!S314="Arma Maleável D",808,IF(Atletas!S314="Arma Dupla E",809,IF(Atletas!S314="Arma Maleável E",810,IF(Atletas!S314="Arma Dupla F",811,IF(Atletas!S314="Arma Maleável F",812, "")))))))))))))</f>
        <v/>
      </c>
      <c r="BV318" s="52" t="str">
        <f>IF(Atletas!T314="","",IF(Atletas!W314&lt;&gt;"",10000,0)+IF(Atletas!B314="Feminino",1000,IF(Atletas!B314="Masculino",2000,""))+IF(Atletas!T314="Taijijian Yang A",901,IF(Atletas!T314="Taijijian Chen A",902,IF(Atletas!T314="Taijijian Sun A",903,IF(Atletas!T314="Taijijian Wu A",904,IF(Atletas!T314="Taijijian Wu-Hao A",905,IF(Atletas!T314="Taijijian 32 A",906,IF(Atletas!T314="Taijijian 42 A",907,IF(Atletas!T314="Taijijian Yang B",908,IF(Atletas!T314="Taijijian Chen B",909,IF(Atletas!T314="Taijijian Sun B",910,IF(Atletas!T314="Taijijian Wu B",911,IF(Atletas!T314="Taijijian Wu-Hao B",912,IF(Atletas!T314="Taijijian 32 B",913,IF(Atletas!T314="Taijijian 42 B",914,IF(Atletas!T314="Taijijian Yang C",915,IF(Atletas!T314="Taijijian Chen C",916,IF(Atletas!T314="Taijijian Sun C",917,IF(Atletas!T314="Taijijian Wu C",918,IF(Atletas!T314="Taijijian Wu-Hao C",919,IF(Atletas!T314="Taijijian 32 C",920,IF(Atletas!T314="Taijijian 42 C",921,IF(Atletas!T314="Taijijian Yang D",922,IF(Atletas!T314="Taijijian Chen D",923,IF(Atletas!T314="Taijijian Sun D",924,IF(Atletas!T314="Taijijian Wu D",925,IF(Atletas!T314="Taijijian Wu-Hao D",926,IF(Atletas!T314="Taijijian 32 D",927,IF(Atletas!T314="Taijijian 42 D",928,IF(Atletas!T314="Taijijian Yang E",929,IF(Atletas!T314="Taijijian Chen E",930,IF(Atletas!T314="Taijijian Sun E",931,IF(Atletas!T314="Taijijian Wu E",932,IF(Atletas!T314="Taijijian Wu-Hao E",933,IF(Atletas!T314="Taijijian 32 E",934,IF(Atletas!T314="Taijijian 42 E",935,IF(Atletas!T314="Taijijian Yang F",936,IF(Atletas!T314="Taijijian Chen F",937,IF(Atletas!T314="Taijijian Sun F",938,IF(Atletas!T314="Taijijian Wu F",939,IF(Atletas!T314="Taijijian Wu-Hao F",940,IF(Atletas!T314="Taijijian 32 F",941,IF(Atletas!T314="Taijijian 42 F",942,"")))))))))))))))))))))))))))))))))))))))))))</f>
        <v/>
      </c>
      <c r="BW318" s="52" t="str">
        <f>IF(Atletas!U314="","",IF(Atletas!W314&lt;&gt;"",10000,0)+IF(Atletas!B314="Feminino",1000,IF(Atletas!B314="Masculino",2000,""))+IF(Atletas!T314="Taijijian 42 F",942,IF(Atletas!U314="Taijidao A",943,IF(Atletas!U314="Taijishan A",944,IF(Atletas!U314="Taijiqiang A",945,IF(Atletas!U314="Taijidao B",946,IF(Atletas!U314="Taijishan B",947,IF(Atletas!U314="Taijiqiang B",948,IF(Atletas!U314="Taijidao C",949,IF(Atletas!U314="Taijishan C",950,IF(Atletas!U314="Taijiqiang C",951,IF(Atletas!U314="Taijidao D",952,IF(Atletas!U314="Taijishan D",953,IF(Atletas!U314="Taijiqiang D",954,IF(Atletas!U314="Taijidao E",955,IF(Atletas!U314="Taijishan E",956,IF(Atletas!U314="Taijiqiang E",957,IF(Atletas!U314="Taijidao F",958,IF(Atletas!U314="Taijishan F",959,IF(Atletas!U314="Taijiqiang F",960))))))))))))))))))))</f>
        <v/>
      </c>
      <c r="BX318" s="72" t="str">
        <f>IF(BY318&lt;&gt;"","Taijijian Combinado E","")</f>
        <v/>
      </c>
      <c r="BY318" s="72" t="str">
        <f>IF((COUNTIF(BK:BW,1934)+COUNTIF(BK:BW,1935))&gt;0,(COUNTIF(BK:BW,1934)+COUNTIF(BK:BW,1935)),"")</f>
        <v/>
      </c>
      <c r="BZ318" s="72" t="str">
        <f>IF(CA318&lt;&gt;"","Taijijian Combinado E","")</f>
        <v/>
      </c>
      <c r="CA318" s="72" t="str">
        <f>IF((COUNTIF(BK:BW,2934)+COUNTIF(BK:BW,2935))&gt;0,(COUNTIF(BK:BW,2934)+COUNTIF(BK:BW,2935)),"")</f>
        <v/>
      </c>
      <c r="CB318" s="72" t="str">
        <f>IF(CC318&lt;&gt;"","Qiang B","")</f>
        <v/>
      </c>
      <c r="CC318" s="64" t="str">
        <f>IF(COUNTIF(BK:BW,11706)&gt;0,COUNTIF(BK:BW,11706),"")</f>
        <v/>
      </c>
      <c r="CD318" s="64" t="str">
        <f>IF(CE318&lt;&gt;"","Qiang B","")</f>
        <v/>
      </c>
      <c r="CE318" s="64" t="str">
        <f>IF(COUNTIF(BK:BW,12706)&gt;0,COUNTIF(BK:BW,12706),"")</f>
        <v/>
      </c>
      <c r="CF318" s="52" t="str">
        <f xml:space="preserve"> IF(Atletas!V314="","",IF(Atletas!V314="Duilian de Mãos AB - Equipe 1",1,IF(Atletas!V314="Duilian de Mãos AB - Equipe 2",2,IF(Atletas!V314="Duilian de Armas AB - Equipe 1",3,IF(Atletas!V314="Duilian de Armas AB - Equipe 2",4,IF(Atletas!V314="Duilian de Tuishou - Equipe 1",5,IF(Atletas!V314="Duilian de Tuishou - Equipe 2",6,IF(Atletas!V314="Grupo Externo AB - Equipe 1",7,IF(Atletas!V314="Grupo Externo AB - Equipe 2",8,IF(Atletas!V314="Grupo Interno AB - Equipe 1",9,IF(Atletas!V314="Grupo Interno AB - Equipe 2",10,IF(Atletas!V314="Duilian de Mãos CD - Equipe 1",11,IF(Atletas!V314="Duilian de Mãos CD - Equipe 2",12,IF(Atletas!V314="Duilian de Armas CD - Equipe 1",13,IF(Atletas!V314="Duilian de Armas CD - Equipe 2",14,IF(Atletas!V314="Duilian de Tuishou - Equipe 1",15,IF(Atletas!V314="Duilian de Tuishou - Equipe 2",16,IF(Atletas!V314="Grupo Externo CDEF - Equipe 1",17,IF(Atletas!V314="Grupo Externo CDEF - Equipe 2",18,IF(Atletas!V314="Grupo Interno CDEF - Equipe 1",19,IF(Atletas!V314="Grupo Interno CDEF - Equipe 2",20,IF(Atletas!V314="Duilian de Mãos EF - Equipe 1",21,IF(Atletas!V314="Duilian de Mãos EF - Equipe 2",22,IF(Atletas!V314="Duilian de Armas EF - Equipe 1",23,IF(Atletas!V314="Duilian de Armas EF - Equipe 2",24,IF(Atletas!V314="Duilian de Tuishou - Equipe 1",25,IF(Atletas!V314="Duilian de Tuishou - Equipe 2",26,"")))))))))))))))))))))))))))</f>
        <v/>
      </c>
    </row>
    <row r="319" spans="36:84">
      <c r="AJ319" s="46" t="str">
        <f>IF(Atletas!D315="","",IF(Atletas!B315="Feminino",100,IF(Atletas!B315="Masculino",200,""))+(IF(Atletas!D315="Infantil 39kg",1,IF(Atletas!D315="Infantil 42kg",2,IF(Atletas!D315="Infantil 45kg",3,IF(Atletas!D315="Infantil 48kg",4,IF(Atletas!D315="Infantil 52kg",5,IF(Atletas!D315="Infantil 56kg",6,IF(Atletas!D315="Infantil 60kg",7,IF(Atletas!D315="Juvenil 48kg",8,IF(Atletas!D315="Juvenil 52kg",9,IF(Atletas!D315="Juvenil 56kg",10,IF(Atletas!D315="Juvenil 60kg",11,IF(Atletas!D315="Juvenil 65kg",12,IF(Atletas!D315="Juvenil 70kg",13,IF(Atletas!D315="Juvenil 75kg",14,IF(Atletas!D315="Juvenil 80kg",15,IF(Atletas!D315="Adulto 48kg",16,IF(Atletas!D315="Adulto 52kg",17,IF(Atletas!D315="Adulto 56kg",18,IF(Atletas!D315="Adulto 60kg",19,IF(Atletas!D315="Adulto 65kg",20,IF(Atletas!D315="Adulto 70kg",21,IF(Atletas!D315="Adulto 75kg",22,IF(Atletas!D315="Adulto 80kg",23,IF(Atletas!D315="Adulto 85kg",24,IF(Atletas!D315="Adulto 90kg",25,IF(Atletas!D315="Adulto +90kg",26,""))))))))))))))))))))))))))))</f>
        <v/>
      </c>
      <c r="AO319" s="10" t="str">
        <f>IF(Atletas!E315="","",IF(Atletas!B315="Feminino",100,IF(Atletas!B315="Masculino",200,""))+(IF(Atletas!E315="Juvenil 44kg",1,IF(Atletas!E315="Juvenil 48kg",2,IF(Atletas!E315="Juvenil 52kg",3,IF(Atletas!E315="Juvenil 56kg",4,IF(Atletas!E315="Juvenil 60kg",5,IF(Atletas!E315="Juvenil 65kg",6,IF(Atletas!E315="Juvenil 70kg",7,IF(Atletas!E315="Juvenil 75kg",8,IF(Atletas!E315="Juvenil 82kg",9,IF(Atletas!E315="Juvenil 90kg",10,IF(Atletas!E315="Juvenil 100kg",11,IF(Atletas!E315="Adulto 48kg",12,IF(Atletas!E315="Adulto 52kg",13,IF(Atletas!E315="Adulto 56kg",14,IF(Atletas!E315="Adulto 60kg",15,IF(Atletas!E315="Adulto 65kg",16,IF(Atletas!E315="Adulto 70kg",17,IF(Atletas!E315="Adulto 75kg",18,IF(Atletas!E315="Adulto 82kg",19,IF(Atletas!E315="Adulto 90kg",20,IF(Atletas!E315="Adulto 100kg",21,IF(Atletas!E315="Adulto +100kg",22,""))))))))))))))))))))))))</f>
        <v/>
      </c>
      <c r="AT319" s="10" t="str">
        <f>IF(Atletas!F315="","",IF(Atletas!B315="Feminino",100,IF(Atletas!B315="Masculino",200,""))+(IF(Atletas!F315="Adulto 48kg",1,IF(Atletas!F315="Adulto 56kg",2,IF(Atletas!F315="Adulto 65kg",3,IF(Atletas!F315="Adulto 75kg",4,IF(Atletas!F315="Adulto +75kg",5,IF(Atletas!F315="Adulto 52kg",6,IF(Atletas!F315="Adulto 60kg",7,IF(Atletas!F315="Adulto 70kg",8,IF(Atletas!F315="Adulto 80kg",9,IF(Atletas!F315="Adulto 90kg",10,IF(Atletas!F315="Adulto +90kg",11,"")))))))))))))</f>
        <v/>
      </c>
      <c r="AY319" s="46" t="str">
        <f>IF(Atletas!G315="","",IF(Atletas!B315="Feminino",100,IF(Atletas!B315="Masculino",200,""))+(IF(Atletas!G315="Changquan Mirim",1,IF(Atletas!G315="Nanquan Mirim",2,IF(Atletas!G315="Taijiquan Mirim",3,IF(Atletas!G315="Changquan Grupo C",4,IF(Atletas!G315="Nanquan Grupo C",5,IF(Atletas!G315="Taijiquan Grupo C",6,IF(Atletas!G315="Changquan Grupo B",7,IF(Atletas!G315="Nanquan Grupo B",8,IF(Atletas!G315="Taijiquan Grupo B",9,IF(Atletas!G315="Changquan Grupo A",10,IF(Atletas!G315="Nanquan Grupo A",11,IF(Atletas!G315="Taijiquan Grupo A",12,IF(Atletas!G315="Changquan Opcional",13,IF(Atletas!G315="Nanquan Opcional",14,IF(Atletas!G315="Taijiquan Opcional",15,IF(Atletas!G315="Changquan Adulto",16,IF(Atletas!G315="Nanquan Adulto",17,IF(Atletas!G315="Taijiquan Adulto",18,""))))))))))))))))))))</f>
        <v/>
      </c>
      <c r="AZ319" s="46" t="str">
        <f>IF(Atletas!H315="","",IF(Atletas!B315="Feminino",100,IF(Atletas!B315="Masculino",200,""))+(IF(Atletas!H315="Daoshu Mirim",19,IF(Atletas!H315="Jianshu Mirim",20,IF(Atletas!H315="Nandao Mirim",21,IF(Atletas!H315="Taijijian Mirim",22,IF(Atletas!H315="Daoshu Grupo C",23,IF(Atletas!H315="Jianshu Grupo C",24,IF(Atletas!H315="Nandao Grupo C",25,IF(Atletas!H315="Taijijian Grupo C",26,IF(Atletas!H315="Daoshu Grupo B",27,IF(Atletas!H315="Jianshu Grupo B",28,IF(Atletas!H315="Nandao Grupo B",29,IF(Atletas!H315="Taijijian Grupo B",30,IF(Atletas!H315="Daoshu Grupo A",31,IF(Atletas!H315="Jianshu Grupo A",32,IF(Atletas!H315="Nandao Grupo A",33,IF(Atletas!H315="Taijijian Grupo A",34,IF(Atletas!H315="Daoshu Opcional",35,IF(Atletas!H315="Jianshu Opcional",36,IF(Atletas!H315="Nandao Opcional",37,IF(Atletas!H315="Taijijian Opcional",38,IF(Atletas!H315="Daoshu Adulto",39,IF(Atletas!H315="Jianshu Adulto",40,IF(Atletas!H315="Nandao Adulto",41,IF(Atletas!H315="Taijijian Adulto",42,""))))))))))))))))))))))))))</f>
        <v/>
      </c>
      <c r="BA319" s="46" t="str">
        <f>IF(Atletas!I315="","",IF(Atletas!B315="Feminino",100,IF(Atletas!B315="Masculino",200,""))+(IF(Atletas!I315="Gunshu Mirim",43,IF(Atletas!I315="Qiangshu Mirim",44,IF(Atletas!I315="Nangun Mirim",45,IF(Atletas!I315="Gunshu Grupo C",46,IF(Atletas!I315="Qiangshu Grupo C",47,IF(Atletas!I315="Nangun Grupo C",48,IF(Atletas!I315="Gunshu Grupo B",49,IF(Atletas!I315="Qiangshu Grupo B",50,IF(Atletas!I315="Nangun Grupo B",51,IF(Atletas!I315="Gunshu Grupo A",52,IF(Atletas!I315="Qiangshu Grupo A",53,IF(Atletas!I315="Nangun Grupo A",54,IF(Atletas!I315="Gunshu Opcional",55,IF(Atletas!I315="Qiangshu Opcional",56,IF(Atletas!I315="Nangun Opcional",57,IF(Atletas!I315="Gunshu Adulto",58,IF(Atletas!I315="Qiangshu Adulto",59,IF(Atletas!I315="Nangun Adulto",60,""))))))))))))))))))))</f>
        <v/>
      </c>
      <c r="BF319" s="52" t="str">
        <f>IF(Atletas!J315="","",IF(Atletas!B315="Feminino",100,IF(Atletas!B315="Masculino",200,""))+(IF(Atletas!J315="Equipe 1 Grupo B",1,IF(Atletas!J315="Equipe 2 Grupo B",2,IF(Atletas!J315="Equipe 1 Grupo A",3,IF(Atletas!J315="Equipe 2 Grupo A",4,IF(Atletas!J315="Equipe 1 Adulto",5,IF(Atletas!J315="Equipe 2 Adulto",6,""))))))))</f>
        <v/>
      </c>
      <c r="BK319" s="52" t="str">
        <f>IF(Atletas!K315="","",IF(Atletas!W315&lt;&gt;"",10000,0)+(IF(Atletas!B315="Feminino",1000,IF(Atletas!B315="Masculino",2000,""))+IF(Atletas!K315="Choylayfut A",1,IF(Atletas!K315="Hunggar A",2,IF(Atletas!K315="Wuzuquan A",3,IF(Atletas!K315="Wingchun A",4,IF(Atletas!K315="Outra Mão de Sul A",5,IF(Atletas!K315="Choylayfut B",6,IF(Atletas!K315="Hunggar B",7,IF(Atletas!K315="Wuzuquan B",8,IF(Atletas!K315="Wingchun B",9,IF(Atletas!K315="Outra Mão de Sul B",10,IF(Atletas!K315="Choylayfut C",11,IF(Atletas!K315="Hunggar C",12,IF(Atletas!K315="Wuzuquan C",13,IF(Atletas!K315="Wingchun C",14,IF(Atletas!K315="Outra Mão de Sul C",15,IF(Atletas!K315="Choylayfut D",16,IF(Atletas!K315="Hunggar D",17,IF(Atletas!K315="Wuzuquan D",18,IF(Atletas!K315="Wingchun D",19,IF(Atletas!K315="Outra Mão de Sul D",20,IF(Atletas!K315="Choylayfut E",21,IF(Atletas!K315="Hunggar E",22,IF(Atletas!K315="Wuzuquan E",23,IF(Atletas!K315="Wingchun E",24,IF(Atletas!K315="Outra Mão de Sul E",25,IF(Atletas!K315="Choylayfut F",26,IF(Atletas!K315="Hunggar F",27,IF(Atletas!K315="Wuzuquan F",28,IF(Atletas!K315="Wingchun F",29,IF(Atletas!K315="Outra Mão de Sul F",30,""))))))))))))))))))))))))))))))))</f>
        <v/>
      </c>
      <c r="BL319" s="52" t="str">
        <f>IF(Atletas!L315="","",IF(Atletas!W315&lt;&gt;"",10000,0)+(IF(Atletas!B315="Feminino",1000,IF(Atletas!B315="Masculino",2000,""))+(IF(Atletas!L315="Chaquan A",101,IF(Atletas!L315="Emeiquan A",102,IF(Atletas!L315="Fanziquan A",103,IF(Atletas!L315="Huaquan A",104,IF(Atletas!L315="Hongquan A",105,IF(Atletas!L315="Paochui A",106,IF(Atletas!L315="Piguaquan A",107,IF(Atletas!L315="Shaolinquan A",108,IF(Atletas!L315="Tanglangquan A",109,IF(Atletas!L315="Yinzhaophai A",110,IF(Atletas!L315="Tongbeiquan A",111,IF(Atletas!L315="Wudangquan A",112,IF(Atletas!L315="Outros Estilos A",113,IF(Atletas!L315="Chaquan B",114,IF(Atletas!L315="Emeiquan B",115,IF(Atletas!L315="Fanziquan B",116,IF(Atletas!L315="Huaquan B",117,IF(Atletas!L315="Hongquan B",118,IF(Atletas!L315="Paochui B",119,IF(Atletas!L315="Piguaquan B",120,IF(Atletas!L315="Shaolinquan B",121,IF(Atletas!L315="Tanglangquan B",122,IF(Atletas!L315="Yinzhaophai B",123,IF(Atletas!L315="Tongbeiquan B",124,IF(Atletas!L315="Wudangquan B",125,IF(Atletas!L315="Outros Estilos B",126,IF(Atletas!L315="Chaquan C",127,IF(Atletas!L315="Emeiquan C",128,IF(Atletas!L315="Fanziquan C",129,IF(Atletas!L315="Huaquan C",130,IF(Atletas!L315="Hongquan C",131,IF(Atletas!L315="Paochui C",132,IF(Atletas!L315="Piguaquan C",133,IF(Atletas!L315="Shaolinquan C",134,IF(Atletas!L315="Tanglangquan C",135,IF(Atletas!L315="Yinzhaophai C",136,IF(Atletas!L315="Tongbeiquan C",137,IF(Atletas!L315="Wudangquan C",138,IF(Atletas!L315="Outros Estilos C",139,0))))))))))))))))))))))))))))))))))))))))))</f>
        <v/>
      </c>
      <c r="BM319" s="52" t="str">
        <f>IF(Atletas!L315="","",IF(Atletas!W315&lt;&gt;"",10000,0)+(IF(Atletas!B315="Feminino",1000,IF(Atletas!B315="Masculino",2000,""))+(IF(Atletas!L315="Chaquan D",140,IF(Atletas!L315="Emeiquan D",141,IF(Atletas!L315="Fanziquan D",142,IF(Atletas!L315="Huaquan D",143,IF(Atletas!L315="Hongquan D",144,IF(Atletas!L315="Paochui D",145,IF(Atletas!L315="Piguaquan D",146,IF(Atletas!L315="Shaolinquan D",147,IF(Atletas!L315="Tanglangquan D",148,IF(Atletas!L315="Yinzhaophai D",149,IF(Atletas!L315="Tongbeiquan D",150,IF(Atletas!L315="Wudangquan D",151,IF(Atletas!L315="Outros Estilos D",152,IF(Atletas!L315="Chaquan E",153,IF(Atletas!L315="Emeiquan E",154,IF(Atletas!L315="Fanziquan E",155,IF(Atletas!L315="Huaquan E",156,IF(Atletas!L315="Hongquan E",157,IF(Atletas!L315="Paochui E",158,IF(Atletas!L315="Piguaquan E",159,IF(Atletas!L315="Shaolinquan E",160,IF(Atletas!L315="Tanglangquan E",161,IF(Atletas!L315="Yinzhaophai E",162,IF(Atletas!L315="Tongbeiquan E",163,IF(Atletas!L315="Wudangquan E",164,IF(Atletas!L315="Outros Estilos E",165,IF(Atletas!L315="Chaquan F",166,IF(Atletas!L315="Emeiquan F",167,IF(Atletas!L315="Fanziquan F",168,IF(Atletas!L315="Huaquan F",169,IF(Atletas!L315="Hongquan F",170,IF(Atletas!L315="Paochui F",171,IF(Atletas!L315="Piguaquan F",172,IF(Atletas!L315="Shaolinquan F",173,IF(Atletas!L315="Tanglangquan F",174,IF(Atletas!L315="Yinzhaophai F",175,IF(Atletas!L315="Tongbeiquan F",176,IF(Atletas!L315="Wudangquan F",177,IF(Atletas!L315="Outros Estilos F",178,0))))))))))))))))))))))))))))))))))))))))))</f>
        <v/>
      </c>
      <c r="BN319" s="52" t="str">
        <f>IF(Atletas!M315="","",IF(Atletas!W315&lt;&gt;"",10000,0)+(IF(Atletas!B315="Feminino",1000,IF(Atletas!B315="Masculino",2000,""))+(IF(Atletas!M315="Ditangquan A",201,IF(Atletas!M315="Houquan A",202,IF(Atletas!M315="Zuiquan A",203,IF(Atletas!M315="Ditangquan B",204,IF(Atletas!M315="Houquan B",205,IF(Atletas!M315="Zuiquan B",206,IF(Atletas!M315="Ditangquan C",207,IF(Atletas!M315="Houquan C",208,IF(Atletas!M315="Zuiquan C",209,IF(Atletas!M315="Ditangquan D",210,IF(Atletas!M315="Houquan D",211,IF(Atletas!M315="Zuiquan D",212,IF(Atletas!M315="Ditangquan E",213,IF(Atletas!M315="Houquan E",214,IF(Atletas!M315="Zuiquan E",215,IF(Atletas!M315="Ditangquan F",216,IF(Atletas!M315="Houquan F",217,IF(Atletas!M315="Zuiquan F",218,"")))))))))))))))))))))</f>
        <v/>
      </c>
      <c r="BO319" s="52" t="str">
        <f>IF(Atletas!N315="","",IF(Atletas!W315&lt;&gt;"",10000,0)+IF(Atletas!B315="Feminino",1000,IF(Atletas!B315="Masculino",2000,""))+IF(Atletas!N315="Yang A",301,IF(Atletas!N315="Chen A",30,IF(Atletas!N315="Sun A",303,IF(Atletas!N315="Wu A",304,IF(Atletas!N315="Wu-Hao A",305,IF(Atletas!N315="Outro Taijiquan A",306,IF(Atletas!N315="Yang B",307,IF(Atletas!N315="Chen B",308,IF(Atletas!N315="Sun B",309,IF(Atletas!N315="Wu B",310,IF(Atletas!N315="Wu-Hao B",311,IF(Atletas!N315="Outro Taijiquan B",312,IF(Atletas!N315="Yang C",313,IF(Atletas!N315="Chen C",314,IF(Atletas!N315="Sun C",315,IF(Atletas!N315="Wu C",316,IF(Atletas!N315="Wu-Hao C",317,IF(Atletas!N315="Outro Taijiquan C",318,IF(Atletas!N315="Yang D",319,IF(Atletas!N315="Chen D",320,IF(Atletas!N315="Sun D",321,IF(Atletas!N315="Wu D",322,IF(Atletas!N315="Wu-Hao D",323,IF(Atletas!N315="Outro Taijiquan D",324,IF(Atletas!N315="Yang E",325,IF(Atletas!N315="Chen E",326,IF(Atletas!N315="Sun E",327,IF(Atletas!N315="Wu E",328,IF(Atletas!N315="Wu-Hao E",329,IF(Atletas!N315="Outro Taijiquan E",330,IF(Atletas!N315="Yang F",331,IF(Atletas!N315="Chen F",332,IF(Atletas!N315="Sun F",333,IF(Atletas!N315="Wu F",334,IF(Atletas!N315="Wu-Hao F",335,IF(Atletas!N315="Outro Taijiquan F",336,"")))))))))))))))))))))))))))))))))))))</f>
        <v/>
      </c>
      <c r="BP319" s="52" t="str">
        <f>IF(Atletas!O315="","",IF(Atletas!W315&lt;&gt;"",10000,0)+IF(Atletas!B315="Feminino",1000,IF(Atletas!B315="Masculino",2000,""))+IF(OR(Atletas!O315="Yang 26 A",Atletas!O315="Yang 40 A"),401,IF(OR(Atletas!O315="Chen 25 A",Atletas!O315="Chen 36 A",Atletas!O315="Chen 56 A"),402,IF(Atletas!O315="Sun 73 A",403,IF(Atletas!O315="Wu 45 A",404,IF(Atletas!O315="Wu-Hao 46 A",405,IF(OR(Atletas!O315="Taijiquan 16 A",Atletas!O315="Taijiquan 24 A",Atletas!O315="Taijiquan 32 A",Atletas!O315="Taijiquan 42 A"),406,IF(OR(Atletas!O315="Yang 26 B",Atletas!O315="Yang 40 B"),407,IF(OR(Atletas!O315="Chen 25 B",Atletas!O315="Chen 36 B",Atletas!O315="Chen 56 B"),408,IF(Atletas!O315="Sun 73 B",409,IF(Atletas!O315="Wu 45 B",410,IF(Atletas!O315="Wu-Hao 46 B",411,IF(OR(Atletas!O315="Taijiquan 16 B",Atletas!O315="Taijiquan 24 B",Atletas!O315="Taijiquan 32 B",Atletas!O315="Taijiquan 42 B"),412,IF(OR(Atletas!O315="Yang 26 C",Atletas!O315="Yang 40 C"),413,IF(OR(Atletas!O315="Chen 25 C",Atletas!O315="Chen 36 C",Atletas!O315="Chen 56 C"),414,IF(Atletas!O315="Sun 73 C",415,IF(Atletas!O315="Wu 45 C",416,IF(Atletas!O315="Wu-Hao 46 C",417,IF(OR(Atletas!O315="Taijiquan 16 C",Atletas!O315="Taijiquan 24 C",Atletas!O315="Taijiquan 32 C",Atletas!O315="Taijiquan 42 C"),418,0)))))))))))))))))))</f>
        <v/>
      </c>
      <c r="BQ319" s="52" t="str">
        <f>IF(Atletas!O315="","",IF(Atletas!W315&lt;&gt;"",10000,0)+IF(Atletas!B315="Feminino",1000,IF(Atletas!B315="Masculino",2000,""))+IF(OR(Atletas!O315="Yang 26 D",Atletas!O315="Yang 40 D"),419,IF(OR(Atletas!O315="Chen 25 D",Atletas!O315="Chen 36 D",Atletas!O315="Chen 56 D"),420,IF(Atletas!O315="Sun 73 D",421,IF(Atletas!O315="Wu 45 D",422,IF(Atletas!O315="Wu-Hao 46 D",423,IF(OR(Atletas!O315="Taijiquan 16 D",Atletas!O315="Taijiquan 24 D",Atletas!O315="Taijiquan 32 D",Atletas!O315="Taijiquan 42 D"),424,IF(OR(Atletas!O315="Yang 26 E",Atletas!O315="Yang 40 E"),425,IF(OR(Atletas!O315="Chen 25 E",Atletas!O315="Chen 36 E",Atletas!O315="Chen 56 E"),426,IF(Atletas!O315="Sun 73 E",427,IF(Atletas!O315="Wu 45 E",428,IF(Atletas!O315="Wu-Hao 46 E",429,IF(OR(Atletas!O315="Taijiquan 16 E",Atletas!O315="Taijiquan 24 E",Atletas!O315="Taijiquan 32 E",Atletas!O315="Taijiquan 42 E"),430,IF(OR(Atletas!O315="Yang 26 F",Atletas!O315="Yang 40 F"),431,IF(OR(Atletas!O315="Chen 25 F",Atletas!O315="Chen 36 F",Atletas!O315="Chen 56 F"),432,IF(Atletas!O315="Sun 73 F",433,IF(Atletas!O315="Wu 45 F",434,IF(Atletas!O315="Wu-Hao 46 F",435,IF(OR(Atletas!O315="Taijiquan 16 F",Atletas!O315="Taijiquan 24 F",Atletas!O315="Taijiquan 32 F",Atletas!O315="Taijiquan 42 F"),436,0)))))))))))))))))))</f>
        <v/>
      </c>
      <c r="BR319" s="52" t="str">
        <f>IF(Atletas!P315="","",IF(Atletas!W315&lt;&gt;"",10000,0)+IF(Atletas!B315="Feminino",1000,IF(Atletas!B315="Masculino",2000,""))+IF(Atletas!P315="Xingyiquan A",501,IF(Atletas!P315="Baguazhang A",502,IF(Atletas!P315="Outro Estilo Interno A",503,IF(Atletas!P315="Xingyiquan B",504,IF(Atletas!P315="Baguazhang B",505,IF(Atletas!P315="Outro Estilo Interno B",506,IF(Atletas!P315="Xingyiquan C",507,IF(Atletas!P315="Baguazhang C",508,IF(Atletas!P315="Outro Estilo Interno C",509,IF(Atletas!P315="Xingyiquan D",510,IF(Atletas!P315="Baguazhang D",511,IF(Atletas!P315="Outro Estilo Interno D",512,IF(Atletas!P315="Xingyiquan E",513,IF(Atletas!P315="Baguazhang E",514,IF(Atletas!P315="Outro Estilo Interno E",515,IF(Atletas!P315="Xingyiquan F",516,IF(Atletas!P315="Baguazhang F",517,IF(Atletas!P315="Outro Estilo Interno F",518, "")))))))))))))))))))</f>
        <v/>
      </c>
      <c r="BS319" s="52" t="str">
        <f>IF(Atletas!Q315="","",IF(Atletas!W315&lt;&gt;"",10000,0)+IF(Atletas!B315="Feminino",1000,IF(Atletas!B315="Masculino",2000,""))+IF(Atletas!Q315="Dao A",601,IF(Atletas!Q315="Jian A",602,IF(Atletas!Q315="Bishou A",603,IF(Atletas!Q315="Shan A",604,IF(Atletas!Q315="Outra Arma Curta A",605,IF(Atletas!Q315="Dao B",606,IF(Atletas!Q315="Jian B",607,IF(Atletas!Q315="Bishou B",608,IF(Atletas!Q315="Shan B",609,IF(Atletas!Q315="Outra Arma Curta B",610,IF(Atletas!Q315="Dao C",611,IF(Atletas!Q315="Jian C",612,IF(Atletas!Q315="Bishou C",613,IF(Atletas!Q315="Shan C",614,IF(Atletas!Q315="Outra Arma Curta C",615,IF(Atletas!Q315="Dao D",616,IF(Atletas!Q315="Jian D",617,IF(Atletas!Q315="Bishou D",618,IF(Atletas!Q315="Shan D",619,IF(Atletas!Q315="Outra Arma Curta D",620,IF(Atletas!Q315="Dao E",621,IF(Atletas!Q315="Jian E",622,IF(Atletas!Q315="Bishou E",623,IF(Atletas!Q315="Shan E",624,IF(Atletas!Q315="Outra Arma Curta E",625,IF(Atletas!Q315="Dao F",626,IF(Atletas!Q315="Jian F",627,IF(Atletas!Q315="Bishou F",628,IF(Atletas!Q315="Shan F",629,IF(Atletas!Q315="Outra Arma Curta F",630, "")))))))))))))))))))))))))))))))</f>
        <v/>
      </c>
      <c r="BT319" s="52" t="str">
        <f>IF(Atletas!R315="","",IF(Atletas!W315&lt;&gt;"",10000,0)+IF(Atletas!B315="Feminino",1000,IF(Atletas!B315="Masculino",2000,""))+IF(Atletas!R315="Gun A",701,IF(Atletas!R315="Qiang A",702,IF(Atletas!R315="Pudao / Guandao A",703,IF(Atletas!R315="Outra Arma Longa A",704,IF(Atletas!R315="Gun B",705,IF(Atletas!R315="Qiang B",706,IF(Atletas!R315="Pudao / Guandao B",707,IF(Atletas!R315="Outra Arma Longa B",708,IF(Atletas!R315="Gun C",709,IF(Atletas!R315="Qiang C",710,IF(Atletas!R315="Pudao / Guandao C",711,IF(Atletas!R315="Outra Arma Longa C",712,IF(Atletas!R315="Gun D",713,IF(Atletas!R315="Qiang D",714,IF(Atletas!R315="Pudao / Guandao D",715,IF(Atletas!R315="Outra Arma Longa D",716,IF(Atletas!R315="Gun E",717,IF(Atletas!R315="Qiang E",718,IF(Atletas!R315="Pudao / Guandao E",719,IF(Atletas!R315="Outra Arma Longa E",720,IF(Atletas!R315="Gun F",721,IF(Atletas!R315="Qiang F",722,IF(Atletas!R315="Pudao / Guandao F",723,IF(Atletas!R315="Outra Arma Longa F",724,"")))))))))))))))))))))))))</f>
        <v/>
      </c>
      <c r="BU319" s="52" t="str">
        <f>IF(Atletas!S315="","",IF(Atletas!W315&lt;&gt;"",10000,0)+IF(Atletas!B315="Feminino",1000,IF(Atletas!B315="Masculino",2000,""))+IF(Atletas!S315="Arma Dupla A",801,IF(Atletas!S315="Arma Maleável A",802,IF(Atletas!S315="Arma Dupla B",803,IF(Atletas!S315="Arma Maleável B",804,IF(Atletas!S315="Arma Dupla C",805,IF(Atletas!S315="Arma Maleável C",806,IF(Atletas!S315="Arma Dupla D",807,IF(Atletas!S315="Arma Maleável D",808,IF(Atletas!S315="Arma Dupla E",809,IF(Atletas!S315="Arma Maleável E",810,IF(Atletas!S315="Arma Dupla F",811,IF(Atletas!S315="Arma Maleável F",812, "")))))))))))))</f>
        <v/>
      </c>
      <c r="BV319" s="52" t="str">
        <f>IF(Atletas!T315="","",IF(Atletas!W315&lt;&gt;"",10000,0)+IF(Atletas!B315="Feminino",1000,IF(Atletas!B315="Masculino",2000,""))+IF(Atletas!T315="Taijijian Yang A",901,IF(Atletas!T315="Taijijian Chen A",902,IF(Atletas!T315="Taijijian Sun A",903,IF(Atletas!T315="Taijijian Wu A",904,IF(Atletas!T315="Taijijian Wu-Hao A",905,IF(Atletas!T315="Taijijian 32 A",906,IF(Atletas!T315="Taijijian 42 A",907,IF(Atletas!T315="Taijijian Yang B",908,IF(Atletas!T315="Taijijian Chen B",909,IF(Atletas!T315="Taijijian Sun B",910,IF(Atletas!T315="Taijijian Wu B",911,IF(Atletas!T315="Taijijian Wu-Hao B",912,IF(Atletas!T315="Taijijian 32 B",913,IF(Atletas!T315="Taijijian 42 B",914,IF(Atletas!T315="Taijijian Yang C",915,IF(Atletas!T315="Taijijian Chen C",916,IF(Atletas!T315="Taijijian Sun C",917,IF(Atletas!T315="Taijijian Wu C",918,IF(Atletas!T315="Taijijian Wu-Hao C",919,IF(Atletas!T315="Taijijian 32 C",920,IF(Atletas!T315="Taijijian 42 C",921,IF(Atletas!T315="Taijijian Yang D",922,IF(Atletas!T315="Taijijian Chen D",923,IF(Atletas!T315="Taijijian Sun D",924,IF(Atletas!T315="Taijijian Wu D",925,IF(Atletas!T315="Taijijian Wu-Hao D",926,IF(Atletas!T315="Taijijian 32 D",927,IF(Atletas!T315="Taijijian 42 D",928,IF(Atletas!T315="Taijijian Yang E",929,IF(Atletas!T315="Taijijian Chen E",930,IF(Atletas!T315="Taijijian Sun E",931,IF(Atletas!T315="Taijijian Wu E",932,IF(Atletas!T315="Taijijian Wu-Hao E",933,IF(Atletas!T315="Taijijian 32 E",934,IF(Atletas!T315="Taijijian 42 E",935,IF(Atletas!T315="Taijijian Yang F",936,IF(Atletas!T315="Taijijian Chen F",937,IF(Atletas!T315="Taijijian Sun F",938,IF(Atletas!T315="Taijijian Wu F",939,IF(Atletas!T315="Taijijian Wu-Hao F",940,IF(Atletas!T315="Taijijian 32 F",941,IF(Atletas!T315="Taijijian 42 F",942,"")))))))))))))))))))))))))))))))))))))))))))</f>
        <v/>
      </c>
      <c r="BW319" s="52" t="str">
        <f>IF(Atletas!U315="","",IF(Atletas!W315&lt;&gt;"",10000,0)+IF(Atletas!B315="Feminino",1000,IF(Atletas!B315="Masculino",2000,""))+IF(Atletas!T315="Taijijian 42 F",942,IF(Atletas!U315="Taijidao A",943,IF(Atletas!U315="Taijishan A",944,IF(Atletas!U315="Taijiqiang A",945,IF(Atletas!U315="Taijidao B",946,IF(Atletas!U315="Taijishan B",947,IF(Atletas!U315="Taijiqiang B",948,IF(Atletas!U315="Taijidao C",949,IF(Atletas!U315="Taijishan C",950,IF(Atletas!U315="Taijiqiang C",951,IF(Atletas!U315="Taijidao D",952,IF(Atletas!U315="Taijishan D",953,IF(Atletas!U315="Taijiqiang D",954,IF(Atletas!U315="Taijidao E",955,IF(Atletas!U315="Taijishan E",956,IF(Atletas!U315="Taijiqiang E",957,IF(Atletas!U315="Taijidao F",958,IF(Atletas!U315="Taijishan F",959,IF(Atletas!U315="Taijiqiang F",960))))))))))))))))))))</f>
        <v/>
      </c>
      <c r="BX319" s="72" t="str">
        <f>IF(BY319&lt;&gt;"","Taijijian Yang F","")</f>
        <v/>
      </c>
      <c r="BY319" s="72" t="str">
        <f>IF(COUNTIF(BK:BW,1936)&gt;0,COUNTIF(BK:BW,1936),"")</f>
        <v/>
      </c>
      <c r="BZ319" s="72" t="str">
        <f>IF(CA319&lt;&gt;"","Taijijian Yang F","")</f>
        <v/>
      </c>
      <c r="CA319" s="72" t="str">
        <f>IF(COUNTIF(BK:BW,2936)&gt;0,COUNTIF(BK:BW,2936),"")</f>
        <v/>
      </c>
      <c r="CB319" s="72" t="str">
        <f>IF(CC319&lt;&gt;"","Pudao / Gaundao B","")</f>
        <v/>
      </c>
      <c r="CC319" s="64" t="str">
        <f>IF(COUNTIF(BK:BW,11707)&gt;0,COUNTIF(BK:BW,11707),"")</f>
        <v/>
      </c>
      <c r="CD319" s="64" t="str">
        <f>IF(CE319&lt;&gt;"","Pudao / Gaundao B","")</f>
        <v/>
      </c>
      <c r="CE319" s="64" t="str">
        <f>IF(COUNTIF(BK:BW,12707)&gt;0,COUNTIF(BK:BW,12707),"")</f>
        <v/>
      </c>
      <c r="CF319" s="52" t="str">
        <f xml:space="preserve"> IF(Atletas!V315="","",IF(Atletas!V315="Duilian de Mãos AB - Equipe 1",1,IF(Atletas!V315="Duilian de Mãos AB - Equipe 2",2,IF(Atletas!V315="Duilian de Armas AB - Equipe 1",3,IF(Atletas!V315="Duilian de Armas AB - Equipe 2",4,IF(Atletas!V315="Duilian de Tuishou - Equipe 1",5,IF(Atletas!V315="Duilian de Tuishou - Equipe 2",6,IF(Atletas!V315="Grupo Externo AB - Equipe 1",7,IF(Atletas!V315="Grupo Externo AB - Equipe 2",8,IF(Atletas!V315="Grupo Interno AB - Equipe 1",9,IF(Atletas!V315="Grupo Interno AB - Equipe 2",10,IF(Atletas!V315="Duilian de Mãos CD - Equipe 1",11,IF(Atletas!V315="Duilian de Mãos CD - Equipe 2",12,IF(Atletas!V315="Duilian de Armas CD - Equipe 1",13,IF(Atletas!V315="Duilian de Armas CD - Equipe 2",14,IF(Atletas!V315="Duilian de Tuishou - Equipe 1",15,IF(Atletas!V315="Duilian de Tuishou - Equipe 2",16,IF(Atletas!V315="Grupo Externo CDEF - Equipe 1",17,IF(Atletas!V315="Grupo Externo CDEF - Equipe 2",18,IF(Atletas!V315="Grupo Interno CDEF - Equipe 1",19,IF(Atletas!V315="Grupo Interno CDEF - Equipe 2",20,IF(Atletas!V315="Duilian de Mãos EF - Equipe 1",21,IF(Atletas!V315="Duilian de Mãos EF - Equipe 2",22,IF(Atletas!V315="Duilian de Armas EF - Equipe 1",23,IF(Atletas!V315="Duilian de Armas EF - Equipe 2",24,IF(Atletas!V315="Duilian de Tuishou - Equipe 1",25,IF(Atletas!V315="Duilian de Tuishou - Equipe 2",26,"")))))))))))))))))))))))))))</f>
        <v/>
      </c>
    </row>
    <row r="320" spans="36:84">
      <c r="AJ320" s="46" t="str">
        <f>IF(Atletas!D316="","",IF(Atletas!B316="Feminino",100,IF(Atletas!B316="Masculino",200,""))+(IF(Atletas!D316="Infantil 39kg",1,IF(Atletas!D316="Infantil 42kg",2,IF(Atletas!D316="Infantil 45kg",3,IF(Atletas!D316="Infantil 48kg",4,IF(Atletas!D316="Infantil 52kg",5,IF(Atletas!D316="Infantil 56kg",6,IF(Atletas!D316="Infantil 60kg",7,IF(Atletas!D316="Juvenil 48kg",8,IF(Atletas!D316="Juvenil 52kg",9,IF(Atletas!D316="Juvenil 56kg",10,IF(Atletas!D316="Juvenil 60kg",11,IF(Atletas!D316="Juvenil 65kg",12,IF(Atletas!D316="Juvenil 70kg",13,IF(Atletas!D316="Juvenil 75kg",14,IF(Atletas!D316="Juvenil 80kg",15,IF(Atletas!D316="Adulto 48kg",16,IF(Atletas!D316="Adulto 52kg",17,IF(Atletas!D316="Adulto 56kg",18,IF(Atletas!D316="Adulto 60kg",19,IF(Atletas!D316="Adulto 65kg",20,IF(Atletas!D316="Adulto 70kg",21,IF(Atletas!D316="Adulto 75kg",22,IF(Atletas!D316="Adulto 80kg",23,IF(Atletas!D316="Adulto 85kg",24,IF(Atletas!D316="Adulto 90kg",25,IF(Atletas!D316="Adulto +90kg",26,""))))))))))))))))))))))))))))</f>
        <v/>
      </c>
      <c r="AO320" s="10" t="str">
        <f>IF(Atletas!E316="","",IF(Atletas!B316="Feminino",100,IF(Atletas!B316="Masculino",200,""))+(IF(Atletas!E316="Juvenil 44kg",1,IF(Atletas!E316="Juvenil 48kg",2,IF(Atletas!E316="Juvenil 52kg",3,IF(Atletas!E316="Juvenil 56kg",4,IF(Atletas!E316="Juvenil 60kg",5,IF(Atletas!E316="Juvenil 65kg",6,IF(Atletas!E316="Juvenil 70kg",7,IF(Atletas!E316="Juvenil 75kg",8,IF(Atletas!E316="Juvenil 82kg",9,IF(Atletas!E316="Juvenil 90kg",10,IF(Atletas!E316="Juvenil 100kg",11,IF(Atletas!E316="Adulto 48kg",12,IF(Atletas!E316="Adulto 52kg",13,IF(Atletas!E316="Adulto 56kg",14,IF(Atletas!E316="Adulto 60kg",15,IF(Atletas!E316="Adulto 65kg",16,IF(Atletas!E316="Adulto 70kg",17,IF(Atletas!E316="Adulto 75kg",18,IF(Atletas!E316="Adulto 82kg",19,IF(Atletas!E316="Adulto 90kg",20,IF(Atletas!E316="Adulto 100kg",21,IF(Atletas!E316="Adulto +100kg",22,""))))))))))))))))))))))))</f>
        <v/>
      </c>
      <c r="AT320" s="10" t="str">
        <f>IF(Atletas!F316="","",IF(Atletas!B316="Feminino",100,IF(Atletas!B316="Masculino",200,""))+(IF(Atletas!F316="Adulto 48kg",1,IF(Atletas!F316="Adulto 56kg",2,IF(Atletas!F316="Adulto 65kg",3,IF(Atletas!F316="Adulto 75kg",4,IF(Atletas!F316="Adulto +75kg",5,IF(Atletas!F316="Adulto 52kg",6,IF(Atletas!F316="Adulto 60kg",7,IF(Atletas!F316="Adulto 70kg",8,IF(Atletas!F316="Adulto 80kg",9,IF(Atletas!F316="Adulto 90kg",10,IF(Atletas!F316="Adulto +90kg",11,"")))))))))))))</f>
        <v/>
      </c>
      <c r="AY320" s="46" t="str">
        <f>IF(Atletas!G316="","",IF(Atletas!B316="Feminino",100,IF(Atletas!B316="Masculino",200,""))+(IF(Atletas!G316="Changquan Mirim",1,IF(Atletas!G316="Nanquan Mirim",2,IF(Atletas!G316="Taijiquan Mirim",3,IF(Atletas!G316="Changquan Grupo C",4,IF(Atletas!G316="Nanquan Grupo C",5,IF(Atletas!G316="Taijiquan Grupo C",6,IF(Atletas!G316="Changquan Grupo B",7,IF(Atletas!G316="Nanquan Grupo B",8,IF(Atletas!G316="Taijiquan Grupo B",9,IF(Atletas!G316="Changquan Grupo A",10,IF(Atletas!G316="Nanquan Grupo A",11,IF(Atletas!G316="Taijiquan Grupo A",12,IF(Atletas!G316="Changquan Opcional",13,IF(Atletas!G316="Nanquan Opcional",14,IF(Atletas!G316="Taijiquan Opcional",15,IF(Atletas!G316="Changquan Adulto",16,IF(Atletas!G316="Nanquan Adulto",17,IF(Atletas!G316="Taijiquan Adulto",18,""))))))))))))))))))))</f>
        <v/>
      </c>
      <c r="AZ320" s="46" t="str">
        <f>IF(Atletas!H316="","",IF(Atletas!B316="Feminino",100,IF(Atletas!B316="Masculino",200,""))+(IF(Atletas!H316="Daoshu Mirim",19,IF(Atletas!H316="Jianshu Mirim",20,IF(Atletas!H316="Nandao Mirim",21,IF(Atletas!H316="Taijijian Mirim",22,IF(Atletas!H316="Daoshu Grupo C",23,IF(Atletas!H316="Jianshu Grupo C",24,IF(Atletas!H316="Nandao Grupo C",25,IF(Atletas!H316="Taijijian Grupo C",26,IF(Atletas!H316="Daoshu Grupo B",27,IF(Atletas!H316="Jianshu Grupo B",28,IF(Atletas!H316="Nandao Grupo B",29,IF(Atletas!H316="Taijijian Grupo B",30,IF(Atletas!H316="Daoshu Grupo A",31,IF(Atletas!H316="Jianshu Grupo A",32,IF(Atletas!H316="Nandao Grupo A",33,IF(Atletas!H316="Taijijian Grupo A",34,IF(Atletas!H316="Daoshu Opcional",35,IF(Atletas!H316="Jianshu Opcional",36,IF(Atletas!H316="Nandao Opcional",37,IF(Atletas!H316="Taijijian Opcional",38,IF(Atletas!H316="Daoshu Adulto",39,IF(Atletas!H316="Jianshu Adulto",40,IF(Atletas!H316="Nandao Adulto",41,IF(Atletas!H316="Taijijian Adulto",42,""))))))))))))))))))))))))))</f>
        <v/>
      </c>
      <c r="BA320" s="46" t="str">
        <f>IF(Atletas!I316="","",IF(Atletas!B316="Feminino",100,IF(Atletas!B316="Masculino",200,""))+(IF(Atletas!I316="Gunshu Mirim",43,IF(Atletas!I316="Qiangshu Mirim",44,IF(Atletas!I316="Nangun Mirim",45,IF(Atletas!I316="Gunshu Grupo C",46,IF(Atletas!I316="Qiangshu Grupo C",47,IF(Atletas!I316="Nangun Grupo C",48,IF(Atletas!I316="Gunshu Grupo B",49,IF(Atletas!I316="Qiangshu Grupo B",50,IF(Atletas!I316="Nangun Grupo B",51,IF(Atletas!I316="Gunshu Grupo A",52,IF(Atletas!I316="Qiangshu Grupo A",53,IF(Atletas!I316="Nangun Grupo A",54,IF(Atletas!I316="Gunshu Opcional",55,IF(Atletas!I316="Qiangshu Opcional",56,IF(Atletas!I316="Nangun Opcional",57,IF(Atletas!I316="Gunshu Adulto",58,IF(Atletas!I316="Qiangshu Adulto",59,IF(Atletas!I316="Nangun Adulto",60,""))))))))))))))))))))</f>
        <v/>
      </c>
      <c r="BF320" s="52" t="str">
        <f>IF(Atletas!J316="","",IF(Atletas!B316="Feminino",100,IF(Atletas!B316="Masculino",200,""))+(IF(Atletas!J316="Equipe 1 Grupo B",1,IF(Atletas!J316="Equipe 2 Grupo B",2,IF(Atletas!J316="Equipe 1 Grupo A",3,IF(Atletas!J316="Equipe 2 Grupo A",4,IF(Atletas!J316="Equipe 1 Adulto",5,IF(Atletas!J316="Equipe 2 Adulto",6,""))))))))</f>
        <v/>
      </c>
      <c r="BK320" s="52" t="str">
        <f>IF(Atletas!K316="","",IF(Atletas!W316&lt;&gt;"",10000,0)+(IF(Atletas!B316="Feminino",1000,IF(Atletas!B316="Masculino",2000,""))+IF(Atletas!K316="Choylayfut A",1,IF(Atletas!K316="Hunggar A",2,IF(Atletas!K316="Wuzuquan A",3,IF(Atletas!K316="Wingchun A",4,IF(Atletas!K316="Outra Mão de Sul A",5,IF(Atletas!K316="Choylayfut B",6,IF(Atletas!K316="Hunggar B",7,IF(Atletas!K316="Wuzuquan B",8,IF(Atletas!K316="Wingchun B",9,IF(Atletas!K316="Outra Mão de Sul B",10,IF(Atletas!K316="Choylayfut C",11,IF(Atletas!K316="Hunggar C",12,IF(Atletas!K316="Wuzuquan C",13,IF(Atletas!K316="Wingchun C",14,IF(Atletas!K316="Outra Mão de Sul C",15,IF(Atletas!K316="Choylayfut D",16,IF(Atletas!K316="Hunggar D",17,IF(Atletas!K316="Wuzuquan D",18,IF(Atletas!K316="Wingchun D",19,IF(Atletas!K316="Outra Mão de Sul D",20,IF(Atletas!K316="Choylayfut E",21,IF(Atletas!K316="Hunggar E",22,IF(Atletas!K316="Wuzuquan E",23,IF(Atletas!K316="Wingchun E",24,IF(Atletas!K316="Outra Mão de Sul E",25,IF(Atletas!K316="Choylayfut F",26,IF(Atletas!K316="Hunggar F",27,IF(Atletas!K316="Wuzuquan F",28,IF(Atletas!K316="Wingchun F",29,IF(Atletas!K316="Outra Mão de Sul F",30,""))))))))))))))))))))))))))))))))</f>
        <v/>
      </c>
      <c r="BL320" s="52" t="str">
        <f>IF(Atletas!L316="","",IF(Atletas!W316&lt;&gt;"",10000,0)+(IF(Atletas!B316="Feminino",1000,IF(Atletas!B316="Masculino",2000,""))+(IF(Atletas!L316="Chaquan A",101,IF(Atletas!L316="Emeiquan A",102,IF(Atletas!L316="Fanziquan A",103,IF(Atletas!L316="Huaquan A",104,IF(Atletas!L316="Hongquan A",105,IF(Atletas!L316="Paochui A",106,IF(Atletas!L316="Piguaquan A",107,IF(Atletas!L316="Shaolinquan A",108,IF(Atletas!L316="Tanglangquan A",109,IF(Atletas!L316="Yinzhaophai A",110,IF(Atletas!L316="Tongbeiquan A",111,IF(Atletas!L316="Wudangquan A",112,IF(Atletas!L316="Outros Estilos A",113,IF(Atletas!L316="Chaquan B",114,IF(Atletas!L316="Emeiquan B",115,IF(Atletas!L316="Fanziquan B",116,IF(Atletas!L316="Huaquan B",117,IF(Atletas!L316="Hongquan B",118,IF(Atletas!L316="Paochui B",119,IF(Atletas!L316="Piguaquan B",120,IF(Atletas!L316="Shaolinquan B",121,IF(Atletas!L316="Tanglangquan B",122,IF(Atletas!L316="Yinzhaophai B",123,IF(Atletas!L316="Tongbeiquan B",124,IF(Atletas!L316="Wudangquan B",125,IF(Atletas!L316="Outros Estilos B",126,IF(Atletas!L316="Chaquan C",127,IF(Atletas!L316="Emeiquan C",128,IF(Atletas!L316="Fanziquan C",129,IF(Atletas!L316="Huaquan C",130,IF(Atletas!L316="Hongquan C",131,IF(Atletas!L316="Paochui C",132,IF(Atletas!L316="Piguaquan C",133,IF(Atletas!L316="Shaolinquan C",134,IF(Atletas!L316="Tanglangquan C",135,IF(Atletas!L316="Yinzhaophai C",136,IF(Atletas!L316="Tongbeiquan C",137,IF(Atletas!L316="Wudangquan C",138,IF(Atletas!L316="Outros Estilos C",139,0))))))))))))))))))))))))))))))))))))))))))</f>
        <v/>
      </c>
      <c r="BM320" s="52" t="str">
        <f>IF(Atletas!L316="","",IF(Atletas!W316&lt;&gt;"",10000,0)+(IF(Atletas!B316="Feminino",1000,IF(Atletas!B316="Masculino",2000,""))+(IF(Atletas!L316="Chaquan D",140,IF(Atletas!L316="Emeiquan D",141,IF(Atletas!L316="Fanziquan D",142,IF(Atletas!L316="Huaquan D",143,IF(Atletas!L316="Hongquan D",144,IF(Atletas!L316="Paochui D",145,IF(Atletas!L316="Piguaquan D",146,IF(Atletas!L316="Shaolinquan D",147,IF(Atletas!L316="Tanglangquan D",148,IF(Atletas!L316="Yinzhaophai D",149,IF(Atletas!L316="Tongbeiquan D",150,IF(Atletas!L316="Wudangquan D",151,IF(Atletas!L316="Outros Estilos D",152,IF(Atletas!L316="Chaquan E",153,IF(Atletas!L316="Emeiquan E",154,IF(Atletas!L316="Fanziquan E",155,IF(Atletas!L316="Huaquan E",156,IF(Atletas!L316="Hongquan E",157,IF(Atletas!L316="Paochui E",158,IF(Atletas!L316="Piguaquan E",159,IF(Atletas!L316="Shaolinquan E",160,IF(Atletas!L316="Tanglangquan E",161,IF(Atletas!L316="Yinzhaophai E",162,IF(Atletas!L316="Tongbeiquan E",163,IF(Atletas!L316="Wudangquan E",164,IF(Atletas!L316="Outros Estilos E",165,IF(Atletas!L316="Chaquan F",166,IF(Atletas!L316="Emeiquan F",167,IF(Atletas!L316="Fanziquan F",168,IF(Atletas!L316="Huaquan F",169,IF(Atletas!L316="Hongquan F",170,IF(Atletas!L316="Paochui F",171,IF(Atletas!L316="Piguaquan F",172,IF(Atletas!L316="Shaolinquan F",173,IF(Atletas!L316="Tanglangquan F",174,IF(Atletas!L316="Yinzhaophai F",175,IF(Atletas!L316="Tongbeiquan F",176,IF(Atletas!L316="Wudangquan F",177,IF(Atletas!L316="Outros Estilos F",178,0))))))))))))))))))))))))))))))))))))))))))</f>
        <v/>
      </c>
      <c r="BN320" s="52" t="str">
        <f>IF(Atletas!M316="","",IF(Atletas!W316&lt;&gt;"",10000,0)+(IF(Atletas!B316="Feminino",1000,IF(Atletas!B316="Masculino",2000,""))+(IF(Atletas!M316="Ditangquan A",201,IF(Atletas!M316="Houquan A",202,IF(Atletas!M316="Zuiquan A",203,IF(Atletas!M316="Ditangquan B",204,IF(Atletas!M316="Houquan B",205,IF(Atletas!M316="Zuiquan B",206,IF(Atletas!M316="Ditangquan C",207,IF(Atletas!M316="Houquan C",208,IF(Atletas!M316="Zuiquan C",209,IF(Atletas!M316="Ditangquan D",210,IF(Atletas!M316="Houquan D",211,IF(Atletas!M316="Zuiquan D",212,IF(Atletas!M316="Ditangquan E",213,IF(Atletas!M316="Houquan E",214,IF(Atletas!M316="Zuiquan E",215,IF(Atletas!M316="Ditangquan F",216,IF(Atletas!M316="Houquan F",217,IF(Atletas!M316="Zuiquan F",218,"")))))))))))))))))))))</f>
        <v/>
      </c>
      <c r="BO320" s="52" t="str">
        <f>IF(Atletas!N316="","",IF(Atletas!W316&lt;&gt;"",10000,0)+IF(Atletas!B316="Feminino",1000,IF(Atletas!B316="Masculino",2000,""))+IF(Atletas!N316="Yang A",301,IF(Atletas!N316="Chen A",30,IF(Atletas!N316="Sun A",303,IF(Atletas!N316="Wu A",304,IF(Atletas!N316="Wu-Hao A",305,IF(Atletas!N316="Outro Taijiquan A",306,IF(Atletas!N316="Yang B",307,IF(Atletas!N316="Chen B",308,IF(Atletas!N316="Sun B",309,IF(Atletas!N316="Wu B",310,IF(Atletas!N316="Wu-Hao B",311,IF(Atletas!N316="Outro Taijiquan B",312,IF(Atletas!N316="Yang C",313,IF(Atletas!N316="Chen C",314,IF(Atletas!N316="Sun C",315,IF(Atletas!N316="Wu C",316,IF(Atletas!N316="Wu-Hao C",317,IF(Atletas!N316="Outro Taijiquan C",318,IF(Atletas!N316="Yang D",319,IF(Atletas!N316="Chen D",320,IF(Atletas!N316="Sun D",321,IF(Atletas!N316="Wu D",322,IF(Atletas!N316="Wu-Hao D",323,IF(Atletas!N316="Outro Taijiquan D",324,IF(Atletas!N316="Yang E",325,IF(Atletas!N316="Chen E",326,IF(Atletas!N316="Sun E",327,IF(Atletas!N316="Wu E",328,IF(Atletas!N316="Wu-Hao E",329,IF(Atletas!N316="Outro Taijiquan E",330,IF(Atletas!N316="Yang F",331,IF(Atletas!N316="Chen F",332,IF(Atletas!N316="Sun F",333,IF(Atletas!N316="Wu F",334,IF(Atletas!N316="Wu-Hao F",335,IF(Atletas!N316="Outro Taijiquan F",336,"")))))))))))))))))))))))))))))))))))))</f>
        <v/>
      </c>
      <c r="BP320" s="52" t="str">
        <f>IF(Atletas!O316="","",IF(Atletas!W316&lt;&gt;"",10000,0)+IF(Atletas!B316="Feminino",1000,IF(Atletas!B316="Masculino",2000,""))+IF(OR(Atletas!O316="Yang 26 A",Atletas!O316="Yang 40 A"),401,IF(OR(Atletas!O316="Chen 25 A",Atletas!O316="Chen 36 A",Atletas!O316="Chen 56 A"),402,IF(Atletas!O316="Sun 73 A",403,IF(Atletas!O316="Wu 45 A",404,IF(Atletas!O316="Wu-Hao 46 A",405,IF(OR(Atletas!O316="Taijiquan 16 A",Atletas!O316="Taijiquan 24 A",Atletas!O316="Taijiquan 32 A",Atletas!O316="Taijiquan 42 A"),406,IF(OR(Atletas!O316="Yang 26 B",Atletas!O316="Yang 40 B"),407,IF(OR(Atletas!O316="Chen 25 B",Atletas!O316="Chen 36 B",Atletas!O316="Chen 56 B"),408,IF(Atletas!O316="Sun 73 B",409,IF(Atletas!O316="Wu 45 B",410,IF(Atletas!O316="Wu-Hao 46 B",411,IF(OR(Atletas!O316="Taijiquan 16 B",Atletas!O316="Taijiquan 24 B",Atletas!O316="Taijiquan 32 B",Atletas!O316="Taijiquan 42 B"),412,IF(OR(Atletas!O316="Yang 26 C",Atletas!O316="Yang 40 C"),413,IF(OR(Atletas!O316="Chen 25 C",Atletas!O316="Chen 36 C",Atletas!O316="Chen 56 C"),414,IF(Atletas!O316="Sun 73 C",415,IF(Atletas!O316="Wu 45 C",416,IF(Atletas!O316="Wu-Hao 46 C",417,IF(OR(Atletas!O316="Taijiquan 16 C",Atletas!O316="Taijiquan 24 C",Atletas!O316="Taijiquan 32 C",Atletas!O316="Taijiquan 42 C"),418,0)))))))))))))))))))</f>
        <v/>
      </c>
      <c r="BQ320" s="52" t="str">
        <f>IF(Atletas!O316="","",IF(Atletas!W316&lt;&gt;"",10000,0)+IF(Atletas!B316="Feminino",1000,IF(Atletas!B316="Masculino",2000,""))+IF(OR(Atletas!O316="Yang 26 D",Atletas!O316="Yang 40 D"),419,IF(OR(Atletas!O316="Chen 25 D",Atletas!O316="Chen 36 D",Atletas!O316="Chen 56 D"),420,IF(Atletas!O316="Sun 73 D",421,IF(Atletas!O316="Wu 45 D",422,IF(Atletas!O316="Wu-Hao 46 D",423,IF(OR(Atletas!O316="Taijiquan 16 D",Atletas!O316="Taijiquan 24 D",Atletas!O316="Taijiquan 32 D",Atletas!O316="Taijiquan 42 D"),424,IF(OR(Atletas!O316="Yang 26 E",Atletas!O316="Yang 40 E"),425,IF(OR(Atletas!O316="Chen 25 E",Atletas!O316="Chen 36 E",Atletas!O316="Chen 56 E"),426,IF(Atletas!O316="Sun 73 E",427,IF(Atletas!O316="Wu 45 E",428,IF(Atletas!O316="Wu-Hao 46 E",429,IF(OR(Atletas!O316="Taijiquan 16 E",Atletas!O316="Taijiquan 24 E",Atletas!O316="Taijiquan 32 E",Atletas!O316="Taijiquan 42 E"),430,IF(OR(Atletas!O316="Yang 26 F",Atletas!O316="Yang 40 F"),431,IF(OR(Atletas!O316="Chen 25 F",Atletas!O316="Chen 36 F",Atletas!O316="Chen 56 F"),432,IF(Atletas!O316="Sun 73 F",433,IF(Atletas!O316="Wu 45 F",434,IF(Atletas!O316="Wu-Hao 46 F",435,IF(OR(Atletas!O316="Taijiquan 16 F",Atletas!O316="Taijiquan 24 F",Atletas!O316="Taijiquan 32 F",Atletas!O316="Taijiquan 42 F"),436,0)))))))))))))))))))</f>
        <v/>
      </c>
      <c r="BR320" s="52" t="str">
        <f>IF(Atletas!P316="","",IF(Atletas!W316&lt;&gt;"",10000,0)+IF(Atletas!B316="Feminino",1000,IF(Atletas!B316="Masculino",2000,""))+IF(Atletas!P316="Xingyiquan A",501,IF(Atletas!P316="Baguazhang A",502,IF(Atletas!P316="Outro Estilo Interno A",503,IF(Atletas!P316="Xingyiquan B",504,IF(Atletas!P316="Baguazhang B",505,IF(Atletas!P316="Outro Estilo Interno B",506,IF(Atletas!P316="Xingyiquan C",507,IF(Atletas!P316="Baguazhang C",508,IF(Atletas!P316="Outro Estilo Interno C",509,IF(Atletas!P316="Xingyiquan D",510,IF(Atletas!P316="Baguazhang D",511,IF(Atletas!P316="Outro Estilo Interno D",512,IF(Atletas!P316="Xingyiquan E",513,IF(Atletas!P316="Baguazhang E",514,IF(Atletas!P316="Outro Estilo Interno E",515,IF(Atletas!P316="Xingyiquan F",516,IF(Atletas!P316="Baguazhang F",517,IF(Atletas!P316="Outro Estilo Interno F",518, "")))))))))))))))))))</f>
        <v/>
      </c>
      <c r="BS320" s="52" t="str">
        <f>IF(Atletas!Q316="","",IF(Atletas!W316&lt;&gt;"",10000,0)+IF(Atletas!B316="Feminino",1000,IF(Atletas!B316="Masculino",2000,""))+IF(Atletas!Q316="Dao A",601,IF(Atletas!Q316="Jian A",602,IF(Atletas!Q316="Bishou A",603,IF(Atletas!Q316="Shan A",604,IF(Atletas!Q316="Outra Arma Curta A",605,IF(Atletas!Q316="Dao B",606,IF(Atletas!Q316="Jian B",607,IF(Atletas!Q316="Bishou B",608,IF(Atletas!Q316="Shan B",609,IF(Atletas!Q316="Outra Arma Curta B",610,IF(Atletas!Q316="Dao C",611,IF(Atletas!Q316="Jian C",612,IF(Atletas!Q316="Bishou C",613,IF(Atletas!Q316="Shan C",614,IF(Atletas!Q316="Outra Arma Curta C",615,IF(Atletas!Q316="Dao D",616,IF(Atletas!Q316="Jian D",617,IF(Atletas!Q316="Bishou D",618,IF(Atletas!Q316="Shan D",619,IF(Atletas!Q316="Outra Arma Curta D",620,IF(Atletas!Q316="Dao E",621,IF(Atletas!Q316="Jian E",622,IF(Atletas!Q316="Bishou E",623,IF(Atletas!Q316="Shan E",624,IF(Atletas!Q316="Outra Arma Curta E",625,IF(Atletas!Q316="Dao F",626,IF(Atletas!Q316="Jian F",627,IF(Atletas!Q316="Bishou F",628,IF(Atletas!Q316="Shan F",629,IF(Atletas!Q316="Outra Arma Curta F",630, "")))))))))))))))))))))))))))))))</f>
        <v/>
      </c>
      <c r="BT320" s="52" t="str">
        <f>IF(Atletas!R316="","",IF(Atletas!W316&lt;&gt;"",10000,0)+IF(Atletas!B316="Feminino",1000,IF(Atletas!B316="Masculino",2000,""))+IF(Atletas!R316="Gun A",701,IF(Atletas!R316="Qiang A",702,IF(Atletas!R316="Pudao / Guandao A",703,IF(Atletas!R316="Outra Arma Longa A",704,IF(Atletas!R316="Gun B",705,IF(Atletas!R316="Qiang B",706,IF(Atletas!R316="Pudao / Guandao B",707,IF(Atletas!R316="Outra Arma Longa B",708,IF(Atletas!R316="Gun C",709,IF(Atletas!R316="Qiang C",710,IF(Atletas!R316="Pudao / Guandao C",711,IF(Atletas!R316="Outra Arma Longa C",712,IF(Atletas!R316="Gun D",713,IF(Atletas!R316="Qiang D",714,IF(Atletas!R316="Pudao / Guandao D",715,IF(Atletas!R316="Outra Arma Longa D",716,IF(Atletas!R316="Gun E",717,IF(Atletas!R316="Qiang E",718,IF(Atletas!R316="Pudao / Guandao E",719,IF(Atletas!R316="Outra Arma Longa E",720,IF(Atletas!R316="Gun F",721,IF(Atletas!R316="Qiang F",722,IF(Atletas!R316="Pudao / Guandao F",723,IF(Atletas!R316="Outra Arma Longa F",724,"")))))))))))))))))))))))))</f>
        <v/>
      </c>
      <c r="BU320" s="52" t="str">
        <f>IF(Atletas!S316="","",IF(Atletas!W316&lt;&gt;"",10000,0)+IF(Atletas!B316="Feminino",1000,IF(Atletas!B316="Masculino",2000,""))+IF(Atletas!S316="Arma Dupla A",801,IF(Atletas!S316="Arma Maleável A",802,IF(Atletas!S316="Arma Dupla B",803,IF(Atletas!S316="Arma Maleável B",804,IF(Atletas!S316="Arma Dupla C",805,IF(Atletas!S316="Arma Maleável C",806,IF(Atletas!S316="Arma Dupla D",807,IF(Atletas!S316="Arma Maleável D",808,IF(Atletas!S316="Arma Dupla E",809,IF(Atletas!S316="Arma Maleável E",810,IF(Atletas!S316="Arma Dupla F",811,IF(Atletas!S316="Arma Maleável F",812, "")))))))))))))</f>
        <v/>
      </c>
      <c r="BV320" s="52" t="str">
        <f>IF(Atletas!T316="","",IF(Atletas!W316&lt;&gt;"",10000,0)+IF(Atletas!B316="Feminino",1000,IF(Atletas!B316="Masculino",2000,""))+IF(Atletas!T316="Taijijian Yang A",901,IF(Atletas!T316="Taijijian Chen A",902,IF(Atletas!T316="Taijijian Sun A",903,IF(Atletas!T316="Taijijian Wu A",904,IF(Atletas!T316="Taijijian Wu-Hao A",905,IF(Atletas!T316="Taijijian 32 A",906,IF(Atletas!T316="Taijijian 42 A",907,IF(Atletas!T316="Taijijian Yang B",908,IF(Atletas!T316="Taijijian Chen B",909,IF(Atletas!T316="Taijijian Sun B",910,IF(Atletas!T316="Taijijian Wu B",911,IF(Atletas!T316="Taijijian Wu-Hao B",912,IF(Atletas!T316="Taijijian 32 B",913,IF(Atletas!T316="Taijijian 42 B",914,IF(Atletas!T316="Taijijian Yang C",915,IF(Atletas!T316="Taijijian Chen C",916,IF(Atletas!T316="Taijijian Sun C",917,IF(Atletas!T316="Taijijian Wu C",918,IF(Atletas!T316="Taijijian Wu-Hao C",919,IF(Atletas!T316="Taijijian 32 C",920,IF(Atletas!T316="Taijijian 42 C",921,IF(Atletas!T316="Taijijian Yang D",922,IF(Atletas!T316="Taijijian Chen D",923,IF(Atletas!T316="Taijijian Sun D",924,IF(Atletas!T316="Taijijian Wu D",925,IF(Atletas!T316="Taijijian Wu-Hao D",926,IF(Atletas!T316="Taijijian 32 D",927,IF(Atletas!T316="Taijijian 42 D",928,IF(Atletas!T316="Taijijian Yang E",929,IF(Atletas!T316="Taijijian Chen E",930,IF(Atletas!T316="Taijijian Sun E",931,IF(Atletas!T316="Taijijian Wu E",932,IF(Atletas!T316="Taijijian Wu-Hao E",933,IF(Atletas!T316="Taijijian 32 E",934,IF(Atletas!T316="Taijijian 42 E",935,IF(Atletas!T316="Taijijian Yang F",936,IF(Atletas!T316="Taijijian Chen F",937,IF(Atletas!T316="Taijijian Sun F",938,IF(Atletas!T316="Taijijian Wu F",939,IF(Atletas!T316="Taijijian Wu-Hao F",940,IF(Atletas!T316="Taijijian 32 F",941,IF(Atletas!T316="Taijijian 42 F",942,"")))))))))))))))))))))))))))))))))))))))))))</f>
        <v/>
      </c>
      <c r="BW320" s="52" t="str">
        <f>IF(Atletas!U316="","",IF(Atletas!W316&lt;&gt;"",10000,0)+IF(Atletas!B316="Feminino",1000,IF(Atletas!B316="Masculino",2000,""))+IF(Atletas!T316="Taijijian 42 F",942,IF(Atletas!U316="Taijidao A",943,IF(Atletas!U316="Taijishan A",944,IF(Atletas!U316="Taijiqiang A",945,IF(Atletas!U316="Taijidao B",946,IF(Atletas!U316="Taijishan B",947,IF(Atletas!U316="Taijiqiang B",948,IF(Atletas!U316="Taijidao C",949,IF(Atletas!U316="Taijishan C",950,IF(Atletas!U316="Taijiqiang C",951,IF(Atletas!U316="Taijidao D",952,IF(Atletas!U316="Taijishan D",953,IF(Atletas!U316="Taijiqiang D",954,IF(Atletas!U316="Taijidao E",955,IF(Atletas!U316="Taijishan E",956,IF(Atletas!U316="Taijiqiang E",957,IF(Atletas!U316="Taijidao F",958,IF(Atletas!U316="Taijishan F",959,IF(Atletas!U316="Taijiqiang F",960))))))))))))))))))))</f>
        <v/>
      </c>
      <c r="BX320" s="72" t="str">
        <f>IF(BY320&lt;&gt;"","Taijijian Chen F","")</f>
        <v/>
      </c>
      <c r="BY320" s="72" t="str">
        <f>IF(COUNTIF(BK:BW,1937)&gt;0,COUNTIF(BK:BW,1937),"")</f>
        <v/>
      </c>
      <c r="BZ320" s="72" t="str">
        <f>IF(CA320&lt;&gt;"","Taijijian Chen F","")</f>
        <v/>
      </c>
      <c r="CA320" s="72" t="str">
        <f>IF(COUNTIF(BK:BW,2937)&gt;0,COUNTIF(BK:BW,2937),"")</f>
        <v/>
      </c>
      <c r="CB320" s="72" t="str">
        <f>IF(CC320&lt;&gt;"","Outra Arma Longa B","")</f>
        <v/>
      </c>
      <c r="CC320" s="64" t="str">
        <f>IF(COUNTIF(BK:BW,11708)&gt;0,COUNTIF(BK:BW,11708),"")</f>
        <v/>
      </c>
      <c r="CD320" s="64" t="str">
        <f>IF(CE320&lt;&gt;"","Outra Arma Longa B","")</f>
        <v/>
      </c>
      <c r="CE320" s="64" t="str">
        <f>IF(COUNTIF(BK:BW,12708)&gt;0,COUNTIF(BK:BW,12708),"")</f>
        <v/>
      </c>
      <c r="CF320" s="52" t="str">
        <f xml:space="preserve"> IF(Atletas!V316="","",IF(Atletas!V316="Duilian de Mãos AB - Equipe 1",1,IF(Atletas!V316="Duilian de Mãos AB - Equipe 2",2,IF(Atletas!V316="Duilian de Armas AB - Equipe 1",3,IF(Atletas!V316="Duilian de Armas AB - Equipe 2",4,IF(Atletas!V316="Duilian de Tuishou - Equipe 1",5,IF(Atletas!V316="Duilian de Tuishou - Equipe 2",6,IF(Atletas!V316="Grupo Externo AB - Equipe 1",7,IF(Atletas!V316="Grupo Externo AB - Equipe 2",8,IF(Atletas!V316="Grupo Interno AB - Equipe 1",9,IF(Atletas!V316="Grupo Interno AB - Equipe 2",10,IF(Atletas!V316="Duilian de Mãos CD - Equipe 1",11,IF(Atletas!V316="Duilian de Mãos CD - Equipe 2",12,IF(Atletas!V316="Duilian de Armas CD - Equipe 1",13,IF(Atletas!V316="Duilian de Armas CD - Equipe 2",14,IF(Atletas!V316="Duilian de Tuishou - Equipe 1",15,IF(Atletas!V316="Duilian de Tuishou - Equipe 2",16,IF(Atletas!V316="Grupo Externo CDEF - Equipe 1",17,IF(Atletas!V316="Grupo Externo CDEF - Equipe 2",18,IF(Atletas!V316="Grupo Interno CDEF - Equipe 1",19,IF(Atletas!V316="Grupo Interno CDEF - Equipe 2",20,IF(Atletas!V316="Duilian de Mãos EF - Equipe 1",21,IF(Atletas!V316="Duilian de Mãos EF - Equipe 2",22,IF(Atletas!V316="Duilian de Armas EF - Equipe 1",23,IF(Atletas!V316="Duilian de Armas EF - Equipe 2",24,IF(Atletas!V316="Duilian de Tuishou - Equipe 1",25,IF(Atletas!V316="Duilian de Tuishou - Equipe 2",26,"")))))))))))))))))))))))))))</f>
        <v/>
      </c>
    </row>
    <row r="321" spans="36:84">
      <c r="AJ321" s="46" t="str">
        <f>IF(Atletas!D317="","",IF(Atletas!B317="Feminino",100,IF(Atletas!B317="Masculino",200,""))+(IF(Atletas!D317="Infantil 39kg",1,IF(Atletas!D317="Infantil 42kg",2,IF(Atletas!D317="Infantil 45kg",3,IF(Atletas!D317="Infantil 48kg",4,IF(Atletas!D317="Infantil 52kg",5,IF(Atletas!D317="Infantil 56kg",6,IF(Atletas!D317="Infantil 60kg",7,IF(Atletas!D317="Juvenil 48kg",8,IF(Atletas!D317="Juvenil 52kg",9,IF(Atletas!D317="Juvenil 56kg",10,IF(Atletas!D317="Juvenil 60kg",11,IF(Atletas!D317="Juvenil 65kg",12,IF(Atletas!D317="Juvenil 70kg",13,IF(Atletas!D317="Juvenil 75kg",14,IF(Atletas!D317="Juvenil 80kg",15,IF(Atletas!D317="Adulto 48kg",16,IF(Atletas!D317="Adulto 52kg",17,IF(Atletas!D317="Adulto 56kg",18,IF(Atletas!D317="Adulto 60kg",19,IF(Atletas!D317="Adulto 65kg",20,IF(Atletas!D317="Adulto 70kg",21,IF(Atletas!D317="Adulto 75kg",22,IF(Atletas!D317="Adulto 80kg",23,IF(Atletas!D317="Adulto 85kg",24,IF(Atletas!D317="Adulto 90kg",25,IF(Atletas!D317="Adulto +90kg",26,""))))))))))))))))))))))))))))</f>
        <v/>
      </c>
      <c r="AO321" s="10" t="str">
        <f>IF(Atletas!E317="","",IF(Atletas!B317="Feminino",100,IF(Atletas!B317="Masculino",200,""))+(IF(Atletas!E317="Juvenil 44kg",1,IF(Atletas!E317="Juvenil 48kg",2,IF(Atletas!E317="Juvenil 52kg",3,IF(Atletas!E317="Juvenil 56kg",4,IF(Atletas!E317="Juvenil 60kg",5,IF(Atletas!E317="Juvenil 65kg",6,IF(Atletas!E317="Juvenil 70kg",7,IF(Atletas!E317="Juvenil 75kg",8,IF(Atletas!E317="Juvenil 82kg",9,IF(Atletas!E317="Juvenil 90kg",10,IF(Atletas!E317="Juvenil 100kg",11,IF(Atletas!E317="Adulto 48kg",12,IF(Atletas!E317="Adulto 52kg",13,IF(Atletas!E317="Adulto 56kg",14,IF(Atletas!E317="Adulto 60kg",15,IF(Atletas!E317="Adulto 65kg",16,IF(Atletas!E317="Adulto 70kg",17,IF(Atletas!E317="Adulto 75kg",18,IF(Atletas!E317="Adulto 82kg",19,IF(Atletas!E317="Adulto 90kg",20,IF(Atletas!E317="Adulto 100kg",21,IF(Atletas!E317="Adulto +100kg",22,""))))))))))))))))))))))))</f>
        <v/>
      </c>
      <c r="AT321" s="10" t="str">
        <f>IF(Atletas!F317="","",IF(Atletas!B317="Feminino",100,IF(Atletas!B317="Masculino",200,""))+(IF(Atletas!F317="Adulto 48kg",1,IF(Atletas!F317="Adulto 56kg",2,IF(Atletas!F317="Adulto 65kg",3,IF(Atletas!F317="Adulto 75kg",4,IF(Atletas!F317="Adulto +75kg",5,IF(Atletas!F317="Adulto 52kg",6,IF(Atletas!F317="Adulto 60kg",7,IF(Atletas!F317="Adulto 70kg",8,IF(Atletas!F317="Adulto 80kg",9,IF(Atletas!F317="Adulto 90kg",10,IF(Atletas!F317="Adulto +90kg",11,"")))))))))))))</f>
        <v/>
      </c>
      <c r="AY321" s="46" t="str">
        <f>IF(Atletas!G317="","",IF(Atletas!B317="Feminino",100,IF(Atletas!B317="Masculino",200,""))+(IF(Atletas!G317="Changquan Mirim",1,IF(Atletas!G317="Nanquan Mirim",2,IF(Atletas!G317="Taijiquan Mirim",3,IF(Atletas!G317="Changquan Grupo C",4,IF(Atletas!G317="Nanquan Grupo C",5,IF(Atletas!G317="Taijiquan Grupo C",6,IF(Atletas!G317="Changquan Grupo B",7,IF(Atletas!G317="Nanquan Grupo B",8,IF(Atletas!G317="Taijiquan Grupo B",9,IF(Atletas!G317="Changquan Grupo A",10,IF(Atletas!G317="Nanquan Grupo A",11,IF(Atletas!G317="Taijiquan Grupo A",12,IF(Atletas!G317="Changquan Opcional",13,IF(Atletas!G317="Nanquan Opcional",14,IF(Atletas!G317="Taijiquan Opcional",15,IF(Atletas!G317="Changquan Adulto",16,IF(Atletas!G317="Nanquan Adulto",17,IF(Atletas!G317="Taijiquan Adulto",18,""))))))))))))))))))))</f>
        <v/>
      </c>
      <c r="AZ321" s="46" t="str">
        <f>IF(Atletas!H317="","",IF(Atletas!B317="Feminino",100,IF(Atletas!B317="Masculino",200,""))+(IF(Atletas!H317="Daoshu Mirim",19,IF(Atletas!H317="Jianshu Mirim",20,IF(Atletas!H317="Nandao Mirim",21,IF(Atletas!H317="Taijijian Mirim",22,IF(Atletas!H317="Daoshu Grupo C",23,IF(Atletas!H317="Jianshu Grupo C",24,IF(Atletas!H317="Nandao Grupo C",25,IF(Atletas!H317="Taijijian Grupo C",26,IF(Atletas!H317="Daoshu Grupo B",27,IF(Atletas!H317="Jianshu Grupo B",28,IF(Atletas!H317="Nandao Grupo B",29,IF(Atletas!H317="Taijijian Grupo B",30,IF(Atletas!H317="Daoshu Grupo A",31,IF(Atletas!H317="Jianshu Grupo A",32,IF(Atletas!H317="Nandao Grupo A",33,IF(Atletas!H317="Taijijian Grupo A",34,IF(Atletas!H317="Daoshu Opcional",35,IF(Atletas!H317="Jianshu Opcional",36,IF(Atletas!H317="Nandao Opcional",37,IF(Atletas!H317="Taijijian Opcional",38,IF(Atletas!H317="Daoshu Adulto",39,IF(Atletas!H317="Jianshu Adulto",40,IF(Atletas!H317="Nandao Adulto",41,IF(Atletas!H317="Taijijian Adulto",42,""))))))))))))))))))))))))))</f>
        <v/>
      </c>
      <c r="BA321" s="46" t="str">
        <f>IF(Atletas!I317="","",IF(Atletas!B317="Feminino",100,IF(Atletas!B317="Masculino",200,""))+(IF(Atletas!I317="Gunshu Mirim",43,IF(Atletas!I317="Qiangshu Mirim",44,IF(Atletas!I317="Nangun Mirim",45,IF(Atletas!I317="Gunshu Grupo C",46,IF(Atletas!I317="Qiangshu Grupo C",47,IF(Atletas!I317="Nangun Grupo C",48,IF(Atletas!I317="Gunshu Grupo B",49,IF(Atletas!I317="Qiangshu Grupo B",50,IF(Atletas!I317="Nangun Grupo B",51,IF(Atletas!I317="Gunshu Grupo A",52,IF(Atletas!I317="Qiangshu Grupo A",53,IF(Atletas!I317="Nangun Grupo A",54,IF(Atletas!I317="Gunshu Opcional",55,IF(Atletas!I317="Qiangshu Opcional",56,IF(Atletas!I317="Nangun Opcional",57,IF(Atletas!I317="Gunshu Adulto",58,IF(Atletas!I317="Qiangshu Adulto",59,IF(Atletas!I317="Nangun Adulto",60,""))))))))))))))))))))</f>
        <v/>
      </c>
      <c r="BF321" s="52" t="str">
        <f>IF(Atletas!J317="","",IF(Atletas!B317="Feminino",100,IF(Atletas!B317="Masculino",200,""))+(IF(Atletas!J317="Equipe 1 Grupo B",1,IF(Atletas!J317="Equipe 2 Grupo B",2,IF(Atletas!J317="Equipe 1 Grupo A",3,IF(Atletas!J317="Equipe 2 Grupo A",4,IF(Atletas!J317="Equipe 1 Adulto",5,IF(Atletas!J317="Equipe 2 Adulto",6,""))))))))</f>
        <v/>
      </c>
      <c r="BK321" s="52" t="str">
        <f>IF(Atletas!K317="","",IF(Atletas!W317&lt;&gt;"",10000,0)+(IF(Atletas!B317="Feminino",1000,IF(Atletas!B317="Masculino",2000,""))+IF(Atletas!K317="Choylayfut A",1,IF(Atletas!K317="Hunggar A",2,IF(Atletas!K317="Wuzuquan A",3,IF(Atletas!K317="Wingchun A",4,IF(Atletas!K317="Outra Mão de Sul A",5,IF(Atletas!K317="Choylayfut B",6,IF(Atletas!K317="Hunggar B",7,IF(Atletas!K317="Wuzuquan B",8,IF(Atletas!K317="Wingchun B",9,IF(Atletas!K317="Outra Mão de Sul B",10,IF(Atletas!K317="Choylayfut C",11,IF(Atletas!K317="Hunggar C",12,IF(Atletas!K317="Wuzuquan C",13,IF(Atletas!K317="Wingchun C",14,IF(Atletas!K317="Outra Mão de Sul C",15,IF(Atletas!K317="Choylayfut D",16,IF(Atletas!K317="Hunggar D",17,IF(Atletas!K317="Wuzuquan D",18,IF(Atletas!K317="Wingchun D",19,IF(Atletas!K317="Outra Mão de Sul D",20,IF(Atletas!K317="Choylayfut E",21,IF(Atletas!K317="Hunggar E",22,IF(Atletas!K317="Wuzuquan E",23,IF(Atletas!K317="Wingchun E",24,IF(Atletas!K317="Outra Mão de Sul E",25,IF(Atletas!K317="Choylayfut F",26,IF(Atletas!K317="Hunggar F",27,IF(Atletas!K317="Wuzuquan F",28,IF(Atletas!K317="Wingchun F",29,IF(Atletas!K317="Outra Mão de Sul F",30,""))))))))))))))))))))))))))))))))</f>
        <v/>
      </c>
      <c r="BL321" s="52" t="str">
        <f>IF(Atletas!L317="","",IF(Atletas!W317&lt;&gt;"",10000,0)+(IF(Atletas!B317="Feminino",1000,IF(Atletas!B317="Masculino",2000,""))+(IF(Atletas!L317="Chaquan A",101,IF(Atletas!L317="Emeiquan A",102,IF(Atletas!L317="Fanziquan A",103,IF(Atletas!L317="Huaquan A",104,IF(Atletas!L317="Hongquan A",105,IF(Atletas!L317="Paochui A",106,IF(Atletas!L317="Piguaquan A",107,IF(Atletas!L317="Shaolinquan A",108,IF(Atletas!L317="Tanglangquan A",109,IF(Atletas!L317="Yinzhaophai A",110,IF(Atletas!L317="Tongbeiquan A",111,IF(Atletas!L317="Wudangquan A",112,IF(Atletas!L317="Outros Estilos A",113,IF(Atletas!L317="Chaquan B",114,IF(Atletas!L317="Emeiquan B",115,IF(Atletas!L317="Fanziquan B",116,IF(Atletas!L317="Huaquan B",117,IF(Atletas!L317="Hongquan B",118,IF(Atletas!L317="Paochui B",119,IF(Atletas!L317="Piguaquan B",120,IF(Atletas!L317="Shaolinquan B",121,IF(Atletas!L317="Tanglangquan B",122,IF(Atletas!L317="Yinzhaophai B",123,IF(Atletas!L317="Tongbeiquan B",124,IF(Atletas!L317="Wudangquan B",125,IF(Atletas!L317="Outros Estilos B",126,IF(Atletas!L317="Chaquan C",127,IF(Atletas!L317="Emeiquan C",128,IF(Atletas!L317="Fanziquan C",129,IF(Atletas!L317="Huaquan C",130,IF(Atletas!L317="Hongquan C",131,IF(Atletas!L317="Paochui C",132,IF(Atletas!L317="Piguaquan C",133,IF(Atletas!L317="Shaolinquan C",134,IF(Atletas!L317="Tanglangquan C",135,IF(Atletas!L317="Yinzhaophai C",136,IF(Atletas!L317="Tongbeiquan C",137,IF(Atletas!L317="Wudangquan C",138,IF(Atletas!L317="Outros Estilos C",139,0))))))))))))))))))))))))))))))))))))))))))</f>
        <v/>
      </c>
      <c r="BM321" s="52" t="str">
        <f>IF(Atletas!L317="","",IF(Atletas!W317&lt;&gt;"",10000,0)+(IF(Atletas!B317="Feminino",1000,IF(Atletas!B317="Masculino",2000,""))+(IF(Atletas!L317="Chaquan D",140,IF(Atletas!L317="Emeiquan D",141,IF(Atletas!L317="Fanziquan D",142,IF(Atletas!L317="Huaquan D",143,IF(Atletas!L317="Hongquan D",144,IF(Atletas!L317="Paochui D",145,IF(Atletas!L317="Piguaquan D",146,IF(Atletas!L317="Shaolinquan D",147,IF(Atletas!L317="Tanglangquan D",148,IF(Atletas!L317="Yinzhaophai D",149,IF(Atletas!L317="Tongbeiquan D",150,IF(Atletas!L317="Wudangquan D",151,IF(Atletas!L317="Outros Estilos D",152,IF(Atletas!L317="Chaquan E",153,IF(Atletas!L317="Emeiquan E",154,IF(Atletas!L317="Fanziquan E",155,IF(Atletas!L317="Huaquan E",156,IF(Atletas!L317="Hongquan E",157,IF(Atletas!L317="Paochui E",158,IF(Atletas!L317="Piguaquan E",159,IF(Atletas!L317="Shaolinquan E",160,IF(Atletas!L317="Tanglangquan E",161,IF(Atletas!L317="Yinzhaophai E",162,IF(Atletas!L317="Tongbeiquan E",163,IF(Atletas!L317="Wudangquan E",164,IF(Atletas!L317="Outros Estilos E",165,IF(Atletas!L317="Chaquan F",166,IF(Atletas!L317="Emeiquan F",167,IF(Atletas!L317="Fanziquan F",168,IF(Atletas!L317="Huaquan F",169,IF(Atletas!L317="Hongquan F",170,IF(Atletas!L317="Paochui F",171,IF(Atletas!L317="Piguaquan F",172,IF(Atletas!L317="Shaolinquan F",173,IF(Atletas!L317="Tanglangquan F",174,IF(Atletas!L317="Yinzhaophai F",175,IF(Atletas!L317="Tongbeiquan F",176,IF(Atletas!L317="Wudangquan F",177,IF(Atletas!L317="Outros Estilos F",178,0))))))))))))))))))))))))))))))))))))))))))</f>
        <v/>
      </c>
      <c r="BN321" s="52" t="str">
        <f>IF(Atletas!M317="","",IF(Atletas!W317&lt;&gt;"",10000,0)+(IF(Atletas!B317="Feminino",1000,IF(Atletas!B317="Masculino",2000,""))+(IF(Atletas!M317="Ditangquan A",201,IF(Atletas!M317="Houquan A",202,IF(Atletas!M317="Zuiquan A",203,IF(Atletas!M317="Ditangquan B",204,IF(Atletas!M317="Houquan B",205,IF(Atletas!M317="Zuiquan B",206,IF(Atletas!M317="Ditangquan C",207,IF(Atletas!M317="Houquan C",208,IF(Atletas!M317="Zuiquan C",209,IF(Atletas!M317="Ditangquan D",210,IF(Atletas!M317="Houquan D",211,IF(Atletas!M317="Zuiquan D",212,IF(Atletas!M317="Ditangquan E",213,IF(Atletas!M317="Houquan E",214,IF(Atletas!M317="Zuiquan E",215,IF(Atletas!M317="Ditangquan F",216,IF(Atletas!M317="Houquan F",217,IF(Atletas!M317="Zuiquan F",218,"")))))))))))))))))))))</f>
        <v/>
      </c>
      <c r="BO321" s="52" t="str">
        <f>IF(Atletas!N317="","",IF(Atletas!W317&lt;&gt;"",10000,0)+IF(Atletas!B317="Feminino",1000,IF(Atletas!B317="Masculino",2000,""))+IF(Atletas!N317="Yang A",301,IF(Atletas!N317="Chen A",30,IF(Atletas!N317="Sun A",303,IF(Atletas!N317="Wu A",304,IF(Atletas!N317="Wu-Hao A",305,IF(Atletas!N317="Outro Taijiquan A",306,IF(Atletas!N317="Yang B",307,IF(Atletas!N317="Chen B",308,IF(Atletas!N317="Sun B",309,IF(Atletas!N317="Wu B",310,IF(Atletas!N317="Wu-Hao B",311,IF(Atletas!N317="Outro Taijiquan B",312,IF(Atletas!N317="Yang C",313,IF(Atletas!N317="Chen C",314,IF(Atletas!N317="Sun C",315,IF(Atletas!N317="Wu C",316,IF(Atletas!N317="Wu-Hao C",317,IF(Atletas!N317="Outro Taijiquan C",318,IF(Atletas!N317="Yang D",319,IF(Atletas!N317="Chen D",320,IF(Atletas!N317="Sun D",321,IF(Atletas!N317="Wu D",322,IF(Atletas!N317="Wu-Hao D",323,IF(Atletas!N317="Outro Taijiquan D",324,IF(Atletas!N317="Yang E",325,IF(Atletas!N317="Chen E",326,IF(Atletas!N317="Sun E",327,IF(Atletas!N317="Wu E",328,IF(Atletas!N317="Wu-Hao E",329,IF(Atletas!N317="Outro Taijiquan E",330,IF(Atletas!N317="Yang F",331,IF(Atletas!N317="Chen F",332,IF(Atletas!N317="Sun F",333,IF(Atletas!N317="Wu F",334,IF(Atletas!N317="Wu-Hao F",335,IF(Atletas!N317="Outro Taijiquan F",336,"")))))))))))))))))))))))))))))))))))))</f>
        <v/>
      </c>
      <c r="BP321" s="52" t="str">
        <f>IF(Atletas!O317="","",IF(Atletas!W317&lt;&gt;"",10000,0)+IF(Atletas!B317="Feminino",1000,IF(Atletas!B317="Masculino",2000,""))+IF(OR(Atletas!O317="Yang 26 A",Atletas!O317="Yang 40 A"),401,IF(OR(Atletas!O317="Chen 25 A",Atletas!O317="Chen 36 A",Atletas!O317="Chen 56 A"),402,IF(Atletas!O317="Sun 73 A",403,IF(Atletas!O317="Wu 45 A",404,IF(Atletas!O317="Wu-Hao 46 A",405,IF(OR(Atletas!O317="Taijiquan 16 A",Atletas!O317="Taijiquan 24 A",Atletas!O317="Taijiquan 32 A",Atletas!O317="Taijiquan 42 A"),406,IF(OR(Atletas!O317="Yang 26 B",Atletas!O317="Yang 40 B"),407,IF(OR(Atletas!O317="Chen 25 B",Atletas!O317="Chen 36 B",Atletas!O317="Chen 56 B"),408,IF(Atletas!O317="Sun 73 B",409,IF(Atletas!O317="Wu 45 B",410,IF(Atletas!O317="Wu-Hao 46 B",411,IF(OR(Atletas!O317="Taijiquan 16 B",Atletas!O317="Taijiquan 24 B",Atletas!O317="Taijiquan 32 B",Atletas!O317="Taijiquan 42 B"),412,IF(OR(Atletas!O317="Yang 26 C",Atletas!O317="Yang 40 C"),413,IF(OR(Atletas!O317="Chen 25 C",Atletas!O317="Chen 36 C",Atletas!O317="Chen 56 C"),414,IF(Atletas!O317="Sun 73 C",415,IF(Atletas!O317="Wu 45 C",416,IF(Atletas!O317="Wu-Hao 46 C",417,IF(OR(Atletas!O317="Taijiquan 16 C",Atletas!O317="Taijiquan 24 C",Atletas!O317="Taijiquan 32 C",Atletas!O317="Taijiquan 42 C"),418,0)))))))))))))))))))</f>
        <v/>
      </c>
      <c r="BQ321" s="52" t="str">
        <f>IF(Atletas!O317="","",IF(Atletas!W317&lt;&gt;"",10000,0)+IF(Atletas!B317="Feminino",1000,IF(Atletas!B317="Masculino",2000,""))+IF(OR(Atletas!O317="Yang 26 D",Atletas!O317="Yang 40 D"),419,IF(OR(Atletas!O317="Chen 25 D",Atletas!O317="Chen 36 D",Atletas!O317="Chen 56 D"),420,IF(Atletas!O317="Sun 73 D",421,IF(Atletas!O317="Wu 45 D",422,IF(Atletas!O317="Wu-Hao 46 D",423,IF(OR(Atletas!O317="Taijiquan 16 D",Atletas!O317="Taijiquan 24 D",Atletas!O317="Taijiquan 32 D",Atletas!O317="Taijiquan 42 D"),424,IF(OR(Atletas!O317="Yang 26 E",Atletas!O317="Yang 40 E"),425,IF(OR(Atletas!O317="Chen 25 E",Atletas!O317="Chen 36 E",Atletas!O317="Chen 56 E"),426,IF(Atletas!O317="Sun 73 E",427,IF(Atletas!O317="Wu 45 E",428,IF(Atletas!O317="Wu-Hao 46 E",429,IF(OR(Atletas!O317="Taijiquan 16 E",Atletas!O317="Taijiquan 24 E",Atletas!O317="Taijiquan 32 E",Atletas!O317="Taijiquan 42 E"),430,IF(OR(Atletas!O317="Yang 26 F",Atletas!O317="Yang 40 F"),431,IF(OR(Atletas!O317="Chen 25 F",Atletas!O317="Chen 36 F",Atletas!O317="Chen 56 F"),432,IF(Atletas!O317="Sun 73 F",433,IF(Atletas!O317="Wu 45 F",434,IF(Atletas!O317="Wu-Hao 46 F",435,IF(OR(Atletas!O317="Taijiquan 16 F",Atletas!O317="Taijiquan 24 F",Atletas!O317="Taijiquan 32 F",Atletas!O317="Taijiquan 42 F"),436,0)))))))))))))))))))</f>
        <v/>
      </c>
      <c r="BR321" s="52" t="str">
        <f>IF(Atletas!P317="","",IF(Atletas!W317&lt;&gt;"",10000,0)+IF(Atletas!B317="Feminino",1000,IF(Atletas!B317="Masculino",2000,""))+IF(Atletas!P317="Xingyiquan A",501,IF(Atletas!P317="Baguazhang A",502,IF(Atletas!P317="Outro Estilo Interno A",503,IF(Atletas!P317="Xingyiquan B",504,IF(Atletas!P317="Baguazhang B",505,IF(Atletas!P317="Outro Estilo Interno B",506,IF(Atletas!P317="Xingyiquan C",507,IF(Atletas!P317="Baguazhang C",508,IF(Atletas!P317="Outro Estilo Interno C",509,IF(Atletas!P317="Xingyiquan D",510,IF(Atletas!P317="Baguazhang D",511,IF(Atletas!P317="Outro Estilo Interno D",512,IF(Atletas!P317="Xingyiquan E",513,IF(Atletas!P317="Baguazhang E",514,IF(Atletas!P317="Outro Estilo Interno E",515,IF(Atletas!P317="Xingyiquan F",516,IF(Atletas!P317="Baguazhang F",517,IF(Atletas!P317="Outro Estilo Interno F",518, "")))))))))))))))))))</f>
        <v/>
      </c>
      <c r="BS321" s="52" t="str">
        <f>IF(Atletas!Q317="","",IF(Atletas!W317&lt;&gt;"",10000,0)+IF(Atletas!B317="Feminino",1000,IF(Atletas!B317="Masculino",2000,""))+IF(Atletas!Q317="Dao A",601,IF(Atletas!Q317="Jian A",602,IF(Atletas!Q317="Bishou A",603,IF(Atletas!Q317="Shan A",604,IF(Atletas!Q317="Outra Arma Curta A",605,IF(Atletas!Q317="Dao B",606,IF(Atletas!Q317="Jian B",607,IF(Atletas!Q317="Bishou B",608,IF(Atletas!Q317="Shan B",609,IF(Atletas!Q317="Outra Arma Curta B",610,IF(Atletas!Q317="Dao C",611,IF(Atletas!Q317="Jian C",612,IF(Atletas!Q317="Bishou C",613,IF(Atletas!Q317="Shan C",614,IF(Atletas!Q317="Outra Arma Curta C",615,IF(Atletas!Q317="Dao D",616,IF(Atletas!Q317="Jian D",617,IF(Atletas!Q317="Bishou D",618,IF(Atletas!Q317="Shan D",619,IF(Atletas!Q317="Outra Arma Curta D",620,IF(Atletas!Q317="Dao E",621,IF(Atletas!Q317="Jian E",622,IF(Atletas!Q317="Bishou E",623,IF(Atletas!Q317="Shan E",624,IF(Atletas!Q317="Outra Arma Curta E",625,IF(Atletas!Q317="Dao F",626,IF(Atletas!Q317="Jian F",627,IF(Atletas!Q317="Bishou F",628,IF(Atletas!Q317="Shan F",629,IF(Atletas!Q317="Outra Arma Curta F",630, "")))))))))))))))))))))))))))))))</f>
        <v/>
      </c>
      <c r="BT321" s="52" t="str">
        <f>IF(Atletas!R317="","",IF(Atletas!W317&lt;&gt;"",10000,0)+IF(Atletas!B317="Feminino",1000,IF(Atletas!B317="Masculino",2000,""))+IF(Atletas!R317="Gun A",701,IF(Atletas!R317="Qiang A",702,IF(Atletas!R317="Pudao / Guandao A",703,IF(Atletas!R317="Outra Arma Longa A",704,IF(Atletas!R317="Gun B",705,IF(Atletas!R317="Qiang B",706,IF(Atletas!R317="Pudao / Guandao B",707,IF(Atletas!R317="Outra Arma Longa B",708,IF(Atletas!R317="Gun C",709,IF(Atletas!R317="Qiang C",710,IF(Atletas!R317="Pudao / Guandao C",711,IF(Atletas!R317="Outra Arma Longa C",712,IF(Atletas!R317="Gun D",713,IF(Atletas!R317="Qiang D",714,IF(Atletas!R317="Pudao / Guandao D",715,IF(Atletas!R317="Outra Arma Longa D",716,IF(Atletas!R317="Gun E",717,IF(Atletas!R317="Qiang E",718,IF(Atletas!R317="Pudao / Guandao E",719,IF(Atletas!R317="Outra Arma Longa E",720,IF(Atletas!R317="Gun F",721,IF(Atletas!R317="Qiang F",722,IF(Atletas!R317="Pudao / Guandao F",723,IF(Atletas!R317="Outra Arma Longa F",724,"")))))))))))))))))))))))))</f>
        <v/>
      </c>
      <c r="BU321" s="52" t="str">
        <f>IF(Atletas!S317="","",IF(Atletas!W317&lt;&gt;"",10000,0)+IF(Atletas!B317="Feminino",1000,IF(Atletas!B317="Masculino",2000,""))+IF(Atletas!S317="Arma Dupla A",801,IF(Atletas!S317="Arma Maleável A",802,IF(Atletas!S317="Arma Dupla B",803,IF(Atletas!S317="Arma Maleável B",804,IF(Atletas!S317="Arma Dupla C",805,IF(Atletas!S317="Arma Maleável C",806,IF(Atletas!S317="Arma Dupla D",807,IF(Atletas!S317="Arma Maleável D",808,IF(Atletas!S317="Arma Dupla E",809,IF(Atletas!S317="Arma Maleável E",810,IF(Atletas!S317="Arma Dupla F",811,IF(Atletas!S317="Arma Maleável F",812, "")))))))))))))</f>
        <v/>
      </c>
      <c r="BV321" s="52" t="str">
        <f>IF(Atletas!T317="","",IF(Atletas!W317&lt;&gt;"",10000,0)+IF(Atletas!B317="Feminino",1000,IF(Atletas!B317="Masculino",2000,""))+IF(Atletas!T317="Taijijian Yang A",901,IF(Atletas!T317="Taijijian Chen A",902,IF(Atletas!T317="Taijijian Sun A",903,IF(Atletas!T317="Taijijian Wu A",904,IF(Atletas!T317="Taijijian Wu-Hao A",905,IF(Atletas!T317="Taijijian 32 A",906,IF(Atletas!T317="Taijijian 42 A",907,IF(Atletas!T317="Taijijian Yang B",908,IF(Atletas!T317="Taijijian Chen B",909,IF(Atletas!T317="Taijijian Sun B",910,IF(Atletas!T317="Taijijian Wu B",911,IF(Atletas!T317="Taijijian Wu-Hao B",912,IF(Atletas!T317="Taijijian 32 B",913,IF(Atletas!T317="Taijijian 42 B",914,IF(Atletas!T317="Taijijian Yang C",915,IF(Atletas!T317="Taijijian Chen C",916,IF(Atletas!T317="Taijijian Sun C",917,IF(Atletas!T317="Taijijian Wu C",918,IF(Atletas!T317="Taijijian Wu-Hao C",919,IF(Atletas!T317="Taijijian 32 C",920,IF(Atletas!T317="Taijijian 42 C",921,IF(Atletas!T317="Taijijian Yang D",922,IF(Atletas!T317="Taijijian Chen D",923,IF(Atletas!T317="Taijijian Sun D",924,IF(Atletas!T317="Taijijian Wu D",925,IF(Atletas!T317="Taijijian Wu-Hao D",926,IF(Atletas!T317="Taijijian 32 D",927,IF(Atletas!T317="Taijijian 42 D",928,IF(Atletas!T317="Taijijian Yang E",929,IF(Atletas!T317="Taijijian Chen E",930,IF(Atletas!T317="Taijijian Sun E",931,IF(Atletas!T317="Taijijian Wu E",932,IF(Atletas!T317="Taijijian Wu-Hao E",933,IF(Atletas!T317="Taijijian 32 E",934,IF(Atletas!T317="Taijijian 42 E",935,IF(Atletas!T317="Taijijian Yang F",936,IF(Atletas!T317="Taijijian Chen F",937,IF(Atletas!T317="Taijijian Sun F",938,IF(Atletas!T317="Taijijian Wu F",939,IF(Atletas!T317="Taijijian Wu-Hao F",940,IF(Atletas!T317="Taijijian 32 F",941,IF(Atletas!T317="Taijijian 42 F",942,"")))))))))))))))))))))))))))))))))))))))))))</f>
        <v/>
      </c>
      <c r="BW321" s="52" t="str">
        <f>IF(Atletas!U317="","",IF(Atletas!W317&lt;&gt;"",10000,0)+IF(Atletas!B317="Feminino",1000,IF(Atletas!B317="Masculino",2000,""))+IF(Atletas!T317="Taijijian 42 F",942,IF(Atletas!U317="Taijidao A",943,IF(Atletas!U317="Taijishan A",944,IF(Atletas!U317="Taijiqiang A",945,IF(Atletas!U317="Taijidao B",946,IF(Atletas!U317="Taijishan B",947,IF(Atletas!U317="Taijiqiang B",948,IF(Atletas!U317="Taijidao C",949,IF(Atletas!U317="Taijishan C",950,IF(Atletas!U317="Taijiqiang C",951,IF(Atletas!U317="Taijidao D",952,IF(Atletas!U317="Taijishan D",953,IF(Atletas!U317="Taijiqiang D",954,IF(Atletas!U317="Taijidao E",955,IF(Atletas!U317="Taijishan E",956,IF(Atletas!U317="Taijiqiang E",957,IF(Atletas!U317="Taijidao F",958,IF(Atletas!U317="Taijishan F",959,IF(Atletas!U317="Taijiqiang F",960))))))))))))))))))))</f>
        <v/>
      </c>
      <c r="BX321" s="72" t="str">
        <f>IF(BY321&lt;&gt;"","Taijijian Sun F","")</f>
        <v/>
      </c>
      <c r="BY321" s="72" t="str">
        <f>IF(COUNTIF(BK:BW,1938)&gt;0,COUNTIF(BK:BW,1938),"")</f>
        <v/>
      </c>
      <c r="BZ321" s="72" t="str">
        <f>IF(CA321&lt;&gt;"","Taijijian Sun F","")</f>
        <v/>
      </c>
      <c r="CA321" s="72" t="str">
        <f>IF(COUNTIF(BK:BW,2938)&gt;0,COUNTIF(BK:BW,2938),"")</f>
        <v/>
      </c>
      <c r="CB321" s="72" t="str">
        <f>IF(CC321&lt;&gt;"","Gun C","")</f>
        <v/>
      </c>
      <c r="CC321" s="64" t="str">
        <f>IF(COUNTIF(BK:BW,11709)&gt;0,COUNTIF(BK:BW,11709),"")</f>
        <v/>
      </c>
      <c r="CD321" s="64" t="str">
        <f>IF(CE321&lt;&gt;"","Gun C","")</f>
        <v/>
      </c>
      <c r="CE321" s="64" t="str">
        <f>IF(COUNTIF(BK:BW,12709)&gt;0,COUNTIF(BK:BW,12709),"")</f>
        <v/>
      </c>
      <c r="CF321" s="52" t="str">
        <f xml:space="preserve"> IF(Atletas!V317="","",IF(Atletas!V317="Duilian de Mãos AB - Equipe 1",1,IF(Atletas!V317="Duilian de Mãos AB - Equipe 2",2,IF(Atletas!V317="Duilian de Armas AB - Equipe 1",3,IF(Atletas!V317="Duilian de Armas AB - Equipe 2",4,IF(Atletas!V317="Duilian de Tuishou - Equipe 1",5,IF(Atletas!V317="Duilian de Tuishou - Equipe 2",6,IF(Atletas!V317="Grupo Externo AB - Equipe 1",7,IF(Atletas!V317="Grupo Externo AB - Equipe 2",8,IF(Atletas!V317="Grupo Interno AB - Equipe 1",9,IF(Atletas!V317="Grupo Interno AB - Equipe 2",10,IF(Atletas!V317="Duilian de Mãos CD - Equipe 1",11,IF(Atletas!V317="Duilian de Mãos CD - Equipe 2",12,IF(Atletas!V317="Duilian de Armas CD - Equipe 1",13,IF(Atletas!V317="Duilian de Armas CD - Equipe 2",14,IF(Atletas!V317="Duilian de Tuishou - Equipe 1",15,IF(Atletas!V317="Duilian de Tuishou - Equipe 2",16,IF(Atletas!V317="Grupo Externo CDEF - Equipe 1",17,IF(Atletas!V317="Grupo Externo CDEF - Equipe 2",18,IF(Atletas!V317="Grupo Interno CDEF - Equipe 1",19,IF(Atletas!V317="Grupo Interno CDEF - Equipe 2",20,IF(Atletas!V317="Duilian de Mãos EF - Equipe 1",21,IF(Atletas!V317="Duilian de Mãos EF - Equipe 2",22,IF(Atletas!V317="Duilian de Armas EF - Equipe 1",23,IF(Atletas!V317="Duilian de Armas EF - Equipe 2",24,IF(Atletas!V317="Duilian de Tuishou - Equipe 1",25,IF(Atletas!V317="Duilian de Tuishou - Equipe 2",26,"")))))))))))))))))))))))))))</f>
        <v/>
      </c>
    </row>
    <row r="322" spans="36:84">
      <c r="AJ322" s="46" t="str">
        <f>IF(Atletas!D318="","",IF(Atletas!B318="Feminino",100,IF(Atletas!B318="Masculino",200,""))+(IF(Atletas!D318="Infantil 39kg",1,IF(Atletas!D318="Infantil 42kg",2,IF(Atletas!D318="Infantil 45kg",3,IF(Atletas!D318="Infantil 48kg",4,IF(Atletas!D318="Infantil 52kg",5,IF(Atletas!D318="Infantil 56kg",6,IF(Atletas!D318="Infantil 60kg",7,IF(Atletas!D318="Juvenil 48kg",8,IF(Atletas!D318="Juvenil 52kg",9,IF(Atletas!D318="Juvenil 56kg",10,IF(Atletas!D318="Juvenil 60kg",11,IF(Atletas!D318="Juvenil 65kg",12,IF(Atletas!D318="Juvenil 70kg",13,IF(Atletas!D318="Juvenil 75kg",14,IF(Atletas!D318="Juvenil 80kg",15,IF(Atletas!D318="Adulto 48kg",16,IF(Atletas!D318="Adulto 52kg",17,IF(Atletas!D318="Adulto 56kg",18,IF(Atletas!D318="Adulto 60kg",19,IF(Atletas!D318="Adulto 65kg",20,IF(Atletas!D318="Adulto 70kg",21,IF(Atletas!D318="Adulto 75kg",22,IF(Atletas!D318="Adulto 80kg",23,IF(Atletas!D318="Adulto 85kg",24,IF(Atletas!D318="Adulto 90kg",25,IF(Atletas!D318="Adulto +90kg",26,""))))))))))))))))))))))))))))</f>
        <v/>
      </c>
      <c r="AO322" s="10" t="str">
        <f>IF(Atletas!E318="","",IF(Atletas!B318="Feminino",100,IF(Atletas!B318="Masculino",200,""))+(IF(Atletas!E318="Juvenil 44kg",1,IF(Atletas!E318="Juvenil 48kg",2,IF(Atletas!E318="Juvenil 52kg",3,IF(Atletas!E318="Juvenil 56kg",4,IF(Atletas!E318="Juvenil 60kg",5,IF(Atletas!E318="Juvenil 65kg",6,IF(Atletas!E318="Juvenil 70kg",7,IF(Atletas!E318="Juvenil 75kg",8,IF(Atletas!E318="Juvenil 82kg",9,IF(Atletas!E318="Juvenil 90kg",10,IF(Atletas!E318="Juvenil 100kg",11,IF(Atletas!E318="Adulto 48kg",12,IF(Atletas!E318="Adulto 52kg",13,IF(Atletas!E318="Adulto 56kg",14,IF(Atletas!E318="Adulto 60kg",15,IF(Atletas!E318="Adulto 65kg",16,IF(Atletas!E318="Adulto 70kg",17,IF(Atletas!E318="Adulto 75kg",18,IF(Atletas!E318="Adulto 82kg",19,IF(Atletas!E318="Adulto 90kg",20,IF(Atletas!E318="Adulto 100kg",21,IF(Atletas!E318="Adulto +100kg",22,""))))))))))))))))))))))))</f>
        <v/>
      </c>
      <c r="AT322" s="10" t="str">
        <f>IF(Atletas!F318="","",IF(Atletas!B318="Feminino",100,IF(Atletas!B318="Masculino",200,""))+(IF(Atletas!F318="Adulto 48kg",1,IF(Atletas!F318="Adulto 56kg",2,IF(Atletas!F318="Adulto 65kg",3,IF(Atletas!F318="Adulto 75kg",4,IF(Atletas!F318="Adulto +75kg",5,IF(Atletas!F318="Adulto 52kg",6,IF(Atletas!F318="Adulto 60kg",7,IF(Atletas!F318="Adulto 70kg",8,IF(Atletas!F318="Adulto 80kg",9,IF(Atletas!F318="Adulto 90kg",10,IF(Atletas!F318="Adulto +90kg",11,"")))))))))))))</f>
        <v/>
      </c>
      <c r="AY322" s="46" t="str">
        <f>IF(Atletas!G318="","",IF(Atletas!B318="Feminino",100,IF(Atletas!B318="Masculino",200,""))+(IF(Atletas!G318="Changquan Mirim",1,IF(Atletas!G318="Nanquan Mirim",2,IF(Atletas!G318="Taijiquan Mirim",3,IF(Atletas!G318="Changquan Grupo C",4,IF(Atletas!G318="Nanquan Grupo C",5,IF(Atletas!G318="Taijiquan Grupo C",6,IF(Atletas!G318="Changquan Grupo B",7,IF(Atletas!G318="Nanquan Grupo B",8,IF(Atletas!G318="Taijiquan Grupo B",9,IF(Atletas!G318="Changquan Grupo A",10,IF(Atletas!G318="Nanquan Grupo A",11,IF(Atletas!G318="Taijiquan Grupo A",12,IF(Atletas!G318="Changquan Opcional",13,IF(Atletas!G318="Nanquan Opcional",14,IF(Atletas!G318="Taijiquan Opcional",15,IF(Atletas!G318="Changquan Adulto",16,IF(Atletas!G318="Nanquan Adulto",17,IF(Atletas!G318="Taijiquan Adulto",18,""))))))))))))))))))))</f>
        <v/>
      </c>
      <c r="AZ322" s="46" t="str">
        <f>IF(Atletas!H318="","",IF(Atletas!B318="Feminino",100,IF(Atletas!B318="Masculino",200,""))+(IF(Atletas!H318="Daoshu Mirim",19,IF(Atletas!H318="Jianshu Mirim",20,IF(Atletas!H318="Nandao Mirim",21,IF(Atletas!H318="Taijijian Mirim",22,IF(Atletas!H318="Daoshu Grupo C",23,IF(Atletas!H318="Jianshu Grupo C",24,IF(Atletas!H318="Nandao Grupo C",25,IF(Atletas!H318="Taijijian Grupo C",26,IF(Atletas!H318="Daoshu Grupo B",27,IF(Atletas!H318="Jianshu Grupo B",28,IF(Atletas!H318="Nandao Grupo B",29,IF(Atletas!H318="Taijijian Grupo B",30,IF(Atletas!H318="Daoshu Grupo A",31,IF(Atletas!H318="Jianshu Grupo A",32,IF(Atletas!H318="Nandao Grupo A",33,IF(Atletas!H318="Taijijian Grupo A",34,IF(Atletas!H318="Daoshu Opcional",35,IF(Atletas!H318="Jianshu Opcional",36,IF(Atletas!H318="Nandao Opcional",37,IF(Atletas!H318="Taijijian Opcional",38,IF(Atletas!H318="Daoshu Adulto",39,IF(Atletas!H318="Jianshu Adulto",40,IF(Atletas!H318="Nandao Adulto",41,IF(Atletas!H318="Taijijian Adulto",42,""))))))))))))))))))))))))))</f>
        <v/>
      </c>
      <c r="BA322" s="46" t="str">
        <f>IF(Atletas!I318="","",IF(Atletas!B318="Feminino",100,IF(Atletas!B318="Masculino",200,""))+(IF(Atletas!I318="Gunshu Mirim",43,IF(Atletas!I318="Qiangshu Mirim",44,IF(Atletas!I318="Nangun Mirim",45,IF(Atletas!I318="Gunshu Grupo C",46,IF(Atletas!I318="Qiangshu Grupo C",47,IF(Atletas!I318="Nangun Grupo C",48,IF(Atletas!I318="Gunshu Grupo B",49,IF(Atletas!I318="Qiangshu Grupo B",50,IF(Atletas!I318="Nangun Grupo B",51,IF(Atletas!I318="Gunshu Grupo A",52,IF(Atletas!I318="Qiangshu Grupo A",53,IF(Atletas!I318="Nangun Grupo A",54,IF(Atletas!I318="Gunshu Opcional",55,IF(Atletas!I318="Qiangshu Opcional",56,IF(Atletas!I318="Nangun Opcional",57,IF(Atletas!I318="Gunshu Adulto",58,IF(Atletas!I318="Qiangshu Adulto",59,IF(Atletas!I318="Nangun Adulto",60,""))))))))))))))))))))</f>
        <v/>
      </c>
      <c r="BF322" s="52" t="str">
        <f>IF(Atletas!J318="","",IF(Atletas!B318="Feminino",100,IF(Atletas!B318="Masculino",200,""))+(IF(Atletas!J318="Equipe 1 Grupo B",1,IF(Atletas!J318="Equipe 2 Grupo B",2,IF(Atletas!J318="Equipe 1 Grupo A",3,IF(Atletas!J318="Equipe 2 Grupo A",4,IF(Atletas!J318="Equipe 1 Adulto",5,IF(Atletas!J318="Equipe 2 Adulto",6,""))))))))</f>
        <v/>
      </c>
      <c r="BK322" s="52" t="str">
        <f>IF(Atletas!K318="","",IF(Atletas!W318&lt;&gt;"",10000,0)+(IF(Atletas!B318="Feminino",1000,IF(Atletas!B318="Masculino",2000,""))+IF(Atletas!K318="Choylayfut A",1,IF(Atletas!K318="Hunggar A",2,IF(Atletas!K318="Wuzuquan A",3,IF(Atletas!K318="Wingchun A",4,IF(Atletas!K318="Outra Mão de Sul A",5,IF(Atletas!K318="Choylayfut B",6,IF(Atletas!K318="Hunggar B",7,IF(Atletas!K318="Wuzuquan B",8,IF(Atletas!K318="Wingchun B",9,IF(Atletas!K318="Outra Mão de Sul B",10,IF(Atletas!K318="Choylayfut C",11,IF(Atletas!K318="Hunggar C",12,IF(Atletas!K318="Wuzuquan C",13,IF(Atletas!K318="Wingchun C",14,IF(Atletas!K318="Outra Mão de Sul C",15,IF(Atletas!K318="Choylayfut D",16,IF(Atletas!K318="Hunggar D",17,IF(Atletas!K318="Wuzuquan D",18,IF(Atletas!K318="Wingchun D",19,IF(Atletas!K318="Outra Mão de Sul D",20,IF(Atletas!K318="Choylayfut E",21,IF(Atletas!K318="Hunggar E",22,IF(Atletas!K318="Wuzuquan E",23,IF(Atletas!K318="Wingchun E",24,IF(Atletas!K318="Outra Mão de Sul E",25,IF(Atletas!K318="Choylayfut F",26,IF(Atletas!K318="Hunggar F",27,IF(Atletas!K318="Wuzuquan F",28,IF(Atletas!K318="Wingchun F",29,IF(Atletas!K318="Outra Mão de Sul F",30,""))))))))))))))))))))))))))))))))</f>
        <v/>
      </c>
      <c r="BL322" s="52" t="str">
        <f>IF(Atletas!L318="","",IF(Atletas!W318&lt;&gt;"",10000,0)+(IF(Atletas!B318="Feminino",1000,IF(Atletas!B318="Masculino",2000,""))+(IF(Atletas!L318="Chaquan A",101,IF(Atletas!L318="Emeiquan A",102,IF(Atletas!L318="Fanziquan A",103,IF(Atletas!L318="Huaquan A",104,IF(Atletas!L318="Hongquan A",105,IF(Atletas!L318="Paochui A",106,IF(Atletas!L318="Piguaquan A",107,IF(Atletas!L318="Shaolinquan A",108,IF(Atletas!L318="Tanglangquan A",109,IF(Atletas!L318="Yinzhaophai A",110,IF(Atletas!L318="Tongbeiquan A",111,IF(Atletas!L318="Wudangquan A",112,IF(Atletas!L318="Outros Estilos A",113,IF(Atletas!L318="Chaquan B",114,IF(Atletas!L318="Emeiquan B",115,IF(Atletas!L318="Fanziquan B",116,IF(Atletas!L318="Huaquan B",117,IF(Atletas!L318="Hongquan B",118,IF(Atletas!L318="Paochui B",119,IF(Atletas!L318="Piguaquan B",120,IF(Atletas!L318="Shaolinquan B",121,IF(Atletas!L318="Tanglangquan B",122,IF(Atletas!L318="Yinzhaophai B",123,IF(Atletas!L318="Tongbeiquan B",124,IF(Atletas!L318="Wudangquan B",125,IF(Atletas!L318="Outros Estilos B",126,IF(Atletas!L318="Chaquan C",127,IF(Atletas!L318="Emeiquan C",128,IF(Atletas!L318="Fanziquan C",129,IF(Atletas!L318="Huaquan C",130,IF(Atletas!L318="Hongquan C",131,IF(Atletas!L318="Paochui C",132,IF(Atletas!L318="Piguaquan C",133,IF(Atletas!L318="Shaolinquan C",134,IF(Atletas!L318="Tanglangquan C",135,IF(Atletas!L318="Yinzhaophai C",136,IF(Atletas!L318="Tongbeiquan C",137,IF(Atletas!L318="Wudangquan C",138,IF(Atletas!L318="Outros Estilos C",139,0))))))))))))))))))))))))))))))))))))))))))</f>
        <v/>
      </c>
      <c r="BM322" s="52" t="str">
        <f>IF(Atletas!L318="","",IF(Atletas!W318&lt;&gt;"",10000,0)+(IF(Atletas!B318="Feminino",1000,IF(Atletas!B318="Masculino",2000,""))+(IF(Atletas!L318="Chaquan D",140,IF(Atletas!L318="Emeiquan D",141,IF(Atletas!L318="Fanziquan D",142,IF(Atletas!L318="Huaquan D",143,IF(Atletas!L318="Hongquan D",144,IF(Atletas!L318="Paochui D",145,IF(Atletas!L318="Piguaquan D",146,IF(Atletas!L318="Shaolinquan D",147,IF(Atletas!L318="Tanglangquan D",148,IF(Atletas!L318="Yinzhaophai D",149,IF(Atletas!L318="Tongbeiquan D",150,IF(Atletas!L318="Wudangquan D",151,IF(Atletas!L318="Outros Estilos D",152,IF(Atletas!L318="Chaquan E",153,IF(Atletas!L318="Emeiquan E",154,IF(Atletas!L318="Fanziquan E",155,IF(Atletas!L318="Huaquan E",156,IF(Atletas!L318="Hongquan E",157,IF(Atletas!L318="Paochui E",158,IF(Atletas!L318="Piguaquan E",159,IF(Atletas!L318="Shaolinquan E",160,IF(Atletas!L318="Tanglangquan E",161,IF(Atletas!L318="Yinzhaophai E",162,IF(Atletas!L318="Tongbeiquan E",163,IF(Atletas!L318="Wudangquan E",164,IF(Atletas!L318="Outros Estilos E",165,IF(Atletas!L318="Chaquan F",166,IF(Atletas!L318="Emeiquan F",167,IF(Atletas!L318="Fanziquan F",168,IF(Atletas!L318="Huaquan F",169,IF(Atletas!L318="Hongquan F",170,IF(Atletas!L318="Paochui F",171,IF(Atletas!L318="Piguaquan F",172,IF(Atletas!L318="Shaolinquan F",173,IF(Atletas!L318="Tanglangquan F",174,IF(Atletas!L318="Yinzhaophai F",175,IF(Atletas!L318="Tongbeiquan F",176,IF(Atletas!L318="Wudangquan F",177,IF(Atletas!L318="Outros Estilos F",178,0))))))))))))))))))))))))))))))))))))))))))</f>
        <v/>
      </c>
      <c r="BN322" s="52" t="str">
        <f>IF(Atletas!M318="","",IF(Atletas!W318&lt;&gt;"",10000,0)+(IF(Atletas!B318="Feminino",1000,IF(Atletas!B318="Masculino",2000,""))+(IF(Atletas!M318="Ditangquan A",201,IF(Atletas!M318="Houquan A",202,IF(Atletas!M318="Zuiquan A",203,IF(Atletas!M318="Ditangquan B",204,IF(Atletas!M318="Houquan B",205,IF(Atletas!M318="Zuiquan B",206,IF(Atletas!M318="Ditangquan C",207,IF(Atletas!M318="Houquan C",208,IF(Atletas!M318="Zuiquan C",209,IF(Atletas!M318="Ditangquan D",210,IF(Atletas!M318="Houquan D",211,IF(Atletas!M318="Zuiquan D",212,IF(Atletas!M318="Ditangquan E",213,IF(Atletas!M318="Houquan E",214,IF(Atletas!M318="Zuiquan E",215,IF(Atletas!M318="Ditangquan F",216,IF(Atletas!M318="Houquan F",217,IF(Atletas!M318="Zuiquan F",218,"")))))))))))))))))))))</f>
        <v/>
      </c>
      <c r="BO322" s="52" t="str">
        <f>IF(Atletas!N318="","",IF(Atletas!W318&lt;&gt;"",10000,0)+IF(Atletas!B318="Feminino",1000,IF(Atletas!B318="Masculino",2000,""))+IF(Atletas!N318="Yang A",301,IF(Atletas!N318="Chen A",30,IF(Atletas!N318="Sun A",303,IF(Atletas!N318="Wu A",304,IF(Atletas!N318="Wu-Hao A",305,IF(Atletas!N318="Outro Taijiquan A",306,IF(Atletas!N318="Yang B",307,IF(Atletas!N318="Chen B",308,IF(Atletas!N318="Sun B",309,IF(Atletas!N318="Wu B",310,IF(Atletas!N318="Wu-Hao B",311,IF(Atletas!N318="Outro Taijiquan B",312,IF(Atletas!N318="Yang C",313,IF(Atletas!N318="Chen C",314,IF(Atletas!N318="Sun C",315,IF(Atletas!N318="Wu C",316,IF(Atletas!N318="Wu-Hao C",317,IF(Atletas!N318="Outro Taijiquan C",318,IF(Atletas!N318="Yang D",319,IF(Atletas!N318="Chen D",320,IF(Atletas!N318="Sun D",321,IF(Atletas!N318="Wu D",322,IF(Atletas!N318="Wu-Hao D",323,IF(Atletas!N318="Outro Taijiquan D",324,IF(Atletas!N318="Yang E",325,IF(Atletas!N318="Chen E",326,IF(Atletas!N318="Sun E",327,IF(Atletas!N318="Wu E",328,IF(Atletas!N318="Wu-Hao E",329,IF(Atletas!N318="Outro Taijiquan E",330,IF(Atletas!N318="Yang F",331,IF(Atletas!N318="Chen F",332,IF(Atletas!N318="Sun F",333,IF(Atletas!N318="Wu F",334,IF(Atletas!N318="Wu-Hao F",335,IF(Atletas!N318="Outro Taijiquan F",336,"")))))))))))))))))))))))))))))))))))))</f>
        <v/>
      </c>
      <c r="BP322" s="52" t="str">
        <f>IF(Atletas!O318="","",IF(Atletas!W318&lt;&gt;"",10000,0)+IF(Atletas!B318="Feminino",1000,IF(Atletas!B318="Masculino",2000,""))+IF(OR(Atletas!O318="Yang 26 A",Atletas!O318="Yang 40 A"),401,IF(OR(Atletas!O318="Chen 25 A",Atletas!O318="Chen 36 A",Atletas!O318="Chen 56 A"),402,IF(Atletas!O318="Sun 73 A",403,IF(Atletas!O318="Wu 45 A",404,IF(Atletas!O318="Wu-Hao 46 A",405,IF(OR(Atletas!O318="Taijiquan 16 A",Atletas!O318="Taijiquan 24 A",Atletas!O318="Taijiquan 32 A",Atletas!O318="Taijiquan 42 A"),406,IF(OR(Atletas!O318="Yang 26 B",Atletas!O318="Yang 40 B"),407,IF(OR(Atletas!O318="Chen 25 B",Atletas!O318="Chen 36 B",Atletas!O318="Chen 56 B"),408,IF(Atletas!O318="Sun 73 B",409,IF(Atletas!O318="Wu 45 B",410,IF(Atletas!O318="Wu-Hao 46 B",411,IF(OR(Atletas!O318="Taijiquan 16 B",Atletas!O318="Taijiquan 24 B",Atletas!O318="Taijiquan 32 B",Atletas!O318="Taijiquan 42 B"),412,IF(OR(Atletas!O318="Yang 26 C",Atletas!O318="Yang 40 C"),413,IF(OR(Atletas!O318="Chen 25 C",Atletas!O318="Chen 36 C",Atletas!O318="Chen 56 C"),414,IF(Atletas!O318="Sun 73 C",415,IF(Atletas!O318="Wu 45 C",416,IF(Atletas!O318="Wu-Hao 46 C",417,IF(OR(Atletas!O318="Taijiquan 16 C",Atletas!O318="Taijiquan 24 C",Atletas!O318="Taijiquan 32 C",Atletas!O318="Taijiquan 42 C"),418,0)))))))))))))))))))</f>
        <v/>
      </c>
      <c r="BQ322" s="52" t="str">
        <f>IF(Atletas!O318="","",IF(Atletas!W318&lt;&gt;"",10000,0)+IF(Atletas!B318="Feminino",1000,IF(Atletas!B318="Masculino",2000,""))+IF(OR(Atletas!O318="Yang 26 D",Atletas!O318="Yang 40 D"),419,IF(OR(Atletas!O318="Chen 25 D",Atletas!O318="Chen 36 D",Atletas!O318="Chen 56 D"),420,IF(Atletas!O318="Sun 73 D",421,IF(Atletas!O318="Wu 45 D",422,IF(Atletas!O318="Wu-Hao 46 D",423,IF(OR(Atletas!O318="Taijiquan 16 D",Atletas!O318="Taijiquan 24 D",Atletas!O318="Taijiquan 32 D",Atletas!O318="Taijiquan 42 D"),424,IF(OR(Atletas!O318="Yang 26 E",Atletas!O318="Yang 40 E"),425,IF(OR(Atletas!O318="Chen 25 E",Atletas!O318="Chen 36 E",Atletas!O318="Chen 56 E"),426,IF(Atletas!O318="Sun 73 E",427,IF(Atletas!O318="Wu 45 E",428,IF(Atletas!O318="Wu-Hao 46 E",429,IF(OR(Atletas!O318="Taijiquan 16 E",Atletas!O318="Taijiquan 24 E",Atletas!O318="Taijiquan 32 E",Atletas!O318="Taijiquan 42 E"),430,IF(OR(Atletas!O318="Yang 26 F",Atletas!O318="Yang 40 F"),431,IF(OR(Atletas!O318="Chen 25 F",Atletas!O318="Chen 36 F",Atletas!O318="Chen 56 F"),432,IF(Atletas!O318="Sun 73 F",433,IF(Atletas!O318="Wu 45 F",434,IF(Atletas!O318="Wu-Hao 46 F",435,IF(OR(Atletas!O318="Taijiquan 16 F",Atletas!O318="Taijiquan 24 F",Atletas!O318="Taijiquan 32 F",Atletas!O318="Taijiquan 42 F"),436,0)))))))))))))))))))</f>
        <v/>
      </c>
      <c r="BR322" s="52" t="str">
        <f>IF(Atletas!P318="","",IF(Atletas!W318&lt;&gt;"",10000,0)+IF(Atletas!B318="Feminino",1000,IF(Atletas!B318="Masculino",2000,""))+IF(Atletas!P318="Xingyiquan A",501,IF(Atletas!P318="Baguazhang A",502,IF(Atletas!P318="Outro Estilo Interno A",503,IF(Atletas!P318="Xingyiquan B",504,IF(Atletas!P318="Baguazhang B",505,IF(Atletas!P318="Outro Estilo Interno B",506,IF(Atletas!P318="Xingyiquan C",507,IF(Atletas!P318="Baguazhang C",508,IF(Atletas!P318="Outro Estilo Interno C",509,IF(Atletas!P318="Xingyiquan D",510,IF(Atletas!P318="Baguazhang D",511,IF(Atletas!P318="Outro Estilo Interno D",512,IF(Atletas!P318="Xingyiquan E",513,IF(Atletas!P318="Baguazhang E",514,IF(Atletas!P318="Outro Estilo Interno E",515,IF(Atletas!P318="Xingyiquan F",516,IF(Atletas!P318="Baguazhang F",517,IF(Atletas!P318="Outro Estilo Interno F",518, "")))))))))))))))))))</f>
        <v/>
      </c>
      <c r="BS322" s="52" t="str">
        <f>IF(Atletas!Q318="","",IF(Atletas!W318&lt;&gt;"",10000,0)+IF(Atletas!B318="Feminino",1000,IF(Atletas!B318="Masculino",2000,""))+IF(Atletas!Q318="Dao A",601,IF(Atletas!Q318="Jian A",602,IF(Atletas!Q318="Bishou A",603,IF(Atletas!Q318="Shan A",604,IF(Atletas!Q318="Outra Arma Curta A",605,IF(Atletas!Q318="Dao B",606,IF(Atletas!Q318="Jian B",607,IF(Atletas!Q318="Bishou B",608,IF(Atletas!Q318="Shan B",609,IF(Atletas!Q318="Outra Arma Curta B",610,IF(Atletas!Q318="Dao C",611,IF(Atletas!Q318="Jian C",612,IF(Atletas!Q318="Bishou C",613,IF(Atletas!Q318="Shan C",614,IF(Atletas!Q318="Outra Arma Curta C",615,IF(Atletas!Q318="Dao D",616,IF(Atletas!Q318="Jian D",617,IF(Atletas!Q318="Bishou D",618,IF(Atletas!Q318="Shan D",619,IF(Atletas!Q318="Outra Arma Curta D",620,IF(Atletas!Q318="Dao E",621,IF(Atletas!Q318="Jian E",622,IF(Atletas!Q318="Bishou E",623,IF(Atletas!Q318="Shan E",624,IF(Atletas!Q318="Outra Arma Curta E",625,IF(Atletas!Q318="Dao F",626,IF(Atletas!Q318="Jian F",627,IF(Atletas!Q318="Bishou F",628,IF(Atletas!Q318="Shan F",629,IF(Atletas!Q318="Outra Arma Curta F",630, "")))))))))))))))))))))))))))))))</f>
        <v/>
      </c>
      <c r="BT322" s="52" t="str">
        <f>IF(Atletas!R318="","",IF(Atletas!W318&lt;&gt;"",10000,0)+IF(Atletas!B318="Feminino",1000,IF(Atletas!B318="Masculino",2000,""))+IF(Atletas!R318="Gun A",701,IF(Atletas!R318="Qiang A",702,IF(Atletas!R318="Pudao / Guandao A",703,IF(Atletas!R318="Outra Arma Longa A",704,IF(Atletas!R318="Gun B",705,IF(Atletas!R318="Qiang B",706,IF(Atletas!R318="Pudao / Guandao B",707,IF(Atletas!R318="Outra Arma Longa B",708,IF(Atletas!R318="Gun C",709,IF(Atletas!R318="Qiang C",710,IF(Atletas!R318="Pudao / Guandao C",711,IF(Atletas!R318="Outra Arma Longa C",712,IF(Atletas!R318="Gun D",713,IF(Atletas!R318="Qiang D",714,IF(Atletas!R318="Pudao / Guandao D",715,IF(Atletas!R318="Outra Arma Longa D",716,IF(Atletas!R318="Gun E",717,IF(Atletas!R318="Qiang E",718,IF(Atletas!R318="Pudao / Guandao E",719,IF(Atletas!R318="Outra Arma Longa E",720,IF(Atletas!R318="Gun F",721,IF(Atletas!R318="Qiang F",722,IF(Atletas!R318="Pudao / Guandao F",723,IF(Atletas!R318="Outra Arma Longa F",724,"")))))))))))))))))))))))))</f>
        <v/>
      </c>
      <c r="BU322" s="52" t="str">
        <f>IF(Atletas!S318="","",IF(Atletas!W318&lt;&gt;"",10000,0)+IF(Atletas!B318="Feminino",1000,IF(Atletas!B318="Masculino",2000,""))+IF(Atletas!S318="Arma Dupla A",801,IF(Atletas!S318="Arma Maleável A",802,IF(Atletas!S318="Arma Dupla B",803,IF(Atletas!S318="Arma Maleável B",804,IF(Atletas!S318="Arma Dupla C",805,IF(Atletas!S318="Arma Maleável C",806,IF(Atletas!S318="Arma Dupla D",807,IF(Atletas!S318="Arma Maleável D",808,IF(Atletas!S318="Arma Dupla E",809,IF(Atletas!S318="Arma Maleável E",810,IF(Atletas!S318="Arma Dupla F",811,IF(Atletas!S318="Arma Maleável F",812, "")))))))))))))</f>
        <v/>
      </c>
      <c r="BV322" s="52" t="str">
        <f>IF(Atletas!T318="","",IF(Atletas!W318&lt;&gt;"",10000,0)+IF(Atletas!B318="Feminino",1000,IF(Atletas!B318="Masculino",2000,""))+IF(Atletas!T318="Taijijian Yang A",901,IF(Atletas!T318="Taijijian Chen A",902,IF(Atletas!T318="Taijijian Sun A",903,IF(Atletas!T318="Taijijian Wu A",904,IF(Atletas!T318="Taijijian Wu-Hao A",905,IF(Atletas!T318="Taijijian 32 A",906,IF(Atletas!T318="Taijijian 42 A",907,IF(Atletas!T318="Taijijian Yang B",908,IF(Atletas!T318="Taijijian Chen B",909,IF(Atletas!T318="Taijijian Sun B",910,IF(Atletas!T318="Taijijian Wu B",911,IF(Atletas!T318="Taijijian Wu-Hao B",912,IF(Atletas!T318="Taijijian 32 B",913,IF(Atletas!T318="Taijijian 42 B",914,IF(Atletas!T318="Taijijian Yang C",915,IF(Atletas!T318="Taijijian Chen C",916,IF(Atletas!T318="Taijijian Sun C",917,IF(Atletas!T318="Taijijian Wu C",918,IF(Atletas!T318="Taijijian Wu-Hao C",919,IF(Atletas!T318="Taijijian 32 C",920,IF(Atletas!T318="Taijijian 42 C",921,IF(Atletas!T318="Taijijian Yang D",922,IF(Atletas!T318="Taijijian Chen D",923,IF(Atletas!T318="Taijijian Sun D",924,IF(Atletas!T318="Taijijian Wu D",925,IF(Atletas!T318="Taijijian Wu-Hao D",926,IF(Atletas!T318="Taijijian 32 D",927,IF(Atletas!T318="Taijijian 42 D",928,IF(Atletas!T318="Taijijian Yang E",929,IF(Atletas!T318="Taijijian Chen E",930,IF(Atletas!T318="Taijijian Sun E",931,IF(Atletas!T318="Taijijian Wu E",932,IF(Atletas!T318="Taijijian Wu-Hao E",933,IF(Atletas!T318="Taijijian 32 E",934,IF(Atletas!T318="Taijijian 42 E",935,IF(Atletas!T318="Taijijian Yang F",936,IF(Atletas!T318="Taijijian Chen F",937,IF(Atletas!T318="Taijijian Sun F",938,IF(Atletas!T318="Taijijian Wu F",939,IF(Atletas!T318="Taijijian Wu-Hao F",940,IF(Atletas!T318="Taijijian 32 F",941,IF(Atletas!T318="Taijijian 42 F",942,"")))))))))))))))))))))))))))))))))))))))))))</f>
        <v/>
      </c>
      <c r="BW322" s="52" t="str">
        <f>IF(Atletas!U318="","",IF(Atletas!W318&lt;&gt;"",10000,0)+IF(Atletas!B318="Feminino",1000,IF(Atletas!B318="Masculino",2000,""))+IF(Atletas!T318="Taijijian 42 F",942,IF(Atletas!U318="Taijidao A",943,IF(Atletas!U318="Taijishan A",944,IF(Atletas!U318="Taijiqiang A",945,IF(Atletas!U318="Taijidao B",946,IF(Atletas!U318="Taijishan B",947,IF(Atletas!U318="Taijiqiang B",948,IF(Atletas!U318="Taijidao C",949,IF(Atletas!U318="Taijishan C",950,IF(Atletas!U318="Taijiqiang C",951,IF(Atletas!U318="Taijidao D",952,IF(Atletas!U318="Taijishan D",953,IF(Atletas!U318="Taijiqiang D",954,IF(Atletas!U318="Taijidao E",955,IF(Atletas!U318="Taijishan E",956,IF(Atletas!U318="Taijiqiang E",957,IF(Atletas!U318="Taijidao F",958,IF(Atletas!U318="Taijishan F",959,IF(Atletas!U318="Taijiqiang F",960))))))))))))))))))))</f>
        <v/>
      </c>
      <c r="BX322" s="72" t="str">
        <f>IF(BY322&lt;&gt;"","Taijijian Wu F","")</f>
        <v/>
      </c>
      <c r="BY322" s="72" t="str">
        <f>IF(COUNTIF(BK:BW,1939)&gt;0,COUNTIF(BK:BW,1939),"")</f>
        <v/>
      </c>
      <c r="BZ322" s="72" t="str">
        <f>IF(CA322&lt;&gt;"","Taijijian Wu F","")</f>
        <v/>
      </c>
      <c r="CA322" s="72" t="str">
        <f>IF(COUNTIF(BK:BW,2939)&gt;0,COUNTIF(BK:BW,2939),"")</f>
        <v/>
      </c>
      <c r="CB322" s="72" t="str">
        <f>IF(CC322&lt;&gt;"","Qiang C","")</f>
        <v/>
      </c>
      <c r="CC322" s="64" t="str">
        <f>IF(COUNTIF(BK:BW,11710)&gt;0,COUNTIF(BK:BW,11710),"")</f>
        <v/>
      </c>
      <c r="CD322" s="64" t="str">
        <f>IF(CE322&lt;&gt;"","Qiang C","")</f>
        <v/>
      </c>
      <c r="CE322" s="64" t="str">
        <f>IF(COUNTIF(BK:BW,12710)&gt;0,COUNTIF(BK:BW,12710),"")</f>
        <v/>
      </c>
      <c r="CF322" s="52" t="str">
        <f xml:space="preserve"> IF(Atletas!V318="","",IF(Atletas!V318="Duilian de Mãos AB - Equipe 1",1,IF(Atletas!V318="Duilian de Mãos AB - Equipe 2",2,IF(Atletas!V318="Duilian de Armas AB - Equipe 1",3,IF(Atletas!V318="Duilian de Armas AB - Equipe 2",4,IF(Atletas!V318="Duilian de Tuishou - Equipe 1",5,IF(Atletas!V318="Duilian de Tuishou - Equipe 2",6,IF(Atletas!V318="Grupo Externo AB - Equipe 1",7,IF(Atletas!V318="Grupo Externo AB - Equipe 2",8,IF(Atletas!V318="Grupo Interno AB - Equipe 1",9,IF(Atletas!V318="Grupo Interno AB - Equipe 2",10,IF(Atletas!V318="Duilian de Mãos CD - Equipe 1",11,IF(Atletas!V318="Duilian de Mãos CD - Equipe 2",12,IF(Atletas!V318="Duilian de Armas CD - Equipe 1",13,IF(Atletas!V318="Duilian de Armas CD - Equipe 2",14,IF(Atletas!V318="Duilian de Tuishou - Equipe 1",15,IF(Atletas!V318="Duilian de Tuishou - Equipe 2",16,IF(Atletas!V318="Grupo Externo CDEF - Equipe 1",17,IF(Atletas!V318="Grupo Externo CDEF - Equipe 2",18,IF(Atletas!V318="Grupo Interno CDEF - Equipe 1",19,IF(Atletas!V318="Grupo Interno CDEF - Equipe 2",20,IF(Atletas!V318="Duilian de Mãos EF - Equipe 1",21,IF(Atletas!V318="Duilian de Mãos EF - Equipe 2",22,IF(Atletas!V318="Duilian de Armas EF - Equipe 1",23,IF(Atletas!V318="Duilian de Armas EF - Equipe 2",24,IF(Atletas!V318="Duilian de Tuishou - Equipe 1",25,IF(Atletas!V318="Duilian de Tuishou - Equipe 2",26,"")))))))))))))))))))))))))))</f>
        <v/>
      </c>
    </row>
    <row r="323" spans="36:84">
      <c r="AJ323" s="46" t="str">
        <f>IF(Atletas!D319="","",IF(Atletas!B319="Feminino",100,IF(Atletas!B319="Masculino",200,""))+(IF(Atletas!D319="Infantil 39kg",1,IF(Atletas!D319="Infantil 42kg",2,IF(Atletas!D319="Infantil 45kg",3,IF(Atletas!D319="Infantil 48kg",4,IF(Atletas!D319="Infantil 52kg",5,IF(Atletas!D319="Infantil 56kg",6,IF(Atletas!D319="Infantil 60kg",7,IF(Atletas!D319="Juvenil 48kg",8,IF(Atletas!D319="Juvenil 52kg",9,IF(Atletas!D319="Juvenil 56kg",10,IF(Atletas!D319="Juvenil 60kg",11,IF(Atletas!D319="Juvenil 65kg",12,IF(Atletas!D319="Juvenil 70kg",13,IF(Atletas!D319="Juvenil 75kg",14,IF(Atletas!D319="Juvenil 80kg",15,IF(Atletas!D319="Adulto 48kg",16,IF(Atletas!D319="Adulto 52kg",17,IF(Atletas!D319="Adulto 56kg",18,IF(Atletas!D319="Adulto 60kg",19,IF(Atletas!D319="Adulto 65kg",20,IF(Atletas!D319="Adulto 70kg",21,IF(Atletas!D319="Adulto 75kg",22,IF(Atletas!D319="Adulto 80kg",23,IF(Atletas!D319="Adulto 85kg",24,IF(Atletas!D319="Adulto 90kg",25,IF(Atletas!D319="Adulto +90kg",26,""))))))))))))))))))))))))))))</f>
        <v/>
      </c>
      <c r="AO323" s="10" t="str">
        <f>IF(Atletas!E319="","",IF(Atletas!B319="Feminino",100,IF(Atletas!B319="Masculino",200,""))+(IF(Atletas!E319="Juvenil 44kg",1,IF(Atletas!E319="Juvenil 48kg",2,IF(Atletas!E319="Juvenil 52kg",3,IF(Atletas!E319="Juvenil 56kg",4,IF(Atletas!E319="Juvenil 60kg",5,IF(Atletas!E319="Juvenil 65kg",6,IF(Atletas!E319="Juvenil 70kg",7,IF(Atletas!E319="Juvenil 75kg",8,IF(Atletas!E319="Juvenil 82kg",9,IF(Atletas!E319="Juvenil 90kg",10,IF(Atletas!E319="Juvenil 100kg",11,IF(Atletas!E319="Adulto 48kg",12,IF(Atletas!E319="Adulto 52kg",13,IF(Atletas!E319="Adulto 56kg",14,IF(Atletas!E319="Adulto 60kg",15,IF(Atletas!E319="Adulto 65kg",16,IF(Atletas!E319="Adulto 70kg",17,IF(Atletas!E319="Adulto 75kg",18,IF(Atletas!E319="Adulto 82kg",19,IF(Atletas!E319="Adulto 90kg",20,IF(Atletas!E319="Adulto 100kg",21,IF(Atletas!E319="Adulto +100kg",22,""))))))))))))))))))))))))</f>
        <v/>
      </c>
      <c r="AT323" s="10" t="str">
        <f>IF(Atletas!F319="","",IF(Atletas!B319="Feminino",100,IF(Atletas!B319="Masculino",200,""))+(IF(Atletas!F319="Adulto 48kg",1,IF(Atletas!F319="Adulto 56kg",2,IF(Atletas!F319="Adulto 65kg",3,IF(Atletas!F319="Adulto 75kg",4,IF(Atletas!F319="Adulto +75kg",5,IF(Atletas!F319="Adulto 52kg",6,IF(Atletas!F319="Adulto 60kg",7,IF(Atletas!F319="Adulto 70kg",8,IF(Atletas!F319="Adulto 80kg",9,IF(Atletas!F319="Adulto 90kg",10,IF(Atletas!F319="Adulto +90kg",11,"")))))))))))))</f>
        <v/>
      </c>
      <c r="AY323" s="46" t="str">
        <f>IF(Atletas!G319="","",IF(Atletas!B319="Feminino",100,IF(Atletas!B319="Masculino",200,""))+(IF(Atletas!G319="Changquan Mirim",1,IF(Atletas!G319="Nanquan Mirim",2,IF(Atletas!G319="Taijiquan Mirim",3,IF(Atletas!G319="Changquan Grupo C",4,IF(Atletas!G319="Nanquan Grupo C",5,IF(Atletas!G319="Taijiquan Grupo C",6,IF(Atletas!G319="Changquan Grupo B",7,IF(Atletas!G319="Nanquan Grupo B",8,IF(Atletas!G319="Taijiquan Grupo B",9,IF(Atletas!G319="Changquan Grupo A",10,IF(Atletas!G319="Nanquan Grupo A",11,IF(Atletas!G319="Taijiquan Grupo A",12,IF(Atletas!G319="Changquan Opcional",13,IF(Atletas!G319="Nanquan Opcional",14,IF(Atletas!G319="Taijiquan Opcional",15,IF(Atletas!G319="Changquan Adulto",16,IF(Atletas!G319="Nanquan Adulto",17,IF(Atletas!G319="Taijiquan Adulto",18,""))))))))))))))))))))</f>
        <v/>
      </c>
      <c r="AZ323" s="46" t="str">
        <f>IF(Atletas!H319="","",IF(Atletas!B319="Feminino",100,IF(Atletas!B319="Masculino",200,""))+(IF(Atletas!H319="Daoshu Mirim",19,IF(Atletas!H319="Jianshu Mirim",20,IF(Atletas!H319="Nandao Mirim",21,IF(Atletas!H319="Taijijian Mirim",22,IF(Atletas!H319="Daoshu Grupo C",23,IF(Atletas!H319="Jianshu Grupo C",24,IF(Atletas!H319="Nandao Grupo C",25,IF(Atletas!H319="Taijijian Grupo C",26,IF(Atletas!H319="Daoshu Grupo B",27,IF(Atletas!H319="Jianshu Grupo B",28,IF(Atletas!H319="Nandao Grupo B",29,IF(Atletas!H319="Taijijian Grupo B",30,IF(Atletas!H319="Daoshu Grupo A",31,IF(Atletas!H319="Jianshu Grupo A",32,IF(Atletas!H319="Nandao Grupo A",33,IF(Atletas!H319="Taijijian Grupo A",34,IF(Atletas!H319="Daoshu Opcional",35,IF(Atletas!H319="Jianshu Opcional",36,IF(Atletas!H319="Nandao Opcional",37,IF(Atletas!H319="Taijijian Opcional",38,IF(Atletas!H319="Daoshu Adulto",39,IF(Atletas!H319="Jianshu Adulto",40,IF(Atletas!H319="Nandao Adulto",41,IF(Atletas!H319="Taijijian Adulto",42,""))))))))))))))))))))))))))</f>
        <v/>
      </c>
      <c r="BA323" s="46" t="str">
        <f>IF(Atletas!I319="","",IF(Atletas!B319="Feminino",100,IF(Atletas!B319="Masculino",200,""))+(IF(Atletas!I319="Gunshu Mirim",43,IF(Atletas!I319="Qiangshu Mirim",44,IF(Atletas!I319="Nangun Mirim",45,IF(Atletas!I319="Gunshu Grupo C",46,IF(Atletas!I319="Qiangshu Grupo C",47,IF(Atletas!I319="Nangun Grupo C",48,IF(Atletas!I319="Gunshu Grupo B",49,IF(Atletas!I319="Qiangshu Grupo B",50,IF(Atletas!I319="Nangun Grupo B",51,IF(Atletas!I319="Gunshu Grupo A",52,IF(Atletas!I319="Qiangshu Grupo A",53,IF(Atletas!I319="Nangun Grupo A",54,IF(Atletas!I319="Gunshu Opcional",55,IF(Atletas!I319="Qiangshu Opcional",56,IF(Atletas!I319="Nangun Opcional",57,IF(Atletas!I319="Gunshu Adulto",58,IF(Atletas!I319="Qiangshu Adulto",59,IF(Atletas!I319="Nangun Adulto",60,""))))))))))))))))))))</f>
        <v/>
      </c>
      <c r="BF323" s="52" t="str">
        <f>IF(Atletas!J319="","",IF(Atletas!B319="Feminino",100,IF(Atletas!B319="Masculino",200,""))+(IF(Atletas!J319="Equipe 1 Grupo B",1,IF(Atletas!J319="Equipe 2 Grupo B",2,IF(Atletas!J319="Equipe 1 Grupo A",3,IF(Atletas!J319="Equipe 2 Grupo A",4,IF(Atletas!J319="Equipe 1 Adulto",5,IF(Atletas!J319="Equipe 2 Adulto",6,""))))))))</f>
        <v/>
      </c>
      <c r="BK323" s="52" t="str">
        <f>IF(Atletas!K319="","",IF(Atletas!W319&lt;&gt;"",10000,0)+(IF(Atletas!B319="Feminino",1000,IF(Atletas!B319="Masculino",2000,""))+IF(Atletas!K319="Choylayfut A",1,IF(Atletas!K319="Hunggar A",2,IF(Atletas!K319="Wuzuquan A",3,IF(Atletas!K319="Wingchun A",4,IF(Atletas!K319="Outra Mão de Sul A",5,IF(Atletas!K319="Choylayfut B",6,IF(Atletas!K319="Hunggar B",7,IF(Atletas!K319="Wuzuquan B",8,IF(Atletas!K319="Wingchun B",9,IF(Atletas!K319="Outra Mão de Sul B",10,IF(Atletas!K319="Choylayfut C",11,IF(Atletas!K319="Hunggar C",12,IF(Atletas!K319="Wuzuquan C",13,IF(Atletas!K319="Wingchun C",14,IF(Atletas!K319="Outra Mão de Sul C",15,IF(Atletas!K319="Choylayfut D",16,IF(Atletas!K319="Hunggar D",17,IF(Atletas!K319="Wuzuquan D",18,IF(Atletas!K319="Wingchun D",19,IF(Atletas!K319="Outra Mão de Sul D",20,IF(Atletas!K319="Choylayfut E",21,IF(Atletas!K319="Hunggar E",22,IF(Atletas!K319="Wuzuquan E",23,IF(Atletas!K319="Wingchun E",24,IF(Atletas!K319="Outra Mão de Sul E",25,IF(Atletas!K319="Choylayfut F",26,IF(Atletas!K319="Hunggar F",27,IF(Atletas!K319="Wuzuquan F",28,IF(Atletas!K319="Wingchun F",29,IF(Atletas!K319="Outra Mão de Sul F",30,""))))))))))))))))))))))))))))))))</f>
        <v/>
      </c>
      <c r="BL323" s="52" t="str">
        <f>IF(Atletas!L319="","",IF(Atletas!W319&lt;&gt;"",10000,0)+(IF(Atletas!B319="Feminino",1000,IF(Atletas!B319="Masculino",2000,""))+(IF(Atletas!L319="Chaquan A",101,IF(Atletas!L319="Emeiquan A",102,IF(Atletas!L319="Fanziquan A",103,IF(Atletas!L319="Huaquan A",104,IF(Atletas!L319="Hongquan A",105,IF(Atletas!L319="Paochui A",106,IF(Atletas!L319="Piguaquan A",107,IF(Atletas!L319="Shaolinquan A",108,IF(Atletas!L319="Tanglangquan A",109,IF(Atletas!L319="Yinzhaophai A",110,IF(Atletas!L319="Tongbeiquan A",111,IF(Atletas!L319="Wudangquan A",112,IF(Atletas!L319="Outros Estilos A",113,IF(Atletas!L319="Chaquan B",114,IF(Atletas!L319="Emeiquan B",115,IF(Atletas!L319="Fanziquan B",116,IF(Atletas!L319="Huaquan B",117,IF(Atletas!L319="Hongquan B",118,IF(Atletas!L319="Paochui B",119,IF(Atletas!L319="Piguaquan B",120,IF(Atletas!L319="Shaolinquan B",121,IF(Atletas!L319="Tanglangquan B",122,IF(Atletas!L319="Yinzhaophai B",123,IF(Atletas!L319="Tongbeiquan B",124,IF(Atletas!L319="Wudangquan B",125,IF(Atletas!L319="Outros Estilos B",126,IF(Atletas!L319="Chaquan C",127,IF(Atletas!L319="Emeiquan C",128,IF(Atletas!L319="Fanziquan C",129,IF(Atletas!L319="Huaquan C",130,IF(Atletas!L319="Hongquan C",131,IF(Atletas!L319="Paochui C",132,IF(Atletas!L319="Piguaquan C",133,IF(Atletas!L319="Shaolinquan C",134,IF(Atletas!L319="Tanglangquan C",135,IF(Atletas!L319="Yinzhaophai C",136,IF(Atletas!L319="Tongbeiquan C",137,IF(Atletas!L319="Wudangquan C",138,IF(Atletas!L319="Outros Estilos C",139,0))))))))))))))))))))))))))))))))))))))))))</f>
        <v/>
      </c>
      <c r="BM323" s="52" t="str">
        <f>IF(Atletas!L319="","",IF(Atletas!W319&lt;&gt;"",10000,0)+(IF(Atletas!B319="Feminino",1000,IF(Atletas!B319="Masculino",2000,""))+(IF(Atletas!L319="Chaquan D",140,IF(Atletas!L319="Emeiquan D",141,IF(Atletas!L319="Fanziquan D",142,IF(Atletas!L319="Huaquan D",143,IF(Atletas!L319="Hongquan D",144,IF(Atletas!L319="Paochui D",145,IF(Atletas!L319="Piguaquan D",146,IF(Atletas!L319="Shaolinquan D",147,IF(Atletas!L319="Tanglangquan D",148,IF(Atletas!L319="Yinzhaophai D",149,IF(Atletas!L319="Tongbeiquan D",150,IF(Atletas!L319="Wudangquan D",151,IF(Atletas!L319="Outros Estilos D",152,IF(Atletas!L319="Chaquan E",153,IF(Atletas!L319="Emeiquan E",154,IF(Atletas!L319="Fanziquan E",155,IF(Atletas!L319="Huaquan E",156,IF(Atletas!L319="Hongquan E",157,IF(Atletas!L319="Paochui E",158,IF(Atletas!L319="Piguaquan E",159,IF(Atletas!L319="Shaolinquan E",160,IF(Atletas!L319="Tanglangquan E",161,IF(Atletas!L319="Yinzhaophai E",162,IF(Atletas!L319="Tongbeiquan E",163,IF(Atletas!L319="Wudangquan E",164,IF(Atletas!L319="Outros Estilos E",165,IF(Atletas!L319="Chaquan F",166,IF(Atletas!L319="Emeiquan F",167,IF(Atletas!L319="Fanziquan F",168,IF(Atletas!L319="Huaquan F",169,IF(Atletas!L319="Hongquan F",170,IF(Atletas!L319="Paochui F",171,IF(Atletas!L319="Piguaquan F",172,IF(Atletas!L319="Shaolinquan F",173,IF(Atletas!L319="Tanglangquan F",174,IF(Atletas!L319="Yinzhaophai F",175,IF(Atletas!L319="Tongbeiquan F",176,IF(Atletas!L319="Wudangquan F",177,IF(Atletas!L319="Outros Estilos F",178,0))))))))))))))))))))))))))))))))))))))))))</f>
        <v/>
      </c>
      <c r="BN323" s="52" t="str">
        <f>IF(Atletas!M319="","",IF(Atletas!W319&lt;&gt;"",10000,0)+(IF(Atletas!B319="Feminino",1000,IF(Atletas!B319="Masculino",2000,""))+(IF(Atletas!M319="Ditangquan A",201,IF(Atletas!M319="Houquan A",202,IF(Atletas!M319="Zuiquan A",203,IF(Atletas!M319="Ditangquan B",204,IF(Atletas!M319="Houquan B",205,IF(Atletas!M319="Zuiquan B",206,IF(Atletas!M319="Ditangquan C",207,IF(Atletas!M319="Houquan C",208,IF(Atletas!M319="Zuiquan C",209,IF(Atletas!M319="Ditangquan D",210,IF(Atletas!M319="Houquan D",211,IF(Atletas!M319="Zuiquan D",212,IF(Atletas!M319="Ditangquan E",213,IF(Atletas!M319="Houquan E",214,IF(Atletas!M319="Zuiquan E",215,IF(Atletas!M319="Ditangquan F",216,IF(Atletas!M319="Houquan F",217,IF(Atletas!M319="Zuiquan F",218,"")))))))))))))))))))))</f>
        <v/>
      </c>
      <c r="BO323" s="52" t="str">
        <f>IF(Atletas!N319="","",IF(Atletas!W319&lt;&gt;"",10000,0)+IF(Atletas!B319="Feminino",1000,IF(Atletas!B319="Masculino",2000,""))+IF(Atletas!N319="Yang A",301,IF(Atletas!N319="Chen A",30,IF(Atletas!N319="Sun A",303,IF(Atletas!N319="Wu A",304,IF(Atletas!N319="Wu-Hao A",305,IF(Atletas!N319="Outro Taijiquan A",306,IF(Atletas!N319="Yang B",307,IF(Atletas!N319="Chen B",308,IF(Atletas!N319="Sun B",309,IF(Atletas!N319="Wu B",310,IF(Atletas!N319="Wu-Hao B",311,IF(Atletas!N319="Outro Taijiquan B",312,IF(Atletas!N319="Yang C",313,IF(Atletas!N319="Chen C",314,IF(Atletas!N319="Sun C",315,IF(Atletas!N319="Wu C",316,IF(Atletas!N319="Wu-Hao C",317,IF(Atletas!N319="Outro Taijiquan C",318,IF(Atletas!N319="Yang D",319,IF(Atletas!N319="Chen D",320,IF(Atletas!N319="Sun D",321,IF(Atletas!N319="Wu D",322,IF(Atletas!N319="Wu-Hao D",323,IF(Atletas!N319="Outro Taijiquan D",324,IF(Atletas!N319="Yang E",325,IF(Atletas!N319="Chen E",326,IF(Atletas!N319="Sun E",327,IF(Atletas!N319="Wu E",328,IF(Atletas!N319="Wu-Hao E",329,IF(Atletas!N319="Outro Taijiquan E",330,IF(Atletas!N319="Yang F",331,IF(Atletas!N319="Chen F",332,IF(Atletas!N319="Sun F",333,IF(Atletas!N319="Wu F",334,IF(Atletas!N319="Wu-Hao F",335,IF(Atletas!N319="Outro Taijiquan F",336,"")))))))))))))))))))))))))))))))))))))</f>
        <v/>
      </c>
      <c r="BP323" s="52" t="str">
        <f>IF(Atletas!O319="","",IF(Atletas!W319&lt;&gt;"",10000,0)+IF(Atletas!B319="Feminino",1000,IF(Atletas!B319="Masculino",2000,""))+IF(OR(Atletas!O319="Yang 26 A",Atletas!O319="Yang 40 A"),401,IF(OR(Atletas!O319="Chen 25 A",Atletas!O319="Chen 36 A",Atletas!O319="Chen 56 A"),402,IF(Atletas!O319="Sun 73 A",403,IF(Atletas!O319="Wu 45 A",404,IF(Atletas!O319="Wu-Hao 46 A",405,IF(OR(Atletas!O319="Taijiquan 16 A",Atletas!O319="Taijiquan 24 A",Atletas!O319="Taijiquan 32 A",Atletas!O319="Taijiquan 42 A"),406,IF(OR(Atletas!O319="Yang 26 B",Atletas!O319="Yang 40 B"),407,IF(OR(Atletas!O319="Chen 25 B",Atletas!O319="Chen 36 B",Atletas!O319="Chen 56 B"),408,IF(Atletas!O319="Sun 73 B",409,IF(Atletas!O319="Wu 45 B",410,IF(Atletas!O319="Wu-Hao 46 B",411,IF(OR(Atletas!O319="Taijiquan 16 B",Atletas!O319="Taijiquan 24 B",Atletas!O319="Taijiquan 32 B",Atletas!O319="Taijiquan 42 B"),412,IF(OR(Atletas!O319="Yang 26 C",Atletas!O319="Yang 40 C"),413,IF(OR(Atletas!O319="Chen 25 C",Atletas!O319="Chen 36 C",Atletas!O319="Chen 56 C"),414,IF(Atletas!O319="Sun 73 C",415,IF(Atletas!O319="Wu 45 C",416,IF(Atletas!O319="Wu-Hao 46 C",417,IF(OR(Atletas!O319="Taijiquan 16 C",Atletas!O319="Taijiquan 24 C",Atletas!O319="Taijiquan 32 C",Atletas!O319="Taijiquan 42 C"),418,0)))))))))))))))))))</f>
        <v/>
      </c>
      <c r="BQ323" s="52" t="str">
        <f>IF(Atletas!O319="","",IF(Atletas!W319&lt;&gt;"",10000,0)+IF(Atletas!B319="Feminino",1000,IF(Atletas!B319="Masculino",2000,""))+IF(OR(Atletas!O319="Yang 26 D",Atletas!O319="Yang 40 D"),419,IF(OR(Atletas!O319="Chen 25 D",Atletas!O319="Chen 36 D",Atletas!O319="Chen 56 D"),420,IF(Atletas!O319="Sun 73 D",421,IF(Atletas!O319="Wu 45 D",422,IF(Atletas!O319="Wu-Hao 46 D",423,IF(OR(Atletas!O319="Taijiquan 16 D",Atletas!O319="Taijiquan 24 D",Atletas!O319="Taijiquan 32 D",Atletas!O319="Taijiquan 42 D"),424,IF(OR(Atletas!O319="Yang 26 E",Atletas!O319="Yang 40 E"),425,IF(OR(Atletas!O319="Chen 25 E",Atletas!O319="Chen 36 E",Atletas!O319="Chen 56 E"),426,IF(Atletas!O319="Sun 73 E",427,IF(Atletas!O319="Wu 45 E",428,IF(Atletas!O319="Wu-Hao 46 E",429,IF(OR(Atletas!O319="Taijiquan 16 E",Atletas!O319="Taijiquan 24 E",Atletas!O319="Taijiquan 32 E",Atletas!O319="Taijiquan 42 E"),430,IF(OR(Atletas!O319="Yang 26 F",Atletas!O319="Yang 40 F"),431,IF(OR(Atletas!O319="Chen 25 F",Atletas!O319="Chen 36 F",Atletas!O319="Chen 56 F"),432,IF(Atletas!O319="Sun 73 F",433,IF(Atletas!O319="Wu 45 F",434,IF(Atletas!O319="Wu-Hao 46 F",435,IF(OR(Atletas!O319="Taijiquan 16 F",Atletas!O319="Taijiquan 24 F",Atletas!O319="Taijiquan 32 F",Atletas!O319="Taijiquan 42 F"),436,0)))))))))))))))))))</f>
        <v/>
      </c>
      <c r="BR323" s="52" t="str">
        <f>IF(Atletas!P319="","",IF(Atletas!W319&lt;&gt;"",10000,0)+IF(Atletas!B319="Feminino",1000,IF(Atletas!B319="Masculino",2000,""))+IF(Atletas!P319="Xingyiquan A",501,IF(Atletas!P319="Baguazhang A",502,IF(Atletas!P319="Outro Estilo Interno A",503,IF(Atletas!P319="Xingyiquan B",504,IF(Atletas!P319="Baguazhang B",505,IF(Atletas!P319="Outro Estilo Interno B",506,IF(Atletas!P319="Xingyiquan C",507,IF(Atletas!P319="Baguazhang C",508,IF(Atletas!P319="Outro Estilo Interno C",509,IF(Atletas!P319="Xingyiquan D",510,IF(Atletas!P319="Baguazhang D",511,IF(Atletas!P319="Outro Estilo Interno D",512,IF(Atletas!P319="Xingyiquan E",513,IF(Atletas!P319="Baguazhang E",514,IF(Atletas!P319="Outro Estilo Interno E",515,IF(Atletas!P319="Xingyiquan F",516,IF(Atletas!P319="Baguazhang F",517,IF(Atletas!P319="Outro Estilo Interno F",518, "")))))))))))))))))))</f>
        <v/>
      </c>
      <c r="BS323" s="52" t="str">
        <f>IF(Atletas!Q319="","",IF(Atletas!W319&lt;&gt;"",10000,0)+IF(Atletas!B319="Feminino",1000,IF(Atletas!B319="Masculino",2000,""))+IF(Atletas!Q319="Dao A",601,IF(Atletas!Q319="Jian A",602,IF(Atletas!Q319="Bishou A",603,IF(Atletas!Q319="Shan A",604,IF(Atletas!Q319="Outra Arma Curta A",605,IF(Atletas!Q319="Dao B",606,IF(Atletas!Q319="Jian B",607,IF(Atletas!Q319="Bishou B",608,IF(Atletas!Q319="Shan B",609,IF(Atletas!Q319="Outra Arma Curta B",610,IF(Atletas!Q319="Dao C",611,IF(Atletas!Q319="Jian C",612,IF(Atletas!Q319="Bishou C",613,IF(Atletas!Q319="Shan C",614,IF(Atletas!Q319="Outra Arma Curta C",615,IF(Atletas!Q319="Dao D",616,IF(Atletas!Q319="Jian D",617,IF(Atletas!Q319="Bishou D",618,IF(Atletas!Q319="Shan D",619,IF(Atletas!Q319="Outra Arma Curta D",620,IF(Atletas!Q319="Dao E",621,IF(Atletas!Q319="Jian E",622,IF(Atletas!Q319="Bishou E",623,IF(Atletas!Q319="Shan E",624,IF(Atletas!Q319="Outra Arma Curta E",625,IF(Atletas!Q319="Dao F",626,IF(Atletas!Q319="Jian F",627,IF(Atletas!Q319="Bishou F",628,IF(Atletas!Q319="Shan F",629,IF(Atletas!Q319="Outra Arma Curta F",630, "")))))))))))))))))))))))))))))))</f>
        <v/>
      </c>
      <c r="BT323" s="52" t="str">
        <f>IF(Atletas!R319="","",IF(Atletas!W319&lt;&gt;"",10000,0)+IF(Atletas!B319="Feminino",1000,IF(Atletas!B319="Masculino",2000,""))+IF(Atletas!R319="Gun A",701,IF(Atletas!R319="Qiang A",702,IF(Atletas!R319="Pudao / Guandao A",703,IF(Atletas!R319="Outra Arma Longa A",704,IF(Atletas!R319="Gun B",705,IF(Atletas!R319="Qiang B",706,IF(Atletas!R319="Pudao / Guandao B",707,IF(Atletas!R319="Outra Arma Longa B",708,IF(Atletas!R319="Gun C",709,IF(Atletas!R319="Qiang C",710,IF(Atletas!R319="Pudao / Guandao C",711,IF(Atletas!R319="Outra Arma Longa C",712,IF(Atletas!R319="Gun D",713,IF(Atletas!R319="Qiang D",714,IF(Atletas!R319="Pudao / Guandao D",715,IF(Atletas!R319="Outra Arma Longa D",716,IF(Atletas!R319="Gun E",717,IF(Atletas!R319="Qiang E",718,IF(Atletas!R319="Pudao / Guandao E",719,IF(Atletas!R319="Outra Arma Longa E",720,IF(Atletas!R319="Gun F",721,IF(Atletas!R319="Qiang F",722,IF(Atletas!R319="Pudao / Guandao F",723,IF(Atletas!R319="Outra Arma Longa F",724,"")))))))))))))))))))))))))</f>
        <v/>
      </c>
      <c r="BU323" s="52" t="str">
        <f>IF(Atletas!S319="","",IF(Atletas!W319&lt;&gt;"",10000,0)+IF(Atletas!B319="Feminino",1000,IF(Atletas!B319="Masculino",2000,""))+IF(Atletas!S319="Arma Dupla A",801,IF(Atletas!S319="Arma Maleável A",802,IF(Atletas!S319="Arma Dupla B",803,IF(Atletas!S319="Arma Maleável B",804,IF(Atletas!S319="Arma Dupla C",805,IF(Atletas!S319="Arma Maleável C",806,IF(Atletas!S319="Arma Dupla D",807,IF(Atletas!S319="Arma Maleável D",808,IF(Atletas!S319="Arma Dupla E",809,IF(Atletas!S319="Arma Maleável E",810,IF(Atletas!S319="Arma Dupla F",811,IF(Atletas!S319="Arma Maleável F",812, "")))))))))))))</f>
        <v/>
      </c>
      <c r="BV323" s="52" t="str">
        <f>IF(Atletas!T319="","",IF(Atletas!W319&lt;&gt;"",10000,0)+IF(Atletas!B319="Feminino",1000,IF(Atletas!B319="Masculino",2000,""))+IF(Atletas!T319="Taijijian Yang A",901,IF(Atletas!T319="Taijijian Chen A",902,IF(Atletas!T319="Taijijian Sun A",903,IF(Atletas!T319="Taijijian Wu A",904,IF(Atletas!T319="Taijijian Wu-Hao A",905,IF(Atletas!T319="Taijijian 32 A",906,IF(Atletas!T319="Taijijian 42 A",907,IF(Atletas!T319="Taijijian Yang B",908,IF(Atletas!T319="Taijijian Chen B",909,IF(Atletas!T319="Taijijian Sun B",910,IF(Atletas!T319="Taijijian Wu B",911,IF(Atletas!T319="Taijijian Wu-Hao B",912,IF(Atletas!T319="Taijijian 32 B",913,IF(Atletas!T319="Taijijian 42 B",914,IF(Atletas!T319="Taijijian Yang C",915,IF(Atletas!T319="Taijijian Chen C",916,IF(Atletas!T319="Taijijian Sun C",917,IF(Atletas!T319="Taijijian Wu C",918,IF(Atletas!T319="Taijijian Wu-Hao C",919,IF(Atletas!T319="Taijijian 32 C",920,IF(Atletas!T319="Taijijian 42 C",921,IF(Atletas!T319="Taijijian Yang D",922,IF(Atletas!T319="Taijijian Chen D",923,IF(Atletas!T319="Taijijian Sun D",924,IF(Atletas!T319="Taijijian Wu D",925,IF(Atletas!T319="Taijijian Wu-Hao D",926,IF(Atletas!T319="Taijijian 32 D",927,IF(Atletas!T319="Taijijian 42 D",928,IF(Atletas!T319="Taijijian Yang E",929,IF(Atletas!T319="Taijijian Chen E",930,IF(Atletas!T319="Taijijian Sun E",931,IF(Atletas!T319="Taijijian Wu E",932,IF(Atletas!T319="Taijijian Wu-Hao E",933,IF(Atletas!T319="Taijijian 32 E",934,IF(Atletas!T319="Taijijian 42 E",935,IF(Atletas!T319="Taijijian Yang F",936,IF(Atletas!T319="Taijijian Chen F",937,IF(Atletas!T319="Taijijian Sun F",938,IF(Atletas!T319="Taijijian Wu F",939,IF(Atletas!T319="Taijijian Wu-Hao F",940,IF(Atletas!T319="Taijijian 32 F",941,IF(Atletas!T319="Taijijian 42 F",942,"")))))))))))))))))))))))))))))))))))))))))))</f>
        <v/>
      </c>
      <c r="BW323" s="52" t="str">
        <f>IF(Atletas!U319="","",IF(Atletas!W319&lt;&gt;"",10000,0)+IF(Atletas!B319="Feminino",1000,IF(Atletas!B319="Masculino",2000,""))+IF(Atletas!T319="Taijijian 42 F",942,IF(Atletas!U319="Taijidao A",943,IF(Atletas!U319="Taijishan A",944,IF(Atletas!U319="Taijiqiang A",945,IF(Atletas!U319="Taijidao B",946,IF(Atletas!U319="Taijishan B",947,IF(Atletas!U319="Taijiqiang B",948,IF(Atletas!U319="Taijidao C",949,IF(Atletas!U319="Taijishan C",950,IF(Atletas!U319="Taijiqiang C",951,IF(Atletas!U319="Taijidao D",952,IF(Atletas!U319="Taijishan D",953,IF(Atletas!U319="Taijiqiang D",954,IF(Atletas!U319="Taijidao E",955,IF(Atletas!U319="Taijishan E",956,IF(Atletas!U319="Taijiqiang E",957,IF(Atletas!U319="Taijidao F",958,IF(Atletas!U319="Taijishan F",959,IF(Atletas!U319="Taijiqiang F",960))))))))))))))))))))</f>
        <v/>
      </c>
      <c r="BX323" s="72" t="str">
        <f>IF(BY323&lt;&gt;"","Taijijian Wu-Hao F","")</f>
        <v/>
      </c>
      <c r="BY323" s="72" t="str">
        <f>IF(COUNTIF(BK:BW,1940)&gt;0,COUNTIF(BK:BW,1940),"")</f>
        <v/>
      </c>
      <c r="BZ323" s="72" t="str">
        <f>IF(CA323&lt;&gt;"","Taijijian Wu-Hao F","")</f>
        <v/>
      </c>
      <c r="CA323" s="72" t="str">
        <f>IF(COUNTIF(BK:BW,2940)&gt;0,COUNTIF(BK:BW,2940),"")</f>
        <v/>
      </c>
      <c r="CB323" s="72" t="str">
        <f>IF(CC323&lt;&gt;"","Pudao / Gaundao C","")</f>
        <v/>
      </c>
      <c r="CC323" s="64" t="str">
        <f>IF(COUNTIF(BK:BW,11711)&gt;0,COUNTIF(BK:BW,11711),"")</f>
        <v/>
      </c>
      <c r="CD323" s="64" t="str">
        <f>IF(CE323&lt;&gt;"","Pudao / Gaundao C","")</f>
        <v/>
      </c>
      <c r="CE323" s="64" t="str">
        <f>IF(COUNTIF(BK:BW,12711)&gt;0,COUNTIF(BK:BW,12711),"")</f>
        <v/>
      </c>
      <c r="CF323" s="52" t="str">
        <f xml:space="preserve"> IF(Atletas!V319="","",IF(Atletas!V319="Duilian de Mãos AB - Equipe 1",1,IF(Atletas!V319="Duilian de Mãos AB - Equipe 2",2,IF(Atletas!V319="Duilian de Armas AB - Equipe 1",3,IF(Atletas!V319="Duilian de Armas AB - Equipe 2",4,IF(Atletas!V319="Duilian de Tuishou - Equipe 1",5,IF(Atletas!V319="Duilian de Tuishou - Equipe 2",6,IF(Atletas!V319="Grupo Externo AB - Equipe 1",7,IF(Atletas!V319="Grupo Externo AB - Equipe 2",8,IF(Atletas!V319="Grupo Interno AB - Equipe 1",9,IF(Atletas!V319="Grupo Interno AB - Equipe 2",10,IF(Atletas!V319="Duilian de Mãos CD - Equipe 1",11,IF(Atletas!V319="Duilian de Mãos CD - Equipe 2",12,IF(Atletas!V319="Duilian de Armas CD - Equipe 1",13,IF(Atletas!V319="Duilian de Armas CD - Equipe 2",14,IF(Atletas!V319="Duilian de Tuishou - Equipe 1",15,IF(Atletas!V319="Duilian de Tuishou - Equipe 2",16,IF(Atletas!V319="Grupo Externo CDEF - Equipe 1",17,IF(Atletas!V319="Grupo Externo CDEF - Equipe 2",18,IF(Atletas!V319="Grupo Interno CDEF - Equipe 1",19,IF(Atletas!V319="Grupo Interno CDEF - Equipe 2",20,IF(Atletas!V319="Duilian de Mãos EF - Equipe 1",21,IF(Atletas!V319="Duilian de Mãos EF - Equipe 2",22,IF(Atletas!V319="Duilian de Armas EF - Equipe 1",23,IF(Atletas!V319="Duilian de Armas EF - Equipe 2",24,IF(Atletas!V319="Duilian de Tuishou - Equipe 1",25,IF(Atletas!V319="Duilian de Tuishou - Equipe 2",26,"")))))))))))))))))))))))))))</f>
        <v/>
      </c>
    </row>
    <row r="324" spans="36:84">
      <c r="AJ324" s="46" t="str">
        <f>IF(Atletas!D320="","",IF(Atletas!B320="Feminino",100,IF(Atletas!B320="Masculino",200,""))+(IF(Atletas!D320="Infantil 39kg",1,IF(Atletas!D320="Infantil 42kg",2,IF(Atletas!D320="Infantil 45kg",3,IF(Atletas!D320="Infantil 48kg",4,IF(Atletas!D320="Infantil 52kg",5,IF(Atletas!D320="Infantil 56kg",6,IF(Atletas!D320="Infantil 60kg",7,IF(Atletas!D320="Juvenil 48kg",8,IF(Atletas!D320="Juvenil 52kg",9,IF(Atletas!D320="Juvenil 56kg",10,IF(Atletas!D320="Juvenil 60kg",11,IF(Atletas!D320="Juvenil 65kg",12,IF(Atletas!D320="Juvenil 70kg",13,IF(Atletas!D320="Juvenil 75kg",14,IF(Atletas!D320="Juvenil 80kg",15,IF(Atletas!D320="Adulto 48kg",16,IF(Atletas!D320="Adulto 52kg",17,IF(Atletas!D320="Adulto 56kg",18,IF(Atletas!D320="Adulto 60kg",19,IF(Atletas!D320="Adulto 65kg",20,IF(Atletas!D320="Adulto 70kg",21,IF(Atletas!D320="Adulto 75kg",22,IF(Atletas!D320="Adulto 80kg",23,IF(Atletas!D320="Adulto 85kg",24,IF(Atletas!D320="Adulto 90kg",25,IF(Atletas!D320="Adulto +90kg",26,""))))))))))))))))))))))))))))</f>
        <v/>
      </c>
      <c r="AO324" s="10" t="str">
        <f>IF(Atletas!E320="","",IF(Atletas!B320="Feminino",100,IF(Atletas!B320="Masculino",200,""))+(IF(Atletas!E320="Juvenil 44kg",1,IF(Atletas!E320="Juvenil 48kg",2,IF(Atletas!E320="Juvenil 52kg",3,IF(Atletas!E320="Juvenil 56kg",4,IF(Atletas!E320="Juvenil 60kg",5,IF(Atletas!E320="Juvenil 65kg",6,IF(Atletas!E320="Juvenil 70kg",7,IF(Atletas!E320="Juvenil 75kg",8,IF(Atletas!E320="Juvenil 82kg",9,IF(Atletas!E320="Juvenil 90kg",10,IF(Atletas!E320="Juvenil 100kg",11,IF(Atletas!E320="Adulto 48kg",12,IF(Atletas!E320="Adulto 52kg",13,IF(Atletas!E320="Adulto 56kg",14,IF(Atletas!E320="Adulto 60kg",15,IF(Atletas!E320="Adulto 65kg",16,IF(Atletas!E320="Adulto 70kg",17,IF(Atletas!E320="Adulto 75kg",18,IF(Atletas!E320="Adulto 82kg",19,IF(Atletas!E320="Adulto 90kg",20,IF(Atletas!E320="Adulto 100kg",21,IF(Atletas!E320="Adulto +100kg",22,""))))))))))))))))))))))))</f>
        <v/>
      </c>
      <c r="AT324" s="10" t="str">
        <f>IF(Atletas!F320="","",IF(Atletas!B320="Feminino",100,IF(Atletas!B320="Masculino",200,""))+(IF(Atletas!F320="Adulto 48kg",1,IF(Atletas!F320="Adulto 56kg",2,IF(Atletas!F320="Adulto 65kg",3,IF(Atletas!F320="Adulto 75kg",4,IF(Atletas!F320="Adulto +75kg",5,IF(Atletas!F320="Adulto 52kg",6,IF(Atletas!F320="Adulto 60kg",7,IF(Atletas!F320="Adulto 70kg",8,IF(Atletas!F320="Adulto 80kg",9,IF(Atletas!F320="Adulto 90kg",10,IF(Atletas!F320="Adulto +90kg",11,"")))))))))))))</f>
        <v/>
      </c>
      <c r="AY324" s="46" t="str">
        <f>IF(Atletas!G320="","",IF(Atletas!B320="Feminino",100,IF(Atletas!B320="Masculino",200,""))+(IF(Atletas!G320="Changquan Mirim",1,IF(Atletas!G320="Nanquan Mirim",2,IF(Atletas!G320="Taijiquan Mirim",3,IF(Atletas!G320="Changquan Grupo C",4,IF(Atletas!G320="Nanquan Grupo C",5,IF(Atletas!G320="Taijiquan Grupo C",6,IF(Atletas!G320="Changquan Grupo B",7,IF(Atletas!G320="Nanquan Grupo B",8,IF(Atletas!G320="Taijiquan Grupo B",9,IF(Atletas!G320="Changquan Grupo A",10,IF(Atletas!G320="Nanquan Grupo A",11,IF(Atletas!G320="Taijiquan Grupo A",12,IF(Atletas!G320="Changquan Opcional",13,IF(Atletas!G320="Nanquan Opcional",14,IF(Atletas!G320="Taijiquan Opcional",15,IF(Atletas!G320="Changquan Adulto",16,IF(Atletas!G320="Nanquan Adulto",17,IF(Atletas!G320="Taijiquan Adulto",18,""))))))))))))))))))))</f>
        <v/>
      </c>
      <c r="AZ324" s="46" t="str">
        <f>IF(Atletas!H320="","",IF(Atletas!B320="Feminino",100,IF(Atletas!B320="Masculino",200,""))+(IF(Atletas!H320="Daoshu Mirim",19,IF(Atletas!H320="Jianshu Mirim",20,IF(Atletas!H320="Nandao Mirim",21,IF(Atletas!H320="Taijijian Mirim",22,IF(Atletas!H320="Daoshu Grupo C",23,IF(Atletas!H320="Jianshu Grupo C",24,IF(Atletas!H320="Nandao Grupo C",25,IF(Atletas!H320="Taijijian Grupo C",26,IF(Atletas!H320="Daoshu Grupo B",27,IF(Atletas!H320="Jianshu Grupo B",28,IF(Atletas!H320="Nandao Grupo B",29,IF(Atletas!H320="Taijijian Grupo B",30,IF(Atletas!H320="Daoshu Grupo A",31,IF(Atletas!H320="Jianshu Grupo A",32,IF(Atletas!H320="Nandao Grupo A",33,IF(Atletas!H320="Taijijian Grupo A",34,IF(Atletas!H320="Daoshu Opcional",35,IF(Atletas!H320="Jianshu Opcional",36,IF(Atletas!H320="Nandao Opcional",37,IF(Atletas!H320="Taijijian Opcional",38,IF(Atletas!H320="Daoshu Adulto",39,IF(Atletas!H320="Jianshu Adulto",40,IF(Atletas!H320="Nandao Adulto",41,IF(Atletas!H320="Taijijian Adulto",42,""))))))))))))))))))))))))))</f>
        <v/>
      </c>
      <c r="BA324" s="46" t="str">
        <f>IF(Atletas!I320="","",IF(Atletas!B320="Feminino",100,IF(Atletas!B320="Masculino",200,""))+(IF(Atletas!I320="Gunshu Mirim",43,IF(Atletas!I320="Qiangshu Mirim",44,IF(Atletas!I320="Nangun Mirim",45,IF(Atletas!I320="Gunshu Grupo C",46,IF(Atletas!I320="Qiangshu Grupo C",47,IF(Atletas!I320="Nangun Grupo C",48,IF(Atletas!I320="Gunshu Grupo B",49,IF(Atletas!I320="Qiangshu Grupo B",50,IF(Atletas!I320="Nangun Grupo B",51,IF(Atletas!I320="Gunshu Grupo A",52,IF(Atletas!I320="Qiangshu Grupo A",53,IF(Atletas!I320="Nangun Grupo A",54,IF(Atletas!I320="Gunshu Opcional",55,IF(Atletas!I320="Qiangshu Opcional",56,IF(Atletas!I320="Nangun Opcional",57,IF(Atletas!I320="Gunshu Adulto",58,IF(Atletas!I320="Qiangshu Adulto",59,IF(Atletas!I320="Nangun Adulto",60,""))))))))))))))))))))</f>
        <v/>
      </c>
      <c r="BF324" s="52" t="str">
        <f>IF(Atletas!J320="","",IF(Atletas!B320="Feminino",100,IF(Atletas!B320="Masculino",200,""))+(IF(Atletas!J320="Equipe 1 Grupo B",1,IF(Atletas!J320="Equipe 2 Grupo B",2,IF(Atletas!J320="Equipe 1 Grupo A",3,IF(Atletas!J320="Equipe 2 Grupo A",4,IF(Atletas!J320="Equipe 1 Adulto",5,IF(Atletas!J320="Equipe 2 Adulto",6,""))))))))</f>
        <v/>
      </c>
      <c r="BK324" s="52" t="str">
        <f>IF(Atletas!K320="","",IF(Atletas!W320&lt;&gt;"",10000,0)+(IF(Atletas!B320="Feminino",1000,IF(Atletas!B320="Masculino",2000,""))+IF(Atletas!K320="Choylayfut A",1,IF(Atletas!K320="Hunggar A",2,IF(Atletas!K320="Wuzuquan A",3,IF(Atletas!K320="Wingchun A",4,IF(Atletas!K320="Outra Mão de Sul A",5,IF(Atletas!K320="Choylayfut B",6,IF(Atletas!K320="Hunggar B",7,IF(Atletas!K320="Wuzuquan B",8,IF(Atletas!K320="Wingchun B",9,IF(Atletas!K320="Outra Mão de Sul B",10,IF(Atletas!K320="Choylayfut C",11,IF(Atletas!K320="Hunggar C",12,IF(Atletas!K320="Wuzuquan C",13,IF(Atletas!K320="Wingchun C",14,IF(Atletas!K320="Outra Mão de Sul C",15,IF(Atletas!K320="Choylayfut D",16,IF(Atletas!K320="Hunggar D",17,IF(Atletas!K320="Wuzuquan D",18,IF(Atletas!K320="Wingchun D",19,IF(Atletas!K320="Outra Mão de Sul D",20,IF(Atletas!K320="Choylayfut E",21,IF(Atletas!K320="Hunggar E",22,IF(Atletas!K320="Wuzuquan E",23,IF(Atletas!K320="Wingchun E",24,IF(Atletas!K320="Outra Mão de Sul E",25,IF(Atletas!K320="Choylayfut F",26,IF(Atletas!K320="Hunggar F",27,IF(Atletas!K320="Wuzuquan F",28,IF(Atletas!K320="Wingchun F",29,IF(Atletas!K320="Outra Mão de Sul F",30,""))))))))))))))))))))))))))))))))</f>
        <v/>
      </c>
      <c r="BL324" s="52" t="str">
        <f>IF(Atletas!L320="","",IF(Atletas!W320&lt;&gt;"",10000,0)+(IF(Atletas!B320="Feminino",1000,IF(Atletas!B320="Masculino",2000,""))+(IF(Atletas!L320="Chaquan A",101,IF(Atletas!L320="Emeiquan A",102,IF(Atletas!L320="Fanziquan A",103,IF(Atletas!L320="Huaquan A",104,IF(Atletas!L320="Hongquan A",105,IF(Atletas!L320="Paochui A",106,IF(Atletas!L320="Piguaquan A",107,IF(Atletas!L320="Shaolinquan A",108,IF(Atletas!L320="Tanglangquan A",109,IF(Atletas!L320="Yinzhaophai A",110,IF(Atletas!L320="Tongbeiquan A",111,IF(Atletas!L320="Wudangquan A",112,IF(Atletas!L320="Outros Estilos A",113,IF(Atletas!L320="Chaquan B",114,IF(Atletas!L320="Emeiquan B",115,IF(Atletas!L320="Fanziquan B",116,IF(Atletas!L320="Huaquan B",117,IF(Atletas!L320="Hongquan B",118,IF(Atletas!L320="Paochui B",119,IF(Atletas!L320="Piguaquan B",120,IF(Atletas!L320="Shaolinquan B",121,IF(Atletas!L320="Tanglangquan B",122,IF(Atletas!L320="Yinzhaophai B",123,IF(Atletas!L320="Tongbeiquan B",124,IF(Atletas!L320="Wudangquan B",125,IF(Atletas!L320="Outros Estilos B",126,IF(Atletas!L320="Chaquan C",127,IF(Atletas!L320="Emeiquan C",128,IF(Atletas!L320="Fanziquan C",129,IF(Atletas!L320="Huaquan C",130,IF(Atletas!L320="Hongquan C",131,IF(Atletas!L320="Paochui C",132,IF(Atletas!L320="Piguaquan C",133,IF(Atletas!L320="Shaolinquan C",134,IF(Atletas!L320="Tanglangquan C",135,IF(Atletas!L320="Yinzhaophai C",136,IF(Atletas!L320="Tongbeiquan C",137,IF(Atletas!L320="Wudangquan C",138,IF(Atletas!L320="Outros Estilos C",139,0))))))))))))))))))))))))))))))))))))))))))</f>
        <v/>
      </c>
      <c r="BM324" s="52" t="str">
        <f>IF(Atletas!L320="","",IF(Atletas!W320&lt;&gt;"",10000,0)+(IF(Atletas!B320="Feminino",1000,IF(Atletas!B320="Masculino",2000,""))+(IF(Atletas!L320="Chaquan D",140,IF(Atletas!L320="Emeiquan D",141,IF(Atletas!L320="Fanziquan D",142,IF(Atletas!L320="Huaquan D",143,IF(Atletas!L320="Hongquan D",144,IF(Atletas!L320="Paochui D",145,IF(Atletas!L320="Piguaquan D",146,IF(Atletas!L320="Shaolinquan D",147,IF(Atletas!L320="Tanglangquan D",148,IF(Atletas!L320="Yinzhaophai D",149,IF(Atletas!L320="Tongbeiquan D",150,IF(Atletas!L320="Wudangquan D",151,IF(Atletas!L320="Outros Estilos D",152,IF(Atletas!L320="Chaquan E",153,IF(Atletas!L320="Emeiquan E",154,IF(Atletas!L320="Fanziquan E",155,IF(Atletas!L320="Huaquan E",156,IF(Atletas!L320="Hongquan E",157,IF(Atletas!L320="Paochui E",158,IF(Atletas!L320="Piguaquan E",159,IF(Atletas!L320="Shaolinquan E",160,IF(Atletas!L320="Tanglangquan E",161,IF(Atletas!L320="Yinzhaophai E",162,IF(Atletas!L320="Tongbeiquan E",163,IF(Atletas!L320="Wudangquan E",164,IF(Atletas!L320="Outros Estilos E",165,IF(Atletas!L320="Chaquan F",166,IF(Atletas!L320="Emeiquan F",167,IF(Atletas!L320="Fanziquan F",168,IF(Atletas!L320="Huaquan F",169,IF(Atletas!L320="Hongquan F",170,IF(Atletas!L320="Paochui F",171,IF(Atletas!L320="Piguaquan F",172,IF(Atletas!L320="Shaolinquan F",173,IF(Atletas!L320="Tanglangquan F",174,IF(Atletas!L320="Yinzhaophai F",175,IF(Atletas!L320="Tongbeiquan F",176,IF(Atletas!L320="Wudangquan F",177,IF(Atletas!L320="Outros Estilos F",178,0))))))))))))))))))))))))))))))))))))))))))</f>
        <v/>
      </c>
      <c r="BN324" s="52" t="str">
        <f>IF(Atletas!M320="","",IF(Atletas!W320&lt;&gt;"",10000,0)+(IF(Atletas!B320="Feminino",1000,IF(Atletas!B320="Masculino",2000,""))+(IF(Atletas!M320="Ditangquan A",201,IF(Atletas!M320="Houquan A",202,IF(Atletas!M320="Zuiquan A",203,IF(Atletas!M320="Ditangquan B",204,IF(Atletas!M320="Houquan B",205,IF(Atletas!M320="Zuiquan B",206,IF(Atletas!M320="Ditangquan C",207,IF(Atletas!M320="Houquan C",208,IF(Atletas!M320="Zuiquan C",209,IF(Atletas!M320="Ditangquan D",210,IF(Atletas!M320="Houquan D",211,IF(Atletas!M320="Zuiquan D",212,IF(Atletas!M320="Ditangquan E",213,IF(Atletas!M320="Houquan E",214,IF(Atletas!M320="Zuiquan E",215,IF(Atletas!M320="Ditangquan F",216,IF(Atletas!M320="Houquan F",217,IF(Atletas!M320="Zuiquan F",218,"")))))))))))))))))))))</f>
        <v/>
      </c>
      <c r="BO324" s="52" t="str">
        <f>IF(Atletas!N320="","",IF(Atletas!W320&lt;&gt;"",10000,0)+IF(Atletas!B320="Feminino",1000,IF(Atletas!B320="Masculino",2000,""))+IF(Atletas!N320="Yang A",301,IF(Atletas!N320="Chen A",30,IF(Atletas!N320="Sun A",303,IF(Atletas!N320="Wu A",304,IF(Atletas!N320="Wu-Hao A",305,IF(Atletas!N320="Outro Taijiquan A",306,IF(Atletas!N320="Yang B",307,IF(Atletas!N320="Chen B",308,IF(Atletas!N320="Sun B",309,IF(Atletas!N320="Wu B",310,IF(Atletas!N320="Wu-Hao B",311,IF(Atletas!N320="Outro Taijiquan B",312,IF(Atletas!N320="Yang C",313,IF(Atletas!N320="Chen C",314,IF(Atletas!N320="Sun C",315,IF(Atletas!N320="Wu C",316,IF(Atletas!N320="Wu-Hao C",317,IF(Atletas!N320="Outro Taijiquan C",318,IF(Atletas!N320="Yang D",319,IF(Atletas!N320="Chen D",320,IF(Atletas!N320="Sun D",321,IF(Atletas!N320="Wu D",322,IF(Atletas!N320="Wu-Hao D",323,IF(Atletas!N320="Outro Taijiquan D",324,IF(Atletas!N320="Yang E",325,IF(Atletas!N320="Chen E",326,IF(Atletas!N320="Sun E",327,IF(Atletas!N320="Wu E",328,IF(Atletas!N320="Wu-Hao E",329,IF(Atletas!N320="Outro Taijiquan E",330,IF(Atletas!N320="Yang F",331,IF(Atletas!N320="Chen F",332,IF(Atletas!N320="Sun F",333,IF(Atletas!N320="Wu F",334,IF(Atletas!N320="Wu-Hao F",335,IF(Atletas!N320="Outro Taijiquan F",336,"")))))))))))))))))))))))))))))))))))))</f>
        <v/>
      </c>
      <c r="BP324" s="52" t="str">
        <f>IF(Atletas!O320="","",IF(Atletas!W320&lt;&gt;"",10000,0)+IF(Atletas!B320="Feminino",1000,IF(Atletas!B320="Masculino",2000,""))+IF(OR(Atletas!O320="Yang 26 A",Atletas!O320="Yang 40 A"),401,IF(OR(Atletas!O320="Chen 25 A",Atletas!O320="Chen 36 A",Atletas!O320="Chen 56 A"),402,IF(Atletas!O320="Sun 73 A",403,IF(Atletas!O320="Wu 45 A",404,IF(Atletas!O320="Wu-Hao 46 A",405,IF(OR(Atletas!O320="Taijiquan 16 A",Atletas!O320="Taijiquan 24 A",Atletas!O320="Taijiquan 32 A",Atletas!O320="Taijiquan 42 A"),406,IF(OR(Atletas!O320="Yang 26 B",Atletas!O320="Yang 40 B"),407,IF(OR(Atletas!O320="Chen 25 B",Atletas!O320="Chen 36 B",Atletas!O320="Chen 56 B"),408,IF(Atletas!O320="Sun 73 B",409,IF(Atletas!O320="Wu 45 B",410,IF(Atletas!O320="Wu-Hao 46 B",411,IF(OR(Atletas!O320="Taijiquan 16 B",Atletas!O320="Taijiquan 24 B",Atletas!O320="Taijiquan 32 B",Atletas!O320="Taijiquan 42 B"),412,IF(OR(Atletas!O320="Yang 26 C",Atletas!O320="Yang 40 C"),413,IF(OR(Atletas!O320="Chen 25 C",Atletas!O320="Chen 36 C",Atletas!O320="Chen 56 C"),414,IF(Atletas!O320="Sun 73 C",415,IF(Atletas!O320="Wu 45 C",416,IF(Atletas!O320="Wu-Hao 46 C",417,IF(OR(Atletas!O320="Taijiquan 16 C",Atletas!O320="Taijiquan 24 C",Atletas!O320="Taijiquan 32 C",Atletas!O320="Taijiquan 42 C"),418,0)))))))))))))))))))</f>
        <v/>
      </c>
      <c r="BQ324" s="52" t="str">
        <f>IF(Atletas!O320="","",IF(Atletas!W320&lt;&gt;"",10000,0)+IF(Atletas!B320="Feminino",1000,IF(Atletas!B320="Masculino",2000,""))+IF(OR(Atletas!O320="Yang 26 D",Atletas!O320="Yang 40 D"),419,IF(OR(Atletas!O320="Chen 25 D",Atletas!O320="Chen 36 D",Atletas!O320="Chen 56 D"),420,IF(Atletas!O320="Sun 73 D",421,IF(Atletas!O320="Wu 45 D",422,IF(Atletas!O320="Wu-Hao 46 D",423,IF(OR(Atletas!O320="Taijiquan 16 D",Atletas!O320="Taijiquan 24 D",Atletas!O320="Taijiquan 32 D",Atletas!O320="Taijiquan 42 D"),424,IF(OR(Atletas!O320="Yang 26 E",Atletas!O320="Yang 40 E"),425,IF(OR(Atletas!O320="Chen 25 E",Atletas!O320="Chen 36 E",Atletas!O320="Chen 56 E"),426,IF(Atletas!O320="Sun 73 E",427,IF(Atletas!O320="Wu 45 E",428,IF(Atletas!O320="Wu-Hao 46 E",429,IF(OR(Atletas!O320="Taijiquan 16 E",Atletas!O320="Taijiquan 24 E",Atletas!O320="Taijiquan 32 E",Atletas!O320="Taijiquan 42 E"),430,IF(OR(Atletas!O320="Yang 26 F",Atletas!O320="Yang 40 F"),431,IF(OR(Atletas!O320="Chen 25 F",Atletas!O320="Chen 36 F",Atletas!O320="Chen 56 F"),432,IF(Atletas!O320="Sun 73 F",433,IF(Atletas!O320="Wu 45 F",434,IF(Atletas!O320="Wu-Hao 46 F",435,IF(OR(Atletas!O320="Taijiquan 16 F",Atletas!O320="Taijiquan 24 F",Atletas!O320="Taijiquan 32 F",Atletas!O320="Taijiquan 42 F"),436,0)))))))))))))))))))</f>
        <v/>
      </c>
      <c r="BR324" s="52" t="str">
        <f>IF(Atletas!P320="","",IF(Atletas!W320&lt;&gt;"",10000,0)+IF(Atletas!B320="Feminino",1000,IF(Atletas!B320="Masculino",2000,""))+IF(Atletas!P320="Xingyiquan A",501,IF(Atletas!P320="Baguazhang A",502,IF(Atletas!P320="Outro Estilo Interno A",503,IF(Atletas!P320="Xingyiquan B",504,IF(Atletas!P320="Baguazhang B",505,IF(Atletas!P320="Outro Estilo Interno B",506,IF(Atletas!P320="Xingyiquan C",507,IF(Atletas!P320="Baguazhang C",508,IF(Atletas!P320="Outro Estilo Interno C",509,IF(Atletas!P320="Xingyiquan D",510,IF(Atletas!P320="Baguazhang D",511,IF(Atletas!P320="Outro Estilo Interno D",512,IF(Atletas!P320="Xingyiquan E",513,IF(Atletas!P320="Baguazhang E",514,IF(Atletas!P320="Outro Estilo Interno E",515,IF(Atletas!P320="Xingyiquan F",516,IF(Atletas!P320="Baguazhang F",517,IF(Atletas!P320="Outro Estilo Interno F",518, "")))))))))))))))))))</f>
        <v/>
      </c>
      <c r="BS324" s="52" t="str">
        <f>IF(Atletas!Q320="","",IF(Atletas!W320&lt;&gt;"",10000,0)+IF(Atletas!B320="Feminino",1000,IF(Atletas!B320="Masculino",2000,""))+IF(Atletas!Q320="Dao A",601,IF(Atletas!Q320="Jian A",602,IF(Atletas!Q320="Bishou A",603,IF(Atletas!Q320="Shan A",604,IF(Atletas!Q320="Outra Arma Curta A",605,IF(Atletas!Q320="Dao B",606,IF(Atletas!Q320="Jian B",607,IF(Atletas!Q320="Bishou B",608,IF(Atletas!Q320="Shan B",609,IF(Atletas!Q320="Outra Arma Curta B",610,IF(Atletas!Q320="Dao C",611,IF(Atletas!Q320="Jian C",612,IF(Atletas!Q320="Bishou C",613,IF(Atletas!Q320="Shan C",614,IF(Atletas!Q320="Outra Arma Curta C",615,IF(Atletas!Q320="Dao D",616,IF(Atletas!Q320="Jian D",617,IF(Atletas!Q320="Bishou D",618,IF(Atletas!Q320="Shan D",619,IF(Atletas!Q320="Outra Arma Curta D",620,IF(Atletas!Q320="Dao E",621,IF(Atletas!Q320="Jian E",622,IF(Atletas!Q320="Bishou E",623,IF(Atletas!Q320="Shan E",624,IF(Atletas!Q320="Outra Arma Curta E",625,IF(Atletas!Q320="Dao F",626,IF(Atletas!Q320="Jian F",627,IF(Atletas!Q320="Bishou F",628,IF(Atletas!Q320="Shan F",629,IF(Atletas!Q320="Outra Arma Curta F",630, "")))))))))))))))))))))))))))))))</f>
        <v/>
      </c>
      <c r="BT324" s="52" t="str">
        <f>IF(Atletas!R320="","",IF(Atletas!W320&lt;&gt;"",10000,0)+IF(Atletas!B320="Feminino",1000,IF(Atletas!B320="Masculino",2000,""))+IF(Atletas!R320="Gun A",701,IF(Atletas!R320="Qiang A",702,IF(Atletas!R320="Pudao / Guandao A",703,IF(Atletas!R320="Outra Arma Longa A",704,IF(Atletas!R320="Gun B",705,IF(Atletas!R320="Qiang B",706,IF(Atletas!R320="Pudao / Guandao B",707,IF(Atletas!R320="Outra Arma Longa B",708,IF(Atletas!R320="Gun C",709,IF(Atletas!R320="Qiang C",710,IF(Atletas!R320="Pudao / Guandao C",711,IF(Atletas!R320="Outra Arma Longa C",712,IF(Atletas!R320="Gun D",713,IF(Atletas!R320="Qiang D",714,IF(Atletas!R320="Pudao / Guandao D",715,IF(Atletas!R320="Outra Arma Longa D",716,IF(Atletas!R320="Gun E",717,IF(Atletas!R320="Qiang E",718,IF(Atletas!R320="Pudao / Guandao E",719,IF(Atletas!R320="Outra Arma Longa E",720,IF(Atletas!R320="Gun F",721,IF(Atletas!R320="Qiang F",722,IF(Atletas!R320="Pudao / Guandao F",723,IF(Atletas!R320="Outra Arma Longa F",724,"")))))))))))))))))))))))))</f>
        <v/>
      </c>
      <c r="BU324" s="52" t="str">
        <f>IF(Atletas!S320="","",IF(Atletas!W320&lt;&gt;"",10000,0)+IF(Atletas!B320="Feminino",1000,IF(Atletas!B320="Masculino",2000,""))+IF(Atletas!S320="Arma Dupla A",801,IF(Atletas!S320="Arma Maleável A",802,IF(Atletas!S320="Arma Dupla B",803,IF(Atletas!S320="Arma Maleável B",804,IF(Atletas!S320="Arma Dupla C",805,IF(Atletas!S320="Arma Maleável C",806,IF(Atletas!S320="Arma Dupla D",807,IF(Atletas!S320="Arma Maleável D",808,IF(Atletas!S320="Arma Dupla E",809,IF(Atletas!S320="Arma Maleável E",810,IF(Atletas!S320="Arma Dupla F",811,IF(Atletas!S320="Arma Maleável F",812, "")))))))))))))</f>
        <v/>
      </c>
      <c r="BV324" s="52" t="str">
        <f>IF(Atletas!T320="","",IF(Atletas!W320&lt;&gt;"",10000,0)+IF(Atletas!B320="Feminino",1000,IF(Atletas!B320="Masculino",2000,""))+IF(Atletas!T320="Taijijian Yang A",901,IF(Atletas!T320="Taijijian Chen A",902,IF(Atletas!T320="Taijijian Sun A",903,IF(Atletas!T320="Taijijian Wu A",904,IF(Atletas!T320="Taijijian Wu-Hao A",905,IF(Atletas!T320="Taijijian 32 A",906,IF(Atletas!T320="Taijijian 42 A",907,IF(Atletas!T320="Taijijian Yang B",908,IF(Atletas!T320="Taijijian Chen B",909,IF(Atletas!T320="Taijijian Sun B",910,IF(Atletas!T320="Taijijian Wu B",911,IF(Atletas!T320="Taijijian Wu-Hao B",912,IF(Atletas!T320="Taijijian 32 B",913,IF(Atletas!T320="Taijijian 42 B",914,IF(Atletas!T320="Taijijian Yang C",915,IF(Atletas!T320="Taijijian Chen C",916,IF(Atletas!T320="Taijijian Sun C",917,IF(Atletas!T320="Taijijian Wu C",918,IF(Atletas!T320="Taijijian Wu-Hao C",919,IF(Atletas!T320="Taijijian 32 C",920,IF(Atletas!T320="Taijijian 42 C",921,IF(Atletas!T320="Taijijian Yang D",922,IF(Atletas!T320="Taijijian Chen D",923,IF(Atletas!T320="Taijijian Sun D",924,IF(Atletas!T320="Taijijian Wu D",925,IF(Atletas!T320="Taijijian Wu-Hao D",926,IF(Atletas!T320="Taijijian 32 D",927,IF(Atletas!T320="Taijijian 42 D",928,IF(Atletas!T320="Taijijian Yang E",929,IF(Atletas!T320="Taijijian Chen E",930,IF(Atletas!T320="Taijijian Sun E",931,IF(Atletas!T320="Taijijian Wu E",932,IF(Atletas!T320="Taijijian Wu-Hao E",933,IF(Atletas!T320="Taijijian 32 E",934,IF(Atletas!T320="Taijijian 42 E",935,IF(Atletas!T320="Taijijian Yang F",936,IF(Atletas!T320="Taijijian Chen F",937,IF(Atletas!T320="Taijijian Sun F",938,IF(Atletas!T320="Taijijian Wu F",939,IF(Atletas!T320="Taijijian Wu-Hao F",940,IF(Atletas!T320="Taijijian 32 F",941,IF(Atletas!T320="Taijijian 42 F",942,"")))))))))))))))))))))))))))))))))))))))))))</f>
        <v/>
      </c>
      <c r="BW324" s="52" t="str">
        <f>IF(Atletas!U320="","",IF(Atletas!W320&lt;&gt;"",10000,0)+IF(Atletas!B320="Feminino",1000,IF(Atletas!B320="Masculino",2000,""))+IF(Atletas!T320="Taijijian 42 F",942,IF(Atletas!U320="Taijidao A",943,IF(Atletas!U320="Taijishan A",944,IF(Atletas!U320="Taijiqiang A",945,IF(Atletas!U320="Taijidao B",946,IF(Atletas!U320="Taijishan B",947,IF(Atletas!U320="Taijiqiang B",948,IF(Atletas!U320="Taijidao C",949,IF(Atletas!U320="Taijishan C",950,IF(Atletas!U320="Taijiqiang C",951,IF(Atletas!U320="Taijidao D",952,IF(Atletas!U320="Taijishan D",953,IF(Atletas!U320="Taijiqiang D",954,IF(Atletas!U320="Taijidao E",955,IF(Atletas!U320="Taijishan E",956,IF(Atletas!U320="Taijiqiang E",957,IF(Atletas!U320="Taijidao F",958,IF(Atletas!U320="Taijishan F",959,IF(Atletas!U320="Taijiqiang F",960))))))))))))))))))))</f>
        <v/>
      </c>
      <c r="BX324" s="72" t="str">
        <f>IF(BY324&lt;&gt;"","Taijijian Combinado F","")</f>
        <v/>
      </c>
      <c r="BY324" s="72" t="str">
        <f>IF((COUNTIF(BK:BW,1941)+COUNTIF(BK:BW,1942))&gt;0,(COUNTIF(BK:BW,1941)+COUNTIF(BK:BW,1942)),"")</f>
        <v/>
      </c>
      <c r="BZ324" s="72" t="str">
        <f>IF(CA324&lt;&gt;"","Taijijian Combinado F","")</f>
        <v/>
      </c>
      <c r="CA324" s="72" t="str">
        <f>IF((COUNTIF(BK:BW,2941)+COUNTIF(BK:BW,2942))&gt;0,(COUNTIF(BK:BW,2941)+COUNTIF(BK:BW,2942)),"")</f>
        <v/>
      </c>
      <c r="CB324" s="72" t="str">
        <f>IF(CC324&lt;&gt;"","Outra Arma Longa C","")</f>
        <v/>
      </c>
      <c r="CC324" s="64" t="str">
        <f>IF(COUNTIF(BK:BW,11712)&gt;0,COUNTIF(BK:BW,11712),"")</f>
        <v/>
      </c>
      <c r="CD324" s="64" t="str">
        <f>IF(CE324&lt;&gt;"","Outra Arma Longa C","")</f>
        <v/>
      </c>
      <c r="CE324" s="64" t="str">
        <f>IF(COUNTIF(BK:BW,12712)&gt;0,COUNTIF(BK:BW,12712),"")</f>
        <v/>
      </c>
      <c r="CF324" s="52" t="str">
        <f xml:space="preserve"> IF(Atletas!V320="","",IF(Atletas!V320="Duilian de Mãos AB - Equipe 1",1,IF(Atletas!V320="Duilian de Mãos AB - Equipe 2",2,IF(Atletas!V320="Duilian de Armas AB - Equipe 1",3,IF(Atletas!V320="Duilian de Armas AB - Equipe 2",4,IF(Atletas!V320="Duilian de Tuishou - Equipe 1",5,IF(Atletas!V320="Duilian de Tuishou - Equipe 2",6,IF(Atletas!V320="Grupo Externo AB - Equipe 1",7,IF(Atletas!V320="Grupo Externo AB - Equipe 2",8,IF(Atletas!V320="Grupo Interno AB - Equipe 1",9,IF(Atletas!V320="Grupo Interno AB - Equipe 2",10,IF(Atletas!V320="Duilian de Mãos CD - Equipe 1",11,IF(Atletas!V320="Duilian de Mãos CD - Equipe 2",12,IF(Atletas!V320="Duilian de Armas CD - Equipe 1",13,IF(Atletas!V320="Duilian de Armas CD - Equipe 2",14,IF(Atletas!V320="Duilian de Tuishou - Equipe 1",15,IF(Atletas!V320="Duilian de Tuishou - Equipe 2",16,IF(Atletas!V320="Grupo Externo CDEF - Equipe 1",17,IF(Atletas!V320="Grupo Externo CDEF - Equipe 2",18,IF(Atletas!V320="Grupo Interno CDEF - Equipe 1",19,IF(Atletas!V320="Grupo Interno CDEF - Equipe 2",20,IF(Atletas!V320="Duilian de Mãos EF - Equipe 1",21,IF(Atletas!V320="Duilian de Mãos EF - Equipe 2",22,IF(Atletas!V320="Duilian de Armas EF - Equipe 1",23,IF(Atletas!V320="Duilian de Armas EF - Equipe 2",24,IF(Atletas!V320="Duilian de Tuishou - Equipe 1",25,IF(Atletas!V320="Duilian de Tuishou - Equipe 2",26,"")))))))))))))))))))))))))))</f>
        <v/>
      </c>
    </row>
    <row r="325" spans="36:84">
      <c r="AJ325" s="46" t="str">
        <f>IF(Atletas!D321="","",IF(Atletas!B321="Feminino",100,IF(Atletas!B321="Masculino",200,""))+(IF(Atletas!D321="Infantil 39kg",1,IF(Atletas!D321="Infantil 42kg",2,IF(Atletas!D321="Infantil 45kg",3,IF(Atletas!D321="Infantil 48kg",4,IF(Atletas!D321="Infantil 52kg",5,IF(Atletas!D321="Infantil 56kg",6,IF(Atletas!D321="Infantil 60kg",7,IF(Atletas!D321="Juvenil 48kg",8,IF(Atletas!D321="Juvenil 52kg",9,IF(Atletas!D321="Juvenil 56kg",10,IF(Atletas!D321="Juvenil 60kg",11,IF(Atletas!D321="Juvenil 65kg",12,IF(Atletas!D321="Juvenil 70kg",13,IF(Atletas!D321="Juvenil 75kg",14,IF(Atletas!D321="Juvenil 80kg",15,IF(Atletas!D321="Adulto 48kg",16,IF(Atletas!D321="Adulto 52kg",17,IF(Atletas!D321="Adulto 56kg",18,IF(Atletas!D321="Adulto 60kg",19,IF(Atletas!D321="Adulto 65kg",20,IF(Atletas!D321="Adulto 70kg",21,IF(Atletas!D321="Adulto 75kg",22,IF(Atletas!D321="Adulto 80kg",23,IF(Atletas!D321="Adulto 85kg",24,IF(Atletas!D321="Adulto 90kg",25,IF(Atletas!D321="Adulto +90kg",26,""))))))))))))))))))))))))))))</f>
        <v/>
      </c>
      <c r="AO325" s="10" t="str">
        <f>IF(Atletas!E321="","",IF(Atletas!B321="Feminino",100,IF(Atletas!B321="Masculino",200,""))+(IF(Atletas!E321="Juvenil 44kg",1,IF(Atletas!E321="Juvenil 48kg",2,IF(Atletas!E321="Juvenil 52kg",3,IF(Atletas!E321="Juvenil 56kg",4,IF(Atletas!E321="Juvenil 60kg",5,IF(Atletas!E321="Juvenil 65kg",6,IF(Atletas!E321="Juvenil 70kg",7,IF(Atletas!E321="Juvenil 75kg",8,IF(Atletas!E321="Juvenil 82kg",9,IF(Atletas!E321="Juvenil 90kg",10,IF(Atletas!E321="Juvenil 100kg",11,IF(Atletas!E321="Adulto 48kg",12,IF(Atletas!E321="Adulto 52kg",13,IF(Atletas!E321="Adulto 56kg",14,IF(Atletas!E321="Adulto 60kg",15,IF(Atletas!E321="Adulto 65kg",16,IF(Atletas!E321="Adulto 70kg",17,IF(Atletas!E321="Adulto 75kg",18,IF(Atletas!E321="Adulto 82kg",19,IF(Atletas!E321="Adulto 90kg",20,IF(Atletas!E321="Adulto 100kg",21,IF(Atletas!E321="Adulto +100kg",22,""))))))))))))))))))))))))</f>
        <v/>
      </c>
      <c r="AT325" s="10" t="str">
        <f>IF(Atletas!F321="","",IF(Atletas!B321="Feminino",100,IF(Atletas!B321="Masculino",200,""))+(IF(Atletas!F321="Adulto 48kg",1,IF(Atletas!F321="Adulto 56kg",2,IF(Atletas!F321="Adulto 65kg",3,IF(Atletas!F321="Adulto 75kg",4,IF(Atletas!F321="Adulto +75kg",5,IF(Atletas!F321="Adulto 52kg",6,IF(Atletas!F321="Adulto 60kg",7,IF(Atletas!F321="Adulto 70kg",8,IF(Atletas!F321="Adulto 80kg",9,IF(Atletas!F321="Adulto 90kg",10,IF(Atletas!F321="Adulto +90kg",11,"")))))))))))))</f>
        <v/>
      </c>
      <c r="AY325" s="46" t="str">
        <f>IF(Atletas!G321="","",IF(Atletas!B321="Feminino",100,IF(Atletas!B321="Masculino",200,""))+(IF(Atletas!G321="Changquan Mirim",1,IF(Atletas!G321="Nanquan Mirim",2,IF(Atletas!G321="Taijiquan Mirim",3,IF(Atletas!G321="Changquan Grupo C",4,IF(Atletas!G321="Nanquan Grupo C",5,IF(Atletas!G321="Taijiquan Grupo C",6,IF(Atletas!G321="Changquan Grupo B",7,IF(Atletas!G321="Nanquan Grupo B",8,IF(Atletas!G321="Taijiquan Grupo B",9,IF(Atletas!G321="Changquan Grupo A",10,IF(Atletas!G321="Nanquan Grupo A",11,IF(Atletas!G321="Taijiquan Grupo A",12,IF(Atletas!G321="Changquan Opcional",13,IF(Atletas!G321="Nanquan Opcional",14,IF(Atletas!G321="Taijiquan Opcional",15,IF(Atletas!G321="Changquan Adulto",16,IF(Atletas!G321="Nanquan Adulto",17,IF(Atletas!G321="Taijiquan Adulto",18,""))))))))))))))))))))</f>
        <v/>
      </c>
      <c r="AZ325" s="46" t="str">
        <f>IF(Atletas!H321="","",IF(Atletas!B321="Feminino",100,IF(Atletas!B321="Masculino",200,""))+(IF(Atletas!H321="Daoshu Mirim",19,IF(Atletas!H321="Jianshu Mirim",20,IF(Atletas!H321="Nandao Mirim",21,IF(Atletas!H321="Taijijian Mirim",22,IF(Atletas!H321="Daoshu Grupo C",23,IF(Atletas!H321="Jianshu Grupo C",24,IF(Atletas!H321="Nandao Grupo C",25,IF(Atletas!H321="Taijijian Grupo C",26,IF(Atletas!H321="Daoshu Grupo B",27,IF(Atletas!H321="Jianshu Grupo B",28,IF(Atletas!H321="Nandao Grupo B",29,IF(Atletas!H321="Taijijian Grupo B",30,IF(Atletas!H321="Daoshu Grupo A",31,IF(Atletas!H321="Jianshu Grupo A",32,IF(Atletas!H321="Nandao Grupo A",33,IF(Atletas!H321="Taijijian Grupo A",34,IF(Atletas!H321="Daoshu Opcional",35,IF(Atletas!H321="Jianshu Opcional",36,IF(Atletas!H321="Nandao Opcional",37,IF(Atletas!H321="Taijijian Opcional",38,IF(Atletas!H321="Daoshu Adulto",39,IF(Atletas!H321="Jianshu Adulto",40,IF(Atletas!H321="Nandao Adulto",41,IF(Atletas!H321="Taijijian Adulto",42,""))))))))))))))))))))))))))</f>
        <v/>
      </c>
      <c r="BA325" s="46" t="str">
        <f>IF(Atletas!I321="","",IF(Atletas!B321="Feminino",100,IF(Atletas!B321="Masculino",200,""))+(IF(Atletas!I321="Gunshu Mirim",43,IF(Atletas!I321="Qiangshu Mirim",44,IF(Atletas!I321="Nangun Mirim",45,IF(Atletas!I321="Gunshu Grupo C",46,IF(Atletas!I321="Qiangshu Grupo C",47,IF(Atletas!I321="Nangun Grupo C",48,IF(Atletas!I321="Gunshu Grupo B",49,IF(Atletas!I321="Qiangshu Grupo B",50,IF(Atletas!I321="Nangun Grupo B",51,IF(Atletas!I321="Gunshu Grupo A",52,IF(Atletas!I321="Qiangshu Grupo A",53,IF(Atletas!I321="Nangun Grupo A",54,IF(Atletas!I321="Gunshu Opcional",55,IF(Atletas!I321="Qiangshu Opcional",56,IF(Atletas!I321="Nangun Opcional",57,IF(Atletas!I321="Gunshu Adulto",58,IF(Atletas!I321="Qiangshu Adulto",59,IF(Atletas!I321="Nangun Adulto",60,""))))))))))))))))))))</f>
        <v/>
      </c>
      <c r="BF325" s="52" t="str">
        <f>IF(Atletas!J321="","",IF(Atletas!B321="Feminino",100,IF(Atletas!B321="Masculino",200,""))+(IF(Atletas!J321="Equipe 1 Grupo B",1,IF(Atletas!J321="Equipe 2 Grupo B",2,IF(Atletas!J321="Equipe 1 Grupo A",3,IF(Atletas!J321="Equipe 2 Grupo A",4,IF(Atletas!J321="Equipe 1 Adulto",5,IF(Atletas!J321="Equipe 2 Adulto",6,""))))))))</f>
        <v/>
      </c>
      <c r="BK325" s="52" t="str">
        <f>IF(Atletas!K321="","",IF(Atletas!W321&lt;&gt;"",10000,0)+(IF(Atletas!B321="Feminino",1000,IF(Atletas!B321="Masculino",2000,""))+IF(Atletas!K321="Choylayfut A",1,IF(Atletas!K321="Hunggar A",2,IF(Atletas!K321="Wuzuquan A",3,IF(Atletas!K321="Wingchun A",4,IF(Atletas!K321="Outra Mão de Sul A",5,IF(Atletas!K321="Choylayfut B",6,IF(Atletas!K321="Hunggar B",7,IF(Atletas!K321="Wuzuquan B",8,IF(Atletas!K321="Wingchun B",9,IF(Atletas!K321="Outra Mão de Sul B",10,IF(Atletas!K321="Choylayfut C",11,IF(Atletas!K321="Hunggar C",12,IF(Atletas!K321="Wuzuquan C",13,IF(Atletas!K321="Wingchun C",14,IF(Atletas!K321="Outra Mão de Sul C",15,IF(Atletas!K321="Choylayfut D",16,IF(Atletas!K321="Hunggar D",17,IF(Atletas!K321="Wuzuquan D",18,IF(Atletas!K321="Wingchun D",19,IF(Atletas!K321="Outra Mão de Sul D",20,IF(Atletas!K321="Choylayfut E",21,IF(Atletas!K321="Hunggar E",22,IF(Atletas!K321="Wuzuquan E",23,IF(Atletas!K321="Wingchun E",24,IF(Atletas!K321="Outra Mão de Sul E",25,IF(Atletas!K321="Choylayfut F",26,IF(Atletas!K321="Hunggar F",27,IF(Atletas!K321="Wuzuquan F",28,IF(Atletas!K321="Wingchun F",29,IF(Atletas!K321="Outra Mão de Sul F",30,""))))))))))))))))))))))))))))))))</f>
        <v/>
      </c>
      <c r="BL325" s="52" t="str">
        <f>IF(Atletas!L321="","",IF(Atletas!W321&lt;&gt;"",10000,0)+(IF(Atletas!B321="Feminino",1000,IF(Atletas!B321="Masculino",2000,""))+(IF(Atletas!L321="Chaquan A",101,IF(Atletas!L321="Emeiquan A",102,IF(Atletas!L321="Fanziquan A",103,IF(Atletas!L321="Huaquan A",104,IF(Atletas!L321="Hongquan A",105,IF(Atletas!L321="Paochui A",106,IF(Atletas!L321="Piguaquan A",107,IF(Atletas!L321="Shaolinquan A",108,IF(Atletas!L321="Tanglangquan A",109,IF(Atletas!L321="Yinzhaophai A",110,IF(Atletas!L321="Tongbeiquan A",111,IF(Atletas!L321="Wudangquan A",112,IF(Atletas!L321="Outros Estilos A",113,IF(Atletas!L321="Chaquan B",114,IF(Atletas!L321="Emeiquan B",115,IF(Atletas!L321="Fanziquan B",116,IF(Atletas!L321="Huaquan B",117,IF(Atletas!L321="Hongquan B",118,IF(Atletas!L321="Paochui B",119,IF(Atletas!L321="Piguaquan B",120,IF(Atletas!L321="Shaolinquan B",121,IF(Atletas!L321="Tanglangquan B",122,IF(Atletas!L321="Yinzhaophai B",123,IF(Atletas!L321="Tongbeiquan B",124,IF(Atletas!L321="Wudangquan B",125,IF(Atletas!L321="Outros Estilos B",126,IF(Atletas!L321="Chaquan C",127,IF(Atletas!L321="Emeiquan C",128,IF(Atletas!L321="Fanziquan C",129,IF(Atletas!L321="Huaquan C",130,IF(Atletas!L321="Hongquan C",131,IF(Atletas!L321="Paochui C",132,IF(Atletas!L321="Piguaquan C",133,IF(Atletas!L321="Shaolinquan C",134,IF(Atletas!L321="Tanglangquan C",135,IF(Atletas!L321="Yinzhaophai C",136,IF(Atletas!L321="Tongbeiquan C",137,IF(Atletas!L321="Wudangquan C",138,IF(Atletas!L321="Outros Estilos C",139,0))))))))))))))))))))))))))))))))))))))))))</f>
        <v/>
      </c>
      <c r="BM325" s="52" t="str">
        <f>IF(Atletas!L321="","",IF(Atletas!W321&lt;&gt;"",10000,0)+(IF(Atletas!B321="Feminino",1000,IF(Atletas!B321="Masculino",2000,""))+(IF(Atletas!L321="Chaquan D",140,IF(Atletas!L321="Emeiquan D",141,IF(Atletas!L321="Fanziquan D",142,IF(Atletas!L321="Huaquan D",143,IF(Atletas!L321="Hongquan D",144,IF(Atletas!L321="Paochui D",145,IF(Atletas!L321="Piguaquan D",146,IF(Atletas!L321="Shaolinquan D",147,IF(Atletas!L321="Tanglangquan D",148,IF(Atletas!L321="Yinzhaophai D",149,IF(Atletas!L321="Tongbeiquan D",150,IF(Atletas!L321="Wudangquan D",151,IF(Atletas!L321="Outros Estilos D",152,IF(Atletas!L321="Chaquan E",153,IF(Atletas!L321="Emeiquan E",154,IF(Atletas!L321="Fanziquan E",155,IF(Atletas!L321="Huaquan E",156,IF(Atletas!L321="Hongquan E",157,IF(Atletas!L321="Paochui E",158,IF(Atletas!L321="Piguaquan E",159,IF(Atletas!L321="Shaolinquan E",160,IF(Atletas!L321="Tanglangquan E",161,IF(Atletas!L321="Yinzhaophai E",162,IF(Atletas!L321="Tongbeiquan E",163,IF(Atletas!L321="Wudangquan E",164,IF(Atletas!L321="Outros Estilos E",165,IF(Atletas!L321="Chaquan F",166,IF(Atletas!L321="Emeiquan F",167,IF(Atletas!L321="Fanziquan F",168,IF(Atletas!L321="Huaquan F",169,IF(Atletas!L321="Hongquan F",170,IF(Atletas!L321="Paochui F",171,IF(Atletas!L321="Piguaquan F",172,IF(Atletas!L321="Shaolinquan F",173,IF(Atletas!L321="Tanglangquan F",174,IF(Atletas!L321="Yinzhaophai F",175,IF(Atletas!L321="Tongbeiquan F",176,IF(Atletas!L321="Wudangquan F",177,IF(Atletas!L321="Outros Estilos F",178,0))))))))))))))))))))))))))))))))))))))))))</f>
        <v/>
      </c>
      <c r="BN325" s="52" t="str">
        <f>IF(Atletas!M321="","",IF(Atletas!W321&lt;&gt;"",10000,0)+(IF(Atletas!B321="Feminino",1000,IF(Atletas!B321="Masculino",2000,""))+(IF(Atletas!M321="Ditangquan A",201,IF(Atletas!M321="Houquan A",202,IF(Atletas!M321="Zuiquan A",203,IF(Atletas!M321="Ditangquan B",204,IF(Atletas!M321="Houquan B",205,IF(Atletas!M321="Zuiquan B",206,IF(Atletas!M321="Ditangquan C",207,IF(Atletas!M321="Houquan C",208,IF(Atletas!M321="Zuiquan C",209,IF(Atletas!M321="Ditangquan D",210,IF(Atletas!M321="Houquan D",211,IF(Atletas!M321="Zuiquan D",212,IF(Atletas!M321="Ditangquan E",213,IF(Atletas!M321="Houquan E",214,IF(Atletas!M321="Zuiquan E",215,IF(Atletas!M321="Ditangquan F",216,IF(Atletas!M321="Houquan F",217,IF(Atletas!M321="Zuiquan F",218,"")))))))))))))))))))))</f>
        <v/>
      </c>
      <c r="BO325" s="52" t="str">
        <f>IF(Atletas!N321="","",IF(Atletas!W321&lt;&gt;"",10000,0)+IF(Atletas!B321="Feminino",1000,IF(Atletas!B321="Masculino",2000,""))+IF(Atletas!N321="Yang A",301,IF(Atletas!N321="Chen A",30,IF(Atletas!N321="Sun A",303,IF(Atletas!N321="Wu A",304,IF(Atletas!N321="Wu-Hao A",305,IF(Atletas!N321="Outro Taijiquan A",306,IF(Atletas!N321="Yang B",307,IF(Atletas!N321="Chen B",308,IF(Atletas!N321="Sun B",309,IF(Atletas!N321="Wu B",310,IF(Atletas!N321="Wu-Hao B",311,IF(Atletas!N321="Outro Taijiquan B",312,IF(Atletas!N321="Yang C",313,IF(Atletas!N321="Chen C",314,IF(Atletas!N321="Sun C",315,IF(Atletas!N321="Wu C",316,IF(Atletas!N321="Wu-Hao C",317,IF(Atletas!N321="Outro Taijiquan C",318,IF(Atletas!N321="Yang D",319,IF(Atletas!N321="Chen D",320,IF(Atletas!N321="Sun D",321,IF(Atletas!N321="Wu D",322,IF(Atletas!N321="Wu-Hao D",323,IF(Atletas!N321="Outro Taijiquan D",324,IF(Atletas!N321="Yang E",325,IF(Atletas!N321="Chen E",326,IF(Atletas!N321="Sun E",327,IF(Atletas!N321="Wu E",328,IF(Atletas!N321="Wu-Hao E",329,IF(Atletas!N321="Outro Taijiquan E",330,IF(Atletas!N321="Yang F",331,IF(Atletas!N321="Chen F",332,IF(Atletas!N321="Sun F",333,IF(Atletas!N321="Wu F",334,IF(Atletas!N321="Wu-Hao F",335,IF(Atletas!N321="Outro Taijiquan F",336,"")))))))))))))))))))))))))))))))))))))</f>
        <v/>
      </c>
      <c r="BP325" s="52" t="str">
        <f>IF(Atletas!O321="","",IF(Atletas!W321&lt;&gt;"",10000,0)+IF(Atletas!B321="Feminino",1000,IF(Atletas!B321="Masculino",2000,""))+IF(OR(Atletas!O321="Yang 26 A",Atletas!O321="Yang 40 A"),401,IF(OR(Atletas!O321="Chen 25 A",Atletas!O321="Chen 36 A",Atletas!O321="Chen 56 A"),402,IF(Atletas!O321="Sun 73 A",403,IF(Atletas!O321="Wu 45 A",404,IF(Atletas!O321="Wu-Hao 46 A",405,IF(OR(Atletas!O321="Taijiquan 16 A",Atletas!O321="Taijiquan 24 A",Atletas!O321="Taijiquan 32 A",Atletas!O321="Taijiquan 42 A"),406,IF(OR(Atletas!O321="Yang 26 B",Atletas!O321="Yang 40 B"),407,IF(OR(Atletas!O321="Chen 25 B",Atletas!O321="Chen 36 B",Atletas!O321="Chen 56 B"),408,IF(Atletas!O321="Sun 73 B",409,IF(Atletas!O321="Wu 45 B",410,IF(Atletas!O321="Wu-Hao 46 B",411,IF(OR(Atletas!O321="Taijiquan 16 B",Atletas!O321="Taijiquan 24 B",Atletas!O321="Taijiquan 32 B",Atletas!O321="Taijiquan 42 B"),412,IF(OR(Atletas!O321="Yang 26 C",Atletas!O321="Yang 40 C"),413,IF(OR(Atletas!O321="Chen 25 C",Atletas!O321="Chen 36 C",Atletas!O321="Chen 56 C"),414,IF(Atletas!O321="Sun 73 C",415,IF(Atletas!O321="Wu 45 C",416,IF(Atletas!O321="Wu-Hao 46 C",417,IF(OR(Atletas!O321="Taijiquan 16 C",Atletas!O321="Taijiquan 24 C",Atletas!O321="Taijiquan 32 C",Atletas!O321="Taijiquan 42 C"),418,0)))))))))))))))))))</f>
        <v/>
      </c>
      <c r="BQ325" s="52" t="str">
        <f>IF(Atletas!O321="","",IF(Atletas!W321&lt;&gt;"",10000,0)+IF(Atletas!B321="Feminino",1000,IF(Atletas!B321="Masculino",2000,""))+IF(OR(Atletas!O321="Yang 26 D",Atletas!O321="Yang 40 D"),419,IF(OR(Atletas!O321="Chen 25 D",Atletas!O321="Chen 36 D",Atletas!O321="Chen 56 D"),420,IF(Atletas!O321="Sun 73 D",421,IF(Atletas!O321="Wu 45 D",422,IF(Atletas!O321="Wu-Hao 46 D",423,IF(OR(Atletas!O321="Taijiquan 16 D",Atletas!O321="Taijiquan 24 D",Atletas!O321="Taijiquan 32 D",Atletas!O321="Taijiquan 42 D"),424,IF(OR(Atletas!O321="Yang 26 E",Atletas!O321="Yang 40 E"),425,IF(OR(Atletas!O321="Chen 25 E",Atletas!O321="Chen 36 E",Atletas!O321="Chen 56 E"),426,IF(Atletas!O321="Sun 73 E",427,IF(Atletas!O321="Wu 45 E",428,IF(Atletas!O321="Wu-Hao 46 E",429,IF(OR(Atletas!O321="Taijiquan 16 E",Atletas!O321="Taijiquan 24 E",Atletas!O321="Taijiquan 32 E",Atletas!O321="Taijiquan 42 E"),430,IF(OR(Atletas!O321="Yang 26 F",Atletas!O321="Yang 40 F"),431,IF(OR(Atletas!O321="Chen 25 F",Atletas!O321="Chen 36 F",Atletas!O321="Chen 56 F"),432,IF(Atletas!O321="Sun 73 F",433,IF(Atletas!O321="Wu 45 F",434,IF(Atletas!O321="Wu-Hao 46 F",435,IF(OR(Atletas!O321="Taijiquan 16 F",Atletas!O321="Taijiquan 24 F",Atletas!O321="Taijiquan 32 F",Atletas!O321="Taijiquan 42 F"),436,0)))))))))))))))))))</f>
        <v/>
      </c>
      <c r="BR325" s="52" t="str">
        <f>IF(Atletas!P321="","",IF(Atletas!W321&lt;&gt;"",10000,0)+IF(Atletas!B321="Feminino",1000,IF(Atletas!B321="Masculino",2000,""))+IF(Atletas!P321="Xingyiquan A",501,IF(Atletas!P321="Baguazhang A",502,IF(Atletas!P321="Outro Estilo Interno A",503,IF(Atletas!P321="Xingyiquan B",504,IF(Atletas!P321="Baguazhang B",505,IF(Atletas!P321="Outro Estilo Interno B",506,IF(Atletas!P321="Xingyiquan C",507,IF(Atletas!P321="Baguazhang C",508,IF(Atletas!P321="Outro Estilo Interno C",509,IF(Atletas!P321="Xingyiquan D",510,IF(Atletas!P321="Baguazhang D",511,IF(Atletas!P321="Outro Estilo Interno D",512,IF(Atletas!P321="Xingyiquan E",513,IF(Atletas!P321="Baguazhang E",514,IF(Atletas!P321="Outro Estilo Interno E",515,IF(Atletas!P321="Xingyiquan F",516,IF(Atletas!P321="Baguazhang F",517,IF(Atletas!P321="Outro Estilo Interno F",518, "")))))))))))))))))))</f>
        <v/>
      </c>
      <c r="BS325" s="52" t="str">
        <f>IF(Atletas!Q321="","",IF(Atletas!W321&lt;&gt;"",10000,0)+IF(Atletas!B321="Feminino",1000,IF(Atletas!B321="Masculino",2000,""))+IF(Atletas!Q321="Dao A",601,IF(Atletas!Q321="Jian A",602,IF(Atletas!Q321="Bishou A",603,IF(Atletas!Q321="Shan A",604,IF(Atletas!Q321="Outra Arma Curta A",605,IF(Atletas!Q321="Dao B",606,IF(Atletas!Q321="Jian B",607,IF(Atletas!Q321="Bishou B",608,IF(Atletas!Q321="Shan B",609,IF(Atletas!Q321="Outra Arma Curta B",610,IF(Atletas!Q321="Dao C",611,IF(Atletas!Q321="Jian C",612,IF(Atletas!Q321="Bishou C",613,IF(Atletas!Q321="Shan C",614,IF(Atletas!Q321="Outra Arma Curta C",615,IF(Atletas!Q321="Dao D",616,IF(Atletas!Q321="Jian D",617,IF(Atletas!Q321="Bishou D",618,IF(Atletas!Q321="Shan D",619,IF(Atletas!Q321="Outra Arma Curta D",620,IF(Atletas!Q321="Dao E",621,IF(Atletas!Q321="Jian E",622,IF(Atletas!Q321="Bishou E",623,IF(Atletas!Q321="Shan E",624,IF(Atletas!Q321="Outra Arma Curta E",625,IF(Atletas!Q321="Dao F",626,IF(Atletas!Q321="Jian F",627,IF(Atletas!Q321="Bishou F",628,IF(Atletas!Q321="Shan F",629,IF(Atletas!Q321="Outra Arma Curta F",630, "")))))))))))))))))))))))))))))))</f>
        <v/>
      </c>
      <c r="BT325" s="52" t="str">
        <f>IF(Atletas!R321="","",IF(Atletas!W321&lt;&gt;"",10000,0)+IF(Atletas!B321="Feminino",1000,IF(Atletas!B321="Masculino",2000,""))+IF(Atletas!R321="Gun A",701,IF(Atletas!R321="Qiang A",702,IF(Atletas!R321="Pudao / Guandao A",703,IF(Atletas!R321="Outra Arma Longa A",704,IF(Atletas!R321="Gun B",705,IF(Atletas!R321="Qiang B",706,IF(Atletas!R321="Pudao / Guandao B",707,IF(Atletas!R321="Outra Arma Longa B",708,IF(Atletas!R321="Gun C",709,IF(Atletas!R321="Qiang C",710,IF(Atletas!R321="Pudao / Guandao C",711,IF(Atletas!R321="Outra Arma Longa C",712,IF(Atletas!R321="Gun D",713,IF(Atletas!R321="Qiang D",714,IF(Atletas!R321="Pudao / Guandao D",715,IF(Atletas!R321="Outra Arma Longa D",716,IF(Atletas!R321="Gun E",717,IF(Atletas!R321="Qiang E",718,IF(Atletas!R321="Pudao / Guandao E",719,IF(Atletas!R321="Outra Arma Longa E",720,IF(Atletas!R321="Gun F",721,IF(Atletas!R321="Qiang F",722,IF(Atletas!R321="Pudao / Guandao F",723,IF(Atletas!R321="Outra Arma Longa F",724,"")))))))))))))))))))))))))</f>
        <v/>
      </c>
      <c r="BU325" s="52" t="str">
        <f>IF(Atletas!S321="","",IF(Atletas!W321&lt;&gt;"",10000,0)+IF(Atletas!B321="Feminino",1000,IF(Atletas!B321="Masculino",2000,""))+IF(Atletas!S321="Arma Dupla A",801,IF(Atletas!S321="Arma Maleável A",802,IF(Atletas!S321="Arma Dupla B",803,IF(Atletas!S321="Arma Maleável B",804,IF(Atletas!S321="Arma Dupla C",805,IF(Atletas!S321="Arma Maleável C",806,IF(Atletas!S321="Arma Dupla D",807,IF(Atletas!S321="Arma Maleável D",808,IF(Atletas!S321="Arma Dupla E",809,IF(Atletas!S321="Arma Maleável E",810,IF(Atletas!S321="Arma Dupla F",811,IF(Atletas!S321="Arma Maleável F",812, "")))))))))))))</f>
        <v/>
      </c>
      <c r="BV325" s="52" t="str">
        <f>IF(Atletas!T321="","",IF(Atletas!W321&lt;&gt;"",10000,0)+IF(Atletas!B321="Feminino",1000,IF(Atletas!B321="Masculino",2000,""))+IF(Atletas!T321="Taijijian Yang A",901,IF(Atletas!T321="Taijijian Chen A",902,IF(Atletas!T321="Taijijian Sun A",903,IF(Atletas!T321="Taijijian Wu A",904,IF(Atletas!T321="Taijijian Wu-Hao A",905,IF(Atletas!T321="Taijijian 32 A",906,IF(Atletas!T321="Taijijian 42 A",907,IF(Atletas!T321="Taijijian Yang B",908,IF(Atletas!T321="Taijijian Chen B",909,IF(Atletas!T321="Taijijian Sun B",910,IF(Atletas!T321="Taijijian Wu B",911,IF(Atletas!T321="Taijijian Wu-Hao B",912,IF(Atletas!T321="Taijijian 32 B",913,IF(Atletas!T321="Taijijian 42 B",914,IF(Atletas!T321="Taijijian Yang C",915,IF(Atletas!T321="Taijijian Chen C",916,IF(Atletas!T321="Taijijian Sun C",917,IF(Atletas!T321="Taijijian Wu C",918,IF(Atletas!T321="Taijijian Wu-Hao C",919,IF(Atletas!T321="Taijijian 32 C",920,IF(Atletas!T321="Taijijian 42 C",921,IF(Atletas!T321="Taijijian Yang D",922,IF(Atletas!T321="Taijijian Chen D",923,IF(Atletas!T321="Taijijian Sun D",924,IF(Atletas!T321="Taijijian Wu D",925,IF(Atletas!T321="Taijijian Wu-Hao D",926,IF(Atletas!T321="Taijijian 32 D",927,IF(Atletas!T321="Taijijian 42 D",928,IF(Atletas!T321="Taijijian Yang E",929,IF(Atletas!T321="Taijijian Chen E",930,IF(Atletas!T321="Taijijian Sun E",931,IF(Atletas!T321="Taijijian Wu E",932,IF(Atletas!T321="Taijijian Wu-Hao E",933,IF(Atletas!T321="Taijijian 32 E",934,IF(Atletas!T321="Taijijian 42 E",935,IF(Atletas!T321="Taijijian Yang F",936,IF(Atletas!T321="Taijijian Chen F",937,IF(Atletas!T321="Taijijian Sun F",938,IF(Atletas!T321="Taijijian Wu F",939,IF(Atletas!T321="Taijijian Wu-Hao F",940,IF(Atletas!T321="Taijijian 32 F",941,IF(Atletas!T321="Taijijian 42 F",942,"")))))))))))))))))))))))))))))))))))))))))))</f>
        <v/>
      </c>
      <c r="BW325" s="52" t="str">
        <f>IF(Atletas!U321="","",IF(Atletas!W321&lt;&gt;"",10000,0)+IF(Atletas!B321="Feminino",1000,IF(Atletas!B321="Masculino",2000,""))+IF(Atletas!T321="Taijijian 42 F",942,IF(Atletas!U321="Taijidao A",943,IF(Atletas!U321="Taijishan A",944,IF(Atletas!U321="Taijiqiang A",945,IF(Atletas!U321="Taijidao B",946,IF(Atletas!U321="Taijishan B",947,IF(Atletas!U321="Taijiqiang B",948,IF(Atletas!U321="Taijidao C",949,IF(Atletas!U321="Taijishan C",950,IF(Atletas!U321="Taijiqiang C",951,IF(Atletas!U321="Taijidao D",952,IF(Atletas!U321="Taijishan D",953,IF(Atletas!U321="Taijiqiang D",954,IF(Atletas!U321="Taijidao E",955,IF(Atletas!U321="Taijishan E",956,IF(Atletas!U321="Taijiqiang E",957,IF(Atletas!U321="Taijidao F",958,IF(Atletas!U321="Taijishan F",959,IF(Atletas!U321="Taijiqiang F",960))))))))))))))))))))</f>
        <v/>
      </c>
      <c r="BX325" s="72" t="str">
        <f>IF(BY325&lt;&gt;"","Taijidao A","")</f>
        <v/>
      </c>
      <c r="BY325" s="72" t="str">
        <f>IF(COUNTIF(BK:BW,1943)&gt;0,COUNTIF(BK:BW,1943),"")</f>
        <v/>
      </c>
      <c r="BZ325" s="72" t="str">
        <f>IF(CA325&lt;&gt;"","Taijidao A","")</f>
        <v/>
      </c>
      <c r="CA325" s="72" t="str">
        <f>IF(COUNTIF(BK:BW,2943)&gt;0,COUNTIF(BK:BW,2943),"")</f>
        <v/>
      </c>
      <c r="CB325" s="72" t="str">
        <f>IF(CC325&lt;&gt;"","Gun D","")</f>
        <v/>
      </c>
      <c r="CC325" s="64" t="str">
        <f>IF(COUNTIF(BK:BW,11713)&gt;0,COUNTIF(BK:BW,11713),"")</f>
        <v/>
      </c>
      <c r="CD325" s="64" t="str">
        <f>IF(CE325&lt;&gt;"","Gun D","")</f>
        <v/>
      </c>
      <c r="CE325" s="64" t="str">
        <f>IF(COUNTIF(BK:BW,12713)&gt;0,COUNTIF(BK:BW,12713),"")</f>
        <v/>
      </c>
      <c r="CF325" s="52" t="str">
        <f xml:space="preserve"> IF(Atletas!V321="","",IF(Atletas!V321="Duilian de Mãos AB - Equipe 1",1,IF(Atletas!V321="Duilian de Mãos AB - Equipe 2",2,IF(Atletas!V321="Duilian de Armas AB - Equipe 1",3,IF(Atletas!V321="Duilian de Armas AB - Equipe 2",4,IF(Atletas!V321="Duilian de Tuishou - Equipe 1",5,IF(Atletas!V321="Duilian de Tuishou - Equipe 2",6,IF(Atletas!V321="Grupo Externo AB - Equipe 1",7,IF(Atletas!V321="Grupo Externo AB - Equipe 2",8,IF(Atletas!V321="Grupo Interno AB - Equipe 1",9,IF(Atletas!V321="Grupo Interno AB - Equipe 2",10,IF(Atletas!V321="Duilian de Mãos CD - Equipe 1",11,IF(Atletas!V321="Duilian de Mãos CD - Equipe 2",12,IF(Atletas!V321="Duilian de Armas CD - Equipe 1",13,IF(Atletas!V321="Duilian de Armas CD - Equipe 2",14,IF(Atletas!V321="Duilian de Tuishou - Equipe 1",15,IF(Atletas!V321="Duilian de Tuishou - Equipe 2",16,IF(Atletas!V321="Grupo Externo CDEF - Equipe 1",17,IF(Atletas!V321="Grupo Externo CDEF - Equipe 2",18,IF(Atletas!V321="Grupo Interno CDEF - Equipe 1",19,IF(Atletas!V321="Grupo Interno CDEF - Equipe 2",20,IF(Atletas!V321="Duilian de Mãos EF - Equipe 1",21,IF(Atletas!V321="Duilian de Mãos EF - Equipe 2",22,IF(Atletas!V321="Duilian de Armas EF - Equipe 1",23,IF(Atletas!V321="Duilian de Armas EF - Equipe 2",24,IF(Atletas!V321="Duilian de Tuishou - Equipe 1",25,IF(Atletas!V321="Duilian de Tuishou - Equipe 2",26,"")))))))))))))))))))))))))))</f>
        <v/>
      </c>
    </row>
    <row r="326" spans="36:84">
      <c r="AJ326" s="46" t="str">
        <f>IF(Atletas!D322="","",IF(Atletas!B322="Feminino",100,IF(Atletas!B322="Masculino",200,""))+(IF(Atletas!D322="Infantil 39kg",1,IF(Atletas!D322="Infantil 42kg",2,IF(Atletas!D322="Infantil 45kg",3,IF(Atletas!D322="Infantil 48kg",4,IF(Atletas!D322="Infantil 52kg",5,IF(Atletas!D322="Infantil 56kg",6,IF(Atletas!D322="Infantil 60kg",7,IF(Atletas!D322="Juvenil 48kg",8,IF(Atletas!D322="Juvenil 52kg",9,IF(Atletas!D322="Juvenil 56kg",10,IF(Atletas!D322="Juvenil 60kg",11,IF(Atletas!D322="Juvenil 65kg",12,IF(Atletas!D322="Juvenil 70kg",13,IF(Atletas!D322="Juvenil 75kg",14,IF(Atletas!D322="Juvenil 80kg",15,IF(Atletas!D322="Adulto 48kg",16,IF(Atletas!D322="Adulto 52kg",17,IF(Atletas!D322="Adulto 56kg",18,IF(Atletas!D322="Adulto 60kg",19,IF(Atletas!D322="Adulto 65kg",20,IF(Atletas!D322="Adulto 70kg",21,IF(Atletas!D322="Adulto 75kg",22,IF(Atletas!D322="Adulto 80kg",23,IF(Atletas!D322="Adulto 85kg",24,IF(Atletas!D322="Adulto 90kg",25,IF(Atletas!D322="Adulto +90kg",26,""))))))))))))))))))))))))))))</f>
        <v/>
      </c>
      <c r="AO326" s="10" t="str">
        <f>IF(Atletas!E322="","",IF(Atletas!B322="Feminino",100,IF(Atletas!B322="Masculino",200,""))+(IF(Atletas!E322="Juvenil 44kg",1,IF(Atletas!E322="Juvenil 48kg",2,IF(Atletas!E322="Juvenil 52kg",3,IF(Atletas!E322="Juvenil 56kg",4,IF(Atletas!E322="Juvenil 60kg",5,IF(Atletas!E322="Juvenil 65kg",6,IF(Atletas!E322="Juvenil 70kg",7,IF(Atletas!E322="Juvenil 75kg",8,IF(Atletas!E322="Juvenil 82kg",9,IF(Atletas!E322="Juvenil 90kg",10,IF(Atletas!E322="Juvenil 100kg",11,IF(Atletas!E322="Adulto 48kg",12,IF(Atletas!E322="Adulto 52kg",13,IF(Atletas!E322="Adulto 56kg",14,IF(Atletas!E322="Adulto 60kg",15,IF(Atletas!E322="Adulto 65kg",16,IF(Atletas!E322="Adulto 70kg",17,IF(Atletas!E322="Adulto 75kg",18,IF(Atletas!E322="Adulto 82kg",19,IF(Atletas!E322="Adulto 90kg",20,IF(Atletas!E322="Adulto 100kg",21,IF(Atletas!E322="Adulto +100kg",22,""))))))))))))))))))))))))</f>
        <v/>
      </c>
      <c r="AT326" s="10" t="str">
        <f>IF(Atletas!F322="","",IF(Atletas!B322="Feminino",100,IF(Atletas!B322="Masculino",200,""))+(IF(Atletas!F322="Adulto 48kg",1,IF(Atletas!F322="Adulto 56kg",2,IF(Atletas!F322="Adulto 65kg",3,IF(Atletas!F322="Adulto 75kg",4,IF(Atletas!F322="Adulto +75kg",5,IF(Atletas!F322="Adulto 52kg",6,IF(Atletas!F322="Adulto 60kg",7,IF(Atletas!F322="Adulto 70kg",8,IF(Atletas!F322="Adulto 80kg",9,IF(Atletas!F322="Adulto 90kg",10,IF(Atletas!F322="Adulto +90kg",11,"")))))))))))))</f>
        <v/>
      </c>
      <c r="AY326" s="46" t="str">
        <f>IF(Atletas!G322="","",IF(Atletas!B322="Feminino",100,IF(Atletas!B322="Masculino",200,""))+(IF(Atletas!G322="Changquan Mirim",1,IF(Atletas!G322="Nanquan Mirim",2,IF(Atletas!G322="Taijiquan Mirim",3,IF(Atletas!G322="Changquan Grupo C",4,IF(Atletas!G322="Nanquan Grupo C",5,IF(Atletas!G322="Taijiquan Grupo C",6,IF(Atletas!G322="Changquan Grupo B",7,IF(Atletas!G322="Nanquan Grupo B",8,IF(Atletas!G322="Taijiquan Grupo B",9,IF(Atletas!G322="Changquan Grupo A",10,IF(Atletas!G322="Nanquan Grupo A",11,IF(Atletas!G322="Taijiquan Grupo A",12,IF(Atletas!G322="Changquan Opcional",13,IF(Atletas!G322="Nanquan Opcional",14,IF(Atletas!G322="Taijiquan Opcional",15,IF(Atletas!G322="Changquan Adulto",16,IF(Atletas!G322="Nanquan Adulto",17,IF(Atletas!G322="Taijiquan Adulto",18,""))))))))))))))))))))</f>
        <v/>
      </c>
      <c r="AZ326" s="46" t="str">
        <f>IF(Atletas!H322="","",IF(Atletas!B322="Feminino",100,IF(Atletas!B322="Masculino",200,""))+(IF(Atletas!H322="Daoshu Mirim",19,IF(Atletas!H322="Jianshu Mirim",20,IF(Atletas!H322="Nandao Mirim",21,IF(Atletas!H322="Taijijian Mirim",22,IF(Atletas!H322="Daoshu Grupo C",23,IF(Atletas!H322="Jianshu Grupo C",24,IF(Atletas!H322="Nandao Grupo C",25,IF(Atletas!H322="Taijijian Grupo C",26,IF(Atletas!H322="Daoshu Grupo B",27,IF(Atletas!H322="Jianshu Grupo B",28,IF(Atletas!H322="Nandao Grupo B",29,IF(Atletas!H322="Taijijian Grupo B",30,IF(Atletas!H322="Daoshu Grupo A",31,IF(Atletas!H322="Jianshu Grupo A",32,IF(Atletas!H322="Nandao Grupo A",33,IF(Atletas!H322="Taijijian Grupo A",34,IF(Atletas!H322="Daoshu Opcional",35,IF(Atletas!H322="Jianshu Opcional",36,IF(Atletas!H322="Nandao Opcional",37,IF(Atletas!H322="Taijijian Opcional",38,IF(Atletas!H322="Daoshu Adulto",39,IF(Atletas!H322="Jianshu Adulto",40,IF(Atletas!H322="Nandao Adulto",41,IF(Atletas!H322="Taijijian Adulto",42,""))))))))))))))))))))))))))</f>
        <v/>
      </c>
      <c r="BA326" s="46" t="str">
        <f>IF(Atletas!I322="","",IF(Atletas!B322="Feminino",100,IF(Atletas!B322="Masculino",200,""))+(IF(Atletas!I322="Gunshu Mirim",43,IF(Atletas!I322="Qiangshu Mirim",44,IF(Atletas!I322="Nangun Mirim",45,IF(Atletas!I322="Gunshu Grupo C",46,IF(Atletas!I322="Qiangshu Grupo C",47,IF(Atletas!I322="Nangun Grupo C",48,IF(Atletas!I322="Gunshu Grupo B",49,IF(Atletas!I322="Qiangshu Grupo B",50,IF(Atletas!I322="Nangun Grupo B",51,IF(Atletas!I322="Gunshu Grupo A",52,IF(Atletas!I322="Qiangshu Grupo A",53,IF(Atletas!I322="Nangun Grupo A",54,IF(Atletas!I322="Gunshu Opcional",55,IF(Atletas!I322="Qiangshu Opcional",56,IF(Atletas!I322="Nangun Opcional",57,IF(Atletas!I322="Gunshu Adulto",58,IF(Atletas!I322="Qiangshu Adulto",59,IF(Atletas!I322="Nangun Adulto",60,""))))))))))))))))))))</f>
        <v/>
      </c>
      <c r="BF326" s="52" t="str">
        <f>IF(Atletas!J322="","",IF(Atletas!B322="Feminino",100,IF(Atletas!B322="Masculino",200,""))+(IF(Atletas!J322="Equipe 1 Grupo B",1,IF(Atletas!J322="Equipe 2 Grupo B",2,IF(Atletas!J322="Equipe 1 Grupo A",3,IF(Atletas!J322="Equipe 2 Grupo A",4,IF(Atletas!J322="Equipe 1 Adulto",5,IF(Atletas!J322="Equipe 2 Adulto",6,""))))))))</f>
        <v/>
      </c>
      <c r="BK326" s="52" t="str">
        <f>IF(Atletas!K322="","",IF(Atletas!W322&lt;&gt;"",10000,0)+(IF(Atletas!B322="Feminino",1000,IF(Atletas!B322="Masculino",2000,""))+IF(Atletas!K322="Choylayfut A",1,IF(Atletas!K322="Hunggar A",2,IF(Atletas!K322="Wuzuquan A",3,IF(Atletas!K322="Wingchun A",4,IF(Atletas!K322="Outra Mão de Sul A",5,IF(Atletas!K322="Choylayfut B",6,IF(Atletas!K322="Hunggar B",7,IF(Atletas!K322="Wuzuquan B",8,IF(Atletas!K322="Wingchun B",9,IF(Atletas!K322="Outra Mão de Sul B",10,IF(Atletas!K322="Choylayfut C",11,IF(Atletas!K322="Hunggar C",12,IF(Atletas!K322="Wuzuquan C",13,IF(Atletas!K322="Wingchun C",14,IF(Atletas!K322="Outra Mão de Sul C",15,IF(Atletas!K322="Choylayfut D",16,IF(Atletas!K322="Hunggar D",17,IF(Atletas!K322="Wuzuquan D",18,IF(Atletas!K322="Wingchun D",19,IF(Atletas!K322="Outra Mão de Sul D",20,IF(Atletas!K322="Choylayfut E",21,IF(Atletas!K322="Hunggar E",22,IF(Atletas!K322="Wuzuquan E",23,IF(Atletas!K322="Wingchun E",24,IF(Atletas!K322="Outra Mão de Sul E",25,IF(Atletas!K322="Choylayfut F",26,IF(Atletas!K322="Hunggar F",27,IF(Atletas!K322="Wuzuquan F",28,IF(Atletas!K322="Wingchun F",29,IF(Atletas!K322="Outra Mão de Sul F",30,""))))))))))))))))))))))))))))))))</f>
        <v/>
      </c>
      <c r="BL326" s="52" t="str">
        <f>IF(Atletas!L322="","",IF(Atletas!W322&lt;&gt;"",10000,0)+(IF(Atletas!B322="Feminino",1000,IF(Atletas!B322="Masculino",2000,""))+(IF(Atletas!L322="Chaquan A",101,IF(Atletas!L322="Emeiquan A",102,IF(Atletas!L322="Fanziquan A",103,IF(Atletas!L322="Huaquan A",104,IF(Atletas!L322="Hongquan A",105,IF(Atletas!L322="Paochui A",106,IF(Atletas!L322="Piguaquan A",107,IF(Atletas!L322="Shaolinquan A",108,IF(Atletas!L322="Tanglangquan A",109,IF(Atletas!L322="Yinzhaophai A",110,IF(Atletas!L322="Tongbeiquan A",111,IF(Atletas!L322="Wudangquan A",112,IF(Atletas!L322="Outros Estilos A",113,IF(Atletas!L322="Chaquan B",114,IF(Atletas!L322="Emeiquan B",115,IF(Atletas!L322="Fanziquan B",116,IF(Atletas!L322="Huaquan B",117,IF(Atletas!L322="Hongquan B",118,IF(Atletas!L322="Paochui B",119,IF(Atletas!L322="Piguaquan B",120,IF(Atletas!L322="Shaolinquan B",121,IF(Atletas!L322="Tanglangquan B",122,IF(Atletas!L322="Yinzhaophai B",123,IF(Atletas!L322="Tongbeiquan B",124,IF(Atletas!L322="Wudangquan B",125,IF(Atletas!L322="Outros Estilos B",126,IF(Atletas!L322="Chaquan C",127,IF(Atletas!L322="Emeiquan C",128,IF(Atletas!L322="Fanziquan C",129,IF(Atletas!L322="Huaquan C",130,IF(Atletas!L322="Hongquan C",131,IF(Atletas!L322="Paochui C",132,IF(Atletas!L322="Piguaquan C",133,IF(Atletas!L322="Shaolinquan C",134,IF(Atletas!L322="Tanglangquan C",135,IF(Atletas!L322="Yinzhaophai C",136,IF(Atletas!L322="Tongbeiquan C",137,IF(Atletas!L322="Wudangquan C",138,IF(Atletas!L322="Outros Estilos C",139,0))))))))))))))))))))))))))))))))))))))))))</f>
        <v/>
      </c>
      <c r="BM326" s="52" t="str">
        <f>IF(Atletas!L322="","",IF(Atletas!W322&lt;&gt;"",10000,0)+(IF(Atletas!B322="Feminino",1000,IF(Atletas!B322="Masculino",2000,""))+(IF(Atletas!L322="Chaquan D",140,IF(Atletas!L322="Emeiquan D",141,IF(Atletas!L322="Fanziquan D",142,IF(Atletas!L322="Huaquan D",143,IF(Atletas!L322="Hongquan D",144,IF(Atletas!L322="Paochui D",145,IF(Atletas!L322="Piguaquan D",146,IF(Atletas!L322="Shaolinquan D",147,IF(Atletas!L322="Tanglangquan D",148,IF(Atletas!L322="Yinzhaophai D",149,IF(Atletas!L322="Tongbeiquan D",150,IF(Atletas!L322="Wudangquan D",151,IF(Atletas!L322="Outros Estilos D",152,IF(Atletas!L322="Chaquan E",153,IF(Atletas!L322="Emeiquan E",154,IF(Atletas!L322="Fanziquan E",155,IF(Atletas!L322="Huaquan E",156,IF(Atletas!L322="Hongquan E",157,IF(Atletas!L322="Paochui E",158,IF(Atletas!L322="Piguaquan E",159,IF(Atletas!L322="Shaolinquan E",160,IF(Atletas!L322="Tanglangquan E",161,IF(Atletas!L322="Yinzhaophai E",162,IF(Atletas!L322="Tongbeiquan E",163,IF(Atletas!L322="Wudangquan E",164,IF(Atletas!L322="Outros Estilos E",165,IF(Atletas!L322="Chaquan F",166,IF(Atletas!L322="Emeiquan F",167,IF(Atletas!L322="Fanziquan F",168,IF(Atletas!L322="Huaquan F",169,IF(Atletas!L322="Hongquan F",170,IF(Atletas!L322="Paochui F",171,IF(Atletas!L322="Piguaquan F",172,IF(Atletas!L322="Shaolinquan F",173,IF(Atletas!L322="Tanglangquan F",174,IF(Atletas!L322="Yinzhaophai F",175,IF(Atletas!L322="Tongbeiquan F",176,IF(Atletas!L322="Wudangquan F",177,IF(Atletas!L322="Outros Estilos F",178,0))))))))))))))))))))))))))))))))))))))))))</f>
        <v/>
      </c>
      <c r="BN326" s="52" t="str">
        <f>IF(Atletas!M322="","",IF(Atletas!W322&lt;&gt;"",10000,0)+(IF(Atletas!B322="Feminino",1000,IF(Atletas!B322="Masculino",2000,""))+(IF(Atletas!M322="Ditangquan A",201,IF(Atletas!M322="Houquan A",202,IF(Atletas!M322="Zuiquan A",203,IF(Atletas!M322="Ditangquan B",204,IF(Atletas!M322="Houquan B",205,IF(Atletas!M322="Zuiquan B",206,IF(Atletas!M322="Ditangquan C",207,IF(Atletas!M322="Houquan C",208,IF(Atletas!M322="Zuiquan C",209,IF(Atletas!M322="Ditangquan D",210,IF(Atletas!M322="Houquan D",211,IF(Atletas!M322="Zuiquan D",212,IF(Atletas!M322="Ditangquan E",213,IF(Atletas!M322="Houquan E",214,IF(Atletas!M322="Zuiquan E",215,IF(Atletas!M322="Ditangquan F",216,IF(Atletas!M322="Houquan F",217,IF(Atletas!M322="Zuiquan F",218,"")))))))))))))))))))))</f>
        <v/>
      </c>
      <c r="BO326" s="52" t="str">
        <f>IF(Atletas!N322="","",IF(Atletas!W322&lt;&gt;"",10000,0)+IF(Atletas!B322="Feminino",1000,IF(Atletas!B322="Masculino",2000,""))+IF(Atletas!N322="Yang A",301,IF(Atletas!N322="Chen A",30,IF(Atletas!N322="Sun A",303,IF(Atletas!N322="Wu A",304,IF(Atletas!N322="Wu-Hao A",305,IF(Atletas!N322="Outro Taijiquan A",306,IF(Atletas!N322="Yang B",307,IF(Atletas!N322="Chen B",308,IF(Atletas!N322="Sun B",309,IF(Atletas!N322="Wu B",310,IF(Atletas!N322="Wu-Hao B",311,IF(Atletas!N322="Outro Taijiquan B",312,IF(Atletas!N322="Yang C",313,IF(Atletas!N322="Chen C",314,IF(Atletas!N322="Sun C",315,IF(Atletas!N322="Wu C",316,IF(Atletas!N322="Wu-Hao C",317,IF(Atletas!N322="Outro Taijiquan C",318,IF(Atletas!N322="Yang D",319,IF(Atletas!N322="Chen D",320,IF(Atletas!N322="Sun D",321,IF(Atletas!N322="Wu D",322,IF(Atletas!N322="Wu-Hao D",323,IF(Atletas!N322="Outro Taijiquan D",324,IF(Atletas!N322="Yang E",325,IF(Atletas!N322="Chen E",326,IF(Atletas!N322="Sun E",327,IF(Atletas!N322="Wu E",328,IF(Atletas!N322="Wu-Hao E",329,IF(Atletas!N322="Outro Taijiquan E",330,IF(Atletas!N322="Yang F",331,IF(Atletas!N322="Chen F",332,IF(Atletas!N322="Sun F",333,IF(Atletas!N322="Wu F",334,IF(Atletas!N322="Wu-Hao F",335,IF(Atletas!N322="Outro Taijiquan F",336,"")))))))))))))))))))))))))))))))))))))</f>
        <v/>
      </c>
      <c r="BP326" s="52" t="str">
        <f>IF(Atletas!O322="","",IF(Atletas!W322&lt;&gt;"",10000,0)+IF(Atletas!B322="Feminino",1000,IF(Atletas!B322="Masculino",2000,""))+IF(OR(Atletas!O322="Yang 26 A",Atletas!O322="Yang 40 A"),401,IF(OR(Atletas!O322="Chen 25 A",Atletas!O322="Chen 36 A",Atletas!O322="Chen 56 A"),402,IF(Atletas!O322="Sun 73 A",403,IF(Atletas!O322="Wu 45 A",404,IF(Atletas!O322="Wu-Hao 46 A",405,IF(OR(Atletas!O322="Taijiquan 16 A",Atletas!O322="Taijiquan 24 A",Atletas!O322="Taijiquan 32 A",Atletas!O322="Taijiquan 42 A"),406,IF(OR(Atletas!O322="Yang 26 B",Atletas!O322="Yang 40 B"),407,IF(OR(Atletas!O322="Chen 25 B",Atletas!O322="Chen 36 B",Atletas!O322="Chen 56 B"),408,IF(Atletas!O322="Sun 73 B",409,IF(Atletas!O322="Wu 45 B",410,IF(Atletas!O322="Wu-Hao 46 B",411,IF(OR(Atletas!O322="Taijiquan 16 B",Atletas!O322="Taijiquan 24 B",Atletas!O322="Taijiquan 32 B",Atletas!O322="Taijiquan 42 B"),412,IF(OR(Atletas!O322="Yang 26 C",Atletas!O322="Yang 40 C"),413,IF(OR(Atletas!O322="Chen 25 C",Atletas!O322="Chen 36 C",Atletas!O322="Chen 56 C"),414,IF(Atletas!O322="Sun 73 C",415,IF(Atletas!O322="Wu 45 C",416,IF(Atletas!O322="Wu-Hao 46 C",417,IF(OR(Atletas!O322="Taijiquan 16 C",Atletas!O322="Taijiquan 24 C",Atletas!O322="Taijiquan 32 C",Atletas!O322="Taijiquan 42 C"),418,0)))))))))))))))))))</f>
        <v/>
      </c>
      <c r="BQ326" s="52" t="str">
        <f>IF(Atletas!O322="","",IF(Atletas!W322&lt;&gt;"",10000,0)+IF(Atletas!B322="Feminino",1000,IF(Atletas!B322="Masculino",2000,""))+IF(OR(Atletas!O322="Yang 26 D",Atletas!O322="Yang 40 D"),419,IF(OR(Atletas!O322="Chen 25 D",Atletas!O322="Chen 36 D",Atletas!O322="Chen 56 D"),420,IF(Atletas!O322="Sun 73 D",421,IF(Atletas!O322="Wu 45 D",422,IF(Atletas!O322="Wu-Hao 46 D",423,IF(OR(Atletas!O322="Taijiquan 16 D",Atletas!O322="Taijiquan 24 D",Atletas!O322="Taijiquan 32 D",Atletas!O322="Taijiquan 42 D"),424,IF(OR(Atletas!O322="Yang 26 E",Atletas!O322="Yang 40 E"),425,IF(OR(Atletas!O322="Chen 25 E",Atletas!O322="Chen 36 E",Atletas!O322="Chen 56 E"),426,IF(Atletas!O322="Sun 73 E",427,IF(Atletas!O322="Wu 45 E",428,IF(Atletas!O322="Wu-Hao 46 E",429,IF(OR(Atletas!O322="Taijiquan 16 E",Atletas!O322="Taijiquan 24 E",Atletas!O322="Taijiquan 32 E",Atletas!O322="Taijiquan 42 E"),430,IF(OR(Atletas!O322="Yang 26 F",Atletas!O322="Yang 40 F"),431,IF(OR(Atletas!O322="Chen 25 F",Atletas!O322="Chen 36 F",Atletas!O322="Chen 56 F"),432,IF(Atletas!O322="Sun 73 F",433,IF(Atletas!O322="Wu 45 F",434,IF(Atletas!O322="Wu-Hao 46 F",435,IF(OR(Atletas!O322="Taijiquan 16 F",Atletas!O322="Taijiquan 24 F",Atletas!O322="Taijiquan 32 F",Atletas!O322="Taijiquan 42 F"),436,0)))))))))))))))))))</f>
        <v/>
      </c>
      <c r="BR326" s="52" t="str">
        <f>IF(Atletas!P322="","",IF(Atletas!W322&lt;&gt;"",10000,0)+IF(Atletas!B322="Feminino",1000,IF(Atletas!B322="Masculino",2000,""))+IF(Atletas!P322="Xingyiquan A",501,IF(Atletas!P322="Baguazhang A",502,IF(Atletas!P322="Outro Estilo Interno A",503,IF(Atletas!P322="Xingyiquan B",504,IF(Atletas!P322="Baguazhang B",505,IF(Atletas!P322="Outro Estilo Interno B",506,IF(Atletas!P322="Xingyiquan C",507,IF(Atletas!P322="Baguazhang C",508,IF(Atletas!P322="Outro Estilo Interno C",509,IF(Atletas!P322="Xingyiquan D",510,IF(Atletas!P322="Baguazhang D",511,IF(Atletas!P322="Outro Estilo Interno D",512,IF(Atletas!P322="Xingyiquan E",513,IF(Atletas!P322="Baguazhang E",514,IF(Atletas!P322="Outro Estilo Interno E",515,IF(Atletas!P322="Xingyiquan F",516,IF(Atletas!P322="Baguazhang F",517,IF(Atletas!P322="Outro Estilo Interno F",518, "")))))))))))))))))))</f>
        <v/>
      </c>
      <c r="BS326" s="52" t="str">
        <f>IF(Atletas!Q322="","",IF(Atletas!W322&lt;&gt;"",10000,0)+IF(Atletas!B322="Feminino",1000,IF(Atletas!B322="Masculino",2000,""))+IF(Atletas!Q322="Dao A",601,IF(Atletas!Q322="Jian A",602,IF(Atletas!Q322="Bishou A",603,IF(Atletas!Q322="Shan A",604,IF(Atletas!Q322="Outra Arma Curta A",605,IF(Atletas!Q322="Dao B",606,IF(Atletas!Q322="Jian B",607,IF(Atletas!Q322="Bishou B",608,IF(Atletas!Q322="Shan B",609,IF(Atletas!Q322="Outra Arma Curta B",610,IF(Atletas!Q322="Dao C",611,IF(Atletas!Q322="Jian C",612,IF(Atletas!Q322="Bishou C",613,IF(Atletas!Q322="Shan C",614,IF(Atletas!Q322="Outra Arma Curta C",615,IF(Atletas!Q322="Dao D",616,IF(Atletas!Q322="Jian D",617,IF(Atletas!Q322="Bishou D",618,IF(Atletas!Q322="Shan D",619,IF(Atletas!Q322="Outra Arma Curta D",620,IF(Atletas!Q322="Dao E",621,IF(Atletas!Q322="Jian E",622,IF(Atletas!Q322="Bishou E",623,IF(Atletas!Q322="Shan E",624,IF(Atletas!Q322="Outra Arma Curta E",625,IF(Atletas!Q322="Dao F",626,IF(Atletas!Q322="Jian F",627,IF(Atletas!Q322="Bishou F",628,IF(Atletas!Q322="Shan F",629,IF(Atletas!Q322="Outra Arma Curta F",630, "")))))))))))))))))))))))))))))))</f>
        <v/>
      </c>
      <c r="BT326" s="52" t="str">
        <f>IF(Atletas!R322="","",IF(Atletas!W322&lt;&gt;"",10000,0)+IF(Atletas!B322="Feminino",1000,IF(Atletas!B322="Masculino",2000,""))+IF(Atletas!R322="Gun A",701,IF(Atletas!R322="Qiang A",702,IF(Atletas!R322="Pudao / Guandao A",703,IF(Atletas!R322="Outra Arma Longa A",704,IF(Atletas!R322="Gun B",705,IF(Atletas!R322="Qiang B",706,IF(Atletas!R322="Pudao / Guandao B",707,IF(Atletas!R322="Outra Arma Longa B",708,IF(Atletas!R322="Gun C",709,IF(Atletas!R322="Qiang C",710,IF(Atletas!R322="Pudao / Guandao C",711,IF(Atletas!R322="Outra Arma Longa C",712,IF(Atletas!R322="Gun D",713,IF(Atletas!R322="Qiang D",714,IF(Atletas!R322="Pudao / Guandao D",715,IF(Atletas!R322="Outra Arma Longa D",716,IF(Atletas!R322="Gun E",717,IF(Atletas!R322="Qiang E",718,IF(Atletas!R322="Pudao / Guandao E",719,IF(Atletas!R322="Outra Arma Longa E",720,IF(Atletas!R322="Gun F",721,IF(Atletas!R322="Qiang F",722,IF(Atletas!R322="Pudao / Guandao F",723,IF(Atletas!R322="Outra Arma Longa F",724,"")))))))))))))))))))))))))</f>
        <v/>
      </c>
      <c r="BU326" s="52" t="str">
        <f>IF(Atletas!S322="","",IF(Atletas!W322&lt;&gt;"",10000,0)+IF(Atletas!B322="Feminino",1000,IF(Atletas!B322="Masculino",2000,""))+IF(Atletas!S322="Arma Dupla A",801,IF(Atletas!S322="Arma Maleável A",802,IF(Atletas!S322="Arma Dupla B",803,IF(Atletas!S322="Arma Maleável B",804,IF(Atletas!S322="Arma Dupla C",805,IF(Atletas!S322="Arma Maleável C",806,IF(Atletas!S322="Arma Dupla D",807,IF(Atletas!S322="Arma Maleável D",808,IF(Atletas!S322="Arma Dupla E",809,IF(Atletas!S322="Arma Maleável E",810,IF(Atletas!S322="Arma Dupla F",811,IF(Atletas!S322="Arma Maleável F",812, "")))))))))))))</f>
        <v/>
      </c>
      <c r="BV326" s="52" t="str">
        <f>IF(Atletas!T322="","",IF(Atletas!W322&lt;&gt;"",10000,0)+IF(Atletas!B322="Feminino",1000,IF(Atletas!B322="Masculino",2000,""))+IF(Atletas!T322="Taijijian Yang A",901,IF(Atletas!T322="Taijijian Chen A",902,IF(Atletas!T322="Taijijian Sun A",903,IF(Atletas!T322="Taijijian Wu A",904,IF(Atletas!T322="Taijijian Wu-Hao A",905,IF(Atletas!T322="Taijijian 32 A",906,IF(Atletas!T322="Taijijian 42 A",907,IF(Atletas!T322="Taijijian Yang B",908,IF(Atletas!T322="Taijijian Chen B",909,IF(Atletas!T322="Taijijian Sun B",910,IF(Atletas!T322="Taijijian Wu B",911,IF(Atletas!T322="Taijijian Wu-Hao B",912,IF(Atletas!T322="Taijijian 32 B",913,IF(Atletas!T322="Taijijian 42 B",914,IF(Atletas!T322="Taijijian Yang C",915,IF(Atletas!T322="Taijijian Chen C",916,IF(Atletas!T322="Taijijian Sun C",917,IF(Atletas!T322="Taijijian Wu C",918,IF(Atletas!T322="Taijijian Wu-Hao C",919,IF(Atletas!T322="Taijijian 32 C",920,IF(Atletas!T322="Taijijian 42 C",921,IF(Atletas!T322="Taijijian Yang D",922,IF(Atletas!T322="Taijijian Chen D",923,IF(Atletas!T322="Taijijian Sun D",924,IF(Atletas!T322="Taijijian Wu D",925,IF(Atletas!T322="Taijijian Wu-Hao D",926,IF(Atletas!T322="Taijijian 32 D",927,IF(Atletas!T322="Taijijian 42 D",928,IF(Atletas!T322="Taijijian Yang E",929,IF(Atletas!T322="Taijijian Chen E",930,IF(Atletas!T322="Taijijian Sun E",931,IF(Atletas!T322="Taijijian Wu E",932,IF(Atletas!T322="Taijijian Wu-Hao E",933,IF(Atletas!T322="Taijijian 32 E",934,IF(Atletas!T322="Taijijian 42 E",935,IF(Atletas!T322="Taijijian Yang F",936,IF(Atletas!T322="Taijijian Chen F",937,IF(Atletas!T322="Taijijian Sun F",938,IF(Atletas!T322="Taijijian Wu F",939,IF(Atletas!T322="Taijijian Wu-Hao F",940,IF(Atletas!T322="Taijijian 32 F",941,IF(Atletas!T322="Taijijian 42 F",942,"")))))))))))))))))))))))))))))))))))))))))))</f>
        <v/>
      </c>
      <c r="BW326" s="52" t="str">
        <f>IF(Atletas!U322="","",IF(Atletas!W322&lt;&gt;"",10000,0)+IF(Atletas!B322="Feminino",1000,IF(Atletas!B322="Masculino",2000,""))+IF(Atletas!T322="Taijijian 42 F",942,IF(Atletas!U322="Taijidao A",943,IF(Atletas!U322="Taijishan A",944,IF(Atletas!U322="Taijiqiang A",945,IF(Atletas!U322="Taijidao B",946,IF(Atletas!U322="Taijishan B",947,IF(Atletas!U322="Taijiqiang B",948,IF(Atletas!U322="Taijidao C",949,IF(Atletas!U322="Taijishan C",950,IF(Atletas!U322="Taijiqiang C",951,IF(Atletas!U322="Taijidao D",952,IF(Atletas!U322="Taijishan D",953,IF(Atletas!U322="Taijiqiang D",954,IF(Atletas!U322="Taijidao E",955,IF(Atletas!U322="Taijishan E",956,IF(Atletas!U322="Taijiqiang E",957,IF(Atletas!U322="Taijidao F",958,IF(Atletas!U322="Taijishan F",959,IF(Atletas!U322="Taijiqiang F",960))))))))))))))))))))</f>
        <v/>
      </c>
      <c r="BX326" s="72" t="str">
        <f>IF(BY326&lt;&gt;"","Taijishan A","")</f>
        <v/>
      </c>
      <c r="BY326" s="72" t="str">
        <f>IF(COUNTIF(BK:BW,1944)&gt;0,COUNTIF(BK:BW,1944),"")</f>
        <v/>
      </c>
      <c r="BZ326" s="72" t="str">
        <f>IF(CA326&lt;&gt;"","Taijishan A","")</f>
        <v/>
      </c>
      <c r="CA326" s="72" t="str">
        <f>IF(COUNTIF(BK:BW,2944)&gt;0,COUNTIF(BK:BW,2944),"")</f>
        <v/>
      </c>
      <c r="CB326" s="72" t="str">
        <f>IF(CC326&lt;&gt;"","Qiang D","")</f>
        <v/>
      </c>
      <c r="CC326" s="64" t="str">
        <f>IF(COUNTIF(BK:BW,11714)&gt;0,COUNTIF(BK:BW,11714),"")</f>
        <v/>
      </c>
      <c r="CD326" s="64" t="str">
        <f>IF(CE326&lt;&gt;"","Qiang D","")</f>
        <v/>
      </c>
      <c r="CE326" s="64" t="str">
        <f>IF(COUNTIF(BK:BW,12714)&gt;0,COUNTIF(BK:BW,12714),"")</f>
        <v/>
      </c>
      <c r="CF326" s="52" t="str">
        <f xml:space="preserve"> IF(Atletas!V322="","",IF(Atletas!V322="Duilian de Mãos AB - Equipe 1",1,IF(Atletas!V322="Duilian de Mãos AB - Equipe 2",2,IF(Atletas!V322="Duilian de Armas AB - Equipe 1",3,IF(Atletas!V322="Duilian de Armas AB - Equipe 2",4,IF(Atletas!V322="Duilian de Tuishou - Equipe 1",5,IF(Atletas!V322="Duilian de Tuishou - Equipe 2",6,IF(Atletas!V322="Grupo Externo AB - Equipe 1",7,IF(Atletas!V322="Grupo Externo AB - Equipe 2",8,IF(Atletas!V322="Grupo Interno AB - Equipe 1",9,IF(Atletas!V322="Grupo Interno AB - Equipe 2",10,IF(Atletas!V322="Duilian de Mãos CD - Equipe 1",11,IF(Atletas!V322="Duilian de Mãos CD - Equipe 2",12,IF(Atletas!V322="Duilian de Armas CD - Equipe 1",13,IF(Atletas!V322="Duilian de Armas CD - Equipe 2",14,IF(Atletas!V322="Duilian de Tuishou - Equipe 1",15,IF(Atletas!V322="Duilian de Tuishou - Equipe 2",16,IF(Atletas!V322="Grupo Externo CDEF - Equipe 1",17,IF(Atletas!V322="Grupo Externo CDEF - Equipe 2",18,IF(Atletas!V322="Grupo Interno CDEF - Equipe 1",19,IF(Atletas!V322="Grupo Interno CDEF - Equipe 2",20,IF(Atletas!V322="Duilian de Mãos EF - Equipe 1",21,IF(Atletas!V322="Duilian de Mãos EF - Equipe 2",22,IF(Atletas!V322="Duilian de Armas EF - Equipe 1",23,IF(Atletas!V322="Duilian de Armas EF - Equipe 2",24,IF(Atletas!V322="Duilian de Tuishou - Equipe 1",25,IF(Atletas!V322="Duilian de Tuishou - Equipe 2",26,"")))))))))))))))))))))))))))</f>
        <v/>
      </c>
    </row>
    <row r="327" spans="36:84">
      <c r="AJ327" s="46" t="str">
        <f>IF(Atletas!D323="","",IF(Atletas!B323="Feminino",100,IF(Atletas!B323="Masculino",200,""))+(IF(Atletas!D323="Infantil 39kg",1,IF(Atletas!D323="Infantil 42kg",2,IF(Atletas!D323="Infantil 45kg",3,IF(Atletas!D323="Infantil 48kg",4,IF(Atletas!D323="Infantil 52kg",5,IF(Atletas!D323="Infantil 56kg",6,IF(Atletas!D323="Infantil 60kg",7,IF(Atletas!D323="Juvenil 48kg",8,IF(Atletas!D323="Juvenil 52kg",9,IF(Atletas!D323="Juvenil 56kg",10,IF(Atletas!D323="Juvenil 60kg",11,IF(Atletas!D323="Juvenil 65kg",12,IF(Atletas!D323="Juvenil 70kg",13,IF(Atletas!D323="Juvenil 75kg",14,IF(Atletas!D323="Juvenil 80kg",15,IF(Atletas!D323="Adulto 48kg",16,IF(Atletas!D323="Adulto 52kg",17,IF(Atletas!D323="Adulto 56kg",18,IF(Atletas!D323="Adulto 60kg",19,IF(Atletas!D323="Adulto 65kg",20,IF(Atletas!D323="Adulto 70kg",21,IF(Atletas!D323="Adulto 75kg",22,IF(Atletas!D323="Adulto 80kg",23,IF(Atletas!D323="Adulto 85kg",24,IF(Atletas!D323="Adulto 90kg",25,IF(Atletas!D323="Adulto +90kg",26,""))))))))))))))))))))))))))))</f>
        <v/>
      </c>
      <c r="AO327" s="10" t="str">
        <f>IF(Atletas!E323="","",IF(Atletas!B323="Feminino",100,IF(Atletas!B323="Masculino",200,""))+(IF(Atletas!E323="Juvenil 44kg",1,IF(Atletas!E323="Juvenil 48kg",2,IF(Atletas!E323="Juvenil 52kg",3,IF(Atletas!E323="Juvenil 56kg",4,IF(Atletas!E323="Juvenil 60kg",5,IF(Atletas!E323="Juvenil 65kg",6,IF(Atletas!E323="Juvenil 70kg",7,IF(Atletas!E323="Juvenil 75kg",8,IF(Atletas!E323="Juvenil 82kg",9,IF(Atletas!E323="Juvenil 90kg",10,IF(Atletas!E323="Juvenil 100kg",11,IF(Atletas!E323="Adulto 48kg",12,IF(Atletas!E323="Adulto 52kg",13,IF(Atletas!E323="Adulto 56kg",14,IF(Atletas!E323="Adulto 60kg",15,IF(Atletas!E323="Adulto 65kg",16,IF(Atletas!E323="Adulto 70kg",17,IF(Atletas!E323="Adulto 75kg",18,IF(Atletas!E323="Adulto 82kg",19,IF(Atletas!E323="Adulto 90kg",20,IF(Atletas!E323="Adulto 100kg",21,IF(Atletas!E323="Adulto +100kg",22,""))))))))))))))))))))))))</f>
        <v/>
      </c>
      <c r="AT327" s="10" t="str">
        <f>IF(Atletas!F323="","",IF(Atletas!B323="Feminino",100,IF(Atletas!B323="Masculino",200,""))+(IF(Atletas!F323="Adulto 48kg",1,IF(Atletas!F323="Adulto 56kg",2,IF(Atletas!F323="Adulto 65kg",3,IF(Atletas!F323="Adulto 75kg",4,IF(Atletas!F323="Adulto +75kg",5,IF(Atletas!F323="Adulto 52kg",6,IF(Atletas!F323="Adulto 60kg",7,IF(Atletas!F323="Adulto 70kg",8,IF(Atletas!F323="Adulto 80kg",9,IF(Atletas!F323="Adulto 90kg",10,IF(Atletas!F323="Adulto +90kg",11,"")))))))))))))</f>
        <v/>
      </c>
      <c r="AY327" s="46" t="str">
        <f>IF(Atletas!G323="","",IF(Atletas!B323="Feminino",100,IF(Atletas!B323="Masculino",200,""))+(IF(Atletas!G323="Changquan Mirim",1,IF(Atletas!G323="Nanquan Mirim",2,IF(Atletas!G323="Taijiquan Mirim",3,IF(Atletas!G323="Changquan Grupo C",4,IF(Atletas!G323="Nanquan Grupo C",5,IF(Atletas!G323="Taijiquan Grupo C",6,IF(Atletas!G323="Changquan Grupo B",7,IF(Atletas!G323="Nanquan Grupo B",8,IF(Atletas!G323="Taijiquan Grupo B",9,IF(Atletas!G323="Changquan Grupo A",10,IF(Atletas!G323="Nanquan Grupo A",11,IF(Atletas!G323="Taijiquan Grupo A",12,IF(Atletas!G323="Changquan Opcional",13,IF(Atletas!G323="Nanquan Opcional",14,IF(Atletas!G323="Taijiquan Opcional",15,IF(Atletas!G323="Changquan Adulto",16,IF(Atletas!G323="Nanquan Adulto",17,IF(Atletas!G323="Taijiquan Adulto",18,""))))))))))))))))))))</f>
        <v/>
      </c>
      <c r="AZ327" s="46" t="str">
        <f>IF(Atletas!H323="","",IF(Atletas!B323="Feminino",100,IF(Atletas!B323="Masculino",200,""))+(IF(Atletas!H323="Daoshu Mirim",19,IF(Atletas!H323="Jianshu Mirim",20,IF(Atletas!H323="Nandao Mirim",21,IF(Atletas!H323="Taijijian Mirim",22,IF(Atletas!H323="Daoshu Grupo C",23,IF(Atletas!H323="Jianshu Grupo C",24,IF(Atletas!H323="Nandao Grupo C",25,IF(Atletas!H323="Taijijian Grupo C",26,IF(Atletas!H323="Daoshu Grupo B",27,IF(Atletas!H323="Jianshu Grupo B",28,IF(Atletas!H323="Nandao Grupo B",29,IF(Atletas!H323="Taijijian Grupo B",30,IF(Atletas!H323="Daoshu Grupo A",31,IF(Atletas!H323="Jianshu Grupo A",32,IF(Atletas!H323="Nandao Grupo A",33,IF(Atletas!H323="Taijijian Grupo A",34,IF(Atletas!H323="Daoshu Opcional",35,IF(Atletas!H323="Jianshu Opcional",36,IF(Atletas!H323="Nandao Opcional",37,IF(Atletas!H323="Taijijian Opcional",38,IF(Atletas!H323="Daoshu Adulto",39,IF(Atletas!H323="Jianshu Adulto",40,IF(Atletas!H323="Nandao Adulto",41,IF(Atletas!H323="Taijijian Adulto",42,""))))))))))))))))))))))))))</f>
        <v/>
      </c>
      <c r="BA327" s="46" t="str">
        <f>IF(Atletas!I323="","",IF(Atletas!B323="Feminino",100,IF(Atletas!B323="Masculino",200,""))+(IF(Atletas!I323="Gunshu Mirim",43,IF(Atletas!I323="Qiangshu Mirim",44,IF(Atletas!I323="Nangun Mirim",45,IF(Atletas!I323="Gunshu Grupo C",46,IF(Atletas!I323="Qiangshu Grupo C",47,IF(Atletas!I323="Nangun Grupo C",48,IF(Atletas!I323="Gunshu Grupo B",49,IF(Atletas!I323="Qiangshu Grupo B",50,IF(Atletas!I323="Nangun Grupo B",51,IF(Atletas!I323="Gunshu Grupo A",52,IF(Atletas!I323="Qiangshu Grupo A",53,IF(Atletas!I323="Nangun Grupo A",54,IF(Atletas!I323="Gunshu Opcional",55,IF(Atletas!I323="Qiangshu Opcional",56,IF(Atletas!I323="Nangun Opcional",57,IF(Atletas!I323="Gunshu Adulto",58,IF(Atletas!I323="Qiangshu Adulto",59,IF(Atletas!I323="Nangun Adulto",60,""))))))))))))))))))))</f>
        <v/>
      </c>
      <c r="BF327" s="52" t="str">
        <f>IF(Atletas!J323="","",IF(Atletas!B323="Feminino",100,IF(Atletas!B323="Masculino",200,""))+(IF(Atletas!J323="Equipe 1 Grupo B",1,IF(Atletas!J323="Equipe 2 Grupo B",2,IF(Atletas!J323="Equipe 1 Grupo A",3,IF(Atletas!J323="Equipe 2 Grupo A",4,IF(Atletas!J323="Equipe 1 Adulto",5,IF(Atletas!J323="Equipe 2 Adulto",6,""))))))))</f>
        <v/>
      </c>
      <c r="BK327" s="52" t="str">
        <f>IF(Atletas!K323="","",IF(Atletas!W323&lt;&gt;"",10000,0)+(IF(Atletas!B323="Feminino",1000,IF(Atletas!B323="Masculino",2000,""))+IF(Atletas!K323="Choylayfut A",1,IF(Atletas!K323="Hunggar A",2,IF(Atletas!K323="Wuzuquan A",3,IF(Atletas!K323="Wingchun A",4,IF(Atletas!K323="Outra Mão de Sul A",5,IF(Atletas!K323="Choylayfut B",6,IF(Atletas!K323="Hunggar B",7,IF(Atletas!K323="Wuzuquan B",8,IF(Atletas!K323="Wingchun B",9,IF(Atletas!K323="Outra Mão de Sul B",10,IF(Atletas!K323="Choylayfut C",11,IF(Atletas!K323="Hunggar C",12,IF(Atletas!K323="Wuzuquan C",13,IF(Atletas!K323="Wingchun C",14,IF(Atletas!K323="Outra Mão de Sul C",15,IF(Atletas!K323="Choylayfut D",16,IF(Atletas!K323="Hunggar D",17,IF(Atletas!K323="Wuzuquan D",18,IF(Atletas!K323="Wingchun D",19,IF(Atletas!K323="Outra Mão de Sul D",20,IF(Atletas!K323="Choylayfut E",21,IF(Atletas!K323="Hunggar E",22,IF(Atletas!K323="Wuzuquan E",23,IF(Atletas!K323="Wingchun E",24,IF(Atletas!K323="Outra Mão de Sul E",25,IF(Atletas!K323="Choylayfut F",26,IF(Atletas!K323="Hunggar F",27,IF(Atletas!K323="Wuzuquan F",28,IF(Atletas!K323="Wingchun F",29,IF(Atletas!K323="Outra Mão de Sul F",30,""))))))))))))))))))))))))))))))))</f>
        <v/>
      </c>
      <c r="BL327" s="52" t="str">
        <f>IF(Atletas!L323="","",IF(Atletas!W323&lt;&gt;"",10000,0)+(IF(Atletas!B323="Feminino",1000,IF(Atletas!B323="Masculino",2000,""))+(IF(Atletas!L323="Chaquan A",101,IF(Atletas!L323="Emeiquan A",102,IF(Atletas!L323="Fanziquan A",103,IF(Atletas!L323="Huaquan A",104,IF(Atletas!L323="Hongquan A",105,IF(Atletas!L323="Paochui A",106,IF(Atletas!L323="Piguaquan A",107,IF(Atletas!L323="Shaolinquan A",108,IF(Atletas!L323="Tanglangquan A",109,IF(Atletas!L323="Yinzhaophai A",110,IF(Atletas!L323="Tongbeiquan A",111,IF(Atletas!L323="Wudangquan A",112,IF(Atletas!L323="Outros Estilos A",113,IF(Atletas!L323="Chaquan B",114,IF(Atletas!L323="Emeiquan B",115,IF(Atletas!L323="Fanziquan B",116,IF(Atletas!L323="Huaquan B",117,IF(Atletas!L323="Hongquan B",118,IF(Atletas!L323="Paochui B",119,IF(Atletas!L323="Piguaquan B",120,IF(Atletas!L323="Shaolinquan B",121,IF(Atletas!L323="Tanglangquan B",122,IF(Atletas!L323="Yinzhaophai B",123,IF(Atletas!L323="Tongbeiquan B",124,IF(Atletas!L323="Wudangquan B",125,IF(Atletas!L323="Outros Estilos B",126,IF(Atletas!L323="Chaquan C",127,IF(Atletas!L323="Emeiquan C",128,IF(Atletas!L323="Fanziquan C",129,IF(Atletas!L323="Huaquan C",130,IF(Atletas!L323="Hongquan C",131,IF(Atletas!L323="Paochui C",132,IF(Atletas!L323="Piguaquan C",133,IF(Atletas!L323="Shaolinquan C",134,IF(Atletas!L323="Tanglangquan C",135,IF(Atletas!L323="Yinzhaophai C",136,IF(Atletas!L323="Tongbeiquan C",137,IF(Atletas!L323="Wudangquan C",138,IF(Atletas!L323="Outros Estilos C",139,0))))))))))))))))))))))))))))))))))))))))))</f>
        <v/>
      </c>
      <c r="BM327" s="52" t="str">
        <f>IF(Atletas!L323="","",IF(Atletas!W323&lt;&gt;"",10000,0)+(IF(Atletas!B323="Feminino",1000,IF(Atletas!B323="Masculino",2000,""))+(IF(Atletas!L323="Chaquan D",140,IF(Atletas!L323="Emeiquan D",141,IF(Atletas!L323="Fanziquan D",142,IF(Atletas!L323="Huaquan D",143,IF(Atletas!L323="Hongquan D",144,IF(Atletas!L323="Paochui D",145,IF(Atletas!L323="Piguaquan D",146,IF(Atletas!L323="Shaolinquan D",147,IF(Atletas!L323="Tanglangquan D",148,IF(Atletas!L323="Yinzhaophai D",149,IF(Atletas!L323="Tongbeiquan D",150,IF(Atletas!L323="Wudangquan D",151,IF(Atletas!L323="Outros Estilos D",152,IF(Atletas!L323="Chaquan E",153,IF(Atletas!L323="Emeiquan E",154,IF(Atletas!L323="Fanziquan E",155,IF(Atletas!L323="Huaquan E",156,IF(Atletas!L323="Hongquan E",157,IF(Atletas!L323="Paochui E",158,IF(Atletas!L323="Piguaquan E",159,IF(Atletas!L323="Shaolinquan E",160,IF(Atletas!L323="Tanglangquan E",161,IF(Atletas!L323="Yinzhaophai E",162,IF(Atletas!L323="Tongbeiquan E",163,IF(Atletas!L323="Wudangquan E",164,IF(Atletas!L323="Outros Estilos E",165,IF(Atletas!L323="Chaquan F",166,IF(Atletas!L323="Emeiquan F",167,IF(Atletas!L323="Fanziquan F",168,IF(Atletas!L323="Huaquan F",169,IF(Atletas!L323="Hongquan F",170,IF(Atletas!L323="Paochui F",171,IF(Atletas!L323="Piguaquan F",172,IF(Atletas!L323="Shaolinquan F",173,IF(Atletas!L323="Tanglangquan F",174,IF(Atletas!L323="Yinzhaophai F",175,IF(Atletas!L323="Tongbeiquan F",176,IF(Atletas!L323="Wudangquan F",177,IF(Atletas!L323="Outros Estilos F",178,0))))))))))))))))))))))))))))))))))))))))))</f>
        <v/>
      </c>
      <c r="BN327" s="52" t="str">
        <f>IF(Atletas!M323="","",IF(Atletas!W323&lt;&gt;"",10000,0)+(IF(Atletas!B323="Feminino",1000,IF(Atletas!B323="Masculino",2000,""))+(IF(Atletas!M323="Ditangquan A",201,IF(Atletas!M323="Houquan A",202,IF(Atletas!M323="Zuiquan A",203,IF(Atletas!M323="Ditangquan B",204,IF(Atletas!M323="Houquan B",205,IF(Atletas!M323="Zuiquan B",206,IF(Atletas!M323="Ditangquan C",207,IF(Atletas!M323="Houquan C",208,IF(Atletas!M323="Zuiquan C",209,IF(Atletas!M323="Ditangquan D",210,IF(Atletas!M323="Houquan D",211,IF(Atletas!M323="Zuiquan D",212,IF(Atletas!M323="Ditangquan E",213,IF(Atletas!M323="Houquan E",214,IF(Atletas!M323="Zuiquan E",215,IF(Atletas!M323="Ditangquan F",216,IF(Atletas!M323="Houquan F",217,IF(Atletas!M323="Zuiquan F",218,"")))))))))))))))))))))</f>
        <v/>
      </c>
      <c r="BO327" s="52" t="str">
        <f>IF(Atletas!N323="","",IF(Atletas!W323&lt;&gt;"",10000,0)+IF(Atletas!B323="Feminino",1000,IF(Atletas!B323="Masculino",2000,""))+IF(Atletas!N323="Yang A",301,IF(Atletas!N323="Chen A",30,IF(Atletas!N323="Sun A",303,IF(Atletas!N323="Wu A",304,IF(Atletas!N323="Wu-Hao A",305,IF(Atletas!N323="Outro Taijiquan A",306,IF(Atletas!N323="Yang B",307,IF(Atletas!N323="Chen B",308,IF(Atletas!N323="Sun B",309,IF(Atletas!N323="Wu B",310,IF(Atletas!N323="Wu-Hao B",311,IF(Atletas!N323="Outro Taijiquan B",312,IF(Atletas!N323="Yang C",313,IF(Atletas!N323="Chen C",314,IF(Atletas!N323="Sun C",315,IF(Atletas!N323="Wu C",316,IF(Atletas!N323="Wu-Hao C",317,IF(Atletas!N323="Outro Taijiquan C",318,IF(Atletas!N323="Yang D",319,IF(Atletas!N323="Chen D",320,IF(Atletas!N323="Sun D",321,IF(Atletas!N323="Wu D",322,IF(Atletas!N323="Wu-Hao D",323,IF(Atletas!N323="Outro Taijiquan D",324,IF(Atletas!N323="Yang E",325,IF(Atletas!N323="Chen E",326,IF(Atletas!N323="Sun E",327,IF(Atletas!N323="Wu E",328,IF(Atletas!N323="Wu-Hao E",329,IF(Atletas!N323="Outro Taijiquan E",330,IF(Atletas!N323="Yang F",331,IF(Atletas!N323="Chen F",332,IF(Atletas!N323="Sun F",333,IF(Atletas!N323="Wu F",334,IF(Atletas!N323="Wu-Hao F",335,IF(Atletas!N323="Outro Taijiquan F",336,"")))))))))))))))))))))))))))))))))))))</f>
        <v/>
      </c>
      <c r="BP327" s="52" t="str">
        <f>IF(Atletas!O323="","",IF(Atletas!W323&lt;&gt;"",10000,0)+IF(Atletas!B323="Feminino",1000,IF(Atletas!B323="Masculino",2000,""))+IF(OR(Atletas!O323="Yang 26 A",Atletas!O323="Yang 40 A"),401,IF(OR(Atletas!O323="Chen 25 A",Atletas!O323="Chen 36 A",Atletas!O323="Chen 56 A"),402,IF(Atletas!O323="Sun 73 A",403,IF(Atletas!O323="Wu 45 A",404,IF(Atletas!O323="Wu-Hao 46 A",405,IF(OR(Atletas!O323="Taijiquan 16 A",Atletas!O323="Taijiquan 24 A",Atletas!O323="Taijiquan 32 A",Atletas!O323="Taijiquan 42 A"),406,IF(OR(Atletas!O323="Yang 26 B",Atletas!O323="Yang 40 B"),407,IF(OR(Atletas!O323="Chen 25 B",Atletas!O323="Chen 36 B",Atletas!O323="Chen 56 B"),408,IF(Atletas!O323="Sun 73 B",409,IF(Atletas!O323="Wu 45 B",410,IF(Atletas!O323="Wu-Hao 46 B",411,IF(OR(Atletas!O323="Taijiquan 16 B",Atletas!O323="Taijiquan 24 B",Atletas!O323="Taijiquan 32 B",Atletas!O323="Taijiquan 42 B"),412,IF(OR(Atletas!O323="Yang 26 C",Atletas!O323="Yang 40 C"),413,IF(OR(Atletas!O323="Chen 25 C",Atletas!O323="Chen 36 C",Atletas!O323="Chen 56 C"),414,IF(Atletas!O323="Sun 73 C",415,IF(Atletas!O323="Wu 45 C",416,IF(Atletas!O323="Wu-Hao 46 C",417,IF(OR(Atletas!O323="Taijiquan 16 C",Atletas!O323="Taijiquan 24 C",Atletas!O323="Taijiquan 32 C",Atletas!O323="Taijiquan 42 C"),418,0)))))))))))))))))))</f>
        <v/>
      </c>
      <c r="BQ327" s="52" t="str">
        <f>IF(Atletas!O323="","",IF(Atletas!W323&lt;&gt;"",10000,0)+IF(Atletas!B323="Feminino",1000,IF(Atletas!B323="Masculino",2000,""))+IF(OR(Atletas!O323="Yang 26 D",Atletas!O323="Yang 40 D"),419,IF(OR(Atletas!O323="Chen 25 D",Atletas!O323="Chen 36 D",Atletas!O323="Chen 56 D"),420,IF(Atletas!O323="Sun 73 D",421,IF(Atletas!O323="Wu 45 D",422,IF(Atletas!O323="Wu-Hao 46 D",423,IF(OR(Atletas!O323="Taijiquan 16 D",Atletas!O323="Taijiquan 24 D",Atletas!O323="Taijiquan 32 D",Atletas!O323="Taijiquan 42 D"),424,IF(OR(Atletas!O323="Yang 26 E",Atletas!O323="Yang 40 E"),425,IF(OR(Atletas!O323="Chen 25 E",Atletas!O323="Chen 36 E",Atletas!O323="Chen 56 E"),426,IF(Atletas!O323="Sun 73 E",427,IF(Atletas!O323="Wu 45 E",428,IF(Atletas!O323="Wu-Hao 46 E",429,IF(OR(Atletas!O323="Taijiquan 16 E",Atletas!O323="Taijiquan 24 E",Atletas!O323="Taijiquan 32 E",Atletas!O323="Taijiquan 42 E"),430,IF(OR(Atletas!O323="Yang 26 F",Atletas!O323="Yang 40 F"),431,IF(OR(Atletas!O323="Chen 25 F",Atletas!O323="Chen 36 F",Atletas!O323="Chen 56 F"),432,IF(Atletas!O323="Sun 73 F",433,IF(Atletas!O323="Wu 45 F",434,IF(Atletas!O323="Wu-Hao 46 F",435,IF(OR(Atletas!O323="Taijiquan 16 F",Atletas!O323="Taijiquan 24 F",Atletas!O323="Taijiquan 32 F",Atletas!O323="Taijiquan 42 F"),436,0)))))))))))))))))))</f>
        <v/>
      </c>
      <c r="BR327" s="52" t="str">
        <f>IF(Atletas!P323="","",IF(Atletas!W323&lt;&gt;"",10000,0)+IF(Atletas!B323="Feminino",1000,IF(Atletas!B323="Masculino",2000,""))+IF(Atletas!P323="Xingyiquan A",501,IF(Atletas!P323="Baguazhang A",502,IF(Atletas!P323="Outro Estilo Interno A",503,IF(Atletas!P323="Xingyiquan B",504,IF(Atletas!P323="Baguazhang B",505,IF(Atletas!P323="Outro Estilo Interno B",506,IF(Atletas!P323="Xingyiquan C",507,IF(Atletas!P323="Baguazhang C",508,IF(Atletas!P323="Outro Estilo Interno C",509,IF(Atletas!P323="Xingyiquan D",510,IF(Atletas!P323="Baguazhang D",511,IF(Atletas!P323="Outro Estilo Interno D",512,IF(Atletas!P323="Xingyiquan E",513,IF(Atletas!P323="Baguazhang E",514,IF(Atletas!P323="Outro Estilo Interno E",515,IF(Atletas!P323="Xingyiquan F",516,IF(Atletas!P323="Baguazhang F",517,IF(Atletas!P323="Outro Estilo Interno F",518, "")))))))))))))))))))</f>
        <v/>
      </c>
      <c r="BS327" s="52" t="str">
        <f>IF(Atletas!Q323="","",IF(Atletas!W323&lt;&gt;"",10000,0)+IF(Atletas!B323="Feminino",1000,IF(Atletas!B323="Masculino",2000,""))+IF(Atletas!Q323="Dao A",601,IF(Atletas!Q323="Jian A",602,IF(Atletas!Q323="Bishou A",603,IF(Atletas!Q323="Shan A",604,IF(Atletas!Q323="Outra Arma Curta A",605,IF(Atletas!Q323="Dao B",606,IF(Atletas!Q323="Jian B",607,IF(Atletas!Q323="Bishou B",608,IF(Atletas!Q323="Shan B",609,IF(Atletas!Q323="Outra Arma Curta B",610,IF(Atletas!Q323="Dao C",611,IF(Atletas!Q323="Jian C",612,IF(Atletas!Q323="Bishou C",613,IF(Atletas!Q323="Shan C",614,IF(Atletas!Q323="Outra Arma Curta C",615,IF(Atletas!Q323="Dao D",616,IF(Atletas!Q323="Jian D",617,IF(Atletas!Q323="Bishou D",618,IF(Atletas!Q323="Shan D",619,IF(Atletas!Q323="Outra Arma Curta D",620,IF(Atletas!Q323="Dao E",621,IF(Atletas!Q323="Jian E",622,IF(Atletas!Q323="Bishou E",623,IF(Atletas!Q323="Shan E",624,IF(Atletas!Q323="Outra Arma Curta E",625,IF(Atletas!Q323="Dao F",626,IF(Atletas!Q323="Jian F",627,IF(Atletas!Q323="Bishou F",628,IF(Atletas!Q323="Shan F",629,IF(Atletas!Q323="Outra Arma Curta F",630, "")))))))))))))))))))))))))))))))</f>
        <v/>
      </c>
      <c r="BT327" s="52" t="str">
        <f>IF(Atletas!R323="","",IF(Atletas!W323&lt;&gt;"",10000,0)+IF(Atletas!B323="Feminino",1000,IF(Atletas!B323="Masculino",2000,""))+IF(Atletas!R323="Gun A",701,IF(Atletas!R323="Qiang A",702,IF(Atletas!R323="Pudao / Guandao A",703,IF(Atletas!R323="Outra Arma Longa A",704,IF(Atletas!R323="Gun B",705,IF(Atletas!R323="Qiang B",706,IF(Atletas!R323="Pudao / Guandao B",707,IF(Atletas!R323="Outra Arma Longa B",708,IF(Atletas!R323="Gun C",709,IF(Atletas!R323="Qiang C",710,IF(Atletas!R323="Pudao / Guandao C",711,IF(Atletas!R323="Outra Arma Longa C",712,IF(Atletas!R323="Gun D",713,IF(Atletas!R323="Qiang D",714,IF(Atletas!R323="Pudao / Guandao D",715,IF(Atletas!R323="Outra Arma Longa D",716,IF(Atletas!R323="Gun E",717,IF(Atletas!R323="Qiang E",718,IF(Atletas!R323="Pudao / Guandao E",719,IF(Atletas!R323="Outra Arma Longa E",720,IF(Atletas!R323="Gun F",721,IF(Atletas!R323="Qiang F",722,IF(Atletas!R323="Pudao / Guandao F",723,IF(Atletas!R323="Outra Arma Longa F",724,"")))))))))))))))))))))))))</f>
        <v/>
      </c>
      <c r="BU327" s="52" t="str">
        <f>IF(Atletas!S323="","",IF(Atletas!W323&lt;&gt;"",10000,0)+IF(Atletas!B323="Feminino",1000,IF(Atletas!B323="Masculino",2000,""))+IF(Atletas!S323="Arma Dupla A",801,IF(Atletas!S323="Arma Maleável A",802,IF(Atletas!S323="Arma Dupla B",803,IF(Atletas!S323="Arma Maleável B",804,IF(Atletas!S323="Arma Dupla C",805,IF(Atletas!S323="Arma Maleável C",806,IF(Atletas!S323="Arma Dupla D",807,IF(Atletas!S323="Arma Maleável D",808,IF(Atletas!S323="Arma Dupla E",809,IF(Atletas!S323="Arma Maleável E",810,IF(Atletas!S323="Arma Dupla F",811,IF(Atletas!S323="Arma Maleável F",812, "")))))))))))))</f>
        <v/>
      </c>
      <c r="BV327" s="52" t="str">
        <f>IF(Atletas!T323="","",IF(Atletas!W323&lt;&gt;"",10000,0)+IF(Atletas!B323="Feminino",1000,IF(Atletas!B323="Masculino",2000,""))+IF(Atletas!T323="Taijijian Yang A",901,IF(Atletas!T323="Taijijian Chen A",902,IF(Atletas!T323="Taijijian Sun A",903,IF(Atletas!T323="Taijijian Wu A",904,IF(Atletas!T323="Taijijian Wu-Hao A",905,IF(Atletas!T323="Taijijian 32 A",906,IF(Atletas!T323="Taijijian 42 A",907,IF(Atletas!T323="Taijijian Yang B",908,IF(Atletas!T323="Taijijian Chen B",909,IF(Atletas!T323="Taijijian Sun B",910,IF(Atletas!T323="Taijijian Wu B",911,IF(Atletas!T323="Taijijian Wu-Hao B",912,IF(Atletas!T323="Taijijian 32 B",913,IF(Atletas!T323="Taijijian 42 B",914,IF(Atletas!T323="Taijijian Yang C",915,IF(Atletas!T323="Taijijian Chen C",916,IF(Atletas!T323="Taijijian Sun C",917,IF(Atletas!T323="Taijijian Wu C",918,IF(Atletas!T323="Taijijian Wu-Hao C",919,IF(Atletas!T323="Taijijian 32 C",920,IF(Atletas!T323="Taijijian 42 C",921,IF(Atletas!T323="Taijijian Yang D",922,IF(Atletas!T323="Taijijian Chen D",923,IF(Atletas!T323="Taijijian Sun D",924,IF(Atletas!T323="Taijijian Wu D",925,IF(Atletas!T323="Taijijian Wu-Hao D",926,IF(Atletas!T323="Taijijian 32 D",927,IF(Atletas!T323="Taijijian 42 D",928,IF(Atletas!T323="Taijijian Yang E",929,IF(Atletas!T323="Taijijian Chen E",930,IF(Atletas!T323="Taijijian Sun E",931,IF(Atletas!T323="Taijijian Wu E",932,IF(Atletas!T323="Taijijian Wu-Hao E",933,IF(Atletas!T323="Taijijian 32 E",934,IF(Atletas!T323="Taijijian 42 E",935,IF(Atletas!T323="Taijijian Yang F",936,IF(Atletas!T323="Taijijian Chen F",937,IF(Atletas!T323="Taijijian Sun F",938,IF(Atletas!T323="Taijijian Wu F",939,IF(Atletas!T323="Taijijian Wu-Hao F",940,IF(Atletas!T323="Taijijian 32 F",941,IF(Atletas!T323="Taijijian 42 F",942,"")))))))))))))))))))))))))))))))))))))))))))</f>
        <v/>
      </c>
      <c r="BW327" s="52" t="str">
        <f>IF(Atletas!U323="","",IF(Atletas!W323&lt;&gt;"",10000,0)+IF(Atletas!B323="Feminino",1000,IF(Atletas!B323="Masculino",2000,""))+IF(Atletas!T323="Taijijian 42 F",942,IF(Atletas!U323="Taijidao A",943,IF(Atletas!U323="Taijishan A",944,IF(Atletas!U323="Taijiqiang A",945,IF(Atletas!U323="Taijidao B",946,IF(Atletas!U323="Taijishan B",947,IF(Atletas!U323="Taijiqiang B",948,IF(Atletas!U323="Taijidao C",949,IF(Atletas!U323="Taijishan C",950,IF(Atletas!U323="Taijiqiang C",951,IF(Atletas!U323="Taijidao D",952,IF(Atletas!U323="Taijishan D",953,IF(Atletas!U323="Taijiqiang D",954,IF(Atletas!U323="Taijidao E",955,IF(Atletas!U323="Taijishan E",956,IF(Atletas!U323="Taijiqiang E",957,IF(Atletas!U323="Taijidao F",958,IF(Atletas!U323="Taijishan F",959,IF(Atletas!U323="Taijiqiang F",960))))))))))))))))))))</f>
        <v/>
      </c>
      <c r="BX327" s="72" t="str">
        <f>IF(BY327&lt;&gt;"","Taijiqiang A","")</f>
        <v/>
      </c>
      <c r="BY327" s="72" t="str">
        <f>IF(COUNTIF(BK:BW,1945)&gt;0,COUNTIF(BK:BW,1945),"")</f>
        <v/>
      </c>
      <c r="BZ327" s="72" t="str">
        <f>IF(CA327&lt;&gt;"","Taijiqiang A","")</f>
        <v/>
      </c>
      <c r="CA327" s="72" t="str">
        <f>IF(COUNTIF(BK:BW,2945)&gt;0,COUNTIF(BK:BW,2945),"")</f>
        <v/>
      </c>
      <c r="CB327" s="72" t="str">
        <f>IF(CC327&lt;&gt;"","Pudao / Gaundao D","")</f>
        <v/>
      </c>
      <c r="CC327" s="64" t="str">
        <f>IF(COUNTIF(BK:BW,11715)&gt;0,COUNTIF(BK:BW,11715),"")</f>
        <v/>
      </c>
      <c r="CD327" s="64" t="str">
        <f>IF(CE327&lt;&gt;"","Pudao / Gaundao D","")</f>
        <v/>
      </c>
      <c r="CE327" s="64" t="str">
        <f>IF(COUNTIF(BK:BW,12715)&gt;0,COUNTIF(BK:BW,12715),"")</f>
        <v/>
      </c>
      <c r="CF327" s="52" t="str">
        <f xml:space="preserve"> IF(Atletas!V323="","",IF(Atletas!V323="Duilian de Mãos AB - Equipe 1",1,IF(Atletas!V323="Duilian de Mãos AB - Equipe 2",2,IF(Atletas!V323="Duilian de Armas AB - Equipe 1",3,IF(Atletas!V323="Duilian de Armas AB - Equipe 2",4,IF(Atletas!V323="Duilian de Tuishou - Equipe 1",5,IF(Atletas!V323="Duilian de Tuishou - Equipe 2",6,IF(Atletas!V323="Grupo Externo AB - Equipe 1",7,IF(Atletas!V323="Grupo Externo AB - Equipe 2",8,IF(Atletas!V323="Grupo Interno AB - Equipe 1",9,IF(Atletas!V323="Grupo Interno AB - Equipe 2",10,IF(Atletas!V323="Duilian de Mãos CD - Equipe 1",11,IF(Atletas!V323="Duilian de Mãos CD - Equipe 2",12,IF(Atletas!V323="Duilian de Armas CD - Equipe 1",13,IF(Atletas!V323="Duilian de Armas CD - Equipe 2",14,IF(Atletas!V323="Duilian de Tuishou - Equipe 1",15,IF(Atletas!V323="Duilian de Tuishou - Equipe 2",16,IF(Atletas!V323="Grupo Externo CDEF - Equipe 1",17,IF(Atletas!V323="Grupo Externo CDEF - Equipe 2",18,IF(Atletas!V323="Grupo Interno CDEF - Equipe 1",19,IF(Atletas!V323="Grupo Interno CDEF - Equipe 2",20,IF(Atletas!V323="Duilian de Mãos EF - Equipe 1",21,IF(Atletas!V323="Duilian de Mãos EF - Equipe 2",22,IF(Atletas!V323="Duilian de Armas EF - Equipe 1",23,IF(Atletas!V323="Duilian de Armas EF - Equipe 2",24,IF(Atletas!V323="Duilian de Tuishou - Equipe 1",25,IF(Atletas!V323="Duilian de Tuishou - Equipe 2",26,"")))))))))))))))))))))))))))</f>
        <v/>
      </c>
    </row>
    <row r="328" spans="36:84">
      <c r="AJ328" s="46" t="str">
        <f>IF(Atletas!D324="","",IF(Atletas!B324="Feminino",100,IF(Atletas!B324="Masculino",200,""))+(IF(Atletas!D324="Infantil 39kg",1,IF(Atletas!D324="Infantil 42kg",2,IF(Atletas!D324="Infantil 45kg",3,IF(Atletas!D324="Infantil 48kg",4,IF(Atletas!D324="Infantil 52kg",5,IF(Atletas!D324="Infantil 56kg",6,IF(Atletas!D324="Infantil 60kg",7,IF(Atletas!D324="Juvenil 48kg",8,IF(Atletas!D324="Juvenil 52kg",9,IF(Atletas!D324="Juvenil 56kg",10,IF(Atletas!D324="Juvenil 60kg",11,IF(Atletas!D324="Juvenil 65kg",12,IF(Atletas!D324="Juvenil 70kg",13,IF(Atletas!D324="Juvenil 75kg",14,IF(Atletas!D324="Juvenil 80kg",15,IF(Atletas!D324="Adulto 48kg",16,IF(Atletas!D324="Adulto 52kg",17,IF(Atletas!D324="Adulto 56kg",18,IF(Atletas!D324="Adulto 60kg",19,IF(Atletas!D324="Adulto 65kg",20,IF(Atletas!D324="Adulto 70kg",21,IF(Atletas!D324="Adulto 75kg",22,IF(Atletas!D324="Adulto 80kg",23,IF(Atletas!D324="Adulto 85kg",24,IF(Atletas!D324="Adulto 90kg",25,IF(Atletas!D324="Adulto +90kg",26,""))))))))))))))))))))))))))))</f>
        <v/>
      </c>
      <c r="AO328" s="10" t="str">
        <f>IF(Atletas!E324="","",IF(Atletas!B324="Feminino",100,IF(Atletas!B324="Masculino",200,""))+(IF(Atletas!E324="Juvenil 44kg",1,IF(Atletas!E324="Juvenil 48kg",2,IF(Atletas!E324="Juvenil 52kg",3,IF(Atletas!E324="Juvenil 56kg",4,IF(Atletas!E324="Juvenil 60kg",5,IF(Atletas!E324="Juvenil 65kg",6,IF(Atletas!E324="Juvenil 70kg",7,IF(Atletas!E324="Juvenil 75kg",8,IF(Atletas!E324="Juvenil 82kg",9,IF(Atletas!E324="Juvenil 90kg",10,IF(Atletas!E324="Juvenil 100kg",11,IF(Atletas!E324="Adulto 48kg",12,IF(Atletas!E324="Adulto 52kg",13,IF(Atletas!E324="Adulto 56kg",14,IF(Atletas!E324="Adulto 60kg",15,IF(Atletas!E324="Adulto 65kg",16,IF(Atletas!E324="Adulto 70kg",17,IF(Atletas!E324="Adulto 75kg",18,IF(Atletas!E324="Adulto 82kg",19,IF(Atletas!E324="Adulto 90kg",20,IF(Atletas!E324="Adulto 100kg",21,IF(Atletas!E324="Adulto +100kg",22,""))))))))))))))))))))))))</f>
        <v/>
      </c>
      <c r="AT328" s="10" t="str">
        <f>IF(Atletas!F324="","",IF(Atletas!B324="Feminino",100,IF(Atletas!B324="Masculino",200,""))+(IF(Atletas!F324="Adulto 48kg",1,IF(Atletas!F324="Adulto 56kg",2,IF(Atletas!F324="Adulto 65kg",3,IF(Atletas!F324="Adulto 75kg",4,IF(Atletas!F324="Adulto +75kg",5,IF(Atletas!F324="Adulto 52kg",6,IF(Atletas!F324="Adulto 60kg",7,IF(Atletas!F324="Adulto 70kg",8,IF(Atletas!F324="Adulto 80kg",9,IF(Atletas!F324="Adulto 90kg",10,IF(Atletas!F324="Adulto +90kg",11,"")))))))))))))</f>
        <v/>
      </c>
      <c r="AY328" s="46" t="str">
        <f>IF(Atletas!G324="","",IF(Atletas!B324="Feminino",100,IF(Atletas!B324="Masculino",200,""))+(IF(Atletas!G324="Changquan Mirim",1,IF(Atletas!G324="Nanquan Mirim",2,IF(Atletas!G324="Taijiquan Mirim",3,IF(Atletas!G324="Changquan Grupo C",4,IF(Atletas!G324="Nanquan Grupo C",5,IF(Atletas!G324="Taijiquan Grupo C",6,IF(Atletas!G324="Changquan Grupo B",7,IF(Atletas!G324="Nanquan Grupo B",8,IF(Atletas!G324="Taijiquan Grupo B",9,IF(Atletas!G324="Changquan Grupo A",10,IF(Atletas!G324="Nanquan Grupo A",11,IF(Atletas!G324="Taijiquan Grupo A",12,IF(Atletas!G324="Changquan Opcional",13,IF(Atletas!G324="Nanquan Opcional",14,IF(Atletas!G324="Taijiquan Opcional",15,IF(Atletas!G324="Changquan Adulto",16,IF(Atletas!G324="Nanquan Adulto",17,IF(Atletas!G324="Taijiquan Adulto",18,""))))))))))))))))))))</f>
        <v/>
      </c>
      <c r="AZ328" s="46" t="str">
        <f>IF(Atletas!H324="","",IF(Atletas!B324="Feminino",100,IF(Atletas!B324="Masculino",200,""))+(IF(Atletas!H324="Daoshu Mirim",19,IF(Atletas!H324="Jianshu Mirim",20,IF(Atletas!H324="Nandao Mirim",21,IF(Atletas!H324="Taijijian Mirim",22,IF(Atletas!H324="Daoshu Grupo C",23,IF(Atletas!H324="Jianshu Grupo C",24,IF(Atletas!H324="Nandao Grupo C",25,IF(Atletas!H324="Taijijian Grupo C",26,IF(Atletas!H324="Daoshu Grupo B",27,IF(Atletas!H324="Jianshu Grupo B",28,IF(Atletas!H324="Nandao Grupo B",29,IF(Atletas!H324="Taijijian Grupo B",30,IF(Atletas!H324="Daoshu Grupo A",31,IF(Atletas!H324="Jianshu Grupo A",32,IF(Atletas!H324="Nandao Grupo A",33,IF(Atletas!H324="Taijijian Grupo A",34,IF(Atletas!H324="Daoshu Opcional",35,IF(Atletas!H324="Jianshu Opcional",36,IF(Atletas!H324="Nandao Opcional",37,IF(Atletas!H324="Taijijian Opcional",38,IF(Atletas!H324="Daoshu Adulto",39,IF(Atletas!H324="Jianshu Adulto",40,IF(Atletas!H324="Nandao Adulto",41,IF(Atletas!H324="Taijijian Adulto",42,""))))))))))))))))))))))))))</f>
        <v/>
      </c>
      <c r="BA328" s="46" t="str">
        <f>IF(Atletas!I324="","",IF(Atletas!B324="Feminino",100,IF(Atletas!B324="Masculino",200,""))+(IF(Atletas!I324="Gunshu Mirim",43,IF(Atletas!I324="Qiangshu Mirim",44,IF(Atletas!I324="Nangun Mirim",45,IF(Atletas!I324="Gunshu Grupo C",46,IF(Atletas!I324="Qiangshu Grupo C",47,IF(Atletas!I324="Nangun Grupo C",48,IF(Atletas!I324="Gunshu Grupo B",49,IF(Atletas!I324="Qiangshu Grupo B",50,IF(Atletas!I324="Nangun Grupo B",51,IF(Atletas!I324="Gunshu Grupo A",52,IF(Atletas!I324="Qiangshu Grupo A",53,IF(Atletas!I324="Nangun Grupo A",54,IF(Atletas!I324="Gunshu Opcional",55,IF(Atletas!I324="Qiangshu Opcional",56,IF(Atletas!I324="Nangun Opcional",57,IF(Atletas!I324="Gunshu Adulto",58,IF(Atletas!I324="Qiangshu Adulto",59,IF(Atletas!I324="Nangun Adulto",60,""))))))))))))))))))))</f>
        <v/>
      </c>
      <c r="BF328" s="52" t="str">
        <f>IF(Atletas!J324="","",IF(Atletas!B324="Feminino",100,IF(Atletas!B324="Masculino",200,""))+(IF(Atletas!J324="Equipe 1 Grupo B",1,IF(Atletas!J324="Equipe 2 Grupo B",2,IF(Atletas!J324="Equipe 1 Grupo A",3,IF(Atletas!J324="Equipe 2 Grupo A",4,IF(Atletas!J324="Equipe 1 Adulto",5,IF(Atletas!J324="Equipe 2 Adulto",6,""))))))))</f>
        <v/>
      </c>
      <c r="BK328" s="52" t="str">
        <f>IF(Atletas!K324="","",IF(Atletas!W324&lt;&gt;"",10000,0)+(IF(Atletas!B324="Feminino",1000,IF(Atletas!B324="Masculino",2000,""))+IF(Atletas!K324="Choylayfut A",1,IF(Atletas!K324="Hunggar A",2,IF(Atletas!K324="Wuzuquan A",3,IF(Atletas!K324="Wingchun A",4,IF(Atletas!K324="Outra Mão de Sul A",5,IF(Atletas!K324="Choylayfut B",6,IF(Atletas!K324="Hunggar B",7,IF(Atletas!K324="Wuzuquan B",8,IF(Atletas!K324="Wingchun B",9,IF(Atletas!K324="Outra Mão de Sul B",10,IF(Atletas!K324="Choylayfut C",11,IF(Atletas!K324="Hunggar C",12,IF(Atletas!K324="Wuzuquan C",13,IF(Atletas!K324="Wingchun C",14,IF(Atletas!K324="Outra Mão de Sul C",15,IF(Atletas!K324="Choylayfut D",16,IF(Atletas!K324="Hunggar D",17,IF(Atletas!K324="Wuzuquan D",18,IF(Atletas!K324="Wingchun D",19,IF(Atletas!K324="Outra Mão de Sul D",20,IF(Atletas!K324="Choylayfut E",21,IF(Atletas!K324="Hunggar E",22,IF(Atletas!K324="Wuzuquan E",23,IF(Atletas!K324="Wingchun E",24,IF(Atletas!K324="Outra Mão de Sul E",25,IF(Atletas!K324="Choylayfut F",26,IF(Atletas!K324="Hunggar F",27,IF(Atletas!K324="Wuzuquan F",28,IF(Atletas!K324="Wingchun F",29,IF(Atletas!K324="Outra Mão de Sul F",30,""))))))))))))))))))))))))))))))))</f>
        <v/>
      </c>
      <c r="BL328" s="52" t="str">
        <f>IF(Atletas!L324="","",IF(Atletas!W324&lt;&gt;"",10000,0)+(IF(Atletas!B324="Feminino",1000,IF(Atletas!B324="Masculino",2000,""))+(IF(Atletas!L324="Chaquan A",101,IF(Atletas!L324="Emeiquan A",102,IF(Atletas!L324="Fanziquan A",103,IF(Atletas!L324="Huaquan A",104,IF(Atletas!L324="Hongquan A",105,IF(Atletas!L324="Paochui A",106,IF(Atletas!L324="Piguaquan A",107,IF(Atletas!L324="Shaolinquan A",108,IF(Atletas!L324="Tanglangquan A",109,IF(Atletas!L324="Yinzhaophai A",110,IF(Atletas!L324="Tongbeiquan A",111,IF(Atletas!L324="Wudangquan A",112,IF(Atletas!L324="Outros Estilos A",113,IF(Atletas!L324="Chaquan B",114,IF(Atletas!L324="Emeiquan B",115,IF(Atletas!L324="Fanziquan B",116,IF(Atletas!L324="Huaquan B",117,IF(Atletas!L324="Hongquan B",118,IF(Atletas!L324="Paochui B",119,IF(Atletas!L324="Piguaquan B",120,IF(Atletas!L324="Shaolinquan B",121,IF(Atletas!L324="Tanglangquan B",122,IF(Atletas!L324="Yinzhaophai B",123,IF(Atletas!L324="Tongbeiquan B",124,IF(Atletas!L324="Wudangquan B",125,IF(Atletas!L324="Outros Estilos B",126,IF(Atletas!L324="Chaquan C",127,IF(Atletas!L324="Emeiquan C",128,IF(Atletas!L324="Fanziquan C",129,IF(Atletas!L324="Huaquan C",130,IF(Atletas!L324="Hongquan C",131,IF(Atletas!L324="Paochui C",132,IF(Atletas!L324="Piguaquan C",133,IF(Atletas!L324="Shaolinquan C",134,IF(Atletas!L324="Tanglangquan C",135,IF(Atletas!L324="Yinzhaophai C",136,IF(Atletas!L324="Tongbeiquan C",137,IF(Atletas!L324="Wudangquan C",138,IF(Atletas!L324="Outros Estilos C",139,0))))))))))))))))))))))))))))))))))))))))))</f>
        <v/>
      </c>
      <c r="BM328" s="52" t="str">
        <f>IF(Atletas!L324="","",IF(Atletas!W324&lt;&gt;"",10000,0)+(IF(Atletas!B324="Feminino",1000,IF(Atletas!B324="Masculino",2000,""))+(IF(Atletas!L324="Chaquan D",140,IF(Atletas!L324="Emeiquan D",141,IF(Atletas!L324="Fanziquan D",142,IF(Atletas!L324="Huaquan D",143,IF(Atletas!L324="Hongquan D",144,IF(Atletas!L324="Paochui D",145,IF(Atletas!L324="Piguaquan D",146,IF(Atletas!L324="Shaolinquan D",147,IF(Atletas!L324="Tanglangquan D",148,IF(Atletas!L324="Yinzhaophai D",149,IF(Atletas!L324="Tongbeiquan D",150,IF(Atletas!L324="Wudangquan D",151,IF(Atletas!L324="Outros Estilos D",152,IF(Atletas!L324="Chaquan E",153,IF(Atletas!L324="Emeiquan E",154,IF(Atletas!L324="Fanziquan E",155,IF(Atletas!L324="Huaquan E",156,IF(Atletas!L324="Hongquan E",157,IF(Atletas!L324="Paochui E",158,IF(Atletas!L324="Piguaquan E",159,IF(Atletas!L324="Shaolinquan E",160,IF(Atletas!L324="Tanglangquan E",161,IF(Atletas!L324="Yinzhaophai E",162,IF(Atletas!L324="Tongbeiquan E",163,IF(Atletas!L324="Wudangquan E",164,IF(Atletas!L324="Outros Estilos E",165,IF(Atletas!L324="Chaquan F",166,IF(Atletas!L324="Emeiquan F",167,IF(Atletas!L324="Fanziquan F",168,IF(Atletas!L324="Huaquan F",169,IF(Atletas!L324="Hongquan F",170,IF(Atletas!L324="Paochui F",171,IF(Atletas!L324="Piguaquan F",172,IF(Atletas!L324="Shaolinquan F",173,IF(Atletas!L324="Tanglangquan F",174,IF(Atletas!L324="Yinzhaophai F",175,IF(Atletas!L324="Tongbeiquan F",176,IF(Atletas!L324="Wudangquan F",177,IF(Atletas!L324="Outros Estilos F",178,0))))))))))))))))))))))))))))))))))))))))))</f>
        <v/>
      </c>
      <c r="BN328" s="52" t="str">
        <f>IF(Atletas!M324="","",IF(Atletas!W324&lt;&gt;"",10000,0)+(IF(Atletas!B324="Feminino",1000,IF(Atletas!B324="Masculino",2000,""))+(IF(Atletas!M324="Ditangquan A",201,IF(Atletas!M324="Houquan A",202,IF(Atletas!M324="Zuiquan A",203,IF(Atletas!M324="Ditangquan B",204,IF(Atletas!M324="Houquan B",205,IF(Atletas!M324="Zuiquan B",206,IF(Atletas!M324="Ditangquan C",207,IF(Atletas!M324="Houquan C",208,IF(Atletas!M324="Zuiquan C",209,IF(Atletas!M324="Ditangquan D",210,IF(Atletas!M324="Houquan D",211,IF(Atletas!M324="Zuiquan D",212,IF(Atletas!M324="Ditangquan E",213,IF(Atletas!M324="Houquan E",214,IF(Atletas!M324="Zuiquan E",215,IF(Atletas!M324="Ditangquan F",216,IF(Atletas!M324="Houquan F",217,IF(Atletas!M324="Zuiquan F",218,"")))))))))))))))))))))</f>
        <v/>
      </c>
      <c r="BO328" s="52" t="str">
        <f>IF(Atletas!N324="","",IF(Atletas!W324&lt;&gt;"",10000,0)+IF(Atletas!B324="Feminino",1000,IF(Atletas!B324="Masculino",2000,""))+IF(Atletas!N324="Yang A",301,IF(Atletas!N324="Chen A",30,IF(Atletas!N324="Sun A",303,IF(Atletas!N324="Wu A",304,IF(Atletas!N324="Wu-Hao A",305,IF(Atletas!N324="Outro Taijiquan A",306,IF(Atletas!N324="Yang B",307,IF(Atletas!N324="Chen B",308,IF(Atletas!N324="Sun B",309,IF(Atletas!N324="Wu B",310,IF(Atletas!N324="Wu-Hao B",311,IF(Atletas!N324="Outro Taijiquan B",312,IF(Atletas!N324="Yang C",313,IF(Atletas!N324="Chen C",314,IF(Atletas!N324="Sun C",315,IF(Atletas!N324="Wu C",316,IF(Atletas!N324="Wu-Hao C",317,IF(Atletas!N324="Outro Taijiquan C",318,IF(Atletas!N324="Yang D",319,IF(Atletas!N324="Chen D",320,IF(Atletas!N324="Sun D",321,IF(Atletas!N324="Wu D",322,IF(Atletas!N324="Wu-Hao D",323,IF(Atletas!N324="Outro Taijiquan D",324,IF(Atletas!N324="Yang E",325,IF(Atletas!N324="Chen E",326,IF(Atletas!N324="Sun E",327,IF(Atletas!N324="Wu E",328,IF(Atletas!N324="Wu-Hao E",329,IF(Atletas!N324="Outro Taijiquan E",330,IF(Atletas!N324="Yang F",331,IF(Atletas!N324="Chen F",332,IF(Atletas!N324="Sun F",333,IF(Atletas!N324="Wu F",334,IF(Atletas!N324="Wu-Hao F",335,IF(Atletas!N324="Outro Taijiquan F",336,"")))))))))))))))))))))))))))))))))))))</f>
        <v/>
      </c>
      <c r="BP328" s="52" t="str">
        <f>IF(Atletas!O324="","",IF(Atletas!W324&lt;&gt;"",10000,0)+IF(Atletas!B324="Feminino",1000,IF(Atletas!B324="Masculino",2000,""))+IF(OR(Atletas!O324="Yang 26 A",Atletas!O324="Yang 40 A"),401,IF(OR(Atletas!O324="Chen 25 A",Atletas!O324="Chen 36 A",Atletas!O324="Chen 56 A"),402,IF(Atletas!O324="Sun 73 A",403,IF(Atletas!O324="Wu 45 A",404,IF(Atletas!O324="Wu-Hao 46 A",405,IF(OR(Atletas!O324="Taijiquan 16 A",Atletas!O324="Taijiquan 24 A",Atletas!O324="Taijiquan 32 A",Atletas!O324="Taijiquan 42 A"),406,IF(OR(Atletas!O324="Yang 26 B",Atletas!O324="Yang 40 B"),407,IF(OR(Atletas!O324="Chen 25 B",Atletas!O324="Chen 36 B",Atletas!O324="Chen 56 B"),408,IF(Atletas!O324="Sun 73 B",409,IF(Atletas!O324="Wu 45 B",410,IF(Atletas!O324="Wu-Hao 46 B",411,IF(OR(Atletas!O324="Taijiquan 16 B",Atletas!O324="Taijiquan 24 B",Atletas!O324="Taijiquan 32 B",Atletas!O324="Taijiquan 42 B"),412,IF(OR(Atletas!O324="Yang 26 C",Atletas!O324="Yang 40 C"),413,IF(OR(Atletas!O324="Chen 25 C",Atletas!O324="Chen 36 C",Atletas!O324="Chen 56 C"),414,IF(Atletas!O324="Sun 73 C",415,IF(Atletas!O324="Wu 45 C",416,IF(Atletas!O324="Wu-Hao 46 C",417,IF(OR(Atletas!O324="Taijiquan 16 C",Atletas!O324="Taijiquan 24 C",Atletas!O324="Taijiquan 32 C",Atletas!O324="Taijiquan 42 C"),418,0)))))))))))))))))))</f>
        <v/>
      </c>
      <c r="BQ328" s="52" t="str">
        <f>IF(Atletas!O324="","",IF(Atletas!W324&lt;&gt;"",10000,0)+IF(Atletas!B324="Feminino",1000,IF(Atletas!B324="Masculino",2000,""))+IF(OR(Atletas!O324="Yang 26 D",Atletas!O324="Yang 40 D"),419,IF(OR(Atletas!O324="Chen 25 D",Atletas!O324="Chen 36 D",Atletas!O324="Chen 56 D"),420,IF(Atletas!O324="Sun 73 D",421,IF(Atletas!O324="Wu 45 D",422,IF(Atletas!O324="Wu-Hao 46 D",423,IF(OR(Atletas!O324="Taijiquan 16 D",Atletas!O324="Taijiquan 24 D",Atletas!O324="Taijiquan 32 D",Atletas!O324="Taijiquan 42 D"),424,IF(OR(Atletas!O324="Yang 26 E",Atletas!O324="Yang 40 E"),425,IF(OR(Atletas!O324="Chen 25 E",Atletas!O324="Chen 36 E",Atletas!O324="Chen 56 E"),426,IF(Atletas!O324="Sun 73 E",427,IF(Atletas!O324="Wu 45 E",428,IF(Atletas!O324="Wu-Hao 46 E",429,IF(OR(Atletas!O324="Taijiquan 16 E",Atletas!O324="Taijiquan 24 E",Atletas!O324="Taijiquan 32 E",Atletas!O324="Taijiquan 42 E"),430,IF(OR(Atletas!O324="Yang 26 F",Atletas!O324="Yang 40 F"),431,IF(OR(Atletas!O324="Chen 25 F",Atletas!O324="Chen 36 F",Atletas!O324="Chen 56 F"),432,IF(Atletas!O324="Sun 73 F",433,IF(Atletas!O324="Wu 45 F",434,IF(Atletas!O324="Wu-Hao 46 F",435,IF(OR(Atletas!O324="Taijiquan 16 F",Atletas!O324="Taijiquan 24 F",Atletas!O324="Taijiquan 32 F",Atletas!O324="Taijiquan 42 F"),436,0)))))))))))))))))))</f>
        <v/>
      </c>
      <c r="BR328" s="52" t="str">
        <f>IF(Atletas!P324="","",IF(Atletas!W324&lt;&gt;"",10000,0)+IF(Atletas!B324="Feminino",1000,IF(Atletas!B324="Masculino",2000,""))+IF(Atletas!P324="Xingyiquan A",501,IF(Atletas!P324="Baguazhang A",502,IF(Atletas!P324="Outro Estilo Interno A",503,IF(Atletas!P324="Xingyiquan B",504,IF(Atletas!P324="Baguazhang B",505,IF(Atletas!P324="Outro Estilo Interno B",506,IF(Atletas!P324="Xingyiquan C",507,IF(Atletas!P324="Baguazhang C",508,IF(Atletas!P324="Outro Estilo Interno C",509,IF(Atletas!P324="Xingyiquan D",510,IF(Atletas!P324="Baguazhang D",511,IF(Atletas!P324="Outro Estilo Interno D",512,IF(Atletas!P324="Xingyiquan E",513,IF(Atletas!P324="Baguazhang E",514,IF(Atletas!P324="Outro Estilo Interno E",515,IF(Atletas!P324="Xingyiquan F",516,IF(Atletas!P324="Baguazhang F",517,IF(Atletas!P324="Outro Estilo Interno F",518, "")))))))))))))))))))</f>
        <v/>
      </c>
      <c r="BS328" s="52" t="str">
        <f>IF(Atletas!Q324="","",IF(Atletas!W324&lt;&gt;"",10000,0)+IF(Atletas!B324="Feminino",1000,IF(Atletas!B324="Masculino",2000,""))+IF(Atletas!Q324="Dao A",601,IF(Atletas!Q324="Jian A",602,IF(Atletas!Q324="Bishou A",603,IF(Atletas!Q324="Shan A",604,IF(Atletas!Q324="Outra Arma Curta A",605,IF(Atletas!Q324="Dao B",606,IF(Atletas!Q324="Jian B",607,IF(Atletas!Q324="Bishou B",608,IF(Atletas!Q324="Shan B",609,IF(Atletas!Q324="Outra Arma Curta B",610,IF(Atletas!Q324="Dao C",611,IF(Atletas!Q324="Jian C",612,IF(Atletas!Q324="Bishou C",613,IF(Atletas!Q324="Shan C",614,IF(Atletas!Q324="Outra Arma Curta C",615,IF(Atletas!Q324="Dao D",616,IF(Atletas!Q324="Jian D",617,IF(Atletas!Q324="Bishou D",618,IF(Atletas!Q324="Shan D",619,IF(Atletas!Q324="Outra Arma Curta D",620,IF(Atletas!Q324="Dao E",621,IF(Atletas!Q324="Jian E",622,IF(Atletas!Q324="Bishou E",623,IF(Atletas!Q324="Shan E",624,IF(Atletas!Q324="Outra Arma Curta E",625,IF(Atletas!Q324="Dao F",626,IF(Atletas!Q324="Jian F",627,IF(Atletas!Q324="Bishou F",628,IF(Atletas!Q324="Shan F",629,IF(Atletas!Q324="Outra Arma Curta F",630, "")))))))))))))))))))))))))))))))</f>
        <v/>
      </c>
      <c r="BT328" s="52" t="str">
        <f>IF(Atletas!R324="","",IF(Atletas!W324&lt;&gt;"",10000,0)+IF(Atletas!B324="Feminino",1000,IF(Atletas!B324="Masculino",2000,""))+IF(Atletas!R324="Gun A",701,IF(Atletas!R324="Qiang A",702,IF(Atletas!R324="Pudao / Guandao A",703,IF(Atletas!R324="Outra Arma Longa A",704,IF(Atletas!R324="Gun B",705,IF(Atletas!R324="Qiang B",706,IF(Atletas!R324="Pudao / Guandao B",707,IF(Atletas!R324="Outra Arma Longa B",708,IF(Atletas!R324="Gun C",709,IF(Atletas!R324="Qiang C",710,IF(Atletas!R324="Pudao / Guandao C",711,IF(Atletas!R324="Outra Arma Longa C",712,IF(Atletas!R324="Gun D",713,IF(Atletas!R324="Qiang D",714,IF(Atletas!R324="Pudao / Guandao D",715,IF(Atletas!R324="Outra Arma Longa D",716,IF(Atletas!R324="Gun E",717,IF(Atletas!R324="Qiang E",718,IF(Atletas!R324="Pudao / Guandao E",719,IF(Atletas!R324="Outra Arma Longa E",720,IF(Atletas!R324="Gun F",721,IF(Atletas!R324="Qiang F",722,IF(Atletas!R324="Pudao / Guandao F",723,IF(Atletas!R324="Outra Arma Longa F",724,"")))))))))))))))))))))))))</f>
        <v/>
      </c>
      <c r="BU328" s="52" t="str">
        <f>IF(Atletas!S324="","",IF(Atletas!W324&lt;&gt;"",10000,0)+IF(Atletas!B324="Feminino",1000,IF(Atletas!B324="Masculino",2000,""))+IF(Atletas!S324="Arma Dupla A",801,IF(Atletas!S324="Arma Maleável A",802,IF(Atletas!S324="Arma Dupla B",803,IF(Atletas!S324="Arma Maleável B",804,IF(Atletas!S324="Arma Dupla C",805,IF(Atletas!S324="Arma Maleável C",806,IF(Atletas!S324="Arma Dupla D",807,IF(Atletas!S324="Arma Maleável D",808,IF(Atletas!S324="Arma Dupla E",809,IF(Atletas!S324="Arma Maleável E",810,IF(Atletas!S324="Arma Dupla F",811,IF(Atletas!S324="Arma Maleável F",812, "")))))))))))))</f>
        <v/>
      </c>
      <c r="BV328" s="52" t="str">
        <f>IF(Atletas!T324="","",IF(Atletas!W324&lt;&gt;"",10000,0)+IF(Atletas!B324="Feminino",1000,IF(Atletas!B324="Masculino",2000,""))+IF(Atletas!T324="Taijijian Yang A",901,IF(Atletas!T324="Taijijian Chen A",902,IF(Atletas!T324="Taijijian Sun A",903,IF(Atletas!T324="Taijijian Wu A",904,IF(Atletas!T324="Taijijian Wu-Hao A",905,IF(Atletas!T324="Taijijian 32 A",906,IF(Atletas!T324="Taijijian 42 A",907,IF(Atletas!T324="Taijijian Yang B",908,IF(Atletas!T324="Taijijian Chen B",909,IF(Atletas!T324="Taijijian Sun B",910,IF(Atletas!T324="Taijijian Wu B",911,IF(Atletas!T324="Taijijian Wu-Hao B",912,IF(Atletas!T324="Taijijian 32 B",913,IF(Atletas!T324="Taijijian 42 B",914,IF(Atletas!T324="Taijijian Yang C",915,IF(Atletas!T324="Taijijian Chen C",916,IF(Atletas!T324="Taijijian Sun C",917,IF(Atletas!T324="Taijijian Wu C",918,IF(Atletas!T324="Taijijian Wu-Hao C",919,IF(Atletas!T324="Taijijian 32 C",920,IF(Atletas!T324="Taijijian 42 C",921,IF(Atletas!T324="Taijijian Yang D",922,IF(Atletas!T324="Taijijian Chen D",923,IF(Atletas!T324="Taijijian Sun D",924,IF(Atletas!T324="Taijijian Wu D",925,IF(Atletas!T324="Taijijian Wu-Hao D",926,IF(Atletas!T324="Taijijian 32 D",927,IF(Atletas!T324="Taijijian 42 D",928,IF(Atletas!T324="Taijijian Yang E",929,IF(Atletas!T324="Taijijian Chen E",930,IF(Atletas!T324="Taijijian Sun E",931,IF(Atletas!T324="Taijijian Wu E",932,IF(Atletas!T324="Taijijian Wu-Hao E",933,IF(Atletas!T324="Taijijian 32 E",934,IF(Atletas!T324="Taijijian 42 E",935,IF(Atletas!T324="Taijijian Yang F",936,IF(Atletas!T324="Taijijian Chen F",937,IF(Atletas!T324="Taijijian Sun F",938,IF(Atletas!T324="Taijijian Wu F",939,IF(Atletas!T324="Taijijian Wu-Hao F",940,IF(Atletas!T324="Taijijian 32 F",941,IF(Atletas!T324="Taijijian 42 F",942,"")))))))))))))))))))))))))))))))))))))))))))</f>
        <v/>
      </c>
      <c r="BW328" s="52" t="str">
        <f>IF(Atletas!U324="","",IF(Atletas!W324&lt;&gt;"",10000,0)+IF(Atletas!B324="Feminino",1000,IF(Atletas!B324="Masculino",2000,""))+IF(Atletas!T324="Taijijian 42 F",942,IF(Atletas!U324="Taijidao A",943,IF(Atletas!U324="Taijishan A",944,IF(Atletas!U324="Taijiqiang A",945,IF(Atletas!U324="Taijidao B",946,IF(Atletas!U324="Taijishan B",947,IF(Atletas!U324="Taijiqiang B",948,IF(Atletas!U324="Taijidao C",949,IF(Atletas!U324="Taijishan C",950,IF(Atletas!U324="Taijiqiang C",951,IF(Atletas!U324="Taijidao D",952,IF(Atletas!U324="Taijishan D",953,IF(Atletas!U324="Taijiqiang D",954,IF(Atletas!U324="Taijidao E",955,IF(Atletas!U324="Taijishan E",956,IF(Atletas!U324="Taijiqiang E",957,IF(Atletas!U324="Taijidao F",958,IF(Atletas!U324="Taijishan F",959,IF(Atletas!U324="Taijiqiang F",960))))))))))))))))))))</f>
        <v/>
      </c>
      <c r="BX328" s="72" t="str">
        <f>IF(BY328&lt;&gt;"","Taijidao B","")</f>
        <v/>
      </c>
      <c r="BY328" s="72" t="str">
        <f>IF(COUNTIF(BK:BW,1946)&gt;0,COUNTIF(BK:BW,1946),"")</f>
        <v/>
      </c>
      <c r="BZ328" s="72" t="str">
        <f>IF(CA328&lt;&gt;"","Taijidao B","")</f>
        <v/>
      </c>
      <c r="CA328" s="72" t="str">
        <f>IF(COUNTIF(BK:BW,2946)&gt;0,COUNTIF(BK:BW,2946),"")</f>
        <v/>
      </c>
      <c r="CB328" s="72" t="str">
        <f>IF(CC328&lt;&gt;"","Outra Arma Longa D","")</f>
        <v/>
      </c>
      <c r="CC328" s="64" t="str">
        <f>IF(COUNTIF(BK:BW,11716)&gt;0,COUNTIF(BK:BW,11716),"")</f>
        <v/>
      </c>
      <c r="CD328" s="64" t="str">
        <f>IF(CE328&lt;&gt;"","Outra Arma Longa D","")</f>
        <v/>
      </c>
      <c r="CE328" s="64" t="str">
        <f>IF(COUNTIF(BK:BW,12716)&gt;0,COUNTIF(BK:BW,12716),"")</f>
        <v/>
      </c>
      <c r="CF328" s="52" t="str">
        <f xml:space="preserve"> IF(Atletas!V324="","",IF(Atletas!V324="Duilian de Mãos AB - Equipe 1",1,IF(Atletas!V324="Duilian de Mãos AB - Equipe 2",2,IF(Atletas!V324="Duilian de Armas AB - Equipe 1",3,IF(Atletas!V324="Duilian de Armas AB - Equipe 2",4,IF(Atletas!V324="Duilian de Tuishou - Equipe 1",5,IF(Atletas!V324="Duilian de Tuishou - Equipe 2",6,IF(Atletas!V324="Grupo Externo AB - Equipe 1",7,IF(Atletas!V324="Grupo Externo AB - Equipe 2",8,IF(Atletas!V324="Grupo Interno AB - Equipe 1",9,IF(Atletas!V324="Grupo Interno AB - Equipe 2",10,IF(Atletas!V324="Duilian de Mãos CD - Equipe 1",11,IF(Atletas!V324="Duilian de Mãos CD - Equipe 2",12,IF(Atletas!V324="Duilian de Armas CD - Equipe 1",13,IF(Atletas!V324="Duilian de Armas CD - Equipe 2",14,IF(Atletas!V324="Duilian de Tuishou - Equipe 1",15,IF(Atletas!V324="Duilian de Tuishou - Equipe 2",16,IF(Atletas!V324="Grupo Externo CDEF - Equipe 1",17,IF(Atletas!V324="Grupo Externo CDEF - Equipe 2",18,IF(Atletas!V324="Grupo Interno CDEF - Equipe 1",19,IF(Atletas!V324="Grupo Interno CDEF - Equipe 2",20,IF(Atletas!V324="Duilian de Mãos EF - Equipe 1",21,IF(Atletas!V324="Duilian de Mãos EF - Equipe 2",22,IF(Atletas!V324="Duilian de Armas EF - Equipe 1",23,IF(Atletas!V324="Duilian de Armas EF - Equipe 2",24,IF(Atletas!V324="Duilian de Tuishou - Equipe 1",25,IF(Atletas!V324="Duilian de Tuishou - Equipe 2",26,"")))))))))))))))))))))))))))</f>
        <v/>
      </c>
    </row>
    <row r="329" spans="36:84">
      <c r="AJ329" s="46" t="str">
        <f>IF(Atletas!D325="","",IF(Atletas!B325="Feminino",100,IF(Atletas!B325="Masculino",200,""))+(IF(Atletas!D325="Infantil 39kg",1,IF(Atletas!D325="Infantil 42kg",2,IF(Atletas!D325="Infantil 45kg",3,IF(Atletas!D325="Infantil 48kg",4,IF(Atletas!D325="Infantil 52kg",5,IF(Atletas!D325="Infantil 56kg",6,IF(Atletas!D325="Infantil 60kg",7,IF(Atletas!D325="Juvenil 48kg",8,IF(Atletas!D325="Juvenil 52kg",9,IF(Atletas!D325="Juvenil 56kg",10,IF(Atletas!D325="Juvenil 60kg",11,IF(Atletas!D325="Juvenil 65kg",12,IF(Atletas!D325="Juvenil 70kg",13,IF(Atletas!D325="Juvenil 75kg",14,IF(Atletas!D325="Juvenil 80kg",15,IF(Atletas!D325="Adulto 48kg",16,IF(Atletas!D325="Adulto 52kg",17,IF(Atletas!D325="Adulto 56kg",18,IF(Atletas!D325="Adulto 60kg",19,IF(Atletas!D325="Adulto 65kg",20,IF(Atletas!D325="Adulto 70kg",21,IF(Atletas!D325="Adulto 75kg",22,IF(Atletas!D325="Adulto 80kg",23,IF(Atletas!D325="Adulto 85kg",24,IF(Atletas!D325="Adulto 90kg",25,IF(Atletas!D325="Adulto +90kg",26,""))))))))))))))))))))))))))))</f>
        <v/>
      </c>
      <c r="AO329" s="10" t="str">
        <f>IF(Atletas!E325="","",IF(Atletas!B325="Feminino",100,IF(Atletas!B325="Masculino",200,""))+(IF(Atletas!E325="Juvenil 44kg",1,IF(Atletas!E325="Juvenil 48kg",2,IF(Atletas!E325="Juvenil 52kg",3,IF(Atletas!E325="Juvenil 56kg",4,IF(Atletas!E325="Juvenil 60kg",5,IF(Atletas!E325="Juvenil 65kg",6,IF(Atletas!E325="Juvenil 70kg",7,IF(Atletas!E325="Juvenil 75kg",8,IF(Atletas!E325="Juvenil 82kg",9,IF(Atletas!E325="Juvenil 90kg",10,IF(Atletas!E325="Juvenil 100kg",11,IF(Atletas!E325="Adulto 48kg",12,IF(Atletas!E325="Adulto 52kg",13,IF(Atletas!E325="Adulto 56kg",14,IF(Atletas!E325="Adulto 60kg",15,IF(Atletas!E325="Adulto 65kg",16,IF(Atletas!E325="Adulto 70kg",17,IF(Atletas!E325="Adulto 75kg",18,IF(Atletas!E325="Adulto 82kg",19,IF(Atletas!E325="Adulto 90kg",20,IF(Atletas!E325="Adulto 100kg",21,IF(Atletas!E325="Adulto +100kg",22,""))))))))))))))))))))))))</f>
        <v/>
      </c>
      <c r="AT329" s="10" t="str">
        <f>IF(Atletas!F325="","",IF(Atletas!B325="Feminino",100,IF(Atletas!B325="Masculino",200,""))+(IF(Atletas!F325="Adulto 48kg",1,IF(Atletas!F325="Adulto 56kg",2,IF(Atletas!F325="Adulto 65kg",3,IF(Atletas!F325="Adulto 75kg",4,IF(Atletas!F325="Adulto +75kg",5,IF(Atletas!F325="Adulto 52kg",6,IF(Atletas!F325="Adulto 60kg",7,IF(Atletas!F325="Adulto 70kg",8,IF(Atletas!F325="Adulto 80kg",9,IF(Atletas!F325="Adulto 90kg",10,IF(Atletas!F325="Adulto +90kg",11,"")))))))))))))</f>
        <v/>
      </c>
      <c r="AY329" s="46" t="str">
        <f>IF(Atletas!G325="","",IF(Atletas!B325="Feminino",100,IF(Atletas!B325="Masculino",200,""))+(IF(Atletas!G325="Changquan Mirim",1,IF(Atletas!G325="Nanquan Mirim",2,IF(Atletas!G325="Taijiquan Mirim",3,IF(Atletas!G325="Changquan Grupo C",4,IF(Atletas!G325="Nanquan Grupo C",5,IF(Atletas!G325="Taijiquan Grupo C",6,IF(Atletas!G325="Changquan Grupo B",7,IF(Atletas!G325="Nanquan Grupo B",8,IF(Atletas!G325="Taijiquan Grupo B",9,IF(Atletas!G325="Changquan Grupo A",10,IF(Atletas!G325="Nanquan Grupo A",11,IF(Atletas!G325="Taijiquan Grupo A",12,IF(Atletas!G325="Changquan Opcional",13,IF(Atletas!G325="Nanquan Opcional",14,IF(Atletas!G325="Taijiquan Opcional",15,IF(Atletas!G325="Changquan Adulto",16,IF(Atletas!G325="Nanquan Adulto",17,IF(Atletas!G325="Taijiquan Adulto",18,""))))))))))))))))))))</f>
        <v/>
      </c>
      <c r="AZ329" s="46" t="str">
        <f>IF(Atletas!H325="","",IF(Atletas!B325="Feminino",100,IF(Atletas!B325="Masculino",200,""))+(IF(Atletas!H325="Daoshu Mirim",19,IF(Atletas!H325="Jianshu Mirim",20,IF(Atletas!H325="Nandao Mirim",21,IF(Atletas!H325="Taijijian Mirim",22,IF(Atletas!H325="Daoshu Grupo C",23,IF(Atletas!H325="Jianshu Grupo C",24,IF(Atletas!H325="Nandao Grupo C",25,IF(Atletas!H325="Taijijian Grupo C",26,IF(Atletas!H325="Daoshu Grupo B",27,IF(Atletas!H325="Jianshu Grupo B",28,IF(Atletas!H325="Nandao Grupo B",29,IF(Atletas!H325="Taijijian Grupo B",30,IF(Atletas!H325="Daoshu Grupo A",31,IF(Atletas!H325="Jianshu Grupo A",32,IF(Atletas!H325="Nandao Grupo A",33,IF(Atletas!H325="Taijijian Grupo A",34,IF(Atletas!H325="Daoshu Opcional",35,IF(Atletas!H325="Jianshu Opcional",36,IF(Atletas!H325="Nandao Opcional",37,IF(Atletas!H325="Taijijian Opcional",38,IF(Atletas!H325="Daoshu Adulto",39,IF(Atletas!H325="Jianshu Adulto",40,IF(Atletas!H325="Nandao Adulto",41,IF(Atletas!H325="Taijijian Adulto",42,""))))))))))))))))))))))))))</f>
        <v/>
      </c>
      <c r="BA329" s="46" t="str">
        <f>IF(Atletas!I325="","",IF(Atletas!B325="Feminino",100,IF(Atletas!B325="Masculino",200,""))+(IF(Atletas!I325="Gunshu Mirim",43,IF(Atletas!I325="Qiangshu Mirim",44,IF(Atletas!I325="Nangun Mirim",45,IF(Atletas!I325="Gunshu Grupo C",46,IF(Atletas!I325="Qiangshu Grupo C",47,IF(Atletas!I325="Nangun Grupo C",48,IF(Atletas!I325="Gunshu Grupo B",49,IF(Atletas!I325="Qiangshu Grupo B",50,IF(Atletas!I325="Nangun Grupo B",51,IF(Atletas!I325="Gunshu Grupo A",52,IF(Atletas!I325="Qiangshu Grupo A",53,IF(Atletas!I325="Nangun Grupo A",54,IF(Atletas!I325="Gunshu Opcional",55,IF(Atletas!I325="Qiangshu Opcional",56,IF(Atletas!I325="Nangun Opcional",57,IF(Atletas!I325="Gunshu Adulto",58,IF(Atletas!I325="Qiangshu Adulto",59,IF(Atletas!I325="Nangun Adulto",60,""))))))))))))))))))))</f>
        <v/>
      </c>
      <c r="BF329" s="52" t="str">
        <f>IF(Atletas!J325="","",IF(Atletas!B325="Feminino",100,IF(Atletas!B325="Masculino",200,""))+(IF(Atletas!J325="Equipe 1 Grupo B",1,IF(Atletas!J325="Equipe 2 Grupo B",2,IF(Atletas!J325="Equipe 1 Grupo A",3,IF(Atletas!J325="Equipe 2 Grupo A",4,IF(Atletas!J325="Equipe 1 Adulto",5,IF(Atletas!J325="Equipe 2 Adulto",6,""))))))))</f>
        <v/>
      </c>
      <c r="BK329" s="52" t="str">
        <f>IF(Atletas!K325="","",IF(Atletas!W325&lt;&gt;"",10000,0)+(IF(Atletas!B325="Feminino",1000,IF(Atletas!B325="Masculino",2000,""))+IF(Atletas!K325="Choylayfut A",1,IF(Atletas!K325="Hunggar A",2,IF(Atletas!K325="Wuzuquan A",3,IF(Atletas!K325="Wingchun A",4,IF(Atletas!K325="Outra Mão de Sul A",5,IF(Atletas!K325="Choylayfut B",6,IF(Atletas!K325="Hunggar B",7,IF(Atletas!K325="Wuzuquan B",8,IF(Atletas!K325="Wingchun B",9,IF(Atletas!K325="Outra Mão de Sul B",10,IF(Atletas!K325="Choylayfut C",11,IF(Atletas!K325="Hunggar C",12,IF(Atletas!K325="Wuzuquan C",13,IF(Atletas!K325="Wingchun C",14,IF(Atletas!K325="Outra Mão de Sul C",15,IF(Atletas!K325="Choylayfut D",16,IF(Atletas!K325="Hunggar D",17,IF(Atletas!K325="Wuzuquan D",18,IF(Atletas!K325="Wingchun D",19,IF(Atletas!K325="Outra Mão de Sul D",20,IF(Atletas!K325="Choylayfut E",21,IF(Atletas!K325="Hunggar E",22,IF(Atletas!K325="Wuzuquan E",23,IF(Atletas!K325="Wingchun E",24,IF(Atletas!K325="Outra Mão de Sul E",25,IF(Atletas!K325="Choylayfut F",26,IF(Atletas!K325="Hunggar F",27,IF(Atletas!K325="Wuzuquan F",28,IF(Atletas!K325="Wingchun F",29,IF(Atletas!K325="Outra Mão de Sul F",30,""))))))))))))))))))))))))))))))))</f>
        <v/>
      </c>
      <c r="BL329" s="52" t="str">
        <f>IF(Atletas!L325="","",IF(Atletas!W325&lt;&gt;"",10000,0)+(IF(Atletas!B325="Feminino",1000,IF(Atletas!B325="Masculino",2000,""))+(IF(Atletas!L325="Chaquan A",101,IF(Atletas!L325="Emeiquan A",102,IF(Atletas!L325="Fanziquan A",103,IF(Atletas!L325="Huaquan A",104,IF(Atletas!L325="Hongquan A",105,IF(Atletas!L325="Paochui A",106,IF(Atletas!L325="Piguaquan A",107,IF(Atletas!L325="Shaolinquan A",108,IF(Atletas!L325="Tanglangquan A",109,IF(Atletas!L325="Yinzhaophai A",110,IF(Atletas!L325="Tongbeiquan A",111,IF(Atletas!L325="Wudangquan A",112,IF(Atletas!L325="Outros Estilos A",113,IF(Atletas!L325="Chaquan B",114,IF(Atletas!L325="Emeiquan B",115,IF(Atletas!L325="Fanziquan B",116,IF(Atletas!L325="Huaquan B",117,IF(Atletas!L325="Hongquan B",118,IF(Atletas!L325="Paochui B",119,IF(Atletas!L325="Piguaquan B",120,IF(Atletas!L325="Shaolinquan B",121,IF(Atletas!L325="Tanglangquan B",122,IF(Atletas!L325="Yinzhaophai B",123,IF(Atletas!L325="Tongbeiquan B",124,IF(Atletas!L325="Wudangquan B",125,IF(Atletas!L325="Outros Estilos B",126,IF(Atletas!L325="Chaquan C",127,IF(Atletas!L325="Emeiquan C",128,IF(Atletas!L325="Fanziquan C",129,IF(Atletas!L325="Huaquan C",130,IF(Atletas!L325="Hongquan C",131,IF(Atletas!L325="Paochui C",132,IF(Atletas!L325="Piguaquan C",133,IF(Atletas!L325="Shaolinquan C",134,IF(Atletas!L325="Tanglangquan C",135,IF(Atletas!L325="Yinzhaophai C",136,IF(Atletas!L325="Tongbeiquan C",137,IF(Atletas!L325="Wudangquan C",138,IF(Atletas!L325="Outros Estilos C",139,0))))))))))))))))))))))))))))))))))))))))))</f>
        <v/>
      </c>
      <c r="BM329" s="52" t="str">
        <f>IF(Atletas!L325="","",IF(Atletas!W325&lt;&gt;"",10000,0)+(IF(Atletas!B325="Feminino",1000,IF(Atletas!B325="Masculino",2000,""))+(IF(Atletas!L325="Chaquan D",140,IF(Atletas!L325="Emeiquan D",141,IF(Atletas!L325="Fanziquan D",142,IF(Atletas!L325="Huaquan D",143,IF(Atletas!L325="Hongquan D",144,IF(Atletas!L325="Paochui D",145,IF(Atletas!L325="Piguaquan D",146,IF(Atletas!L325="Shaolinquan D",147,IF(Atletas!L325="Tanglangquan D",148,IF(Atletas!L325="Yinzhaophai D",149,IF(Atletas!L325="Tongbeiquan D",150,IF(Atletas!L325="Wudangquan D",151,IF(Atletas!L325="Outros Estilos D",152,IF(Atletas!L325="Chaquan E",153,IF(Atletas!L325="Emeiquan E",154,IF(Atletas!L325="Fanziquan E",155,IF(Atletas!L325="Huaquan E",156,IF(Atletas!L325="Hongquan E",157,IF(Atletas!L325="Paochui E",158,IF(Atletas!L325="Piguaquan E",159,IF(Atletas!L325="Shaolinquan E",160,IF(Atletas!L325="Tanglangquan E",161,IF(Atletas!L325="Yinzhaophai E",162,IF(Atletas!L325="Tongbeiquan E",163,IF(Atletas!L325="Wudangquan E",164,IF(Atletas!L325="Outros Estilos E",165,IF(Atletas!L325="Chaquan F",166,IF(Atletas!L325="Emeiquan F",167,IF(Atletas!L325="Fanziquan F",168,IF(Atletas!L325="Huaquan F",169,IF(Atletas!L325="Hongquan F",170,IF(Atletas!L325="Paochui F",171,IF(Atletas!L325="Piguaquan F",172,IF(Atletas!L325="Shaolinquan F",173,IF(Atletas!L325="Tanglangquan F",174,IF(Atletas!L325="Yinzhaophai F",175,IF(Atletas!L325="Tongbeiquan F",176,IF(Atletas!L325="Wudangquan F",177,IF(Atletas!L325="Outros Estilos F",178,0))))))))))))))))))))))))))))))))))))))))))</f>
        <v/>
      </c>
      <c r="BN329" s="52" t="str">
        <f>IF(Atletas!M325="","",IF(Atletas!W325&lt;&gt;"",10000,0)+(IF(Atletas!B325="Feminino",1000,IF(Atletas!B325="Masculino",2000,""))+(IF(Atletas!M325="Ditangquan A",201,IF(Atletas!M325="Houquan A",202,IF(Atletas!M325="Zuiquan A",203,IF(Atletas!M325="Ditangquan B",204,IF(Atletas!M325="Houquan B",205,IF(Atletas!M325="Zuiquan B",206,IF(Atletas!M325="Ditangquan C",207,IF(Atletas!M325="Houquan C",208,IF(Atletas!M325="Zuiquan C",209,IF(Atletas!M325="Ditangquan D",210,IF(Atletas!M325="Houquan D",211,IF(Atletas!M325="Zuiquan D",212,IF(Atletas!M325="Ditangquan E",213,IF(Atletas!M325="Houquan E",214,IF(Atletas!M325="Zuiquan E",215,IF(Atletas!M325="Ditangquan F",216,IF(Atletas!M325="Houquan F",217,IF(Atletas!M325="Zuiquan F",218,"")))))))))))))))))))))</f>
        <v/>
      </c>
      <c r="BO329" s="52" t="str">
        <f>IF(Atletas!N325="","",IF(Atletas!W325&lt;&gt;"",10000,0)+IF(Atletas!B325="Feminino",1000,IF(Atletas!B325="Masculino",2000,""))+IF(Atletas!N325="Yang A",301,IF(Atletas!N325="Chen A",30,IF(Atletas!N325="Sun A",303,IF(Atletas!N325="Wu A",304,IF(Atletas!N325="Wu-Hao A",305,IF(Atletas!N325="Outro Taijiquan A",306,IF(Atletas!N325="Yang B",307,IF(Atletas!N325="Chen B",308,IF(Atletas!N325="Sun B",309,IF(Atletas!N325="Wu B",310,IF(Atletas!N325="Wu-Hao B",311,IF(Atletas!N325="Outro Taijiquan B",312,IF(Atletas!N325="Yang C",313,IF(Atletas!N325="Chen C",314,IF(Atletas!N325="Sun C",315,IF(Atletas!N325="Wu C",316,IF(Atletas!N325="Wu-Hao C",317,IF(Atletas!N325="Outro Taijiquan C",318,IF(Atletas!N325="Yang D",319,IF(Atletas!N325="Chen D",320,IF(Atletas!N325="Sun D",321,IF(Atletas!N325="Wu D",322,IF(Atletas!N325="Wu-Hao D",323,IF(Atletas!N325="Outro Taijiquan D",324,IF(Atletas!N325="Yang E",325,IF(Atletas!N325="Chen E",326,IF(Atletas!N325="Sun E",327,IF(Atletas!N325="Wu E",328,IF(Atletas!N325="Wu-Hao E",329,IF(Atletas!N325="Outro Taijiquan E",330,IF(Atletas!N325="Yang F",331,IF(Atletas!N325="Chen F",332,IF(Atletas!N325="Sun F",333,IF(Atletas!N325="Wu F",334,IF(Atletas!N325="Wu-Hao F",335,IF(Atletas!N325="Outro Taijiquan F",336,"")))))))))))))))))))))))))))))))))))))</f>
        <v/>
      </c>
      <c r="BP329" s="52" t="str">
        <f>IF(Atletas!O325="","",IF(Atletas!W325&lt;&gt;"",10000,0)+IF(Atletas!B325="Feminino",1000,IF(Atletas!B325="Masculino",2000,""))+IF(OR(Atletas!O325="Yang 26 A",Atletas!O325="Yang 40 A"),401,IF(OR(Atletas!O325="Chen 25 A",Atletas!O325="Chen 36 A",Atletas!O325="Chen 56 A"),402,IF(Atletas!O325="Sun 73 A",403,IF(Atletas!O325="Wu 45 A",404,IF(Atletas!O325="Wu-Hao 46 A",405,IF(OR(Atletas!O325="Taijiquan 16 A",Atletas!O325="Taijiquan 24 A",Atletas!O325="Taijiquan 32 A",Atletas!O325="Taijiquan 42 A"),406,IF(OR(Atletas!O325="Yang 26 B",Atletas!O325="Yang 40 B"),407,IF(OR(Atletas!O325="Chen 25 B",Atletas!O325="Chen 36 B",Atletas!O325="Chen 56 B"),408,IF(Atletas!O325="Sun 73 B",409,IF(Atletas!O325="Wu 45 B",410,IF(Atletas!O325="Wu-Hao 46 B",411,IF(OR(Atletas!O325="Taijiquan 16 B",Atletas!O325="Taijiquan 24 B",Atletas!O325="Taijiquan 32 B",Atletas!O325="Taijiquan 42 B"),412,IF(OR(Atletas!O325="Yang 26 C",Atletas!O325="Yang 40 C"),413,IF(OR(Atletas!O325="Chen 25 C",Atletas!O325="Chen 36 C",Atletas!O325="Chen 56 C"),414,IF(Atletas!O325="Sun 73 C",415,IF(Atletas!O325="Wu 45 C",416,IF(Atletas!O325="Wu-Hao 46 C",417,IF(OR(Atletas!O325="Taijiquan 16 C",Atletas!O325="Taijiquan 24 C",Atletas!O325="Taijiquan 32 C",Atletas!O325="Taijiquan 42 C"),418,0)))))))))))))))))))</f>
        <v/>
      </c>
      <c r="BQ329" s="52" t="str">
        <f>IF(Atletas!O325="","",IF(Atletas!W325&lt;&gt;"",10000,0)+IF(Atletas!B325="Feminino",1000,IF(Atletas!B325="Masculino",2000,""))+IF(OR(Atletas!O325="Yang 26 D",Atletas!O325="Yang 40 D"),419,IF(OR(Atletas!O325="Chen 25 D",Atletas!O325="Chen 36 D",Atletas!O325="Chen 56 D"),420,IF(Atletas!O325="Sun 73 D",421,IF(Atletas!O325="Wu 45 D",422,IF(Atletas!O325="Wu-Hao 46 D",423,IF(OR(Atletas!O325="Taijiquan 16 D",Atletas!O325="Taijiquan 24 D",Atletas!O325="Taijiquan 32 D",Atletas!O325="Taijiquan 42 D"),424,IF(OR(Atletas!O325="Yang 26 E",Atletas!O325="Yang 40 E"),425,IF(OR(Atletas!O325="Chen 25 E",Atletas!O325="Chen 36 E",Atletas!O325="Chen 56 E"),426,IF(Atletas!O325="Sun 73 E",427,IF(Atletas!O325="Wu 45 E",428,IF(Atletas!O325="Wu-Hao 46 E",429,IF(OR(Atletas!O325="Taijiquan 16 E",Atletas!O325="Taijiquan 24 E",Atletas!O325="Taijiquan 32 E",Atletas!O325="Taijiquan 42 E"),430,IF(OR(Atletas!O325="Yang 26 F",Atletas!O325="Yang 40 F"),431,IF(OR(Atletas!O325="Chen 25 F",Atletas!O325="Chen 36 F",Atletas!O325="Chen 56 F"),432,IF(Atletas!O325="Sun 73 F",433,IF(Atletas!O325="Wu 45 F",434,IF(Atletas!O325="Wu-Hao 46 F",435,IF(OR(Atletas!O325="Taijiquan 16 F",Atletas!O325="Taijiquan 24 F",Atletas!O325="Taijiquan 32 F",Atletas!O325="Taijiquan 42 F"),436,0)))))))))))))))))))</f>
        <v/>
      </c>
      <c r="BR329" s="52" t="str">
        <f>IF(Atletas!P325="","",IF(Atletas!W325&lt;&gt;"",10000,0)+IF(Atletas!B325="Feminino",1000,IF(Atletas!B325="Masculino",2000,""))+IF(Atletas!P325="Xingyiquan A",501,IF(Atletas!P325="Baguazhang A",502,IF(Atletas!P325="Outro Estilo Interno A",503,IF(Atletas!P325="Xingyiquan B",504,IF(Atletas!P325="Baguazhang B",505,IF(Atletas!P325="Outro Estilo Interno B",506,IF(Atletas!P325="Xingyiquan C",507,IF(Atletas!P325="Baguazhang C",508,IF(Atletas!P325="Outro Estilo Interno C",509,IF(Atletas!P325="Xingyiquan D",510,IF(Atletas!P325="Baguazhang D",511,IF(Atletas!P325="Outro Estilo Interno D",512,IF(Atletas!P325="Xingyiquan E",513,IF(Atletas!P325="Baguazhang E",514,IF(Atletas!P325="Outro Estilo Interno E",515,IF(Atletas!P325="Xingyiquan F",516,IF(Atletas!P325="Baguazhang F",517,IF(Atletas!P325="Outro Estilo Interno F",518, "")))))))))))))))))))</f>
        <v/>
      </c>
      <c r="BS329" s="52" t="str">
        <f>IF(Atletas!Q325="","",IF(Atletas!W325&lt;&gt;"",10000,0)+IF(Atletas!B325="Feminino",1000,IF(Atletas!B325="Masculino",2000,""))+IF(Atletas!Q325="Dao A",601,IF(Atletas!Q325="Jian A",602,IF(Atletas!Q325="Bishou A",603,IF(Atletas!Q325="Shan A",604,IF(Atletas!Q325="Outra Arma Curta A",605,IF(Atletas!Q325="Dao B",606,IF(Atletas!Q325="Jian B",607,IF(Atletas!Q325="Bishou B",608,IF(Atletas!Q325="Shan B",609,IF(Atletas!Q325="Outra Arma Curta B",610,IF(Atletas!Q325="Dao C",611,IF(Atletas!Q325="Jian C",612,IF(Atletas!Q325="Bishou C",613,IF(Atletas!Q325="Shan C",614,IF(Atletas!Q325="Outra Arma Curta C",615,IF(Atletas!Q325="Dao D",616,IF(Atletas!Q325="Jian D",617,IF(Atletas!Q325="Bishou D",618,IF(Atletas!Q325="Shan D",619,IF(Atletas!Q325="Outra Arma Curta D",620,IF(Atletas!Q325="Dao E",621,IF(Atletas!Q325="Jian E",622,IF(Atletas!Q325="Bishou E",623,IF(Atletas!Q325="Shan E",624,IF(Atletas!Q325="Outra Arma Curta E",625,IF(Atletas!Q325="Dao F",626,IF(Atletas!Q325="Jian F",627,IF(Atletas!Q325="Bishou F",628,IF(Atletas!Q325="Shan F",629,IF(Atletas!Q325="Outra Arma Curta F",630, "")))))))))))))))))))))))))))))))</f>
        <v/>
      </c>
      <c r="BT329" s="52" t="str">
        <f>IF(Atletas!R325="","",IF(Atletas!W325&lt;&gt;"",10000,0)+IF(Atletas!B325="Feminino",1000,IF(Atletas!B325="Masculino",2000,""))+IF(Atletas!R325="Gun A",701,IF(Atletas!R325="Qiang A",702,IF(Atletas!R325="Pudao / Guandao A",703,IF(Atletas!R325="Outra Arma Longa A",704,IF(Atletas!R325="Gun B",705,IF(Atletas!R325="Qiang B",706,IF(Atletas!R325="Pudao / Guandao B",707,IF(Atletas!R325="Outra Arma Longa B",708,IF(Atletas!R325="Gun C",709,IF(Atletas!R325="Qiang C",710,IF(Atletas!R325="Pudao / Guandao C",711,IF(Atletas!R325="Outra Arma Longa C",712,IF(Atletas!R325="Gun D",713,IF(Atletas!R325="Qiang D",714,IF(Atletas!R325="Pudao / Guandao D",715,IF(Atletas!R325="Outra Arma Longa D",716,IF(Atletas!R325="Gun E",717,IF(Atletas!R325="Qiang E",718,IF(Atletas!R325="Pudao / Guandao E",719,IF(Atletas!R325="Outra Arma Longa E",720,IF(Atletas!R325="Gun F",721,IF(Atletas!R325="Qiang F",722,IF(Atletas!R325="Pudao / Guandao F",723,IF(Atletas!R325="Outra Arma Longa F",724,"")))))))))))))))))))))))))</f>
        <v/>
      </c>
      <c r="BU329" s="52" t="str">
        <f>IF(Atletas!S325="","",IF(Atletas!W325&lt;&gt;"",10000,0)+IF(Atletas!B325="Feminino",1000,IF(Atletas!B325="Masculino",2000,""))+IF(Atletas!S325="Arma Dupla A",801,IF(Atletas!S325="Arma Maleável A",802,IF(Atletas!S325="Arma Dupla B",803,IF(Atletas!S325="Arma Maleável B",804,IF(Atletas!S325="Arma Dupla C",805,IF(Atletas!S325="Arma Maleável C",806,IF(Atletas!S325="Arma Dupla D",807,IF(Atletas!S325="Arma Maleável D",808,IF(Atletas!S325="Arma Dupla E",809,IF(Atletas!S325="Arma Maleável E",810,IF(Atletas!S325="Arma Dupla F",811,IF(Atletas!S325="Arma Maleável F",812, "")))))))))))))</f>
        <v/>
      </c>
      <c r="BV329" s="52" t="str">
        <f>IF(Atletas!T325="","",IF(Atletas!W325&lt;&gt;"",10000,0)+IF(Atletas!B325="Feminino",1000,IF(Atletas!B325="Masculino",2000,""))+IF(Atletas!T325="Taijijian Yang A",901,IF(Atletas!T325="Taijijian Chen A",902,IF(Atletas!T325="Taijijian Sun A",903,IF(Atletas!T325="Taijijian Wu A",904,IF(Atletas!T325="Taijijian Wu-Hao A",905,IF(Atletas!T325="Taijijian 32 A",906,IF(Atletas!T325="Taijijian 42 A",907,IF(Atletas!T325="Taijijian Yang B",908,IF(Atletas!T325="Taijijian Chen B",909,IF(Atletas!T325="Taijijian Sun B",910,IF(Atletas!T325="Taijijian Wu B",911,IF(Atletas!T325="Taijijian Wu-Hao B",912,IF(Atletas!T325="Taijijian 32 B",913,IF(Atletas!T325="Taijijian 42 B",914,IF(Atletas!T325="Taijijian Yang C",915,IF(Atletas!T325="Taijijian Chen C",916,IF(Atletas!T325="Taijijian Sun C",917,IF(Atletas!T325="Taijijian Wu C",918,IF(Atletas!T325="Taijijian Wu-Hao C",919,IF(Atletas!T325="Taijijian 32 C",920,IF(Atletas!T325="Taijijian 42 C",921,IF(Atletas!T325="Taijijian Yang D",922,IF(Atletas!T325="Taijijian Chen D",923,IF(Atletas!T325="Taijijian Sun D",924,IF(Atletas!T325="Taijijian Wu D",925,IF(Atletas!T325="Taijijian Wu-Hao D",926,IF(Atletas!T325="Taijijian 32 D",927,IF(Atletas!T325="Taijijian 42 D",928,IF(Atletas!T325="Taijijian Yang E",929,IF(Atletas!T325="Taijijian Chen E",930,IF(Atletas!T325="Taijijian Sun E",931,IF(Atletas!T325="Taijijian Wu E",932,IF(Atletas!T325="Taijijian Wu-Hao E",933,IF(Atletas!T325="Taijijian 32 E",934,IF(Atletas!T325="Taijijian 42 E",935,IF(Atletas!T325="Taijijian Yang F",936,IF(Atletas!T325="Taijijian Chen F",937,IF(Atletas!T325="Taijijian Sun F",938,IF(Atletas!T325="Taijijian Wu F",939,IF(Atletas!T325="Taijijian Wu-Hao F",940,IF(Atletas!T325="Taijijian 32 F",941,IF(Atletas!T325="Taijijian 42 F",942,"")))))))))))))))))))))))))))))))))))))))))))</f>
        <v/>
      </c>
      <c r="BW329" s="52" t="str">
        <f>IF(Atletas!U325="","",IF(Atletas!W325&lt;&gt;"",10000,0)+IF(Atletas!B325="Feminino",1000,IF(Atletas!B325="Masculino",2000,""))+IF(Atletas!T325="Taijijian 42 F",942,IF(Atletas!U325="Taijidao A",943,IF(Atletas!U325="Taijishan A",944,IF(Atletas!U325="Taijiqiang A",945,IF(Atletas!U325="Taijidao B",946,IF(Atletas!U325="Taijishan B",947,IF(Atletas!U325="Taijiqiang B",948,IF(Atletas!U325="Taijidao C",949,IF(Atletas!U325="Taijishan C",950,IF(Atletas!U325="Taijiqiang C",951,IF(Atletas!U325="Taijidao D",952,IF(Atletas!U325="Taijishan D",953,IF(Atletas!U325="Taijiqiang D",954,IF(Atletas!U325="Taijidao E",955,IF(Atletas!U325="Taijishan E",956,IF(Atletas!U325="Taijiqiang E",957,IF(Atletas!U325="Taijidao F",958,IF(Atletas!U325="Taijishan F",959,IF(Atletas!U325="Taijiqiang F",960))))))))))))))))))))</f>
        <v/>
      </c>
      <c r="BX329" s="72" t="str">
        <f>IF(BY329&lt;&gt;"","Taijishan B","")</f>
        <v/>
      </c>
      <c r="BY329" s="72" t="str">
        <f>IF(COUNTIF(BK:BW,1947)&gt;0,COUNTIF(BK:BW,1947),"")</f>
        <v/>
      </c>
      <c r="BZ329" s="72" t="str">
        <f>IF(CA329&lt;&gt;"","Taijishan B","")</f>
        <v/>
      </c>
      <c r="CA329" s="72" t="str">
        <f>IF(COUNTIF(BK:BW,2947)&gt;0,COUNTIF(BK:BW,2947),"")</f>
        <v/>
      </c>
      <c r="CB329" s="72" t="str">
        <f>IF(CC329&lt;&gt;"","Gun E","")</f>
        <v/>
      </c>
      <c r="CC329" s="64" t="str">
        <f>IF(COUNTIF(BK:BW,11717)&gt;0,COUNTIF(BK:BW,11717),"")</f>
        <v/>
      </c>
      <c r="CD329" s="64" t="str">
        <f>IF(CE329&lt;&gt;"","Gun E","")</f>
        <v/>
      </c>
      <c r="CE329" s="64" t="str">
        <f>IF(COUNTIF(BK:BW,12717)&gt;0,COUNTIF(BK:BW,12717),"")</f>
        <v/>
      </c>
      <c r="CF329" s="52" t="str">
        <f xml:space="preserve"> IF(Atletas!V325="","",IF(Atletas!V325="Duilian de Mãos AB - Equipe 1",1,IF(Atletas!V325="Duilian de Mãos AB - Equipe 2",2,IF(Atletas!V325="Duilian de Armas AB - Equipe 1",3,IF(Atletas!V325="Duilian de Armas AB - Equipe 2",4,IF(Atletas!V325="Duilian de Tuishou - Equipe 1",5,IF(Atletas!V325="Duilian de Tuishou - Equipe 2",6,IF(Atletas!V325="Grupo Externo AB - Equipe 1",7,IF(Atletas!V325="Grupo Externo AB - Equipe 2",8,IF(Atletas!V325="Grupo Interno AB - Equipe 1",9,IF(Atletas!V325="Grupo Interno AB - Equipe 2",10,IF(Atletas!V325="Duilian de Mãos CD - Equipe 1",11,IF(Atletas!V325="Duilian de Mãos CD - Equipe 2",12,IF(Atletas!V325="Duilian de Armas CD - Equipe 1",13,IF(Atletas!V325="Duilian de Armas CD - Equipe 2",14,IF(Atletas!V325="Duilian de Tuishou - Equipe 1",15,IF(Atletas!V325="Duilian de Tuishou - Equipe 2",16,IF(Atletas!V325="Grupo Externo CDEF - Equipe 1",17,IF(Atletas!V325="Grupo Externo CDEF - Equipe 2",18,IF(Atletas!V325="Grupo Interno CDEF - Equipe 1",19,IF(Atletas!V325="Grupo Interno CDEF - Equipe 2",20,IF(Atletas!V325="Duilian de Mãos EF - Equipe 1",21,IF(Atletas!V325="Duilian de Mãos EF - Equipe 2",22,IF(Atletas!V325="Duilian de Armas EF - Equipe 1",23,IF(Atletas!V325="Duilian de Armas EF - Equipe 2",24,IF(Atletas!V325="Duilian de Tuishou - Equipe 1",25,IF(Atletas!V325="Duilian de Tuishou - Equipe 2",26,"")))))))))))))))))))))))))))</f>
        <v/>
      </c>
    </row>
    <row r="330" spans="36:84">
      <c r="AJ330" s="46" t="str">
        <f>IF(Atletas!D326="","",IF(Atletas!B326="Feminino",100,IF(Atletas!B326="Masculino",200,""))+(IF(Atletas!D326="Infantil 39kg",1,IF(Atletas!D326="Infantil 42kg",2,IF(Atletas!D326="Infantil 45kg",3,IF(Atletas!D326="Infantil 48kg",4,IF(Atletas!D326="Infantil 52kg",5,IF(Atletas!D326="Infantil 56kg",6,IF(Atletas!D326="Infantil 60kg",7,IF(Atletas!D326="Juvenil 48kg",8,IF(Atletas!D326="Juvenil 52kg",9,IF(Atletas!D326="Juvenil 56kg",10,IF(Atletas!D326="Juvenil 60kg",11,IF(Atletas!D326="Juvenil 65kg",12,IF(Atletas!D326="Juvenil 70kg",13,IF(Atletas!D326="Juvenil 75kg",14,IF(Atletas!D326="Juvenil 80kg",15,IF(Atletas!D326="Adulto 48kg",16,IF(Atletas!D326="Adulto 52kg",17,IF(Atletas!D326="Adulto 56kg",18,IF(Atletas!D326="Adulto 60kg",19,IF(Atletas!D326="Adulto 65kg",20,IF(Atletas!D326="Adulto 70kg",21,IF(Atletas!D326="Adulto 75kg",22,IF(Atletas!D326="Adulto 80kg",23,IF(Atletas!D326="Adulto 85kg",24,IF(Atletas!D326="Adulto 90kg",25,IF(Atletas!D326="Adulto +90kg",26,""))))))))))))))))))))))))))))</f>
        <v/>
      </c>
      <c r="AO330" s="10" t="str">
        <f>IF(Atletas!E326="","",IF(Atletas!B326="Feminino",100,IF(Atletas!B326="Masculino",200,""))+(IF(Atletas!E326="Juvenil 44kg",1,IF(Atletas!E326="Juvenil 48kg",2,IF(Atletas!E326="Juvenil 52kg",3,IF(Atletas!E326="Juvenil 56kg",4,IF(Atletas!E326="Juvenil 60kg",5,IF(Atletas!E326="Juvenil 65kg",6,IF(Atletas!E326="Juvenil 70kg",7,IF(Atletas!E326="Juvenil 75kg",8,IF(Atletas!E326="Juvenil 82kg",9,IF(Atletas!E326="Juvenil 90kg",10,IF(Atletas!E326="Juvenil 100kg",11,IF(Atletas!E326="Adulto 48kg",12,IF(Atletas!E326="Adulto 52kg",13,IF(Atletas!E326="Adulto 56kg",14,IF(Atletas!E326="Adulto 60kg",15,IF(Atletas!E326="Adulto 65kg",16,IF(Atletas!E326="Adulto 70kg",17,IF(Atletas!E326="Adulto 75kg",18,IF(Atletas!E326="Adulto 82kg",19,IF(Atletas!E326="Adulto 90kg",20,IF(Atletas!E326="Adulto 100kg",21,IF(Atletas!E326="Adulto +100kg",22,""))))))))))))))))))))))))</f>
        <v/>
      </c>
      <c r="AT330" s="10" t="str">
        <f>IF(Atletas!F326="","",IF(Atletas!B326="Feminino",100,IF(Atletas!B326="Masculino",200,""))+(IF(Atletas!F326="Adulto 48kg",1,IF(Atletas!F326="Adulto 56kg",2,IF(Atletas!F326="Adulto 65kg",3,IF(Atletas!F326="Adulto 75kg",4,IF(Atletas!F326="Adulto +75kg",5,IF(Atletas!F326="Adulto 52kg",6,IF(Atletas!F326="Adulto 60kg",7,IF(Atletas!F326="Adulto 70kg",8,IF(Atletas!F326="Adulto 80kg",9,IF(Atletas!F326="Adulto 90kg",10,IF(Atletas!F326="Adulto +90kg",11,"")))))))))))))</f>
        <v/>
      </c>
      <c r="AY330" s="46" t="str">
        <f>IF(Atletas!G326="","",IF(Atletas!B326="Feminino",100,IF(Atletas!B326="Masculino",200,""))+(IF(Atletas!G326="Changquan Mirim",1,IF(Atletas!G326="Nanquan Mirim",2,IF(Atletas!G326="Taijiquan Mirim",3,IF(Atletas!G326="Changquan Grupo C",4,IF(Atletas!G326="Nanquan Grupo C",5,IF(Atletas!G326="Taijiquan Grupo C",6,IF(Atletas!G326="Changquan Grupo B",7,IF(Atletas!G326="Nanquan Grupo B",8,IF(Atletas!G326="Taijiquan Grupo B",9,IF(Atletas!G326="Changquan Grupo A",10,IF(Atletas!G326="Nanquan Grupo A",11,IF(Atletas!G326="Taijiquan Grupo A",12,IF(Atletas!G326="Changquan Opcional",13,IF(Atletas!G326="Nanquan Opcional",14,IF(Atletas!G326="Taijiquan Opcional",15,IF(Atletas!G326="Changquan Adulto",16,IF(Atletas!G326="Nanquan Adulto",17,IF(Atletas!G326="Taijiquan Adulto",18,""))))))))))))))))))))</f>
        <v/>
      </c>
      <c r="AZ330" s="46" t="str">
        <f>IF(Atletas!H326="","",IF(Atletas!B326="Feminino",100,IF(Atletas!B326="Masculino",200,""))+(IF(Atletas!H326="Daoshu Mirim",19,IF(Atletas!H326="Jianshu Mirim",20,IF(Atletas!H326="Nandao Mirim",21,IF(Atletas!H326="Taijijian Mirim",22,IF(Atletas!H326="Daoshu Grupo C",23,IF(Atletas!H326="Jianshu Grupo C",24,IF(Atletas!H326="Nandao Grupo C",25,IF(Atletas!H326="Taijijian Grupo C",26,IF(Atletas!H326="Daoshu Grupo B",27,IF(Atletas!H326="Jianshu Grupo B",28,IF(Atletas!H326="Nandao Grupo B",29,IF(Atletas!H326="Taijijian Grupo B",30,IF(Atletas!H326="Daoshu Grupo A",31,IF(Atletas!H326="Jianshu Grupo A",32,IF(Atletas!H326="Nandao Grupo A",33,IF(Atletas!H326="Taijijian Grupo A",34,IF(Atletas!H326="Daoshu Opcional",35,IF(Atletas!H326="Jianshu Opcional",36,IF(Atletas!H326="Nandao Opcional",37,IF(Atletas!H326="Taijijian Opcional",38,IF(Atletas!H326="Daoshu Adulto",39,IF(Atletas!H326="Jianshu Adulto",40,IF(Atletas!H326="Nandao Adulto",41,IF(Atletas!H326="Taijijian Adulto",42,""))))))))))))))))))))))))))</f>
        <v/>
      </c>
      <c r="BA330" s="46" t="str">
        <f>IF(Atletas!I326="","",IF(Atletas!B326="Feminino",100,IF(Atletas!B326="Masculino",200,""))+(IF(Atletas!I326="Gunshu Mirim",43,IF(Atletas!I326="Qiangshu Mirim",44,IF(Atletas!I326="Nangun Mirim",45,IF(Atletas!I326="Gunshu Grupo C",46,IF(Atletas!I326="Qiangshu Grupo C",47,IF(Atletas!I326="Nangun Grupo C",48,IF(Atletas!I326="Gunshu Grupo B",49,IF(Atletas!I326="Qiangshu Grupo B",50,IF(Atletas!I326="Nangun Grupo B",51,IF(Atletas!I326="Gunshu Grupo A",52,IF(Atletas!I326="Qiangshu Grupo A",53,IF(Atletas!I326="Nangun Grupo A",54,IF(Atletas!I326="Gunshu Opcional",55,IF(Atletas!I326="Qiangshu Opcional",56,IF(Atletas!I326="Nangun Opcional",57,IF(Atletas!I326="Gunshu Adulto",58,IF(Atletas!I326="Qiangshu Adulto",59,IF(Atletas!I326="Nangun Adulto",60,""))))))))))))))))))))</f>
        <v/>
      </c>
      <c r="BF330" s="52" t="str">
        <f>IF(Atletas!J326="","",IF(Atletas!B326="Feminino",100,IF(Atletas!B326="Masculino",200,""))+(IF(Atletas!J326="Equipe 1 Grupo B",1,IF(Atletas!J326="Equipe 2 Grupo B",2,IF(Atletas!J326="Equipe 1 Grupo A",3,IF(Atletas!J326="Equipe 2 Grupo A",4,IF(Atletas!J326="Equipe 1 Adulto",5,IF(Atletas!J326="Equipe 2 Adulto",6,""))))))))</f>
        <v/>
      </c>
      <c r="BK330" s="52" t="str">
        <f>IF(Atletas!K326="","",IF(Atletas!W326&lt;&gt;"",10000,0)+(IF(Atletas!B326="Feminino",1000,IF(Atletas!B326="Masculino",2000,""))+IF(Atletas!K326="Choylayfut A",1,IF(Atletas!K326="Hunggar A",2,IF(Atletas!K326="Wuzuquan A",3,IF(Atletas!K326="Wingchun A",4,IF(Atletas!K326="Outra Mão de Sul A",5,IF(Atletas!K326="Choylayfut B",6,IF(Atletas!K326="Hunggar B",7,IF(Atletas!K326="Wuzuquan B",8,IF(Atletas!K326="Wingchun B",9,IF(Atletas!K326="Outra Mão de Sul B",10,IF(Atletas!K326="Choylayfut C",11,IF(Atletas!K326="Hunggar C",12,IF(Atletas!K326="Wuzuquan C",13,IF(Atletas!K326="Wingchun C",14,IF(Atletas!K326="Outra Mão de Sul C",15,IF(Atletas!K326="Choylayfut D",16,IF(Atletas!K326="Hunggar D",17,IF(Atletas!K326="Wuzuquan D",18,IF(Atletas!K326="Wingchun D",19,IF(Atletas!K326="Outra Mão de Sul D",20,IF(Atletas!K326="Choylayfut E",21,IF(Atletas!K326="Hunggar E",22,IF(Atletas!K326="Wuzuquan E",23,IF(Atletas!K326="Wingchun E",24,IF(Atletas!K326="Outra Mão de Sul E",25,IF(Atletas!K326="Choylayfut F",26,IF(Atletas!K326="Hunggar F",27,IF(Atletas!K326="Wuzuquan F",28,IF(Atletas!K326="Wingchun F",29,IF(Atletas!K326="Outra Mão de Sul F",30,""))))))))))))))))))))))))))))))))</f>
        <v/>
      </c>
      <c r="BL330" s="52" t="str">
        <f>IF(Atletas!L326="","",IF(Atletas!W326&lt;&gt;"",10000,0)+(IF(Atletas!B326="Feminino",1000,IF(Atletas!B326="Masculino",2000,""))+(IF(Atletas!L326="Chaquan A",101,IF(Atletas!L326="Emeiquan A",102,IF(Atletas!L326="Fanziquan A",103,IF(Atletas!L326="Huaquan A",104,IF(Atletas!L326="Hongquan A",105,IF(Atletas!L326="Paochui A",106,IF(Atletas!L326="Piguaquan A",107,IF(Atletas!L326="Shaolinquan A",108,IF(Atletas!L326="Tanglangquan A",109,IF(Atletas!L326="Yinzhaophai A",110,IF(Atletas!L326="Tongbeiquan A",111,IF(Atletas!L326="Wudangquan A",112,IF(Atletas!L326="Outros Estilos A",113,IF(Atletas!L326="Chaquan B",114,IF(Atletas!L326="Emeiquan B",115,IF(Atletas!L326="Fanziquan B",116,IF(Atletas!L326="Huaquan B",117,IF(Atletas!L326="Hongquan B",118,IF(Atletas!L326="Paochui B",119,IF(Atletas!L326="Piguaquan B",120,IF(Atletas!L326="Shaolinquan B",121,IF(Atletas!L326="Tanglangquan B",122,IF(Atletas!L326="Yinzhaophai B",123,IF(Atletas!L326="Tongbeiquan B",124,IF(Atletas!L326="Wudangquan B",125,IF(Atletas!L326="Outros Estilos B",126,IF(Atletas!L326="Chaquan C",127,IF(Atletas!L326="Emeiquan C",128,IF(Atletas!L326="Fanziquan C",129,IF(Atletas!L326="Huaquan C",130,IF(Atletas!L326="Hongquan C",131,IF(Atletas!L326="Paochui C",132,IF(Atletas!L326="Piguaquan C",133,IF(Atletas!L326="Shaolinquan C",134,IF(Atletas!L326="Tanglangquan C",135,IF(Atletas!L326="Yinzhaophai C",136,IF(Atletas!L326="Tongbeiquan C",137,IF(Atletas!L326="Wudangquan C",138,IF(Atletas!L326="Outros Estilos C",139,0))))))))))))))))))))))))))))))))))))))))))</f>
        <v/>
      </c>
      <c r="BM330" s="52" t="str">
        <f>IF(Atletas!L326="","",IF(Atletas!W326&lt;&gt;"",10000,0)+(IF(Atletas!B326="Feminino",1000,IF(Atletas!B326="Masculino",2000,""))+(IF(Atletas!L326="Chaquan D",140,IF(Atletas!L326="Emeiquan D",141,IF(Atletas!L326="Fanziquan D",142,IF(Atletas!L326="Huaquan D",143,IF(Atletas!L326="Hongquan D",144,IF(Atletas!L326="Paochui D",145,IF(Atletas!L326="Piguaquan D",146,IF(Atletas!L326="Shaolinquan D",147,IF(Atletas!L326="Tanglangquan D",148,IF(Atletas!L326="Yinzhaophai D",149,IF(Atletas!L326="Tongbeiquan D",150,IF(Atletas!L326="Wudangquan D",151,IF(Atletas!L326="Outros Estilos D",152,IF(Atletas!L326="Chaquan E",153,IF(Atletas!L326="Emeiquan E",154,IF(Atletas!L326="Fanziquan E",155,IF(Atletas!L326="Huaquan E",156,IF(Atletas!L326="Hongquan E",157,IF(Atletas!L326="Paochui E",158,IF(Atletas!L326="Piguaquan E",159,IF(Atletas!L326="Shaolinquan E",160,IF(Atletas!L326="Tanglangquan E",161,IF(Atletas!L326="Yinzhaophai E",162,IF(Atletas!L326="Tongbeiquan E",163,IF(Atletas!L326="Wudangquan E",164,IF(Atletas!L326="Outros Estilos E",165,IF(Atletas!L326="Chaquan F",166,IF(Atletas!L326="Emeiquan F",167,IF(Atletas!L326="Fanziquan F",168,IF(Atletas!L326="Huaquan F",169,IF(Atletas!L326="Hongquan F",170,IF(Atletas!L326="Paochui F",171,IF(Atletas!L326="Piguaquan F",172,IF(Atletas!L326="Shaolinquan F",173,IF(Atletas!L326="Tanglangquan F",174,IF(Atletas!L326="Yinzhaophai F",175,IF(Atletas!L326="Tongbeiquan F",176,IF(Atletas!L326="Wudangquan F",177,IF(Atletas!L326="Outros Estilos F",178,0))))))))))))))))))))))))))))))))))))))))))</f>
        <v/>
      </c>
      <c r="BN330" s="52" t="str">
        <f>IF(Atletas!M326="","",IF(Atletas!W326&lt;&gt;"",10000,0)+(IF(Atletas!B326="Feminino",1000,IF(Atletas!B326="Masculino",2000,""))+(IF(Atletas!M326="Ditangquan A",201,IF(Atletas!M326="Houquan A",202,IF(Atletas!M326="Zuiquan A",203,IF(Atletas!M326="Ditangquan B",204,IF(Atletas!M326="Houquan B",205,IF(Atletas!M326="Zuiquan B",206,IF(Atletas!M326="Ditangquan C",207,IF(Atletas!M326="Houquan C",208,IF(Atletas!M326="Zuiquan C",209,IF(Atletas!M326="Ditangquan D",210,IF(Atletas!M326="Houquan D",211,IF(Atletas!M326="Zuiquan D",212,IF(Atletas!M326="Ditangquan E",213,IF(Atletas!M326="Houquan E",214,IF(Atletas!M326="Zuiquan E",215,IF(Atletas!M326="Ditangquan F",216,IF(Atletas!M326="Houquan F",217,IF(Atletas!M326="Zuiquan F",218,"")))))))))))))))))))))</f>
        <v/>
      </c>
      <c r="BO330" s="52" t="str">
        <f>IF(Atletas!N326="","",IF(Atletas!W326&lt;&gt;"",10000,0)+IF(Atletas!B326="Feminino",1000,IF(Atletas!B326="Masculino",2000,""))+IF(Atletas!N326="Yang A",301,IF(Atletas!N326="Chen A",30,IF(Atletas!N326="Sun A",303,IF(Atletas!N326="Wu A",304,IF(Atletas!N326="Wu-Hao A",305,IF(Atletas!N326="Outro Taijiquan A",306,IF(Atletas!N326="Yang B",307,IF(Atletas!N326="Chen B",308,IF(Atletas!N326="Sun B",309,IF(Atletas!N326="Wu B",310,IF(Atletas!N326="Wu-Hao B",311,IF(Atletas!N326="Outro Taijiquan B",312,IF(Atletas!N326="Yang C",313,IF(Atletas!N326="Chen C",314,IF(Atletas!N326="Sun C",315,IF(Atletas!N326="Wu C",316,IF(Atletas!N326="Wu-Hao C",317,IF(Atletas!N326="Outro Taijiquan C",318,IF(Atletas!N326="Yang D",319,IF(Atletas!N326="Chen D",320,IF(Atletas!N326="Sun D",321,IF(Atletas!N326="Wu D",322,IF(Atletas!N326="Wu-Hao D",323,IF(Atletas!N326="Outro Taijiquan D",324,IF(Atletas!N326="Yang E",325,IF(Atletas!N326="Chen E",326,IF(Atletas!N326="Sun E",327,IF(Atletas!N326="Wu E",328,IF(Atletas!N326="Wu-Hao E",329,IF(Atletas!N326="Outro Taijiquan E",330,IF(Atletas!N326="Yang F",331,IF(Atletas!N326="Chen F",332,IF(Atletas!N326="Sun F",333,IF(Atletas!N326="Wu F",334,IF(Atletas!N326="Wu-Hao F",335,IF(Atletas!N326="Outro Taijiquan F",336,"")))))))))))))))))))))))))))))))))))))</f>
        <v/>
      </c>
      <c r="BP330" s="52" t="str">
        <f>IF(Atletas!O326="","",IF(Atletas!W326&lt;&gt;"",10000,0)+IF(Atletas!B326="Feminino",1000,IF(Atletas!B326="Masculino",2000,""))+IF(OR(Atletas!O326="Yang 26 A",Atletas!O326="Yang 40 A"),401,IF(OR(Atletas!O326="Chen 25 A",Atletas!O326="Chen 36 A",Atletas!O326="Chen 56 A"),402,IF(Atletas!O326="Sun 73 A",403,IF(Atletas!O326="Wu 45 A",404,IF(Atletas!O326="Wu-Hao 46 A",405,IF(OR(Atletas!O326="Taijiquan 16 A",Atletas!O326="Taijiquan 24 A",Atletas!O326="Taijiquan 32 A",Atletas!O326="Taijiquan 42 A"),406,IF(OR(Atletas!O326="Yang 26 B",Atletas!O326="Yang 40 B"),407,IF(OR(Atletas!O326="Chen 25 B",Atletas!O326="Chen 36 B",Atletas!O326="Chen 56 B"),408,IF(Atletas!O326="Sun 73 B",409,IF(Atletas!O326="Wu 45 B",410,IF(Atletas!O326="Wu-Hao 46 B",411,IF(OR(Atletas!O326="Taijiquan 16 B",Atletas!O326="Taijiquan 24 B",Atletas!O326="Taijiquan 32 B",Atletas!O326="Taijiquan 42 B"),412,IF(OR(Atletas!O326="Yang 26 C",Atletas!O326="Yang 40 C"),413,IF(OR(Atletas!O326="Chen 25 C",Atletas!O326="Chen 36 C",Atletas!O326="Chen 56 C"),414,IF(Atletas!O326="Sun 73 C",415,IF(Atletas!O326="Wu 45 C",416,IF(Atletas!O326="Wu-Hao 46 C",417,IF(OR(Atletas!O326="Taijiquan 16 C",Atletas!O326="Taijiquan 24 C",Atletas!O326="Taijiquan 32 C",Atletas!O326="Taijiquan 42 C"),418,0)))))))))))))))))))</f>
        <v/>
      </c>
      <c r="BQ330" s="52" t="str">
        <f>IF(Atletas!O326="","",IF(Atletas!W326&lt;&gt;"",10000,0)+IF(Atletas!B326="Feminino",1000,IF(Atletas!B326="Masculino",2000,""))+IF(OR(Atletas!O326="Yang 26 D",Atletas!O326="Yang 40 D"),419,IF(OR(Atletas!O326="Chen 25 D",Atletas!O326="Chen 36 D",Atletas!O326="Chen 56 D"),420,IF(Atletas!O326="Sun 73 D",421,IF(Atletas!O326="Wu 45 D",422,IF(Atletas!O326="Wu-Hao 46 D",423,IF(OR(Atletas!O326="Taijiquan 16 D",Atletas!O326="Taijiquan 24 D",Atletas!O326="Taijiquan 32 D",Atletas!O326="Taijiquan 42 D"),424,IF(OR(Atletas!O326="Yang 26 E",Atletas!O326="Yang 40 E"),425,IF(OR(Atletas!O326="Chen 25 E",Atletas!O326="Chen 36 E",Atletas!O326="Chen 56 E"),426,IF(Atletas!O326="Sun 73 E",427,IF(Atletas!O326="Wu 45 E",428,IF(Atletas!O326="Wu-Hao 46 E",429,IF(OR(Atletas!O326="Taijiquan 16 E",Atletas!O326="Taijiquan 24 E",Atletas!O326="Taijiquan 32 E",Atletas!O326="Taijiquan 42 E"),430,IF(OR(Atletas!O326="Yang 26 F",Atletas!O326="Yang 40 F"),431,IF(OR(Atletas!O326="Chen 25 F",Atletas!O326="Chen 36 F",Atletas!O326="Chen 56 F"),432,IF(Atletas!O326="Sun 73 F",433,IF(Atletas!O326="Wu 45 F",434,IF(Atletas!O326="Wu-Hao 46 F",435,IF(OR(Atletas!O326="Taijiquan 16 F",Atletas!O326="Taijiquan 24 F",Atletas!O326="Taijiquan 32 F",Atletas!O326="Taijiquan 42 F"),436,0)))))))))))))))))))</f>
        <v/>
      </c>
      <c r="BR330" s="52" t="str">
        <f>IF(Atletas!P326="","",IF(Atletas!W326&lt;&gt;"",10000,0)+IF(Atletas!B326="Feminino",1000,IF(Atletas!B326="Masculino",2000,""))+IF(Atletas!P326="Xingyiquan A",501,IF(Atletas!P326="Baguazhang A",502,IF(Atletas!P326="Outro Estilo Interno A",503,IF(Atletas!P326="Xingyiquan B",504,IF(Atletas!P326="Baguazhang B",505,IF(Atletas!P326="Outro Estilo Interno B",506,IF(Atletas!P326="Xingyiquan C",507,IF(Atletas!P326="Baguazhang C",508,IF(Atletas!P326="Outro Estilo Interno C",509,IF(Atletas!P326="Xingyiquan D",510,IF(Atletas!P326="Baguazhang D",511,IF(Atletas!P326="Outro Estilo Interno D",512,IF(Atletas!P326="Xingyiquan E",513,IF(Atletas!P326="Baguazhang E",514,IF(Atletas!P326="Outro Estilo Interno E",515,IF(Atletas!P326="Xingyiquan F",516,IF(Atletas!P326="Baguazhang F",517,IF(Atletas!P326="Outro Estilo Interno F",518, "")))))))))))))))))))</f>
        <v/>
      </c>
      <c r="BS330" s="52" t="str">
        <f>IF(Atletas!Q326="","",IF(Atletas!W326&lt;&gt;"",10000,0)+IF(Atletas!B326="Feminino",1000,IF(Atletas!B326="Masculino",2000,""))+IF(Atletas!Q326="Dao A",601,IF(Atletas!Q326="Jian A",602,IF(Atletas!Q326="Bishou A",603,IF(Atletas!Q326="Shan A",604,IF(Atletas!Q326="Outra Arma Curta A",605,IF(Atletas!Q326="Dao B",606,IF(Atletas!Q326="Jian B",607,IF(Atletas!Q326="Bishou B",608,IF(Atletas!Q326="Shan B",609,IF(Atletas!Q326="Outra Arma Curta B",610,IF(Atletas!Q326="Dao C",611,IF(Atletas!Q326="Jian C",612,IF(Atletas!Q326="Bishou C",613,IF(Atletas!Q326="Shan C",614,IF(Atletas!Q326="Outra Arma Curta C",615,IF(Atletas!Q326="Dao D",616,IF(Atletas!Q326="Jian D",617,IF(Atletas!Q326="Bishou D",618,IF(Atletas!Q326="Shan D",619,IF(Atletas!Q326="Outra Arma Curta D",620,IF(Atletas!Q326="Dao E",621,IF(Atletas!Q326="Jian E",622,IF(Atletas!Q326="Bishou E",623,IF(Atletas!Q326="Shan E",624,IF(Atletas!Q326="Outra Arma Curta E",625,IF(Atletas!Q326="Dao F",626,IF(Atletas!Q326="Jian F",627,IF(Atletas!Q326="Bishou F",628,IF(Atletas!Q326="Shan F",629,IF(Atletas!Q326="Outra Arma Curta F",630, "")))))))))))))))))))))))))))))))</f>
        <v/>
      </c>
      <c r="BT330" s="52" t="str">
        <f>IF(Atletas!R326="","",IF(Atletas!W326&lt;&gt;"",10000,0)+IF(Atletas!B326="Feminino",1000,IF(Atletas!B326="Masculino",2000,""))+IF(Atletas!R326="Gun A",701,IF(Atletas!R326="Qiang A",702,IF(Atletas!R326="Pudao / Guandao A",703,IF(Atletas!R326="Outra Arma Longa A",704,IF(Atletas!R326="Gun B",705,IF(Atletas!R326="Qiang B",706,IF(Atletas!R326="Pudao / Guandao B",707,IF(Atletas!R326="Outra Arma Longa B",708,IF(Atletas!R326="Gun C",709,IF(Atletas!R326="Qiang C",710,IF(Atletas!R326="Pudao / Guandao C",711,IF(Atletas!R326="Outra Arma Longa C",712,IF(Atletas!R326="Gun D",713,IF(Atletas!R326="Qiang D",714,IF(Atletas!R326="Pudao / Guandao D",715,IF(Atletas!R326="Outra Arma Longa D",716,IF(Atletas!R326="Gun E",717,IF(Atletas!R326="Qiang E",718,IF(Atletas!R326="Pudao / Guandao E",719,IF(Atletas!R326="Outra Arma Longa E",720,IF(Atletas!R326="Gun F",721,IF(Atletas!R326="Qiang F",722,IF(Atletas!R326="Pudao / Guandao F",723,IF(Atletas!R326="Outra Arma Longa F",724,"")))))))))))))))))))))))))</f>
        <v/>
      </c>
      <c r="BU330" s="52" t="str">
        <f>IF(Atletas!S326="","",IF(Atletas!W326&lt;&gt;"",10000,0)+IF(Atletas!B326="Feminino",1000,IF(Atletas!B326="Masculino",2000,""))+IF(Atletas!S326="Arma Dupla A",801,IF(Atletas!S326="Arma Maleável A",802,IF(Atletas!S326="Arma Dupla B",803,IF(Atletas!S326="Arma Maleável B",804,IF(Atletas!S326="Arma Dupla C",805,IF(Atletas!S326="Arma Maleável C",806,IF(Atletas!S326="Arma Dupla D",807,IF(Atletas!S326="Arma Maleável D",808,IF(Atletas!S326="Arma Dupla E",809,IF(Atletas!S326="Arma Maleável E",810,IF(Atletas!S326="Arma Dupla F",811,IF(Atletas!S326="Arma Maleável F",812, "")))))))))))))</f>
        <v/>
      </c>
      <c r="BV330" s="52" t="str">
        <f>IF(Atletas!T326="","",IF(Atletas!W326&lt;&gt;"",10000,0)+IF(Atletas!B326="Feminino",1000,IF(Atletas!B326="Masculino",2000,""))+IF(Atletas!T326="Taijijian Yang A",901,IF(Atletas!T326="Taijijian Chen A",902,IF(Atletas!T326="Taijijian Sun A",903,IF(Atletas!T326="Taijijian Wu A",904,IF(Atletas!T326="Taijijian Wu-Hao A",905,IF(Atletas!T326="Taijijian 32 A",906,IF(Atletas!T326="Taijijian 42 A",907,IF(Atletas!T326="Taijijian Yang B",908,IF(Atletas!T326="Taijijian Chen B",909,IF(Atletas!T326="Taijijian Sun B",910,IF(Atletas!T326="Taijijian Wu B",911,IF(Atletas!T326="Taijijian Wu-Hao B",912,IF(Atletas!T326="Taijijian 32 B",913,IF(Atletas!T326="Taijijian 42 B",914,IF(Atletas!T326="Taijijian Yang C",915,IF(Atletas!T326="Taijijian Chen C",916,IF(Atletas!T326="Taijijian Sun C",917,IF(Atletas!T326="Taijijian Wu C",918,IF(Atletas!T326="Taijijian Wu-Hao C",919,IF(Atletas!T326="Taijijian 32 C",920,IF(Atletas!T326="Taijijian 42 C",921,IF(Atletas!T326="Taijijian Yang D",922,IF(Atletas!T326="Taijijian Chen D",923,IF(Atletas!T326="Taijijian Sun D",924,IF(Atletas!T326="Taijijian Wu D",925,IF(Atletas!T326="Taijijian Wu-Hao D",926,IF(Atletas!T326="Taijijian 32 D",927,IF(Atletas!T326="Taijijian 42 D",928,IF(Atletas!T326="Taijijian Yang E",929,IF(Atletas!T326="Taijijian Chen E",930,IF(Atletas!T326="Taijijian Sun E",931,IF(Atletas!T326="Taijijian Wu E",932,IF(Atletas!T326="Taijijian Wu-Hao E",933,IF(Atletas!T326="Taijijian 32 E",934,IF(Atletas!T326="Taijijian 42 E",935,IF(Atletas!T326="Taijijian Yang F",936,IF(Atletas!T326="Taijijian Chen F",937,IF(Atletas!T326="Taijijian Sun F",938,IF(Atletas!T326="Taijijian Wu F",939,IF(Atletas!T326="Taijijian Wu-Hao F",940,IF(Atletas!T326="Taijijian 32 F",941,IF(Atletas!T326="Taijijian 42 F",942,"")))))))))))))))))))))))))))))))))))))))))))</f>
        <v/>
      </c>
      <c r="BW330" s="52" t="str">
        <f>IF(Atletas!U326="","",IF(Atletas!W326&lt;&gt;"",10000,0)+IF(Atletas!B326="Feminino",1000,IF(Atletas!B326="Masculino",2000,""))+IF(Atletas!T326="Taijijian 42 F",942,IF(Atletas!U326="Taijidao A",943,IF(Atletas!U326="Taijishan A",944,IF(Atletas!U326="Taijiqiang A",945,IF(Atletas!U326="Taijidao B",946,IF(Atletas!U326="Taijishan B",947,IF(Atletas!U326="Taijiqiang B",948,IF(Atletas!U326="Taijidao C",949,IF(Atletas!U326="Taijishan C",950,IF(Atletas!U326="Taijiqiang C",951,IF(Atletas!U326="Taijidao D",952,IF(Atletas!U326="Taijishan D",953,IF(Atletas!U326="Taijiqiang D",954,IF(Atletas!U326="Taijidao E",955,IF(Atletas!U326="Taijishan E",956,IF(Atletas!U326="Taijiqiang E",957,IF(Atletas!U326="Taijidao F",958,IF(Atletas!U326="Taijishan F",959,IF(Atletas!U326="Taijiqiang F",960))))))))))))))))))))</f>
        <v/>
      </c>
      <c r="BX330" s="72" t="str">
        <f>IF(BY330&lt;&gt;"","Taijiqiang B","")</f>
        <v/>
      </c>
      <c r="BY330" s="72" t="str">
        <f>IF(COUNTIF(BK:BW,1948)&gt;0,COUNTIF(BK:BW,1948),"")</f>
        <v/>
      </c>
      <c r="BZ330" s="72" t="str">
        <f>IF(CA330&lt;&gt;"","Taijiqiang B","")</f>
        <v/>
      </c>
      <c r="CA330" s="72" t="str">
        <f>IF(COUNTIF(BK:BW,2948)&gt;0,COUNTIF(BK:BW,2948),"")</f>
        <v/>
      </c>
      <c r="CB330" s="72" t="str">
        <f>IF(CC330&lt;&gt;"","Qiang E","")</f>
        <v/>
      </c>
      <c r="CC330" s="64" t="str">
        <f>IF(COUNTIF(BK:BW,11718)&gt;0,COUNTIF(BK:BW,11718),"")</f>
        <v/>
      </c>
      <c r="CD330" s="64" t="str">
        <f>IF(CE330&lt;&gt;"","Qiang E","")</f>
        <v/>
      </c>
      <c r="CE330" s="64" t="str">
        <f>IF(COUNTIF(BK:BW,12718)&gt;0,COUNTIF(BK:BW,12718),"")</f>
        <v/>
      </c>
      <c r="CF330" s="52" t="str">
        <f xml:space="preserve"> IF(Atletas!V326="","",IF(Atletas!V326="Duilian de Mãos AB - Equipe 1",1,IF(Atletas!V326="Duilian de Mãos AB - Equipe 2",2,IF(Atletas!V326="Duilian de Armas AB - Equipe 1",3,IF(Atletas!V326="Duilian de Armas AB - Equipe 2",4,IF(Atletas!V326="Duilian de Tuishou - Equipe 1",5,IF(Atletas!V326="Duilian de Tuishou - Equipe 2",6,IF(Atletas!V326="Grupo Externo AB - Equipe 1",7,IF(Atletas!V326="Grupo Externo AB - Equipe 2",8,IF(Atletas!V326="Grupo Interno AB - Equipe 1",9,IF(Atletas!V326="Grupo Interno AB - Equipe 2",10,IF(Atletas!V326="Duilian de Mãos CD - Equipe 1",11,IF(Atletas!V326="Duilian de Mãos CD - Equipe 2",12,IF(Atletas!V326="Duilian de Armas CD - Equipe 1",13,IF(Atletas!V326="Duilian de Armas CD - Equipe 2",14,IF(Atletas!V326="Duilian de Tuishou - Equipe 1",15,IF(Atletas!V326="Duilian de Tuishou - Equipe 2",16,IF(Atletas!V326="Grupo Externo CDEF - Equipe 1",17,IF(Atletas!V326="Grupo Externo CDEF - Equipe 2",18,IF(Atletas!V326="Grupo Interno CDEF - Equipe 1",19,IF(Atletas!V326="Grupo Interno CDEF - Equipe 2",20,IF(Atletas!V326="Duilian de Mãos EF - Equipe 1",21,IF(Atletas!V326="Duilian de Mãos EF - Equipe 2",22,IF(Atletas!V326="Duilian de Armas EF - Equipe 1",23,IF(Atletas!V326="Duilian de Armas EF - Equipe 2",24,IF(Atletas!V326="Duilian de Tuishou - Equipe 1",25,IF(Atletas!V326="Duilian de Tuishou - Equipe 2",26,"")))))))))))))))))))))))))))</f>
        <v/>
      </c>
    </row>
    <row r="331" spans="36:84">
      <c r="AJ331" s="46" t="str">
        <f>IF(Atletas!D327="","",IF(Atletas!B327="Feminino",100,IF(Atletas!B327="Masculino",200,""))+(IF(Atletas!D327="Infantil 39kg",1,IF(Atletas!D327="Infantil 42kg",2,IF(Atletas!D327="Infantil 45kg",3,IF(Atletas!D327="Infantil 48kg",4,IF(Atletas!D327="Infantil 52kg",5,IF(Atletas!D327="Infantil 56kg",6,IF(Atletas!D327="Infantil 60kg",7,IF(Atletas!D327="Juvenil 48kg",8,IF(Atletas!D327="Juvenil 52kg",9,IF(Atletas!D327="Juvenil 56kg",10,IF(Atletas!D327="Juvenil 60kg",11,IF(Atletas!D327="Juvenil 65kg",12,IF(Atletas!D327="Juvenil 70kg",13,IF(Atletas!D327="Juvenil 75kg",14,IF(Atletas!D327="Juvenil 80kg",15,IF(Atletas!D327="Adulto 48kg",16,IF(Atletas!D327="Adulto 52kg",17,IF(Atletas!D327="Adulto 56kg",18,IF(Atletas!D327="Adulto 60kg",19,IF(Atletas!D327="Adulto 65kg",20,IF(Atletas!D327="Adulto 70kg",21,IF(Atletas!D327="Adulto 75kg",22,IF(Atletas!D327="Adulto 80kg",23,IF(Atletas!D327="Adulto 85kg",24,IF(Atletas!D327="Adulto 90kg",25,IF(Atletas!D327="Adulto +90kg",26,""))))))))))))))))))))))))))))</f>
        <v/>
      </c>
      <c r="AO331" s="10" t="str">
        <f>IF(Atletas!E327="","",IF(Atletas!B327="Feminino",100,IF(Atletas!B327="Masculino",200,""))+(IF(Atletas!E327="Juvenil 44kg",1,IF(Atletas!E327="Juvenil 48kg",2,IF(Atletas!E327="Juvenil 52kg",3,IF(Atletas!E327="Juvenil 56kg",4,IF(Atletas!E327="Juvenil 60kg",5,IF(Atletas!E327="Juvenil 65kg",6,IF(Atletas!E327="Juvenil 70kg",7,IF(Atletas!E327="Juvenil 75kg",8,IF(Atletas!E327="Juvenil 82kg",9,IF(Atletas!E327="Juvenil 90kg",10,IF(Atletas!E327="Juvenil 100kg",11,IF(Atletas!E327="Adulto 48kg",12,IF(Atletas!E327="Adulto 52kg",13,IF(Atletas!E327="Adulto 56kg",14,IF(Atletas!E327="Adulto 60kg",15,IF(Atletas!E327="Adulto 65kg",16,IF(Atletas!E327="Adulto 70kg",17,IF(Atletas!E327="Adulto 75kg",18,IF(Atletas!E327="Adulto 82kg",19,IF(Atletas!E327="Adulto 90kg",20,IF(Atletas!E327="Adulto 100kg",21,IF(Atletas!E327="Adulto +100kg",22,""))))))))))))))))))))))))</f>
        <v/>
      </c>
      <c r="AT331" s="10" t="str">
        <f>IF(Atletas!F327="","",IF(Atletas!B327="Feminino",100,IF(Atletas!B327="Masculino",200,""))+(IF(Atletas!F327="Adulto 48kg",1,IF(Atletas!F327="Adulto 56kg",2,IF(Atletas!F327="Adulto 65kg",3,IF(Atletas!F327="Adulto 75kg",4,IF(Atletas!F327="Adulto +75kg",5,IF(Atletas!F327="Adulto 52kg",6,IF(Atletas!F327="Adulto 60kg",7,IF(Atletas!F327="Adulto 70kg",8,IF(Atletas!F327="Adulto 80kg",9,IF(Atletas!F327="Adulto 90kg",10,IF(Atletas!F327="Adulto +90kg",11,"")))))))))))))</f>
        <v/>
      </c>
      <c r="AY331" s="46" t="str">
        <f>IF(Atletas!G327="","",IF(Atletas!B327="Feminino",100,IF(Atletas!B327="Masculino",200,""))+(IF(Atletas!G327="Changquan Mirim",1,IF(Atletas!G327="Nanquan Mirim",2,IF(Atletas!G327="Taijiquan Mirim",3,IF(Atletas!G327="Changquan Grupo C",4,IF(Atletas!G327="Nanquan Grupo C",5,IF(Atletas!G327="Taijiquan Grupo C",6,IF(Atletas!G327="Changquan Grupo B",7,IF(Atletas!G327="Nanquan Grupo B",8,IF(Atletas!G327="Taijiquan Grupo B",9,IF(Atletas!G327="Changquan Grupo A",10,IF(Atletas!G327="Nanquan Grupo A",11,IF(Atletas!G327="Taijiquan Grupo A",12,IF(Atletas!G327="Changquan Opcional",13,IF(Atletas!G327="Nanquan Opcional",14,IF(Atletas!G327="Taijiquan Opcional",15,IF(Atletas!G327="Changquan Adulto",16,IF(Atletas!G327="Nanquan Adulto",17,IF(Atletas!G327="Taijiquan Adulto",18,""))))))))))))))))))))</f>
        <v/>
      </c>
      <c r="AZ331" s="46" t="str">
        <f>IF(Atletas!H327="","",IF(Atletas!B327="Feminino",100,IF(Atletas!B327="Masculino",200,""))+(IF(Atletas!H327="Daoshu Mirim",19,IF(Atletas!H327="Jianshu Mirim",20,IF(Atletas!H327="Nandao Mirim",21,IF(Atletas!H327="Taijijian Mirim",22,IF(Atletas!H327="Daoshu Grupo C",23,IF(Atletas!H327="Jianshu Grupo C",24,IF(Atletas!H327="Nandao Grupo C",25,IF(Atletas!H327="Taijijian Grupo C",26,IF(Atletas!H327="Daoshu Grupo B",27,IF(Atletas!H327="Jianshu Grupo B",28,IF(Atletas!H327="Nandao Grupo B",29,IF(Atletas!H327="Taijijian Grupo B",30,IF(Atletas!H327="Daoshu Grupo A",31,IF(Atletas!H327="Jianshu Grupo A",32,IF(Atletas!H327="Nandao Grupo A",33,IF(Atletas!H327="Taijijian Grupo A",34,IF(Atletas!H327="Daoshu Opcional",35,IF(Atletas!H327="Jianshu Opcional",36,IF(Atletas!H327="Nandao Opcional",37,IF(Atletas!H327="Taijijian Opcional",38,IF(Atletas!H327="Daoshu Adulto",39,IF(Atletas!H327="Jianshu Adulto",40,IF(Atletas!H327="Nandao Adulto",41,IF(Atletas!H327="Taijijian Adulto",42,""))))))))))))))))))))))))))</f>
        <v/>
      </c>
      <c r="BA331" s="46" t="str">
        <f>IF(Atletas!I327="","",IF(Atletas!B327="Feminino",100,IF(Atletas!B327="Masculino",200,""))+(IF(Atletas!I327="Gunshu Mirim",43,IF(Atletas!I327="Qiangshu Mirim",44,IF(Atletas!I327="Nangun Mirim",45,IF(Atletas!I327="Gunshu Grupo C",46,IF(Atletas!I327="Qiangshu Grupo C",47,IF(Atletas!I327="Nangun Grupo C",48,IF(Atletas!I327="Gunshu Grupo B",49,IF(Atletas!I327="Qiangshu Grupo B",50,IF(Atletas!I327="Nangun Grupo B",51,IF(Atletas!I327="Gunshu Grupo A",52,IF(Atletas!I327="Qiangshu Grupo A",53,IF(Atletas!I327="Nangun Grupo A",54,IF(Atletas!I327="Gunshu Opcional",55,IF(Atletas!I327="Qiangshu Opcional",56,IF(Atletas!I327="Nangun Opcional",57,IF(Atletas!I327="Gunshu Adulto",58,IF(Atletas!I327="Qiangshu Adulto",59,IF(Atletas!I327="Nangun Adulto",60,""))))))))))))))))))))</f>
        <v/>
      </c>
      <c r="BF331" s="52" t="str">
        <f>IF(Atletas!J327="","",IF(Atletas!B327="Feminino",100,IF(Atletas!B327="Masculino",200,""))+(IF(Atletas!J327="Equipe 1 Grupo B",1,IF(Atletas!J327="Equipe 2 Grupo B",2,IF(Atletas!J327="Equipe 1 Grupo A",3,IF(Atletas!J327="Equipe 2 Grupo A",4,IF(Atletas!J327="Equipe 1 Adulto",5,IF(Atletas!J327="Equipe 2 Adulto",6,""))))))))</f>
        <v/>
      </c>
      <c r="BK331" s="52" t="str">
        <f>IF(Atletas!K327="","",IF(Atletas!W327&lt;&gt;"",10000,0)+(IF(Atletas!B327="Feminino",1000,IF(Atletas!B327="Masculino",2000,""))+IF(Atletas!K327="Choylayfut A",1,IF(Atletas!K327="Hunggar A",2,IF(Atletas!K327="Wuzuquan A",3,IF(Atletas!K327="Wingchun A",4,IF(Atletas!K327="Outra Mão de Sul A",5,IF(Atletas!K327="Choylayfut B",6,IF(Atletas!K327="Hunggar B",7,IF(Atletas!K327="Wuzuquan B",8,IF(Atletas!K327="Wingchun B",9,IF(Atletas!K327="Outra Mão de Sul B",10,IF(Atletas!K327="Choylayfut C",11,IF(Atletas!K327="Hunggar C",12,IF(Atletas!K327="Wuzuquan C",13,IF(Atletas!K327="Wingchun C",14,IF(Atletas!K327="Outra Mão de Sul C",15,IF(Atletas!K327="Choylayfut D",16,IF(Atletas!K327="Hunggar D",17,IF(Atletas!K327="Wuzuquan D",18,IF(Atletas!K327="Wingchun D",19,IF(Atletas!K327="Outra Mão de Sul D",20,IF(Atletas!K327="Choylayfut E",21,IF(Atletas!K327="Hunggar E",22,IF(Atletas!K327="Wuzuquan E",23,IF(Atletas!K327="Wingchun E",24,IF(Atletas!K327="Outra Mão de Sul E",25,IF(Atletas!K327="Choylayfut F",26,IF(Atletas!K327="Hunggar F",27,IF(Atletas!K327="Wuzuquan F",28,IF(Atletas!K327="Wingchun F",29,IF(Atletas!K327="Outra Mão de Sul F",30,""))))))))))))))))))))))))))))))))</f>
        <v/>
      </c>
      <c r="BL331" s="52" t="str">
        <f>IF(Atletas!L327="","",IF(Atletas!W327&lt;&gt;"",10000,0)+(IF(Atletas!B327="Feminino",1000,IF(Atletas!B327="Masculino",2000,""))+(IF(Atletas!L327="Chaquan A",101,IF(Atletas!L327="Emeiquan A",102,IF(Atletas!L327="Fanziquan A",103,IF(Atletas!L327="Huaquan A",104,IF(Atletas!L327="Hongquan A",105,IF(Atletas!L327="Paochui A",106,IF(Atletas!L327="Piguaquan A",107,IF(Atletas!L327="Shaolinquan A",108,IF(Atletas!L327="Tanglangquan A",109,IF(Atletas!L327="Yinzhaophai A",110,IF(Atletas!L327="Tongbeiquan A",111,IF(Atletas!L327="Wudangquan A",112,IF(Atletas!L327="Outros Estilos A",113,IF(Atletas!L327="Chaquan B",114,IF(Atletas!L327="Emeiquan B",115,IF(Atletas!L327="Fanziquan B",116,IF(Atletas!L327="Huaquan B",117,IF(Atletas!L327="Hongquan B",118,IF(Atletas!L327="Paochui B",119,IF(Atletas!L327="Piguaquan B",120,IF(Atletas!L327="Shaolinquan B",121,IF(Atletas!L327="Tanglangquan B",122,IF(Atletas!L327="Yinzhaophai B",123,IF(Atletas!L327="Tongbeiquan B",124,IF(Atletas!L327="Wudangquan B",125,IF(Atletas!L327="Outros Estilos B",126,IF(Atletas!L327="Chaquan C",127,IF(Atletas!L327="Emeiquan C",128,IF(Atletas!L327="Fanziquan C",129,IF(Atletas!L327="Huaquan C",130,IF(Atletas!L327="Hongquan C",131,IF(Atletas!L327="Paochui C",132,IF(Atletas!L327="Piguaquan C",133,IF(Atletas!L327="Shaolinquan C",134,IF(Atletas!L327="Tanglangquan C",135,IF(Atletas!L327="Yinzhaophai C",136,IF(Atletas!L327="Tongbeiquan C",137,IF(Atletas!L327="Wudangquan C",138,IF(Atletas!L327="Outros Estilos C",139,0))))))))))))))))))))))))))))))))))))))))))</f>
        <v/>
      </c>
      <c r="BM331" s="52" t="str">
        <f>IF(Atletas!L327="","",IF(Atletas!W327&lt;&gt;"",10000,0)+(IF(Atletas!B327="Feminino",1000,IF(Atletas!B327="Masculino",2000,""))+(IF(Atletas!L327="Chaquan D",140,IF(Atletas!L327="Emeiquan D",141,IF(Atletas!L327="Fanziquan D",142,IF(Atletas!L327="Huaquan D",143,IF(Atletas!L327="Hongquan D",144,IF(Atletas!L327="Paochui D",145,IF(Atletas!L327="Piguaquan D",146,IF(Atletas!L327="Shaolinquan D",147,IF(Atletas!L327="Tanglangquan D",148,IF(Atletas!L327="Yinzhaophai D",149,IF(Atletas!L327="Tongbeiquan D",150,IF(Atletas!L327="Wudangquan D",151,IF(Atletas!L327="Outros Estilos D",152,IF(Atletas!L327="Chaquan E",153,IF(Atletas!L327="Emeiquan E",154,IF(Atletas!L327="Fanziquan E",155,IF(Atletas!L327="Huaquan E",156,IF(Atletas!L327="Hongquan E",157,IF(Atletas!L327="Paochui E",158,IF(Atletas!L327="Piguaquan E",159,IF(Atletas!L327="Shaolinquan E",160,IF(Atletas!L327="Tanglangquan E",161,IF(Atletas!L327="Yinzhaophai E",162,IF(Atletas!L327="Tongbeiquan E",163,IF(Atletas!L327="Wudangquan E",164,IF(Atletas!L327="Outros Estilos E",165,IF(Atletas!L327="Chaquan F",166,IF(Atletas!L327="Emeiquan F",167,IF(Atletas!L327="Fanziquan F",168,IF(Atletas!L327="Huaquan F",169,IF(Atletas!L327="Hongquan F",170,IF(Atletas!L327="Paochui F",171,IF(Atletas!L327="Piguaquan F",172,IF(Atletas!L327="Shaolinquan F",173,IF(Atletas!L327="Tanglangquan F",174,IF(Atletas!L327="Yinzhaophai F",175,IF(Atletas!L327="Tongbeiquan F",176,IF(Atletas!L327="Wudangquan F",177,IF(Atletas!L327="Outros Estilos F",178,0))))))))))))))))))))))))))))))))))))))))))</f>
        <v/>
      </c>
      <c r="BN331" s="52" t="str">
        <f>IF(Atletas!M327="","",IF(Atletas!W327&lt;&gt;"",10000,0)+(IF(Atletas!B327="Feminino",1000,IF(Atletas!B327="Masculino",2000,""))+(IF(Atletas!M327="Ditangquan A",201,IF(Atletas!M327="Houquan A",202,IF(Atletas!M327="Zuiquan A",203,IF(Atletas!M327="Ditangquan B",204,IF(Atletas!M327="Houquan B",205,IF(Atletas!M327="Zuiquan B",206,IF(Atletas!M327="Ditangquan C",207,IF(Atletas!M327="Houquan C",208,IF(Atletas!M327="Zuiquan C",209,IF(Atletas!M327="Ditangquan D",210,IF(Atletas!M327="Houquan D",211,IF(Atletas!M327="Zuiquan D",212,IF(Atletas!M327="Ditangquan E",213,IF(Atletas!M327="Houquan E",214,IF(Atletas!M327="Zuiquan E",215,IF(Atletas!M327="Ditangquan F",216,IF(Atletas!M327="Houquan F",217,IF(Atletas!M327="Zuiquan F",218,"")))))))))))))))))))))</f>
        <v/>
      </c>
      <c r="BO331" s="52" t="str">
        <f>IF(Atletas!N327="","",IF(Atletas!W327&lt;&gt;"",10000,0)+IF(Atletas!B327="Feminino",1000,IF(Atletas!B327="Masculino",2000,""))+IF(Atletas!N327="Yang A",301,IF(Atletas!N327="Chen A",30,IF(Atletas!N327="Sun A",303,IF(Atletas!N327="Wu A",304,IF(Atletas!N327="Wu-Hao A",305,IF(Atletas!N327="Outro Taijiquan A",306,IF(Atletas!N327="Yang B",307,IF(Atletas!N327="Chen B",308,IF(Atletas!N327="Sun B",309,IF(Atletas!N327="Wu B",310,IF(Atletas!N327="Wu-Hao B",311,IF(Atletas!N327="Outro Taijiquan B",312,IF(Atletas!N327="Yang C",313,IF(Atletas!N327="Chen C",314,IF(Atletas!N327="Sun C",315,IF(Atletas!N327="Wu C",316,IF(Atletas!N327="Wu-Hao C",317,IF(Atletas!N327="Outro Taijiquan C",318,IF(Atletas!N327="Yang D",319,IF(Atletas!N327="Chen D",320,IF(Atletas!N327="Sun D",321,IF(Atletas!N327="Wu D",322,IF(Atletas!N327="Wu-Hao D",323,IF(Atletas!N327="Outro Taijiquan D",324,IF(Atletas!N327="Yang E",325,IF(Atletas!N327="Chen E",326,IF(Atletas!N327="Sun E",327,IF(Atletas!N327="Wu E",328,IF(Atletas!N327="Wu-Hao E",329,IF(Atletas!N327="Outro Taijiquan E",330,IF(Atletas!N327="Yang F",331,IF(Atletas!N327="Chen F",332,IF(Atletas!N327="Sun F",333,IF(Atletas!N327="Wu F",334,IF(Atletas!N327="Wu-Hao F",335,IF(Atletas!N327="Outro Taijiquan F",336,"")))))))))))))))))))))))))))))))))))))</f>
        <v/>
      </c>
      <c r="BP331" s="52" t="str">
        <f>IF(Atletas!O327="","",IF(Atletas!W327&lt;&gt;"",10000,0)+IF(Atletas!B327="Feminino",1000,IF(Atletas!B327="Masculino",2000,""))+IF(OR(Atletas!O327="Yang 26 A",Atletas!O327="Yang 40 A"),401,IF(OR(Atletas!O327="Chen 25 A",Atletas!O327="Chen 36 A",Atletas!O327="Chen 56 A"),402,IF(Atletas!O327="Sun 73 A",403,IF(Atletas!O327="Wu 45 A",404,IF(Atletas!O327="Wu-Hao 46 A",405,IF(OR(Atletas!O327="Taijiquan 16 A",Atletas!O327="Taijiquan 24 A",Atletas!O327="Taijiquan 32 A",Atletas!O327="Taijiquan 42 A"),406,IF(OR(Atletas!O327="Yang 26 B",Atletas!O327="Yang 40 B"),407,IF(OR(Atletas!O327="Chen 25 B",Atletas!O327="Chen 36 B",Atletas!O327="Chen 56 B"),408,IF(Atletas!O327="Sun 73 B",409,IF(Atletas!O327="Wu 45 B",410,IF(Atletas!O327="Wu-Hao 46 B",411,IF(OR(Atletas!O327="Taijiquan 16 B",Atletas!O327="Taijiquan 24 B",Atletas!O327="Taijiquan 32 B",Atletas!O327="Taijiquan 42 B"),412,IF(OR(Atletas!O327="Yang 26 C",Atletas!O327="Yang 40 C"),413,IF(OR(Atletas!O327="Chen 25 C",Atletas!O327="Chen 36 C",Atletas!O327="Chen 56 C"),414,IF(Atletas!O327="Sun 73 C",415,IF(Atletas!O327="Wu 45 C",416,IF(Atletas!O327="Wu-Hao 46 C",417,IF(OR(Atletas!O327="Taijiquan 16 C",Atletas!O327="Taijiquan 24 C",Atletas!O327="Taijiquan 32 C",Atletas!O327="Taijiquan 42 C"),418,0)))))))))))))))))))</f>
        <v/>
      </c>
      <c r="BQ331" s="52" t="str">
        <f>IF(Atletas!O327="","",IF(Atletas!W327&lt;&gt;"",10000,0)+IF(Atletas!B327="Feminino",1000,IF(Atletas!B327="Masculino",2000,""))+IF(OR(Atletas!O327="Yang 26 D",Atletas!O327="Yang 40 D"),419,IF(OR(Atletas!O327="Chen 25 D",Atletas!O327="Chen 36 D",Atletas!O327="Chen 56 D"),420,IF(Atletas!O327="Sun 73 D",421,IF(Atletas!O327="Wu 45 D",422,IF(Atletas!O327="Wu-Hao 46 D",423,IF(OR(Atletas!O327="Taijiquan 16 D",Atletas!O327="Taijiquan 24 D",Atletas!O327="Taijiquan 32 D",Atletas!O327="Taijiquan 42 D"),424,IF(OR(Atletas!O327="Yang 26 E",Atletas!O327="Yang 40 E"),425,IF(OR(Atletas!O327="Chen 25 E",Atletas!O327="Chen 36 E",Atletas!O327="Chen 56 E"),426,IF(Atletas!O327="Sun 73 E",427,IF(Atletas!O327="Wu 45 E",428,IF(Atletas!O327="Wu-Hao 46 E",429,IF(OR(Atletas!O327="Taijiquan 16 E",Atletas!O327="Taijiquan 24 E",Atletas!O327="Taijiquan 32 E",Atletas!O327="Taijiquan 42 E"),430,IF(OR(Atletas!O327="Yang 26 F",Atletas!O327="Yang 40 F"),431,IF(OR(Atletas!O327="Chen 25 F",Atletas!O327="Chen 36 F",Atletas!O327="Chen 56 F"),432,IF(Atletas!O327="Sun 73 F",433,IF(Atletas!O327="Wu 45 F",434,IF(Atletas!O327="Wu-Hao 46 F",435,IF(OR(Atletas!O327="Taijiquan 16 F",Atletas!O327="Taijiquan 24 F",Atletas!O327="Taijiquan 32 F",Atletas!O327="Taijiquan 42 F"),436,0)))))))))))))))))))</f>
        <v/>
      </c>
      <c r="BR331" s="52" t="str">
        <f>IF(Atletas!P327="","",IF(Atletas!W327&lt;&gt;"",10000,0)+IF(Atletas!B327="Feminino",1000,IF(Atletas!B327="Masculino",2000,""))+IF(Atletas!P327="Xingyiquan A",501,IF(Atletas!P327="Baguazhang A",502,IF(Atletas!P327="Outro Estilo Interno A",503,IF(Atletas!P327="Xingyiquan B",504,IF(Atletas!P327="Baguazhang B",505,IF(Atletas!P327="Outro Estilo Interno B",506,IF(Atletas!P327="Xingyiquan C",507,IF(Atletas!P327="Baguazhang C",508,IF(Atletas!P327="Outro Estilo Interno C",509,IF(Atletas!P327="Xingyiquan D",510,IF(Atletas!P327="Baguazhang D",511,IF(Atletas!P327="Outro Estilo Interno D",512,IF(Atletas!P327="Xingyiquan E",513,IF(Atletas!P327="Baguazhang E",514,IF(Atletas!P327="Outro Estilo Interno E",515,IF(Atletas!P327="Xingyiquan F",516,IF(Atletas!P327="Baguazhang F",517,IF(Atletas!P327="Outro Estilo Interno F",518, "")))))))))))))))))))</f>
        <v/>
      </c>
      <c r="BS331" s="52" t="str">
        <f>IF(Atletas!Q327="","",IF(Atletas!W327&lt;&gt;"",10000,0)+IF(Atletas!B327="Feminino",1000,IF(Atletas!B327="Masculino",2000,""))+IF(Atletas!Q327="Dao A",601,IF(Atletas!Q327="Jian A",602,IF(Atletas!Q327="Bishou A",603,IF(Atletas!Q327="Shan A",604,IF(Atletas!Q327="Outra Arma Curta A",605,IF(Atletas!Q327="Dao B",606,IF(Atletas!Q327="Jian B",607,IF(Atletas!Q327="Bishou B",608,IF(Atletas!Q327="Shan B",609,IF(Atletas!Q327="Outra Arma Curta B",610,IF(Atletas!Q327="Dao C",611,IF(Atletas!Q327="Jian C",612,IF(Atletas!Q327="Bishou C",613,IF(Atletas!Q327="Shan C",614,IF(Atletas!Q327="Outra Arma Curta C",615,IF(Atletas!Q327="Dao D",616,IF(Atletas!Q327="Jian D",617,IF(Atletas!Q327="Bishou D",618,IF(Atletas!Q327="Shan D",619,IF(Atletas!Q327="Outra Arma Curta D",620,IF(Atletas!Q327="Dao E",621,IF(Atletas!Q327="Jian E",622,IF(Atletas!Q327="Bishou E",623,IF(Atletas!Q327="Shan E",624,IF(Atletas!Q327="Outra Arma Curta E",625,IF(Atletas!Q327="Dao F",626,IF(Atletas!Q327="Jian F",627,IF(Atletas!Q327="Bishou F",628,IF(Atletas!Q327="Shan F",629,IF(Atletas!Q327="Outra Arma Curta F",630, "")))))))))))))))))))))))))))))))</f>
        <v/>
      </c>
      <c r="BT331" s="52" t="str">
        <f>IF(Atletas!R327="","",IF(Atletas!W327&lt;&gt;"",10000,0)+IF(Atletas!B327="Feminino",1000,IF(Atletas!B327="Masculino",2000,""))+IF(Atletas!R327="Gun A",701,IF(Atletas!R327="Qiang A",702,IF(Atletas!R327="Pudao / Guandao A",703,IF(Atletas!R327="Outra Arma Longa A",704,IF(Atletas!R327="Gun B",705,IF(Atletas!R327="Qiang B",706,IF(Atletas!R327="Pudao / Guandao B",707,IF(Atletas!R327="Outra Arma Longa B",708,IF(Atletas!R327="Gun C",709,IF(Atletas!R327="Qiang C",710,IF(Atletas!R327="Pudao / Guandao C",711,IF(Atletas!R327="Outra Arma Longa C",712,IF(Atletas!R327="Gun D",713,IF(Atletas!R327="Qiang D",714,IF(Atletas!R327="Pudao / Guandao D",715,IF(Atletas!R327="Outra Arma Longa D",716,IF(Atletas!R327="Gun E",717,IF(Atletas!R327="Qiang E",718,IF(Atletas!R327="Pudao / Guandao E",719,IF(Atletas!R327="Outra Arma Longa E",720,IF(Atletas!R327="Gun F",721,IF(Atletas!R327="Qiang F",722,IF(Atletas!R327="Pudao / Guandao F",723,IF(Atletas!R327="Outra Arma Longa F",724,"")))))))))))))))))))))))))</f>
        <v/>
      </c>
      <c r="BU331" s="52" t="str">
        <f>IF(Atletas!S327="","",IF(Atletas!W327&lt;&gt;"",10000,0)+IF(Atletas!B327="Feminino",1000,IF(Atletas!B327="Masculino",2000,""))+IF(Atletas!S327="Arma Dupla A",801,IF(Atletas!S327="Arma Maleável A",802,IF(Atletas!S327="Arma Dupla B",803,IF(Atletas!S327="Arma Maleável B",804,IF(Atletas!S327="Arma Dupla C",805,IF(Atletas!S327="Arma Maleável C",806,IF(Atletas!S327="Arma Dupla D",807,IF(Atletas!S327="Arma Maleável D",808,IF(Atletas!S327="Arma Dupla E",809,IF(Atletas!S327="Arma Maleável E",810,IF(Atletas!S327="Arma Dupla F",811,IF(Atletas!S327="Arma Maleável F",812, "")))))))))))))</f>
        <v/>
      </c>
      <c r="BV331" s="52" t="str">
        <f>IF(Atletas!T327="","",IF(Atletas!W327&lt;&gt;"",10000,0)+IF(Atletas!B327="Feminino",1000,IF(Atletas!B327="Masculino",2000,""))+IF(Atletas!T327="Taijijian Yang A",901,IF(Atletas!T327="Taijijian Chen A",902,IF(Atletas!T327="Taijijian Sun A",903,IF(Atletas!T327="Taijijian Wu A",904,IF(Atletas!T327="Taijijian Wu-Hao A",905,IF(Atletas!T327="Taijijian 32 A",906,IF(Atletas!T327="Taijijian 42 A",907,IF(Atletas!T327="Taijijian Yang B",908,IF(Atletas!T327="Taijijian Chen B",909,IF(Atletas!T327="Taijijian Sun B",910,IF(Atletas!T327="Taijijian Wu B",911,IF(Atletas!T327="Taijijian Wu-Hao B",912,IF(Atletas!T327="Taijijian 32 B",913,IF(Atletas!T327="Taijijian 42 B",914,IF(Atletas!T327="Taijijian Yang C",915,IF(Atletas!T327="Taijijian Chen C",916,IF(Atletas!T327="Taijijian Sun C",917,IF(Atletas!T327="Taijijian Wu C",918,IF(Atletas!T327="Taijijian Wu-Hao C",919,IF(Atletas!T327="Taijijian 32 C",920,IF(Atletas!T327="Taijijian 42 C",921,IF(Atletas!T327="Taijijian Yang D",922,IF(Atletas!T327="Taijijian Chen D",923,IF(Atletas!T327="Taijijian Sun D",924,IF(Atletas!T327="Taijijian Wu D",925,IF(Atletas!T327="Taijijian Wu-Hao D",926,IF(Atletas!T327="Taijijian 32 D",927,IF(Atletas!T327="Taijijian 42 D",928,IF(Atletas!T327="Taijijian Yang E",929,IF(Atletas!T327="Taijijian Chen E",930,IF(Atletas!T327="Taijijian Sun E",931,IF(Atletas!T327="Taijijian Wu E",932,IF(Atletas!T327="Taijijian Wu-Hao E",933,IF(Atletas!T327="Taijijian 32 E",934,IF(Atletas!T327="Taijijian 42 E",935,IF(Atletas!T327="Taijijian Yang F",936,IF(Atletas!T327="Taijijian Chen F",937,IF(Atletas!T327="Taijijian Sun F",938,IF(Atletas!T327="Taijijian Wu F",939,IF(Atletas!T327="Taijijian Wu-Hao F",940,IF(Atletas!T327="Taijijian 32 F",941,IF(Atletas!T327="Taijijian 42 F",942,"")))))))))))))))))))))))))))))))))))))))))))</f>
        <v/>
      </c>
      <c r="BW331" s="52" t="str">
        <f>IF(Atletas!U327="","",IF(Atletas!W327&lt;&gt;"",10000,0)+IF(Atletas!B327="Feminino",1000,IF(Atletas!B327="Masculino",2000,""))+IF(Atletas!T327="Taijijian 42 F",942,IF(Atletas!U327="Taijidao A",943,IF(Atletas!U327="Taijishan A",944,IF(Atletas!U327="Taijiqiang A",945,IF(Atletas!U327="Taijidao B",946,IF(Atletas!U327="Taijishan B",947,IF(Atletas!U327="Taijiqiang B",948,IF(Atletas!U327="Taijidao C",949,IF(Atletas!U327="Taijishan C",950,IF(Atletas!U327="Taijiqiang C",951,IF(Atletas!U327="Taijidao D",952,IF(Atletas!U327="Taijishan D",953,IF(Atletas!U327="Taijiqiang D",954,IF(Atletas!U327="Taijidao E",955,IF(Atletas!U327="Taijishan E",956,IF(Atletas!U327="Taijiqiang E",957,IF(Atletas!U327="Taijidao F",958,IF(Atletas!U327="Taijishan F",959,IF(Atletas!U327="Taijiqiang F",960))))))))))))))))))))</f>
        <v/>
      </c>
      <c r="BX331" s="72" t="str">
        <f>IF(BY331&lt;&gt;"","Taijidao C","")</f>
        <v/>
      </c>
      <c r="BY331" s="72" t="str">
        <f>IF(COUNTIF(BK:BW,1949)&gt;0,COUNTIF(BK:BW,1949),"")</f>
        <v/>
      </c>
      <c r="BZ331" s="72" t="str">
        <f>IF(CA331&lt;&gt;"","Taijidao C","")</f>
        <v/>
      </c>
      <c r="CA331" s="72" t="str">
        <f>IF(COUNTIF(BK:BW,2949)&gt;0,COUNTIF(BK:BW,2949),"")</f>
        <v/>
      </c>
      <c r="CB331" s="72" t="str">
        <f>IF(CC331&lt;&gt;"","Pudao / Gaundao E","")</f>
        <v/>
      </c>
      <c r="CC331" s="64" t="str">
        <f>IF(COUNTIF(BK:BW,11719)&gt;0,COUNTIF(BK:BW,11719),"")</f>
        <v/>
      </c>
      <c r="CD331" s="64" t="str">
        <f>IF(CE331&lt;&gt;"","Pudao / Gaundao E","")</f>
        <v/>
      </c>
      <c r="CE331" s="64" t="str">
        <f>IF(COUNTIF(BK:BW,12719)&gt;0,COUNTIF(BK:BW,12719),"")</f>
        <v/>
      </c>
      <c r="CF331" s="52" t="str">
        <f xml:space="preserve"> IF(Atletas!V327="","",IF(Atletas!V327="Duilian de Mãos AB - Equipe 1",1,IF(Atletas!V327="Duilian de Mãos AB - Equipe 2",2,IF(Atletas!V327="Duilian de Armas AB - Equipe 1",3,IF(Atletas!V327="Duilian de Armas AB - Equipe 2",4,IF(Atletas!V327="Duilian de Tuishou - Equipe 1",5,IF(Atletas!V327="Duilian de Tuishou - Equipe 2",6,IF(Atletas!V327="Grupo Externo AB - Equipe 1",7,IF(Atletas!V327="Grupo Externo AB - Equipe 2",8,IF(Atletas!V327="Grupo Interno AB - Equipe 1",9,IF(Atletas!V327="Grupo Interno AB - Equipe 2",10,IF(Atletas!V327="Duilian de Mãos CD - Equipe 1",11,IF(Atletas!V327="Duilian de Mãos CD - Equipe 2",12,IF(Atletas!V327="Duilian de Armas CD - Equipe 1",13,IF(Atletas!V327="Duilian de Armas CD - Equipe 2",14,IF(Atletas!V327="Duilian de Tuishou - Equipe 1",15,IF(Atletas!V327="Duilian de Tuishou - Equipe 2",16,IF(Atletas!V327="Grupo Externo CDEF - Equipe 1",17,IF(Atletas!V327="Grupo Externo CDEF - Equipe 2",18,IF(Atletas!V327="Grupo Interno CDEF - Equipe 1",19,IF(Atletas!V327="Grupo Interno CDEF - Equipe 2",20,IF(Atletas!V327="Duilian de Mãos EF - Equipe 1",21,IF(Atletas!V327="Duilian de Mãos EF - Equipe 2",22,IF(Atletas!V327="Duilian de Armas EF - Equipe 1",23,IF(Atletas!V327="Duilian de Armas EF - Equipe 2",24,IF(Atletas!V327="Duilian de Tuishou - Equipe 1",25,IF(Atletas!V327="Duilian de Tuishou - Equipe 2",26,"")))))))))))))))))))))))))))</f>
        <v/>
      </c>
    </row>
    <row r="332" spans="36:84">
      <c r="AJ332" s="46" t="str">
        <f>IF(Atletas!D328="","",IF(Atletas!B328="Feminino",100,IF(Atletas!B328="Masculino",200,""))+(IF(Atletas!D328="Infantil 39kg",1,IF(Atletas!D328="Infantil 42kg",2,IF(Atletas!D328="Infantil 45kg",3,IF(Atletas!D328="Infantil 48kg",4,IF(Atletas!D328="Infantil 52kg",5,IF(Atletas!D328="Infantil 56kg",6,IF(Atletas!D328="Infantil 60kg",7,IF(Atletas!D328="Juvenil 48kg",8,IF(Atletas!D328="Juvenil 52kg",9,IF(Atletas!D328="Juvenil 56kg",10,IF(Atletas!D328="Juvenil 60kg",11,IF(Atletas!D328="Juvenil 65kg",12,IF(Atletas!D328="Juvenil 70kg",13,IF(Atletas!D328="Juvenil 75kg",14,IF(Atletas!D328="Juvenil 80kg",15,IF(Atletas!D328="Adulto 48kg",16,IF(Atletas!D328="Adulto 52kg",17,IF(Atletas!D328="Adulto 56kg",18,IF(Atletas!D328="Adulto 60kg",19,IF(Atletas!D328="Adulto 65kg",20,IF(Atletas!D328="Adulto 70kg",21,IF(Atletas!D328="Adulto 75kg",22,IF(Atletas!D328="Adulto 80kg",23,IF(Atletas!D328="Adulto 85kg",24,IF(Atletas!D328="Adulto 90kg",25,IF(Atletas!D328="Adulto +90kg",26,""))))))))))))))))))))))))))))</f>
        <v/>
      </c>
      <c r="AO332" s="10" t="str">
        <f>IF(Atletas!E328="","",IF(Atletas!B328="Feminino",100,IF(Atletas!B328="Masculino",200,""))+(IF(Atletas!E328="Juvenil 44kg",1,IF(Atletas!E328="Juvenil 48kg",2,IF(Atletas!E328="Juvenil 52kg",3,IF(Atletas!E328="Juvenil 56kg",4,IF(Atletas!E328="Juvenil 60kg",5,IF(Atletas!E328="Juvenil 65kg",6,IF(Atletas!E328="Juvenil 70kg",7,IF(Atletas!E328="Juvenil 75kg",8,IF(Atletas!E328="Juvenil 82kg",9,IF(Atletas!E328="Juvenil 90kg",10,IF(Atletas!E328="Juvenil 100kg",11,IF(Atletas!E328="Adulto 48kg",12,IF(Atletas!E328="Adulto 52kg",13,IF(Atletas!E328="Adulto 56kg",14,IF(Atletas!E328="Adulto 60kg",15,IF(Atletas!E328="Adulto 65kg",16,IF(Atletas!E328="Adulto 70kg",17,IF(Atletas!E328="Adulto 75kg",18,IF(Atletas!E328="Adulto 82kg",19,IF(Atletas!E328="Adulto 90kg",20,IF(Atletas!E328="Adulto 100kg",21,IF(Atletas!E328="Adulto +100kg",22,""))))))))))))))))))))))))</f>
        <v/>
      </c>
      <c r="AT332" s="10" t="str">
        <f>IF(Atletas!F328="","",IF(Atletas!B328="Feminino",100,IF(Atletas!B328="Masculino",200,""))+(IF(Atletas!F328="Adulto 48kg",1,IF(Atletas!F328="Adulto 56kg",2,IF(Atletas!F328="Adulto 65kg",3,IF(Atletas!F328="Adulto 75kg",4,IF(Atletas!F328="Adulto +75kg",5,IF(Atletas!F328="Adulto 52kg",6,IF(Atletas!F328="Adulto 60kg",7,IF(Atletas!F328="Adulto 70kg",8,IF(Atletas!F328="Adulto 80kg",9,IF(Atletas!F328="Adulto 90kg",10,IF(Atletas!F328="Adulto +90kg",11,"")))))))))))))</f>
        <v/>
      </c>
      <c r="AY332" s="46" t="str">
        <f>IF(Atletas!G328="","",IF(Atletas!B328="Feminino",100,IF(Atletas!B328="Masculino",200,""))+(IF(Atletas!G328="Changquan Mirim",1,IF(Atletas!G328="Nanquan Mirim",2,IF(Atletas!G328="Taijiquan Mirim",3,IF(Atletas!G328="Changquan Grupo C",4,IF(Atletas!G328="Nanquan Grupo C",5,IF(Atletas!G328="Taijiquan Grupo C",6,IF(Atletas!G328="Changquan Grupo B",7,IF(Atletas!G328="Nanquan Grupo B",8,IF(Atletas!G328="Taijiquan Grupo B",9,IF(Atletas!G328="Changquan Grupo A",10,IF(Atletas!G328="Nanquan Grupo A",11,IF(Atletas!G328="Taijiquan Grupo A",12,IF(Atletas!G328="Changquan Opcional",13,IF(Atletas!G328="Nanquan Opcional",14,IF(Atletas!G328="Taijiquan Opcional",15,IF(Atletas!G328="Changquan Adulto",16,IF(Atletas!G328="Nanquan Adulto",17,IF(Atletas!G328="Taijiquan Adulto",18,""))))))))))))))))))))</f>
        <v/>
      </c>
      <c r="AZ332" s="46" t="str">
        <f>IF(Atletas!H328="","",IF(Atletas!B328="Feminino",100,IF(Atletas!B328="Masculino",200,""))+(IF(Atletas!H328="Daoshu Mirim",19,IF(Atletas!H328="Jianshu Mirim",20,IF(Atletas!H328="Nandao Mirim",21,IF(Atletas!H328="Taijijian Mirim",22,IF(Atletas!H328="Daoshu Grupo C",23,IF(Atletas!H328="Jianshu Grupo C",24,IF(Atletas!H328="Nandao Grupo C",25,IF(Atletas!H328="Taijijian Grupo C",26,IF(Atletas!H328="Daoshu Grupo B",27,IF(Atletas!H328="Jianshu Grupo B",28,IF(Atletas!H328="Nandao Grupo B",29,IF(Atletas!H328="Taijijian Grupo B",30,IF(Atletas!H328="Daoshu Grupo A",31,IF(Atletas!H328="Jianshu Grupo A",32,IF(Atletas!H328="Nandao Grupo A",33,IF(Atletas!H328="Taijijian Grupo A",34,IF(Atletas!H328="Daoshu Opcional",35,IF(Atletas!H328="Jianshu Opcional",36,IF(Atletas!H328="Nandao Opcional",37,IF(Atletas!H328="Taijijian Opcional",38,IF(Atletas!H328="Daoshu Adulto",39,IF(Atletas!H328="Jianshu Adulto",40,IF(Atletas!H328="Nandao Adulto",41,IF(Atletas!H328="Taijijian Adulto",42,""))))))))))))))))))))))))))</f>
        <v/>
      </c>
      <c r="BA332" s="46" t="str">
        <f>IF(Atletas!I328="","",IF(Atletas!B328="Feminino",100,IF(Atletas!B328="Masculino",200,""))+(IF(Atletas!I328="Gunshu Mirim",43,IF(Atletas!I328="Qiangshu Mirim",44,IF(Atletas!I328="Nangun Mirim",45,IF(Atletas!I328="Gunshu Grupo C",46,IF(Atletas!I328="Qiangshu Grupo C",47,IF(Atletas!I328="Nangun Grupo C",48,IF(Atletas!I328="Gunshu Grupo B",49,IF(Atletas!I328="Qiangshu Grupo B",50,IF(Atletas!I328="Nangun Grupo B",51,IF(Atletas!I328="Gunshu Grupo A",52,IF(Atletas!I328="Qiangshu Grupo A",53,IF(Atletas!I328="Nangun Grupo A",54,IF(Atletas!I328="Gunshu Opcional",55,IF(Atletas!I328="Qiangshu Opcional",56,IF(Atletas!I328="Nangun Opcional",57,IF(Atletas!I328="Gunshu Adulto",58,IF(Atletas!I328="Qiangshu Adulto",59,IF(Atletas!I328="Nangun Adulto",60,""))))))))))))))))))))</f>
        <v/>
      </c>
      <c r="BF332" s="52" t="str">
        <f>IF(Atletas!J328="","",IF(Atletas!B328="Feminino",100,IF(Atletas!B328="Masculino",200,""))+(IF(Atletas!J328="Equipe 1 Grupo B",1,IF(Atletas!J328="Equipe 2 Grupo B",2,IF(Atletas!J328="Equipe 1 Grupo A",3,IF(Atletas!J328="Equipe 2 Grupo A",4,IF(Atletas!J328="Equipe 1 Adulto",5,IF(Atletas!J328="Equipe 2 Adulto",6,""))))))))</f>
        <v/>
      </c>
      <c r="BK332" s="52" t="str">
        <f>IF(Atletas!K328="","",IF(Atletas!W328&lt;&gt;"",10000,0)+(IF(Atletas!B328="Feminino",1000,IF(Atletas!B328="Masculino",2000,""))+IF(Atletas!K328="Choylayfut A",1,IF(Atletas!K328="Hunggar A",2,IF(Atletas!K328="Wuzuquan A",3,IF(Atletas!K328="Wingchun A",4,IF(Atletas!K328="Outra Mão de Sul A",5,IF(Atletas!K328="Choylayfut B",6,IF(Atletas!K328="Hunggar B",7,IF(Atletas!K328="Wuzuquan B",8,IF(Atletas!K328="Wingchun B",9,IF(Atletas!K328="Outra Mão de Sul B",10,IF(Atletas!K328="Choylayfut C",11,IF(Atletas!K328="Hunggar C",12,IF(Atletas!K328="Wuzuquan C",13,IF(Atletas!K328="Wingchun C",14,IF(Atletas!K328="Outra Mão de Sul C",15,IF(Atletas!K328="Choylayfut D",16,IF(Atletas!K328="Hunggar D",17,IF(Atletas!K328="Wuzuquan D",18,IF(Atletas!K328="Wingchun D",19,IF(Atletas!K328="Outra Mão de Sul D",20,IF(Atletas!K328="Choylayfut E",21,IF(Atletas!K328="Hunggar E",22,IF(Atletas!K328="Wuzuquan E",23,IF(Atletas!K328="Wingchun E",24,IF(Atletas!K328="Outra Mão de Sul E",25,IF(Atletas!K328="Choylayfut F",26,IF(Atletas!K328="Hunggar F",27,IF(Atletas!K328="Wuzuquan F",28,IF(Atletas!K328="Wingchun F",29,IF(Atletas!K328="Outra Mão de Sul F",30,""))))))))))))))))))))))))))))))))</f>
        <v/>
      </c>
      <c r="BL332" s="52" t="str">
        <f>IF(Atletas!L328="","",IF(Atletas!W328&lt;&gt;"",10000,0)+(IF(Atletas!B328="Feminino",1000,IF(Atletas!B328="Masculino",2000,""))+(IF(Atletas!L328="Chaquan A",101,IF(Atletas!L328="Emeiquan A",102,IF(Atletas!L328="Fanziquan A",103,IF(Atletas!L328="Huaquan A",104,IF(Atletas!L328="Hongquan A",105,IF(Atletas!L328="Paochui A",106,IF(Atletas!L328="Piguaquan A",107,IF(Atletas!L328="Shaolinquan A",108,IF(Atletas!L328="Tanglangquan A",109,IF(Atletas!L328="Yinzhaophai A",110,IF(Atletas!L328="Tongbeiquan A",111,IF(Atletas!L328="Wudangquan A",112,IF(Atletas!L328="Outros Estilos A",113,IF(Atletas!L328="Chaquan B",114,IF(Atletas!L328="Emeiquan B",115,IF(Atletas!L328="Fanziquan B",116,IF(Atletas!L328="Huaquan B",117,IF(Atletas!L328="Hongquan B",118,IF(Atletas!L328="Paochui B",119,IF(Atletas!L328="Piguaquan B",120,IF(Atletas!L328="Shaolinquan B",121,IF(Atletas!L328="Tanglangquan B",122,IF(Atletas!L328="Yinzhaophai B",123,IF(Atletas!L328="Tongbeiquan B",124,IF(Atletas!L328="Wudangquan B",125,IF(Atletas!L328="Outros Estilos B",126,IF(Atletas!L328="Chaquan C",127,IF(Atletas!L328="Emeiquan C",128,IF(Atletas!L328="Fanziquan C",129,IF(Atletas!L328="Huaquan C",130,IF(Atletas!L328="Hongquan C",131,IF(Atletas!L328="Paochui C",132,IF(Atletas!L328="Piguaquan C",133,IF(Atletas!L328="Shaolinquan C",134,IF(Atletas!L328="Tanglangquan C",135,IF(Atletas!L328="Yinzhaophai C",136,IF(Atletas!L328="Tongbeiquan C",137,IF(Atletas!L328="Wudangquan C",138,IF(Atletas!L328="Outros Estilos C",139,0))))))))))))))))))))))))))))))))))))))))))</f>
        <v/>
      </c>
      <c r="BM332" s="52" t="str">
        <f>IF(Atletas!L328="","",IF(Atletas!W328&lt;&gt;"",10000,0)+(IF(Atletas!B328="Feminino",1000,IF(Atletas!B328="Masculino",2000,""))+(IF(Atletas!L328="Chaquan D",140,IF(Atletas!L328="Emeiquan D",141,IF(Atletas!L328="Fanziquan D",142,IF(Atletas!L328="Huaquan D",143,IF(Atletas!L328="Hongquan D",144,IF(Atletas!L328="Paochui D",145,IF(Atletas!L328="Piguaquan D",146,IF(Atletas!L328="Shaolinquan D",147,IF(Atletas!L328="Tanglangquan D",148,IF(Atletas!L328="Yinzhaophai D",149,IF(Atletas!L328="Tongbeiquan D",150,IF(Atletas!L328="Wudangquan D",151,IF(Atletas!L328="Outros Estilos D",152,IF(Atletas!L328="Chaquan E",153,IF(Atletas!L328="Emeiquan E",154,IF(Atletas!L328="Fanziquan E",155,IF(Atletas!L328="Huaquan E",156,IF(Atletas!L328="Hongquan E",157,IF(Atletas!L328="Paochui E",158,IF(Atletas!L328="Piguaquan E",159,IF(Atletas!L328="Shaolinquan E",160,IF(Atletas!L328="Tanglangquan E",161,IF(Atletas!L328="Yinzhaophai E",162,IF(Atletas!L328="Tongbeiquan E",163,IF(Atletas!L328="Wudangquan E",164,IF(Atletas!L328="Outros Estilos E",165,IF(Atletas!L328="Chaquan F",166,IF(Atletas!L328="Emeiquan F",167,IF(Atletas!L328="Fanziquan F",168,IF(Atletas!L328="Huaquan F",169,IF(Atletas!L328="Hongquan F",170,IF(Atletas!L328="Paochui F",171,IF(Atletas!L328="Piguaquan F",172,IF(Atletas!L328="Shaolinquan F",173,IF(Atletas!L328="Tanglangquan F",174,IF(Atletas!L328="Yinzhaophai F",175,IF(Atletas!L328="Tongbeiquan F",176,IF(Atletas!L328="Wudangquan F",177,IF(Atletas!L328="Outros Estilos F",178,0))))))))))))))))))))))))))))))))))))))))))</f>
        <v/>
      </c>
      <c r="BN332" s="52" t="str">
        <f>IF(Atletas!M328="","",IF(Atletas!W328&lt;&gt;"",10000,0)+(IF(Atletas!B328="Feminino",1000,IF(Atletas!B328="Masculino",2000,""))+(IF(Atletas!M328="Ditangquan A",201,IF(Atletas!M328="Houquan A",202,IF(Atletas!M328="Zuiquan A",203,IF(Atletas!M328="Ditangquan B",204,IF(Atletas!M328="Houquan B",205,IF(Atletas!M328="Zuiquan B",206,IF(Atletas!M328="Ditangquan C",207,IF(Atletas!M328="Houquan C",208,IF(Atletas!M328="Zuiquan C",209,IF(Atletas!M328="Ditangquan D",210,IF(Atletas!M328="Houquan D",211,IF(Atletas!M328="Zuiquan D",212,IF(Atletas!M328="Ditangquan E",213,IF(Atletas!M328="Houquan E",214,IF(Atletas!M328="Zuiquan E",215,IF(Atletas!M328="Ditangquan F",216,IF(Atletas!M328="Houquan F",217,IF(Atletas!M328="Zuiquan F",218,"")))))))))))))))))))))</f>
        <v/>
      </c>
      <c r="BO332" s="52" t="str">
        <f>IF(Atletas!N328="","",IF(Atletas!W328&lt;&gt;"",10000,0)+IF(Atletas!B328="Feminino",1000,IF(Atletas!B328="Masculino",2000,""))+IF(Atletas!N328="Yang A",301,IF(Atletas!N328="Chen A",30,IF(Atletas!N328="Sun A",303,IF(Atletas!N328="Wu A",304,IF(Atletas!N328="Wu-Hao A",305,IF(Atletas!N328="Outro Taijiquan A",306,IF(Atletas!N328="Yang B",307,IF(Atletas!N328="Chen B",308,IF(Atletas!N328="Sun B",309,IF(Atletas!N328="Wu B",310,IF(Atletas!N328="Wu-Hao B",311,IF(Atletas!N328="Outro Taijiquan B",312,IF(Atletas!N328="Yang C",313,IF(Atletas!N328="Chen C",314,IF(Atletas!N328="Sun C",315,IF(Atletas!N328="Wu C",316,IF(Atletas!N328="Wu-Hao C",317,IF(Atletas!N328="Outro Taijiquan C",318,IF(Atletas!N328="Yang D",319,IF(Atletas!N328="Chen D",320,IF(Atletas!N328="Sun D",321,IF(Atletas!N328="Wu D",322,IF(Atletas!N328="Wu-Hao D",323,IF(Atletas!N328="Outro Taijiquan D",324,IF(Atletas!N328="Yang E",325,IF(Atletas!N328="Chen E",326,IF(Atletas!N328="Sun E",327,IF(Atletas!N328="Wu E",328,IF(Atletas!N328="Wu-Hao E",329,IF(Atletas!N328="Outro Taijiquan E",330,IF(Atletas!N328="Yang F",331,IF(Atletas!N328="Chen F",332,IF(Atletas!N328="Sun F",333,IF(Atletas!N328="Wu F",334,IF(Atletas!N328="Wu-Hao F",335,IF(Atletas!N328="Outro Taijiquan F",336,"")))))))))))))))))))))))))))))))))))))</f>
        <v/>
      </c>
      <c r="BP332" s="52" t="str">
        <f>IF(Atletas!O328="","",IF(Atletas!W328&lt;&gt;"",10000,0)+IF(Atletas!B328="Feminino",1000,IF(Atletas!B328="Masculino",2000,""))+IF(OR(Atletas!O328="Yang 26 A",Atletas!O328="Yang 40 A"),401,IF(OR(Atletas!O328="Chen 25 A",Atletas!O328="Chen 36 A",Atletas!O328="Chen 56 A"),402,IF(Atletas!O328="Sun 73 A",403,IF(Atletas!O328="Wu 45 A",404,IF(Atletas!O328="Wu-Hao 46 A",405,IF(OR(Atletas!O328="Taijiquan 16 A",Atletas!O328="Taijiquan 24 A",Atletas!O328="Taijiquan 32 A",Atletas!O328="Taijiquan 42 A"),406,IF(OR(Atletas!O328="Yang 26 B",Atletas!O328="Yang 40 B"),407,IF(OR(Atletas!O328="Chen 25 B",Atletas!O328="Chen 36 B",Atletas!O328="Chen 56 B"),408,IF(Atletas!O328="Sun 73 B",409,IF(Atletas!O328="Wu 45 B",410,IF(Atletas!O328="Wu-Hao 46 B",411,IF(OR(Atletas!O328="Taijiquan 16 B",Atletas!O328="Taijiquan 24 B",Atletas!O328="Taijiquan 32 B",Atletas!O328="Taijiquan 42 B"),412,IF(OR(Atletas!O328="Yang 26 C",Atletas!O328="Yang 40 C"),413,IF(OR(Atletas!O328="Chen 25 C",Atletas!O328="Chen 36 C",Atletas!O328="Chen 56 C"),414,IF(Atletas!O328="Sun 73 C",415,IF(Atletas!O328="Wu 45 C",416,IF(Atletas!O328="Wu-Hao 46 C",417,IF(OR(Atletas!O328="Taijiquan 16 C",Atletas!O328="Taijiquan 24 C",Atletas!O328="Taijiquan 32 C",Atletas!O328="Taijiquan 42 C"),418,0)))))))))))))))))))</f>
        <v/>
      </c>
      <c r="BQ332" s="52" t="str">
        <f>IF(Atletas!O328="","",IF(Atletas!W328&lt;&gt;"",10000,0)+IF(Atletas!B328="Feminino",1000,IF(Atletas!B328="Masculino",2000,""))+IF(OR(Atletas!O328="Yang 26 D",Atletas!O328="Yang 40 D"),419,IF(OR(Atletas!O328="Chen 25 D",Atletas!O328="Chen 36 D",Atletas!O328="Chen 56 D"),420,IF(Atletas!O328="Sun 73 D",421,IF(Atletas!O328="Wu 45 D",422,IF(Atletas!O328="Wu-Hao 46 D",423,IF(OR(Atletas!O328="Taijiquan 16 D",Atletas!O328="Taijiquan 24 D",Atletas!O328="Taijiquan 32 D",Atletas!O328="Taijiquan 42 D"),424,IF(OR(Atletas!O328="Yang 26 E",Atletas!O328="Yang 40 E"),425,IF(OR(Atletas!O328="Chen 25 E",Atletas!O328="Chen 36 E",Atletas!O328="Chen 56 E"),426,IF(Atletas!O328="Sun 73 E",427,IF(Atletas!O328="Wu 45 E",428,IF(Atletas!O328="Wu-Hao 46 E",429,IF(OR(Atletas!O328="Taijiquan 16 E",Atletas!O328="Taijiquan 24 E",Atletas!O328="Taijiquan 32 E",Atletas!O328="Taijiquan 42 E"),430,IF(OR(Atletas!O328="Yang 26 F",Atletas!O328="Yang 40 F"),431,IF(OR(Atletas!O328="Chen 25 F",Atletas!O328="Chen 36 F",Atletas!O328="Chen 56 F"),432,IF(Atletas!O328="Sun 73 F",433,IF(Atletas!O328="Wu 45 F",434,IF(Atletas!O328="Wu-Hao 46 F",435,IF(OR(Atletas!O328="Taijiquan 16 F",Atletas!O328="Taijiquan 24 F",Atletas!O328="Taijiquan 32 F",Atletas!O328="Taijiquan 42 F"),436,0)))))))))))))))))))</f>
        <v/>
      </c>
      <c r="BR332" s="52" t="str">
        <f>IF(Atletas!P328="","",IF(Atletas!W328&lt;&gt;"",10000,0)+IF(Atletas!B328="Feminino",1000,IF(Atletas!B328="Masculino",2000,""))+IF(Atletas!P328="Xingyiquan A",501,IF(Atletas!P328="Baguazhang A",502,IF(Atletas!P328="Outro Estilo Interno A",503,IF(Atletas!P328="Xingyiquan B",504,IF(Atletas!P328="Baguazhang B",505,IF(Atletas!P328="Outro Estilo Interno B",506,IF(Atletas!P328="Xingyiquan C",507,IF(Atletas!P328="Baguazhang C",508,IF(Atletas!P328="Outro Estilo Interno C",509,IF(Atletas!P328="Xingyiquan D",510,IF(Atletas!P328="Baguazhang D",511,IF(Atletas!P328="Outro Estilo Interno D",512,IF(Atletas!P328="Xingyiquan E",513,IF(Atletas!P328="Baguazhang E",514,IF(Atletas!P328="Outro Estilo Interno E",515,IF(Atletas!P328="Xingyiquan F",516,IF(Atletas!P328="Baguazhang F",517,IF(Atletas!P328="Outro Estilo Interno F",518, "")))))))))))))))))))</f>
        <v/>
      </c>
      <c r="BS332" s="52" t="str">
        <f>IF(Atletas!Q328="","",IF(Atletas!W328&lt;&gt;"",10000,0)+IF(Atletas!B328="Feminino",1000,IF(Atletas!B328="Masculino",2000,""))+IF(Atletas!Q328="Dao A",601,IF(Atletas!Q328="Jian A",602,IF(Atletas!Q328="Bishou A",603,IF(Atletas!Q328="Shan A",604,IF(Atletas!Q328="Outra Arma Curta A",605,IF(Atletas!Q328="Dao B",606,IF(Atletas!Q328="Jian B",607,IF(Atletas!Q328="Bishou B",608,IF(Atletas!Q328="Shan B",609,IF(Atletas!Q328="Outra Arma Curta B",610,IF(Atletas!Q328="Dao C",611,IF(Atletas!Q328="Jian C",612,IF(Atletas!Q328="Bishou C",613,IF(Atletas!Q328="Shan C",614,IF(Atletas!Q328="Outra Arma Curta C",615,IF(Atletas!Q328="Dao D",616,IF(Atletas!Q328="Jian D",617,IF(Atletas!Q328="Bishou D",618,IF(Atletas!Q328="Shan D",619,IF(Atletas!Q328="Outra Arma Curta D",620,IF(Atletas!Q328="Dao E",621,IF(Atletas!Q328="Jian E",622,IF(Atletas!Q328="Bishou E",623,IF(Atletas!Q328="Shan E",624,IF(Atletas!Q328="Outra Arma Curta E",625,IF(Atletas!Q328="Dao F",626,IF(Atletas!Q328="Jian F",627,IF(Atletas!Q328="Bishou F",628,IF(Atletas!Q328="Shan F",629,IF(Atletas!Q328="Outra Arma Curta F",630, "")))))))))))))))))))))))))))))))</f>
        <v/>
      </c>
      <c r="BT332" s="52" t="str">
        <f>IF(Atletas!R328="","",IF(Atletas!W328&lt;&gt;"",10000,0)+IF(Atletas!B328="Feminino",1000,IF(Atletas!B328="Masculino",2000,""))+IF(Atletas!R328="Gun A",701,IF(Atletas!R328="Qiang A",702,IF(Atletas!R328="Pudao / Guandao A",703,IF(Atletas!R328="Outra Arma Longa A",704,IF(Atletas!R328="Gun B",705,IF(Atletas!R328="Qiang B",706,IF(Atletas!R328="Pudao / Guandao B",707,IF(Atletas!R328="Outra Arma Longa B",708,IF(Atletas!R328="Gun C",709,IF(Atletas!R328="Qiang C",710,IF(Atletas!R328="Pudao / Guandao C",711,IF(Atletas!R328="Outra Arma Longa C",712,IF(Atletas!R328="Gun D",713,IF(Atletas!R328="Qiang D",714,IF(Atletas!R328="Pudao / Guandao D",715,IF(Atletas!R328="Outra Arma Longa D",716,IF(Atletas!R328="Gun E",717,IF(Atletas!R328="Qiang E",718,IF(Atletas!R328="Pudao / Guandao E",719,IF(Atletas!R328="Outra Arma Longa E",720,IF(Atletas!R328="Gun F",721,IF(Atletas!R328="Qiang F",722,IF(Atletas!R328="Pudao / Guandao F",723,IF(Atletas!R328="Outra Arma Longa F",724,"")))))))))))))))))))))))))</f>
        <v/>
      </c>
      <c r="BU332" s="52" t="str">
        <f>IF(Atletas!S328="","",IF(Atletas!W328&lt;&gt;"",10000,0)+IF(Atletas!B328="Feminino",1000,IF(Atletas!B328="Masculino",2000,""))+IF(Atletas!S328="Arma Dupla A",801,IF(Atletas!S328="Arma Maleável A",802,IF(Atletas!S328="Arma Dupla B",803,IF(Atletas!S328="Arma Maleável B",804,IF(Atletas!S328="Arma Dupla C",805,IF(Atletas!S328="Arma Maleável C",806,IF(Atletas!S328="Arma Dupla D",807,IF(Atletas!S328="Arma Maleável D",808,IF(Atletas!S328="Arma Dupla E",809,IF(Atletas!S328="Arma Maleável E",810,IF(Atletas!S328="Arma Dupla F",811,IF(Atletas!S328="Arma Maleável F",812, "")))))))))))))</f>
        <v/>
      </c>
      <c r="BV332" s="52" t="str">
        <f>IF(Atletas!T328="","",IF(Atletas!W328&lt;&gt;"",10000,0)+IF(Atletas!B328="Feminino",1000,IF(Atletas!B328="Masculino",2000,""))+IF(Atletas!T328="Taijijian Yang A",901,IF(Atletas!T328="Taijijian Chen A",902,IF(Atletas!T328="Taijijian Sun A",903,IF(Atletas!T328="Taijijian Wu A",904,IF(Atletas!T328="Taijijian Wu-Hao A",905,IF(Atletas!T328="Taijijian 32 A",906,IF(Atletas!T328="Taijijian 42 A",907,IF(Atletas!T328="Taijijian Yang B",908,IF(Atletas!T328="Taijijian Chen B",909,IF(Atletas!T328="Taijijian Sun B",910,IF(Atletas!T328="Taijijian Wu B",911,IF(Atletas!T328="Taijijian Wu-Hao B",912,IF(Atletas!T328="Taijijian 32 B",913,IF(Atletas!T328="Taijijian 42 B",914,IF(Atletas!T328="Taijijian Yang C",915,IF(Atletas!T328="Taijijian Chen C",916,IF(Atletas!T328="Taijijian Sun C",917,IF(Atletas!T328="Taijijian Wu C",918,IF(Atletas!T328="Taijijian Wu-Hao C",919,IF(Atletas!T328="Taijijian 32 C",920,IF(Atletas!T328="Taijijian 42 C",921,IF(Atletas!T328="Taijijian Yang D",922,IF(Atletas!T328="Taijijian Chen D",923,IF(Atletas!T328="Taijijian Sun D",924,IF(Atletas!T328="Taijijian Wu D",925,IF(Atletas!T328="Taijijian Wu-Hao D",926,IF(Atletas!T328="Taijijian 32 D",927,IF(Atletas!T328="Taijijian 42 D",928,IF(Atletas!T328="Taijijian Yang E",929,IF(Atletas!T328="Taijijian Chen E",930,IF(Atletas!T328="Taijijian Sun E",931,IF(Atletas!T328="Taijijian Wu E",932,IF(Atletas!T328="Taijijian Wu-Hao E",933,IF(Atletas!T328="Taijijian 32 E",934,IF(Atletas!T328="Taijijian 42 E",935,IF(Atletas!T328="Taijijian Yang F",936,IF(Atletas!T328="Taijijian Chen F",937,IF(Atletas!T328="Taijijian Sun F",938,IF(Atletas!T328="Taijijian Wu F",939,IF(Atletas!T328="Taijijian Wu-Hao F",940,IF(Atletas!T328="Taijijian 32 F",941,IF(Atletas!T328="Taijijian 42 F",942,"")))))))))))))))))))))))))))))))))))))))))))</f>
        <v/>
      </c>
      <c r="BW332" s="52" t="str">
        <f>IF(Atletas!U328="","",IF(Atletas!W328&lt;&gt;"",10000,0)+IF(Atletas!B328="Feminino",1000,IF(Atletas!B328="Masculino",2000,""))+IF(Atletas!T328="Taijijian 42 F",942,IF(Atletas!U328="Taijidao A",943,IF(Atletas!U328="Taijishan A",944,IF(Atletas!U328="Taijiqiang A",945,IF(Atletas!U328="Taijidao B",946,IF(Atletas!U328="Taijishan B",947,IF(Atletas!U328="Taijiqiang B",948,IF(Atletas!U328="Taijidao C",949,IF(Atletas!U328="Taijishan C",950,IF(Atletas!U328="Taijiqiang C",951,IF(Atletas!U328="Taijidao D",952,IF(Atletas!U328="Taijishan D",953,IF(Atletas!U328="Taijiqiang D",954,IF(Atletas!U328="Taijidao E",955,IF(Atletas!U328="Taijishan E",956,IF(Atletas!U328="Taijiqiang E",957,IF(Atletas!U328="Taijidao F",958,IF(Atletas!U328="Taijishan F",959,IF(Atletas!U328="Taijiqiang F",960))))))))))))))))))))</f>
        <v/>
      </c>
      <c r="BX332" s="72" t="str">
        <f>IF(BY332&lt;&gt;"","Taijishan C","")</f>
        <v/>
      </c>
      <c r="BY332" s="72" t="str">
        <f>IF(COUNTIF(BK:BW,1950)&gt;0,COUNTIF(BK:BW,1950),"")</f>
        <v/>
      </c>
      <c r="BZ332" s="72" t="str">
        <f>IF(CA332&lt;&gt;"","Taijishan C","")</f>
        <v/>
      </c>
      <c r="CA332" s="72" t="str">
        <f>IF(COUNTIF(BK:BW,2950)&gt;0,COUNTIF(BK:BW,2950),"")</f>
        <v/>
      </c>
      <c r="CB332" s="72" t="str">
        <f>IF(CC332&lt;&gt;"","Outra Arma Longa E","")</f>
        <v/>
      </c>
      <c r="CC332" s="64" t="str">
        <f>IF(COUNTIF(BK:BW,11720)&gt;0,COUNTIF(BK:BW,11720),"")</f>
        <v/>
      </c>
      <c r="CD332" s="64" t="str">
        <f>IF(CE332&lt;&gt;"","Outra Arma Longa E","")</f>
        <v/>
      </c>
      <c r="CE332" s="64" t="str">
        <f>IF(COUNTIF(BK:BW,12720)&gt;0,COUNTIF(BK:BW,12720),"")</f>
        <v/>
      </c>
      <c r="CF332" s="52" t="str">
        <f xml:space="preserve"> IF(Atletas!V328="","",IF(Atletas!V328="Duilian de Mãos AB - Equipe 1",1,IF(Atletas!V328="Duilian de Mãos AB - Equipe 2",2,IF(Atletas!V328="Duilian de Armas AB - Equipe 1",3,IF(Atletas!V328="Duilian de Armas AB - Equipe 2",4,IF(Atletas!V328="Duilian de Tuishou - Equipe 1",5,IF(Atletas!V328="Duilian de Tuishou - Equipe 2",6,IF(Atletas!V328="Grupo Externo AB - Equipe 1",7,IF(Atletas!V328="Grupo Externo AB - Equipe 2",8,IF(Atletas!V328="Grupo Interno AB - Equipe 1",9,IF(Atletas!V328="Grupo Interno AB - Equipe 2",10,IF(Atletas!V328="Duilian de Mãos CD - Equipe 1",11,IF(Atletas!V328="Duilian de Mãos CD - Equipe 2",12,IF(Atletas!V328="Duilian de Armas CD - Equipe 1",13,IF(Atletas!V328="Duilian de Armas CD - Equipe 2",14,IF(Atletas!V328="Duilian de Tuishou - Equipe 1",15,IF(Atletas!V328="Duilian de Tuishou - Equipe 2",16,IF(Atletas!V328="Grupo Externo CDEF - Equipe 1",17,IF(Atletas!V328="Grupo Externo CDEF - Equipe 2",18,IF(Atletas!V328="Grupo Interno CDEF - Equipe 1",19,IF(Atletas!V328="Grupo Interno CDEF - Equipe 2",20,IF(Atletas!V328="Duilian de Mãos EF - Equipe 1",21,IF(Atletas!V328="Duilian de Mãos EF - Equipe 2",22,IF(Atletas!V328="Duilian de Armas EF - Equipe 1",23,IF(Atletas!V328="Duilian de Armas EF - Equipe 2",24,IF(Atletas!V328="Duilian de Tuishou - Equipe 1",25,IF(Atletas!V328="Duilian de Tuishou - Equipe 2",26,"")))))))))))))))))))))))))))</f>
        <v/>
      </c>
    </row>
    <row r="333" spans="36:84">
      <c r="AJ333" s="46" t="str">
        <f>IF(Atletas!D329="","",IF(Atletas!B329="Feminino",100,IF(Atletas!B329="Masculino",200,""))+(IF(Atletas!D329="Infantil 39kg",1,IF(Atletas!D329="Infantil 42kg",2,IF(Atletas!D329="Infantil 45kg",3,IF(Atletas!D329="Infantil 48kg",4,IF(Atletas!D329="Infantil 52kg",5,IF(Atletas!D329="Infantil 56kg",6,IF(Atletas!D329="Infantil 60kg",7,IF(Atletas!D329="Juvenil 48kg",8,IF(Atletas!D329="Juvenil 52kg",9,IF(Atletas!D329="Juvenil 56kg",10,IF(Atletas!D329="Juvenil 60kg",11,IF(Atletas!D329="Juvenil 65kg",12,IF(Atletas!D329="Juvenil 70kg",13,IF(Atletas!D329="Juvenil 75kg",14,IF(Atletas!D329="Juvenil 80kg",15,IF(Atletas!D329="Adulto 48kg",16,IF(Atletas!D329="Adulto 52kg",17,IF(Atletas!D329="Adulto 56kg",18,IF(Atletas!D329="Adulto 60kg",19,IF(Atletas!D329="Adulto 65kg",20,IF(Atletas!D329="Adulto 70kg",21,IF(Atletas!D329="Adulto 75kg",22,IF(Atletas!D329="Adulto 80kg",23,IF(Atletas!D329="Adulto 85kg",24,IF(Atletas!D329="Adulto 90kg",25,IF(Atletas!D329="Adulto +90kg",26,""))))))))))))))))))))))))))))</f>
        <v/>
      </c>
      <c r="AO333" s="10" t="str">
        <f>IF(Atletas!E329="","",IF(Atletas!B329="Feminino",100,IF(Atletas!B329="Masculino",200,""))+(IF(Atletas!E329="Juvenil 44kg",1,IF(Atletas!E329="Juvenil 48kg",2,IF(Atletas!E329="Juvenil 52kg",3,IF(Atletas!E329="Juvenil 56kg",4,IF(Atletas!E329="Juvenil 60kg",5,IF(Atletas!E329="Juvenil 65kg",6,IF(Atletas!E329="Juvenil 70kg",7,IF(Atletas!E329="Juvenil 75kg",8,IF(Atletas!E329="Juvenil 82kg",9,IF(Atletas!E329="Juvenil 90kg",10,IF(Atletas!E329="Juvenil 100kg",11,IF(Atletas!E329="Adulto 48kg",12,IF(Atletas!E329="Adulto 52kg",13,IF(Atletas!E329="Adulto 56kg",14,IF(Atletas!E329="Adulto 60kg",15,IF(Atletas!E329="Adulto 65kg",16,IF(Atletas!E329="Adulto 70kg",17,IF(Atletas!E329="Adulto 75kg",18,IF(Atletas!E329="Adulto 82kg",19,IF(Atletas!E329="Adulto 90kg",20,IF(Atletas!E329="Adulto 100kg",21,IF(Atletas!E329="Adulto +100kg",22,""))))))))))))))))))))))))</f>
        <v/>
      </c>
      <c r="AT333" s="10" t="str">
        <f>IF(Atletas!F329="","",IF(Atletas!B329="Feminino",100,IF(Atletas!B329="Masculino",200,""))+(IF(Atletas!F329="Adulto 48kg",1,IF(Atletas!F329="Adulto 56kg",2,IF(Atletas!F329="Adulto 65kg",3,IF(Atletas!F329="Adulto 75kg",4,IF(Atletas!F329="Adulto +75kg",5,IF(Atletas!F329="Adulto 52kg",6,IF(Atletas!F329="Adulto 60kg",7,IF(Atletas!F329="Adulto 70kg",8,IF(Atletas!F329="Adulto 80kg",9,IF(Atletas!F329="Adulto 90kg",10,IF(Atletas!F329="Adulto +90kg",11,"")))))))))))))</f>
        <v/>
      </c>
      <c r="AY333" s="46" t="str">
        <f>IF(Atletas!G329="","",IF(Atletas!B329="Feminino",100,IF(Atletas!B329="Masculino",200,""))+(IF(Atletas!G329="Changquan Mirim",1,IF(Atletas!G329="Nanquan Mirim",2,IF(Atletas!G329="Taijiquan Mirim",3,IF(Atletas!G329="Changquan Grupo C",4,IF(Atletas!G329="Nanquan Grupo C",5,IF(Atletas!G329="Taijiquan Grupo C",6,IF(Atletas!G329="Changquan Grupo B",7,IF(Atletas!G329="Nanquan Grupo B",8,IF(Atletas!G329="Taijiquan Grupo B",9,IF(Atletas!G329="Changquan Grupo A",10,IF(Atletas!G329="Nanquan Grupo A",11,IF(Atletas!G329="Taijiquan Grupo A",12,IF(Atletas!G329="Changquan Opcional",13,IF(Atletas!G329="Nanquan Opcional",14,IF(Atletas!G329="Taijiquan Opcional",15,IF(Atletas!G329="Changquan Adulto",16,IF(Atletas!G329="Nanquan Adulto",17,IF(Atletas!G329="Taijiquan Adulto",18,""))))))))))))))))))))</f>
        <v/>
      </c>
      <c r="AZ333" s="46" t="str">
        <f>IF(Atletas!H329="","",IF(Atletas!B329="Feminino",100,IF(Atletas!B329="Masculino",200,""))+(IF(Atletas!H329="Daoshu Mirim",19,IF(Atletas!H329="Jianshu Mirim",20,IF(Atletas!H329="Nandao Mirim",21,IF(Atletas!H329="Taijijian Mirim",22,IF(Atletas!H329="Daoshu Grupo C",23,IF(Atletas!H329="Jianshu Grupo C",24,IF(Atletas!H329="Nandao Grupo C",25,IF(Atletas!H329="Taijijian Grupo C",26,IF(Atletas!H329="Daoshu Grupo B",27,IF(Atletas!H329="Jianshu Grupo B",28,IF(Atletas!H329="Nandao Grupo B",29,IF(Atletas!H329="Taijijian Grupo B",30,IF(Atletas!H329="Daoshu Grupo A",31,IF(Atletas!H329="Jianshu Grupo A",32,IF(Atletas!H329="Nandao Grupo A",33,IF(Atletas!H329="Taijijian Grupo A",34,IF(Atletas!H329="Daoshu Opcional",35,IF(Atletas!H329="Jianshu Opcional",36,IF(Atletas!H329="Nandao Opcional",37,IF(Atletas!H329="Taijijian Opcional",38,IF(Atletas!H329="Daoshu Adulto",39,IF(Atletas!H329="Jianshu Adulto",40,IF(Atletas!H329="Nandao Adulto",41,IF(Atletas!H329="Taijijian Adulto",42,""))))))))))))))))))))))))))</f>
        <v/>
      </c>
      <c r="BA333" s="46" t="str">
        <f>IF(Atletas!I329="","",IF(Atletas!B329="Feminino",100,IF(Atletas!B329="Masculino",200,""))+(IF(Atletas!I329="Gunshu Mirim",43,IF(Atletas!I329="Qiangshu Mirim",44,IF(Atletas!I329="Nangun Mirim",45,IF(Atletas!I329="Gunshu Grupo C",46,IF(Atletas!I329="Qiangshu Grupo C",47,IF(Atletas!I329="Nangun Grupo C",48,IF(Atletas!I329="Gunshu Grupo B",49,IF(Atletas!I329="Qiangshu Grupo B",50,IF(Atletas!I329="Nangun Grupo B",51,IF(Atletas!I329="Gunshu Grupo A",52,IF(Atletas!I329="Qiangshu Grupo A",53,IF(Atletas!I329="Nangun Grupo A",54,IF(Atletas!I329="Gunshu Opcional",55,IF(Atletas!I329="Qiangshu Opcional",56,IF(Atletas!I329="Nangun Opcional",57,IF(Atletas!I329="Gunshu Adulto",58,IF(Atletas!I329="Qiangshu Adulto",59,IF(Atletas!I329="Nangun Adulto",60,""))))))))))))))))))))</f>
        <v/>
      </c>
      <c r="BF333" s="52" t="str">
        <f>IF(Atletas!J329="","",IF(Atletas!B329="Feminino",100,IF(Atletas!B329="Masculino",200,""))+(IF(Atletas!J329="Equipe 1 Grupo B",1,IF(Atletas!J329="Equipe 2 Grupo B",2,IF(Atletas!J329="Equipe 1 Grupo A",3,IF(Atletas!J329="Equipe 2 Grupo A",4,IF(Atletas!J329="Equipe 1 Adulto",5,IF(Atletas!J329="Equipe 2 Adulto",6,""))))))))</f>
        <v/>
      </c>
      <c r="BK333" s="52" t="str">
        <f>IF(Atletas!K329="","",IF(Atletas!W329&lt;&gt;"",10000,0)+(IF(Atletas!B329="Feminino",1000,IF(Atletas!B329="Masculino",2000,""))+IF(Atletas!K329="Choylayfut A",1,IF(Atletas!K329="Hunggar A",2,IF(Atletas!K329="Wuzuquan A",3,IF(Atletas!K329="Wingchun A",4,IF(Atletas!K329="Outra Mão de Sul A",5,IF(Atletas!K329="Choylayfut B",6,IF(Atletas!K329="Hunggar B",7,IF(Atletas!K329="Wuzuquan B",8,IF(Atletas!K329="Wingchun B",9,IF(Atletas!K329="Outra Mão de Sul B",10,IF(Atletas!K329="Choylayfut C",11,IF(Atletas!K329="Hunggar C",12,IF(Atletas!K329="Wuzuquan C",13,IF(Atletas!K329="Wingchun C",14,IF(Atletas!K329="Outra Mão de Sul C",15,IF(Atletas!K329="Choylayfut D",16,IF(Atletas!K329="Hunggar D",17,IF(Atletas!K329="Wuzuquan D",18,IF(Atletas!K329="Wingchun D",19,IF(Atletas!K329="Outra Mão de Sul D",20,IF(Atletas!K329="Choylayfut E",21,IF(Atletas!K329="Hunggar E",22,IF(Atletas!K329="Wuzuquan E",23,IF(Atletas!K329="Wingchun E",24,IF(Atletas!K329="Outra Mão de Sul E",25,IF(Atletas!K329="Choylayfut F",26,IF(Atletas!K329="Hunggar F",27,IF(Atletas!K329="Wuzuquan F",28,IF(Atletas!K329="Wingchun F",29,IF(Atletas!K329="Outra Mão de Sul F",30,""))))))))))))))))))))))))))))))))</f>
        <v/>
      </c>
      <c r="BL333" s="52" t="str">
        <f>IF(Atletas!L329="","",IF(Atletas!W329&lt;&gt;"",10000,0)+(IF(Atletas!B329="Feminino",1000,IF(Atletas!B329="Masculino",2000,""))+(IF(Atletas!L329="Chaquan A",101,IF(Atletas!L329="Emeiquan A",102,IF(Atletas!L329="Fanziquan A",103,IF(Atletas!L329="Huaquan A",104,IF(Atletas!L329="Hongquan A",105,IF(Atletas!L329="Paochui A",106,IF(Atletas!L329="Piguaquan A",107,IF(Atletas!L329="Shaolinquan A",108,IF(Atletas!L329="Tanglangquan A",109,IF(Atletas!L329="Yinzhaophai A",110,IF(Atletas!L329="Tongbeiquan A",111,IF(Atletas!L329="Wudangquan A",112,IF(Atletas!L329="Outros Estilos A",113,IF(Atletas!L329="Chaquan B",114,IF(Atletas!L329="Emeiquan B",115,IF(Atletas!L329="Fanziquan B",116,IF(Atletas!L329="Huaquan B",117,IF(Atletas!L329="Hongquan B",118,IF(Atletas!L329="Paochui B",119,IF(Atletas!L329="Piguaquan B",120,IF(Atletas!L329="Shaolinquan B",121,IF(Atletas!L329="Tanglangquan B",122,IF(Atletas!L329="Yinzhaophai B",123,IF(Atletas!L329="Tongbeiquan B",124,IF(Atletas!L329="Wudangquan B",125,IF(Atletas!L329="Outros Estilos B",126,IF(Atletas!L329="Chaquan C",127,IF(Atletas!L329="Emeiquan C",128,IF(Atletas!L329="Fanziquan C",129,IF(Atletas!L329="Huaquan C",130,IF(Atletas!L329="Hongquan C",131,IF(Atletas!L329="Paochui C",132,IF(Atletas!L329="Piguaquan C",133,IF(Atletas!L329="Shaolinquan C",134,IF(Atletas!L329="Tanglangquan C",135,IF(Atletas!L329="Yinzhaophai C",136,IF(Atletas!L329="Tongbeiquan C",137,IF(Atletas!L329="Wudangquan C",138,IF(Atletas!L329="Outros Estilos C",139,0))))))))))))))))))))))))))))))))))))))))))</f>
        <v/>
      </c>
      <c r="BM333" s="52" t="str">
        <f>IF(Atletas!L329="","",IF(Atletas!W329&lt;&gt;"",10000,0)+(IF(Atletas!B329="Feminino",1000,IF(Atletas!B329="Masculino",2000,""))+(IF(Atletas!L329="Chaquan D",140,IF(Atletas!L329="Emeiquan D",141,IF(Atletas!L329="Fanziquan D",142,IF(Atletas!L329="Huaquan D",143,IF(Atletas!L329="Hongquan D",144,IF(Atletas!L329="Paochui D",145,IF(Atletas!L329="Piguaquan D",146,IF(Atletas!L329="Shaolinquan D",147,IF(Atletas!L329="Tanglangquan D",148,IF(Atletas!L329="Yinzhaophai D",149,IF(Atletas!L329="Tongbeiquan D",150,IF(Atletas!L329="Wudangquan D",151,IF(Atletas!L329="Outros Estilos D",152,IF(Atletas!L329="Chaquan E",153,IF(Atletas!L329="Emeiquan E",154,IF(Atletas!L329="Fanziquan E",155,IF(Atletas!L329="Huaquan E",156,IF(Atletas!L329="Hongquan E",157,IF(Atletas!L329="Paochui E",158,IF(Atletas!L329="Piguaquan E",159,IF(Atletas!L329="Shaolinquan E",160,IF(Atletas!L329="Tanglangquan E",161,IF(Atletas!L329="Yinzhaophai E",162,IF(Atletas!L329="Tongbeiquan E",163,IF(Atletas!L329="Wudangquan E",164,IF(Atletas!L329="Outros Estilos E",165,IF(Atletas!L329="Chaquan F",166,IF(Atletas!L329="Emeiquan F",167,IF(Atletas!L329="Fanziquan F",168,IF(Atletas!L329="Huaquan F",169,IF(Atletas!L329="Hongquan F",170,IF(Atletas!L329="Paochui F",171,IF(Atletas!L329="Piguaquan F",172,IF(Atletas!L329="Shaolinquan F",173,IF(Atletas!L329="Tanglangquan F",174,IF(Atletas!L329="Yinzhaophai F",175,IF(Atletas!L329="Tongbeiquan F",176,IF(Atletas!L329="Wudangquan F",177,IF(Atletas!L329="Outros Estilos F",178,0))))))))))))))))))))))))))))))))))))))))))</f>
        <v/>
      </c>
      <c r="BN333" s="52" t="str">
        <f>IF(Atletas!M329="","",IF(Atletas!W329&lt;&gt;"",10000,0)+(IF(Atletas!B329="Feminino",1000,IF(Atletas!B329="Masculino",2000,""))+(IF(Atletas!M329="Ditangquan A",201,IF(Atletas!M329="Houquan A",202,IF(Atletas!M329="Zuiquan A",203,IF(Atletas!M329="Ditangquan B",204,IF(Atletas!M329="Houquan B",205,IF(Atletas!M329="Zuiquan B",206,IF(Atletas!M329="Ditangquan C",207,IF(Atletas!M329="Houquan C",208,IF(Atletas!M329="Zuiquan C",209,IF(Atletas!M329="Ditangquan D",210,IF(Atletas!M329="Houquan D",211,IF(Atletas!M329="Zuiquan D",212,IF(Atletas!M329="Ditangquan E",213,IF(Atletas!M329="Houquan E",214,IF(Atletas!M329="Zuiquan E",215,IF(Atletas!M329="Ditangquan F",216,IF(Atletas!M329="Houquan F",217,IF(Atletas!M329="Zuiquan F",218,"")))))))))))))))))))))</f>
        <v/>
      </c>
      <c r="BO333" s="52" t="str">
        <f>IF(Atletas!N329="","",IF(Atletas!W329&lt;&gt;"",10000,0)+IF(Atletas!B329="Feminino",1000,IF(Atletas!B329="Masculino",2000,""))+IF(Atletas!N329="Yang A",301,IF(Atletas!N329="Chen A",30,IF(Atletas!N329="Sun A",303,IF(Atletas!N329="Wu A",304,IF(Atletas!N329="Wu-Hao A",305,IF(Atletas!N329="Outro Taijiquan A",306,IF(Atletas!N329="Yang B",307,IF(Atletas!N329="Chen B",308,IF(Atletas!N329="Sun B",309,IF(Atletas!N329="Wu B",310,IF(Atletas!N329="Wu-Hao B",311,IF(Atletas!N329="Outro Taijiquan B",312,IF(Atletas!N329="Yang C",313,IF(Atletas!N329="Chen C",314,IF(Atletas!N329="Sun C",315,IF(Atletas!N329="Wu C",316,IF(Atletas!N329="Wu-Hao C",317,IF(Atletas!N329="Outro Taijiquan C",318,IF(Atletas!N329="Yang D",319,IF(Atletas!N329="Chen D",320,IF(Atletas!N329="Sun D",321,IF(Atletas!N329="Wu D",322,IF(Atletas!N329="Wu-Hao D",323,IF(Atletas!N329="Outro Taijiquan D",324,IF(Atletas!N329="Yang E",325,IF(Atletas!N329="Chen E",326,IF(Atletas!N329="Sun E",327,IF(Atletas!N329="Wu E",328,IF(Atletas!N329="Wu-Hao E",329,IF(Atletas!N329="Outro Taijiquan E",330,IF(Atletas!N329="Yang F",331,IF(Atletas!N329="Chen F",332,IF(Atletas!N329="Sun F",333,IF(Atletas!N329="Wu F",334,IF(Atletas!N329="Wu-Hao F",335,IF(Atletas!N329="Outro Taijiquan F",336,"")))))))))))))))))))))))))))))))))))))</f>
        <v/>
      </c>
      <c r="BP333" s="52" t="str">
        <f>IF(Atletas!O329="","",IF(Atletas!W329&lt;&gt;"",10000,0)+IF(Atletas!B329="Feminino",1000,IF(Atletas!B329="Masculino",2000,""))+IF(OR(Atletas!O329="Yang 26 A",Atletas!O329="Yang 40 A"),401,IF(OR(Atletas!O329="Chen 25 A",Atletas!O329="Chen 36 A",Atletas!O329="Chen 56 A"),402,IF(Atletas!O329="Sun 73 A",403,IF(Atletas!O329="Wu 45 A",404,IF(Atletas!O329="Wu-Hao 46 A",405,IF(OR(Atletas!O329="Taijiquan 16 A",Atletas!O329="Taijiquan 24 A",Atletas!O329="Taijiquan 32 A",Atletas!O329="Taijiquan 42 A"),406,IF(OR(Atletas!O329="Yang 26 B",Atletas!O329="Yang 40 B"),407,IF(OR(Atletas!O329="Chen 25 B",Atletas!O329="Chen 36 B",Atletas!O329="Chen 56 B"),408,IF(Atletas!O329="Sun 73 B",409,IF(Atletas!O329="Wu 45 B",410,IF(Atletas!O329="Wu-Hao 46 B",411,IF(OR(Atletas!O329="Taijiquan 16 B",Atletas!O329="Taijiquan 24 B",Atletas!O329="Taijiquan 32 B",Atletas!O329="Taijiquan 42 B"),412,IF(OR(Atletas!O329="Yang 26 C",Atletas!O329="Yang 40 C"),413,IF(OR(Atletas!O329="Chen 25 C",Atletas!O329="Chen 36 C",Atletas!O329="Chen 56 C"),414,IF(Atletas!O329="Sun 73 C",415,IF(Atletas!O329="Wu 45 C",416,IF(Atletas!O329="Wu-Hao 46 C",417,IF(OR(Atletas!O329="Taijiquan 16 C",Atletas!O329="Taijiquan 24 C",Atletas!O329="Taijiquan 32 C",Atletas!O329="Taijiquan 42 C"),418,0)))))))))))))))))))</f>
        <v/>
      </c>
      <c r="BQ333" s="52" t="str">
        <f>IF(Atletas!O329="","",IF(Atletas!W329&lt;&gt;"",10000,0)+IF(Atletas!B329="Feminino",1000,IF(Atletas!B329="Masculino",2000,""))+IF(OR(Atletas!O329="Yang 26 D",Atletas!O329="Yang 40 D"),419,IF(OR(Atletas!O329="Chen 25 D",Atletas!O329="Chen 36 D",Atletas!O329="Chen 56 D"),420,IF(Atletas!O329="Sun 73 D",421,IF(Atletas!O329="Wu 45 D",422,IF(Atletas!O329="Wu-Hao 46 D",423,IF(OR(Atletas!O329="Taijiquan 16 D",Atletas!O329="Taijiquan 24 D",Atletas!O329="Taijiquan 32 D",Atletas!O329="Taijiquan 42 D"),424,IF(OR(Atletas!O329="Yang 26 E",Atletas!O329="Yang 40 E"),425,IF(OR(Atletas!O329="Chen 25 E",Atletas!O329="Chen 36 E",Atletas!O329="Chen 56 E"),426,IF(Atletas!O329="Sun 73 E",427,IF(Atletas!O329="Wu 45 E",428,IF(Atletas!O329="Wu-Hao 46 E",429,IF(OR(Atletas!O329="Taijiquan 16 E",Atletas!O329="Taijiquan 24 E",Atletas!O329="Taijiquan 32 E",Atletas!O329="Taijiquan 42 E"),430,IF(OR(Atletas!O329="Yang 26 F",Atletas!O329="Yang 40 F"),431,IF(OR(Atletas!O329="Chen 25 F",Atletas!O329="Chen 36 F",Atletas!O329="Chen 56 F"),432,IF(Atletas!O329="Sun 73 F",433,IF(Atletas!O329="Wu 45 F",434,IF(Atletas!O329="Wu-Hao 46 F",435,IF(OR(Atletas!O329="Taijiquan 16 F",Atletas!O329="Taijiquan 24 F",Atletas!O329="Taijiquan 32 F",Atletas!O329="Taijiquan 42 F"),436,0)))))))))))))))))))</f>
        <v/>
      </c>
      <c r="BR333" s="52" t="str">
        <f>IF(Atletas!P329="","",IF(Atletas!W329&lt;&gt;"",10000,0)+IF(Atletas!B329="Feminino",1000,IF(Atletas!B329="Masculino",2000,""))+IF(Atletas!P329="Xingyiquan A",501,IF(Atletas!P329="Baguazhang A",502,IF(Atletas!P329="Outro Estilo Interno A",503,IF(Atletas!P329="Xingyiquan B",504,IF(Atletas!P329="Baguazhang B",505,IF(Atletas!P329="Outro Estilo Interno B",506,IF(Atletas!P329="Xingyiquan C",507,IF(Atletas!P329="Baguazhang C",508,IF(Atletas!P329="Outro Estilo Interno C",509,IF(Atletas!P329="Xingyiquan D",510,IF(Atletas!P329="Baguazhang D",511,IF(Atletas!P329="Outro Estilo Interno D",512,IF(Atletas!P329="Xingyiquan E",513,IF(Atletas!P329="Baguazhang E",514,IF(Atletas!P329="Outro Estilo Interno E",515,IF(Atletas!P329="Xingyiquan F",516,IF(Atletas!P329="Baguazhang F",517,IF(Atletas!P329="Outro Estilo Interno F",518, "")))))))))))))))))))</f>
        <v/>
      </c>
      <c r="BS333" s="52" t="str">
        <f>IF(Atletas!Q329="","",IF(Atletas!W329&lt;&gt;"",10000,0)+IF(Atletas!B329="Feminino",1000,IF(Atletas!B329="Masculino",2000,""))+IF(Atletas!Q329="Dao A",601,IF(Atletas!Q329="Jian A",602,IF(Atletas!Q329="Bishou A",603,IF(Atletas!Q329="Shan A",604,IF(Atletas!Q329="Outra Arma Curta A",605,IF(Atletas!Q329="Dao B",606,IF(Atletas!Q329="Jian B",607,IF(Atletas!Q329="Bishou B",608,IF(Atletas!Q329="Shan B",609,IF(Atletas!Q329="Outra Arma Curta B",610,IF(Atletas!Q329="Dao C",611,IF(Atletas!Q329="Jian C",612,IF(Atletas!Q329="Bishou C",613,IF(Atletas!Q329="Shan C",614,IF(Atletas!Q329="Outra Arma Curta C",615,IF(Atletas!Q329="Dao D",616,IF(Atletas!Q329="Jian D",617,IF(Atletas!Q329="Bishou D",618,IF(Atletas!Q329="Shan D",619,IF(Atletas!Q329="Outra Arma Curta D",620,IF(Atletas!Q329="Dao E",621,IF(Atletas!Q329="Jian E",622,IF(Atletas!Q329="Bishou E",623,IF(Atletas!Q329="Shan E",624,IF(Atletas!Q329="Outra Arma Curta E",625,IF(Atletas!Q329="Dao F",626,IF(Atletas!Q329="Jian F",627,IF(Atletas!Q329="Bishou F",628,IF(Atletas!Q329="Shan F",629,IF(Atletas!Q329="Outra Arma Curta F",630, "")))))))))))))))))))))))))))))))</f>
        <v/>
      </c>
      <c r="BT333" s="52" t="str">
        <f>IF(Atletas!R329="","",IF(Atletas!W329&lt;&gt;"",10000,0)+IF(Atletas!B329="Feminino",1000,IF(Atletas!B329="Masculino",2000,""))+IF(Atletas!R329="Gun A",701,IF(Atletas!R329="Qiang A",702,IF(Atletas!R329="Pudao / Guandao A",703,IF(Atletas!R329="Outra Arma Longa A",704,IF(Atletas!R329="Gun B",705,IF(Atletas!R329="Qiang B",706,IF(Atletas!R329="Pudao / Guandao B",707,IF(Atletas!R329="Outra Arma Longa B",708,IF(Atletas!R329="Gun C",709,IF(Atletas!R329="Qiang C",710,IF(Atletas!R329="Pudao / Guandao C",711,IF(Atletas!R329="Outra Arma Longa C",712,IF(Atletas!R329="Gun D",713,IF(Atletas!R329="Qiang D",714,IF(Atletas!R329="Pudao / Guandao D",715,IF(Atletas!R329="Outra Arma Longa D",716,IF(Atletas!R329="Gun E",717,IF(Atletas!R329="Qiang E",718,IF(Atletas!R329="Pudao / Guandao E",719,IF(Atletas!R329="Outra Arma Longa E",720,IF(Atletas!R329="Gun F",721,IF(Atletas!R329="Qiang F",722,IF(Atletas!R329="Pudao / Guandao F",723,IF(Atletas!R329="Outra Arma Longa F",724,"")))))))))))))))))))))))))</f>
        <v/>
      </c>
      <c r="BU333" s="52" t="str">
        <f>IF(Atletas!S329="","",IF(Atletas!W329&lt;&gt;"",10000,0)+IF(Atletas!B329="Feminino",1000,IF(Atletas!B329="Masculino",2000,""))+IF(Atletas!S329="Arma Dupla A",801,IF(Atletas!S329="Arma Maleável A",802,IF(Atletas!S329="Arma Dupla B",803,IF(Atletas!S329="Arma Maleável B",804,IF(Atletas!S329="Arma Dupla C",805,IF(Atletas!S329="Arma Maleável C",806,IF(Atletas!S329="Arma Dupla D",807,IF(Atletas!S329="Arma Maleável D",808,IF(Atletas!S329="Arma Dupla E",809,IF(Atletas!S329="Arma Maleável E",810,IF(Atletas!S329="Arma Dupla F",811,IF(Atletas!S329="Arma Maleável F",812, "")))))))))))))</f>
        <v/>
      </c>
      <c r="BV333" s="52" t="str">
        <f>IF(Atletas!T329="","",IF(Atletas!W329&lt;&gt;"",10000,0)+IF(Atletas!B329="Feminino",1000,IF(Atletas!B329="Masculino",2000,""))+IF(Atletas!T329="Taijijian Yang A",901,IF(Atletas!T329="Taijijian Chen A",902,IF(Atletas!T329="Taijijian Sun A",903,IF(Atletas!T329="Taijijian Wu A",904,IF(Atletas!T329="Taijijian Wu-Hao A",905,IF(Atletas!T329="Taijijian 32 A",906,IF(Atletas!T329="Taijijian 42 A",907,IF(Atletas!T329="Taijijian Yang B",908,IF(Atletas!T329="Taijijian Chen B",909,IF(Atletas!T329="Taijijian Sun B",910,IF(Atletas!T329="Taijijian Wu B",911,IF(Atletas!T329="Taijijian Wu-Hao B",912,IF(Atletas!T329="Taijijian 32 B",913,IF(Atletas!T329="Taijijian 42 B",914,IF(Atletas!T329="Taijijian Yang C",915,IF(Atletas!T329="Taijijian Chen C",916,IF(Atletas!T329="Taijijian Sun C",917,IF(Atletas!T329="Taijijian Wu C",918,IF(Atletas!T329="Taijijian Wu-Hao C",919,IF(Atletas!T329="Taijijian 32 C",920,IF(Atletas!T329="Taijijian 42 C",921,IF(Atletas!T329="Taijijian Yang D",922,IF(Atletas!T329="Taijijian Chen D",923,IF(Atletas!T329="Taijijian Sun D",924,IF(Atletas!T329="Taijijian Wu D",925,IF(Atletas!T329="Taijijian Wu-Hao D",926,IF(Atletas!T329="Taijijian 32 D",927,IF(Atletas!T329="Taijijian 42 D",928,IF(Atletas!T329="Taijijian Yang E",929,IF(Atletas!T329="Taijijian Chen E",930,IF(Atletas!T329="Taijijian Sun E",931,IF(Atletas!T329="Taijijian Wu E",932,IF(Atletas!T329="Taijijian Wu-Hao E",933,IF(Atletas!T329="Taijijian 32 E",934,IF(Atletas!T329="Taijijian 42 E",935,IF(Atletas!T329="Taijijian Yang F",936,IF(Atletas!T329="Taijijian Chen F",937,IF(Atletas!T329="Taijijian Sun F",938,IF(Atletas!T329="Taijijian Wu F",939,IF(Atletas!T329="Taijijian Wu-Hao F",940,IF(Atletas!T329="Taijijian 32 F",941,IF(Atletas!T329="Taijijian 42 F",942,"")))))))))))))))))))))))))))))))))))))))))))</f>
        <v/>
      </c>
      <c r="BW333" s="52" t="str">
        <f>IF(Atletas!U329="","",IF(Atletas!W329&lt;&gt;"",10000,0)+IF(Atletas!B329="Feminino",1000,IF(Atletas!B329="Masculino",2000,""))+IF(Atletas!T329="Taijijian 42 F",942,IF(Atletas!U329="Taijidao A",943,IF(Atletas!U329="Taijishan A",944,IF(Atletas!U329="Taijiqiang A",945,IF(Atletas!U329="Taijidao B",946,IF(Atletas!U329="Taijishan B",947,IF(Atletas!U329="Taijiqiang B",948,IF(Atletas!U329="Taijidao C",949,IF(Atletas!U329="Taijishan C",950,IF(Atletas!U329="Taijiqiang C",951,IF(Atletas!U329="Taijidao D",952,IF(Atletas!U329="Taijishan D",953,IF(Atletas!U329="Taijiqiang D",954,IF(Atletas!U329="Taijidao E",955,IF(Atletas!U329="Taijishan E",956,IF(Atletas!U329="Taijiqiang E",957,IF(Atletas!U329="Taijidao F",958,IF(Atletas!U329="Taijishan F",959,IF(Atletas!U329="Taijiqiang F",960))))))))))))))))))))</f>
        <v/>
      </c>
      <c r="BX333" s="72" t="str">
        <f>IF(BY333&lt;&gt;"","Taijiqiang C","")</f>
        <v/>
      </c>
      <c r="BY333" s="72" t="str">
        <f>IF(COUNTIF(BK:BW,1951)&gt;0,COUNTIF(BK:BW,1951),"")</f>
        <v/>
      </c>
      <c r="BZ333" s="72" t="str">
        <f>IF(CA333&lt;&gt;"","Taijiqiang C","")</f>
        <v/>
      </c>
      <c r="CA333" s="72" t="str">
        <f>IF(COUNTIF(BK:BW,2951)&gt;0,COUNTIF(BK:BW,2951),"")</f>
        <v/>
      </c>
      <c r="CB333" s="72" t="str">
        <f>IF(CC333&lt;&gt;"","Gun F","")</f>
        <v/>
      </c>
      <c r="CC333" s="64" t="str">
        <f>IF(COUNTIF(BK:BW,11721)&gt;0,COUNTIF(BK:BW,11721),"")</f>
        <v/>
      </c>
      <c r="CD333" s="64" t="str">
        <f>IF(CE333&lt;&gt;"","Gun F","")</f>
        <v/>
      </c>
      <c r="CE333" s="64" t="str">
        <f>IF(COUNTIF(BK:BW,12721)&gt;0,COUNTIF(BK:BW,12721),"")</f>
        <v/>
      </c>
      <c r="CF333" s="52" t="str">
        <f xml:space="preserve"> IF(Atletas!V329="","",IF(Atletas!V329="Duilian de Mãos AB - Equipe 1",1,IF(Atletas!V329="Duilian de Mãos AB - Equipe 2",2,IF(Atletas!V329="Duilian de Armas AB - Equipe 1",3,IF(Atletas!V329="Duilian de Armas AB - Equipe 2",4,IF(Atletas!V329="Duilian de Tuishou - Equipe 1",5,IF(Atletas!V329="Duilian de Tuishou - Equipe 2",6,IF(Atletas!V329="Grupo Externo AB - Equipe 1",7,IF(Atletas!V329="Grupo Externo AB - Equipe 2",8,IF(Atletas!V329="Grupo Interno AB - Equipe 1",9,IF(Atletas!V329="Grupo Interno AB - Equipe 2",10,IF(Atletas!V329="Duilian de Mãos CD - Equipe 1",11,IF(Atletas!V329="Duilian de Mãos CD - Equipe 2",12,IF(Atletas!V329="Duilian de Armas CD - Equipe 1",13,IF(Atletas!V329="Duilian de Armas CD - Equipe 2",14,IF(Atletas!V329="Duilian de Tuishou - Equipe 1",15,IF(Atletas!V329="Duilian de Tuishou - Equipe 2",16,IF(Atletas!V329="Grupo Externo CDEF - Equipe 1",17,IF(Atletas!V329="Grupo Externo CDEF - Equipe 2",18,IF(Atletas!V329="Grupo Interno CDEF - Equipe 1",19,IF(Atletas!V329="Grupo Interno CDEF - Equipe 2",20,IF(Atletas!V329="Duilian de Mãos EF - Equipe 1",21,IF(Atletas!V329="Duilian de Mãos EF - Equipe 2",22,IF(Atletas!V329="Duilian de Armas EF - Equipe 1",23,IF(Atletas!V329="Duilian de Armas EF - Equipe 2",24,IF(Atletas!V329="Duilian de Tuishou - Equipe 1",25,IF(Atletas!V329="Duilian de Tuishou - Equipe 2",26,"")))))))))))))))))))))))))))</f>
        <v/>
      </c>
    </row>
    <row r="334" spans="36:84">
      <c r="AJ334" s="46" t="str">
        <f>IF(Atletas!D330="","",IF(Atletas!B330="Feminino",100,IF(Atletas!B330="Masculino",200,""))+(IF(Atletas!D330="Infantil 39kg",1,IF(Atletas!D330="Infantil 42kg",2,IF(Atletas!D330="Infantil 45kg",3,IF(Atletas!D330="Infantil 48kg",4,IF(Atletas!D330="Infantil 52kg",5,IF(Atletas!D330="Infantil 56kg",6,IF(Atletas!D330="Infantil 60kg",7,IF(Atletas!D330="Juvenil 48kg",8,IF(Atletas!D330="Juvenil 52kg",9,IF(Atletas!D330="Juvenil 56kg",10,IF(Atletas!D330="Juvenil 60kg",11,IF(Atletas!D330="Juvenil 65kg",12,IF(Atletas!D330="Juvenil 70kg",13,IF(Atletas!D330="Juvenil 75kg",14,IF(Atletas!D330="Juvenil 80kg",15,IF(Atletas!D330="Adulto 48kg",16,IF(Atletas!D330="Adulto 52kg",17,IF(Atletas!D330="Adulto 56kg",18,IF(Atletas!D330="Adulto 60kg",19,IF(Atletas!D330="Adulto 65kg",20,IF(Atletas!D330="Adulto 70kg",21,IF(Atletas!D330="Adulto 75kg",22,IF(Atletas!D330="Adulto 80kg",23,IF(Atletas!D330="Adulto 85kg",24,IF(Atletas!D330="Adulto 90kg",25,IF(Atletas!D330="Adulto +90kg",26,""))))))))))))))))))))))))))))</f>
        <v/>
      </c>
      <c r="AO334" s="10" t="str">
        <f>IF(Atletas!E330="","",IF(Atletas!B330="Feminino",100,IF(Atletas!B330="Masculino",200,""))+(IF(Atletas!E330="Juvenil 44kg",1,IF(Atletas!E330="Juvenil 48kg",2,IF(Atletas!E330="Juvenil 52kg",3,IF(Atletas!E330="Juvenil 56kg",4,IF(Atletas!E330="Juvenil 60kg",5,IF(Atletas!E330="Juvenil 65kg",6,IF(Atletas!E330="Juvenil 70kg",7,IF(Atletas!E330="Juvenil 75kg",8,IF(Atletas!E330="Juvenil 82kg",9,IF(Atletas!E330="Juvenil 90kg",10,IF(Atletas!E330="Juvenil 100kg",11,IF(Atletas!E330="Adulto 48kg",12,IF(Atletas!E330="Adulto 52kg",13,IF(Atletas!E330="Adulto 56kg",14,IF(Atletas!E330="Adulto 60kg",15,IF(Atletas!E330="Adulto 65kg",16,IF(Atletas!E330="Adulto 70kg",17,IF(Atletas!E330="Adulto 75kg",18,IF(Atletas!E330="Adulto 82kg",19,IF(Atletas!E330="Adulto 90kg",20,IF(Atletas!E330="Adulto 100kg",21,IF(Atletas!E330="Adulto +100kg",22,""))))))))))))))))))))))))</f>
        <v/>
      </c>
      <c r="AT334" s="10" t="str">
        <f>IF(Atletas!F330="","",IF(Atletas!B330="Feminino",100,IF(Atletas!B330="Masculino",200,""))+(IF(Atletas!F330="Adulto 48kg",1,IF(Atletas!F330="Adulto 56kg",2,IF(Atletas!F330="Adulto 65kg",3,IF(Atletas!F330="Adulto 75kg",4,IF(Atletas!F330="Adulto +75kg",5,IF(Atletas!F330="Adulto 52kg",6,IF(Atletas!F330="Adulto 60kg",7,IF(Atletas!F330="Adulto 70kg",8,IF(Atletas!F330="Adulto 80kg",9,IF(Atletas!F330="Adulto 90kg",10,IF(Atletas!F330="Adulto +90kg",11,"")))))))))))))</f>
        <v/>
      </c>
      <c r="AY334" s="46" t="str">
        <f>IF(Atletas!G330="","",IF(Atletas!B330="Feminino",100,IF(Atletas!B330="Masculino",200,""))+(IF(Atletas!G330="Changquan Mirim",1,IF(Atletas!G330="Nanquan Mirim",2,IF(Atletas!G330="Taijiquan Mirim",3,IF(Atletas!G330="Changquan Grupo C",4,IF(Atletas!G330="Nanquan Grupo C",5,IF(Atletas!G330="Taijiquan Grupo C",6,IF(Atletas!G330="Changquan Grupo B",7,IF(Atletas!G330="Nanquan Grupo B",8,IF(Atletas!G330="Taijiquan Grupo B",9,IF(Atletas!G330="Changquan Grupo A",10,IF(Atletas!G330="Nanquan Grupo A",11,IF(Atletas!G330="Taijiquan Grupo A",12,IF(Atletas!G330="Changquan Opcional",13,IF(Atletas!G330="Nanquan Opcional",14,IF(Atletas!G330="Taijiquan Opcional",15,IF(Atletas!G330="Changquan Adulto",16,IF(Atletas!G330="Nanquan Adulto",17,IF(Atletas!G330="Taijiquan Adulto",18,""))))))))))))))))))))</f>
        <v/>
      </c>
      <c r="AZ334" s="46" t="str">
        <f>IF(Atletas!H330="","",IF(Atletas!B330="Feminino",100,IF(Atletas!B330="Masculino",200,""))+(IF(Atletas!H330="Daoshu Mirim",19,IF(Atletas!H330="Jianshu Mirim",20,IF(Atletas!H330="Nandao Mirim",21,IF(Atletas!H330="Taijijian Mirim",22,IF(Atletas!H330="Daoshu Grupo C",23,IF(Atletas!H330="Jianshu Grupo C",24,IF(Atletas!H330="Nandao Grupo C",25,IF(Atletas!H330="Taijijian Grupo C",26,IF(Atletas!H330="Daoshu Grupo B",27,IF(Atletas!H330="Jianshu Grupo B",28,IF(Atletas!H330="Nandao Grupo B",29,IF(Atletas!H330="Taijijian Grupo B",30,IF(Atletas!H330="Daoshu Grupo A",31,IF(Atletas!H330="Jianshu Grupo A",32,IF(Atletas!H330="Nandao Grupo A",33,IF(Atletas!H330="Taijijian Grupo A",34,IF(Atletas!H330="Daoshu Opcional",35,IF(Atletas!H330="Jianshu Opcional",36,IF(Atletas!H330="Nandao Opcional",37,IF(Atletas!H330="Taijijian Opcional",38,IF(Atletas!H330="Daoshu Adulto",39,IF(Atletas!H330="Jianshu Adulto",40,IF(Atletas!H330="Nandao Adulto",41,IF(Atletas!H330="Taijijian Adulto",42,""))))))))))))))))))))))))))</f>
        <v/>
      </c>
      <c r="BA334" s="46" t="str">
        <f>IF(Atletas!I330="","",IF(Atletas!B330="Feminino",100,IF(Atletas!B330="Masculino",200,""))+(IF(Atletas!I330="Gunshu Mirim",43,IF(Atletas!I330="Qiangshu Mirim",44,IF(Atletas!I330="Nangun Mirim",45,IF(Atletas!I330="Gunshu Grupo C",46,IF(Atletas!I330="Qiangshu Grupo C",47,IF(Atletas!I330="Nangun Grupo C",48,IF(Atletas!I330="Gunshu Grupo B",49,IF(Atletas!I330="Qiangshu Grupo B",50,IF(Atletas!I330="Nangun Grupo B",51,IF(Atletas!I330="Gunshu Grupo A",52,IF(Atletas!I330="Qiangshu Grupo A",53,IF(Atletas!I330="Nangun Grupo A",54,IF(Atletas!I330="Gunshu Opcional",55,IF(Atletas!I330="Qiangshu Opcional",56,IF(Atletas!I330="Nangun Opcional",57,IF(Atletas!I330="Gunshu Adulto",58,IF(Atletas!I330="Qiangshu Adulto",59,IF(Atletas!I330="Nangun Adulto",60,""))))))))))))))))))))</f>
        <v/>
      </c>
      <c r="BF334" s="52" t="str">
        <f>IF(Atletas!J330="","",IF(Atletas!B330="Feminino",100,IF(Atletas!B330="Masculino",200,""))+(IF(Atletas!J330="Equipe 1 Grupo B",1,IF(Atletas!J330="Equipe 2 Grupo B",2,IF(Atletas!J330="Equipe 1 Grupo A",3,IF(Atletas!J330="Equipe 2 Grupo A",4,IF(Atletas!J330="Equipe 1 Adulto",5,IF(Atletas!J330="Equipe 2 Adulto",6,""))))))))</f>
        <v/>
      </c>
      <c r="BK334" s="52" t="str">
        <f>IF(Atletas!K330="","",IF(Atletas!W330&lt;&gt;"",10000,0)+(IF(Atletas!B330="Feminino",1000,IF(Atletas!B330="Masculino",2000,""))+IF(Atletas!K330="Choylayfut A",1,IF(Atletas!K330="Hunggar A",2,IF(Atletas!K330="Wuzuquan A",3,IF(Atletas!K330="Wingchun A",4,IF(Atletas!K330="Outra Mão de Sul A",5,IF(Atletas!K330="Choylayfut B",6,IF(Atletas!K330="Hunggar B",7,IF(Atletas!K330="Wuzuquan B",8,IF(Atletas!K330="Wingchun B",9,IF(Atletas!K330="Outra Mão de Sul B",10,IF(Atletas!K330="Choylayfut C",11,IF(Atletas!K330="Hunggar C",12,IF(Atletas!K330="Wuzuquan C",13,IF(Atletas!K330="Wingchun C",14,IF(Atletas!K330="Outra Mão de Sul C",15,IF(Atletas!K330="Choylayfut D",16,IF(Atletas!K330="Hunggar D",17,IF(Atletas!K330="Wuzuquan D",18,IF(Atletas!K330="Wingchun D",19,IF(Atletas!K330="Outra Mão de Sul D",20,IF(Atletas!K330="Choylayfut E",21,IF(Atletas!K330="Hunggar E",22,IF(Atletas!K330="Wuzuquan E",23,IF(Atletas!K330="Wingchun E",24,IF(Atletas!K330="Outra Mão de Sul E",25,IF(Atletas!K330="Choylayfut F",26,IF(Atletas!K330="Hunggar F",27,IF(Atletas!K330="Wuzuquan F",28,IF(Atletas!K330="Wingchun F",29,IF(Atletas!K330="Outra Mão de Sul F",30,""))))))))))))))))))))))))))))))))</f>
        <v/>
      </c>
      <c r="BL334" s="52" t="str">
        <f>IF(Atletas!L330="","",IF(Atletas!W330&lt;&gt;"",10000,0)+(IF(Atletas!B330="Feminino",1000,IF(Atletas!B330="Masculino",2000,""))+(IF(Atletas!L330="Chaquan A",101,IF(Atletas!L330="Emeiquan A",102,IF(Atletas!L330="Fanziquan A",103,IF(Atletas!L330="Huaquan A",104,IF(Atletas!L330="Hongquan A",105,IF(Atletas!L330="Paochui A",106,IF(Atletas!L330="Piguaquan A",107,IF(Atletas!L330="Shaolinquan A",108,IF(Atletas!L330="Tanglangquan A",109,IF(Atletas!L330="Yinzhaophai A",110,IF(Atletas!L330="Tongbeiquan A",111,IF(Atletas!L330="Wudangquan A",112,IF(Atletas!L330="Outros Estilos A",113,IF(Atletas!L330="Chaquan B",114,IF(Atletas!L330="Emeiquan B",115,IF(Atletas!L330="Fanziquan B",116,IF(Atletas!L330="Huaquan B",117,IF(Atletas!L330="Hongquan B",118,IF(Atletas!L330="Paochui B",119,IF(Atletas!L330="Piguaquan B",120,IF(Atletas!L330="Shaolinquan B",121,IF(Atletas!L330="Tanglangquan B",122,IF(Atletas!L330="Yinzhaophai B",123,IF(Atletas!L330="Tongbeiquan B",124,IF(Atletas!L330="Wudangquan B",125,IF(Atletas!L330="Outros Estilos B",126,IF(Atletas!L330="Chaquan C",127,IF(Atletas!L330="Emeiquan C",128,IF(Atletas!L330="Fanziquan C",129,IF(Atletas!L330="Huaquan C",130,IF(Atletas!L330="Hongquan C",131,IF(Atletas!L330="Paochui C",132,IF(Atletas!L330="Piguaquan C",133,IF(Atletas!L330="Shaolinquan C",134,IF(Atletas!L330="Tanglangquan C",135,IF(Atletas!L330="Yinzhaophai C",136,IF(Atletas!L330="Tongbeiquan C",137,IF(Atletas!L330="Wudangquan C",138,IF(Atletas!L330="Outros Estilos C",139,0))))))))))))))))))))))))))))))))))))))))))</f>
        <v/>
      </c>
      <c r="BM334" s="52" t="str">
        <f>IF(Atletas!L330="","",IF(Atletas!W330&lt;&gt;"",10000,0)+(IF(Atletas!B330="Feminino",1000,IF(Atletas!B330="Masculino",2000,""))+(IF(Atletas!L330="Chaquan D",140,IF(Atletas!L330="Emeiquan D",141,IF(Atletas!L330="Fanziquan D",142,IF(Atletas!L330="Huaquan D",143,IF(Atletas!L330="Hongquan D",144,IF(Atletas!L330="Paochui D",145,IF(Atletas!L330="Piguaquan D",146,IF(Atletas!L330="Shaolinquan D",147,IF(Atletas!L330="Tanglangquan D",148,IF(Atletas!L330="Yinzhaophai D",149,IF(Atletas!L330="Tongbeiquan D",150,IF(Atletas!L330="Wudangquan D",151,IF(Atletas!L330="Outros Estilos D",152,IF(Atletas!L330="Chaquan E",153,IF(Atletas!L330="Emeiquan E",154,IF(Atletas!L330="Fanziquan E",155,IF(Atletas!L330="Huaquan E",156,IF(Atletas!L330="Hongquan E",157,IF(Atletas!L330="Paochui E",158,IF(Atletas!L330="Piguaquan E",159,IF(Atletas!L330="Shaolinquan E",160,IF(Atletas!L330="Tanglangquan E",161,IF(Atletas!L330="Yinzhaophai E",162,IF(Atletas!L330="Tongbeiquan E",163,IF(Atletas!L330="Wudangquan E",164,IF(Atletas!L330="Outros Estilos E",165,IF(Atletas!L330="Chaquan F",166,IF(Atletas!L330="Emeiquan F",167,IF(Atletas!L330="Fanziquan F",168,IF(Atletas!L330="Huaquan F",169,IF(Atletas!L330="Hongquan F",170,IF(Atletas!L330="Paochui F",171,IF(Atletas!L330="Piguaquan F",172,IF(Atletas!L330="Shaolinquan F",173,IF(Atletas!L330="Tanglangquan F",174,IF(Atletas!L330="Yinzhaophai F",175,IF(Atletas!L330="Tongbeiquan F",176,IF(Atletas!L330="Wudangquan F",177,IF(Atletas!L330="Outros Estilos F",178,0))))))))))))))))))))))))))))))))))))))))))</f>
        <v/>
      </c>
      <c r="BN334" s="52" t="str">
        <f>IF(Atletas!M330="","",IF(Atletas!W330&lt;&gt;"",10000,0)+(IF(Atletas!B330="Feminino",1000,IF(Atletas!B330="Masculino",2000,""))+(IF(Atletas!M330="Ditangquan A",201,IF(Atletas!M330="Houquan A",202,IF(Atletas!M330="Zuiquan A",203,IF(Atletas!M330="Ditangquan B",204,IF(Atletas!M330="Houquan B",205,IF(Atletas!M330="Zuiquan B",206,IF(Atletas!M330="Ditangquan C",207,IF(Atletas!M330="Houquan C",208,IF(Atletas!M330="Zuiquan C",209,IF(Atletas!M330="Ditangquan D",210,IF(Atletas!M330="Houquan D",211,IF(Atletas!M330="Zuiquan D",212,IF(Atletas!M330="Ditangquan E",213,IF(Atletas!M330="Houquan E",214,IF(Atletas!M330="Zuiquan E",215,IF(Atletas!M330="Ditangquan F",216,IF(Atletas!M330="Houquan F",217,IF(Atletas!M330="Zuiquan F",218,"")))))))))))))))))))))</f>
        <v/>
      </c>
      <c r="BO334" s="52" t="str">
        <f>IF(Atletas!N330="","",IF(Atletas!W330&lt;&gt;"",10000,0)+IF(Atletas!B330="Feminino",1000,IF(Atletas!B330="Masculino",2000,""))+IF(Atletas!N330="Yang A",301,IF(Atletas!N330="Chen A",30,IF(Atletas!N330="Sun A",303,IF(Atletas!N330="Wu A",304,IF(Atletas!N330="Wu-Hao A",305,IF(Atletas!N330="Outro Taijiquan A",306,IF(Atletas!N330="Yang B",307,IF(Atletas!N330="Chen B",308,IF(Atletas!N330="Sun B",309,IF(Atletas!N330="Wu B",310,IF(Atletas!N330="Wu-Hao B",311,IF(Atletas!N330="Outro Taijiquan B",312,IF(Atletas!N330="Yang C",313,IF(Atletas!N330="Chen C",314,IF(Atletas!N330="Sun C",315,IF(Atletas!N330="Wu C",316,IF(Atletas!N330="Wu-Hao C",317,IF(Atletas!N330="Outro Taijiquan C",318,IF(Atletas!N330="Yang D",319,IF(Atletas!N330="Chen D",320,IF(Atletas!N330="Sun D",321,IF(Atletas!N330="Wu D",322,IF(Atletas!N330="Wu-Hao D",323,IF(Atletas!N330="Outro Taijiquan D",324,IF(Atletas!N330="Yang E",325,IF(Atletas!N330="Chen E",326,IF(Atletas!N330="Sun E",327,IF(Atletas!N330="Wu E",328,IF(Atletas!N330="Wu-Hao E",329,IF(Atletas!N330="Outro Taijiquan E",330,IF(Atletas!N330="Yang F",331,IF(Atletas!N330="Chen F",332,IF(Atletas!N330="Sun F",333,IF(Atletas!N330="Wu F",334,IF(Atletas!N330="Wu-Hao F",335,IF(Atletas!N330="Outro Taijiquan F",336,"")))))))))))))))))))))))))))))))))))))</f>
        <v/>
      </c>
      <c r="BP334" s="52" t="str">
        <f>IF(Atletas!O330="","",IF(Atletas!W330&lt;&gt;"",10000,0)+IF(Atletas!B330="Feminino",1000,IF(Atletas!B330="Masculino",2000,""))+IF(OR(Atletas!O330="Yang 26 A",Atletas!O330="Yang 40 A"),401,IF(OR(Atletas!O330="Chen 25 A",Atletas!O330="Chen 36 A",Atletas!O330="Chen 56 A"),402,IF(Atletas!O330="Sun 73 A",403,IF(Atletas!O330="Wu 45 A",404,IF(Atletas!O330="Wu-Hao 46 A",405,IF(OR(Atletas!O330="Taijiquan 16 A",Atletas!O330="Taijiquan 24 A",Atletas!O330="Taijiquan 32 A",Atletas!O330="Taijiquan 42 A"),406,IF(OR(Atletas!O330="Yang 26 B",Atletas!O330="Yang 40 B"),407,IF(OR(Atletas!O330="Chen 25 B",Atletas!O330="Chen 36 B",Atletas!O330="Chen 56 B"),408,IF(Atletas!O330="Sun 73 B",409,IF(Atletas!O330="Wu 45 B",410,IF(Atletas!O330="Wu-Hao 46 B",411,IF(OR(Atletas!O330="Taijiquan 16 B",Atletas!O330="Taijiquan 24 B",Atletas!O330="Taijiquan 32 B",Atletas!O330="Taijiquan 42 B"),412,IF(OR(Atletas!O330="Yang 26 C",Atletas!O330="Yang 40 C"),413,IF(OR(Atletas!O330="Chen 25 C",Atletas!O330="Chen 36 C",Atletas!O330="Chen 56 C"),414,IF(Atletas!O330="Sun 73 C",415,IF(Atletas!O330="Wu 45 C",416,IF(Atletas!O330="Wu-Hao 46 C",417,IF(OR(Atletas!O330="Taijiquan 16 C",Atletas!O330="Taijiquan 24 C",Atletas!O330="Taijiquan 32 C",Atletas!O330="Taijiquan 42 C"),418,0)))))))))))))))))))</f>
        <v/>
      </c>
      <c r="BQ334" s="52" t="str">
        <f>IF(Atletas!O330="","",IF(Atletas!W330&lt;&gt;"",10000,0)+IF(Atletas!B330="Feminino",1000,IF(Atletas!B330="Masculino",2000,""))+IF(OR(Atletas!O330="Yang 26 D",Atletas!O330="Yang 40 D"),419,IF(OR(Atletas!O330="Chen 25 D",Atletas!O330="Chen 36 D",Atletas!O330="Chen 56 D"),420,IF(Atletas!O330="Sun 73 D",421,IF(Atletas!O330="Wu 45 D",422,IF(Atletas!O330="Wu-Hao 46 D",423,IF(OR(Atletas!O330="Taijiquan 16 D",Atletas!O330="Taijiquan 24 D",Atletas!O330="Taijiquan 32 D",Atletas!O330="Taijiquan 42 D"),424,IF(OR(Atletas!O330="Yang 26 E",Atletas!O330="Yang 40 E"),425,IF(OR(Atletas!O330="Chen 25 E",Atletas!O330="Chen 36 E",Atletas!O330="Chen 56 E"),426,IF(Atletas!O330="Sun 73 E",427,IF(Atletas!O330="Wu 45 E",428,IF(Atletas!O330="Wu-Hao 46 E",429,IF(OR(Atletas!O330="Taijiquan 16 E",Atletas!O330="Taijiquan 24 E",Atletas!O330="Taijiquan 32 E",Atletas!O330="Taijiquan 42 E"),430,IF(OR(Atletas!O330="Yang 26 F",Atletas!O330="Yang 40 F"),431,IF(OR(Atletas!O330="Chen 25 F",Atletas!O330="Chen 36 F",Atletas!O330="Chen 56 F"),432,IF(Atletas!O330="Sun 73 F",433,IF(Atletas!O330="Wu 45 F",434,IF(Atletas!O330="Wu-Hao 46 F",435,IF(OR(Atletas!O330="Taijiquan 16 F",Atletas!O330="Taijiquan 24 F",Atletas!O330="Taijiquan 32 F",Atletas!O330="Taijiquan 42 F"),436,0)))))))))))))))))))</f>
        <v/>
      </c>
      <c r="BR334" s="52" t="str">
        <f>IF(Atletas!P330="","",IF(Atletas!W330&lt;&gt;"",10000,0)+IF(Atletas!B330="Feminino",1000,IF(Atletas!B330="Masculino",2000,""))+IF(Atletas!P330="Xingyiquan A",501,IF(Atletas!P330="Baguazhang A",502,IF(Atletas!P330="Outro Estilo Interno A",503,IF(Atletas!P330="Xingyiquan B",504,IF(Atletas!P330="Baguazhang B",505,IF(Atletas!P330="Outro Estilo Interno B",506,IF(Atletas!P330="Xingyiquan C",507,IF(Atletas!P330="Baguazhang C",508,IF(Atletas!P330="Outro Estilo Interno C",509,IF(Atletas!P330="Xingyiquan D",510,IF(Atletas!P330="Baguazhang D",511,IF(Atletas!P330="Outro Estilo Interno D",512,IF(Atletas!P330="Xingyiquan E",513,IF(Atletas!P330="Baguazhang E",514,IF(Atletas!P330="Outro Estilo Interno E",515,IF(Atletas!P330="Xingyiquan F",516,IF(Atletas!P330="Baguazhang F",517,IF(Atletas!P330="Outro Estilo Interno F",518, "")))))))))))))))))))</f>
        <v/>
      </c>
      <c r="BS334" s="52" t="str">
        <f>IF(Atletas!Q330="","",IF(Atletas!W330&lt;&gt;"",10000,0)+IF(Atletas!B330="Feminino",1000,IF(Atletas!B330="Masculino",2000,""))+IF(Atletas!Q330="Dao A",601,IF(Atletas!Q330="Jian A",602,IF(Atletas!Q330="Bishou A",603,IF(Atletas!Q330="Shan A",604,IF(Atletas!Q330="Outra Arma Curta A",605,IF(Atletas!Q330="Dao B",606,IF(Atletas!Q330="Jian B",607,IF(Atletas!Q330="Bishou B",608,IF(Atletas!Q330="Shan B",609,IF(Atletas!Q330="Outra Arma Curta B",610,IF(Atletas!Q330="Dao C",611,IF(Atletas!Q330="Jian C",612,IF(Atletas!Q330="Bishou C",613,IF(Atletas!Q330="Shan C",614,IF(Atletas!Q330="Outra Arma Curta C",615,IF(Atletas!Q330="Dao D",616,IF(Atletas!Q330="Jian D",617,IF(Atletas!Q330="Bishou D",618,IF(Atletas!Q330="Shan D",619,IF(Atletas!Q330="Outra Arma Curta D",620,IF(Atletas!Q330="Dao E",621,IF(Atletas!Q330="Jian E",622,IF(Atletas!Q330="Bishou E",623,IF(Atletas!Q330="Shan E",624,IF(Atletas!Q330="Outra Arma Curta E",625,IF(Atletas!Q330="Dao F",626,IF(Atletas!Q330="Jian F",627,IF(Atletas!Q330="Bishou F",628,IF(Atletas!Q330="Shan F",629,IF(Atletas!Q330="Outra Arma Curta F",630, "")))))))))))))))))))))))))))))))</f>
        <v/>
      </c>
      <c r="BT334" s="52" t="str">
        <f>IF(Atletas!R330="","",IF(Atletas!W330&lt;&gt;"",10000,0)+IF(Atletas!B330="Feminino",1000,IF(Atletas!B330="Masculino",2000,""))+IF(Atletas!R330="Gun A",701,IF(Atletas!R330="Qiang A",702,IF(Atletas!R330="Pudao / Guandao A",703,IF(Atletas!R330="Outra Arma Longa A",704,IF(Atletas!R330="Gun B",705,IF(Atletas!R330="Qiang B",706,IF(Atletas!R330="Pudao / Guandao B",707,IF(Atletas!R330="Outra Arma Longa B",708,IF(Atletas!R330="Gun C",709,IF(Atletas!R330="Qiang C",710,IF(Atletas!R330="Pudao / Guandao C",711,IF(Atletas!R330="Outra Arma Longa C",712,IF(Atletas!R330="Gun D",713,IF(Atletas!R330="Qiang D",714,IF(Atletas!R330="Pudao / Guandao D",715,IF(Atletas!R330="Outra Arma Longa D",716,IF(Atletas!R330="Gun E",717,IF(Atletas!R330="Qiang E",718,IF(Atletas!R330="Pudao / Guandao E",719,IF(Atletas!R330="Outra Arma Longa E",720,IF(Atletas!R330="Gun F",721,IF(Atletas!R330="Qiang F",722,IF(Atletas!R330="Pudao / Guandao F",723,IF(Atletas!R330="Outra Arma Longa F",724,"")))))))))))))))))))))))))</f>
        <v/>
      </c>
      <c r="BU334" s="52" t="str">
        <f>IF(Atletas!S330="","",IF(Atletas!W330&lt;&gt;"",10000,0)+IF(Atletas!B330="Feminino",1000,IF(Atletas!B330="Masculino",2000,""))+IF(Atletas!S330="Arma Dupla A",801,IF(Atletas!S330="Arma Maleável A",802,IF(Atletas!S330="Arma Dupla B",803,IF(Atletas!S330="Arma Maleável B",804,IF(Atletas!S330="Arma Dupla C",805,IF(Atletas!S330="Arma Maleável C",806,IF(Atletas!S330="Arma Dupla D",807,IF(Atletas!S330="Arma Maleável D",808,IF(Atletas!S330="Arma Dupla E",809,IF(Atletas!S330="Arma Maleável E",810,IF(Atletas!S330="Arma Dupla F",811,IF(Atletas!S330="Arma Maleável F",812, "")))))))))))))</f>
        <v/>
      </c>
      <c r="BV334" s="52" t="str">
        <f>IF(Atletas!T330="","",IF(Atletas!W330&lt;&gt;"",10000,0)+IF(Atletas!B330="Feminino",1000,IF(Atletas!B330="Masculino",2000,""))+IF(Atletas!T330="Taijijian Yang A",901,IF(Atletas!T330="Taijijian Chen A",902,IF(Atletas!T330="Taijijian Sun A",903,IF(Atletas!T330="Taijijian Wu A",904,IF(Atletas!T330="Taijijian Wu-Hao A",905,IF(Atletas!T330="Taijijian 32 A",906,IF(Atletas!T330="Taijijian 42 A",907,IF(Atletas!T330="Taijijian Yang B",908,IF(Atletas!T330="Taijijian Chen B",909,IF(Atletas!T330="Taijijian Sun B",910,IF(Atletas!T330="Taijijian Wu B",911,IF(Atletas!T330="Taijijian Wu-Hao B",912,IF(Atletas!T330="Taijijian 32 B",913,IF(Atletas!T330="Taijijian 42 B",914,IF(Atletas!T330="Taijijian Yang C",915,IF(Atletas!T330="Taijijian Chen C",916,IF(Atletas!T330="Taijijian Sun C",917,IF(Atletas!T330="Taijijian Wu C",918,IF(Atletas!T330="Taijijian Wu-Hao C",919,IF(Atletas!T330="Taijijian 32 C",920,IF(Atletas!T330="Taijijian 42 C",921,IF(Atletas!T330="Taijijian Yang D",922,IF(Atletas!T330="Taijijian Chen D",923,IF(Atletas!T330="Taijijian Sun D",924,IF(Atletas!T330="Taijijian Wu D",925,IF(Atletas!T330="Taijijian Wu-Hao D",926,IF(Atletas!T330="Taijijian 32 D",927,IF(Atletas!T330="Taijijian 42 D",928,IF(Atletas!T330="Taijijian Yang E",929,IF(Atletas!T330="Taijijian Chen E",930,IF(Atletas!T330="Taijijian Sun E",931,IF(Atletas!T330="Taijijian Wu E",932,IF(Atletas!T330="Taijijian Wu-Hao E",933,IF(Atletas!T330="Taijijian 32 E",934,IF(Atletas!T330="Taijijian 42 E",935,IF(Atletas!T330="Taijijian Yang F",936,IF(Atletas!T330="Taijijian Chen F",937,IF(Atletas!T330="Taijijian Sun F",938,IF(Atletas!T330="Taijijian Wu F",939,IF(Atletas!T330="Taijijian Wu-Hao F",940,IF(Atletas!T330="Taijijian 32 F",941,IF(Atletas!T330="Taijijian 42 F",942,"")))))))))))))))))))))))))))))))))))))))))))</f>
        <v/>
      </c>
      <c r="BW334" s="52" t="str">
        <f>IF(Atletas!U330="","",IF(Atletas!W330&lt;&gt;"",10000,0)+IF(Atletas!B330="Feminino",1000,IF(Atletas!B330="Masculino",2000,""))+IF(Atletas!T330="Taijijian 42 F",942,IF(Atletas!U330="Taijidao A",943,IF(Atletas!U330="Taijishan A",944,IF(Atletas!U330="Taijiqiang A",945,IF(Atletas!U330="Taijidao B",946,IF(Atletas!U330="Taijishan B",947,IF(Atletas!U330="Taijiqiang B",948,IF(Atletas!U330="Taijidao C",949,IF(Atletas!U330="Taijishan C",950,IF(Atletas!U330="Taijiqiang C",951,IF(Atletas!U330="Taijidao D",952,IF(Atletas!U330="Taijishan D",953,IF(Atletas!U330="Taijiqiang D",954,IF(Atletas!U330="Taijidao E",955,IF(Atletas!U330="Taijishan E",956,IF(Atletas!U330="Taijiqiang E",957,IF(Atletas!U330="Taijidao F",958,IF(Atletas!U330="Taijishan F",959,IF(Atletas!U330="Taijiqiang F",960))))))))))))))))))))</f>
        <v/>
      </c>
      <c r="BX334" s="72" t="str">
        <f>IF(BY334&lt;&gt;"","Taijidao D","")</f>
        <v/>
      </c>
      <c r="BY334" s="72" t="str">
        <f>IF(COUNTIF(BK:BW,1952)&gt;0,COUNTIF(BK:BW,1952),"")</f>
        <v/>
      </c>
      <c r="BZ334" s="72" t="str">
        <f>IF(CA334&lt;&gt;"","Taijidao D","")</f>
        <v/>
      </c>
      <c r="CA334" s="72" t="str">
        <f>IF(COUNTIF(BK:BW,2952)&gt;0,COUNTIF(BK:BW,2952),"")</f>
        <v/>
      </c>
      <c r="CB334" s="72" t="str">
        <f>IF(CC334&lt;&gt;"","Qiang F","")</f>
        <v/>
      </c>
      <c r="CC334" s="64" t="str">
        <f>IF(COUNTIF(BK:BW,11722)&gt;0,COUNTIF(BK:BW,11722),"")</f>
        <v/>
      </c>
      <c r="CD334" s="64" t="str">
        <f>IF(CE334&lt;&gt;"","Qiang F","")</f>
        <v/>
      </c>
      <c r="CE334" s="64" t="str">
        <f>IF(COUNTIF(BK:BW,12722)&gt;0,COUNTIF(BK:BW,12722),"")</f>
        <v/>
      </c>
      <c r="CF334" s="52" t="str">
        <f xml:space="preserve"> IF(Atletas!V330="","",IF(Atletas!V330="Duilian de Mãos AB - Equipe 1",1,IF(Atletas!V330="Duilian de Mãos AB - Equipe 2",2,IF(Atletas!V330="Duilian de Armas AB - Equipe 1",3,IF(Atletas!V330="Duilian de Armas AB - Equipe 2",4,IF(Atletas!V330="Duilian de Tuishou - Equipe 1",5,IF(Atletas!V330="Duilian de Tuishou - Equipe 2",6,IF(Atletas!V330="Grupo Externo AB - Equipe 1",7,IF(Atletas!V330="Grupo Externo AB - Equipe 2",8,IF(Atletas!V330="Grupo Interno AB - Equipe 1",9,IF(Atletas!V330="Grupo Interno AB - Equipe 2",10,IF(Atletas!V330="Duilian de Mãos CD - Equipe 1",11,IF(Atletas!V330="Duilian de Mãos CD - Equipe 2",12,IF(Atletas!V330="Duilian de Armas CD - Equipe 1",13,IF(Atletas!V330="Duilian de Armas CD - Equipe 2",14,IF(Atletas!V330="Duilian de Tuishou - Equipe 1",15,IF(Atletas!V330="Duilian de Tuishou - Equipe 2",16,IF(Atletas!V330="Grupo Externo CDEF - Equipe 1",17,IF(Atletas!V330="Grupo Externo CDEF - Equipe 2",18,IF(Atletas!V330="Grupo Interno CDEF - Equipe 1",19,IF(Atletas!V330="Grupo Interno CDEF - Equipe 2",20,IF(Atletas!V330="Duilian de Mãos EF - Equipe 1",21,IF(Atletas!V330="Duilian de Mãos EF - Equipe 2",22,IF(Atletas!V330="Duilian de Armas EF - Equipe 1",23,IF(Atletas!V330="Duilian de Armas EF - Equipe 2",24,IF(Atletas!V330="Duilian de Tuishou - Equipe 1",25,IF(Atletas!V330="Duilian de Tuishou - Equipe 2",26,"")))))))))))))))))))))))))))</f>
        <v/>
      </c>
    </row>
    <row r="335" spans="36:84">
      <c r="AJ335" s="46" t="str">
        <f>IF(Atletas!D331="","",IF(Atletas!B331="Feminino",100,IF(Atletas!B331="Masculino",200,""))+(IF(Atletas!D331="Infantil 39kg",1,IF(Atletas!D331="Infantil 42kg",2,IF(Atletas!D331="Infantil 45kg",3,IF(Atletas!D331="Infantil 48kg",4,IF(Atletas!D331="Infantil 52kg",5,IF(Atletas!D331="Infantil 56kg",6,IF(Atletas!D331="Infantil 60kg",7,IF(Atletas!D331="Juvenil 48kg",8,IF(Atletas!D331="Juvenil 52kg",9,IF(Atletas!D331="Juvenil 56kg",10,IF(Atletas!D331="Juvenil 60kg",11,IF(Atletas!D331="Juvenil 65kg",12,IF(Atletas!D331="Juvenil 70kg",13,IF(Atletas!D331="Juvenil 75kg",14,IF(Atletas!D331="Juvenil 80kg",15,IF(Atletas!D331="Adulto 48kg",16,IF(Atletas!D331="Adulto 52kg",17,IF(Atletas!D331="Adulto 56kg",18,IF(Atletas!D331="Adulto 60kg",19,IF(Atletas!D331="Adulto 65kg",20,IF(Atletas!D331="Adulto 70kg",21,IF(Atletas!D331="Adulto 75kg",22,IF(Atletas!D331="Adulto 80kg",23,IF(Atletas!D331="Adulto 85kg",24,IF(Atletas!D331="Adulto 90kg",25,IF(Atletas!D331="Adulto +90kg",26,""))))))))))))))))))))))))))))</f>
        <v/>
      </c>
      <c r="AO335" s="10" t="str">
        <f>IF(Atletas!E331="","",IF(Atletas!B331="Feminino",100,IF(Atletas!B331="Masculino",200,""))+(IF(Atletas!E331="Juvenil 44kg",1,IF(Atletas!E331="Juvenil 48kg",2,IF(Atletas!E331="Juvenil 52kg",3,IF(Atletas!E331="Juvenil 56kg",4,IF(Atletas!E331="Juvenil 60kg",5,IF(Atletas!E331="Juvenil 65kg",6,IF(Atletas!E331="Juvenil 70kg",7,IF(Atletas!E331="Juvenil 75kg",8,IF(Atletas!E331="Juvenil 82kg",9,IF(Atletas!E331="Juvenil 90kg",10,IF(Atletas!E331="Juvenil 100kg",11,IF(Atletas!E331="Adulto 48kg",12,IF(Atletas!E331="Adulto 52kg",13,IF(Atletas!E331="Adulto 56kg",14,IF(Atletas!E331="Adulto 60kg",15,IF(Atletas!E331="Adulto 65kg",16,IF(Atletas!E331="Adulto 70kg",17,IF(Atletas!E331="Adulto 75kg",18,IF(Atletas!E331="Adulto 82kg",19,IF(Atletas!E331="Adulto 90kg",20,IF(Atletas!E331="Adulto 100kg",21,IF(Atletas!E331="Adulto +100kg",22,""))))))))))))))))))))))))</f>
        <v/>
      </c>
      <c r="AT335" s="10" t="str">
        <f>IF(Atletas!F331="","",IF(Atletas!B331="Feminino",100,IF(Atletas!B331="Masculino",200,""))+(IF(Atletas!F331="Adulto 48kg",1,IF(Atletas!F331="Adulto 56kg",2,IF(Atletas!F331="Adulto 65kg",3,IF(Atletas!F331="Adulto 75kg",4,IF(Atletas!F331="Adulto +75kg",5,IF(Atletas!F331="Adulto 52kg",6,IF(Atletas!F331="Adulto 60kg",7,IF(Atletas!F331="Adulto 70kg",8,IF(Atletas!F331="Adulto 80kg",9,IF(Atletas!F331="Adulto 90kg",10,IF(Atletas!F331="Adulto +90kg",11,"")))))))))))))</f>
        <v/>
      </c>
      <c r="AY335" s="46" t="str">
        <f>IF(Atletas!G331="","",IF(Atletas!B331="Feminino",100,IF(Atletas!B331="Masculino",200,""))+(IF(Atletas!G331="Changquan Mirim",1,IF(Atletas!G331="Nanquan Mirim",2,IF(Atletas!G331="Taijiquan Mirim",3,IF(Atletas!G331="Changquan Grupo C",4,IF(Atletas!G331="Nanquan Grupo C",5,IF(Atletas!G331="Taijiquan Grupo C",6,IF(Atletas!G331="Changquan Grupo B",7,IF(Atletas!G331="Nanquan Grupo B",8,IF(Atletas!G331="Taijiquan Grupo B",9,IF(Atletas!G331="Changquan Grupo A",10,IF(Atletas!G331="Nanquan Grupo A",11,IF(Atletas!G331="Taijiquan Grupo A",12,IF(Atletas!G331="Changquan Opcional",13,IF(Atletas!G331="Nanquan Opcional",14,IF(Atletas!G331="Taijiquan Opcional",15,IF(Atletas!G331="Changquan Adulto",16,IF(Atletas!G331="Nanquan Adulto",17,IF(Atletas!G331="Taijiquan Adulto",18,""))))))))))))))))))))</f>
        <v/>
      </c>
      <c r="AZ335" s="46" t="str">
        <f>IF(Atletas!H331="","",IF(Atletas!B331="Feminino",100,IF(Atletas!B331="Masculino",200,""))+(IF(Atletas!H331="Daoshu Mirim",19,IF(Atletas!H331="Jianshu Mirim",20,IF(Atletas!H331="Nandao Mirim",21,IF(Atletas!H331="Taijijian Mirim",22,IF(Atletas!H331="Daoshu Grupo C",23,IF(Atletas!H331="Jianshu Grupo C",24,IF(Atletas!H331="Nandao Grupo C",25,IF(Atletas!H331="Taijijian Grupo C",26,IF(Atletas!H331="Daoshu Grupo B",27,IF(Atletas!H331="Jianshu Grupo B",28,IF(Atletas!H331="Nandao Grupo B",29,IF(Atletas!H331="Taijijian Grupo B",30,IF(Atletas!H331="Daoshu Grupo A",31,IF(Atletas!H331="Jianshu Grupo A",32,IF(Atletas!H331="Nandao Grupo A",33,IF(Atletas!H331="Taijijian Grupo A",34,IF(Atletas!H331="Daoshu Opcional",35,IF(Atletas!H331="Jianshu Opcional",36,IF(Atletas!H331="Nandao Opcional",37,IF(Atletas!H331="Taijijian Opcional",38,IF(Atletas!H331="Daoshu Adulto",39,IF(Atletas!H331="Jianshu Adulto",40,IF(Atletas!H331="Nandao Adulto",41,IF(Atletas!H331="Taijijian Adulto",42,""))))))))))))))))))))))))))</f>
        <v/>
      </c>
      <c r="BA335" s="46" t="str">
        <f>IF(Atletas!I331="","",IF(Atletas!B331="Feminino",100,IF(Atletas!B331="Masculino",200,""))+(IF(Atletas!I331="Gunshu Mirim",43,IF(Atletas!I331="Qiangshu Mirim",44,IF(Atletas!I331="Nangun Mirim",45,IF(Atletas!I331="Gunshu Grupo C",46,IF(Atletas!I331="Qiangshu Grupo C",47,IF(Atletas!I331="Nangun Grupo C",48,IF(Atletas!I331="Gunshu Grupo B",49,IF(Atletas!I331="Qiangshu Grupo B",50,IF(Atletas!I331="Nangun Grupo B",51,IF(Atletas!I331="Gunshu Grupo A",52,IF(Atletas!I331="Qiangshu Grupo A",53,IF(Atletas!I331="Nangun Grupo A",54,IF(Atletas!I331="Gunshu Opcional",55,IF(Atletas!I331="Qiangshu Opcional",56,IF(Atletas!I331="Nangun Opcional",57,IF(Atletas!I331="Gunshu Adulto",58,IF(Atletas!I331="Qiangshu Adulto",59,IF(Atletas!I331="Nangun Adulto",60,""))))))))))))))))))))</f>
        <v/>
      </c>
      <c r="BF335" s="52" t="str">
        <f>IF(Atletas!J331="","",IF(Atletas!B331="Feminino",100,IF(Atletas!B331="Masculino",200,""))+(IF(Atletas!J331="Equipe 1 Grupo B",1,IF(Atletas!J331="Equipe 2 Grupo B",2,IF(Atletas!J331="Equipe 1 Grupo A",3,IF(Atletas!J331="Equipe 2 Grupo A",4,IF(Atletas!J331="Equipe 1 Adulto",5,IF(Atletas!J331="Equipe 2 Adulto",6,""))))))))</f>
        <v/>
      </c>
      <c r="BK335" s="52" t="str">
        <f>IF(Atletas!K331="","",IF(Atletas!W331&lt;&gt;"",10000,0)+(IF(Atletas!B331="Feminino",1000,IF(Atletas!B331="Masculino",2000,""))+IF(Atletas!K331="Choylayfut A",1,IF(Atletas!K331="Hunggar A",2,IF(Atletas!K331="Wuzuquan A",3,IF(Atletas!K331="Wingchun A",4,IF(Atletas!K331="Outra Mão de Sul A",5,IF(Atletas!K331="Choylayfut B",6,IF(Atletas!K331="Hunggar B",7,IF(Atletas!K331="Wuzuquan B",8,IF(Atletas!K331="Wingchun B",9,IF(Atletas!K331="Outra Mão de Sul B",10,IF(Atletas!K331="Choylayfut C",11,IF(Atletas!K331="Hunggar C",12,IF(Atletas!K331="Wuzuquan C",13,IF(Atletas!K331="Wingchun C",14,IF(Atletas!K331="Outra Mão de Sul C",15,IF(Atletas!K331="Choylayfut D",16,IF(Atletas!K331="Hunggar D",17,IF(Atletas!K331="Wuzuquan D",18,IF(Atletas!K331="Wingchun D",19,IF(Atletas!K331="Outra Mão de Sul D",20,IF(Atletas!K331="Choylayfut E",21,IF(Atletas!K331="Hunggar E",22,IF(Atletas!K331="Wuzuquan E",23,IF(Atletas!K331="Wingchun E",24,IF(Atletas!K331="Outra Mão de Sul E",25,IF(Atletas!K331="Choylayfut F",26,IF(Atletas!K331="Hunggar F",27,IF(Atletas!K331="Wuzuquan F",28,IF(Atletas!K331="Wingchun F",29,IF(Atletas!K331="Outra Mão de Sul F",30,""))))))))))))))))))))))))))))))))</f>
        <v/>
      </c>
      <c r="BL335" s="52" t="str">
        <f>IF(Atletas!L331="","",IF(Atletas!W331&lt;&gt;"",10000,0)+(IF(Atletas!B331="Feminino",1000,IF(Atletas!B331="Masculino",2000,""))+(IF(Atletas!L331="Chaquan A",101,IF(Atletas!L331="Emeiquan A",102,IF(Atletas!L331="Fanziquan A",103,IF(Atletas!L331="Huaquan A",104,IF(Atletas!L331="Hongquan A",105,IF(Atletas!L331="Paochui A",106,IF(Atletas!L331="Piguaquan A",107,IF(Atletas!L331="Shaolinquan A",108,IF(Atletas!L331="Tanglangquan A",109,IF(Atletas!L331="Yinzhaophai A",110,IF(Atletas!L331="Tongbeiquan A",111,IF(Atletas!L331="Wudangquan A",112,IF(Atletas!L331="Outros Estilos A",113,IF(Atletas!L331="Chaquan B",114,IF(Atletas!L331="Emeiquan B",115,IF(Atletas!L331="Fanziquan B",116,IF(Atletas!L331="Huaquan B",117,IF(Atletas!L331="Hongquan B",118,IF(Atletas!L331="Paochui B",119,IF(Atletas!L331="Piguaquan B",120,IF(Atletas!L331="Shaolinquan B",121,IF(Atletas!L331="Tanglangquan B",122,IF(Atletas!L331="Yinzhaophai B",123,IF(Atletas!L331="Tongbeiquan B",124,IF(Atletas!L331="Wudangquan B",125,IF(Atletas!L331="Outros Estilos B",126,IF(Atletas!L331="Chaquan C",127,IF(Atletas!L331="Emeiquan C",128,IF(Atletas!L331="Fanziquan C",129,IF(Atletas!L331="Huaquan C",130,IF(Atletas!L331="Hongquan C",131,IF(Atletas!L331="Paochui C",132,IF(Atletas!L331="Piguaquan C",133,IF(Atletas!L331="Shaolinquan C",134,IF(Atletas!L331="Tanglangquan C",135,IF(Atletas!L331="Yinzhaophai C",136,IF(Atletas!L331="Tongbeiquan C",137,IF(Atletas!L331="Wudangquan C",138,IF(Atletas!L331="Outros Estilos C",139,0))))))))))))))))))))))))))))))))))))))))))</f>
        <v/>
      </c>
      <c r="BM335" s="52" t="str">
        <f>IF(Atletas!L331="","",IF(Atletas!W331&lt;&gt;"",10000,0)+(IF(Atletas!B331="Feminino",1000,IF(Atletas!B331="Masculino",2000,""))+(IF(Atletas!L331="Chaquan D",140,IF(Atletas!L331="Emeiquan D",141,IF(Atletas!L331="Fanziquan D",142,IF(Atletas!L331="Huaquan D",143,IF(Atletas!L331="Hongquan D",144,IF(Atletas!L331="Paochui D",145,IF(Atletas!L331="Piguaquan D",146,IF(Atletas!L331="Shaolinquan D",147,IF(Atletas!L331="Tanglangquan D",148,IF(Atletas!L331="Yinzhaophai D",149,IF(Atletas!L331="Tongbeiquan D",150,IF(Atletas!L331="Wudangquan D",151,IF(Atletas!L331="Outros Estilos D",152,IF(Atletas!L331="Chaquan E",153,IF(Atletas!L331="Emeiquan E",154,IF(Atletas!L331="Fanziquan E",155,IF(Atletas!L331="Huaquan E",156,IF(Atletas!L331="Hongquan E",157,IF(Atletas!L331="Paochui E",158,IF(Atletas!L331="Piguaquan E",159,IF(Atletas!L331="Shaolinquan E",160,IF(Atletas!L331="Tanglangquan E",161,IF(Atletas!L331="Yinzhaophai E",162,IF(Atletas!L331="Tongbeiquan E",163,IF(Atletas!L331="Wudangquan E",164,IF(Atletas!L331="Outros Estilos E",165,IF(Atletas!L331="Chaquan F",166,IF(Atletas!L331="Emeiquan F",167,IF(Atletas!L331="Fanziquan F",168,IF(Atletas!L331="Huaquan F",169,IF(Atletas!L331="Hongquan F",170,IF(Atletas!L331="Paochui F",171,IF(Atletas!L331="Piguaquan F",172,IF(Atletas!L331="Shaolinquan F",173,IF(Atletas!L331="Tanglangquan F",174,IF(Atletas!L331="Yinzhaophai F",175,IF(Atletas!L331="Tongbeiquan F",176,IF(Atletas!L331="Wudangquan F",177,IF(Atletas!L331="Outros Estilos F",178,0))))))))))))))))))))))))))))))))))))))))))</f>
        <v/>
      </c>
      <c r="BN335" s="52" t="str">
        <f>IF(Atletas!M331="","",IF(Atletas!W331&lt;&gt;"",10000,0)+(IF(Atletas!B331="Feminino",1000,IF(Atletas!B331="Masculino",2000,""))+(IF(Atletas!M331="Ditangquan A",201,IF(Atletas!M331="Houquan A",202,IF(Atletas!M331="Zuiquan A",203,IF(Atletas!M331="Ditangquan B",204,IF(Atletas!M331="Houquan B",205,IF(Atletas!M331="Zuiquan B",206,IF(Atletas!M331="Ditangquan C",207,IF(Atletas!M331="Houquan C",208,IF(Atletas!M331="Zuiquan C",209,IF(Atletas!M331="Ditangquan D",210,IF(Atletas!M331="Houquan D",211,IF(Atletas!M331="Zuiquan D",212,IF(Atletas!M331="Ditangquan E",213,IF(Atletas!M331="Houquan E",214,IF(Atletas!M331="Zuiquan E",215,IF(Atletas!M331="Ditangquan F",216,IF(Atletas!M331="Houquan F",217,IF(Atletas!M331="Zuiquan F",218,"")))))))))))))))))))))</f>
        <v/>
      </c>
      <c r="BO335" s="52" t="str">
        <f>IF(Atletas!N331="","",IF(Atletas!W331&lt;&gt;"",10000,0)+IF(Atletas!B331="Feminino",1000,IF(Atletas!B331="Masculino",2000,""))+IF(Atletas!N331="Yang A",301,IF(Atletas!N331="Chen A",30,IF(Atletas!N331="Sun A",303,IF(Atletas!N331="Wu A",304,IF(Atletas!N331="Wu-Hao A",305,IF(Atletas!N331="Outro Taijiquan A",306,IF(Atletas!N331="Yang B",307,IF(Atletas!N331="Chen B",308,IF(Atletas!N331="Sun B",309,IF(Atletas!N331="Wu B",310,IF(Atletas!N331="Wu-Hao B",311,IF(Atletas!N331="Outro Taijiquan B",312,IF(Atletas!N331="Yang C",313,IF(Atletas!N331="Chen C",314,IF(Atletas!N331="Sun C",315,IF(Atletas!N331="Wu C",316,IF(Atletas!N331="Wu-Hao C",317,IF(Atletas!N331="Outro Taijiquan C",318,IF(Atletas!N331="Yang D",319,IF(Atletas!N331="Chen D",320,IF(Atletas!N331="Sun D",321,IF(Atletas!N331="Wu D",322,IF(Atletas!N331="Wu-Hao D",323,IF(Atletas!N331="Outro Taijiquan D",324,IF(Atletas!N331="Yang E",325,IF(Atletas!N331="Chen E",326,IF(Atletas!N331="Sun E",327,IF(Atletas!N331="Wu E",328,IF(Atletas!N331="Wu-Hao E",329,IF(Atletas!N331="Outro Taijiquan E",330,IF(Atletas!N331="Yang F",331,IF(Atletas!N331="Chen F",332,IF(Atletas!N331="Sun F",333,IF(Atletas!N331="Wu F",334,IF(Atletas!N331="Wu-Hao F",335,IF(Atletas!N331="Outro Taijiquan F",336,"")))))))))))))))))))))))))))))))))))))</f>
        <v/>
      </c>
      <c r="BP335" s="52" t="str">
        <f>IF(Atletas!O331="","",IF(Atletas!W331&lt;&gt;"",10000,0)+IF(Atletas!B331="Feminino",1000,IF(Atletas!B331="Masculino",2000,""))+IF(OR(Atletas!O331="Yang 26 A",Atletas!O331="Yang 40 A"),401,IF(OR(Atletas!O331="Chen 25 A",Atletas!O331="Chen 36 A",Atletas!O331="Chen 56 A"),402,IF(Atletas!O331="Sun 73 A",403,IF(Atletas!O331="Wu 45 A",404,IF(Atletas!O331="Wu-Hao 46 A",405,IF(OR(Atletas!O331="Taijiquan 16 A",Atletas!O331="Taijiquan 24 A",Atletas!O331="Taijiquan 32 A",Atletas!O331="Taijiquan 42 A"),406,IF(OR(Atletas!O331="Yang 26 B",Atletas!O331="Yang 40 B"),407,IF(OR(Atletas!O331="Chen 25 B",Atletas!O331="Chen 36 B",Atletas!O331="Chen 56 B"),408,IF(Atletas!O331="Sun 73 B",409,IF(Atletas!O331="Wu 45 B",410,IF(Atletas!O331="Wu-Hao 46 B",411,IF(OR(Atletas!O331="Taijiquan 16 B",Atletas!O331="Taijiquan 24 B",Atletas!O331="Taijiquan 32 B",Atletas!O331="Taijiquan 42 B"),412,IF(OR(Atletas!O331="Yang 26 C",Atletas!O331="Yang 40 C"),413,IF(OR(Atletas!O331="Chen 25 C",Atletas!O331="Chen 36 C",Atletas!O331="Chen 56 C"),414,IF(Atletas!O331="Sun 73 C",415,IF(Atletas!O331="Wu 45 C",416,IF(Atletas!O331="Wu-Hao 46 C",417,IF(OR(Atletas!O331="Taijiquan 16 C",Atletas!O331="Taijiquan 24 C",Atletas!O331="Taijiquan 32 C",Atletas!O331="Taijiquan 42 C"),418,0)))))))))))))))))))</f>
        <v/>
      </c>
      <c r="BQ335" s="52" t="str">
        <f>IF(Atletas!O331="","",IF(Atletas!W331&lt;&gt;"",10000,0)+IF(Atletas!B331="Feminino",1000,IF(Atletas!B331="Masculino",2000,""))+IF(OR(Atletas!O331="Yang 26 D",Atletas!O331="Yang 40 D"),419,IF(OR(Atletas!O331="Chen 25 D",Atletas!O331="Chen 36 D",Atletas!O331="Chen 56 D"),420,IF(Atletas!O331="Sun 73 D",421,IF(Atletas!O331="Wu 45 D",422,IF(Atletas!O331="Wu-Hao 46 D",423,IF(OR(Atletas!O331="Taijiquan 16 D",Atletas!O331="Taijiquan 24 D",Atletas!O331="Taijiquan 32 D",Atletas!O331="Taijiquan 42 D"),424,IF(OR(Atletas!O331="Yang 26 E",Atletas!O331="Yang 40 E"),425,IF(OR(Atletas!O331="Chen 25 E",Atletas!O331="Chen 36 E",Atletas!O331="Chen 56 E"),426,IF(Atletas!O331="Sun 73 E",427,IF(Atletas!O331="Wu 45 E",428,IF(Atletas!O331="Wu-Hao 46 E",429,IF(OR(Atletas!O331="Taijiquan 16 E",Atletas!O331="Taijiquan 24 E",Atletas!O331="Taijiquan 32 E",Atletas!O331="Taijiquan 42 E"),430,IF(OR(Atletas!O331="Yang 26 F",Atletas!O331="Yang 40 F"),431,IF(OR(Atletas!O331="Chen 25 F",Atletas!O331="Chen 36 F",Atletas!O331="Chen 56 F"),432,IF(Atletas!O331="Sun 73 F",433,IF(Atletas!O331="Wu 45 F",434,IF(Atletas!O331="Wu-Hao 46 F",435,IF(OR(Atletas!O331="Taijiquan 16 F",Atletas!O331="Taijiquan 24 F",Atletas!O331="Taijiquan 32 F",Atletas!O331="Taijiquan 42 F"),436,0)))))))))))))))))))</f>
        <v/>
      </c>
      <c r="BR335" s="52" t="str">
        <f>IF(Atletas!P331="","",IF(Atletas!W331&lt;&gt;"",10000,0)+IF(Atletas!B331="Feminino",1000,IF(Atletas!B331="Masculino",2000,""))+IF(Atletas!P331="Xingyiquan A",501,IF(Atletas!P331="Baguazhang A",502,IF(Atletas!P331="Outro Estilo Interno A",503,IF(Atletas!P331="Xingyiquan B",504,IF(Atletas!P331="Baguazhang B",505,IF(Atletas!P331="Outro Estilo Interno B",506,IF(Atletas!P331="Xingyiquan C",507,IF(Atletas!P331="Baguazhang C",508,IF(Atletas!P331="Outro Estilo Interno C",509,IF(Atletas!P331="Xingyiquan D",510,IF(Atletas!P331="Baguazhang D",511,IF(Atletas!P331="Outro Estilo Interno D",512,IF(Atletas!P331="Xingyiquan E",513,IF(Atletas!P331="Baguazhang E",514,IF(Atletas!P331="Outro Estilo Interno E",515,IF(Atletas!P331="Xingyiquan F",516,IF(Atletas!P331="Baguazhang F",517,IF(Atletas!P331="Outro Estilo Interno F",518, "")))))))))))))))))))</f>
        <v/>
      </c>
      <c r="BS335" s="52" t="str">
        <f>IF(Atletas!Q331="","",IF(Atletas!W331&lt;&gt;"",10000,0)+IF(Atletas!B331="Feminino",1000,IF(Atletas!B331="Masculino",2000,""))+IF(Atletas!Q331="Dao A",601,IF(Atletas!Q331="Jian A",602,IF(Atletas!Q331="Bishou A",603,IF(Atletas!Q331="Shan A",604,IF(Atletas!Q331="Outra Arma Curta A",605,IF(Atletas!Q331="Dao B",606,IF(Atletas!Q331="Jian B",607,IF(Atletas!Q331="Bishou B",608,IF(Atletas!Q331="Shan B",609,IF(Atletas!Q331="Outra Arma Curta B",610,IF(Atletas!Q331="Dao C",611,IF(Atletas!Q331="Jian C",612,IF(Atletas!Q331="Bishou C",613,IF(Atletas!Q331="Shan C",614,IF(Atletas!Q331="Outra Arma Curta C",615,IF(Atletas!Q331="Dao D",616,IF(Atletas!Q331="Jian D",617,IF(Atletas!Q331="Bishou D",618,IF(Atletas!Q331="Shan D",619,IF(Atletas!Q331="Outra Arma Curta D",620,IF(Atletas!Q331="Dao E",621,IF(Atletas!Q331="Jian E",622,IF(Atletas!Q331="Bishou E",623,IF(Atletas!Q331="Shan E",624,IF(Atletas!Q331="Outra Arma Curta E",625,IF(Atletas!Q331="Dao F",626,IF(Atletas!Q331="Jian F",627,IF(Atletas!Q331="Bishou F",628,IF(Atletas!Q331="Shan F",629,IF(Atletas!Q331="Outra Arma Curta F",630, "")))))))))))))))))))))))))))))))</f>
        <v/>
      </c>
      <c r="BT335" s="52" t="str">
        <f>IF(Atletas!R331="","",IF(Atletas!W331&lt;&gt;"",10000,0)+IF(Atletas!B331="Feminino",1000,IF(Atletas!B331="Masculino",2000,""))+IF(Atletas!R331="Gun A",701,IF(Atletas!R331="Qiang A",702,IF(Atletas!R331="Pudao / Guandao A",703,IF(Atletas!R331="Outra Arma Longa A",704,IF(Atletas!R331="Gun B",705,IF(Atletas!R331="Qiang B",706,IF(Atletas!R331="Pudao / Guandao B",707,IF(Atletas!R331="Outra Arma Longa B",708,IF(Atletas!R331="Gun C",709,IF(Atletas!R331="Qiang C",710,IF(Atletas!R331="Pudao / Guandao C",711,IF(Atletas!R331="Outra Arma Longa C",712,IF(Atletas!R331="Gun D",713,IF(Atletas!R331="Qiang D",714,IF(Atletas!R331="Pudao / Guandao D",715,IF(Atletas!R331="Outra Arma Longa D",716,IF(Atletas!R331="Gun E",717,IF(Atletas!R331="Qiang E",718,IF(Atletas!R331="Pudao / Guandao E",719,IF(Atletas!R331="Outra Arma Longa E",720,IF(Atletas!R331="Gun F",721,IF(Atletas!R331="Qiang F",722,IF(Atletas!R331="Pudao / Guandao F",723,IF(Atletas!R331="Outra Arma Longa F",724,"")))))))))))))))))))))))))</f>
        <v/>
      </c>
      <c r="BU335" s="52" t="str">
        <f>IF(Atletas!S331="","",IF(Atletas!W331&lt;&gt;"",10000,0)+IF(Atletas!B331="Feminino",1000,IF(Atletas!B331="Masculino",2000,""))+IF(Atletas!S331="Arma Dupla A",801,IF(Atletas!S331="Arma Maleável A",802,IF(Atletas!S331="Arma Dupla B",803,IF(Atletas!S331="Arma Maleável B",804,IF(Atletas!S331="Arma Dupla C",805,IF(Atletas!S331="Arma Maleável C",806,IF(Atletas!S331="Arma Dupla D",807,IF(Atletas!S331="Arma Maleável D",808,IF(Atletas!S331="Arma Dupla E",809,IF(Atletas!S331="Arma Maleável E",810,IF(Atletas!S331="Arma Dupla F",811,IF(Atletas!S331="Arma Maleável F",812, "")))))))))))))</f>
        <v/>
      </c>
      <c r="BV335" s="52" t="str">
        <f>IF(Atletas!T331="","",IF(Atletas!W331&lt;&gt;"",10000,0)+IF(Atletas!B331="Feminino",1000,IF(Atletas!B331="Masculino",2000,""))+IF(Atletas!T331="Taijijian Yang A",901,IF(Atletas!T331="Taijijian Chen A",902,IF(Atletas!T331="Taijijian Sun A",903,IF(Atletas!T331="Taijijian Wu A",904,IF(Atletas!T331="Taijijian Wu-Hao A",905,IF(Atletas!T331="Taijijian 32 A",906,IF(Atletas!T331="Taijijian 42 A",907,IF(Atletas!T331="Taijijian Yang B",908,IF(Atletas!T331="Taijijian Chen B",909,IF(Atletas!T331="Taijijian Sun B",910,IF(Atletas!T331="Taijijian Wu B",911,IF(Atletas!T331="Taijijian Wu-Hao B",912,IF(Atletas!T331="Taijijian 32 B",913,IF(Atletas!T331="Taijijian 42 B",914,IF(Atletas!T331="Taijijian Yang C",915,IF(Atletas!T331="Taijijian Chen C",916,IF(Atletas!T331="Taijijian Sun C",917,IF(Atletas!T331="Taijijian Wu C",918,IF(Atletas!T331="Taijijian Wu-Hao C",919,IF(Atletas!T331="Taijijian 32 C",920,IF(Atletas!T331="Taijijian 42 C",921,IF(Atletas!T331="Taijijian Yang D",922,IF(Atletas!T331="Taijijian Chen D",923,IF(Atletas!T331="Taijijian Sun D",924,IF(Atletas!T331="Taijijian Wu D",925,IF(Atletas!T331="Taijijian Wu-Hao D",926,IF(Atletas!T331="Taijijian 32 D",927,IF(Atletas!T331="Taijijian 42 D",928,IF(Atletas!T331="Taijijian Yang E",929,IF(Atletas!T331="Taijijian Chen E",930,IF(Atletas!T331="Taijijian Sun E",931,IF(Atletas!T331="Taijijian Wu E",932,IF(Atletas!T331="Taijijian Wu-Hao E",933,IF(Atletas!T331="Taijijian 32 E",934,IF(Atletas!T331="Taijijian 42 E",935,IF(Atletas!T331="Taijijian Yang F",936,IF(Atletas!T331="Taijijian Chen F",937,IF(Atletas!T331="Taijijian Sun F",938,IF(Atletas!T331="Taijijian Wu F",939,IF(Atletas!T331="Taijijian Wu-Hao F",940,IF(Atletas!T331="Taijijian 32 F",941,IF(Atletas!T331="Taijijian 42 F",942,"")))))))))))))))))))))))))))))))))))))))))))</f>
        <v/>
      </c>
      <c r="BW335" s="52" t="str">
        <f>IF(Atletas!U331="","",IF(Atletas!W331&lt;&gt;"",10000,0)+IF(Atletas!B331="Feminino",1000,IF(Atletas!B331="Masculino",2000,""))+IF(Atletas!T331="Taijijian 42 F",942,IF(Atletas!U331="Taijidao A",943,IF(Atletas!U331="Taijishan A",944,IF(Atletas!U331="Taijiqiang A",945,IF(Atletas!U331="Taijidao B",946,IF(Atletas!U331="Taijishan B",947,IF(Atletas!U331="Taijiqiang B",948,IF(Atletas!U331="Taijidao C",949,IF(Atletas!U331="Taijishan C",950,IF(Atletas!U331="Taijiqiang C",951,IF(Atletas!U331="Taijidao D",952,IF(Atletas!U331="Taijishan D",953,IF(Atletas!U331="Taijiqiang D",954,IF(Atletas!U331="Taijidao E",955,IF(Atletas!U331="Taijishan E",956,IF(Atletas!U331="Taijiqiang E",957,IF(Atletas!U331="Taijidao F",958,IF(Atletas!U331="Taijishan F",959,IF(Atletas!U331="Taijiqiang F",960))))))))))))))))))))</f>
        <v/>
      </c>
      <c r="BX335" s="72" t="str">
        <f>IF(BY335&lt;&gt;"","Taijishan D","")</f>
        <v/>
      </c>
      <c r="BY335" s="72" t="str">
        <f>IF(COUNTIF(BK:BW,1953)&gt;0,COUNTIF(BK:BW,1953),"")</f>
        <v/>
      </c>
      <c r="BZ335" s="72" t="str">
        <f>IF(CA335&lt;&gt;"","Taijishan D","")</f>
        <v/>
      </c>
      <c r="CA335" s="72" t="str">
        <f>IF(COUNTIF(BK:BW,2953)&gt;0,COUNTIF(BK:BW,2953),"")</f>
        <v/>
      </c>
      <c r="CB335" s="72" t="str">
        <f>IF(CC335&lt;&gt;"","Pudao / Gaundao F","")</f>
        <v/>
      </c>
      <c r="CC335" s="64" t="str">
        <f>IF(COUNTIF(BK:BW,11723)&gt;0,COUNTIF(BK:BW,11723),"")</f>
        <v/>
      </c>
      <c r="CD335" s="64" t="str">
        <f>IF(CE335&lt;&gt;"","Pudao / Gaundao F","")</f>
        <v/>
      </c>
      <c r="CE335" s="64" t="str">
        <f>IF(COUNTIF(BK:BW,12723)&gt;0,COUNTIF(BK:BW,12723),"")</f>
        <v/>
      </c>
      <c r="CF335" s="52" t="str">
        <f xml:space="preserve"> IF(Atletas!V331="","",IF(Atletas!V331="Duilian de Mãos AB - Equipe 1",1,IF(Atletas!V331="Duilian de Mãos AB - Equipe 2",2,IF(Atletas!V331="Duilian de Armas AB - Equipe 1",3,IF(Atletas!V331="Duilian de Armas AB - Equipe 2",4,IF(Atletas!V331="Duilian de Tuishou - Equipe 1",5,IF(Atletas!V331="Duilian de Tuishou - Equipe 2",6,IF(Atletas!V331="Grupo Externo AB - Equipe 1",7,IF(Atletas!V331="Grupo Externo AB - Equipe 2",8,IF(Atletas!V331="Grupo Interno AB - Equipe 1",9,IF(Atletas!V331="Grupo Interno AB - Equipe 2",10,IF(Atletas!V331="Duilian de Mãos CD - Equipe 1",11,IF(Atletas!V331="Duilian de Mãos CD - Equipe 2",12,IF(Atletas!V331="Duilian de Armas CD - Equipe 1",13,IF(Atletas!V331="Duilian de Armas CD - Equipe 2",14,IF(Atletas!V331="Duilian de Tuishou - Equipe 1",15,IF(Atletas!V331="Duilian de Tuishou - Equipe 2",16,IF(Atletas!V331="Grupo Externo CDEF - Equipe 1",17,IF(Atletas!V331="Grupo Externo CDEF - Equipe 2",18,IF(Atletas!V331="Grupo Interno CDEF - Equipe 1",19,IF(Atletas!V331="Grupo Interno CDEF - Equipe 2",20,IF(Atletas!V331="Duilian de Mãos EF - Equipe 1",21,IF(Atletas!V331="Duilian de Mãos EF - Equipe 2",22,IF(Atletas!V331="Duilian de Armas EF - Equipe 1",23,IF(Atletas!V331="Duilian de Armas EF - Equipe 2",24,IF(Atletas!V331="Duilian de Tuishou - Equipe 1",25,IF(Atletas!V331="Duilian de Tuishou - Equipe 2",26,"")))))))))))))))))))))))))))</f>
        <v/>
      </c>
    </row>
    <row r="336" spans="36:84">
      <c r="AJ336" s="46" t="str">
        <f>IF(Atletas!D332="","",IF(Atletas!B332="Feminino",100,IF(Atletas!B332="Masculino",200,""))+(IF(Atletas!D332="Infantil 39kg",1,IF(Atletas!D332="Infantil 42kg",2,IF(Atletas!D332="Infantil 45kg",3,IF(Atletas!D332="Infantil 48kg",4,IF(Atletas!D332="Infantil 52kg",5,IF(Atletas!D332="Infantil 56kg",6,IF(Atletas!D332="Infantil 60kg",7,IF(Atletas!D332="Juvenil 48kg",8,IF(Atletas!D332="Juvenil 52kg",9,IF(Atletas!D332="Juvenil 56kg",10,IF(Atletas!D332="Juvenil 60kg",11,IF(Atletas!D332="Juvenil 65kg",12,IF(Atletas!D332="Juvenil 70kg",13,IF(Atletas!D332="Juvenil 75kg",14,IF(Atletas!D332="Juvenil 80kg",15,IF(Atletas!D332="Adulto 48kg",16,IF(Atletas!D332="Adulto 52kg",17,IF(Atletas!D332="Adulto 56kg",18,IF(Atletas!D332="Adulto 60kg",19,IF(Atletas!D332="Adulto 65kg",20,IF(Atletas!D332="Adulto 70kg",21,IF(Atletas!D332="Adulto 75kg",22,IF(Atletas!D332="Adulto 80kg",23,IF(Atletas!D332="Adulto 85kg",24,IF(Atletas!D332="Adulto 90kg",25,IF(Atletas!D332="Adulto +90kg",26,""))))))))))))))))))))))))))))</f>
        <v/>
      </c>
      <c r="AO336" s="10" t="str">
        <f>IF(Atletas!E332="","",IF(Atletas!B332="Feminino",100,IF(Atletas!B332="Masculino",200,""))+(IF(Atletas!E332="Juvenil 44kg",1,IF(Atletas!E332="Juvenil 48kg",2,IF(Atletas!E332="Juvenil 52kg",3,IF(Atletas!E332="Juvenil 56kg",4,IF(Atletas!E332="Juvenil 60kg",5,IF(Atletas!E332="Juvenil 65kg",6,IF(Atletas!E332="Juvenil 70kg",7,IF(Atletas!E332="Juvenil 75kg",8,IF(Atletas!E332="Juvenil 82kg",9,IF(Atletas!E332="Juvenil 90kg",10,IF(Atletas!E332="Juvenil 100kg",11,IF(Atletas!E332="Adulto 48kg",12,IF(Atletas!E332="Adulto 52kg",13,IF(Atletas!E332="Adulto 56kg",14,IF(Atletas!E332="Adulto 60kg",15,IF(Atletas!E332="Adulto 65kg",16,IF(Atletas!E332="Adulto 70kg",17,IF(Atletas!E332="Adulto 75kg",18,IF(Atletas!E332="Adulto 82kg",19,IF(Atletas!E332="Adulto 90kg",20,IF(Atletas!E332="Adulto 100kg",21,IF(Atletas!E332="Adulto +100kg",22,""))))))))))))))))))))))))</f>
        <v/>
      </c>
      <c r="AT336" s="10" t="str">
        <f>IF(Atletas!F332="","",IF(Atletas!B332="Feminino",100,IF(Atletas!B332="Masculino",200,""))+(IF(Atletas!F332="Adulto 48kg",1,IF(Atletas!F332="Adulto 56kg",2,IF(Atletas!F332="Adulto 65kg",3,IF(Atletas!F332="Adulto 75kg",4,IF(Atletas!F332="Adulto +75kg",5,IF(Atletas!F332="Adulto 52kg",6,IF(Atletas!F332="Adulto 60kg",7,IF(Atletas!F332="Adulto 70kg",8,IF(Atletas!F332="Adulto 80kg",9,IF(Atletas!F332="Adulto 90kg",10,IF(Atletas!F332="Adulto +90kg",11,"")))))))))))))</f>
        <v/>
      </c>
      <c r="AY336" s="46" t="str">
        <f>IF(Atletas!G332="","",IF(Atletas!B332="Feminino",100,IF(Atletas!B332="Masculino",200,""))+(IF(Atletas!G332="Changquan Mirim",1,IF(Atletas!G332="Nanquan Mirim",2,IF(Atletas!G332="Taijiquan Mirim",3,IF(Atletas!G332="Changquan Grupo C",4,IF(Atletas!G332="Nanquan Grupo C",5,IF(Atletas!G332="Taijiquan Grupo C",6,IF(Atletas!G332="Changquan Grupo B",7,IF(Atletas!G332="Nanquan Grupo B",8,IF(Atletas!G332="Taijiquan Grupo B",9,IF(Atletas!G332="Changquan Grupo A",10,IF(Atletas!G332="Nanquan Grupo A",11,IF(Atletas!G332="Taijiquan Grupo A",12,IF(Atletas!G332="Changquan Opcional",13,IF(Atletas!G332="Nanquan Opcional",14,IF(Atletas!G332="Taijiquan Opcional",15,IF(Atletas!G332="Changquan Adulto",16,IF(Atletas!G332="Nanquan Adulto",17,IF(Atletas!G332="Taijiquan Adulto",18,""))))))))))))))))))))</f>
        <v/>
      </c>
      <c r="AZ336" s="46" t="str">
        <f>IF(Atletas!H332="","",IF(Atletas!B332="Feminino",100,IF(Atletas!B332="Masculino",200,""))+(IF(Atletas!H332="Daoshu Mirim",19,IF(Atletas!H332="Jianshu Mirim",20,IF(Atletas!H332="Nandao Mirim",21,IF(Atletas!H332="Taijijian Mirim",22,IF(Atletas!H332="Daoshu Grupo C",23,IF(Atletas!H332="Jianshu Grupo C",24,IF(Atletas!H332="Nandao Grupo C",25,IF(Atletas!H332="Taijijian Grupo C",26,IF(Atletas!H332="Daoshu Grupo B",27,IF(Atletas!H332="Jianshu Grupo B",28,IF(Atletas!H332="Nandao Grupo B",29,IF(Atletas!H332="Taijijian Grupo B",30,IF(Atletas!H332="Daoshu Grupo A",31,IF(Atletas!H332="Jianshu Grupo A",32,IF(Atletas!H332="Nandao Grupo A",33,IF(Atletas!H332="Taijijian Grupo A",34,IF(Atletas!H332="Daoshu Opcional",35,IF(Atletas!H332="Jianshu Opcional",36,IF(Atletas!H332="Nandao Opcional",37,IF(Atletas!H332="Taijijian Opcional",38,IF(Atletas!H332="Daoshu Adulto",39,IF(Atletas!H332="Jianshu Adulto",40,IF(Atletas!H332="Nandao Adulto",41,IF(Atletas!H332="Taijijian Adulto",42,""))))))))))))))))))))))))))</f>
        <v/>
      </c>
      <c r="BA336" s="46" t="str">
        <f>IF(Atletas!I332="","",IF(Atletas!B332="Feminino",100,IF(Atletas!B332="Masculino",200,""))+(IF(Atletas!I332="Gunshu Mirim",43,IF(Atletas!I332="Qiangshu Mirim",44,IF(Atletas!I332="Nangun Mirim",45,IF(Atletas!I332="Gunshu Grupo C",46,IF(Atletas!I332="Qiangshu Grupo C",47,IF(Atletas!I332="Nangun Grupo C",48,IF(Atletas!I332="Gunshu Grupo B",49,IF(Atletas!I332="Qiangshu Grupo B",50,IF(Atletas!I332="Nangun Grupo B",51,IF(Atletas!I332="Gunshu Grupo A",52,IF(Atletas!I332="Qiangshu Grupo A",53,IF(Atletas!I332="Nangun Grupo A",54,IF(Atletas!I332="Gunshu Opcional",55,IF(Atletas!I332="Qiangshu Opcional",56,IF(Atletas!I332="Nangun Opcional",57,IF(Atletas!I332="Gunshu Adulto",58,IF(Atletas!I332="Qiangshu Adulto",59,IF(Atletas!I332="Nangun Adulto",60,""))))))))))))))))))))</f>
        <v/>
      </c>
      <c r="BF336" s="52" t="str">
        <f>IF(Atletas!J332="","",IF(Atletas!B332="Feminino",100,IF(Atletas!B332="Masculino",200,""))+(IF(Atletas!J332="Equipe 1 Grupo B",1,IF(Atletas!J332="Equipe 2 Grupo B",2,IF(Atletas!J332="Equipe 1 Grupo A",3,IF(Atletas!J332="Equipe 2 Grupo A",4,IF(Atletas!J332="Equipe 1 Adulto",5,IF(Atletas!J332="Equipe 2 Adulto",6,""))))))))</f>
        <v/>
      </c>
      <c r="BK336" s="52" t="str">
        <f>IF(Atletas!K332="","",IF(Atletas!W332&lt;&gt;"",10000,0)+(IF(Atletas!B332="Feminino",1000,IF(Atletas!B332="Masculino",2000,""))+IF(Atletas!K332="Choylayfut A",1,IF(Atletas!K332="Hunggar A",2,IF(Atletas!K332="Wuzuquan A",3,IF(Atletas!K332="Wingchun A",4,IF(Atletas!K332="Outra Mão de Sul A",5,IF(Atletas!K332="Choylayfut B",6,IF(Atletas!K332="Hunggar B",7,IF(Atletas!K332="Wuzuquan B",8,IF(Atletas!K332="Wingchun B",9,IF(Atletas!K332="Outra Mão de Sul B",10,IF(Atletas!K332="Choylayfut C",11,IF(Atletas!K332="Hunggar C",12,IF(Atletas!K332="Wuzuquan C",13,IF(Atletas!K332="Wingchun C",14,IF(Atletas!K332="Outra Mão de Sul C",15,IF(Atletas!K332="Choylayfut D",16,IF(Atletas!K332="Hunggar D",17,IF(Atletas!K332="Wuzuquan D",18,IF(Atletas!K332="Wingchun D",19,IF(Atletas!K332="Outra Mão de Sul D",20,IF(Atletas!K332="Choylayfut E",21,IF(Atletas!K332="Hunggar E",22,IF(Atletas!K332="Wuzuquan E",23,IF(Atletas!K332="Wingchun E",24,IF(Atletas!K332="Outra Mão de Sul E",25,IF(Atletas!K332="Choylayfut F",26,IF(Atletas!K332="Hunggar F",27,IF(Atletas!K332="Wuzuquan F",28,IF(Atletas!K332="Wingchun F",29,IF(Atletas!K332="Outra Mão de Sul F",30,""))))))))))))))))))))))))))))))))</f>
        <v/>
      </c>
      <c r="BL336" s="52" t="str">
        <f>IF(Atletas!L332="","",IF(Atletas!W332&lt;&gt;"",10000,0)+(IF(Atletas!B332="Feminino",1000,IF(Atletas!B332="Masculino",2000,""))+(IF(Atletas!L332="Chaquan A",101,IF(Atletas!L332="Emeiquan A",102,IF(Atletas!L332="Fanziquan A",103,IF(Atletas!L332="Huaquan A",104,IF(Atletas!L332="Hongquan A",105,IF(Atletas!L332="Paochui A",106,IF(Atletas!L332="Piguaquan A",107,IF(Atletas!L332="Shaolinquan A",108,IF(Atletas!L332="Tanglangquan A",109,IF(Atletas!L332="Yinzhaophai A",110,IF(Atletas!L332="Tongbeiquan A",111,IF(Atletas!L332="Wudangquan A",112,IF(Atletas!L332="Outros Estilos A",113,IF(Atletas!L332="Chaquan B",114,IF(Atletas!L332="Emeiquan B",115,IF(Atletas!L332="Fanziquan B",116,IF(Atletas!L332="Huaquan B",117,IF(Atletas!L332="Hongquan B",118,IF(Atletas!L332="Paochui B",119,IF(Atletas!L332="Piguaquan B",120,IF(Atletas!L332="Shaolinquan B",121,IF(Atletas!L332="Tanglangquan B",122,IF(Atletas!L332="Yinzhaophai B",123,IF(Atletas!L332="Tongbeiquan B",124,IF(Atletas!L332="Wudangquan B",125,IF(Atletas!L332="Outros Estilos B",126,IF(Atletas!L332="Chaquan C",127,IF(Atletas!L332="Emeiquan C",128,IF(Atletas!L332="Fanziquan C",129,IF(Atletas!L332="Huaquan C",130,IF(Atletas!L332="Hongquan C",131,IF(Atletas!L332="Paochui C",132,IF(Atletas!L332="Piguaquan C",133,IF(Atletas!L332="Shaolinquan C",134,IF(Atletas!L332="Tanglangquan C",135,IF(Atletas!L332="Yinzhaophai C",136,IF(Atletas!L332="Tongbeiquan C",137,IF(Atletas!L332="Wudangquan C",138,IF(Atletas!L332="Outros Estilos C",139,0))))))))))))))))))))))))))))))))))))))))))</f>
        <v/>
      </c>
      <c r="BM336" s="52" t="str">
        <f>IF(Atletas!L332="","",IF(Atletas!W332&lt;&gt;"",10000,0)+(IF(Atletas!B332="Feminino",1000,IF(Atletas!B332="Masculino",2000,""))+(IF(Atletas!L332="Chaquan D",140,IF(Atletas!L332="Emeiquan D",141,IF(Atletas!L332="Fanziquan D",142,IF(Atletas!L332="Huaquan D",143,IF(Atletas!L332="Hongquan D",144,IF(Atletas!L332="Paochui D",145,IF(Atletas!L332="Piguaquan D",146,IF(Atletas!L332="Shaolinquan D",147,IF(Atletas!L332="Tanglangquan D",148,IF(Atletas!L332="Yinzhaophai D",149,IF(Atletas!L332="Tongbeiquan D",150,IF(Atletas!L332="Wudangquan D",151,IF(Atletas!L332="Outros Estilos D",152,IF(Atletas!L332="Chaquan E",153,IF(Atletas!L332="Emeiquan E",154,IF(Atletas!L332="Fanziquan E",155,IF(Atletas!L332="Huaquan E",156,IF(Atletas!L332="Hongquan E",157,IF(Atletas!L332="Paochui E",158,IF(Atletas!L332="Piguaquan E",159,IF(Atletas!L332="Shaolinquan E",160,IF(Atletas!L332="Tanglangquan E",161,IF(Atletas!L332="Yinzhaophai E",162,IF(Atletas!L332="Tongbeiquan E",163,IF(Atletas!L332="Wudangquan E",164,IF(Atletas!L332="Outros Estilos E",165,IF(Atletas!L332="Chaquan F",166,IF(Atletas!L332="Emeiquan F",167,IF(Atletas!L332="Fanziquan F",168,IF(Atletas!L332="Huaquan F",169,IF(Atletas!L332="Hongquan F",170,IF(Atletas!L332="Paochui F",171,IF(Atletas!L332="Piguaquan F",172,IF(Atletas!L332="Shaolinquan F",173,IF(Atletas!L332="Tanglangquan F",174,IF(Atletas!L332="Yinzhaophai F",175,IF(Atletas!L332="Tongbeiquan F",176,IF(Atletas!L332="Wudangquan F",177,IF(Atletas!L332="Outros Estilos F",178,0))))))))))))))))))))))))))))))))))))))))))</f>
        <v/>
      </c>
      <c r="BN336" s="52" t="str">
        <f>IF(Atletas!M332="","",IF(Atletas!W332&lt;&gt;"",10000,0)+(IF(Atletas!B332="Feminino",1000,IF(Atletas!B332="Masculino",2000,""))+(IF(Atletas!M332="Ditangquan A",201,IF(Atletas!M332="Houquan A",202,IF(Atletas!M332="Zuiquan A",203,IF(Atletas!M332="Ditangquan B",204,IF(Atletas!M332="Houquan B",205,IF(Atletas!M332="Zuiquan B",206,IF(Atletas!M332="Ditangquan C",207,IF(Atletas!M332="Houquan C",208,IF(Atletas!M332="Zuiquan C",209,IF(Atletas!M332="Ditangquan D",210,IF(Atletas!M332="Houquan D",211,IF(Atletas!M332="Zuiquan D",212,IF(Atletas!M332="Ditangquan E",213,IF(Atletas!M332="Houquan E",214,IF(Atletas!M332="Zuiquan E",215,IF(Atletas!M332="Ditangquan F",216,IF(Atletas!M332="Houquan F",217,IF(Atletas!M332="Zuiquan F",218,"")))))))))))))))))))))</f>
        <v/>
      </c>
      <c r="BO336" s="52" t="str">
        <f>IF(Atletas!N332="","",IF(Atletas!W332&lt;&gt;"",10000,0)+IF(Atletas!B332="Feminino",1000,IF(Atletas!B332="Masculino",2000,""))+IF(Atletas!N332="Yang A",301,IF(Atletas!N332="Chen A",30,IF(Atletas!N332="Sun A",303,IF(Atletas!N332="Wu A",304,IF(Atletas!N332="Wu-Hao A",305,IF(Atletas!N332="Outro Taijiquan A",306,IF(Atletas!N332="Yang B",307,IF(Atletas!N332="Chen B",308,IF(Atletas!N332="Sun B",309,IF(Atletas!N332="Wu B",310,IF(Atletas!N332="Wu-Hao B",311,IF(Atletas!N332="Outro Taijiquan B",312,IF(Atletas!N332="Yang C",313,IF(Atletas!N332="Chen C",314,IF(Atletas!N332="Sun C",315,IF(Atletas!N332="Wu C",316,IF(Atletas!N332="Wu-Hao C",317,IF(Atletas!N332="Outro Taijiquan C",318,IF(Atletas!N332="Yang D",319,IF(Atletas!N332="Chen D",320,IF(Atletas!N332="Sun D",321,IF(Atletas!N332="Wu D",322,IF(Atletas!N332="Wu-Hao D",323,IF(Atletas!N332="Outro Taijiquan D",324,IF(Atletas!N332="Yang E",325,IF(Atletas!N332="Chen E",326,IF(Atletas!N332="Sun E",327,IF(Atletas!N332="Wu E",328,IF(Atletas!N332="Wu-Hao E",329,IF(Atletas!N332="Outro Taijiquan E",330,IF(Atletas!N332="Yang F",331,IF(Atletas!N332="Chen F",332,IF(Atletas!N332="Sun F",333,IF(Atletas!N332="Wu F",334,IF(Atletas!N332="Wu-Hao F",335,IF(Atletas!N332="Outro Taijiquan F",336,"")))))))))))))))))))))))))))))))))))))</f>
        <v/>
      </c>
      <c r="BP336" s="52" t="str">
        <f>IF(Atletas!O332="","",IF(Atletas!W332&lt;&gt;"",10000,0)+IF(Atletas!B332="Feminino",1000,IF(Atletas!B332="Masculino",2000,""))+IF(OR(Atletas!O332="Yang 26 A",Atletas!O332="Yang 40 A"),401,IF(OR(Atletas!O332="Chen 25 A",Atletas!O332="Chen 36 A",Atletas!O332="Chen 56 A"),402,IF(Atletas!O332="Sun 73 A",403,IF(Atletas!O332="Wu 45 A",404,IF(Atletas!O332="Wu-Hao 46 A",405,IF(OR(Atletas!O332="Taijiquan 16 A",Atletas!O332="Taijiquan 24 A",Atletas!O332="Taijiquan 32 A",Atletas!O332="Taijiquan 42 A"),406,IF(OR(Atletas!O332="Yang 26 B",Atletas!O332="Yang 40 B"),407,IF(OR(Atletas!O332="Chen 25 B",Atletas!O332="Chen 36 B",Atletas!O332="Chen 56 B"),408,IF(Atletas!O332="Sun 73 B",409,IF(Atletas!O332="Wu 45 B",410,IF(Atletas!O332="Wu-Hao 46 B",411,IF(OR(Atletas!O332="Taijiquan 16 B",Atletas!O332="Taijiquan 24 B",Atletas!O332="Taijiquan 32 B",Atletas!O332="Taijiquan 42 B"),412,IF(OR(Atletas!O332="Yang 26 C",Atletas!O332="Yang 40 C"),413,IF(OR(Atletas!O332="Chen 25 C",Atletas!O332="Chen 36 C",Atletas!O332="Chen 56 C"),414,IF(Atletas!O332="Sun 73 C",415,IF(Atletas!O332="Wu 45 C",416,IF(Atletas!O332="Wu-Hao 46 C",417,IF(OR(Atletas!O332="Taijiquan 16 C",Atletas!O332="Taijiquan 24 C",Atletas!O332="Taijiquan 32 C",Atletas!O332="Taijiquan 42 C"),418,0)))))))))))))))))))</f>
        <v/>
      </c>
      <c r="BQ336" s="52" t="str">
        <f>IF(Atletas!O332="","",IF(Atletas!W332&lt;&gt;"",10000,0)+IF(Atletas!B332="Feminino",1000,IF(Atletas!B332="Masculino",2000,""))+IF(OR(Atletas!O332="Yang 26 D",Atletas!O332="Yang 40 D"),419,IF(OR(Atletas!O332="Chen 25 D",Atletas!O332="Chen 36 D",Atletas!O332="Chen 56 D"),420,IF(Atletas!O332="Sun 73 D",421,IF(Atletas!O332="Wu 45 D",422,IF(Atletas!O332="Wu-Hao 46 D",423,IF(OR(Atletas!O332="Taijiquan 16 D",Atletas!O332="Taijiquan 24 D",Atletas!O332="Taijiquan 32 D",Atletas!O332="Taijiquan 42 D"),424,IF(OR(Atletas!O332="Yang 26 E",Atletas!O332="Yang 40 E"),425,IF(OR(Atletas!O332="Chen 25 E",Atletas!O332="Chen 36 E",Atletas!O332="Chen 56 E"),426,IF(Atletas!O332="Sun 73 E",427,IF(Atletas!O332="Wu 45 E",428,IF(Atletas!O332="Wu-Hao 46 E",429,IF(OR(Atletas!O332="Taijiquan 16 E",Atletas!O332="Taijiquan 24 E",Atletas!O332="Taijiquan 32 E",Atletas!O332="Taijiquan 42 E"),430,IF(OR(Atletas!O332="Yang 26 F",Atletas!O332="Yang 40 F"),431,IF(OR(Atletas!O332="Chen 25 F",Atletas!O332="Chen 36 F",Atletas!O332="Chen 56 F"),432,IF(Atletas!O332="Sun 73 F",433,IF(Atletas!O332="Wu 45 F",434,IF(Atletas!O332="Wu-Hao 46 F",435,IF(OR(Atletas!O332="Taijiquan 16 F",Atletas!O332="Taijiquan 24 F",Atletas!O332="Taijiquan 32 F",Atletas!O332="Taijiquan 42 F"),436,0)))))))))))))))))))</f>
        <v/>
      </c>
      <c r="BR336" s="52" t="str">
        <f>IF(Atletas!P332="","",IF(Atletas!W332&lt;&gt;"",10000,0)+IF(Atletas!B332="Feminino",1000,IF(Atletas!B332="Masculino",2000,""))+IF(Atletas!P332="Xingyiquan A",501,IF(Atletas!P332="Baguazhang A",502,IF(Atletas!P332="Outro Estilo Interno A",503,IF(Atletas!P332="Xingyiquan B",504,IF(Atletas!P332="Baguazhang B",505,IF(Atletas!P332="Outro Estilo Interno B",506,IF(Atletas!P332="Xingyiquan C",507,IF(Atletas!P332="Baguazhang C",508,IF(Atletas!P332="Outro Estilo Interno C",509,IF(Atletas!P332="Xingyiquan D",510,IF(Atletas!P332="Baguazhang D",511,IF(Atletas!P332="Outro Estilo Interno D",512,IF(Atletas!P332="Xingyiquan E",513,IF(Atletas!P332="Baguazhang E",514,IF(Atletas!P332="Outro Estilo Interno E",515,IF(Atletas!P332="Xingyiquan F",516,IF(Atletas!P332="Baguazhang F",517,IF(Atletas!P332="Outro Estilo Interno F",518, "")))))))))))))))))))</f>
        <v/>
      </c>
      <c r="BS336" s="52" t="str">
        <f>IF(Atletas!Q332="","",IF(Atletas!W332&lt;&gt;"",10000,0)+IF(Atletas!B332="Feminino",1000,IF(Atletas!B332="Masculino",2000,""))+IF(Atletas!Q332="Dao A",601,IF(Atletas!Q332="Jian A",602,IF(Atletas!Q332="Bishou A",603,IF(Atletas!Q332="Shan A",604,IF(Atletas!Q332="Outra Arma Curta A",605,IF(Atletas!Q332="Dao B",606,IF(Atletas!Q332="Jian B",607,IF(Atletas!Q332="Bishou B",608,IF(Atletas!Q332="Shan B",609,IF(Atletas!Q332="Outra Arma Curta B",610,IF(Atletas!Q332="Dao C",611,IF(Atletas!Q332="Jian C",612,IF(Atletas!Q332="Bishou C",613,IF(Atletas!Q332="Shan C",614,IF(Atletas!Q332="Outra Arma Curta C",615,IF(Atletas!Q332="Dao D",616,IF(Atletas!Q332="Jian D",617,IF(Atletas!Q332="Bishou D",618,IF(Atletas!Q332="Shan D",619,IF(Atletas!Q332="Outra Arma Curta D",620,IF(Atletas!Q332="Dao E",621,IF(Atletas!Q332="Jian E",622,IF(Atletas!Q332="Bishou E",623,IF(Atletas!Q332="Shan E",624,IF(Atletas!Q332="Outra Arma Curta E",625,IF(Atletas!Q332="Dao F",626,IF(Atletas!Q332="Jian F",627,IF(Atletas!Q332="Bishou F",628,IF(Atletas!Q332="Shan F",629,IF(Atletas!Q332="Outra Arma Curta F",630, "")))))))))))))))))))))))))))))))</f>
        <v/>
      </c>
      <c r="BT336" s="52" t="str">
        <f>IF(Atletas!R332="","",IF(Atletas!W332&lt;&gt;"",10000,0)+IF(Atletas!B332="Feminino",1000,IF(Atletas!B332="Masculino",2000,""))+IF(Atletas!R332="Gun A",701,IF(Atletas!R332="Qiang A",702,IF(Atletas!R332="Pudao / Guandao A",703,IF(Atletas!R332="Outra Arma Longa A",704,IF(Atletas!R332="Gun B",705,IF(Atletas!R332="Qiang B",706,IF(Atletas!R332="Pudao / Guandao B",707,IF(Atletas!R332="Outra Arma Longa B",708,IF(Atletas!R332="Gun C",709,IF(Atletas!R332="Qiang C",710,IF(Atletas!R332="Pudao / Guandao C",711,IF(Atletas!R332="Outra Arma Longa C",712,IF(Atletas!R332="Gun D",713,IF(Atletas!R332="Qiang D",714,IF(Atletas!R332="Pudao / Guandao D",715,IF(Atletas!R332="Outra Arma Longa D",716,IF(Atletas!R332="Gun E",717,IF(Atletas!R332="Qiang E",718,IF(Atletas!R332="Pudao / Guandao E",719,IF(Atletas!R332="Outra Arma Longa E",720,IF(Atletas!R332="Gun F",721,IF(Atletas!R332="Qiang F",722,IF(Atletas!R332="Pudao / Guandao F",723,IF(Atletas!R332="Outra Arma Longa F",724,"")))))))))))))))))))))))))</f>
        <v/>
      </c>
      <c r="BU336" s="52" t="str">
        <f>IF(Atletas!S332="","",IF(Atletas!W332&lt;&gt;"",10000,0)+IF(Atletas!B332="Feminino",1000,IF(Atletas!B332="Masculino",2000,""))+IF(Atletas!S332="Arma Dupla A",801,IF(Atletas!S332="Arma Maleável A",802,IF(Atletas!S332="Arma Dupla B",803,IF(Atletas!S332="Arma Maleável B",804,IF(Atletas!S332="Arma Dupla C",805,IF(Atletas!S332="Arma Maleável C",806,IF(Atletas!S332="Arma Dupla D",807,IF(Atletas!S332="Arma Maleável D",808,IF(Atletas!S332="Arma Dupla E",809,IF(Atletas!S332="Arma Maleável E",810,IF(Atletas!S332="Arma Dupla F",811,IF(Atletas!S332="Arma Maleável F",812, "")))))))))))))</f>
        <v/>
      </c>
      <c r="BV336" s="52" t="str">
        <f>IF(Atletas!T332="","",IF(Atletas!W332&lt;&gt;"",10000,0)+IF(Atletas!B332="Feminino",1000,IF(Atletas!B332="Masculino",2000,""))+IF(Atletas!T332="Taijijian Yang A",901,IF(Atletas!T332="Taijijian Chen A",902,IF(Atletas!T332="Taijijian Sun A",903,IF(Atletas!T332="Taijijian Wu A",904,IF(Atletas!T332="Taijijian Wu-Hao A",905,IF(Atletas!T332="Taijijian 32 A",906,IF(Atletas!T332="Taijijian 42 A",907,IF(Atletas!T332="Taijijian Yang B",908,IF(Atletas!T332="Taijijian Chen B",909,IF(Atletas!T332="Taijijian Sun B",910,IF(Atletas!T332="Taijijian Wu B",911,IF(Atletas!T332="Taijijian Wu-Hao B",912,IF(Atletas!T332="Taijijian 32 B",913,IF(Atletas!T332="Taijijian 42 B",914,IF(Atletas!T332="Taijijian Yang C",915,IF(Atletas!T332="Taijijian Chen C",916,IF(Atletas!T332="Taijijian Sun C",917,IF(Atletas!T332="Taijijian Wu C",918,IF(Atletas!T332="Taijijian Wu-Hao C",919,IF(Atletas!T332="Taijijian 32 C",920,IF(Atletas!T332="Taijijian 42 C",921,IF(Atletas!T332="Taijijian Yang D",922,IF(Atletas!T332="Taijijian Chen D",923,IF(Atletas!T332="Taijijian Sun D",924,IF(Atletas!T332="Taijijian Wu D",925,IF(Atletas!T332="Taijijian Wu-Hao D",926,IF(Atletas!T332="Taijijian 32 D",927,IF(Atletas!T332="Taijijian 42 D",928,IF(Atletas!T332="Taijijian Yang E",929,IF(Atletas!T332="Taijijian Chen E",930,IF(Atletas!T332="Taijijian Sun E",931,IF(Atletas!T332="Taijijian Wu E",932,IF(Atletas!T332="Taijijian Wu-Hao E",933,IF(Atletas!T332="Taijijian 32 E",934,IF(Atletas!T332="Taijijian 42 E",935,IF(Atletas!T332="Taijijian Yang F",936,IF(Atletas!T332="Taijijian Chen F",937,IF(Atletas!T332="Taijijian Sun F",938,IF(Atletas!T332="Taijijian Wu F",939,IF(Atletas!T332="Taijijian Wu-Hao F",940,IF(Atletas!T332="Taijijian 32 F",941,IF(Atletas!T332="Taijijian 42 F",942,"")))))))))))))))))))))))))))))))))))))))))))</f>
        <v/>
      </c>
      <c r="BW336" s="52" t="str">
        <f>IF(Atletas!U332="","",IF(Atletas!W332&lt;&gt;"",10000,0)+IF(Atletas!B332="Feminino",1000,IF(Atletas!B332="Masculino",2000,""))+IF(Atletas!T332="Taijijian 42 F",942,IF(Atletas!U332="Taijidao A",943,IF(Atletas!U332="Taijishan A",944,IF(Atletas!U332="Taijiqiang A",945,IF(Atletas!U332="Taijidao B",946,IF(Atletas!U332="Taijishan B",947,IF(Atletas!U332="Taijiqiang B",948,IF(Atletas!U332="Taijidao C",949,IF(Atletas!U332="Taijishan C",950,IF(Atletas!U332="Taijiqiang C",951,IF(Atletas!U332="Taijidao D",952,IF(Atletas!U332="Taijishan D",953,IF(Atletas!U332="Taijiqiang D",954,IF(Atletas!U332="Taijidao E",955,IF(Atletas!U332="Taijishan E",956,IF(Atletas!U332="Taijiqiang E",957,IF(Atletas!U332="Taijidao F",958,IF(Atletas!U332="Taijishan F",959,IF(Atletas!U332="Taijiqiang F",960))))))))))))))))))))</f>
        <v/>
      </c>
      <c r="BX336" s="72" t="str">
        <f>IF(BY336&lt;&gt;"","Taijiqiang D","")</f>
        <v/>
      </c>
      <c r="BY336" s="72" t="str">
        <f>IF(COUNTIF(BK:BW,1954)&gt;0,COUNTIF(BK:BW,1954),"")</f>
        <v/>
      </c>
      <c r="BZ336" s="72" t="str">
        <f>IF(CA336&lt;&gt;"","Taijiqiang D","")</f>
        <v/>
      </c>
      <c r="CA336" s="72" t="str">
        <f>IF(COUNTIF(BK:BW,2954)&gt;0,COUNTIF(BK:BW,2954),"")</f>
        <v/>
      </c>
      <c r="CB336" s="72" t="str">
        <f>IF(CC336&lt;&gt;"","Outra Arma Longa F","")</f>
        <v/>
      </c>
      <c r="CC336" s="64" t="str">
        <f>IF(COUNTIF(BK:BW,11724)&gt;0,COUNTIF(BK:BW,11724),"")</f>
        <v/>
      </c>
      <c r="CD336" s="64" t="str">
        <f>IF(CE336&lt;&gt;"","Outra Arma Longa F","")</f>
        <v/>
      </c>
      <c r="CE336" s="64" t="str">
        <f>IF(COUNTIF(BK:BW,12724)&gt;0,COUNTIF(BK:BW,12724),"")</f>
        <v/>
      </c>
      <c r="CF336" s="52" t="str">
        <f xml:space="preserve"> IF(Atletas!V332="","",IF(Atletas!V332="Duilian de Mãos AB - Equipe 1",1,IF(Atletas!V332="Duilian de Mãos AB - Equipe 2",2,IF(Atletas!V332="Duilian de Armas AB - Equipe 1",3,IF(Atletas!V332="Duilian de Armas AB - Equipe 2",4,IF(Atletas!V332="Duilian de Tuishou - Equipe 1",5,IF(Atletas!V332="Duilian de Tuishou - Equipe 2",6,IF(Atletas!V332="Grupo Externo AB - Equipe 1",7,IF(Atletas!V332="Grupo Externo AB - Equipe 2",8,IF(Atletas!V332="Grupo Interno AB - Equipe 1",9,IF(Atletas!V332="Grupo Interno AB - Equipe 2",10,IF(Atletas!V332="Duilian de Mãos CD - Equipe 1",11,IF(Atletas!V332="Duilian de Mãos CD - Equipe 2",12,IF(Atletas!V332="Duilian de Armas CD - Equipe 1",13,IF(Atletas!V332="Duilian de Armas CD - Equipe 2",14,IF(Atletas!V332="Duilian de Tuishou - Equipe 1",15,IF(Atletas!V332="Duilian de Tuishou - Equipe 2",16,IF(Atletas!V332="Grupo Externo CDEF - Equipe 1",17,IF(Atletas!V332="Grupo Externo CDEF - Equipe 2",18,IF(Atletas!V332="Grupo Interno CDEF - Equipe 1",19,IF(Atletas!V332="Grupo Interno CDEF - Equipe 2",20,IF(Atletas!V332="Duilian de Mãos EF - Equipe 1",21,IF(Atletas!V332="Duilian de Mãos EF - Equipe 2",22,IF(Atletas!V332="Duilian de Armas EF - Equipe 1",23,IF(Atletas!V332="Duilian de Armas EF - Equipe 2",24,IF(Atletas!V332="Duilian de Tuishou - Equipe 1",25,IF(Atletas!V332="Duilian de Tuishou - Equipe 2",26,"")))))))))))))))))))))))))))</f>
        <v/>
      </c>
    </row>
    <row r="337" spans="36:84">
      <c r="AJ337" s="46" t="str">
        <f>IF(Atletas!D333="","",IF(Atletas!B333="Feminino",100,IF(Atletas!B333="Masculino",200,""))+(IF(Atletas!D333="Infantil 39kg",1,IF(Atletas!D333="Infantil 42kg",2,IF(Atletas!D333="Infantil 45kg",3,IF(Atletas!D333="Infantil 48kg",4,IF(Atletas!D333="Infantil 52kg",5,IF(Atletas!D333="Infantil 56kg",6,IF(Atletas!D333="Infantil 60kg",7,IF(Atletas!D333="Juvenil 48kg",8,IF(Atletas!D333="Juvenil 52kg",9,IF(Atletas!D333="Juvenil 56kg",10,IF(Atletas!D333="Juvenil 60kg",11,IF(Atletas!D333="Juvenil 65kg",12,IF(Atletas!D333="Juvenil 70kg",13,IF(Atletas!D333="Juvenil 75kg",14,IF(Atletas!D333="Juvenil 80kg",15,IF(Atletas!D333="Adulto 48kg",16,IF(Atletas!D333="Adulto 52kg",17,IF(Atletas!D333="Adulto 56kg",18,IF(Atletas!D333="Adulto 60kg",19,IF(Atletas!D333="Adulto 65kg",20,IF(Atletas!D333="Adulto 70kg",21,IF(Atletas!D333="Adulto 75kg",22,IF(Atletas!D333="Adulto 80kg",23,IF(Atletas!D333="Adulto 85kg",24,IF(Atletas!D333="Adulto 90kg",25,IF(Atletas!D333="Adulto +90kg",26,""))))))))))))))))))))))))))))</f>
        <v/>
      </c>
      <c r="AO337" s="10" t="str">
        <f>IF(Atletas!E333="","",IF(Atletas!B333="Feminino",100,IF(Atletas!B333="Masculino",200,""))+(IF(Atletas!E333="Juvenil 44kg",1,IF(Atletas!E333="Juvenil 48kg",2,IF(Atletas!E333="Juvenil 52kg",3,IF(Atletas!E333="Juvenil 56kg",4,IF(Atletas!E333="Juvenil 60kg",5,IF(Atletas!E333="Juvenil 65kg",6,IF(Atletas!E333="Juvenil 70kg",7,IF(Atletas!E333="Juvenil 75kg",8,IF(Atletas!E333="Juvenil 82kg",9,IF(Atletas!E333="Juvenil 90kg",10,IF(Atletas!E333="Juvenil 100kg",11,IF(Atletas!E333="Adulto 48kg",12,IF(Atletas!E333="Adulto 52kg",13,IF(Atletas!E333="Adulto 56kg",14,IF(Atletas!E333="Adulto 60kg",15,IF(Atletas!E333="Adulto 65kg",16,IF(Atletas!E333="Adulto 70kg",17,IF(Atletas!E333="Adulto 75kg",18,IF(Atletas!E333="Adulto 82kg",19,IF(Atletas!E333="Adulto 90kg",20,IF(Atletas!E333="Adulto 100kg",21,IF(Atletas!E333="Adulto +100kg",22,""))))))))))))))))))))))))</f>
        <v/>
      </c>
      <c r="AT337" s="10" t="str">
        <f>IF(Atletas!F333="","",IF(Atletas!B333="Feminino",100,IF(Atletas!B333="Masculino",200,""))+(IF(Atletas!F333="Adulto 48kg",1,IF(Atletas!F333="Adulto 56kg",2,IF(Atletas!F333="Adulto 65kg",3,IF(Atletas!F333="Adulto 75kg",4,IF(Atletas!F333="Adulto +75kg",5,IF(Atletas!F333="Adulto 52kg",6,IF(Atletas!F333="Adulto 60kg",7,IF(Atletas!F333="Adulto 70kg",8,IF(Atletas!F333="Adulto 80kg",9,IF(Atletas!F333="Adulto 90kg",10,IF(Atletas!F333="Adulto +90kg",11,"")))))))))))))</f>
        <v/>
      </c>
      <c r="AY337" s="46" t="str">
        <f>IF(Atletas!G333="","",IF(Atletas!B333="Feminino",100,IF(Atletas!B333="Masculino",200,""))+(IF(Atletas!G333="Changquan Mirim",1,IF(Atletas!G333="Nanquan Mirim",2,IF(Atletas!G333="Taijiquan Mirim",3,IF(Atletas!G333="Changquan Grupo C",4,IF(Atletas!G333="Nanquan Grupo C",5,IF(Atletas!G333="Taijiquan Grupo C",6,IF(Atletas!G333="Changquan Grupo B",7,IF(Atletas!G333="Nanquan Grupo B",8,IF(Atletas!G333="Taijiquan Grupo B",9,IF(Atletas!G333="Changquan Grupo A",10,IF(Atletas!G333="Nanquan Grupo A",11,IF(Atletas!G333="Taijiquan Grupo A",12,IF(Atletas!G333="Changquan Opcional",13,IF(Atletas!G333="Nanquan Opcional",14,IF(Atletas!G333="Taijiquan Opcional",15,IF(Atletas!G333="Changquan Adulto",16,IF(Atletas!G333="Nanquan Adulto",17,IF(Atletas!G333="Taijiquan Adulto",18,""))))))))))))))))))))</f>
        <v/>
      </c>
      <c r="AZ337" s="46" t="str">
        <f>IF(Atletas!H333="","",IF(Atletas!B333="Feminino",100,IF(Atletas!B333="Masculino",200,""))+(IF(Atletas!H333="Daoshu Mirim",19,IF(Atletas!H333="Jianshu Mirim",20,IF(Atletas!H333="Nandao Mirim",21,IF(Atletas!H333="Taijijian Mirim",22,IF(Atletas!H333="Daoshu Grupo C",23,IF(Atletas!H333="Jianshu Grupo C",24,IF(Atletas!H333="Nandao Grupo C",25,IF(Atletas!H333="Taijijian Grupo C",26,IF(Atletas!H333="Daoshu Grupo B",27,IF(Atletas!H333="Jianshu Grupo B",28,IF(Atletas!H333="Nandao Grupo B",29,IF(Atletas!H333="Taijijian Grupo B",30,IF(Atletas!H333="Daoshu Grupo A",31,IF(Atletas!H333="Jianshu Grupo A",32,IF(Atletas!H333="Nandao Grupo A",33,IF(Atletas!H333="Taijijian Grupo A",34,IF(Atletas!H333="Daoshu Opcional",35,IF(Atletas!H333="Jianshu Opcional",36,IF(Atletas!H333="Nandao Opcional",37,IF(Atletas!H333="Taijijian Opcional",38,IF(Atletas!H333="Daoshu Adulto",39,IF(Atletas!H333="Jianshu Adulto",40,IF(Atletas!H333="Nandao Adulto",41,IF(Atletas!H333="Taijijian Adulto",42,""))))))))))))))))))))))))))</f>
        <v/>
      </c>
      <c r="BA337" s="46" t="str">
        <f>IF(Atletas!I333="","",IF(Atletas!B333="Feminino",100,IF(Atletas!B333="Masculino",200,""))+(IF(Atletas!I333="Gunshu Mirim",43,IF(Atletas!I333="Qiangshu Mirim",44,IF(Atletas!I333="Nangun Mirim",45,IF(Atletas!I333="Gunshu Grupo C",46,IF(Atletas!I333="Qiangshu Grupo C",47,IF(Atletas!I333="Nangun Grupo C",48,IF(Atletas!I333="Gunshu Grupo B",49,IF(Atletas!I333="Qiangshu Grupo B",50,IF(Atletas!I333="Nangun Grupo B",51,IF(Atletas!I333="Gunshu Grupo A",52,IF(Atletas!I333="Qiangshu Grupo A",53,IF(Atletas!I333="Nangun Grupo A",54,IF(Atletas!I333="Gunshu Opcional",55,IF(Atletas!I333="Qiangshu Opcional",56,IF(Atletas!I333="Nangun Opcional",57,IF(Atletas!I333="Gunshu Adulto",58,IF(Atletas!I333="Qiangshu Adulto",59,IF(Atletas!I333="Nangun Adulto",60,""))))))))))))))))))))</f>
        <v/>
      </c>
      <c r="BF337" s="52" t="str">
        <f>IF(Atletas!J333="","",IF(Atletas!B333="Feminino",100,IF(Atletas!B333="Masculino",200,""))+(IF(Atletas!J333="Equipe 1 Grupo B",1,IF(Atletas!J333="Equipe 2 Grupo B",2,IF(Atletas!J333="Equipe 1 Grupo A",3,IF(Atletas!J333="Equipe 2 Grupo A",4,IF(Atletas!J333="Equipe 1 Adulto",5,IF(Atletas!J333="Equipe 2 Adulto",6,""))))))))</f>
        <v/>
      </c>
      <c r="BK337" s="52" t="str">
        <f>IF(Atletas!K333="","",IF(Atletas!W333&lt;&gt;"",10000,0)+(IF(Atletas!B333="Feminino",1000,IF(Atletas!B333="Masculino",2000,""))+IF(Atletas!K333="Choylayfut A",1,IF(Atletas!K333="Hunggar A",2,IF(Atletas!K333="Wuzuquan A",3,IF(Atletas!K333="Wingchun A",4,IF(Atletas!K333="Outra Mão de Sul A",5,IF(Atletas!K333="Choylayfut B",6,IF(Atletas!K333="Hunggar B",7,IF(Atletas!K333="Wuzuquan B",8,IF(Atletas!K333="Wingchun B",9,IF(Atletas!K333="Outra Mão de Sul B",10,IF(Atletas!K333="Choylayfut C",11,IF(Atletas!K333="Hunggar C",12,IF(Atletas!K333="Wuzuquan C",13,IF(Atletas!K333="Wingchun C",14,IF(Atletas!K333="Outra Mão de Sul C",15,IF(Atletas!K333="Choylayfut D",16,IF(Atletas!K333="Hunggar D",17,IF(Atletas!K333="Wuzuquan D",18,IF(Atletas!K333="Wingchun D",19,IF(Atletas!K333="Outra Mão de Sul D",20,IF(Atletas!K333="Choylayfut E",21,IF(Atletas!K333="Hunggar E",22,IF(Atletas!K333="Wuzuquan E",23,IF(Atletas!K333="Wingchun E",24,IF(Atletas!K333="Outra Mão de Sul E",25,IF(Atletas!K333="Choylayfut F",26,IF(Atletas!K333="Hunggar F",27,IF(Atletas!K333="Wuzuquan F",28,IF(Atletas!K333="Wingchun F",29,IF(Atletas!K333="Outra Mão de Sul F",30,""))))))))))))))))))))))))))))))))</f>
        <v/>
      </c>
      <c r="BL337" s="52" t="str">
        <f>IF(Atletas!L333="","",IF(Atletas!W333&lt;&gt;"",10000,0)+(IF(Atletas!B333="Feminino",1000,IF(Atletas!B333="Masculino",2000,""))+(IF(Atletas!L333="Chaquan A",101,IF(Atletas!L333="Emeiquan A",102,IF(Atletas!L333="Fanziquan A",103,IF(Atletas!L333="Huaquan A",104,IF(Atletas!L333="Hongquan A",105,IF(Atletas!L333="Paochui A",106,IF(Atletas!L333="Piguaquan A",107,IF(Atletas!L333="Shaolinquan A",108,IF(Atletas!L333="Tanglangquan A",109,IF(Atletas!L333="Yinzhaophai A",110,IF(Atletas!L333="Tongbeiquan A",111,IF(Atletas!L333="Wudangquan A",112,IF(Atletas!L333="Outros Estilos A",113,IF(Atletas!L333="Chaquan B",114,IF(Atletas!L333="Emeiquan B",115,IF(Atletas!L333="Fanziquan B",116,IF(Atletas!L333="Huaquan B",117,IF(Atletas!L333="Hongquan B",118,IF(Atletas!L333="Paochui B",119,IF(Atletas!L333="Piguaquan B",120,IF(Atletas!L333="Shaolinquan B",121,IF(Atletas!L333="Tanglangquan B",122,IF(Atletas!L333="Yinzhaophai B",123,IF(Atletas!L333="Tongbeiquan B",124,IF(Atletas!L333="Wudangquan B",125,IF(Atletas!L333="Outros Estilos B",126,IF(Atletas!L333="Chaquan C",127,IF(Atletas!L333="Emeiquan C",128,IF(Atletas!L333="Fanziquan C",129,IF(Atletas!L333="Huaquan C",130,IF(Atletas!L333="Hongquan C",131,IF(Atletas!L333="Paochui C",132,IF(Atletas!L333="Piguaquan C",133,IF(Atletas!L333="Shaolinquan C",134,IF(Atletas!L333="Tanglangquan C",135,IF(Atletas!L333="Yinzhaophai C",136,IF(Atletas!L333="Tongbeiquan C",137,IF(Atletas!L333="Wudangquan C",138,IF(Atletas!L333="Outros Estilos C",139,0))))))))))))))))))))))))))))))))))))))))))</f>
        <v/>
      </c>
      <c r="BM337" s="52" t="str">
        <f>IF(Atletas!L333="","",IF(Atletas!W333&lt;&gt;"",10000,0)+(IF(Atletas!B333="Feminino",1000,IF(Atletas!B333="Masculino",2000,""))+(IF(Atletas!L333="Chaquan D",140,IF(Atletas!L333="Emeiquan D",141,IF(Atletas!L333="Fanziquan D",142,IF(Atletas!L333="Huaquan D",143,IF(Atletas!L333="Hongquan D",144,IF(Atletas!L333="Paochui D",145,IF(Atletas!L333="Piguaquan D",146,IF(Atletas!L333="Shaolinquan D",147,IF(Atletas!L333="Tanglangquan D",148,IF(Atletas!L333="Yinzhaophai D",149,IF(Atletas!L333="Tongbeiquan D",150,IF(Atletas!L333="Wudangquan D",151,IF(Atletas!L333="Outros Estilos D",152,IF(Atletas!L333="Chaquan E",153,IF(Atletas!L333="Emeiquan E",154,IF(Atletas!L333="Fanziquan E",155,IF(Atletas!L333="Huaquan E",156,IF(Atletas!L333="Hongquan E",157,IF(Atletas!L333="Paochui E",158,IF(Atletas!L333="Piguaquan E",159,IF(Atletas!L333="Shaolinquan E",160,IF(Atletas!L333="Tanglangquan E",161,IF(Atletas!L333="Yinzhaophai E",162,IF(Atletas!L333="Tongbeiquan E",163,IF(Atletas!L333="Wudangquan E",164,IF(Atletas!L333="Outros Estilos E",165,IF(Atletas!L333="Chaquan F",166,IF(Atletas!L333="Emeiquan F",167,IF(Atletas!L333="Fanziquan F",168,IF(Atletas!L333="Huaquan F",169,IF(Atletas!L333="Hongquan F",170,IF(Atletas!L333="Paochui F",171,IF(Atletas!L333="Piguaquan F",172,IF(Atletas!L333="Shaolinquan F",173,IF(Atletas!L333="Tanglangquan F",174,IF(Atletas!L333="Yinzhaophai F",175,IF(Atletas!L333="Tongbeiquan F",176,IF(Atletas!L333="Wudangquan F",177,IF(Atletas!L333="Outros Estilos F",178,0))))))))))))))))))))))))))))))))))))))))))</f>
        <v/>
      </c>
      <c r="BN337" s="52" t="str">
        <f>IF(Atletas!M333="","",IF(Atletas!W333&lt;&gt;"",10000,0)+(IF(Atletas!B333="Feminino",1000,IF(Atletas!B333="Masculino",2000,""))+(IF(Atletas!M333="Ditangquan A",201,IF(Atletas!M333="Houquan A",202,IF(Atletas!M333="Zuiquan A",203,IF(Atletas!M333="Ditangquan B",204,IF(Atletas!M333="Houquan B",205,IF(Atletas!M333="Zuiquan B",206,IF(Atletas!M333="Ditangquan C",207,IF(Atletas!M333="Houquan C",208,IF(Atletas!M333="Zuiquan C",209,IF(Atletas!M333="Ditangquan D",210,IF(Atletas!M333="Houquan D",211,IF(Atletas!M333="Zuiquan D",212,IF(Atletas!M333="Ditangquan E",213,IF(Atletas!M333="Houquan E",214,IF(Atletas!M333="Zuiquan E",215,IF(Atletas!M333="Ditangquan F",216,IF(Atletas!M333="Houquan F",217,IF(Atletas!M333="Zuiquan F",218,"")))))))))))))))))))))</f>
        <v/>
      </c>
      <c r="BO337" s="52" t="str">
        <f>IF(Atletas!N333="","",IF(Atletas!W333&lt;&gt;"",10000,0)+IF(Atletas!B333="Feminino",1000,IF(Atletas!B333="Masculino",2000,""))+IF(Atletas!N333="Yang A",301,IF(Atletas!N333="Chen A",30,IF(Atletas!N333="Sun A",303,IF(Atletas!N333="Wu A",304,IF(Atletas!N333="Wu-Hao A",305,IF(Atletas!N333="Outro Taijiquan A",306,IF(Atletas!N333="Yang B",307,IF(Atletas!N333="Chen B",308,IF(Atletas!N333="Sun B",309,IF(Atletas!N333="Wu B",310,IF(Atletas!N333="Wu-Hao B",311,IF(Atletas!N333="Outro Taijiquan B",312,IF(Atletas!N333="Yang C",313,IF(Atletas!N333="Chen C",314,IF(Atletas!N333="Sun C",315,IF(Atletas!N333="Wu C",316,IF(Atletas!N333="Wu-Hao C",317,IF(Atletas!N333="Outro Taijiquan C",318,IF(Atletas!N333="Yang D",319,IF(Atletas!N333="Chen D",320,IF(Atletas!N333="Sun D",321,IF(Atletas!N333="Wu D",322,IF(Atletas!N333="Wu-Hao D",323,IF(Atletas!N333="Outro Taijiquan D",324,IF(Atletas!N333="Yang E",325,IF(Atletas!N333="Chen E",326,IF(Atletas!N333="Sun E",327,IF(Atletas!N333="Wu E",328,IF(Atletas!N333="Wu-Hao E",329,IF(Atletas!N333="Outro Taijiquan E",330,IF(Atletas!N333="Yang F",331,IF(Atletas!N333="Chen F",332,IF(Atletas!N333="Sun F",333,IF(Atletas!N333="Wu F",334,IF(Atletas!N333="Wu-Hao F",335,IF(Atletas!N333="Outro Taijiquan F",336,"")))))))))))))))))))))))))))))))))))))</f>
        <v/>
      </c>
      <c r="BP337" s="52" t="str">
        <f>IF(Atletas!O333="","",IF(Atletas!W333&lt;&gt;"",10000,0)+IF(Atletas!B333="Feminino",1000,IF(Atletas!B333="Masculino",2000,""))+IF(OR(Atletas!O333="Yang 26 A",Atletas!O333="Yang 40 A"),401,IF(OR(Atletas!O333="Chen 25 A",Atletas!O333="Chen 36 A",Atletas!O333="Chen 56 A"),402,IF(Atletas!O333="Sun 73 A",403,IF(Atletas!O333="Wu 45 A",404,IF(Atletas!O333="Wu-Hao 46 A",405,IF(OR(Atletas!O333="Taijiquan 16 A",Atletas!O333="Taijiquan 24 A",Atletas!O333="Taijiquan 32 A",Atletas!O333="Taijiquan 42 A"),406,IF(OR(Atletas!O333="Yang 26 B",Atletas!O333="Yang 40 B"),407,IF(OR(Atletas!O333="Chen 25 B",Atletas!O333="Chen 36 B",Atletas!O333="Chen 56 B"),408,IF(Atletas!O333="Sun 73 B",409,IF(Atletas!O333="Wu 45 B",410,IF(Atletas!O333="Wu-Hao 46 B",411,IF(OR(Atletas!O333="Taijiquan 16 B",Atletas!O333="Taijiquan 24 B",Atletas!O333="Taijiquan 32 B",Atletas!O333="Taijiquan 42 B"),412,IF(OR(Atletas!O333="Yang 26 C",Atletas!O333="Yang 40 C"),413,IF(OR(Atletas!O333="Chen 25 C",Atletas!O333="Chen 36 C",Atletas!O333="Chen 56 C"),414,IF(Atletas!O333="Sun 73 C",415,IF(Atletas!O333="Wu 45 C",416,IF(Atletas!O333="Wu-Hao 46 C",417,IF(OR(Atletas!O333="Taijiquan 16 C",Atletas!O333="Taijiquan 24 C",Atletas!O333="Taijiquan 32 C",Atletas!O333="Taijiquan 42 C"),418,0)))))))))))))))))))</f>
        <v/>
      </c>
      <c r="BQ337" s="52" t="str">
        <f>IF(Atletas!O333="","",IF(Atletas!W333&lt;&gt;"",10000,0)+IF(Atletas!B333="Feminino",1000,IF(Atletas!B333="Masculino",2000,""))+IF(OR(Atletas!O333="Yang 26 D",Atletas!O333="Yang 40 D"),419,IF(OR(Atletas!O333="Chen 25 D",Atletas!O333="Chen 36 D",Atletas!O333="Chen 56 D"),420,IF(Atletas!O333="Sun 73 D",421,IF(Atletas!O333="Wu 45 D",422,IF(Atletas!O333="Wu-Hao 46 D",423,IF(OR(Atletas!O333="Taijiquan 16 D",Atletas!O333="Taijiquan 24 D",Atletas!O333="Taijiquan 32 D",Atletas!O333="Taijiquan 42 D"),424,IF(OR(Atletas!O333="Yang 26 E",Atletas!O333="Yang 40 E"),425,IF(OR(Atletas!O333="Chen 25 E",Atletas!O333="Chen 36 E",Atletas!O333="Chen 56 E"),426,IF(Atletas!O333="Sun 73 E",427,IF(Atletas!O333="Wu 45 E",428,IF(Atletas!O333="Wu-Hao 46 E",429,IF(OR(Atletas!O333="Taijiquan 16 E",Atletas!O333="Taijiquan 24 E",Atletas!O333="Taijiquan 32 E",Atletas!O333="Taijiquan 42 E"),430,IF(OR(Atletas!O333="Yang 26 F",Atletas!O333="Yang 40 F"),431,IF(OR(Atletas!O333="Chen 25 F",Atletas!O333="Chen 36 F",Atletas!O333="Chen 56 F"),432,IF(Atletas!O333="Sun 73 F",433,IF(Atletas!O333="Wu 45 F",434,IF(Atletas!O333="Wu-Hao 46 F",435,IF(OR(Atletas!O333="Taijiquan 16 F",Atletas!O333="Taijiquan 24 F",Atletas!O333="Taijiquan 32 F",Atletas!O333="Taijiquan 42 F"),436,0)))))))))))))))))))</f>
        <v/>
      </c>
      <c r="BR337" s="52" t="str">
        <f>IF(Atletas!P333="","",IF(Atletas!W333&lt;&gt;"",10000,0)+IF(Atletas!B333="Feminino",1000,IF(Atletas!B333="Masculino",2000,""))+IF(Atletas!P333="Xingyiquan A",501,IF(Atletas!P333="Baguazhang A",502,IF(Atletas!P333="Outro Estilo Interno A",503,IF(Atletas!P333="Xingyiquan B",504,IF(Atletas!P333="Baguazhang B",505,IF(Atletas!P333="Outro Estilo Interno B",506,IF(Atletas!P333="Xingyiquan C",507,IF(Atletas!P333="Baguazhang C",508,IF(Atletas!P333="Outro Estilo Interno C",509,IF(Atletas!P333="Xingyiquan D",510,IF(Atletas!P333="Baguazhang D",511,IF(Atletas!P333="Outro Estilo Interno D",512,IF(Atletas!P333="Xingyiquan E",513,IF(Atletas!P333="Baguazhang E",514,IF(Atletas!P333="Outro Estilo Interno E",515,IF(Atletas!P333="Xingyiquan F",516,IF(Atletas!P333="Baguazhang F",517,IF(Atletas!P333="Outro Estilo Interno F",518, "")))))))))))))))))))</f>
        <v/>
      </c>
      <c r="BS337" s="52" t="str">
        <f>IF(Atletas!Q333="","",IF(Atletas!W333&lt;&gt;"",10000,0)+IF(Atletas!B333="Feminino",1000,IF(Atletas!B333="Masculino",2000,""))+IF(Atletas!Q333="Dao A",601,IF(Atletas!Q333="Jian A",602,IF(Atletas!Q333="Bishou A",603,IF(Atletas!Q333="Shan A",604,IF(Atletas!Q333="Outra Arma Curta A",605,IF(Atletas!Q333="Dao B",606,IF(Atletas!Q333="Jian B",607,IF(Atletas!Q333="Bishou B",608,IF(Atletas!Q333="Shan B",609,IF(Atletas!Q333="Outra Arma Curta B",610,IF(Atletas!Q333="Dao C",611,IF(Atletas!Q333="Jian C",612,IF(Atletas!Q333="Bishou C",613,IF(Atletas!Q333="Shan C",614,IF(Atletas!Q333="Outra Arma Curta C",615,IF(Atletas!Q333="Dao D",616,IF(Atletas!Q333="Jian D",617,IF(Atletas!Q333="Bishou D",618,IF(Atletas!Q333="Shan D",619,IF(Atletas!Q333="Outra Arma Curta D",620,IF(Atletas!Q333="Dao E",621,IF(Atletas!Q333="Jian E",622,IF(Atletas!Q333="Bishou E",623,IF(Atletas!Q333="Shan E",624,IF(Atletas!Q333="Outra Arma Curta E",625,IF(Atletas!Q333="Dao F",626,IF(Atletas!Q333="Jian F",627,IF(Atletas!Q333="Bishou F",628,IF(Atletas!Q333="Shan F",629,IF(Atletas!Q333="Outra Arma Curta F",630, "")))))))))))))))))))))))))))))))</f>
        <v/>
      </c>
      <c r="BT337" s="52" t="str">
        <f>IF(Atletas!R333="","",IF(Atletas!W333&lt;&gt;"",10000,0)+IF(Atletas!B333="Feminino",1000,IF(Atletas!B333="Masculino",2000,""))+IF(Atletas!R333="Gun A",701,IF(Atletas!R333="Qiang A",702,IF(Atletas!R333="Pudao / Guandao A",703,IF(Atletas!R333="Outra Arma Longa A",704,IF(Atletas!R333="Gun B",705,IF(Atletas!R333="Qiang B",706,IF(Atletas!R333="Pudao / Guandao B",707,IF(Atletas!R333="Outra Arma Longa B",708,IF(Atletas!R333="Gun C",709,IF(Atletas!R333="Qiang C",710,IF(Atletas!R333="Pudao / Guandao C",711,IF(Atletas!R333="Outra Arma Longa C",712,IF(Atletas!R333="Gun D",713,IF(Atletas!R333="Qiang D",714,IF(Atletas!R333="Pudao / Guandao D",715,IF(Atletas!R333="Outra Arma Longa D",716,IF(Atletas!R333="Gun E",717,IF(Atletas!R333="Qiang E",718,IF(Atletas!R333="Pudao / Guandao E",719,IF(Atletas!R333="Outra Arma Longa E",720,IF(Atletas!R333="Gun F",721,IF(Atletas!R333="Qiang F",722,IF(Atletas!R333="Pudao / Guandao F",723,IF(Atletas!R333="Outra Arma Longa F",724,"")))))))))))))))))))))))))</f>
        <v/>
      </c>
      <c r="BU337" s="52" t="str">
        <f>IF(Atletas!S333="","",IF(Atletas!W333&lt;&gt;"",10000,0)+IF(Atletas!B333="Feminino",1000,IF(Atletas!B333="Masculino",2000,""))+IF(Atletas!S333="Arma Dupla A",801,IF(Atletas!S333="Arma Maleável A",802,IF(Atletas!S333="Arma Dupla B",803,IF(Atletas!S333="Arma Maleável B",804,IF(Atletas!S333="Arma Dupla C",805,IF(Atletas!S333="Arma Maleável C",806,IF(Atletas!S333="Arma Dupla D",807,IF(Atletas!S333="Arma Maleável D",808,IF(Atletas!S333="Arma Dupla E",809,IF(Atletas!S333="Arma Maleável E",810,IF(Atletas!S333="Arma Dupla F",811,IF(Atletas!S333="Arma Maleável F",812, "")))))))))))))</f>
        <v/>
      </c>
      <c r="BV337" s="52" t="str">
        <f>IF(Atletas!T333="","",IF(Atletas!W333&lt;&gt;"",10000,0)+IF(Atletas!B333="Feminino",1000,IF(Atletas!B333="Masculino",2000,""))+IF(Atletas!T333="Taijijian Yang A",901,IF(Atletas!T333="Taijijian Chen A",902,IF(Atletas!T333="Taijijian Sun A",903,IF(Atletas!T333="Taijijian Wu A",904,IF(Atletas!T333="Taijijian Wu-Hao A",905,IF(Atletas!T333="Taijijian 32 A",906,IF(Atletas!T333="Taijijian 42 A",907,IF(Atletas!T333="Taijijian Yang B",908,IF(Atletas!T333="Taijijian Chen B",909,IF(Atletas!T333="Taijijian Sun B",910,IF(Atletas!T333="Taijijian Wu B",911,IF(Atletas!T333="Taijijian Wu-Hao B",912,IF(Atletas!T333="Taijijian 32 B",913,IF(Atletas!T333="Taijijian 42 B",914,IF(Atletas!T333="Taijijian Yang C",915,IF(Atletas!T333="Taijijian Chen C",916,IF(Atletas!T333="Taijijian Sun C",917,IF(Atletas!T333="Taijijian Wu C",918,IF(Atletas!T333="Taijijian Wu-Hao C",919,IF(Atletas!T333="Taijijian 32 C",920,IF(Atletas!T333="Taijijian 42 C",921,IF(Atletas!T333="Taijijian Yang D",922,IF(Atletas!T333="Taijijian Chen D",923,IF(Atletas!T333="Taijijian Sun D",924,IF(Atletas!T333="Taijijian Wu D",925,IF(Atletas!T333="Taijijian Wu-Hao D",926,IF(Atletas!T333="Taijijian 32 D",927,IF(Atletas!T333="Taijijian 42 D",928,IF(Atletas!T333="Taijijian Yang E",929,IF(Atletas!T333="Taijijian Chen E",930,IF(Atletas!T333="Taijijian Sun E",931,IF(Atletas!T333="Taijijian Wu E",932,IF(Atletas!T333="Taijijian Wu-Hao E",933,IF(Atletas!T333="Taijijian 32 E",934,IF(Atletas!T333="Taijijian 42 E",935,IF(Atletas!T333="Taijijian Yang F",936,IF(Atletas!T333="Taijijian Chen F",937,IF(Atletas!T333="Taijijian Sun F",938,IF(Atletas!T333="Taijijian Wu F",939,IF(Atletas!T333="Taijijian Wu-Hao F",940,IF(Atletas!T333="Taijijian 32 F",941,IF(Atletas!T333="Taijijian 42 F",942,"")))))))))))))))))))))))))))))))))))))))))))</f>
        <v/>
      </c>
      <c r="BW337" s="52" t="str">
        <f>IF(Atletas!U333="","",IF(Atletas!W333&lt;&gt;"",10000,0)+IF(Atletas!B333="Feminino",1000,IF(Atletas!B333="Masculino",2000,""))+IF(Atletas!T333="Taijijian 42 F",942,IF(Atletas!U333="Taijidao A",943,IF(Atletas!U333="Taijishan A",944,IF(Atletas!U333="Taijiqiang A",945,IF(Atletas!U333="Taijidao B",946,IF(Atletas!U333="Taijishan B",947,IF(Atletas!U333="Taijiqiang B",948,IF(Atletas!U333="Taijidao C",949,IF(Atletas!U333="Taijishan C",950,IF(Atletas!U333="Taijiqiang C",951,IF(Atletas!U333="Taijidao D",952,IF(Atletas!U333="Taijishan D",953,IF(Atletas!U333="Taijiqiang D",954,IF(Atletas!U333="Taijidao E",955,IF(Atletas!U333="Taijishan E",956,IF(Atletas!U333="Taijiqiang E",957,IF(Atletas!U333="Taijidao F",958,IF(Atletas!U333="Taijishan F",959,IF(Atletas!U333="Taijiqiang F",960))))))))))))))))))))</f>
        <v/>
      </c>
      <c r="BX337" s="72" t="str">
        <f>IF(BY337&lt;&gt;"","Taijidao E","")</f>
        <v/>
      </c>
      <c r="BY337" s="72" t="str">
        <f>IF(COUNTIF(BK:BW,1955)&gt;0,COUNTIF(BK:BW,1955),"")</f>
        <v/>
      </c>
      <c r="BZ337" s="72" t="str">
        <f>IF(CA337&lt;&gt;"","Taijidao E","")</f>
        <v/>
      </c>
      <c r="CA337" s="72" t="str">
        <f>IF(COUNTIF(BK:BW,2955)&gt;0,COUNTIF(BK:BW,2955),"")</f>
        <v/>
      </c>
      <c r="CB337" s="72" t="str">
        <f>IF(CC337&lt;&gt;"","Arma Dupla A","")</f>
        <v/>
      </c>
      <c r="CC337" s="64" t="str">
        <f>IF(COUNTIF(BK:BW,11801)&gt;0,COUNTIF(BK:BW,11801),"")</f>
        <v/>
      </c>
      <c r="CD337" s="64" t="str">
        <f>IF(CE337&lt;&gt;"","Arma Dupla A","")</f>
        <v/>
      </c>
      <c r="CE337" s="64" t="str">
        <f>IF(COUNTIF(BK:BW,12801)&gt;0,COUNTIF(BK:BW,12801),"")</f>
        <v/>
      </c>
      <c r="CF337" s="52" t="str">
        <f xml:space="preserve"> IF(Atletas!V333="","",IF(Atletas!V333="Duilian de Mãos AB - Equipe 1",1,IF(Atletas!V333="Duilian de Mãos AB - Equipe 2",2,IF(Atletas!V333="Duilian de Armas AB - Equipe 1",3,IF(Atletas!V333="Duilian de Armas AB - Equipe 2",4,IF(Atletas!V333="Duilian de Tuishou - Equipe 1",5,IF(Atletas!V333="Duilian de Tuishou - Equipe 2",6,IF(Atletas!V333="Grupo Externo AB - Equipe 1",7,IF(Atletas!V333="Grupo Externo AB - Equipe 2",8,IF(Atletas!V333="Grupo Interno AB - Equipe 1",9,IF(Atletas!V333="Grupo Interno AB - Equipe 2",10,IF(Atletas!V333="Duilian de Mãos CD - Equipe 1",11,IF(Atletas!V333="Duilian de Mãos CD - Equipe 2",12,IF(Atletas!V333="Duilian de Armas CD - Equipe 1",13,IF(Atletas!V333="Duilian de Armas CD - Equipe 2",14,IF(Atletas!V333="Duilian de Tuishou - Equipe 1",15,IF(Atletas!V333="Duilian de Tuishou - Equipe 2",16,IF(Atletas!V333="Grupo Externo CDEF - Equipe 1",17,IF(Atletas!V333="Grupo Externo CDEF - Equipe 2",18,IF(Atletas!V333="Grupo Interno CDEF - Equipe 1",19,IF(Atletas!V333="Grupo Interno CDEF - Equipe 2",20,IF(Atletas!V333="Duilian de Mãos EF - Equipe 1",21,IF(Atletas!V333="Duilian de Mãos EF - Equipe 2",22,IF(Atletas!V333="Duilian de Armas EF - Equipe 1",23,IF(Atletas!V333="Duilian de Armas EF - Equipe 2",24,IF(Atletas!V333="Duilian de Tuishou - Equipe 1",25,IF(Atletas!V333="Duilian de Tuishou - Equipe 2",26,"")))))))))))))))))))))))))))</f>
        <v/>
      </c>
    </row>
    <row r="338" spans="36:84">
      <c r="AJ338" s="46" t="str">
        <f>IF(Atletas!D334="","",IF(Atletas!B334="Feminino",100,IF(Atletas!B334="Masculino",200,""))+(IF(Atletas!D334="Infantil 39kg",1,IF(Atletas!D334="Infantil 42kg",2,IF(Atletas!D334="Infantil 45kg",3,IF(Atletas!D334="Infantil 48kg",4,IF(Atletas!D334="Infantil 52kg",5,IF(Atletas!D334="Infantil 56kg",6,IF(Atletas!D334="Infantil 60kg",7,IF(Atletas!D334="Juvenil 48kg",8,IF(Atletas!D334="Juvenil 52kg",9,IF(Atletas!D334="Juvenil 56kg",10,IF(Atletas!D334="Juvenil 60kg",11,IF(Atletas!D334="Juvenil 65kg",12,IF(Atletas!D334="Juvenil 70kg",13,IF(Atletas!D334="Juvenil 75kg",14,IF(Atletas!D334="Juvenil 80kg",15,IF(Atletas!D334="Adulto 48kg",16,IF(Atletas!D334="Adulto 52kg",17,IF(Atletas!D334="Adulto 56kg",18,IF(Atletas!D334="Adulto 60kg",19,IF(Atletas!D334="Adulto 65kg",20,IF(Atletas!D334="Adulto 70kg",21,IF(Atletas!D334="Adulto 75kg",22,IF(Atletas!D334="Adulto 80kg",23,IF(Atletas!D334="Adulto 85kg",24,IF(Atletas!D334="Adulto 90kg",25,IF(Atletas!D334="Adulto +90kg",26,""))))))))))))))))))))))))))))</f>
        <v/>
      </c>
      <c r="AO338" s="10" t="str">
        <f>IF(Atletas!E334="","",IF(Atletas!B334="Feminino",100,IF(Atletas!B334="Masculino",200,""))+(IF(Atletas!E334="Juvenil 44kg",1,IF(Atletas!E334="Juvenil 48kg",2,IF(Atletas!E334="Juvenil 52kg",3,IF(Atletas!E334="Juvenil 56kg",4,IF(Atletas!E334="Juvenil 60kg",5,IF(Atletas!E334="Juvenil 65kg",6,IF(Atletas!E334="Juvenil 70kg",7,IF(Atletas!E334="Juvenil 75kg",8,IF(Atletas!E334="Juvenil 82kg",9,IF(Atletas!E334="Juvenil 90kg",10,IF(Atletas!E334="Juvenil 100kg",11,IF(Atletas!E334="Adulto 48kg",12,IF(Atletas!E334="Adulto 52kg",13,IF(Atletas!E334="Adulto 56kg",14,IF(Atletas!E334="Adulto 60kg",15,IF(Atletas!E334="Adulto 65kg",16,IF(Atletas!E334="Adulto 70kg",17,IF(Atletas!E334="Adulto 75kg",18,IF(Atletas!E334="Adulto 82kg",19,IF(Atletas!E334="Adulto 90kg",20,IF(Atletas!E334="Adulto 100kg",21,IF(Atletas!E334="Adulto +100kg",22,""))))))))))))))))))))))))</f>
        <v/>
      </c>
      <c r="AT338" s="10" t="str">
        <f>IF(Atletas!F334="","",IF(Atletas!B334="Feminino",100,IF(Atletas!B334="Masculino",200,""))+(IF(Atletas!F334="Adulto 48kg",1,IF(Atletas!F334="Adulto 56kg",2,IF(Atletas!F334="Adulto 65kg",3,IF(Atletas!F334="Adulto 75kg",4,IF(Atletas!F334="Adulto +75kg",5,IF(Atletas!F334="Adulto 52kg",6,IF(Atletas!F334="Adulto 60kg",7,IF(Atletas!F334="Adulto 70kg",8,IF(Atletas!F334="Adulto 80kg",9,IF(Atletas!F334="Adulto 90kg",10,IF(Atletas!F334="Adulto +90kg",11,"")))))))))))))</f>
        <v/>
      </c>
      <c r="AY338" s="46" t="str">
        <f>IF(Atletas!G334="","",IF(Atletas!B334="Feminino",100,IF(Atletas!B334="Masculino",200,""))+(IF(Atletas!G334="Changquan Mirim",1,IF(Atletas!G334="Nanquan Mirim",2,IF(Atletas!G334="Taijiquan Mirim",3,IF(Atletas!G334="Changquan Grupo C",4,IF(Atletas!G334="Nanquan Grupo C",5,IF(Atletas!G334="Taijiquan Grupo C",6,IF(Atletas!G334="Changquan Grupo B",7,IF(Atletas!G334="Nanquan Grupo B",8,IF(Atletas!G334="Taijiquan Grupo B",9,IF(Atletas!G334="Changquan Grupo A",10,IF(Atletas!G334="Nanquan Grupo A",11,IF(Atletas!G334="Taijiquan Grupo A",12,IF(Atletas!G334="Changquan Opcional",13,IF(Atletas!G334="Nanquan Opcional",14,IF(Atletas!G334="Taijiquan Opcional",15,IF(Atletas!G334="Changquan Adulto",16,IF(Atletas!G334="Nanquan Adulto",17,IF(Atletas!G334="Taijiquan Adulto",18,""))))))))))))))))))))</f>
        <v/>
      </c>
      <c r="AZ338" s="46" t="str">
        <f>IF(Atletas!H334="","",IF(Atletas!B334="Feminino",100,IF(Atletas!B334="Masculino",200,""))+(IF(Atletas!H334="Daoshu Mirim",19,IF(Atletas!H334="Jianshu Mirim",20,IF(Atletas!H334="Nandao Mirim",21,IF(Atletas!H334="Taijijian Mirim",22,IF(Atletas!H334="Daoshu Grupo C",23,IF(Atletas!H334="Jianshu Grupo C",24,IF(Atletas!H334="Nandao Grupo C",25,IF(Atletas!H334="Taijijian Grupo C",26,IF(Atletas!H334="Daoshu Grupo B",27,IF(Atletas!H334="Jianshu Grupo B",28,IF(Atletas!H334="Nandao Grupo B",29,IF(Atletas!H334="Taijijian Grupo B",30,IF(Atletas!H334="Daoshu Grupo A",31,IF(Atletas!H334="Jianshu Grupo A",32,IF(Atletas!H334="Nandao Grupo A",33,IF(Atletas!H334="Taijijian Grupo A",34,IF(Atletas!H334="Daoshu Opcional",35,IF(Atletas!H334="Jianshu Opcional",36,IF(Atletas!H334="Nandao Opcional",37,IF(Atletas!H334="Taijijian Opcional",38,IF(Atletas!H334="Daoshu Adulto",39,IF(Atletas!H334="Jianshu Adulto",40,IF(Atletas!H334="Nandao Adulto",41,IF(Atletas!H334="Taijijian Adulto",42,""))))))))))))))))))))))))))</f>
        <v/>
      </c>
      <c r="BA338" s="46" t="str">
        <f>IF(Atletas!I334="","",IF(Atletas!B334="Feminino",100,IF(Atletas!B334="Masculino",200,""))+(IF(Atletas!I334="Gunshu Mirim",43,IF(Atletas!I334="Qiangshu Mirim",44,IF(Atletas!I334="Nangun Mirim",45,IF(Atletas!I334="Gunshu Grupo C",46,IF(Atletas!I334="Qiangshu Grupo C",47,IF(Atletas!I334="Nangun Grupo C",48,IF(Atletas!I334="Gunshu Grupo B",49,IF(Atletas!I334="Qiangshu Grupo B",50,IF(Atletas!I334="Nangun Grupo B",51,IF(Atletas!I334="Gunshu Grupo A",52,IF(Atletas!I334="Qiangshu Grupo A",53,IF(Atletas!I334="Nangun Grupo A",54,IF(Atletas!I334="Gunshu Opcional",55,IF(Atletas!I334="Qiangshu Opcional",56,IF(Atletas!I334="Nangun Opcional",57,IF(Atletas!I334="Gunshu Adulto",58,IF(Atletas!I334="Qiangshu Adulto",59,IF(Atletas!I334="Nangun Adulto",60,""))))))))))))))))))))</f>
        <v/>
      </c>
      <c r="BF338" s="52" t="str">
        <f>IF(Atletas!J334="","",IF(Atletas!B334="Feminino",100,IF(Atletas!B334="Masculino",200,""))+(IF(Atletas!J334="Equipe 1 Grupo B",1,IF(Atletas!J334="Equipe 2 Grupo B",2,IF(Atletas!J334="Equipe 1 Grupo A",3,IF(Atletas!J334="Equipe 2 Grupo A",4,IF(Atletas!J334="Equipe 1 Adulto",5,IF(Atletas!J334="Equipe 2 Adulto",6,""))))))))</f>
        <v/>
      </c>
      <c r="BK338" s="52" t="str">
        <f>IF(Atletas!K334="","",IF(Atletas!W334&lt;&gt;"",10000,0)+(IF(Atletas!B334="Feminino",1000,IF(Atletas!B334="Masculino",2000,""))+IF(Atletas!K334="Choylayfut A",1,IF(Atletas!K334="Hunggar A",2,IF(Atletas!K334="Wuzuquan A",3,IF(Atletas!K334="Wingchun A",4,IF(Atletas!K334="Outra Mão de Sul A",5,IF(Atletas!K334="Choylayfut B",6,IF(Atletas!K334="Hunggar B",7,IF(Atletas!K334="Wuzuquan B",8,IF(Atletas!K334="Wingchun B",9,IF(Atletas!K334="Outra Mão de Sul B",10,IF(Atletas!K334="Choylayfut C",11,IF(Atletas!K334="Hunggar C",12,IF(Atletas!K334="Wuzuquan C",13,IF(Atletas!K334="Wingchun C",14,IF(Atletas!K334="Outra Mão de Sul C",15,IF(Atletas!K334="Choylayfut D",16,IF(Atletas!K334="Hunggar D",17,IF(Atletas!K334="Wuzuquan D",18,IF(Atletas!K334="Wingchun D",19,IF(Atletas!K334="Outra Mão de Sul D",20,IF(Atletas!K334="Choylayfut E",21,IF(Atletas!K334="Hunggar E",22,IF(Atletas!K334="Wuzuquan E",23,IF(Atletas!K334="Wingchun E",24,IF(Atletas!K334="Outra Mão de Sul E",25,IF(Atletas!K334="Choylayfut F",26,IF(Atletas!K334="Hunggar F",27,IF(Atletas!K334="Wuzuquan F",28,IF(Atletas!K334="Wingchun F",29,IF(Atletas!K334="Outra Mão de Sul F",30,""))))))))))))))))))))))))))))))))</f>
        <v/>
      </c>
      <c r="BL338" s="52" t="str">
        <f>IF(Atletas!L334="","",IF(Atletas!W334&lt;&gt;"",10000,0)+(IF(Atletas!B334="Feminino",1000,IF(Atletas!B334="Masculino",2000,""))+(IF(Atletas!L334="Chaquan A",101,IF(Atletas!L334="Emeiquan A",102,IF(Atletas!L334="Fanziquan A",103,IF(Atletas!L334="Huaquan A",104,IF(Atletas!L334="Hongquan A",105,IF(Atletas!L334="Paochui A",106,IF(Atletas!L334="Piguaquan A",107,IF(Atletas!L334="Shaolinquan A",108,IF(Atletas!L334="Tanglangquan A",109,IF(Atletas!L334="Yinzhaophai A",110,IF(Atletas!L334="Tongbeiquan A",111,IF(Atletas!L334="Wudangquan A",112,IF(Atletas!L334="Outros Estilos A",113,IF(Atletas!L334="Chaquan B",114,IF(Atletas!L334="Emeiquan B",115,IF(Atletas!L334="Fanziquan B",116,IF(Atletas!L334="Huaquan B",117,IF(Atletas!L334="Hongquan B",118,IF(Atletas!L334="Paochui B",119,IF(Atletas!L334="Piguaquan B",120,IF(Atletas!L334="Shaolinquan B",121,IF(Atletas!L334="Tanglangquan B",122,IF(Atletas!L334="Yinzhaophai B",123,IF(Atletas!L334="Tongbeiquan B",124,IF(Atletas!L334="Wudangquan B",125,IF(Atletas!L334="Outros Estilos B",126,IF(Atletas!L334="Chaquan C",127,IF(Atletas!L334="Emeiquan C",128,IF(Atletas!L334="Fanziquan C",129,IF(Atletas!L334="Huaquan C",130,IF(Atletas!L334="Hongquan C",131,IF(Atletas!L334="Paochui C",132,IF(Atletas!L334="Piguaquan C",133,IF(Atletas!L334="Shaolinquan C",134,IF(Atletas!L334="Tanglangquan C",135,IF(Atletas!L334="Yinzhaophai C",136,IF(Atletas!L334="Tongbeiquan C",137,IF(Atletas!L334="Wudangquan C",138,IF(Atletas!L334="Outros Estilos C",139,0))))))))))))))))))))))))))))))))))))))))))</f>
        <v/>
      </c>
      <c r="BM338" s="52" t="str">
        <f>IF(Atletas!L334="","",IF(Atletas!W334&lt;&gt;"",10000,0)+(IF(Atletas!B334="Feminino",1000,IF(Atletas!B334="Masculino",2000,""))+(IF(Atletas!L334="Chaquan D",140,IF(Atletas!L334="Emeiquan D",141,IF(Atletas!L334="Fanziquan D",142,IF(Atletas!L334="Huaquan D",143,IF(Atletas!L334="Hongquan D",144,IF(Atletas!L334="Paochui D",145,IF(Atletas!L334="Piguaquan D",146,IF(Atletas!L334="Shaolinquan D",147,IF(Atletas!L334="Tanglangquan D",148,IF(Atletas!L334="Yinzhaophai D",149,IF(Atletas!L334="Tongbeiquan D",150,IF(Atletas!L334="Wudangquan D",151,IF(Atletas!L334="Outros Estilos D",152,IF(Atletas!L334="Chaquan E",153,IF(Atletas!L334="Emeiquan E",154,IF(Atletas!L334="Fanziquan E",155,IF(Atletas!L334="Huaquan E",156,IF(Atletas!L334="Hongquan E",157,IF(Atletas!L334="Paochui E",158,IF(Atletas!L334="Piguaquan E",159,IF(Atletas!L334="Shaolinquan E",160,IF(Atletas!L334="Tanglangquan E",161,IF(Atletas!L334="Yinzhaophai E",162,IF(Atletas!L334="Tongbeiquan E",163,IF(Atletas!L334="Wudangquan E",164,IF(Atletas!L334="Outros Estilos E",165,IF(Atletas!L334="Chaquan F",166,IF(Atletas!L334="Emeiquan F",167,IF(Atletas!L334="Fanziquan F",168,IF(Atletas!L334="Huaquan F",169,IF(Atletas!L334="Hongquan F",170,IF(Atletas!L334="Paochui F",171,IF(Atletas!L334="Piguaquan F",172,IF(Atletas!L334="Shaolinquan F",173,IF(Atletas!L334="Tanglangquan F",174,IF(Atletas!L334="Yinzhaophai F",175,IF(Atletas!L334="Tongbeiquan F",176,IF(Atletas!L334="Wudangquan F",177,IF(Atletas!L334="Outros Estilos F",178,0))))))))))))))))))))))))))))))))))))))))))</f>
        <v/>
      </c>
      <c r="BN338" s="52" t="str">
        <f>IF(Atletas!M334="","",IF(Atletas!W334&lt;&gt;"",10000,0)+(IF(Atletas!B334="Feminino",1000,IF(Atletas!B334="Masculino",2000,""))+(IF(Atletas!M334="Ditangquan A",201,IF(Atletas!M334="Houquan A",202,IF(Atletas!M334="Zuiquan A",203,IF(Atletas!M334="Ditangquan B",204,IF(Atletas!M334="Houquan B",205,IF(Atletas!M334="Zuiquan B",206,IF(Atletas!M334="Ditangquan C",207,IF(Atletas!M334="Houquan C",208,IF(Atletas!M334="Zuiquan C",209,IF(Atletas!M334="Ditangquan D",210,IF(Atletas!M334="Houquan D",211,IF(Atletas!M334="Zuiquan D",212,IF(Atletas!M334="Ditangquan E",213,IF(Atletas!M334="Houquan E",214,IF(Atletas!M334="Zuiquan E",215,IF(Atletas!M334="Ditangquan F",216,IF(Atletas!M334="Houquan F",217,IF(Atletas!M334="Zuiquan F",218,"")))))))))))))))))))))</f>
        <v/>
      </c>
      <c r="BO338" s="52" t="str">
        <f>IF(Atletas!N334="","",IF(Atletas!W334&lt;&gt;"",10000,0)+IF(Atletas!B334="Feminino",1000,IF(Atletas!B334="Masculino",2000,""))+IF(Atletas!N334="Yang A",301,IF(Atletas!N334="Chen A",30,IF(Atletas!N334="Sun A",303,IF(Atletas!N334="Wu A",304,IF(Atletas!N334="Wu-Hao A",305,IF(Atletas!N334="Outro Taijiquan A",306,IF(Atletas!N334="Yang B",307,IF(Atletas!N334="Chen B",308,IF(Atletas!N334="Sun B",309,IF(Atletas!N334="Wu B",310,IF(Atletas!N334="Wu-Hao B",311,IF(Atletas!N334="Outro Taijiquan B",312,IF(Atletas!N334="Yang C",313,IF(Atletas!N334="Chen C",314,IF(Atletas!N334="Sun C",315,IF(Atletas!N334="Wu C",316,IF(Atletas!N334="Wu-Hao C",317,IF(Atletas!N334="Outro Taijiquan C",318,IF(Atletas!N334="Yang D",319,IF(Atletas!N334="Chen D",320,IF(Atletas!N334="Sun D",321,IF(Atletas!N334="Wu D",322,IF(Atletas!N334="Wu-Hao D",323,IF(Atletas!N334="Outro Taijiquan D",324,IF(Atletas!N334="Yang E",325,IF(Atletas!N334="Chen E",326,IF(Atletas!N334="Sun E",327,IF(Atletas!N334="Wu E",328,IF(Atletas!N334="Wu-Hao E",329,IF(Atletas!N334="Outro Taijiquan E",330,IF(Atletas!N334="Yang F",331,IF(Atletas!N334="Chen F",332,IF(Atletas!N334="Sun F",333,IF(Atletas!N334="Wu F",334,IF(Atletas!N334="Wu-Hao F",335,IF(Atletas!N334="Outro Taijiquan F",336,"")))))))))))))))))))))))))))))))))))))</f>
        <v/>
      </c>
      <c r="BP338" s="52" t="str">
        <f>IF(Atletas!O334="","",IF(Atletas!W334&lt;&gt;"",10000,0)+IF(Atletas!B334="Feminino",1000,IF(Atletas!B334="Masculino",2000,""))+IF(OR(Atletas!O334="Yang 26 A",Atletas!O334="Yang 40 A"),401,IF(OR(Atletas!O334="Chen 25 A",Atletas!O334="Chen 36 A",Atletas!O334="Chen 56 A"),402,IF(Atletas!O334="Sun 73 A",403,IF(Atletas!O334="Wu 45 A",404,IF(Atletas!O334="Wu-Hao 46 A",405,IF(OR(Atletas!O334="Taijiquan 16 A",Atletas!O334="Taijiquan 24 A",Atletas!O334="Taijiquan 32 A",Atletas!O334="Taijiquan 42 A"),406,IF(OR(Atletas!O334="Yang 26 B",Atletas!O334="Yang 40 B"),407,IF(OR(Atletas!O334="Chen 25 B",Atletas!O334="Chen 36 B",Atletas!O334="Chen 56 B"),408,IF(Atletas!O334="Sun 73 B",409,IF(Atletas!O334="Wu 45 B",410,IF(Atletas!O334="Wu-Hao 46 B",411,IF(OR(Atletas!O334="Taijiquan 16 B",Atletas!O334="Taijiquan 24 B",Atletas!O334="Taijiquan 32 B",Atletas!O334="Taijiquan 42 B"),412,IF(OR(Atletas!O334="Yang 26 C",Atletas!O334="Yang 40 C"),413,IF(OR(Atletas!O334="Chen 25 C",Atletas!O334="Chen 36 C",Atletas!O334="Chen 56 C"),414,IF(Atletas!O334="Sun 73 C",415,IF(Atletas!O334="Wu 45 C",416,IF(Atletas!O334="Wu-Hao 46 C",417,IF(OR(Atletas!O334="Taijiquan 16 C",Atletas!O334="Taijiquan 24 C",Atletas!O334="Taijiquan 32 C",Atletas!O334="Taijiquan 42 C"),418,0)))))))))))))))))))</f>
        <v/>
      </c>
      <c r="BQ338" s="52" t="str">
        <f>IF(Atletas!O334="","",IF(Atletas!W334&lt;&gt;"",10000,0)+IF(Atletas!B334="Feminino",1000,IF(Atletas!B334="Masculino",2000,""))+IF(OR(Atletas!O334="Yang 26 D",Atletas!O334="Yang 40 D"),419,IF(OR(Atletas!O334="Chen 25 D",Atletas!O334="Chen 36 D",Atletas!O334="Chen 56 D"),420,IF(Atletas!O334="Sun 73 D",421,IF(Atletas!O334="Wu 45 D",422,IF(Atletas!O334="Wu-Hao 46 D",423,IF(OR(Atletas!O334="Taijiquan 16 D",Atletas!O334="Taijiquan 24 D",Atletas!O334="Taijiquan 32 D",Atletas!O334="Taijiquan 42 D"),424,IF(OR(Atletas!O334="Yang 26 E",Atletas!O334="Yang 40 E"),425,IF(OR(Atletas!O334="Chen 25 E",Atletas!O334="Chen 36 E",Atletas!O334="Chen 56 E"),426,IF(Atletas!O334="Sun 73 E",427,IF(Atletas!O334="Wu 45 E",428,IF(Atletas!O334="Wu-Hao 46 E",429,IF(OR(Atletas!O334="Taijiquan 16 E",Atletas!O334="Taijiquan 24 E",Atletas!O334="Taijiquan 32 E",Atletas!O334="Taijiquan 42 E"),430,IF(OR(Atletas!O334="Yang 26 F",Atletas!O334="Yang 40 F"),431,IF(OR(Atletas!O334="Chen 25 F",Atletas!O334="Chen 36 F",Atletas!O334="Chen 56 F"),432,IF(Atletas!O334="Sun 73 F",433,IF(Atletas!O334="Wu 45 F",434,IF(Atletas!O334="Wu-Hao 46 F",435,IF(OR(Atletas!O334="Taijiquan 16 F",Atletas!O334="Taijiquan 24 F",Atletas!O334="Taijiquan 32 F",Atletas!O334="Taijiquan 42 F"),436,0)))))))))))))))))))</f>
        <v/>
      </c>
      <c r="BR338" s="52" t="str">
        <f>IF(Atletas!P334="","",IF(Atletas!W334&lt;&gt;"",10000,0)+IF(Atletas!B334="Feminino",1000,IF(Atletas!B334="Masculino",2000,""))+IF(Atletas!P334="Xingyiquan A",501,IF(Atletas!P334="Baguazhang A",502,IF(Atletas!P334="Outro Estilo Interno A",503,IF(Atletas!P334="Xingyiquan B",504,IF(Atletas!P334="Baguazhang B",505,IF(Atletas!P334="Outro Estilo Interno B",506,IF(Atletas!P334="Xingyiquan C",507,IF(Atletas!P334="Baguazhang C",508,IF(Atletas!P334="Outro Estilo Interno C",509,IF(Atletas!P334="Xingyiquan D",510,IF(Atletas!P334="Baguazhang D",511,IF(Atletas!P334="Outro Estilo Interno D",512,IF(Atletas!P334="Xingyiquan E",513,IF(Atletas!P334="Baguazhang E",514,IF(Atletas!P334="Outro Estilo Interno E",515,IF(Atletas!P334="Xingyiquan F",516,IF(Atletas!P334="Baguazhang F",517,IF(Atletas!P334="Outro Estilo Interno F",518, "")))))))))))))))))))</f>
        <v/>
      </c>
      <c r="BS338" s="52" t="str">
        <f>IF(Atletas!Q334="","",IF(Atletas!W334&lt;&gt;"",10000,0)+IF(Atletas!B334="Feminino",1000,IF(Atletas!B334="Masculino",2000,""))+IF(Atletas!Q334="Dao A",601,IF(Atletas!Q334="Jian A",602,IF(Atletas!Q334="Bishou A",603,IF(Atletas!Q334="Shan A",604,IF(Atletas!Q334="Outra Arma Curta A",605,IF(Atletas!Q334="Dao B",606,IF(Atletas!Q334="Jian B",607,IF(Atletas!Q334="Bishou B",608,IF(Atletas!Q334="Shan B",609,IF(Atletas!Q334="Outra Arma Curta B",610,IF(Atletas!Q334="Dao C",611,IF(Atletas!Q334="Jian C",612,IF(Atletas!Q334="Bishou C",613,IF(Atletas!Q334="Shan C",614,IF(Atletas!Q334="Outra Arma Curta C",615,IF(Atletas!Q334="Dao D",616,IF(Atletas!Q334="Jian D",617,IF(Atletas!Q334="Bishou D",618,IF(Atletas!Q334="Shan D",619,IF(Atletas!Q334="Outra Arma Curta D",620,IF(Atletas!Q334="Dao E",621,IF(Atletas!Q334="Jian E",622,IF(Atletas!Q334="Bishou E",623,IF(Atletas!Q334="Shan E",624,IF(Atletas!Q334="Outra Arma Curta E",625,IF(Atletas!Q334="Dao F",626,IF(Atletas!Q334="Jian F",627,IF(Atletas!Q334="Bishou F",628,IF(Atletas!Q334="Shan F",629,IF(Atletas!Q334="Outra Arma Curta F",630, "")))))))))))))))))))))))))))))))</f>
        <v/>
      </c>
      <c r="BT338" s="52" t="str">
        <f>IF(Atletas!R334="","",IF(Atletas!W334&lt;&gt;"",10000,0)+IF(Atletas!B334="Feminino",1000,IF(Atletas!B334="Masculino",2000,""))+IF(Atletas!R334="Gun A",701,IF(Atletas!R334="Qiang A",702,IF(Atletas!R334="Pudao / Guandao A",703,IF(Atletas!R334="Outra Arma Longa A",704,IF(Atletas!R334="Gun B",705,IF(Atletas!R334="Qiang B",706,IF(Atletas!R334="Pudao / Guandao B",707,IF(Atletas!R334="Outra Arma Longa B",708,IF(Atletas!R334="Gun C",709,IF(Atletas!R334="Qiang C",710,IF(Atletas!R334="Pudao / Guandao C",711,IF(Atletas!R334="Outra Arma Longa C",712,IF(Atletas!R334="Gun D",713,IF(Atletas!R334="Qiang D",714,IF(Atletas!R334="Pudao / Guandao D",715,IF(Atletas!R334="Outra Arma Longa D",716,IF(Atletas!R334="Gun E",717,IF(Atletas!R334="Qiang E",718,IF(Atletas!R334="Pudao / Guandao E",719,IF(Atletas!R334="Outra Arma Longa E",720,IF(Atletas!R334="Gun F",721,IF(Atletas!R334="Qiang F",722,IF(Atletas!R334="Pudao / Guandao F",723,IF(Atletas!R334="Outra Arma Longa F",724,"")))))))))))))))))))))))))</f>
        <v/>
      </c>
      <c r="BU338" s="52" t="str">
        <f>IF(Atletas!S334="","",IF(Atletas!W334&lt;&gt;"",10000,0)+IF(Atletas!B334="Feminino",1000,IF(Atletas!B334="Masculino",2000,""))+IF(Atletas!S334="Arma Dupla A",801,IF(Atletas!S334="Arma Maleável A",802,IF(Atletas!S334="Arma Dupla B",803,IF(Atletas!S334="Arma Maleável B",804,IF(Atletas!S334="Arma Dupla C",805,IF(Atletas!S334="Arma Maleável C",806,IF(Atletas!S334="Arma Dupla D",807,IF(Atletas!S334="Arma Maleável D",808,IF(Atletas!S334="Arma Dupla E",809,IF(Atletas!S334="Arma Maleável E",810,IF(Atletas!S334="Arma Dupla F",811,IF(Atletas!S334="Arma Maleável F",812, "")))))))))))))</f>
        <v/>
      </c>
      <c r="BV338" s="52" t="str">
        <f>IF(Atletas!T334="","",IF(Atletas!W334&lt;&gt;"",10000,0)+IF(Atletas!B334="Feminino",1000,IF(Atletas!B334="Masculino",2000,""))+IF(Atletas!T334="Taijijian Yang A",901,IF(Atletas!T334="Taijijian Chen A",902,IF(Atletas!T334="Taijijian Sun A",903,IF(Atletas!T334="Taijijian Wu A",904,IF(Atletas!T334="Taijijian Wu-Hao A",905,IF(Atletas!T334="Taijijian 32 A",906,IF(Atletas!T334="Taijijian 42 A",907,IF(Atletas!T334="Taijijian Yang B",908,IF(Atletas!T334="Taijijian Chen B",909,IF(Atletas!T334="Taijijian Sun B",910,IF(Atletas!T334="Taijijian Wu B",911,IF(Atletas!T334="Taijijian Wu-Hao B",912,IF(Atletas!T334="Taijijian 32 B",913,IF(Atletas!T334="Taijijian 42 B",914,IF(Atletas!T334="Taijijian Yang C",915,IF(Atletas!T334="Taijijian Chen C",916,IF(Atletas!T334="Taijijian Sun C",917,IF(Atletas!T334="Taijijian Wu C",918,IF(Atletas!T334="Taijijian Wu-Hao C",919,IF(Atletas!T334="Taijijian 32 C",920,IF(Atletas!T334="Taijijian 42 C",921,IF(Atletas!T334="Taijijian Yang D",922,IF(Atletas!T334="Taijijian Chen D",923,IF(Atletas!T334="Taijijian Sun D",924,IF(Atletas!T334="Taijijian Wu D",925,IF(Atletas!T334="Taijijian Wu-Hao D",926,IF(Atletas!T334="Taijijian 32 D",927,IF(Atletas!T334="Taijijian 42 D",928,IF(Atletas!T334="Taijijian Yang E",929,IF(Atletas!T334="Taijijian Chen E",930,IF(Atletas!T334="Taijijian Sun E",931,IF(Atletas!T334="Taijijian Wu E",932,IF(Atletas!T334="Taijijian Wu-Hao E",933,IF(Atletas!T334="Taijijian 32 E",934,IF(Atletas!T334="Taijijian 42 E",935,IF(Atletas!T334="Taijijian Yang F",936,IF(Atletas!T334="Taijijian Chen F",937,IF(Atletas!T334="Taijijian Sun F",938,IF(Atletas!T334="Taijijian Wu F",939,IF(Atletas!T334="Taijijian Wu-Hao F",940,IF(Atletas!T334="Taijijian 32 F",941,IF(Atletas!T334="Taijijian 42 F",942,"")))))))))))))))))))))))))))))))))))))))))))</f>
        <v/>
      </c>
      <c r="BW338" s="52" t="str">
        <f>IF(Atletas!U334="","",IF(Atletas!W334&lt;&gt;"",10000,0)+IF(Atletas!B334="Feminino",1000,IF(Atletas!B334="Masculino",2000,""))+IF(Atletas!T334="Taijijian 42 F",942,IF(Atletas!U334="Taijidao A",943,IF(Atletas!U334="Taijishan A",944,IF(Atletas!U334="Taijiqiang A",945,IF(Atletas!U334="Taijidao B",946,IF(Atletas!U334="Taijishan B",947,IF(Atletas!U334="Taijiqiang B",948,IF(Atletas!U334="Taijidao C",949,IF(Atletas!U334="Taijishan C",950,IF(Atletas!U334="Taijiqiang C",951,IF(Atletas!U334="Taijidao D",952,IF(Atletas!U334="Taijishan D",953,IF(Atletas!U334="Taijiqiang D",954,IF(Atletas!U334="Taijidao E",955,IF(Atletas!U334="Taijishan E",956,IF(Atletas!U334="Taijiqiang E",957,IF(Atletas!U334="Taijidao F",958,IF(Atletas!U334="Taijishan F",959,IF(Atletas!U334="Taijiqiang F",960))))))))))))))))))))</f>
        <v/>
      </c>
      <c r="BX338" s="72" t="str">
        <f>IF(BY338&lt;&gt;"","Taijishan E","")</f>
        <v/>
      </c>
      <c r="BY338" s="72" t="str">
        <f>IF(COUNTIF(BK:BW,1956)&gt;0,COUNTIF(BK:BW,1956),"")</f>
        <v/>
      </c>
      <c r="BZ338" s="72" t="str">
        <f>IF(CA338&lt;&gt;"","Taijishan E","")</f>
        <v/>
      </c>
      <c r="CA338" s="72" t="str">
        <f>IF(COUNTIF(BK:BW,2956)&gt;0,COUNTIF(BK:BW,2956),"")</f>
        <v/>
      </c>
      <c r="CB338" s="72" t="str">
        <f>IF(CC338&lt;&gt;"","Arma Maleável A","")</f>
        <v/>
      </c>
      <c r="CC338" s="64" t="str">
        <f>IF(COUNTIF(BK:BW,11802)&gt;0,COUNTIF(BK:BW,11802),"")</f>
        <v/>
      </c>
      <c r="CD338" s="64" t="str">
        <f>IF(CE338&lt;&gt;"","Arma Maleável A","")</f>
        <v/>
      </c>
      <c r="CE338" s="64" t="str">
        <f>IF(COUNTIF(BK:BW,12802)&gt;0,COUNTIF(BK:BW,12802),"")</f>
        <v/>
      </c>
      <c r="CF338" s="52" t="str">
        <f xml:space="preserve"> IF(Atletas!V334="","",IF(Atletas!V334="Duilian de Mãos AB - Equipe 1",1,IF(Atletas!V334="Duilian de Mãos AB - Equipe 2",2,IF(Atletas!V334="Duilian de Armas AB - Equipe 1",3,IF(Atletas!V334="Duilian de Armas AB - Equipe 2",4,IF(Atletas!V334="Duilian de Tuishou - Equipe 1",5,IF(Atletas!V334="Duilian de Tuishou - Equipe 2",6,IF(Atletas!V334="Grupo Externo AB - Equipe 1",7,IF(Atletas!V334="Grupo Externo AB - Equipe 2",8,IF(Atletas!V334="Grupo Interno AB - Equipe 1",9,IF(Atletas!V334="Grupo Interno AB - Equipe 2",10,IF(Atletas!V334="Duilian de Mãos CD - Equipe 1",11,IF(Atletas!V334="Duilian de Mãos CD - Equipe 2",12,IF(Atletas!V334="Duilian de Armas CD - Equipe 1",13,IF(Atletas!V334="Duilian de Armas CD - Equipe 2",14,IF(Atletas!V334="Duilian de Tuishou - Equipe 1",15,IF(Atletas!V334="Duilian de Tuishou - Equipe 2",16,IF(Atletas!V334="Grupo Externo CDEF - Equipe 1",17,IF(Atletas!V334="Grupo Externo CDEF - Equipe 2",18,IF(Atletas!V334="Grupo Interno CDEF - Equipe 1",19,IF(Atletas!V334="Grupo Interno CDEF - Equipe 2",20,IF(Atletas!V334="Duilian de Mãos EF - Equipe 1",21,IF(Atletas!V334="Duilian de Mãos EF - Equipe 2",22,IF(Atletas!V334="Duilian de Armas EF - Equipe 1",23,IF(Atletas!V334="Duilian de Armas EF - Equipe 2",24,IF(Atletas!V334="Duilian de Tuishou - Equipe 1",25,IF(Atletas!V334="Duilian de Tuishou - Equipe 2",26,"")))))))))))))))))))))))))))</f>
        <v/>
      </c>
    </row>
    <row r="339" spans="36:84">
      <c r="AJ339" s="46" t="str">
        <f>IF(Atletas!D335="","",IF(Atletas!B335="Feminino",100,IF(Atletas!B335="Masculino",200,""))+(IF(Atletas!D335="Infantil 39kg",1,IF(Atletas!D335="Infantil 42kg",2,IF(Atletas!D335="Infantil 45kg",3,IF(Atletas!D335="Infantil 48kg",4,IF(Atletas!D335="Infantil 52kg",5,IF(Atletas!D335="Infantil 56kg",6,IF(Atletas!D335="Infantil 60kg",7,IF(Atletas!D335="Juvenil 48kg",8,IF(Atletas!D335="Juvenil 52kg",9,IF(Atletas!D335="Juvenil 56kg",10,IF(Atletas!D335="Juvenil 60kg",11,IF(Atletas!D335="Juvenil 65kg",12,IF(Atletas!D335="Juvenil 70kg",13,IF(Atletas!D335="Juvenil 75kg",14,IF(Atletas!D335="Juvenil 80kg",15,IF(Atletas!D335="Adulto 48kg",16,IF(Atletas!D335="Adulto 52kg",17,IF(Atletas!D335="Adulto 56kg",18,IF(Atletas!D335="Adulto 60kg",19,IF(Atletas!D335="Adulto 65kg",20,IF(Atletas!D335="Adulto 70kg",21,IF(Atletas!D335="Adulto 75kg",22,IF(Atletas!D335="Adulto 80kg",23,IF(Atletas!D335="Adulto 85kg",24,IF(Atletas!D335="Adulto 90kg",25,IF(Atletas!D335="Adulto +90kg",26,""))))))))))))))))))))))))))))</f>
        <v/>
      </c>
      <c r="AO339" s="10" t="str">
        <f>IF(Atletas!E335="","",IF(Atletas!B335="Feminino",100,IF(Atletas!B335="Masculino",200,""))+(IF(Atletas!E335="Juvenil 44kg",1,IF(Atletas!E335="Juvenil 48kg",2,IF(Atletas!E335="Juvenil 52kg",3,IF(Atletas!E335="Juvenil 56kg",4,IF(Atletas!E335="Juvenil 60kg",5,IF(Atletas!E335="Juvenil 65kg",6,IF(Atletas!E335="Juvenil 70kg",7,IF(Atletas!E335="Juvenil 75kg",8,IF(Atletas!E335="Juvenil 82kg",9,IF(Atletas!E335="Juvenil 90kg",10,IF(Atletas!E335="Juvenil 100kg",11,IF(Atletas!E335="Adulto 48kg",12,IF(Atletas!E335="Adulto 52kg",13,IF(Atletas!E335="Adulto 56kg",14,IF(Atletas!E335="Adulto 60kg",15,IF(Atletas!E335="Adulto 65kg",16,IF(Atletas!E335="Adulto 70kg",17,IF(Atletas!E335="Adulto 75kg",18,IF(Atletas!E335="Adulto 82kg",19,IF(Atletas!E335="Adulto 90kg",20,IF(Atletas!E335="Adulto 100kg",21,IF(Atletas!E335="Adulto +100kg",22,""))))))))))))))))))))))))</f>
        <v/>
      </c>
      <c r="AT339" s="10" t="str">
        <f>IF(Atletas!F335="","",IF(Atletas!B335="Feminino",100,IF(Atletas!B335="Masculino",200,""))+(IF(Atletas!F335="Adulto 48kg",1,IF(Atletas!F335="Adulto 56kg",2,IF(Atletas!F335="Adulto 65kg",3,IF(Atletas!F335="Adulto 75kg",4,IF(Atletas!F335="Adulto +75kg",5,IF(Atletas!F335="Adulto 52kg",6,IF(Atletas!F335="Adulto 60kg",7,IF(Atletas!F335="Adulto 70kg",8,IF(Atletas!F335="Adulto 80kg",9,IF(Atletas!F335="Adulto 90kg",10,IF(Atletas!F335="Adulto +90kg",11,"")))))))))))))</f>
        <v/>
      </c>
      <c r="AY339" s="46" t="str">
        <f>IF(Atletas!G335="","",IF(Atletas!B335="Feminino",100,IF(Atletas!B335="Masculino",200,""))+(IF(Atletas!G335="Changquan Mirim",1,IF(Atletas!G335="Nanquan Mirim",2,IF(Atletas!G335="Taijiquan Mirim",3,IF(Atletas!G335="Changquan Grupo C",4,IF(Atletas!G335="Nanquan Grupo C",5,IF(Atletas!G335="Taijiquan Grupo C",6,IF(Atletas!G335="Changquan Grupo B",7,IF(Atletas!G335="Nanquan Grupo B",8,IF(Atletas!G335="Taijiquan Grupo B",9,IF(Atletas!G335="Changquan Grupo A",10,IF(Atletas!G335="Nanquan Grupo A",11,IF(Atletas!G335="Taijiquan Grupo A",12,IF(Atletas!G335="Changquan Opcional",13,IF(Atletas!G335="Nanquan Opcional",14,IF(Atletas!G335="Taijiquan Opcional",15,IF(Atletas!G335="Changquan Adulto",16,IF(Atletas!G335="Nanquan Adulto",17,IF(Atletas!G335="Taijiquan Adulto",18,""))))))))))))))))))))</f>
        <v/>
      </c>
      <c r="AZ339" s="46" t="str">
        <f>IF(Atletas!H335="","",IF(Atletas!B335="Feminino",100,IF(Atletas!B335="Masculino",200,""))+(IF(Atletas!H335="Daoshu Mirim",19,IF(Atletas!H335="Jianshu Mirim",20,IF(Atletas!H335="Nandao Mirim",21,IF(Atletas!H335="Taijijian Mirim",22,IF(Atletas!H335="Daoshu Grupo C",23,IF(Atletas!H335="Jianshu Grupo C",24,IF(Atletas!H335="Nandao Grupo C",25,IF(Atletas!H335="Taijijian Grupo C",26,IF(Atletas!H335="Daoshu Grupo B",27,IF(Atletas!H335="Jianshu Grupo B",28,IF(Atletas!H335="Nandao Grupo B",29,IF(Atletas!H335="Taijijian Grupo B",30,IF(Atletas!H335="Daoshu Grupo A",31,IF(Atletas!H335="Jianshu Grupo A",32,IF(Atletas!H335="Nandao Grupo A",33,IF(Atletas!H335="Taijijian Grupo A",34,IF(Atletas!H335="Daoshu Opcional",35,IF(Atletas!H335="Jianshu Opcional",36,IF(Atletas!H335="Nandao Opcional",37,IF(Atletas!H335="Taijijian Opcional",38,IF(Atletas!H335="Daoshu Adulto",39,IF(Atletas!H335="Jianshu Adulto",40,IF(Atletas!H335="Nandao Adulto",41,IF(Atletas!H335="Taijijian Adulto",42,""))))))))))))))))))))))))))</f>
        <v/>
      </c>
      <c r="BA339" s="46" t="str">
        <f>IF(Atletas!I335="","",IF(Atletas!B335="Feminino",100,IF(Atletas!B335="Masculino",200,""))+(IF(Atletas!I335="Gunshu Mirim",43,IF(Atletas!I335="Qiangshu Mirim",44,IF(Atletas!I335="Nangun Mirim",45,IF(Atletas!I335="Gunshu Grupo C",46,IF(Atletas!I335="Qiangshu Grupo C",47,IF(Atletas!I335="Nangun Grupo C",48,IF(Atletas!I335="Gunshu Grupo B",49,IF(Atletas!I335="Qiangshu Grupo B",50,IF(Atletas!I335="Nangun Grupo B",51,IF(Atletas!I335="Gunshu Grupo A",52,IF(Atletas!I335="Qiangshu Grupo A",53,IF(Atletas!I335="Nangun Grupo A",54,IF(Atletas!I335="Gunshu Opcional",55,IF(Atletas!I335="Qiangshu Opcional",56,IF(Atletas!I335="Nangun Opcional",57,IF(Atletas!I335="Gunshu Adulto",58,IF(Atletas!I335="Qiangshu Adulto",59,IF(Atletas!I335="Nangun Adulto",60,""))))))))))))))))))))</f>
        <v/>
      </c>
      <c r="BF339" s="52" t="str">
        <f>IF(Atletas!J335="","",IF(Atletas!B335="Feminino",100,IF(Atletas!B335="Masculino",200,""))+(IF(Atletas!J335="Equipe 1 Grupo B",1,IF(Atletas!J335="Equipe 2 Grupo B",2,IF(Atletas!J335="Equipe 1 Grupo A",3,IF(Atletas!J335="Equipe 2 Grupo A",4,IF(Atletas!J335="Equipe 1 Adulto",5,IF(Atletas!J335="Equipe 2 Adulto",6,""))))))))</f>
        <v/>
      </c>
      <c r="BK339" s="52" t="str">
        <f>IF(Atletas!K335="","",IF(Atletas!W335&lt;&gt;"",10000,0)+(IF(Atletas!B335="Feminino",1000,IF(Atletas!B335="Masculino",2000,""))+IF(Atletas!K335="Choylayfut A",1,IF(Atletas!K335="Hunggar A",2,IF(Atletas!K335="Wuzuquan A",3,IF(Atletas!K335="Wingchun A",4,IF(Atletas!K335="Outra Mão de Sul A",5,IF(Atletas!K335="Choylayfut B",6,IF(Atletas!K335="Hunggar B",7,IF(Atletas!K335="Wuzuquan B",8,IF(Atletas!K335="Wingchun B",9,IF(Atletas!K335="Outra Mão de Sul B",10,IF(Atletas!K335="Choylayfut C",11,IF(Atletas!K335="Hunggar C",12,IF(Atletas!K335="Wuzuquan C",13,IF(Atletas!K335="Wingchun C",14,IF(Atletas!K335="Outra Mão de Sul C",15,IF(Atletas!K335="Choylayfut D",16,IF(Atletas!K335="Hunggar D",17,IF(Atletas!K335="Wuzuquan D",18,IF(Atletas!K335="Wingchun D",19,IF(Atletas!K335="Outra Mão de Sul D",20,IF(Atletas!K335="Choylayfut E",21,IF(Atletas!K335="Hunggar E",22,IF(Atletas!K335="Wuzuquan E",23,IF(Atletas!K335="Wingchun E",24,IF(Atletas!K335="Outra Mão de Sul E",25,IF(Atletas!K335="Choylayfut F",26,IF(Atletas!K335="Hunggar F",27,IF(Atletas!K335="Wuzuquan F",28,IF(Atletas!K335="Wingchun F",29,IF(Atletas!K335="Outra Mão de Sul F",30,""))))))))))))))))))))))))))))))))</f>
        <v/>
      </c>
      <c r="BL339" s="52" t="str">
        <f>IF(Atletas!L335="","",IF(Atletas!W335&lt;&gt;"",10000,0)+(IF(Atletas!B335="Feminino",1000,IF(Atletas!B335="Masculino",2000,""))+(IF(Atletas!L335="Chaquan A",101,IF(Atletas!L335="Emeiquan A",102,IF(Atletas!L335="Fanziquan A",103,IF(Atletas!L335="Huaquan A",104,IF(Atletas!L335="Hongquan A",105,IF(Atletas!L335="Paochui A",106,IF(Atletas!L335="Piguaquan A",107,IF(Atletas!L335="Shaolinquan A",108,IF(Atletas!L335="Tanglangquan A",109,IF(Atletas!L335="Yinzhaophai A",110,IF(Atletas!L335="Tongbeiquan A",111,IF(Atletas!L335="Wudangquan A",112,IF(Atletas!L335="Outros Estilos A",113,IF(Atletas!L335="Chaquan B",114,IF(Atletas!L335="Emeiquan B",115,IF(Atletas!L335="Fanziquan B",116,IF(Atletas!L335="Huaquan B",117,IF(Atletas!L335="Hongquan B",118,IF(Atletas!L335="Paochui B",119,IF(Atletas!L335="Piguaquan B",120,IF(Atletas!L335="Shaolinquan B",121,IF(Atletas!L335="Tanglangquan B",122,IF(Atletas!L335="Yinzhaophai B",123,IF(Atletas!L335="Tongbeiquan B",124,IF(Atletas!L335="Wudangquan B",125,IF(Atletas!L335="Outros Estilos B",126,IF(Atletas!L335="Chaquan C",127,IF(Atletas!L335="Emeiquan C",128,IF(Atletas!L335="Fanziquan C",129,IF(Atletas!L335="Huaquan C",130,IF(Atletas!L335="Hongquan C",131,IF(Atletas!L335="Paochui C",132,IF(Atletas!L335="Piguaquan C",133,IF(Atletas!L335="Shaolinquan C",134,IF(Atletas!L335="Tanglangquan C",135,IF(Atletas!L335="Yinzhaophai C",136,IF(Atletas!L335="Tongbeiquan C",137,IF(Atletas!L335="Wudangquan C",138,IF(Atletas!L335="Outros Estilos C",139,0))))))))))))))))))))))))))))))))))))))))))</f>
        <v/>
      </c>
      <c r="BM339" s="52" t="str">
        <f>IF(Atletas!L335="","",IF(Atletas!W335&lt;&gt;"",10000,0)+(IF(Atletas!B335="Feminino",1000,IF(Atletas!B335="Masculino",2000,""))+(IF(Atletas!L335="Chaquan D",140,IF(Atletas!L335="Emeiquan D",141,IF(Atletas!L335="Fanziquan D",142,IF(Atletas!L335="Huaquan D",143,IF(Atletas!L335="Hongquan D",144,IF(Atletas!L335="Paochui D",145,IF(Atletas!L335="Piguaquan D",146,IF(Atletas!L335="Shaolinquan D",147,IF(Atletas!L335="Tanglangquan D",148,IF(Atletas!L335="Yinzhaophai D",149,IF(Atletas!L335="Tongbeiquan D",150,IF(Atletas!L335="Wudangquan D",151,IF(Atletas!L335="Outros Estilos D",152,IF(Atletas!L335="Chaquan E",153,IF(Atletas!L335="Emeiquan E",154,IF(Atletas!L335="Fanziquan E",155,IF(Atletas!L335="Huaquan E",156,IF(Atletas!L335="Hongquan E",157,IF(Atletas!L335="Paochui E",158,IF(Atletas!L335="Piguaquan E",159,IF(Atletas!L335="Shaolinquan E",160,IF(Atletas!L335="Tanglangquan E",161,IF(Atletas!L335="Yinzhaophai E",162,IF(Atletas!L335="Tongbeiquan E",163,IF(Atletas!L335="Wudangquan E",164,IF(Atletas!L335="Outros Estilos E",165,IF(Atletas!L335="Chaquan F",166,IF(Atletas!L335="Emeiquan F",167,IF(Atletas!L335="Fanziquan F",168,IF(Atletas!L335="Huaquan F",169,IF(Atletas!L335="Hongquan F",170,IF(Atletas!L335="Paochui F",171,IF(Atletas!L335="Piguaquan F",172,IF(Atletas!L335="Shaolinquan F",173,IF(Atletas!L335="Tanglangquan F",174,IF(Atletas!L335="Yinzhaophai F",175,IF(Atletas!L335="Tongbeiquan F",176,IF(Atletas!L335="Wudangquan F",177,IF(Atletas!L335="Outros Estilos F",178,0))))))))))))))))))))))))))))))))))))))))))</f>
        <v/>
      </c>
      <c r="BN339" s="52" t="str">
        <f>IF(Atletas!M335="","",IF(Atletas!W335&lt;&gt;"",10000,0)+(IF(Atletas!B335="Feminino",1000,IF(Atletas!B335="Masculino",2000,""))+(IF(Atletas!M335="Ditangquan A",201,IF(Atletas!M335="Houquan A",202,IF(Atletas!M335="Zuiquan A",203,IF(Atletas!M335="Ditangquan B",204,IF(Atletas!M335="Houquan B",205,IF(Atletas!M335="Zuiquan B",206,IF(Atletas!M335="Ditangquan C",207,IF(Atletas!M335="Houquan C",208,IF(Atletas!M335="Zuiquan C",209,IF(Atletas!M335="Ditangquan D",210,IF(Atletas!M335="Houquan D",211,IF(Atletas!M335="Zuiquan D",212,IF(Atletas!M335="Ditangquan E",213,IF(Atletas!M335="Houquan E",214,IF(Atletas!M335="Zuiquan E",215,IF(Atletas!M335="Ditangquan F",216,IF(Atletas!M335="Houquan F",217,IF(Atletas!M335="Zuiquan F",218,"")))))))))))))))))))))</f>
        <v/>
      </c>
      <c r="BO339" s="52" t="str">
        <f>IF(Atletas!N335="","",IF(Atletas!W335&lt;&gt;"",10000,0)+IF(Atletas!B335="Feminino",1000,IF(Atletas!B335="Masculino",2000,""))+IF(Atletas!N335="Yang A",301,IF(Atletas!N335="Chen A",30,IF(Atletas!N335="Sun A",303,IF(Atletas!N335="Wu A",304,IF(Atletas!N335="Wu-Hao A",305,IF(Atletas!N335="Outro Taijiquan A",306,IF(Atletas!N335="Yang B",307,IF(Atletas!N335="Chen B",308,IF(Atletas!N335="Sun B",309,IF(Atletas!N335="Wu B",310,IF(Atletas!N335="Wu-Hao B",311,IF(Atletas!N335="Outro Taijiquan B",312,IF(Atletas!N335="Yang C",313,IF(Atletas!N335="Chen C",314,IF(Atletas!N335="Sun C",315,IF(Atletas!N335="Wu C",316,IF(Atletas!N335="Wu-Hao C",317,IF(Atletas!N335="Outro Taijiquan C",318,IF(Atletas!N335="Yang D",319,IF(Atletas!N335="Chen D",320,IF(Atletas!N335="Sun D",321,IF(Atletas!N335="Wu D",322,IF(Atletas!N335="Wu-Hao D",323,IF(Atletas!N335="Outro Taijiquan D",324,IF(Atletas!N335="Yang E",325,IF(Atletas!N335="Chen E",326,IF(Atletas!N335="Sun E",327,IF(Atletas!N335="Wu E",328,IF(Atletas!N335="Wu-Hao E",329,IF(Atletas!N335="Outro Taijiquan E",330,IF(Atletas!N335="Yang F",331,IF(Atletas!N335="Chen F",332,IF(Atletas!N335="Sun F",333,IF(Atletas!N335="Wu F",334,IF(Atletas!N335="Wu-Hao F",335,IF(Atletas!N335="Outro Taijiquan F",336,"")))))))))))))))))))))))))))))))))))))</f>
        <v/>
      </c>
      <c r="BP339" s="52" t="str">
        <f>IF(Atletas!O335="","",IF(Atletas!W335&lt;&gt;"",10000,0)+IF(Atletas!B335="Feminino",1000,IF(Atletas!B335="Masculino",2000,""))+IF(OR(Atletas!O335="Yang 26 A",Atletas!O335="Yang 40 A"),401,IF(OR(Atletas!O335="Chen 25 A",Atletas!O335="Chen 36 A",Atletas!O335="Chen 56 A"),402,IF(Atletas!O335="Sun 73 A",403,IF(Atletas!O335="Wu 45 A",404,IF(Atletas!O335="Wu-Hao 46 A",405,IF(OR(Atletas!O335="Taijiquan 16 A",Atletas!O335="Taijiquan 24 A",Atletas!O335="Taijiquan 32 A",Atletas!O335="Taijiquan 42 A"),406,IF(OR(Atletas!O335="Yang 26 B",Atletas!O335="Yang 40 B"),407,IF(OR(Atletas!O335="Chen 25 B",Atletas!O335="Chen 36 B",Atletas!O335="Chen 56 B"),408,IF(Atletas!O335="Sun 73 B",409,IF(Atletas!O335="Wu 45 B",410,IF(Atletas!O335="Wu-Hao 46 B",411,IF(OR(Atletas!O335="Taijiquan 16 B",Atletas!O335="Taijiquan 24 B",Atletas!O335="Taijiquan 32 B",Atletas!O335="Taijiquan 42 B"),412,IF(OR(Atletas!O335="Yang 26 C",Atletas!O335="Yang 40 C"),413,IF(OR(Atletas!O335="Chen 25 C",Atletas!O335="Chen 36 C",Atletas!O335="Chen 56 C"),414,IF(Atletas!O335="Sun 73 C",415,IF(Atletas!O335="Wu 45 C",416,IF(Atletas!O335="Wu-Hao 46 C",417,IF(OR(Atletas!O335="Taijiquan 16 C",Atletas!O335="Taijiquan 24 C",Atletas!O335="Taijiquan 32 C",Atletas!O335="Taijiquan 42 C"),418,0)))))))))))))))))))</f>
        <v/>
      </c>
      <c r="BQ339" s="52" t="str">
        <f>IF(Atletas!O335="","",IF(Atletas!W335&lt;&gt;"",10000,0)+IF(Atletas!B335="Feminino",1000,IF(Atletas!B335="Masculino",2000,""))+IF(OR(Atletas!O335="Yang 26 D",Atletas!O335="Yang 40 D"),419,IF(OR(Atletas!O335="Chen 25 D",Atletas!O335="Chen 36 D",Atletas!O335="Chen 56 D"),420,IF(Atletas!O335="Sun 73 D",421,IF(Atletas!O335="Wu 45 D",422,IF(Atletas!O335="Wu-Hao 46 D",423,IF(OR(Atletas!O335="Taijiquan 16 D",Atletas!O335="Taijiquan 24 D",Atletas!O335="Taijiquan 32 D",Atletas!O335="Taijiquan 42 D"),424,IF(OR(Atletas!O335="Yang 26 E",Atletas!O335="Yang 40 E"),425,IF(OR(Atletas!O335="Chen 25 E",Atletas!O335="Chen 36 E",Atletas!O335="Chen 56 E"),426,IF(Atletas!O335="Sun 73 E",427,IF(Atletas!O335="Wu 45 E",428,IF(Atletas!O335="Wu-Hao 46 E",429,IF(OR(Atletas!O335="Taijiquan 16 E",Atletas!O335="Taijiquan 24 E",Atletas!O335="Taijiquan 32 E",Atletas!O335="Taijiquan 42 E"),430,IF(OR(Atletas!O335="Yang 26 F",Atletas!O335="Yang 40 F"),431,IF(OR(Atletas!O335="Chen 25 F",Atletas!O335="Chen 36 F",Atletas!O335="Chen 56 F"),432,IF(Atletas!O335="Sun 73 F",433,IF(Atletas!O335="Wu 45 F",434,IF(Atletas!O335="Wu-Hao 46 F",435,IF(OR(Atletas!O335="Taijiquan 16 F",Atletas!O335="Taijiquan 24 F",Atletas!O335="Taijiquan 32 F",Atletas!O335="Taijiquan 42 F"),436,0)))))))))))))))))))</f>
        <v/>
      </c>
      <c r="BR339" s="52" t="str">
        <f>IF(Atletas!P335="","",IF(Atletas!W335&lt;&gt;"",10000,0)+IF(Atletas!B335="Feminino",1000,IF(Atletas!B335="Masculino",2000,""))+IF(Atletas!P335="Xingyiquan A",501,IF(Atletas!P335="Baguazhang A",502,IF(Atletas!P335="Outro Estilo Interno A",503,IF(Atletas!P335="Xingyiquan B",504,IF(Atletas!P335="Baguazhang B",505,IF(Atletas!P335="Outro Estilo Interno B",506,IF(Atletas!P335="Xingyiquan C",507,IF(Atletas!P335="Baguazhang C",508,IF(Atletas!P335="Outro Estilo Interno C",509,IF(Atletas!P335="Xingyiquan D",510,IF(Atletas!P335="Baguazhang D",511,IF(Atletas!P335="Outro Estilo Interno D",512,IF(Atletas!P335="Xingyiquan E",513,IF(Atletas!P335="Baguazhang E",514,IF(Atletas!P335="Outro Estilo Interno E",515,IF(Atletas!P335="Xingyiquan F",516,IF(Atletas!P335="Baguazhang F",517,IF(Atletas!P335="Outro Estilo Interno F",518, "")))))))))))))))))))</f>
        <v/>
      </c>
      <c r="BS339" s="52" t="str">
        <f>IF(Atletas!Q335="","",IF(Atletas!W335&lt;&gt;"",10000,0)+IF(Atletas!B335="Feminino",1000,IF(Atletas!B335="Masculino",2000,""))+IF(Atletas!Q335="Dao A",601,IF(Atletas!Q335="Jian A",602,IF(Atletas!Q335="Bishou A",603,IF(Atletas!Q335="Shan A",604,IF(Atletas!Q335="Outra Arma Curta A",605,IF(Atletas!Q335="Dao B",606,IF(Atletas!Q335="Jian B",607,IF(Atletas!Q335="Bishou B",608,IF(Atletas!Q335="Shan B",609,IF(Atletas!Q335="Outra Arma Curta B",610,IF(Atletas!Q335="Dao C",611,IF(Atletas!Q335="Jian C",612,IF(Atletas!Q335="Bishou C",613,IF(Atletas!Q335="Shan C",614,IF(Atletas!Q335="Outra Arma Curta C",615,IF(Atletas!Q335="Dao D",616,IF(Atletas!Q335="Jian D",617,IF(Atletas!Q335="Bishou D",618,IF(Atletas!Q335="Shan D",619,IF(Atletas!Q335="Outra Arma Curta D",620,IF(Atletas!Q335="Dao E",621,IF(Atletas!Q335="Jian E",622,IF(Atletas!Q335="Bishou E",623,IF(Atletas!Q335="Shan E",624,IF(Atletas!Q335="Outra Arma Curta E",625,IF(Atletas!Q335="Dao F",626,IF(Atletas!Q335="Jian F",627,IF(Atletas!Q335="Bishou F",628,IF(Atletas!Q335="Shan F",629,IF(Atletas!Q335="Outra Arma Curta F",630, "")))))))))))))))))))))))))))))))</f>
        <v/>
      </c>
      <c r="BT339" s="52" t="str">
        <f>IF(Atletas!R335="","",IF(Atletas!W335&lt;&gt;"",10000,0)+IF(Atletas!B335="Feminino",1000,IF(Atletas!B335="Masculino",2000,""))+IF(Atletas!R335="Gun A",701,IF(Atletas!R335="Qiang A",702,IF(Atletas!R335="Pudao / Guandao A",703,IF(Atletas!R335="Outra Arma Longa A",704,IF(Atletas!R335="Gun B",705,IF(Atletas!R335="Qiang B",706,IF(Atletas!R335="Pudao / Guandao B",707,IF(Atletas!R335="Outra Arma Longa B",708,IF(Atletas!R335="Gun C",709,IF(Atletas!R335="Qiang C",710,IF(Atletas!R335="Pudao / Guandao C",711,IF(Atletas!R335="Outra Arma Longa C",712,IF(Atletas!R335="Gun D",713,IF(Atletas!R335="Qiang D",714,IF(Atletas!R335="Pudao / Guandao D",715,IF(Atletas!R335="Outra Arma Longa D",716,IF(Atletas!R335="Gun E",717,IF(Atletas!R335="Qiang E",718,IF(Atletas!R335="Pudao / Guandao E",719,IF(Atletas!R335="Outra Arma Longa E",720,IF(Atletas!R335="Gun F",721,IF(Atletas!R335="Qiang F",722,IF(Atletas!R335="Pudao / Guandao F",723,IF(Atletas!R335="Outra Arma Longa F",724,"")))))))))))))))))))))))))</f>
        <v/>
      </c>
      <c r="BU339" s="52" t="str">
        <f>IF(Atletas!S335="","",IF(Atletas!W335&lt;&gt;"",10000,0)+IF(Atletas!B335="Feminino",1000,IF(Atletas!B335="Masculino",2000,""))+IF(Atletas!S335="Arma Dupla A",801,IF(Atletas!S335="Arma Maleável A",802,IF(Atletas!S335="Arma Dupla B",803,IF(Atletas!S335="Arma Maleável B",804,IF(Atletas!S335="Arma Dupla C",805,IF(Atletas!S335="Arma Maleável C",806,IF(Atletas!S335="Arma Dupla D",807,IF(Atletas!S335="Arma Maleável D",808,IF(Atletas!S335="Arma Dupla E",809,IF(Atletas!S335="Arma Maleável E",810,IF(Atletas!S335="Arma Dupla F",811,IF(Atletas!S335="Arma Maleável F",812, "")))))))))))))</f>
        <v/>
      </c>
      <c r="BV339" s="52" t="str">
        <f>IF(Atletas!T335="","",IF(Atletas!W335&lt;&gt;"",10000,0)+IF(Atletas!B335="Feminino",1000,IF(Atletas!B335="Masculino",2000,""))+IF(Atletas!T335="Taijijian Yang A",901,IF(Atletas!T335="Taijijian Chen A",902,IF(Atletas!T335="Taijijian Sun A",903,IF(Atletas!T335="Taijijian Wu A",904,IF(Atletas!T335="Taijijian Wu-Hao A",905,IF(Atletas!T335="Taijijian 32 A",906,IF(Atletas!T335="Taijijian 42 A",907,IF(Atletas!T335="Taijijian Yang B",908,IF(Atletas!T335="Taijijian Chen B",909,IF(Atletas!T335="Taijijian Sun B",910,IF(Atletas!T335="Taijijian Wu B",911,IF(Atletas!T335="Taijijian Wu-Hao B",912,IF(Atletas!T335="Taijijian 32 B",913,IF(Atletas!T335="Taijijian 42 B",914,IF(Atletas!T335="Taijijian Yang C",915,IF(Atletas!T335="Taijijian Chen C",916,IF(Atletas!T335="Taijijian Sun C",917,IF(Atletas!T335="Taijijian Wu C",918,IF(Atletas!T335="Taijijian Wu-Hao C",919,IF(Atletas!T335="Taijijian 32 C",920,IF(Atletas!T335="Taijijian 42 C",921,IF(Atletas!T335="Taijijian Yang D",922,IF(Atletas!T335="Taijijian Chen D",923,IF(Atletas!T335="Taijijian Sun D",924,IF(Atletas!T335="Taijijian Wu D",925,IF(Atletas!T335="Taijijian Wu-Hao D",926,IF(Atletas!T335="Taijijian 32 D",927,IF(Atletas!T335="Taijijian 42 D",928,IF(Atletas!T335="Taijijian Yang E",929,IF(Atletas!T335="Taijijian Chen E",930,IF(Atletas!T335="Taijijian Sun E",931,IF(Atletas!T335="Taijijian Wu E",932,IF(Atletas!T335="Taijijian Wu-Hao E",933,IF(Atletas!T335="Taijijian 32 E",934,IF(Atletas!T335="Taijijian 42 E",935,IF(Atletas!T335="Taijijian Yang F",936,IF(Atletas!T335="Taijijian Chen F",937,IF(Atletas!T335="Taijijian Sun F",938,IF(Atletas!T335="Taijijian Wu F",939,IF(Atletas!T335="Taijijian Wu-Hao F",940,IF(Atletas!T335="Taijijian 32 F",941,IF(Atletas!T335="Taijijian 42 F",942,"")))))))))))))))))))))))))))))))))))))))))))</f>
        <v/>
      </c>
      <c r="BW339" s="52" t="str">
        <f>IF(Atletas!U335="","",IF(Atletas!W335&lt;&gt;"",10000,0)+IF(Atletas!B335="Feminino",1000,IF(Atletas!B335="Masculino",2000,""))+IF(Atletas!T335="Taijijian 42 F",942,IF(Atletas!U335="Taijidao A",943,IF(Atletas!U335="Taijishan A",944,IF(Atletas!U335="Taijiqiang A",945,IF(Atletas!U335="Taijidao B",946,IF(Atletas!U335="Taijishan B",947,IF(Atletas!U335="Taijiqiang B",948,IF(Atletas!U335="Taijidao C",949,IF(Atletas!U335="Taijishan C",950,IF(Atletas!U335="Taijiqiang C",951,IF(Atletas!U335="Taijidao D",952,IF(Atletas!U335="Taijishan D",953,IF(Atletas!U335="Taijiqiang D",954,IF(Atletas!U335="Taijidao E",955,IF(Atletas!U335="Taijishan E",956,IF(Atletas!U335="Taijiqiang E",957,IF(Atletas!U335="Taijidao F",958,IF(Atletas!U335="Taijishan F",959,IF(Atletas!U335="Taijiqiang F",960))))))))))))))))))))</f>
        <v/>
      </c>
      <c r="BX339" s="72" t="str">
        <f>IF(BY339&lt;&gt;"","Taijiqiang E","")</f>
        <v/>
      </c>
      <c r="BY339" s="72" t="str">
        <f>IF(COUNTIF(BK:BW,1957)&gt;0,COUNTIF(BK:BW,1957),"")</f>
        <v/>
      </c>
      <c r="BZ339" s="72" t="str">
        <f>IF(CA339&lt;&gt;"","Taijiqiang E","")</f>
        <v/>
      </c>
      <c r="CA339" s="72" t="str">
        <f>IF(COUNTIF(BK:BW,2957)&gt;0,COUNTIF(BK:BW,2957),"")</f>
        <v/>
      </c>
      <c r="CB339" s="72" t="str">
        <f>IF(CC339&lt;&gt;"","Arma Dupla B","")</f>
        <v/>
      </c>
      <c r="CC339" s="64" t="str">
        <f>IF(COUNTIF(BK:BW,11803)&gt;0,COUNTIF(BK:BW,11803),"")</f>
        <v/>
      </c>
      <c r="CD339" s="64" t="str">
        <f>IF(CE339&lt;&gt;"","Arma Dupla B","")</f>
        <v/>
      </c>
      <c r="CE339" s="64" t="str">
        <f>IF(COUNTIF(BK:BW,12803)&gt;0,COUNTIF(BK:BW,12803),"")</f>
        <v/>
      </c>
      <c r="CF339" s="52" t="str">
        <f xml:space="preserve"> IF(Atletas!V335="","",IF(Atletas!V335="Duilian de Mãos AB - Equipe 1",1,IF(Atletas!V335="Duilian de Mãos AB - Equipe 2",2,IF(Atletas!V335="Duilian de Armas AB - Equipe 1",3,IF(Atletas!V335="Duilian de Armas AB - Equipe 2",4,IF(Atletas!V335="Duilian de Tuishou - Equipe 1",5,IF(Atletas!V335="Duilian de Tuishou - Equipe 2",6,IF(Atletas!V335="Grupo Externo AB - Equipe 1",7,IF(Atletas!V335="Grupo Externo AB - Equipe 2",8,IF(Atletas!V335="Grupo Interno AB - Equipe 1",9,IF(Atletas!V335="Grupo Interno AB - Equipe 2",10,IF(Atletas!V335="Duilian de Mãos CD - Equipe 1",11,IF(Atletas!V335="Duilian de Mãos CD - Equipe 2",12,IF(Atletas!V335="Duilian de Armas CD - Equipe 1",13,IF(Atletas!V335="Duilian de Armas CD - Equipe 2",14,IF(Atletas!V335="Duilian de Tuishou - Equipe 1",15,IF(Atletas!V335="Duilian de Tuishou - Equipe 2",16,IF(Atletas!V335="Grupo Externo CDEF - Equipe 1",17,IF(Atletas!V335="Grupo Externo CDEF - Equipe 2",18,IF(Atletas!V335="Grupo Interno CDEF - Equipe 1",19,IF(Atletas!V335="Grupo Interno CDEF - Equipe 2",20,IF(Atletas!V335="Duilian de Mãos EF - Equipe 1",21,IF(Atletas!V335="Duilian de Mãos EF - Equipe 2",22,IF(Atletas!V335="Duilian de Armas EF - Equipe 1",23,IF(Atletas!V335="Duilian de Armas EF - Equipe 2",24,IF(Atletas!V335="Duilian de Tuishou - Equipe 1",25,IF(Atletas!V335="Duilian de Tuishou - Equipe 2",26,"")))))))))))))))))))))))))))</f>
        <v/>
      </c>
    </row>
    <row r="340" spans="36:84">
      <c r="AJ340" s="46" t="str">
        <f>IF(Atletas!D336="","",IF(Atletas!B336="Feminino",100,IF(Atletas!B336="Masculino",200,""))+(IF(Atletas!D336="Infantil 39kg",1,IF(Atletas!D336="Infantil 42kg",2,IF(Atletas!D336="Infantil 45kg",3,IF(Atletas!D336="Infantil 48kg",4,IF(Atletas!D336="Infantil 52kg",5,IF(Atletas!D336="Infantil 56kg",6,IF(Atletas!D336="Infantil 60kg",7,IF(Atletas!D336="Juvenil 48kg",8,IF(Atletas!D336="Juvenil 52kg",9,IF(Atletas!D336="Juvenil 56kg",10,IF(Atletas!D336="Juvenil 60kg",11,IF(Atletas!D336="Juvenil 65kg",12,IF(Atletas!D336="Juvenil 70kg",13,IF(Atletas!D336="Juvenil 75kg",14,IF(Atletas!D336="Juvenil 80kg",15,IF(Atletas!D336="Adulto 48kg",16,IF(Atletas!D336="Adulto 52kg",17,IF(Atletas!D336="Adulto 56kg",18,IF(Atletas!D336="Adulto 60kg",19,IF(Atletas!D336="Adulto 65kg",20,IF(Atletas!D336="Adulto 70kg",21,IF(Atletas!D336="Adulto 75kg",22,IF(Atletas!D336="Adulto 80kg",23,IF(Atletas!D336="Adulto 85kg",24,IF(Atletas!D336="Adulto 90kg",25,IF(Atletas!D336="Adulto +90kg",26,""))))))))))))))))))))))))))))</f>
        <v/>
      </c>
      <c r="AO340" s="10" t="str">
        <f>IF(Atletas!E336="","",IF(Atletas!B336="Feminino",100,IF(Atletas!B336="Masculino",200,""))+(IF(Atletas!E336="Juvenil 44kg",1,IF(Atletas!E336="Juvenil 48kg",2,IF(Atletas!E336="Juvenil 52kg",3,IF(Atletas!E336="Juvenil 56kg",4,IF(Atletas!E336="Juvenil 60kg",5,IF(Atletas!E336="Juvenil 65kg",6,IF(Atletas!E336="Juvenil 70kg",7,IF(Atletas!E336="Juvenil 75kg",8,IF(Atletas!E336="Juvenil 82kg",9,IF(Atletas!E336="Juvenil 90kg",10,IF(Atletas!E336="Juvenil 100kg",11,IF(Atletas!E336="Adulto 48kg",12,IF(Atletas!E336="Adulto 52kg",13,IF(Atletas!E336="Adulto 56kg",14,IF(Atletas!E336="Adulto 60kg",15,IF(Atletas!E336="Adulto 65kg",16,IF(Atletas!E336="Adulto 70kg",17,IF(Atletas!E336="Adulto 75kg",18,IF(Atletas!E336="Adulto 82kg",19,IF(Atletas!E336="Adulto 90kg",20,IF(Atletas!E336="Adulto 100kg",21,IF(Atletas!E336="Adulto +100kg",22,""))))))))))))))))))))))))</f>
        <v/>
      </c>
      <c r="AT340" s="10" t="str">
        <f>IF(Atletas!F336="","",IF(Atletas!B336="Feminino",100,IF(Atletas!B336="Masculino",200,""))+(IF(Atletas!F336="Adulto 48kg",1,IF(Atletas!F336="Adulto 56kg",2,IF(Atletas!F336="Adulto 65kg",3,IF(Atletas!F336="Adulto 75kg",4,IF(Atletas!F336="Adulto +75kg",5,IF(Atletas!F336="Adulto 52kg",6,IF(Atletas!F336="Adulto 60kg",7,IF(Atletas!F336="Adulto 70kg",8,IF(Atletas!F336="Adulto 80kg",9,IF(Atletas!F336="Adulto 90kg",10,IF(Atletas!F336="Adulto +90kg",11,"")))))))))))))</f>
        <v/>
      </c>
      <c r="AY340" s="46" t="str">
        <f>IF(Atletas!G336="","",IF(Atletas!B336="Feminino",100,IF(Atletas!B336="Masculino",200,""))+(IF(Atletas!G336="Changquan Mirim",1,IF(Atletas!G336="Nanquan Mirim",2,IF(Atletas!G336="Taijiquan Mirim",3,IF(Atletas!G336="Changquan Grupo C",4,IF(Atletas!G336="Nanquan Grupo C",5,IF(Atletas!G336="Taijiquan Grupo C",6,IF(Atletas!G336="Changquan Grupo B",7,IF(Atletas!G336="Nanquan Grupo B",8,IF(Atletas!G336="Taijiquan Grupo B",9,IF(Atletas!G336="Changquan Grupo A",10,IF(Atletas!G336="Nanquan Grupo A",11,IF(Atletas!G336="Taijiquan Grupo A",12,IF(Atletas!G336="Changquan Opcional",13,IF(Atletas!G336="Nanquan Opcional",14,IF(Atletas!G336="Taijiquan Opcional",15,IF(Atletas!G336="Changquan Adulto",16,IF(Atletas!G336="Nanquan Adulto",17,IF(Atletas!G336="Taijiquan Adulto",18,""))))))))))))))))))))</f>
        <v/>
      </c>
      <c r="AZ340" s="46" t="str">
        <f>IF(Atletas!H336="","",IF(Atletas!B336="Feminino",100,IF(Atletas!B336="Masculino",200,""))+(IF(Atletas!H336="Daoshu Mirim",19,IF(Atletas!H336="Jianshu Mirim",20,IF(Atletas!H336="Nandao Mirim",21,IF(Atletas!H336="Taijijian Mirim",22,IF(Atletas!H336="Daoshu Grupo C",23,IF(Atletas!H336="Jianshu Grupo C",24,IF(Atletas!H336="Nandao Grupo C",25,IF(Atletas!H336="Taijijian Grupo C",26,IF(Atletas!H336="Daoshu Grupo B",27,IF(Atletas!H336="Jianshu Grupo B",28,IF(Atletas!H336="Nandao Grupo B",29,IF(Atletas!H336="Taijijian Grupo B",30,IF(Atletas!H336="Daoshu Grupo A",31,IF(Atletas!H336="Jianshu Grupo A",32,IF(Atletas!H336="Nandao Grupo A",33,IF(Atletas!H336="Taijijian Grupo A",34,IF(Atletas!H336="Daoshu Opcional",35,IF(Atletas!H336="Jianshu Opcional",36,IF(Atletas!H336="Nandao Opcional",37,IF(Atletas!H336="Taijijian Opcional",38,IF(Atletas!H336="Daoshu Adulto",39,IF(Atletas!H336="Jianshu Adulto",40,IF(Atletas!H336="Nandao Adulto",41,IF(Atletas!H336="Taijijian Adulto",42,""))))))))))))))))))))))))))</f>
        <v/>
      </c>
      <c r="BA340" s="46" t="str">
        <f>IF(Atletas!I336="","",IF(Atletas!B336="Feminino",100,IF(Atletas!B336="Masculino",200,""))+(IF(Atletas!I336="Gunshu Mirim",43,IF(Atletas!I336="Qiangshu Mirim",44,IF(Atletas!I336="Nangun Mirim",45,IF(Atletas!I336="Gunshu Grupo C",46,IF(Atletas!I336="Qiangshu Grupo C",47,IF(Atletas!I336="Nangun Grupo C",48,IF(Atletas!I336="Gunshu Grupo B",49,IF(Atletas!I336="Qiangshu Grupo B",50,IF(Atletas!I336="Nangun Grupo B",51,IF(Atletas!I336="Gunshu Grupo A",52,IF(Atletas!I336="Qiangshu Grupo A",53,IF(Atletas!I336="Nangun Grupo A",54,IF(Atletas!I336="Gunshu Opcional",55,IF(Atletas!I336="Qiangshu Opcional",56,IF(Atletas!I336="Nangun Opcional",57,IF(Atletas!I336="Gunshu Adulto",58,IF(Atletas!I336="Qiangshu Adulto",59,IF(Atletas!I336="Nangun Adulto",60,""))))))))))))))))))))</f>
        <v/>
      </c>
      <c r="BF340" s="52" t="str">
        <f>IF(Atletas!J336="","",IF(Atletas!B336="Feminino",100,IF(Atletas!B336="Masculino",200,""))+(IF(Atletas!J336="Equipe 1 Grupo B",1,IF(Atletas!J336="Equipe 2 Grupo B",2,IF(Atletas!J336="Equipe 1 Grupo A",3,IF(Atletas!J336="Equipe 2 Grupo A",4,IF(Atletas!J336="Equipe 1 Adulto",5,IF(Atletas!J336="Equipe 2 Adulto",6,""))))))))</f>
        <v/>
      </c>
      <c r="BK340" s="52" t="str">
        <f>IF(Atletas!K336="","",IF(Atletas!W336&lt;&gt;"",10000,0)+(IF(Atletas!B336="Feminino",1000,IF(Atletas!B336="Masculino",2000,""))+IF(Atletas!K336="Choylayfut A",1,IF(Atletas!K336="Hunggar A",2,IF(Atletas!K336="Wuzuquan A",3,IF(Atletas!K336="Wingchun A",4,IF(Atletas!K336="Outra Mão de Sul A",5,IF(Atletas!K336="Choylayfut B",6,IF(Atletas!K336="Hunggar B",7,IF(Atletas!K336="Wuzuquan B",8,IF(Atletas!K336="Wingchun B",9,IF(Atletas!K336="Outra Mão de Sul B",10,IF(Atletas!K336="Choylayfut C",11,IF(Atletas!K336="Hunggar C",12,IF(Atletas!K336="Wuzuquan C",13,IF(Atletas!K336="Wingchun C",14,IF(Atletas!K336="Outra Mão de Sul C",15,IF(Atletas!K336="Choylayfut D",16,IF(Atletas!K336="Hunggar D",17,IF(Atletas!K336="Wuzuquan D",18,IF(Atletas!K336="Wingchun D",19,IF(Atletas!K336="Outra Mão de Sul D",20,IF(Atletas!K336="Choylayfut E",21,IF(Atletas!K336="Hunggar E",22,IF(Atletas!K336="Wuzuquan E",23,IF(Atletas!K336="Wingchun E",24,IF(Atletas!K336="Outra Mão de Sul E",25,IF(Atletas!K336="Choylayfut F",26,IF(Atletas!K336="Hunggar F",27,IF(Atletas!K336="Wuzuquan F",28,IF(Atletas!K336="Wingchun F",29,IF(Atletas!K336="Outra Mão de Sul F",30,""))))))))))))))))))))))))))))))))</f>
        <v/>
      </c>
      <c r="BL340" s="52" t="str">
        <f>IF(Atletas!L336="","",IF(Atletas!W336&lt;&gt;"",10000,0)+(IF(Atletas!B336="Feminino",1000,IF(Atletas!B336="Masculino",2000,""))+(IF(Atletas!L336="Chaquan A",101,IF(Atletas!L336="Emeiquan A",102,IF(Atletas!L336="Fanziquan A",103,IF(Atletas!L336="Huaquan A",104,IF(Atletas!L336="Hongquan A",105,IF(Atletas!L336="Paochui A",106,IF(Atletas!L336="Piguaquan A",107,IF(Atletas!L336="Shaolinquan A",108,IF(Atletas!L336="Tanglangquan A",109,IF(Atletas!L336="Yinzhaophai A",110,IF(Atletas!L336="Tongbeiquan A",111,IF(Atletas!L336="Wudangquan A",112,IF(Atletas!L336="Outros Estilos A",113,IF(Atletas!L336="Chaquan B",114,IF(Atletas!L336="Emeiquan B",115,IF(Atletas!L336="Fanziquan B",116,IF(Atletas!L336="Huaquan B",117,IF(Atletas!L336="Hongquan B",118,IF(Atletas!L336="Paochui B",119,IF(Atletas!L336="Piguaquan B",120,IF(Atletas!L336="Shaolinquan B",121,IF(Atletas!L336="Tanglangquan B",122,IF(Atletas!L336="Yinzhaophai B",123,IF(Atletas!L336="Tongbeiquan B",124,IF(Atletas!L336="Wudangquan B",125,IF(Atletas!L336="Outros Estilos B",126,IF(Atletas!L336="Chaquan C",127,IF(Atletas!L336="Emeiquan C",128,IF(Atletas!L336="Fanziquan C",129,IF(Atletas!L336="Huaquan C",130,IF(Atletas!L336="Hongquan C",131,IF(Atletas!L336="Paochui C",132,IF(Atletas!L336="Piguaquan C",133,IF(Atletas!L336="Shaolinquan C",134,IF(Atletas!L336="Tanglangquan C",135,IF(Atletas!L336="Yinzhaophai C",136,IF(Atletas!L336="Tongbeiquan C",137,IF(Atletas!L336="Wudangquan C",138,IF(Atletas!L336="Outros Estilos C",139,0))))))))))))))))))))))))))))))))))))))))))</f>
        <v/>
      </c>
      <c r="BM340" s="52" t="str">
        <f>IF(Atletas!L336="","",IF(Atletas!W336&lt;&gt;"",10000,0)+(IF(Atletas!B336="Feminino",1000,IF(Atletas!B336="Masculino",2000,""))+(IF(Atletas!L336="Chaquan D",140,IF(Atletas!L336="Emeiquan D",141,IF(Atletas!L336="Fanziquan D",142,IF(Atletas!L336="Huaquan D",143,IF(Atletas!L336="Hongquan D",144,IF(Atletas!L336="Paochui D",145,IF(Atletas!L336="Piguaquan D",146,IF(Atletas!L336="Shaolinquan D",147,IF(Atletas!L336="Tanglangquan D",148,IF(Atletas!L336="Yinzhaophai D",149,IF(Atletas!L336="Tongbeiquan D",150,IF(Atletas!L336="Wudangquan D",151,IF(Atletas!L336="Outros Estilos D",152,IF(Atletas!L336="Chaquan E",153,IF(Atletas!L336="Emeiquan E",154,IF(Atletas!L336="Fanziquan E",155,IF(Atletas!L336="Huaquan E",156,IF(Atletas!L336="Hongquan E",157,IF(Atletas!L336="Paochui E",158,IF(Atletas!L336="Piguaquan E",159,IF(Atletas!L336="Shaolinquan E",160,IF(Atletas!L336="Tanglangquan E",161,IF(Atletas!L336="Yinzhaophai E",162,IF(Atletas!L336="Tongbeiquan E",163,IF(Atletas!L336="Wudangquan E",164,IF(Atletas!L336="Outros Estilos E",165,IF(Atletas!L336="Chaquan F",166,IF(Atletas!L336="Emeiquan F",167,IF(Atletas!L336="Fanziquan F",168,IF(Atletas!L336="Huaquan F",169,IF(Atletas!L336="Hongquan F",170,IF(Atletas!L336="Paochui F",171,IF(Atletas!L336="Piguaquan F",172,IF(Atletas!L336="Shaolinquan F",173,IF(Atletas!L336="Tanglangquan F",174,IF(Atletas!L336="Yinzhaophai F",175,IF(Atletas!L336="Tongbeiquan F",176,IF(Atletas!L336="Wudangquan F",177,IF(Atletas!L336="Outros Estilos F",178,0))))))))))))))))))))))))))))))))))))))))))</f>
        <v/>
      </c>
      <c r="BN340" s="52" t="str">
        <f>IF(Atletas!M336="","",IF(Atletas!W336&lt;&gt;"",10000,0)+(IF(Atletas!B336="Feminino",1000,IF(Atletas!B336="Masculino",2000,""))+(IF(Atletas!M336="Ditangquan A",201,IF(Atletas!M336="Houquan A",202,IF(Atletas!M336="Zuiquan A",203,IF(Atletas!M336="Ditangquan B",204,IF(Atletas!M336="Houquan B",205,IF(Atletas!M336="Zuiquan B",206,IF(Atletas!M336="Ditangquan C",207,IF(Atletas!M336="Houquan C",208,IF(Atletas!M336="Zuiquan C",209,IF(Atletas!M336="Ditangquan D",210,IF(Atletas!M336="Houquan D",211,IF(Atletas!M336="Zuiquan D",212,IF(Atletas!M336="Ditangquan E",213,IF(Atletas!M336="Houquan E",214,IF(Atletas!M336="Zuiquan E",215,IF(Atletas!M336="Ditangquan F",216,IF(Atletas!M336="Houquan F",217,IF(Atletas!M336="Zuiquan F",218,"")))))))))))))))))))))</f>
        <v/>
      </c>
      <c r="BO340" s="52" t="str">
        <f>IF(Atletas!N336="","",IF(Atletas!W336&lt;&gt;"",10000,0)+IF(Atletas!B336="Feminino",1000,IF(Atletas!B336="Masculino",2000,""))+IF(Atletas!N336="Yang A",301,IF(Atletas!N336="Chen A",30,IF(Atletas!N336="Sun A",303,IF(Atletas!N336="Wu A",304,IF(Atletas!N336="Wu-Hao A",305,IF(Atletas!N336="Outro Taijiquan A",306,IF(Atletas!N336="Yang B",307,IF(Atletas!N336="Chen B",308,IF(Atletas!N336="Sun B",309,IF(Atletas!N336="Wu B",310,IF(Atletas!N336="Wu-Hao B",311,IF(Atletas!N336="Outro Taijiquan B",312,IF(Atletas!N336="Yang C",313,IF(Atletas!N336="Chen C",314,IF(Atletas!N336="Sun C",315,IF(Atletas!N336="Wu C",316,IF(Atletas!N336="Wu-Hao C",317,IF(Atletas!N336="Outro Taijiquan C",318,IF(Atletas!N336="Yang D",319,IF(Atletas!N336="Chen D",320,IF(Atletas!N336="Sun D",321,IF(Atletas!N336="Wu D",322,IF(Atletas!N336="Wu-Hao D",323,IF(Atletas!N336="Outro Taijiquan D",324,IF(Atletas!N336="Yang E",325,IF(Atletas!N336="Chen E",326,IF(Atletas!N336="Sun E",327,IF(Atletas!N336="Wu E",328,IF(Atletas!N336="Wu-Hao E",329,IF(Atletas!N336="Outro Taijiquan E",330,IF(Atletas!N336="Yang F",331,IF(Atletas!N336="Chen F",332,IF(Atletas!N336="Sun F",333,IF(Atletas!N336="Wu F",334,IF(Atletas!N336="Wu-Hao F",335,IF(Atletas!N336="Outro Taijiquan F",336,"")))))))))))))))))))))))))))))))))))))</f>
        <v/>
      </c>
      <c r="BP340" s="52" t="str">
        <f>IF(Atletas!O336="","",IF(Atletas!W336&lt;&gt;"",10000,0)+IF(Atletas!B336="Feminino",1000,IF(Atletas!B336="Masculino",2000,""))+IF(OR(Atletas!O336="Yang 26 A",Atletas!O336="Yang 40 A"),401,IF(OR(Atletas!O336="Chen 25 A",Atletas!O336="Chen 36 A",Atletas!O336="Chen 56 A"),402,IF(Atletas!O336="Sun 73 A",403,IF(Atletas!O336="Wu 45 A",404,IF(Atletas!O336="Wu-Hao 46 A",405,IF(OR(Atletas!O336="Taijiquan 16 A",Atletas!O336="Taijiquan 24 A",Atletas!O336="Taijiquan 32 A",Atletas!O336="Taijiquan 42 A"),406,IF(OR(Atletas!O336="Yang 26 B",Atletas!O336="Yang 40 B"),407,IF(OR(Atletas!O336="Chen 25 B",Atletas!O336="Chen 36 B",Atletas!O336="Chen 56 B"),408,IF(Atletas!O336="Sun 73 B",409,IF(Atletas!O336="Wu 45 B",410,IF(Atletas!O336="Wu-Hao 46 B",411,IF(OR(Atletas!O336="Taijiquan 16 B",Atletas!O336="Taijiquan 24 B",Atletas!O336="Taijiquan 32 B",Atletas!O336="Taijiquan 42 B"),412,IF(OR(Atletas!O336="Yang 26 C",Atletas!O336="Yang 40 C"),413,IF(OR(Atletas!O336="Chen 25 C",Atletas!O336="Chen 36 C",Atletas!O336="Chen 56 C"),414,IF(Atletas!O336="Sun 73 C",415,IF(Atletas!O336="Wu 45 C",416,IF(Atletas!O336="Wu-Hao 46 C",417,IF(OR(Atletas!O336="Taijiquan 16 C",Atletas!O336="Taijiquan 24 C",Atletas!O336="Taijiquan 32 C",Atletas!O336="Taijiquan 42 C"),418,0)))))))))))))))))))</f>
        <v/>
      </c>
      <c r="BQ340" s="52" t="str">
        <f>IF(Atletas!O336="","",IF(Atletas!W336&lt;&gt;"",10000,0)+IF(Atletas!B336="Feminino",1000,IF(Atletas!B336="Masculino",2000,""))+IF(OR(Atletas!O336="Yang 26 D",Atletas!O336="Yang 40 D"),419,IF(OR(Atletas!O336="Chen 25 D",Atletas!O336="Chen 36 D",Atletas!O336="Chen 56 D"),420,IF(Atletas!O336="Sun 73 D",421,IF(Atletas!O336="Wu 45 D",422,IF(Atletas!O336="Wu-Hao 46 D",423,IF(OR(Atletas!O336="Taijiquan 16 D",Atletas!O336="Taijiquan 24 D",Atletas!O336="Taijiquan 32 D",Atletas!O336="Taijiquan 42 D"),424,IF(OR(Atletas!O336="Yang 26 E",Atletas!O336="Yang 40 E"),425,IF(OR(Atletas!O336="Chen 25 E",Atletas!O336="Chen 36 E",Atletas!O336="Chen 56 E"),426,IF(Atletas!O336="Sun 73 E",427,IF(Atletas!O336="Wu 45 E",428,IF(Atletas!O336="Wu-Hao 46 E",429,IF(OR(Atletas!O336="Taijiquan 16 E",Atletas!O336="Taijiquan 24 E",Atletas!O336="Taijiquan 32 E",Atletas!O336="Taijiquan 42 E"),430,IF(OR(Atletas!O336="Yang 26 F",Atletas!O336="Yang 40 F"),431,IF(OR(Atletas!O336="Chen 25 F",Atletas!O336="Chen 36 F",Atletas!O336="Chen 56 F"),432,IF(Atletas!O336="Sun 73 F",433,IF(Atletas!O336="Wu 45 F",434,IF(Atletas!O336="Wu-Hao 46 F",435,IF(OR(Atletas!O336="Taijiquan 16 F",Atletas!O336="Taijiquan 24 F",Atletas!O336="Taijiquan 32 F",Atletas!O336="Taijiquan 42 F"),436,0)))))))))))))))))))</f>
        <v/>
      </c>
      <c r="BR340" s="52" t="str">
        <f>IF(Atletas!P336="","",IF(Atletas!W336&lt;&gt;"",10000,0)+IF(Atletas!B336="Feminino",1000,IF(Atletas!B336="Masculino",2000,""))+IF(Atletas!P336="Xingyiquan A",501,IF(Atletas!P336="Baguazhang A",502,IF(Atletas!P336="Outro Estilo Interno A",503,IF(Atletas!P336="Xingyiquan B",504,IF(Atletas!P336="Baguazhang B",505,IF(Atletas!P336="Outro Estilo Interno B",506,IF(Atletas!P336="Xingyiquan C",507,IF(Atletas!P336="Baguazhang C",508,IF(Atletas!P336="Outro Estilo Interno C",509,IF(Atletas!P336="Xingyiquan D",510,IF(Atletas!P336="Baguazhang D",511,IF(Atletas!P336="Outro Estilo Interno D",512,IF(Atletas!P336="Xingyiquan E",513,IF(Atletas!P336="Baguazhang E",514,IF(Atletas!P336="Outro Estilo Interno E",515,IF(Atletas!P336="Xingyiquan F",516,IF(Atletas!P336="Baguazhang F",517,IF(Atletas!P336="Outro Estilo Interno F",518, "")))))))))))))))))))</f>
        <v/>
      </c>
      <c r="BS340" s="52" t="str">
        <f>IF(Atletas!Q336="","",IF(Atletas!W336&lt;&gt;"",10000,0)+IF(Atletas!B336="Feminino",1000,IF(Atletas!B336="Masculino",2000,""))+IF(Atletas!Q336="Dao A",601,IF(Atletas!Q336="Jian A",602,IF(Atletas!Q336="Bishou A",603,IF(Atletas!Q336="Shan A",604,IF(Atletas!Q336="Outra Arma Curta A",605,IF(Atletas!Q336="Dao B",606,IF(Atletas!Q336="Jian B",607,IF(Atletas!Q336="Bishou B",608,IF(Atletas!Q336="Shan B",609,IF(Atletas!Q336="Outra Arma Curta B",610,IF(Atletas!Q336="Dao C",611,IF(Atletas!Q336="Jian C",612,IF(Atletas!Q336="Bishou C",613,IF(Atletas!Q336="Shan C",614,IF(Atletas!Q336="Outra Arma Curta C",615,IF(Atletas!Q336="Dao D",616,IF(Atletas!Q336="Jian D",617,IF(Atletas!Q336="Bishou D",618,IF(Atletas!Q336="Shan D",619,IF(Atletas!Q336="Outra Arma Curta D",620,IF(Atletas!Q336="Dao E",621,IF(Atletas!Q336="Jian E",622,IF(Atletas!Q336="Bishou E",623,IF(Atletas!Q336="Shan E",624,IF(Atletas!Q336="Outra Arma Curta E",625,IF(Atletas!Q336="Dao F",626,IF(Atletas!Q336="Jian F",627,IF(Atletas!Q336="Bishou F",628,IF(Atletas!Q336="Shan F",629,IF(Atletas!Q336="Outra Arma Curta F",630, "")))))))))))))))))))))))))))))))</f>
        <v/>
      </c>
      <c r="BT340" s="52" t="str">
        <f>IF(Atletas!R336="","",IF(Atletas!W336&lt;&gt;"",10000,0)+IF(Atletas!B336="Feminino",1000,IF(Atletas!B336="Masculino",2000,""))+IF(Atletas!R336="Gun A",701,IF(Atletas!R336="Qiang A",702,IF(Atletas!R336="Pudao / Guandao A",703,IF(Atletas!R336="Outra Arma Longa A",704,IF(Atletas!R336="Gun B",705,IF(Atletas!R336="Qiang B",706,IF(Atletas!R336="Pudao / Guandao B",707,IF(Atletas!R336="Outra Arma Longa B",708,IF(Atletas!R336="Gun C",709,IF(Atletas!R336="Qiang C",710,IF(Atletas!R336="Pudao / Guandao C",711,IF(Atletas!R336="Outra Arma Longa C",712,IF(Atletas!R336="Gun D",713,IF(Atletas!R336="Qiang D",714,IF(Atletas!R336="Pudao / Guandao D",715,IF(Atletas!R336="Outra Arma Longa D",716,IF(Atletas!R336="Gun E",717,IF(Atletas!R336="Qiang E",718,IF(Atletas!R336="Pudao / Guandao E",719,IF(Atletas!R336="Outra Arma Longa E",720,IF(Atletas!R336="Gun F",721,IF(Atletas!R336="Qiang F",722,IF(Atletas!R336="Pudao / Guandao F",723,IF(Atletas!R336="Outra Arma Longa F",724,"")))))))))))))))))))))))))</f>
        <v/>
      </c>
      <c r="BU340" s="52" t="str">
        <f>IF(Atletas!S336="","",IF(Atletas!W336&lt;&gt;"",10000,0)+IF(Atletas!B336="Feminino",1000,IF(Atletas!B336="Masculino",2000,""))+IF(Atletas!S336="Arma Dupla A",801,IF(Atletas!S336="Arma Maleável A",802,IF(Atletas!S336="Arma Dupla B",803,IF(Atletas!S336="Arma Maleável B",804,IF(Atletas!S336="Arma Dupla C",805,IF(Atletas!S336="Arma Maleável C",806,IF(Atletas!S336="Arma Dupla D",807,IF(Atletas!S336="Arma Maleável D",808,IF(Atletas!S336="Arma Dupla E",809,IF(Atletas!S336="Arma Maleável E",810,IF(Atletas!S336="Arma Dupla F",811,IF(Atletas!S336="Arma Maleável F",812, "")))))))))))))</f>
        <v/>
      </c>
      <c r="BV340" s="52" t="str">
        <f>IF(Atletas!T336="","",IF(Atletas!W336&lt;&gt;"",10000,0)+IF(Atletas!B336="Feminino",1000,IF(Atletas!B336="Masculino",2000,""))+IF(Atletas!T336="Taijijian Yang A",901,IF(Atletas!T336="Taijijian Chen A",902,IF(Atletas!T336="Taijijian Sun A",903,IF(Atletas!T336="Taijijian Wu A",904,IF(Atletas!T336="Taijijian Wu-Hao A",905,IF(Atletas!T336="Taijijian 32 A",906,IF(Atletas!T336="Taijijian 42 A",907,IF(Atletas!T336="Taijijian Yang B",908,IF(Atletas!T336="Taijijian Chen B",909,IF(Atletas!T336="Taijijian Sun B",910,IF(Atletas!T336="Taijijian Wu B",911,IF(Atletas!T336="Taijijian Wu-Hao B",912,IF(Atletas!T336="Taijijian 32 B",913,IF(Atletas!T336="Taijijian 42 B",914,IF(Atletas!T336="Taijijian Yang C",915,IF(Atletas!T336="Taijijian Chen C",916,IF(Atletas!T336="Taijijian Sun C",917,IF(Atletas!T336="Taijijian Wu C",918,IF(Atletas!T336="Taijijian Wu-Hao C",919,IF(Atletas!T336="Taijijian 32 C",920,IF(Atletas!T336="Taijijian 42 C",921,IF(Atletas!T336="Taijijian Yang D",922,IF(Atletas!T336="Taijijian Chen D",923,IF(Atletas!T336="Taijijian Sun D",924,IF(Atletas!T336="Taijijian Wu D",925,IF(Atletas!T336="Taijijian Wu-Hao D",926,IF(Atletas!T336="Taijijian 32 D",927,IF(Atletas!T336="Taijijian 42 D",928,IF(Atletas!T336="Taijijian Yang E",929,IF(Atletas!T336="Taijijian Chen E",930,IF(Atletas!T336="Taijijian Sun E",931,IF(Atletas!T336="Taijijian Wu E",932,IF(Atletas!T336="Taijijian Wu-Hao E",933,IF(Atletas!T336="Taijijian 32 E",934,IF(Atletas!T336="Taijijian 42 E",935,IF(Atletas!T336="Taijijian Yang F",936,IF(Atletas!T336="Taijijian Chen F",937,IF(Atletas!T336="Taijijian Sun F",938,IF(Atletas!T336="Taijijian Wu F",939,IF(Atletas!T336="Taijijian Wu-Hao F",940,IF(Atletas!T336="Taijijian 32 F",941,IF(Atletas!T336="Taijijian 42 F",942,"")))))))))))))))))))))))))))))))))))))))))))</f>
        <v/>
      </c>
      <c r="BW340" s="52" t="str">
        <f>IF(Atletas!U336="","",IF(Atletas!W336&lt;&gt;"",10000,0)+IF(Atletas!B336="Feminino",1000,IF(Atletas!B336="Masculino",2000,""))+IF(Atletas!T336="Taijijian 42 F",942,IF(Atletas!U336="Taijidao A",943,IF(Atletas!U336="Taijishan A",944,IF(Atletas!U336="Taijiqiang A",945,IF(Atletas!U336="Taijidao B",946,IF(Atletas!U336="Taijishan B",947,IF(Atletas!U336="Taijiqiang B",948,IF(Atletas!U336="Taijidao C",949,IF(Atletas!U336="Taijishan C",950,IF(Atletas!U336="Taijiqiang C",951,IF(Atletas!U336="Taijidao D",952,IF(Atletas!U336="Taijishan D",953,IF(Atletas!U336="Taijiqiang D",954,IF(Atletas!U336="Taijidao E",955,IF(Atletas!U336="Taijishan E",956,IF(Atletas!U336="Taijiqiang E",957,IF(Atletas!U336="Taijidao F",958,IF(Atletas!U336="Taijishan F",959,IF(Atletas!U336="Taijiqiang F",960))))))))))))))))))))</f>
        <v/>
      </c>
      <c r="BX340" s="72" t="str">
        <f>IF(BY340&lt;&gt;"","Taijidao F","")</f>
        <v/>
      </c>
      <c r="BY340" s="72" t="str">
        <f>IF(COUNTIF(BK:BW,1958)&gt;0,COUNTIF(BK:BW,1958),"")</f>
        <v/>
      </c>
      <c r="BZ340" s="72" t="str">
        <f>IF(CA340&lt;&gt;"","Taijidao F","")</f>
        <v/>
      </c>
      <c r="CA340" s="72" t="str">
        <f>IF(COUNTIF(BK:BW,2958)&gt;0,COUNTIF(BK:BW,2958),"")</f>
        <v/>
      </c>
      <c r="CB340" s="72" t="str">
        <f>IF(CC340&lt;&gt;"","Arma Maleável B","")</f>
        <v/>
      </c>
      <c r="CC340" s="64" t="str">
        <f>IF(COUNTIF(BK:BW,11804)&gt;0,COUNTIF(BK:BW,11804),"")</f>
        <v/>
      </c>
      <c r="CD340" s="64" t="str">
        <f>IF(CE340&lt;&gt;"","Arma Maleável B","")</f>
        <v/>
      </c>
      <c r="CE340" s="64" t="str">
        <f>IF(COUNTIF(BK:BW,12804)&gt;0,COUNTIF(BK:BW,12804),"")</f>
        <v/>
      </c>
      <c r="CF340" s="52" t="str">
        <f xml:space="preserve"> IF(Atletas!V336="","",IF(Atletas!V336="Duilian de Mãos AB - Equipe 1",1,IF(Atletas!V336="Duilian de Mãos AB - Equipe 2",2,IF(Atletas!V336="Duilian de Armas AB - Equipe 1",3,IF(Atletas!V336="Duilian de Armas AB - Equipe 2",4,IF(Atletas!V336="Duilian de Tuishou - Equipe 1",5,IF(Atletas!V336="Duilian de Tuishou - Equipe 2",6,IF(Atletas!V336="Grupo Externo AB - Equipe 1",7,IF(Atletas!V336="Grupo Externo AB - Equipe 2",8,IF(Atletas!V336="Grupo Interno AB - Equipe 1",9,IF(Atletas!V336="Grupo Interno AB - Equipe 2",10,IF(Atletas!V336="Duilian de Mãos CD - Equipe 1",11,IF(Atletas!V336="Duilian de Mãos CD - Equipe 2",12,IF(Atletas!V336="Duilian de Armas CD - Equipe 1",13,IF(Atletas!V336="Duilian de Armas CD - Equipe 2",14,IF(Atletas!V336="Duilian de Tuishou - Equipe 1",15,IF(Atletas!V336="Duilian de Tuishou - Equipe 2",16,IF(Atletas!V336="Grupo Externo CDEF - Equipe 1",17,IF(Atletas!V336="Grupo Externo CDEF - Equipe 2",18,IF(Atletas!V336="Grupo Interno CDEF - Equipe 1",19,IF(Atletas!V336="Grupo Interno CDEF - Equipe 2",20,IF(Atletas!V336="Duilian de Mãos EF - Equipe 1",21,IF(Atletas!V336="Duilian de Mãos EF - Equipe 2",22,IF(Atletas!V336="Duilian de Armas EF - Equipe 1",23,IF(Atletas!V336="Duilian de Armas EF - Equipe 2",24,IF(Atletas!V336="Duilian de Tuishou - Equipe 1",25,IF(Atletas!V336="Duilian de Tuishou - Equipe 2",26,"")))))))))))))))))))))))))))</f>
        <v/>
      </c>
    </row>
    <row r="341" spans="36:84">
      <c r="AJ341" s="46" t="str">
        <f>IF(Atletas!D337="","",IF(Atletas!B337="Feminino",100,IF(Atletas!B337="Masculino",200,""))+(IF(Atletas!D337="Infantil 39kg",1,IF(Atletas!D337="Infantil 42kg",2,IF(Atletas!D337="Infantil 45kg",3,IF(Atletas!D337="Infantil 48kg",4,IF(Atletas!D337="Infantil 52kg",5,IF(Atletas!D337="Infantil 56kg",6,IF(Atletas!D337="Infantil 60kg",7,IF(Atletas!D337="Juvenil 48kg",8,IF(Atletas!D337="Juvenil 52kg",9,IF(Atletas!D337="Juvenil 56kg",10,IF(Atletas!D337="Juvenil 60kg",11,IF(Atletas!D337="Juvenil 65kg",12,IF(Atletas!D337="Juvenil 70kg",13,IF(Atletas!D337="Juvenil 75kg",14,IF(Atletas!D337="Juvenil 80kg",15,IF(Atletas!D337="Adulto 48kg",16,IF(Atletas!D337="Adulto 52kg",17,IF(Atletas!D337="Adulto 56kg",18,IF(Atletas!D337="Adulto 60kg",19,IF(Atletas!D337="Adulto 65kg",20,IF(Atletas!D337="Adulto 70kg",21,IF(Atletas!D337="Adulto 75kg",22,IF(Atletas!D337="Adulto 80kg",23,IF(Atletas!D337="Adulto 85kg",24,IF(Atletas!D337="Adulto 90kg",25,IF(Atletas!D337="Adulto +90kg",26,""))))))))))))))))))))))))))))</f>
        <v/>
      </c>
      <c r="AO341" s="10" t="str">
        <f>IF(Atletas!E337="","",IF(Atletas!B337="Feminino",100,IF(Atletas!B337="Masculino",200,""))+(IF(Atletas!E337="Juvenil 44kg",1,IF(Atletas!E337="Juvenil 48kg",2,IF(Atletas!E337="Juvenil 52kg",3,IF(Atletas!E337="Juvenil 56kg",4,IF(Atletas!E337="Juvenil 60kg",5,IF(Atletas!E337="Juvenil 65kg",6,IF(Atletas!E337="Juvenil 70kg",7,IF(Atletas!E337="Juvenil 75kg",8,IF(Atletas!E337="Juvenil 82kg",9,IF(Atletas!E337="Juvenil 90kg",10,IF(Atletas!E337="Juvenil 100kg",11,IF(Atletas!E337="Adulto 48kg",12,IF(Atletas!E337="Adulto 52kg",13,IF(Atletas!E337="Adulto 56kg",14,IF(Atletas!E337="Adulto 60kg",15,IF(Atletas!E337="Adulto 65kg",16,IF(Atletas!E337="Adulto 70kg",17,IF(Atletas!E337="Adulto 75kg",18,IF(Atletas!E337="Adulto 82kg",19,IF(Atletas!E337="Adulto 90kg",20,IF(Atletas!E337="Adulto 100kg",21,IF(Atletas!E337="Adulto +100kg",22,""))))))))))))))))))))))))</f>
        <v/>
      </c>
      <c r="AT341" s="10" t="str">
        <f>IF(Atletas!F337="","",IF(Atletas!B337="Feminino",100,IF(Atletas!B337="Masculino",200,""))+(IF(Atletas!F337="Adulto 48kg",1,IF(Atletas!F337="Adulto 56kg",2,IF(Atletas!F337="Adulto 65kg",3,IF(Atletas!F337="Adulto 75kg",4,IF(Atletas!F337="Adulto +75kg",5,IF(Atletas!F337="Adulto 52kg",6,IF(Atletas!F337="Adulto 60kg",7,IF(Atletas!F337="Adulto 70kg",8,IF(Atletas!F337="Adulto 80kg",9,IF(Atletas!F337="Adulto 90kg",10,IF(Atletas!F337="Adulto +90kg",11,"")))))))))))))</f>
        <v/>
      </c>
      <c r="AY341" s="46" t="str">
        <f>IF(Atletas!G337="","",IF(Atletas!B337="Feminino",100,IF(Atletas!B337="Masculino",200,""))+(IF(Atletas!G337="Changquan Mirim",1,IF(Atletas!G337="Nanquan Mirim",2,IF(Atletas!G337="Taijiquan Mirim",3,IF(Atletas!G337="Changquan Grupo C",4,IF(Atletas!G337="Nanquan Grupo C",5,IF(Atletas!G337="Taijiquan Grupo C",6,IF(Atletas!G337="Changquan Grupo B",7,IF(Atletas!G337="Nanquan Grupo B",8,IF(Atletas!G337="Taijiquan Grupo B",9,IF(Atletas!G337="Changquan Grupo A",10,IF(Atletas!G337="Nanquan Grupo A",11,IF(Atletas!G337="Taijiquan Grupo A",12,IF(Atletas!G337="Changquan Opcional",13,IF(Atletas!G337="Nanquan Opcional",14,IF(Atletas!G337="Taijiquan Opcional",15,IF(Atletas!G337="Changquan Adulto",16,IF(Atletas!G337="Nanquan Adulto",17,IF(Atletas!G337="Taijiquan Adulto",18,""))))))))))))))))))))</f>
        <v/>
      </c>
      <c r="AZ341" s="46" t="str">
        <f>IF(Atletas!H337="","",IF(Atletas!B337="Feminino",100,IF(Atletas!B337="Masculino",200,""))+(IF(Atletas!H337="Daoshu Mirim",19,IF(Atletas!H337="Jianshu Mirim",20,IF(Atletas!H337="Nandao Mirim",21,IF(Atletas!H337="Taijijian Mirim",22,IF(Atletas!H337="Daoshu Grupo C",23,IF(Atletas!H337="Jianshu Grupo C",24,IF(Atletas!H337="Nandao Grupo C",25,IF(Atletas!H337="Taijijian Grupo C",26,IF(Atletas!H337="Daoshu Grupo B",27,IF(Atletas!H337="Jianshu Grupo B",28,IF(Atletas!H337="Nandao Grupo B",29,IF(Atletas!H337="Taijijian Grupo B",30,IF(Atletas!H337="Daoshu Grupo A",31,IF(Atletas!H337="Jianshu Grupo A",32,IF(Atletas!H337="Nandao Grupo A",33,IF(Atletas!H337="Taijijian Grupo A",34,IF(Atletas!H337="Daoshu Opcional",35,IF(Atletas!H337="Jianshu Opcional",36,IF(Atletas!H337="Nandao Opcional",37,IF(Atletas!H337="Taijijian Opcional",38,IF(Atletas!H337="Daoshu Adulto",39,IF(Atletas!H337="Jianshu Adulto",40,IF(Atletas!H337="Nandao Adulto",41,IF(Atletas!H337="Taijijian Adulto",42,""))))))))))))))))))))))))))</f>
        <v/>
      </c>
      <c r="BA341" s="46" t="str">
        <f>IF(Atletas!I337="","",IF(Atletas!B337="Feminino",100,IF(Atletas!B337="Masculino",200,""))+(IF(Atletas!I337="Gunshu Mirim",43,IF(Atletas!I337="Qiangshu Mirim",44,IF(Atletas!I337="Nangun Mirim",45,IF(Atletas!I337="Gunshu Grupo C",46,IF(Atletas!I337="Qiangshu Grupo C",47,IF(Atletas!I337="Nangun Grupo C",48,IF(Atletas!I337="Gunshu Grupo B",49,IF(Atletas!I337="Qiangshu Grupo B",50,IF(Atletas!I337="Nangun Grupo B",51,IF(Atletas!I337="Gunshu Grupo A",52,IF(Atletas!I337="Qiangshu Grupo A",53,IF(Atletas!I337="Nangun Grupo A",54,IF(Atletas!I337="Gunshu Opcional",55,IF(Atletas!I337="Qiangshu Opcional",56,IF(Atletas!I337="Nangun Opcional",57,IF(Atletas!I337="Gunshu Adulto",58,IF(Atletas!I337="Qiangshu Adulto",59,IF(Atletas!I337="Nangun Adulto",60,""))))))))))))))))))))</f>
        <v/>
      </c>
      <c r="BF341" s="52" t="str">
        <f>IF(Atletas!J337="","",IF(Atletas!B337="Feminino",100,IF(Atletas!B337="Masculino",200,""))+(IF(Atletas!J337="Equipe 1 Grupo B",1,IF(Atletas!J337="Equipe 2 Grupo B",2,IF(Atletas!J337="Equipe 1 Grupo A",3,IF(Atletas!J337="Equipe 2 Grupo A",4,IF(Atletas!J337="Equipe 1 Adulto",5,IF(Atletas!J337="Equipe 2 Adulto",6,""))))))))</f>
        <v/>
      </c>
      <c r="BK341" s="52" t="str">
        <f>IF(Atletas!K337="","",IF(Atletas!W337&lt;&gt;"",10000,0)+(IF(Atletas!B337="Feminino",1000,IF(Atletas!B337="Masculino",2000,""))+IF(Atletas!K337="Choylayfut A",1,IF(Atletas!K337="Hunggar A",2,IF(Atletas!K337="Wuzuquan A",3,IF(Atletas!K337="Wingchun A",4,IF(Atletas!K337="Outra Mão de Sul A",5,IF(Atletas!K337="Choylayfut B",6,IF(Atletas!K337="Hunggar B",7,IF(Atletas!K337="Wuzuquan B",8,IF(Atletas!K337="Wingchun B",9,IF(Atletas!K337="Outra Mão de Sul B",10,IF(Atletas!K337="Choylayfut C",11,IF(Atletas!K337="Hunggar C",12,IF(Atletas!K337="Wuzuquan C",13,IF(Atletas!K337="Wingchun C",14,IF(Atletas!K337="Outra Mão de Sul C",15,IF(Atletas!K337="Choylayfut D",16,IF(Atletas!K337="Hunggar D",17,IF(Atletas!K337="Wuzuquan D",18,IF(Atletas!K337="Wingchun D",19,IF(Atletas!K337="Outra Mão de Sul D",20,IF(Atletas!K337="Choylayfut E",21,IF(Atletas!K337="Hunggar E",22,IF(Atletas!K337="Wuzuquan E",23,IF(Atletas!K337="Wingchun E",24,IF(Atletas!K337="Outra Mão de Sul E",25,IF(Atletas!K337="Choylayfut F",26,IF(Atletas!K337="Hunggar F",27,IF(Atletas!K337="Wuzuquan F",28,IF(Atletas!K337="Wingchun F",29,IF(Atletas!K337="Outra Mão de Sul F",30,""))))))))))))))))))))))))))))))))</f>
        <v/>
      </c>
      <c r="BL341" s="52" t="str">
        <f>IF(Atletas!L337="","",IF(Atletas!W337&lt;&gt;"",10000,0)+(IF(Atletas!B337="Feminino",1000,IF(Atletas!B337="Masculino",2000,""))+(IF(Atletas!L337="Chaquan A",101,IF(Atletas!L337="Emeiquan A",102,IF(Atletas!L337="Fanziquan A",103,IF(Atletas!L337="Huaquan A",104,IF(Atletas!L337="Hongquan A",105,IF(Atletas!L337="Paochui A",106,IF(Atletas!L337="Piguaquan A",107,IF(Atletas!L337="Shaolinquan A",108,IF(Atletas!L337="Tanglangquan A",109,IF(Atletas!L337="Yinzhaophai A",110,IF(Atletas!L337="Tongbeiquan A",111,IF(Atletas!L337="Wudangquan A",112,IF(Atletas!L337="Outros Estilos A",113,IF(Atletas!L337="Chaquan B",114,IF(Atletas!L337="Emeiquan B",115,IF(Atletas!L337="Fanziquan B",116,IF(Atletas!L337="Huaquan B",117,IF(Atletas!L337="Hongquan B",118,IF(Atletas!L337="Paochui B",119,IF(Atletas!L337="Piguaquan B",120,IF(Atletas!L337="Shaolinquan B",121,IF(Atletas!L337="Tanglangquan B",122,IF(Atletas!L337="Yinzhaophai B",123,IF(Atletas!L337="Tongbeiquan B",124,IF(Atletas!L337="Wudangquan B",125,IF(Atletas!L337="Outros Estilos B",126,IF(Atletas!L337="Chaquan C",127,IF(Atletas!L337="Emeiquan C",128,IF(Atletas!L337="Fanziquan C",129,IF(Atletas!L337="Huaquan C",130,IF(Atletas!L337="Hongquan C",131,IF(Atletas!L337="Paochui C",132,IF(Atletas!L337="Piguaquan C",133,IF(Atletas!L337="Shaolinquan C",134,IF(Atletas!L337="Tanglangquan C",135,IF(Atletas!L337="Yinzhaophai C",136,IF(Atletas!L337="Tongbeiquan C",137,IF(Atletas!L337="Wudangquan C",138,IF(Atletas!L337="Outros Estilos C",139,0))))))))))))))))))))))))))))))))))))))))))</f>
        <v/>
      </c>
      <c r="BM341" s="52" t="str">
        <f>IF(Atletas!L337="","",IF(Atletas!W337&lt;&gt;"",10000,0)+(IF(Atletas!B337="Feminino",1000,IF(Atletas!B337="Masculino",2000,""))+(IF(Atletas!L337="Chaquan D",140,IF(Atletas!L337="Emeiquan D",141,IF(Atletas!L337="Fanziquan D",142,IF(Atletas!L337="Huaquan D",143,IF(Atletas!L337="Hongquan D",144,IF(Atletas!L337="Paochui D",145,IF(Atletas!L337="Piguaquan D",146,IF(Atletas!L337="Shaolinquan D",147,IF(Atletas!L337="Tanglangquan D",148,IF(Atletas!L337="Yinzhaophai D",149,IF(Atletas!L337="Tongbeiquan D",150,IF(Atletas!L337="Wudangquan D",151,IF(Atletas!L337="Outros Estilos D",152,IF(Atletas!L337="Chaquan E",153,IF(Atletas!L337="Emeiquan E",154,IF(Atletas!L337="Fanziquan E",155,IF(Atletas!L337="Huaquan E",156,IF(Atletas!L337="Hongquan E",157,IF(Atletas!L337="Paochui E",158,IF(Atletas!L337="Piguaquan E",159,IF(Atletas!L337="Shaolinquan E",160,IF(Atletas!L337="Tanglangquan E",161,IF(Atletas!L337="Yinzhaophai E",162,IF(Atletas!L337="Tongbeiquan E",163,IF(Atletas!L337="Wudangquan E",164,IF(Atletas!L337="Outros Estilos E",165,IF(Atletas!L337="Chaquan F",166,IF(Atletas!L337="Emeiquan F",167,IF(Atletas!L337="Fanziquan F",168,IF(Atletas!L337="Huaquan F",169,IF(Atletas!L337="Hongquan F",170,IF(Atletas!L337="Paochui F",171,IF(Atletas!L337="Piguaquan F",172,IF(Atletas!L337="Shaolinquan F",173,IF(Atletas!L337="Tanglangquan F",174,IF(Atletas!L337="Yinzhaophai F",175,IF(Atletas!L337="Tongbeiquan F",176,IF(Atletas!L337="Wudangquan F",177,IF(Atletas!L337="Outros Estilos F",178,0))))))))))))))))))))))))))))))))))))))))))</f>
        <v/>
      </c>
      <c r="BN341" s="52" t="str">
        <f>IF(Atletas!M337="","",IF(Atletas!W337&lt;&gt;"",10000,0)+(IF(Atletas!B337="Feminino",1000,IF(Atletas!B337="Masculino",2000,""))+(IF(Atletas!M337="Ditangquan A",201,IF(Atletas!M337="Houquan A",202,IF(Atletas!M337="Zuiquan A",203,IF(Atletas!M337="Ditangquan B",204,IF(Atletas!M337="Houquan B",205,IF(Atletas!M337="Zuiquan B",206,IF(Atletas!M337="Ditangquan C",207,IF(Atletas!M337="Houquan C",208,IF(Atletas!M337="Zuiquan C",209,IF(Atletas!M337="Ditangquan D",210,IF(Atletas!M337="Houquan D",211,IF(Atletas!M337="Zuiquan D",212,IF(Atletas!M337="Ditangquan E",213,IF(Atletas!M337="Houquan E",214,IF(Atletas!M337="Zuiquan E",215,IF(Atletas!M337="Ditangquan F",216,IF(Atletas!M337="Houquan F",217,IF(Atletas!M337="Zuiquan F",218,"")))))))))))))))))))))</f>
        <v/>
      </c>
      <c r="BO341" s="52" t="str">
        <f>IF(Atletas!N337="","",IF(Atletas!W337&lt;&gt;"",10000,0)+IF(Atletas!B337="Feminino",1000,IF(Atletas!B337="Masculino",2000,""))+IF(Atletas!N337="Yang A",301,IF(Atletas!N337="Chen A",30,IF(Atletas!N337="Sun A",303,IF(Atletas!N337="Wu A",304,IF(Atletas!N337="Wu-Hao A",305,IF(Atletas!N337="Outro Taijiquan A",306,IF(Atletas!N337="Yang B",307,IF(Atletas!N337="Chen B",308,IF(Atletas!N337="Sun B",309,IF(Atletas!N337="Wu B",310,IF(Atletas!N337="Wu-Hao B",311,IF(Atletas!N337="Outro Taijiquan B",312,IF(Atletas!N337="Yang C",313,IF(Atletas!N337="Chen C",314,IF(Atletas!N337="Sun C",315,IF(Atletas!N337="Wu C",316,IF(Atletas!N337="Wu-Hao C",317,IF(Atletas!N337="Outro Taijiquan C",318,IF(Atletas!N337="Yang D",319,IF(Atletas!N337="Chen D",320,IF(Atletas!N337="Sun D",321,IF(Atletas!N337="Wu D",322,IF(Atletas!N337="Wu-Hao D",323,IF(Atletas!N337="Outro Taijiquan D",324,IF(Atletas!N337="Yang E",325,IF(Atletas!N337="Chen E",326,IF(Atletas!N337="Sun E",327,IF(Atletas!N337="Wu E",328,IF(Atletas!N337="Wu-Hao E",329,IF(Atletas!N337="Outro Taijiquan E",330,IF(Atletas!N337="Yang F",331,IF(Atletas!N337="Chen F",332,IF(Atletas!N337="Sun F",333,IF(Atletas!N337="Wu F",334,IF(Atletas!N337="Wu-Hao F",335,IF(Atletas!N337="Outro Taijiquan F",336,"")))))))))))))))))))))))))))))))))))))</f>
        <v/>
      </c>
      <c r="BP341" s="52" t="str">
        <f>IF(Atletas!O337="","",IF(Atletas!W337&lt;&gt;"",10000,0)+IF(Atletas!B337="Feminino",1000,IF(Atletas!B337="Masculino",2000,""))+IF(OR(Atletas!O337="Yang 26 A",Atletas!O337="Yang 40 A"),401,IF(OR(Atletas!O337="Chen 25 A",Atletas!O337="Chen 36 A",Atletas!O337="Chen 56 A"),402,IF(Atletas!O337="Sun 73 A",403,IF(Atletas!O337="Wu 45 A",404,IF(Atletas!O337="Wu-Hao 46 A",405,IF(OR(Atletas!O337="Taijiquan 16 A",Atletas!O337="Taijiquan 24 A",Atletas!O337="Taijiquan 32 A",Atletas!O337="Taijiquan 42 A"),406,IF(OR(Atletas!O337="Yang 26 B",Atletas!O337="Yang 40 B"),407,IF(OR(Atletas!O337="Chen 25 B",Atletas!O337="Chen 36 B",Atletas!O337="Chen 56 B"),408,IF(Atletas!O337="Sun 73 B",409,IF(Atletas!O337="Wu 45 B",410,IF(Atletas!O337="Wu-Hao 46 B",411,IF(OR(Atletas!O337="Taijiquan 16 B",Atletas!O337="Taijiquan 24 B",Atletas!O337="Taijiquan 32 B",Atletas!O337="Taijiquan 42 B"),412,IF(OR(Atletas!O337="Yang 26 C",Atletas!O337="Yang 40 C"),413,IF(OR(Atletas!O337="Chen 25 C",Atletas!O337="Chen 36 C",Atletas!O337="Chen 56 C"),414,IF(Atletas!O337="Sun 73 C",415,IF(Atletas!O337="Wu 45 C",416,IF(Atletas!O337="Wu-Hao 46 C",417,IF(OR(Atletas!O337="Taijiquan 16 C",Atletas!O337="Taijiquan 24 C",Atletas!O337="Taijiquan 32 C",Atletas!O337="Taijiquan 42 C"),418,0)))))))))))))))))))</f>
        <v/>
      </c>
      <c r="BQ341" s="52" t="str">
        <f>IF(Atletas!O337="","",IF(Atletas!W337&lt;&gt;"",10000,0)+IF(Atletas!B337="Feminino",1000,IF(Atletas!B337="Masculino",2000,""))+IF(OR(Atletas!O337="Yang 26 D",Atletas!O337="Yang 40 D"),419,IF(OR(Atletas!O337="Chen 25 D",Atletas!O337="Chen 36 D",Atletas!O337="Chen 56 D"),420,IF(Atletas!O337="Sun 73 D",421,IF(Atletas!O337="Wu 45 D",422,IF(Atletas!O337="Wu-Hao 46 D",423,IF(OR(Atletas!O337="Taijiquan 16 D",Atletas!O337="Taijiquan 24 D",Atletas!O337="Taijiquan 32 D",Atletas!O337="Taijiquan 42 D"),424,IF(OR(Atletas!O337="Yang 26 E",Atletas!O337="Yang 40 E"),425,IF(OR(Atletas!O337="Chen 25 E",Atletas!O337="Chen 36 E",Atletas!O337="Chen 56 E"),426,IF(Atletas!O337="Sun 73 E",427,IF(Atletas!O337="Wu 45 E",428,IF(Atletas!O337="Wu-Hao 46 E",429,IF(OR(Atletas!O337="Taijiquan 16 E",Atletas!O337="Taijiquan 24 E",Atletas!O337="Taijiquan 32 E",Atletas!O337="Taijiquan 42 E"),430,IF(OR(Atletas!O337="Yang 26 F",Atletas!O337="Yang 40 F"),431,IF(OR(Atletas!O337="Chen 25 F",Atletas!O337="Chen 36 F",Atletas!O337="Chen 56 F"),432,IF(Atletas!O337="Sun 73 F",433,IF(Atletas!O337="Wu 45 F",434,IF(Atletas!O337="Wu-Hao 46 F",435,IF(OR(Atletas!O337="Taijiquan 16 F",Atletas!O337="Taijiquan 24 F",Atletas!O337="Taijiquan 32 F",Atletas!O337="Taijiquan 42 F"),436,0)))))))))))))))))))</f>
        <v/>
      </c>
      <c r="BR341" s="52" t="str">
        <f>IF(Atletas!P337="","",IF(Atletas!W337&lt;&gt;"",10000,0)+IF(Atletas!B337="Feminino",1000,IF(Atletas!B337="Masculino",2000,""))+IF(Atletas!P337="Xingyiquan A",501,IF(Atletas!P337="Baguazhang A",502,IF(Atletas!P337="Outro Estilo Interno A",503,IF(Atletas!P337="Xingyiquan B",504,IF(Atletas!P337="Baguazhang B",505,IF(Atletas!P337="Outro Estilo Interno B",506,IF(Atletas!P337="Xingyiquan C",507,IF(Atletas!P337="Baguazhang C",508,IF(Atletas!P337="Outro Estilo Interno C",509,IF(Atletas!P337="Xingyiquan D",510,IF(Atletas!P337="Baguazhang D",511,IF(Atletas!P337="Outro Estilo Interno D",512,IF(Atletas!P337="Xingyiquan E",513,IF(Atletas!P337="Baguazhang E",514,IF(Atletas!P337="Outro Estilo Interno E",515,IF(Atletas!P337="Xingyiquan F",516,IF(Atletas!P337="Baguazhang F",517,IF(Atletas!P337="Outro Estilo Interno F",518, "")))))))))))))))))))</f>
        <v/>
      </c>
      <c r="BS341" s="52" t="str">
        <f>IF(Atletas!Q337="","",IF(Atletas!W337&lt;&gt;"",10000,0)+IF(Atletas!B337="Feminino",1000,IF(Atletas!B337="Masculino",2000,""))+IF(Atletas!Q337="Dao A",601,IF(Atletas!Q337="Jian A",602,IF(Atletas!Q337="Bishou A",603,IF(Atletas!Q337="Shan A",604,IF(Atletas!Q337="Outra Arma Curta A",605,IF(Atletas!Q337="Dao B",606,IF(Atletas!Q337="Jian B",607,IF(Atletas!Q337="Bishou B",608,IF(Atletas!Q337="Shan B",609,IF(Atletas!Q337="Outra Arma Curta B",610,IF(Atletas!Q337="Dao C",611,IF(Atletas!Q337="Jian C",612,IF(Atletas!Q337="Bishou C",613,IF(Atletas!Q337="Shan C",614,IF(Atletas!Q337="Outra Arma Curta C",615,IF(Atletas!Q337="Dao D",616,IF(Atletas!Q337="Jian D",617,IF(Atletas!Q337="Bishou D",618,IF(Atletas!Q337="Shan D",619,IF(Atletas!Q337="Outra Arma Curta D",620,IF(Atletas!Q337="Dao E",621,IF(Atletas!Q337="Jian E",622,IF(Atletas!Q337="Bishou E",623,IF(Atletas!Q337="Shan E",624,IF(Atletas!Q337="Outra Arma Curta E",625,IF(Atletas!Q337="Dao F",626,IF(Atletas!Q337="Jian F",627,IF(Atletas!Q337="Bishou F",628,IF(Atletas!Q337="Shan F",629,IF(Atletas!Q337="Outra Arma Curta F",630, "")))))))))))))))))))))))))))))))</f>
        <v/>
      </c>
      <c r="BT341" s="52" t="str">
        <f>IF(Atletas!R337="","",IF(Atletas!W337&lt;&gt;"",10000,0)+IF(Atletas!B337="Feminino",1000,IF(Atletas!B337="Masculino",2000,""))+IF(Atletas!R337="Gun A",701,IF(Atletas!R337="Qiang A",702,IF(Atletas!R337="Pudao / Guandao A",703,IF(Atletas!R337="Outra Arma Longa A",704,IF(Atletas!R337="Gun B",705,IF(Atletas!R337="Qiang B",706,IF(Atletas!R337="Pudao / Guandao B",707,IF(Atletas!R337="Outra Arma Longa B",708,IF(Atletas!R337="Gun C",709,IF(Atletas!R337="Qiang C",710,IF(Atletas!R337="Pudao / Guandao C",711,IF(Atletas!R337="Outra Arma Longa C",712,IF(Atletas!R337="Gun D",713,IF(Atletas!R337="Qiang D",714,IF(Atletas!R337="Pudao / Guandao D",715,IF(Atletas!R337="Outra Arma Longa D",716,IF(Atletas!R337="Gun E",717,IF(Atletas!R337="Qiang E",718,IF(Atletas!R337="Pudao / Guandao E",719,IF(Atletas!R337="Outra Arma Longa E",720,IF(Atletas!R337="Gun F",721,IF(Atletas!R337="Qiang F",722,IF(Atletas!R337="Pudao / Guandao F",723,IF(Atletas!R337="Outra Arma Longa F",724,"")))))))))))))))))))))))))</f>
        <v/>
      </c>
      <c r="BU341" s="52" t="str">
        <f>IF(Atletas!S337="","",IF(Atletas!W337&lt;&gt;"",10000,0)+IF(Atletas!B337="Feminino",1000,IF(Atletas!B337="Masculino",2000,""))+IF(Atletas!S337="Arma Dupla A",801,IF(Atletas!S337="Arma Maleável A",802,IF(Atletas!S337="Arma Dupla B",803,IF(Atletas!S337="Arma Maleável B",804,IF(Atletas!S337="Arma Dupla C",805,IF(Atletas!S337="Arma Maleável C",806,IF(Atletas!S337="Arma Dupla D",807,IF(Atletas!S337="Arma Maleável D",808,IF(Atletas!S337="Arma Dupla E",809,IF(Atletas!S337="Arma Maleável E",810,IF(Atletas!S337="Arma Dupla F",811,IF(Atletas!S337="Arma Maleável F",812, "")))))))))))))</f>
        <v/>
      </c>
      <c r="BV341" s="52" t="str">
        <f>IF(Atletas!T337="","",IF(Atletas!W337&lt;&gt;"",10000,0)+IF(Atletas!B337="Feminino",1000,IF(Atletas!B337="Masculino",2000,""))+IF(Atletas!T337="Taijijian Yang A",901,IF(Atletas!T337="Taijijian Chen A",902,IF(Atletas!T337="Taijijian Sun A",903,IF(Atletas!T337="Taijijian Wu A",904,IF(Atletas!T337="Taijijian Wu-Hao A",905,IF(Atletas!T337="Taijijian 32 A",906,IF(Atletas!T337="Taijijian 42 A",907,IF(Atletas!T337="Taijijian Yang B",908,IF(Atletas!T337="Taijijian Chen B",909,IF(Atletas!T337="Taijijian Sun B",910,IF(Atletas!T337="Taijijian Wu B",911,IF(Atletas!T337="Taijijian Wu-Hao B",912,IF(Atletas!T337="Taijijian 32 B",913,IF(Atletas!T337="Taijijian 42 B",914,IF(Atletas!T337="Taijijian Yang C",915,IF(Atletas!T337="Taijijian Chen C",916,IF(Atletas!T337="Taijijian Sun C",917,IF(Atletas!T337="Taijijian Wu C",918,IF(Atletas!T337="Taijijian Wu-Hao C",919,IF(Atletas!T337="Taijijian 32 C",920,IF(Atletas!T337="Taijijian 42 C",921,IF(Atletas!T337="Taijijian Yang D",922,IF(Atletas!T337="Taijijian Chen D",923,IF(Atletas!T337="Taijijian Sun D",924,IF(Atletas!T337="Taijijian Wu D",925,IF(Atletas!T337="Taijijian Wu-Hao D",926,IF(Atletas!T337="Taijijian 32 D",927,IF(Atletas!T337="Taijijian 42 D",928,IF(Atletas!T337="Taijijian Yang E",929,IF(Atletas!T337="Taijijian Chen E",930,IF(Atletas!T337="Taijijian Sun E",931,IF(Atletas!T337="Taijijian Wu E",932,IF(Atletas!T337="Taijijian Wu-Hao E",933,IF(Atletas!T337="Taijijian 32 E",934,IF(Atletas!T337="Taijijian 42 E",935,IF(Atletas!T337="Taijijian Yang F",936,IF(Atletas!T337="Taijijian Chen F",937,IF(Atletas!T337="Taijijian Sun F",938,IF(Atletas!T337="Taijijian Wu F",939,IF(Atletas!T337="Taijijian Wu-Hao F",940,IF(Atletas!T337="Taijijian 32 F",941,IF(Atletas!T337="Taijijian 42 F",942,"")))))))))))))))))))))))))))))))))))))))))))</f>
        <v/>
      </c>
      <c r="BW341" s="52" t="str">
        <f>IF(Atletas!U337="","",IF(Atletas!W337&lt;&gt;"",10000,0)+IF(Atletas!B337="Feminino",1000,IF(Atletas!B337="Masculino",2000,""))+IF(Atletas!T337="Taijijian 42 F",942,IF(Atletas!U337="Taijidao A",943,IF(Atletas!U337="Taijishan A",944,IF(Atletas!U337="Taijiqiang A",945,IF(Atletas!U337="Taijidao B",946,IF(Atletas!U337="Taijishan B",947,IF(Atletas!U337="Taijiqiang B",948,IF(Atletas!U337="Taijidao C",949,IF(Atletas!U337="Taijishan C",950,IF(Atletas!U337="Taijiqiang C",951,IF(Atletas!U337="Taijidao D",952,IF(Atletas!U337="Taijishan D",953,IF(Atletas!U337="Taijiqiang D",954,IF(Atletas!U337="Taijidao E",955,IF(Atletas!U337="Taijishan E",956,IF(Atletas!U337="Taijiqiang E",957,IF(Atletas!U337="Taijidao F",958,IF(Atletas!U337="Taijishan F",959,IF(Atletas!U337="Taijiqiang F",960))))))))))))))))))))</f>
        <v/>
      </c>
      <c r="BX341" s="72" t="str">
        <f>IF(BY341&lt;&gt;"","Taijishan F","")</f>
        <v/>
      </c>
      <c r="BY341" s="72" t="str">
        <f>IF(COUNTIF(BK:BW,1959)&gt;0,COUNTIF(BK:BW,1959),"")</f>
        <v/>
      </c>
      <c r="BZ341" s="72" t="str">
        <f>IF(CA341&lt;&gt;"","Taijishan F","")</f>
        <v/>
      </c>
      <c r="CA341" s="72" t="str">
        <f>IF(COUNTIF(BK:BW,2959)&gt;0,COUNTIF(BK:BW,2959),"")</f>
        <v/>
      </c>
      <c r="CB341" s="72" t="str">
        <f>IF(CC341&lt;&gt;"","Arma Dupla C","")</f>
        <v/>
      </c>
      <c r="CC341" s="64" t="str">
        <f>IF(COUNTIF(BK:BW,11805)&gt;0,COUNTIF(BK:BW,11805),"")</f>
        <v/>
      </c>
      <c r="CD341" s="64" t="str">
        <f>IF(CE341&lt;&gt;"","Arma Dupla C","")</f>
        <v/>
      </c>
      <c r="CE341" s="64" t="str">
        <f>IF(COUNTIF(BK:BW,12805)&gt;0,COUNTIF(BK:BW,12805),"")</f>
        <v/>
      </c>
      <c r="CF341" s="52" t="str">
        <f xml:space="preserve"> IF(Atletas!V337="","",IF(Atletas!V337="Duilian de Mãos AB - Equipe 1",1,IF(Atletas!V337="Duilian de Mãos AB - Equipe 2",2,IF(Atletas!V337="Duilian de Armas AB - Equipe 1",3,IF(Atletas!V337="Duilian de Armas AB - Equipe 2",4,IF(Atletas!V337="Duilian de Tuishou - Equipe 1",5,IF(Atletas!V337="Duilian de Tuishou - Equipe 2",6,IF(Atletas!V337="Grupo Externo AB - Equipe 1",7,IF(Atletas!V337="Grupo Externo AB - Equipe 2",8,IF(Atletas!V337="Grupo Interno AB - Equipe 1",9,IF(Atletas!V337="Grupo Interno AB - Equipe 2",10,IF(Atletas!V337="Duilian de Mãos CD - Equipe 1",11,IF(Atletas!V337="Duilian de Mãos CD - Equipe 2",12,IF(Atletas!V337="Duilian de Armas CD - Equipe 1",13,IF(Atletas!V337="Duilian de Armas CD - Equipe 2",14,IF(Atletas!V337="Duilian de Tuishou - Equipe 1",15,IF(Atletas!V337="Duilian de Tuishou - Equipe 2",16,IF(Atletas!V337="Grupo Externo CDEF - Equipe 1",17,IF(Atletas!V337="Grupo Externo CDEF - Equipe 2",18,IF(Atletas!V337="Grupo Interno CDEF - Equipe 1",19,IF(Atletas!V337="Grupo Interno CDEF - Equipe 2",20,IF(Atletas!V337="Duilian de Mãos EF - Equipe 1",21,IF(Atletas!V337="Duilian de Mãos EF - Equipe 2",22,IF(Atletas!V337="Duilian de Armas EF - Equipe 1",23,IF(Atletas!V337="Duilian de Armas EF - Equipe 2",24,IF(Atletas!V337="Duilian de Tuishou - Equipe 1",25,IF(Atletas!V337="Duilian de Tuishou - Equipe 2",26,"")))))))))))))))))))))))))))</f>
        <v/>
      </c>
    </row>
    <row r="342" spans="36:84">
      <c r="AJ342" s="46" t="str">
        <f>IF(Atletas!D338="","",IF(Atletas!B338="Feminino",100,IF(Atletas!B338="Masculino",200,""))+(IF(Atletas!D338="Infantil 39kg",1,IF(Atletas!D338="Infantil 42kg",2,IF(Atletas!D338="Infantil 45kg",3,IF(Atletas!D338="Infantil 48kg",4,IF(Atletas!D338="Infantil 52kg",5,IF(Atletas!D338="Infantil 56kg",6,IF(Atletas!D338="Infantil 60kg",7,IF(Atletas!D338="Juvenil 48kg",8,IF(Atletas!D338="Juvenil 52kg",9,IF(Atletas!D338="Juvenil 56kg",10,IF(Atletas!D338="Juvenil 60kg",11,IF(Atletas!D338="Juvenil 65kg",12,IF(Atletas!D338="Juvenil 70kg",13,IF(Atletas!D338="Juvenil 75kg",14,IF(Atletas!D338="Juvenil 80kg",15,IF(Atletas!D338="Adulto 48kg",16,IF(Atletas!D338="Adulto 52kg",17,IF(Atletas!D338="Adulto 56kg",18,IF(Atletas!D338="Adulto 60kg",19,IF(Atletas!D338="Adulto 65kg",20,IF(Atletas!D338="Adulto 70kg",21,IF(Atletas!D338="Adulto 75kg",22,IF(Atletas!D338="Adulto 80kg",23,IF(Atletas!D338="Adulto 85kg",24,IF(Atletas!D338="Adulto 90kg",25,IF(Atletas!D338="Adulto +90kg",26,""))))))))))))))))))))))))))))</f>
        <v/>
      </c>
      <c r="AO342" s="10" t="str">
        <f>IF(Atletas!E338="","",IF(Atletas!B338="Feminino",100,IF(Atletas!B338="Masculino",200,""))+(IF(Atletas!E338="Juvenil 44kg",1,IF(Atletas!E338="Juvenil 48kg",2,IF(Atletas!E338="Juvenil 52kg",3,IF(Atletas!E338="Juvenil 56kg",4,IF(Atletas!E338="Juvenil 60kg",5,IF(Atletas!E338="Juvenil 65kg",6,IF(Atletas!E338="Juvenil 70kg",7,IF(Atletas!E338="Juvenil 75kg",8,IF(Atletas!E338="Juvenil 82kg",9,IF(Atletas!E338="Juvenil 90kg",10,IF(Atletas!E338="Juvenil 100kg",11,IF(Atletas!E338="Adulto 48kg",12,IF(Atletas!E338="Adulto 52kg",13,IF(Atletas!E338="Adulto 56kg",14,IF(Atletas!E338="Adulto 60kg",15,IF(Atletas!E338="Adulto 65kg",16,IF(Atletas!E338="Adulto 70kg",17,IF(Atletas!E338="Adulto 75kg",18,IF(Atletas!E338="Adulto 82kg",19,IF(Atletas!E338="Adulto 90kg",20,IF(Atletas!E338="Adulto 100kg",21,IF(Atletas!E338="Adulto +100kg",22,""))))))))))))))))))))))))</f>
        <v/>
      </c>
      <c r="AT342" s="10" t="str">
        <f>IF(Atletas!F338="","",IF(Atletas!B338="Feminino",100,IF(Atletas!B338="Masculino",200,""))+(IF(Atletas!F338="Adulto 48kg",1,IF(Atletas!F338="Adulto 56kg",2,IF(Atletas!F338="Adulto 65kg",3,IF(Atletas!F338="Adulto 75kg",4,IF(Atletas!F338="Adulto +75kg",5,IF(Atletas!F338="Adulto 52kg",6,IF(Atletas!F338="Adulto 60kg",7,IF(Atletas!F338="Adulto 70kg",8,IF(Atletas!F338="Adulto 80kg",9,IF(Atletas!F338="Adulto 90kg",10,IF(Atletas!F338="Adulto +90kg",11,"")))))))))))))</f>
        <v/>
      </c>
      <c r="AY342" s="46" t="str">
        <f>IF(Atletas!G338="","",IF(Atletas!B338="Feminino",100,IF(Atletas!B338="Masculino",200,""))+(IF(Atletas!G338="Changquan Mirim",1,IF(Atletas!G338="Nanquan Mirim",2,IF(Atletas!G338="Taijiquan Mirim",3,IF(Atletas!G338="Changquan Grupo C",4,IF(Atletas!G338="Nanquan Grupo C",5,IF(Atletas!G338="Taijiquan Grupo C",6,IF(Atletas!G338="Changquan Grupo B",7,IF(Atletas!G338="Nanquan Grupo B",8,IF(Atletas!G338="Taijiquan Grupo B",9,IF(Atletas!G338="Changquan Grupo A",10,IF(Atletas!G338="Nanquan Grupo A",11,IF(Atletas!G338="Taijiquan Grupo A",12,IF(Atletas!G338="Changquan Opcional",13,IF(Atletas!G338="Nanquan Opcional",14,IF(Atletas!G338="Taijiquan Opcional",15,IF(Atletas!G338="Changquan Adulto",16,IF(Atletas!G338="Nanquan Adulto",17,IF(Atletas!G338="Taijiquan Adulto",18,""))))))))))))))))))))</f>
        <v/>
      </c>
      <c r="AZ342" s="46" t="str">
        <f>IF(Atletas!H338="","",IF(Atletas!B338="Feminino",100,IF(Atletas!B338="Masculino",200,""))+(IF(Atletas!H338="Daoshu Mirim",19,IF(Atletas!H338="Jianshu Mirim",20,IF(Atletas!H338="Nandao Mirim",21,IF(Atletas!H338="Taijijian Mirim",22,IF(Atletas!H338="Daoshu Grupo C",23,IF(Atletas!H338="Jianshu Grupo C",24,IF(Atletas!H338="Nandao Grupo C",25,IF(Atletas!H338="Taijijian Grupo C",26,IF(Atletas!H338="Daoshu Grupo B",27,IF(Atletas!H338="Jianshu Grupo B",28,IF(Atletas!H338="Nandao Grupo B",29,IF(Atletas!H338="Taijijian Grupo B",30,IF(Atletas!H338="Daoshu Grupo A",31,IF(Atletas!H338="Jianshu Grupo A",32,IF(Atletas!H338="Nandao Grupo A",33,IF(Atletas!H338="Taijijian Grupo A",34,IF(Atletas!H338="Daoshu Opcional",35,IF(Atletas!H338="Jianshu Opcional",36,IF(Atletas!H338="Nandao Opcional",37,IF(Atletas!H338="Taijijian Opcional",38,IF(Atletas!H338="Daoshu Adulto",39,IF(Atletas!H338="Jianshu Adulto",40,IF(Atletas!H338="Nandao Adulto",41,IF(Atletas!H338="Taijijian Adulto",42,""))))))))))))))))))))))))))</f>
        <v/>
      </c>
      <c r="BA342" s="46" t="str">
        <f>IF(Atletas!I338="","",IF(Atletas!B338="Feminino",100,IF(Atletas!B338="Masculino",200,""))+(IF(Atletas!I338="Gunshu Mirim",43,IF(Atletas!I338="Qiangshu Mirim",44,IF(Atletas!I338="Nangun Mirim",45,IF(Atletas!I338="Gunshu Grupo C",46,IF(Atletas!I338="Qiangshu Grupo C",47,IF(Atletas!I338="Nangun Grupo C",48,IF(Atletas!I338="Gunshu Grupo B",49,IF(Atletas!I338="Qiangshu Grupo B",50,IF(Atletas!I338="Nangun Grupo B",51,IF(Atletas!I338="Gunshu Grupo A",52,IF(Atletas!I338="Qiangshu Grupo A",53,IF(Atletas!I338="Nangun Grupo A",54,IF(Atletas!I338="Gunshu Opcional",55,IF(Atletas!I338="Qiangshu Opcional",56,IF(Atletas!I338="Nangun Opcional",57,IF(Atletas!I338="Gunshu Adulto",58,IF(Atletas!I338="Qiangshu Adulto",59,IF(Atletas!I338="Nangun Adulto",60,""))))))))))))))))))))</f>
        <v/>
      </c>
      <c r="BF342" s="52" t="str">
        <f>IF(Atletas!J338="","",IF(Atletas!B338="Feminino",100,IF(Atletas!B338="Masculino",200,""))+(IF(Atletas!J338="Equipe 1 Grupo B",1,IF(Atletas!J338="Equipe 2 Grupo B",2,IF(Atletas!J338="Equipe 1 Grupo A",3,IF(Atletas!J338="Equipe 2 Grupo A",4,IF(Atletas!J338="Equipe 1 Adulto",5,IF(Atletas!J338="Equipe 2 Adulto",6,""))))))))</f>
        <v/>
      </c>
      <c r="BK342" s="52" t="str">
        <f>IF(Atletas!K338="","",IF(Atletas!W338&lt;&gt;"",10000,0)+(IF(Atletas!B338="Feminino",1000,IF(Atletas!B338="Masculino",2000,""))+IF(Atletas!K338="Choylayfut A",1,IF(Atletas!K338="Hunggar A",2,IF(Atletas!K338="Wuzuquan A",3,IF(Atletas!K338="Wingchun A",4,IF(Atletas!K338="Outra Mão de Sul A",5,IF(Atletas!K338="Choylayfut B",6,IF(Atletas!K338="Hunggar B",7,IF(Atletas!K338="Wuzuquan B",8,IF(Atletas!K338="Wingchun B",9,IF(Atletas!K338="Outra Mão de Sul B",10,IF(Atletas!K338="Choylayfut C",11,IF(Atletas!K338="Hunggar C",12,IF(Atletas!K338="Wuzuquan C",13,IF(Atletas!K338="Wingchun C",14,IF(Atletas!K338="Outra Mão de Sul C",15,IF(Atletas!K338="Choylayfut D",16,IF(Atletas!K338="Hunggar D",17,IF(Atletas!K338="Wuzuquan D",18,IF(Atletas!K338="Wingchun D",19,IF(Atletas!K338="Outra Mão de Sul D",20,IF(Atletas!K338="Choylayfut E",21,IF(Atletas!K338="Hunggar E",22,IF(Atletas!K338="Wuzuquan E",23,IF(Atletas!K338="Wingchun E",24,IF(Atletas!K338="Outra Mão de Sul E",25,IF(Atletas!K338="Choylayfut F",26,IF(Atletas!K338="Hunggar F",27,IF(Atletas!K338="Wuzuquan F",28,IF(Atletas!K338="Wingchun F",29,IF(Atletas!K338="Outra Mão de Sul F",30,""))))))))))))))))))))))))))))))))</f>
        <v/>
      </c>
      <c r="BL342" s="52" t="str">
        <f>IF(Atletas!L338="","",IF(Atletas!W338&lt;&gt;"",10000,0)+(IF(Atletas!B338="Feminino",1000,IF(Atletas!B338="Masculino",2000,""))+(IF(Atletas!L338="Chaquan A",101,IF(Atletas!L338="Emeiquan A",102,IF(Atletas!L338="Fanziquan A",103,IF(Atletas!L338="Huaquan A",104,IF(Atletas!L338="Hongquan A",105,IF(Atletas!L338="Paochui A",106,IF(Atletas!L338="Piguaquan A",107,IF(Atletas!L338="Shaolinquan A",108,IF(Atletas!L338="Tanglangquan A",109,IF(Atletas!L338="Yinzhaophai A",110,IF(Atletas!L338="Tongbeiquan A",111,IF(Atletas!L338="Wudangquan A",112,IF(Atletas!L338="Outros Estilos A",113,IF(Atletas!L338="Chaquan B",114,IF(Atletas!L338="Emeiquan B",115,IF(Atletas!L338="Fanziquan B",116,IF(Atletas!L338="Huaquan B",117,IF(Atletas!L338="Hongquan B",118,IF(Atletas!L338="Paochui B",119,IF(Atletas!L338="Piguaquan B",120,IF(Atletas!L338="Shaolinquan B",121,IF(Atletas!L338="Tanglangquan B",122,IF(Atletas!L338="Yinzhaophai B",123,IF(Atletas!L338="Tongbeiquan B",124,IF(Atletas!L338="Wudangquan B",125,IF(Atletas!L338="Outros Estilos B",126,IF(Atletas!L338="Chaquan C",127,IF(Atletas!L338="Emeiquan C",128,IF(Atletas!L338="Fanziquan C",129,IF(Atletas!L338="Huaquan C",130,IF(Atletas!L338="Hongquan C",131,IF(Atletas!L338="Paochui C",132,IF(Atletas!L338="Piguaquan C",133,IF(Atletas!L338="Shaolinquan C",134,IF(Atletas!L338="Tanglangquan C",135,IF(Atletas!L338="Yinzhaophai C",136,IF(Atletas!L338="Tongbeiquan C",137,IF(Atletas!L338="Wudangquan C",138,IF(Atletas!L338="Outros Estilos C",139,0))))))))))))))))))))))))))))))))))))))))))</f>
        <v/>
      </c>
      <c r="BM342" s="52" t="str">
        <f>IF(Atletas!L338="","",IF(Atletas!W338&lt;&gt;"",10000,0)+(IF(Atletas!B338="Feminino",1000,IF(Atletas!B338="Masculino",2000,""))+(IF(Atletas!L338="Chaquan D",140,IF(Atletas!L338="Emeiquan D",141,IF(Atletas!L338="Fanziquan D",142,IF(Atletas!L338="Huaquan D",143,IF(Atletas!L338="Hongquan D",144,IF(Atletas!L338="Paochui D",145,IF(Atletas!L338="Piguaquan D",146,IF(Atletas!L338="Shaolinquan D",147,IF(Atletas!L338="Tanglangquan D",148,IF(Atletas!L338="Yinzhaophai D",149,IF(Atletas!L338="Tongbeiquan D",150,IF(Atletas!L338="Wudangquan D",151,IF(Atletas!L338="Outros Estilos D",152,IF(Atletas!L338="Chaquan E",153,IF(Atletas!L338="Emeiquan E",154,IF(Atletas!L338="Fanziquan E",155,IF(Atletas!L338="Huaquan E",156,IF(Atletas!L338="Hongquan E",157,IF(Atletas!L338="Paochui E",158,IF(Atletas!L338="Piguaquan E",159,IF(Atletas!L338="Shaolinquan E",160,IF(Atletas!L338="Tanglangquan E",161,IF(Atletas!L338="Yinzhaophai E",162,IF(Atletas!L338="Tongbeiquan E",163,IF(Atletas!L338="Wudangquan E",164,IF(Atletas!L338="Outros Estilos E",165,IF(Atletas!L338="Chaquan F",166,IF(Atletas!L338="Emeiquan F",167,IF(Atletas!L338="Fanziquan F",168,IF(Atletas!L338="Huaquan F",169,IF(Atletas!L338="Hongquan F",170,IF(Atletas!L338="Paochui F",171,IF(Atletas!L338="Piguaquan F",172,IF(Atletas!L338="Shaolinquan F",173,IF(Atletas!L338="Tanglangquan F",174,IF(Atletas!L338="Yinzhaophai F",175,IF(Atletas!L338="Tongbeiquan F",176,IF(Atletas!L338="Wudangquan F",177,IF(Atletas!L338="Outros Estilos F",178,0))))))))))))))))))))))))))))))))))))))))))</f>
        <v/>
      </c>
      <c r="BN342" s="52" t="str">
        <f>IF(Atletas!M338="","",IF(Atletas!W338&lt;&gt;"",10000,0)+(IF(Atletas!B338="Feminino",1000,IF(Atletas!B338="Masculino",2000,""))+(IF(Atletas!M338="Ditangquan A",201,IF(Atletas!M338="Houquan A",202,IF(Atletas!M338="Zuiquan A",203,IF(Atletas!M338="Ditangquan B",204,IF(Atletas!M338="Houquan B",205,IF(Atletas!M338="Zuiquan B",206,IF(Atletas!M338="Ditangquan C",207,IF(Atletas!M338="Houquan C",208,IF(Atletas!M338="Zuiquan C",209,IF(Atletas!M338="Ditangquan D",210,IF(Atletas!M338="Houquan D",211,IF(Atletas!M338="Zuiquan D",212,IF(Atletas!M338="Ditangquan E",213,IF(Atletas!M338="Houquan E",214,IF(Atletas!M338="Zuiquan E",215,IF(Atletas!M338="Ditangquan F",216,IF(Atletas!M338="Houquan F",217,IF(Atletas!M338="Zuiquan F",218,"")))))))))))))))))))))</f>
        <v/>
      </c>
      <c r="BO342" s="52" t="str">
        <f>IF(Atletas!N338="","",IF(Atletas!W338&lt;&gt;"",10000,0)+IF(Atletas!B338="Feminino",1000,IF(Atletas!B338="Masculino",2000,""))+IF(Atletas!N338="Yang A",301,IF(Atletas!N338="Chen A",30,IF(Atletas!N338="Sun A",303,IF(Atletas!N338="Wu A",304,IF(Atletas!N338="Wu-Hao A",305,IF(Atletas!N338="Outro Taijiquan A",306,IF(Atletas!N338="Yang B",307,IF(Atletas!N338="Chen B",308,IF(Atletas!N338="Sun B",309,IF(Atletas!N338="Wu B",310,IF(Atletas!N338="Wu-Hao B",311,IF(Atletas!N338="Outro Taijiquan B",312,IF(Atletas!N338="Yang C",313,IF(Atletas!N338="Chen C",314,IF(Atletas!N338="Sun C",315,IF(Atletas!N338="Wu C",316,IF(Atletas!N338="Wu-Hao C",317,IF(Atletas!N338="Outro Taijiquan C",318,IF(Atletas!N338="Yang D",319,IF(Atletas!N338="Chen D",320,IF(Atletas!N338="Sun D",321,IF(Atletas!N338="Wu D",322,IF(Atletas!N338="Wu-Hao D",323,IF(Atletas!N338="Outro Taijiquan D",324,IF(Atletas!N338="Yang E",325,IF(Atletas!N338="Chen E",326,IF(Atletas!N338="Sun E",327,IF(Atletas!N338="Wu E",328,IF(Atletas!N338="Wu-Hao E",329,IF(Atletas!N338="Outro Taijiquan E",330,IF(Atletas!N338="Yang F",331,IF(Atletas!N338="Chen F",332,IF(Atletas!N338="Sun F",333,IF(Atletas!N338="Wu F",334,IF(Atletas!N338="Wu-Hao F",335,IF(Atletas!N338="Outro Taijiquan F",336,"")))))))))))))))))))))))))))))))))))))</f>
        <v/>
      </c>
      <c r="BP342" s="52" t="str">
        <f>IF(Atletas!O338="","",IF(Atletas!W338&lt;&gt;"",10000,0)+IF(Atletas!B338="Feminino",1000,IF(Atletas!B338="Masculino",2000,""))+IF(OR(Atletas!O338="Yang 26 A",Atletas!O338="Yang 40 A"),401,IF(OR(Atletas!O338="Chen 25 A",Atletas!O338="Chen 36 A",Atletas!O338="Chen 56 A"),402,IF(Atletas!O338="Sun 73 A",403,IF(Atletas!O338="Wu 45 A",404,IF(Atletas!O338="Wu-Hao 46 A",405,IF(OR(Atletas!O338="Taijiquan 16 A",Atletas!O338="Taijiquan 24 A",Atletas!O338="Taijiquan 32 A",Atletas!O338="Taijiquan 42 A"),406,IF(OR(Atletas!O338="Yang 26 B",Atletas!O338="Yang 40 B"),407,IF(OR(Atletas!O338="Chen 25 B",Atletas!O338="Chen 36 B",Atletas!O338="Chen 56 B"),408,IF(Atletas!O338="Sun 73 B",409,IF(Atletas!O338="Wu 45 B",410,IF(Atletas!O338="Wu-Hao 46 B",411,IF(OR(Atletas!O338="Taijiquan 16 B",Atletas!O338="Taijiquan 24 B",Atletas!O338="Taijiquan 32 B",Atletas!O338="Taijiquan 42 B"),412,IF(OR(Atletas!O338="Yang 26 C",Atletas!O338="Yang 40 C"),413,IF(OR(Atletas!O338="Chen 25 C",Atletas!O338="Chen 36 C",Atletas!O338="Chen 56 C"),414,IF(Atletas!O338="Sun 73 C",415,IF(Atletas!O338="Wu 45 C",416,IF(Atletas!O338="Wu-Hao 46 C",417,IF(OR(Atletas!O338="Taijiquan 16 C",Atletas!O338="Taijiquan 24 C",Atletas!O338="Taijiquan 32 C",Atletas!O338="Taijiquan 42 C"),418,0)))))))))))))))))))</f>
        <v/>
      </c>
      <c r="BQ342" s="52" t="str">
        <f>IF(Atletas!O338="","",IF(Atletas!W338&lt;&gt;"",10000,0)+IF(Atletas!B338="Feminino",1000,IF(Atletas!B338="Masculino",2000,""))+IF(OR(Atletas!O338="Yang 26 D",Atletas!O338="Yang 40 D"),419,IF(OR(Atletas!O338="Chen 25 D",Atletas!O338="Chen 36 D",Atletas!O338="Chen 56 D"),420,IF(Atletas!O338="Sun 73 D",421,IF(Atletas!O338="Wu 45 D",422,IF(Atletas!O338="Wu-Hao 46 D",423,IF(OR(Atletas!O338="Taijiquan 16 D",Atletas!O338="Taijiquan 24 D",Atletas!O338="Taijiquan 32 D",Atletas!O338="Taijiquan 42 D"),424,IF(OR(Atletas!O338="Yang 26 E",Atletas!O338="Yang 40 E"),425,IF(OR(Atletas!O338="Chen 25 E",Atletas!O338="Chen 36 E",Atletas!O338="Chen 56 E"),426,IF(Atletas!O338="Sun 73 E",427,IF(Atletas!O338="Wu 45 E",428,IF(Atletas!O338="Wu-Hao 46 E",429,IF(OR(Atletas!O338="Taijiquan 16 E",Atletas!O338="Taijiquan 24 E",Atletas!O338="Taijiquan 32 E",Atletas!O338="Taijiquan 42 E"),430,IF(OR(Atletas!O338="Yang 26 F",Atletas!O338="Yang 40 F"),431,IF(OR(Atletas!O338="Chen 25 F",Atletas!O338="Chen 36 F",Atletas!O338="Chen 56 F"),432,IF(Atletas!O338="Sun 73 F",433,IF(Atletas!O338="Wu 45 F",434,IF(Atletas!O338="Wu-Hao 46 F",435,IF(OR(Atletas!O338="Taijiquan 16 F",Atletas!O338="Taijiquan 24 F",Atletas!O338="Taijiquan 32 F",Atletas!O338="Taijiquan 42 F"),436,0)))))))))))))))))))</f>
        <v/>
      </c>
      <c r="BR342" s="52" t="str">
        <f>IF(Atletas!P338="","",IF(Atletas!W338&lt;&gt;"",10000,0)+IF(Atletas!B338="Feminino",1000,IF(Atletas!B338="Masculino",2000,""))+IF(Atletas!P338="Xingyiquan A",501,IF(Atletas!P338="Baguazhang A",502,IF(Atletas!P338="Outro Estilo Interno A",503,IF(Atletas!P338="Xingyiquan B",504,IF(Atletas!P338="Baguazhang B",505,IF(Atletas!P338="Outro Estilo Interno B",506,IF(Atletas!P338="Xingyiquan C",507,IF(Atletas!P338="Baguazhang C",508,IF(Atletas!P338="Outro Estilo Interno C",509,IF(Atletas!P338="Xingyiquan D",510,IF(Atletas!P338="Baguazhang D",511,IF(Atletas!P338="Outro Estilo Interno D",512,IF(Atletas!P338="Xingyiquan E",513,IF(Atletas!P338="Baguazhang E",514,IF(Atletas!P338="Outro Estilo Interno E",515,IF(Atletas!P338="Xingyiquan F",516,IF(Atletas!P338="Baguazhang F",517,IF(Atletas!P338="Outro Estilo Interno F",518, "")))))))))))))))))))</f>
        <v/>
      </c>
      <c r="BS342" s="52" t="str">
        <f>IF(Atletas!Q338="","",IF(Atletas!W338&lt;&gt;"",10000,0)+IF(Atletas!B338="Feminino",1000,IF(Atletas!B338="Masculino",2000,""))+IF(Atletas!Q338="Dao A",601,IF(Atletas!Q338="Jian A",602,IF(Atletas!Q338="Bishou A",603,IF(Atletas!Q338="Shan A",604,IF(Atletas!Q338="Outra Arma Curta A",605,IF(Atletas!Q338="Dao B",606,IF(Atletas!Q338="Jian B",607,IF(Atletas!Q338="Bishou B",608,IF(Atletas!Q338="Shan B",609,IF(Atletas!Q338="Outra Arma Curta B",610,IF(Atletas!Q338="Dao C",611,IF(Atletas!Q338="Jian C",612,IF(Atletas!Q338="Bishou C",613,IF(Atletas!Q338="Shan C",614,IF(Atletas!Q338="Outra Arma Curta C",615,IF(Atletas!Q338="Dao D",616,IF(Atletas!Q338="Jian D",617,IF(Atletas!Q338="Bishou D",618,IF(Atletas!Q338="Shan D",619,IF(Atletas!Q338="Outra Arma Curta D",620,IF(Atletas!Q338="Dao E",621,IF(Atletas!Q338="Jian E",622,IF(Atletas!Q338="Bishou E",623,IF(Atletas!Q338="Shan E",624,IF(Atletas!Q338="Outra Arma Curta E",625,IF(Atletas!Q338="Dao F",626,IF(Atletas!Q338="Jian F",627,IF(Atletas!Q338="Bishou F",628,IF(Atletas!Q338="Shan F",629,IF(Atletas!Q338="Outra Arma Curta F",630, "")))))))))))))))))))))))))))))))</f>
        <v/>
      </c>
      <c r="BT342" s="52" t="str">
        <f>IF(Atletas!R338="","",IF(Atletas!W338&lt;&gt;"",10000,0)+IF(Atletas!B338="Feminino",1000,IF(Atletas!B338="Masculino",2000,""))+IF(Atletas!R338="Gun A",701,IF(Atletas!R338="Qiang A",702,IF(Atletas!R338="Pudao / Guandao A",703,IF(Atletas!R338="Outra Arma Longa A",704,IF(Atletas!R338="Gun B",705,IF(Atletas!R338="Qiang B",706,IF(Atletas!R338="Pudao / Guandao B",707,IF(Atletas!R338="Outra Arma Longa B",708,IF(Atletas!R338="Gun C",709,IF(Atletas!R338="Qiang C",710,IF(Atletas!R338="Pudao / Guandao C",711,IF(Atletas!R338="Outra Arma Longa C",712,IF(Atletas!R338="Gun D",713,IF(Atletas!R338="Qiang D",714,IF(Atletas!R338="Pudao / Guandao D",715,IF(Atletas!R338="Outra Arma Longa D",716,IF(Atletas!R338="Gun E",717,IF(Atletas!R338="Qiang E",718,IF(Atletas!R338="Pudao / Guandao E",719,IF(Atletas!R338="Outra Arma Longa E",720,IF(Atletas!R338="Gun F",721,IF(Atletas!R338="Qiang F",722,IF(Atletas!R338="Pudao / Guandao F",723,IF(Atletas!R338="Outra Arma Longa F",724,"")))))))))))))))))))))))))</f>
        <v/>
      </c>
      <c r="BU342" s="52" t="str">
        <f>IF(Atletas!S338="","",IF(Atletas!W338&lt;&gt;"",10000,0)+IF(Atletas!B338="Feminino",1000,IF(Atletas!B338="Masculino",2000,""))+IF(Atletas!S338="Arma Dupla A",801,IF(Atletas!S338="Arma Maleável A",802,IF(Atletas!S338="Arma Dupla B",803,IF(Atletas!S338="Arma Maleável B",804,IF(Atletas!S338="Arma Dupla C",805,IF(Atletas!S338="Arma Maleável C",806,IF(Atletas!S338="Arma Dupla D",807,IF(Atletas!S338="Arma Maleável D",808,IF(Atletas!S338="Arma Dupla E",809,IF(Atletas!S338="Arma Maleável E",810,IF(Atletas!S338="Arma Dupla F",811,IF(Atletas!S338="Arma Maleável F",812, "")))))))))))))</f>
        <v/>
      </c>
      <c r="BV342" s="52" t="str">
        <f>IF(Atletas!T338="","",IF(Atletas!W338&lt;&gt;"",10000,0)+IF(Atletas!B338="Feminino",1000,IF(Atletas!B338="Masculino",2000,""))+IF(Atletas!T338="Taijijian Yang A",901,IF(Atletas!T338="Taijijian Chen A",902,IF(Atletas!T338="Taijijian Sun A",903,IF(Atletas!T338="Taijijian Wu A",904,IF(Atletas!T338="Taijijian Wu-Hao A",905,IF(Atletas!T338="Taijijian 32 A",906,IF(Atletas!T338="Taijijian 42 A",907,IF(Atletas!T338="Taijijian Yang B",908,IF(Atletas!T338="Taijijian Chen B",909,IF(Atletas!T338="Taijijian Sun B",910,IF(Atletas!T338="Taijijian Wu B",911,IF(Atletas!T338="Taijijian Wu-Hao B",912,IF(Atletas!T338="Taijijian 32 B",913,IF(Atletas!T338="Taijijian 42 B",914,IF(Atletas!T338="Taijijian Yang C",915,IF(Atletas!T338="Taijijian Chen C",916,IF(Atletas!T338="Taijijian Sun C",917,IF(Atletas!T338="Taijijian Wu C",918,IF(Atletas!T338="Taijijian Wu-Hao C",919,IF(Atletas!T338="Taijijian 32 C",920,IF(Atletas!T338="Taijijian 42 C",921,IF(Atletas!T338="Taijijian Yang D",922,IF(Atletas!T338="Taijijian Chen D",923,IF(Atletas!T338="Taijijian Sun D",924,IF(Atletas!T338="Taijijian Wu D",925,IF(Atletas!T338="Taijijian Wu-Hao D",926,IF(Atletas!T338="Taijijian 32 D",927,IF(Atletas!T338="Taijijian 42 D",928,IF(Atletas!T338="Taijijian Yang E",929,IF(Atletas!T338="Taijijian Chen E",930,IF(Atletas!T338="Taijijian Sun E",931,IF(Atletas!T338="Taijijian Wu E",932,IF(Atletas!T338="Taijijian Wu-Hao E",933,IF(Atletas!T338="Taijijian 32 E",934,IF(Atletas!T338="Taijijian 42 E",935,IF(Atletas!T338="Taijijian Yang F",936,IF(Atletas!T338="Taijijian Chen F",937,IF(Atletas!T338="Taijijian Sun F",938,IF(Atletas!T338="Taijijian Wu F",939,IF(Atletas!T338="Taijijian Wu-Hao F",940,IF(Atletas!T338="Taijijian 32 F",941,IF(Atletas!T338="Taijijian 42 F",942,"")))))))))))))))))))))))))))))))))))))))))))</f>
        <v/>
      </c>
      <c r="BW342" s="52" t="str">
        <f>IF(Atletas!U338="","",IF(Atletas!W338&lt;&gt;"",10000,0)+IF(Atletas!B338="Feminino",1000,IF(Atletas!B338="Masculino",2000,""))+IF(Atletas!T338="Taijijian 42 F",942,IF(Atletas!U338="Taijidao A",943,IF(Atletas!U338="Taijishan A",944,IF(Atletas!U338="Taijiqiang A",945,IF(Atletas!U338="Taijidao B",946,IF(Atletas!U338="Taijishan B",947,IF(Atletas!U338="Taijiqiang B",948,IF(Atletas!U338="Taijidao C",949,IF(Atletas!U338="Taijishan C",950,IF(Atletas!U338="Taijiqiang C",951,IF(Atletas!U338="Taijidao D",952,IF(Atletas!U338="Taijishan D",953,IF(Atletas!U338="Taijiqiang D",954,IF(Atletas!U338="Taijidao E",955,IF(Atletas!U338="Taijishan E",956,IF(Atletas!U338="Taijiqiang E",957,IF(Atletas!U338="Taijidao F",958,IF(Atletas!U338="Taijishan F",959,IF(Atletas!U338="Taijiqiang F",960))))))))))))))))))))</f>
        <v/>
      </c>
      <c r="BX342" s="72" t="str">
        <f>IF(BY342&lt;&gt;"","Taijiqiang F","")</f>
        <v/>
      </c>
      <c r="BY342" s="72" t="str">
        <f>IF(COUNTIF(BK:BW,1960)&gt;0,COUNTIF(BK:BW,1960),"")</f>
        <v/>
      </c>
      <c r="BZ342" s="72" t="str">
        <f>IF(CA342&lt;&gt;"","Taijiqiang F","")</f>
        <v/>
      </c>
      <c r="CA342" s="72" t="str">
        <f>IF(COUNTIF(BK:BW,2960)&gt;0,COUNTIF(BK:BW,2960),"")</f>
        <v/>
      </c>
      <c r="CB342" s="72" t="str">
        <f>IF(CC342&lt;&gt;"","Arma Maleável C","")</f>
        <v/>
      </c>
      <c r="CC342" s="64" t="str">
        <f>IF(COUNTIF(BK:BW,11806)&gt;0,COUNTIF(BK:BW,11806),"")</f>
        <v/>
      </c>
      <c r="CD342" s="64" t="str">
        <f>IF(CE342&lt;&gt;"","Arma Maleável C","")</f>
        <v/>
      </c>
      <c r="CE342" s="64" t="str">
        <f>IF(COUNTIF(BK:BW,12806)&gt;0,COUNTIF(BK:BW,12806),"")</f>
        <v/>
      </c>
      <c r="CF342" s="52" t="str">
        <f xml:space="preserve"> IF(Atletas!V338="","",IF(Atletas!V338="Duilian de Mãos AB - Equipe 1",1,IF(Atletas!V338="Duilian de Mãos AB - Equipe 2",2,IF(Atletas!V338="Duilian de Armas AB - Equipe 1",3,IF(Atletas!V338="Duilian de Armas AB - Equipe 2",4,IF(Atletas!V338="Duilian de Tuishou - Equipe 1",5,IF(Atletas!V338="Duilian de Tuishou - Equipe 2",6,IF(Atletas!V338="Grupo Externo AB - Equipe 1",7,IF(Atletas!V338="Grupo Externo AB - Equipe 2",8,IF(Atletas!V338="Grupo Interno AB - Equipe 1",9,IF(Atletas!V338="Grupo Interno AB - Equipe 2",10,IF(Atletas!V338="Duilian de Mãos CD - Equipe 1",11,IF(Atletas!V338="Duilian de Mãos CD - Equipe 2",12,IF(Atletas!V338="Duilian de Armas CD - Equipe 1",13,IF(Atletas!V338="Duilian de Armas CD - Equipe 2",14,IF(Atletas!V338="Duilian de Tuishou - Equipe 1",15,IF(Atletas!V338="Duilian de Tuishou - Equipe 2",16,IF(Atletas!V338="Grupo Externo CDEF - Equipe 1",17,IF(Atletas!V338="Grupo Externo CDEF - Equipe 2",18,IF(Atletas!V338="Grupo Interno CDEF - Equipe 1",19,IF(Atletas!V338="Grupo Interno CDEF - Equipe 2",20,IF(Atletas!V338="Duilian de Mãos EF - Equipe 1",21,IF(Atletas!V338="Duilian de Mãos EF - Equipe 2",22,IF(Atletas!V338="Duilian de Armas EF - Equipe 1",23,IF(Atletas!V338="Duilian de Armas EF - Equipe 2",24,IF(Atletas!V338="Duilian de Tuishou - Equipe 1",25,IF(Atletas!V338="Duilian de Tuishou - Equipe 2",26,"")))))))))))))))))))))))))))</f>
        <v/>
      </c>
    </row>
    <row r="343" spans="36:84">
      <c r="AJ343" s="46" t="str">
        <f>IF(Atletas!D339="","",IF(Atletas!B339="Feminino",100,IF(Atletas!B339="Masculino",200,""))+(IF(Atletas!D339="Infantil 39kg",1,IF(Atletas!D339="Infantil 42kg",2,IF(Atletas!D339="Infantil 45kg",3,IF(Atletas!D339="Infantil 48kg",4,IF(Atletas!D339="Infantil 52kg",5,IF(Atletas!D339="Infantil 56kg",6,IF(Atletas!D339="Infantil 60kg",7,IF(Atletas!D339="Juvenil 48kg",8,IF(Atletas!D339="Juvenil 52kg",9,IF(Atletas!D339="Juvenil 56kg",10,IF(Atletas!D339="Juvenil 60kg",11,IF(Atletas!D339="Juvenil 65kg",12,IF(Atletas!D339="Juvenil 70kg",13,IF(Atletas!D339="Juvenil 75kg",14,IF(Atletas!D339="Juvenil 80kg",15,IF(Atletas!D339="Adulto 48kg",16,IF(Atletas!D339="Adulto 52kg",17,IF(Atletas!D339="Adulto 56kg",18,IF(Atletas!D339="Adulto 60kg",19,IF(Atletas!D339="Adulto 65kg",20,IF(Atletas!D339="Adulto 70kg",21,IF(Atletas!D339="Adulto 75kg",22,IF(Atletas!D339="Adulto 80kg",23,IF(Atletas!D339="Adulto 85kg",24,IF(Atletas!D339="Adulto 90kg",25,IF(Atletas!D339="Adulto +90kg",26,""))))))))))))))))))))))))))))</f>
        <v/>
      </c>
      <c r="AO343" s="10" t="str">
        <f>IF(Atletas!E339="","",IF(Atletas!B339="Feminino",100,IF(Atletas!B339="Masculino",200,""))+(IF(Atletas!E339="Juvenil 44kg",1,IF(Atletas!E339="Juvenil 48kg",2,IF(Atletas!E339="Juvenil 52kg",3,IF(Atletas!E339="Juvenil 56kg",4,IF(Atletas!E339="Juvenil 60kg",5,IF(Atletas!E339="Juvenil 65kg",6,IF(Atletas!E339="Juvenil 70kg",7,IF(Atletas!E339="Juvenil 75kg",8,IF(Atletas!E339="Juvenil 82kg",9,IF(Atletas!E339="Juvenil 90kg",10,IF(Atletas!E339="Juvenil 100kg",11,IF(Atletas!E339="Adulto 48kg",12,IF(Atletas!E339="Adulto 52kg",13,IF(Atletas!E339="Adulto 56kg",14,IF(Atletas!E339="Adulto 60kg",15,IF(Atletas!E339="Adulto 65kg",16,IF(Atletas!E339="Adulto 70kg",17,IF(Atletas!E339="Adulto 75kg",18,IF(Atletas!E339="Adulto 82kg",19,IF(Atletas!E339="Adulto 90kg",20,IF(Atletas!E339="Adulto 100kg",21,IF(Atletas!E339="Adulto +100kg",22,""))))))))))))))))))))))))</f>
        <v/>
      </c>
      <c r="AT343" s="10" t="str">
        <f>IF(Atletas!F339="","",IF(Atletas!B339="Feminino",100,IF(Atletas!B339="Masculino",200,""))+(IF(Atletas!F339="Adulto 48kg",1,IF(Atletas!F339="Adulto 56kg",2,IF(Atletas!F339="Adulto 65kg",3,IF(Atletas!F339="Adulto 75kg",4,IF(Atletas!F339="Adulto +75kg",5,IF(Atletas!F339="Adulto 52kg",6,IF(Atletas!F339="Adulto 60kg",7,IF(Atletas!F339="Adulto 70kg",8,IF(Atletas!F339="Adulto 80kg",9,IF(Atletas!F339="Adulto 90kg",10,IF(Atletas!F339="Adulto +90kg",11,"")))))))))))))</f>
        <v/>
      </c>
      <c r="AY343" s="46" t="str">
        <f>IF(Atletas!G339="","",IF(Atletas!B339="Feminino",100,IF(Atletas!B339="Masculino",200,""))+(IF(Atletas!G339="Changquan Mirim",1,IF(Atletas!G339="Nanquan Mirim",2,IF(Atletas!G339="Taijiquan Mirim",3,IF(Atletas!G339="Changquan Grupo C",4,IF(Atletas!G339="Nanquan Grupo C",5,IF(Atletas!G339="Taijiquan Grupo C",6,IF(Atletas!G339="Changquan Grupo B",7,IF(Atletas!G339="Nanquan Grupo B",8,IF(Atletas!G339="Taijiquan Grupo B",9,IF(Atletas!G339="Changquan Grupo A",10,IF(Atletas!G339="Nanquan Grupo A",11,IF(Atletas!G339="Taijiquan Grupo A",12,IF(Atletas!G339="Changquan Opcional",13,IF(Atletas!G339="Nanquan Opcional",14,IF(Atletas!G339="Taijiquan Opcional",15,IF(Atletas!G339="Changquan Adulto",16,IF(Atletas!G339="Nanquan Adulto",17,IF(Atletas!G339="Taijiquan Adulto",18,""))))))))))))))))))))</f>
        <v/>
      </c>
      <c r="AZ343" s="46" t="str">
        <f>IF(Atletas!H339="","",IF(Atletas!B339="Feminino",100,IF(Atletas!B339="Masculino",200,""))+(IF(Atletas!H339="Daoshu Mirim",19,IF(Atletas!H339="Jianshu Mirim",20,IF(Atletas!H339="Nandao Mirim",21,IF(Atletas!H339="Taijijian Mirim",22,IF(Atletas!H339="Daoshu Grupo C",23,IF(Atletas!H339="Jianshu Grupo C",24,IF(Atletas!H339="Nandao Grupo C",25,IF(Atletas!H339="Taijijian Grupo C",26,IF(Atletas!H339="Daoshu Grupo B",27,IF(Atletas!H339="Jianshu Grupo B",28,IF(Atletas!H339="Nandao Grupo B",29,IF(Atletas!H339="Taijijian Grupo B",30,IF(Atletas!H339="Daoshu Grupo A",31,IF(Atletas!H339="Jianshu Grupo A",32,IF(Atletas!H339="Nandao Grupo A",33,IF(Atletas!H339="Taijijian Grupo A",34,IF(Atletas!H339="Daoshu Opcional",35,IF(Atletas!H339="Jianshu Opcional",36,IF(Atletas!H339="Nandao Opcional",37,IF(Atletas!H339="Taijijian Opcional",38,IF(Atletas!H339="Daoshu Adulto",39,IF(Atletas!H339="Jianshu Adulto",40,IF(Atletas!H339="Nandao Adulto",41,IF(Atletas!H339="Taijijian Adulto",42,""))))))))))))))))))))))))))</f>
        <v/>
      </c>
      <c r="BA343" s="46" t="str">
        <f>IF(Atletas!I339="","",IF(Atletas!B339="Feminino",100,IF(Atletas!B339="Masculino",200,""))+(IF(Atletas!I339="Gunshu Mirim",43,IF(Atletas!I339="Qiangshu Mirim",44,IF(Atletas!I339="Nangun Mirim",45,IF(Atletas!I339="Gunshu Grupo C",46,IF(Atletas!I339="Qiangshu Grupo C",47,IF(Atletas!I339="Nangun Grupo C",48,IF(Atletas!I339="Gunshu Grupo B",49,IF(Atletas!I339="Qiangshu Grupo B",50,IF(Atletas!I339="Nangun Grupo B",51,IF(Atletas!I339="Gunshu Grupo A",52,IF(Atletas!I339="Qiangshu Grupo A",53,IF(Atletas!I339="Nangun Grupo A",54,IF(Atletas!I339="Gunshu Opcional",55,IF(Atletas!I339="Qiangshu Opcional",56,IF(Atletas!I339="Nangun Opcional",57,IF(Atletas!I339="Gunshu Adulto",58,IF(Atletas!I339="Qiangshu Adulto",59,IF(Atletas!I339="Nangun Adulto",60,""))))))))))))))))))))</f>
        <v/>
      </c>
      <c r="BF343" s="52" t="str">
        <f>IF(Atletas!J339="","",IF(Atletas!B339="Feminino",100,IF(Atletas!B339="Masculino",200,""))+(IF(Atletas!J339="Equipe 1 Grupo B",1,IF(Atletas!J339="Equipe 2 Grupo B",2,IF(Atletas!J339="Equipe 1 Grupo A",3,IF(Atletas!J339="Equipe 2 Grupo A",4,IF(Atletas!J339="Equipe 1 Adulto",5,IF(Atletas!J339="Equipe 2 Adulto",6,""))))))))</f>
        <v/>
      </c>
      <c r="BK343" s="52" t="str">
        <f>IF(Atletas!K339="","",IF(Atletas!W339&lt;&gt;"",10000,0)+(IF(Atletas!B339="Feminino",1000,IF(Atletas!B339="Masculino",2000,""))+IF(Atletas!K339="Choylayfut A",1,IF(Atletas!K339="Hunggar A",2,IF(Atletas!K339="Wuzuquan A",3,IF(Atletas!K339="Wingchun A",4,IF(Atletas!K339="Outra Mão de Sul A",5,IF(Atletas!K339="Choylayfut B",6,IF(Atletas!K339="Hunggar B",7,IF(Atletas!K339="Wuzuquan B",8,IF(Atletas!K339="Wingchun B",9,IF(Atletas!K339="Outra Mão de Sul B",10,IF(Atletas!K339="Choylayfut C",11,IF(Atletas!K339="Hunggar C",12,IF(Atletas!K339="Wuzuquan C",13,IF(Atletas!K339="Wingchun C",14,IF(Atletas!K339="Outra Mão de Sul C",15,IF(Atletas!K339="Choylayfut D",16,IF(Atletas!K339="Hunggar D",17,IF(Atletas!K339="Wuzuquan D",18,IF(Atletas!K339="Wingchun D",19,IF(Atletas!K339="Outra Mão de Sul D",20,IF(Atletas!K339="Choylayfut E",21,IF(Atletas!K339="Hunggar E",22,IF(Atletas!K339="Wuzuquan E",23,IF(Atletas!K339="Wingchun E",24,IF(Atletas!K339="Outra Mão de Sul E",25,IF(Atletas!K339="Choylayfut F",26,IF(Atletas!K339="Hunggar F",27,IF(Atletas!K339="Wuzuquan F",28,IF(Atletas!K339="Wingchun F",29,IF(Atletas!K339="Outra Mão de Sul F",30,""))))))))))))))))))))))))))))))))</f>
        <v/>
      </c>
      <c r="BL343" s="52" t="str">
        <f>IF(Atletas!L339="","",IF(Atletas!W339&lt;&gt;"",10000,0)+(IF(Atletas!B339="Feminino",1000,IF(Atletas!B339="Masculino",2000,""))+(IF(Atletas!L339="Chaquan A",101,IF(Atletas!L339="Emeiquan A",102,IF(Atletas!L339="Fanziquan A",103,IF(Atletas!L339="Huaquan A",104,IF(Atletas!L339="Hongquan A",105,IF(Atletas!L339="Paochui A",106,IF(Atletas!L339="Piguaquan A",107,IF(Atletas!L339="Shaolinquan A",108,IF(Atletas!L339="Tanglangquan A",109,IF(Atletas!L339="Yinzhaophai A",110,IF(Atletas!L339="Tongbeiquan A",111,IF(Atletas!L339="Wudangquan A",112,IF(Atletas!L339="Outros Estilos A",113,IF(Atletas!L339="Chaquan B",114,IF(Atletas!L339="Emeiquan B",115,IF(Atletas!L339="Fanziquan B",116,IF(Atletas!L339="Huaquan B",117,IF(Atletas!L339="Hongquan B",118,IF(Atletas!L339="Paochui B",119,IF(Atletas!L339="Piguaquan B",120,IF(Atletas!L339="Shaolinquan B",121,IF(Atletas!L339="Tanglangquan B",122,IF(Atletas!L339="Yinzhaophai B",123,IF(Atletas!L339="Tongbeiquan B",124,IF(Atletas!L339="Wudangquan B",125,IF(Atletas!L339="Outros Estilos B",126,IF(Atletas!L339="Chaquan C",127,IF(Atletas!L339="Emeiquan C",128,IF(Atletas!L339="Fanziquan C",129,IF(Atletas!L339="Huaquan C",130,IF(Atletas!L339="Hongquan C",131,IF(Atletas!L339="Paochui C",132,IF(Atletas!L339="Piguaquan C",133,IF(Atletas!L339="Shaolinquan C",134,IF(Atletas!L339="Tanglangquan C",135,IF(Atletas!L339="Yinzhaophai C",136,IF(Atletas!L339="Tongbeiquan C",137,IF(Atletas!L339="Wudangquan C",138,IF(Atletas!L339="Outros Estilos C",139,0))))))))))))))))))))))))))))))))))))))))))</f>
        <v/>
      </c>
      <c r="BM343" s="52" t="str">
        <f>IF(Atletas!L339="","",IF(Atletas!W339&lt;&gt;"",10000,0)+(IF(Atletas!B339="Feminino",1000,IF(Atletas!B339="Masculino",2000,""))+(IF(Atletas!L339="Chaquan D",140,IF(Atletas!L339="Emeiquan D",141,IF(Atletas!L339="Fanziquan D",142,IF(Atletas!L339="Huaquan D",143,IF(Atletas!L339="Hongquan D",144,IF(Atletas!L339="Paochui D",145,IF(Atletas!L339="Piguaquan D",146,IF(Atletas!L339="Shaolinquan D",147,IF(Atletas!L339="Tanglangquan D",148,IF(Atletas!L339="Yinzhaophai D",149,IF(Atletas!L339="Tongbeiquan D",150,IF(Atletas!L339="Wudangquan D",151,IF(Atletas!L339="Outros Estilos D",152,IF(Atletas!L339="Chaquan E",153,IF(Atletas!L339="Emeiquan E",154,IF(Atletas!L339="Fanziquan E",155,IF(Atletas!L339="Huaquan E",156,IF(Atletas!L339="Hongquan E",157,IF(Atletas!L339="Paochui E",158,IF(Atletas!L339="Piguaquan E",159,IF(Atletas!L339="Shaolinquan E",160,IF(Atletas!L339="Tanglangquan E",161,IF(Atletas!L339="Yinzhaophai E",162,IF(Atletas!L339="Tongbeiquan E",163,IF(Atletas!L339="Wudangquan E",164,IF(Atletas!L339="Outros Estilos E",165,IF(Atletas!L339="Chaquan F",166,IF(Atletas!L339="Emeiquan F",167,IF(Atletas!L339="Fanziquan F",168,IF(Atletas!L339="Huaquan F",169,IF(Atletas!L339="Hongquan F",170,IF(Atletas!L339="Paochui F",171,IF(Atletas!L339="Piguaquan F",172,IF(Atletas!L339="Shaolinquan F",173,IF(Atletas!L339="Tanglangquan F",174,IF(Atletas!L339="Yinzhaophai F",175,IF(Atletas!L339="Tongbeiquan F",176,IF(Atletas!L339="Wudangquan F",177,IF(Atletas!L339="Outros Estilos F",178,0))))))))))))))))))))))))))))))))))))))))))</f>
        <v/>
      </c>
      <c r="BN343" s="52" t="str">
        <f>IF(Atletas!M339="","",IF(Atletas!W339&lt;&gt;"",10000,0)+(IF(Atletas!B339="Feminino",1000,IF(Atletas!B339="Masculino",2000,""))+(IF(Atletas!M339="Ditangquan A",201,IF(Atletas!M339="Houquan A",202,IF(Atletas!M339="Zuiquan A",203,IF(Atletas!M339="Ditangquan B",204,IF(Atletas!M339="Houquan B",205,IF(Atletas!M339="Zuiquan B",206,IF(Atletas!M339="Ditangquan C",207,IF(Atletas!M339="Houquan C",208,IF(Atletas!M339="Zuiquan C",209,IF(Atletas!M339="Ditangquan D",210,IF(Atletas!M339="Houquan D",211,IF(Atletas!M339="Zuiquan D",212,IF(Atletas!M339="Ditangquan E",213,IF(Atletas!M339="Houquan E",214,IF(Atletas!M339="Zuiquan E",215,IF(Atletas!M339="Ditangquan F",216,IF(Atletas!M339="Houquan F",217,IF(Atletas!M339="Zuiquan F",218,"")))))))))))))))))))))</f>
        <v/>
      </c>
      <c r="BO343" s="52" t="str">
        <f>IF(Atletas!N339="","",IF(Atletas!W339&lt;&gt;"",10000,0)+IF(Atletas!B339="Feminino",1000,IF(Atletas!B339="Masculino",2000,""))+IF(Atletas!N339="Yang A",301,IF(Atletas!N339="Chen A",30,IF(Atletas!N339="Sun A",303,IF(Atletas!N339="Wu A",304,IF(Atletas!N339="Wu-Hao A",305,IF(Atletas!N339="Outro Taijiquan A",306,IF(Atletas!N339="Yang B",307,IF(Atletas!N339="Chen B",308,IF(Atletas!N339="Sun B",309,IF(Atletas!N339="Wu B",310,IF(Atletas!N339="Wu-Hao B",311,IF(Atletas!N339="Outro Taijiquan B",312,IF(Atletas!N339="Yang C",313,IF(Atletas!N339="Chen C",314,IF(Atletas!N339="Sun C",315,IF(Atletas!N339="Wu C",316,IF(Atletas!N339="Wu-Hao C",317,IF(Atletas!N339="Outro Taijiquan C",318,IF(Atletas!N339="Yang D",319,IF(Atletas!N339="Chen D",320,IF(Atletas!N339="Sun D",321,IF(Atletas!N339="Wu D",322,IF(Atletas!N339="Wu-Hao D",323,IF(Atletas!N339="Outro Taijiquan D",324,IF(Atletas!N339="Yang E",325,IF(Atletas!N339="Chen E",326,IF(Atletas!N339="Sun E",327,IF(Atletas!N339="Wu E",328,IF(Atletas!N339="Wu-Hao E",329,IF(Atletas!N339="Outro Taijiquan E",330,IF(Atletas!N339="Yang F",331,IF(Atletas!N339="Chen F",332,IF(Atletas!N339="Sun F",333,IF(Atletas!N339="Wu F",334,IF(Atletas!N339="Wu-Hao F",335,IF(Atletas!N339="Outro Taijiquan F",336,"")))))))))))))))))))))))))))))))))))))</f>
        <v/>
      </c>
      <c r="BP343" s="52" t="str">
        <f>IF(Atletas!O339="","",IF(Atletas!W339&lt;&gt;"",10000,0)+IF(Atletas!B339="Feminino",1000,IF(Atletas!B339="Masculino",2000,""))+IF(OR(Atletas!O339="Yang 26 A",Atletas!O339="Yang 40 A"),401,IF(OR(Atletas!O339="Chen 25 A",Atletas!O339="Chen 36 A",Atletas!O339="Chen 56 A"),402,IF(Atletas!O339="Sun 73 A",403,IF(Atletas!O339="Wu 45 A",404,IF(Atletas!O339="Wu-Hao 46 A",405,IF(OR(Atletas!O339="Taijiquan 16 A",Atletas!O339="Taijiquan 24 A",Atletas!O339="Taijiquan 32 A",Atletas!O339="Taijiquan 42 A"),406,IF(OR(Atletas!O339="Yang 26 B",Atletas!O339="Yang 40 B"),407,IF(OR(Atletas!O339="Chen 25 B",Atletas!O339="Chen 36 B",Atletas!O339="Chen 56 B"),408,IF(Atletas!O339="Sun 73 B",409,IF(Atletas!O339="Wu 45 B",410,IF(Atletas!O339="Wu-Hao 46 B",411,IF(OR(Atletas!O339="Taijiquan 16 B",Atletas!O339="Taijiquan 24 B",Atletas!O339="Taijiquan 32 B",Atletas!O339="Taijiquan 42 B"),412,IF(OR(Atletas!O339="Yang 26 C",Atletas!O339="Yang 40 C"),413,IF(OR(Atletas!O339="Chen 25 C",Atletas!O339="Chen 36 C",Atletas!O339="Chen 56 C"),414,IF(Atletas!O339="Sun 73 C",415,IF(Atletas!O339="Wu 45 C",416,IF(Atletas!O339="Wu-Hao 46 C",417,IF(OR(Atletas!O339="Taijiquan 16 C",Atletas!O339="Taijiquan 24 C",Atletas!O339="Taijiquan 32 C",Atletas!O339="Taijiquan 42 C"),418,0)))))))))))))))))))</f>
        <v/>
      </c>
      <c r="BQ343" s="52" t="str">
        <f>IF(Atletas!O339="","",IF(Atletas!W339&lt;&gt;"",10000,0)+IF(Atletas!B339="Feminino",1000,IF(Atletas!B339="Masculino",2000,""))+IF(OR(Atletas!O339="Yang 26 D",Atletas!O339="Yang 40 D"),419,IF(OR(Atletas!O339="Chen 25 D",Atletas!O339="Chen 36 D",Atletas!O339="Chen 56 D"),420,IF(Atletas!O339="Sun 73 D",421,IF(Atletas!O339="Wu 45 D",422,IF(Atletas!O339="Wu-Hao 46 D",423,IF(OR(Atletas!O339="Taijiquan 16 D",Atletas!O339="Taijiquan 24 D",Atletas!O339="Taijiquan 32 D",Atletas!O339="Taijiquan 42 D"),424,IF(OR(Atletas!O339="Yang 26 E",Atletas!O339="Yang 40 E"),425,IF(OR(Atletas!O339="Chen 25 E",Atletas!O339="Chen 36 E",Atletas!O339="Chen 56 E"),426,IF(Atletas!O339="Sun 73 E",427,IF(Atletas!O339="Wu 45 E",428,IF(Atletas!O339="Wu-Hao 46 E",429,IF(OR(Atletas!O339="Taijiquan 16 E",Atletas!O339="Taijiquan 24 E",Atletas!O339="Taijiquan 32 E",Atletas!O339="Taijiquan 42 E"),430,IF(OR(Atletas!O339="Yang 26 F",Atletas!O339="Yang 40 F"),431,IF(OR(Atletas!O339="Chen 25 F",Atletas!O339="Chen 36 F",Atletas!O339="Chen 56 F"),432,IF(Atletas!O339="Sun 73 F",433,IF(Atletas!O339="Wu 45 F",434,IF(Atletas!O339="Wu-Hao 46 F",435,IF(OR(Atletas!O339="Taijiquan 16 F",Atletas!O339="Taijiquan 24 F",Atletas!O339="Taijiquan 32 F",Atletas!O339="Taijiquan 42 F"),436,0)))))))))))))))))))</f>
        <v/>
      </c>
      <c r="BR343" s="52" t="str">
        <f>IF(Atletas!P339="","",IF(Atletas!W339&lt;&gt;"",10000,0)+IF(Atletas!B339="Feminino",1000,IF(Atletas!B339="Masculino",2000,""))+IF(Atletas!P339="Xingyiquan A",501,IF(Atletas!P339="Baguazhang A",502,IF(Atletas!P339="Outro Estilo Interno A",503,IF(Atletas!P339="Xingyiquan B",504,IF(Atletas!P339="Baguazhang B",505,IF(Atletas!P339="Outro Estilo Interno B",506,IF(Atletas!P339="Xingyiquan C",507,IF(Atletas!P339="Baguazhang C",508,IF(Atletas!P339="Outro Estilo Interno C",509,IF(Atletas!P339="Xingyiquan D",510,IF(Atletas!P339="Baguazhang D",511,IF(Atletas!P339="Outro Estilo Interno D",512,IF(Atletas!P339="Xingyiquan E",513,IF(Atletas!P339="Baguazhang E",514,IF(Atletas!P339="Outro Estilo Interno E",515,IF(Atletas!P339="Xingyiquan F",516,IF(Atletas!P339="Baguazhang F",517,IF(Atletas!P339="Outro Estilo Interno F",518, "")))))))))))))))))))</f>
        <v/>
      </c>
      <c r="BS343" s="52" t="str">
        <f>IF(Atletas!Q339="","",IF(Atletas!W339&lt;&gt;"",10000,0)+IF(Atletas!B339="Feminino",1000,IF(Atletas!B339="Masculino",2000,""))+IF(Atletas!Q339="Dao A",601,IF(Atletas!Q339="Jian A",602,IF(Atletas!Q339="Bishou A",603,IF(Atletas!Q339="Shan A",604,IF(Atletas!Q339="Outra Arma Curta A",605,IF(Atletas!Q339="Dao B",606,IF(Atletas!Q339="Jian B",607,IF(Atletas!Q339="Bishou B",608,IF(Atletas!Q339="Shan B",609,IF(Atletas!Q339="Outra Arma Curta B",610,IF(Atletas!Q339="Dao C",611,IF(Atletas!Q339="Jian C",612,IF(Atletas!Q339="Bishou C",613,IF(Atletas!Q339="Shan C",614,IF(Atletas!Q339="Outra Arma Curta C",615,IF(Atletas!Q339="Dao D",616,IF(Atletas!Q339="Jian D",617,IF(Atletas!Q339="Bishou D",618,IF(Atletas!Q339="Shan D",619,IF(Atletas!Q339="Outra Arma Curta D",620,IF(Atletas!Q339="Dao E",621,IF(Atletas!Q339="Jian E",622,IF(Atletas!Q339="Bishou E",623,IF(Atletas!Q339="Shan E",624,IF(Atletas!Q339="Outra Arma Curta E",625,IF(Atletas!Q339="Dao F",626,IF(Atletas!Q339="Jian F",627,IF(Atletas!Q339="Bishou F",628,IF(Atletas!Q339="Shan F",629,IF(Atletas!Q339="Outra Arma Curta F",630, "")))))))))))))))))))))))))))))))</f>
        <v/>
      </c>
      <c r="BT343" s="52" t="str">
        <f>IF(Atletas!R339="","",IF(Atletas!W339&lt;&gt;"",10000,0)+IF(Atletas!B339="Feminino",1000,IF(Atletas!B339="Masculino",2000,""))+IF(Atletas!R339="Gun A",701,IF(Atletas!R339="Qiang A",702,IF(Atletas!R339="Pudao / Guandao A",703,IF(Atletas!R339="Outra Arma Longa A",704,IF(Atletas!R339="Gun B",705,IF(Atletas!R339="Qiang B",706,IF(Atletas!R339="Pudao / Guandao B",707,IF(Atletas!R339="Outra Arma Longa B",708,IF(Atletas!R339="Gun C",709,IF(Atletas!R339="Qiang C",710,IF(Atletas!R339="Pudao / Guandao C",711,IF(Atletas!R339="Outra Arma Longa C",712,IF(Atletas!R339="Gun D",713,IF(Atletas!R339="Qiang D",714,IF(Atletas!R339="Pudao / Guandao D",715,IF(Atletas!R339="Outra Arma Longa D",716,IF(Atletas!R339="Gun E",717,IF(Atletas!R339="Qiang E",718,IF(Atletas!R339="Pudao / Guandao E",719,IF(Atletas!R339="Outra Arma Longa E",720,IF(Atletas!R339="Gun F",721,IF(Atletas!R339="Qiang F",722,IF(Atletas!R339="Pudao / Guandao F",723,IF(Atletas!R339="Outra Arma Longa F",724,"")))))))))))))))))))))))))</f>
        <v/>
      </c>
      <c r="BU343" s="52" t="str">
        <f>IF(Atletas!S339="","",IF(Atletas!W339&lt;&gt;"",10000,0)+IF(Atletas!B339="Feminino",1000,IF(Atletas!B339="Masculino",2000,""))+IF(Atletas!S339="Arma Dupla A",801,IF(Atletas!S339="Arma Maleável A",802,IF(Atletas!S339="Arma Dupla B",803,IF(Atletas!S339="Arma Maleável B",804,IF(Atletas!S339="Arma Dupla C",805,IF(Atletas!S339="Arma Maleável C",806,IF(Atletas!S339="Arma Dupla D",807,IF(Atletas!S339="Arma Maleável D",808,IF(Atletas!S339="Arma Dupla E",809,IF(Atletas!S339="Arma Maleável E",810,IF(Atletas!S339="Arma Dupla F",811,IF(Atletas!S339="Arma Maleável F",812, "")))))))))))))</f>
        <v/>
      </c>
      <c r="BV343" s="52" t="str">
        <f>IF(Atletas!T339="","",IF(Atletas!W339&lt;&gt;"",10000,0)+IF(Atletas!B339="Feminino",1000,IF(Atletas!B339="Masculino",2000,""))+IF(Atletas!T339="Taijijian Yang A",901,IF(Atletas!T339="Taijijian Chen A",902,IF(Atletas!T339="Taijijian Sun A",903,IF(Atletas!T339="Taijijian Wu A",904,IF(Atletas!T339="Taijijian Wu-Hao A",905,IF(Atletas!T339="Taijijian 32 A",906,IF(Atletas!T339="Taijijian 42 A",907,IF(Atletas!T339="Taijijian Yang B",908,IF(Atletas!T339="Taijijian Chen B",909,IF(Atletas!T339="Taijijian Sun B",910,IF(Atletas!T339="Taijijian Wu B",911,IF(Atletas!T339="Taijijian Wu-Hao B",912,IF(Atletas!T339="Taijijian 32 B",913,IF(Atletas!T339="Taijijian 42 B",914,IF(Atletas!T339="Taijijian Yang C",915,IF(Atletas!T339="Taijijian Chen C",916,IF(Atletas!T339="Taijijian Sun C",917,IF(Atletas!T339="Taijijian Wu C",918,IF(Atletas!T339="Taijijian Wu-Hao C",919,IF(Atletas!T339="Taijijian 32 C",920,IF(Atletas!T339="Taijijian 42 C",921,IF(Atletas!T339="Taijijian Yang D",922,IF(Atletas!T339="Taijijian Chen D",923,IF(Atletas!T339="Taijijian Sun D",924,IF(Atletas!T339="Taijijian Wu D",925,IF(Atletas!T339="Taijijian Wu-Hao D",926,IF(Atletas!T339="Taijijian 32 D",927,IF(Atletas!T339="Taijijian 42 D",928,IF(Atletas!T339="Taijijian Yang E",929,IF(Atletas!T339="Taijijian Chen E",930,IF(Atletas!T339="Taijijian Sun E",931,IF(Atletas!T339="Taijijian Wu E",932,IF(Atletas!T339="Taijijian Wu-Hao E",933,IF(Atletas!T339="Taijijian 32 E",934,IF(Atletas!T339="Taijijian 42 E",935,IF(Atletas!T339="Taijijian Yang F",936,IF(Atletas!T339="Taijijian Chen F",937,IF(Atletas!T339="Taijijian Sun F",938,IF(Atletas!T339="Taijijian Wu F",939,IF(Atletas!T339="Taijijian Wu-Hao F",940,IF(Atletas!T339="Taijijian 32 F",941,IF(Atletas!T339="Taijijian 42 F",942,"")))))))))))))))))))))))))))))))))))))))))))</f>
        <v/>
      </c>
      <c r="BW343" s="52" t="str">
        <f>IF(Atletas!U339="","",IF(Atletas!W339&lt;&gt;"",10000,0)+IF(Atletas!B339="Feminino",1000,IF(Atletas!B339="Masculino",2000,""))+IF(Atletas!T339="Taijijian 42 F",942,IF(Atletas!U339="Taijidao A",943,IF(Atletas!U339="Taijishan A",944,IF(Atletas!U339="Taijiqiang A",945,IF(Atletas!U339="Taijidao B",946,IF(Atletas!U339="Taijishan B",947,IF(Atletas!U339="Taijiqiang B",948,IF(Atletas!U339="Taijidao C",949,IF(Atletas!U339="Taijishan C",950,IF(Atletas!U339="Taijiqiang C",951,IF(Atletas!U339="Taijidao D",952,IF(Atletas!U339="Taijishan D",953,IF(Atletas!U339="Taijiqiang D",954,IF(Atletas!U339="Taijidao E",955,IF(Atletas!U339="Taijishan E",956,IF(Atletas!U339="Taijiqiang E",957,IF(Atletas!U339="Taijidao F",958,IF(Atletas!U339="Taijishan F",959,IF(Atletas!U339="Taijiqiang F",960))))))))))))))))))))</f>
        <v/>
      </c>
      <c r="BX343" s="72"/>
      <c r="BY343" s="72"/>
      <c r="BZ343" s="72"/>
      <c r="CA343" s="72"/>
      <c r="CB343" s="72" t="str">
        <f>IF(CC343&lt;&gt;"","Arma Dupla D","")</f>
        <v/>
      </c>
      <c r="CC343" s="64" t="str">
        <f>IF(COUNTIF(BK:BW,11807)&gt;0,COUNTIF(BK:BW,11807),"")</f>
        <v/>
      </c>
      <c r="CD343" s="64" t="str">
        <f>IF(CE343&lt;&gt;"","Arma Dupla D","")</f>
        <v/>
      </c>
      <c r="CE343" s="64" t="str">
        <f>IF(COUNTIF(BK:BW,12807)&gt;0,COUNTIF(BK:BW,12807),"")</f>
        <v/>
      </c>
      <c r="CF343" s="52" t="str">
        <f xml:space="preserve"> IF(Atletas!V339="","",IF(Atletas!V339="Duilian de Mãos AB - Equipe 1",1,IF(Atletas!V339="Duilian de Mãos AB - Equipe 2",2,IF(Atletas!V339="Duilian de Armas AB - Equipe 1",3,IF(Atletas!V339="Duilian de Armas AB - Equipe 2",4,IF(Atletas!V339="Duilian de Tuishou - Equipe 1",5,IF(Atletas!V339="Duilian de Tuishou - Equipe 2",6,IF(Atletas!V339="Grupo Externo AB - Equipe 1",7,IF(Atletas!V339="Grupo Externo AB - Equipe 2",8,IF(Atletas!V339="Grupo Interno AB - Equipe 1",9,IF(Atletas!V339="Grupo Interno AB - Equipe 2",10,IF(Atletas!V339="Duilian de Mãos CD - Equipe 1",11,IF(Atletas!V339="Duilian de Mãos CD - Equipe 2",12,IF(Atletas!V339="Duilian de Armas CD - Equipe 1",13,IF(Atletas!V339="Duilian de Armas CD - Equipe 2",14,IF(Atletas!V339="Duilian de Tuishou - Equipe 1",15,IF(Atletas!V339="Duilian de Tuishou - Equipe 2",16,IF(Atletas!V339="Grupo Externo CDEF - Equipe 1",17,IF(Atletas!V339="Grupo Externo CDEF - Equipe 2",18,IF(Atletas!V339="Grupo Interno CDEF - Equipe 1",19,IF(Atletas!V339="Grupo Interno CDEF - Equipe 2",20,IF(Atletas!V339="Duilian de Mãos EF - Equipe 1",21,IF(Atletas!V339="Duilian de Mãos EF - Equipe 2",22,IF(Atletas!V339="Duilian de Armas EF - Equipe 1",23,IF(Atletas!V339="Duilian de Armas EF - Equipe 2",24,IF(Atletas!V339="Duilian de Tuishou - Equipe 1",25,IF(Atletas!V339="Duilian de Tuishou - Equipe 2",26,"")))))))))))))))))))))))))))</f>
        <v/>
      </c>
    </row>
    <row r="344" spans="36:84">
      <c r="AJ344" s="46" t="str">
        <f>IF(Atletas!D340="","",IF(Atletas!B340="Feminino",100,IF(Atletas!B340="Masculino",200,""))+(IF(Atletas!D340="Infantil 39kg",1,IF(Atletas!D340="Infantil 42kg",2,IF(Atletas!D340="Infantil 45kg",3,IF(Atletas!D340="Infantil 48kg",4,IF(Atletas!D340="Infantil 52kg",5,IF(Atletas!D340="Infantil 56kg",6,IF(Atletas!D340="Infantil 60kg",7,IF(Atletas!D340="Juvenil 48kg",8,IF(Atletas!D340="Juvenil 52kg",9,IF(Atletas!D340="Juvenil 56kg",10,IF(Atletas!D340="Juvenil 60kg",11,IF(Atletas!D340="Juvenil 65kg",12,IF(Atletas!D340="Juvenil 70kg",13,IF(Atletas!D340="Juvenil 75kg",14,IF(Atletas!D340="Juvenil 80kg",15,IF(Atletas!D340="Adulto 48kg",16,IF(Atletas!D340="Adulto 52kg",17,IF(Atletas!D340="Adulto 56kg",18,IF(Atletas!D340="Adulto 60kg",19,IF(Atletas!D340="Adulto 65kg",20,IF(Atletas!D340="Adulto 70kg",21,IF(Atletas!D340="Adulto 75kg",22,IF(Atletas!D340="Adulto 80kg",23,IF(Atletas!D340="Adulto 85kg",24,IF(Atletas!D340="Adulto 90kg",25,IF(Atletas!D340="Adulto +90kg",26,""))))))))))))))))))))))))))))</f>
        <v/>
      </c>
      <c r="AO344" s="10" t="str">
        <f>IF(Atletas!E340="","",IF(Atletas!B340="Feminino",100,IF(Atletas!B340="Masculino",200,""))+(IF(Atletas!E340="Juvenil 44kg",1,IF(Atletas!E340="Juvenil 48kg",2,IF(Atletas!E340="Juvenil 52kg",3,IF(Atletas!E340="Juvenil 56kg",4,IF(Atletas!E340="Juvenil 60kg",5,IF(Atletas!E340="Juvenil 65kg",6,IF(Atletas!E340="Juvenil 70kg",7,IF(Atletas!E340="Juvenil 75kg",8,IF(Atletas!E340="Juvenil 82kg",9,IF(Atletas!E340="Juvenil 90kg",10,IF(Atletas!E340="Juvenil 100kg",11,IF(Atletas!E340="Adulto 48kg",12,IF(Atletas!E340="Adulto 52kg",13,IF(Atletas!E340="Adulto 56kg",14,IF(Atletas!E340="Adulto 60kg",15,IF(Atletas!E340="Adulto 65kg",16,IF(Atletas!E340="Adulto 70kg",17,IF(Atletas!E340="Adulto 75kg",18,IF(Atletas!E340="Adulto 82kg",19,IF(Atletas!E340="Adulto 90kg",20,IF(Atletas!E340="Adulto 100kg",21,IF(Atletas!E340="Adulto +100kg",22,""))))))))))))))))))))))))</f>
        <v/>
      </c>
      <c r="AT344" s="10" t="str">
        <f>IF(Atletas!F340="","",IF(Atletas!B340="Feminino",100,IF(Atletas!B340="Masculino",200,""))+(IF(Atletas!F340="Adulto 48kg",1,IF(Atletas!F340="Adulto 56kg",2,IF(Atletas!F340="Adulto 65kg",3,IF(Atletas!F340="Adulto 75kg",4,IF(Atletas!F340="Adulto +75kg",5,IF(Atletas!F340="Adulto 52kg",6,IF(Atletas!F340="Adulto 60kg",7,IF(Atletas!F340="Adulto 70kg",8,IF(Atletas!F340="Adulto 80kg",9,IF(Atletas!F340="Adulto 90kg",10,IF(Atletas!F340="Adulto +90kg",11,"")))))))))))))</f>
        <v/>
      </c>
      <c r="AY344" s="46" t="str">
        <f>IF(Atletas!G340="","",IF(Atletas!B340="Feminino",100,IF(Atletas!B340="Masculino",200,""))+(IF(Atletas!G340="Changquan Mirim",1,IF(Atletas!G340="Nanquan Mirim",2,IF(Atletas!G340="Taijiquan Mirim",3,IF(Atletas!G340="Changquan Grupo C",4,IF(Atletas!G340="Nanquan Grupo C",5,IF(Atletas!G340="Taijiquan Grupo C",6,IF(Atletas!G340="Changquan Grupo B",7,IF(Atletas!G340="Nanquan Grupo B",8,IF(Atletas!G340="Taijiquan Grupo B",9,IF(Atletas!G340="Changquan Grupo A",10,IF(Atletas!G340="Nanquan Grupo A",11,IF(Atletas!G340="Taijiquan Grupo A",12,IF(Atletas!G340="Changquan Opcional",13,IF(Atletas!G340="Nanquan Opcional",14,IF(Atletas!G340="Taijiquan Opcional",15,IF(Atletas!G340="Changquan Adulto",16,IF(Atletas!G340="Nanquan Adulto",17,IF(Atletas!G340="Taijiquan Adulto",18,""))))))))))))))))))))</f>
        <v/>
      </c>
      <c r="AZ344" s="46" t="str">
        <f>IF(Atletas!H340="","",IF(Atletas!B340="Feminino",100,IF(Atletas!B340="Masculino",200,""))+(IF(Atletas!H340="Daoshu Mirim",19,IF(Atletas!H340="Jianshu Mirim",20,IF(Atletas!H340="Nandao Mirim",21,IF(Atletas!H340="Taijijian Mirim",22,IF(Atletas!H340="Daoshu Grupo C",23,IF(Atletas!H340="Jianshu Grupo C",24,IF(Atletas!H340="Nandao Grupo C",25,IF(Atletas!H340="Taijijian Grupo C",26,IF(Atletas!H340="Daoshu Grupo B",27,IF(Atletas!H340="Jianshu Grupo B",28,IF(Atletas!H340="Nandao Grupo B",29,IF(Atletas!H340="Taijijian Grupo B",30,IF(Atletas!H340="Daoshu Grupo A",31,IF(Atletas!H340="Jianshu Grupo A",32,IF(Atletas!H340="Nandao Grupo A",33,IF(Atletas!H340="Taijijian Grupo A",34,IF(Atletas!H340="Daoshu Opcional",35,IF(Atletas!H340="Jianshu Opcional",36,IF(Atletas!H340="Nandao Opcional",37,IF(Atletas!H340="Taijijian Opcional",38,IF(Atletas!H340="Daoshu Adulto",39,IF(Atletas!H340="Jianshu Adulto",40,IF(Atletas!H340="Nandao Adulto",41,IF(Atletas!H340="Taijijian Adulto",42,""))))))))))))))))))))))))))</f>
        <v/>
      </c>
      <c r="BA344" s="46" t="str">
        <f>IF(Atletas!I340="","",IF(Atletas!B340="Feminino",100,IF(Atletas!B340="Masculino",200,""))+(IF(Atletas!I340="Gunshu Mirim",43,IF(Atletas!I340="Qiangshu Mirim",44,IF(Atletas!I340="Nangun Mirim",45,IF(Atletas!I340="Gunshu Grupo C",46,IF(Atletas!I340="Qiangshu Grupo C",47,IF(Atletas!I340="Nangun Grupo C",48,IF(Atletas!I340="Gunshu Grupo B",49,IF(Atletas!I340="Qiangshu Grupo B",50,IF(Atletas!I340="Nangun Grupo B",51,IF(Atletas!I340="Gunshu Grupo A",52,IF(Atletas!I340="Qiangshu Grupo A",53,IF(Atletas!I340="Nangun Grupo A",54,IF(Atletas!I340="Gunshu Opcional",55,IF(Atletas!I340="Qiangshu Opcional",56,IF(Atletas!I340="Nangun Opcional",57,IF(Atletas!I340="Gunshu Adulto",58,IF(Atletas!I340="Qiangshu Adulto",59,IF(Atletas!I340="Nangun Adulto",60,""))))))))))))))))))))</f>
        <v/>
      </c>
      <c r="BF344" s="52" t="str">
        <f>IF(Atletas!J340="","",IF(Atletas!B340="Feminino",100,IF(Atletas!B340="Masculino",200,""))+(IF(Atletas!J340="Equipe 1 Grupo B",1,IF(Atletas!J340="Equipe 2 Grupo B",2,IF(Atletas!J340="Equipe 1 Grupo A",3,IF(Atletas!J340="Equipe 2 Grupo A",4,IF(Atletas!J340="Equipe 1 Adulto",5,IF(Atletas!J340="Equipe 2 Adulto",6,""))))))))</f>
        <v/>
      </c>
      <c r="BK344" s="52" t="str">
        <f>IF(Atletas!K340="","",IF(Atletas!W340&lt;&gt;"",10000,0)+(IF(Atletas!B340="Feminino",1000,IF(Atletas!B340="Masculino",2000,""))+IF(Atletas!K340="Choylayfut A",1,IF(Atletas!K340="Hunggar A",2,IF(Atletas!K340="Wuzuquan A",3,IF(Atletas!K340="Wingchun A",4,IF(Atletas!K340="Outra Mão de Sul A",5,IF(Atletas!K340="Choylayfut B",6,IF(Atletas!K340="Hunggar B",7,IF(Atletas!K340="Wuzuquan B",8,IF(Atletas!K340="Wingchun B",9,IF(Atletas!K340="Outra Mão de Sul B",10,IF(Atletas!K340="Choylayfut C",11,IF(Atletas!K340="Hunggar C",12,IF(Atletas!K340="Wuzuquan C",13,IF(Atletas!K340="Wingchun C",14,IF(Atletas!K340="Outra Mão de Sul C",15,IF(Atletas!K340="Choylayfut D",16,IF(Atletas!K340="Hunggar D",17,IF(Atletas!K340="Wuzuquan D",18,IF(Atletas!K340="Wingchun D",19,IF(Atletas!K340="Outra Mão de Sul D",20,IF(Atletas!K340="Choylayfut E",21,IF(Atletas!K340="Hunggar E",22,IF(Atletas!K340="Wuzuquan E",23,IF(Atletas!K340="Wingchun E",24,IF(Atletas!K340="Outra Mão de Sul E",25,IF(Atletas!K340="Choylayfut F",26,IF(Atletas!K340="Hunggar F",27,IF(Atletas!K340="Wuzuquan F",28,IF(Atletas!K340="Wingchun F",29,IF(Atletas!K340="Outra Mão de Sul F",30,""))))))))))))))))))))))))))))))))</f>
        <v/>
      </c>
      <c r="BL344" s="52" t="str">
        <f>IF(Atletas!L340="","",IF(Atletas!W340&lt;&gt;"",10000,0)+(IF(Atletas!B340="Feminino",1000,IF(Atletas!B340="Masculino",2000,""))+(IF(Atletas!L340="Chaquan A",101,IF(Atletas!L340="Emeiquan A",102,IF(Atletas!L340="Fanziquan A",103,IF(Atletas!L340="Huaquan A",104,IF(Atletas!L340="Hongquan A",105,IF(Atletas!L340="Paochui A",106,IF(Atletas!L340="Piguaquan A",107,IF(Atletas!L340="Shaolinquan A",108,IF(Atletas!L340="Tanglangquan A",109,IF(Atletas!L340="Yinzhaophai A",110,IF(Atletas!L340="Tongbeiquan A",111,IF(Atletas!L340="Wudangquan A",112,IF(Atletas!L340="Outros Estilos A",113,IF(Atletas!L340="Chaquan B",114,IF(Atletas!L340="Emeiquan B",115,IF(Atletas!L340="Fanziquan B",116,IF(Atletas!L340="Huaquan B",117,IF(Atletas!L340="Hongquan B",118,IF(Atletas!L340="Paochui B",119,IF(Atletas!L340="Piguaquan B",120,IF(Atletas!L340="Shaolinquan B",121,IF(Atletas!L340="Tanglangquan B",122,IF(Atletas!L340="Yinzhaophai B",123,IF(Atletas!L340="Tongbeiquan B",124,IF(Atletas!L340="Wudangquan B",125,IF(Atletas!L340="Outros Estilos B",126,IF(Atletas!L340="Chaquan C",127,IF(Atletas!L340="Emeiquan C",128,IF(Atletas!L340="Fanziquan C",129,IF(Atletas!L340="Huaquan C",130,IF(Atletas!L340="Hongquan C",131,IF(Atletas!L340="Paochui C",132,IF(Atletas!L340="Piguaquan C",133,IF(Atletas!L340="Shaolinquan C",134,IF(Atletas!L340="Tanglangquan C",135,IF(Atletas!L340="Yinzhaophai C",136,IF(Atletas!L340="Tongbeiquan C",137,IF(Atletas!L340="Wudangquan C",138,IF(Atletas!L340="Outros Estilos C",139,0))))))))))))))))))))))))))))))))))))))))))</f>
        <v/>
      </c>
      <c r="BM344" s="52" t="str">
        <f>IF(Atletas!L340="","",IF(Atletas!W340&lt;&gt;"",10000,0)+(IF(Atletas!B340="Feminino",1000,IF(Atletas!B340="Masculino",2000,""))+(IF(Atletas!L340="Chaquan D",140,IF(Atletas!L340="Emeiquan D",141,IF(Atletas!L340="Fanziquan D",142,IF(Atletas!L340="Huaquan D",143,IF(Atletas!L340="Hongquan D",144,IF(Atletas!L340="Paochui D",145,IF(Atletas!L340="Piguaquan D",146,IF(Atletas!L340="Shaolinquan D",147,IF(Atletas!L340="Tanglangquan D",148,IF(Atletas!L340="Yinzhaophai D",149,IF(Atletas!L340="Tongbeiquan D",150,IF(Atletas!L340="Wudangquan D",151,IF(Atletas!L340="Outros Estilos D",152,IF(Atletas!L340="Chaquan E",153,IF(Atletas!L340="Emeiquan E",154,IF(Atletas!L340="Fanziquan E",155,IF(Atletas!L340="Huaquan E",156,IF(Atletas!L340="Hongquan E",157,IF(Atletas!L340="Paochui E",158,IF(Atletas!L340="Piguaquan E",159,IF(Atletas!L340="Shaolinquan E",160,IF(Atletas!L340="Tanglangquan E",161,IF(Atletas!L340="Yinzhaophai E",162,IF(Atletas!L340="Tongbeiquan E",163,IF(Atletas!L340="Wudangquan E",164,IF(Atletas!L340="Outros Estilos E",165,IF(Atletas!L340="Chaquan F",166,IF(Atletas!L340="Emeiquan F",167,IF(Atletas!L340="Fanziquan F",168,IF(Atletas!L340="Huaquan F",169,IF(Atletas!L340="Hongquan F",170,IF(Atletas!L340="Paochui F",171,IF(Atletas!L340="Piguaquan F",172,IF(Atletas!L340="Shaolinquan F",173,IF(Atletas!L340="Tanglangquan F",174,IF(Atletas!L340="Yinzhaophai F",175,IF(Atletas!L340="Tongbeiquan F",176,IF(Atletas!L340="Wudangquan F",177,IF(Atletas!L340="Outros Estilos F",178,0))))))))))))))))))))))))))))))))))))))))))</f>
        <v/>
      </c>
      <c r="BN344" s="52" t="str">
        <f>IF(Atletas!M340="","",IF(Atletas!W340&lt;&gt;"",10000,0)+(IF(Atletas!B340="Feminino",1000,IF(Atletas!B340="Masculino",2000,""))+(IF(Atletas!M340="Ditangquan A",201,IF(Atletas!M340="Houquan A",202,IF(Atletas!M340="Zuiquan A",203,IF(Atletas!M340="Ditangquan B",204,IF(Atletas!M340="Houquan B",205,IF(Atletas!M340="Zuiquan B",206,IF(Atletas!M340="Ditangquan C",207,IF(Atletas!M340="Houquan C",208,IF(Atletas!M340="Zuiquan C",209,IF(Atletas!M340="Ditangquan D",210,IF(Atletas!M340="Houquan D",211,IF(Atletas!M340="Zuiquan D",212,IF(Atletas!M340="Ditangquan E",213,IF(Atletas!M340="Houquan E",214,IF(Atletas!M340="Zuiquan E",215,IF(Atletas!M340="Ditangquan F",216,IF(Atletas!M340="Houquan F",217,IF(Atletas!M340="Zuiquan F",218,"")))))))))))))))))))))</f>
        <v/>
      </c>
      <c r="BO344" s="52" t="str">
        <f>IF(Atletas!N340="","",IF(Atletas!W340&lt;&gt;"",10000,0)+IF(Atletas!B340="Feminino",1000,IF(Atletas!B340="Masculino",2000,""))+IF(Atletas!N340="Yang A",301,IF(Atletas!N340="Chen A",30,IF(Atletas!N340="Sun A",303,IF(Atletas!N340="Wu A",304,IF(Atletas!N340="Wu-Hao A",305,IF(Atletas!N340="Outro Taijiquan A",306,IF(Atletas!N340="Yang B",307,IF(Atletas!N340="Chen B",308,IF(Atletas!N340="Sun B",309,IF(Atletas!N340="Wu B",310,IF(Atletas!N340="Wu-Hao B",311,IF(Atletas!N340="Outro Taijiquan B",312,IF(Atletas!N340="Yang C",313,IF(Atletas!N340="Chen C",314,IF(Atletas!N340="Sun C",315,IF(Atletas!N340="Wu C",316,IF(Atletas!N340="Wu-Hao C",317,IF(Atletas!N340="Outro Taijiquan C",318,IF(Atletas!N340="Yang D",319,IF(Atletas!N340="Chen D",320,IF(Atletas!N340="Sun D",321,IF(Atletas!N340="Wu D",322,IF(Atletas!N340="Wu-Hao D",323,IF(Atletas!N340="Outro Taijiquan D",324,IF(Atletas!N340="Yang E",325,IF(Atletas!N340="Chen E",326,IF(Atletas!N340="Sun E",327,IF(Atletas!N340="Wu E",328,IF(Atletas!N340="Wu-Hao E",329,IF(Atletas!N340="Outro Taijiquan E",330,IF(Atletas!N340="Yang F",331,IF(Atletas!N340="Chen F",332,IF(Atletas!N340="Sun F",333,IF(Atletas!N340="Wu F",334,IF(Atletas!N340="Wu-Hao F",335,IF(Atletas!N340="Outro Taijiquan F",336,"")))))))))))))))))))))))))))))))))))))</f>
        <v/>
      </c>
      <c r="BP344" s="52" t="str">
        <f>IF(Atletas!O340="","",IF(Atletas!W340&lt;&gt;"",10000,0)+IF(Atletas!B340="Feminino",1000,IF(Atletas!B340="Masculino",2000,""))+IF(OR(Atletas!O340="Yang 26 A",Atletas!O340="Yang 40 A"),401,IF(OR(Atletas!O340="Chen 25 A",Atletas!O340="Chen 36 A",Atletas!O340="Chen 56 A"),402,IF(Atletas!O340="Sun 73 A",403,IF(Atletas!O340="Wu 45 A",404,IF(Atletas!O340="Wu-Hao 46 A",405,IF(OR(Atletas!O340="Taijiquan 16 A",Atletas!O340="Taijiquan 24 A",Atletas!O340="Taijiquan 32 A",Atletas!O340="Taijiquan 42 A"),406,IF(OR(Atletas!O340="Yang 26 B",Atletas!O340="Yang 40 B"),407,IF(OR(Atletas!O340="Chen 25 B",Atletas!O340="Chen 36 B",Atletas!O340="Chen 56 B"),408,IF(Atletas!O340="Sun 73 B",409,IF(Atletas!O340="Wu 45 B",410,IF(Atletas!O340="Wu-Hao 46 B",411,IF(OR(Atletas!O340="Taijiquan 16 B",Atletas!O340="Taijiquan 24 B",Atletas!O340="Taijiquan 32 B",Atletas!O340="Taijiquan 42 B"),412,IF(OR(Atletas!O340="Yang 26 C",Atletas!O340="Yang 40 C"),413,IF(OR(Atletas!O340="Chen 25 C",Atletas!O340="Chen 36 C",Atletas!O340="Chen 56 C"),414,IF(Atletas!O340="Sun 73 C",415,IF(Atletas!O340="Wu 45 C",416,IF(Atletas!O340="Wu-Hao 46 C",417,IF(OR(Atletas!O340="Taijiquan 16 C",Atletas!O340="Taijiquan 24 C",Atletas!O340="Taijiquan 32 C",Atletas!O340="Taijiquan 42 C"),418,0)))))))))))))))))))</f>
        <v/>
      </c>
      <c r="BQ344" s="52" t="str">
        <f>IF(Atletas!O340="","",IF(Atletas!W340&lt;&gt;"",10000,0)+IF(Atletas!B340="Feminino",1000,IF(Atletas!B340="Masculino",2000,""))+IF(OR(Atletas!O340="Yang 26 D",Atletas!O340="Yang 40 D"),419,IF(OR(Atletas!O340="Chen 25 D",Atletas!O340="Chen 36 D",Atletas!O340="Chen 56 D"),420,IF(Atletas!O340="Sun 73 D",421,IF(Atletas!O340="Wu 45 D",422,IF(Atletas!O340="Wu-Hao 46 D",423,IF(OR(Atletas!O340="Taijiquan 16 D",Atletas!O340="Taijiquan 24 D",Atletas!O340="Taijiquan 32 D",Atletas!O340="Taijiquan 42 D"),424,IF(OR(Atletas!O340="Yang 26 E",Atletas!O340="Yang 40 E"),425,IF(OR(Atletas!O340="Chen 25 E",Atletas!O340="Chen 36 E",Atletas!O340="Chen 56 E"),426,IF(Atletas!O340="Sun 73 E",427,IF(Atletas!O340="Wu 45 E",428,IF(Atletas!O340="Wu-Hao 46 E",429,IF(OR(Atletas!O340="Taijiquan 16 E",Atletas!O340="Taijiquan 24 E",Atletas!O340="Taijiquan 32 E",Atletas!O340="Taijiquan 42 E"),430,IF(OR(Atletas!O340="Yang 26 F",Atletas!O340="Yang 40 F"),431,IF(OR(Atletas!O340="Chen 25 F",Atletas!O340="Chen 36 F",Atletas!O340="Chen 56 F"),432,IF(Atletas!O340="Sun 73 F",433,IF(Atletas!O340="Wu 45 F",434,IF(Atletas!O340="Wu-Hao 46 F",435,IF(OR(Atletas!O340="Taijiquan 16 F",Atletas!O340="Taijiquan 24 F",Atletas!O340="Taijiquan 32 F",Atletas!O340="Taijiquan 42 F"),436,0)))))))))))))))))))</f>
        <v/>
      </c>
      <c r="BR344" s="52" t="str">
        <f>IF(Atletas!P340="","",IF(Atletas!W340&lt;&gt;"",10000,0)+IF(Atletas!B340="Feminino",1000,IF(Atletas!B340="Masculino",2000,""))+IF(Atletas!P340="Xingyiquan A",501,IF(Atletas!P340="Baguazhang A",502,IF(Atletas!P340="Outro Estilo Interno A",503,IF(Atletas!P340="Xingyiquan B",504,IF(Atletas!P340="Baguazhang B",505,IF(Atletas!P340="Outro Estilo Interno B",506,IF(Atletas!P340="Xingyiquan C",507,IF(Atletas!P340="Baguazhang C",508,IF(Atletas!P340="Outro Estilo Interno C",509,IF(Atletas!P340="Xingyiquan D",510,IF(Atletas!P340="Baguazhang D",511,IF(Atletas!P340="Outro Estilo Interno D",512,IF(Atletas!P340="Xingyiquan E",513,IF(Atletas!P340="Baguazhang E",514,IF(Atletas!P340="Outro Estilo Interno E",515,IF(Atletas!P340="Xingyiquan F",516,IF(Atletas!P340="Baguazhang F",517,IF(Atletas!P340="Outro Estilo Interno F",518, "")))))))))))))))))))</f>
        <v/>
      </c>
      <c r="BS344" s="52" t="str">
        <f>IF(Atletas!Q340="","",IF(Atletas!W340&lt;&gt;"",10000,0)+IF(Atletas!B340="Feminino",1000,IF(Atletas!B340="Masculino",2000,""))+IF(Atletas!Q340="Dao A",601,IF(Atletas!Q340="Jian A",602,IF(Atletas!Q340="Bishou A",603,IF(Atletas!Q340="Shan A",604,IF(Atletas!Q340="Outra Arma Curta A",605,IF(Atletas!Q340="Dao B",606,IF(Atletas!Q340="Jian B",607,IF(Atletas!Q340="Bishou B",608,IF(Atletas!Q340="Shan B",609,IF(Atletas!Q340="Outra Arma Curta B",610,IF(Atletas!Q340="Dao C",611,IF(Atletas!Q340="Jian C",612,IF(Atletas!Q340="Bishou C",613,IF(Atletas!Q340="Shan C",614,IF(Atletas!Q340="Outra Arma Curta C",615,IF(Atletas!Q340="Dao D",616,IF(Atletas!Q340="Jian D",617,IF(Atletas!Q340="Bishou D",618,IF(Atletas!Q340="Shan D",619,IF(Atletas!Q340="Outra Arma Curta D",620,IF(Atletas!Q340="Dao E",621,IF(Atletas!Q340="Jian E",622,IF(Atletas!Q340="Bishou E",623,IF(Atletas!Q340="Shan E",624,IF(Atletas!Q340="Outra Arma Curta E",625,IF(Atletas!Q340="Dao F",626,IF(Atletas!Q340="Jian F",627,IF(Atletas!Q340="Bishou F",628,IF(Atletas!Q340="Shan F",629,IF(Atletas!Q340="Outra Arma Curta F",630, "")))))))))))))))))))))))))))))))</f>
        <v/>
      </c>
      <c r="BT344" s="52" t="str">
        <f>IF(Atletas!R340="","",IF(Atletas!W340&lt;&gt;"",10000,0)+IF(Atletas!B340="Feminino",1000,IF(Atletas!B340="Masculino",2000,""))+IF(Atletas!R340="Gun A",701,IF(Atletas!R340="Qiang A",702,IF(Atletas!R340="Pudao / Guandao A",703,IF(Atletas!R340="Outra Arma Longa A",704,IF(Atletas!R340="Gun B",705,IF(Atletas!R340="Qiang B",706,IF(Atletas!R340="Pudao / Guandao B",707,IF(Atletas!R340="Outra Arma Longa B",708,IF(Atletas!R340="Gun C",709,IF(Atletas!R340="Qiang C",710,IF(Atletas!R340="Pudao / Guandao C",711,IF(Atletas!R340="Outra Arma Longa C",712,IF(Atletas!R340="Gun D",713,IF(Atletas!R340="Qiang D",714,IF(Atletas!R340="Pudao / Guandao D",715,IF(Atletas!R340="Outra Arma Longa D",716,IF(Atletas!R340="Gun E",717,IF(Atletas!R340="Qiang E",718,IF(Atletas!R340="Pudao / Guandao E",719,IF(Atletas!R340="Outra Arma Longa E",720,IF(Atletas!R340="Gun F",721,IF(Atletas!R340="Qiang F",722,IF(Atletas!R340="Pudao / Guandao F",723,IF(Atletas!R340="Outra Arma Longa F",724,"")))))))))))))))))))))))))</f>
        <v/>
      </c>
      <c r="BU344" s="52" t="str">
        <f>IF(Atletas!S340="","",IF(Atletas!W340&lt;&gt;"",10000,0)+IF(Atletas!B340="Feminino",1000,IF(Atletas!B340="Masculino",2000,""))+IF(Atletas!S340="Arma Dupla A",801,IF(Atletas!S340="Arma Maleável A",802,IF(Atletas!S340="Arma Dupla B",803,IF(Atletas!S340="Arma Maleável B",804,IF(Atletas!S340="Arma Dupla C",805,IF(Atletas!S340="Arma Maleável C",806,IF(Atletas!S340="Arma Dupla D",807,IF(Atletas!S340="Arma Maleável D",808,IF(Atletas!S340="Arma Dupla E",809,IF(Atletas!S340="Arma Maleável E",810,IF(Atletas!S340="Arma Dupla F",811,IF(Atletas!S340="Arma Maleável F",812, "")))))))))))))</f>
        <v/>
      </c>
      <c r="BV344" s="52" t="str">
        <f>IF(Atletas!T340="","",IF(Atletas!W340&lt;&gt;"",10000,0)+IF(Atletas!B340="Feminino",1000,IF(Atletas!B340="Masculino",2000,""))+IF(Atletas!T340="Taijijian Yang A",901,IF(Atletas!T340="Taijijian Chen A",902,IF(Atletas!T340="Taijijian Sun A",903,IF(Atletas!T340="Taijijian Wu A",904,IF(Atletas!T340="Taijijian Wu-Hao A",905,IF(Atletas!T340="Taijijian 32 A",906,IF(Atletas!T340="Taijijian 42 A",907,IF(Atletas!T340="Taijijian Yang B",908,IF(Atletas!T340="Taijijian Chen B",909,IF(Atletas!T340="Taijijian Sun B",910,IF(Atletas!T340="Taijijian Wu B",911,IF(Atletas!T340="Taijijian Wu-Hao B",912,IF(Atletas!T340="Taijijian 32 B",913,IF(Atletas!T340="Taijijian 42 B",914,IF(Atletas!T340="Taijijian Yang C",915,IF(Atletas!T340="Taijijian Chen C",916,IF(Atletas!T340="Taijijian Sun C",917,IF(Atletas!T340="Taijijian Wu C",918,IF(Atletas!T340="Taijijian Wu-Hao C",919,IF(Atletas!T340="Taijijian 32 C",920,IF(Atletas!T340="Taijijian 42 C",921,IF(Atletas!T340="Taijijian Yang D",922,IF(Atletas!T340="Taijijian Chen D",923,IF(Atletas!T340="Taijijian Sun D",924,IF(Atletas!T340="Taijijian Wu D",925,IF(Atletas!T340="Taijijian Wu-Hao D",926,IF(Atletas!T340="Taijijian 32 D",927,IF(Atletas!T340="Taijijian 42 D",928,IF(Atletas!T340="Taijijian Yang E",929,IF(Atletas!T340="Taijijian Chen E",930,IF(Atletas!T340="Taijijian Sun E",931,IF(Atletas!T340="Taijijian Wu E",932,IF(Atletas!T340="Taijijian Wu-Hao E",933,IF(Atletas!T340="Taijijian 32 E",934,IF(Atletas!T340="Taijijian 42 E",935,IF(Atletas!T340="Taijijian Yang F",936,IF(Atletas!T340="Taijijian Chen F",937,IF(Atletas!T340="Taijijian Sun F",938,IF(Atletas!T340="Taijijian Wu F",939,IF(Atletas!T340="Taijijian Wu-Hao F",940,IF(Atletas!T340="Taijijian 32 F",941,IF(Atletas!T340="Taijijian 42 F",942,"")))))))))))))))))))))))))))))))))))))))))))</f>
        <v/>
      </c>
      <c r="BW344" s="52" t="str">
        <f>IF(Atletas!U340="","",IF(Atletas!W340&lt;&gt;"",10000,0)+IF(Atletas!B340="Feminino",1000,IF(Atletas!B340="Masculino",2000,""))+IF(Atletas!T340="Taijijian 42 F",942,IF(Atletas!U340="Taijidao A",943,IF(Atletas!U340="Taijishan A",944,IF(Atletas!U340="Taijiqiang A",945,IF(Atletas!U340="Taijidao B",946,IF(Atletas!U340="Taijishan B",947,IF(Atletas!U340="Taijiqiang B",948,IF(Atletas!U340="Taijidao C",949,IF(Atletas!U340="Taijishan C",950,IF(Atletas!U340="Taijiqiang C",951,IF(Atletas!U340="Taijidao D",952,IF(Atletas!U340="Taijishan D",953,IF(Atletas!U340="Taijiqiang D",954,IF(Atletas!U340="Taijidao E",955,IF(Atletas!U340="Taijishan E",956,IF(Atletas!U340="Taijiqiang E",957,IF(Atletas!U340="Taijidao F",958,IF(Atletas!U340="Taijishan F",959,IF(Atletas!U340="Taijiqiang F",960))))))))))))))))))))</f>
        <v/>
      </c>
      <c r="BX344" s="72"/>
      <c r="BY344" s="72"/>
      <c r="BZ344" s="72"/>
      <c r="CA344" s="72"/>
      <c r="CB344" s="72" t="str">
        <f>IF(CC344&lt;&gt;"","Arma Maleável D","")</f>
        <v/>
      </c>
      <c r="CC344" s="64" t="str">
        <f>IF(COUNTIF(BK:BW,11808)&gt;0,COUNTIF(BK:BW,11808),"")</f>
        <v/>
      </c>
      <c r="CD344" s="64" t="str">
        <f>IF(CE344&lt;&gt;"","Arma Maleável D","")</f>
        <v/>
      </c>
      <c r="CE344" s="64" t="str">
        <f>IF(COUNTIF(BK:BW,12808)&gt;0,COUNTIF(BK:BW,12808),"")</f>
        <v/>
      </c>
      <c r="CF344" s="52" t="str">
        <f xml:space="preserve"> IF(Atletas!V340="","",IF(Atletas!V340="Duilian de Mãos AB - Equipe 1",1,IF(Atletas!V340="Duilian de Mãos AB - Equipe 2",2,IF(Atletas!V340="Duilian de Armas AB - Equipe 1",3,IF(Atletas!V340="Duilian de Armas AB - Equipe 2",4,IF(Atletas!V340="Duilian de Tuishou - Equipe 1",5,IF(Atletas!V340="Duilian de Tuishou - Equipe 2",6,IF(Atletas!V340="Grupo Externo AB - Equipe 1",7,IF(Atletas!V340="Grupo Externo AB - Equipe 2",8,IF(Atletas!V340="Grupo Interno AB - Equipe 1",9,IF(Atletas!V340="Grupo Interno AB - Equipe 2",10,IF(Atletas!V340="Duilian de Mãos CD - Equipe 1",11,IF(Atletas!V340="Duilian de Mãos CD - Equipe 2",12,IF(Atletas!V340="Duilian de Armas CD - Equipe 1",13,IF(Atletas!V340="Duilian de Armas CD - Equipe 2",14,IF(Atletas!V340="Duilian de Tuishou - Equipe 1",15,IF(Atletas!V340="Duilian de Tuishou - Equipe 2",16,IF(Atletas!V340="Grupo Externo CDEF - Equipe 1",17,IF(Atletas!V340="Grupo Externo CDEF - Equipe 2",18,IF(Atletas!V340="Grupo Interno CDEF - Equipe 1",19,IF(Atletas!V340="Grupo Interno CDEF - Equipe 2",20,IF(Atletas!V340="Duilian de Mãos EF - Equipe 1",21,IF(Atletas!V340="Duilian de Mãos EF - Equipe 2",22,IF(Atletas!V340="Duilian de Armas EF - Equipe 1",23,IF(Atletas!V340="Duilian de Armas EF - Equipe 2",24,IF(Atletas!V340="Duilian de Tuishou - Equipe 1",25,IF(Atletas!V340="Duilian de Tuishou - Equipe 2",26,"")))))))))))))))))))))))))))</f>
        <v/>
      </c>
    </row>
    <row r="345" spans="36:84">
      <c r="AJ345" s="46" t="str">
        <f>IF(Atletas!D341="","",IF(Atletas!B341="Feminino",100,IF(Atletas!B341="Masculino",200,""))+(IF(Atletas!D341="Infantil 39kg",1,IF(Atletas!D341="Infantil 42kg",2,IF(Atletas!D341="Infantil 45kg",3,IF(Atletas!D341="Infantil 48kg",4,IF(Atletas!D341="Infantil 52kg",5,IF(Atletas!D341="Infantil 56kg",6,IF(Atletas!D341="Infantil 60kg",7,IF(Atletas!D341="Juvenil 48kg",8,IF(Atletas!D341="Juvenil 52kg",9,IF(Atletas!D341="Juvenil 56kg",10,IF(Atletas!D341="Juvenil 60kg",11,IF(Atletas!D341="Juvenil 65kg",12,IF(Atletas!D341="Juvenil 70kg",13,IF(Atletas!D341="Juvenil 75kg",14,IF(Atletas!D341="Juvenil 80kg",15,IF(Atletas!D341="Adulto 48kg",16,IF(Atletas!D341="Adulto 52kg",17,IF(Atletas!D341="Adulto 56kg",18,IF(Atletas!D341="Adulto 60kg",19,IF(Atletas!D341="Adulto 65kg",20,IF(Atletas!D341="Adulto 70kg",21,IF(Atletas!D341="Adulto 75kg",22,IF(Atletas!D341="Adulto 80kg",23,IF(Atletas!D341="Adulto 85kg",24,IF(Atletas!D341="Adulto 90kg",25,IF(Atletas!D341="Adulto +90kg",26,""))))))))))))))))))))))))))))</f>
        <v/>
      </c>
      <c r="AO345" s="10" t="str">
        <f>IF(Atletas!E341="","",IF(Atletas!B341="Feminino",100,IF(Atletas!B341="Masculino",200,""))+(IF(Atletas!E341="Juvenil 44kg",1,IF(Atletas!E341="Juvenil 48kg",2,IF(Atletas!E341="Juvenil 52kg",3,IF(Atletas!E341="Juvenil 56kg",4,IF(Atletas!E341="Juvenil 60kg",5,IF(Atletas!E341="Juvenil 65kg",6,IF(Atletas!E341="Juvenil 70kg",7,IF(Atletas!E341="Juvenil 75kg",8,IF(Atletas!E341="Juvenil 82kg",9,IF(Atletas!E341="Juvenil 90kg",10,IF(Atletas!E341="Juvenil 100kg",11,IF(Atletas!E341="Adulto 48kg",12,IF(Atletas!E341="Adulto 52kg",13,IF(Atletas!E341="Adulto 56kg",14,IF(Atletas!E341="Adulto 60kg",15,IF(Atletas!E341="Adulto 65kg",16,IF(Atletas!E341="Adulto 70kg",17,IF(Atletas!E341="Adulto 75kg",18,IF(Atletas!E341="Adulto 82kg",19,IF(Atletas!E341="Adulto 90kg",20,IF(Atletas!E341="Adulto 100kg",21,IF(Atletas!E341="Adulto +100kg",22,""))))))))))))))))))))))))</f>
        <v/>
      </c>
      <c r="AT345" s="10" t="str">
        <f>IF(Atletas!F341="","",IF(Atletas!B341="Feminino",100,IF(Atletas!B341="Masculino",200,""))+(IF(Atletas!F341="Adulto 48kg",1,IF(Atletas!F341="Adulto 56kg",2,IF(Atletas!F341="Adulto 65kg",3,IF(Atletas!F341="Adulto 75kg",4,IF(Atletas!F341="Adulto +75kg",5,IF(Atletas!F341="Adulto 52kg",6,IF(Atletas!F341="Adulto 60kg",7,IF(Atletas!F341="Adulto 70kg",8,IF(Atletas!F341="Adulto 80kg",9,IF(Atletas!F341="Adulto 90kg",10,IF(Atletas!F341="Adulto +90kg",11,"")))))))))))))</f>
        <v/>
      </c>
      <c r="AY345" s="46" t="str">
        <f>IF(Atletas!G341="","",IF(Atletas!B341="Feminino",100,IF(Atletas!B341="Masculino",200,""))+(IF(Atletas!G341="Changquan Mirim",1,IF(Atletas!G341="Nanquan Mirim",2,IF(Atletas!G341="Taijiquan Mirim",3,IF(Atletas!G341="Changquan Grupo C",4,IF(Atletas!G341="Nanquan Grupo C",5,IF(Atletas!G341="Taijiquan Grupo C",6,IF(Atletas!G341="Changquan Grupo B",7,IF(Atletas!G341="Nanquan Grupo B",8,IF(Atletas!G341="Taijiquan Grupo B",9,IF(Atletas!G341="Changquan Grupo A",10,IF(Atletas!G341="Nanquan Grupo A",11,IF(Atletas!G341="Taijiquan Grupo A",12,IF(Atletas!G341="Changquan Opcional",13,IF(Atletas!G341="Nanquan Opcional",14,IF(Atletas!G341="Taijiquan Opcional",15,IF(Atletas!G341="Changquan Adulto",16,IF(Atletas!G341="Nanquan Adulto",17,IF(Atletas!G341="Taijiquan Adulto",18,""))))))))))))))))))))</f>
        <v/>
      </c>
      <c r="AZ345" s="46" t="str">
        <f>IF(Atletas!H341="","",IF(Atletas!B341="Feminino",100,IF(Atletas!B341="Masculino",200,""))+(IF(Atletas!H341="Daoshu Mirim",19,IF(Atletas!H341="Jianshu Mirim",20,IF(Atletas!H341="Nandao Mirim",21,IF(Atletas!H341="Taijijian Mirim",22,IF(Atletas!H341="Daoshu Grupo C",23,IF(Atletas!H341="Jianshu Grupo C",24,IF(Atletas!H341="Nandao Grupo C",25,IF(Atletas!H341="Taijijian Grupo C",26,IF(Atletas!H341="Daoshu Grupo B",27,IF(Atletas!H341="Jianshu Grupo B",28,IF(Atletas!H341="Nandao Grupo B",29,IF(Atletas!H341="Taijijian Grupo B",30,IF(Atletas!H341="Daoshu Grupo A",31,IF(Atletas!H341="Jianshu Grupo A",32,IF(Atletas!H341="Nandao Grupo A",33,IF(Atletas!H341="Taijijian Grupo A",34,IF(Atletas!H341="Daoshu Opcional",35,IF(Atletas!H341="Jianshu Opcional",36,IF(Atletas!H341="Nandao Opcional",37,IF(Atletas!H341="Taijijian Opcional",38,IF(Atletas!H341="Daoshu Adulto",39,IF(Atletas!H341="Jianshu Adulto",40,IF(Atletas!H341="Nandao Adulto",41,IF(Atletas!H341="Taijijian Adulto",42,""))))))))))))))))))))))))))</f>
        <v/>
      </c>
      <c r="BA345" s="46" t="str">
        <f>IF(Atletas!I341="","",IF(Atletas!B341="Feminino",100,IF(Atletas!B341="Masculino",200,""))+(IF(Atletas!I341="Gunshu Mirim",43,IF(Atletas!I341="Qiangshu Mirim",44,IF(Atletas!I341="Nangun Mirim",45,IF(Atletas!I341="Gunshu Grupo C",46,IF(Atletas!I341="Qiangshu Grupo C",47,IF(Atletas!I341="Nangun Grupo C",48,IF(Atletas!I341="Gunshu Grupo B",49,IF(Atletas!I341="Qiangshu Grupo B",50,IF(Atletas!I341="Nangun Grupo B",51,IF(Atletas!I341="Gunshu Grupo A",52,IF(Atletas!I341="Qiangshu Grupo A",53,IF(Atletas!I341="Nangun Grupo A",54,IF(Atletas!I341="Gunshu Opcional",55,IF(Atletas!I341="Qiangshu Opcional",56,IF(Atletas!I341="Nangun Opcional",57,IF(Atletas!I341="Gunshu Adulto",58,IF(Atletas!I341="Qiangshu Adulto",59,IF(Atletas!I341="Nangun Adulto",60,""))))))))))))))))))))</f>
        <v/>
      </c>
      <c r="BF345" s="52" t="str">
        <f>IF(Atletas!J341="","",IF(Atletas!B341="Feminino",100,IF(Atletas!B341="Masculino",200,""))+(IF(Atletas!J341="Equipe 1 Grupo B",1,IF(Atletas!J341="Equipe 2 Grupo B",2,IF(Atletas!J341="Equipe 1 Grupo A",3,IF(Atletas!J341="Equipe 2 Grupo A",4,IF(Atletas!J341="Equipe 1 Adulto",5,IF(Atletas!J341="Equipe 2 Adulto",6,""))))))))</f>
        <v/>
      </c>
      <c r="BK345" s="52" t="str">
        <f>IF(Atletas!K341="","",IF(Atletas!W341&lt;&gt;"",10000,0)+(IF(Atletas!B341="Feminino",1000,IF(Atletas!B341="Masculino",2000,""))+IF(Atletas!K341="Choylayfut A",1,IF(Atletas!K341="Hunggar A",2,IF(Atletas!K341="Wuzuquan A",3,IF(Atletas!K341="Wingchun A",4,IF(Atletas!K341="Outra Mão de Sul A",5,IF(Atletas!K341="Choylayfut B",6,IF(Atletas!K341="Hunggar B",7,IF(Atletas!K341="Wuzuquan B",8,IF(Atletas!K341="Wingchun B",9,IF(Atletas!K341="Outra Mão de Sul B",10,IF(Atletas!K341="Choylayfut C",11,IF(Atletas!K341="Hunggar C",12,IF(Atletas!K341="Wuzuquan C",13,IF(Atletas!K341="Wingchun C",14,IF(Atletas!K341="Outra Mão de Sul C",15,IF(Atletas!K341="Choylayfut D",16,IF(Atletas!K341="Hunggar D",17,IF(Atletas!K341="Wuzuquan D",18,IF(Atletas!K341="Wingchun D",19,IF(Atletas!K341="Outra Mão de Sul D",20,IF(Atletas!K341="Choylayfut E",21,IF(Atletas!K341="Hunggar E",22,IF(Atletas!K341="Wuzuquan E",23,IF(Atletas!K341="Wingchun E",24,IF(Atletas!K341="Outra Mão de Sul E",25,IF(Atletas!K341="Choylayfut F",26,IF(Atletas!K341="Hunggar F",27,IF(Atletas!K341="Wuzuquan F",28,IF(Atletas!K341="Wingchun F",29,IF(Atletas!K341="Outra Mão de Sul F",30,""))))))))))))))))))))))))))))))))</f>
        <v/>
      </c>
      <c r="BL345" s="52" t="str">
        <f>IF(Atletas!L341="","",IF(Atletas!W341&lt;&gt;"",10000,0)+(IF(Atletas!B341="Feminino",1000,IF(Atletas!B341="Masculino",2000,""))+(IF(Atletas!L341="Chaquan A",101,IF(Atletas!L341="Emeiquan A",102,IF(Atletas!L341="Fanziquan A",103,IF(Atletas!L341="Huaquan A",104,IF(Atletas!L341="Hongquan A",105,IF(Atletas!L341="Paochui A",106,IF(Atletas!L341="Piguaquan A",107,IF(Atletas!L341="Shaolinquan A",108,IF(Atletas!L341="Tanglangquan A",109,IF(Atletas!L341="Yinzhaophai A",110,IF(Atletas!L341="Tongbeiquan A",111,IF(Atletas!L341="Wudangquan A",112,IF(Atletas!L341="Outros Estilos A",113,IF(Atletas!L341="Chaquan B",114,IF(Atletas!L341="Emeiquan B",115,IF(Atletas!L341="Fanziquan B",116,IF(Atletas!L341="Huaquan B",117,IF(Atletas!L341="Hongquan B",118,IF(Atletas!L341="Paochui B",119,IF(Atletas!L341="Piguaquan B",120,IF(Atletas!L341="Shaolinquan B",121,IF(Atletas!L341="Tanglangquan B",122,IF(Atletas!L341="Yinzhaophai B",123,IF(Atletas!L341="Tongbeiquan B",124,IF(Atletas!L341="Wudangquan B",125,IF(Atletas!L341="Outros Estilos B",126,IF(Atletas!L341="Chaquan C",127,IF(Atletas!L341="Emeiquan C",128,IF(Atletas!L341="Fanziquan C",129,IF(Atletas!L341="Huaquan C",130,IF(Atletas!L341="Hongquan C",131,IF(Atletas!L341="Paochui C",132,IF(Atletas!L341="Piguaquan C",133,IF(Atletas!L341="Shaolinquan C",134,IF(Atletas!L341="Tanglangquan C",135,IF(Atletas!L341="Yinzhaophai C",136,IF(Atletas!L341="Tongbeiquan C",137,IF(Atletas!L341="Wudangquan C",138,IF(Atletas!L341="Outros Estilos C",139,0))))))))))))))))))))))))))))))))))))))))))</f>
        <v/>
      </c>
      <c r="BM345" s="52" t="str">
        <f>IF(Atletas!L341="","",IF(Atletas!W341&lt;&gt;"",10000,0)+(IF(Atletas!B341="Feminino",1000,IF(Atletas!B341="Masculino",2000,""))+(IF(Atletas!L341="Chaquan D",140,IF(Atletas!L341="Emeiquan D",141,IF(Atletas!L341="Fanziquan D",142,IF(Atletas!L341="Huaquan D",143,IF(Atletas!L341="Hongquan D",144,IF(Atletas!L341="Paochui D",145,IF(Atletas!L341="Piguaquan D",146,IF(Atletas!L341="Shaolinquan D",147,IF(Atletas!L341="Tanglangquan D",148,IF(Atletas!L341="Yinzhaophai D",149,IF(Atletas!L341="Tongbeiquan D",150,IF(Atletas!L341="Wudangquan D",151,IF(Atletas!L341="Outros Estilos D",152,IF(Atletas!L341="Chaquan E",153,IF(Atletas!L341="Emeiquan E",154,IF(Atletas!L341="Fanziquan E",155,IF(Atletas!L341="Huaquan E",156,IF(Atletas!L341="Hongquan E",157,IF(Atletas!L341="Paochui E",158,IF(Atletas!L341="Piguaquan E",159,IF(Atletas!L341="Shaolinquan E",160,IF(Atletas!L341="Tanglangquan E",161,IF(Atletas!L341="Yinzhaophai E",162,IF(Atletas!L341="Tongbeiquan E",163,IF(Atletas!L341="Wudangquan E",164,IF(Atletas!L341="Outros Estilos E",165,IF(Atletas!L341="Chaquan F",166,IF(Atletas!L341="Emeiquan F",167,IF(Atletas!L341="Fanziquan F",168,IF(Atletas!L341="Huaquan F",169,IF(Atletas!L341="Hongquan F",170,IF(Atletas!L341="Paochui F",171,IF(Atletas!L341="Piguaquan F",172,IF(Atletas!L341="Shaolinquan F",173,IF(Atletas!L341="Tanglangquan F",174,IF(Atletas!L341="Yinzhaophai F",175,IF(Atletas!L341="Tongbeiquan F",176,IF(Atletas!L341="Wudangquan F",177,IF(Atletas!L341="Outros Estilos F",178,0))))))))))))))))))))))))))))))))))))))))))</f>
        <v/>
      </c>
      <c r="BN345" s="52" t="str">
        <f>IF(Atletas!M341="","",IF(Atletas!W341&lt;&gt;"",10000,0)+(IF(Atletas!B341="Feminino",1000,IF(Atletas!B341="Masculino",2000,""))+(IF(Atletas!M341="Ditangquan A",201,IF(Atletas!M341="Houquan A",202,IF(Atletas!M341="Zuiquan A",203,IF(Atletas!M341="Ditangquan B",204,IF(Atletas!M341="Houquan B",205,IF(Atletas!M341="Zuiquan B",206,IF(Atletas!M341="Ditangquan C",207,IF(Atletas!M341="Houquan C",208,IF(Atletas!M341="Zuiquan C",209,IF(Atletas!M341="Ditangquan D",210,IF(Atletas!M341="Houquan D",211,IF(Atletas!M341="Zuiquan D",212,IF(Atletas!M341="Ditangquan E",213,IF(Atletas!M341="Houquan E",214,IF(Atletas!M341="Zuiquan E",215,IF(Atletas!M341="Ditangquan F",216,IF(Atletas!M341="Houquan F",217,IF(Atletas!M341="Zuiquan F",218,"")))))))))))))))))))))</f>
        <v/>
      </c>
      <c r="BO345" s="52" t="str">
        <f>IF(Atletas!N341="","",IF(Atletas!W341&lt;&gt;"",10000,0)+IF(Atletas!B341="Feminino",1000,IF(Atletas!B341="Masculino",2000,""))+IF(Atletas!N341="Yang A",301,IF(Atletas!N341="Chen A",30,IF(Atletas!N341="Sun A",303,IF(Atletas!N341="Wu A",304,IF(Atletas!N341="Wu-Hao A",305,IF(Atletas!N341="Outro Taijiquan A",306,IF(Atletas!N341="Yang B",307,IF(Atletas!N341="Chen B",308,IF(Atletas!N341="Sun B",309,IF(Atletas!N341="Wu B",310,IF(Atletas!N341="Wu-Hao B",311,IF(Atletas!N341="Outro Taijiquan B",312,IF(Atletas!N341="Yang C",313,IF(Atletas!N341="Chen C",314,IF(Atletas!N341="Sun C",315,IF(Atletas!N341="Wu C",316,IF(Atletas!N341="Wu-Hao C",317,IF(Atletas!N341="Outro Taijiquan C",318,IF(Atletas!N341="Yang D",319,IF(Atletas!N341="Chen D",320,IF(Atletas!N341="Sun D",321,IF(Atletas!N341="Wu D",322,IF(Atletas!N341="Wu-Hao D",323,IF(Atletas!N341="Outro Taijiquan D",324,IF(Atletas!N341="Yang E",325,IF(Atletas!N341="Chen E",326,IF(Atletas!N341="Sun E",327,IF(Atletas!N341="Wu E",328,IF(Atletas!N341="Wu-Hao E",329,IF(Atletas!N341="Outro Taijiquan E",330,IF(Atletas!N341="Yang F",331,IF(Atletas!N341="Chen F",332,IF(Atletas!N341="Sun F",333,IF(Atletas!N341="Wu F",334,IF(Atletas!N341="Wu-Hao F",335,IF(Atletas!N341="Outro Taijiquan F",336,"")))))))))))))))))))))))))))))))))))))</f>
        <v/>
      </c>
      <c r="BP345" s="52" t="str">
        <f>IF(Atletas!O341="","",IF(Atletas!W341&lt;&gt;"",10000,0)+IF(Atletas!B341="Feminino",1000,IF(Atletas!B341="Masculino",2000,""))+IF(OR(Atletas!O341="Yang 26 A",Atletas!O341="Yang 40 A"),401,IF(OR(Atletas!O341="Chen 25 A",Atletas!O341="Chen 36 A",Atletas!O341="Chen 56 A"),402,IF(Atletas!O341="Sun 73 A",403,IF(Atletas!O341="Wu 45 A",404,IF(Atletas!O341="Wu-Hao 46 A",405,IF(OR(Atletas!O341="Taijiquan 16 A",Atletas!O341="Taijiquan 24 A",Atletas!O341="Taijiquan 32 A",Atletas!O341="Taijiquan 42 A"),406,IF(OR(Atletas!O341="Yang 26 B",Atletas!O341="Yang 40 B"),407,IF(OR(Atletas!O341="Chen 25 B",Atletas!O341="Chen 36 B",Atletas!O341="Chen 56 B"),408,IF(Atletas!O341="Sun 73 B",409,IF(Atletas!O341="Wu 45 B",410,IF(Atletas!O341="Wu-Hao 46 B",411,IF(OR(Atletas!O341="Taijiquan 16 B",Atletas!O341="Taijiquan 24 B",Atletas!O341="Taijiquan 32 B",Atletas!O341="Taijiquan 42 B"),412,IF(OR(Atletas!O341="Yang 26 C",Atletas!O341="Yang 40 C"),413,IF(OR(Atletas!O341="Chen 25 C",Atletas!O341="Chen 36 C",Atletas!O341="Chen 56 C"),414,IF(Atletas!O341="Sun 73 C",415,IF(Atletas!O341="Wu 45 C",416,IF(Atletas!O341="Wu-Hao 46 C",417,IF(OR(Atletas!O341="Taijiquan 16 C",Atletas!O341="Taijiquan 24 C",Atletas!O341="Taijiquan 32 C",Atletas!O341="Taijiquan 42 C"),418,0)))))))))))))))))))</f>
        <v/>
      </c>
      <c r="BQ345" s="52" t="str">
        <f>IF(Atletas!O341="","",IF(Atletas!W341&lt;&gt;"",10000,0)+IF(Atletas!B341="Feminino",1000,IF(Atletas!B341="Masculino",2000,""))+IF(OR(Atletas!O341="Yang 26 D",Atletas!O341="Yang 40 D"),419,IF(OR(Atletas!O341="Chen 25 D",Atletas!O341="Chen 36 D",Atletas!O341="Chen 56 D"),420,IF(Atletas!O341="Sun 73 D",421,IF(Atletas!O341="Wu 45 D",422,IF(Atletas!O341="Wu-Hao 46 D",423,IF(OR(Atletas!O341="Taijiquan 16 D",Atletas!O341="Taijiquan 24 D",Atletas!O341="Taijiquan 32 D",Atletas!O341="Taijiquan 42 D"),424,IF(OR(Atletas!O341="Yang 26 E",Atletas!O341="Yang 40 E"),425,IF(OR(Atletas!O341="Chen 25 E",Atletas!O341="Chen 36 E",Atletas!O341="Chen 56 E"),426,IF(Atletas!O341="Sun 73 E",427,IF(Atletas!O341="Wu 45 E",428,IF(Atletas!O341="Wu-Hao 46 E",429,IF(OR(Atletas!O341="Taijiquan 16 E",Atletas!O341="Taijiquan 24 E",Atletas!O341="Taijiquan 32 E",Atletas!O341="Taijiquan 42 E"),430,IF(OR(Atletas!O341="Yang 26 F",Atletas!O341="Yang 40 F"),431,IF(OR(Atletas!O341="Chen 25 F",Atletas!O341="Chen 36 F",Atletas!O341="Chen 56 F"),432,IF(Atletas!O341="Sun 73 F",433,IF(Atletas!O341="Wu 45 F",434,IF(Atletas!O341="Wu-Hao 46 F",435,IF(OR(Atletas!O341="Taijiquan 16 F",Atletas!O341="Taijiquan 24 F",Atletas!O341="Taijiquan 32 F",Atletas!O341="Taijiquan 42 F"),436,0)))))))))))))))))))</f>
        <v/>
      </c>
      <c r="BR345" s="52" t="str">
        <f>IF(Atletas!P341="","",IF(Atletas!W341&lt;&gt;"",10000,0)+IF(Atletas!B341="Feminino",1000,IF(Atletas!B341="Masculino",2000,""))+IF(Atletas!P341="Xingyiquan A",501,IF(Atletas!P341="Baguazhang A",502,IF(Atletas!P341="Outro Estilo Interno A",503,IF(Atletas!P341="Xingyiquan B",504,IF(Atletas!P341="Baguazhang B",505,IF(Atletas!P341="Outro Estilo Interno B",506,IF(Atletas!P341="Xingyiquan C",507,IF(Atletas!P341="Baguazhang C",508,IF(Atletas!P341="Outro Estilo Interno C",509,IF(Atletas!P341="Xingyiquan D",510,IF(Atletas!P341="Baguazhang D",511,IF(Atletas!P341="Outro Estilo Interno D",512,IF(Atletas!P341="Xingyiquan E",513,IF(Atletas!P341="Baguazhang E",514,IF(Atletas!P341="Outro Estilo Interno E",515,IF(Atletas!P341="Xingyiquan F",516,IF(Atletas!P341="Baguazhang F",517,IF(Atletas!P341="Outro Estilo Interno F",518, "")))))))))))))))))))</f>
        <v/>
      </c>
      <c r="BS345" s="52" t="str">
        <f>IF(Atletas!Q341="","",IF(Atletas!W341&lt;&gt;"",10000,0)+IF(Atletas!B341="Feminino",1000,IF(Atletas!B341="Masculino",2000,""))+IF(Atletas!Q341="Dao A",601,IF(Atletas!Q341="Jian A",602,IF(Atletas!Q341="Bishou A",603,IF(Atletas!Q341="Shan A",604,IF(Atletas!Q341="Outra Arma Curta A",605,IF(Atletas!Q341="Dao B",606,IF(Atletas!Q341="Jian B",607,IF(Atletas!Q341="Bishou B",608,IF(Atletas!Q341="Shan B",609,IF(Atletas!Q341="Outra Arma Curta B",610,IF(Atletas!Q341="Dao C",611,IF(Atletas!Q341="Jian C",612,IF(Atletas!Q341="Bishou C",613,IF(Atletas!Q341="Shan C",614,IF(Atletas!Q341="Outra Arma Curta C",615,IF(Atletas!Q341="Dao D",616,IF(Atletas!Q341="Jian D",617,IF(Atletas!Q341="Bishou D",618,IF(Atletas!Q341="Shan D",619,IF(Atletas!Q341="Outra Arma Curta D",620,IF(Atletas!Q341="Dao E",621,IF(Atletas!Q341="Jian E",622,IF(Atletas!Q341="Bishou E",623,IF(Atletas!Q341="Shan E",624,IF(Atletas!Q341="Outra Arma Curta E",625,IF(Atletas!Q341="Dao F",626,IF(Atletas!Q341="Jian F",627,IF(Atletas!Q341="Bishou F",628,IF(Atletas!Q341="Shan F",629,IF(Atletas!Q341="Outra Arma Curta F",630, "")))))))))))))))))))))))))))))))</f>
        <v/>
      </c>
      <c r="BT345" s="52" t="str">
        <f>IF(Atletas!R341="","",IF(Atletas!W341&lt;&gt;"",10000,0)+IF(Atletas!B341="Feminino",1000,IF(Atletas!B341="Masculino",2000,""))+IF(Atletas!R341="Gun A",701,IF(Atletas!R341="Qiang A",702,IF(Atletas!R341="Pudao / Guandao A",703,IF(Atletas!R341="Outra Arma Longa A",704,IF(Atletas!R341="Gun B",705,IF(Atletas!R341="Qiang B",706,IF(Atletas!R341="Pudao / Guandao B",707,IF(Atletas!R341="Outra Arma Longa B",708,IF(Atletas!R341="Gun C",709,IF(Atletas!R341="Qiang C",710,IF(Atletas!R341="Pudao / Guandao C",711,IF(Atletas!R341="Outra Arma Longa C",712,IF(Atletas!R341="Gun D",713,IF(Atletas!R341="Qiang D",714,IF(Atletas!R341="Pudao / Guandao D",715,IF(Atletas!R341="Outra Arma Longa D",716,IF(Atletas!R341="Gun E",717,IF(Atletas!R341="Qiang E",718,IF(Atletas!R341="Pudao / Guandao E",719,IF(Atletas!R341="Outra Arma Longa E",720,IF(Atletas!R341="Gun F",721,IF(Atletas!R341="Qiang F",722,IF(Atletas!R341="Pudao / Guandao F",723,IF(Atletas!R341="Outra Arma Longa F",724,"")))))))))))))))))))))))))</f>
        <v/>
      </c>
      <c r="BU345" s="52" t="str">
        <f>IF(Atletas!S341="","",IF(Atletas!W341&lt;&gt;"",10000,0)+IF(Atletas!B341="Feminino",1000,IF(Atletas!B341="Masculino",2000,""))+IF(Atletas!S341="Arma Dupla A",801,IF(Atletas!S341="Arma Maleável A",802,IF(Atletas!S341="Arma Dupla B",803,IF(Atletas!S341="Arma Maleável B",804,IF(Atletas!S341="Arma Dupla C",805,IF(Atletas!S341="Arma Maleável C",806,IF(Atletas!S341="Arma Dupla D",807,IF(Atletas!S341="Arma Maleável D",808,IF(Atletas!S341="Arma Dupla E",809,IF(Atletas!S341="Arma Maleável E",810,IF(Atletas!S341="Arma Dupla F",811,IF(Atletas!S341="Arma Maleável F",812, "")))))))))))))</f>
        <v/>
      </c>
      <c r="BV345" s="52" t="str">
        <f>IF(Atletas!T341="","",IF(Atletas!W341&lt;&gt;"",10000,0)+IF(Atletas!B341="Feminino",1000,IF(Atletas!B341="Masculino",2000,""))+IF(Atletas!T341="Taijijian Yang A",901,IF(Atletas!T341="Taijijian Chen A",902,IF(Atletas!T341="Taijijian Sun A",903,IF(Atletas!T341="Taijijian Wu A",904,IF(Atletas!T341="Taijijian Wu-Hao A",905,IF(Atletas!T341="Taijijian 32 A",906,IF(Atletas!T341="Taijijian 42 A",907,IF(Atletas!T341="Taijijian Yang B",908,IF(Atletas!T341="Taijijian Chen B",909,IF(Atletas!T341="Taijijian Sun B",910,IF(Atletas!T341="Taijijian Wu B",911,IF(Atletas!T341="Taijijian Wu-Hao B",912,IF(Atletas!T341="Taijijian 32 B",913,IF(Atletas!T341="Taijijian 42 B",914,IF(Atletas!T341="Taijijian Yang C",915,IF(Atletas!T341="Taijijian Chen C",916,IF(Atletas!T341="Taijijian Sun C",917,IF(Atletas!T341="Taijijian Wu C",918,IF(Atletas!T341="Taijijian Wu-Hao C",919,IF(Atletas!T341="Taijijian 32 C",920,IF(Atletas!T341="Taijijian 42 C",921,IF(Atletas!T341="Taijijian Yang D",922,IF(Atletas!T341="Taijijian Chen D",923,IF(Atletas!T341="Taijijian Sun D",924,IF(Atletas!T341="Taijijian Wu D",925,IF(Atletas!T341="Taijijian Wu-Hao D",926,IF(Atletas!T341="Taijijian 32 D",927,IF(Atletas!T341="Taijijian 42 D",928,IF(Atletas!T341="Taijijian Yang E",929,IF(Atletas!T341="Taijijian Chen E",930,IF(Atletas!T341="Taijijian Sun E",931,IF(Atletas!T341="Taijijian Wu E",932,IF(Atletas!T341="Taijijian Wu-Hao E",933,IF(Atletas!T341="Taijijian 32 E",934,IF(Atletas!T341="Taijijian 42 E",935,IF(Atletas!T341="Taijijian Yang F",936,IF(Atletas!T341="Taijijian Chen F",937,IF(Atletas!T341="Taijijian Sun F",938,IF(Atletas!T341="Taijijian Wu F",939,IF(Atletas!T341="Taijijian Wu-Hao F",940,IF(Atletas!T341="Taijijian 32 F",941,IF(Atletas!T341="Taijijian 42 F",942,"")))))))))))))))))))))))))))))))))))))))))))</f>
        <v/>
      </c>
      <c r="BW345" s="52" t="str">
        <f>IF(Atletas!U341="","",IF(Atletas!W341&lt;&gt;"",10000,0)+IF(Atletas!B341="Feminino",1000,IF(Atletas!B341="Masculino",2000,""))+IF(Atletas!T341="Taijijian 42 F",942,IF(Atletas!U341="Taijidao A",943,IF(Atletas!U341="Taijishan A",944,IF(Atletas!U341="Taijiqiang A",945,IF(Atletas!U341="Taijidao B",946,IF(Atletas!U341="Taijishan B",947,IF(Atletas!U341="Taijiqiang B",948,IF(Atletas!U341="Taijidao C",949,IF(Atletas!U341="Taijishan C",950,IF(Atletas!U341="Taijiqiang C",951,IF(Atletas!U341="Taijidao D",952,IF(Atletas!U341="Taijishan D",953,IF(Atletas!U341="Taijiqiang D",954,IF(Atletas!U341="Taijidao E",955,IF(Atletas!U341="Taijishan E",956,IF(Atletas!U341="Taijiqiang E",957,IF(Atletas!U341="Taijidao F",958,IF(Atletas!U341="Taijishan F",959,IF(Atletas!U341="Taijiqiang F",960))))))))))))))))))))</f>
        <v/>
      </c>
      <c r="BX345" s="72"/>
      <c r="BY345" s="72"/>
      <c r="BZ345" s="72"/>
      <c r="CA345" s="72"/>
      <c r="CB345" s="72" t="str">
        <f>IF(CC345&lt;&gt;"","Arma Dupla E","")</f>
        <v/>
      </c>
      <c r="CC345" s="64" t="str">
        <f>IF(COUNTIF(BK:BW,11809)&gt;0,COUNTIF(BK:BW,11809),"")</f>
        <v/>
      </c>
      <c r="CD345" s="64" t="str">
        <f>IF(CE345&lt;&gt;"","Arma Dupla E","")</f>
        <v/>
      </c>
      <c r="CE345" s="64" t="str">
        <f>IF(COUNTIF(BK:BW,12809)&gt;0,COUNTIF(BK:BW,12809),"")</f>
        <v/>
      </c>
      <c r="CF345" s="52" t="str">
        <f xml:space="preserve"> IF(Atletas!V341="","",IF(Atletas!V341="Duilian de Mãos AB - Equipe 1",1,IF(Atletas!V341="Duilian de Mãos AB - Equipe 2",2,IF(Atletas!V341="Duilian de Armas AB - Equipe 1",3,IF(Atletas!V341="Duilian de Armas AB - Equipe 2",4,IF(Atletas!V341="Duilian de Tuishou - Equipe 1",5,IF(Atletas!V341="Duilian de Tuishou - Equipe 2",6,IF(Atletas!V341="Grupo Externo AB - Equipe 1",7,IF(Atletas!V341="Grupo Externo AB - Equipe 2",8,IF(Atletas!V341="Grupo Interno AB - Equipe 1",9,IF(Atletas!V341="Grupo Interno AB - Equipe 2",10,IF(Atletas!V341="Duilian de Mãos CD - Equipe 1",11,IF(Atletas!V341="Duilian de Mãos CD - Equipe 2",12,IF(Atletas!V341="Duilian de Armas CD - Equipe 1",13,IF(Atletas!V341="Duilian de Armas CD - Equipe 2",14,IF(Atletas!V341="Duilian de Tuishou - Equipe 1",15,IF(Atletas!V341="Duilian de Tuishou - Equipe 2",16,IF(Atletas!V341="Grupo Externo CDEF - Equipe 1",17,IF(Atletas!V341="Grupo Externo CDEF - Equipe 2",18,IF(Atletas!V341="Grupo Interno CDEF - Equipe 1",19,IF(Atletas!V341="Grupo Interno CDEF - Equipe 2",20,IF(Atletas!V341="Duilian de Mãos EF - Equipe 1",21,IF(Atletas!V341="Duilian de Mãos EF - Equipe 2",22,IF(Atletas!V341="Duilian de Armas EF - Equipe 1",23,IF(Atletas!V341="Duilian de Armas EF - Equipe 2",24,IF(Atletas!V341="Duilian de Tuishou - Equipe 1",25,IF(Atletas!V341="Duilian de Tuishou - Equipe 2",26,"")))))))))))))))))))))))))))</f>
        <v/>
      </c>
    </row>
    <row r="346" spans="36:84">
      <c r="AJ346" s="46" t="str">
        <f>IF(Atletas!D342="","",IF(Atletas!B342="Feminino",100,IF(Atletas!B342="Masculino",200,""))+(IF(Atletas!D342="Infantil 39kg",1,IF(Atletas!D342="Infantil 42kg",2,IF(Atletas!D342="Infantil 45kg",3,IF(Atletas!D342="Infantil 48kg",4,IF(Atletas!D342="Infantil 52kg",5,IF(Atletas!D342="Infantil 56kg",6,IF(Atletas!D342="Infantil 60kg",7,IF(Atletas!D342="Juvenil 48kg",8,IF(Atletas!D342="Juvenil 52kg",9,IF(Atletas!D342="Juvenil 56kg",10,IF(Atletas!D342="Juvenil 60kg",11,IF(Atletas!D342="Juvenil 65kg",12,IF(Atletas!D342="Juvenil 70kg",13,IF(Atletas!D342="Juvenil 75kg",14,IF(Atletas!D342="Juvenil 80kg",15,IF(Atletas!D342="Adulto 48kg",16,IF(Atletas!D342="Adulto 52kg",17,IF(Atletas!D342="Adulto 56kg",18,IF(Atletas!D342="Adulto 60kg",19,IF(Atletas!D342="Adulto 65kg",20,IF(Atletas!D342="Adulto 70kg",21,IF(Atletas!D342="Adulto 75kg",22,IF(Atletas!D342="Adulto 80kg",23,IF(Atletas!D342="Adulto 85kg",24,IF(Atletas!D342="Adulto 90kg",25,IF(Atletas!D342="Adulto +90kg",26,""))))))))))))))))))))))))))))</f>
        <v/>
      </c>
      <c r="AO346" s="10" t="str">
        <f>IF(Atletas!E342="","",IF(Atletas!B342="Feminino",100,IF(Atletas!B342="Masculino",200,""))+(IF(Atletas!E342="Juvenil 44kg",1,IF(Atletas!E342="Juvenil 48kg",2,IF(Atletas!E342="Juvenil 52kg",3,IF(Atletas!E342="Juvenil 56kg",4,IF(Atletas!E342="Juvenil 60kg",5,IF(Atletas!E342="Juvenil 65kg",6,IF(Atletas!E342="Juvenil 70kg",7,IF(Atletas!E342="Juvenil 75kg",8,IF(Atletas!E342="Juvenil 82kg",9,IF(Atletas!E342="Juvenil 90kg",10,IF(Atletas!E342="Juvenil 100kg",11,IF(Atletas!E342="Adulto 48kg",12,IF(Atletas!E342="Adulto 52kg",13,IF(Atletas!E342="Adulto 56kg",14,IF(Atletas!E342="Adulto 60kg",15,IF(Atletas!E342="Adulto 65kg",16,IF(Atletas!E342="Adulto 70kg",17,IF(Atletas!E342="Adulto 75kg",18,IF(Atletas!E342="Adulto 82kg",19,IF(Atletas!E342="Adulto 90kg",20,IF(Atletas!E342="Adulto 100kg",21,IF(Atletas!E342="Adulto +100kg",22,""))))))))))))))))))))))))</f>
        <v/>
      </c>
      <c r="AT346" s="10" t="str">
        <f>IF(Atletas!F342="","",IF(Atletas!B342="Feminino",100,IF(Atletas!B342="Masculino",200,""))+(IF(Atletas!F342="Adulto 48kg",1,IF(Atletas!F342="Adulto 56kg",2,IF(Atletas!F342="Adulto 65kg",3,IF(Atletas!F342="Adulto 75kg",4,IF(Atletas!F342="Adulto +75kg",5,IF(Atletas!F342="Adulto 52kg",6,IF(Atletas!F342="Adulto 60kg",7,IF(Atletas!F342="Adulto 70kg",8,IF(Atletas!F342="Adulto 80kg",9,IF(Atletas!F342="Adulto 90kg",10,IF(Atletas!F342="Adulto +90kg",11,"")))))))))))))</f>
        <v/>
      </c>
      <c r="AY346" s="46" t="str">
        <f>IF(Atletas!G342="","",IF(Atletas!B342="Feminino",100,IF(Atletas!B342="Masculino",200,""))+(IF(Atletas!G342="Changquan Mirim",1,IF(Atletas!G342="Nanquan Mirim",2,IF(Atletas!G342="Taijiquan Mirim",3,IF(Atletas!G342="Changquan Grupo C",4,IF(Atletas!G342="Nanquan Grupo C",5,IF(Atletas!G342="Taijiquan Grupo C",6,IF(Atletas!G342="Changquan Grupo B",7,IF(Atletas!G342="Nanquan Grupo B",8,IF(Atletas!G342="Taijiquan Grupo B",9,IF(Atletas!G342="Changquan Grupo A",10,IF(Atletas!G342="Nanquan Grupo A",11,IF(Atletas!G342="Taijiquan Grupo A",12,IF(Atletas!G342="Changquan Opcional",13,IF(Atletas!G342="Nanquan Opcional",14,IF(Atletas!G342="Taijiquan Opcional",15,IF(Atletas!G342="Changquan Adulto",16,IF(Atletas!G342="Nanquan Adulto",17,IF(Atletas!G342="Taijiquan Adulto",18,""))))))))))))))))))))</f>
        <v/>
      </c>
      <c r="AZ346" s="46" t="str">
        <f>IF(Atletas!H342="","",IF(Atletas!B342="Feminino",100,IF(Atletas!B342="Masculino",200,""))+(IF(Atletas!H342="Daoshu Mirim",19,IF(Atletas!H342="Jianshu Mirim",20,IF(Atletas!H342="Nandao Mirim",21,IF(Atletas!H342="Taijijian Mirim",22,IF(Atletas!H342="Daoshu Grupo C",23,IF(Atletas!H342="Jianshu Grupo C",24,IF(Atletas!H342="Nandao Grupo C",25,IF(Atletas!H342="Taijijian Grupo C",26,IF(Atletas!H342="Daoshu Grupo B",27,IF(Atletas!H342="Jianshu Grupo B",28,IF(Atletas!H342="Nandao Grupo B",29,IF(Atletas!H342="Taijijian Grupo B",30,IF(Atletas!H342="Daoshu Grupo A",31,IF(Atletas!H342="Jianshu Grupo A",32,IF(Atletas!H342="Nandao Grupo A",33,IF(Atletas!H342="Taijijian Grupo A",34,IF(Atletas!H342="Daoshu Opcional",35,IF(Atletas!H342="Jianshu Opcional",36,IF(Atletas!H342="Nandao Opcional",37,IF(Atletas!H342="Taijijian Opcional",38,IF(Atletas!H342="Daoshu Adulto",39,IF(Atletas!H342="Jianshu Adulto",40,IF(Atletas!H342="Nandao Adulto",41,IF(Atletas!H342="Taijijian Adulto",42,""))))))))))))))))))))))))))</f>
        <v/>
      </c>
      <c r="BA346" s="46" t="str">
        <f>IF(Atletas!I342="","",IF(Atletas!B342="Feminino",100,IF(Atletas!B342="Masculino",200,""))+(IF(Atletas!I342="Gunshu Mirim",43,IF(Atletas!I342="Qiangshu Mirim",44,IF(Atletas!I342="Nangun Mirim",45,IF(Atletas!I342="Gunshu Grupo C",46,IF(Atletas!I342="Qiangshu Grupo C",47,IF(Atletas!I342="Nangun Grupo C",48,IF(Atletas!I342="Gunshu Grupo B",49,IF(Atletas!I342="Qiangshu Grupo B",50,IF(Atletas!I342="Nangun Grupo B",51,IF(Atletas!I342="Gunshu Grupo A",52,IF(Atletas!I342="Qiangshu Grupo A",53,IF(Atletas!I342="Nangun Grupo A",54,IF(Atletas!I342="Gunshu Opcional",55,IF(Atletas!I342="Qiangshu Opcional",56,IF(Atletas!I342="Nangun Opcional",57,IF(Atletas!I342="Gunshu Adulto",58,IF(Atletas!I342="Qiangshu Adulto",59,IF(Atletas!I342="Nangun Adulto",60,""))))))))))))))))))))</f>
        <v/>
      </c>
      <c r="BF346" s="52" t="str">
        <f>IF(Atletas!J342="","",IF(Atletas!B342="Feminino",100,IF(Atletas!B342="Masculino",200,""))+(IF(Atletas!J342="Equipe 1 Grupo B",1,IF(Atletas!J342="Equipe 2 Grupo B",2,IF(Atletas!J342="Equipe 1 Grupo A",3,IF(Atletas!J342="Equipe 2 Grupo A",4,IF(Atletas!J342="Equipe 1 Adulto",5,IF(Atletas!J342="Equipe 2 Adulto",6,""))))))))</f>
        <v/>
      </c>
      <c r="BK346" s="52" t="str">
        <f>IF(Atletas!K342="","",IF(Atletas!W342&lt;&gt;"",10000,0)+(IF(Atletas!B342="Feminino",1000,IF(Atletas!B342="Masculino",2000,""))+IF(Atletas!K342="Choylayfut A",1,IF(Atletas!K342="Hunggar A",2,IF(Atletas!K342="Wuzuquan A",3,IF(Atletas!K342="Wingchun A",4,IF(Atletas!K342="Outra Mão de Sul A",5,IF(Atletas!K342="Choylayfut B",6,IF(Atletas!K342="Hunggar B",7,IF(Atletas!K342="Wuzuquan B",8,IF(Atletas!K342="Wingchun B",9,IF(Atletas!K342="Outra Mão de Sul B",10,IF(Atletas!K342="Choylayfut C",11,IF(Atletas!K342="Hunggar C",12,IF(Atletas!K342="Wuzuquan C",13,IF(Atletas!K342="Wingchun C",14,IF(Atletas!K342="Outra Mão de Sul C",15,IF(Atletas!K342="Choylayfut D",16,IF(Atletas!K342="Hunggar D",17,IF(Atletas!K342="Wuzuquan D",18,IF(Atletas!K342="Wingchun D",19,IF(Atletas!K342="Outra Mão de Sul D",20,IF(Atletas!K342="Choylayfut E",21,IF(Atletas!K342="Hunggar E",22,IF(Atletas!K342="Wuzuquan E",23,IF(Atletas!K342="Wingchun E",24,IF(Atletas!K342="Outra Mão de Sul E",25,IF(Atletas!K342="Choylayfut F",26,IF(Atletas!K342="Hunggar F",27,IF(Atletas!K342="Wuzuquan F",28,IF(Atletas!K342="Wingchun F",29,IF(Atletas!K342="Outra Mão de Sul F",30,""))))))))))))))))))))))))))))))))</f>
        <v/>
      </c>
      <c r="BL346" s="52" t="str">
        <f>IF(Atletas!L342="","",IF(Atletas!W342&lt;&gt;"",10000,0)+(IF(Atletas!B342="Feminino",1000,IF(Atletas!B342="Masculino",2000,""))+(IF(Atletas!L342="Chaquan A",101,IF(Atletas!L342="Emeiquan A",102,IF(Atletas!L342="Fanziquan A",103,IF(Atletas!L342="Huaquan A",104,IF(Atletas!L342="Hongquan A",105,IF(Atletas!L342="Paochui A",106,IF(Atletas!L342="Piguaquan A",107,IF(Atletas!L342="Shaolinquan A",108,IF(Atletas!L342="Tanglangquan A",109,IF(Atletas!L342="Yinzhaophai A",110,IF(Atletas!L342="Tongbeiquan A",111,IF(Atletas!L342="Wudangquan A",112,IF(Atletas!L342="Outros Estilos A",113,IF(Atletas!L342="Chaquan B",114,IF(Atletas!L342="Emeiquan B",115,IF(Atletas!L342="Fanziquan B",116,IF(Atletas!L342="Huaquan B",117,IF(Atletas!L342="Hongquan B",118,IF(Atletas!L342="Paochui B",119,IF(Atletas!L342="Piguaquan B",120,IF(Atletas!L342="Shaolinquan B",121,IF(Atletas!L342="Tanglangquan B",122,IF(Atletas!L342="Yinzhaophai B",123,IF(Atletas!L342="Tongbeiquan B",124,IF(Atletas!L342="Wudangquan B",125,IF(Atletas!L342="Outros Estilos B",126,IF(Atletas!L342="Chaquan C",127,IF(Atletas!L342="Emeiquan C",128,IF(Atletas!L342="Fanziquan C",129,IF(Atletas!L342="Huaquan C",130,IF(Atletas!L342="Hongquan C",131,IF(Atletas!L342="Paochui C",132,IF(Atletas!L342="Piguaquan C",133,IF(Atletas!L342="Shaolinquan C",134,IF(Atletas!L342="Tanglangquan C",135,IF(Atletas!L342="Yinzhaophai C",136,IF(Atletas!L342="Tongbeiquan C",137,IF(Atletas!L342="Wudangquan C",138,IF(Atletas!L342="Outros Estilos C",139,0))))))))))))))))))))))))))))))))))))))))))</f>
        <v/>
      </c>
      <c r="BM346" s="52" t="str">
        <f>IF(Atletas!L342="","",IF(Atletas!W342&lt;&gt;"",10000,0)+(IF(Atletas!B342="Feminino",1000,IF(Atletas!B342="Masculino",2000,""))+(IF(Atletas!L342="Chaquan D",140,IF(Atletas!L342="Emeiquan D",141,IF(Atletas!L342="Fanziquan D",142,IF(Atletas!L342="Huaquan D",143,IF(Atletas!L342="Hongquan D",144,IF(Atletas!L342="Paochui D",145,IF(Atletas!L342="Piguaquan D",146,IF(Atletas!L342="Shaolinquan D",147,IF(Atletas!L342="Tanglangquan D",148,IF(Atletas!L342="Yinzhaophai D",149,IF(Atletas!L342="Tongbeiquan D",150,IF(Atletas!L342="Wudangquan D",151,IF(Atletas!L342="Outros Estilos D",152,IF(Atletas!L342="Chaquan E",153,IF(Atletas!L342="Emeiquan E",154,IF(Atletas!L342="Fanziquan E",155,IF(Atletas!L342="Huaquan E",156,IF(Atletas!L342="Hongquan E",157,IF(Atletas!L342="Paochui E",158,IF(Atletas!L342="Piguaquan E",159,IF(Atletas!L342="Shaolinquan E",160,IF(Atletas!L342="Tanglangquan E",161,IF(Atletas!L342="Yinzhaophai E",162,IF(Atletas!L342="Tongbeiquan E",163,IF(Atletas!L342="Wudangquan E",164,IF(Atletas!L342="Outros Estilos E",165,IF(Atletas!L342="Chaquan F",166,IF(Atletas!L342="Emeiquan F",167,IF(Atletas!L342="Fanziquan F",168,IF(Atletas!L342="Huaquan F",169,IF(Atletas!L342="Hongquan F",170,IF(Atletas!L342="Paochui F",171,IF(Atletas!L342="Piguaquan F",172,IF(Atletas!L342="Shaolinquan F",173,IF(Atletas!L342="Tanglangquan F",174,IF(Atletas!L342="Yinzhaophai F",175,IF(Atletas!L342="Tongbeiquan F",176,IF(Atletas!L342="Wudangquan F",177,IF(Atletas!L342="Outros Estilos F",178,0))))))))))))))))))))))))))))))))))))))))))</f>
        <v/>
      </c>
      <c r="BN346" s="52" t="str">
        <f>IF(Atletas!M342="","",IF(Atletas!W342&lt;&gt;"",10000,0)+(IF(Atletas!B342="Feminino",1000,IF(Atletas!B342="Masculino",2000,""))+(IF(Atletas!M342="Ditangquan A",201,IF(Atletas!M342="Houquan A",202,IF(Atletas!M342="Zuiquan A",203,IF(Atletas!M342="Ditangquan B",204,IF(Atletas!M342="Houquan B",205,IF(Atletas!M342="Zuiquan B",206,IF(Atletas!M342="Ditangquan C",207,IF(Atletas!M342="Houquan C",208,IF(Atletas!M342="Zuiquan C",209,IF(Atletas!M342="Ditangquan D",210,IF(Atletas!M342="Houquan D",211,IF(Atletas!M342="Zuiquan D",212,IF(Atletas!M342="Ditangquan E",213,IF(Atletas!M342="Houquan E",214,IF(Atletas!M342="Zuiquan E",215,IF(Atletas!M342="Ditangquan F",216,IF(Atletas!M342="Houquan F",217,IF(Atletas!M342="Zuiquan F",218,"")))))))))))))))))))))</f>
        <v/>
      </c>
      <c r="BO346" s="52" t="str">
        <f>IF(Atletas!N342="","",IF(Atletas!W342&lt;&gt;"",10000,0)+IF(Atletas!B342="Feminino",1000,IF(Atletas!B342="Masculino",2000,""))+IF(Atletas!N342="Yang A",301,IF(Atletas!N342="Chen A",30,IF(Atletas!N342="Sun A",303,IF(Atletas!N342="Wu A",304,IF(Atletas!N342="Wu-Hao A",305,IF(Atletas!N342="Outro Taijiquan A",306,IF(Atletas!N342="Yang B",307,IF(Atletas!N342="Chen B",308,IF(Atletas!N342="Sun B",309,IF(Atletas!N342="Wu B",310,IF(Atletas!N342="Wu-Hao B",311,IF(Atletas!N342="Outro Taijiquan B",312,IF(Atletas!N342="Yang C",313,IF(Atletas!N342="Chen C",314,IF(Atletas!N342="Sun C",315,IF(Atletas!N342="Wu C",316,IF(Atletas!N342="Wu-Hao C",317,IF(Atletas!N342="Outro Taijiquan C",318,IF(Atletas!N342="Yang D",319,IF(Atletas!N342="Chen D",320,IF(Atletas!N342="Sun D",321,IF(Atletas!N342="Wu D",322,IF(Atletas!N342="Wu-Hao D",323,IF(Atletas!N342="Outro Taijiquan D",324,IF(Atletas!N342="Yang E",325,IF(Atletas!N342="Chen E",326,IF(Atletas!N342="Sun E",327,IF(Atletas!N342="Wu E",328,IF(Atletas!N342="Wu-Hao E",329,IF(Atletas!N342="Outro Taijiquan E",330,IF(Atletas!N342="Yang F",331,IF(Atletas!N342="Chen F",332,IF(Atletas!N342="Sun F",333,IF(Atletas!N342="Wu F",334,IF(Atletas!N342="Wu-Hao F",335,IF(Atletas!N342="Outro Taijiquan F",336,"")))))))))))))))))))))))))))))))))))))</f>
        <v/>
      </c>
      <c r="BP346" s="52" t="str">
        <f>IF(Atletas!O342="","",IF(Atletas!W342&lt;&gt;"",10000,0)+IF(Atletas!B342="Feminino",1000,IF(Atletas!B342="Masculino",2000,""))+IF(OR(Atletas!O342="Yang 26 A",Atletas!O342="Yang 40 A"),401,IF(OR(Atletas!O342="Chen 25 A",Atletas!O342="Chen 36 A",Atletas!O342="Chen 56 A"),402,IF(Atletas!O342="Sun 73 A",403,IF(Atletas!O342="Wu 45 A",404,IF(Atletas!O342="Wu-Hao 46 A",405,IF(OR(Atletas!O342="Taijiquan 16 A",Atletas!O342="Taijiquan 24 A",Atletas!O342="Taijiquan 32 A",Atletas!O342="Taijiquan 42 A"),406,IF(OR(Atletas!O342="Yang 26 B",Atletas!O342="Yang 40 B"),407,IF(OR(Atletas!O342="Chen 25 B",Atletas!O342="Chen 36 B",Atletas!O342="Chen 56 B"),408,IF(Atletas!O342="Sun 73 B",409,IF(Atletas!O342="Wu 45 B",410,IF(Atletas!O342="Wu-Hao 46 B",411,IF(OR(Atletas!O342="Taijiquan 16 B",Atletas!O342="Taijiquan 24 B",Atletas!O342="Taijiquan 32 B",Atletas!O342="Taijiquan 42 B"),412,IF(OR(Atletas!O342="Yang 26 C",Atletas!O342="Yang 40 C"),413,IF(OR(Atletas!O342="Chen 25 C",Atletas!O342="Chen 36 C",Atletas!O342="Chen 56 C"),414,IF(Atletas!O342="Sun 73 C",415,IF(Atletas!O342="Wu 45 C",416,IF(Atletas!O342="Wu-Hao 46 C",417,IF(OR(Atletas!O342="Taijiquan 16 C",Atletas!O342="Taijiquan 24 C",Atletas!O342="Taijiquan 32 C",Atletas!O342="Taijiquan 42 C"),418,0)))))))))))))))))))</f>
        <v/>
      </c>
      <c r="BQ346" s="52" t="str">
        <f>IF(Atletas!O342="","",IF(Atletas!W342&lt;&gt;"",10000,0)+IF(Atletas!B342="Feminino",1000,IF(Atletas!B342="Masculino",2000,""))+IF(OR(Atletas!O342="Yang 26 D",Atletas!O342="Yang 40 D"),419,IF(OR(Atletas!O342="Chen 25 D",Atletas!O342="Chen 36 D",Atletas!O342="Chen 56 D"),420,IF(Atletas!O342="Sun 73 D",421,IF(Atletas!O342="Wu 45 D",422,IF(Atletas!O342="Wu-Hao 46 D",423,IF(OR(Atletas!O342="Taijiquan 16 D",Atletas!O342="Taijiquan 24 D",Atletas!O342="Taijiquan 32 D",Atletas!O342="Taijiquan 42 D"),424,IF(OR(Atletas!O342="Yang 26 E",Atletas!O342="Yang 40 E"),425,IF(OR(Atletas!O342="Chen 25 E",Atletas!O342="Chen 36 E",Atletas!O342="Chen 56 E"),426,IF(Atletas!O342="Sun 73 E",427,IF(Atletas!O342="Wu 45 E",428,IF(Atletas!O342="Wu-Hao 46 E",429,IF(OR(Atletas!O342="Taijiquan 16 E",Atletas!O342="Taijiquan 24 E",Atletas!O342="Taijiquan 32 E",Atletas!O342="Taijiquan 42 E"),430,IF(OR(Atletas!O342="Yang 26 F",Atletas!O342="Yang 40 F"),431,IF(OR(Atletas!O342="Chen 25 F",Atletas!O342="Chen 36 F",Atletas!O342="Chen 56 F"),432,IF(Atletas!O342="Sun 73 F",433,IF(Atletas!O342="Wu 45 F",434,IF(Atletas!O342="Wu-Hao 46 F",435,IF(OR(Atletas!O342="Taijiquan 16 F",Atletas!O342="Taijiquan 24 F",Atletas!O342="Taijiquan 32 F",Atletas!O342="Taijiquan 42 F"),436,0)))))))))))))))))))</f>
        <v/>
      </c>
      <c r="BR346" s="52" t="str">
        <f>IF(Atletas!P342="","",IF(Atletas!W342&lt;&gt;"",10000,0)+IF(Atletas!B342="Feminino",1000,IF(Atletas!B342="Masculino",2000,""))+IF(Atletas!P342="Xingyiquan A",501,IF(Atletas!P342="Baguazhang A",502,IF(Atletas!P342="Outro Estilo Interno A",503,IF(Atletas!P342="Xingyiquan B",504,IF(Atletas!P342="Baguazhang B",505,IF(Atletas!P342="Outro Estilo Interno B",506,IF(Atletas!P342="Xingyiquan C",507,IF(Atletas!P342="Baguazhang C",508,IF(Atletas!P342="Outro Estilo Interno C",509,IF(Atletas!P342="Xingyiquan D",510,IF(Atletas!P342="Baguazhang D",511,IF(Atletas!P342="Outro Estilo Interno D",512,IF(Atletas!P342="Xingyiquan E",513,IF(Atletas!P342="Baguazhang E",514,IF(Atletas!P342="Outro Estilo Interno E",515,IF(Atletas!P342="Xingyiquan F",516,IF(Atletas!P342="Baguazhang F",517,IF(Atletas!P342="Outro Estilo Interno F",518, "")))))))))))))))))))</f>
        <v/>
      </c>
      <c r="BS346" s="52" t="str">
        <f>IF(Atletas!Q342="","",IF(Atletas!W342&lt;&gt;"",10000,0)+IF(Atletas!B342="Feminino",1000,IF(Atletas!B342="Masculino",2000,""))+IF(Atletas!Q342="Dao A",601,IF(Atletas!Q342="Jian A",602,IF(Atletas!Q342="Bishou A",603,IF(Atletas!Q342="Shan A",604,IF(Atletas!Q342="Outra Arma Curta A",605,IF(Atletas!Q342="Dao B",606,IF(Atletas!Q342="Jian B",607,IF(Atletas!Q342="Bishou B",608,IF(Atletas!Q342="Shan B",609,IF(Atletas!Q342="Outra Arma Curta B",610,IF(Atletas!Q342="Dao C",611,IF(Atletas!Q342="Jian C",612,IF(Atletas!Q342="Bishou C",613,IF(Atletas!Q342="Shan C",614,IF(Atletas!Q342="Outra Arma Curta C",615,IF(Atletas!Q342="Dao D",616,IF(Atletas!Q342="Jian D",617,IF(Atletas!Q342="Bishou D",618,IF(Atletas!Q342="Shan D",619,IF(Atletas!Q342="Outra Arma Curta D",620,IF(Atletas!Q342="Dao E",621,IF(Atletas!Q342="Jian E",622,IF(Atletas!Q342="Bishou E",623,IF(Atletas!Q342="Shan E",624,IF(Atletas!Q342="Outra Arma Curta E",625,IF(Atletas!Q342="Dao F",626,IF(Atletas!Q342="Jian F",627,IF(Atletas!Q342="Bishou F",628,IF(Atletas!Q342="Shan F",629,IF(Atletas!Q342="Outra Arma Curta F",630, "")))))))))))))))))))))))))))))))</f>
        <v/>
      </c>
      <c r="BT346" s="52" t="str">
        <f>IF(Atletas!R342="","",IF(Atletas!W342&lt;&gt;"",10000,0)+IF(Atletas!B342="Feminino",1000,IF(Atletas!B342="Masculino",2000,""))+IF(Atletas!R342="Gun A",701,IF(Atletas!R342="Qiang A",702,IF(Atletas!R342="Pudao / Guandao A",703,IF(Atletas!R342="Outra Arma Longa A",704,IF(Atletas!R342="Gun B",705,IF(Atletas!R342="Qiang B",706,IF(Atletas!R342="Pudao / Guandao B",707,IF(Atletas!R342="Outra Arma Longa B",708,IF(Atletas!R342="Gun C",709,IF(Atletas!R342="Qiang C",710,IF(Atletas!R342="Pudao / Guandao C",711,IF(Atletas!R342="Outra Arma Longa C",712,IF(Atletas!R342="Gun D",713,IF(Atletas!R342="Qiang D",714,IF(Atletas!R342="Pudao / Guandao D",715,IF(Atletas!R342="Outra Arma Longa D",716,IF(Atletas!R342="Gun E",717,IF(Atletas!R342="Qiang E",718,IF(Atletas!R342="Pudao / Guandao E",719,IF(Atletas!R342="Outra Arma Longa E",720,IF(Atletas!R342="Gun F",721,IF(Atletas!R342="Qiang F",722,IF(Atletas!R342="Pudao / Guandao F",723,IF(Atletas!R342="Outra Arma Longa F",724,"")))))))))))))))))))))))))</f>
        <v/>
      </c>
      <c r="BU346" s="52" t="str">
        <f>IF(Atletas!S342="","",IF(Atletas!W342&lt;&gt;"",10000,0)+IF(Atletas!B342="Feminino",1000,IF(Atletas!B342="Masculino",2000,""))+IF(Atletas!S342="Arma Dupla A",801,IF(Atletas!S342="Arma Maleável A",802,IF(Atletas!S342="Arma Dupla B",803,IF(Atletas!S342="Arma Maleável B",804,IF(Atletas!S342="Arma Dupla C",805,IF(Atletas!S342="Arma Maleável C",806,IF(Atletas!S342="Arma Dupla D",807,IF(Atletas!S342="Arma Maleável D",808,IF(Atletas!S342="Arma Dupla E",809,IF(Atletas!S342="Arma Maleável E",810,IF(Atletas!S342="Arma Dupla F",811,IF(Atletas!S342="Arma Maleável F",812, "")))))))))))))</f>
        <v/>
      </c>
      <c r="BV346" s="52" t="str">
        <f>IF(Atletas!T342="","",IF(Atletas!W342&lt;&gt;"",10000,0)+IF(Atletas!B342="Feminino",1000,IF(Atletas!B342="Masculino",2000,""))+IF(Atletas!T342="Taijijian Yang A",901,IF(Atletas!T342="Taijijian Chen A",902,IF(Atletas!T342="Taijijian Sun A",903,IF(Atletas!T342="Taijijian Wu A",904,IF(Atletas!T342="Taijijian Wu-Hao A",905,IF(Atletas!T342="Taijijian 32 A",906,IF(Atletas!T342="Taijijian 42 A",907,IF(Atletas!T342="Taijijian Yang B",908,IF(Atletas!T342="Taijijian Chen B",909,IF(Atletas!T342="Taijijian Sun B",910,IF(Atletas!T342="Taijijian Wu B",911,IF(Atletas!T342="Taijijian Wu-Hao B",912,IF(Atletas!T342="Taijijian 32 B",913,IF(Atletas!T342="Taijijian 42 B",914,IF(Atletas!T342="Taijijian Yang C",915,IF(Atletas!T342="Taijijian Chen C",916,IF(Atletas!T342="Taijijian Sun C",917,IF(Atletas!T342="Taijijian Wu C",918,IF(Atletas!T342="Taijijian Wu-Hao C",919,IF(Atletas!T342="Taijijian 32 C",920,IF(Atletas!T342="Taijijian 42 C",921,IF(Atletas!T342="Taijijian Yang D",922,IF(Atletas!T342="Taijijian Chen D",923,IF(Atletas!T342="Taijijian Sun D",924,IF(Atletas!T342="Taijijian Wu D",925,IF(Atletas!T342="Taijijian Wu-Hao D",926,IF(Atletas!T342="Taijijian 32 D",927,IF(Atletas!T342="Taijijian 42 D",928,IF(Atletas!T342="Taijijian Yang E",929,IF(Atletas!T342="Taijijian Chen E",930,IF(Atletas!T342="Taijijian Sun E",931,IF(Atletas!T342="Taijijian Wu E",932,IF(Atletas!T342="Taijijian Wu-Hao E",933,IF(Atletas!T342="Taijijian 32 E",934,IF(Atletas!T342="Taijijian 42 E",935,IF(Atletas!T342="Taijijian Yang F",936,IF(Atletas!T342="Taijijian Chen F",937,IF(Atletas!T342="Taijijian Sun F",938,IF(Atletas!T342="Taijijian Wu F",939,IF(Atletas!T342="Taijijian Wu-Hao F",940,IF(Atletas!T342="Taijijian 32 F",941,IF(Atletas!T342="Taijijian 42 F",942,"")))))))))))))))))))))))))))))))))))))))))))</f>
        <v/>
      </c>
      <c r="BW346" s="52" t="str">
        <f>IF(Atletas!U342="","",IF(Atletas!W342&lt;&gt;"",10000,0)+IF(Atletas!B342="Feminino",1000,IF(Atletas!B342="Masculino",2000,""))+IF(Atletas!T342="Taijijian 42 F",942,IF(Atletas!U342="Taijidao A",943,IF(Atletas!U342="Taijishan A",944,IF(Atletas!U342="Taijiqiang A",945,IF(Atletas!U342="Taijidao B",946,IF(Atletas!U342="Taijishan B",947,IF(Atletas!U342="Taijiqiang B",948,IF(Atletas!U342="Taijidao C",949,IF(Atletas!U342="Taijishan C",950,IF(Atletas!U342="Taijiqiang C",951,IF(Atletas!U342="Taijidao D",952,IF(Atletas!U342="Taijishan D",953,IF(Atletas!U342="Taijiqiang D",954,IF(Atletas!U342="Taijidao E",955,IF(Atletas!U342="Taijishan E",956,IF(Atletas!U342="Taijiqiang E",957,IF(Atletas!U342="Taijidao F",958,IF(Atletas!U342="Taijishan F",959,IF(Atletas!U342="Taijiqiang F",960))))))))))))))))))))</f>
        <v/>
      </c>
      <c r="BX346" s="72"/>
      <c r="BY346" s="72"/>
      <c r="BZ346" s="72"/>
      <c r="CA346" s="72"/>
      <c r="CB346" s="72" t="str">
        <f>IF(CC346&lt;&gt;"","Arma Maleável E","")</f>
        <v/>
      </c>
      <c r="CC346" s="64" t="str">
        <f>IF(COUNTIF(BK:BW,11810)&gt;0,COUNTIF(BK:BW,11810),"")</f>
        <v/>
      </c>
      <c r="CD346" s="64" t="str">
        <f>IF(CE346&lt;&gt;"","Arma Maleável E","")</f>
        <v/>
      </c>
      <c r="CE346" s="64" t="str">
        <f>IF(COUNTIF(BK:BW,12810)&gt;0,COUNTIF(BK:BW,12810),"")</f>
        <v/>
      </c>
      <c r="CF346" s="52" t="str">
        <f xml:space="preserve"> IF(Atletas!V342="","",IF(Atletas!V342="Duilian de Mãos AB - Equipe 1",1,IF(Atletas!V342="Duilian de Mãos AB - Equipe 2",2,IF(Atletas!V342="Duilian de Armas AB - Equipe 1",3,IF(Atletas!V342="Duilian de Armas AB - Equipe 2",4,IF(Atletas!V342="Duilian de Tuishou - Equipe 1",5,IF(Atletas!V342="Duilian de Tuishou - Equipe 2",6,IF(Atletas!V342="Grupo Externo AB - Equipe 1",7,IF(Atletas!V342="Grupo Externo AB - Equipe 2",8,IF(Atletas!V342="Grupo Interno AB - Equipe 1",9,IF(Atletas!V342="Grupo Interno AB - Equipe 2",10,IF(Atletas!V342="Duilian de Mãos CD - Equipe 1",11,IF(Atletas!V342="Duilian de Mãos CD - Equipe 2",12,IF(Atletas!V342="Duilian de Armas CD - Equipe 1",13,IF(Atletas!V342="Duilian de Armas CD - Equipe 2",14,IF(Atletas!V342="Duilian de Tuishou - Equipe 1",15,IF(Atletas!V342="Duilian de Tuishou - Equipe 2",16,IF(Atletas!V342="Grupo Externo CDEF - Equipe 1",17,IF(Atletas!V342="Grupo Externo CDEF - Equipe 2",18,IF(Atletas!V342="Grupo Interno CDEF - Equipe 1",19,IF(Atletas!V342="Grupo Interno CDEF - Equipe 2",20,IF(Atletas!V342="Duilian de Mãos EF - Equipe 1",21,IF(Atletas!V342="Duilian de Mãos EF - Equipe 2",22,IF(Atletas!V342="Duilian de Armas EF - Equipe 1",23,IF(Atletas!V342="Duilian de Armas EF - Equipe 2",24,IF(Atletas!V342="Duilian de Tuishou - Equipe 1",25,IF(Atletas!V342="Duilian de Tuishou - Equipe 2",26,"")))))))))))))))))))))))))))</f>
        <v/>
      </c>
    </row>
    <row r="347" spans="36:84">
      <c r="AJ347" s="46" t="str">
        <f>IF(Atletas!D343="","",IF(Atletas!B343="Feminino",100,IF(Atletas!B343="Masculino",200,""))+(IF(Atletas!D343="Infantil 39kg",1,IF(Atletas!D343="Infantil 42kg",2,IF(Atletas!D343="Infantil 45kg",3,IF(Atletas!D343="Infantil 48kg",4,IF(Atletas!D343="Infantil 52kg",5,IF(Atletas!D343="Infantil 56kg",6,IF(Atletas!D343="Infantil 60kg",7,IF(Atletas!D343="Juvenil 48kg",8,IF(Atletas!D343="Juvenil 52kg",9,IF(Atletas!D343="Juvenil 56kg",10,IF(Atletas!D343="Juvenil 60kg",11,IF(Atletas!D343="Juvenil 65kg",12,IF(Atletas!D343="Juvenil 70kg",13,IF(Atletas!D343="Juvenil 75kg",14,IF(Atletas!D343="Juvenil 80kg",15,IF(Atletas!D343="Adulto 48kg",16,IF(Atletas!D343="Adulto 52kg",17,IF(Atletas!D343="Adulto 56kg",18,IF(Atletas!D343="Adulto 60kg",19,IF(Atletas!D343="Adulto 65kg",20,IF(Atletas!D343="Adulto 70kg",21,IF(Atletas!D343="Adulto 75kg",22,IF(Atletas!D343="Adulto 80kg",23,IF(Atletas!D343="Adulto 85kg",24,IF(Atletas!D343="Adulto 90kg",25,IF(Atletas!D343="Adulto +90kg",26,""))))))))))))))))))))))))))))</f>
        <v/>
      </c>
      <c r="AO347" s="10" t="str">
        <f>IF(Atletas!E343="","",IF(Atletas!B343="Feminino",100,IF(Atletas!B343="Masculino",200,""))+(IF(Atletas!E343="Juvenil 44kg",1,IF(Atletas!E343="Juvenil 48kg",2,IF(Atletas!E343="Juvenil 52kg",3,IF(Atletas!E343="Juvenil 56kg",4,IF(Atletas!E343="Juvenil 60kg",5,IF(Atletas!E343="Juvenil 65kg",6,IF(Atletas!E343="Juvenil 70kg",7,IF(Atletas!E343="Juvenil 75kg",8,IF(Atletas!E343="Juvenil 82kg",9,IF(Atletas!E343="Juvenil 90kg",10,IF(Atletas!E343="Juvenil 100kg",11,IF(Atletas!E343="Adulto 48kg",12,IF(Atletas!E343="Adulto 52kg",13,IF(Atletas!E343="Adulto 56kg",14,IF(Atletas!E343="Adulto 60kg",15,IF(Atletas!E343="Adulto 65kg",16,IF(Atletas!E343="Adulto 70kg",17,IF(Atletas!E343="Adulto 75kg",18,IF(Atletas!E343="Adulto 82kg",19,IF(Atletas!E343="Adulto 90kg",20,IF(Atletas!E343="Adulto 100kg",21,IF(Atletas!E343="Adulto +100kg",22,""))))))))))))))))))))))))</f>
        <v/>
      </c>
      <c r="AT347" s="10" t="str">
        <f>IF(Atletas!F343="","",IF(Atletas!B343="Feminino",100,IF(Atletas!B343="Masculino",200,""))+(IF(Atletas!F343="Adulto 48kg",1,IF(Atletas!F343="Adulto 56kg",2,IF(Atletas!F343="Adulto 65kg",3,IF(Atletas!F343="Adulto 75kg",4,IF(Atletas!F343="Adulto +75kg",5,IF(Atletas!F343="Adulto 52kg",6,IF(Atletas!F343="Adulto 60kg",7,IF(Atletas!F343="Adulto 70kg",8,IF(Atletas!F343="Adulto 80kg",9,IF(Atletas!F343="Adulto 90kg",10,IF(Atletas!F343="Adulto +90kg",11,"")))))))))))))</f>
        <v/>
      </c>
      <c r="AY347" s="46" t="str">
        <f>IF(Atletas!G343="","",IF(Atletas!B343="Feminino",100,IF(Atletas!B343="Masculino",200,""))+(IF(Atletas!G343="Changquan Mirim",1,IF(Atletas!G343="Nanquan Mirim",2,IF(Atletas!G343="Taijiquan Mirim",3,IF(Atletas!G343="Changquan Grupo C",4,IF(Atletas!G343="Nanquan Grupo C",5,IF(Atletas!G343="Taijiquan Grupo C",6,IF(Atletas!G343="Changquan Grupo B",7,IF(Atletas!G343="Nanquan Grupo B",8,IF(Atletas!G343="Taijiquan Grupo B",9,IF(Atletas!G343="Changquan Grupo A",10,IF(Atletas!G343="Nanquan Grupo A",11,IF(Atletas!G343="Taijiquan Grupo A",12,IF(Atletas!G343="Changquan Opcional",13,IF(Atletas!G343="Nanquan Opcional",14,IF(Atletas!G343="Taijiquan Opcional",15,IF(Atletas!G343="Changquan Adulto",16,IF(Atletas!G343="Nanquan Adulto",17,IF(Atletas!G343="Taijiquan Adulto",18,""))))))))))))))))))))</f>
        <v/>
      </c>
      <c r="AZ347" s="46" t="str">
        <f>IF(Atletas!H343="","",IF(Atletas!B343="Feminino",100,IF(Atletas!B343="Masculino",200,""))+(IF(Atletas!H343="Daoshu Mirim",19,IF(Atletas!H343="Jianshu Mirim",20,IF(Atletas!H343="Nandao Mirim",21,IF(Atletas!H343="Taijijian Mirim",22,IF(Atletas!H343="Daoshu Grupo C",23,IF(Atletas!H343="Jianshu Grupo C",24,IF(Atletas!H343="Nandao Grupo C",25,IF(Atletas!H343="Taijijian Grupo C",26,IF(Atletas!H343="Daoshu Grupo B",27,IF(Atletas!H343="Jianshu Grupo B",28,IF(Atletas!H343="Nandao Grupo B",29,IF(Atletas!H343="Taijijian Grupo B",30,IF(Atletas!H343="Daoshu Grupo A",31,IF(Atletas!H343="Jianshu Grupo A",32,IF(Atletas!H343="Nandao Grupo A",33,IF(Atletas!H343="Taijijian Grupo A",34,IF(Atletas!H343="Daoshu Opcional",35,IF(Atletas!H343="Jianshu Opcional",36,IF(Atletas!H343="Nandao Opcional",37,IF(Atletas!H343="Taijijian Opcional",38,IF(Atletas!H343="Daoshu Adulto",39,IF(Atletas!H343="Jianshu Adulto",40,IF(Atletas!H343="Nandao Adulto",41,IF(Atletas!H343="Taijijian Adulto",42,""))))))))))))))))))))))))))</f>
        <v/>
      </c>
      <c r="BA347" s="46" t="str">
        <f>IF(Atletas!I343="","",IF(Atletas!B343="Feminino",100,IF(Atletas!B343="Masculino",200,""))+(IF(Atletas!I343="Gunshu Mirim",43,IF(Atletas!I343="Qiangshu Mirim",44,IF(Atletas!I343="Nangun Mirim",45,IF(Atletas!I343="Gunshu Grupo C",46,IF(Atletas!I343="Qiangshu Grupo C",47,IF(Atletas!I343="Nangun Grupo C",48,IF(Atletas!I343="Gunshu Grupo B",49,IF(Atletas!I343="Qiangshu Grupo B",50,IF(Atletas!I343="Nangun Grupo B",51,IF(Atletas!I343="Gunshu Grupo A",52,IF(Atletas!I343="Qiangshu Grupo A",53,IF(Atletas!I343="Nangun Grupo A",54,IF(Atletas!I343="Gunshu Opcional",55,IF(Atletas!I343="Qiangshu Opcional",56,IF(Atletas!I343="Nangun Opcional",57,IF(Atletas!I343="Gunshu Adulto",58,IF(Atletas!I343="Qiangshu Adulto",59,IF(Atletas!I343="Nangun Adulto",60,""))))))))))))))))))))</f>
        <v/>
      </c>
      <c r="BF347" s="52" t="str">
        <f>IF(Atletas!J343="","",IF(Atletas!B343="Feminino",100,IF(Atletas!B343="Masculino",200,""))+(IF(Atletas!J343="Equipe 1 Grupo B",1,IF(Atletas!J343="Equipe 2 Grupo B",2,IF(Atletas!J343="Equipe 1 Grupo A",3,IF(Atletas!J343="Equipe 2 Grupo A",4,IF(Atletas!J343="Equipe 1 Adulto",5,IF(Atletas!J343="Equipe 2 Adulto",6,""))))))))</f>
        <v/>
      </c>
      <c r="BK347" s="52" t="str">
        <f>IF(Atletas!K343="","",IF(Atletas!W343&lt;&gt;"",10000,0)+(IF(Atletas!B343="Feminino",1000,IF(Atletas!B343="Masculino",2000,""))+IF(Atletas!K343="Choylayfut A",1,IF(Atletas!K343="Hunggar A",2,IF(Atletas!K343="Wuzuquan A",3,IF(Atletas!K343="Wingchun A",4,IF(Atletas!K343="Outra Mão de Sul A",5,IF(Atletas!K343="Choylayfut B",6,IF(Atletas!K343="Hunggar B",7,IF(Atletas!K343="Wuzuquan B",8,IF(Atletas!K343="Wingchun B",9,IF(Atletas!K343="Outra Mão de Sul B",10,IF(Atletas!K343="Choylayfut C",11,IF(Atletas!K343="Hunggar C",12,IF(Atletas!K343="Wuzuquan C",13,IF(Atletas!K343="Wingchun C",14,IF(Atletas!K343="Outra Mão de Sul C",15,IF(Atletas!K343="Choylayfut D",16,IF(Atletas!K343="Hunggar D",17,IF(Atletas!K343="Wuzuquan D",18,IF(Atletas!K343="Wingchun D",19,IF(Atletas!K343="Outra Mão de Sul D",20,IF(Atletas!K343="Choylayfut E",21,IF(Atletas!K343="Hunggar E",22,IF(Atletas!K343="Wuzuquan E",23,IF(Atletas!K343="Wingchun E",24,IF(Atletas!K343="Outra Mão de Sul E",25,IF(Atletas!K343="Choylayfut F",26,IF(Atletas!K343="Hunggar F",27,IF(Atletas!K343="Wuzuquan F",28,IF(Atletas!K343="Wingchun F",29,IF(Atletas!K343="Outra Mão de Sul F",30,""))))))))))))))))))))))))))))))))</f>
        <v/>
      </c>
      <c r="BL347" s="52" t="str">
        <f>IF(Atletas!L343="","",IF(Atletas!W343&lt;&gt;"",10000,0)+(IF(Atletas!B343="Feminino",1000,IF(Atletas!B343="Masculino",2000,""))+(IF(Atletas!L343="Chaquan A",101,IF(Atletas!L343="Emeiquan A",102,IF(Atletas!L343="Fanziquan A",103,IF(Atletas!L343="Huaquan A",104,IF(Atletas!L343="Hongquan A",105,IF(Atletas!L343="Paochui A",106,IF(Atletas!L343="Piguaquan A",107,IF(Atletas!L343="Shaolinquan A",108,IF(Atletas!L343="Tanglangquan A",109,IF(Atletas!L343="Yinzhaophai A",110,IF(Atletas!L343="Tongbeiquan A",111,IF(Atletas!L343="Wudangquan A",112,IF(Atletas!L343="Outros Estilos A",113,IF(Atletas!L343="Chaquan B",114,IF(Atletas!L343="Emeiquan B",115,IF(Atletas!L343="Fanziquan B",116,IF(Atletas!L343="Huaquan B",117,IF(Atletas!L343="Hongquan B",118,IF(Atletas!L343="Paochui B",119,IF(Atletas!L343="Piguaquan B",120,IF(Atletas!L343="Shaolinquan B",121,IF(Atletas!L343="Tanglangquan B",122,IF(Atletas!L343="Yinzhaophai B",123,IF(Atletas!L343="Tongbeiquan B",124,IF(Atletas!L343="Wudangquan B",125,IF(Atletas!L343="Outros Estilos B",126,IF(Atletas!L343="Chaquan C",127,IF(Atletas!L343="Emeiquan C",128,IF(Atletas!L343="Fanziquan C",129,IF(Atletas!L343="Huaquan C",130,IF(Atletas!L343="Hongquan C",131,IF(Atletas!L343="Paochui C",132,IF(Atletas!L343="Piguaquan C",133,IF(Atletas!L343="Shaolinquan C",134,IF(Atletas!L343="Tanglangquan C",135,IF(Atletas!L343="Yinzhaophai C",136,IF(Atletas!L343="Tongbeiquan C",137,IF(Atletas!L343="Wudangquan C",138,IF(Atletas!L343="Outros Estilos C",139,0))))))))))))))))))))))))))))))))))))))))))</f>
        <v/>
      </c>
      <c r="BM347" s="52" t="str">
        <f>IF(Atletas!L343="","",IF(Atletas!W343&lt;&gt;"",10000,0)+(IF(Atletas!B343="Feminino",1000,IF(Atletas!B343="Masculino",2000,""))+(IF(Atletas!L343="Chaquan D",140,IF(Atletas!L343="Emeiquan D",141,IF(Atletas!L343="Fanziquan D",142,IF(Atletas!L343="Huaquan D",143,IF(Atletas!L343="Hongquan D",144,IF(Atletas!L343="Paochui D",145,IF(Atletas!L343="Piguaquan D",146,IF(Atletas!L343="Shaolinquan D",147,IF(Atletas!L343="Tanglangquan D",148,IF(Atletas!L343="Yinzhaophai D",149,IF(Atletas!L343="Tongbeiquan D",150,IF(Atletas!L343="Wudangquan D",151,IF(Atletas!L343="Outros Estilos D",152,IF(Atletas!L343="Chaquan E",153,IF(Atletas!L343="Emeiquan E",154,IF(Atletas!L343="Fanziquan E",155,IF(Atletas!L343="Huaquan E",156,IF(Atletas!L343="Hongquan E",157,IF(Atletas!L343="Paochui E",158,IF(Atletas!L343="Piguaquan E",159,IF(Atletas!L343="Shaolinquan E",160,IF(Atletas!L343="Tanglangquan E",161,IF(Atletas!L343="Yinzhaophai E",162,IF(Atletas!L343="Tongbeiquan E",163,IF(Atletas!L343="Wudangquan E",164,IF(Atletas!L343="Outros Estilos E",165,IF(Atletas!L343="Chaquan F",166,IF(Atletas!L343="Emeiquan F",167,IF(Atletas!L343="Fanziquan F",168,IF(Atletas!L343="Huaquan F",169,IF(Atletas!L343="Hongquan F",170,IF(Atletas!L343="Paochui F",171,IF(Atletas!L343="Piguaquan F",172,IF(Atletas!L343="Shaolinquan F",173,IF(Atletas!L343="Tanglangquan F",174,IF(Atletas!L343="Yinzhaophai F",175,IF(Atletas!L343="Tongbeiquan F",176,IF(Atletas!L343="Wudangquan F",177,IF(Atletas!L343="Outros Estilos F",178,0))))))))))))))))))))))))))))))))))))))))))</f>
        <v/>
      </c>
      <c r="BN347" s="52" t="str">
        <f>IF(Atletas!M343="","",IF(Atletas!W343&lt;&gt;"",10000,0)+(IF(Atletas!B343="Feminino",1000,IF(Atletas!B343="Masculino",2000,""))+(IF(Atletas!M343="Ditangquan A",201,IF(Atletas!M343="Houquan A",202,IF(Atletas!M343="Zuiquan A",203,IF(Atletas!M343="Ditangquan B",204,IF(Atletas!M343="Houquan B",205,IF(Atletas!M343="Zuiquan B",206,IF(Atletas!M343="Ditangquan C",207,IF(Atletas!M343="Houquan C",208,IF(Atletas!M343="Zuiquan C",209,IF(Atletas!M343="Ditangquan D",210,IF(Atletas!M343="Houquan D",211,IF(Atletas!M343="Zuiquan D",212,IF(Atletas!M343="Ditangquan E",213,IF(Atletas!M343="Houquan E",214,IF(Atletas!M343="Zuiquan E",215,IF(Atletas!M343="Ditangquan F",216,IF(Atletas!M343="Houquan F",217,IF(Atletas!M343="Zuiquan F",218,"")))))))))))))))))))))</f>
        <v/>
      </c>
      <c r="BO347" s="52" t="str">
        <f>IF(Atletas!N343="","",IF(Atletas!W343&lt;&gt;"",10000,0)+IF(Atletas!B343="Feminino",1000,IF(Atletas!B343="Masculino",2000,""))+IF(Atletas!N343="Yang A",301,IF(Atletas!N343="Chen A",30,IF(Atletas!N343="Sun A",303,IF(Atletas!N343="Wu A",304,IF(Atletas!N343="Wu-Hao A",305,IF(Atletas!N343="Outro Taijiquan A",306,IF(Atletas!N343="Yang B",307,IF(Atletas!N343="Chen B",308,IF(Atletas!N343="Sun B",309,IF(Atletas!N343="Wu B",310,IF(Atletas!N343="Wu-Hao B",311,IF(Atletas!N343="Outro Taijiquan B",312,IF(Atletas!N343="Yang C",313,IF(Atletas!N343="Chen C",314,IF(Atletas!N343="Sun C",315,IF(Atletas!N343="Wu C",316,IF(Atletas!N343="Wu-Hao C",317,IF(Atletas!N343="Outro Taijiquan C",318,IF(Atletas!N343="Yang D",319,IF(Atletas!N343="Chen D",320,IF(Atletas!N343="Sun D",321,IF(Atletas!N343="Wu D",322,IF(Atletas!N343="Wu-Hao D",323,IF(Atletas!N343="Outro Taijiquan D",324,IF(Atletas!N343="Yang E",325,IF(Atletas!N343="Chen E",326,IF(Atletas!N343="Sun E",327,IF(Atletas!N343="Wu E",328,IF(Atletas!N343="Wu-Hao E",329,IF(Atletas!N343="Outro Taijiquan E",330,IF(Atletas!N343="Yang F",331,IF(Atletas!N343="Chen F",332,IF(Atletas!N343="Sun F",333,IF(Atletas!N343="Wu F",334,IF(Atletas!N343="Wu-Hao F",335,IF(Atletas!N343="Outro Taijiquan F",336,"")))))))))))))))))))))))))))))))))))))</f>
        <v/>
      </c>
      <c r="BP347" s="52" t="str">
        <f>IF(Atletas!O343="","",IF(Atletas!W343&lt;&gt;"",10000,0)+IF(Atletas!B343="Feminino",1000,IF(Atletas!B343="Masculino",2000,""))+IF(OR(Atletas!O343="Yang 26 A",Atletas!O343="Yang 40 A"),401,IF(OR(Atletas!O343="Chen 25 A",Atletas!O343="Chen 36 A",Atletas!O343="Chen 56 A"),402,IF(Atletas!O343="Sun 73 A",403,IF(Atletas!O343="Wu 45 A",404,IF(Atletas!O343="Wu-Hao 46 A",405,IF(OR(Atletas!O343="Taijiquan 16 A",Atletas!O343="Taijiquan 24 A",Atletas!O343="Taijiquan 32 A",Atletas!O343="Taijiquan 42 A"),406,IF(OR(Atletas!O343="Yang 26 B",Atletas!O343="Yang 40 B"),407,IF(OR(Atletas!O343="Chen 25 B",Atletas!O343="Chen 36 B",Atletas!O343="Chen 56 B"),408,IF(Atletas!O343="Sun 73 B",409,IF(Atletas!O343="Wu 45 B",410,IF(Atletas!O343="Wu-Hao 46 B",411,IF(OR(Atletas!O343="Taijiquan 16 B",Atletas!O343="Taijiquan 24 B",Atletas!O343="Taijiquan 32 B",Atletas!O343="Taijiquan 42 B"),412,IF(OR(Atletas!O343="Yang 26 C",Atletas!O343="Yang 40 C"),413,IF(OR(Atletas!O343="Chen 25 C",Atletas!O343="Chen 36 C",Atletas!O343="Chen 56 C"),414,IF(Atletas!O343="Sun 73 C",415,IF(Atletas!O343="Wu 45 C",416,IF(Atletas!O343="Wu-Hao 46 C",417,IF(OR(Atletas!O343="Taijiquan 16 C",Atletas!O343="Taijiquan 24 C",Atletas!O343="Taijiquan 32 C",Atletas!O343="Taijiquan 42 C"),418,0)))))))))))))))))))</f>
        <v/>
      </c>
      <c r="BQ347" s="52" t="str">
        <f>IF(Atletas!O343="","",IF(Atletas!W343&lt;&gt;"",10000,0)+IF(Atletas!B343="Feminino",1000,IF(Atletas!B343="Masculino",2000,""))+IF(OR(Atletas!O343="Yang 26 D",Atletas!O343="Yang 40 D"),419,IF(OR(Atletas!O343="Chen 25 D",Atletas!O343="Chen 36 D",Atletas!O343="Chen 56 D"),420,IF(Atletas!O343="Sun 73 D",421,IF(Atletas!O343="Wu 45 D",422,IF(Atletas!O343="Wu-Hao 46 D",423,IF(OR(Atletas!O343="Taijiquan 16 D",Atletas!O343="Taijiquan 24 D",Atletas!O343="Taijiquan 32 D",Atletas!O343="Taijiquan 42 D"),424,IF(OR(Atletas!O343="Yang 26 E",Atletas!O343="Yang 40 E"),425,IF(OR(Atletas!O343="Chen 25 E",Atletas!O343="Chen 36 E",Atletas!O343="Chen 56 E"),426,IF(Atletas!O343="Sun 73 E",427,IF(Atletas!O343="Wu 45 E",428,IF(Atletas!O343="Wu-Hao 46 E",429,IF(OR(Atletas!O343="Taijiquan 16 E",Atletas!O343="Taijiquan 24 E",Atletas!O343="Taijiquan 32 E",Atletas!O343="Taijiquan 42 E"),430,IF(OR(Atletas!O343="Yang 26 F",Atletas!O343="Yang 40 F"),431,IF(OR(Atletas!O343="Chen 25 F",Atletas!O343="Chen 36 F",Atletas!O343="Chen 56 F"),432,IF(Atletas!O343="Sun 73 F",433,IF(Atletas!O343="Wu 45 F",434,IF(Atletas!O343="Wu-Hao 46 F",435,IF(OR(Atletas!O343="Taijiquan 16 F",Atletas!O343="Taijiquan 24 F",Atletas!O343="Taijiquan 32 F",Atletas!O343="Taijiquan 42 F"),436,0)))))))))))))))))))</f>
        <v/>
      </c>
      <c r="BR347" s="52" t="str">
        <f>IF(Atletas!P343="","",IF(Atletas!W343&lt;&gt;"",10000,0)+IF(Atletas!B343="Feminino",1000,IF(Atletas!B343="Masculino",2000,""))+IF(Atletas!P343="Xingyiquan A",501,IF(Atletas!P343="Baguazhang A",502,IF(Atletas!P343="Outro Estilo Interno A",503,IF(Atletas!P343="Xingyiquan B",504,IF(Atletas!P343="Baguazhang B",505,IF(Atletas!P343="Outro Estilo Interno B",506,IF(Atletas!P343="Xingyiquan C",507,IF(Atletas!P343="Baguazhang C",508,IF(Atletas!P343="Outro Estilo Interno C",509,IF(Atletas!P343="Xingyiquan D",510,IF(Atletas!P343="Baguazhang D",511,IF(Atletas!P343="Outro Estilo Interno D",512,IF(Atletas!P343="Xingyiquan E",513,IF(Atletas!P343="Baguazhang E",514,IF(Atletas!P343="Outro Estilo Interno E",515,IF(Atletas!P343="Xingyiquan F",516,IF(Atletas!P343="Baguazhang F",517,IF(Atletas!P343="Outro Estilo Interno F",518, "")))))))))))))))))))</f>
        <v/>
      </c>
      <c r="BS347" s="52" t="str">
        <f>IF(Atletas!Q343="","",IF(Atletas!W343&lt;&gt;"",10000,0)+IF(Atletas!B343="Feminino",1000,IF(Atletas!B343="Masculino",2000,""))+IF(Atletas!Q343="Dao A",601,IF(Atletas!Q343="Jian A",602,IF(Atletas!Q343="Bishou A",603,IF(Atletas!Q343="Shan A",604,IF(Atletas!Q343="Outra Arma Curta A",605,IF(Atletas!Q343="Dao B",606,IF(Atletas!Q343="Jian B",607,IF(Atletas!Q343="Bishou B",608,IF(Atletas!Q343="Shan B",609,IF(Atletas!Q343="Outra Arma Curta B",610,IF(Atletas!Q343="Dao C",611,IF(Atletas!Q343="Jian C",612,IF(Atletas!Q343="Bishou C",613,IF(Atletas!Q343="Shan C",614,IF(Atletas!Q343="Outra Arma Curta C",615,IF(Atletas!Q343="Dao D",616,IF(Atletas!Q343="Jian D",617,IF(Atletas!Q343="Bishou D",618,IF(Atletas!Q343="Shan D",619,IF(Atletas!Q343="Outra Arma Curta D",620,IF(Atletas!Q343="Dao E",621,IF(Atletas!Q343="Jian E",622,IF(Atletas!Q343="Bishou E",623,IF(Atletas!Q343="Shan E",624,IF(Atletas!Q343="Outra Arma Curta E",625,IF(Atletas!Q343="Dao F",626,IF(Atletas!Q343="Jian F",627,IF(Atletas!Q343="Bishou F",628,IF(Atletas!Q343="Shan F",629,IF(Atletas!Q343="Outra Arma Curta F",630, "")))))))))))))))))))))))))))))))</f>
        <v/>
      </c>
      <c r="BT347" s="52" t="str">
        <f>IF(Atletas!R343="","",IF(Atletas!W343&lt;&gt;"",10000,0)+IF(Atletas!B343="Feminino",1000,IF(Atletas!B343="Masculino",2000,""))+IF(Atletas!R343="Gun A",701,IF(Atletas!R343="Qiang A",702,IF(Atletas!R343="Pudao / Guandao A",703,IF(Atletas!R343="Outra Arma Longa A",704,IF(Atletas!R343="Gun B",705,IF(Atletas!R343="Qiang B",706,IF(Atletas!R343="Pudao / Guandao B",707,IF(Atletas!R343="Outra Arma Longa B",708,IF(Atletas!R343="Gun C",709,IF(Atletas!R343="Qiang C",710,IF(Atletas!R343="Pudao / Guandao C",711,IF(Atletas!R343="Outra Arma Longa C",712,IF(Atletas!R343="Gun D",713,IF(Atletas!R343="Qiang D",714,IF(Atletas!R343="Pudao / Guandao D",715,IF(Atletas!R343="Outra Arma Longa D",716,IF(Atletas!R343="Gun E",717,IF(Atletas!R343="Qiang E",718,IF(Atletas!R343="Pudao / Guandao E",719,IF(Atletas!R343="Outra Arma Longa E",720,IF(Atletas!R343="Gun F",721,IF(Atletas!R343="Qiang F",722,IF(Atletas!R343="Pudao / Guandao F",723,IF(Atletas!R343="Outra Arma Longa F",724,"")))))))))))))))))))))))))</f>
        <v/>
      </c>
      <c r="BU347" s="52" t="str">
        <f>IF(Atletas!S343="","",IF(Atletas!W343&lt;&gt;"",10000,0)+IF(Atletas!B343="Feminino",1000,IF(Atletas!B343="Masculino",2000,""))+IF(Atletas!S343="Arma Dupla A",801,IF(Atletas!S343="Arma Maleável A",802,IF(Atletas!S343="Arma Dupla B",803,IF(Atletas!S343="Arma Maleável B",804,IF(Atletas!S343="Arma Dupla C",805,IF(Atletas!S343="Arma Maleável C",806,IF(Atletas!S343="Arma Dupla D",807,IF(Atletas!S343="Arma Maleável D",808,IF(Atletas!S343="Arma Dupla E",809,IF(Atletas!S343="Arma Maleável E",810,IF(Atletas!S343="Arma Dupla F",811,IF(Atletas!S343="Arma Maleável F",812, "")))))))))))))</f>
        <v/>
      </c>
      <c r="BV347" s="52" t="str">
        <f>IF(Atletas!T343="","",IF(Atletas!W343&lt;&gt;"",10000,0)+IF(Atletas!B343="Feminino",1000,IF(Atletas!B343="Masculino",2000,""))+IF(Atletas!T343="Taijijian Yang A",901,IF(Atletas!T343="Taijijian Chen A",902,IF(Atletas!T343="Taijijian Sun A",903,IF(Atletas!T343="Taijijian Wu A",904,IF(Atletas!T343="Taijijian Wu-Hao A",905,IF(Atletas!T343="Taijijian 32 A",906,IF(Atletas!T343="Taijijian 42 A",907,IF(Atletas!T343="Taijijian Yang B",908,IF(Atletas!T343="Taijijian Chen B",909,IF(Atletas!T343="Taijijian Sun B",910,IF(Atletas!T343="Taijijian Wu B",911,IF(Atletas!T343="Taijijian Wu-Hao B",912,IF(Atletas!T343="Taijijian 32 B",913,IF(Atletas!T343="Taijijian 42 B",914,IF(Atletas!T343="Taijijian Yang C",915,IF(Atletas!T343="Taijijian Chen C",916,IF(Atletas!T343="Taijijian Sun C",917,IF(Atletas!T343="Taijijian Wu C",918,IF(Atletas!T343="Taijijian Wu-Hao C",919,IF(Atletas!T343="Taijijian 32 C",920,IF(Atletas!T343="Taijijian 42 C",921,IF(Atletas!T343="Taijijian Yang D",922,IF(Atletas!T343="Taijijian Chen D",923,IF(Atletas!T343="Taijijian Sun D",924,IF(Atletas!T343="Taijijian Wu D",925,IF(Atletas!T343="Taijijian Wu-Hao D",926,IF(Atletas!T343="Taijijian 32 D",927,IF(Atletas!T343="Taijijian 42 D",928,IF(Atletas!T343="Taijijian Yang E",929,IF(Atletas!T343="Taijijian Chen E",930,IF(Atletas!T343="Taijijian Sun E",931,IF(Atletas!T343="Taijijian Wu E",932,IF(Atletas!T343="Taijijian Wu-Hao E",933,IF(Atletas!T343="Taijijian 32 E",934,IF(Atletas!T343="Taijijian 42 E",935,IF(Atletas!T343="Taijijian Yang F",936,IF(Atletas!T343="Taijijian Chen F",937,IF(Atletas!T343="Taijijian Sun F",938,IF(Atletas!T343="Taijijian Wu F",939,IF(Atletas!T343="Taijijian Wu-Hao F",940,IF(Atletas!T343="Taijijian 32 F",941,IF(Atletas!T343="Taijijian 42 F",942,"")))))))))))))))))))))))))))))))))))))))))))</f>
        <v/>
      </c>
      <c r="BW347" s="52" t="str">
        <f>IF(Atletas!U343="","",IF(Atletas!W343&lt;&gt;"",10000,0)+IF(Atletas!B343="Feminino",1000,IF(Atletas!B343="Masculino",2000,""))+IF(Atletas!T343="Taijijian 42 F",942,IF(Atletas!U343="Taijidao A",943,IF(Atletas!U343="Taijishan A",944,IF(Atletas!U343="Taijiqiang A",945,IF(Atletas!U343="Taijidao B",946,IF(Atletas!U343="Taijishan B",947,IF(Atletas!U343="Taijiqiang B",948,IF(Atletas!U343="Taijidao C",949,IF(Atletas!U343="Taijishan C",950,IF(Atletas!U343="Taijiqiang C",951,IF(Atletas!U343="Taijidao D",952,IF(Atletas!U343="Taijishan D",953,IF(Atletas!U343="Taijiqiang D",954,IF(Atletas!U343="Taijidao E",955,IF(Atletas!U343="Taijishan E",956,IF(Atletas!U343="Taijiqiang E",957,IF(Atletas!U343="Taijidao F",958,IF(Atletas!U343="Taijishan F",959,IF(Atletas!U343="Taijiqiang F",960))))))))))))))))))))</f>
        <v/>
      </c>
      <c r="BX347" s="72"/>
      <c r="BY347" s="72"/>
      <c r="BZ347" s="72"/>
      <c r="CA347" s="72"/>
      <c r="CB347" s="72" t="str">
        <f>IF(CC347&lt;&gt;"","Arma Dupla F","")</f>
        <v/>
      </c>
      <c r="CC347" s="64" t="str">
        <f>IF(COUNTIF(BK:BW,11811)&gt;0,COUNTIF(BK:BW,11811),"")</f>
        <v/>
      </c>
      <c r="CD347" s="64" t="str">
        <f>IF(CE347&lt;&gt;"","Arma Dupla F","")</f>
        <v/>
      </c>
      <c r="CE347" s="64" t="str">
        <f>IF(COUNTIF(BK:BW,12811)&gt;0,COUNTIF(BK:BW,12811),"")</f>
        <v/>
      </c>
      <c r="CF347" s="52" t="str">
        <f xml:space="preserve"> IF(Atletas!V343="","",IF(Atletas!V343="Duilian de Mãos AB - Equipe 1",1,IF(Atletas!V343="Duilian de Mãos AB - Equipe 2",2,IF(Atletas!V343="Duilian de Armas AB - Equipe 1",3,IF(Atletas!V343="Duilian de Armas AB - Equipe 2",4,IF(Atletas!V343="Duilian de Tuishou - Equipe 1",5,IF(Atletas!V343="Duilian de Tuishou - Equipe 2",6,IF(Atletas!V343="Grupo Externo AB - Equipe 1",7,IF(Atletas!V343="Grupo Externo AB - Equipe 2",8,IF(Atletas!V343="Grupo Interno AB - Equipe 1",9,IF(Atletas!V343="Grupo Interno AB - Equipe 2",10,IF(Atletas!V343="Duilian de Mãos CD - Equipe 1",11,IF(Atletas!V343="Duilian de Mãos CD - Equipe 2",12,IF(Atletas!V343="Duilian de Armas CD - Equipe 1",13,IF(Atletas!V343="Duilian de Armas CD - Equipe 2",14,IF(Atletas!V343="Duilian de Tuishou - Equipe 1",15,IF(Atletas!V343="Duilian de Tuishou - Equipe 2",16,IF(Atletas!V343="Grupo Externo CDEF - Equipe 1",17,IF(Atletas!V343="Grupo Externo CDEF - Equipe 2",18,IF(Atletas!V343="Grupo Interno CDEF - Equipe 1",19,IF(Atletas!V343="Grupo Interno CDEF - Equipe 2",20,IF(Atletas!V343="Duilian de Mãos EF - Equipe 1",21,IF(Atletas!V343="Duilian de Mãos EF - Equipe 2",22,IF(Atletas!V343="Duilian de Armas EF - Equipe 1",23,IF(Atletas!V343="Duilian de Armas EF - Equipe 2",24,IF(Atletas!V343="Duilian de Tuishou - Equipe 1",25,IF(Atletas!V343="Duilian de Tuishou - Equipe 2",26,"")))))))))))))))))))))))))))</f>
        <v/>
      </c>
    </row>
    <row r="348" spans="36:84">
      <c r="AJ348" s="46" t="str">
        <f>IF(Atletas!D344="","",IF(Atletas!B344="Feminino",100,IF(Atletas!B344="Masculino",200,""))+(IF(Atletas!D344="Infantil 39kg",1,IF(Atletas!D344="Infantil 42kg",2,IF(Atletas!D344="Infantil 45kg",3,IF(Atletas!D344="Infantil 48kg",4,IF(Atletas!D344="Infantil 52kg",5,IF(Atletas!D344="Infantil 56kg",6,IF(Atletas!D344="Infantil 60kg",7,IF(Atletas!D344="Juvenil 48kg",8,IF(Atletas!D344="Juvenil 52kg",9,IF(Atletas!D344="Juvenil 56kg",10,IF(Atletas!D344="Juvenil 60kg",11,IF(Atletas!D344="Juvenil 65kg",12,IF(Atletas!D344="Juvenil 70kg",13,IF(Atletas!D344="Juvenil 75kg",14,IF(Atletas!D344="Juvenil 80kg",15,IF(Atletas!D344="Adulto 48kg",16,IF(Atletas!D344="Adulto 52kg",17,IF(Atletas!D344="Adulto 56kg",18,IF(Atletas!D344="Adulto 60kg",19,IF(Atletas!D344="Adulto 65kg",20,IF(Atletas!D344="Adulto 70kg",21,IF(Atletas!D344="Adulto 75kg",22,IF(Atletas!D344="Adulto 80kg",23,IF(Atletas!D344="Adulto 85kg",24,IF(Atletas!D344="Adulto 90kg",25,IF(Atletas!D344="Adulto +90kg",26,""))))))))))))))))))))))))))))</f>
        <v/>
      </c>
      <c r="AO348" s="10" t="str">
        <f>IF(Atletas!E344="","",IF(Atletas!B344="Feminino",100,IF(Atletas!B344="Masculino",200,""))+(IF(Atletas!E344="Juvenil 44kg",1,IF(Atletas!E344="Juvenil 48kg",2,IF(Atletas!E344="Juvenil 52kg",3,IF(Atletas!E344="Juvenil 56kg",4,IF(Atletas!E344="Juvenil 60kg",5,IF(Atletas!E344="Juvenil 65kg",6,IF(Atletas!E344="Juvenil 70kg",7,IF(Atletas!E344="Juvenil 75kg",8,IF(Atletas!E344="Juvenil 82kg",9,IF(Atletas!E344="Juvenil 90kg",10,IF(Atletas!E344="Juvenil 100kg",11,IF(Atletas!E344="Adulto 48kg",12,IF(Atletas!E344="Adulto 52kg",13,IF(Atletas!E344="Adulto 56kg",14,IF(Atletas!E344="Adulto 60kg",15,IF(Atletas!E344="Adulto 65kg",16,IF(Atletas!E344="Adulto 70kg",17,IF(Atletas!E344="Adulto 75kg",18,IF(Atletas!E344="Adulto 82kg",19,IF(Atletas!E344="Adulto 90kg",20,IF(Atletas!E344="Adulto 100kg",21,IF(Atletas!E344="Adulto +100kg",22,""))))))))))))))))))))))))</f>
        <v/>
      </c>
      <c r="AT348" s="10" t="str">
        <f>IF(Atletas!F344="","",IF(Atletas!B344="Feminino",100,IF(Atletas!B344="Masculino",200,""))+(IF(Atletas!F344="Adulto 48kg",1,IF(Atletas!F344="Adulto 56kg",2,IF(Atletas!F344="Adulto 65kg",3,IF(Atletas!F344="Adulto 75kg",4,IF(Atletas!F344="Adulto +75kg",5,IF(Atletas!F344="Adulto 52kg",6,IF(Atletas!F344="Adulto 60kg",7,IF(Atletas!F344="Adulto 70kg",8,IF(Atletas!F344="Adulto 80kg",9,IF(Atletas!F344="Adulto 90kg",10,IF(Atletas!F344="Adulto +90kg",11,"")))))))))))))</f>
        <v/>
      </c>
      <c r="AY348" s="46" t="str">
        <f>IF(Atletas!G344="","",IF(Atletas!B344="Feminino",100,IF(Atletas!B344="Masculino",200,""))+(IF(Atletas!G344="Changquan Mirim",1,IF(Atletas!G344="Nanquan Mirim",2,IF(Atletas!G344="Taijiquan Mirim",3,IF(Atletas!G344="Changquan Grupo C",4,IF(Atletas!G344="Nanquan Grupo C",5,IF(Atletas!G344="Taijiquan Grupo C",6,IF(Atletas!G344="Changquan Grupo B",7,IF(Atletas!G344="Nanquan Grupo B",8,IF(Atletas!G344="Taijiquan Grupo B",9,IF(Atletas!G344="Changquan Grupo A",10,IF(Atletas!G344="Nanquan Grupo A",11,IF(Atletas!G344="Taijiquan Grupo A",12,IF(Atletas!G344="Changquan Opcional",13,IF(Atletas!G344="Nanquan Opcional",14,IF(Atletas!G344="Taijiquan Opcional",15,IF(Atletas!G344="Changquan Adulto",16,IF(Atletas!G344="Nanquan Adulto",17,IF(Atletas!G344="Taijiquan Adulto",18,""))))))))))))))))))))</f>
        <v/>
      </c>
      <c r="AZ348" s="46" t="str">
        <f>IF(Atletas!H344="","",IF(Atletas!B344="Feminino",100,IF(Atletas!B344="Masculino",200,""))+(IF(Atletas!H344="Daoshu Mirim",19,IF(Atletas!H344="Jianshu Mirim",20,IF(Atletas!H344="Nandao Mirim",21,IF(Atletas!H344="Taijijian Mirim",22,IF(Atletas!H344="Daoshu Grupo C",23,IF(Atletas!H344="Jianshu Grupo C",24,IF(Atletas!H344="Nandao Grupo C",25,IF(Atletas!H344="Taijijian Grupo C",26,IF(Atletas!H344="Daoshu Grupo B",27,IF(Atletas!H344="Jianshu Grupo B",28,IF(Atletas!H344="Nandao Grupo B",29,IF(Atletas!H344="Taijijian Grupo B",30,IF(Atletas!H344="Daoshu Grupo A",31,IF(Atletas!H344="Jianshu Grupo A",32,IF(Atletas!H344="Nandao Grupo A",33,IF(Atletas!H344="Taijijian Grupo A",34,IF(Atletas!H344="Daoshu Opcional",35,IF(Atletas!H344="Jianshu Opcional",36,IF(Atletas!H344="Nandao Opcional",37,IF(Atletas!H344="Taijijian Opcional",38,IF(Atletas!H344="Daoshu Adulto",39,IF(Atletas!H344="Jianshu Adulto",40,IF(Atletas!H344="Nandao Adulto",41,IF(Atletas!H344="Taijijian Adulto",42,""))))))))))))))))))))))))))</f>
        <v/>
      </c>
      <c r="BA348" s="46" t="str">
        <f>IF(Atletas!I344="","",IF(Atletas!B344="Feminino",100,IF(Atletas!B344="Masculino",200,""))+(IF(Atletas!I344="Gunshu Mirim",43,IF(Atletas!I344="Qiangshu Mirim",44,IF(Atletas!I344="Nangun Mirim",45,IF(Atletas!I344="Gunshu Grupo C",46,IF(Atletas!I344="Qiangshu Grupo C",47,IF(Atletas!I344="Nangun Grupo C",48,IF(Atletas!I344="Gunshu Grupo B",49,IF(Atletas!I344="Qiangshu Grupo B",50,IF(Atletas!I344="Nangun Grupo B",51,IF(Atletas!I344="Gunshu Grupo A",52,IF(Atletas!I344="Qiangshu Grupo A",53,IF(Atletas!I344="Nangun Grupo A",54,IF(Atletas!I344="Gunshu Opcional",55,IF(Atletas!I344="Qiangshu Opcional",56,IF(Atletas!I344="Nangun Opcional",57,IF(Atletas!I344="Gunshu Adulto",58,IF(Atletas!I344="Qiangshu Adulto",59,IF(Atletas!I344="Nangun Adulto",60,""))))))))))))))))))))</f>
        <v/>
      </c>
      <c r="BF348" s="52" t="str">
        <f>IF(Atletas!J344="","",IF(Atletas!B344="Feminino",100,IF(Atletas!B344="Masculino",200,""))+(IF(Atletas!J344="Equipe 1 Grupo B",1,IF(Atletas!J344="Equipe 2 Grupo B",2,IF(Atletas!J344="Equipe 1 Grupo A",3,IF(Atletas!J344="Equipe 2 Grupo A",4,IF(Atletas!J344="Equipe 1 Adulto",5,IF(Atletas!J344="Equipe 2 Adulto",6,""))))))))</f>
        <v/>
      </c>
      <c r="BK348" s="52" t="str">
        <f>IF(Atletas!K344="","",IF(Atletas!W344&lt;&gt;"",10000,0)+(IF(Atletas!B344="Feminino",1000,IF(Atletas!B344="Masculino",2000,""))+IF(Atletas!K344="Choylayfut A",1,IF(Atletas!K344="Hunggar A",2,IF(Atletas!K344="Wuzuquan A",3,IF(Atletas!K344="Wingchun A",4,IF(Atletas!K344="Outra Mão de Sul A",5,IF(Atletas!K344="Choylayfut B",6,IF(Atletas!K344="Hunggar B",7,IF(Atletas!K344="Wuzuquan B",8,IF(Atletas!K344="Wingchun B",9,IF(Atletas!K344="Outra Mão de Sul B",10,IF(Atletas!K344="Choylayfut C",11,IF(Atletas!K344="Hunggar C",12,IF(Atletas!K344="Wuzuquan C",13,IF(Atletas!K344="Wingchun C",14,IF(Atletas!K344="Outra Mão de Sul C",15,IF(Atletas!K344="Choylayfut D",16,IF(Atletas!K344="Hunggar D",17,IF(Atletas!K344="Wuzuquan D",18,IF(Atletas!K344="Wingchun D",19,IF(Atletas!K344="Outra Mão de Sul D",20,IF(Atletas!K344="Choylayfut E",21,IF(Atletas!K344="Hunggar E",22,IF(Atletas!K344="Wuzuquan E",23,IF(Atletas!K344="Wingchun E",24,IF(Atletas!K344="Outra Mão de Sul E",25,IF(Atletas!K344="Choylayfut F",26,IF(Atletas!K344="Hunggar F",27,IF(Atletas!K344="Wuzuquan F",28,IF(Atletas!K344="Wingchun F",29,IF(Atletas!K344="Outra Mão de Sul F",30,""))))))))))))))))))))))))))))))))</f>
        <v/>
      </c>
      <c r="BL348" s="52" t="str">
        <f>IF(Atletas!L344="","",IF(Atletas!W344&lt;&gt;"",10000,0)+(IF(Atletas!B344="Feminino",1000,IF(Atletas!B344="Masculino",2000,""))+(IF(Atletas!L344="Chaquan A",101,IF(Atletas!L344="Emeiquan A",102,IF(Atletas!L344="Fanziquan A",103,IF(Atletas!L344="Huaquan A",104,IF(Atletas!L344="Hongquan A",105,IF(Atletas!L344="Paochui A",106,IF(Atletas!L344="Piguaquan A",107,IF(Atletas!L344="Shaolinquan A",108,IF(Atletas!L344="Tanglangquan A",109,IF(Atletas!L344="Yinzhaophai A",110,IF(Atletas!L344="Tongbeiquan A",111,IF(Atletas!L344="Wudangquan A",112,IF(Atletas!L344="Outros Estilos A",113,IF(Atletas!L344="Chaquan B",114,IF(Atletas!L344="Emeiquan B",115,IF(Atletas!L344="Fanziquan B",116,IF(Atletas!L344="Huaquan B",117,IF(Atletas!L344="Hongquan B",118,IF(Atletas!L344="Paochui B",119,IF(Atletas!L344="Piguaquan B",120,IF(Atletas!L344="Shaolinquan B",121,IF(Atletas!L344="Tanglangquan B",122,IF(Atletas!L344="Yinzhaophai B",123,IF(Atletas!L344="Tongbeiquan B",124,IF(Atletas!L344="Wudangquan B",125,IF(Atletas!L344="Outros Estilos B",126,IF(Atletas!L344="Chaquan C",127,IF(Atletas!L344="Emeiquan C",128,IF(Atletas!L344="Fanziquan C",129,IF(Atletas!L344="Huaquan C",130,IF(Atletas!L344="Hongquan C",131,IF(Atletas!L344="Paochui C",132,IF(Atletas!L344="Piguaquan C",133,IF(Atletas!L344="Shaolinquan C",134,IF(Atletas!L344="Tanglangquan C",135,IF(Atletas!L344="Yinzhaophai C",136,IF(Atletas!L344="Tongbeiquan C",137,IF(Atletas!L344="Wudangquan C",138,IF(Atletas!L344="Outros Estilos C",139,0))))))))))))))))))))))))))))))))))))))))))</f>
        <v/>
      </c>
      <c r="BM348" s="52" t="str">
        <f>IF(Atletas!L344="","",IF(Atletas!W344&lt;&gt;"",10000,0)+(IF(Atletas!B344="Feminino",1000,IF(Atletas!B344="Masculino",2000,""))+(IF(Atletas!L344="Chaquan D",140,IF(Atletas!L344="Emeiquan D",141,IF(Atletas!L344="Fanziquan D",142,IF(Atletas!L344="Huaquan D",143,IF(Atletas!L344="Hongquan D",144,IF(Atletas!L344="Paochui D",145,IF(Atletas!L344="Piguaquan D",146,IF(Atletas!L344="Shaolinquan D",147,IF(Atletas!L344="Tanglangquan D",148,IF(Atletas!L344="Yinzhaophai D",149,IF(Atletas!L344="Tongbeiquan D",150,IF(Atletas!L344="Wudangquan D",151,IF(Atletas!L344="Outros Estilos D",152,IF(Atletas!L344="Chaquan E",153,IF(Atletas!L344="Emeiquan E",154,IF(Atletas!L344="Fanziquan E",155,IF(Atletas!L344="Huaquan E",156,IF(Atletas!L344="Hongquan E",157,IF(Atletas!L344="Paochui E",158,IF(Atletas!L344="Piguaquan E",159,IF(Atletas!L344="Shaolinquan E",160,IF(Atletas!L344="Tanglangquan E",161,IF(Atletas!L344="Yinzhaophai E",162,IF(Atletas!L344="Tongbeiquan E",163,IF(Atletas!L344="Wudangquan E",164,IF(Atletas!L344="Outros Estilos E",165,IF(Atletas!L344="Chaquan F",166,IF(Atletas!L344="Emeiquan F",167,IF(Atletas!L344="Fanziquan F",168,IF(Atletas!L344="Huaquan F",169,IF(Atletas!L344="Hongquan F",170,IF(Atletas!L344="Paochui F",171,IF(Atletas!L344="Piguaquan F",172,IF(Atletas!L344="Shaolinquan F",173,IF(Atletas!L344="Tanglangquan F",174,IF(Atletas!L344="Yinzhaophai F",175,IF(Atletas!L344="Tongbeiquan F",176,IF(Atletas!L344="Wudangquan F",177,IF(Atletas!L344="Outros Estilos F",178,0))))))))))))))))))))))))))))))))))))))))))</f>
        <v/>
      </c>
      <c r="BN348" s="52" t="str">
        <f>IF(Atletas!M344="","",IF(Atletas!W344&lt;&gt;"",10000,0)+(IF(Atletas!B344="Feminino",1000,IF(Atletas!B344="Masculino",2000,""))+(IF(Atletas!M344="Ditangquan A",201,IF(Atletas!M344="Houquan A",202,IF(Atletas!M344="Zuiquan A",203,IF(Atletas!M344="Ditangquan B",204,IF(Atletas!M344="Houquan B",205,IF(Atletas!M344="Zuiquan B",206,IF(Atletas!M344="Ditangquan C",207,IF(Atletas!M344="Houquan C",208,IF(Atletas!M344="Zuiquan C",209,IF(Atletas!M344="Ditangquan D",210,IF(Atletas!M344="Houquan D",211,IF(Atletas!M344="Zuiquan D",212,IF(Atletas!M344="Ditangquan E",213,IF(Atletas!M344="Houquan E",214,IF(Atletas!M344="Zuiquan E",215,IF(Atletas!M344="Ditangquan F",216,IF(Atletas!M344="Houquan F",217,IF(Atletas!M344="Zuiquan F",218,"")))))))))))))))))))))</f>
        <v/>
      </c>
      <c r="BO348" s="52" t="str">
        <f>IF(Atletas!N344="","",IF(Atletas!W344&lt;&gt;"",10000,0)+IF(Atletas!B344="Feminino",1000,IF(Atletas!B344="Masculino",2000,""))+IF(Atletas!N344="Yang A",301,IF(Atletas!N344="Chen A",30,IF(Atletas!N344="Sun A",303,IF(Atletas!N344="Wu A",304,IF(Atletas!N344="Wu-Hao A",305,IF(Atletas!N344="Outro Taijiquan A",306,IF(Atletas!N344="Yang B",307,IF(Atletas!N344="Chen B",308,IF(Atletas!N344="Sun B",309,IF(Atletas!N344="Wu B",310,IF(Atletas!N344="Wu-Hao B",311,IF(Atletas!N344="Outro Taijiquan B",312,IF(Atletas!N344="Yang C",313,IF(Atletas!N344="Chen C",314,IF(Atletas!N344="Sun C",315,IF(Atletas!N344="Wu C",316,IF(Atletas!N344="Wu-Hao C",317,IF(Atletas!N344="Outro Taijiquan C",318,IF(Atletas!N344="Yang D",319,IF(Atletas!N344="Chen D",320,IF(Atletas!N344="Sun D",321,IF(Atletas!N344="Wu D",322,IF(Atletas!N344="Wu-Hao D",323,IF(Atletas!N344="Outro Taijiquan D",324,IF(Atletas!N344="Yang E",325,IF(Atletas!N344="Chen E",326,IF(Atletas!N344="Sun E",327,IF(Atletas!N344="Wu E",328,IF(Atletas!N344="Wu-Hao E",329,IF(Atletas!N344="Outro Taijiquan E",330,IF(Atletas!N344="Yang F",331,IF(Atletas!N344="Chen F",332,IF(Atletas!N344="Sun F",333,IF(Atletas!N344="Wu F",334,IF(Atletas!N344="Wu-Hao F",335,IF(Atletas!N344="Outro Taijiquan F",336,"")))))))))))))))))))))))))))))))))))))</f>
        <v/>
      </c>
      <c r="BP348" s="52" t="str">
        <f>IF(Atletas!O344="","",IF(Atletas!W344&lt;&gt;"",10000,0)+IF(Atletas!B344="Feminino",1000,IF(Atletas!B344="Masculino",2000,""))+IF(OR(Atletas!O344="Yang 26 A",Atletas!O344="Yang 40 A"),401,IF(OR(Atletas!O344="Chen 25 A",Atletas!O344="Chen 36 A",Atletas!O344="Chen 56 A"),402,IF(Atletas!O344="Sun 73 A",403,IF(Atletas!O344="Wu 45 A",404,IF(Atletas!O344="Wu-Hao 46 A",405,IF(OR(Atletas!O344="Taijiquan 16 A",Atletas!O344="Taijiquan 24 A",Atletas!O344="Taijiquan 32 A",Atletas!O344="Taijiquan 42 A"),406,IF(OR(Atletas!O344="Yang 26 B",Atletas!O344="Yang 40 B"),407,IF(OR(Atletas!O344="Chen 25 B",Atletas!O344="Chen 36 B",Atletas!O344="Chen 56 B"),408,IF(Atletas!O344="Sun 73 B",409,IF(Atletas!O344="Wu 45 B",410,IF(Atletas!O344="Wu-Hao 46 B",411,IF(OR(Atletas!O344="Taijiquan 16 B",Atletas!O344="Taijiquan 24 B",Atletas!O344="Taijiquan 32 B",Atletas!O344="Taijiquan 42 B"),412,IF(OR(Atletas!O344="Yang 26 C",Atletas!O344="Yang 40 C"),413,IF(OR(Atletas!O344="Chen 25 C",Atletas!O344="Chen 36 C",Atletas!O344="Chen 56 C"),414,IF(Atletas!O344="Sun 73 C",415,IF(Atletas!O344="Wu 45 C",416,IF(Atletas!O344="Wu-Hao 46 C",417,IF(OR(Atletas!O344="Taijiquan 16 C",Atletas!O344="Taijiquan 24 C",Atletas!O344="Taijiquan 32 C",Atletas!O344="Taijiquan 42 C"),418,0)))))))))))))))))))</f>
        <v/>
      </c>
      <c r="BQ348" s="52" t="str">
        <f>IF(Atletas!O344="","",IF(Atletas!W344&lt;&gt;"",10000,0)+IF(Atletas!B344="Feminino",1000,IF(Atletas!B344="Masculino",2000,""))+IF(OR(Atletas!O344="Yang 26 D",Atletas!O344="Yang 40 D"),419,IF(OR(Atletas!O344="Chen 25 D",Atletas!O344="Chen 36 D",Atletas!O344="Chen 56 D"),420,IF(Atletas!O344="Sun 73 D",421,IF(Atletas!O344="Wu 45 D",422,IF(Atletas!O344="Wu-Hao 46 D",423,IF(OR(Atletas!O344="Taijiquan 16 D",Atletas!O344="Taijiquan 24 D",Atletas!O344="Taijiquan 32 D",Atletas!O344="Taijiquan 42 D"),424,IF(OR(Atletas!O344="Yang 26 E",Atletas!O344="Yang 40 E"),425,IF(OR(Atletas!O344="Chen 25 E",Atletas!O344="Chen 36 E",Atletas!O344="Chen 56 E"),426,IF(Atletas!O344="Sun 73 E",427,IF(Atletas!O344="Wu 45 E",428,IF(Atletas!O344="Wu-Hao 46 E",429,IF(OR(Atletas!O344="Taijiquan 16 E",Atletas!O344="Taijiquan 24 E",Atletas!O344="Taijiquan 32 E",Atletas!O344="Taijiquan 42 E"),430,IF(OR(Atletas!O344="Yang 26 F",Atletas!O344="Yang 40 F"),431,IF(OR(Atletas!O344="Chen 25 F",Atletas!O344="Chen 36 F",Atletas!O344="Chen 56 F"),432,IF(Atletas!O344="Sun 73 F",433,IF(Atletas!O344="Wu 45 F",434,IF(Atletas!O344="Wu-Hao 46 F",435,IF(OR(Atletas!O344="Taijiquan 16 F",Atletas!O344="Taijiquan 24 F",Atletas!O344="Taijiquan 32 F",Atletas!O344="Taijiquan 42 F"),436,0)))))))))))))))))))</f>
        <v/>
      </c>
      <c r="BR348" s="52" t="str">
        <f>IF(Atletas!P344="","",IF(Atletas!W344&lt;&gt;"",10000,0)+IF(Atletas!B344="Feminino",1000,IF(Atletas!B344="Masculino",2000,""))+IF(Atletas!P344="Xingyiquan A",501,IF(Atletas!P344="Baguazhang A",502,IF(Atletas!P344="Outro Estilo Interno A",503,IF(Atletas!P344="Xingyiquan B",504,IF(Atletas!P344="Baguazhang B",505,IF(Atletas!P344="Outro Estilo Interno B",506,IF(Atletas!P344="Xingyiquan C",507,IF(Atletas!P344="Baguazhang C",508,IF(Atletas!P344="Outro Estilo Interno C",509,IF(Atletas!P344="Xingyiquan D",510,IF(Atletas!P344="Baguazhang D",511,IF(Atletas!P344="Outro Estilo Interno D",512,IF(Atletas!P344="Xingyiquan E",513,IF(Atletas!P344="Baguazhang E",514,IF(Atletas!P344="Outro Estilo Interno E",515,IF(Atletas!P344="Xingyiquan F",516,IF(Atletas!P344="Baguazhang F",517,IF(Atletas!P344="Outro Estilo Interno F",518, "")))))))))))))))))))</f>
        <v/>
      </c>
      <c r="BS348" s="52" t="str">
        <f>IF(Atletas!Q344="","",IF(Atletas!W344&lt;&gt;"",10000,0)+IF(Atletas!B344="Feminino",1000,IF(Atletas!B344="Masculino",2000,""))+IF(Atletas!Q344="Dao A",601,IF(Atletas!Q344="Jian A",602,IF(Atletas!Q344="Bishou A",603,IF(Atletas!Q344="Shan A",604,IF(Atletas!Q344="Outra Arma Curta A",605,IF(Atletas!Q344="Dao B",606,IF(Atletas!Q344="Jian B",607,IF(Atletas!Q344="Bishou B",608,IF(Atletas!Q344="Shan B",609,IF(Atletas!Q344="Outra Arma Curta B",610,IF(Atletas!Q344="Dao C",611,IF(Atletas!Q344="Jian C",612,IF(Atletas!Q344="Bishou C",613,IF(Atletas!Q344="Shan C",614,IF(Atletas!Q344="Outra Arma Curta C",615,IF(Atletas!Q344="Dao D",616,IF(Atletas!Q344="Jian D",617,IF(Atletas!Q344="Bishou D",618,IF(Atletas!Q344="Shan D",619,IF(Atletas!Q344="Outra Arma Curta D",620,IF(Atletas!Q344="Dao E",621,IF(Atletas!Q344="Jian E",622,IF(Atletas!Q344="Bishou E",623,IF(Atletas!Q344="Shan E",624,IF(Atletas!Q344="Outra Arma Curta E",625,IF(Atletas!Q344="Dao F",626,IF(Atletas!Q344="Jian F",627,IF(Atletas!Q344="Bishou F",628,IF(Atletas!Q344="Shan F",629,IF(Atletas!Q344="Outra Arma Curta F",630, "")))))))))))))))))))))))))))))))</f>
        <v/>
      </c>
      <c r="BT348" s="52" t="str">
        <f>IF(Atletas!R344="","",IF(Atletas!W344&lt;&gt;"",10000,0)+IF(Atletas!B344="Feminino",1000,IF(Atletas!B344="Masculino",2000,""))+IF(Atletas!R344="Gun A",701,IF(Atletas!R344="Qiang A",702,IF(Atletas!R344="Pudao / Guandao A",703,IF(Atletas!R344="Outra Arma Longa A",704,IF(Atletas!R344="Gun B",705,IF(Atletas!R344="Qiang B",706,IF(Atletas!R344="Pudao / Guandao B",707,IF(Atletas!R344="Outra Arma Longa B",708,IF(Atletas!R344="Gun C",709,IF(Atletas!R344="Qiang C",710,IF(Atletas!R344="Pudao / Guandao C",711,IF(Atletas!R344="Outra Arma Longa C",712,IF(Atletas!R344="Gun D",713,IF(Atletas!R344="Qiang D",714,IF(Atletas!R344="Pudao / Guandao D",715,IF(Atletas!R344="Outra Arma Longa D",716,IF(Atletas!R344="Gun E",717,IF(Atletas!R344="Qiang E",718,IF(Atletas!R344="Pudao / Guandao E",719,IF(Atletas!R344="Outra Arma Longa E",720,IF(Atletas!R344="Gun F",721,IF(Atletas!R344="Qiang F",722,IF(Atletas!R344="Pudao / Guandao F",723,IF(Atletas!R344="Outra Arma Longa F",724,"")))))))))))))))))))))))))</f>
        <v/>
      </c>
      <c r="BU348" s="52" t="str">
        <f>IF(Atletas!S344="","",IF(Atletas!W344&lt;&gt;"",10000,0)+IF(Atletas!B344="Feminino",1000,IF(Atletas!B344="Masculino",2000,""))+IF(Atletas!S344="Arma Dupla A",801,IF(Atletas!S344="Arma Maleável A",802,IF(Atletas!S344="Arma Dupla B",803,IF(Atletas!S344="Arma Maleável B",804,IF(Atletas!S344="Arma Dupla C",805,IF(Atletas!S344="Arma Maleável C",806,IF(Atletas!S344="Arma Dupla D",807,IF(Atletas!S344="Arma Maleável D",808,IF(Atletas!S344="Arma Dupla E",809,IF(Atletas!S344="Arma Maleável E",810,IF(Atletas!S344="Arma Dupla F",811,IF(Atletas!S344="Arma Maleável F",812, "")))))))))))))</f>
        <v/>
      </c>
      <c r="BV348" s="52" t="str">
        <f>IF(Atletas!T344="","",IF(Atletas!W344&lt;&gt;"",10000,0)+IF(Atletas!B344="Feminino",1000,IF(Atletas!B344="Masculino",2000,""))+IF(Atletas!T344="Taijijian Yang A",901,IF(Atletas!T344="Taijijian Chen A",902,IF(Atletas!T344="Taijijian Sun A",903,IF(Atletas!T344="Taijijian Wu A",904,IF(Atletas!T344="Taijijian Wu-Hao A",905,IF(Atletas!T344="Taijijian 32 A",906,IF(Atletas!T344="Taijijian 42 A",907,IF(Atletas!T344="Taijijian Yang B",908,IF(Atletas!T344="Taijijian Chen B",909,IF(Atletas!T344="Taijijian Sun B",910,IF(Atletas!T344="Taijijian Wu B",911,IF(Atletas!T344="Taijijian Wu-Hao B",912,IF(Atletas!T344="Taijijian 32 B",913,IF(Atletas!T344="Taijijian 42 B",914,IF(Atletas!T344="Taijijian Yang C",915,IF(Atletas!T344="Taijijian Chen C",916,IF(Atletas!T344="Taijijian Sun C",917,IF(Atletas!T344="Taijijian Wu C",918,IF(Atletas!T344="Taijijian Wu-Hao C",919,IF(Atletas!T344="Taijijian 32 C",920,IF(Atletas!T344="Taijijian 42 C",921,IF(Atletas!T344="Taijijian Yang D",922,IF(Atletas!T344="Taijijian Chen D",923,IF(Atletas!T344="Taijijian Sun D",924,IF(Atletas!T344="Taijijian Wu D",925,IF(Atletas!T344="Taijijian Wu-Hao D",926,IF(Atletas!T344="Taijijian 32 D",927,IF(Atletas!T344="Taijijian 42 D",928,IF(Atletas!T344="Taijijian Yang E",929,IF(Atletas!T344="Taijijian Chen E",930,IF(Atletas!T344="Taijijian Sun E",931,IF(Atletas!T344="Taijijian Wu E",932,IF(Atletas!T344="Taijijian Wu-Hao E",933,IF(Atletas!T344="Taijijian 32 E",934,IF(Atletas!T344="Taijijian 42 E",935,IF(Atletas!T344="Taijijian Yang F",936,IF(Atletas!T344="Taijijian Chen F",937,IF(Atletas!T344="Taijijian Sun F",938,IF(Atletas!T344="Taijijian Wu F",939,IF(Atletas!T344="Taijijian Wu-Hao F",940,IF(Atletas!T344="Taijijian 32 F",941,IF(Atletas!T344="Taijijian 42 F",942,"")))))))))))))))))))))))))))))))))))))))))))</f>
        <v/>
      </c>
      <c r="BW348" s="52" t="str">
        <f>IF(Atletas!U344="","",IF(Atletas!W344&lt;&gt;"",10000,0)+IF(Atletas!B344="Feminino",1000,IF(Atletas!B344="Masculino",2000,""))+IF(Atletas!T344="Taijijian 42 F",942,IF(Atletas!U344="Taijidao A",943,IF(Atletas!U344="Taijishan A",944,IF(Atletas!U344="Taijiqiang A",945,IF(Atletas!U344="Taijidao B",946,IF(Atletas!U344="Taijishan B",947,IF(Atletas!U344="Taijiqiang B",948,IF(Atletas!U344="Taijidao C",949,IF(Atletas!U344="Taijishan C",950,IF(Atletas!U344="Taijiqiang C",951,IF(Atletas!U344="Taijidao D",952,IF(Atletas!U344="Taijishan D",953,IF(Atletas!U344="Taijiqiang D",954,IF(Atletas!U344="Taijidao E",955,IF(Atletas!U344="Taijishan E",956,IF(Atletas!U344="Taijiqiang E",957,IF(Atletas!U344="Taijidao F",958,IF(Atletas!U344="Taijishan F",959,IF(Atletas!U344="Taijiqiang F",960))))))))))))))))))))</f>
        <v/>
      </c>
      <c r="BX348" s="72"/>
      <c r="BY348" s="72"/>
      <c r="BZ348" s="72"/>
      <c r="CA348" s="72"/>
      <c r="CB348" s="72" t="str">
        <f>IF(CC348&lt;&gt;"","Arma Maleável F","")</f>
        <v/>
      </c>
      <c r="CC348" s="64" t="str">
        <f>IF(COUNTIF(BK:BW,11812)&gt;0,COUNTIF(BK:BW,11812),"")</f>
        <v/>
      </c>
      <c r="CD348" s="64" t="str">
        <f>IF(CE348&lt;&gt;"","Arma Maleável F","")</f>
        <v/>
      </c>
      <c r="CE348" s="64" t="str">
        <f>IF(COUNTIF(BK:BW,12812)&gt;0,COUNTIF(BK:BW,12812),"")</f>
        <v/>
      </c>
      <c r="CF348" s="52" t="str">
        <f xml:space="preserve"> IF(Atletas!V344="","",IF(Atletas!V344="Duilian de Mãos AB - Equipe 1",1,IF(Atletas!V344="Duilian de Mãos AB - Equipe 2",2,IF(Atletas!V344="Duilian de Armas AB - Equipe 1",3,IF(Atletas!V344="Duilian de Armas AB - Equipe 2",4,IF(Atletas!V344="Duilian de Tuishou - Equipe 1",5,IF(Atletas!V344="Duilian de Tuishou - Equipe 2",6,IF(Atletas!V344="Grupo Externo AB - Equipe 1",7,IF(Atletas!V344="Grupo Externo AB - Equipe 2",8,IF(Atletas!V344="Grupo Interno AB - Equipe 1",9,IF(Atletas!V344="Grupo Interno AB - Equipe 2",10,IF(Atletas!V344="Duilian de Mãos CD - Equipe 1",11,IF(Atletas!V344="Duilian de Mãos CD - Equipe 2",12,IF(Atletas!V344="Duilian de Armas CD - Equipe 1",13,IF(Atletas!V344="Duilian de Armas CD - Equipe 2",14,IF(Atletas!V344="Duilian de Tuishou - Equipe 1",15,IF(Atletas!V344="Duilian de Tuishou - Equipe 2",16,IF(Atletas!V344="Grupo Externo CDEF - Equipe 1",17,IF(Atletas!V344="Grupo Externo CDEF - Equipe 2",18,IF(Atletas!V344="Grupo Interno CDEF - Equipe 1",19,IF(Atletas!V344="Grupo Interno CDEF - Equipe 2",20,IF(Atletas!V344="Duilian de Mãos EF - Equipe 1",21,IF(Atletas!V344="Duilian de Mãos EF - Equipe 2",22,IF(Atletas!V344="Duilian de Armas EF - Equipe 1",23,IF(Atletas!V344="Duilian de Armas EF - Equipe 2",24,IF(Atletas!V344="Duilian de Tuishou - Equipe 1",25,IF(Atletas!V344="Duilian de Tuishou - Equipe 2",26,"")))))))))))))))))))))))))))</f>
        <v/>
      </c>
    </row>
    <row r="349" spans="36:84">
      <c r="AJ349" s="46" t="str">
        <f>IF(Atletas!D345="","",IF(Atletas!B345="Feminino",100,IF(Atletas!B345="Masculino",200,""))+(IF(Atletas!D345="Infantil 39kg",1,IF(Atletas!D345="Infantil 42kg",2,IF(Atletas!D345="Infantil 45kg",3,IF(Atletas!D345="Infantil 48kg",4,IF(Atletas!D345="Infantil 52kg",5,IF(Atletas!D345="Infantil 56kg",6,IF(Atletas!D345="Infantil 60kg",7,IF(Atletas!D345="Juvenil 48kg",8,IF(Atletas!D345="Juvenil 52kg",9,IF(Atletas!D345="Juvenil 56kg",10,IF(Atletas!D345="Juvenil 60kg",11,IF(Atletas!D345="Juvenil 65kg",12,IF(Atletas!D345="Juvenil 70kg",13,IF(Atletas!D345="Juvenil 75kg",14,IF(Atletas!D345="Juvenil 80kg",15,IF(Atletas!D345="Adulto 48kg",16,IF(Atletas!D345="Adulto 52kg",17,IF(Atletas!D345="Adulto 56kg",18,IF(Atletas!D345="Adulto 60kg",19,IF(Atletas!D345="Adulto 65kg",20,IF(Atletas!D345="Adulto 70kg",21,IF(Atletas!D345="Adulto 75kg",22,IF(Atletas!D345="Adulto 80kg",23,IF(Atletas!D345="Adulto 85kg",24,IF(Atletas!D345="Adulto 90kg",25,IF(Atletas!D345="Adulto +90kg",26,""))))))))))))))))))))))))))))</f>
        <v/>
      </c>
      <c r="AO349" s="10" t="str">
        <f>IF(Atletas!E345="","",IF(Atletas!B345="Feminino",100,IF(Atletas!B345="Masculino",200,""))+(IF(Atletas!E345="Juvenil 44kg",1,IF(Atletas!E345="Juvenil 48kg",2,IF(Atletas!E345="Juvenil 52kg",3,IF(Atletas!E345="Juvenil 56kg",4,IF(Atletas!E345="Juvenil 60kg",5,IF(Atletas!E345="Juvenil 65kg",6,IF(Atletas!E345="Juvenil 70kg",7,IF(Atletas!E345="Juvenil 75kg",8,IF(Atletas!E345="Juvenil 82kg",9,IF(Atletas!E345="Juvenil 90kg",10,IF(Atletas!E345="Juvenil 100kg",11,IF(Atletas!E345="Adulto 48kg",12,IF(Atletas!E345="Adulto 52kg",13,IF(Atletas!E345="Adulto 56kg",14,IF(Atletas!E345="Adulto 60kg",15,IF(Atletas!E345="Adulto 65kg",16,IF(Atletas!E345="Adulto 70kg",17,IF(Atletas!E345="Adulto 75kg",18,IF(Atletas!E345="Adulto 82kg",19,IF(Atletas!E345="Adulto 90kg",20,IF(Atletas!E345="Adulto 100kg",21,IF(Atletas!E345="Adulto +100kg",22,""))))))))))))))))))))))))</f>
        <v/>
      </c>
      <c r="AT349" s="10" t="str">
        <f>IF(Atletas!F345="","",IF(Atletas!B345="Feminino",100,IF(Atletas!B345="Masculino",200,""))+(IF(Atletas!F345="Adulto 48kg",1,IF(Atletas!F345="Adulto 56kg",2,IF(Atletas!F345="Adulto 65kg",3,IF(Atletas!F345="Adulto 75kg",4,IF(Atletas!F345="Adulto +75kg",5,IF(Atletas!F345="Adulto 52kg",6,IF(Atletas!F345="Adulto 60kg",7,IF(Atletas!F345="Adulto 70kg",8,IF(Atletas!F345="Adulto 80kg",9,IF(Atletas!F345="Adulto 90kg",10,IF(Atletas!F345="Adulto +90kg",11,"")))))))))))))</f>
        <v/>
      </c>
      <c r="AY349" s="46" t="str">
        <f>IF(Atletas!G345="","",IF(Atletas!B345="Feminino",100,IF(Atletas!B345="Masculino",200,""))+(IF(Atletas!G345="Changquan Mirim",1,IF(Atletas!G345="Nanquan Mirim",2,IF(Atletas!G345="Taijiquan Mirim",3,IF(Atletas!G345="Changquan Grupo C",4,IF(Atletas!G345="Nanquan Grupo C",5,IF(Atletas!G345="Taijiquan Grupo C",6,IF(Atletas!G345="Changquan Grupo B",7,IF(Atletas!G345="Nanquan Grupo B",8,IF(Atletas!G345="Taijiquan Grupo B",9,IF(Atletas!G345="Changquan Grupo A",10,IF(Atletas!G345="Nanquan Grupo A",11,IF(Atletas!G345="Taijiquan Grupo A",12,IF(Atletas!G345="Changquan Opcional",13,IF(Atletas!G345="Nanquan Opcional",14,IF(Atletas!G345="Taijiquan Opcional",15,IF(Atletas!G345="Changquan Adulto",16,IF(Atletas!G345="Nanquan Adulto",17,IF(Atletas!G345="Taijiquan Adulto",18,""))))))))))))))))))))</f>
        <v/>
      </c>
      <c r="AZ349" s="46" t="str">
        <f>IF(Atletas!H345="","",IF(Atletas!B345="Feminino",100,IF(Atletas!B345="Masculino",200,""))+(IF(Atletas!H345="Daoshu Mirim",19,IF(Atletas!H345="Jianshu Mirim",20,IF(Atletas!H345="Nandao Mirim",21,IF(Atletas!H345="Taijijian Mirim",22,IF(Atletas!H345="Daoshu Grupo C",23,IF(Atletas!H345="Jianshu Grupo C",24,IF(Atletas!H345="Nandao Grupo C",25,IF(Atletas!H345="Taijijian Grupo C",26,IF(Atletas!H345="Daoshu Grupo B",27,IF(Atletas!H345="Jianshu Grupo B",28,IF(Atletas!H345="Nandao Grupo B",29,IF(Atletas!H345="Taijijian Grupo B",30,IF(Atletas!H345="Daoshu Grupo A",31,IF(Atletas!H345="Jianshu Grupo A",32,IF(Atletas!H345="Nandao Grupo A",33,IF(Atletas!H345="Taijijian Grupo A",34,IF(Atletas!H345="Daoshu Opcional",35,IF(Atletas!H345="Jianshu Opcional",36,IF(Atletas!H345="Nandao Opcional",37,IF(Atletas!H345="Taijijian Opcional",38,IF(Atletas!H345="Daoshu Adulto",39,IF(Atletas!H345="Jianshu Adulto",40,IF(Atletas!H345="Nandao Adulto",41,IF(Atletas!H345="Taijijian Adulto",42,""))))))))))))))))))))))))))</f>
        <v/>
      </c>
      <c r="BA349" s="46" t="str">
        <f>IF(Atletas!I345="","",IF(Atletas!B345="Feminino",100,IF(Atletas!B345="Masculino",200,""))+(IF(Atletas!I345="Gunshu Mirim",43,IF(Atletas!I345="Qiangshu Mirim",44,IF(Atletas!I345="Nangun Mirim",45,IF(Atletas!I345="Gunshu Grupo C",46,IF(Atletas!I345="Qiangshu Grupo C",47,IF(Atletas!I345="Nangun Grupo C",48,IF(Atletas!I345="Gunshu Grupo B",49,IF(Atletas!I345="Qiangshu Grupo B",50,IF(Atletas!I345="Nangun Grupo B",51,IF(Atletas!I345="Gunshu Grupo A",52,IF(Atletas!I345="Qiangshu Grupo A",53,IF(Atletas!I345="Nangun Grupo A",54,IF(Atletas!I345="Gunshu Opcional",55,IF(Atletas!I345="Qiangshu Opcional",56,IF(Atletas!I345="Nangun Opcional",57,IF(Atletas!I345="Gunshu Adulto",58,IF(Atletas!I345="Qiangshu Adulto",59,IF(Atletas!I345="Nangun Adulto",60,""))))))))))))))))))))</f>
        <v/>
      </c>
      <c r="BF349" s="52" t="str">
        <f>IF(Atletas!J345="","",IF(Atletas!B345="Feminino",100,IF(Atletas!B345="Masculino",200,""))+(IF(Atletas!J345="Equipe 1 Grupo B",1,IF(Atletas!J345="Equipe 2 Grupo B",2,IF(Atletas!J345="Equipe 1 Grupo A",3,IF(Atletas!J345="Equipe 2 Grupo A",4,IF(Atletas!J345="Equipe 1 Adulto",5,IF(Atletas!J345="Equipe 2 Adulto",6,""))))))))</f>
        <v/>
      </c>
      <c r="BK349" s="52" t="str">
        <f>IF(Atletas!K345="","",IF(Atletas!W345&lt;&gt;"",10000,0)+(IF(Atletas!B345="Feminino",1000,IF(Atletas!B345="Masculino",2000,""))+IF(Atletas!K345="Choylayfut A",1,IF(Atletas!K345="Hunggar A",2,IF(Atletas!K345="Wuzuquan A",3,IF(Atletas!K345="Wingchun A",4,IF(Atletas!K345="Outra Mão de Sul A",5,IF(Atletas!K345="Choylayfut B",6,IF(Atletas!K345="Hunggar B",7,IF(Atletas!K345="Wuzuquan B",8,IF(Atletas!K345="Wingchun B",9,IF(Atletas!K345="Outra Mão de Sul B",10,IF(Atletas!K345="Choylayfut C",11,IF(Atletas!K345="Hunggar C",12,IF(Atletas!K345="Wuzuquan C",13,IF(Atletas!K345="Wingchun C",14,IF(Atletas!K345="Outra Mão de Sul C",15,IF(Atletas!K345="Choylayfut D",16,IF(Atletas!K345="Hunggar D",17,IF(Atletas!K345="Wuzuquan D",18,IF(Atletas!K345="Wingchun D",19,IF(Atletas!K345="Outra Mão de Sul D",20,IF(Atletas!K345="Choylayfut E",21,IF(Atletas!K345="Hunggar E",22,IF(Atletas!K345="Wuzuquan E",23,IF(Atletas!K345="Wingchun E",24,IF(Atletas!K345="Outra Mão de Sul E",25,IF(Atletas!K345="Choylayfut F",26,IF(Atletas!K345="Hunggar F",27,IF(Atletas!K345="Wuzuquan F",28,IF(Atletas!K345="Wingchun F",29,IF(Atletas!K345="Outra Mão de Sul F",30,""))))))))))))))))))))))))))))))))</f>
        <v/>
      </c>
      <c r="BL349" s="52" t="str">
        <f>IF(Atletas!L345="","",IF(Atletas!W345&lt;&gt;"",10000,0)+(IF(Atletas!B345="Feminino",1000,IF(Atletas!B345="Masculino",2000,""))+(IF(Atletas!L345="Chaquan A",101,IF(Atletas!L345="Emeiquan A",102,IF(Atletas!L345="Fanziquan A",103,IF(Atletas!L345="Huaquan A",104,IF(Atletas!L345="Hongquan A",105,IF(Atletas!L345="Paochui A",106,IF(Atletas!L345="Piguaquan A",107,IF(Atletas!L345="Shaolinquan A",108,IF(Atletas!L345="Tanglangquan A",109,IF(Atletas!L345="Yinzhaophai A",110,IF(Atletas!L345="Tongbeiquan A",111,IF(Atletas!L345="Wudangquan A",112,IF(Atletas!L345="Outros Estilos A",113,IF(Atletas!L345="Chaquan B",114,IF(Atletas!L345="Emeiquan B",115,IF(Atletas!L345="Fanziquan B",116,IF(Atletas!L345="Huaquan B",117,IF(Atletas!L345="Hongquan B",118,IF(Atletas!L345="Paochui B",119,IF(Atletas!L345="Piguaquan B",120,IF(Atletas!L345="Shaolinquan B",121,IF(Atletas!L345="Tanglangquan B",122,IF(Atletas!L345="Yinzhaophai B",123,IF(Atletas!L345="Tongbeiquan B",124,IF(Atletas!L345="Wudangquan B",125,IF(Atletas!L345="Outros Estilos B",126,IF(Atletas!L345="Chaquan C",127,IF(Atletas!L345="Emeiquan C",128,IF(Atletas!L345="Fanziquan C",129,IF(Atletas!L345="Huaquan C",130,IF(Atletas!L345="Hongquan C",131,IF(Atletas!L345="Paochui C",132,IF(Atletas!L345="Piguaquan C",133,IF(Atletas!L345="Shaolinquan C",134,IF(Atletas!L345="Tanglangquan C",135,IF(Atletas!L345="Yinzhaophai C",136,IF(Atletas!L345="Tongbeiquan C",137,IF(Atletas!L345="Wudangquan C",138,IF(Atletas!L345="Outros Estilos C",139,0))))))))))))))))))))))))))))))))))))))))))</f>
        <v/>
      </c>
      <c r="BM349" s="52" t="str">
        <f>IF(Atletas!L345="","",IF(Atletas!W345&lt;&gt;"",10000,0)+(IF(Atletas!B345="Feminino",1000,IF(Atletas!B345="Masculino",2000,""))+(IF(Atletas!L345="Chaquan D",140,IF(Atletas!L345="Emeiquan D",141,IF(Atletas!L345="Fanziquan D",142,IF(Atletas!L345="Huaquan D",143,IF(Atletas!L345="Hongquan D",144,IF(Atletas!L345="Paochui D",145,IF(Atletas!L345="Piguaquan D",146,IF(Atletas!L345="Shaolinquan D",147,IF(Atletas!L345="Tanglangquan D",148,IF(Atletas!L345="Yinzhaophai D",149,IF(Atletas!L345="Tongbeiquan D",150,IF(Atletas!L345="Wudangquan D",151,IF(Atletas!L345="Outros Estilos D",152,IF(Atletas!L345="Chaquan E",153,IF(Atletas!L345="Emeiquan E",154,IF(Atletas!L345="Fanziquan E",155,IF(Atletas!L345="Huaquan E",156,IF(Atletas!L345="Hongquan E",157,IF(Atletas!L345="Paochui E",158,IF(Atletas!L345="Piguaquan E",159,IF(Atletas!L345="Shaolinquan E",160,IF(Atletas!L345="Tanglangquan E",161,IF(Atletas!L345="Yinzhaophai E",162,IF(Atletas!L345="Tongbeiquan E",163,IF(Atletas!L345="Wudangquan E",164,IF(Atletas!L345="Outros Estilos E",165,IF(Atletas!L345="Chaquan F",166,IF(Atletas!L345="Emeiquan F",167,IF(Atletas!L345="Fanziquan F",168,IF(Atletas!L345="Huaquan F",169,IF(Atletas!L345="Hongquan F",170,IF(Atletas!L345="Paochui F",171,IF(Atletas!L345="Piguaquan F",172,IF(Atletas!L345="Shaolinquan F",173,IF(Atletas!L345="Tanglangquan F",174,IF(Atletas!L345="Yinzhaophai F",175,IF(Atletas!L345="Tongbeiquan F",176,IF(Atletas!L345="Wudangquan F",177,IF(Atletas!L345="Outros Estilos F",178,0))))))))))))))))))))))))))))))))))))))))))</f>
        <v/>
      </c>
      <c r="BN349" s="52" t="str">
        <f>IF(Atletas!M345="","",IF(Atletas!W345&lt;&gt;"",10000,0)+(IF(Atletas!B345="Feminino",1000,IF(Atletas!B345="Masculino",2000,""))+(IF(Atletas!M345="Ditangquan A",201,IF(Atletas!M345="Houquan A",202,IF(Atletas!M345="Zuiquan A",203,IF(Atletas!M345="Ditangquan B",204,IF(Atletas!M345="Houquan B",205,IF(Atletas!M345="Zuiquan B",206,IF(Atletas!M345="Ditangquan C",207,IF(Atletas!M345="Houquan C",208,IF(Atletas!M345="Zuiquan C",209,IF(Atletas!M345="Ditangquan D",210,IF(Atletas!M345="Houquan D",211,IF(Atletas!M345="Zuiquan D",212,IF(Atletas!M345="Ditangquan E",213,IF(Atletas!M345="Houquan E",214,IF(Atletas!M345="Zuiquan E",215,IF(Atletas!M345="Ditangquan F",216,IF(Atletas!M345="Houquan F",217,IF(Atletas!M345="Zuiquan F",218,"")))))))))))))))))))))</f>
        <v/>
      </c>
      <c r="BO349" s="52" t="str">
        <f>IF(Atletas!N345="","",IF(Atletas!W345&lt;&gt;"",10000,0)+IF(Atletas!B345="Feminino",1000,IF(Atletas!B345="Masculino",2000,""))+IF(Atletas!N345="Yang A",301,IF(Atletas!N345="Chen A",30,IF(Atletas!N345="Sun A",303,IF(Atletas!N345="Wu A",304,IF(Atletas!N345="Wu-Hao A",305,IF(Atletas!N345="Outro Taijiquan A",306,IF(Atletas!N345="Yang B",307,IF(Atletas!N345="Chen B",308,IF(Atletas!N345="Sun B",309,IF(Atletas!N345="Wu B",310,IF(Atletas!N345="Wu-Hao B",311,IF(Atletas!N345="Outro Taijiquan B",312,IF(Atletas!N345="Yang C",313,IF(Atletas!N345="Chen C",314,IF(Atletas!N345="Sun C",315,IF(Atletas!N345="Wu C",316,IF(Atletas!N345="Wu-Hao C",317,IF(Atletas!N345="Outro Taijiquan C",318,IF(Atletas!N345="Yang D",319,IF(Atletas!N345="Chen D",320,IF(Atletas!N345="Sun D",321,IF(Atletas!N345="Wu D",322,IF(Atletas!N345="Wu-Hao D",323,IF(Atletas!N345="Outro Taijiquan D",324,IF(Atletas!N345="Yang E",325,IF(Atletas!N345="Chen E",326,IF(Atletas!N345="Sun E",327,IF(Atletas!N345="Wu E",328,IF(Atletas!N345="Wu-Hao E",329,IF(Atletas!N345="Outro Taijiquan E",330,IF(Atletas!N345="Yang F",331,IF(Atletas!N345="Chen F",332,IF(Atletas!N345="Sun F",333,IF(Atletas!N345="Wu F",334,IF(Atletas!N345="Wu-Hao F",335,IF(Atletas!N345="Outro Taijiquan F",336,"")))))))))))))))))))))))))))))))))))))</f>
        <v/>
      </c>
      <c r="BP349" s="52" t="str">
        <f>IF(Atletas!O345="","",IF(Atletas!W345&lt;&gt;"",10000,0)+IF(Atletas!B345="Feminino",1000,IF(Atletas!B345="Masculino",2000,""))+IF(OR(Atletas!O345="Yang 26 A",Atletas!O345="Yang 40 A"),401,IF(OR(Atletas!O345="Chen 25 A",Atletas!O345="Chen 36 A",Atletas!O345="Chen 56 A"),402,IF(Atletas!O345="Sun 73 A",403,IF(Atletas!O345="Wu 45 A",404,IF(Atletas!O345="Wu-Hao 46 A",405,IF(OR(Atletas!O345="Taijiquan 16 A",Atletas!O345="Taijiquan 24 A",Atletas!O345="Taijiquan 32 A",Atletas!O345="Taijiquan 42 A"),406,IF(OR(Atletas!O345="Yang 26 B",Atletas!O345="Yang 40 B"),407,IF(OR(Atletas!O345="Chen 25 B",Atletas!O345="Chen 36 B",Atletas!O345="Chen 56 B"),408,IF(Atletas!O345="Sun 73 B",409,IF(Atletas!O345="Wu 45 B",410,IF(Atletas!O345="Wu-Hao 46 B",411,IF(OR(Atletas!O345="Taijiquan 16 B",Atletas!O345="Taijiquan 24 B",Atletas!O345="Taijiquan 32 B",Atletas!O345="Taijiquan 42 B"),412,IF(OR(Atletas!O345="Yang 26 C",Atletas!O345="Yang 40 C"),413,IF(OR(Atletas!O345="Chen 25 C",Atletas!O345="Chen 36 C",Atletas!O345="Chen 56 C"),414,IF(Atletas!O345="Sun 73 C",415,IF(Atletas!O345="Wu 45 C",416,IF(Atletas!O345="Wu-Hao 46 C",417,IF(OR(Atletas!O345="Taijiquan 16 C",Atletas!O345="Taijiquan 24 C",Atletas!O345="Taijiquan 32 C",Atletas!O345="Taijiquan 42 C"),418,0)))))))))))))))))))</f>
        <v/>
      </c>
      <c r="BQ349" s="52" t="str">
        <f>IF(Atletas!O345="","",IF(Atletas!W345&lt;&gt;"",10000,0)+IF(Atletas!B345="Feminino",1000,IF(Atletas!B345="Masculino",2000,""))+IF(OR(Atletas!O345="Yang 26 D",Atletas!O345="Yang 40 D"),419,IF(OR(Atletas!O345="Chen 25 D",Atletas!O345="Chen 36 D",Atletas!O345="Chen 56 D"),420,IF(Atletas!O345="Sun 73 D",421,IF(Atletas!O345="Wu 45 D",422,IF(Atletas!O345="Wu-Hao 46 D",423,IF(OR(Atletas!O345="Taijiquan 16 D",Atletas!O345="Taijiquan 24 D",Atletas!O345="Taijiquan 32 D",Atletas!O345="Taijiquan 42 D"),424,IF(OR(Atletas!O345="Yang 26 E",Atletas!O345="Yang 40 E"),425,IF(OR(Atletas!O345="Chen 25 E",Atletas!O345="Chen 36 E",Atletas!O345="Chen 56 E"),426,IF(Atletas!O345="Sun 73 E",427,IF(Atletas!O345="Wu 45 E",428,IF(Atletas!O345="Wu-Hao 46 E",429,IF(OR(Atletas!O345="Taijiquan 16 E",Atletas!O345="Taijiquan 24 E",Atletas!O345="Taijiquan 32 E",Atletas!O345="Taijiquan 42 E"),430,IF(OR(Atletas!O345="Yang 26 F",Atletas!O345="Yang 40 F"),431,IF(OR(Atletas!O345="Chen 25 F",Atletas!O345="Chen 36 F",Atletas!O345="Chen 56 F"),432,IF(Atletas!O345="Sun 73 F",433,IF(Atletas!O345="Wu 45 F",434,IF(Atletas!O345="Wu-Hao 46 F",435,IF(OR(Atletas!O345="Taijiquan 16 F",Atletas!O345="Taijiquan 24 F",Atletas!O345="Taijiquan 32 F",Atletas!O345="Taijiquan 42 F"),436,0)))))))))))))))))))</f>
        <v/>
      </c>
      <c r="BR349" s="52" t="str">
        <f>IF(Atletas!P345="","",IF(Atletas!W345&lt;&gt;"",10000,0)+IF(Atletas!B345="Feminino",1000,IF(Atletas!B345="Masculino",2000,""))+IF(Atletas!P345="Xingyiquan A",501,IF(Atletas!P345="Baguazhang A",502,IF(Atletas!P345="Outro Estilo Interno A",503,IF(Atletas!P345="Xingyiquan B",504,IF(Atletas!P345="Baguazhang B",505,IF(Atletas!P345="Outro Estilo Interno B",506,IF(Atletas!P345="Xingyiquan C",507,IF(Atletas!P345="Baguazhang C",508,IF(Atletas!P345="Outro Estilo Interno C",509,IF(Atletas!P345="Xingyiquan D",510,IF(Atletas!P345="Baguazhang D",511,IF(Atletas!P345="Outro Estilo Interno D",512,IF(Atletas!P345="Xingyiquan E",513,IF(Atletas!P345="Baguazhang E",514,IF(Atletas!P345="Outro Estilo Interno E",515,IF(Atletas!P345="Xingyiquan F",516,IF(Atletas!P345="Baguazhang F",517,IF(Atletas!P345="Outro Estilo Interno F",518, "")))))))))))))))))))</f>
        <v/>
      </c>
      <c r="BS349" s="52" t="str">
        <f>IF(Atletas!Q345="","",IF(Atletas!W345&lt;&gt;"",10000,0)+IF(Atletas!B345="Feminino",1000,IF(Atletas!B345="Masculino",2000,""))+IF(Atletas!Q345="Dao A",601,IF(Atletas!Q345="Jian A",602,IF(Atletas!Q345="Bishou A",603,IF(Atletas!Q345="Shan A",604,IF(Atletas!Q345="Outra Arma Curta A",605,IF(Atletas!Q345="Dao B",606,IF(Atletas!Q345="Jian B",607,IF(Atletas!Q345="Bishou B",608,IF(Atletas!Q345="Shan B",609,IF(Atletas!Q345="Outra Arma Curta B",610,IF(Atletas!Q345="Dao C",611,IF(Atletas!Q345="Jian C",612,IF(Atletas!Q345="Bishou C",613,IF(Atletas!Q345="Shan C",614,IF(Atletas!Q345="Outra Arma Curta C",615,IF(Atletas!Q345="Dao D",616,IF(Atletas!Q345="Jian D",617,IF(Atletas!Q345="Bishou D",618,IF(Atletas!Q345="Shan D",619,IF(Atletas!Q345="Outra Arma Curta D",620,IF(Atletas!Q345="Dao E",621,IF(Atletas!Q345="Jian E",622,IF(Atletas!Q345="Bishou E",623,IF(Atletas!Q345="Shan E",624,IF(Atletas!Q345="Outra Arma Curta E",625,IF(Atletas!Q345="Dao F",626,IF(Atletas!Q345="Jian F",627,IF(Atletas!Q345="Bishou F",628,IF(Atletas!Q345="Shan F",629,IF(Atletas!Q345="Outra Arma Curta F",630, "")))))))))))))))))))))))))))))))</f>
        <v/>
      </c>
      <c r="BT349" s="52" t="str">
        <f>IF(Atletas!R345="","",IF(Atletas!W345&lt;&gt;"",10000,0)+IF(Atletas!B345="Feminino",1000,IF(Atletas!B345="Masculino",2000,""))+IF(Atletas!R345="Gun A",701,IF(Atletas!R345="Qiang A",702,IF(Atletas!R345="Pudao / Guandao A",703,IF(Atletas!R345="Outra Arma Longa A",704,IF(Atletas!R345="Gun B",705,IF(Atletas!R345="Qiang B",706,IF(Atletas!R345="Pudao / Guandao B",707,IF(Atletas!R345="Outra Arma Longa B",708,IF(Atletas!R345="Gun C",709,IF(Atletas!R345="Qiang C",710,IF(Atletas!R345="Pudao / Guandao C",711,IF(Atletas!R345="Outra Arma Longa C",712,IF(Atletas!R345="Gun D",713,IF(Atletas!R345="Qiang D",714,IF(Atletas!R345="Pudao / Guandao D",715,IF(Atletas!R345="Outra Arma Longa D",716,IF(Atletas!R345="Gun E",717,IF(Atletas!R345="Qiang E",718,IF(Atletas!R345="Pudao / Guandao E",719,IF(Atletas!R345="Outra Arma Longa E",720,IF(Atletas!R345="Gun F",721,IF(Atletas!R345="Qiang F",722,IF(Atletas!R345="Pudao / Guandao F",723,IF(Atletas!R345="Outra Arma Longa F",724,"")))))))))))))))))))))))))</f>
        <v/>
      </c>
      <c r="BU349" s="52" t="str">
        <f>IF(Atletas!S345="","",IF(Atletas!W345&lt;&gt;"",10000,0)+IF(Atletas!B345="Feminino",1000,IF(Atletas!B345="Masculino",2000,""))+IF(Atletas!S345="Arma Dupla A",801,IF(Atletas!S345="Arma Maleável A",802,IF(Atletas!S345="Arma Dupla B",803,IF(Atletas!S345="Arma Maleável B",804,IF(Atletas!S345="Arma Dupla C",805,IF(Atletas!S345="Arma Maleável C",806,IF(Atletas!S345="Arma Dupla D",807,IF(Atletas!S345="Arma Maleável D",808,IF(Atletas!S345="Arma Dupla E",809,IF(Atletas!S345="Arma Maleável E",810,IF(Atletas!S345="Arma Dupla F",811,IF(Atletas!S345="Arma Maleável F",812, "")))))))))))))</f>
        <v/>
      </c>
      <c r="BV349" s="52" t="str">
        <f>IF(Atletas!T345="","",IF(Atletas!W345&lt;&gt;"",10000,0)+IF(Atletas!B345="Feminino",1000,IF(Atletas!B345="Masculino",2000,""))+IF(Atletas!T345="Taijijian Yang A",901,IF(Atletas!T345="Taijijian Chen A",902,IF(Atletas!T345="Taijijian Sun A",903,IF(Atletas!T345="Taijijian Wu A",904,IF(Atletas!T345="Taijijian Wu-Hao A",905,IF(Atletas!T345="Taijijian 32 A",906,IF(Atletas!T345="Taijijian 42 A",907,IF(Atletas!T345="Taijijian Yang B",908,IF(Atletas!T345="Taijijian Chen B",909,IF(Atletas!T345="Taijijian Sun B",910,IF(Atletas!T345="Taijijian Wu B",911,IF(Atletas!T345="Taijijian Wu-Hao B",912,IF(Atletas!T345="Taijijian 32 B",913,IF(Atletas!T345="Taijijian 42 B",914,IF(Atletas!T345="Taijijian Yang C",915,IF(Atletas!T345="Taijijian Chen C",916,IF(Atletas!T345="Taijijian Sun C",917,IF(Atletas!T345="Taijijian Wu C",918,IF(Atletas!T345="Taijijian Wu-Hao C",919,IF(Atletas!T345="Taijijian 32 C",920,IF(Atletas!T345="Taijijian 42 C",921,IF(Atletas!T345="Taijijian Yang D",922,IF(Atletas!T345="Taijijian Chen D",923,IF(Atletas!T345="Taijijian Sun D",924,IF(Atletas!T345="Taijijian Wu D",925,IF(Atletas!T345="Taijijian Wu-Hao D",926,IF(Atletas!T345="Taijijian 32 D",927,IF(Atletas!T345="Taijijian 42 D",928,IF(Atletas!T345="Taijijian Yang E",929,IF(Atletas!T345="Taijijian Chen E",930,IF(Atletas!T345="Taijijian Sun E",931,IF(Atletas!T345="Taijijian Wu E",932,IF(Atletas!T345="Taijijian Wu-Hao E",933,IF(Atletas!T345="Taijijian 32 E",934,IF(Atletas!T345="Taijijian 42 E",935,IF(Atletas!T345="Taijijian Yang F",936,IF(Atletas!T345="Taijijian Chen F",937,IF(Atletas!T345="Taijijian Sun F",938,IF(Atletas!T345="Taijijian Wu F",939,IF(Atletas!T345="Taijijian Wu-Hao F",940,IF(Atletas!T345="Taijijian 32 F",941,IF(Atletas!T345="Taijijian 42 F",942,"")))))))))))))))))))))))))))))))))))))))))))</f>
        <v/>
      </c>
      <c r="BW349" s="52" t="str">
        <f>IF(Atletas!U345="","",IF(Atletas!W345&lt;&gt;"",10000,0)+IF(Atletas!B345="Feminino",1000,IF(Atletas!B345="Masculino",2000,""))+IF(Atletas!T345="Taijijian 42 F",942,IF(Atletas!U345="Taijidao A",943,IF(Atletas!U345="Taijishan A",944,IF(Atletas!U345="Taijiqiang A",945,IF(Atletas!U345="Taijidao B",946,IF(Atletas!U345="Taijishan B",947,IF(Atletas!U345="Taijiqiang B",948,IF(Atletas!U345="Taijidao C",949,IF(Atletas!U345="Taijishan C",950,IF(Atletas!U345="Taijiqiang C",951,IF(Atletas!U345="Taijidao D",952,IF(Atletas!U345="Taijishan D",953,IF(Atletas!U345="Taijiqiang D",954,IF(Atletas!U345="Taijidao E",955,IF(Atletas!U345="Taijishan E",956,IF(Atletas!U345="Taijiqiang E",957,IF(Atletas!U345="Taijidao F",958,IF(Atletas!U345="Taijishan F",959,IF(Atletas!U345="Taijiqiang F",960))))))))))))))))))))</f>
        <v/>
      </c>
      <c r="BX349" s="72"/>
      <c r="BY349" s="72"/>
      <c r="BZ349" s="72"/>
      <c r="CA349" s="72"/>
      <c r="CB349" s="72" t="str">
        <f>IF(CC349&lt;&gt;"","Taijijian Yang A","")</f>
        <v/>
      </c>
      <c r="CC349" s="64" t="str">
        <f>IF(COUNTIF(BK:BW,11901)&gt;0,COUNTIF(BK:BW,11901),"")</f>
        <v/>
      </c>
      <c r="CD349" s="64" t="str">
        <f>IF(CE349&lt;&gt;"","Taijijian Yang A","")</f>
        <v/>
      </c>
      <c r="CE349" s="64" t="str">
        <f>IF(COUNTIF(BK:BW,12901)&gt;0,COUNTIF(BK:BW,12901),"")</f>
        <v/>
      </c>
      <c r="CF349" s="52" t="str">
        <f xml:space="preserve"> IF(Atletas!V345="","",IF(Atletas!V345="Duilian de Mãos AB - Equipe 1",1,IF(Atletas!V345="Duilian de Mãos AB - Equipe 2",2,IF(Atletas!V345="Duilian de Armas AB - Equipe 1",3,IF(Atletas!V345="Duilian de Armas AB - Equipe 2",4,IF(Atletas!V345="Duilian de Tuishou - Equipe 1",5,IF(Atletas!V345="Duilian de Tuishou - Equipe 2",6,IF(Atletas!V345="Grupo Externo AB - Equipe 1",7,IF(Atletas!V345="Grupo Externo AB - Equipe 2",8,IF(Atletas!V345="Grupo Interno AB - Equipe 1",9,IF(Atletas!V345="Grupo Interno AB - Equipe 2",10,IF(Atletas!V345="Duilian de Mãos CD - Equipe 1",11,IF(Atletas!V345="Duilian de Mãos CD - Equipe 2",12,IF(Atletas!V345="Duilian de Armas CD - Equipe 1",13,IF(Atletas!V345="Duilian de Armas CD - Equipe 2",14,IF(Atletas!V345="Duilian de Tuishou - Equipe 1",15,IF(Atletas!V345="Duilian de Tuishou - Equipe 2",16,IF(Atletas!V345="Grupo Externo CDEF - Equipe 1",17,IF(Atletas!V345="Grupo Externo CDEF - Equipe 2",18,IF(Atletas!V345="Grupo Interno CDEF - Equipe 1",19,IF(Atletas!V345="Grupo Interno CDEF - Equipe 2",20,IF(Atletas!V345="Duilian de Mãos EF - Equipe 1",21,IF(Atletas!V345="Duilian de Mãos EF - Equipe 2",22,IF(Atletas!V345="Duilian de Armas EF - Equipe 1",23,IF(Atletas!V345="Duilian de Armas EF - Equipe 2",24,IF(Atletas!V345="Duilian de Tuishou - Equipe 1",25,IF(Atletas!V345="Duilian de Tuishou - Equipe 2",26,"")))))))))))))))))))))))))))</f>
        <v/>
      </c>
    </row>
    <row r="350" spans="36:84">
      <c r="AJ350" s="46" t="str">
        <f>IF(Atletas!D346="","",IF(Atletas!B346="Feminino",100,IF(Atletas!B346="Masculino",200,""))+(IF(Atletas!D346="Infantil 39kg",1,IF(Atletas!D346="Infantil 42kg",2,IF(Atletas!D346="Infantil 45kg",3,IF(Atletas!D346="Infantil 48kg",4,IF(Atletas!D346="Infantil 52kg",5,IF(Atletas!D346="Infantil 56kg",6,IF(Atletas!D346="Infantil 60kg",7,IF(Atletas!D346="Juvenil 48kg",8,IF(Atletas!D346="Juvenil 52kg",9,IF(Atletas!D346="Juvenil 56kg",10,IF(Atletas!D346="Juvenil 60kg",11,IF(Atletas!D346="Juvenil 65kg",12,IF(Atletas!D346="Juvenil 70kg",13,IF(Atletas!D346="Juvenil 75kg",14,IF(Atletas!D346="Juvenil 80kg",15,IF(Atletas!D346="Adulto 48kg",16,IF(Atletas!D346="Adulto 52kg",17,IF(Atletas!D346="Adulto 56kg",18,IF(Atletas!D346="Adulto 60kg",19,IF(Atletas!D346="Adulto 65kg",20,IF(Atletas!D346="Adulto 70kg",21,IF(Atletas!D346="Adulto 75kg",22,IF(Atletas!D346="Adulto 80kg",23,IF(Atletas!D346="Adulto 85kg",24,IF(Atletas!D346="Adulto 90kg",25,IF(Atletas!D346="Adulto +90kg",26,""))))))))))))))))))))))))))))</f>
        <v/>
      </c>
      <c r="AO350" s="10" t="str">
        <f>IF(Atletas!E346="","",IF(Atletas!B346="Feminino",100,IF(Atletas!B346="Masculino",200,""))+(IF(Atletas!E346="Juvenil 44kg",1,IF(Atletas!E346="Juvenil 48kg",2,IF(Atletas!E346="Juvenil 52kg",3,IF(Atletas!E346="Juvenil 56kg",4,IF(Atletas!E346="Juvenil 60kg",5,IF(Atletas!E346="Juvenil 65kg",6,IF(Atletas!E346="Juvenil 70kg",7,IF(Atletas!E346="Juvenil 75kg",8,IF(Atletas!E346="Juvenil 82kg",9,IF(Atletas!E346="Juvenil 90kg",10,IF(Atletas!E346="Juvenil 100kg",11,IF(Atletas!E346="Adulto 48kg",12,IF(Atletas!E346="Adulto 52kg",13,IF(Atletas!E346="Adulto 56kg",14,IF(Atletas!E346="Adulto 60kg",15,IF(Atletas!E346="Adulto 65kg",16,IF(Atletas!E346="Adulto 70kg",17,IF(Atletas!E346="Adulto 75kg",18,IF(Atletas!E346="Adulto 82kg",19,IF(Atletas!E346="Adulto 90kg",20,IF(Atletas!E346="Adulto 100kg",21,IF(Atletas!E346="Adulto +100kg",22,""))))))))))))))))))))))))</f>
        <v/>
      </c>
      <c r="AT350" s="10" t="str">
        <f>IF(Atletas!F346="","",IF(Atletas!B346="Feminino",100,IF(Atletas!B346="Masculino",200,""))+(IF(Atletas!F346="Adulto 48kg",1,IF(Atletas!F346="Adulto 56kg",2,IF(Atletas!F346="Adulto 65kg",3,IF(Atletas!F346="Adulto 75kg",4,IF(Atletas!F346="Adulto +75kg",5,IF(Atletas!F346="Adulto 52kg",6,IF(Atletas!F346="Adulto 60kg",7,IF(Atletas!F346="Adulto 70kg",8,IF(Atletas!F346="Adulto 80kg",9,IF(Atletas!F346="Adulto 90kg",10,IF(Atletas!F346="Adulto +90kg",11,"")))))))))))))</f>
        <v/>
      </c>
      <c r="AY350" s="46" t="str">
        <f>IF(Atletas!G346="","",IF(Atletas!B346="Feminino",100,IF(Atletas!B346="Masculino",200,""))+(IF(Atletas!G346="Changquan Mirim",1,IF(Atletas!G346="Nanquan Mirim",2,IF(Atletas!G346="Taijiquan Mirim",3,IF(Atletas!G346="Changquan Grupo C",4,IF(Atletas!G346="Nanquan Grupo C",5,IF(Atletas!G346="Taijiquan Grupo C",6,IF(Atletas!G346="Changquan Grupo B",7,IF(Atletas!G346="Nanquan Grupo B",8,IF(Atletas!G346="Taijiquan Grupo B",9,IF(Atletas!G346="Changquan Grupo A",10,IF(Atletas!G346="Nanquan Grupo A",11,IF(Atletas!G346="Taijiquan Grupo A",12,IF(Atletas!G346="Changquan Opcional",13,IF(Atletas!G346="Nanquan Opcional",14,IF(Atletas!G346="Taijiquan Opcional",15,IF(Atletas!G346="Changquan Adulto",16,IF(Atletas!G346="Nanquan Adulto",17,IF(Atletas!G346="Taijiquan Adulto",18,""))))))))))))))))))))</f>
        <v/>
      </c>
      <c r="AZ350" s="46" t="str">
        <f>IF(Atletas!H346="","",IF(Atletas!B346="Feminino",100,IF(Atletas!B346="Masculino",200,""))+(IF(Atletas!H346="Daoshu Mirim",19,IF(Atletas!H346="Jianshu Mirim",20,IF(Atletas!H346="Nandao Mirim",21,IF(Atletas!H346="Taijijian Mirim",22,IF(Atletas!H346="Daoshu Grupo C",23,IF(Atletas!H346="Jianshu Grupo C",24,IF(Atletas!H346="Nandao Grupo C",25,IF(Atletas!H346="Taijijian Grupo C",26,IF(Atletas!H346="Daoshu Grupo B",27,IF(Atletas!H346="Jianshu Grupo B",28,IF(Atletas!H346="Nandao Grupo B",29,IF(Atletas!H346="Taijijian Grupo B",30,IF(Atletas!H346="Daoshu Grupo A",31,IF(Atletas!H346="Jianshu Grupo A",32,IF(Atletas!H346="Nandao Grupo A",33,IF(Atletas!H346="Taijijian Grupo A",34,IF(Atletas!H346="Daoshu Opcional",35,IF(Atletas!H346="Jianshu Opcional",36,IF(Atletas!H346="Nandao Opcional",37,IF(Atletas!H346="Taijijian Opcional",38,IF(Atletas!H346="Daoshu Adulto",39,IF(Atletas!H346="Jianshu Adulto",40,IF(Atletas!H346="Nandao Adulto",41,IF(Atletas!H346="Taijijian Adulto",42,""))))))))))))))))))))))))))</f>
        <v/>
      </c>
      <c r="BA350" s="46" t="str">
        <f>IF(Atletas!I346="","",IF(Atletas!B346="Feminino",100,IF(Atletas!B346="Masculino",200,""))+(IF(Atletas!I346="Gunshu Mirim",43,IF(Atletas!I346="Qiangshu Mirim",44,IF(Atletas!I346="Nangun Mirim",45,IF(Atletas!I346="Gunshu Grupo C",46,IF(Atletas!I346="Qiangshu Grupo C",47,IF(Atletas!I346="Nangun Grupo C",48,IF(Atletas!I346="Gunshu Grupo B",49,IF(Atletas!I346="Qiangshu Grupo B",50,IF(Atletas!I346="Nangun Grupo B",51,IF(Atletas!I346="Gunshu Grupo A",52,IF(Atletas!I346="Qiangshu Grupo A",53,IF(Atletas!I346="Nangun Grupo A",54,IF(Atletas!I346="Gunshu Opcional",55,IF(Atletas!I346="Qiangshu Opcional",56,IF(Atletas!I346="Nangun Opcional",57,IF(Atletas!I346="Gunshu Adulto",58,IF(Atletas!I346="Qiangshu Adulto",59,IF(Atletas!I346="Nangun Adulto",60,""))))))))))))))))))))</f>
        <v/>
      </c>
      <c r="BF350" s="52" t="str">
        <f>IF(Atletas!J346="","",IF(Atletas!B346="Feminino",100,IF(Atletas!B346="Masculino",200,""))+(IF(Atletas!J346="Equipe 1 Grupo B",1,IF(Atletas!J346="Equipe 2 Grupo B",2,IF(Atletas!J346="Equipe 1 Grupo A",3,IF(Atletas!J346="Equipe 2 Grupo A",4,IF(Atletas!J346="Equipe 1 Adulto",5,IF(Atletas!J346="Equipe 2 Adulto",6,""))))))))</f>
        <v/>
      </c>
      <c r="BK350" s="52" t="str">
        <f>IF(Atletas!K346="","",IF(Atletas!W346&lt;&gt;"",10000,0)+(IF(Atletas!B346="Feminino",1000,IF(Atletas!B346="Masculino",2000,""))+IF(Atletas!K346="Choylayfut A",1,IF(Atletas!K346="Hunggar A",2,IF(Atletas!K346="Wuzuquan A",3,IF(Atletas!K346="Wingchun A",4,IF(Atletas!K346="Outra Mão de Sul A",5,IF(Atletas!K346="Choylayfut B",6,IF(Atletas!K346="Hunggar B",7,IF(Atletas!K346="Wuzuquan B",8,IF(Atletas!K346="Wingchun B",9,IF(Atletas!K346="Outra Mão de Sul B",10,IF(Atletas!K346="Choylayfut C",11,IF(Atletas!K346="Hunggar C",12,IF(Atletas!K346="Wuzuquan C",13,IF(Atletas!K346="Wingchun C",14,IF(Atletas!K346="Outra Mão de Sul C",15,IF(Atletas!K346="Choylayfut D",16,IF(Atletas!K346="Hunggar D",17,IF(Atletas!K346="Wuzuquan D",18,IF(Atletas!K346="Wingchun D",19,IF(Atletas!K346="Outra Mão de Sul D",20,IF(Atletas!K346="Choylayfut E",21,IF(Atletas!K346="Hunggar E",22,IF(Atletas!K346="Wuzuquan E",23,IF(Atletas!K346="Wingchun E",24,IF(Atletas!K346="Outra Mão de Sul E",25,IF(Atletas!K346="Choylayfut F",26,IF(Atletas!K346="Hunggar F",27,IF(Atletas!K346="Wuzuquan F",28,IF(Atletas!K346="Wingchun F",29,IF(Atletas!K346="Outra Mão de Sul F",30,""))))))))))))))))))))))))))))))))</f>
        <v/>
      </c>
      <c r="BL350" s="52" t="str">
        <f>IF(Atletas!L346="","",IF(Atletas!W346&lt;&gt;"",10000,0)+(IF(Atletas!B346="Feminino",1000,IF(Atletas!B346="Masculino",2000,""))+(IF(Atletas!L346="Chaquan A",101,IF(Atletas!L346="Emeiquan A",102,IF(Atletas!L346="Fanziquan A",103,IF(Atletas!L346="Huaquan A",104,IF(Atletas!L346="Hongquan A",105,IF(Atletas!L346="Paochui A",106,IF(Atletas!L346="Piguaquan A",107,IF(Atletas!L346="Shaolinquan A",108,IF(Atletas!L346="Tanglangquan A",109,IF(Atletas!L346="Yinzhaophai A",110,IF(Atletas!L346="Tongbeiquan A",111,IF(Atletas!L346="Wudangquan A",112,IF(Atletas!L346="Outros Estilos A",113,IF(Atletas!L346="Chaquan B",114,IF(Atletas!L346="Emeiquan B",115,IF(Atletas!L346="Fanziquan B",116,IF(Atletas!L346="Huaquan B",117,IF(Atletas!L346="Hongquan B",118,IF(Atletas!L346="Paochui B",119,IF(Atletas!L346="Piguaquan B",120,IF(Atletas!L346="Shaolinquan B",121,IF(Atletas!L346="Tanglangquan B",122,IF(Atletas!L346="Yinzhaophai B",123,IF(Atletas!L346="Tongbeiquan B",124,IF(Atletas!L346="Wudangquan B",125,IF(Atletas!L346="Outros Estilos B",126,IF(Atletas!L346="Chaquan C",127,IF(Atletas!L346="Emeiquan C",128,IF(Atletas!L346="Fanziquan C",129,IF(Atletas!L346="Huaquan C",130,IF(Atletas!L346="Hongquan C",131,IF(Atletas!L346="Paochui C",132,IF(Atletas!L346="Piguaquan C",133,IF(Atletas!L346="Shaolinquan C",134,IF(Atletas!L346="Tanglangquan C",135,IF(Atletas!L346="Yinzhaophai C",136,IF(Atletas!L346="Tongbeiquan C",137,IF(Atletas!L346="Wudangquan C",138,IF(Atletas!L346="Outros Estilos C",139,0))))))))))))))))))))))))))))))))))))))))))</f>
        <v/>
      </c>
      <c r="BM350" s="52" t="str">
        <f>IF(Atletas!L346="","",IF(Atletas!W346&lt;&gt;"",10000,0)+(IF(Atletas!B346="Feminino",1000,IF(Atletas!B346="Masculino",2000,""))+(IF(Atletas!L346="Chaquan D",140,IF(Atletas!L346="Emeiquan D",141,IF(Atletas!L346="Fanziquan D",142,IF(Atletas!L346="Huaquan D",143,IF(Atletas!L346="Hongquan D",144,IF(Atletas!L346="Paochui D",145,IF(Atletas!L346="Piguaquan D",146,IF(Atletas!L346="Shaolinquan D",147,IF(Atletas!L346="Tanglangquan D",148,IF(Atletas!L346="Yinzhaophai D",149,IF(Atletas!L346="Tongbeiquan D",150,IF(Atletas!L346="Wudangquan D",151,IF(Atletas!L346="Outros Estilos D",152,IF(Atletas!L346="Chaquan E",153,IF(Atletas!L346="Emeiquan E",154,IF(Atletas!L346="Fanziquan E",155,IF(Atletas!L346="Huaquan E",156,IF(Atletas!L346="Hongquan E",157,IF(Atletas!L346="Paochui E",158,IF(Atletas!L346="Piguaquan E",159,IF(Atletas!L346="Shaolinquan E",160,IF(Atletas!L346="Tanglangquan E",161,IF(Atletas!L346="Yinzhaophai E",162,IF(Atletas!L346="Tongbeiquan E",163,IF(Atletas!L346="Wudangquan E",164,IF(Atletas!L346="Outros Estilos E",165,IF(Atletas!L346="Chaquan F",166,IF(Atletas!L346="Emeiquan F",167,IF(Atletas!L346="Fanziquan F",168,IF(Atletas!L346="Huaquan F",169,IF(Atletas!L346="Hongquan F",170,IF(Atletas!L346="Paochui F",171,IF(Atletas!L346="Piguaquan F",172,IF(Atletas!L346="Shaolinquan F",173,IF(Atletas!L346="Tanglangquan F",174,IF(Atletas!L346="Yinzhaophai F",175,IF(Atletas!L346="Tongbeiquan F",176,IF(Atletas!L346="Wudangquan F",177,IF(Atletas!L346="Outros Estilos F",178,0))))))))))))))))))))))))))))))))))))))))))</f>
        <v/>
      </c>
      <c r="BN350" s="52" t="str">
        <f>IF(Atletas!M346="","",IF(Atletas!W346&lt;&gt;"",10000,0)+(IF(Atletas!B346="Feminino",1000,IF(Atletas!B346="Masculino",2000,""))+(IF(Atletas!M346="Ditangquan A",201,IF(Atletas!M346="Houquan A",202,IF(Atletas!M346="Zuiquan A",203,IF(Atletas!M346="Ditangquan B",204,IF(Atletas!M346="Houquan B",205,IF(Atletas!M346="Zuiquan B",206,IF(Atletas!M346="Ditangquan C",207,IF(Atletas!M346="Houquan C",208,IF(Atletas!M346="Zuiquan C",209,IF(Atletas!M346="Ditangquan D",210,IF(Atletas!M346="Houquan D",211,IF(Atletas!M346="Zuiquan D",212,IF(Atletas!M346="Ditangquan E",213,IF(Atletas!M346="Houquan E",214,IF(Atletas!M346="Zuiquan E",215,IF(Atletas!M346="Ditangquan F",216,IF(Atletas!M346="Houquan F",217,IF(Atletas!M346="Zuiquan F",218,"")))))))))))))))))))))</f>
        <v/>
      </c>
      <c r="BO350" s="52" t="str">
        <f>IF(Atletas!N346="","",IF(Atletas!W346&lt;&gt;"",10000,0)+IF(Atletas!B346="Feminino",1000,IF(Atletas!B346="Masculino",2000,""))+IF(Atletas!N346="Yang A",301,IF(Atletas!N346="Chen A",30,IF(Atletas!N346="Sun A",303,IF(Atletas!N346="Wu A",304,IF(Atletas!N346="Wu-Hao A",305,IF(Atletas!N346="Outro Taijiquan A",306,IF(Atletas!N346="Yang B",307,IF(Atletas!N346="Chen B",308,IF(Atletas!N346="Sun B",309,IF(Atletas!N346="Wu B",310,IF(Atletas!N346="Wu-Hao B",311,IF(Atletas!N346="Outro Taijiquan B",312,IF(Atletas!N346="Yang C",313,IF(Atletas!N346="Chen C",314,IF(Atletas!N346="Sun C",315,IF(Atletas!N346="Wu C",316,IF(Atletas!N346="Wu-Hao C",317,IF(Atletas!N346="Outro Taijiquan C",318,IF(Atletas!N346="Yang D",319,IF(Atletas!N346="Chen D",320,IF(Atletas!N346="Sun D",321,IF(Atletas!N346="Wu D",322,IF(Atletas!N346="Wu-Hao D",323,IF(Atletas!N346="Outro Taijiquan D",324,IF(Atletas!N346="Yang E",325,IF(Atletas!N346="Chen E",326,IF(Atletas!N346="Sun E",327,IF(Atletas!N346="Wu E",328,IF(Atletas!N346="Wu-Hao E",329,IF(Atletas!N346="Outro Taijiquan E",330,IF(Atletas!N346="Yang F",331,IF(Atletas!N346="Chen F",332,IF(Atletas!N346="Sun F",333,IF(Atletas!N346="Wu F",334,IF(Atletas!N346="Wu-Hao F",335,IF(Atletas!N346="Outro Taijiquan F",336,"")))))))))))))))))))))))))))))))))))))</f>
        <v/>
      </c>
      <c r="BP350" s="52" t="str">
        <f>IF(Atletas!O346="","",IF(Atletas!W346&lt;&gt;"",10000,0)+IF(Atletas!B346="Feminino",1000,IF(Atletas!B346="Masculino",2000,""))+IF(OR(Atletas!O346="Yang 26 A",Atletas!O346="Yang 40 A"),401,IF(OR(Atletas!O346="Chen 25 A",Atletas!O346="Chen 36 A",Atletas!O346="Chen 56 A"),402,IF(Atletas!O346="Sun 73 A",403,IF(Atletas!O346="Wu 45 A",404,IF(Atletas!O346="Wu-Hao 46 A",405,IF(OR(Atletas!O346="Taijiquan 16 A",Atletas!O346="Taijiquan 24 A",Atletas!O346="Taijiquan 32 A",Atletas!O346="Taijiquan 42 A"),406,IF(OR(Atletas!O346="Yang 26 B",Atletas!O346="Yang 40 B"),407,IF(OR(Atletas!O346="Chen 25 B",Atletas!O346="Chen 36 B",Atletas!O346="Chen 56 B"),408,IF(Atletas!O346="Sun 73 B",409,IF(Atletas!O346="Wu 45 B",410,IF(Atletas!O346="Wu-Hao 46 B",411,IF(OR(Atletas!O346="Taijiquan 16 B",Atletas!O346="Taijiquan 24 B",Atletas!O346="Taijiquan 32 B",Atletas!O346="Taijiquan 42 B"),412,IF(OR(Atletas!O346="Yang 26 C",Atletas!O346="Yang 40 C"),413,IF(OR(Atletas!O346="Chen 25 C",Atletas!O346="Chen 36 C",Atletas!O346="Chen 56 C"),414,IF(Atletas!O346="Sun 73 C",415,IF(Atletas!O346="Wu 45 C",416,IF(Atletas!O346="Wu-Hao 46 C",417,IF(OR(Atletas!O346="Taijiquan 16 C",Atletas!O346="Taijiquan 24 C",Atletas!O346="Taijiquan 32 C",Atletas!O346="Taijiquan 42 C"),418,0)))))))))))))))))))</f>
        <v/>
      </c>
      <c r="BQ350" s="52" t="str">
        <f>IF(Atletas!O346="","",IF(Atletas!W346&lt;&gt;"",10000,0)+IF(Atletas!B346="Feminino",1000,IF(Atletas!B346="Masculino",2000,""))+IF(OR(Atletas!O346="Yang 26 D",Atletas!O346="Yang 40 D"),419,IF(OR(Atletas!O346="Chen 25 D",Atletas!O346="Chen 36 D",Atletas!O346="Chen 56 D"),420,IF(Atletas!O346="Sun 73 D",421,IF(Atletas!O346="Wu 45 D",422,IF(Atletas!O346="Wu-Hao 46 D",423,IF(OR(Atletas!O346="Taijiquan 16 D",Atletas!O346="Taijiquan 24 D",Atletas!O346="Taijiquan 32 D",Atletas!O346="Taijiquan 42 D"),424,IF(OR(Atletas!O346="Yang 26 E",Atletas!O346="Yang 40 E"),425,IF(OR(Atletas!O346="Chen 25 E",Atletas!O346="Chen 36 E",Atletas!O346="Chen 56 E"),426,IF(Atletas!O346="Sun 73 E",427,IF(Atletas!O346="Wu 45 E",428,IF(Atletas!O346="Wu-Hao 46 E",429,IF(OR(Atletas!O346="Taijiquan 16 E",Atletas!O346="Taijiquan 24 E",Atletas!O346="Taijiquan 32 E",Atletas!O346="Taijiquan 42 E"),430,IF(OR(Atletas!O346="Yang 26 F",Atletas!O346="Yang 40 F"),431,IF(OR(Atletas!O346="Chen 25 F",Atletas!O346="Chen 36 F",Atletas!O346="Chen 56 F"),432,IF(Atletas!O346="Sun 73 F",433,IF(Atletas!O346="Wu 45 F",434,IF(Atletas!O346="Wu-Hao 46 F",435,IF(OR(Atletas!O346="Taijiquan 16 F",Atletas!O346="Taijiquan 24 F",Atletas!O346="Taijiquan 32 F",Atletas!O346="Taijiquan 42 F"),436,0)))))))))))))))))))</f>
        <v/>
      </c>
      <c r="BR350" s="52" t="str">
        <f>IF(Atletas!P346="","",IF(Atletas!W346&lt;&gt;"",10000,0)+IF(Atletas!B346="Feminino",1000,IF(Atletas!B346="Masculino",2000,""))+IF(Atletas!P346="Xingyiquan A",501,IF(Atletas!P346="Baguazhang A",502,IF(Atletas!P346="Outro Estilo Interno A",503,IF(Atletas!P346="Xingyiquan B",504,IF(Atletas!P346="Baguazhang B",505,IF(Atletas!P346="Outro Estilo Interno B",506,IF(Atletas!P346="Xingyiquan C",507,IF(Atletas!P346="Baguazhang C",508,IF(Atletas!P346="Outro Estilo Interno C",509,IF(Atletas!P346="Xingyiquan D",510,IF(Atletas!P346="Baguazhang D",511,IF(Atletas!P346="Outro Estilo Interno D",512,IF(Atletas!P346="Xingyiquan E",513,IF(Atletas!P346="Baguazhang E",514,IF(Atletas!P346="Outro Estilo Interno E",515,IF(Atletas!P346="Xingyiquan F",516,IF(Atletas!P346="Baguazhang F",517,IF(Atletas!P346="Outro Estilo Interno F",518, "")))))))))))))))))))</f>
        <v/>
      </c>
      <c r="BS350" s="52" t="str">
        <f>IF(Atletas!Q346="","",IF(Atletas!W346&lt;&gt;"",10000,0)+IF(Atletas!B346="Feminino",1000,IF(Atletas!B346="Masculino",2000,""))+IF(Atletas!Q346="Dao A",601,IF(Atletas!Q346="Jian A",602,IF(Atletas!Q346="Bishou A",603,IF(Atletas!Q346="Shan A",604,IF(Atletas!Q346="Outra Arma Curta A",605,IF(Atletas!Q346="Dao B",606,IF(Atletas!Q346="Jian B",607,IF(Atletas!Q346="Bishou B",608,IF(Atletas!Q346="Shan B",609,IF(Atletas!Q346="Outra Arma Curta B",610,IF(Atletas!Q346="Dao C",611,IF(Atletas!Q346="Jian C",612,IF(Atletas!Q346="Bishou C",613,IF(Atletas!Q346="Shan C",614,IF(Atletas!Q346="Outra Arma Curta C",615,IF(Atletas!Q346="Dao D",616,IF(Atletas!Q346="Jian D",617,IF(Atletas!Q346="Bishou D",618,IF(Atletas!Q346="Shan D",619,IF(Atletas!Q346="Outra Arma Curta D",620,IF(Atletas!Q346="Dao E",621,IF(Atletas!Q346="Jian E",622,IF(Atletas!Q346="Bishou E",623,IF(Atletas!Q346="Shan E",624,IF(Atletas!Q346="Outra Arma Curta E",625,IF(Atletas!Q346="Dao F",626,IF(Atletas!Q346="Jian F",627,IF(Atletas!Q346="Bishou F",628,IF(Atletas!Q346="Shan F",629,IF(Atletas!Q346="Outra Arma Curta F",630, "")))))))))))))))))))))))))))))))</f>
        <v/>
      </c>
      <c r="BT350" s="52" t="str">
        <f>IF(Atletas!R346="","",IF(Atletas!W346&lt;&gt;"",10000,0)+IF(Atletas!B346="Feminino",1000,IF(Atletas!B346="Masculino",2000,""))+IF(Atletas!R346="Gun A",701,IF(Atletas!R346="Qiang A",702,IF(Atletas!R346="Pudao / Guandao A",703,IF(Atletas!R346="Outra Arma Longa A",704,IF(Atletas!R346="Gun B",705,IF(Atletas!R346="Qiang B",706,IF(Atletas!R346="Pudao / Guandao B",707,IF(Atletas!R346="Outra Arma Longa B",708,IF(Atletas!R346="Gun C",709,IF(Atletas!R346="Qiang C",710,IF(Atletas!R346="Pudao / Guandao C",711,IF(Atletas!R346="Outra Arma Longa C",712,IF(Atletas!R346="Gun D",713,IF(Atletas!R346="Qiang D",714,IF(Atletas!R346="Pudao / Guandao D",715,IF(Atletas!R346="Outra Arma Longa D",716,IF(Atletas!R346="Gun E",717,IF(Atletas!R346="Qiang E",718,IF(Atletas!R346="Pudao / Guandao E",719,IF(Atletas!R346="Outra Arma Longa E",720,IF(Atletas!R346="Gun F",721,IF(Atletas!R346="Qiang F",722,IF(Atletas!R346="Pudao / Guandao F",723,IF(Atletas!R346="Outra Arma Longa F",724,"")))))))))))))))))))))))))</f>
        <v/>
      </c>
      <c r="BU350" s="52" t="str">
        <f>IF(Atletas!S346="","",IF(Atletas!W346&lt;&gt;"",10000,0)+IF(Atletas!B346="Feminino",1000,IF(Atletas!B346="Masculino",2000,""))+IF(Atletas!S346="Arma Dupla A",801,IF(Atletas!S346="Arma Maleável A",802,IF(Atletas!S346="Arma Dupla B",803,IF(Atletas!S346="Arma Maleável B",804,IF(Atletas!S346="Arma Dupla C",805,IF(Atletas!S346="Arma Maleável C",806,IF(Atletas!S346="Arma Dupla D",807,IF(Atletas!S346="Arma Maleável D",808,IF(Atletas!S346="Arma Dupla E",809,IF(Atletas!S346="Arma Maleável E",810,IF(Atletas!S346="Arma Dupla F",811,IF(Atletas!S346="Arma Maleável F",812, "")))))))))))))</f>
        <v/>
      </c>
      <c r="BV350" s="52" t="str">
        <f>IF(Atletas!T346="","",IF(Atletas!W346&lt;&gt;"",10000,0)+IF(Atletas!B346="Feminino",1000,IF(Atletas!B346="Masculino",2000,""))+IF(Atletas!T346="Taijijian Yang A",901,IF(Atletas!T346="Taijijian Chen A",902,IF(Atletas!T346="Taijijian Sun A",903,IF(Atletas!T346="Taijijian Wu A",904,IF(Atletas!T346="Taijijian Wu-Hao A",905,IF(Atletas!T346="Taijijian 32 A",906,IF(Atletas!T346="Taijijian 42 A",907,IF(Atletas!T346="Taijijian Yang B",908,IF(Atletas!T346="Taijijian Chen B",909,IF(Atletas!T346="Taijijian Sun B",910,IF(Atletas!T346="Taijijian Wu B",911,IF(Atletas!T346="Taijijian Wu-Hao B",912,IF(Atletas!T346="Taijijian 32 B",913,IF(Atletas!T346="Taijijian 42 B",914,IF(Atletas!T346="Taijijian Yang C",915,IF(Atletas!T346="Taijijian Chen C",916,IF(Atletas!T346="Taijijian Sun C",917,IF(Atletas!T346="Taijijian Wu C",918,IF(Atletas!T346="Taijijian Wu-Hao C",919,IF(Atletas!T346="Taijijian 32 C",920,IF(Atletas!T346="Taijijian 42 C",921,IF(Atletas!T346="Taijijian Yang D",922,IF(Atletas!T346="Taijijian Chen D",923,IF(Atletas!T346="Taijijian Sun D",924,IF(Atletas!T346="Taijijian Wu D",925,IF(Atletas!T346="Taijijian Wu-Hao D",926,IF(Atletas!T346="Taijijian 32 D",927,IF(Atletas!T346="Taijijian 42 D",928,IF(Atletas!T346="Taijijian Yang E",929,IF(Atletas!T346="Taijijian Chen E",930,IF(Atletas!T346="Taijijian Sun E",931,IF(Atletas!T346="Taijijian Wu E",932,IF(Atletas!T346="Taijijian Wu-Hao E",933,IF(Atletas!T346="Taijijian 32 E",934,IF(Atletas!T346="Taijijian 42 E",935,IF(Atletas!T346="Taijijian Yang F",936,IF(Atletas!T346="Taijijian Chen F",937,IF(Atletas!T346="Taijijian Sun F",938,IF(Atletas!T346="Taijijian Wu F",939,IF(Atletas!T346="Taijijian Wu-Hao F",940,IF(Atletas!T346="Taijijian 32 F",941,IF(Atletas!T346="Taijijian 42 F",942,"")))))))))))))))))))))))))))))))))))))))))))</f>
        <v/>
      </c>
      <c r="BW350" s="52" t="str">
        <f>IF(Atletas!U346="","",IF(Atletas!W346&lt;&gt;"",10000,0)+IF(Atletas!B346="Feminino",1000,IF(Atletas!B346="Masculino",2000,""))+IF(Atletas!T346="Taijijian 42 F",942,IF(Atletas!U346="Taijidao A",943,IF(Atletas!U346="Taijishan A",944,IF(Atletas!U346="Taijiqiang A",945,IF(Atletas!U346="Taijidao B",946,IF(Atletas!U346="Taijishan B",947,IF(Atletas!U346="Taijiqiang B",948,IF(Atletas!U346="Taijidao C",949,IF(Atletas!U346="Taijishan C",950,IF(Atletas!U346="Taijiqiang C",951,IF(Atletas!U346="Taijidao D",952,IF(Atletas!U346="Taijishan D",953,IF(Atletas!U346="Taijiqiang D",954,IF(Atletas!U346="Taijidao E",955,IF(Atletas!U346="Taijishan E",956,IF(Atletas!U346="Taijiqiang E",957,IF(Atletas!U346="Taijidao F",958,IF(Atletas!U346="Taijishan F",959,IF(Atletas!U346="Taijiqiang F",960))))))))))))))))))))</f>
        <v/>
      </c>
      <c r="BX350" s="72"/>
      <c r="BY350" s="72"/>
      <c r="BZ350" s="72"/>
      <c r="CA350" s="72"/>
      <c r="CB350" s="72" t="str">
        <f>IF(CC350&lt;&gt;"","Taijijian Chen A","")</f>
        <v/>
      </c>
      <c r="CC350" s="64" t="str">
        <f>IF(COUNTIF(BK:BW,11902)&gt;0,COUNTIF(BK:BW,11902),"")</f>
        <v/>
      </c>
      <c r="CD350" s="64" t="str">
        <f>IF(CE350&lt;&gt;"","Taijijian Chen A","")</f>
        <v/>
      </c>
      <c r="CE350" s="64" t="str">
        <f>IF(COUNTIF(BK:BW,12902)&gt;0,COUNTIF(BK:BW,12902),"")</f>
        <v/>
      </c>
      <c r="CF350" s="52" t="str">
        <f xml:space="preserve"> IF(Atletas!V346="","",IF(Atletas!V346="Duilian de Mãos AB - Equipe 1",1,IF(Atletas!V346="Duilian de Mãos AB - Equipe 2",2,IF(Atletas!V346="Duilian de Armas AB - Equipe 1",3,IF(Atletas!V346="Duilian de Armas AB - Equipe 2",4,IF(Atletas!V346="Duilian de Tuishou - Equipe 1",5,IF(Atletas!V346="Duilian de Tuishou - Equipe 2",6,IF(Atletas!V346="Grupo Externo AB - Equipe 1",7,IF(Atletas!V346="Grupo Externo AB - Equipe 2",8,IF(Atletas!V346="Grupo Interno AB - Equipe 1",9,IF(Atletas!V346="Grupo Interno AB - Equipe 2",10,IF(Atletas!V346="Duilian de Mãos CD - Equipe 1",11,IF(Atletas!V346="Duilian de Mãos CD - Equipe 2",12,IF(Atletas!V346="Duilian de Armas CD - Equipe 1",13,IF(Atletas!V346="Duilian de Armas CD - Equipe 2",14,IF(Atletas!V346="Duilian de Tuishou - Equipe 1",15,IF(Atletas!V346="Duilian de Tuishou - Equipe 2",16,IF(Atletas!V346="Grupo Externo CDEF - Equipe 1",17,IF(Atletas!V346="Grupo Externo CDEF - Equipe 2",18,IF(Atletas!V346="Grupo Interno CDEF - Equipe 1",19,IF(Atletas!V346="Grupo Interno CDEF - Equipe 2",20,IF(Atletas!V346="Duilian de Mãos EF - Equipe 1",21,IF(Atletas!V346="Duilian de Mãos EF - Equipe 2",22,IF(Atletas!V346="Duilian de Armas EF - Equipe 1",23,IF(Atletas!V346="Duilian de Armas EF - Equipe 2",24,IF(Atletas!V346="Duilian de Tuishou - Equipe 1",25,IF(Atletas!V346="Duilian de Tuishou - Equipe 2",26,"")))))))))))))))))))))))))))</f>
        <v/>
      </c>
    </row>
    <row r="351" spans="36:84">
      <c r="AJ351" s="46" t="str">
        <f>IF(Atletas!D347="","",IF(Atletas!B347="Feminino",100,IF(Atletas!B347="Masculino",200,""))+(IF(Atletas!D347="Infantil 39kg",1,IF(Atletas!D347="Infantil 42kg",2,IF(Atletas!D347="Infantil 45kg",3,IF(Atletas!D347="Infantil 48kg",4,IF(Atletas!D347="Infantil 52kg",5,IF(Atletas!D347="Infantil 56kg",6,IF(Atletas!D347="Infantil 60kg",7,IF(Atletas!D347="Juvenil 48kg",8,IF(Atletas!D347="Juvenil 52kg",9,IF(Atletas!D347="Juvenil 56kg",10,IF(Atletas!D347="Juvenil 60kg",11,IF(Atletas!D347="Juvenil 65kg",12,IF(Atletas!D347="Juvenil 70kg",13,IF(Atletas!D347="Juvenil 75kg",14,IF(Atletas!D347="Juvenil 80kg",15,IF(Atletas!D347="Adulto 48kg",16,IF(Atletas!D347="Adulto 52kg",17,IF(Atletas!D347="Adulto 56kg",18,IF(Atletas!D347="Adulto 60kg",19,IF(Atletas!D347="Adulto 65kg",20,IF(Atletas!D347="Adulto 70kg",21,IF(Atletas!D347="Adulto 75kg",22,IF(Atletas!D347="Adulto 80kg",23,IF(Atletas!D347="Adulto 85kg",24,IF(Atletas!D347="Adulto 90kg",25,IF(Atletas!D347="Adulto +90kg",26,""))))))))))))))))))))))))))))</f>
        <v/>
      </c>
      <c r="AO351" s="10" t="str">
        <f>IF(Atletas!E347="","",IF(Atletas!B347="Feminino",100,IF(Atletas!B347="Masculino",200,""))+(IF(Atletas!E347="Juvenil 44kg",1,IF(Atletas!E347="Juvenil 48kg",2,IF(Atletas!E347="Juvenil 52kg",3,IF(Atletas!E347="Juvenil 56kg",4,IF(Atletas!E347="Juvenil 60kg",5,IF(Atletas!E347="Juvenil 65kg",6,IF(Atletas!E347="Juvenil 70kg",7,IF(Atletas!E347="Juvenil 75kg",8,IF(Atletas!E347="Juvenil 82kg",9,IF(Atletas!E347="Juvenil 90kg",10,IF(Atletas!E347="Juvenil 100kg",11,IF(Atletas!E347="Adulto 48kg",12,IF(Atletas!E347="Adulto 52kg",13,IF(Atletas!E347="Adulto 56kg",14,IF(Atletas!E347="Adulto 60kg",15,IF(Atletas!E347="Adulto 65kg",16,IF(Atletas!E347="Adulto 70kg",17,IF(Atletas!E347="Adulto 75kg",18,IF(Atletas!E347="Adulto 82kg",19,IF(Atletas!E347="Adulto 90kg",20,IF(Atletas!E347="Adulto 100kg",21,IF(Atletas!E347="Adulto +100kg",22,""))))))))))))))))))))))))</f>
        <v/>
      </c>
      <c r="AT351" s="10" t="str">
        <f>IF(Atletas!F347="","",IF(Atletas!B347="Feminino",100,IF(Atletas!B347="Masculino",200,""))+(IF(Atletas!F347="Adulto 48kg",1,IF(Atletas!F347="Adulto 56kg",2,IF(Atletas!F347="Adulto 65kg",3,IF(Atletas!F347="Adulto 75kg",4,IF(Atletas!F347="Adulto +75kg",5,IF(Atletas!F347="Adulto 52kg",6,IF(Atletas!F347="Adulto 60kg",7,IF(Atletas!F347="Adulto 70kg",8,IF(Atletas!F347="Adulto 80kg",9,IF(Atletas!F347="Adulto 90kg",10,IF(Atletas!F347="Adulto +90kg",11,"")))))))))))))</f>
        <v/>
      </c>
      <c r="AY351" s="46" t="str">
        <f>IF(Atletas!G347="","",IF(Atletas!B347="Feminino",100,IF(Atletas!B347="Masculino",200,""))+(IF(Atletas!G347="Changquan Mirim",1,IF(Atletas!G347="Nanquan Mirim",2,IF(Atletas!G347="Taijiquan Mirim",3,IF(Atletas!G347="Changquan Grupo C",4,IF(Atletas!G347="Nanquan Grupo C",5,IF(Atletas!G347="Taijiquan Grupo C",6,IF(Atletas!G347="Changquan Grupo B",7,IF(Atletas!G347="Nanquan Grupo B",8,IF(Atletas!G347="Taijiquan Grupo B",9,IF(Atletas!G347="Changquan Grupo A",10,IF(Atletas!G347="Nanquan Grupo A",11,IF(Atletas!G347="Taijiquan Grupo A",12,IF(Atletas!G347="Changquan Opcional",13,IF(Atletas!G347="Nanquan Opcional",14,IF(Atletas!G347="Taijiquan Opcional",15,IF(Atletas!G347="Changquan Adulto",16,IF(Atletas!G347="Nanquan Adulto",17,IF(Atletas!G347="Taijiquan Adulto",18,""))))))))))))))))))))</f>
        <v/>
      </c>
      <c r="AZ351" s="46" t="str">
        <f>IF(Atletas!H347="","",IF(Atletas!B347="Feminino",100,IF(Atletas!B347="Masculino",200,""))+(IF(Atletas!H347="Daoshu Mirim",19,IF(Atletas!H347="Jianshu Mirim",20,IF(Atletas!H347="Nandao Mirim",21,IF(Atletas!H347="Taijijian Mirim",22,IF(Atletas!H347="Daoshu Grupo C",23,IF(Atletas!H347="Jianshu Grupo C",24,IF(Atletas!H347="Nandao Grupo C",25,IF(Atletas!H347="Taijijian Grupo C",26,IF(Atletas!H347="Daoshu Grupo B",27,IF(Atletas!H347="Jianshu Grupo B",28,IF(Atletas!H347="Nandao Grupo B",29,IF(Atletas!H347="Taijijian Grupo B",30,IF(Atletas!H347="Daoshu Grupo A",31,IF(Atletas!H347="Jianshu Grupo A",32,IF(Atletas!H347="Nandao Grupo A",33,IF(Atletas!H347="Taijijian Grupo A",34,IF(Atletas!H347="Daoshu Opcional",35,IF(Atletas!H347="Jianshu Opcional",36,IF(Atletas!H347="Nandao Opcional",37,IF(Atletas!H347="Taijijian Opcional",38,IF(Atletas!H347="Daoshu Adulto",39,IF(Atletas!H347="Jianshu Adulto",40,IF(Atletas!H347="Nandao Adulto",41,IF(Atletas!H347="Taijijian Adulto",42,""))))))))))))))))))))))))))</f>
        <v/>
      </c>
      <c r="BA351" s="46" t="str">
        <f>IF(Atletas!I347="","",IF(Atletas!B347="Feminino",100,IF(Atletas!B347="Masculino",200,""))+(IF(Atletas!I347="Gunshu Mirim",43,IF(Atletas!I347="Qiangshu Mirim",44,IF(Atletas!I347="Nangun Mirim",45,IF(Atletas!I347="Gunshu Grupo C",46,IF(Atletas!I347="Qiangshu Grupo C",47,IF(Atletas!I347="Nangun Grupo C",48,IF(Atletas!I347="Gunshu Grupo B",49,IF(Atletas!I347="Qiangshu Grupo B",50,IF(Atletas!I347="Nangun Grupo B",51,IF(Atletas!I347="Gunshu Grupo A",52,IF(Atletas!I347="Qiangshu Grupo A",53,IF(Atletas!I347="Nangun Grupo A",54,IF(Atletas!I347="Gunshu Opcional",55,IF(Atletas!I347="Qiangshu Opcional",56,IF(Atletas!I347="Nangun Opcional",57,IF(Atletas!I347="Gunshu Adulto",58,IF(Atletas!I347="Qiangshu Adulto",59,IF(Atletas!I347="Nangun Adulto",60,""))))))))))))))))))))</f>
        <v/>
      </c>
      <c r="BF351" s="52" t="str">
        <f>IF(Atletas!J347="","",IF(Atletas!B347="Feminino",100,IF(Atletas!B347="Masculino",200,""))+(IF(Atletas!J347="Equipe 1 Grupo B",1,IF(Atletas!J347="Equipe 2 Grupo B",2,IF(Atletas!J347="Equipe 1 Grupo A",3,IF(Atletas!J347="Equipe 2 Grupo A",4,IF(Atletas!J347="Equipe 1 Adulto",5,IF(Atletas!J347="Equipe 2 Adulto",6,""))))))))</f>
        <v/>
      </c>
      <c r="BK351" s="52" t="str">
        <f>IF(Atletas!K347="","",IF(Atletas!W347&lt;&gt;"",10000,0)+(IF(Atletas!B347="Feminino",1000,IF(Atletas!B347="Masculino",2000,""))+IF(Atletas!K347="Choylayfut A",1,IF(Atletas!K347="Hunggar A",2,IF(Atletas!K347="Wuzuquan A",3,IF(Atletas!K347="Wingchun A",4,IF(Atletas!K347="Outra Mão de Sul A",5,IF(Atletas!K347="Choylayfut B",6,IF(Atletas!K347="Hunggar B",7,IF(Atletas!K347="Wuzuquan B",8,IF(Atletas!K347="Wingchun B",9,IF(Atletas!K347="Outra Mão de Sul B",10,IF(Atletas!K347="Choylayfut C",11,IF(Atletas!K347="Hunggar C",12,IF(Atletas!K347="Wuzuquan C",13,IF(Atletas!K347="Wingchun C",14,IF(Atletas!K347="Outra Mão de Sul C",15,IF(Atletas!K347="Choylayfut D",16,IF(Atletas!K347="Hunggar D",17,IF(Atletas!K347="Wuzuquan D",18,IF(Atletas!K347="Wingchun D",19,IF(Atletas!K347="Outra Mão de Sul D",20,IF(Atletas!K347="Choylayfut E",21,IF(Atletas!K347="Hunggar E",22,IF(Atletas!K347="Wuzuquan E",23,IF(Atletas!K347="Wingchun E",24,IF(Atletas!K347="Outra Mão de Sul E",25,IF(Atletas!K347="Choylayfut F",26,IF(Atletas!K347="Hunggar F",27,IF(Atletas!K347="Wuzuquan F",28,IF(Atletas!K347="Wingchun F",29,IF(Atletas!K347="Outra Mão de Sul F",30,""))))))))))))))))))))))))))))))))</f>
        <v/>
      </c>
      <c r="BL351" s="52" t="str">
        <f>IF(Atletas!L347="","",IF(Atletas!W347&lt;&gt;"",10000,0)+(IF(Atletas!B347="Feminino",1000,IF(Atletas!B347="Masculino",2000,""))+(IF(Atletas!L347="Chaquan A",101,IF(Atletas!L347="Emeiquan A",102,IF(Atletas!L347="Fanziquan A",103,IF(Atletas!L347="Huaquan A",104,IF(Atletas!L347="Hongquan A",105,IF(Atletas!L347="Paochui A",106,IF(Atletas!L347="Piguaquan A",107,IF(Atletas!L347="Shaolinquan A",108,IF(Atletas!L347="Tanglangquan A",109,IF(Atletas!L347="Yinzhaophai A",110,IF(Atletas!L347="Tongbeiquan A",111,IF(Atletas!L347="Wudangquan A",112,IF(Atletas!L347="Outros Estilos A",113,IF(Atletas!L347="Chaquan B",114,IF(Atletas!L347="Emeiquan B",115,IF(Atletas!L347="Fanziquan B",116,IF(Atletas!L347="Huaquan B",117,IF(Atletas!L347="Hongquan B",118,IF(Atletas!L347="Paochui B",119,IF(Atletas!L347="Piguaquan B",120,IF(Atletas!L347="Shaolinquan B",121,IF(Atletas!L347="Tanglangquan B",122,IF(Atletas!L347="Yinzhaophai B",123,IF(Atletas!L347="Tongbeiquan B",124,IF(Atletas!L347="Wudangquan B",125,IF(Atletas!L347="Outros Estilos B",126,IF(Atletas!L347="Chaquan C",127,IF(Atletas!L347="Emeiquan C",128,IF(Atletas!L347="Fanziquan C",129,IF(Atletas!L347="Huaquan C",130,IF(Atletas!L347="Hongquan C",131,IF(Atletas!L347="Paochui C",132,IF(Atletas!L347="Piguaquan C",133,IF(Atletas!L347="Shaolinquan C",134,IF(Atletas!L347="Tanglangquan C",135,IF(Atletas!L347="Yinzhaophai C",136,IF(Atletas!L347="Tongbeiquan C",137,IF(Atletas!L347="Wudangquan C",138,IF(Atletas!L347="Outros Estilos C",139,0))))))))))))))))))))))))))))))))))))))))))</f>
        <v/>
      </c>
      <c r="BM351" s="52" t="str">
        <f>IF(Atletas!L347="","",IF(Atletas!W347&lt;&gt;"",10000,0)+(IF(Atletas!B347="Feminino",1000,IF(Atletas!B347="Masculino",2000,""))+(IF(Atletas!L347="Chaquan D",140,IF(Atletas!L347="Emeiquan D",141,IF(Atletas!L347="Fanziquan D",142,IF(Atletas!L347="Huaquan D",143,IF(Atletas!L347="Hongquan D",144,IF(Atletas!L347="Paochui D",145,IF(Atletas!L347="Piguaquan D",146,IF(Atletas!L347="Shaolinquan D",147,IF(Atletas!L347="Tanglangquan D",148,IF(Atletas!L347="Yinzhaophai D",149,IF(Atletas!L347="Tongbeiquan D",150,IF(Atletas!L347="Wudangquan D",151,IF(Atletas!L347="Outros Estilos D",152,IF(Atletas!L347="Chaquan E",153,IF(Atletas!L347="Emeiquan E",154,IF(Atletas!L347="Fanziquan E",155,IF(Atletas!L347="Huaquan E",156,IF(Atletas!L347="Hongquan E",157,IF(Atletas!L347="Paochui E",158,IF(Atletas!L347="Piguaquan E",159,IF(Atletas!L347="Shaolinquan E",160,IF(Atletas!L347="Tanglangquan E",161,IF(Atletas!L347="Yinzhaophai E",162,IF(Atletas!L347="Tongbeiquan E",163,IF(Atletas!L347="Wudangquan E",164,IF(Atletas!L347="Outros Estilos E",165,IF(Atletas!L347="Chaquan F",166,IF(Atletas!L347="Emeiquan F",167,IF(Atletas!L347="Fanziquan F",168,IF(Atletas!L347="Huaquan F",169,IF(Atletas!L347="Hongquan F",170,IF(Atletas!L347="Paochui F",171,IF(Atletas!L347="Piguaquan F",172,IF(Atletas!L347="Shaolinquan F",173,IF(Atletas!L347="Tanglangquan F",174,IF(Atletas!L347="Yinzhaophai F",175,IF(Atletas!L347="Tongbeiquan F",176,IF(Atletas!L347="Wudangquan F",177,IF(Atletas!L347="Outros Estilos F",178,0))))))))))))))))))))))))))))))))))))))))))</f>
        <v/>
      </c>
      <c r="BN351" s="52" t="str">
        <f>IF(Atletas!M347="","",IF(Atletas!W347&lt;&gt;"",10000,0)+(IF(Atletas!B347="Feminino",1000,IF(Atletas!B347="Masculino",2000,""))+(IF(Atletas!M347="Ditangquan A",201,IF(Atletas!M347="Houquan A",202,IF(Atletas!M347="Zuiquan A",203,IF(Atletas!M347="Ditangquan B",204,IF(Atletas!M347="Houquan B",205,IF(Atletas!M347="Zuiquan B",206,IF(Atletas!M347="Ditangquan C",207,IF(Atletas!M347="Houquan C",208,IF(Atletas!M347="Zuiquan C",209,IF(Atletas!M347="Ditangquan D",210,IF(Atletas!M347="Houquan D",211,IF(Atletas!M347="Zuiquan D",212,IF(Atletas!M347="Ditangquan E",213,IF(Atletas!M347="Houquan E",214,IF(Atletas!M347="Zuiquan E",215,IF(Atletas!M347="Ditangquan F",216,IF(Atletas!M347="Houquan F",217,IF(Atletas!M347="Zuiquan F",218,"")))))))))))))))))))))</f>
        <v/>
      </c>
      <c r="BO351" s="52" t="str">
        <f>IF(Atletas!N347="","",IF(Atletas!W347&lt;&gt;"",10000,0)+IF(Atletas!B347="Feminino",1000,IF(Atletas!B347="Masculino",2000,""))+IF(Atletas!N347="Yang A",301,IF(Atletas!N347="Chen A",30,IF(Atletas!N347="Sun A",303,IF(Atletas!N347="Wu A",304,IF(Atletas!N347="Wu-Hao A",305,IF(Atletas!N347="Outro Taijiquan A",306,IF(Atletas!N347="Yang B",307,IF(Atletas!N347="Chen B",308,IF(Atletas!N347="Sun B",309,IF(Atletas!N347="Wu B",310,IF(Atletas!N347="Wu-Hao B",311,IF(Atletas!N347="Outro Taijiquan B",312,IF(Atletas!N347="Yang C",313,IF(Atletas!N347="Chen C",314,IF(Atletas!N347="Sun C",315,IF(Atletas!N347="Wu C",316,IF(Atletas!N347="Wu-Hao C",317,IF(Atletas!N347="Outro Taijiquan C",318,IF(Atletas!N347="Yang D",319,IF(Atletas!N347="Chen D",320,IF(Atletas!N347="Sun D",321,IF(Atletas!N347="Wu D",322,IF(Atletas!N347="Wu-Hao D",323,IF(Atletas!N347="Outro Taijiquan D",324,IF(Atletas!N347="Yang E",325,IF(Atletas!N347="Chen E",326,IF(Atletas!N347="Sun E",327,IF(Atletas!N347="Wu E",328,IF(Atletas!N347="Wu-Hao E",329,IF(Atletas!N347="Outro Taijiquan E",330,IF(Atletas!N347="Yang F",331,IF(Atletas!N347="Chen F",332,IF(Atletas!N347="Sun F",333,IF(Atletas!N347="Wu F",334,IF(Atletas!N347="Wu-Hao F",335,IF(Atletas!N347="Outro Taijiquan F",336,"")))))))))))))))))))))))))))))))))))))</f>
        <v/>
      </c>
      <c r="BP351" s="52" t="str">
        <f>IF(Atletas!O347="","",IF(Atletas!W347&lt;&gt;"",10000,0)+IF(Atletas!B347="Feminino",1000,IF(Atletas!B347="Masculino",2000,""))+IF(OR(Atletas!O347="Yang 26 A",Atletas!O347="Yang 40 A"),401,IF(OR(Atletas!O347="Chen 25 A",Atletas!O347="Chen 36 A",Atletas!O347="Chen 56 A"),402,IF(Atletas!O347="Sun 73 A",403,IF(Atletas!O347="Wu 45 A",404,IF(Atletas!O347="Wu-Hao 46 A",405,IF(OR(Atletas!O347="Taijiquan 16 A",Atletas!O347="Taijiquan 24 A",Atletas!O347="Taijiquan 32 A",Atletas!O347="Taijiquan 42 A"),406,IF(OR(Atletas!O347="Yang 26 B",Atletas!O347="Yang 40 B"),407,IF(OR(Atletas!O347="Chen 25 B",Atletas!O347="Chen 36 B",Atletas!O347="Chen 56 B"),408,IF(Atletas!O347="Sun 73 B",409,IF(Atletas!O347="Wu 45 B",410,IF(Atletas!O347="Wu-Hao 46 B",411,IF(OR(Atletas!O347="Taijiquan 16 B",Atletas!O347="Taijiquan 24 B",Atletas!O347="Taijiquan 32 B",Atletas!O347="Taijiquan 42 B"),412,IF(OR(Atletas!O347="Yang 26 C",Atletas!O347="Yang 40 C"),413,IF(OR(Atletas!O347="Chen 25 C",Atletas!O347="Chen 36 C",Atletas!O347="Chen 56 C"),414,IF(Atletas!O347="Sun 73 C",415,IF(Atletas!O347="Wu 45 C",416,IF(Atletas!O347="Wu-Hao 46 C",417,IF(OR(Atletas!O347="Taijiquan 16 C",Atletas!O347="Taijiquan 24 C",Atletas!O347="Taijiquan 32 C",Atletas!O347="Taijiquan 42 C"),418,0)))))))))))))))))))</f>
        <v/>
      </c>
      <c r="BQ351" s="52" t="str">
        <f>IF(Atletas!O347="","",IF(Atletas!W347&lt;&gt;"",10000,0)+IF(Atletas!B347="Feminino",1000,IF(Atletas!B347="Masculino",2000,""))+IF(OR(Atletas!O347="Yang 26 D",Atletas!O347="Yang 40 D"),419,IF(OR(Atletas!O347="Chen 25 D",Atletas!O347="Chen 36 D",Atletas!O347="Chen 56 D"),420,IF(Atletas!O347="Sun 73 D",421,IF(Atletas!O347="Wu 45 D",422,IF(Atletas!O347="Wu-Hao 46 D",423,IF(OR(Atletas!O347="Taijiquan 16 D",Atletas!O347="Taijiquan 24 D",Atletas!O347="Taijiquan 32 D",Atletas!O347="Taijiquan 42 D"),424,IF(OR(Atletas!O347="Yang 26 E",Atletas!O347="Yang 40 E"),425,IF(OR(Atletas!O347="Chen 25 E",Atletas!O347="Chen 36 E",Atletas!O347="Chen 56 E"),426,IF(Atletas!O347="Sun 73 E",427,IF(Atletas!O347="Wu 45 E",428,IF(Atletas!O347="Wu-Hao 46 E",429,IF(OR(Atletas!O347="Taijiquan 16 E",Atletas!O347="Taijiquan 24 E",Atletas!O347="Taijiquan 32 E",Atletas!O347="Taijiquan 42 E"),430,IF(OR(Atletas!O347="Yang 26 F",Atletas!O347="Yang 40 F"),431,IF(OR(Atletas!O347="Chen 25 F",Atletas!O347="Chen 36 F",Atletas!O347="Chen 56 F"),432,IF(Atletas!O347="Sun 73 F",433,IF(Atletas!O347="Wu 45 F",434,IF(Atletas!O347="Wu-Hao 46 F",435,IF(OR(Atletas!O347="Taijiquan 16 F",Atletas!O347="Taijiquan 24 F",Atletas!O347="Taijiquan 32 F",Atletas!O347="Taijiquan 42 F"),436,0)))))))))))))))))))</f>
        <v/>
      </c>
      <c r="BR351" s="52" t="str">
        <f>IF(Atletas!P347="","",IF(Atletas!W347&lt;&gt;"",10000,0)+IF(Atletas!B347="Feminino",1000,IF(Atletas!B347="Masculino",2000,""))+IF(Atletas!P347="Xingyiquan A",501,IF(Atletas!P347="Baguazhang A",502,IF(Atletas!P347="Outro Estilo Interno A",503,IF(Atletas!P347="Xingyiquan B",504,IF(Atletas!P347="Baguazhang B",505,IF(Atletas!P347="Outro Estilo Interno B",506,IF(Atletas!P347="Xingyiquan C",507,IF(Atletas!P347="Baguazhang C",508,IF(Atletas!P347="Outro Estilo Interno C",509,IF(Atletas!P347="Xingyiquan D",510,IF(Atletas!P347="Baguazhang D",511,IF(Atletas!P347="Outro Estilo Interno D",512,IF(Atletas!P347="Xingyiquan E",513,IF(Atletas!P347="Baguazhang E",514,IF(Atletas!P347="Outro Estilo Interno E",515,IF(Atletas!P347="Xingyiquan F",516,IF(Atletas!P347="Baguazhang F",517,IF(Atletas!P347="Outro Estilo Interno F",518, "")))))))))))))))))))</f>
        <v/>
      </c>
      <c r="BS351" s="52" t="str">
        <f>IF(Atletas!Q347="","",IF(Atletas!W347&lt;&gt;"",10000,0)+IF(Atletas!B347="Feminino",1000,IF(Atletas!B347="Masculino",2000,""))+IF(Atletas!Q347="Dao A",601,IF(Atletas!Q347="Jian A",602,IF(Atletas!Q347="Bishou A",603,IF(Atletas!Q347="Shan A",604,IF(Atletas!Q347="Outra Arma Curta A",605,IF(Atletas!Q347="Dao B",606,IF(Atletas!Q347="Jian B",607,IF(Atletas!Q347="Bishou B",608,IF(Atletas!Q347="Shan B",609,IF(Atletas!Q347="Outra Arma Curta B",610,IF(Atletas!Q347="Dao C",611,IF(Atletas!Q347="Jian C",612,IF(Atletas!Q347="Bishou C",613,IF(Atletas!Q347="Shan C",614,IF(Atletas!Q347="Outra Arma Curta C",615,IF(Atletas!Q347="Dao D",616,IF(Atletas!Q347="Jian D",617,IF(Atletas!Q347="Bishou D",618,IF(Atletas!Q347="Shan D",619,IF(Atletas!Q347="Outra Arma Curta D",620,IF(Atletas!Q347="Dao E",621,IF(Atletas!Q347="Jian E",622,IF(Atletas!Q347="Bishou E",623,IF(Atletas!Q347="Shan E",624,IF(Atletas!Q347="Outra Arma Curta E",625,IF(Atletas!Q347="Dao F",626,IF(Atletas!Q347="Jian F",627,IF(Atletas!Q347="Bishou F",628,IF(Atletas!Q347="Shan F",629,IF(Atletas!Q347="Outra Arma Curta F",630, "")))))))))))))))))))))))))))))))</f>
        <v/>
      </c>
      <c r="BT351" s="52" t="str">
        <f>IF(Atletas!R347="","",IF(Atletas!W347&lt;&gt;"",10000,0)+IF(Atletas!B347="Feminino",1000,IF(Atletas!B347="Masculino",2000,""))+IF(Atletas!R347="Gun A",701,IF(Atletas!R347="Qiang A",702,IF(Atletas!R347="Pudao / Guandao A",703,IF(Atletas!R347="Outra Arma Longa A",704,IF(Atletas!R347="Gun B",705,IF(Atletas!R347="Qiang B",706,IF(Atletas!R347="Pudao / Guandao B",707,IF(Atletas!R347="Outra Arma Longa B",708,IF(Atletas!R347="Gun C",709,IF(Atletas!R347="Qiang C",710,IF(Atletas!R347="Pudao / Guandao C",711,IF(Atletas!R347="Outra Arma Longa C",712,IF(Atletas!R347="Gun D",713,IF(Atletas!R347="Qiang D",714,IF(Atletas!R347="Pudao / Guandao D",715,IF(Atletas!R347="Outra Arma Longa D",716,IF(Atletas!R347="Gun E",717,IF(Atletas!R347="Qiang E",718,IF(Atletas!R347="Pudao / Guandao E",719,IF(Atletas!R347="Outra Arma Longa E",720,IF(Atletas!R347="Gun F",721,IF(Atletas!R347="Qiang F",722,IF(Atletas!R347="Pudao / Guandao F",723,IF(Atletas!R347="Outra Arma Longa F",724,"")))))))))))))))))))))))))</f>
        <v/>
      </c>
      <c r="BU351" s="52" t="str">
        <f>IF(Atletas!S347="","",IF(Atletas!W347&lt;&gt;"",10000,0)+IF(Atletas!B347="Feminino",1000,IF(Atletas!B347="Masculino",2000,""))+IF(Atletas!S347="Arma Dupla A",801,IF(Atletas!S347="Arma Maleável A",802,IF(Atletas!S347="Arma Dupla B",803,IF(Atletas!S347="Arma Maleável B",804,IF(Atletas!S347="Arma Dupla C",805,IF(Atletas!S347="Arma Maleável C",806,IF(Atletas!S347="Arma Dupla D",807,IF(Atletas!S347="Arma Maleável D",808,IF(Atletas!S347="Arma Dupla E",809,IF(Atletas!S347="Arma Maleável E",810,IF(Atletas!S347="Arma Dupla F",811,IF(Atletas!S347="Arma Maleável F",812, "")))))))))))))</f>
        <v/>
      </c>
      <c r="BV351" s="52" t="str">
        <f>IF(Atletas!T347="","",IF(Atletas!W347&lt;&gt;"",10000,0)+IF(Atletas!B347="Feminino",1000,IF(Atletas!B347="Masculino",2000,""))+IF(Atletas!T347="Taijijian Yang A",901,IF(Atletas!T347="Taijijian Chen A",902,IF(Atletas!T347="Taijijian Sun A",903,IF(Atletas!T347="Taijijian Wu A",904,IF(Atletas!T347="Taijijian Wu-Hao A",905,IF(Atletas!T347="Taijijian 32 A",906,IF(Atletas!T347="Taijijian 42 A",907,IF(Atletas!T347="Taijijian Yang B",908,IF(Atletas!T347="Taijijian Chen B",909,IF(Atletas!T347="Taijijian Sun B",910,IF(Atletas!T347="Taijijian Wu B",911,IF(Atletas!T347="Taijijian Wu-Hao B",912,IF(Atletas!T347="Taijijian 32 B",913,IF(Atletas!T347="Taijijian 42 B",914,IF(Atletas!T347="Taijijian Yang C",915,IF(Atletas!T347="Taijijian Chen C",916,IF(Atletas!T347="Taijijian Sun C",917,IF(Atletas!T347="Taijijian Wu C",918,IF(Atletas!T347="Taijijian Wu-Hao C",919,IF(Atletas!T347="Taijijian 32 C",920,IF(Atletas!T347="Taijijian 42 C",921,IF(Atletas!T347="Taijijian Yang D",922,IF(Atletas!T347="Taijijian Chen D",923,IF(Atletas!T347="Taijijian Sun D",924,IF(Atletas!T347="Taijijian Wu D",925,IF(Atletas!T347="Taijijian Wu-Hao D",926,IF(Atletas!T347="Taijijian 32 D",927,IF(Atletas!T347="Taijijian 42 D",928,IF(Atletas!T347="Taijijian Yang E",929,IF(Atletas!T347="Taijijian Chen E",930,IF(Atletas!T347="Taijijian Sun E",931,IF(Atletas!T347="Taijijian Wu E",932,IF(Atletas!T347="Taijijian Wu-Hao E",933,IF(Atletas!T347="Taijijian 32 E",934,IF(Atletas!T347="Taijijian 42 E",935,IF(Atletas!T347="Taijijian Yang F",936,IF(Atletas!T347="Taijijian Chen F",937,IF(Atletas!T347="Taijijian Sun F",938,IF(Atletas!T347="Taijijian Wu F",939,IF(Atletas!T347="Taijijian Wu-Hao F",940,IF(Atletas!T347="Taijijian 32 F",941,IF(Atletas!T347="Taijijian 42 F",942,"")))))))))))))))))))))))))))))))))))))))))))</f>
        <v/>
      </c>
      <c r="BW351" s="52" t="str">
        <f>IF(Atletas!U347="","",IF(Atletas!W347&lt;&gt;"",10000,0)+IF(Atletas!B347="Feminino",1000,IF(Atletas!B347="Masculino",2000,""))+IF(Atletas!T347="Taijijian 42 F",942,IF(Atletas!U347="Taijidao A",943,IF(Atletas!U347="Taijishan A",944,IF(Atletas!U347="Taijiqiang A",945,IF(Atletas!U347="Taijidao B",946,IF(Atletas!U347="Taijishan B",947,IF(Atletas!U347="Taijiqiang B",948,IF(Atletas!U347="Taijidao C",949,IF(Atletas!U347="Taijishan C",950,IF(Atletas!U347="Taijiqiang C",951,IF(Atletas!U347="Taijidao D",952,IF(Atletas!U347="Taijishan D",953,IF(Atletas!U347="Taijiqiang D",954,IF(Atletas!U347="Taijidao E",955,IF(Atletas!U347="Taijishan E",956,IF(Atletas!U347="Taijiqiang E",957,IF(Atletas!U347="Taijidao F",958,IF(Atletas!U347="Taijishan F",959,IF(Atletas!U347="Taijiqiang F",960))))))))))))))))))))</f>
        <v/>
      </c>
      <c r="BX351" s="72"/>
      <c r="BY351" s="72"/>
      <c r="BZ351" s="72"/>
      <c r="CA351" s="72"/>
      <c r="CB351" s="72" t="str">
        <f>IF(CC351&lt;&gt;"","Taijijian Sun A","")</f>
        <v/>
      </c>
      <c r="CC351" s="64" t="str">
        <f>IF(COUNTIF(BK:BW,11903)&gt;0,COUNTIF(BK:BW,11903),"")</f>
        <v/>
      </c>
      <c r="CD351" s="64" t="str">
        <f>IF(CE351&lt;&gt;"","Taijijian Sun A","")</f>
        <v/>
      </c>
      <c r="CE351" s="64" t="str">
        <f>IF(COUNTIF(BK:BW,12903)&gt;0,COUNTIF(BK:BW,12903),"")</f>
        <v/>
      </c>
      <c r="CF351" s="52" t="str">
        <f xml:space="preserve"> IF(Atletas!V347="","",IF(Atletas!V347="Duilian de Mãos AB - Equipe 1",1,IF(Atletas!V347="Duilian de Mãos AB - Equipe 2",2,IF(Atletas!V347="Duilian de Armas AB - Equipe 1",3,IF(Atletas!V347="Duilian de Armas AB - Equipe 2",4,IF(Atletas!V347="Duilian de Tuishou - Equipe 1",5,IF(Atletas!V347="Duilian de Tuishou - Equipe 2",6,IF(Atletas!V347="Grupo Externo AB - Equipe 1",7,IF(Atletas!V347="Grupo Externo AB - Equipe 2",8,IF(Atletas!V347="Grupo Interno AB - Equipe 1",9,IF(Atletas!V347="Grupo Interno AB - Equipe 2",10,IF(Atletas!V347="Duilian de Mãos CD - Equipe 1",11,IF(Atletas!V347="Duilian de Mãos CD - Equipe 2",12,IF(Atletas!V347="Duilian de Armas CD - Equipe 1",13,IF(Atletas!V347="Duilian de Armas CD - Equipe 2",14,IF(Atletas!V347="Duilian de Tuishou - Equipe 1",15,IF(Atletas!V347="Duilian de Tuishou - Equipe 2",16,IF(Atletas!V347="Grupo Externo CDEF - Equipe 1",17,IF(Atletas!V347="Grupo Externo CDEF - Equipe 2",18,IF(Atletas!V347="Grupo Interno CDEF - Equipe 1",19,IF(Atletas!V347="Grupo Interno CDEF - Equipe 2",20,IF(Atletas!V347="Duilian de Mãos EF - Equipe 1",21,IF(Atletas!V347="Duilian de Mãos EF - Equipe 2",22,IF(Atletas!V347="Duilian de Armas EF - Equipe 1",23,IF(Atletas!V347="Duilian de Armas EF - Equipe 2",24,IF(Atletas!V347="Duilian de Tuishou - Equipe 1",25,IF(Atletas!V347="Duilian de Tuishou - Equipe 2",26,"")))))))))))))))))))))))))))</f>
        <v/>
      </c>
    </row>
    <row r="352" spans="36:84">
      <c r="AJ352" s="46" t="str">
        <f>IF(Atletas!D348="","",IF(Atletas!B348="Feminino",100,IF(Atletas!B348="Masculino",200,""))+(IF(Atletas!D348="Infantil 39kg",1,IF(Atletas!D348="Infantil 42kg",2,IF(Atletas!D348="Infantil 45kg",3,IF(Atletas!D348="Infantil 48kg",4,IF(Atletas!D348="Infantil 52kg",5,IF(Atletas!D348="Infantil 56kg",6,IF(Atletas!D348="Infantil 60kg",7,IF(Atletas!D348="Juvenil 48kg",8,IF(Atletas!D348="Juvenil 52kg",9,IF(Atletas!D348="Juvenil 56kg",10,IF(Atletas!D348="Juvenil 60kg",11,IF(Atletas!D348="Juvenil 65kg",12,IF(Atletas!D348="Juvenil 70kg",13,IF(Atletas!D348="Juvenil 75kg",14,IF(Atletas!D348="Juvenil 80kg",15,IF(Atletas!D348="Adulto 48kg",16,IF(Atletas!D348="Adulto 52kg",17,IF(Atletas!D348="Adulto 56kg",18,IF(Atletas!D348="Adulto 60kg",19,IF(Atletas!D348="Adulto 65kg",20,IF(Atletas!D348="Adulto 70kg",21,IF(Atletas!D348="Adulto 75kg",22,IF(Atletas!D348="Adulto 80kg",23,IF(Atletas!D348="Adulto 85kg",24,IF(Atletas!D348="Adulto 90kg",25,IF(Atletas!D348="Adulto +90kg",26,""))))))))))))))))))))))))))))</f>
        <v/>
      </c>
      <c r="AO352" s="10" t="str">
        <f>IF(Atletas!E348="","",IF(Atletas!B348="Feminino",100,IF(Atletas!B348="Masculino",200,""))+(IF(Atletas!E348="Juvenil 44kg",1,IF(Atletas!E348="Juvenil 48kg",2,IF(Atletas!E348="Juvenil 52kg",3,IF(Atletas!E348="Juvenil 56kg",4,IF(Atletas!E348="Juvenil 60kg",5,IF(Atletas!E348="Juvenil 65kg",6,IF(Atletas!E348="Juvenil 70kg",7,IF(Atletas!E348="Juvenil 75kg",8,IF(Atletas!E348="Juvenil 82kg",9,IF(Atletas!E348="Juvenil 90kg",10,IF(Atletas!E348="Juvenil 100kg",11,IF(Atletas!E348="Adulto 48kg",12,IF(Atletas!E348="Adulto 52kg",13,IF(Atletas!E348="Adulto 56kg",14,IF(Atletas!E348="Adulto 60kg",15,IF(Atletas!E348="Adulto 65kg",16,IF(Atletas!E348="Adulto 70kg",17,IF(Atletas!E348="Adulto 75kg",18,IF(Atletas!E348="Adulto 82kg",19,IF(Atletas!E348="Adulto 90kg",20,IF(Atletas!E348="Adulto 100kg",21,IF(Atletas!E348="Adulto +100kg",22,""))))))))))))))))))))))))</f>
        <v/>
      </c>
      <c r="AT352" s="10" t="str">
        <f>IF(Atletas!F348="","",IF(Atletas!B348="Feminino",100,IF(Atletas!B348="Masculino",200,""))+(IF(Atletas!F348="Adulto 48kg",1,IF(Atletas!F348="Adulto 56kg",2,IF(Atletas!F348="Adulto 65kg",3,IF(Atletas!F348="Adulto 75kg",4,IF(Atletas!F348="Adulto +75kg",5,IF(Atletas!F348="Adulto 52kg",6,IF(Atletas!F348="Adulto 60kg",7,IF(Atletas!F348="Adulto 70kg",8,IF(Atletas!F348="Adulto 80kg",9,IF(Atletas!F348="Adulto 90kg",10,IF(Atletas!F348="Adulto +90kg",11,"")))))))))))))</f>
        <v/>
      </c>
      <c r="AY352" s="46" t="str">
        <f>IF(Atletas!G348="","",IF(Atletas!B348="Feminino",100,IF(Atletas!B348="Masculino",200,""))+(IF(Atletas!G348="Changquan Mirim",1,IF(Atletas!G348="Nanquan Mirim",2,IF(Atletas!G348="Taijiquan Mirim",3,IF(Atletas!G348="Changquan Grupo C",4,IF(Atletas!G348="Nanquan Grupo C",5,IF(Atletas!G348="Taijiquan Grupo C",6,IF(Atletas!G348="Changquan Grupo B",7,IF(Atletas!G348="Nanquan Grupo B",8,IF(Atletas!G348="Taijiquan Grupo B",9,IF(Atletas!G348="Changquan Grupo A",10,IF(Atletas!G348="Nanquan Grupo A",11,IF(Atletas!G348="Taijiquan Grupo A",12,IF(Atletas!G348="Changquan Opcional",13,IF(Atletas!G348="Nanquan Opcional",14,IF(Atletas!G348="Taijiquan Opcional",15,IF(Atletas!G348="Changquan Adulto",16,IF(Atletas!G348="Nanquan Adulto",17,IF(Atletas!G348="Taijiquan Adulto",18,""))))))))))))))))))))</f>
        <v/>
      </c>
      <c r="AZ352" s="46" t="str">
        <f>IF(Atletas!H348="","",IF(Atletas!B348="Feminino",100,IF(Atletas!B348="Masculino",200,""))+(IF(Atletas!H348="Daoshu Mirim",19,IF(Atletas!H348="Jianshu Mirim",20,IF(Atletas!H348="Nandao Mirim",21,IF(Atletas!H348="Taijijian Mirim",22,IF(Atletas!H348="Daoshu Grupo C",23,IF(Atletas!H348="Jianshu Grupo C",24,IF(Atletas!H348="Nandao Grupo C",25,IF(Atletas!H348="Taijijian Grupo C",26,IF(Atletas!H348="Daoshu Grupo B",27,IF(Atletas!H348="Jianshu Grupo B",28,IF(Atletas!H348="Nandao Grupo B",29,IF(Atletas!H348="Taijijian Grupo B",30,IF(Atletas!H348="Daoshu Grupo A",31,IF(Atletas!H348="Jianshu Grupo A",32,IF(Atletas!H348="Nandao Grupo A",33,IF(Atletas!H348="Taijijian Grupo A",34,IF(Atletas!H348="Daoshu Opcional",35,IF(Atletas!H348="Jianshu Opcional",36,IF(Atletas!H348="Nandao Opcional",37,IF(Atletas!H348="Taijijian Opcional",38,IF(Atletas!H348="Daoshu Adulto",39,IF(Atletas!H348="Jianshu Adulto",40,IF(Atletas!H348="Nandao Adulto",41,IF(Atletas!H348="Taijijian Adulto",42,""))))))))))))))))))))))))))</f>
        <v/>
      </c>
      <c r="BA352" s="46" t="str">
        <f>IF(Atletas!I348="","",IF(Atletas!B348="Feminino",100,IF(Atletas!B348="Masculino",200,""))+(IF(Atletas!I348="Gunshu Mirim",43,IF(Atletas!I348="Qiangshu Mirim",44,IF(Atletas!I348="Nangun Mirim",45,IF(Atletas!I348="Gunshu Grupo C",46,IF(Atletas!I348="Qiangshu Grupo C",47,IF(Atletas!I348="Nangun Grupo C",48,IF(Atletas!I348="Gunshu Grupo B",49,IF(Atletas!I348="Qiangshu Grupo B",50,IF(Atletas!I348="Nangun Grupo B",51,IF(Atletas!I348="Gunshu Grupo A",52,IF(Atletas!I348="Qiangshu Grupo A",53,IF(Atletas!I348="Nangun Grupo A",54,IF(Atletas!I348="Gunshu Opcional",55,IF(Atletas!I348="Qiangshu Opcional",56,IF(Atletas!I348="Nangun Opcional",57,IF(Atletas!I348="Gunshu Adulto",58,IF(Atletas!I348="Qiangshu Adulto",59,IF(Atletas!I348="Nangun Adulto",60,""))))))))))))))))))))</f>
        <v/>
      </c>
      <c r="BF352" s="52" t="str">
        <f>IF(Atletas!J348="","",IF(Atletas!B348="Feminino",100,IF(Atletas!B348="Masculino",200,""))+(IF(Atletas!J348="Equipe 1 Grupo B",1,IF(Atletas!J348="Equipe 2 Grupo B",2,IF(Atletas!J348="Equipe 1 Grupo A",3,IF(Atletas!J348="Equipe 2 Grupo A",4,IF(Atletas!J348="Equipe 1 Adulto",5,IF(Atletas!J348="Equipe 2 Adulto",6,""))))))))</f>
        <v/>
      </c>
      <c r="BK352" s="52" t="str">
        <f>IF(Atletas!K348="","",IF(Atletas!W348&lt;&gt;"",10000,0)+(IF(Atletas!B348="Feminino",1000,IF(Atletas!B348="Masculino",2000,""))+IF(Atletas!K348="Choylayfut A",1,IF(Atletas!K348="Hunggar A",2,IF(Atletas!K348="Wuzuquan A",3,IF(Atletas!K348="Wingchun A",4,IF(Atletas!K348="Outra Mão de Sul A",5,IF(Atletas!K348="Choylayfut B",6,IF(Atletas!K348="Hunggar B",7,IF(Atletas!K348="Wuzuquan B",8,IF(Atletas!K348="Wingchun B",9,IF(Atletas!K348="Outra Mão de Sul B",10,IF(Atletas!K348="Choylayfut C",11,IF(Atletas!K348="Hunggar C",12,IF(Atletas!K348="Wuzuquan C",13,IF(Atletas!K348="Wingchun C",14,IF(Atletas!K348="Outra Mão de Sul C",15,IF(Atletas!K348="Choylayfut D",16,IF(Atletas!K348="Hunggar D",17,IF(Atletas!K348="Wuzuquan D",18,IF(Atletas!K348="Wingchun D",19,IF(Atletas!K348="Outra Mão de Sul D",20,IF(Atletas!K348="Choylayfut E",21,IF(Atletas!K348="Hunggar E",22,IF(Atletas!K348="Wuzuquan E",23,IF(Atletas!K348="Wingchun E",24,IF(Atletas!K348="Outra Mão de Sul E",25,IF(Atletas!K348="Choylayfut F",26,IF(Atletas!K348="Hunggar F",27,IF(Atletas!K348="Wuzuquan F",28,IF(Atletas!K348="Wingchun F",29,IF(Atletas!K348="Outra Mão de Sul F",30,""))))))))))))))))))))))))))))))))</f>
        <v/>
      </c>
      <c r="BL352" s="52" t="str">
        <f>IF(Atletas!L348="","",IF(Atletas!W348&lt;&gt;"",10000,0)+(IF(Atletas!B348="Feminino",1000,IF(Atletas!B348="Masculino",2000,""))+(IF(Atletas!L348="Chaquan A",101,IF(Atletas!L348="Emeiquan A",102,IF(Atletas!L348="Fanziquan A",103,IF(Atletas!L348="Huaquan A",104,IF(Atletas!L348="Hongquan A",105,IF(Atletas!L348="Paochui A",106,IF(Atletas!L348="Piguaquan A",107,IF(Atletas!L348="Shaolinquan A",108,IF(Atletas!L348="Tanglangquan A",109,IF(Atletas!L348="Yinzhaophai A",110,IF(Atletas!L348="Tongbeiquan A",111,IF(Atletas!L348="Wudangquan A",112,IF(Atletas!L348="Outros Estilos A",113,IF(Atletas!L348="Chaquan B",114,IF(Atletas!L348="Emeiquan B",115,IF(Atletas!L348="Fanziquan B",116,IF(Atletas!L348="Huaquan B",117,IF(Atletas!L348="Hongquan B",118,IF(Atletas!L348="Paochui B",119,IF(Atletas!L348="Piguaquan B",120,IF(Atletas!L348="Shaolinquan B",121,IF(Atletas!L348="Tanglangquan B",122,IF(Atletas!L348="Yinzhaophai B",123,IF(Atletas!L348="Tongbeiquan B",124,IF(Atletas!L348="Wudangquan B",125,IF(Atletas!L348="Outros Estilos B",126,IF(Atletas!L348="Chaquan C",127,IF(Atletas!L348="Emeiquan C",128,IF(Atletas!L348="Fanziquan C",129,IF(Atletas!L348="Huaquan C",130,IF(Atletas!L348="Hongquan C",131,IF(Atletas!L348="Paochui C",132,IF(Atletas!L348="Piguaquan C",133,IF(Atletas!L348="Shaolinquan C",134,IF(Atletas!L348="Tanglangquan C",135,IF(Atletas!L348="Yinzhaophai C",136,IF(Atletas!L348="Tongbeiquan C",137,IF(Atletas!L348="Wudangquan C",138,IF(Atletas!L348="Outros Estilos C",139,0))))))))))))))))))))))))))))))))))))))))))</f>
        <v/>
      </c>
      <c r="BM352" s="52" t="str">
        <f>IF(Atletas!L348="","",IF(Atletas!W348&lt;&gt;"",10000,0)+(IF(Atletas!B348="Feminino",1000,IF(Atletas!B348="Masculino",2000,""))+(IF(Atletas!L348="Chaquan D",140,IF(Atletas!L348="Emeiquan D",141,IF(Atletas!L348="Fanziquan D",142,IF(Atletas!L348="Huaquan D",143,IF(Atletas!L348="Hongquan D",144,IF(Atletas!L348="Paochui D",145,IF(Atletas!L348="Piguaquan D",146,IF(Atletas!L348="Shaolinquan D",147,IF(Atletas!L348="Tanglangquan D",148,IF(Atletas!L348="Yinzhaophai D",149,IF(Atletas!L348="Tongbeiquan D",150,IF(Atletas!L348="Wudangquan D",151,IF(Atletas!L348="Outros Estilos D",152,IF(Atletas!L348="Chaquan E",153,IF(Atletas!L348="Emeiquan E",154,IF(Atletas!L348="Fanziquan E",155,IF(Atletas!L348="Huaquan E",156,IF(Atletas!L348="Hongquan E",157,IF(Atletas!L348="Paochui E",158,IF(Atletas!L348="Piguaquan E",159,IF(Atletas!L348="Shaolinquan E",160,IF(Atletas!L348="Tanglangquan E",161,IF(Atletas!L348="Yinzhaophai E",162,IF(Atletas!L348="Tongbeiquan E",163,IF(Atletas!L348="Wudangquan E",164,IF(Atletas!L348="Outros Estilos E",165,IF(Atletas!L348="Chaquan F",166,IF(Atletas!L348="Emeiquan F",167,IF(Atletas!L348="Fanziquan F",168,IF(Atletas!L348="Huaquan F",169,IF(Atletas!L348="Hongquan F",170,IF(Atletas!L348="Paochui F",171,IF(Atletas!L348="Piguaquan F",172,IF(Atletas!L348="Shaolinquan F",173,IF(Atletas!L348="Tanglangquan F",174,IF(Atletas!L348="Yinzhaophai F",175,IF(Atletas!L348="Tongbeiquan F",176,IF(Atletas!L348="Wudangquan F",177,IF(Atletas!L348="Outros Estilos F",178,0))))))))))))))))))))))))))))))))))))))))))</f>
        <v/>
      </c>
      <c r="BN352" s="52" t="str">
        <f>IF(Atletas!M348="","",IF(Atletas!W348&lt;&gt;"",10000,0)+(IF(Atletas!B348="Feminino",1000,IF(Atletas!B348="Masculino",2000,""))+(IF(Atletas!M348="Ditangquan A",201,IF(Atletas!M348="Houquan A",202,IF(Atletas!M348="Zuiquan A",203,IF(Atletas!M348="Ditangquan B",204,IF(Atletas!M348="Houquan B",205,IF(Atletas!M348="Zuiquan B",206,IF(Atletas!M348="Ditangquan C",207,IF(Atletas!M348="Houquan C",208,IF(Atletas!M348="Zuiquan C",209,IF(Atletas!M348="Ditangquan D",210,IF(Atletas!M348="Houquan D",211,IF(Atletas!M348="Zuiquan D",212,IF(Atletas!M348="Ditangquan E",213,IF(Atletas!M348="Houquan E",214,IF(Atletas!M348="Zuiquan E",215,IF(Atletas!M348="Ditangquan F",216,IF(Atletas!M348="Houquan F",217,IF(Atletas!M348="Zuiquan F",218,"")))))))))))))))))))))</f>
        <v/>
      </c>
      <c r="BO352" s="52" t="str">
        <f>IF(Atletas!N348="","",IF(Atletas!W348&lt;&gt;"",10000,0)+IF(Atletas!B348="Feminino",1000,IF(Atletas!B348="Masculino",2000,""))+IF(Atletas!N348="Yang A",301,IF(Atletas!N348="Chen A",30,IF(Atletas!N348="Sun A",303,IF(Atletas!N348="Wu A",304,IF(Atletas!N348="Wu-Hao A",305,IF(Atletas!N348="Outro Taijiquan A",306,IF(Atletas!N348="Yang B",307,IF(Atletas!N348="Chen B",308,IF(Atletas!N348="Sun B",309,IF(Atletas!N348="Wu B",310,IF(Atletas!N348="Wu-Hao B",311,IF(Atletas!N348="Outro Taijiquan B",312,IF(Atletas!N348="Yang C",313,IF(Atletas!N348="Chen C",314,IF(Atletas!N348="Sun C",315,IF(Atletas!N348="Wu C",316,IF(Atletas!N348="Wu-Hao C",317,IF(Atletas!N348="Outro Taijiquan C",318,IF(Atletas!N348="Yang D",319,IF(Atletas!N348="Chen D",320,IF(Atletas!N348="Sun D",321,IF(Atletas!N348="Wu D",322,IF(Atletas!N348="Wu-Hao D",323,IF(Atletas!N348="Outro Taijiquan D",324,IF(Atletas!N348="Yang E",325,IF(Atletas!N348="Chen E",326,IF(Atletas!N348="Sun E",327,IF(Atletas!N348="Wu E",328,IF(Atletas!N348="Wu-Hao E",329,IF(Atletas!N348="Outro Taijiquan E",330,IF(Atletas!N348="Yang F",331,IF(Atletas!N348="Chen F",332,IF(Atletas!N348="Sun F",333,IF(Atletas!N348="Wu F",334,IF(Atletas!N348="Wu-Hao F",335,IF(Atletas!N348="Outro Taijiquan F",336,"")))))))))))))))))))))))))))))))))))))</f>
        <v/>
      </c>
      <c r="BP352" s="52" t="str">
        <f>IF(Atletas!O348="","",IF(Atletas!W348&lt;&gt;"",10000,0)+IF(Atletas!B348="Feminino",1000,IF(Atletas!B348="Masculino",2000,""))+IF(OR(Atletas!O348="Yang 26 A",Atletas!O348="Yang 40 A"),401,IF(OR(Atletas!O348="Chen 25 A",Atletas!O348="Chen 36 A",Atletas!O348="Chen 56 A"),402,IF(Atletas!O348="Sun 73 A",403,IF(Atletas!O348="Wu 45 A",404,IF(Atletas!O348="Wu-Hao 46 A",405,IF(OR(Atletas!O348="Taijiquan 16 A",Atletas!O348="Taijiquan 24 A",Atletas!O348="Taijiquan 32 A",Atletas!O348="Taijiquan 42 A"),406,IF(OR(Atletas!O348="Yang 26 B",Atletas!O348="Yang 40 B"),407,IF(OR(Atletas!O348="Chen 25 B",Atletas!O348="Chen 36 B",Atletas!O348="Chen 56 B"),408,IF(Atletas!O348="Sun 73 B",409,IF(Atletas!O348="Wu 45 B",410,IF(Atletas!O348="Wu-Hao 46 B",411,IF(OR(Atletas!O348="Taijiquan 16 B",Atletas!O348="Taijiquan 24 B",Atletas!O348="Taijiquan 32 B",Atletas!O348="Taijiquan 42 B"),412,IF(OR(Atletas!O348="Yang 26 C",Atletas!O348="Yang 40 C"),413,IF(OR(Atletas!O348="Chen 25 C",Atletas!O348="Chen 36 C",Atletas!O348="Chen 56 C"),414,IF(Atletas!O348="Sun 73 C",415,IF(Atletas!O348="Wu 45 C",416,IF(Atletas!O348="Wu-Hao 46 C",417,IF(OR(Atletas!O348="Taijiquan 16 C",Atletas!O348="Taijiquan 24 C",Atletas!O348="Taijiquan 32 C",Atletas!O348="Taijiquan 42 C"),418,0)))))))))))))))))))</f>
        <v/>
      </c>
      <c r="BQ352" s="52" t="str">
        <f>IF(Atletas!O348="","",IF(Atletas!W348&lt;&gt;"",10000,0)+IF(Atletas!B348="Feminino",1000,IF(Atletas!B348="Masculino",2000,""))+IF(OR(Atletas!O348="Yang 26 D",Atletas!O348="Yang 40 D"),419,IF(OR(Atletas!O348="Chen 25 D",Atletas!O348="Chen 36 D",Atletas!O348="Chen 56 D"),420,IF(Atletas!O348="Sun 73 D",421,IF(Atletas!O348="Wu 45 D",422,IF(Atletas!O348="Wu-Hao 46 D",423,IF(OR(Atletas!O348="Taijiquan 16 D",Atletas!O348="Taijiquan 24 D",Atletas!O348="Taijiquan 32 D",Atletas!O348="Taijiquan 42 D"),424,IF(OR(Atletas!O348="Yang 26 E",Atletas!O348="Yang 40 E"),425,IF(OR(Atletas!O348="Chen 25 E",Atletas!O348="Chen 36 E",Atletas!O348="Chen 56 E"),426,IF(Atletas!O348="Sun 73 E",427,IF(Atletas!O348="Wu 45 E",428,IF(Atletas!O348="Wu-Hao 46 E",429,IF(OR(Atletas!O348="Taijiquan 16 E",Atletas!O348="Taijiquan 24 E",Atletas!O348="Taijiquan 32 E",Atletas!O348="Taijiquan 42 E"),430,IF(OR(Atletas!O348="Yang 26 F",Atletas!O348="Yang 40 F"),431,IF(OR(Atletas!O348="Chen 25 F",Atletas!O348="Chen 36 F",Atletas!O348="Chen 56 F"),432,IF(Atletas!O348="Sun 73 F",433,IF(Atletas!O348="Wu 45 F",434,IF(Atletas!O348="Wu-Hao 46 F",435,IF(OR(Atletas!O348="Taijiquan 16 F",Atletas!O348="Taijiquan 24 F",Atletas!O348="Taijiquan 32 F",Atletas!O348="Taijiquan 42 F"),436,0)))))))))))))))))))</f>
        <v/>
      </c>
      <c r="BR352" s="52" t="str">
        <f>IF(Atletas!P348="","",IF(Atletas!W348&lt;&gt;"",10000,0)+IF(Atletas!B348="Feminino",1000,IF(Atletas!B348="Masculino",2000,""))+IF(Atletas!P348="Xingyiquan A",501,IF(Atletas!P348="Baguazhang A",502,IF(Atletas!P348="Outro Estilo Interno A",503,IF(Atletas!P348="Xingyiquan B",504,IF(Atletas!P348="Baguazhang B",505,IF(Atletas!P348="Outro Estilo Interno B",506,IF(Atletas!P348="Xingyiquan C",507,IF(Atletas!P348="Baguazhang C",508,IF(Atletas!P348="Outro Estilo Interno C",509,IF(Atletas!P348="Xingyiquan D",510,IF(Atletas!P348="Baguazhang D",511,IF(Atletas!P348="Outro Estilo Interno D",512,IF(Atletas!P348="Xingyiquan E",513,IF(Atletas!P348="Baguazhang E",514,IF(Atletas!P348="Outro Estilo Interno E",515,IF(Atletas!P348="Xingyiquan F",516,IF(Atletas!P348="Baguazhang F",517,IF(Atletas!P348="Outro Estilo Interno F",518, "")))))))))))))))))))</f>
        <v/>
      </c>
      <c r="BS352" s="52" t="str">
        <f>IF(Atletas!Q348="","",IF(Atletas!W348&lt;&gt;"",10000,0)+IF(Atletas!B348="Feminino",1000,IF(Atletas!B348="Masculino",2000,""))+IF(Atletas!Q348="Dao A",601,IF(Atletas!Q348="Jian A",602,IF(Atletas!Q348="Bishou A",603,IF(Atletas!Q348="Shan A",604,IF(Atletas!Q348="Outra Arma Curta A",605,IF(Atletas!Q348="Dao B",606,IF(Atletas!Q348="Jian B",607,IF(Atletas!Q348="Bishou B",608,IF(Atletas!Q348="Shan B",609,IF(Atletas!Q348="Outra Arma Curta B",610,IF(Atletas!Q348="Dao C",611,IF(Atletas!Q348="Jian C",612,IF(Atletas!Q348="Bishou C",613,IF(Atletas!Q348="Shan C",614,IF(Atletas!Q348="Outra Arma Curta C",615,IF(Atletas!Q348="Dao D",616,IF(Atletas!Q348="Jian D",617,IF(Atletas!Q348="Bishou D",618,IF(Atletas!Q348="Shan D",619,IF(Atletas!Q348="Outra Arma Curta D",620,IF(Atletas!Q348="Dao E",621,IF(Atletas!Q348="Jian E",622,IF(Atletas!Q348="Bishou E",623,IF(Atletas!Q348="Shan E",624,IF(Atletas!Q348="Outra Arma Curta E",625,IF(Atletas!Q348="Dao F",626,IF(Atletas!Q348="Jian F",627,IF(Atletas!Q348="Bishou F",628,IF(Atletas!Q348="Shan F",629,IF(Atletas!Q348="Outra Arma Curta F",630, "")))))))))))))))))))))))))))))))</f>
        <v/>
      </c>
      <c r="BT352" s="52" t="str">
        <f>IF(Atletas!R348="","",IF(Atletas!W348&lt;&gt;"",10000,0)+IF(Atletas!B348="Feminino",1000,IF(Atletas!B348="Masculino",2000,""))+IF(Atletas!R348="Gun A",701,IF(Atletas!R348="Qiang A",702,IF(Atletas!R348="Pudao / Guandao A",703,IF(Atletas!R348="Outra Arma Longa A",704,IF(Atletas!R348="Gun B",705,IF(Atletas!R348="Qiang B",706,IF(Atletas!R348="Pudao / Guandao B",707,IF(Atletas!R348="Outra Arma Longa B",708,IF(Atletas!R348="Gun C",709,IF(Atletas!R348="Qiang C",710,IF(Atletas!R348="Pudao / Guandao C",711,IF(Atletas!R348="Outra Arma Longa C",712,IF(Atletas!R348="Gun D",713,IF(Atletas!R348="Qiang D",714,IF(Atletas!R348="Pudao / Guandao D",715,IF(Atletas!R348="Outra Arma Longa D",716,IF(Atletas!R348="Gun E",717,IF(Atletas!R348="Qiang E",718,IF(Atletas!R348="Pudao / Guandao E",719,IF(Atletas!R348="Outra Arma Longa E",720,IF(Atletas!R348="Gun F",721,IF(Atletas!R348="Qiang F",722,IF(Atletas!R348="Pudao / Guandao F",723,IF(Atletas!R348="Outra Arma Longa F",724,"")))))))))))))))))))))))))</f>
        <v/>
      </c>
      <c r="BU352" s="52" t="str">
        <f>IF(Atletas!S348="","",IF(Atletas!W348&lt;&gt;"",10000,0)+IF(Atletas!B348="Feminino",1000,IF(Atletas!B348="Masculino",2000,""))+IF(Atletas!S348="Arma Dupla A",801,IF(Atletas!S348="Arma Maleável A",802,IF(Atletas!S348="Arma Dupla B",803,IF(Atletas!S348="Arma Maleável B",804,IF(Atletas!S348="Arma Dupla C",805,IF(Atletas!S348="Arma Maleável C",806,IF(Atletas!S348="Arma Dupla D",807,IF(Atletas!S348="Arma Maleável D",808,IF(Atletas!S348="Arma Dupla E",809,IF(Atletas!S348="Arma Maleável E",810,IF(Atletas!S348="Arma Dupla F",811,IF(Atletas!S348="Arma Maleável F",812, "")))))))))))))</f>
        <v/>
      </c>
      <c r="BV352" s="52" t="str">
        <f>IF(Atletas!T348="","",IF(Atletas!W348&lt;&gt;"",10000,0)+IF(Atletas!B348="Feminino",1000,IF(Atletas!B348="Masculino",2000,""))+IF(Atletas!T348="Taijijian Yang A",901,IF(Atletas!T348="Taijijian Chen A",902,IF(Atletas!T348="Taijijian Sun A",903,IF(Atletas!T348="Taijijian Wu A",904,IF(Atletas!T348="Taijijian Wu-Hao A",905,IF(Atletas!T348="Taijijian 32 A",906,IF(Atletas!T348="Taijijian 42 A",907,IF(Atletas!T348="Taijijian Yang B",908,IF(Atletas!T348="Taijijian Chen B",909,IF(Atletas!T348="Taijijian Sun B",910,IF(Atletas!T348="Taijijian Wu B",911,IF(Atletas!T348="Taijijian Wu-Hao B",912,IF(Atletas!T348="Taijijian 32 B",913,IF(Atletas!T348="Taijijian 42 B",914,IF(Atletas!T348="Taijijian Yang C",915,IF(Atletas!T348="Taijijian Chen C",916,IF(Atletas!T348="Taijijian Sun C",917,IF(Atletas!T348="Taijijian Wu C",918,IF(Atletas!T348="Taijijian Wu-Hao C",919,IF(Atletas!T348="Taijijian 32 C",920,IF(Atletas!T348="Taijijian 42 C",921,IF(Atletas!T348="Taijijian Yang D",922,IF(Atletas!T348="Taijijian Chen D",923,IF(Atletas!T348="Taijijian Sun D",924,IF(Atletas!T348="Taijijian Wu D",925,IF(Atletas!T348="Taijijian Wu-Hao D",926,IF(Atletas!T348="Taijijian 32 D",927,IF(Atletas!T348="Taijijian 42 D",928,IF(Atletas!T348="Taijijian Yang E",929,IF(Atletas!T348="Taijijian Chen E",930,IF(Atletas!T348="Taijijian Sun E",931,IF(Atletas!T348="Taijijian Wu E",932,IF(Atletas!T348="Taijijian Wu-Hao E",933,IF(Atletas!T348="Taijijian 32 E",934,IF(Atletas!T348="Taijijian 42 E",935,IF(Atletas!T348="Taijijian Yang F",936,IF(Atletas!T348="Taijijian Chen F",937,IF(Atletas!T348="Taijijian Sun F",938,IF(Atletas!T348="Taijijian Wu F",939,IF(Atletas!T348="Taijijian Wu-Hao F",940,IF(Atletas!T348="Taijijian 32 F",941,IF(Atletas!T348="Taijijian 42 F",942,"")))))))))))))))))))))))))))))))))))))))))))</f>
        <v/>
      </c>
      <c r="BW352" s="52" t="str">
        <f>IF(Atletas!U348="","",IF(Atletas!W348&lt;&gt;"",10000,0)+IF(Atletas!B348="Feminino",1000,IF(Atletas!B348="Masculino",2000,""))+IF(Atletas!T348="Taijijian 42 F",942,IF(Atletas!U348="Taijidao A",943,IF(Atletas!U348="Taijishan A",944,IF(Atletas!U348="Taijiqiang A",945,IF(Atletas!U348="Taijidao B",946,IF(Atletas!U348="Taijishan B",947,IF(Atletas!U348="Taijiqiang B",948,IF(Atletas!U348="Taijidao C",949,IF(Atletas!U348="Taijishan C",950,IF(Atletas!U348="Taijiqiang C",951,IF(Atletas!U348="Taijidao D",952,IF(Atletas!U348="Taijishan D",953,IF(Atletas!U348="Taijiqiang D",954,IF(Atletas!U348="Taijidao E",955,IF(Atletas!U348="Taijishan E",956,IF(Atletas!U348="Taijiqiang E",957,IF(Atletas!U348="Taijidao F",958,IF(Atletas!U348="Taijishan F",959,IF(Atletas!U348="Taijiqiang F",960))))))))))))))))))))</f>
        <v/>
      </c>
      <c r="BX352" s="72"/>
      <c r="BY352" s="72"/>
      <c r="BZ352" s="72"/>
      <c r="CA352" s="72"/>
      <c r="CB352" s="72" t="str">
        <f>IF(CC352&lt;&gt;"","Taijijian Wu A","")</f>
        <v/>
      </c>
      <c r="CC352" s="64" t="str">
        <f>IF(COUNTIF(BK:BW,11904)&gt;0,COUNTIF(BK:BW,11904),"")</f>
        <v/>
      </c>
      <c r="CD352" s="64" t="str">
        <f>IF(CE352&lt;&gt;"","Taijijian Wu A","")</f>
        <v/>
      </c>
      <c r="CE352" s="64" t="str">
        <f>IF(COUNTIF(BK:BW,12904)&gt;0,COUNTIF(BK:BW,12904),"")</f>
        <v/>
      </c>
      <c r="CF352" s="52" t="str">
        <f xml:space="preserve"> IF(Atletas!V348="","",IF(Atletas!V348="Duilian de Mãos AB - Equipe 1",1,IF(Atletas!V348="Duilian de Mãos AB - Equipe 2",2,IF(Atletas!V348="Duilian de Armas AB - Equipe 1",3,IF(Atletas!V348="Duilian de Armas AB - Equipe 2",4,IF(Atletas!V348="Duilian de Tuishou - Equipe 1",5,IF(Atletas!V348="Duilian de Tuishou - Equipe 2",6,IF(Atletas!V348="Grupo Externo AB - Equipe 1",7,IF(Atletas!V348="Grupo Externo AB - Equipe 2",8,IF(Atletas!V348="Grupo Interno AB - Equipe 1",9,IF(Atletas!V348="Grupo Interno AB - Equipe 2",10,IF(Atletas!V348="Duilian de Mãos CD - Equipe 1",11,IF(Atletas!V348="Duilian de Mãos CD - Equipe 2",12,IF(Atletas!V348="Duilian de Armas CD - Equipe 1",13,IF(Atletas!V348="Duilian de Armas CD - Equipe 2",14,IF(Atletas!V348="Duilian de Tuishou - Equipe 1",15,IF(Atletas!V348="Duilian de Tuishou - Equipe 2",16,IF(Atletas!V348="Grupo Externo CDEF - Equipe 1",17,IF(Atletas!V348="Grupo Externo CDEF - Equipe 2",18,IF(Atletas!V348="Grupo Interno CDEF - Equipe 1",19,IF(Atletas!V348="Grupo Interno CDEF - Equipe 2",20,IF(Atletas!V348="Duilian de Mãos EF - Equipe 1",21,IF(Atletas!V348="Duilian de Mãos EF - Equipe 2",22,IF(Atletas!V348="Duilian de Armas EF - Equipe 1",23,IF(Atletas!V348="Duilian de Armas EF - Equipe 2",24,IF(Atletas!V348="Duilian de Tuishou - Equipe 1",25,IF(Atletas!V348="Duilian de Tuishou - Equipe 2",26,"")))))))))))))))))))))))))))</f>
        <v/>
      </c>
    </row>
    <row r="353" spans="36:84">
      <c r="AJ353" s="46" t="str">
        <f>IF(Atletas!D349="","",IF(Atletas!B349="Feminino",100,IF(Atletas!B349="Masculino",200,""))+(IF(Atletas!D349="Infantil 39kg",1,IF(Atletas!D349="Infantil 42kg",2,IF(Atletas!D349="Infantil 45kg",3,IF(Atletas!D349="Infantil 48kg",4,IF(Atletas!D349="Infantil 52kg",5,IF(Atletas!D349="Infantil 56kg",6,IF(Atletas!D349="Infantil 60kg",7,IF(Atletas!D349="Juvenil 48kg",8,IF(Atletas!D349="Juvenil 52kg",9,IF(Atletas!D349="Juvenil 56kg",10,IF(Atletas!D349="Juvenil 60kg",11,IF(Atletas!D349="Juvenil 65kg",12,IF(Atletas!D349="Juvenil 70kg",13,IF(Atletas!D349="Juvenil 75kg",14,IF(Atletas!D349="Juvenil 80kg",15,IF(Atletas!D349="Adulto 48kg",16,IF(Atletas!D349="Adulto 52kg",17,IF(Atletas!D349="Adulto 56kg",18,IF(Atletas!D349="Adulto 60kg",19,IF(Atletas!D349="Adulto 65kg",20,IF(Atletas!D349="Adulto 70kg",21,IF(Atletas!D349="Adulto 75kg",22,IF(Atletas!D349="Adulto 80kg",23,IF(Atletas!D349="Adulto 85kg",24,IF(Atletas!D349="Adulto 90kg",25,IF(Atletas!D349="Adulto +90kg",26,""))))))))))))))))))))))))))))</f>
        <v/>
      </c>
      <c r="AO353" s="10" t="str">
        <f>IF(Atletas!E349="","",IF(Atletas!B349="Feminino",100,IF(Atletas!B349="Masculino",200,""))+(IF(Atletas!E349="Juvenil 44kg",1,IF(Atletas!E349="Juvenil 48kg",2,IF(Atletas!E349="Juvenil 52kg",3,IF(Atletas!E349="Juvenil 56kg",4,IF(Atletas!E349="Juvenil 60kg",5,IF(Atletas!E349="Juvenil 65kg",6,IF(Atletas!E349="Juvenil 70kg",7,IF(Atletas!E349="Juvenil 75kg",8,IF(Atletas!E349="Juvenil 82kg",9,IF(Atletas!E349="Juvenil 90kg",10,IF(Atletas!E349="Juvenil 100kg",11,IF(Atletas!E349="Adulto 48kg",12,IF(Atletas!E349="Adulto 52kg",13,IF(Atletas!E349="Adulto 56kg",14,IF(Atletas!E349="Adulto 60kg",15,IF(Atletas!E349="Adulto 65kg",16,IF(Atletas!E349="Adulto 70kg",17,IF(Atletas!E349="Adulto 75kg",18,IF(Atletas!E349="Adulto 82kg",19,IF(Atletas!E349="Adulto 90kg",20,IF(Atletas!E349="Adulto 100kg",21,IF(Atletas!E349="Adulto +100kg",22,""))))))))))))))))))))))))</f>
        <v/>
      </c>
      <c r="AT353" s="10" t="str">
        <f>IF(Atletas!F349="","",IF(Atletas!B349="Feminino",100,IF(Atletas!B349="Masculino",200,""))+(IF(Atletas!F349="Adulto 48kg",1,IF(Atletas!F349="Adulto 56kg",2,IF(Atletas!F349="Adulto 65kg",3,IF(Atletas!F349="Adulto 75kg",4,IF(Atletas!F349="Adulto +75kg",5,IF(Atletas!F349="Adulto 52kg",6,IF(Atletas!F349="Adulto 60kg",7,IF(Atletas!F349="Adulto 70kg",8,IF(Atletas!F349="Adulto 80kg",9,IF(Atletas!F349="Adulto 90kg",10,IF(Atletas!F349="Adulto +90kg",11,"")))))))))))))</f>
        <v/>
      </c>
      <c r="AY353" s="46" t="str">
        <f>IF(Atletas!G349="","",IF(Atletas!B349="Feminino",100,IF(Atletas!B349="Masculino",200,""))+(IF(Atletas!G349="Changquan Mirim",1,IF(Atletas!G349="Nanquan Mirim",2,IF(Atletas!G349="Taijiquan Mirim",3,IF(Atletas!G349="Changquan Grupo C",4,IF(Atletas!G349="Nanquan Grupo C",5,IF(Atletas!G349="Taijiquan Grupo C",6,IF(Atletas!G349="Changquan Grupo B",7,IF(Atletas!G349="Nanquan Grupo B",8,IF(Atletas!G349="Taijiquan Grupo B",9,IF(Atletas!G349="Changquan Grupo A",10,IF(Atletas!G349="Nanquan Grupo A",11,IF(Atletas!G349="Taijiquan Grupo A",12,IF(Atletas!G349="Changquan Opcional",13,IF(Atletas!G349="Nanquan Opcional",14,IF(Atletas!G349="Taijiquan Opcional",15,IF(Atletas!G349="Changquan Adulto",16,IF(Atletas!G349="Nanquan Adulto",17,IF(Atletas!G349="Taijiquan Adulto",18,""))))))))))))))))))))</f>
        <v/>
      </c>
      <c r="AZ353" s="46" t="str">
        <f>IF(Atletas!H349="","",IF(Atletas!B349="Feminino",100,IF(Atletas!B349="Masculino",200,""))+(IF(Atletas!H349="Daoshu Mirim",19,IF(Atletas!H349="Jianshu Mirim",20,IF(Atletas!H349="Nandao Mirim",21,IF(Atletas!H349="Taijijian Mirim",22,IF(Atletas!H349="Daoshu Grupo C",23,IF(Atletas!H349="Jianshu Grupo C",24,IF(Atletas!H349="Nandao Grupo C",25,IF(Atletas!H349="Taijijian Grupo C",26,IF(Atletas!H349="Daoshu Grupo B",27,IF(Atletas!H349="Jianshu Grupo B",28,IF(Atletas!H349="Nandao Grupo B",29,IF(Atletas!H349="Taijijian Grupo B",30,IF(Atletas!H349="Daoshu Grupo A",31,IF(Atletas!H349="Jianshu Grupo A",32,IF(Atletas!H349="Nandao Grupo A",33,IF(Atletas!H349="Taijijian Grupo A",34,IF(Atletas!H349="Daoshu Opcional",35,IF(Atletas!H349="Jianshu Opcional",36,IF(Atletas!H349="Nandao Opcional",37,IF(Atletas!H349="Taijijian Opcional",38,IF(Atletas!H349="Daoshu Adulto",39,IF(Atletas!H349="Jianshu Adulto",40,IF(Atletas!H349="Nandao Adulto",41,IF(Atletas!H349="Taijijian Adulto",42,""))))))))))))))))))))))))))</f>
        <v/>
      </c>
      <c r="BA353" s="46" t="str">
        <f>IF(Atletas!I349="","",IF(Atletas!B349="Feminino",100,IF(Atletas!B349="Masculino",200,""))+(IF(Atletas!I349="Gunshu Mirim",43,IF(Atletas!I349="Qiangshu Mirim",44,IF(Atletas!I349="Nangun Mirim",45,IF(Atletas!I349="Gunshu Grupo C",46,IF(Atletas!I349="Qiangshu Grupo C",47,IF(Atletas!I349="Nangun Grupo C",48,IF(Atletas!I349="Gunshu Grupo B",49,IF(Atletas!I349="Qiangshu Grupo B",50,IF(Atletas!I349="Nangun Grupo B",51,IF(Atletas!I349="Gunshu Grupo A",52,IF(Atletas!I349="Qiangshu Grupo A",53,IF(Atletas!I349="Nangun Grupo A",54,IF(Atletas!I349="Gunshu Opcional",55,IF(Atletas!I349="Qiangshu Opcional",56,IF(Atletas!I349="Nangun Opcional",57,IF(Atletas!I349="Gunshu Adulto",58,IF(Atletas!I349="Qiangshu Adulto",59,IF(Atletas!I349="Nangun Adulto",60,""))))))))))))))))))))</f>
        <v/>
      </c>
      <c r="BF353" s="52" t="str">
        <f>IF(Atletas!J349="","",IF(Atletas!B349="Feminino",100,IF(Atletas!B349="Masculino",200,""))+(IF(Atletas!J349="Equipe 1 Grupo B",1,IF(Atletas!J349="Equipe 2 Grupo B",2,IF(Atletas!J349="Equipe 1 Grupo A",3,IF(Atletas!J349="Equipe 2 Grupo A",4,IF(Atletas!J349="Equipe 1 Adulto",5,IF(Atletas!J349="Equipe 2 Adulto",6,""))))))))</f>
        <v/>
      </c>
      <c r="BK353" s="52" t="str">
        <f>IF(Atletas!K349="","",IF(Atletas!W349&lt;&gt;"",10000,0)+(IF(Atletas!B349="Feminino",1000,IF(Atletas!B349="Masculino",2000,""))+IF(Atletas!K349="Choylayfut A",1,IF(Atletas!K349="Hunggar A",2,IF(Atletas!K349="Wuzuquan A",3,IF(Atletas!K349="Wingchun A",4,IF(Atletas!K349="Outra Mão de Sul A",5,IF(Atletas!K349="Choylayfut B",6,IF(Atletas!K349="Hunggar B",7,IF(Atletas!K349="Wuzuquan B",8,IF(Atletas!K349="Wingchun B",9,IF(Atletas!K349="Outra Mão de Sul B",10,IF(Atletas!K349="Choylayfut C",11,IF(Atletas!K349="Hunggar C",12,IF(Atletas!K349="Wuzuquan C",13,IF(Atletas!K349="Wingchun C",14,IF(Atletas!K349="Outra Mão de Sul C",15,IF(Atletas!K349="Choylayfut D",16,IF(Atletas!K349="Hunggar D",17,IF(Atletas!K349="Wuzuquan D",18,IF(Atletas!K349="Wingchun D",19,IF(Atletas!K349="Outra Mão de Sul D",20,IF(Atletas!K349="Choylayfut E",21,IF(Atletas!K349="Hunggar E",22,IF(Atletas!K349="Wuzuquan E",23,IF(Atletas!K349="Wingchun E",24,IF(Atletas!K349="Outra Mão de Sul E",25,IF(Atletas!K349="Choylayfut F",26,IF(Atletas!K349="Hunggar F",27,IF(Atletas!K349="Wuzuquan F",28,IF(Atletas!K349="Wingchun F",29,IF(Atletas!K349="Outra Mão de Sul F",30,""))))))))))))))))))))))))))))))))</f>
        <v/>
      </c>
      <c r="BL353" s="52" t="str">
        <f>IF(Atletas!L349="","",IF(Atletas!W349&lt;&gt;"",10000,0)+(IF(Atletas!B349="Feminino",1000,IF(Atletas!B349="Masculino",2000,""))+(IF(Atletas!L349="Chaquan A",101,IF(Atletas!L349="Emeiquan A",102,IF(Atletas!L349="Fanziquan A",103,IF(Atletas!L349="Huaquan A",104,IF(Atletas!L349="Hongquan A",105,IF(Atletas!L349="Paochui A",106,IF(Atletas!L349="Piguaquan A",107,IF(Atletas!L349="Shaolinquan A",108,IF(Atletas!L349="Tanglangquan A",109,IF(Atletas!L349="Yinzhaophai A",110,IF(Atletas!L349="Tongbeiquan A",111,IF(Atletas!L349="Wudangquan A",112,IF(Atletas!L349="Outros Estilos A",113,IF(Atletas!L349="Chaquan B",114,IF(Atletas!L349="Emeiquan B",115,IF(Atletas!L349="Fanziquan B",116,IF(Atletas!L349="Huaquan B",117,IF(Atletas!L349="Hongquan B",118,IF(Atletas!L349="Paochui B",119,IF(Atletas!L349="Piguaquan B",120,IF(Atletas!L349="Shaolinquan B",121,IF(Atletas!L349="Tanglangquan B",122,IF(Atletas!L349="Yinzhaophai B",123,IF(Atletas!L349="Tongbeiquan B",124,IF(Atletas!L349="Wudangquan B",125,IF(Atletas!L349="Outros Estilos B",126,IF(Atletas!L349="Chaquan C",127,IF(Atletas!L349="Emeiquan C",128,IF(Atletas!L349="Fanziquan C",129,IF(Atletas!L349="Huaquan C",130,IF(Atletas!L349="Hongquan C",131,IF(Atletas!L349="Paochui C",132,IF(Atletas!L349="Piguaquan C",133,IF(Atletas!L349="Shaolinquan C",134,IF(Atletas!L349="Tanglangquan C",135,IF(Atletas!L349="Yinzhaophai C",136,IF(Atletas!L349="Tongbeiquan C",137,IF(Atletas!L349="Wudangquan C",138,IF(Atletas!L349="Outros Estilos C",139,0))))))))))))))))))))))))))))))))))))))))))</f>
        <v/>
      </c>
      <c r="BM353" s="52" t="str">
        <f>IF(Atletas!L349="","",IF(Atletas!W349&lt;&gt;"",10000,0)+(IF(Atletas!B349="Feminino",1000,IF(Atletas!B349="Masculino",2000,""))+(IF(Atletas!L349="Chaquan D",140,IF(Atletas!L349="Emeiquan D",141,IF(Atletas!L349="Fanziquan D",142,IF(Atletas!L349="Huaquan D",143,IF(Atletas!L349="Hongquan D",144,IF(Atletas!L349="Paochui D",145,IF(Atletas!L349="Piguaquan D",146,IF(Atletas!L349="Shaolinquan D",147,IF(Atletas!L349="Tanglangquan D",148,IF(Atletas!L349="Yinzhaophai D",149,IF(Atletas!L349="Tongbeiquan D",150,IF(Atletas!L349="Wudangquan D",151,IF(Atletas!L349="Outros Estilos D",152,IF(Atletas!L349="Chaquan E",153,IF(Atletas!L349="Emeiquan E",154,IF(Atletas!L349="Fanziquan E",155,IF(Atletas!L349="Huaquan E",156,IF(Atletas!L349="Hongquan E",157,IF(Atletas!L349="Paochui E",158,IF(Atletas!L349="Piguaquan E",159,IF(Atletas!L349="Shaolinquan E",160,IF(Atletas!L349="Tanglangquan E",161,IF(Atletas!L349="Yinzhaophai E",162,IF(Atletas!L349="Tongbeiquan E",163,IF(Atletas!L349="Wudangquan E",164,IF(Atletas!L349="Outros Estilos E",165,IF(Atletas!L349="Chaquan F",166,IF(Atletas!L349="Emeiquan F",167,IF(Atletas!L349="Fanziquan F",168,IF(Atletas!L349="Huaquan F",169,IF(Atletas!L349="Hongquan F",170,IF(Atletas!L349="Paochui F",171,IF(Atletas!L349="Piguaquan F",172,IF(Atletas!L349="Shaolinquan F",173,IF(Atletas!L349="Tanglangquan F",174,IF(Atletas!L349="Yinzhaophai F",175,IF(Atletas!L349="Tongbeiquan F",176,IF(Atletas!L349="Wudangquan F",177,IF(Atletas!L349="Outros Estilos F",178,0))))))))))))))))))))))))))))))))))))))))))</f>
        <v/>
      </c>
      <c r="BN353" s="52" t="str">
        <f>IF(Atletas!M349="","",IF(Atletas!W349&lt;&gt;"",10000,0)+(IF(Atletas!B349="Feminino",1000,IF(Atletas!B349="Masculino",2000,""))+(IF(Atletas!M349="Ditangquan A",201,IF(Atletas!M349="Houquan A",202,IF(Atletas!M349="Zuiquan A",203,IF(Atletas!M349="Ditangquan B",204,IF(Atletas!M349="Houquan B",205,IF(Atletas!M349="Zuiquan B",206,IF(Atletas!M349="Ditangquan C",207,IF(Atletas!M349="Houquan C",208,IF(Atletas!M349="Zuiquan C",209,IF(Atletas!M349="Ditangquan D",210,IF(Atletas!M349="Houquan D",211,IF(Atletas!M349="Zuiquan D",212,IF(Atletas!M349="Ditangquan E",213,IF(Atletas!M349="Houquan E",214,IF(Atletas!M349="Zuiquan E",215,IF(Atletas!M349="Ditangquan F",216,IF(Atletas!M349="Houquan F",217,IF(Atletas!M349="Zuiquan F",218,"")))))))))))))))))))))</f>
        <v/>
      </c>
      <c r="BO353" s="52" t="str">
        <f>IF(Atletas!N349="","",IF(Atletas!W349&lt;&gt;"",10000,0)+IF(Atletas!B349="Feminino",1000,IF(Atletas!B349="Masculino",2000,""))+IF(Atletas!N349="Yang A",301,IF(Atletas!N349="Chen A",30,IF(Atletas!N349="Sun A",303,IF(Atletas!N349="Wu A",304,IF(Atletas!N349="Wu-Hao A",305,IF(Atletas!N349="Outro Taijiquan A",306,IF(Atletas!N349="Yang B",307,IF(Atletas!N349="Chen B",308,IF(Atletas!N349="Sun B",309,IF(Atletas!N349="Wu B",310,IF(Atletas!N349="Wu-Hao B",311,IF(Atletas!N349="Outro Taijiquan B",312,IF(Atletas!N349="Yang C",313,IF(Atletas!N349="Chen C",314,IF(Atletas!N349="Sun C",315,IF(Atletas!N349="Wu C",316,IF(Atletas!N349="Wu-Hao C",317,IF(Atletas!N349="Outro Taijiquan C",318,IF(Atletas!N349="Yang D",319,IF(Atletas!N349="Chen D",320,IF(Atletas!N349="Sun D",321,IF(Atletas!N349="Wu D",322,IF(Atletas!N349="Wu-Hao D",323,IF(Atletas!N349="Outro Taijiquan D",324,IF(Atletas!N349="Yang E",325,IF(Atletas!N349="Chen E",326,IF(Atletas!N349="Sun E",327,IF(Atletas!N349="Wu E",328,IF(Atletas!N349="Wu-Hao E",329,IF(Atletas!N349="Outro Taijiquan E",330,IF(Atletas!N349="Yang F",331,IF(Atletas!N349="Chen F",332,IF(Atletas!N349="Sun F",333,IF(Atletas!N349="Wu F",334,IF(Atletas!N349="Wu-Hao F",335,IF(Atletas!N349="Outro Taijiquan F",336,"")))))))))))))))))))))))))))))))))))))</f>
        <v/>
      </c>
      <c r="BP353" s="52" t="str">
        <f>IF(Atletas!O349="","",IF(Atletas!W349&lt;&gt;"",10000,0)+IF(Atletas!B349="Feminino",1000,IF(Atletas!B349="Masculino",2000,""))+IF(OR(Atletas!O349="Yang 26 A",Atletas!O349="Yang 40 A"),401,IF(OR(Atletas!O349="Chen 25 A",Atletas!O349="Chen 36 A",Atletas!O349="Chen 56 A"),402,IF(Atletas!O349="Sun 73 A",403,IF(Atletas!O349="Wu 45 A",404,IF(Atletas!O349="Wu-Hao 46 A",405,IF(OR(Atletas!O349="Taijiquan 16 A",Atletas!O349="Taijiquan 24 A",Atletas!O349="Taijiquan 32 A",Atletas!O349="Taijiquan 42 A"),406,IF(OR(Atletas!O349="Yang 26 B",Atletas!O349="Yang 40 B"),407,IF(OR(Atletas!O349="Chen 25 B",Atletas!O349="Chen 36 B",Atletas!O349="Chen 56 B"),408,IF(Atletas!O349="Sun 73 B",409,IF(Atletas!O349="Wu 45 B",410,IF(Atletas!O349="Wu-Hao 46 B",411,IF(OR(Atletas!O349="Taijiquan 16 B",Atletas!O349="Taijiquan 24 B",Atletas!O349="Taijiquan 32 B",Atletas!O349="Taijiquan 42 B"),412,IF(OR(Atletas!O349="Yang 26 C",Atletas!O349="Yang 40 C"),413,IF(OR(Atletas!O349="Chen 25 C",Atletas!O349="Chen 36 C",Atletas!O349="Chen 56 C"),414,IF(Atletas!O349="Sun 73 C",415,IF(Atletas!O349="Wu 45 C",416,IF(Atletas!O349="Wu-Hao 46 C",417,IF(OR(Atletas!O349="Taijiquan 16 C",Atletas!O349="Taijiquan 24 C",Atletas!O349="Taijiquan 32 C",Atletas!O349="Taijiquan 42 C"),418,0)))))))))))))))))))</f>
        <v/>
      </c>
      <c r="BQ353" s="52" t="str">
        <f>IF(Atletas!O349="","",IF(Atletas!W349&lt;&gt;"",10000,0)+IF(Atletas!B349="Feminino",1000,IF(Atletas!B349="Masculino",2000,""))+IF(OR(Atletas!O349="Yang 26 D",Atletas!O349="Yang 40 D"),419,IF(OR(Atletas!O349="Chen 25 D",Atletas!O349="Chen 36 D",Atletas!O349="Chen 56 D"),420,IF(Atletas!O349="Sun 73 D",421,IF(Atletas!O349="Wu 45 D",422,IF(Atletas!O349="Wu-Hao 46 D",423,IF(OR(Atletas!O349="Taijiquan 16 D",Atletas!O349="Taijiquan 24 D",Atletas!O349="Taijiquan 32 D",Atletas!O349="Taijiquan 42 D"),424,IF(OR(Atletas!O349="Yang 26 E",Atletas!O349="Yang 40 E"),425,IF(OR(Atletas!O349="Chen 25 E",Atletas!O349="Chen 36 E",Atletas!O349="Chen 56 E"),426,IF(Atletas!O349="Sun 73 E",427,IF(Atletas!O349="Wu 45 E",428,IF(Atletas!O349="Wu-Hao 46 E",429,IF(OR(Atletas!O349="Taijiquan 16 E",Atletas!O349="Taijiquan 24 E",Atletas!O349="Taijiquan 32 E",Atletas!O349="Taijiquan 42 E"),430,IF(OR(Atletas!O349="Yang 26 F",Atletas!O349="Yang 40 F"),431,IF(OR(Atletas!O349="Chen 25 F",Atletas!O349="Chen 36 F",Atletas!O349="Chen 56 F"),432,IF(Atletas!O349="Sun 73 F",433,IF(Atletas!O349="Wu 45 F",434,IF(Atletas!O349="Wu-Hao 46 F",435,IF(OR(Atletas!O349="Taijiquan 16 F",Atletas!O349="Taijiquan 24 F",Atletas!O349="Taijiquan 32 F",Atletas!O349="Taijiquan 42 F"),436,0)))))))))))))))))))</f>
        <v/>
      </c>
      <c r="BR353" s="52" t="str">
        <f>IF(Atletas!P349="","",IF(Atletas!W349&lt;&gt;"",10000,0)+IF(Atletas!B349="Feminino",1000,IF(Atletas!B349="Masculino",2000,""))+IF(Atletas!P349="Xingyiquan A",501,IF(Atletas!P349="Baguazhang A",502,IF(Atletas!P349="Outro Estilo Interno A",503,IF(Atletas!P349="Xingyiquan B",504,IF(Atletas!P349="Baguazhang B",505,IF(Atletas!P349="Outro Estilo Interno B",506,IF(Atletas!P349="Xingyiquan C",507,IF(Atletas!P349="Baguazhang C",508,IF(Atletas!P349="Outro Estilo Interno C",509,IF(Atletas!P349="Xingyiquan D",510,IF(Atletas!P349="Baguazhang D",511,IF(Atletas!P349="Outro Estilo Interno D",512,IF(Atletas!P349="Xingyiquan E",513,IF(Atletas!P349="Baguazhang E",514,IF(Atletas!P349="Outro Estilo Interno E",515,IF(Atletas!P349="Xingyiquan F",516,IF(Atletas!P349="Baguazhang F",517,IF(Atletas!P349="Outro Estilo Interno F",518, "")))))))))))))))))))</f>
        <v/>
      </c>
      <c r="BS353" s="52" t="str">
        <f>IF(Atletas!Q349="","",IF(Atletas!W349&lt;&gt;"",10000,0)+IF(Atletas!B349="Feminino",1000,IF(Atletas!B349="Masculino",2000,""))+IF(Atletas!Q349="Dao A",601,IF(Atletas!Q349="Jian A",602,IF(Atletas!Q349="Bishou A",603,IF(Atletas!Q349="Shan A",604,IF(Atletas!Q349="Outra Arma Curta A",605,IF(Atletas!Q349="Dao B",606,IF(Atletas!Q349="Jian B",607,IF(Atletas!Q349="Bishou B",608,IF(Atletas!Q349="Shan B",609,IF(Atletas!Q349="Outra Arma Curta B",610,IF(Atletas!Q349="Dao C",611,IF(Atletas!Q349="Jian C",612,IF(Atletas!Q349="Bishou C",613,IF(Atletas!Q349="Shan C",614,IF(Atletas!Q349="Outra Arma Curta C",615,IF(Atletas!Q349="Dao D",616,IF(Atletas!Q349="Jian D",617,IF(Atletas!Q349="Bishou D",618,IF(Atletas!Q349="Shan D",619,IF(Atletas!Q349="Outra Arma Curta D",620,IF(Atletas!Q349="Dao E",621,IF(Atletas!Q349="Jian E",622,IF(Atletas!Q349="Bishou E",623,IF(Atletas!Q349="Shan E",624,IF(Atletas!Q349="Outra Arma Curta E",625,IF(Atletas!Q349="Dao F",626,IF(Atletas!Q349="Jian F",627,IF(Atletas!Q349="Bishou F",628,IF(Atletas!Q349="Shan F",629,IF(Atletas!Q349="Outra Arma Curta F",630, "")))))))))))))))))))))))))))))))</f>
        <v/>
      </c>
      <c r="BT353" s="52" t="str">
        <f>IF(Atletas!R349="","",IF(Atletas!W349&lt;&gt;"",10000,0)+IF(Atletas!B349="Feminino",1000,IF(Atletas!B349="Masculino",2000,""))+IF(Atletas!R349="Gun A",701,IF(Atletas!R349="Qiang A",702,IF(Atletas!R349="Pudao / Guandao A",703,IF(Atletas!R349="Outra Arma Longa A",704,IF(Atletas!R349="Gun B",705,IF(Atletas!R349="Qiang B",706,IF(Atletas!R349="Pudao / Guandao B",707,IF(Atletas!R349="Outra Arma Longa B",708,IF(Atletas!R349="Gun C",709,IF(Atletas!R349="Qiang C",710,IF(Atletas!R349="Pudao / Guandao C",711,IF(Atletas!R349="Outra Arma Longa C",712,IF(Atletas!R349="Gun D",713,IF(Atletas!R349="Qiang D",714,IF(Atletas!R349="Pudao / Guandao D",715,IF(Atletas!R349="Outra Arma Longa D",716,IF(Atletas!R349="Gun E",717,IF(Atletas!R349="Qiang E",718,IF(Atletas!R349="Pudao / Guandao E",719,IF(Atletas!R349="Outra Arma Longa E",720,IF(Atletas!R349="Gun F",721,IF(Atletas!R349="Qiang F",722,IF(Atletas!R349="Pudao / Guandao F",723,IF(Atletas!R349="Outra Arma Longa F",724,"")))))))))))))))))))))))))</f>
        <v/>
      </c>
      <c r="BU353" s="52" t="str">
        <f>IF(Atletas!S349="","",IF(Atletas!W349&lt;&gt;"",10000,0)+IF(Atletas!B349="Feminino",1000,IF(Atletas!B349="Masculino",2000,""))+IF(Atletas!S349="Arma Dupla A",801,IF(Atletas!S349="Arma Maleável A",802,IF(Atletas!S349="Arma Dupla B",803,IF(Atletas!S349="Arma Maleável B",804,IF(Atletas!S349="Arma Dupla C",805,IF(Atletas!S349="Arma Maleável C",806,IF(Atletas!S349="Arma Dupla D",807,IF(Atletas!S349="Arma Maleável D",808,IF(Atletas!S349="Arma Dupla E",809,IF(Atletas!S349="Arma Maleável E",810,IF(Atletas!S349="Arma Dupla F",811,IF(Atletas!S349="Arma Maleável F",812, "")))))))))))))</f>
        <v/>
      </c>
      <c r="BV353" s="52" t="str">
        <f>IF(Atletas!T349="","",IF(Atletas!W349&lt;&gt;"",10000,0)+IF(Atletas!B349="Feminino",1000,IF(Atletas!B349="Masculino",2000,""))+IF(Atletas!T349="Taijijian Yang A",901,IF(Atletas!T349="Taijijian Chen A",902,IF(Atletas!T349="Taijijian Sun A",903,IF(Atletas!T349="Taijijian Wu A",904,IF(Atletas!T349="Taijijian Wu-Hao A",905,IF(Atletas!T349="Taijijian 32 A",906,IF(Atletas!T349="Taijijian 42 A",907,IF(Atletas!T349="Taijijian Yang B",908,IF(Atletas!T349="Taijijian Chen B",909,IF(Atletas!T349="Taijijian Sun B",910,IF(Atletas!T349="Taijijian Wu B",911,IF(Atletas!T349="Taijijian Wu-Hao B",912,IF(Atletas!T349="Taijijian 32 B",913,IF(Atletas!T349="Taijijian 42 B",914,IF(Atletas!T349="Taijijian Yang C",915,IF(Atletas!T349="Taijijian Chen C",916,IF(Atletas!T349="Taijijian Sun C",917,IF(Atletas!T349="Taijijian Wu C",918,IF(Atletas!T349="Taijijian Wu-Hao C",919,IF(Atletas!T349="Taijijian 32 C",920,IF(Atletas!T349="Taijijian 42 C",921,IF(Atletas!T349="Taijijian Yang D",922,IF(Atletas!T349="Taijijian Chen D",923,IF(Atletas!T349="Taijijian Sun D",924,IF(Atletas!T349="Taijijian Wu D",925,IF(Atletas!T349="Taijijian Wu-Hao D",926,IF(Atletas!T349="Taijijian 32 D",927,IF(Atletas!T349="Taijijian 42 D",928,IF(Atletas!T349="Taijijian Yang E",929,IF(Atletas!T349="Taijijian Chen E",930,IF(Atletas!T349="Taijijian Sun E",931,IF(Atletas!T349="Taijijian Wu E",932,IF(Atletas!T349="Taijijian Wu-Hao E",933,IF(Atletas!T349="Taijijian 32 E",934,IF(Atletas!T349="Taijijian 42 E",935,IF(Atletas!T349="Taijijian Yang F",936,IF(Atletas!T349="Taijijian Chen F",937,IF(Atletas!T349="Taijijian Sun F",938,IF(Atletas!T349="Taijijian Wu F",939,IF(Atletas!T349="Taijijian Wu-Hao F",940,IF(Atletas!T349="Taijijian 32 F",941,IF(Atletas!T349="Taijijian 42 F",942,"")))))))))))))))))))))))))))))))))))))))))))</f>
        <v/>
      </c>
      <c r="BW353" s="52" t="str">
        <f>IF(Atletas!U349="","",IF(Atletas!W349&lt;&gt;"",10000,0)+IF(Atletas!B349="Feminino",1000,IF(Atletas!B349="Masculino",2000,""))+IF(Atletas!T349="Taijijian 42 F",942,IF(Atletas!U349="Taijidao A",943,IF(Atletas!U349="Taijishan A",944,IF(Atletas!U349="Taijiqiang A",945,IF(Atletas!U349="Taijidao B",946,IF(Atletas!U349="Taijishan B",947,IF(Atletas!U349="Taijiqiang B",948,IF(Atletas!U349="Taijidao C",949,IF(Atletas!U349="Taijishan C",950,IF(Atletas!U349="Taijiqiang C",951,IF(Atletas!U349="Taijidao D",952,IF(Atletas!U349="Taijishan D",953,IF(Atletas!U349="Taijiqiang D",954,IF(Atletas!U349="Taijidao E",955,IF(Atletas!U349="Taijishan E",956,IF(Atletas!U349="Taijiqiang E",957,IF(Atletas!U349="Taijidao F",958,IF(Atletas!U349="Taijishan F",959,IF(Atletas!U349="Taijiqiang F",960))))))))))))))))))))</f>
        <v/>
      </c>
      <c r="BX353" s="72"/>
      <c r="BY353" s="72"/>
      <c r="BZ353" s="72"/>
      <c r="CA353" s="72"/>
      <c r="CB353" s="72" t="str">
        <f>IF(CC353&lt;&gt;"","Taijijian Wu-Hao A","")</f>
        <v/>
      </c>
      <c r="CC353" s="64" t="str">
        <f>IF(COUNTIF(BK:BW,11905)&gt;0,COUNTIF(BK:BW,11905),"")</f>
        <v/>
      </c>
      <c r="CD353" s="64" t="str">
        <f>IF(CE353&lt;&gt;"","Taijijian Wu-Hao A","")</f>
        <v/>
      </c>
      <c r="CE353" s="64" t="str">
        <f>IF(COUNTIF(BK:BW,12905)&gt;0,COUNTIF(BK:BW,12905),"")</f>
        <v/>
      </c>
      <c r="CF353" s="52" t="str">
        <f xml:space="preserve"> IF(Atletas!V349="","",IF(Atletas!V349="Duilian de Mãos AB - Equipe 1",1,IF(Atletas!V349="Duilian de Mãos AB - Equipe 2",2,IF(Atletas!V349="Duilian de Armas AB - Equipe 1",3,IF(Atletas!V349="Duilian de Armas AB - Equipe 2",4,IF(Atletas!V349="Duilian de Tuishou - Equipe 1",5,IF(Atletas!V349="Duilian de Tuishou - Equipe 2",6,IF(Atletas!V349="Grupo Externo AB - Equipe 1",7,IF(Atletas!V349="Grupo Externo AB - Equipe 2",8,IF(Atletas!V349="Grupo Interno AB - Equipe 1",9,IF(Atletas!V349="Grupo Interno AB - Equipe 2",10,IF(Atletas!V349="Duilian de Mãos CD - Equipe 1",11,IF(Atletas!V349="Duilian de Mãos CD - Equipe 2",12,IF(Atletas!V349="Duilian de Armas CD - Equipe 1",13,IF(Atletas!V349="Duilian de Armas CD - Equipe 2",14,IF(Atletas!V349="Duilian de Tuishou - Equipe 1",15,IF(Atletas!V349="Duilian de Tuishou - Equipe 2",16,IF(Atletas!V349="Grupo Externo CDEF - Equipe 1",17,IF(Atletas!V349="Grupo Externo CDEF - Equipe 2",18,IF(Atletas!V349="Grupo Interno CDEF - Equipe 1",19,IF(Atletas!V349="Grupo Interno CDEF - Equipe 2",20,IF(Atletas!V349="Duilian de Mãos EF - Equipe 1",21,IF(Atletas!V349="Duilian de Mãos EF - Equipe 2",22,IF(Atletas!V349="Duilian de Armas EF - Equipe 1",23,IF(Atletas!V349="Duilian de Armas EF - Equipe 2",24,IF(Atletas!V349="Duilian de Tuishou - Equipe 1",25,IF(Atletas!V349="Duilian de Tuishou - Equipe 2",26,"")))))))))))))))))))))))))))</f>
        <v/>
      </c>
    </row>
    <row r="354" spans="36:84">
      <c r="AJ354" s="46" t="str">
        <f>IF(Atletas!D350="","",IF(Atletas!B350="Feminino",100,IF(Atletas!B350="Masculino",200,""))+(IF(Atletas!D350="Infantil 39kg",1,IF(Atletas!D350="Infantil 42kg",2,IF(Atletas!D350="Infantil 45kg",3,IF(Atletas!D350="Infantil 48kg",4,IF(Atletas!D350="Infantil 52kg",5,IF(Atletas!D350="Infantil 56kg",6,IF(Atletas!D350="Infantil 60kg",7,IF(Atletas!D350="Juvenil 48kg",8,IF(Atletas!D350="Juvenil 52kg",9,IF(Atletas!D350="Juvenil 56kg",10,IF(Atletas!D350="Juvenil 60kg",11,IF(Atletas!D350="Juvenil 65kg",12,IF(Atletas!D350="Juvenil 70kg",13,IF(Atletas!D350="Juvenil 75kg",14,IF(Atletas!D350="Juvenil 80kg",15,IF(Atletas!D350="Adulto 48kg",16,IF(Atletas!D350="Adulto 52kg",17,IF(Atletas!D350="Adulto 56kg",18,IF(Atletas!D350="Adulto 60kg",19,IF(Atletas!D350="Adulto 65kg",20,IF(Atletas!D350="Adulto 70kg",21,IF(Atletas!D350="Adulto 75kg",22,IF(Atletas!D350="Adulto 80kg",23,IF(Atletas!D350="Adulto 85kg",24,IF(Atletas!D350="Adulto 90kg",25,IF(Atletas!D350="Adulto +90kg",26,""))))))))))))))))))))))))))))</f>
        <v/>
      </c>
      <c r="AO354" s="10" t="str">
        <f>IF(Atletas!E350="","",IF(Atletas!B350="Feminino",100,IF(Atletas!B350="Masculino",200,""))+(IF(Atletas!E350="Juvenil 44kg",1,IF(Atletas!E350="Juvenil 48kg",2,IF(Atletas!E350="Juvenil 52kg",3,IF(Atletas!E350="Juvenil 56kg",4,IF(Atletas!E350="Juvenil 60kg",5,IF(Atletas!E350="Juvenil 65kg",6,IF(Atletas!E350="Juvenil 70kg",7,IF(Atletas!E350="Juvenil 75kg",8,IF(Atletas!E350="Juvenil 82kg",9,IF(Atletas!E350="Juvenil 90kg",10,IF(Atletas!E350="Juvenil 100kg",11,IF(Atletas!E350="Adulto 48kg",12,IF(Atletas!E350="Adulto 52kg",13,IF(Atletas!E350="Adulto 56kg",14,IF(Atletas!E350="Adulto 60kg",15,IF(Atletas!E350="Adulto 65kg",16,IF(Atletas!E350="Adulto 70kg",17,IF(Atletas!E350="Adulto 75kg",18,IF(Atletas!E350="Adulto 82kg",19,IF(Atletas!E350="Adulto 90kg",20,IF(Atletas!E350="Adulto 100kg",21,IF(Atletas!E350="Adulto +100kg",22,""))))))))))))))))))))))))</f>
        <v/>
      </c>
      <c r="AT354" s="10" t="str">
        <f>IF(Atletas!F350="","",IF(Atletas!B350="Feminino",100,IF(Atletas!B350="Masculino",200,""))+(IF(Atletas!F350="Adulto 48kg",1,IF(Atletas!F350="Adulto 56kg",2,IF(Atletas!F350="Adulto 65kg",3,IF(Atletas!F350="Adulto 75kg",4,IF(Atletas!F350="Adulto +75kg",5,IF(Atletas!F350="Adulto 52kg",6,IF(Atletas!F350="Adulto 60kg",7,IF(Atletas!F350="Adulto 70kg",8,IF(Atletas!F350="Adulto 80kg",9,IF(Atletas!F350="Adulto 90kg",10,IF(Atletas!F350="Adulto +90kg",11,"")))))))))))))</f>
        <v/>
      </c>
      <c r="AY354" s="46" t="str">
        <f>IF(Atletas!G350="","",IF(Atletas!B350="Feminino",100,IF(Atletas!B350="Masculino",200,""))+(IF(Atletas!G350="Changquan Mirim",1,IF(Atletas!G350="Nanquan Mirim",2,IF(Atletas!G350="Taijiquan Mirim",3,IF(Atletas!G350="Changquan Grupo C",4,IF(Atletas!G350="Nanquan Grupo C",5,IF(Atletas!G350="Taijiquan Grupo C",6,IF(Atletas!G350="Changquan Grupo B",7,IF(Atletas!G350="Nanquan Grupo B",8,IF(Atletas!G350="Taijiquan Grupo B",9,IF(Atletas!G350="Changquan Grupo A",10,IF(Atletas!G350="Nanquan Grupo A",11,IF(Atletas!G350="Taijiquan Grupo A",12,IF(Atletas!G350="Changquan Opcional",13,IF(Atletas!G350="Nanquan Opcional",14,IF(Atletas!G350="Taijiquan Opcional",15,IF(Atletas!G350="Changquan Adulto",16,IF(Atletas!G350="Nanquan Adulto",17,IF(Atletas!G350="Taijiquan Adulto",18,""))))))))))))))))))))</f>
        <v/>
      </c>
      <c r="AZ354" s="46" t="str">
        <f>IF(Atletas!H350="","",IF(Atletas!B350="Feminino",100,IF(Atletas!B350="Masculino",200,""))+(IF(Atletas!H350="Daoshu Mirim",19,IF(Atletas!H350="Jianshu Mirim",20,IF(Atletas!H350="Nandao Mirim",21,IF(Atletas!H350="Taijijian Mirim",22,IF(Atletas!H350="Daoshu Grupo C",23,IF(Atletas!H350="Jianshu Grupo C",24,IF(Atletas!H350="Nandao Grupo C",25,IF(Atletas!H350="Taijijian Grupo C",26,IF(Atletas!H350="Daoshu Grupo B",27,IF(Atletas!H350="Jianshu Grupo B",28,IF(Atletas!H350="Nandao Grupo B",29,IF(Atletas!H350="Taijijian Grupo B",30,IF(Atletas!H350="Daoshu Grupo A",31,IF(Atletas!H350="Jianshu Grupo A",32,IF(Atletas!H350="Nandao Grupo A",33,IF(Atletas!H350="Taijijian Grupo A",34,IF(Atletas!H350="Daoshu Opcional",35,IF(Atletas!H350="Jianshu Opcional",36,IF(Atletas!H350="Nandao Opcional",37,IF(Atletas!H350="Taijijian Opcional",38,IF(Atletas!H350="Daoshu Adulto",39,IF(Atletas!H350="Jianshu Adulto",40,IF(Atletas!H350="Nandao Adulto",41,IF(Atletas!H350="Taijijian Adulto",42,""))))))))))))))))))))))))))</f>
        <v/>
      </c>
      <c r="BA354" s="46" t="str">
        <f>IF(Atletas!I350="","",IF(Atletas!B350="Feminino",100,IF(Atletas!B350="Masculino",200,""))+(IF(Atletas!I350="Gunshu Mirim",43,IF(Atletas!I350="Qiangshu Mirim",44,IF(Atletas!I350="Nangun Mirim",45,IF(Atletas!I350="Gunshu Grupo C",46,IF(Atletas!I350="Qiangshu Grupo C",47,IF(Atletas!I350="Nangun Grupo C",48,IF(Atletas!I350="Gunshu Grupo B",49,IF(Atletas!I350="Qiangshu Grupo B",50,IF(Atletas!I350="Nangun Grupo B",51,IF(Atletas!I350="Gunshu Grupo A",52,IF(Atletas!I350="Qiangshu Grupo A",53,IF(Atletas!I350="Nangun Grupo A",54,IF(Atletas!I350="Gunshu Opcional",55,IF(Atletas!I350="Qiangshu Opcional",56,IF(Atletas!I350="Nangun Opcional",57,IF(Atletas!I350="Gunshu Adulto",58,IF(Atletas!I350="Qiangshu Adulto",59,IF(Atletas!I350="Nangun Adulto",60,""))))))))))))))))))))</f>
        <v/>
      </c>
      <c r="BF354" s="52" t="str">
        <f>IF(Atletas!J350="","",IF(Atletas!B350="Feminino",100,IF(Atletas!B350="Masculino",200,""))+(IF(Atletas!J350="Equipe 1 Grupo B",1,IF(Atletas!J350="Equipe 2 Grupo B",2,IF(Atletas!J350="Equipe 1 Grupo A",3,IF(Atletas!J350="Equipe 2 Grupo A",4,IF(Atletas!J350="Equipe 1 Adulto",5,IF(Atletas!J350="Equipe 2 Adulto",6,""))))))))</f>
        <v/>
      </c>
      <c r="BK354" s="52" t="str">
        <f>IF(Atletas!K350="","",IF(Atletas!W350&lt;&gt;"",10000,0)+(IF(Atletas!B350="Feminino",1000,IF(Atletas!B350="Masculino",2000,""))+IF(Atletas!K350="Choylayfut A",1,IF(Atletas!K350="Hunggar A",2,IF(Atletas!K350="Wuzuquan A",3,IF(Atletas!K350="Wingchun A",4,IF(Atletas!K350="Outra Mão de Sul A",5,IF(Atletas!K350="Choylayfut B",6,IF(Atletas!K350="Hunggar B",7,IF(Atletas!K350="Wuzuquan B",8,IF(Atletas!K350="Wingchun B",9,IF(Atletas!K350="Outra Mão de Sul B",10,IF(Atletas!K350="Choylayfut C",11,IF(Atletas!K350="Hunggar C",12,IF(Atletas!K350="Wuzuquan C",13,IF(Atletas!K350="Wingchun C",14,IF(Atletas!K350="Outra Mão de Sul C",15,IF(Atletas!K350="Choylayfut D",16,IF(Atletas!K350="Hunggar D",17,IF(Atletas!K350="Wuzuquan D",18,IF(Atletas!K350="Wingchun D",19,IF(Atletas!K350="Outra Mão de Sul D",20,IF(Atletas!K350="Choylayfut E",21,IF(Atletas!K350="Hunggar E",22,IF(Atletas!K350="Wuzuquan E",23,IF(Atletas!K350="Wingchun E",24,IF(Atletas!K350="Outra Mão de Sul E",25,IF(Atletas!K350="Choylayfut F",26,IF(Atletas!K350="Hunggar F",27,IF(Atletas!K350="Wuzuquan F",28,IF(Atletas!K350="Wingchun F",29,IF(Atletas!K350="Outra Mão de Sul F",30,""))))))))))))))))))))))))))))))))</f>
        <v/>
      </c>
      <c r="BL354" s="52" t="str">
        <f>IF(Atletas!L350="","",IF(Atletas!W350&lt;&gt;"",10000,0)+(IF(Atletas!B350="Feminino",1000,IF(Atletas!B350="Masculino",2000,""))+(IF(Atletas!L350="Chaquan A",101,IF(Atletas!L350="Emeiquan A",102,IF(Atletas!L350="Fanziquan A",103,IF(Atletas!L350="Huaquan A",104,IF(Atletas!L350="Hongquan A",105,IF(Atletas!L350="Paochui A",106,IF(Atletas!L350="Piguaquan A",107,IF(Atletas!L350="Shaolinquan A",108,IF(Atletas!L350="Tanglangquan A",109,IF(Atletas!L350="Yinzhaophai A",110,IF(Atletas!L350="Tongbeiquan A",111,IF(Atletas!L350="Wudangquan A",112,IF(Atletas!L350="Outros Estilos A",113,IF(Atletas!L350="Chaquan B",114,IF(Atletas!L350="Emeiquan B",115,IF(Atletas!L350="Fanziquan B",116,IF(Atletas!L350="Huaquan B",117,IF(Atletas!L350="Hongquan B",118,IF(Atletas!L350="Paochui B",119,IF(Atletas!L350="Piguaquan B",120,IF(Atletas!L350="Shaolinquan B",121,IF(Atletas!L350="Tanglangquan B",122,IF(Atletas!L350="Yinzhaophai B",123,IF(Atletas!L350="Tongbeiquan B",124,IF(Atletas!L350="Wudangquan B",125,IF(Atletas!L350="Outros Estilos B",126,IF(Atletas!L350="Chaquan C",127,IF(Atletas!L350="Emeiquan C",128,IF(Atletas!L350="Fanziquan C",129,IF(Atletas!L350="Huaquan C",130,IF(Atletas!L350="Hongquan C",131,IF(Atletas!L350="Paochui C",132,IF(Atletas!L350="Piguaquan C",133,IF(Atletas!L350="Shaolinquan C",134,IF(Atletas!L350="Tanglangquan C",135,IF(Atletas!L350="Yinzhaophai C",136,IF(Atletas!L350="Tongbeiquan C",137,IF(Atletas!L350="Wudangquan C",138,IF(Atletas!L350="Outros Estilos C",139,0))))))))))))))))))))))))))))))))))))))))))</f>
        <v/>
      </c>
      <c r="BM354" s="52" t="str">
        <f>IF(Atletas!L350="","",IF(Atletas!W350&lt;&gt;"",10000,0)+(IF(Atletas!B350="Feminino",1000,IF(Atletas!B350="Masculino",2000,""))+(IF(Atletas!L350="Chaquan D",140,IF(Atletas!L350="Emeiquan D",141,IF(Atletas!L350="Fanziquan D",142,IF(Atletas!L350="Huaquan D",143,IF(Atletas!L350="Hongquan D",144,IF(Atletas!L350="Paochui D",145,IF(Atletas!L350="Piguaquan D",146,IF(Atletas!L350="Shaolinquan D",147,IF(Atletas!L350="Tanglangquan D",148,IF(Atletas!L350="Yinzhaophai D",149,IF(Atletas!L350="Tongbeiquan D",150,IF(Atletas!L350="Wudangquan D",151,IF(Atletas!L350="Outros Estilos D",152,IF(Atletas!L350="Chaquan E",153,IF(Atletas!L350="Emeiquan E",154,IF(Atletas!L350="Fanziquan E",155,IF(Atletas!L350="Huaquan E",156,IF(Atletas!L350="Hongquan E",157,IF(Atletas!L350="Paochui E",158,IF(Atletas!L350="Piguaquan E",159,IF(Atletas!L350="Shaolinquan E",160,IF(Atletas!L350="Tanglangquan E",161,IF(Atletas!L350="Yinzhaophai E",162,IF(Atletas!L350="Tongbeiquan E",163,IF(Atletas!L350="Wudangquan E",164,IF(Atletas!L350="Outros Estilos E",165,IF(Atletas!L350="Chaquan F",166,IF(Atletas!L350="Emeiquan F",167,IF(Atletas!L350="Fanziquan F",168,IF(Atletas!L350="Huaquan F",169,IF(Atletas!L350="Hongquan F",170,IF(Atletas!L350="Paochui F",171,IF(Atletas!L350="Piguaquan F",172,IF(Atletas!L350="Shaolinquan F",173,IF(Atletas!L350="Tanglangquan F",174,IF(Atletas!L350="Yinzhaophai F",175,IF(Atletas!L350="Tongbeiquan F",176,IF(Atletas!L350="Wudangquan F",177,IF(Atletas!L350="Outros Estilos F",178,0))))))))))))))))))))))))))))))))))))))))))</f>
        <v/>
      </c>
      <c r="BN354" s="52" t="str">
        <f>IF(Atletas!M350="","",IF(Atletas!W350&lt;&gt;"",10000,0)+(IF(Atletas!B350="Feminino",1000,IF(Atletas!B350="Masculino",2000,""))+(IF(Atletas!M350="Ditangquan A",201,IF(Atletas!M350="Houquan A",202,IF(Atletas!M350="Zuiquan A",203,IF(Atletas!M350="Ditangquan B",204,IF(Atletas!M350="Houquan B",205,IF(Atletas!M350="Zuiquan B",206,IF(Atletas!M350="Ditangquan C",207,IF(Atletas!M350="Houquan C",208,IF(Atletas!M350="Zuiquan C",209,IF(Atletas!M350="Ditangquan D",210,IF(Atletas!M350="Houquan D",211,IF(Atletas!M350="Zuiquan D",212,IF(Atletas!M350="Ditangquan E",213,IF(Atletas!M350="Houquan E",214,IF(Atletas!M350="Zuiquan E",215,IF(Atletas!M350="Ditangquan F",216,IF(Atletas!M350="Houquan F",217,IF(Atletas!M350="Zuiquan F",218,"")))))))))))))))))))))</f>
        <v/>
      </c>
      <c r="BO354" s="52" t="str">
        <f>IF(Atletas!N350="","",IF(Atletas!W350&lt;&gt;"",10000,0)+IF(Atletas!B350="Feminino",1000,IF(Atletas!B350="Masculino",2000,""))+IF(Atletas!N350="Yang A",301,IF(Atletas!N350="Chen A",30,IF(Atletas!N350="Sun A",303,IF(Atletas!N350="Wu A",304,IF(Atletas!N350="Wu-Hao A",305,IF(Atletas!N350="Outro Taijiquan A",306,IF(Atletas!N350="Yang B",307,IF(Atletas!N350="Chen B",308,IF(Atletas!N350="Sun B",309,IF(Atletas!N350="Wu B",310,IF(Atletas!N350="Wu-Hao B",311,IF(Atletas!N350="Outro Taijiquan B",312,IF(Atletas!N350="Yang C",313,IF(Atletas!N350="Chen C",314,IF(Atletas!N350="Sun C",315,IF(Atletas!N350="Wu C",316,IF(Atletas!N350="Wu-Hao C",317,IF(Atletas!N350="Outro Taijiquan C",318,IF(Atletas!N350="Yang D",319,IF(Atletas!N350="Chen D",320,IF(Atletas!N350="Sun D",321,IF(Atletas!N350="Wu D",322,IF(Atletas!N350="Wu-Hao D",323,IF(Atletas!N350="Outro Taijiquan D",324,IF(Atletas!N350="Yang E",325,IF(Atletas!N350="Chen E",326,IF(Atletas!N350="Sun E",327,IF(Atletas!N350="Wu E",328,IF(Atletas!N350="Wu-Hao E",329,IF(Atletas!N350="Outro Taijiquan E",330,IF(Atletas!N350="Yang F",331,IF(Atletas!N350="Chen F",332,IF(Atletas!N350="Sun F",333,IF(Atletas!N350="Wu F",334,IF(Atletas!N350="Wu-Hao F",335,IF(Atletas!N350="Outro Taijiquan F",336,"")))))))))))))))))))))))))))))))))))))</f>
        <v/>
      </c>
      <c r="BP354" s="52" t="str">
        <f>IF(Atletas!O350="","",IF(Atletas!W350&lt;&gt;"",10000,0)+IF(Atletas!B350="Feminino",1000,IF(Atletas!B350="Masculino",2000,""))+IF(OR(Atletas!O350="Yang 26 A",Atletas!O350="Yang 40 A"),401,IF(OR(Atletas!O350="Chen 25 A",Atletas!O350="Chen 36 A",Atletas!O350="Chen 56 A"),402,IF(Atletas!O350="Sun 73 A",403,IF(Atletas!O350="Wu 45 A",404,IF(Atletas!O350="Wu-Hao 46 A",405,IF(OR(Atletas!O350="Taijiquan 16 A",Atletas!O350="Taijiquan 24 A",Atletas!O350="Taijiquan 32 A",Atletas!O350="Taijiquan 42 A"),406,IF(OR(Atletas!O350="Yang 26 B",Atletas!O350="Yang 40 B"),407,IF(OR(Atletas!O350="Chen 25 B",Atletas!O350="Chen 36 B",Atletas!O350="Chen 56 B"),408,IF(Atletas!O350="Sun 73 B",409,IF(Atletas!O350="Wu 45 B",410,IF(Atletas!O350="Wu-Hao 46 B",411,IF(OR(Atletas!O350="Taijiquan 16 B",Atletas!O350="Taijiquan 24 B",Atletas!O350="Taijiquan 32 B",Atletas!O350="Taijiquan 42 B"),412,IF(OR(Atletas!O350="Yang 26 C",Atletas!O350="Yang 40 C"),413,IF(OR(Atletas!O350="Chen 25 C",Atletas!O350="Chen 36 C",Atletas!O350="Chen 56 C"),414,IF(Atletas!O350="Sun 73 C",415,IF(Atletas!O350="Wu 45 C",416,IF(Atletas!O350="Wu-Hao 46 C",417,IF(OR(Atletas!O350="Taijiquan 16 C",Atletas!O350="Taijiquan 24 C",Atletas!O350="Taijiquan 32 C",Atletas!O350="Taijiquan 42 C"),418,0)))))))))))))))))))</f>
        <v/>
      </c>
      <c r="BQ354" s="52" t="str">
        <f>IF(Atletas!O350="","",IF(Atletas!W350&lt;&gt;"",10000,0)+IF(Atletas!B350="Feminino",1000,IF(Atletas!B350="Masculino",2000,""))+IF(OR(Atletas!O350="Yang 26 D",Atletas!O350="Yang 40 D"),419,IF(OR(Atletas!O350="Chen 25 D",Atletas!O350="Chen 36 D",Atletas!O350="Chen 56 D"),420,IF(Atletas!O350="Sun 73 D",421,IF(Atletas!O350="Wu 45 D",422,IF(Atletas!O350="Wu-Hao 46 D",423,IF(OR(Atletas!O350="Taijiquan 16 D",Atletas!O350="Taijiquan 24 D",Atletas!O350="Taijiquan 32 D",Atletas!O350="Taijiquan 42 D"),424,IF(OR(Atletas!O350="Yang 26 E",Atletas!O350="Yang 40 E"),425,IF(OR(Atletas!O350="Chen 25 E",Atletas!O350="Chen 36 E",Atletas!O350="Chen 56 E"),426,IF(Atletas!O350="Sun 73 E",427,IF(Atletas!O350="Wu 45 E",428,IF(Atletas!O350="Wu-Hao 46 E",429,IF(OR(Atletas!O350="Taijiquan 16 E",Atletas!O350="Taijiquan 24 E",Atletas!O350="Taijiquan 32 E",Atletas!O350="Taijiquan 42 E"),430,IF(OR(Atletas!O350="Yang 26 F",Atletas!O350="Yang 40 F"),431,IF(OR(Atletas!O350="Chen 25 F",Atletas!O350="Chen 36 F",Atletas!O350="Chen 56 F"),432,IF(Atletas!O350="Sun 73 F",433,IF(Atletas!O350="Wu 45 F",434,IF(Atletas!O350="Wu-Hao 46 F",435,IF(OR(Atletas!O350="Taijiquan 16 F",Atletas!O350="Taijiquan 24 F",Atletas!O350="Taijiquan 32 F",Atletas!O350="Taijiquan 42 F"),436,0)))))))))))))))))))</f>
        <v/>
      </c>
      <c r="BR354" s="52" t="str">
        <f>IF(Atletas!P350="","",IF(Atletas!W350&lt;&gt;"",10000,0)+IF(Atletas!B350="Feminino",1000,IF(Atletas!B350="Masculino",2000,""))+IF(Atletas!P350="Xingyiquan A",501,IF(Atletas!P350="Baguazhang A",502,IF(Atletas!P350="Outro Estilo Interno A",503,IF(Atletas!P350="Xingyiquan B",504,IF(Atletas!P350="Baguazhang B",505,IF(Atletas!P350="Outro Estilo Interno B",506,IF(Atletas!P350="Xingyiquan C",507,IF(Atletas!P350="Baguazhang C",508,IF(Atletas!P350="Outro Estilo Interno C",509,IF(Atletas!P350="Xingyiquan D",510,IF(Atletas!P350="Baguazhang D",511,IF(Atletas!P350="Outro Estilo Interno D",512,IF(Atletas!P350="Xingyiquan E",513,IF(Atletas!P350="Baguazhang E",514,IF(Atletas!P350="Outro Estilo Interno E",515,IF(Atletas!P350="Xingyiquan F",516,IF(Atletas!P350="Baguazhang F",517,IF(Atletas!P350="Outro Estilo Interno F",518, "")))))))))))))))))))</f>
        <v/>
      </c>
      <c r="BS354" s="52" t="str">
        <f>IF(Atletas!Q350="","",IF(Atletas!W350&lt;&gt;"",10000,0)+IF(Atletas!B350="Feminino",1000,IF(Atletas!B350="Masculino",2000,""))+IF(Atletas!Q350="Dao A",601,IF(Atletas!Q350="Jian A",602,IF(Atletas!Q350="Bishou A",603,IF(Atletas!Q350="Shan A",604,IF(Atletas!Q350="Outra Arma Curta A",605,IF(Atletas!Q350="Dao B",606,IF(Atletas!Q350="Jian B",607,IF(Atletas!Q350="Bishou B",608,IF(Atletas!Q350="Shan B",609,IF(Atletas!Q350="Outra Arma Curta B",610,IF(Atletas!Q350="Dao C",611,IF(Atletas!Q350="Jian C",612,IF(Atletas!Q350="Bishou C",613,IF(Atletas!Q350="Shan C",614,IF(Atletas!Q350="Outra Arma Curta C",615,IF(Atletas!Q350="Dao D",616,IF(Atletas!Q350="Jian D",617,IF(Atletas!Q350="Bishou D",618,IF(Atletas!Q350="Shan D",619,IF(Atletas!Q350="Outra Arma Curta D",620,IF(Atletas!Q350="Dao E",621,IF(Atletas!Q350="Jian E",622,IF(Atletas!Q350="Bishou E",623,IF(Atletas!Q350="Shan E",624,IF(Atletas!Q350="Outra Arma Curta E",625,IF(Atletas!Q350="Dao F",626,IF(Atletas!Q350="Jian F",627,IF(Atletas!Q350="Bishou F",628,IF(Atletas!Q350="Shan F",629,IF(Atletas!Q350="Outra Arma Curta F",630, "")))))))))))))))))))))))))))))))</f>
        <v/>
      </c>
      <c r="BT354" s="52" t="str">
        <f>IF(Atletas!R350="","",IF(Atletas!W350&lt;&gt;"",10000,0)+IF(Atletas!B350="Feminino",1000,IF(Atletas!B350="Masculino",2000,""))+IF(Atletas!R350="Gun A",701,IF(Atletas!R350="Qiang A",702,IF(Atletas!R350="Pudao / Guandao A",703,IF(Atletas!R350="Outra Arma Longa A",704,IF(Atletas!R350="Gun B",705,IF(Atletas!R350="Qiang B",706,IF(Atletas!R350="Pudao / Guandao B",707,IF(Atletas!R350="Outra Arma Longa B",708,IF(Atletas!R350="Gun C",709,IF(Atletas!R350="Qiang C",710,IF(Atletas!R350="Pudao / Guandao C",711,IF(Atletas!R350="Outra Arma Longa C",712,IF(Atletas!R350="Gun D",713,IF(Atletas!R350="Qiang D",714,IF(Atletas!R350="Pudao / Guandao D",715,IF(Atletas!R350="Outra Arma Longa D",716,IF(Atletas!R350="Gun E",717,IF(Atletas!R350="Qiang E",718,IF(Atletas!R350="Pudao / Guandao E",719,IF(Atletas!R350="Outra Arma Longa E",720,IF(Atletas!R350="Gun F",721,IF(Atletas!R350="Qiang F",722,IF(Atletas!R350="Pudao / Guandao F",723,IF(Atletas!R350="Outra Arma Longa F",724,"")))))))))))))))))))))))))</f>
        <v/>
      </c>
      <c r="BU354" s="52" t="str">
        <f>IF(Atletas!S350="","",IF(Atletas!W350&lt;&gt;"",10000,0)+IF(Atletas!B350="Feminino",1000,IF(Atletas!B350="Masculino",2000,""))+IF(Atletas!S350="Arma Dupla A",801,IF(Atletas!S350="Arma Maleável A",802,IF(Atletas!S350="Arma Dupla B",803,IF(Atletas!S350="Arma Maleável B",804,IF(Atletas!S350="Arma Dupla C",805,IF(Atletas!S350="Arma Maleável C",806,IF(Atletas!S350="Arma Dupla D",807,IF(Atletas!S350="Arma Maleável D",808,IF(Atletas!S350="Arma Dupla E",809,IF(Atletas!S350="Arma Maleável E",810,IF(Atletas!S350="Arma Dupla F",811,IF(Atletas!S350="Arma Maleável F",812, "")))))))))))))</f>
        <v/>
      </c>
      <c r="BV354" s="52" t="str">
        <f>IF(Atletas!T350="","",IF(Atletas!W350&lt;&gt;"",10000,0)+IF(Atletas!B350="Feminino",1000,IF(Atletas!B350="Masculino",2000,""))+IF(Atletas!T350="Taijijian Yang A",901,IF(Atletas!T350="Taijijian Chen A",902,IF(Atletas!T350="Taijijian Sun A",903,IF(Atletas!T350="Taijijian Wu A",904,IF(Atletas!T350="Taijijian Wu-Hao A",905,IF(Atletas!T350="Taijijian 32 A",906,IF(Atletas!T350="Taijijian 42 A",907,IF(Atletas!T350="Taijijian Yang B",908,IF(Atletas!T350="Taijijian Chen B",909,IF(Atletas!T350="Taijijian Sun B",910,IF(Atletas!T350="Taijijian Wu B",911,IF(Atletas!T350="Taijijian Wu-Hao B",912,IF(Atletas!T350="Taijijian 32 B",913,IF(Atletas!T350="Taijijian 42 B",914,IF(Atletas!T350="Taijijian Yang C",915,IF(Atletas!T350="Taijijian Chen C",916,IF(Atletas!T350="Taijijian Sun C",917,IF(Atletas!T350="Taijijian Wu C",918,IF(Atletas!T350="Taijijian Wu-Hao C",919,IF(Atletas!T350="Taijijian 32 C",920,IF(Atletas!T350="Taijijian 42 C",921,IF(Atletas!T350="Taijijian Yang D",922,IF(Atletas!T350="Taijijian Chen D",923,IF(Atletas!T350="Taijijian Sun D",924,IF(Atletas!T350="Taijijian Wu D",925,IF(Atletas!T350="Taijijian Wu-Hao D",926,IF(Atletas!T350="Taijijian 32 D",927,IF(Atletas!T350="Taijijian 42 D",928,IF(Atletas!T350="Taijijian Yang E",929,IF(Atletas!T350="Taijijian Chen E",930,IF(Atletas!T350="Taijijian Sun E",931,IF(Atletas!T350="Taijijian Wu E",932,IF(Atletas!T350="Taijijian Wu-Hao E",933,IF(Atletas!T350="Taijijian 32 E",934,IF(Atletas!T350="Taijijian 42 E",935,IF(Atletas!T350="Taijijian Yang F",936,IF(Atletas!T350="Taijijian Chen F",937,IF(Atletas!T350="Taijijian Sun F",938,IF(Atletas!T350="Taijijian Wu F",939,IF(Atletas!T350="Taijijian Wu-Hao F",940,IF(Atletas!T350="Taijijian 32 F",941,IF(Atletas!T350="Taijijian 42 F",942,"")))))))))))))))))))))))))))))))))))))))))))</f>
        <v/>
      </c>
      <c r="BW354" s="52" t="str">
        <f>IF(Atletas!U350="","",IF(Atletas!W350&lt;&gt;"",10000,0)+IF(Atletas!B350="Feminino",1000,IF(Atletas!B350="Masculino",2000,""))+IF(Atletas!T350="Taijijian 42 F",942,IF(Atletas!U350="Taijidao A",943,IF(Atletas!U350="Taijishan A",944,IF(Atletas!U350="Taijiqiang A",945,IF(Atletas!U350="Taijidao B",946,IF(Atletas!U350="Taijishan B",947,IF(Atletas!U350="Taijiqiang B",948,IF(Atletas!U350="Taijidao C",949,IF(Atletas!U350="Taijishan C",950,IF(Atletas!U350="Taijiqiang C",951,IF(Atletas!U350="Taijidao D",952,IF(Atletas!U350="Taijishan D",953,IF(Atletas!U350="Taijiqiang D",954,IF(Atletas!U350="Taijidao E",955,IF(Atletas!U350="Taijishan E",956,IF(Atletas!U350="Taijiqiang E",957,IF(Atletas!U350="Taijidao F",958,IF(Atletas!U350="Taijishan F",959,IF(Atletas!U350="Taijiqiang F",960))))))))))))))))))))</f>
        <v/>
      </c>
      <c r="BX354" s="72"/>
      <c r="BY354" s="72"/>
      <c r="BZ354" s="72"/>
      <c r="CA354" s="72"/>
      <c r="CB354" s="72" t="str">
        <f>IF(CC354&lt;&gt;"","Taijijian 32 A","")</f>
        <v/>
      </c>
      <c r="CC354" s="64" t="str">
        <f>IF(COUNTIF(BK:BW,11906)&gt;0,COUNTIF(BK:BW,11906),"")</f>
        <v/>
      </c>
      <c r="CD354" s="64" t="str">
        <f>IF(CE354&lt;&gt;"","Taijijian 32 A","")</f>
        <v/>
      </c>
      <c r="CE354" s="64" t="str">
        <f>IF(COUNTIF(BK:BW,12906)&gt;0,COUNTIF(BK:BW,12906),"")</f>
        <v/>
      </c>
      <c r="CF354" s="52" t="str">
        <f xml:space="preserve"> IF(Atletas!V350="","",IF(Atletas!V350="Duilian de Mãos AB - Equipe 1",1,IF(Atletas!V350="Duilian de Mãos AB - Equipe 2",2,IF(Atletas!V350="Duilian de Armas AB - Equipe 1",3,IF(Atletas!V350="Duilian de Armas AB - Equipe 2",4,IF(Atletas!V350="Duilian de Tuishou - Equipe 1",5,IF(Atletas!V350="Duilian de Tuishou - Equipe 2",6,IF(Atletas!V350="Grupo Externo AB - Equipe 1",7,IF(Atletas!V350="Grupo Externo AB - Equipe 2",8,IF(Atletas!V350="Grupo Interno AB - Equipe 1",9,IF(Atletas!V350="Grupo Interno AB - Equipe 2",10,IF(Atletas!V350="Duilian de Mãos CD - Equipe 1",11,IF(Atletas!V350="Duilian de Mãos CD - Equipe 2",12,IF(Atletas!V350="Duilian de Armas CD - Equipe 1",13,IF(Atletas!V350="Duilian de Armas CD - Equipe 2",14,IF(Atletas!V350="Duilian de Tuishou - Equipe 1",15,IF(Atletas!V350="Duilian de Tuishou - Equipe 2",16,IF(Atletas!V350="Grupo Externo CDEF - Equipe 1",17,IF(Atletas!V350="Grupo Externo CDEF - Equipe 2",18,IF(Atletas!V350="Grupo Interno CDEF - Equipe 1",19,IF(Atletas!V350="Grupo Interno CDEF - Equipe 2",20,IF(Atletas!V350="Duilian de Mãos EF - Equipe 1",21,IF(Atletas!V350="Duilian de Mãos EF - Equipe 2",22,IF(Atletas!V350="Duilian de Armas EF - Equipe 1",23,IF(Atletas!V350="Duilian de Armas EF - Equipe 2",24,IF(Atletas!V350="Duilian de Tuishou - Equipe 1",25,IF(Atletas!V350="Duilian de Tuishou - Equipe 2",26,"")))))))))))))))))))))))))))</f>
        <v/>
      </c>
    </row>
    <row r="355" spans="36:84">
      <c r="AJ355" s="46" t="str">
        <f>IF(Atletas!D351="","",IF(Atletas!B351="Feminino",100,IF(Atletas!B351="Masculino",200,""))+(IF(Atletas!D351="Infantil 39kg",1,IF(Atletas!D351="Infantil 42kg",2,IF(Atletas!D351="Infantil 45kg",3,IF(Atletas!D351="Infantil 48kg",4,IF(Atletas!D351="Infantil 52kg",5,IF(Atletas!D351="Infantil 56kg",6,IF(Atletas!D351="Infantil 60kg",7,IF(Atletas!D351="Juvenil 48kg",8,IF(Atletas!D351="Juvenil 52kg",9,IF(Atletas!D351="Juvenil 56kg",10,IF(Atletas!D351="Juvenil 60kg",11,IF(Atletas!D351="Juvenil 65kg",12,IF(Atletas!D351="Juvenil 70kg",13,IF(Atletas!D351="Juvenil 75kg",14,IF(Atletas!D351="Juvenil 80kg",15,IF(Atletas!D351="Adulto 48kg",16,IF(Atletas!D351="Adulto 52kg",17,IF(Atletas!D351="Adulto 56kg",18,IF(Atletas!D351="Adulto 60kg",19,IF(Atletas!D351="Adulto 65kg",20,IF(Atletas!D351="Adulto 70kg",21,IF(Atletas!D351="Adulto 75kg",22,IF(Atletas!D351="Adulto 80kg",23,IF(Atletas!D351="Adulto 85kg",24,IF(Atletas!D351="Adulto 90kg",25,IF(Atletas!D351="Adulto +90kg",26,""))))))))))))))))))))))))))))</f>
        <v/>
      </c>
      <c r="AO355" s="10" t="str">
        <f>IF(Atletas!E351="","",IF(Atletas!B351="Feminino",100,IF(Atletas!B351="Masculino",200,""))+(IF(Atletas!E351="Juvenil 44kg",1,IF(Atletas!E351="Juvenil 48kg",2,IF(Atletas!E351="Juvenil 52kg",3,IF(Atletas!E351="Juvenil 56kg",4,IF(Atletas!E351="Juvenil 60kg",5,IF(Atletas!E351="Juvenil 65kg",6,IF(Atletas!E351="Juvenil 70kg",7,IF(Atletas!E351="Juvenil 75kg",8,IF(Atletas!E351="Juvenil 82kg",9,IF(Atletas!E351="Juvenil 90kg",10,IF(Atletas!E351="Juvenil 100kg",11,IF(Atletas!E351="Adulto 48kg",12,IF(Atletas!E351="Adulto 52kg",13,IF(Atletas!E351="Adulto 56kg",14,IF(Atletas!E351="Adulto 60kg",15,IF(Atletas!E351="Adulto 65kg",16,IF(Atletas!E351="Adulto 70kg",17,IF(Atletas!E351="Adulto 75kg",18,IF(Atletas!E351="Adulto 82kg",19,IF(Atletas!E351="Adulto 90kg",20,IF(Atletas!E351="Adulto 100kg",21,IF(Atletas!E351="Adulto +100kg",22,""))))))))))))))))))))))))</f>
        <v/>
      </c>
      <c r="AT355" s="10" t="str">
        <f>IF(Atletas!F351="","",IF(Atletas!B351="Feminino",100,IF(Atletas!B351="Masculino",200,""))+(IF(Atletas!F351="Adulto 48kg",1,IF(Atletas!F351="Adulto 56kg",2,IF(Atletas!F351="Adulto 65kg",3,IF(Atletas!F351="Adulto 75kg",4,IF(Atletas!F351="Adulto +75kg",5,IF(Atletas!F351="Adulto 52kg",6,IF(Atletas!F351="Adulto 60kg",7,IF(Atletas!F351="Adulto 70kg",8,IF(Atletas!F351="Adulto 80kg",9,IF(Atletas!F351="Adulto 90kg",10,IF(Atletas!F351="Adulto +90kg",11,"")))))))))))))</f>
        <v/>
      </c>
      <c r="AY355" s="46" t="str">
        <f>IF(Atletas!G351="","",IF(Atletas!B351="Feminino",100,IF(Atletas!B351="Masculino",200,""))+(IF(Atletas!G351="Changquan Mirim",1,IF(Atletas!G351="Nanquan Mirim",2,IF(Atletas!G351="Taijiquan Mirim",3,IF(Atletas!G351="Changquan Grupo C",4,IF(Atletas!G351="Nanquan Grupo C",5,IF(Atletas!G351="Taijiquan Grupo C",6,IF(Atletas!G351="Changquan Grupo B",7,IF(Atletas!G351="Nanquan Grupo B",8,IF(Atletas!G351="Taijiquan Grupo B",9,IF(Atletas!G351="Changquan Grupo A",10,IF(Atletas!G351="Nanquan Grupo A",11,IF(Atletas!G351="Taijiquan Grupo A",12,IF(Atletas!G351="Changquan Opcional",13,IF(Atletas!G351="Nanquan Opcional",14,IF(Atletas!G351="Taijiquan Opcional",15,IF(Atletas!G351="Changquan Adulto",16,IF(Atletas!G351="Nanquan Adulto",17,IF(Atletas!G351="Taijiquan Adulto",18,""))))))))))))))))))))</f>
        <v/>
      </c>
      <c r="AZ355" s="46" t="str">
        <f>IF(Atletas!H351="","",IF(Atletas!B351="Feminino",100,IF(Atletas!B351="Masculino",200,""))+(IF(Atletas!H351="Daoshu Mirim",19,IF(Atletas!H351="Jianshu Mirim",20,IF(Atletas!H351="Nandao Mirim",21,IF(Atletas!H351="Taijijian Mirim",22,IF(Atletas!H351="Daoshu Grupo C",23,IF(Atletas!H351="Jianshu Grupo C",24,IF(Atletas!H351="Nandao Grupo C",25,IF(Atletas!H351="Taijijian Grupo C",26,IF(Atletas!H351="Daoshu Grupo B",27,IF(Atletas!H351="Jianshu Grupo B",28,IF(Atletas!H351="Nandao Grupo B",29,IF(Atletas!H351="Taijijian Grupo B",30,IF(Atletas!H351="Daoshu Grupo A",31,IF(Atletas!H351="Jianshu Grupo A",32,IF(Atletas!H351="Nandao Grupo A",33,IF(Atletas!H351="Taijijian Grupo A",34,IF(Atletas!H351="Daoshu Opcional",35,IF(Atletas!H351="Jianshu Opcional",36,IF(Atletas!H351="Nandao Opcional",37,IF(Atletas!H351="Taijijian Opcional",38,IF(Atletas!H351="Daoshu Adulto",39,IF(Atletas!H351="Jianshu Adulto",40,IF(Atletas!H351="Nandao Adulto",41,IF(Atletas!H351="Taijijian Adulto",42,""))))))))))))))))))))))))))</f>
        <v/>
      </c>
      <c r="BA355" s="46" t="str">
        <f>IF(Atletas!I351="","",IF(Atletas!B351="Feminino",100,IF(Atletas!B351="Masculino",200,""))+(IF(Atletas!I351="Gunshu Mirim",43,IF(Atletas!I351="Qiangshu Mirim",44,IF(Atletas!I351="Nangun Mirim",45,IF(Atletas!I351="Gunshu Grupo C",46,IF(Atletas!I351="Qiangshu Grupo C",47,IF(Atletas!I351="Nangun Grupo C",48,IF(Atletas!I351="Gunshu Grupo B",49,IF(Atletas!I351="Qiangshu Grupo B",50,IF(Atletas!I351="Nangun Grupo B",51,IF(Atletas!I351="Gunshu Grupo A",52,IF(Atletas!I351="Qiangshu Grupo A",53,IF(Atletas!I351="Nangun Grupo A",54,IF(Atletas!I351="Gunshu Opcional",55,IF(Atletas!I351="Qiangshu Opcional",56,IF(Atletas!I351="Nangun Opcional",57,IF(Atletas!I351="Gunshu Adulto",58,IF(Atletas!I351="Qiangshu Adulto",59,IF(Atletas!I351="Nangun Adulto",60,""))))))))))))))))))))</f>
        <v/>
      </c>
      <c r="BF355" s="52" t="str">
        <f>IF(Atletas!J351="","",IF(Atletas!B351="Feminino",100,IF(Atletas!B351="Masculino",200,""))+(IF(Atletas!J351="Equipe 1 Grupo B",1,IF(Atletas!J351="Equipe 2 Grupo B",2,IF(Atletas!J351="Equipe 1 Grupo A",3,IF(Atletas!J351="Equipe 2 Grupo A",4,IF(Atletas!J351="Equipe 1 Adulto",5,IF(Atletas!J351="Equipe 2 Adulto",6,""))))))))</f>
        <v/>
      </c>
      <c r="BK355" s="52" t="str">
        <f>IF(Atletas!K351="","",IF(Atletas!W351&lt;&gt;"",10000,0)+(IF(Atletas!B351="Feminino",1000,IF(Atletas!B351="Masculino",2000,""))+IF(Atletas!K351="Choylayfut A",1,IF(Atletas!K351="Hunggar A",2,IF(Atletas!K351="Wuzuquan A",3,IF(Atletas!K351="Wingchun A",4,IF(Atletas!K351="Outra Mão de Sul A",5,IF(Atletas!K351="Choylayfut B",6,IF(Atletas!K351="Hunggar B",7,IF(Atletas!K351="Wuzuquan B",8,IF(Atletas!K351="Wingchun B",9,IF(Atletas!K351="Outra Mão de Sul B",10,IF(Atletas!K351="Choylayfut C",11,IF(Atletas!K351="Hunggar C",12,IF(Atletas!K351="Wuzuquan C",13,IF(Atletas!K351="Wingchun C",14,IF(Atletas!K351="Outra Mão de Sul C",15,IF(Atletas!K351="Choylayfut D",16,IF(Atletas!K351="Hunggar D",17,IF(Atletas!K351="Wuzuquan D",18,IF(Atletas!K351="Wingchun D",19,IF(Atletas!K351="Outra Mão de Sul D",20,IF(Atletas!K351="Choylayfut E",21,IF(Atletas!K351="Hunggar E",22,IF(Atletas!K351="Wuzuquan E",23,IF(Atletas!K351="Wingchun E",24,IF(Atletas!K351="Outra Mão de Sul E",25,IF(Atletas!K351="Choylayfut F",26,IF(Atletas!K351="Hunggar F",27,IF(Atletas!K351="Wuzuquan F",28,IF(Atletas!K351="Wingchun F",29,IF(Atletas!K351="Outra Mão de Sul F",30,""))))))))))))))))))))))))))))))))</f>
        <v/>
      </c>
      <c r="BL355" s="52" t="str">
        <f>IF(Atletas!L351="","",IF(Atletas!W351&lt;&gt;"",10000,0)+(IF(Atletas!B351="Feminino",1000,IF(Atletas!B351="Masculino",2000,""))+(IF(Atletas!L351="Chaquan A",101,IF(Atletas!L351="Emeiquan A",102,IF(Atletas!L351="Fanziquan A",103,IF(Atletas!L351="Huaquan A",104,IF(Atletas!L351="Hongquan A",105,IF(Atletas!L351="Paochui A",106,IF(Atletas!L351="Piguaquan A",107,IF(Atletas!L351="Shaolinquan A",108,IF(Atletas!L351="Tanglangquan A",109,IF(Atletas!L351="Yinzhaophai A",110,IF(Atletas!L351="Tongbeiquan A",111,IF(Atletas!L351="Wudangquan A",112,IF(Atletas!L351="Outros Estilos A",113,IF(Atletas!L351="Chaquan B",114,IF(Atletas!L351="Emeiquan B",115,IF(Atletas!L351="Fanziquan B",116,IF(Atletas!L351="Huaquan B",117,IF(Atletas!L351="Hongquan B",118,IF(Atletas!L351="Paochui B",119,IF(Atletas!L351="Piguaquan B",120,IF(Atletas!L351="Shaolinquan B",121,IF(Atletas!L351="Tanglangquan B",122,IF(Atletas!L351="Yinzhaophai B",123,IF(Atletas!L351="Tongbeiquan B",124,IF(Atletas!L351="Wudangquan B",125,IF(Atletas!L351="Outros Estilos B",126,IF(Atletas!L351="Chaquan C",127,IF(Atletas!L351="Emeiquan C",128,IF(Atletas!L351="Fanziquan C",129,IF(Atletas!L351="Huaquan C",130,IF(Atletas!L351="Hongquan C",131,IF(Atletas!L351="Paochui C",132,IF(Atletas!L351="Piguaquan C",133,IF(Atletas!L351="Shaolinquan C",134,IF(Atletas!L351="Tanglangquan C",135,IF(Atletas!L351="Yinzhaophai C",136,IF(Atletas!L351="Tongbeiquan C",137,IF(Atletas!L351="Wudangquan C",138,IF(Atletas!L351="Outros Estilos C",139,0))))))))))))))))))))))))))))))))))))))))))</f>
        <v/>
      </c>
      <c r="BM355" s="52" t="str">
        <f>IF(Atletas!L351="","",IF(Atletas!W351&lt;&gt;"",10000,0)+(IF(Atletas!B351="Feminino",1000,IF(Atletas!B351="Masculino",2000,""))+(IF(Atletas!L351="Chaquan D",140,IF(Atletas!L351="Emeiquan D",141,IF(Atletas!L351="Fanziquan D",142,IF(Atletas!L351="Huaquan D",143,IF(Atletas!L351="Hongquan D",144,IF(Atletas!L351="Paochui D",145,IF(Atletas!L351="Piguaquan D",146,IF(Atletas!L351="Shaolinquan D",147,IF(Atletas!L351="Tanglangquan D",148,IF(Atletas!L351="Yinzhaophai D",149,IF(Atletas!L351="Tongbeiquan D",150,IF(Atletas!L351="Wudangquan D",151,IF(Atletas!L351="Outros Estilos D",152,IF(Atletas!L351="Chaquan E",153,IF(Atletas!L351="Emeiquan E",154,IF(Atletas!L351="Fanziquan E",155,IF(Atletas!L351="Huaquan E",156,IF(Atletas!L351="Hongquan E",157,IF(Atletas!L351="Paochui E",158,IF(Atletas!L351="Piguaquan E",159,IF(Atletas!L351="Shaolinquan E",160,IF(Atletas!L351="Tanglangquan E",161,IF(Atletas!L351="Yinzhaophai E",162,IF(Atletas!L351="Tongbeiquan E",163,IF(Atletas!L351="Wudangquan E",164,IF(Atletas!L351="Outros Estilos E",165,IF(Atletas!L351="Chaquan F",166,IF(Atletas!L351="Emeiquan F",167,IF(Atletas!L351="Fanziquan F",168,IF(Atletas!L351="Huaquan F",169,IF(Atletas!L351="Hongquan F",170,IF(Atletas!L351="Paochui F",171,IF(Atletas!L351="Piguaquan F",172,IF(Atletas!L351="Shaolinquan F",173,IF(Atletas!L351="Tanglangquan F",174,IF(Atletas!L351="Yinzhaophai F",175,IF(Atletas!L351="Tongbeiquan F",176,IF(Atletas!L351="Wudangquan F",177,IF(Atletas!L351="Outros Estilos F",178,0))))))))))))))))))))))))))))))))))))))))))</f>
        <v/>
      </c>
      <c r="BN355" s="52" t="str">
        <f>IF(Atletas!M351="","",IF(Atletas!W351&lt;&gt;"",10000,0)+(IF(Atletas!B351="Feminino",1000,IF(Atletas!B351="Masculino",2000,""))+(IF(Atletas!M351="Ditangquan A",201,IF(Atletas!M351="Houquan A",202,IF(Atletas!M351="Zuiquan A",203,IF(Atletas!M351="Ditangquan B",204,IF(Atletas!M351="Houquan B",205,IF(Atletas!M351="Zuiquan B",206,IF(Atletas!M351="Ditangquan C",207,IF(Atletas!M351="Houquan C",208,IF(Atletas!M351="Zuiquan C",209,IF(Atletas!M351="Ditangquan D",210,IF(Atletas!M351="Houquan D",211,IF(Atletas!M351="Zuiquan D",212,IF(Atletas!M351="Ditangquan E",213,IF(Atletas!M351="Houquan E",214,IF(Atletas!M351="Zuiquan E",215,IF(Atletas!M351="Ditangquan F",216,IF(Atletas!M351="Houquan F",217,IF(Atletas!M351="Zuiquan F",218,"")))))))))))))))))))))</f>
        <v/>
      </c>
      <c r="BO355" s="52" t="str">
        <f>IF(Atletas!N351="","",IF(Atletas!W351&lt;&gt;"",10000,0)+IF(Atletas!B351="Feminino",1000,IF(Atletas!B351="Masculino",2000,""))+IF(Atletas!N351="Yang A",301,IF(Atletas!N351="Chen A",30,IF(Atletas!N351="Sun A",303,IF(Atletas!N351="Wu A",304,IF(Atletas!N351="Wu-Hao A",305,IF(Atletas!N351="Outro Taijiquan A",306,IF(Atletas!N351="Yang B",307,IF(Atletas!N351="Chen B",308,IF(Atletas!N351="Sun B",309,IF(Atletas!N351="Wu B",310,IF(Atletas!N351="Wu-Hao B",311,IF(Atletas!N351="Outro Taijiquan B",312,IF(Atletas!N351="Yang C",313,IF(Atletas!N351="Chen C",314,IF(Atletas!N351="Sun C",315,IF(Atletas!N351="Wu C",316,IF(Atletas!N351="Wu-Hao C",317,IF(Atletas!N351="Outro Taijiquan C",318,IF(Atletas!N351="Yang D",319,IF(Atletas!N351="Chen D",320,IF(Atletas!N351="Sun D",321,IF(Atletas!N351="Wu D",322,IF(Atletas!N351="Wu-Hao D",323,IF(Atletas!N351="Outro Taijiquan D",324,IF(Atletas!N351="Yang E",325,IF(Atletas!N351="Chen E",326,IF(Atletas!N351="Sun E",327,IF(Atletas!N351="Wu E",328,IF(Atletas!N351="Wu-Hao E",329,IF(Atletas!N351="Outro Taijiquan E",330,IF(Atletas!N351="Yang F",331,IF(Atletas!N351="Chen F",332,IF(Atletas!N351="Sun F",333,IF(Atletas!N351="Wu F",334,IF(Atletas!N351="Wu-Hao F",335,IF(Atletas!N351="Outro Taijiquan F",336,"")))))))))))))))))))))))))))))))))))))</f>
        <v/>
      </c>
      <c r="BP355" s="52" t="str">
        <f>IF(Atletas!O351="","",IF(Atletas!W351&lt;&gt;"",10000,0)+IF(Atletas!B351="Feminino",1000,IF(Atletas!B351="Masculino",2000,""))+IF(OR(Atletas!O351="Yang 26 A",Atletas!O351="Yang 40 A"),401,IF(OR(Atletas!O351="Chen 25 A",Atletas!O351="Chen 36 A",Atletas!O351="Chen 56 A"),402,IF(Atletas!O351="Sun 73 A",403,IF(Atletas!O351="Wu 45 A",404,IF(Atletas!O351="Wu-Hao 46 A",405,IF(OR(Atletas!O351="Taijiquan 16 A",Atletas!O351="Taijiquan 24 A",Atletas!O351="Taijiquan 32 A",Atletas!O351="Taijiquan 42 A"),406,IF(OR(Atletas!O351="Yang 26 B",Atletas!O351="Yang 40 B"),407,IF(OR(Atletas!O351="Chen 25 B",Atletas!O351="Chen 36 B",Atletas!O351="Chen 56 B"),408,IF(Atletas!O351="Sun 73 B",409,IF(Atletas!O351="Wu 45 B",410,IF(Atletas!O351="Wu-Hao 46 B",411,IF(OR(Atletas!O351="Taijiquan 16 B",Atletas!O351="Taijiquan 24 B",Atletas!O351="Taijiquan 32 B",Atletas!O351="Taijiquan 42 B"),412,IF(OR(Atletas!O351="Yang 26 C",Atletas!O351="Yang 40 C"),413,IF(OR(Atletas!O351="Chen 25 C",Atletas!O351="Chen 36 C",Atletas!O351="Chen 56 C"),414,IF(Atletas!O351="Sun 73 C",415,IF(Atletas!O351="Wu 45 C",416,IF(Atletas!O351="Wu-Hao 46 C",417,IF(OR(Atletas!O351="Taijiquan 16 C",Atletas!O351="Taijiquan 24 C",Atletas!O351="Taijiquan 32 C",Atletas!O351="Taijiquan 42 C"),418,0)))))))))))))))))))</f>
        <v/>
      </c>
      <c r="BQ355" s="52" t="str">
        <f>IF(Atletas!O351="","",IF(Atletas!W351&lt;&gt;"",10000,0)+IF(Atletas!B351="Feminino",1000,IF(Atletas!B351="Masculino",2000,""))+IF(OR(Atletas!O351="Yang 26 D",Atletas!O351="Yang 40 D"),419,IF(OR(Atletas!O351="Chen 25 D",Atletas!O351="Chen 36 D",Atletas!O351="Chen 56 D"),420,IF(Atletas!O351="Sun 73 D",421,IF(Atletas!O351="Wu 45 D",422,IF(Atletas!O351="Wu-Hao 46 D",423,IF(OR(Atletas!O351="Taijiquan 16 D",Atletas!O351="Taijiquan 24 D",Atletas!O351="Taijiquan 32 D",Atletas!O351="Taijiquan 42 D"),424,IF(OR(Atletas!O351="Yang 26 E",Atletas!O351="Yang 40 E"),425,IF(OR(Atletas!O351="Chen 25 E",Atletas!O351="Chen 36 E",Atletas!O351="Chen 56 E"),426,IF(Atletas!O351="Sun 73 E",427,IF(Atletas!O351="Wu 45 E",428,IF(Atletas!O351="Wu-Hao 46 E",429,IF(OR(Atletas!O351="Taijiquan 16 E",Atletas!O351="Taijiquan 24 E",Atletas!O351="Taijiquan 32 E",Atletas!O351="Taijiquan 42 E"),430,IF(OR(Atletas!O351="Yang 26 F",Atletas!O351="Yang 40 F"),431,IF(OR(Atletas!O351="Chen 25 F",Atletas!O351="Chen 36 F",Atletas!O351="Chen 56 F"),432,IF(Atletas!O351="Sun 73 F",433,IF(Atletas!O351="Wu 45 F",434,IF(Atletas!O351="Wu-Hao 46 F",435,IF(OR(Atletas!O351="Taijiquan 16 F",Atletas!O351="Taijiquan 24 F",Atletas!O351="Taijiquan 32 F",Atletas!O351="Taijiquan 42 F"),436,0)))))))))))))))))))</f>
        <v/>
      </c>
      <c r="BR355" s="52" t="str">
        <f>IF(Atletas!P351="","",IF(Atletas!W351&lt;&gt;"",10000,0)+IF(Atletas!B351="Feminino",1000,IF(Atletas!B351="Masculino",2000,""))+IF(Atletas!P351="Xingyiquan A",501,IF(Atletas!P351="Baguazhang A",502,IF(Atletas!P351="Outro Estilo Interno A",503,IF(Atletas!P351="Xingyiquan B",504,IF(Atletas!P351="Baguazhang B",505,IF(Atletas!P351="Outro Estilo Interno B",506,IF(Atletas!P351="Xingyiquan C",507,IF(Atletas!P351="Baguazhang C",508,IF(Atletas!P351="Outro Estilo Interno C",509,IF(Atletas!P351="Xingyiquan D",510,IF(Atletas!P351="Baguazhang D",511,IF(Atletas!P351="Outro Estilo Interno D",512,IF(Atletas!P351="Xingyiquan E",513,IF(Atletas!P351="Baguazhang E",514,IF(Atletas!P351="Outro Estilo Interno E",515,IF(Atletas!P351="Xingyiquan F",516,IF(Atletas!P351="Baguazhang F",517,IF(Atletas!P351="Outro Estilo Interno F",518, "")))))))))))))))))))</f>
        <v/>
      </c>
      <c r="BS355" s="52" t="str">
        <f>IF(Atletas!Q351="","",IF(Atletas!W351&lt;&gt;"",10000,0)+IF(Atletas!B351="Feminino",1000,IF(Atletas!B351="Masculino",2000,""))+IF(Atletas!Q351="Dao A",601,IF(Atletas!Q351="Jian A",602,IF(Atletas!Q351="Bishou A",603,IF(Atletas!Q351="Shan A",604,IF(Atletas!Q351="Outra Arma Curta A",605,IF(Atletas!Q351="Dao B",606,IF(Atletas!Q351="Jian B",607,IF(Atletas!Q351="Bishou B",608,IF(Atletas!Q351="Shan B",609,IF(Atletas!Q351="Outra Arma Curta B",610,IF(Atletas!Q351="Dao C",611,IF(Atletas!Q351="Jian C",612,IF(Atletas!Q351="Bishou C",613,IF(Atletas!Q351="Shan C",614,IF(Atletas!Q351="Outra Arma Curta C",615,IF(Atletas!Q351="Dao D",616,IF(Atletas!Q351="Jian D",617,IF(Atletas!Q351="Bishou D",618,IF(Atletas!Q351="Shan D",619,IF(Atletas!Q351="Outra Arma Curta D",620,IF(Atletas!Q351="Dao E",621,IF(Atletas!Q351="Jian E",622,IF(Atletas!Q351="Bishou E",623,IF(Atletas!Q351="Shan E",624,IF(Atletas!Q351="Outra Arma Curta E",625,IF(Atletas!Q351="Dao F",626,IF(Atletas!Q351="Jian F",627,IF(Atletas!Q351="Bishou F",628,IF(Atletas!Q351="Shan F",629,IF(Atletas!Q351="Outra Arma Curta F",630, "")))))))))))))))))))))))))))))))</f>
        <v/>
      </c>
      <c r="BT355" s="52" t="str">
        <f>IF(Atletas!R351="","",IF(Atletas!W351&lt;&gt;"",10000,0)+IF(Atletas!B351="Feminino",1000,IF(Atletas!B351="Masculino",2000,""))+IF(Atletas!R351="Gun A",701,IF(Atletas!R351="Qiang A",702,IF(Atletas!R351="Pudao / Guandao A",703,IF(Atletas!R351="Outra Arma Longa A",704,IF(Atletas!R351="Gun B",705,IF(Atletas!R351="Qiang B",706,IF(Atletas!R351="Pudao / Guandao B",707,IF(Atletas!R351="Outra Arma Longa B",708,IF(Atletas!R351="Gun C",709,IF(Atletas!R351="Qiang C",710,IF(Atletas!R351="Pudao / Guandao C",711,IF(Atletas!R351="Outra Arma Longa C",712,IF(Atletas!R351="Gun D",713,IF(Atletas!R351="Qiang D",714,IF(Atletas!R351="Pudao / Guandao D",715,IF(Atletas!R351="Outra Arma Longa D",716,IF(Atletas!R351="Gun E",717,IF(Atletas!R351="Qiang E",718,IF(Atletas!R351="Pudao / Guandao E",719,IF(Atletas!R351="Outra Arma Longa E",720,IF(Atletas!R351="Gun F",721,IF(Atletas!R351="Qiang F",722,IF(Atletas!R351="Pudao / Guandao F",723,IF(Atletas!R351="Outra Arma Longa F",724,"")))))))))))))))))))))))))</f>
        <v/>
      </c>
      <c r="BU355" s="52" t="str">
        <f>IF(Atletas!S351="","",IF(Atletas!W351&lt;&gt;"",10000,0)+IF(Atletas!B351="Feminino",1000,IF(Atletas!B351="Masculino",2000,""))+IF(Atletas!S351="Arma Dupla A",801,IF(Atletas!S351="Arma Maleável A",802,IF(Atletas!S351="Arma Dupla B",803,IF(Atletas!S351="Arma Maleável B",804,IF(Atletas!S351="Arma Dupla C",805,IF(Atletas!S351="Arma Maleável C",806,IF(Atletas!S351="Arma Dupla D",807,IF(Atletas!S351="Arma Maleável D",808,IF(Atletas!S351="Arma Dupla E",809,IF(Atletas!S351="Arma Maleável E",810,IF(Atletas!S351="Arma Dupla F",811,IF(Atletas!S351="Arma Maleável F",812, "")))))))))))))</f>
        <v/>
      </c>
      <c r="BV355" s="52" t="str">
        <f>IF(Atletas!T351="","",IF(Atletas!W351&lt;&gt;"",10000,0)+IF(Atletas!B351="Feminino",1000,IF(Atletas!B351="Masculino",2000,""))+IF(Atletas!T351="Taijijian Yang A",901,IF(Atletas!T351="Taijijian Chen A",902,IF(Atletas!T351="Taijijian Sun A",903,IF(Atletas!T351="Taijijian Wu A",904,IF(Atletas!T351="Taijijian Wu-Hao A",905,IF(Atletas!T351="Taijijian 32 A",906,IF(Atletas!T351="Taijijian 42 A",907,IF(Atletas!T351="Taijijian Yang B",908,IF(Atletas!T351="Taijijian Chen B",909,IF(Atletas!T351="Taijijian Sun B",910,IF(Atletas!T351="Taijijian Wu B",911,IF(Atletas!T351="Taijijian Wu-Hao B",912,IF(Atletas!T351="Taijijian 32 B",913,IF(Atletas!T351="Taijijian 42 B",914,IF(Atletas!T351="Taijijian Yang C",915,IF(Atletas!T351="Taijijian Chen C",916,IF(Atletas!T351="Taijijian Sun C",917,IF(Atletas!T351="Taijijian Wu C",918,IF(Atletas!T351="Taijijian Wu-Hao C",919,IF(Atletas!T351="Taijijian 32 C",920,IF(Atletas!T351="Taijijian 42 C",921,IF(Atletas!T351="Taijijian Yang D",922,IF(Atletas!T351="Taijijian Chen D",923,IF(Atletas!T351="Taijijian Sun D",924,IF(Atletas!T351="Taijijian Wu D",925,IF(Atletas!T351="Taijijian Wu-Hao D",926,IF(Atletas!T351="Taijijian 32 D",927,IF(Atletas!T351="Taijijian 42 D",928,IF(Atletas!T351="Taijijian Yang E",929,IF(Atletas!T351="Taijijian Chen E",930,IF(Atletas!T351="Taijijian Sun E",931,IF(Atletas!T351="Taijijian Wu E",932,IF(Atletas!T351="Taijijian Wu-Hao E",933,IF(Atletas!T351="Taijijian 32 E",934,IF(Atletas!T351="Taijijian 42 E",935,IF(Atletas!T351="Taijijian Yang F",936,IF(Atletas!T351="Taijijian Chen F",937,IF(Atletas!T351="Taijijian Sun F",938,IF(Atletas!T351="Taijijian Wu F",939,IF(Atletas!T351="Taijijian Wu-Hao F",940,IF(Atletas!T351="Taijijian 32 F",941,IF(Atletas!T351="Taijijian 42 F",942,"")))))))))))))))))))))))))))))))))))))))))))</f>
        <v/>
      </c>
      <c r="BW355" s="52" t="str">
        <f>IF(Atletas!U351="","",IF(Atletas!W351&lt;&gt;"",10000,0)+IF(Atletas!B351="Feminino",1000,IF(Atletas!B351="Masculino",2000,""))+IF(Atletas!T351="Taijijian 42 F",942,IF(Atletas!U351="Taijidao A",943,IF(Atletas!U351="Taijishan A",944,IF(Atletas!U351="Taijiqiang A",945,IF(Atletas!U351="Taijidao B",946,IF(Atletas!U351="Taijishan B",947,IF(Atletas!U351="Taijiqiang B",948,IF(Atletas!U351="Taijidao C",949,IF(Atletas!U351="Taijishan C",950,IF(Atletas!U351="Taijiqiang C",951,IF(Atletas!U351="Taijidao D",952,IF(Atletas!U351="Taijishan D",953,IF(Atletas!U351="Taijiqiang D",954,IF(Atletas!U351="Taijidao E",955,IF(Atletas!U351="Taijishan E",956,IF(Atletas!U351="Taijiqiang E",957,IF(Atletas!U351="Taijidao F",958,IF(Atletas!U351="Taijishan F",959,IF(Atletas!U351="Taijiqiang F",960))))))))))))))))))))</f>
        <v/>
      </c>
      <c r="BX355" s="72"/>
      <c r="BY355" s="72"/>
      <c r="BZ355" s="72"/>
      <c r="CA355" s="72"/>
      <c r="CB355" s="72" t="str">
        <f>IF(CC355&lt;&gt;"","Taijijian 42 A","")</f>
        <v/>
      </c>
      <c r="CC355" s="64" t="str">
        <f>IF(COUNTIF(BK:BW,11907)&gt;0,COUNTIF(BK:BW,11907),"")</f>
        <v/>
      </c>
      <c r="CD355" s="64" t="str">
        <f>IF(CE355&lt;&gt;"","Taijijian 42 A","")</f>
        <v/>
      </c>
      <c r="CE355" s="64" t="str">
        <f>IF(COUNTIF(BK:BW,12907)&gt;0,COUNTIF(BK:BW,12907),"")</f>
        <v/>
      </c>
      <c r="CF355" s="52" t="str">
        <f xml:space="preserve"> IF(Atletas!V351="","",IF(Atletas!V351="Duilian de Mãos AB - Equipe 1",1,IF(Atletas!V351="Duilian de Mãos AB - Equipe 2",2,IF(Atletas!V351="Duilian de Armas AB - Equipe 1",3,IF(Atletas!V351="Duilian de Armas AB - Equipe 2",4,IF(Atletas!V351="Duilian de Tuishou - Equipe 1",5,IF(Atletas!V351="Duilian de Tuishou - Equipe 2",6,IF(Atletas!V351="Grupo Externo AB - Equipe 1",7,IF(Atletas!V351="Grupo Externo AB - Equipe 2",8,IF(Atletas!V351="Grupo Interno AB - Equipe 1",9,IF(Atletas!V351="Grupo Interno AB - Equipe 2",10,IF(Atletas!V351="Duilian de Mãos CD - Equipe 1",11,IF(Atletas!V351="Duilian de Mãos CD - Equipe 2",12,IF(Atletas!V351="Duilian de Armas CD - Equipe 1",13,IF(Atletas!V351="Duilian de Armas CD - Equipe 2",14,IF(Atletas!V351="Duilian de Tuishou - Equipe 1",15,IF(Atletas!V351="Duilian de Tuishou - Equipe 2",16,IF(Atletas!V351="Grupo Externo CDEF - Equipe 1",17,IF(Atletas!V351="Grupo Externo CDEF - Equipe 2",18,IF(Atletas!V351="Grupo Interno CDEF - Equipe 1",19,IF(Atletas!V351="Grupo Interno CDEF - Equipe 2",20,IF(Atletas!V351="Duilian de Mãos EF - Equipe 1",21,IF(Atletas!V351="Duilian de Mãos EF - Equipe 2",22,IF(Atletas!V351="Duilian de Armas EF - Equipe 1",23,IF(Atletas!V351="Duilian de Armas EF - Equipe 2",24,IF(Atletas!V351="Duilian de Tuishou - Equipe 1",25,IF(Atletas!V351="Duilian de Tuishou - Equipe 2",26,"")))))))))))))))))))))))))))</f>
        <v/>
      </c>
    </row>
    <row r="356" spans="36:84">
      <c r="AJ356" s="46" t="str">
        <f>IF(Atletas!D352="","",IF(Atletas!B352="Feminino",100,IF(Atletas!B352="Masculino",200,""))+(IF(Atletas!D352="Infantil 39kg",1,IF(Atletas!D352="Infantil 42kg",2,IF(Atletas!D352="Infantil 45kg",3,IF(Atletas!D352="Infantil 48kg",4,IF(Atletas!D352="Infantil 52kg",5,IF(Atletas!D352="Infantil 56kg",6,IF(Atletas!D352="Infantil 60kg",7,IF(Atletas!D352="Juvenil 48kg",8,IF(Atletas!D352="Juvenil 52kg",9,IF(Atletas!D352="Juvenil 56kg",10,IF(Atletas!D352="Juvenil 60kg",11,IF(Atletas!D352="Juvenil 65kg",12,IF(Atletas!D352="Juvenil 70kg",13,IF(Atletas!D352="Juvenil 75kg",14,IF(Atletas!D352="Juvenil 80kg",15,IF(Atletas!D352="Adulto 48kg",16,IF(Atletas!D352="Adulto 52kg",17,IF(Atletas!D352="Adulto 56kg",18,IF(Atletas!D352="Adulto 60kg",19,IF(Atletas!D352="Adulto 65kg",20,IF(Atletas!D352="Adulto 70kg",21,IF(Atletas!D352="Adulto 75kg",22,IF(Atletas!D352="Adulto 80kg",23,IF(Atletas!D352="Adulto 85kg",24,IF(Atletas!D352="Adulto 90kg",25,IF(Atletas!D352="Adulto +90kg",26,""))))))))))))))))))))))))))))</f>
        <v/>
      </c>
      <c r="AO356" s="10" t="str">
        <f>IF(Atletas!E352="","",IF(Atletas!B352="Feminino",100,IF(Atletas!B352="Masculino",200,""))+(IF(Atletas!E352="Juvenil 44kg",1,IF(Atletas!E352="Juvenil 48kg",2,IF(Atletas!E352="Juvenil 52kg",3,IF(Atletas!E352="Juvenil 56kg",4,IF(Atletas!E352="Juvenil 60kg",5,IF(Atletas!E352="Juvenil 65kg",6,IF(Atletas!E352="Juvenil 70kg",7,IF(Atletas!E352="Juvenil 75kg",8,IF(Atletas!E352="Juvenil 82kg",9,IF(Atletas!E352="Juvenil 90kg",10,IF(Atletas!E352="Juvenil 100kg",11,IF(Atletas!E352="Adulto 48kg",12,IF(Atletas!E352="Adulto 52kg",13,IF(Atletas!E352="Adulto 56kg",14,IF(Atletas!E352="Adulto 60kg",15,IF(Atletas!E352="Adulto 65kg",16,IF(Atletas!E352="Adulto 70kg",17,IF(Atletas!E352="Adulto 75kg",18,IF(Atletas!E352="Adulto 82kg",19,IF(Atletas!E352="Adulto 90kg",20,IF(Atletas!E352="Adulto 100kg",21,IF(Atletas!E352="Adulto +100kg",22,""))))))))))))))))))))))))</f>
        <v/>
      </c>
      <c r="AT356" s="10" t="str">
        <f>IF(Atletas!F352="","",IF(Atletas!B352="Feminino",100,IF(Atletas!B352="Masculino",200,""))+(IF(Atletas!F352="Adulto 48kg",1,IF(Atletas!F352="Adulto 56kg",2,IF(Atletas!F352="Adulto 65kg",3,IF(Atletas!F352="Adulto 75kg",4,IF(Atletas!F352="Adulto +75kg",5,IF(Atletas!F352="Adulto 52kg",6,IF(Atletas!F352="Adulto 60kg",7,IF(Atletas!F352="Adulto 70kg",8,IF(Atletas!F352="Adulto 80kg",9,IF(Atletas!F352="Adulto 90kg",10,IF(Atletas!F352="Adulto +90kg",11,"")))))))))))))</f>
        <v/>
      </c>
      <c r="AY356" s="46" t="str">
        <f>IF(Atletas!G352="","",IF(Atletas!B352="Feminino",100,IF(Atletas!B352="Masculino",200,""))+(IF(Atletas!G352="Changquan Mirim",1,IF(Atletas!G352="Nanquan Mirim",2,IF(Atletas!G352="Taijiquan Mirim",3,IF(Atletas!G352="Changquan Grupo C",4,IF(Atletas!G352="Nanquan Grupo C",5,IF(Atletas!G352="Taijiquan Grupo C",6,IF(Atletas!G352="Changquan Grupo B",7,IF(Atletas!G352="Nanquan Grupo B",8,IF(Atletas!G352="Taijiquan Grupo B",9,IF(Atletas!G352="Changquan Grupo A",10,IF(Atletas!G352="Nanquan Grupo A",11,IF(Atletas!G352="Taijiquan Grupo A",12,IF(Atletas!G352="Changquan Opcional",13,IF(Atletas!G352="Nanquan Opcional",14,IF(Atletas!G352="Taijiquan Opcional",15,IF(Atletas!G352="Changquan Adulto",16,IF(Atletas!G352="Nanquan Adulto",17,IF(Atletas!G352="Taijiquan Adulto",18,""))))))))))))))))))))</f>
        <v/>
      </c>
      <c r="AZ356" s="46" t="str">
        <f>IF(Atletas!H352="","",IF(Atletas!B352="Feminino",100,IF(Atletas!B352="Masculino",200,""))+(IF(Atletas!H352="Daoshu Mirim",19,IF(Atletas!H352="Jianshu Mirim",20,IF(Atletas!H352="Nandao Mirim",21,IF(Atletas!H352="Taijijian Mirim",22,IF(Atletas!H352="Daoshu Grupo C",23,IF(Atletas!H352="Jianshu Grupo C",24,IF(Atletas!H352="Nandao Grupo C",25,IF(Atletas!H352="Taijijian Grupo C",26,IF(Atletas!H352="Daoshu Grupo B",27,IF(Atletas!H352="Jianshu Grupo B",28,IF(Atletas!H352="Nandao Grupo B",29,IF(Atletas!H352="Taijijian Grupo B",30,IF(Atletas!H352="Daoshu Grupo A",31,IF(Atletas!H352="Jianshu Grupo A",32,IF(Atletas!H352="Nandao Grupo A",33,IF(Atletas!H352="Taijijian Grupo A",34,IF(Atletas!H352="Daoshu Opcional",35,IF(Atletas!H352="Jianshu Opcional",36,IF(Atletas!H352="Nandao Opcional",37,IF(Atletas!H352="Taijijian Opcional",38,IF(Atletas!H352="Daoshu Adulto",39,IF(Atletas!H352="Jianshu Adulto",40,IF(Atletas!H352="Nandao Adulto",41,IF(Atletas!H352="Taijijian Adulto",42,""))))))))))))))))))))))))))</f>
        <v/>
      </c>
      <c r="BA356" s="46" t="str">
        <f>IF(Atletas!I352="","",IF(Atletas!B352="Feminino",100,IF(Atletas!B352="Masculino",200,""))+(IF(Atletas!I352="Gunshu Mirim",43,IF(Atletas!I352="Qiangshu Mirim",44,IF(Atletas!I352="Nangun Mirim",45,IF(Atletas!I352="Gunshu Grupo C",46,IF(Atletas!I352="Qiangshu Grupo C",47,IF(Atletas!I352="Nangun Grupo C",48,IF(Atletas!I352="Gunshu Grupo B",49,IF(Atletas!I352="Qiangshu Grupo B",50,IF(Atletas!I352="Nangun Grupo B",51,IF(Atletas!I352="Gunshu Grupo A",52,IF(Atletas!I352="Qiangshu Grupo A",53,IF(Atletas!I352="Nangun Grupo A",54,IF(Atletas!I352="Gunshu Opcional",55,IF(Atletas!I352="Qiangshu Opcional",56,IF(Atletas!I352="Nangun Opcional",57,IF(Atletas!I352="Gunshu Adulto",58,IF(Atletas!I352="Qiangshu Adulto",59,IF(Atletas!I352="Nangun Adulto",60,""))))))))))))))))))))</f>
        <v/>
      </c>
      <c r="BF356" s="52" t="str">
        <f>IF(Atletas!J352="","",IF(Atletas!B352="Feminino",100,IF(Atletas!B352="Masculino",200,""))+(IF(Atletas!J352="Equipe 1 Grupo B",1,IF(Atletas!J352="Equipe 2 Grupo B",2,IF(Atletas!J352="Equipe 1 Grupo A",3,IF(Atletas!J352="Equipe 2 Grupo A",4,IF(Atletas!J352="Equipe 1 Adulto",5,IF(Atletas!J352="Equipe 2 Adulto",6,""))))))))</f>
        <v/>
      </c>
      <c r="BK356" s="52" t="str">
        <f>IF(Atletas!K352="","",IF(Atletas!W352&lt;&gt;"",10000,0)+(IF(Atletas!B352="Feminino",1000,IF(Atletas!B352="Masculino",2000,""))+IF(Atletas!K352="Choylayfut A",1,IF(Atletas!K352="Hunggar A",2,IF(Atletas!K352="Wuzuquan A",3,IF(Atletas!K352="Wingchun A",4,IF(Atletas!K352="Outra Mão de Sul A",5,IF(Atletas!K352="Choylayfut B",6,IF(Atletas!K352="Hunggar B",7,IF(Atletas!K352="Wuzuquan B",8,IF(Atletas!K352="Wingchun B",9,IF(Atletas!K352="Outra Mão de Sul B",10,IF(Atletas!K352="Choylayfut C",11,IF(Atletas!K352="Hunggar C",12,IF(Atletas!K352="Wuzuquan C",13,IF(Atletas!K352="Wingchun C",14,IF(Atletas!K352="Outra Mão de Sul C",15,IF(Atletas!K352="Choylayfut D",16,IF(Atletas!K352="Hunggar D",17,IF(Atletas!K352="Wuzuquan D",18,IF(Atletas!K352="Wingchun D",19,IF(Atletas!K352="Outra Mão de Sul D",20,IF(Atletas!K352="Choylayfut E",21,IF(Atletas!K352="Hunggar E",22,IF(Atletas!K352="Wuzuquan E",23,IF(Atletas!K352="Wingchun E",24,IF(Atletas!K352="Outra Mão de Sul E",25,IF(Atletas!K352="Choylayfut F",26,IF(Atletas!K352="Hunggar F",27,IF(Atletas!K352="Wuzuquan F",28,IF(Atletas!K352="Wingchun F",29,IF(Atletas!K352="Outra Mão de Sul F",30,""))))))))))))))))))))))))))))))))</f>
        <v/>
      </c>
      <c r="BL356" s="52" t="str">
        <f>IF(Atletas!L352="","",IF(Atletas!W352&lt;&gt;"",10000,0)+(IF(Atletas!B352="Feminino",1000,IF(Atletas!B352="Masculino",2000,""))+(IF(Atletas!L352="Chaquan A",101,IF(Atletas!L352="Emeiquan A",102,IF(Atletas!L352="Fanziquan A",103,IF(Atletas!L352="Huaquan A",104,IF(Atletas!L352="Hongquan A",105,IF(Atletas!L352="Paochui A",106,IF(Atletas!L352="Piguaquan A",107,IF(Atletas!L352="Shaolinquan A",108,IF(Atletas!L352="Tanglangquan A",109,IF(Atletas!L352="Yinzhaophai A",110,IF(Atletas!L352="Tongbeiquan A",111,IF(Atletas!L352="Wudangquan A",112,IF(Atletas!L352="Outros Estilos A",113,IF(Atletas!L352="Chaquan B",114,IF(Atletas!L352="Emeiquan B",115,IF(Atletas!L352="Fanziquan B",116,IF(Atletas!L352="Huaquan B",117,IF(Atletas!L352="Hongquan B",118,IF(Atletas!L352="Paochui B",119,IF(Atletas!L352="Piguaquan B",120,IF(Atletas!L352="Shaolinquan B",121,IF(Atletas!L352="Tanglangquan B",122,IF(Atletas!L352="Yinzhaophai B",123,IF(Atletas!L352="Tongbeiquan B",124,IF(Atletas!L352="Wudangquan B",125,IF(Atletas!L352="Outros Estilos B",126,IF(Atletas!L352="Chaquan C",127,IF(Atletas!L352="Emeiquan C",128,IF(Atletas!L352="Fanziquan C",129,IF(Atletas!L352="Huaquan C",130,IF(Atletas!L352="Hongquan C",131,IF(Atletas!L352="Paochui C",132,IF(Atletas!L352="Piguaquan C",133,IF(Atletas!L352="Shaolinquan C",134,IF(Atletas!L352="Tanglangquan C",135,IF(Atletas!L352="Yinzhaophai C",136,IF(Atletas!L352="Tongbeiquan C",137,IF(Atletas!L352="Wudangquan C",138,IF(Atletas!L352="Outros Estilos C",139,0))))))))))))))))))))))))))))))))))))))))))</f>
        <v/>
      </c>
      <c r="BM356" s="52" t="str">
        <f>IF(Atletas!L352="","",IF(Atletas!W352&lt;&gt;"",10000,0)+(IF(Atletas!B352="Feminino",1000,IF(Atletas!B352="Masculino",2000,""))+(IF(Atletas!L352="Chaquan D",140,IF(Atletas!L352="Emeiquan D",141,IF(Atletas!L352="Fanziquan D",142,IF(Atletas!L352="Huaquan D",143,IF(Atletas!L352="Hongquan D",144,IF(Atletas!L352="Paochui D",145,IF(Atletas!L352="Piguaquan D",146,IF(Atletas!L352="Shaolinquan D",147,IF(Atletas!L352="Tanglangquan D",148,IF(Atletas!L352="Yinzhaophai D",149,IF(Atletas!L352="Tongbeiquan D",150,IF(Atletas!L352="Wudangquan D",151,IF(Atletas!L352="Outros Estilos D",152,IF(Atletas!L352="Chaquan E",153,IF(Atletas!L352="Emeiquan E",154,IF(Atletas!L352="Fanziquan E",155,IF(Atletas!L352="Huaquan E",156,IF(Atletas!L352="Hongquan E",157,IF(Atletas!L352="Paochui E",158,IF(Atletas!L352="Piguaquan E",159,IF(Atletas!L352="Shaolinquan E",160,IF(Atletas!L352="Tanglangquan E",161,IF(Atletas!L352="Yinzhaophai E",162,IF(Atletas!L352="Tongbeiquan E",163,IF(Atletas!L352="Wudangquan E",164,IF(Atletas!L352="Outros Estilos E",165,IF(Atletas!L352="Chaquan F",166,IF(Atletas!L352="Emeiquan F",167,IF(Atletas!L352="Fanziquan F",168,IF(Atletas!L352="Huaquan F",169,IF(Atletas!L352="Hongquan F",170,IF(Atletas!L352="Paochui F",171,IF(Atletas!L352="Piguaquan F",172,IF(Atletas!L352="Shaolinquan F",173,IF(Atletas!L352="Tanglangquan F",174,IF(Atletas!L352="Yinzhaophai F",175,IF(Atletas!L352="Tongbeiquan F",176,IF(Atletas!L352="Wudangquan F",177,IF(Atletas!L352="Outros Estilos F",178,0))))))))))))))))))))))))))))))))))))))))))</f>
        <v/>
      </c>
      <c r="BN356" s="52" t="str">
        <f>IF(Atletas!M352="","",IF(Atletas!W352&lt;&gt;"",10000,0)+(IF(Atletas!B352="Feminino",1000,IF(Atletas!B352="Masculino",2000,""))+(IF(Atletas!M352="Ditangquan A",201,IF(Atletas!M352="Houquan A",202,IF(Atletas!M352="Zuiquan A",203,IF(Atletas!M352="Ditangquan B",204,IF(Atletas!M352="Houquan B",205,IF(Atletas!M352="Zuiquan B",206,IF(Atletas!M352="Ditangquan C",207,IF(Atletas!M352="Houquan C",208,IF(Atletas!M352="Zuiquan C",209,IF(Atletas!M352="Ditangquan D",210,IF(Atletas!M352="Houquan D",211,IF(Atletas!M352="Zuiquan D",212,IF(Atletas!M352="Ditangquan E",213,IF(Atletas!M352="Houquan E",214,IF(Atletas!M352="Zuiquan E",215,IF(Atletas!M352="Ditangquan F",216,IF(Atletas!M352="Houquan F",217,IF(Atletas!M352="Zuiquan F",218,"")))))))))))))))))))))</f>
        <v/>
      </c>
      <c r="BO356" s="52" t="str">
        <f>IF(Atletas!N352="","",IF(Atletas!W352&lt;&gt;"",10000,0)+IF(Atletas!B352="Feminino",1000,IF(Atletas!B352="Masculino",2000,""))+IF(Atletas!N352="Yang A",301,IF(Atletas!N352="Chen A",30,IF(Atletas!N352="Sun A",303,IF(Atletas!N352="Wu A",304,IF(Atletas!N352="Wu-Hao A",305,IF(Atletas!N352="Outro Taijiquan A",306,IF(Atletas!N352="Yang B",307,IF(Atletas!N352="Chen B",308,IF(Atletas!N352="Sun B",309,IF(Atletas!N352="Wu B",310,IF(Atletas!N352="Wu-Hao B",311,IF(Atletas!N352="Outro Taijiquan B",312,IF(Atletas!N352="Yang C",313,IF(Atletas!N352="Chen C",314,IF(Atletas!N352="Sun C",315,IF(Atletas!N352="Wu C",316,IF(Atletas!N352="Wu-Hao C",317,IF(Atletas!N352="Outro Taijiquan C",318,IF(Atletas!N352="Yang D",319,IF(Atletas!N352="Chen D",320,IF(Atletas!N352="Sun D",321,IF(Atletas!N352="Wu D",322,IF(Atletas!N352="Wu-Hao D",323,IF(Atletas!N352="Outro Taijiquan D",324,IF(Atletas!N352="Yang E",325,IF(Atletas!N352="Chen E",326,IF(Atletas!N352="Sun E",327,IF(Atletas!N352="Wu E",328,IF(Atletas!N352="Wu-Hao E",329,IF(Atletas!N352="Outro Taijiquan E",330,IF(Atletas!N352="Yang F",331,IF(Atletas!N352="Chen F",332,IF(Atletas!N352="Sun F",333,IF(Atletas!N352="Wu F",334,IF(Atletas!N352="Wu-Hao F",335,IF(Atletas!N352="Outro Taijiquan F",336,"")))))))))))))))))))))))))))))))))))))</f>
        <v/>
      </c>
      <c r="BP356" s="52" t="str">
        <f>IF(Atletas!O352="","",IF(Atletas!W352&lt;&gt;"",10000,0)+IF(Atletas!B352="Feminino",1000,IF(Atletas!B352="Masculino",2000,""))+IF(OR(Atletas!O352="Yang 26 A",Atletas!O352="Yang 40 A"),401,IF(OR(Atletas!O352="Chen 25 A",Atletas!O352="Chen 36 A",Atletas!O352="Chen 56 A"),402,IF(Atletas!O352="Sun 73 A",403,IF(Atletas!O352="Wu 45 A",404,IF(Atletas!O352="Wu-Hao 46 A",405,IF(OR(Atletas!O352="Taijiquan 16 A",Atletas!O352="Taijiquan 24 A",Atletas!O352="Taijiquan 32 A",Atletas!O352="Taijiquan 42 A"),406,IF(OR(Atletas!O352="Yang 26 B",Atletas!O352="Yang 40 B"),407,IF(OR(Atletas!O352="Chen 25 B",Atletas!O352="Chen 36 B",Atletas!O352="Chen 56 B"),408,IF(Atletas!O352="Sun 73 B",409,IF(Atletas!O352="Wu 45 B",410,IF(Atletas!O352="Wu-Hao 46 B",411,IF(OR(Atletas!O352="Taijiquan 16 B",Atletas!O352="Taijiquan 24 B",Atletas!O352="Taijiquan 32 B",Atletas!O352="Taijiquan 42 B"),412,IF(OR(Atletas!O352="Yang 26 C",Atletas!O352="Yang 40 C"),413,IF(OR(Atletas!O352="Chen 25 C",Atletas!O352="Chen 36 C",Atletas!O352="Chen 56 C"),414,IF(Atletas!O352="Sun 73 C",415,IF(Atletas!O352="Wu 45 C",416,IF(Atletas!O352="Wu-Hao 46 C",417,IF(OR(Atletas!O352="Taijiquan 16 C",Atletas!O352="Taijiquan 24 C",Atletas!O352="Taijiquan 32 C",Atletas!O352="Taijiquan 42 C"),418,0)))))))))))))))))))</f>
        <v/>
      </c>
      <c r="BQ356" s="52" t="str">
        <f>IF(Atletas!O352="","",IF(Atletas!W352&lt;&gt;"",10000,0)+IF(Atletas!B352="Feminino",1000,IF(Atletas!B352="Masculino",2000,""))+IF(OR(Atletas!O352="Yang 26 D",Atletas!O352="Yang 40 D"),419,IF(OR(Atletas!O352="Chen 25 D",Atletas!O352="Chen 36 D",Atletas!O352="Chen 56 D"),420,IF(Atletas!O352="Sun 73 D",421,IF(Atletas!O352="Wu 45 D",422,IF(Atletas!O352="Wu-Hao 46 D",423,IF(OR(Atletas!O352="Taijiquan 16 D",Atletas!O352="Taijiquan 24 D",Atletas!O352="Taijiquan 32 D",Atletas!O352="Taijiquan 42 D"),424,IF(OR(Atletas!O352="Yang 26 E",Atletas!O352="Yang 40 E"),425,IF(OR(Atletas!O352="Chen 25 E",Atletas!O352="Chen 36 E",Atletas!O352="Chen 56 E"),426,IF(Atletas!O352="Sun 73 E",427,IF(Atletas!O352="Wu 45 E",428,IF(Atletas!O352="Wu-Hao 46 E",429,IF(OR(Atletas!O352="Taijiquan 16 E",Atletas!O352="Taijiquan 24 E",Atletas!O352="Taijiquan 32 E",Atletas!O352="Taijiquan 42 E"),430,IF(OR(Atletas!O352="Yang 26 F",Atletas!O352="Yang 40 F"),431,IF(OR(Atletas!O352="Chen 25 F",Atletas!O352="Chen 36 F",Atletas!O352="Chen 56 F"),432,IF(Atletas!O352="Sun 73 F",433,IF(Atletas!O352="Wu 45 F",434,IF(Atletas!O352="Wu-Hao 46 F",435,IF(OR(Atletas!O352="Taijiquan 16 F",Atletas!O352="Taijiquan 24 F",Atletas!O352="Taijiquan 32 F",Atletas!O352="Taijiquan 42 F"),436,0)))))))))))))))))))</f>
        <v/>
      </c>
      <c r="BR356" s="52" t="str">
        <f>IF(Atletas!P352="","",IF(Atletas!W352&lt;&gt;"",10000,0)+IF(Atletas!B352="Feminino",1000,IF(Atletas!B352="Masculino",2000,""))+IF(Atletas!P352="Xingyiquan A",501,IF(Atletas!P352="Baguazhang A",502,IF(Atletas!P352="Outro Estilo Interno A",503,IF(Atletas!P352="Xingyiquan B",504,IF(Atletas!P352="Baguazhang B",505,IF(Atletas!P352="Outro Estilo Interno B",506,IF(Atletas!P352="Xingyiquan C",507,IF(Atletas!P352="Baguazhang C",508,IF(Atletas!P352="Outro Estilo Interno C",509,IF(Atletas!P352="Xingyiquan D",510,IF(Atletas!P352="Baguazhang D",511,IF(Atletas!P352="Outro Estilo Interno D",512,IF(Atletas!P352="Xingyiquan E",513,IF(Atletas!P352="Baguazhang E",514,IF(Atletas!P352="Outro Estilo Interno E",515,IF(Atletas!P352="Xingyiquan F",516,IF(Atletas!P352="Baguazhang F",517,IF(Atletas!P352="Outro Estilo Interno F",518, "")))))))))))))))))))</f>
        <v/>
      </c>
      <c r="BS356" s="52" t="str">
        <f>IF(Atletas!Q352="","",IF(Atletas!W352&lt;&gt;"",10000,0)+IF(Atletas!B352="Feminino",1000,IF(Atletas!B352="Masculino",2000,""))+IF(Atletas!Q352="Dao A",601,IF(Atletas!Q352="Jian A",602,IF(Atletas!Q352="Bishou A",603,IF(Atletas!Q352="Shan A",604,IF(Atletas!Q352="Outra Arma Curta A",605,IF(Atletas!Q352="Dao B",606,IF(Atletas!Q352="Jian B",607,IF(Atletas!Q352="Bishou B",608,IF(Atletas!Q352="Shan B",609,IF(Atletas!Q352="Outra Arma Curta B",610,IF(Atletas!Q352="Dao C",611,IF(Atletas!Q352="Jian C",612,IF(Atletas!Q352="Bishou C",613,IF(Atletas!Q352="Shan C",614,IF(Atletas!Q352="Outra Arma Curta C",615,IF(Atletas!Q352="Dao D",616,IF(Atletas!Q352="Jian D",617,IF(Atletas!Q352="Bishou D",618,IF(Atletas!Q352="Shan D",619,IF(Atletas!Q352="Outra Arma Curta D",620,IF(Atletas!Q352="Dao E",621,IF(Atletas!Q352="Jian E",622,IF(Atletas!Q352="Bishou E",623,IF(Atletas!Q352="Shan E",624,IF(Atletas!Q352="Outra Arma Curta E",625,IF(Atletas!Q352="Dao F",626,IF(Atletas!Q352="Jian F",627,IF(Atletas!Q352="Bishou F",628,IF(Atletas!Q352="Shan F",629,IF(Atletas!Q352="Outra Arma Curta F",630, "")))))))))))))))))))))))))))))))</f>
        <v/>
      </c>
      <c r="BT356" s="52" t="str">
        <f>IF(Atletas!R352="","",IF(Atletas!W352&lt;&gt;"",10000,0)+IF(Atletas!B352="Feminino",1000,IF(Atletas!B352="Masculino",2000,""))+IF(Atletas!R352="Gun A",701,IF(Atletas!R352="Qiang A",702,IF(Atletas!R352="Pudao / Guandao A",703,IF(Atletas!R352="Outra Arma Longa A",704,IF(Atletas!R352="Gun B",705,IF(Atletas!R352="Qiang B",706,IF(Atletas!R352="Pudao / Guandao B",707,IF(Atletas!R352="Outra Arma Longa B",708,IF(Atletas!R352="Gun C",709,IF(Atletas!R352="Qiang C",710,IF(Atletas!R352="Pudao / Guandao C",711,IF(Atletas!R352="Outra Arma Longa C",712,IF(Atletas!R352="Gun D",713,IF(Atletas!R352="Qiang D",714,IF(Atletas!R352="Pudao / Guandao D",715,IF(Atletas!R352="Outra Arma Longa D",716,IF(Atletas!R352="Gun E",717,IF(Atletas!R352="Qiang E",718,IF(Atletas!R352="Pudao / Guandao E",719,IF(Atletas!R352="Outra Arma Longa E",720,IF(Atletas!R352="Gun F",721,IF(Atletas!R352="Qiang F",722,IF(Atletas!R352="Pudao / Guandao F",723,IF(Atletas!R352="Outra Arma Longa F",724,"")))))))))))))))))))))))))</f>
        <v/>
      </c>
      <c r="BU356" s="52" t="str">
        <f>IF(Atletas!S352="","",IF(Atletas!W352&lt;&gt;"",10000,0)+IF(Atletas!B352="Feminino",1000,IF(Atletas!B352="Masculino",2000,""))+IF(Atletas!S352="Arma Dupla A",801,IF(Atletas!S352="Arma Maleável A",802,IF(Atletas!S352="Arma Dupla B",803,IF(Atletas!S352="Arma Maleável B",804,IF(Atletas!S352="Arma Dupla C",805,IF(Atletas!S352="Arma Maleável C",806,IF(Atletas!S352="Arma Dupla D",807,IF(Atletas!S352="Arma Maleável D",808,IF(Atletas!S352="Arma Dupla E",809,IF(Atletas!S352="Arma Maleável E",810,IF(Atletas!S352="Arma Dupla F",811,IF(Atletas!S352="Arma Maleável F",812, "")))))))))))))</f>
        <v/>
      </c>
      <c r="BV356" s="52" t="str">
        <f>IF(Atletas!T352="","",IF(Atletas!W352&lt;&gt;"",10000,0)+IF(Atletas!B352="Feminino",1000,IF(Atletas!B352="Masculino",2000,""))+IF(Atletas!T352="Taijijian Yang A",901,IF(Atletas!T352="Taijijian Chen A",902,IF(Atletas!T352="Taijijian Sun A",903,IF(Atletas!T352="Taijijian Wu A",904,IF(Atletas!T352="Taijijian Wu-Hao A",905,IF(Atletas!T352="Taijijian 32 A",906,IF(Atletas!T352="Taijijian 42 A",907,IF(Atletas!T352="Taijijian Yang B",908,IF(Atletas!T352="Taijijian Chen B",909,IF(Atletas!T352="Taijijian Sun B",910,IF(Atletas!T352="Taijijian Wu B",911,IF(Atletas!T352="Taijijian Wu-Hao B",912,IF(Atletas!T352="Taijijian 32 B",913,IF(Atletas!T352="Taijijian 42 B",914,IF(Atletas!T352="Taijijian Yang C",915,IF(Atletas!T352="Taijijian Chen C",916,IF(Atletas!T352="Taijijian Sun C",917,IF(Atletas!T352="Taijijian Wu C",918,IF(Atletas!T352="Taijijian Wu-Hao C",919,IF(Atletas!T352="Taijijian 32 C",920,IF(Atletas!T352="Taijijian 42 C",921,IF(Atletas!T352="Taijijian Yang D",922,IF(Atletas!T352="Taijijian Chen D",923,IF(Atletas!T352="Taijijian Sun D",924,IF(Atletas!T352="Taijijian Wu D",925,IF(Atletas!T352="Taijijian Wu-Hao D",926,IF(Atletas!T352="Taijijian 32 D",927,IF(Atletas!T352="Taijijian 42 D",928,IF(Atletas!T352="Taijijian Yang E",929,IF(Atletas!T352="Taijijian Chen E",930,IF(Atletas!T352="Taijijian Sun E",931,IF(Atletas!T352="Taijijian Wu E",932,IF(Atletas!T352="Taijijian Wu-Hao E",933,IF(Atletas!T352="Taijijian 32 E",934,IF(Atletas!T352="Taijijian 42 E",935,IF(Atletas!T352="Taijijian Yang F",936,IF(Atletas!T352="Taijijian Chen F",937,IF(Atletas!T352="Taijijian Sun F",938,IF(Atletas!T352="Taijijian Wu F",939,IF(Atletas!T352="Taijijian Wu-Hao F",940,IF(Atletas!T352="Taijijian 32 F",941,IF(Atletas!T352="Taijijian 42 F",942,"")))))))))))))))))))))))))))))))))))))))))))</f>
        <v/>
      </c>
      <c r="BW356" s="52" t="str">
        <f>IF(Atletas!U352="","",IF(Atletas!W352&lt;&gt;"",10000,0)+IF(Atletas!B352="Feminino",1000,IF(Atletas!B352="Masculino",2000,""))+IF(Atletas!T352="Taijijian 42 F",942,IF(Atletas!U352="Taijidao A",943,IF(Atletas!U352="Taijishan A",944,IF(Atletas!U352="Taijiqiang A",945,IF(Atletas!U352="Taijidao B",946,IF(Atletas!U352="Taijishan B",947,IF(Atletas!U352="Taijiqiang B",948,IF(Atletas!U352="Taijidao C",949,IF(Atletas!U352="Taijishan C",950,IF(Atletas!U352="Taijiqiang C",951,IF(Atletas!U352="Taijidao D",952,IF(Atletas!U352="Taijishan D",953,IF(Atletas!U352="Taijiqiang D",954,IF(Atletas!U352="Taijidao E",955,IF(Atletas!U352="Taijishan E",956,IF(Atletas!U352="Taijiqiang E",957,IF(Atletas!U352="Taijidao F",958,IF(Atletas!U352="Taijishan F",959,IF(Atletas!U352="Taijiqiang F",960))))))))))))))))))))</f>
        <v/>
      </c>
      <c r="BX356" s="72"/>
      <c r="BY356" s="72"/>
      <c r="BZ356" s="72"/>
      <c r="CA356" s="72"/>
      <c r="CB356" s="72" t="str">
        <f>IF(CC356&lt;&gt;"","Taijijian Yang B","")</f>
        <v/>
      </c>
      <c r="CC356" s="64" t="str">
        <f>IF(COUNTIF(BK:BW,11908)&gt;0,COUNTIF(BK:BW,11908),"")</f>
        <v/>
      </c>
      <c r="CD356" s="64" t="str">
        <f>IF(CE356&lt;&gt;"","Taijijian Yang B","")</f>
        <v/>
      </c>
      <c r="CE356" s="64" t="str">
        <f>IF(COUNTIF(BK:BW,12908)&gt;0,COUNTIF(BK:BW,12908),"")</f>
        <v/>
      </c>
      <c r="CF356" s="52" t="str">
        <f xml:space="preserve"> IF(Atletas!V352="","",IF(Atletas!V352="Duilian de Mãos AB - Equipe 1",1,IF(Atletas!V352="Duilian de Mãos AB - Equipe 2",2,IF(Atletas!V352="Duilian de Armas AB - Equipe 1",3,IF(Atletas!V352="Duilian de Armas AB - Equipe 2",4,IF(Atletas!V352="Duilian de Tuishou - Equipe 1",5,IF(Atletas!V352="Duilian de Tuishou - Equipe 2",6,IF(Atletas!V352="Grupo Externo AB - Equipe 1",7,IF(Atletas!V352="Grupo Externo AB - Equipe 2",8,IF(Atletas!V352="Grupo Interno AB - Equipe 1",9,IF(Atletas!V352="Grupo Interno AB - Equipe 2",10,IF(Atletas!V352="Duilian de Mãos CD - Equipe 1",11,IF(Atletas!V352="Duilian de Mãos CD - Equipe 2",12,IF(Atletas!V352="Duilian de Armas CD - Equipe 1",13,IF(Atletas!V352="Duilian de Armas CD - Equipe 2",14,IF(Atletas!V352="Duilian de Tuishou - Equipe 1",15,IF(Atletas!V352="Duilian de Tuishou - Equipe 2",16,IF(Atletas!V352="Grupo Externo CDEF - Equipe 1",17,IF(Atletas!V352="Grupo Externo CDEF - Equipe 2",18,IF(Atletas!V352="Grupo Interno CDEF - Equipe 1",19,IF(Atletas!V352="Grupo Interno CDEF - Equipe 2",20,IF(Atletas!V352="Duilian de Mãos EF - Equipe 1",21,IF(Atletas!V352="Duilian de Mãos EF - Equipe 2",22,IF(Atletas!V352="Duilian de Armas EF - Equipe 1",23,IF(Atletas!V352="Duilian de Armas EF - Equipe 2",24,IF(Atletas!V352="Duilian de Tuishou - Equipe 1",25,IF(Atletas!V352="Duilian de Tuishou - Equipe 2",26,"")))))))))))))))))))))))))))</f>
        <v/>
      </c>
    </row>
    <row r="357" spans="36:84">
      <c r="AJ357" s="46" t="str">
        <f>IF(Atletas!D353="","",IF(Atletas!B353="Feminino",100,IF(Atletas!B353="Masculino",200,""))+(IF(Atletas!D353="Infantil 39kg",1,IF(Atletas!D353="Infantil 42kg",2,IF(Atletas!D353="Infantil 45kg",3,IF(Atletas!D353="Infantil 48kg",4,IF(Atletas!D353="Infantil 52kg",5,IF(Atletas!D353="Infantil 56kg",6,IF(Atletas!D353="Infantil 60kg",7,IF(Atletas!D353="Juvenil 48kg",8,IF(Atletas!D353="Juvenil 52kg",9,IF(Atletas!D353="Juvenil 56kg",10,IF(Atletas!D353="Juvenil 60kg",11,IF(Atletas!D353="Juvenil 65kg",12,IF(Atletas!D353="Juvenil 70kg",13,IF(Atletas!D353="Juvenil 75kg",14,IF(Atletas!D353="Juvenil 80kg",15,IF(Atletas!D353="Adulto 48kg",16,IF(Atletas!D353="Adulto 52kg",17,IF(Atletas!D353="Adulto 56kg",18,IF(Atletas!D353="Adulto 60kg",19,IF(Atletas!D353="Adulto 65kg",20,IF(Atletas!D353="Adulto 70kg",21,IF(Atletas!D353="Adulto 75kg",22,IF(Atletas!D353="Adulto 80kg",23,IF(Atletas!D353="Adulto 85kg",24,IF(Atletas!D353="Adulto 90kg",25,IF(Atletas!D353="Adulto +90kg",26,""))))))))))))))))))))))))))))</f>
        <v/>
      </c>
      <c r="AO357" s="10" t="str">
        <f>IF(Atletas!E353="","",IF(Atletas!B353="Feminino",100,IF(Atletas!B353="Masculino",200,""))+(IF(Atletas!E353="Juvenil 44kg",1,IF(Atletas!E353="Juvenil 48kg",2,IF(Atletas!E353="Juvenil 52kg",3,IF(Atletas!E353="Juvenil 56kg",4,IF(Atletas!E353="Juvenil 60kg",5,IF(Atletas!E353="Juvenil 65kg",6,IF(Atletas!E353="Juvenil 70kg",7,IF(Atletas!E353="Juvenil 75kg",8,IF(Atletas!E353="Juvenil 82kg",9,IF(Atletas!E353="Juvenil 90kg",10,IF(Atletas!E353="Juvenil 100kg",11,IF(Atletas!E353="Adulto 48kg",12,IF(Atletas!E353="Adulto 52kg",13,IF(Atletas!E353="Adulto 56kg",14,IF(Atletas!E353="Adulto 60kg",15,IF(Atletas!E353="Adulto 65kg",16,IF(Atletas!E353="Adulto 70kg",17,IF(Atletas!E353="Adulto 75kg",18,IF(Atletas!E353="Adulto 82kg",19,IF(Atletas!E353="Adulto 90kg",20,IF(Atletas!E353="Adulto 100kg",21,IF(Atletas!E353="Adulto +100kg",22,""))))))))))))))))))))))))</f>
        <v/>
      </c>
      <c r="AT357" s="10" t="str">
        <f>IF(Atletas!F353="","",IF(Atletas!B353="Feminino",100,IF(Atletas!B353="Masculino",200,""))+(IF(Atletas!F353="Adulto 48kg",1,IF(Atletas!F353="Adulto 56kg",2,IF(Atletas!F353="Adulto 65kg",3,IF(Atletas!F353="Adulto 75kg",4,IF(Atletas!F353="Adulto +75kg",5,IF(Atletas!F353="Adulto 52kg",6,IF(Atletas!F353="Adulto 60kg",7,IF(Atletas!F353="Adulto 70kg",8,IF(Atletas!F353="Adulto 80kg",9,IF(Atletas!F353="Adulto 90kg",10,IF(Atletas!F353="Adulto +90kg",11,"")))))))))))))</f>
        <v/>
      </c>
      <c r="AY357" s="46" t="str">
        <f>IF(Atletas!G353="","",IF(Atletas!B353="Feminino",100,IF(Atletas!B353="Masculino",200,""))+(IF(Atletas!G353="Changquan Mirim",1,IF(Atletas!G353="Nanquan Mirim",2,IF(Atletas!G353="Taijiquan Mirim",3,IF(Atletas!G353="Changquan Grupo C",4,IF(Atletas!G353="Nanquan Grupo C",5,IF(Atletas!G353="Taijiquan Grupo C",6,IF(Atletas!G353="Changquan Grupo B",7,IF(Atletas!G353="Nanquan Grupo B",8,IF(Atletas!G353="Taijiquan Grupo B",9,IF(Atletas!G353="Changquan Grupo A",10,IF(Atletas!G353="Nanquan Grupo A",11,IF(Atletas!G353="Taijiquan Grupo A",12,IF(Atletas!G353="Changquan Opcional",13,IF(Atletas!G353="Nanquan Opcional",14,IF(Atletas!G353="Taijiquan Opcional",15,IF(Atletas!G353="Changquan Adulto",16,IF(Atletas!G353="Nanquan Adulto",17,IF(Atletas!G353="Taijiquan Adulto",18,""))))))))))))))))))))</f>
        <v/>
      </c>
      <c r="AZ357" s="46" t="str">
        <f>IF(Atletas!H353="","",IF(Atletas!B353="Feminino",100,IF(Atletas!B353="Masculino",200,""))+(IF(Atletas!H353="Daoshu Mirim",19,IF(Atletas!H353="Jianshu Mirim",20,IF(Atletas!H353="Nandao Mirim",21,IF(Atletas!H353="Taijijian Mirim",22,IF(Atletas!H353="Daoshu Grupo C",23,IF(Atletas!H353="Jianshu Grupo C",24,IF(Atletas!H353="Nandao Grupo C",25,IF(Atletas!H353="Taijijian Grupo C",26,IF(Atletas!H353="Daoshu Grupo B",27,IF(Atletas!H353="Jianshu Grupo B",28,IF(Atletas!H353="Nandao Grupo B",29,IF(Atletas!H353="Taijijian Grupo B",30,IF(Atletas!H353="Daoshu Grupo A",31,IF(Atletas!H353="Jianshu Grupo A",32,IF(Atletas!H353="Nandao Grupo A",33,IF(Atletas!H353="Taijijian Grupo A",34,IF(Atletas!H353="Daoshu Opcional",35,IF(Atletas!H353="Jianshu Opcional",36,IF(Atletas!H353="Nandao Opcional",37,IF(Atletas!H353="Taijijian Opcional",38,IF(Atletas!H353="Daoshu Adulto",39,IF(Atletas!H353="Jianshu Adulto",40,IF(Atletas!H353="Nandao Adulto",41,IF(Atletas!H353="Taijijian Adulto",42,""))))))))))))))))))))))))))</f>
        <v/>
      </c>
      <c r="BA357" s="46" t="str">
        <f>IF(Atletas!I353="","",IF(Atletas!B353="Feminino",100,IF(Atletas!B353="Masculino",200,""))+(IF(Atletas!I353="Gunshu Mirim",43,IF(Atletas!I353="Qiangshu Mirim",44,IF(Atletas!I353="Nangun Mirim",45,IF(Atletas!I353="Gunshu Grupo C",46,IF(Atletas!I353="Qiangshu Grupo C",47,IF(Atletas!I353="Nangun Grupo C",48,IF(Atletas!I353="Gunshu Grupo B",49,IF(Atletas!I353="Qiangshu Grupo B",50,IF(Atletas!I353="Nangun Grupo B",51,IF(Atletas!I353="Gunshu Grupo A",52,IF(Atletas!I353="Qiangshu Grupo A",53,IF(Atletas!I353="Nangun Grupo A",54,IF(Atletas!I353="Gunshu Opcional",55,IF(Atletas!I353="Qiangshu Opcional",56,IF(Atletas!I353="Nangun Opcional",57,IF(Atletas!I353="Gunshu Adulto",58,IF(Atletas!I353="Qiangshu Adulto",59,IF(Atletas!I353="Nangun Adulto",60,""))))))))))))))))))))</f>
        <v/>
      </c>
      <c r="BF357" s="52" t="str">
        <f>IF(Atletas!J353="","",IF(Atletas!B353="Feminino",100,IF(Atletas!B353="Masculino",200,""))+(IF(Atletas!J353="Equipe 1 Grupo B",1,IF(Atletas!J353="Equipe 2 Grupo B",2,IF(Atletas!J353="Equipe 1 Grupo A",3,IF(Atletas!J353="Equipe 2 Grupo A",4,IF(Atletas!J353="Equipe 1 Adulto",5,IF(Atletas!J353="Equipe 2 Adulto",6,""))))))))</f>
        <v/>
      </c>
      <c r="BK357" s="52" t="str">
        <f>IF(Atletas!K353="","",IF(Atletas!W353&lt;&gt;"",10000,0)+(IF(Atletas!B353="Feminino",1000,IF(Atletas!B353="Masculino",2000,""))+IF(Atletas!K353="Choylayfut A",1,IF(Atletas!K353="Hunggar A",2,IF(Atletas!K353="Wuzuquan A",3,IF(Atletas!K353="Wingchun A",4,IF(Atletas!K353="Outra Mão de Sul A",5,IF(Atletas!K353="Choylayfut B",6,IF(Atletas!K353="Hunggar B",7,IF(Atletas!K353="Wuzuquan B",8,IF(Atletas!K353="Wingchun B",9,IF(Atletas!K353="Outra Mão de Sul B",10,IF(Atletas!K353="Choylayfut C",11,IF(Atletas!K353="Hunggar C",12,IF(Atletas!K353="Wuzuquan C",13,IF(Atletas!K353="Wingchun C",14,IF(Atletas!K353="Outra Mão de Sul C",15,IF(Atletas!K353="Choylayfut D",16,IF(Atletas!K353="Hunggar D",17,IF(Atletas!K353="Wuzuquan D",18,IF(Atletas!K353="Wingchun D",19,IF(Atletas!K353="Outra Mão de Sul D",20,IF(Atletas!K353="Choylayfut E",21,IF(Atletas!K353="Hunggar E",22,IF(Atletas!K353="Wuzuquan E",23,IF(Atletas!K353="Wingchun E",24,IF(Atletas!K353="Outra Mão de Sul E",25,IF(Atletas!K353="Choylayfut F",26,IF(Atletas!K353="Hunggar F",27,IF(Atletas!K353="Wuzuquan F",28,IF(Atletas!K353="Wingchun F",29,IF(Atletas!K353="Outra Mão de Sul F",30,""))))))))))))))))))))))))))))))))</f>
        <v/>
      </c>
      <c r="BL357" s="52" t="str">
        <f>IF(Atletas!L353="","",IF(Atletas!W353&lt;&gt;"",10000,0)+(IF(Atletas!B353="Feminino",1000,IF(Atletas!B353="Masculino",2000,""))+(IF(Atletas!L353="Chaquan A",101,IF(Atletas!L353="Emeiquan A",102,IF(Atletas!L353="Fanziquan A",103,IF(Atletas!L353="Huaquan A",104,IF(Atletas!L353="Hongquan A",105,IF(Atletas!L353="Paochui A",106,IF(Atletas!L353="Piguaquan A",107,IF(Atletas!L353="Shaolinquan A",108,IF(Atletas!L353="Tanglangquan A",109,IF(Atletas!L353="Yinzhaophai A",110,IF(Atletas!L353="Tongbeiquan A",111,IF(Atletas!L353="Wudangquan A",112,IF(Atletas!L353="Outros Estilos A",113,IF(Atletas!L353="Chaquan B",114,IF(Atletas!L353="Emeiquan B",115,IF(Atletas!L353="Fanziquan B",116,IF(Atletas!L353="Huaquan B",117,IF(Atletas!L353="Hongquan B",118,IF(Atletas!L353="Paochui B",119,IF(Atletas!L353="Piguaquan B",120,IF(Atletas!L353="Shaolinquan B",121,IF(Atletas!L353="Tanglangquan B",122,IF(Atletas!L353="Yinzhaophai B",123,IF(Atletas!L353="Tongbeiquan B",124,IF(Atletas!L353="Wudangquan B",125,IF(Atletas!L353="Outros Estilos B",126,IF(Atletas!L353="Chaquan C",127,IF(Atletas!L353="Emeiquan C",128,IF(Atletas!L353="Fanziquan C",129,IF(Atletas!L353="Huaquan C",130,IF(Atletas!L353="Hongquan C",131,IF(Atletas!L353="Paochui C",132,IF(Atletas!L353="Piguaquan C",133,IF(Atletas!L353="Shaolinquan C",134,IF(Atletas!L353="Tanglangquan C",135,IF(Atletas!L353="Yinzhaophai C",136,IF(Atletas!L353="Tongbeiquan C",137,IF(Atletas!L353="Wudangquan C",138,IF(Atletas!L353="Outros Estilos C",139,0))))))))))))))))))))))))))))))))))))))))))</f>
        <v/>
      </c>
      <c r="BM357" s="52" t="str">
        <f>IF(Atletas!L353="","",IF(Atletas!W353&lt;&gt;"",10000,0)+(IF(Atletas!B353="Feminino",1000,IF(Atletas!B353="Masculino",2000,""))+(IF(Atletas!L353="Chaquan D",140,IF(Atletas!L353="Emeiquan D",141,IF(Atletas!L353="Fanziquan D",142,IF(Atletas!L353="Huaquan D",143,IF(Atletas!L353="Hongquan D",144,IF(Atletas!L353="Paochui D",145,IF(Atletas!L353="Piguaquan D",146,IF(Atletas!L353="Shaolinquan D",147,IF(Atletas!L353="Tanglangquan D",148,IF(Atletas!L353="Yinzhaophai D",149,IF(Atletas!L353="Tongbeiquan D",150,IF(Atletas!L353="Wudangquan D",151,IF(Atletas!L353="Outros Estilos D",152,IF(Atletas!L353="Chaquan E",153,IF(Atletas!L353="Emeiquan E",154,IF(Atletas!L353="Fanziquan E",155,IF(Atletas!L353="Huaquan E",156,IF(Atletas!L353="Hongquan E",157,IF(Atletas!L353="Paochui E",158,IF(Atletas!L353="Piguaquan E",159,IF(Atletas!L353="Shaolinquan E",160,IF(Atletas!L353="Tanglangquan E",161,IF(Atletas!L353="Yinzhaophai E",162,IF(Atletas!L353="Tongbeiquan E",163,IF(Atletas!L353="Wudangquan E",164,IF(Atletas!L353="Outros Estilos E",165,IF(Atletas!L353="Chaquan F",166,IF(Atletas!L353="Emeiquan F",167,IF(Atletas!L353="Fanziquan F",168,IF(Atletas!L353="Huaquan F",169,IF(Atletas!L353="Hongquan F",170,IF(Atletas!L353="Paochui F",171,IF(Atletas!L353="Piguaquan F",172,IF(Atletas!L353="Shaolinquan F",173,IF(Atletas!L353="Tanglangquan F",174,IF(Atletas!L353="Yinzhaophai F",175,IF(Atletas!L353="Tongbeiquan F",176,IF(Atletas!L353="Wudangquan F",177,IF(Atletas!L353="Outros Estilos F",178,0))))))))))))))))))))))))))))))))))))))))))</f>
        <v/>
      </c>
      <c r="BN357" s="52" t="str">
        <f>IF(Atletas!M353="","",IF(Atletas!W353&lt;&gt;"",10000,0)+(IF(Atletas!B353="Feminino",1000,IF(Atletas!B353="Masculino",2000,""))+(IF(Atletas!M353="Ditangquan A",201,IF(Atletas!M353="Houquan A",202,IF(Atletas!M353="Zuiquan A",203,IF(Atletas!M353="Ditangquan B",204,IF(Atletas!M353="Houquan B",205,IF(Atletas!M353="Zuiquan B",206,IF(Atletas!M353="Ditangquan C",207,IF(Atletas!M353="Houquan C",208,IF(Atletas!M353="Zuiquan C",209,IF(Atletas!M353="Ditangquan D",210,IF(Atletas!M353="Houquan D",211,IF(Atletas!M353="Zuiquan D",212,IF(Atletas!M353="Ditangquan E",213,IF(Atletas!M353="Houquan E",214,IF(Atletas!M353="Zuiquan E",215,IF(Atletas!M353="Ditangquan F",216,IF(Atletas!M353="Houquan F",217,IF(Atletas!M353="Zuiquan F",218,"")))))))))))))))))))))</f>
        <v/>
      </c>
      <c r="BO357" s="52" t="str">
        <f>IF(Atletas!N353="","",IF(Atletas!W353&lt;&gt;"",10000,0)+IF(Atletas!B353="Feminino",1000,IF(Atletas!B353="Masculino",2000,""))+IF(Atletas!N353="Yang A",301,IF(Atletas!N353="Chen A",30,IF(Atletas!N353="Sun A",303,IF(Atletas!N353="Wu A",304,IF(Atletas!N353="Wu-Hao A",305,IF(Atletas!N353="Outro Taijiquan A",306,IF(Atletas!N353="Yang B",307,IF(Atletas!N353="Chen B",308,IF(Atletas!N353="Sun B",309,IF(Atletas!N353="Wu B",310,IF(Atletas!N353="Wu-Hao B",311,IF(Atletas!N353="Outro Taijiquan B",312,IF(Atletas!N353="Yang C",313,IF(Atletas!N353="Chen C",314,IF(Atletas!N353="Sun C",315,IF(Atletas!N353="Wu C",316,IF(Atletas!N353="Wu-Hao C",317,IF(Atletas!N353="Outro Taijiquan C",318,IF(Atletas!N353="Yang D",319,IF(Atletas!N353="Chen D",320,IF(Atletas!N353="Sun D",321,IF(Atletas!N353="Wu D",322,IF(Atletas!N353="Wu-Hao D",323,IF(Atletas!N353="Outro Taijiquan D",324,IF(Atletas!N353="Yang E",325,IF(Atletas!N353="Chen E",326,IF(Atletas!N353="Sun E",327,IF(Atletas!N353="Wu E",328,IF(Atletas!N353="Wu-Hao E",329,IF(Atletas!N353="Outro Taijiquan E",330,IF(Atletas!N353="Yang F",331,IF(Atletas!N353="Chen F",332,IF(Atletas!N353="Sun F",333,IF(Atletas!N353="Wu F",334,IF(Atletas!N353="Wu-Hao F",335,IF(Atletas!N353="Outro Taijiquan F",336,"")))))))))))))))))))))))))))))))))))))</f>
        <v/>
      </c>
      <c r="BP357" s="52" t="str">
        <f>IF(Atletas!O353="","",IF(Atletas!W353&lt;&gt;"",10000,0)+IF(Atletas!B353="Feminino",1000,IF(Atletas!B353="Masculino",2000,""))+IF(OR(Atletas!O353="Yang 26 A",Atletas!O353="Yang 40 A"),401,IF(OR(Atletas!O353="Chen 25 A",Atletas!O353="Chen 36 A",Atletas!O353="Chen 56 A"),402,IF(Atletas!O353="Sun 73 A",403,IF(Atletas!O353="Wu 45 A",404,IF(Atletas!O353="Wu-Hao 46 A",405,IF(OR(Atletas!O353="Taijiquan 16 A",Atletas!O353="Taijiquan 24 A",Atletas!O353="Taijiquan 32 A",Atletas!O353="Taijiquan 42 A"),406,IF(OR(Atletas!O353="Yang 26 B",Atletas!O353="Yang 40 B"),407,IF(OR(Atletas!O353="Chen 25 B",Atletas!O353="Chen 36 B",Atletas!O353="Chen 56 B"),408,IF(Atletas!O353="Sun 73 B",409,IF(Atletas!O353="Wu 45 B",410,IF(Atletas!O353="Wu-Hao 46 B",411,IF(OR(Atletas!O353="Taijiquan 16 B",Atletas!O353="Taijiquan 24 B",Atletas!O353="Taijiquan 32 B",Atletas!O353="Taijiquan 42 B"),412,IF(OR(Atletas!O353="Yang 26 C",Atletas!O353="Yang 40 C"),413,IF(OR(Atletas!O353="Chen 25 C",Atletas!O353="Chen 36 C",Atletas!O353="Chen 56 C"),414,IF(Atletas!O353="Sun 73 C",415,IF(Atletas!O353="Wu 45 C",416,IF(Atletas!O353="Wu-Hao 46 C",417,IF(OR(Atletas!O353="Taijiquan 16 C",Atletas!O353="Taijiquan 24 C",Atletas!O353="Taijiquan 32 C",Atletas!O353="Taijiquan 42 C"),418,0)))))))))))))))))))</f>
        <v/>
      </c>
      <c r="BQ357" s="52" t="str">
        <f>IF(Atletas!O353="","",IF(Atletas!W353&lt;&gt;"",10000,0)+IF(Atletas!B353="Feminino",1000,IF(Atletas!B353="Masculino",2000,""))+IF(OR(Atletas!O353="Yang 26 D",Atletas!O353="Yang 40 D"),419,IF(OR(Atletas!O353="Chen 25 D",Atletas!O353="Chen 36 D",Atletas!O353="Chen 56 D"),420,IF(Atletas!O353="Sun 73 D",421,IF(Atletas!O353="Wu 45 D",422,IF(Atletas!O353="Wu-Hao 46 D",423,IF(OR(Atletas!O353="Taijiquan 16 D",Atletas!O353="Taijiquan 24 D",Atletas!O353="Taijiquan 32 D",Atletas!O353="Taijiquan 42 D"),424,IF(OR(Atletas!O353="Yang 26 E",Atletas!O353="Yang 40 E"),425,IF(OR(Atletas!O353="Chen 25 E",Atletas!O353="Chen 36 E",Atletas!O353="Chen 56 E"),426,IF(Atletas!O353="Sun 73 E",427,IF(Atletas!O353="Wu 45 E",428,IF(Atletas!O353="Wu-Hao 46 E",429,IF(OR(Atletas!O353="Taijiquan 16 E",Atletas!O353="Taijiquan 24 E",Atletas!O353="Taijiquan 32 E",Atletas!O353="Taijiquan 42 E"),430,IF(OR(Atletas!O353="Yang 26 F",Atletas!O353="Yang 40 F"),431,IF(OR(Atletas!O353="Chen 25 F",Atletas!O353="Chen 36 F",Atletas!O353="Chen 56 F"),432,IF(Atletas!O353="Sun 73 F",433,IF(Atletas!O353="Wu 45 F",434,IF(Atletas!O353="Wu-Hao 46 F",435,IF(OR(Atletas!O353="Taijiquan 16 F",Atletas!O353="Taijiquan 24 F",Atletas!O353="Taijiquan 32 F",Atletas!O353="Taijiquan 42 F"),436,0)))))))))))))))))))</f>
        <v/>
      </c>
      <c r="BR357" s="52" t="str">
        <f>IF(Atletas!P353="","",IF(Atletas!W353&lt;&gt;"",10000,0)+IF(Atletas!B353="Feminino",1000,IF(Atletas!B353="Masculino",2000,""))+IF(Atletas!P353="Xingyiquan A",501,IF(Atletas!P353="Baguazhang A",502,IF(Atletas!P353="Outro Estilo Interno A",503,IF(Atletas!P353="Xingyiquan B",504,IF(Atletas!P353="Baguazhang B",505,IF(Atletas!P353="Outro Estilo Interno B",506,IF(Atletas!P353="Xingyiquan C",507,IF(Atletas!P353="Baguazhang C",508,IF(Atletas!P353="Outro Estilo Interno C",509,IF(Atletas!P353="Xingyiquan D",510,IF(Atletas!P353="Baguazhang D",511,IF(Atletas!P353="Outro Estilo Interno D",512,IF(Atletas!P353="Xingyiquan E",513,IF(Atletas!P353="Baguazhang E",514,IF(Atletas!P353="Outro Estilo Interno E",515,IF(Atletas!P353="Xingyiquan F",516,IF(Atletas!P353="Baguazhang F",517,IF(Atletas!P353="Outro Estilo Interno F",518, "")))))))))))))))))))</f>
        <v/>
      </c>
      <c r="BS357" s="52" t="str">
        <f>IF(Atletas!Q353="","",IF(Atletas!W353&lt;&gt;"",10000,0)+IF(Atletas!B353="Feminino",1000,IF(Atletas!B353="Masculino",2000,""))+IF(Atletas!Q353="Dao A",601,IF(Atletas!Q353="Jian A",602,IF(Atletas!Q353="Bishou A",603,IF(Atletas!Q353="Shan A",604,IF(Atletas!Q353="Outra Arma Curta A",605,IF(Atletas!Q353="Dao B",606,IF(Atletas!Q353="Jian B",607,IF(Atletas!Q353="Bishou B",608,IF(Atletas!Q353="Shan B",609,IF(Atletas!Q353="Outra Arma Curta B",610,IF(Atletas!Q353="Dao C",611,IF(Atletas!Q353="Jian C",612,IF(Atletas!Q353="Bishou C",613,IF(Atletas!Q353="Shan C",614,IF(Atletas!Q353="Outra Arma Curta C",615,IF(Atletas!Q353="Dao D",616,IF(Atletas!Q353="Jian D",617,IF(Atletas!Q353="Bishou D",618,IF(Atletas!Q353="Shan D",619,IF(Atletas!Q353="Outra Arma Curta D",620,IF(Atletas!Q353="Dao E",621,IF(Atletas!Q353="Jian E",622,IF(Atletas!Q353="Bishou E",623,IF(Atletas!Q353="Shan E",624,IF(Atletas!Q353="Outra Arma Curta E",625,IF(Atletas!Q353="Dao F",626,IF(Atletas!Q353="Jian F",627,IF(Atletas!Q353="Bishou F",628,IF(Atletas!Q353="Shan F",629,IF(Atletas!Q353="Outra Arma Curta F",630, "")))))))))))))))))))))))))))))))</f>
        <v/>
      </c>
      <c r="BT357" s="52" t="str">
        <f>IF(Atletas!R353="","",IF(Atletas!W353&lt;&gt;"",10000,0)+IF(Atletas!B353="Feminino",1000,IF(Atletas!B353="Masculino",2000,""))+IF(Atletas!R353="Gun A",701,IF(Atletas!R353="Qiang A",702,IF(Atletas!R353="Pudao / Guandao A",703,IF(Atletas!R353="Outra Arma Longa A",704,IF(Atletas!R353="Gun B",705,IF(Atletas!R353="Qiang B",706,IF(Atletas!R353="Pudao / Guandao B",707,IF(Atletas!R353="Outra Arma Longa B",708,IF(Atletas!R353="Gun C",709,IF(Atletas!R353="Qiang C",710,IF(Atletas!R353="Pudao / Guandao C",711,IF(Atletas!R353="Outra Arma Longa C",712,IF(Atletas!R353="Gun D",713,IF(Atletas!R353="Qiang D",714,IF(Atletas!R353="Pudao / Guandao D",715,IF(Atletas!R353="Outra Arma Longa D",716,IF(Atletas!R353="Gun E",717,IF(Atletas!R353="Qiang E",718,IF(Atletas!R353="Pudao / Guandao E",719,IF(Atletas!R353="Outra Arma Longa E",720,IF(Atletas!R353="Gun F",721,IF(Atletas!R353="Qiang F",722,IF(Atletas!R353="Pudao / Guandao F",723,IF(Atletas!R353="Outra Arma Longa F",724,"")))))))))))))))))))))))))</f>
        <v/>
      </c>
      <c r="BU357" s="52" t="str">
        <f>IF(Atletas!S353="","",IF(Atletas!W353&lt;&gt;"",10000,0)+IF(Atletas!B353="Feminino",1000,IF(Atletas!B353="Masculino",2000,""))+IF(Atletas!S353="Arma Dupla A",801,IF(Atletas!S353="Arma Maleável A",802,IF(Atletas!S353="Arma Dupla B",803,IF(Atletas!S353="Arma Maleável B",804,IF(Atletas!S353="Arma Dupla C",805,IF(Atletas!S353="Arma Maleável C",806,IF(Atletas!S353="Arma Dupla D",807,IF(Atletas!S353="Arma Maleável D",808,IF(Atletas!S353="Arma Dupla E",809,IF(Atletas!S353="Arma Maleável E",810,IF(Atletas!S353="Arma Dupla F",811,IF(Atletas!S353="Arma Maleável F",812, "")))))))))))))</f>
        <v/>
      </c>
      <c r="BV357" s="52" t="str">
        <f>IF(Atletas!T353="","",IF(Atletas!W353&lt;&gt;"",10000,0)+IF(Atletas!B353="Feminino",1000,IF(Atletas!B353="Masculino",2000,""))+IF(Atletas!T353="Taijijian Yang A",901,IF(Atletas!T353="Taijijian Chen A",902,IF(Atletas!T353="Taijijian Sun A",903,IF(Atletas!T353="Taijijian Wu A",904,IF(Atletas!T353="Taijijian Wu-Hao A",905,IF(Atletas!T353="Taijijian 32 A",906,IF(Atletas!T353="Taijijian 42 A",907,IF(Atletas!T353="Taijijian Yang B",908,IF(Atletas!T353="Taijijian Chen B",909,IF(Atletas!T353="Taijijian Sun B",910,IF(Atletas!T353="Taijijian Wu B",911,IF(Atletas!T353="Taijijian Wu-Hao B",912,IF(Atletas!T353="Taijijian 32 B",913,IF(Atletas!T353="Taijijian 42 B",914,IF(Atletas!T353="Taijijian Yang C",915,IF(Atletas!T353="Taijijian Chen C",916,IF(Atletas!T353="Taijijian Sun C",917,IF(Atletas!T353="Taijijian Wu C",918,IF(Atletas!T353="Taijijian Wu-Hao C",919,IF(Atletas!T353="Taijijian 32 C",920,IF(Atletas!T353="Taijijian 42 C",921,IF(Atletas!T353="Taijijian Yang D",922,IF(Atletas!T353="Taijijian Chen D",923,IF(Atletas!T353="Taijijian Sun D",924,IF(Atletas!T353="Taijijian Wu D",925,IF(Atletas!T353="Taijijian Wu-Hao D",926,IF(Atletas!T353="Taijijian 32 D",927,IF(Atletas!T353="Taijijian 42 D",928,IF(Atletas!T353="Taijijian Yang E",929,IF(Atletas!T353="Taijijian Chen E",930,IF(Atletas!T353="Taijijian Sun E",931,IF(Atletas!T353="Taijijian Wu E",932,IF(Atletas!T353="Taijijian Wu-Hao E",933,IF(Atletas!T353="Taijijian 32 E",934,IF(Atletas!T353="Taijijian 42 E",935,IF(Atletas!T353="Taijijian Yang F",936,IF(Atletas!T353="Taijijian Chen F",937,IF(Atletas!T353="Taijijian Sun F",938,IF(Atletas!T353="Taijijian Wu F",939,IF(Atletas!T353="Taijijian Wu-Hao F",940,IF(Atletas!T353="Taijijian 32 F",941,IF(Atletas!T353="Taijijian 42 F",942,"")))))))))))))))))))))))))))))))))))))))))))</f>
        <v/>
      </c>
      <c r="BW357" s="52" t="str">
        <f>IF(Atletas!U353="","",IF(Atletas!W353&lt;&gt;"",10000,0)+IF(Atletas!B353="Feminino",1000,IF(Atletas!B353="Masculino",2000,""))+IF(Atletas!T353="Taijijian 42 F",942,IF(Atletas!U353="Taijidao A",943,IF(Atletas!U353="Taijishan A",944,IF(Atletas!U353="Taijiqiang A",945,IF(Atletas!U353="Taijidao B",946,IF(Atletas!U353="Taijishan B",947,IF(Atletas!U353="Taijiqiang B",948,IF(Atletas!U353="Taijidao C",949,IF(Atletas!U353="Taijishan C",950,IF(Atletas!U353="Taijiqiang C",951,IF(Atletas!U353="Taijidao D",952,IF(Atletas!U353="Taijishan D",953,IF(Atletas!U353="Taijiqiang D",954,IF(Atletas!U353="Taijidao E",955,IF(Atletas!U353="Taijishan E",956,IF(Atletas!U353="Taijiqiang E",957,IF(Atletas!U353="Taijidao F",958,IF(Atletas!U353="Taijishan F",959,IF(Atletas!U353="Taijiqiang F",960))))))))))))))))))))</f>
        <v/>
      </c>
      <c r="BX357" s="72"/>
      <c r="BY357" s="72"/>
      <c r="BZ357" s="72"/>
      <c r="CA357" s="72"/>
      <c r="CB357" s="72" t="str">
        <f>IF(CC357&lt;&gt;"","Taijijian Chen B","")</f>
        <v/>
      </c>
      <c r="CC357" s="64" t="str">
        <f>IF(COUNTIF(BK:BW,11909)&gt;0,COUNTIF(BK:BW,11909),"")</f>
        <v/>
      </c>
      <c r="CD357" s="64" t="str">
        <f>IF(CE357&lt;&gt;"","Taijijian Chen B","")</f>
        <v/>
      </c>
      <c r="CE357" s="64" t="str">
        <f>IF(COUNTIF(BK:BW,12909)&gt;0,COUNTIF(BK:BW,12909),"")</f>
        <v/>
      </c>
      <c r="CF357" s="52" t="str">
        <f xml:space="preserve"> IF(Atletas!V353="","",IF(Atletas!V353="Duilian de Mãos AB - Equipe 1",1,IF(Atletas!V353="Duilian de Mãos AB - Equipe 2",2,IF(Atletas!V353="Duilian de Armas AB - Equipe 1",3,IF(Atletas!V353="Duilian de Armas AB - Equipe 2",4,IF(Atletas!V353="Duilian de Tuishou - Equipe 1",5,IF(Atletas!V353="Duilian de Tuishou - Equipe 2",6,IF(Atletas!V353="Grupo Externo AB - Equipe 1",7,IF(Atletas!V353="Grupo Externo AB - Equipe 2",8,IF(Atletas!V353="Grupo Interno AB - Equipe 1",9,IF(Atletas!V353="Grupo Interno AB - Equipe 2",10,IF(Atletas!V353="Duilian de Mãos CD - Equipe 1",11,IF(Atletas!V353="Duilian de Mãos CD - Equipe 2",12,IF(Atletas!V353="Duilian de Armas CD - Equipe 1",13,IF(Atletas!V353="Duilian de Armas CD - Equipe 2",14,IF(Atletas!V353="Duilian de Tuishou - Equipe 1",15,IF(Atletas!V353="Duilian de Tuishou - Equipe 2",16,IF(Atletas!V353="Grupo Externo CDEF - Equipe 1",17,IF(Atletas!V353="Grupo Externo CDEF - Equipe 2",18,IF(Atletas!V353="Grupo Interno CDEF - Equipe 1",19,IF(Atletas!V353="Grupo Interno CDEF - Equipe 2",20,IF(Atletas!V353="Duilian de Mãos EF - Equipe 1",21,IF(Atletas!V353="Duilian de Mãos EF - Equipe 2",22,IF(Atletas!V353="Duilian de Armas EF - Equipe 1",23,IF(Atletas!V353="Duilian de Armas EF - Equipe 2",24,IF(Atletas!V353="Duilian de Tuishou - Equipe 1",25,IF(Atletas!V353="Duilian de Tuishou - Equipe 2",26,"")))))))))))))))))))))))))))</f>
        <v/>
      </c>
    </row>
    <row r="358" spans="36:84">
      <c r="AJ358" s="46" t="str">
        <f>IF(Atletas!D354="","",IF(Atletas!B354="Feminino",100,IF(Atletas!B354="Masculino",200,""))+(IF(Atletas!D354="Infantil 39kg",1,IF(Atletas!D354="Infantil 42kg",2,IF(Atletas!D354="Infantil 45kg",3,IF(Atletas!D354="Infantil 48kg",4,IF(Atletas!D354="Infantil 52kg",5,IF(Atletas!D354="Infantil 56kg",6,IF(Atletas!D354="Infantil 60kg",7,IF(Atletas!D354="Juvenil 48kg",8,IF(Atletas!D354="Juvenil 52kg",9,IF(Atletas!D354="Juvenil 56kg",10,IF(Atletas!D354="Juvenil 60kg",11,IF(Atletas!D354="Juvenil 65kg",12,IF(Atletas!D354="Juvenil 70kg",13,IF(Atletas!D354="Juvenil 75kg",14,IF(Atletas!D354="Juvenil 80kg",15,IF(Atletas!D354="Adulto 48kg",16,IF(Atletas!D354="Adulto 52kg",17,IF(Atletas!D354="Adulto 56kg",18,IF(Atletas!D354="Adulto 60kg",19,IF(Atletas!D354="Adulto 65kg",20,IF(Atletas!D354="Adulto 70kg",21,IF(Atletas!D354="Adulto 75kg",22,IF(Atletas!D354="Adulto 80kg",23,IF(Atletas!D354="Adulto 85kg",24,IF(Atletas!D354="Adulto 90kg",25,IF(Atletas!D354="Adulto +90kg",26,""))))))))))))))))))))))))))))</f>
        <v/>
      </c>
      <c r="AO358" s="10" t="str">
        <f>IF(Atletas!E354="","",IF(Atletas!B354="Feminino",100,IF(Atletas!B354="Masculino",200,""))+(IF(Atletas!E354="Juvenil 44kg",1,IF(Atletas!E354="Juvenil 48kg",2,IF(Atletas!E354="Juvenil 52kg",3,IF(Atletas!E354="Juvenil 56kg",4,IF(Atletas!E354="Juvenil 60kg",5,IF(Atletas!E354="Juvenil 65kg",6,IF(Atletas!E354="Juvenil 70kg",7,IF(Atletas!E354="Juvenil 75kg",8,IF(Atletas!E354="Juvenil 82kg",9,IF(Atletas!E354="Juvenil 90kg",10,IF(Atletas!E354="Juvenil 100kg",11,IF(Atletas!E354="Adulto 48kg",12,IF(Atletas!E354="Adulto 52kg",13,IF(Atletas!E354="Adulto 56kg",14,IF(Atletas!E354="Adulto 60kg",15,IF(Atletas!E354="Adulto 65kg",16,IF(Atletas!E354="Adulto 70kg",17,IF(Atletas!E354="Adulto 75kg",18,IF(Atletas!E354="Adulto 82kg",19,IF(Atletas!E354="Adulto 90kg",20,IF(Atletas!E354="Adulto 100kg",21,IF(Atletas!E354="Adulto +100kg",22,""))))))))))))))))))))))))</f>
        <v/>
      </c>
      <c r="AT358" s="10" t="str">
        <f>IF(Atletas!F354="","",IF(Atletas!B354="Feminino",100,IF(Atletas!B354="Masculino",200,""))+(IF(Atletas!F354="Adulto 48kg",1,IF(Atletas!F354="Adulto 56kg",2,IF(Atletas!F354="Adulto 65kg",3,IF(Atletas!F354="Adulto 75kg",4,IF(Atletas!F354="Adulto +75kg",5,IF(Atletas!F354="Adulto 52kg",6,IF(Atletas!F354="Adulto 60kg",7,IF(Atletas!F354="Adulto 70kg",8,IF(Atletas!F354="Adulto 80kg",9,IF(Atletas!F354="Adulto 90kg",10,IF(Atletas!F354="Adulto +90kg",11,"")))))))))))))</f>
        <v/>
      </c>
      <c r="AY358" s="46" t="str">
        <f>IF(Atletas!G354="","",IF(Atletas!B354="Feminino",100,IF(Atletas!B354="Masculino",200,""))+(IF(Atletas!G354="Changquan Mirim",1,IF(Atletas!G354="Nanquan Mirim",2,IF(Atletas!G354="Taijiquan Mirim",3,IF(Atletas!G354="Changquan Grupo C",4,IF(Atletas!G354="Nanquan Grupo C",5,IF(Atletas!G354="Taijiquan Grupo C",6,IF(Atletas!G354="Changquan Grupo B",7,IF(Atletas!G354="Nanquan Grupo B",8,IF(Atletas!G354="Taijiquan Grupo B",9,IF(Atletas!G354="Changquan Grupo A",10,IF(Atletas!G354="Nanquan Grupo A",11,IF(Atletas!G354="Taijiquan Grupo A",12,IF(Atletas!G354="Changquan Opcional",13,IF(Atletas!G354="Nanquan Opcional",14,IF(Atletas!G354="Taijiquan Opcional",15,IF(Atletas!G354="Changquan Adulto",16,IF(Atletas!G354="Nanquan Adulto",17,IF(Atletas!G354="Taijiquan Adulto",18,""))))))))))))))))))))</f>
        <v/>
      </c>
      <c r="AZ358" s="46" t="str">
        <f>IF(Atletas!H354="","",IF(Atletas!B354="Feminino",100,IF(Atletas!B354="Masculino",200,""))+(IF(Atletas!H354="Daoshu Mirim",19,IF(Atletas!H354="Jianshu Mirim",20,IF(Atletas!H354="Nandao Mirim",21,IF(Atletas!H354="Taijijian Mirim",22,IF(Atletas!H354="Daoshu Grupo C",23,IF(Atletas!H354="Jianshu Grupo C",24,IF(Atletas!H354="Nandao Grupo C",25,IF(Atletas!H354="Taijijian Grupo C",26,IF(Atletas!H354="Daoshu Grupo B",27,IF(Atletas!H354="Jianshu Grupo B",28,IF(Atletas!H354="Nandao Grupo B",29,IF(Atletas!H354="Taijijian Grupo B",30,IF(Atletas!H354="Daoshu Grupo A",31,IF(Atletas!H354="Jianshu Grupo A",32,IF(Atletas!H354="Nandao Grupo A",33,IF(Atletas!H354="Taijijian Grupo A",34,IF(Atletas!H354="Daoshu Opcional",35,IF(Atletas!H354="Jianshu Opcional",36,IF(Atletas!H354="Nandao Opcional",37,IF(Atletas!H354="Taijijian Opcional",38,IF(Atletas!H354="Daoshu Adulto",39,IF(Atletas!H354="Jianshu Adulto",40,IF(Atletas!H354="Nandao Adulto",41,IF(Atletas!H354="Taijijian Adulto",42,""))))))))))))))))))))))))))</f>
        <v/>
      </c>
      <c r="BA358" s="46" t="str">
        <f>IF(Atletas!I354="","",IF(Atletas!B354="Feminino",100,IF(Atletas!B354="Masculino",200,""))+(IF(Atletas!I354="Gunshu Mirim",43,IF(Atletas!I354="Qiangshu Mirim",44,IF(Atletas!I354="Nangun Mirim",45,IF(Atletas!I354="Gunshu Grupo C",46,IF(Atletas!I354="Qiangshu Grupo C",47,IF(Atletas!I354="Nangun Grupo C",48,IF(Atletas!I354="Gunshu Grupo B",49,IF(Atletas!I354="Qiangshu Grupo B",50,IF(Atletas!I354="Nangun Grupo B",51,IF(Atletas!I354="Gunshu Grupo A",52,IF(Atletas!I354="Qiangshu Grupo A",53,IF(Atletas!I354="Nangun Grupo A",54,IF(Atletas!I354="Gunshu Opcional",55,IF(Atletas!I354="Qiangshu Opcional",56,IF(Atletas!I354="Nangun Opcional",57,IF(Atletas!I354="Gunshu Adulto",58,IF(Atletas!I354="Qiangshu Adulto",59,IF(Atletas!I354="Nangun Adulto",60,""))))))))))))))))))))</f>
        <v/>
      </c>
      <c r="BF358" s="52" t="str">
        <f>IF(Atletas!J354="","",IF(Atletas!B354="Feminino",100,IF(Atletas!B354="Masculino",200,""))+(IF(Atletas!J354="Equipe 1 Grupo B",1,IF(Atletas!J354="Equipe 2 Grupo B",2,IF(Atletas!J354="Equipe 1 Grupo A",3,IF(Atletas!J354="Equipe 2 Grupo A",4,IF(Atletas!J354="Equipe 1 Adulto",5,IF(Atletas!J354="Equipe 2 Adulto",6,""))))))))</f>
        <v/>
      </c>
      <c r="BK358" s="52" t="str">
        <f>IF(Atletas!K354="","",IF(Atletas!W354&lt;&gt;"",10000,0)+(IF(Atletas!B354="Feminino",1000,IF(Atletas!B354="Masculino",2000,""))+IF(Atletas!K354="Choylayfut A",1,IF(Atletas!K354="Hunggar A",2,IF(Atletas!K354="Wuzuquan A",3,IF(Atletas!K354="Wingchun A",4,IF(Atletas!K354="Outra Mão de Sul A",5,IF(Atletas!K354="Choylayfut B",6,IF(Atletas!K354="Hunggar B",7,IF(Atletas!K354="Wuzuquan B",8,IF(Atletas!K354="Wingchun B",9,IF(Atletas!K354="Outra Mão de Sul B",10,IF(Atletas!K354="Choylayfut C",11,IF(Atletas!K354="Hunggar C",12,IF(Atletas!K354="Wuzuquan C",13,IF(Atletas!K354="Wingchun C",14,IF(Atletas!K354="Outra Mão de Sul C",15,IF(Atletas!K354="Choylayfut D",16,IF(Atletas!K354="Hunggar D",17,IF(Atletas!K354="Wuzuquan D",18,IF(Atletas!K354="Wingchun D",19,IF(Atletas!K354="Outra Mão de Sul D",20,IF(Atletas!K354="Choylayfut E",21,IF(Atletas!K354="Hunggar E",22,IF(Atletas!K354="Wuzuquan E",23,IF(Atletas!K354="Wingchun E",24,IF(Atletas!K354="Outra Mão de Sul E",25,IF(Atletas!K354="Choylayfut F",26,IF(Atletas!K354="Hunggar F",27,IF(Atletas!K354="Wuzuquan F",28,IF(Atletas!K354="Wingchun F",29,IF(Atletas!K354="Outra Mão de Sul F",30,""))))))))))))))))))))))))))))))))</f>
        <v/>
      </c>
      <c r="BL358" s="52" t="str">
        <f>IF(Atletas!L354="","",IF(Atletas!W354&lt;&gt;"",10000,0)+(IF(Atletas!B354="Feminino",1000,IF(Atletas!B354="Masculino",2000,""))+(IF(Atletas!L354="Chaquan A",101,IF(Atletas!L354="Emeiquan A",102,IF(Atletas!L354="Fanziquan A",103,IF(Atletas!L354="Huaquan A",104,IF(Atletas!L354="Hongquan A",105,IF(Atletas!L354="Paochui A",106,IF(Atletas!L354="Piguaquan A",107,IF(Atletas!L354="Shaolinquan A",108,IF(Atletas!L354="Tanglangquan A",109,IF(Atletas!L354="Yinzhaophai A",110,IF(Atletas!L354="Tongbeiquan A",111,IF(Atletas!L354="Wudangquan A",112,IF(Atletas!L354="Outros Estilos A",113,IF(Atletas!L354="Chaquan B",114,IF(Atletas!L354="Emeiquan B",115,IF(Atletas!L354="Fanziquan B",116,IF(Atletas!L354="Huaquan B",117,IF(Atletas!L354="Hongquan B",118,IF(Atletas!L354="Paochui B",119,IF(Atletas!L354="Piguaquan B",120,IF(Atletas!L354="Shaolinquan B",121,IF(Atletas!L354="Tanglangquan B",122,IF(Atletas!L354="Yinzhaophai B",123,IF(Atletas!L354="Tongbeiquan B",124,IF(Atletas!L354="Wudangquan B",125,IF(Atletas!L354="Outros Estilos B",126,IF(Atletas!L354="Chaquan C",127,IF(Atletas!L354="Emeiquan C",128,IF(Atletas!L354="Fanziquan C",129,IF(Atletas!L354="Huaquan C",130,IF(Atletas!L354="Hongquan C",131,IF(Atletas!L354="Paochui C",132,IF(Atletas!L354="Piguaquan C",133,IF(Atletas!L354="Shaolinquan C",134,IF(Atletas!L354="Tanglangquan C",135,IF(Atletas!L354="Yinzhaophai C",136,IF(Atletas!L354="Tongbeiquan C",137,IF(Atletas!L354="Wudangquan C",138,IF(Atletas!L354="Outros Estilos C",139,0))))))))))))))))))))))))))))))))))))))))))</f>
        <v/>
      </c>
      <c r="BM358" s="52" t="str">
        <f>IF(Atletas!L354="","",IF(Atletas!W354&lt;&gt;"",10000,0)+(IF(Atletas!B354="Feminino",1000,IF(Atletas!B354="Masculino",2000,""))+(IF(Atletas!L354="Chaquan D",140,IF(Atletas!L354="Emeiquan D",141,IF(Atletas!L354="Fanziquan D",142,IF(Atletas!L354="Huaquan D",143,IF(Atletas!L354="Hongquan D",144,IF(Atletas!L354="Paochui D",145,IF(Atletas!L354="Piguaquan D",146,IF(Atletas!L354="Shaolinquan D",147,IF(Atletas!L354="Tanglangquan D",148,IF(Atletas!L354="Yinzhaophai D",149,IF(Atletas!L354="Tongbeiquan D",150,IF(Atletas!L354="Wudangquan D",151,IF(Atletas!L354="Outros Estilos D",152,IF(Atletas!L354="Chaquan E",153,IF(Atletas!L354="Emeiquan E",154,IF(Atletas!L354="Fanziquan E",155,IF(Atletas!L354="Huaquan E",156,IF(Atletas!L354="Hongquan E",157,IF(Atletas!L354="Paochui E",158,IF(Atletas!L354="Piguaquan E",159,IF(Atletas!L354="Shaolinquan E",160,IF(Atletas!L354="Tanglangquan E",161,IF(Atletas!L354="Yinzhaophai E",162,IF(Atletas!L354="Tongbeiquan E",163,IF(Atletas!L354="Wudangquan E",164,IF(Atletas!L354="Outros Estilos E",165,IF(Atletas!L354="Chaquan F",166,IF(Atletas!L354="Emeiquan F",167,IF(Atletas!L354="Fanziquan F",168,IF(Atletas!L354="Huaquan F",169,IF(Atletas!L354="Hongquan F",170,IF(Atletas!L354="Paochui F",171,IF(Atletas!L354="Piguaquan F",172,IF(Atletas!L354="Shaolinquan F",173,IF(Atletas!L354="Tanglangquan F",174,IF(Atletas!L354="Yinzhaophai F",175,IF(Atletas!L354="Tongbeiquan F",176,IF(Atletas!L354="Wudangquan F",177,IF(Atletas!L354="Outros Estilos F",178,0))))))))))))))))))))))))))))))))))))))))))</f>
        <v/>
      </c>
      <c r="BN358" s="52" t="str">
        <f>IF(Atletas!M354="","",IF(Atletas!W354&lt;&gt;"",10000,0)+(IF(Atletas!B354="Feminino",1000,IF(Atletas!B354="Masculino",2000,""))+(IF(Atletas!M354="Ditangquan A",201,IF(Atletas!M354="Houquan A",202,IF(Atletas!M354="Zuiquan A",203,IF(Atletas!M354="Ditangquan B",204,IF(Atletas!M354="Houquan B",205,IF(Atletas!M354="Zuiquan B",206,IF(Atletas!M354="Ditangquan C",207,IF(Atletas!M354="Houquan C",208,IF(Atletas!M354="Zuiquan C",209,IF(Atletas!M354="Ditangquan D",210,IF(Atletas!M354="Houquan D",211,IF(Atletas!M354="Zuiquan D",212,IF(Atletas!M354="Ditangquan E",213,IF(Atletas!M354="Houquan E",214,IF(Atletas!M354="Zuiquan E",215,IF(Atletas!M354="Ditangquan F",216,IF(Atletas!M354="Houquan F",217,IF(Atletas!M354="Zuiquan F",218,"")))))))))))))))))))))</f>
        <v/>
      </c>
      <c r="BO358" s="52" t="str">
        <f>IF(Atletas!N354="","",IF(Atletas!W354&lt;&gt;"",10000,0)+IF(Atletas!B354="Feminino",1000,IF(Atletas!B354="Masculino",2000,""))+IF(Atletas!N354="Yang A",301,IF(Atletas!N354="Chen A",30,IF(Atletas!N354="Sun A",303,IF(Atletas!N354="Wu A",304,IF(Atletas!N354="Wu-Hao A",305,IF(Atletas!N354="Outro Taijiquan A",306,IF(Atletas!N354="Yang B",307,IF(Atletas!N354="Chen B",308,IF(Atletas!N354="Sun B",309,IF(Atletas!N354="Wu B",310,IF(Atletas!N354="Wu-Hao B",311,IF(Atletas!N354="Outro Taijiquan B",312,IF(Atletas!N354="Yang C",313,IF(Atletas!N354="Chen C",314,IF(Atletas!N354="Sun C",315,IF(Atletas!N354="Wu C",316,IF(Atletas!N354="Wu-Hao C",317,IF(Atletas!N354="Outro Taijiquan C",318,IF(Atletas!N354="Yang D",319,IF(Atletas!N354="Chen D",320,IF(Atletas!N354="Sun D",321,IF(Atletas!N354="Wu D",322,IF(Atletas!N354="Wu-Hao D",323,IF(Atletas!N354="Outro Taijiquan D",324,IF(Atletas!N354="Yang E",325,IF(Atletas!N354="Chen E",326,IF(Atletas!N354="Sun E",327,IF(Atletas!N354="Wu E",328,IF(Atletas!N354="Wu-Hao E",329,IF(Atletas!N354="Outro Taijiquan E",330,IF(Atletas!N354="Yang F",331,IF(Atletas!N354="Chen F",332,IF(Atletas!N354="Sun F",333,IF(Atletas!N354="Wu F",334,IF(Atletas!N354="Wu-Hao F",335,IF(Atletas!N354="Outro Taijiquan F",336,"")))))))))))))))))))))))))))))))))))))</f>
        <v/>
      </c>
      <c r="BP358" s="52" t="str">
        <f>IF(Atletas!O354="","",IF(Atletas!W354&lt;&gt;"",10000,0)+IF(Atletas!B354="Feminino",1000,IF(Atletas!B354="Masculino",2000,""))+IF(OR(Atletas!O354="Yang 26 A",Atletas!O354="Yang 40 A"),401,IF(OR(Atletas!O354="Chen 25 A",Atletas!O354="Chen 36 A",Atletas!O354="Chen 56 A"),402,IF(Atletas!O354="Sun 73 A",403,IF(Atletas!O354="Wu 45 A",404,IF(Atletas!O354="Wu-Hao 46 A",405,IF(OR(Atletas!O354="Taijiquan 16 A",Atletas!O354="Taijiquan 24 A",Atletas!O354="Taijiquan 32 A",Atletas!O354="Taijiquan 42 A"),406,IF(OR(Atletas!O354="Yang 26 B",Atletas!O354="Yang 40 B"),407,IF(OR(Atletas!O354="Chen 25 B",Atletas!O354="Chen 36 B",Atletas!O354="Chen 56 B"),408,IF(Atletas!O354="Sun 73 B",409,IF(Atletas!O354="Wu 45 B",410,IF(Atletas!O354="Wu-Hao 46 B",411,IF(OR(Atletas!O354="Taijiquan 16 B",Atletas!O354="Taijiquan 24 B",Atletas!O354="Taijiquan 32 B",Atletas!O354="Taijiquan 42 B"),412,IF(OR(Atletas!O354="Yang 26 C",Atletas!O354="Yang 40 C"),413,IF(OR(Atletas!O354="Chen 25 C",Atletas!O354="Chen 36 C",Atletas!O354="Chen 56 C"),414,IF(Atletas!O354="Sun 73 C",415,IF(Atletas!O354="Wu 45 C",416,IF(Atletas!O354="Wu-Hao 46 C",417,IF(OR(Atletas!O354="Taijiquan 16 C",Atletas!O354="Taijiquan 24 C",Atletas!O354="Taijiquan 32 C",Atletas!O354="Taijiquan 42 C"),418,0)))))))))))))))))))</f>
        <v/>
      </c>
      <c r="BQ358" s="52" t="str">
        <f>IF(Atletas!O354="","",IF(Atletas!W354&lt;&gt;"",10000,0)+IF(Atletas!B354="Feminino",1000,IF(Atletas!B354="Masculino",2000,""))+IF(OR(Atletas!O354="Yang 26 D",Atletas!O354="Yang 40 D"),419,IF(OR(Atletas!O354="Chen 25 D",Atletas!O354="Chen 36 D",Atletas!O354="Chen 56 D"),420,IF(Atletas!O354="Sun 73 D",421,IF(Atletas!O354="Wu 45 D",422,IF(Atletas!O354="Wu-Hao 46 D",423,IF(OR(Atletas!O354="Taijiquan 16 D",Atletas!O354="Taijiquan 24 D",Atletas!O354="Taijiquan 32 D",Atletas!O354="Taijiquan 42 D"),424,IF(OR(Atletas!O354="Yang 26 E",Atletas!O354="Yang 40 E"),425,IF(OR(Atletas!O354="Chen 25 E",Atletas!O354="Chen 36 E",Atletas!O354="Chen 56 E"),426,IF(Atletas!O354="Sun 73 E",427,IF(Atletas!O354="Wu 45 E",428,IF(Atletas!O354="Wu-Hao 46 E",429,IF(OR(Atletas!O354="Taijiquan 16 E",Atletas!O354="Taijiquan 24 E",Atletas!O354="Taijiquan 32 E",Atletas!O354="Taijiquan 42 E"),430,IF(OR(Atletas!O354="Yang 26 F",Atletas!O354="Yang 40 F"),431,IF(OR(Atletas!O354="Chen 25 F",Atletas!O354="Chen 36 F",Atletas!O354="Chen 56 F"),432,IF(Atletas!O354="Sun 73 F",433,IF(Atletas!O354="Wu 45 F",434,IF(Atletas!O354="Wu-Hao 46 F",435,IF(OR(Atletas!O354="Taijiquan 16 F",Atletas!O354="Taijiquan 24 F",Atletas!O354="Taijiquan 32 F",Atletas!O354="Taijiquan 42 F"),436,0)))))))))))))))))))</f>
        <v/>
      </c>
      <c r="BR358" s="52" t="str">
        <f>IF(Atletas!P354="","",IF(Atletas!W354&lt;&gt;"",10000,0)+IF(Atletas!B354="Feminino",1000,IF(Atletas!B354="Masculino",2000,""))+IF(Atletas!P354="Xingyiquan A",501,IF(Atletas!P354="Baguazhang A",502,IF(Atletas!P354="Outro Estilo Interno A",503,IF(Atletas!P354="Xingyiquan B",504,IF(Atletas!P354="Baguazhang B",505,IF(Atletas!P354="Outro Estilo Interno B",506,IF(Atletas!P354="Xingyiquan C",507,IF(Atletas!P354="Baguazhang C",508,IF(Atletas!P354="Outro Estilo Interno C",509,IF(Atletas!P354="Xingyiquan D",510,IF(Atletas!P354="Baguazhang D",511,IF(Atletas!P354="Outro Estilo Interno D",512,IF(Atletas!P354="Xingyiquan E",513,IF(Atletas!P354="Baguazhang E",514,IF(Atletas!P354="Outro Estilo Interno E",515,IF(Atletas!P354="Xingyiquan F",516,IF(Atletas!P354="Baguazhang F",517,IF(Atletas!P354="Outro Estilo Interno F",518, "")))))))))))))))))))</f>
        <v/>
      </c>
      <c r="BS358" s="52" t="str">
        <f>IF(Atletas!Q354="","",IF(Atletas!W354&lt;&gt;"",10000,0)+IF(Atletas!B354="Feminino",1000,IF(Atletas!B354="Masculino",2000,""))+IF(Atletas!Q354="Dao A",601,IF(Atletas!Q354="Jian A",602,IF(Atletas!Q354="Bishou A",603,IF(Atletas!Q354="Shan A",604,IF(Atletas!Q354="Outra Arma Curta A",605,IF(Atletas!Q354="Dao B",606,IF(Atletas!Q354="Jian B",607,IF(Atletas!Q354="Bishou B",608,IF(Atletas!Q354="Shan B",609,IF(Atletas!Q354="Outra Arma Curta B",610,IF(Atletas!Q354="Dao C",611,IF(Atletas!Q354="Jian C",612,IF(Atletas!Q354="Bishou C",613,IF(Atletas!Q354="Shan C",614,IF(Atletas!Q354="Outra Arma Curta C",615,IF(Atletas!Q354="Dao D",616,IF(Atletas!Q354="Jian D",617,IF(Atletas!Q354="Bishou D",618,IF(Atletas!Q354="Shan D",619,IF(Atletas!Q354="Outra Arma Curta D",620,IF(Atletas!Q354="Dao E",621,IF(Atletas!Q354="Jian E",622,IF(Atletas!Q354="Bishou E",623,IF(Atletas!Q354="Shan E",624,IF(Atletas!Q354="Outra Arma Curta E",625,IF(Atletas!Q354="Dao F",626,IF(Atletas!Q354="Jian F",627,IF(Atletas!Q354="Bishou F",628,IF(Atletas!Q354="Shan F",629,IF(Atletas!Q354="Outra Arma Curta F",630, "")))))))))))))))))))))))))))))))</f>
        <v/>
      </c>
      <c r="BT358" s="52" t="str">
        <f>IF(Atletas!R354="","",IF(Atletas!W354&lt;&gt;"",10000,0)+IF(Atletas!B354="Feminino",1000,IF(Atletas!B354="Masculino",2000,""))+IF(Atletas!R354="Gun A",701,IF(Atletas!R354="Qiang A",702,IF(Atletas!R354="Pudao / Guandao A",703,IF(Atletas!R354="Outra Arma Longa A",704,IF(Atletas!R354="Gun B",705,IF(Atletas!R354="Qiang B",706,IF(Atletas!R354="Pudao / Guandao B",707,IF(Atletas!R354="Outra Arma Longa B",708,IF(Atletas!R354="Gun C",709,IF(Atletas!R354="Qiang C",710,IF(Atletas!R354="Pudao / Guandao C",711,IF(Atletas!R354="Outra Arma Longa C",712,IF(Atletas!R354="Gun D",713,IF(Atletas!R354="Qiang D",714,IF(Atletas!R354="Pudao / Guandao D",715,IF(Atletas!R354="Outra Arma Longa D",716,IF(Atletas!R354="Gun E",717,IF(Atletas!R354="Qiang E",718,IF(Atletas!R354="Pudao / Guandao E",719,IF(Atletas!R354="Outra Arma Longa E",720,IF(Atletas!R354="Gun F",721,IF(Atletas!R354="Qiang F",722,IF(Atletas!R354="Pudao / Guandao F",723,IF(Atletas!R354="Outra Arma Longa F",724,"")))))))))))))))))))))))))</f>
        <v/>
      </c>
      <c r="BU358" s="52" t="str">
        <f>IF(Atletas!S354="","",IF(Atletas!W354&lt;&gt;"",10000,0)+IF(Atletas!B354="Feminino",1000,IF(Atletas!B354="Masculino",2000,""))+IF(Atletas!S354="Arma Dupla A",801,IF(Atletas!S354="Arma Maleável A",802,IF(Atletas!S354="Arma Dupla B",803,IF(Atletas!S354="Arma Maleável B",804,IF(Atletas!S354="Arma Dupla C",805,IF(Atletas!S354="Arma Maleável C",806,IF(Atletas!S354="Arma Dupla D",807,IF(Atletas!S354="Arma Maleável D",808,IF(Atletas!S354="Arma Dupla E",809,IF(Atletas!S354="Arma Maleável E",810,IF(Atletas!S354="Arma Dupla F",811,IF(Atletas!S354="Arma Maleável F",812, "")))))))))))))</f>
        <v/>
      </c>
      <c r="BV358" s="52" t="str">
        <f>IF(Atletas!T354="","",IF(Atletas!W354&lt;&gt;"",10000,0)+IF(Atletas!B354="Feminino",1000,IF(Atletas!B354="Masculino",2000,""))+IF(Atletas!T354="Taijijian Yang A",901,IF(Atletas!T354="Taijijian Chen A",902,IF(Atletas!T354="Taijijian Sun A",903,IF(Atletas!T354="Taijijian Wu A",904,IF(Atletas!T354="Taijijian Wu-Hao A",905,IF(Atletas!T354="Taijijian 32 A",906,IF(Atletas!T354="Taijijian 42 A",907,IF(Atletas!T354="Taijijian Yang B",908,IF(Atletas!T354="Taijijian Chen B",909,IF(Atletas!T354="Taijijian Sun B",910,IF(Atletas!T354="Taijijian Wu B",911,IF(Atletas!T354="Taijijian Wu-Hao B",912,IF(Atletas!T354="Taijijian 32 B",913,IF(Atletas!T354="Taijijian 42 B",914,IF(Atletas!T354="Taijijian Yang C",915,IF(Atletas!T354="Taijijian Chen C",916,IF(Atletas!T354="Taijijian Sun C",917,IF(Atletas!T354="Taijijian Wu C",918,IF(Atletas!T354="Taijijian Wu-Hao C",919,IF(Atletas!T354="Taijijian 32 C",920,IF(Atletas!T354="Taijijian 42 C",921,IF(Atletas!T354="Taijijian Yang D",922,IF(Atletas!T354="Taijijian Chen D",923,IF(Atletas!T354="Taijijian Sun D",924,IF(Atletas!T354="Taijijian Wu D",925,IF(Atletas!T354="Taijijian Wu-Hao D",926,IF(Atletas!T354="Taijijian 32 D",927,IF(Atletas!T354="Taijijian 42 D",928,IF(Atletas!T354="Taijijian Yang E",929,IF(Atletas!T354="Taijijian Chen E",930,IF(Atletas!T354="Taijijian Sun E",931,IF(Atletas!T354="Taijijian Wu E",932,IF(Atletas!T354="Taijijian Wu-Hao E",933,IF(Atletas!T354="Taijijian 32 E",934,IF(Atletas!T354="Taijijian 42 E",935,IF(Atletas!T354="Taijijian Yang F",936,IF(Atletas!T354="Taijijian Chen F",937,IF(Atletas!T354="Taijijian Sun F",938,IF(Atletas!T354="Taijijian Wu F",939,IF(Atletas!T354="Taijijian Wu-Hao F",940,IF(Atletas!T354="Taijijian 32 F",941,IF(Atletas!T354="Taijijian 42 F",942,"")))))))))))))))))))))))))))))))))))))))))))</f>
        <v/>
      </c>
      <c r="BW358" s="52" t="str">
        <f>IF(Atletas!U354="","",IF(Atletas!W354&lt;&gt;"",10000,0)+IF(Atletas!B354="Feminino",1000,IF(Atletas!B354="Masculino",2000,""))+IF(Atletas!T354="Taijijian 42 F",942,IF(Atletas!U354="Taijidao A",943,IF(Atletas!U354="Taijishan A",944,IF(Atletas!U354="Taijiqiang A",945,IF(Atletas!U354="Taijidao B",946,IF(Atletas!U354="Taijishan B",947,IF(Atletas!U354="Taijiqiang B",948,IF(Atletas!U354="Taijidao C",949,IF(Atletas!U354="Taijishan C",950,IF(Atletas!U354="Taijiqiang C",951,IF(Atletas!U354="Taijidao D",952,IF(Atletas!U354="Taijishan D",953,IF(Atletas!U354="Taijiqiang D",954,IF(Atletas!U354="Taijidao E",955,IF(Atletas!U354="Taijishan E",956,IF(Atletas!U354="Taijiqiang E",957,IF(Atletas!U354="Taijidao F",958,IF(Atletas!U354="Taijishan F",959,IF(Atletas!U354="Taijiqiang F",960))))))))))))))))))))</f>
        <v/>
      </c>
      <c r="BX358" s="72"/>
      <c r="BY358" s="72"/>
      <c r="BZ358" s="72"/>
      <c r="CA358" s="72"/>
      <c r="CB358" s="72" t="str">
        <f>IF(CC358&lt;&gt;"","Taijijian Sun B","")</f>
        <v/>
      </c>
      <c r="CC358" s="64" t="str">
        <f>IF(COUNTIF(BK:BW,11910)&gt;0,COUNTIF(BK:BW,11910),"")</f>
        <v/>
      </c>
      <c r="CD358" s="64" t="str">
        <f>IF(CE358&lt;&gt;"","Taijijian Sun B","")</f>
        <v/>
      </c>
      <c r="CE358" s="64" t="str">
        <f>IF(COUNTIF(BK:BW,12910)&gt;0,COUNTIF(BK:BW,12910),"")</f>
        <v/>
      </c>
      <c r="CF358" s="52" t="str">
        <f xml:space="preserve"> IF(Atletas!V354="","",IF(Atletas!V354="Duilian de Mãos AB - Equipe 1",1,IF(Atletas!V354="Duilian de Mãos AB - Equipe 2",2,IF(Atletas!V354="Duilian de Armas AB - Equipe 1",3,IF(Atletas!V354="Duilian de Armas AB - Equipe 2",4,IF(Atletas!V354="Duilian de Tuishou - Equipe 1",5,IF(Atletas!V354="Duilian de Tuishou - Equipe 2",6,IF(Atletas!V354="Grupo Externo AB - Equipe 1",7,IF(Atletas!V354="Grupo Externo AB - Equipe 2",8,IF(Atletas!V354="Grupo Interno AB - Equipe 1",9,IF(Atletas!V354="Grupo Interno AB - Equipe 2",10,IF(Atletas!V354="Duilian de Mãos CD - Equipe 1",11,IF(Atletas!V354="Duilian de Mãos CD - Equipe 2",12,IF(Atletas!V354="Duilian de Armas CD - Equipe 1",13,IF(Atletas!V354="Duilian de Armas CD - Equipe 2",14,IF(Atletas!V354="Duilian de Tuishou - Equipe 1",15,IF(Atletas!V354="Duilian de Tuishou - Equipe 2",16,IF(Atletas!V354="Grupo Externo CDEF - Equipe 1",17,IF(Atletas!V354="Grupo Externo CDEF - Equipe 2",18,IF(Atletas!V354="Grupo Interno CDEF - Equipe 1",19,IF(Atletas!V354="Grupo Interno CDEF - Equipe 2",20,IF(Atletas!V354="Duilian de Mãos EF - Equipe 1",21,IF(Atletas!V354="Duilian de Mãos EF - Equipe 2",22,IF(Atletas!V354="Duilian de Armas EF - Equipe 1",23,IF(Atletas!V354="Duilian de Armas EF - Equipe 2",24,IF(Atletas!V354="Duilian de Tuishou - Equipe 1",25,IF(Atletas!V354="Duilian de Tuishou - Equipe 2",26,"")))))))))))))))))))))))))))</f>
        <v/>
      </c>
    </row>
    <row r="359" spans="36:84">
      <c r="AJ359" s="46" t="str">
        <f>IF(Atletas!D355="","",IF(Atletas!B355="Feminino",100,IF(Atletas!B355="Masculino",200,""))+(IF(Atletas!D355="Infantil 39kg",1,IF(Atletas!D355="Infantil 42kg",2,IF(Atletas!D355="Infantil 45kg",3,IF(Atletas!D355="Infantil 48kg",4,IF(Atletas!D355="Infantil 52kg",5,IF(Atletas!D355="Infantil 56kg",6,IF(Atletas!D355="Infantil 60kg",7,IF(Atletas!D355="Juvenil 48kg",8,IF(Atletas!D355="Juvenil 52kg",9,IF(Atletas!D355="Juvenil 56kg",10,IF(Atletas!D355="Juvenil 60kg",11,IF(Atletas!D355="Juvenil 65kg",12,IF(Atletas!D355="Juvenil 70kg",13,IF(Atletas!D355="Juvenil 75kg",14,IF(Atletas!D355="Juvenil 80kg",15,IF(Atletas!D355="Adulto 48kg",16,IF(Atletas!D355="Adulto 52kg",17,IF(Atletas!D355="Adulto 56kg",18,IF(Atletas!D355="Adulto 60kg",19,IF(Atletas!D355="Adulto 65kg",20,IF(Atletas!D355="Adulto 70kg",21,IF(Atletas!D355="Adulto 75kg",22,IF(Atletas!D355="Adulto 80kg",23,IF(Atletas!D355="Adulto 85kg",24,IF(Atletas!D355="Adulto 90kg",25,IF(Atletas!D355="Adulto +90kg",26,""))))))))))))))))))))))))))))</f>
        <v/>
      </c>
      <c r="AO359" s="10" t="str">
        <f>IF(Atletas!E355="","",IF(Atletas!B355="Feminino",100,IF(Atletas!B355="Masculino",200,""))+(IF(Atletas!E355="Juvenil 44kg",1,IF(Atletas!E355="Juvenil 48kg",2,IF(Atletas!E355="Juvenil 52kg",3,IF(Atletas!E355="Juvenil 56kg",4,IF(Atletas!E355="Juvenil 60kg",5,IF(Atletas!E355="Juvenil 65kg",6,IF(Atletas!E355="Juvenil 70kg",7,IF(Atletas!E355="Juvenil 75kg",8,IF(Atletas!E355="Juvenil 82kg",9,IF(Atletas!E355="Juvenil 90kg",10,IF(Atletas!E355="Juvenil 100kg",11,IF(Atletas!E355="Adulto 48kg",12,IF(Atletas!E355="Adulto 52kg",13,IF(Atletas!E355="Adulto 56kg",14,IF(Atletas!E355="Adulto 60kg",15,IF(Atletas!E355="Adulto 65kg",16,IF(Atletas!E355="Adulto 70kg",17,IF(Atletas!E355="Adulto 75kg",18,IF(Atletas!E355="Adulto 82kg",19,IF(Atletas!E355="Adulto 90kg",20,IF(Atletas!E355="Adulto 100kg",21,IF(Atletas!E355="Adulto +100kg",22,""))))))))))))))))))))))))</f>
        <v/>
      </c>
      <c r="AT359" s="10" t="str">
        <f>IF(Atletas!F355="","",IF(Atletas!B355="Feminino",100,IF(Atletas!B355="Masculino",200,""))+(IF(Atletas!F355="Adulto 48kg",1,IF(Atletas!F355="Adulto 56kg",2,IF(Atletas!F355="Adulto 65kg",3,IF(Atletas!F355="Adulto 75kg",4,IF(Atletas!F355="Adulto +75kg",5,IF(Atletas!F355="Adulto 52kg",6,IF(Atletas!F355="Adulto 60kg",7,IF(Atletas!F355="Adulto 70kg",8,IF(Atletas!F355="Adulto 80kg",9,IF(Atletas!F355="Adulto 90kg",10,IF(Atletas!F355="Adulto +90kg",11,"")))))))))))))</f>
        <v/>
      </c>
      <c r="AY359" s="46" t="str">
        <f>IF(Atletas!G355="","",IF(Atletas!B355="Feminino",100,IF(Atletas!B355="Masculino",200,""))+(IF(Atletas!G355="Changquan Mirim",1,IF(Atletas!G355="Nanquan Mirim",2,IF(Atletas!G355="Taijiquan Mirim",3,IF(Atletas!G355="Changquan Grupo C",4,IF(Atletas!G355="Nanquan Grupo C",5,IF(Atletas!G355="Taijiquan Grupo C",6,IF(Atletas!G355="Changquan Grupo B",7,IF(Atletas!G355="Nanquan Grupo B",8,IF(Atletas!G355="Taijiquan Grupo B",9,IF(Atletas!G355="Changquan Grupo A",10,IF(Atletas!G355="Nanquan Grupo A",11,IF(Atletas!G355="Taijiquan Grupo A",12,IF(Atletas!G355="Changquan Opcional",13,IF(Atletas!G355="Nanquan Opcional",14,IF(Atletas!G355="Taijiquan Opcional",15,IF(Atletas!G355="Changquan Adulto",16,IF(Atletas!G355="Nanquan Adulto",17,IF(Atletas!G355="Taijiquan Adulto",18,""))))))))))))))))))))</f>
        <v/>
      </c>
      <c r="AZ359" s="46" t="str">
        <f>IF(Atletas!H355="","",IF(Atletas!B355="Feminino",100,IF(Atletas!B355="Masculino",200,""))+(IF(Atletas!H355="Daoshu Mirim",19,IF(Atletas!H355="Jianshu Mirim",20,IF(Atletas!H355="Nandao Mirim",21,IF(Atletas!H355="Taijijian Mirim",22,IF(Atletas!H355="Daoshu Grupo C",23,IF(Atletas!H355="Jianshu Grupo C",24,IF(Atletas!H355="Nandao Grupo C",25,IF(Atletas!H355="Taijijian Grupo C",26,IF(Atletas!H355="Daoshu Grupo B",27,IF(Atletas!H355="Jianshu Grupo B",28,IF(Atletas!H355="Nandao Grupo B",29,IF(Atletas!H355="Taijijian Grupo B",30,IF(Atletas!H355="Daoshu Grupo A",31,IF(Atletas!H355="Jianshu Grupo A",32,IF(Atletas!H355="Nandao Grupo A",33,IF(Atletas!H355="Taijijian Grupo A",34,IF(Atletas!H355="Daoshu Opcional",35,IF(Atletas!H355="Jianshu Opcional",36,IF(Atletas!H355="Nandao Opcional",37,IF(Atletas!H355="Taijijian Opcional",38,IF(Atletas!H355="Daoshu Adulto",39,IF(Atletas!H355="Jianshu Adulto",40,IF(Atletas!H355="Nandao Adulto",41,IF(Atletas!H355="Taijijian Adulto",42,""))))))))))))))))))))))))))</f>
        <v/>
      </c>
      <c r="BA359" s="46" t="str">
        <f>IF(Atletas!I355="","",IF(Atletas!B355="Feminino",100,IF(Atletas!B355="Masculino",200,""))+(IF(Atletas!I355="Gunshu Mirim",43,IF(Atletas!I355="Qiangshu Mirim",44,IF(Atletas!I355="Nangun Mirim",45,IF(Atletas!I355="Gunshu Grupo C",46,IF(Atletas!I355="Qiangshu Grupo C",47,IF(Atletas!I355="Nangun Grupo C",48,IF(Atletas!I355="Gunshu Grupo B",49,IF(Atletas!I355="Qiangshu Grupo B",50,IF(Atletas!I355="Nangun Grupo B",51,IF(Atletas!I355="Gunshu Grupo A",52,IF(Atletas!I355="Qiangshu Grupo A",53,IF(Atletas!I355="Nangun Grupo A",54,IF(Atletas!I355="Gunshu Opcional",55,IF(Atletas!I355="Qiangshu Opcional",56,IF(Atletas!I355="Nangun Opcional",57,IF(Atletas!I355="Gunshu Adulto",58,IF(Atletas!I355="Qiangshu Adulto",59,IF(Atletas!I355="Nangun Adulto",60,""))))))))))))))))))))</f>
        <v/>
      </c>
      <c r="BF359" s="52" t="str">
        <f>IF(Atletas!J355="","",IF(Atletas!B355="Feminino",100,IF(Atletas!B355="Masculino",200,""))+(IF(Atletas!J355="Equipe 1 Grupo B",1,IF(Atletas!J355="Equipe 2 Grupo B",2,IF(Atletas!J355="Equipe 1 Grupo A",3,IF(Atletas!J355="Equipe 2 Grupo A",4,IF(Atletas!J355="Equipe 1 Adulto",5,IF(Atletas!J355="Equipe 2 Adulto",6,""))))))))</f>
        <v/>
      </c>
      <c r="BK359" s="52" t="str">
        <f>IF(Atletas!K355="","",IF(Atletas!W355&lt;&gt;"",10000,0)+(IF(Atletas!B355="Feminino",1000,IF(Atletas!B355="Masculino",2000,""))+IF(Atletas!K355="Choylayfut A",1,IF(Atletas!K355="Hunggar A",2,IF(Atletas!K355="Wuzuquan A",3,IF(Atletas!K355="Wingchun A",4,IF(Atletas!K355="Outra Mão de Sul A",5,IF(Atletas!K355="Choylayfut B",6,IF(Atletas!K355="Hunggar B",7,IF(Atletas!K355="Wuzuquan B",8,IF(Atletas!K355="Wingchun B",9,IF(Atletas!K355="Outra Mão de Sul B",10,IF(Atletas!K355="Choylayfut C",11,IF(Atletas!K355="Hunggar C",12,IF(Atletas!K355="Wuzuquan C",13,IF(Atletas!K355="Wingchun C",14,IF(Atletas!K355="Outra Mão de Sul C",15,IF(Atletas!K355="Choylayfut D",16,IF(Atletas!K355="Hunggar D",17,IF(Atletas!K355="Wuzuquan D",18,IF(Atletas!K355="Wingchun D",19,IF(Atletas!K355="Outra Mão de Sul D",20,IF(Atletas!K355="Choylayfut E",21,IF(Atletas!K355="Hunggar E",22,IF(Atletas!K355="Wuzuquan E",23,IF(Atletas!K355="Wingchun E",24,IF(Atletas!K355="Outra Mão de Sul E",25,IF(Atletas!K355="Choylayfut F",26,IF(Atletas!K355="Hunggar F",27,IF(Atletas!K355="Wuzuquan F",28,IF(Atletas!K355="Wingchun F",29,IF(Atletas!K355="Outra Mão de Sul F",30,""))))))))))))))))))))))))))))))))</f>
        <v/>
      </c>
      <c r="BL359" s="52" t="str">
        <f>IF(Atletas!L355="","",IF(Atletas!W355&lt;&gt;"",10000,0)+(IF(Atletas!B355="Feminino",1000,IF(Atletas!B355="Masculino",2000,""))+(IF(Atletas!L355="Chaquan A",101,IF(Atletas!L355="Emeiquan A",102,IF(Atletas!L355="Fanziquan A",103,IF(Atletas!L355="Huaquan A",104,IF(Atletas!L355="Hongquan A",105,IF(Atletas!L355="Paochui A",106,IF(Atletas!L355="Piguaquan A",107,IF(Atletas!L355="Shaolinquan A",108,IF(Atletas!L355="Tanglangquan A",109,IF(Atletas!L355="Yinzhaophai A",110,IF(Atletas!L355="Tongbeiquan A",111,IF(Atletas!L355="Wudangquan A",112,IF(Atletas!L355="Outros Estilos A",113,IF(Atletas!L355="Chaquan B",114,IF(Atletas!L355="Emeiquan B",115,IF(Atletas!L355="Fanziquan B",116,IF(Atletas!L355="Huaquan B",117,IF(Atletas!L355="Hongquan B",118,IF(Atletas!L355="Paochui B",119,IF(Atletas!L355="Piguaquan B",120,IF(Atletas!L355="Shaolinquan B",121,IF(Atletas!L355="Tanglangquan B",122,IF(Atletas!L355="Yinzhaophai B",123,IF(Atletas!L355="Tongbeiquan B",124,IF(Atletas!L355="Wudangquan B",125,IF(Atletas!L355="Outros Estilos B",126,IF(Atletas!L355="Chaquan C",127,IF(Atletas!L355="Emeiquan C",128,IF(Atletas!L355="Fanziquan C",129,IF(Atletas!L355="Huaquan C",130,IF(Atletas!L355="Hongquan C",131,IF(Atletas!L355="Paochui C",132,IF(Atletas!L355="Piguaquan C",133,IF(Atletas!L355="Shaolinquan C",134,IF(Atletas!L355="Tanglangquan C",135,IF(Atletas!L355="Yinzhaophai C",136,IF(Atletas!L355="Tongbeiquan C",137,IF(Atletas!L355="Wudangquan C",138,IF(Atletas!L355="Outros Estilos C",139,0))))))))))))))))))))))))))))))))))))))))))</f>
        <v/>
      </c>
      <c r="BM359" s="52" t="str">
        <f>IF(Atletas!L355="","",IF(Atletas!W355&lt;&gt;"",10000,0)+(IF(Atletas!B355="Feminino",1000,IF(Atletas!B355="Masculino",2000,""))+(IF(Atletas!L355="Chaquan D",140,IF(Atletas!L355="Emeiquan D",141,IF(Atletas!L355="Fanziquan D",142,IF(Atletas!L355="Huaquan D",143,IF(Atletas!L355="Hongquan D",144,IF(Atletas!L355="Paochui D",145,IF(Atletas!L355="Piguaquan D",146,IF(Atletas!L355="Shaolinquan D",147,IF(Atletas!L355="Tanglangquan D",148,IF(Atletas!L355="Yinzhaophai D",149,IF(Atletas!L355="Tongbeiquan D",150,IF(Atletas!L355="Wudangquan D",151,IF(Atletas!L355="Outros Estilos D",152,IF(Atletas!L355="Chaquan E",153,IF(Atletas!L355="Emeiquan E",154,IF(Atletas!L355="Fanziquan E",155,IF(Atletas!L355="Huaquan E",156,IF(Atletas!L355="Hongquan E",157,IF(Atletas!L355="Paochui E",158,IF(Atletas!L355="Piguaquan E",159,IF(Atletas!L355="Shaolinquan E",160,IF(Atletas!L355="Tanglangquan E",161,IF(Atletas!L355="Yinzhaophai E",162,IF(Atletas!L355="Tongbeiquan E",163,IF(Atletas!L355="Wudangquan E",164,IF(Atletas!L355="Outros Estilos E",165,IF(Atletas!L355="Chaquan F",166,IF(Atletas!L355="Emeiquan F",167,IF(Atletas!L355="Fanziquan F",168,IF(Atletas!L355="Huaquan F",169,IF(Atletas!L355="Hongquan F",170,IF(Atletas!L355="Paochui F",171,IF(Atletas!L355="Piguaquan F",172,IF(Atletas!L355="Shaolinquan F",173,IF(Atletas!L355="Tanglangquan F",174,IF(Atletas!L355="Yinzhaophai F",175,IF(Atletas!L355="Tongbeiquan F",176,IF(Atletas!L355="Wudangquan F",177,IF(Atletas!L355="Outros Estilos F",178,0))))))))))))))))))))))))))))))))))))))))))</f>
        <v/>
      </c>
      <c r="BN359" s="52" t="str">
        <f>IF(Atletas!M355="","",IF(Atletas!W355&lt;&gt;"",10000,0)+(IF(Atletas!B355="Feminino",1000,IF(Atletas!B355="Masculino",2000,""))+(IF(Atletas!M355="Ditangquan A",201,IF(Atletas!M355="Houquan A",202,IF(Atletas!M355="Zuiquan A",203,IF(Atletas!M355="Ditangquan B",204,IF(Atletas!M355="Houquan B",205,IF(Atletas!M355="Zuiquan B",206,IF(Atletas!M355="Ditangquan C",207,IF(Atletas!M355="Houquan C",208,IF(Atletas!M355="Zuiquan C",209,IF(Atletas!M355="Ditangquan D",210,IF(Atletas!M355="Houquan D",211,IF(Atletas!M355="Zuiquan D",212,IF(Atletas!M355="Ditangquan E",213,IF(Atletas!M355="Houquan E",214,IF(Atletas!M355="Zuiquan E",215,IF(Atletas!M355="Ditangquan F",216,IF(Atletas!M355="Houquan F",217,IF(Atletas!M355="Zuiquan F",218,"")))))))))))))))))))))</f>
        <v/>
      </c>
      <c r="BO359" s="52" t="str">
        <f>IF(Atletas!N355="","",IF(Atletas!W355&lt;&gt;"",10000,0)+IF(Atletas!B355="Feminino",1000,IF(Atletas!B355="Masculino",2000,""))+IF(Atletas!N355="Yang A",301,IF(Atletas!N355="Chen A",30,IF(Atletas!N355="Sun A",303,IF(Atletas!N355="Wu A",304,IF(Atletas!N355="Wu-Hao A",305,IF(Atletas!N355="Outro Taijiquan A",306,IF(Atletas!N355="Yang B",307,IF(Atletas!N355="Chen B",308,IF(Atletas!N355="Sun B",309,IF(Atletas!N355="Wu B",310,IF(Atletas!N355="Wu-Hao B",311,IF(Atletas!N355="Outro Taijiquan B",312,IF(Atletas!N355="Yang C",313,IF(Atletas!N355="Chen C",314,IF(Atletas!N355="Sun C",315,IF(Atletas!N355="Wu C",316,IF(Atletas!N355="Wu-Hao C",317,IF(Atletas!N355="Outro Taijiquan C",318,IF(Atletas!N355="Yang D",319,IF(Atletas!N355="Chen D",320,IF(Atletas!N355="Sun D",321,IF(Atletas!N355="Wu D",322,IF(Atletas!N355="Wu-Hao D",323,IF(Atletas!N355="Outro Taijiquan D",324,IF(Atletas!N355="Yang E",325,IF(Atletas!N355="Chen E",326,IF(Atletas!N355="Sun E",327,IF(Atletas!N355="Wu E",328,IF(Atletas!N355="Wu-Hao E",329,IF(Atletas!N355="Outro Taijiquan E",330,IF(Atletas!N355="Yang F",331,IF(Atletas!N355="Chen F",332,IF(Atletas!N355="Sun F",333,IF(Atletas!N355="Wu F",334,IF(Atletas!N355="Wu-Hao F",335,IF(Atletas!N355="Outro Taijiquan F",336,"")))))))))))))))))))))))))))))))))))))</f>
        <v/>
      </c>
      <c r="BP359" s="52" t="str">
        <f>IF(Atletas!O355="","",IF(Atletas!W355&lt;&gt;"",10000,0)+IF(Atletas!B355="Feminino",1000,IF(Atletas!B355="Masculino",2000,""))+IF(OR(Atletas!O355="Yang 26 A",Atletas!O355="Yang 40 A"),401,IF(OR(Atletas!O355="Chen 25 A",Atletas!O355="Chen 36 A",Atletas!O355="Chen 56 A"),402,IF(Atletas!O355="Sun 73 A",403,IF(Atletas!O355="Wu 45 A",404,IF(Atletas!O355="Wu-Hao 46 A",405,IF(OR(Atletas!O355="Taijiquan 16 A",Atletas!O355="Taijiquan 24 A",Atletas!O355="Taijiquan 32 A",Atletas!O355="Taijiquan 42 A"),406,IF(OR(Atletas!O355="Yang 26 B",Atletas!O355="Yang 40 B"),407,IF(OR(Atletas!O355="Chen 25 B",Atletas!O355="Chen 36 B",Atletas!O355="Chen 56 B"),408,IF(Atletas!O355="Sun 73 B",409,IF(Atletas!O355="Wu 45 B",410,IF(Atletas!O355="Wu-Hao 46 B",411,IF(OR(Atletas!O355="Taijiquan 16 B",Atletas!O355="Taijiquan 24 B",Atletas!O355="Taijiquan 32 B",Atletas!O355="Taijiquan 42 B"),412,IF(OR(Atletas!O355="Yang 26 C",Atletas!O355="Yang 40 C"),413,IF(OR(Atletas!O355="Chen 25 C",Atletas!O355="Chen 36 C",Atletas!O355="Chen 56 C"),414,IF(Atletas!O355="Sun 73 C",415,IF(Atletas!O355="Wu 45 C",416,IF(Atletas!O355="Wu-Hao 46 C",417,IF(OR(Atletas!O355="Taijiquan 16 C",Atletas!O355="Taijiquan 24 C",Atletas!O355="Taijiquan 32 C",Atletas!O355="Taijiquan 42 C"),418,0)))))))))))))))))))</f>
        <v/>
      </c>
      <c r="BQ359" s="52" t="str">
        <f>IF(Atletas!O355="","",IF(Atletas!W355&lt;&gt;"",10000,0)+IF(Atletas!B355="Feminino",1000,IF(Atletas!B355="Masculino",2000,""))+IF(OR(Atletas!O355="Yang 26 D",Atletas!O355="Yang 40 D"),419,IF(OR(Atletas!O355="Chen 25 D",Atletas!O355="Chen 36 D",Atletas!O355="Chen 56 D"),420,IF(Atletas!O355="Sun 73 D",421,IF(Atletas!O355="Wu 45 D",422,IF(Atletas!O355="Wu-Hao 46 D",423,IF(OR(Atletas!O355="Taijiquan 16 D",Atletas!O355="Taijiquan 24 D",Atletas!O355="Taijiquan 32 D",Atletas!O355="Taijiquan 42 D"),424,IF(OR(Atletas!O355="Yang 26 E",Atletas!O355="Yang 40 E"),425,IF(OR(Atletas!O355="Chen 25 E",Atletas!O355="Chen 36 E",Atletas!O355="Chen 56 E"),426,IF(Atletas!O355="Sun 73 E",427,IF(Atletas!O355="Wu 45 E",428,IF(Atletas!O355="Wu-Hao 46 E",429,IF(OR(Atletas!O355="Taijiquan 16 E",Atletas!O355="Taijiquan 24 E",Atletas!O355="Taijiquan 32 E",Atletas!O355="Taijiquan 42 E"),430,IF(OR(Atletas!O355="Yang 26 F",Atletas!O355="Yang 40 F"),431,IF(OR(Atletas!O355="Chen 25 F",Atletas!O355="Chen 36 F",Atletas!O355="Chen 56 F"),432,IF(Atletas!O355="Sun 73 F",433,IF(Atletas!O355="Wu 45 F",434,IF(Atletas!O355="Wu-Hao 46 F",435,IF(OR(Atletas!O355="Taijiquan 16 F",Atletas!O355="Taijiquan 24 F",Atletas!O355="Taijiquan 32 F",Atletas!O355="Taijiquan 42 F"),436,0)))))))))))))))))))</f>
        <v/>
      </c>
      <c r="BR359" s="52" t="str">
        <f>IF(Atletas!P355="","",IF(Atletas!W355&lt;&gt;"",10000,0)+IF(Atletas!B355="Feminino",1000,IF(Atletas!B355="Masculino",2000,""))+IF(Atletas!P355="Xingyiquan A",501,IF(Atletas!P355="Baguazhang A",502,IF(Atletas!P355="Outro Estilo Interno A",503,IF(Atletas!P355="Xingyiquan B",504,IF(Atletas!P355="Baguazhang B",505,IF(Atletas!P355="Outro Estilo Interno B",506,IF(Atletas!P355="Xingyiquan C",507,IF(Atletas!P355="Baguazhang C",508,IF(Atletas!P355="Outro Estilo Interno C",509,IF(Atletas!P355="Xingyiquan D",510,IF(Atletas!P355="Baguazhang D",511,IF(Atletas!P355="Outro Estilo Interno D",512,IF(Atletas!P355="Xingyiquan E",513,IF(Atletas!P355="Baguazhang E",514,IF(Atletas!P355="Outro Estilo Interno E",515,IF(Atletas!P355="Xingyiquan F",516,IF(Atletas!P355="Baguazhang F",517,IF(Atletas!P355="Outro Estilo Interno F",518, "")))))))))))))))))))</f>
        <v/>
      </c>
      <c r="BS359" s="52" t="str">
        <f>IF(Atletas!Q355="","",IF(Atletas!W355&lt;&gt;"",10000,0)+IF(Atletas!B355="Feminino",1000,IF(Atletas!B355="Masculino",2000,""))+IF(Atletas!Q355="Dao A",601,IF(Atletas!Q355="Jian A",602,IF(Atletas!Q355="Bishou A",603,IF(Atletas!Q355="Shan A",604,IF(Atletas!Q355="Outra Arma Curta A",605,IF(Atletas!Q355="Dao B",606,IF(Atletas!Q355="Jian B",607,IF(Atletas!Q355="Bishou B",608,IF(Atletas!Q355="Shan B",609,IF(Atletas!Q355="Outra Arma Curta B",610,IF(Atletas!Q355="Dao C",611,IF(Atletas!Q355="Jian C",612,IF(Atletas!Q355="Bishou C",613,IF(Atletas!Q355="Shan C",614,IF(Atletas!Q355="Outra Arma Curta C",615,IF(Atletas!Q355="Dao D",616,IF(Atletas!Q355="Jian D",617,IF(Atletas!Q355="Bishou D",618,IF(Atletas!Q355="Shan D",619,IF(Atletas!Q355="Outra Arma Curta D",620,IF(Atletas!Q355="Dao E",621,IF(Atletas!Q355="Jian E",622,IF(Atletas!Q355="Bishou E",623,IF(Atletas!Q355="Shan E",624,IF(Atletas!Q355="Outra Arma Curta E",625,IF(Atletas!Q355="Dao F",626,IF(Atletas!Q355="Jian F",627,IF(Atletas!Q355="Bishou F",628,IF(Atletas!Q355="Shan F",629,IF(Atletas!Q355="Outra Arma Curta F",630, "")))))))))))))))))))))))))))))))</f>
        <v/>
      </c>
      <c r="BT359" s="52" t="str">
        <f>IF(Atletas!R355="","",IF(Atletas!W355&lt;&gt;"",10000,0)+IF(Atletas!B355="Feminino",1000,IF(Atletas!B355="Masculino",2000,""))+IF(Atletas!R355="Gun A",701,IF(Atletas!R355="Qiang A",702,IF(Atletas!R355="Pudao / Guandao A",703,IF(Atletas!R355="Outra Arma Longa A",704,IF(Atletas!R355="Gun B",705,IF(Atletas!R355="Qiang B",706,IF(Atletas!R355="Pudao / Guandao B",707,IF(Atletas!R355="Outra Arma Longa B",708,IF(Atletas!R355="Gun C",709,IF(Atletas!R355="Qiang C",710,IF(Atletas!R355="Pudao / Guandao C",711,IF(Atletas!R355="Outra Arma Longa C",712,IF(Atletas!R355="Gun D",713,IF(Atletas!R355="Qiang D",714,IF(Atletas!R355="Pudao / Guandao D",715,IF(Atletas!R355="Outra Arma Longa D",716,IF(Atletas!R355="Gun E",717,IF(Atletas!R355="Qiang E",718,IF(Atletas!R355="Pudao / Guandao E",719,IF(Atletas!R355="Outra Arma Longa E",720,IF(Atletas!R355="Gun F",721,IF(Atletas!R355="Qiang F",722,IF(Atletas!R355="Pudao / Guandao F",723,IF(Atletas!R355="Outra Arma Longa F",724,"")))))))))))))))))))))))))</f>
        <v/>
      </c>
      <c r="BU359" s="52" t="str">
        <f>IF(Atletas!S355="","",IF(Atletas!W355&lt;&gt;"",10000,0)+IF(Atletas!B355="Feminino",1000,IF(Atletas!B355="Masculino",2000,""))+IF(Atletas!S355="Arma Dupla A",801,IF(Atletas!S355="Arma Maleável A",802,IF(Atletas!S355="Arma Dupla B",803,IF(Atletas!S355="Arma Maleável B",804,IF(Atletas!S355="Arma Dupla C",805,IF(Atletas!S355="Arma Maleável C",806,IF(Atletas!S355="Arma Dupla D",807,IF(Atletas!S355="Arma Maleável D",808,IF(Atletas!S355="Arma Dupla E",809,IF(Atletas!S355="Arma Maleável E",810,IF(Atletas!S355="Arma Dupla F",811,IF(Atletas!S355="Arma Maleável F",812, "")))))))))))))</f>
        <v/>
      </c>
      <c r="BV359" s="52" t="str">
        <f>IF(Atletas!T355="","",IF(Atletas!W355&lt;&gt;"",10000,0)+IF(Atletas!B355="Feminino",1000,IF(Atletas!B355="Masculino",2000,""))+IF(Atletas!T355="Taijijian Yang A",901,IF(Atletas!T355="Taijijian Chen A",902,IF(Atletas!T355="Taijijian Sun A",903,IF(Atletas!T355="Taijijian Wu A",904,IF(Atletas!T355="Taijijian Wu-Hao A",905,IF(Atletas!T355="Taijijian 32 A",906,IF(Atletas!T355="Taijijian 42 A",907,IF(Atletas!T355="Taijijian Yang B",908,IF(Atletas!T355="Taijijian Chen B",909,IF(Atletas!T355="Taijijian Sun B",910,IF(Atletas!T355="Taijijian Wu B",911,IF(Atletas!T355="Taijijian Wu-Hao B",912,IF(Atletas!T355="Taijijian 32 B",913,IF(Atletas!T355="Taijijian 42 B",914,IF(Atletas!T355="Taijijian Yang C",915,IF(Atletas!T355="Taijijian Chen C",916,IF(Atletas!T355="Taijijian Sun C",917,IF(Atletas!T355="Taijijian Wu C",918,IF(Atletas!T355="Taijijian Wu-Hao C",919,IF(Atletas!T355="Taijijian 32 C",920,IF(Atletas!T355="Taijijian 42 C",921,IF(Atletas!T355="Taijijian Yang D",922,IF(Atletas!T355="Taijijian Chen D",923,IF(Atletas!T355="Taijijian Sun D",924,IF(Atletas!T355="Taijijian Wu D",925,IF(Atletas!T355="Taijijian Wu-Hao D",926,IF(Atletas!T355="Taijijian 32 D",927,IF(Atletas!T355="Taijijian 42 D",928,IF(Atletas!T355="Taijijian Yang E",929,IF(Atletas!T355="Taijijian Chen E",930,IF(Atletas!T355="Taijijian Sun E",931,IF(Atletas!T355="Taijijian Wu E",932,IF(Atletas!T355="Taijijian Wu-Hao E",933,IF(Atletas!T355="Taijijian 32 E",934,IF(Atletas!T355="Taijijian 42 E",935,IF(Atletas!T355="Taijijian Yang F",936,IF(Atletas!T355="Taijijian Chen F",937,IF(Atletas!T355="Taijijian Sun F",938,IF(Atletas!T355="Taijijian Wu F",939,IF(Atletas!T355="Taijijian Wu-Hao F",940,IF(Atletas!T355="Taijijian 32 F",941,IF(Atletas!T355="Taijijian 42 F",942,"")))))))))))))))))))))))))))))))))))))))))))</f>
        <v/>
      </c>
      <c r="BW359" s="52" t="str">
        <f>IF(Atletas!U355="","",IF(Atletas!W355&lt;&gt;"",10000,0)+IF(Atletas!B355="Feminino",1000,IF(Atletas!B355="Masculino",2000,""))+IF(Atletas!T355="Taijijian 42 F",942,IF(Atletas!U355="Taijidao A",943,IF(Atletas!U355="Taijishan A",944,IF(Atletas!U355="Taijiqiang A",945,IF(Atletas!U355="Taijidao B",946,IF(Atletas!U355="Taijishan B",947,IF(Atletas!U355="Taijiqiang B",948,IF(Atletas!U355="Taijidao C",949,IF(Atletas!U355="Taijishan C",950,IF(Atletas!U355="Taijiqiang C",951,IF(Atletas!U355="Taijidao D",952,IF(Atletas!U355="Taijishan D",953,IF(Atletas!U355="Taijiqiang D",954,IF(Atletas!U355="Taijidao E",955,IF(Atletas!U355="Taijishan E",956,IF(Atletas!U355="Taijiqiang E",957,IF(Atletas!U355="Taijidao F",958,IF(Atletas!U355="Taijishan F",959,IF(Atletas!U355="Taijiqiang F",960))))))))))))))))))))</f>
        <v/>
      </c>
      <c r="BX359" s="72"/>
      <c r="BY359" s="72"/>
      <c r="BZ359" s="72"/>
      <c r="CA359" s="72"/>
      <c r="CB359" s="72" t="str">
        <f>IF(CC359&lt;&gt;"","Taijijian Wu B","")</f>
        <v/>
      </c>
      <c r="CC359" s="64" t="str">
        <f>IF(COUNTIF(BK:BW,11911)&gt;0,COUNTIF(BK:BW,11911),"")</f>
        <v/>
      </c>
      <c r="CD359" s="64" t="str">
        <f>IF(CE359&lt;&gt;"","Taijijian Wu B","")</f>
        <v/>
      </c>
      <c r="CE359" s="64" t="str">
        <f>IF(COUNTIF(BK:BW,12911)&gt;0,COUNTIF(BK:BW,12911),"")</f>
        <v/>
      </c>
      <c r="CF359" s="52" t="str">
        <f xml:space="preserve"> IF(Atletas!V355="","",IF(Atletas!V355="Duilian de Mãos AB - Equipe 1",1,IF(Atletas!V355="Duilian de Mãos AB - Equipe 2",2,IF(Atletas!V355="Duilian de Armas AB - Equipe 1",3,IF(Atletas!V355="Duilian de Armas AB - Equipe 2",4,IF(Atletas!V355="Duilian de Tuishou - Equipe 1",5,IF(Atletas!V355="Duilian de Tuishou - Equipe 2",6,IF(Atletas!V355="Grupo Externo AB - Equipe 1",7,IF(Atletas!V355="Grupo Externo AB - Equipe 2",8,IF(Atletas!V355="Grupo Interno AB - Equipe 1",9,IF(Atletas!V355="Grupo Interno AB - Equipe 2",10,IF(Atletas!V355="Duilian de Mãos CD - Equipe 1",11,IF(Atletas!V355="Duilian de Mãos CD - Equipe 2",12,IF(Atletas!V355="Duilian de Armas CD - Equipe 1",13,IF(Atletas!V355="Duilian de Armas CD - Equipe 2",14,IF(Atletas!V355="Duilian de Tuishou - Equipe 1",15,IF(Atletas!V355="Duilian de Tuishou - Equipe 2",16,IF(Atletas!V355="Grupo Externo CDEF - Equipe 1",17,IF(Atletas!V355="Grupo Externo CDEF - Equipe 2",18,IF(Atletas!V355="Grupo Interno CDEF - Equipe 1",19,IF(Atletas!V355="Grupo Interno CDEF - Equipe 2",20,IF(Atletas!V355="Duilian de Mãos EF - Equipe 1",21,IF(Atletas!V355="Duilian de Mãos EF - Equipe 2",22,IF(Atletas!V355="Duilian de Armas EF - Equipe 1",23,IF(Atletas!V355="Duilian de Armas EF - Equipe 2",24,IF(Atletas!V355="Duilian de Tuishou - Equipe 1",25,IF(Atletas!V355="Duilian de Tuishou - Equipe 2",26,"")))))))))))))))))))))))))))</f>
        <v/>
      </c>
    </row>
    <row r="360" spans="36:84">
      <c r="AJ360" s="46" t="str">
        <f>IF(Atletas!D356="","",IF(Atletas!B356="Feminino",100,IF(Atletas!B356="Masculino",200,""))+(IF(Atletas!D356="Infantil 39kg",1,IF(Atletas!D356="Infantil 42kg",2,IF(Atletas!D356="Infantil 45kg",3,IF(Atletas!D356="Infantil 48kg",4,IF(Atletas!D356="Infantil 52kg",5,IF(Atletas!D356="Infantil 56kg",6,IF(Atletas!D356="Infantil 60kg",7,IF(Atletas!D356="Juvenil 48kg",8,IF(Atletas!D356="Juvenil 52kg",9,IF(Atletas!D356="Juvenil 56kg",10,IF(Atletas!D356="Juvenil 60kg",11,IF(Atletas!D356="Juvenil 65kg",12,IF(Atletas!D356="Juvenil 70kg",13,IF(Atletas!D356="Juvenil 75kg",14,IF(Atletas!D356="Juvenil 80kg",15,IF(Atletas!D356="Adulto 48kg",16,IF(Atletas!D356="Adulto 52kg",17,IF(Atletas!D356="Adulto 56kg",18,IF(Atletas!D356="Adulto 60kg",19,IF(Atletas!D356="Adulto 65kg",20,IF(Atletas!D356="Adulto 70kg",21,IF(Atletas!D356="Adulto 75kg",22,IF(Atletas!D356="Adulto 80kg",23,IF(Atletas!D356="Adulto 85kg",24,IF(Atletas!D356="Adulto 90kg",25,IF(Atletas!D356="Adulto +90kg",26,""))))))))))))))))))))))))))))</f>
        <v/>
      </c>
      <c r="AO360" s="10" t="str">
        <f>IF(Atletas!E356="","",IF(Atletas!B356="Feminino",100,IF(Atletas!B356="Masculino",200,""))+(IF(Atletas!E356="Juvenil 44kg",1,IF(Atletas!E356="Juvenil 48kg",2,IF(Atletas!E356="Juvenil 52kg",3,IF(Atletas!E356="Juvenil 56kg",4,IF(Atletas!E356="Juvenil 60kg",5,IF(Atletas!E356="Juvenil 65kg",6,IF(Atletas!E356="Juvenil 70kg",7,IF(Atletas!E356="Juvenil 75kg",8,IF(Atletas!E356="Juvenil 82kg",9,IF(Atletas!E356="Juvenil 90kg",10,IF(Atletas!E356="Juvenil 100kg",11,IF(Atletas!E356="Adulto 48kg",12,IF(Atletas!E356="Adulto 52kg",13,IF(Atletas!E356="Adulto 56kg",14,IF(Atletas!E356="Adulto 60kg",15,IF(Atletas!E356="Adulto 65kg",16,IF(Atletas!E356="Adulto 70kg",17,IF(Atletas!E356="Adulto 75kg",18,IF(Atletas!E356="Adulto 82kg",19,IF(Atletas!E356="Adulto 90kg",20,IF(Atletas!E356="Adulto 100kg",21,IF(Atletas!E356="Adulto +100kg",22,""))))))))))))))))))))))))</f>
        <v/>
      </c>
      <c r="AT360" s="10" t="str">
        <f>IF(Atletas!F356="","",IF(Atletas!B356="Feminino",100,IF(Atletas!B356="Masculino",200,""))+(IF(Atletas!F356="Adulto 48kg",1,IF(Atletas!F356="Adulto 56kg",2,IF(Atletas!F356="Adulto 65kg",3,IF(Atletas!F356="Adulto 75kg",4,IF(Atletas!F356="Adulto +75kg",5,IF(Atletas!F356="Adulto 52kg",6,IF(Atletas!F356="Adulto 60kg",7,IF(Atletas!F356="Adulto 70kg",8,IF(Atletas!F356="Adulto 80kg",9,IF(Atletas!F356="Adulto 90kg",10,IF(Atletas!F356="Adulto +90kg",11,"")))))))))))))</f>
        <v/>
      </c>
      <c r="AY360" s="46" t="str">
        <f>IF(Atletas!G356="","",IF(Atletas!B356="Feminino",100,IF(Atletas!B356="Masculino",200,""))+(IF(Atletas!G356="Changquan Mirim",1,IF(Atletas!G356="Nanquan Mirim",2,IF(Atletas!G356="Taijiquan Mirim",3,IF(Atletas!G356="Changquan Grupo C",4,IF(Atletas!G356="Nanquan Grupo C",5,IF(Atletas!G356="Taijiquan Grupo C",6,IF(Atletas!G356="Changquan Grupo B",7,IF(Atletas!G356="Nanquan Grupo B",8,IF(Atletas!G356="Taijiquan Grupo B",9,IF(Atletas!G356="Changquan Grupo A",10,IF(Atletas!G356="Nanquan Grupo A",11,IF(Atletas!G356="Taijiquan Grupo A",12,IF(Atletas!G356="Changquan Opcional",13,IF(Atletas!G356="Nanquan Opcional",14,IF(Atletas!G356="Taijiquan Opcional",15,IF(Atletas!G356="Changquan Adulto",16,IF(Atletas!G356="Nanquan Adulto",17,IF(Atletas!G356="Taijiquan Adulto",18,""))))))))))))))))))))</f>
        <v/>
      </c>
      <c r="AZ360" s="46" t="str">
        <f>IF(Atletas!H356="","",IF(Atletas!B356="Feminino",100,IF(Atletas!B356="Masculino",200,""))+(IF(Atletas!H356="Daoshu Mirim",19,IF(Atletas!H356="Jianshu Mirim",20,IF(Atletas!H356="Nandao Mirim",21,IF(Atletas!H356="Taijijian Mirim",22,IF(Atletas!H356="Daoshu Grupo C",23,IF(Atletas!H356="Jianshu Grupo C",24,IF(Atletas!H356="Nandao Grupo C",25,IF(Atletas!H356="Taijijian Grupo C",26,IF(Atletas!H356="Daoshu Grupo B",27,IF(Atletas!H356="Jianshu Grupo B",28,IF(Atletas!H356="Nandao Grupo B",29,IF(Atletas!H356="Taijijian Grupo B",30,IF(Atletas!H356="Daoshu Grupo A",31,IF(Atletas!H356="Jianshu Grupo A",32,IF(Atletas!H356="Nandao Grupo A",33,IF(Atletas!H356="Taijijian Grupo A",34,IF(Atletas!H356="Daoshu Opcional",35,IF(Atletas!H356="Jianshu Opcional",36,IF(Atletas!H356="Nandao Opcional",37,IF(Atletas!H356="Taijijian Opcional",38,IF(Atletas!H356="Daoshu Adulto",39,IF(Atletas!H356="Jianshu Adulto",40,IF(Atletas!H356="Nandao Adulto",41,IF(Atletas!H356="Taijijian Adulto",42,""))))))))))))))))))))))))))</f>
        <v/>
      </c>
      <c r="BA360" s="46" t="str">
        <f>IF(Atletas!I356="","",IF(Atletas!B356="Feminino",100,IF(Atletas!B356="Masculino",200,""))+(IF(Atletas!I356="Gunshu Mirim",43,IF(Atletas!I356="Qiangshu Mirim",44,IF(Atletas!I356="Nangun Mirim",45,IF(Atletas!I356="Gunshu Grupo C",46,IF(Atletas!I356="Qiangshu Grupo C",47,IF(Atletas!I356="Nangun Grupo C",48,IF(Atletas!I356="Gunshu Grupo B",49,IF(Atletas!I356="Qiangshu Grupo B",50,IF(Atletas!I356="Nangun Grupo B",51,IF(Atletas!I356="Gunshu Grupo A",52,IF(Atletas!I356="Qiangshu Grupo A",53,IF(Atletas!I356="Nangun Grupo A",54,IF(Atletas!I356="Gunshu Opcional",55,IF(Atletas!I356="Qiangshu Opcional",56,IF(Atletas!I356="Nangun Opcional",57,IF(Atletas!I356="Gunshu Adulto",58,IF(Atletas!I356="Qiangshu Adulto",59,IF(Atletas!I356="Nangun Adulto",60,""))))))))))))))))))))</f>
        <v/>
      </c>
      <c r="BF360" s="52" t="str">
        <f>IF(Atletas!J356="","",IF(Atletas!B356="Feminino",100,IF(Atletas!B356="Masculino",200,""))+(IF(Atletas!J356="Equipe 1 Grupo B",1,IF(Atletas!J356="Equipe 2 Grupo B",2,IF(Atletas!J356="Equipe 1 Grupo A",3,IF(Atletas!J356="Equipe 2 Grupo A",4,IF(Atletas!J356="Equipe 1 Adulto",5,IF(Atletas!J356="Equipe 2 Adulto",6,""))))))))</f>
        <v/>
      </c>
      <c r="BK360" s="52" t="str">
        <f>IF(Atletas!K356="","",IF(Atletas!W356&lt;&gt;"",10000,0)+(IF(Atletas!B356="Feminino",1000,IF(Atletas!B356="Masculino",2000,""))+IF(Atletas!K356="Choylayfut A",1,IF(Atletas!K356="Hunggar A",2,IF(Atletas!K356="Wuzuquan A",3,IF(Atletas!K356="Wingchun A",4,IF(Atletas!K356="Outra Mão de Sul A",5,IF(Atletas!K356="Choylayfut B",6,IF(Atletas!K356="Hunggar B",7,IF(Atletas!K356="Wuzuquan B",8,IF(Atletas!K356="Wingchun B",9,IF(Atletas!K356="Outra Mão de Sul B",10,IF(Atletas!K356="Choylayfut C",11,IF(Atletas!K356="Hunggar C",12,IF(Atletas!K356="Wuzuquan C",13,IF(Atletas!K356="Wingchun C",14,IF(Atletas!K356="Outra Mão de Sul C",15,IF(Atletas!K356="Choylayfut D",16,IF(Atletas!K356="Hunggar D",17,IF(Atletas!K356="Wuzuquan D",18,IF(Atletas!K356="Wingchun D",19,IF(Atletas!K356="Outra Mão de Sul D",20,IF(Atletas!K356="Choylayfut E",21,IF(Atletas!K356="Hunggar E",22,IF(Atletas!K356="Wuzuquan E",23,IF(Atletas!K356="Wingchun E",24,IF(Atletas!K356="Outra Mão de Sul E",25,IF(Atletas!K356="Choylayfut F",26,IF(Atletas!K356="Hunggar F",27,IF(Atletas!K356="Wuzuquan F",28,IF(Atletas!K356="Wingchun F",29,IF(Atletas!K356="Outra Mão de Sul F",30,""))))))))))))))))))))))))))))))))</f>
        <v/>
      </c>
      <c r="BL360" s="52" t="str">
        <f>IF(Atletas!L356="","",IF(Atletas!W356&lt;&gt;"",10000,0)+(IF(Atletas!B356="Feminino",1000,IF(Atletas!B356="Masculino",2000,""))+(IF(Atletas!L356="Chaquan A",101,IF(Atletas!L356="Emeiquan A",102,IF(Atletas!L356="Fanziquan A",103,IF(Atletas!L356="Huaquan A",104,IF(Atletas!L356="Hongquan A",105,IF(Atletas!L356="Paochui A",106,IF(Atletas!L356="Piguaquan A",107,IF(Atletas!L356="Shaolinquan A",108,IF(Atletas!L356="Tanglangquan A",109,IF(Atletas!L356="Yinzhaophai A",110,IF(Atletas!L356="Tongbeiquan A",111,IF(Atletas!L356="Wudangquan A",112,IF(Atletas!L356="Outros Estilos A",113,IF(Atletas!L356="Chaquan B",114,IF(Atletas!L356="Emeiquan B",115,IF(Atletas!L356="Fanziquan B",116,IF(Atletas!L356="Huaquan B",117,IF(Atletas!L356="Hongquan B",118,IF(Atletas!L356="Paochui B",119,IF(Atletas!L356="Piguaquan B",120,IF(Atletas!L356="Shaolinquan B",121,IF(Atletas!L356="Tanglangquan B",122,IF(Atletas!L356="Yinzhaophai B",123,IF(Atletas!L356="Tongbeiquan B",124,IF(Atletas!L356="Wudangquan B",125,IF(Atletas!L356="Outros Estilos B",126,IF(Atletas!L356="Chaquan C",127,IF(Atletas!L356="Emeiquan C",128,IF(Atletas!L356="Fanziquan C",129,IF(Atletas!L356="Huaquan C",130,IF(Atletas!L356="Hongquan C",131,IF(Atletas!L356="Paochui C",132,IF(Atletas!L356="Piguaquan C",133,IF(Atletas!L356="Shaolinquan C",134,IF(Atletas!L356="Tanglangquan C",135,IF(Atletas!L356="Yinzhaophai C",136,IF(Atletas!L356="Tongbeiquan C",137,IF(Atletas!L356="Wudangquan C",138,IF(Atletas!L356="Outros Estilos C",139,0))))))))))))))))))))))))))))))))))))))))))</f>
        <v/>
      </c>
      <c r="BM360" s="52" t="str">
        <f>IF(Atletas!L356="","",IF(Atletas!W356&lt;&gt;"",10000,0)+(IF(Atletas!B356="Feminino",1000,IF(Atletas!B356="Masculino",2000,""))+(IF(Atletas!L356="Chaquan D",140,IF(Atletas!L356="Emeiquan D",141,IF(Atletas!L356="Fanziquan D",142,IF(Atletas!L356="Huaquan D",143,IF(Atletas!L356="Hongquan D",144,IF(Atletas!L356="Paochui D",145,IF(Atletas!L356="Piguaquan D",146,IF(Atletas!L356="Shaolinquan D",147,IF(Atletas!L356="Tanglangquan D",148,IF(Atletas!L356="Yinzhaophai D",149,IF(Atletas!L356="Tongbeiquan D",150,IF(Atletas!L356="Wudangquan D",151,IF(Atletas!L356="Outros Estilos D",152,IF(Atletas!L356="Chaquan E",153,IF(Atletas!L356="Emeiquan E",154,IF(Atletas!L356="Fanziquan E",155,IF(Atletas!L356="Huaquan E",156,IF(Atletas!L356="Hongquan E",157,IF(Atletas!L356="Paochui E",158,IF(Atletas!L356="Piguaquan E",159,IF(Atletas!L356="Shaolinquan E",160,IF(Atletas!L356="Tanglangquan E",161,IF(Atletas!L356="Yinzhaophai E",162,IF(Atletas!L356="Tongbeiquan E",163,IF(Atletas!L356="Wudangquan E",164,IF(Atletas!L356="Outros Estilos E",165,IF(Atletas!L356="Chaquan F",166,IF(Atletas!L356="Emeiquan F",167,IF(Atletas!L356="Fanziquan F",168,IF(Atletas!L356="Huaquan F",169,IF(Atletas!L356="Hongquan F",170,IF(Atletas!L356="Paochui F",171,IF(Atletas!L356="Piguaquan F",172,IF(Atletas!L356="Shaolinquan F",173,IF(Atletas!L356="Tanglangquan F",174,IF(Atletas!L356="Yinzhaophai F",175,IF(Atletas!L356="Tongbeiquan F",176,IF(Atletas!L356="Wudangquan F",177,IF(Atletas!L356="Outros Estilos F",178,0))))))))))))))))))))))))))))))))))))))))))</f>
        <v/>
      </c>
      <c r="BN360" s="52" t="str">
        <f>IF(Atletas!M356="","",IF(Atletas!W356&lt;&gt;"",10000,0)+(IF(Atletas!B356="Feminino",1000,IF(Atletas!B356="Masculino",2000,""))+(IF(Atletas!M356="Ditangquan A",201,IF(Atletas!M356="Houquan A",202,IF(Atletas!M356="Zuiquan A",203,IF(Atletas!M356="Ditangquan B",204,IF(Atletas!M356="Houquan B",205,IF(Atletas!M356="Zuiquan B",206,IF(Atletas!M356="Ditangquan C",207,IF(Atletas!M356="Houquan C",208,IF(Atletas!M356="Zuiquan C",209,IF(Atletas!M356="Ditangquan D",210,IF(Atletas!M356="Houquan D",211,IF(Atletas!M356="Zuiquan D",212,IF(Atletas!M356="Ditangquan E",213,IF(Atletas!M356="Houquan E",214,IF(Atletas!M356="Zuiquan E",215,IF(Atletas!M356="Ditangquan F",216,IF(Atletas!M356="Houquan F",217,IF(Atletas!M356="Zuiquan F",218,"")))))))))))))))))))))</f>
        <v/>
      </c>
      <c r="BO360" s="52" t="str">
        <f>IF(Atletas!N356="","",IF(Atletas!W356&lt;&gt;"",10000,0)+IF(Atletas!B356="Feminino",1000,IF(Atletas!B356="Masculino",2000,""))+IF(Atletas!N356="Yang A",301,IF(Atletas!N356="Chen A",30,IF(Atletas!N356="Sun A",303,IF(Atletas!N356="Wu A",304,IF(Atletas!N356="Wu-Hao A",305,IF(Atletas!N356="Outro Taijiquan A",306,IF(Atletas!N356="Yang B",307,IF(Atletas!N356="Chen B",308,IF(Atletas!N356="Sun B",309,IF(Atletas!N356="Wu B",310,IF(Atletas!N356="Wu-Hao B",311,IF(Atletas!N356="Outro Taijiquan B",312,IF(Atletas!N356="Yang C",313,IF(Atletas!N356="Chen C",314,IF(Atletas!N356="Sun C",315,IF(Atletas!N356="Wu C",316,IF(Atletas!N356="Wu-Hao C",317,IF(Atletas!N356="Outro Taijiquan C",318,IF(Atletas!N356="Yang D",319,IF(Atletas!N356="Chen D",320,IF(Atletas!N356="Sun D",321,IF(Atletas!N356="Wu D",322,IF(Atletas!N356="Wu-Hao D",323,IF(Atletas!N356="Outro Taijiquan D",324,IF(Atletas!N356="Yang E",325,IF(Atletas!N356="Chen E",326,IF(Atletas!N356="Sun E",327,IF(Atletas!N356="Wu E",328,IF(Atletas!N356="Wu-Hao E",329,IF(Atletas!N356="Outro Taijiquan E",330,IF(Atletas!N356="Yang F",331,IF(Atletas!N356="Chen F",332,IF(Atletas!N356="Sun F",333,IF(Atletas!N356="Wu F",334,IF(Atletas!N356="Wu-Hao F",335,IF(Atletas!N356="Outro Taijiquan F",336,"")))))))))))))))))))))))))))))))))))))</f>
        <v/>
      </c>
      <c r="BP360" s="52" t="str">
        <f>IF(Atletas!O356="","",IF(Atletas!W356&lt;&gt;"",10000,0)+IF(Atletas!B356="Feminino",1000,IF(Atletas!B356="Masculino",2000,""))+IF(OR(Atletas!O356="Yang 26 A",Atletas!O356="Yang 40 A"),401,IF(OR(Atletas!O356="Chen 25 A",Atletas!O356="Chen 36 A",Atletas!O356="Chen 56 A"),402,IF(Atletas!O356="Sun 73 A",403,IF(Atletas!O356="Wu 45 A",404,IF(Atletas!O356="Wu-Hao 46 A",405,IF(OR(Atletas!O356="Taijiquan 16 A",Atletas!O356="Taijiquan 24 A",Atletas!O356="Taijiquan 32 A",Atletas!O356="Taijiquan 42 A"),406,IF(OR(Atletas!O356="Yang 26 B",Atletas!O356="Yang 40 B"),407,IF(OR(Atletas!O356="Chen 25 B",Atletas!O356="Chen 36 B",Atletas!O356="Chen 56 B"),408,IF(Atletas!O356="Sun 73 B",409,IF(Atletas!O356="Wu 45 B",410,IF(Atletas!O356="Wu-Hao 46 B",411,IF(OR(Atletas!O356="Taijiquan 16 B",Atletas!O356="Taijiquan 24 B",Atletas!O356="Taijiquan 32 B",Atletas!O356="Taijiquan 42 B"),412,IF(OR(Atletas!O356="Yang 26 C",Atletas!O356="Yang 40 C"),413,IF(OR(Atletas!O356="Chen 25 C",Atletas!O356="Chen 36 C",Atletas!O356="Chen 56 C"),414,IF(Atletas!O356="Sun 73 C",415,IF(Atletas!O356="Wu 45 C",416,IF(Atletas!O356="Wu-Hao 46 C",417,IF(OR(Atletas!O356="Taijiquan 16 C",Atletas!O356="Taijiquan 24 C",Atletas!O356="Taijiquan 32 C",Atletas!O356="Taijiquan 42 C"),418,0)))))))))))))))))))</f>
        <v/>
      </c>
      <c r="BQ360" s="52" t="str">
        <f>IF(Atletas!O356="","",IF(Atletas!W356&lt;&gt;"",10000,0)+IF(Atletas!B356="Feminino",1000,IF(Atletas!B356="Masculino",2000,""))+IF(OR(Atletas!O356="Yang 26 D",Atletas!O356="Yang 40 D"),419,IF(OR(Atletas!O356="Chen 25 D",Atletas!O356="Chen 36 D",Atletas!O356="Chen 56 D"),420,IF(Atletas!O356="Sun 73 D",421,IF(Atletas!O356="Wu 45 D",422,IF(Atletas!O356="Wu-Hao 46 D",423,IF(OR(Atletas!O356="Taijiquan 16 D",Atletas!O356="Taijiquan 24 D",Atletas!O356="Taijiquan 32 D",Atletas!O356="Taijiquan 42 D"),424,IF(OR(Atletas!O356="Yang 26 E",Atletas!O356="Yang 40 E"),425,IF(OR(Atletas!O356="Chen 25 E",Atletas!O356="Chen 36 E",Atletas!O356="Chen 56 E"),426,IF(Atletas!O356="Sun 73 E",427,IF(Atletas!O356="Wu 45 E",428,IF(Atletas!O356="Wu-Hao 46 E",429,IF(OR(Atletas!O356="Taijiquan 16 E",Atletas!O356="Taijiquan 24 E",Atletas!O356="Taijiquan 32 E",Atletas!O356="Taijiquan 42 E"),430,IF(OR(Atletas!O356="Yang 26 F",Atletas!O356="Yang 40 F"),431,IF(OR(Atletas!O356="Chen 25 F",Atletas!O356="Chen 36 F",Atletas!O356="Chen 56 F"),432,IF(Atletas!O356="Sun 73 F",433,IF(Atletas!O356="Wu 45 F",434,IF(Atletas!O356="Wu-Hao 46 F",435,IF(OR(Atletas!O356="Taijiquan 16 F",Atletas!O356="Taijiquan 24 F",Atletas!O356="Taijiquan 32 F",Atletas!O356="Taijiquan 42 F"),436,0)))))))))))))))))))</f>
        <v/>
      </c>
      <c r="BR360" s="52" t="str">
        <f>IF(Atletas!P356="","",IF(Atletas!W356&lt;&gt;"",10000,0)+IF(Atletas!B356="Feminino",1000,IF(Atletas!B356="Masculino",2000,""))+IF(Atletas!P356="Xingyiquan A",501,IF(Atletas!P356="Baguazhang A",502,IF(Atletas!P356="Outro Estilo Interno A",503,IF(Atletas!P356="Xingyiquan B",504,IF(Atletas!P356="Baguazhang B",505,IF(Atletas!P356="Outro Estilo Interno B",506,IF(Atletas!P356="Xingyiquan C",507,IF(Atletas!P356="Baguazhang C",508,IF(Atletas!P356="Outro Estilo Interno C",509,IF(Atletas!P356="Xingyiquan D",510,IF(Atletas!P356="Baguazhang D",511,IF(Atletas!P356="Outro Estilo Interno D",512,IF(Atletas!P356="Xingyiquan E",513,IF(Atletas!P356="Baguazhang E",514,IF(Atletas!P356="Outro Estilo Interno E",515,IF(Atletas!P356="Xingyiquan F",516,IF(Atletas!P356="Baguazhang F",517,IF(Atletas!P356="Outro Estilo Interno F",518, "")))))))))))))))))))</f>
        <v/>
      </c>
      <c r="BS360" s="52" t="str">
        <f>IF(Atletas!Q356="","",IF(Atletas!W356&lt;&gt;"",10000,0)+IF(Atletas!B356="Feminino",1000,IF(Atletas!B356="Masculino",2000,""))+IF(Atletas!Q356="Dao A",601,IF(Atletas!Q356="Jian A",602,IF(Atletas!Q356="Bishou A",603,IF(Atletas!Q356="Shan A",604,IF(Atletas!Q356="Outra Arma Curta A",605,IF(Atletas!Q356="Dao B",606,IF(Atletas!Q356="Jian B",607,IF(Atletas!Q356="Bishou B",608,IF(Atletas!Q356="Shan B",609,IF(Atletas!Q356="Outra Arma Curta B",610,IF(Atletas!Q356="Dao C",611,IF(Atletas!Q356="Jian C",612,IF(Atletas!Q356="Bishou C",613,IF(Atletas!Q356="Shan C",614,IF(Atletas!Q356="Outra Arma Curta C",615,IF(Atletas!Q356="Dao D",616,IF(Atletas!Q356="Jian D",617,IF(Atletas!Q356="Bishou D",618,IF(Atletas!Q356="Shan D",619,IF(Atletas!Q356="Outra Arma Curta D",620,IF(Atletas!Q356="Dao E",621,IF(Atletas!Q356="Jian E",622,IF(Atletas!Q356="Bishou E",623,IF(Atletas!Q356="Shan E",624,IF(Atletas!Q356="Outra Arma Curta E",625,IF(Atletas!Q356="Dao F",626,IF(Atletas!Q356="Jian F",627,IF(Atletas!Q356="Bishou F",628,IF(Atletas!Q356="Shan F",629,IF(Atletas!Q356="Outra Arma Curta F",630, "")))))))))))))))))))))))))))))))</f>
        <v/>
      </c>
      <c r="BT360" s="52" t="str">
        <f>IF(Atletas!R356="","",IF(Atletas!W356&lt;&gt;"",10000,0)+IF(Atletas!B356="Feminino",1000,IF(Atletas!B356="Masculino",2000,""))+IF(Atletas!R356="Gun A",701,IF(Atletas!R356="Qiang A",702,IF(Atletas!R356="Pudao / Guandao A",703,IF(Atletas!R356="Outra Arma Longa A",704,IF(Atletas!R356="Gun B",705,IF(Atletas!R356="Qiang B",706,IF(Atletas!R356="Pudao / Guandao B",707,IF(Atletas!R356="Outra Arma Longa B",708,IF(Atletas!R356="Gun C",709,IF(Atletas!R356="Qiang C",710,IF(Atletas!R356="Pudao / Guandao C",711,IF(Atletas!R356="Outra Arma Longa C",712,IF(Atletas!R356="Gun D",713,IF(Atletas!R356="Qiang D",714,IF(Atletas!R356="Pudao / Guandao D",715,IF(Atletas!R356="Outra Arma Longa D",716,IF(Atletas!R356="Gun E",717,IF(Atletas!R356="Qiang E",718,IF(Atletas!R356="Pudao / Guandao E",719,IF(Atletas!R356="Outra Arma Longa E",720,IF(Atletas!R356="Gun F",721,IF(Atletas!R356="Qiang F",722,IF(Atletas!R356="Pudao / Guandao F",723,IF(Atletas!R356="Outra Arma Longa F",724,"")))))))))))))))))))))))))</f>
        <v/>
      </c>
      <c r="BU360" s="52" t="str">
        <f>IF(Atletas!S356="","",IF(Atletas!W356&lt;&gt;"",10000,0)+IF(Atletas!B356="Feminino",1000,IF(Atletas!B356="Masculino",2000,""))+IF(Atletas!S356="Arma Dupla A",801,IF(Atletas!S356="Arma Maleável A",802,IF(Atletas!S356="Arma Dupla B",803,IF(Atletas!S356="Arma Maleável B",804,IF(Atletas!S356="Arma Dupla C",805,IF(Atletas!S356="Arma Maleável C",806,IF(Atletas!S356="Arma Dupla D",807,IF(Atletas!S356="Arma Maleável D",808,IF(Atletas!S356="Arma Dupla E",809,IF(Atletas!S356="Arma Maleável E",810,IF(Atletas!S356="Arma Dupla F",811,IF(Atletas!S356="Arma Maleável F",812, "")))))))))))))</f>
        <v/>
      </c>
      <c r="BV360" s="52" t="str">
        <f>IF(Atletas!T356="","",IF(Atletas!W356&lt;&gt;"",10000,0)+IF(Atletas!B356="Feminino",1000,IF(Atletas!B356="Masculino",2000,""))+IF(Atletas!T356="Taijijian Yang A",901,IF(Atletas!T356="Taijijian Chen A",902,IF(Atletas!T356="Taijijian Sun A",903,IF(Atletas!T356="Taijijian Wu A",904,IF(Atletas!T356="Taijijian Wu-Hao A",905,IF(Atletas!T356="Taijijian 32 A",906,IF(Atletas!T356="Taijijian 42 A",907,IF(Atletas!T356="Taijijian Yang B",908,IF(Atletas!T356="Taijijian Chen B",909,IF(Atletas!T356="Taijijian Sun B",910,IF(Atletas!T356="Taijijian Wu B",911,IF(Atletas!T356="Taijijian Wu-Hao B",912,IF(Atletas!T356="Taijijian 32 B",913,IF(Atletas!T356="Taijijian 42 B",914,IF(Atletas!T356="Taijijian Yang C",915,IF(Atletas!T356="Taijijian Chen C",916,IF(Atletas!T356="Taijijian Sun C",917,IF(Atletas!T356="Taijijian Wu C",918,IF(Atletas!T356="Taijijian Wu-Hao C",919,IF(Atletas!T356="Taijijian 32 C",920,IF(Atletas!T356="Taijijian 42 C",921,IF(Atletas!T356="Taijijian Yang D",922,IF(Atletas!T356="Taijijian Chen D",923,IF(Atletas!T356="Taijijian Sun D",924,IF(Atletas!T356="Taijijian Wu D",925,IF(Atletas!T356="Taijijian Wu-Hao D",926,IF(Atletas!T356="Taijijian 32 D",927,IF(Atletas!T356="Taijijian 42 D",928,IF(Atletas!T356="Taijijian Yang E",929,IF(Atletas!T356="Taijijian Chen E",930,IF(Atletas!T356="Taijijian Sun E",931,IF(Atletas!T356="Taijijian Wu E",932,IF(Atletas!T356="Taijijian Wu-Hao E",933,IF(Atletas!T356="Taijijian 32 E",934,IF(Atletas!T356="Taijijian 42 E",935,IF(Atletas!T356="Taijijian Yang F",936,IF(Atletas!T356="Taijijian Chen F",937,IF(Atletas!T356="Taijijian Sun F",938,IF(Atletas!T356="Taijijian Wu F",939,IF(Atletas!T356="Taijijian Wu-Hao F",940,IF(Atletas!T356="Taijijian 32 F",941,IF(Atletas!T356="Taijijian 42 F",942,"")))))))))))))))))))))))))))))))))))))))))))</f>
        <v/>
      </c>
      <c r="BW360" s="52" t="str">
        <f>IF(Atletas!U356="","",IF(Atletas!W356&lt;&gt;"",10000,0)+IF(Atletas!B356="Feminino",1000,IF(Atletas!B356="Masculino",2000,""))+IF(Atletas!T356="Taijijian 42 F",942,IF(Atletas!U356="Taijidao A",943,IF(Atletas!U356="Taijishan A",944,IF(Atletas!U356="Taijiqiang A",945,IF(Atletas!U356="Taijidao B",946,IF(Atletas!U356="Taijishan B",947,IF(Atletas!U356="Taijiqiang B",948,IF(Atletas!U356="Taijidao C",949,IF(Atletas!U356="Taijishan C",950,IF(Atletas!U356="Taijiqiang C",951,IF(Atletas!U356="Taijidao D",952,IF(Atletas!U356="Taijishan D",953,IF(Atletas!U356="Taijiqiang D",954,IF(Atletas!U356="Taijidao E",955,IF(Atletas!U356="Taijishan E",956,IF(Atletas!U356="Taijiqiang E",957,IF(Atletas!U356="Taijidao F",958,IF(Atletas!U356="Taijishan F",959,IF(Atletas!U356="Taijiqiang F",960))))))))))))))))))))</f>
        <v/>
      </c>
      <c r="BX360" s="76"/>
      <c r="BY360" s="72"/>
      <c r="BZ360" s="72"/>
      <c r="CA360" s="72"/>
      <c r="CB360" s="72" t="str">
        <f>IF(CC360&lt;&gt;"","Taijijian Wu-Hao B","")</f>
        <v/>
      </c>
      <c r="CC360" s="64" t="str">
        <f>IF(COUNTIF(BK:BW,11912)&gt;0,COUNTIF(BK:BW,11912),"")</f>
        <v/>
      </c>
      <c r="CD360" s="64" t="str">
        <f>IF(CE360&lt;&gt;"","Taijijian Wu-Hao B","")</f>
        <v/>
      </c>
      <c r="CE360" s="64" t="str">
        <f>IF(COUNTIF(BK:BW,12912)&gt;0,COUNTIF(BK:BW,12912),"")</f>
        <v/>
      </c>
      <c r="CF360" s="52" t="str">
        <f xml:space="preserve"> IF(Atletas!V356="","",IF(Atletas!V356="Duilian de Mãos AB - Equipe 1",1,IF(Atletas!V356="Duilian de Mãos AB - Equipe 2",2,IF(Atletas!V356="Duilian de Armas AB - Equipe 1",3,IF(Atletas!V356="Duilian de Armas AB - Equipe 2",4,IF(Atletas!V356="Duilian de Tuishou - Equipe 1",5,IF(Atletas!V356="Duilian de Tuishou - Equipe 2",6,IF(Atletas!V356="Grupo Externo AB - Equipe 1",7,IF(Atletas!V356="Grupo Externo AB - Equipe 2",8,IF(Atletas!V356="Grupo Interno AB - Equipe 1",9,IF(Atletas!V356="Grupo Interno AB - Equipe 2",10,IF(Atletas!V356="Duilian de Mãos CD - Equipe 1",11,IF(Atletas!V356="Duilian de Mãos CD - Equipe 2",12,IF(Atletas!V356="Duilian de Armas CD - Equipe 1",13,IF(Atletas!V356="Duilian de Armas CD - Equipe 2",14,IF(Atletas!V356="Duilian de Tuishou - Equipe 1",15,IF(Atletas!V356="Duilian de Tuishou - Equipe 2",16,IF(Atletas!V356="Grupo Externo CDEF - Equipe 1",17,IF(Atletas!V356="Grupo Externo CDEF - Equipe 2",18,IF(Atletas!V356="Grupo Interno CDEF - Equipe 1",19,IF(Atletas!V356="Grupo Interno CDEF - Equipe 2",20,IF(Atletas!V356="Duilian de Mãos EF - Equipe 1",21,IF(Atletas!V356="Duilian de Mãos EF - Equipe 2",22,IF(Atletas!V356="Duilian de Armas EF - Equipe 1",23,IF(Atletas!V356="Duilian de Armas EF - Equipe 2",24,IF(Atletas!V356="Duilian de Tuishou - Equipe 1",25,IF(Atletas!V356="Duilian de Tuishou - Equipe 2",26,"")))))))))))))))))))))))))))</f>
        <v/>
      </c>
    </row>
    <row r="361" spans="36:84">
      <c r="AJ361" s="46" t="str">
        <f>IF(Atletas!D357="","",IF(Atletas!B357="Feminino",100,IF(Atletas!B357="Masculino",200,""))+(IF(Atletas!D357="Infantil 39kg",1,IF(Atletas!D357="Infantil 42kg",2,IF(Atletas!D357="Infantil 45kg",3,IF(Atletas!D357="Infantil 48kg",4,IF(Atletas!D357="Infantil 52kg",5,IF(Atletas!D357="Infantil 56kg",6,IF(Atletas!D357="Infantil 60kg",7,IF(Atletas!D357="Juvenil 48kg",8,IF(Atletas!D357="Juvenil 52kg",9,IF(Atletas!D357="Juvenil 56kg",10,IF(Atletas!D357="Juvenil 60kg",11,IF(Atletas!D357="Juvenil 65kg",12,IF(Atletas!D357="Juvenil 70kg",13,IF(Atletas!D357="Juvenil 75kg",14,IF(Atletas!D357="Juvenil 80kg",15,IF(Atletas!D357="Adulto 48kg",16,IF(Atletas!D357="Adulto 52kg",17,IF(Atletas!D357="Adulto 56kg",18,IF(Atletas!D357="Adulto 60kg",19,IF(Atletas!D357="Adulto 65kg",20,IF(Atletas!D357="Adulto 70kg",21,IF(Atletas!D357="Adulto 75kg",22,IF(Atletas!D357="Adulto 80kg",23,IF(Atletas!D357="Adulto 85kg",24,IF(Atletas!D357="Adulto 90kg",25,IF(Atletas!D357="Adulto +90kg",26,""))))))))))))))))))))))))))))</f>
        <v/>
      </c>
      <c r="AO361" s="10" t="str">
        <f>IF(Atletas!E357="","",IF(Atletas!B357="Feminino",100,IF(Atletas!B357="Masculino",200,""))+(IF(Atletas!E357="Juvenil 44kg",1,IF(Atletas!E357="Juvenil 48kg",2,IF(Atletas!E357="Juvenil 52kg",3,IF(Atletas!E357="Juvenil 56kg",4,IF(Atletas!E357="Juvenil 60kg",5,IF(Atletas!E357="Juvenil 65kg",6,IF(Atletas!E357="Juvenil 70kg",7,IF(Atletas!E357="Juvenil 75kg",8,IF(Atletas!E357="Juvenil 82kg",9,IF(Atletas!E357="Juvenil 90kg",10,IF(Atletas!E357="Juvenil 100kg",11,IF(Atletas!E357="Adulto 48kg",12,IF(Atletas!E357="Adulto 52kg",13,IF(Atletas!E357="Adulto 56kg",14,IF(Atletas!E357="Adulto 60kg",15,IF(Atletas!E357="Adulto 65kg",16,IF(Atletas!E357="Adulto 70kg",17,IF(Atletas!E357="Adulto 75kg",18,IF(Atletas!E357="Adulto 82kg",19,IF(Atletas!E357="Adulto 90kg",20,IF(Atletas!E357="Adulto 100kg",21,IF(Atletas!E357="Adulto +100kg",22,""))))))))))))))))))))))))</f>
        <v/>
      </c>
      <c r="AT361" s="10" t="str">
        <f>IF(Atletas!F357="","",IF(Atletas!B357="Feminino",100,IF(Atletas!B357="Masculino",200,""))+(IF(Atletas!F357="Adulto 48kg",1,IF(Atletas!F357="Adulto 56kg",2,IF(Atletas!F357="Adulto 65kg",3,IF(Atletas!F357="Adulto 75kg",4,IF(Atletas!F357="Adulto +75kg",5,IF(Atletas!F357="Adulto 52kg",6,IF(Atletas!F357="Adulto 60kg",7,IF(Atletas!F357="Adulto 70kg",8,IF(Atletas!F357="Adulto 80kg",9,IF(Atletas!F357="Adulto 90kg",10,IF(Atletas!F357="Adulto +90kg",11,"")))))))))))))</f>
        <v/>
      </c>
      <c r="AY361" s="46" t="str">
        <f>IF(Atletas!G357="","",IF(Atletas!B357="Feminino",100,IF(Atletas!B357="Masculino",200,""))+(IF(Atletas!G357="Changquan Mirim",1,IF(Atletas!G357="Nanquan Mirim",2,IF(Atletas!G357="Taijiquan Mirim",3,IF(Atletas!G357="Changquan Grupo C",4,IF(Atletas!G357="Nanquan Grupo C",5,IF(Atletas!G357="Taijiquan Grupo C",6,IF(Atletas!G357="Changquan Grupo B",7,IF(Atletas!G357="Nanquan Grupo B",8,IF(Atletas!G357="Taijiquan Grupo B",9,IF(Atletas!G357="Changquan Grupo A",10,IF(Atletas!G357="Nanquan Grupo A",11,IF(Atletas!G357="Taijiquan Grupo A",12,IF(Atletas!G357="Changquan Opcional",13,IF(Atletas!G357="Nanquan Opcional",14,IF(Atletas!G357="Taijiquan Opcional",15,IF(Atletas!G357="Changquan Adulto",16,IF(Atletas!G357="Nanquan Adulto",17,IF(Atletas!G357="Taijiquan Adulto",18,""))))))))))))))))))))</f>
        <v/>
      </c>
      <c r="AZ361" s="46" t="str">
        <f>IF(Atletas!H357="","",IF(Atletas!B357="Feminino",100,IF(Atletas!B357="Masculino",200,""))+(IF(Atletas!H357="Daoshu Mirim",19,IF(Atletas!H357="Jianshu Mirim",20,IF(Atletas!H357="Nandao Mirim",21,IF(Atletas!H357="Taijijian Mirim",22,IF(Atletas!H357="Daoshu Grupo C",23,IF(Atletas!H357="Jianshu Grupo C",24,IF(Atletas!H357="Nandao Grupo C",25,IF(Atletas!H357="Taijijian Grupo C",26,IF(Atletas!H357="Daoshu Grupo B",27,IF(Atletas!H357="Jianshu Grupo B",28,IF(Atletas!H357="Nandao Grupo B",29,IF(Atletas!H357="Taijijian Grupo B",30,IF(Atletas!H357="Daoshu Grupo A",31,IF(Atletas!H357="Jianshu Grupo A",32,IF(Atletas!H357="Nandao Grupo A",33,IF(Atletas!H357="Taijijian Grupo A",34,IF(Atletas!H357="Daoshu Opcional",35,IF(Atletas!H357="Jianshu Opcional",36,IF(Atletas!H357="Nandao Opcional",37,IF(Atletas!H357="Taijijian Opcional",38,IF(Atletas!H357="Daoshu Adulto",39,IF(Atletas!H357="Jianshu Adulto",40,IF(Atletas!H357="Nandao Adulto",41,IF(Atletas!H357="Taijijian Adulto",42,""))))))))))))))))))))))))))</f>
        <v/>
      </c>
      <c r="BA361" s="46" t="str">
        <f>IF(Atletas!I357="","",IF(Atletas!B357="Feminino",100,IF(Atletas!B357="Masculino",200,""))+(IF(Atletas!I357="Gunshu Mirim",43,IF(Atletas!I357="Qiangshu Mirim",44,IF(Atletas!I357="Nangun Mirim",45,IF(Atletas!I357="Gunshu Grupo C",46,IF(Atletas!I357="Qiangshu Grupo C",47,IF(Atletas!I357="Nangun Grupo C",48,IF(Atletas!I357="Gunshu Grupo B",49,IF(Atletas!I357="Qiangshu Grupo B",50,IF(Atletas!I357="Nangun Grupo B",51,IF(Atletas!I357="Gunshu Grupo A",52,IF(Atletas!I357="Qiangshu Grupo A",53,IF(Atletas!I357="Nangun Grupo A",54,IF(Atletas!I357="Gunshu Opcional",55,IF(Atletas!I357="Qiangshu Opcional",56,IF(Atletas!I357="Nangun Opcional",57,IF(Atletas!I357="Gunshu Adulto",58,IF(Atletas!I357="Qiangshu Adulto",59,IF(Atletas!I357="Nangun Adulto",60,""))))))))))))))))))))</f>
        <v/>
      </c>
      <c r="BF361" s="52" t="str">
        <f>IF(Atletas!J357="","",IF(Atletas!B357="Feminino",100,IF(Atletas!B357="Masculino",200,""))+(IF(Atletas!J357="Equipe 1 Grupo B",1,IF(Atletas!J357="Equipe 2 Grupo B",2,IF(Atletas!J357="Equipe 1 Grupo A",3,IF(Atletas!J357="Equipe 2 Grupo A",4,IF(Atletas!J357="Equipe 1 Adulto",5,IF(Atletas!J357="Equipe 2 Adulto",6,""))))))))</f>
        <v/>
      </c>
      <c r="BK361" s="52" t="str">
        <f>IF(Atletas!K357="","",IF(Atletas!W357&lt;&gt;"",10000,0)+(IF(Atletas!B357="Feminino",1000,IF(Atletas!B357="Masculino",2000,""))+IF(Atletas!K357="Choylayfut A",1,IF(Atletas!K357="Hunggar A",2,IF(Atletas!K357="Wuzuquan A",3,IF(Atletas!K357="Wingchun A",4,IF(Atletas!K357="Outra Mão de Sul A",5,IF(Atletas!K357="Choylayfut B",6,IF(Atletas!K357="Hunggar B",7,IF(Atletas!K357="Wuzuquan B",8,IF(Atletas!K357="Wingchun B",9,IF(Atletas!K357="Outra Mão de Sul B",10,IF(Atletas!K357="Choylayfut C",11,IF(Atletas!K357="Hunggar C",12,IF(Atletas!K357="Wuzuquan C",13,IF(Atletas!K357="Wingchun C",14,IF(Atletas!K357="Outra Mão de Sul C",15,IF(Atletas!K357="Choylayfut D",16,IF(Atletas!K357="Hunggar D",17,IF(Atletas!K357="Wuzuquan D",18,IF(Atletas!K357="Wingchun D",19,IF(Atletas!K357="Outra Mão de Sul D",20,IF(Atletas!K357="Choylayfut E",21,IF(Atletas!K357="Hunggar E",22,IF(Atletas!K357="Wuzuquan E",23,IF(Atletas!K357="Wingchun E",24,IF(Atletas!K357="Outra Mão de Sul E",25,IF(Atletas!K357="Choylayfut F",26,IF(Atletas!K357="Hunggar F",27,IF(Atletas!K357="Wuzuquan F",28,IF(Atletas!K357="Wingchun F",29,IF(Atletas!K357="Outra Mão de Sul F",30,""))))))))))))))))))))))))))))))))</f>
        <v/>
      </c>
      <c r="BL361" s="52" t="str">
        <f>IF(Atletas!L357="","",IF(Atletas!W357&lt;&gt;"",10000,0)+(IF(Atletas!B357="Feminino",1000,IF(Atletas!B357="Masculino",2000,""))+(IF(Atletas!L357="Chaquan A",101,IF(Atletas!L357="Emeiquan A",102,IF(Atletas!L357="Fanziquan A",103,IF(Atletas!L357="Huaquan A",104,IF(Atletas!L357="Hongquan A",105,IF(Atletas!L357="Paochui A",106,IF(Atletas!L357="Piguaquan A",107,IF(Atletas!L357="Shaolinquan A",108,IF(Atletas!L357="Tanglangquan A",109,IF(Atletas!L357="Yinzhaophai A",110,IF(Atletas!L357="Tongbeiquan A",111,IF(Atletas!L357="Wudangquan A",112,IF(Atletas!L357="Outros Estilos A",113,IF(Atletas!L357="Chaquan B",114,IF(Atletas!L357="Emeiquan B",115,IF(Atletas!L357="Fanziquan B",116,IF(Atletas!L357="Huaquan B",117,IF(Atletas!L357="Hongquan B",118,IF(Atletas!L357="Paochui B",119,IF(Atletas!L357="Piguaquan B",120,IF(Atletas!L357="Shaolinquan B",121,IF(Atletas!L357="Tanglangquan B",122,IF(Atletas!L357="Yinzhaophai B",123,IF(Atletas!L357="Tongbeiquan B",124,IF(Atletas!L357="Wudangquan B",125,IF(Atletas!L357="Outros Estilos B",126,IF(Atletas!L357="Chaquan C",127,IF(Atletas!L357="Emeiquan C",128,IF(Atletas!L357="Fanziquan C",129,IF(Atletas!L357="Huaquan C",130,IF(Atletas!L357="Hongquan C",131,IF(Atletas!L357="Paochui C",132,IF(Atletas!L357="Piguaquan C",133,IF(Atletas!L357="Shaolinquan C",134,IF(Atletas!L357="Tanglangquan C",135,IF(Atletas!L357="Yinzhaophai C",136,IF(Atletas!L357="Tongbeiquan C",137,IF(Atletas!L357="Wudangquan C",138,IF(Atletas!L357="Outros Estilos C",139,0))))))))))))))))))))))))))))))))))))))))))</f>
        <v/>
      </c>
      <c r="BM361" s="52" t="str">
        <f>IF(Atletas!L357="","",IF(Atletas!W357&lt;&gt;"",10000,0)+(IF(Atletas!B357="Feminino",1000,IF(Atletas!B357="Masculino",2000,""))+(IF(Atletas!L357="Chaquan D",140,IF(Atletas!L357="Emeiquan D",141,IF(Atletas!L357="Fanziquan D",142,IF(Atletas!L357="Huaquan D",143,IF(Atletas!L357="Hongquan D",144,IF(Atletas!L357="Paochui D",145,IF(Atletas!L357="Piguaquan D",146,IF(Atletas!L357="Shaolinquan D",147,IF(Atletas!L357="Tanglangquan D",148,IF(Atletas!L357="Yinzhaophai D",149,IF(Atletas!L357="Tongbeiquan D",150,IF(Atletas!L357="Wudangquan D",151,IF(Atletas!L357="Outros Estilos D",152,IF(Atletas!L357="Chaquan E",153,IF(Atletas!L357="Emeiquan E",154,IF(Atletas!L357="Fanziquan E",155,IF(Atletas!L357="Huaquan E",156,IF(Atletas!L357="Hongquan E",157,IF(Atletas!L357="Paochui E",158,IF(Atletas!L357="Piguaquan E",159,IF(Atletas!L357="Shaolinquan E",160,IF(Atletas!L357="Tanglangquan E",161,IF(Atletas!L357="Yinzhaophai E",162,IF(Atletas!L357="Tongbeiquan E",163,IF(Atletas!L357="Wudangquan E",164,IF(Atletas!L357="Outros Estilos E",165,IF(Atletas!L357="Chaquan F",166,IF(Atletas!L357="Emeiquan F",167,IF(Atletas!L357="Fanziquan F",168,IF(Atletas!L357="Huaquan F",169,IF(Atletas!L357="Hongquan F",170,IF(Atletas!L357="Paochui F",171,IF(Atletas!L357="Piguaquan F",172,IF(Atletas!L357="Shaolinquan F",173,IF(Atletas!L357="Tanglangquan F",174,IF(Atletas!L357="Yinzhaophai F",175,IF(Atletas!L357="Tongbeiquan F",176,IF(Atletas!L357="Wudangquan F",177,IF(Atletas!L357="Outros Estilos F",178,0))))))))))))))))))))))))))))))))))))))))))</f>
        <v/>
      </c>
      <c r="BN361" s="52" t="str">
        <f>IF(Atletas!M357="","",IF(Atletas!W357&lt;&gt;"",10000,0)+(IF(Atletas!B357="Feminino",1000,IF(Atletas!B357="Masculino",2000,""))+(IF(Atletas!M357="Ditangquan A",201,IF(Atletas!M357="Houquan A",202,IF(Atletas!M357="Zuiquan A",203,IF(Atletas!M357="Ditangquan B",204,IF(Atletas!M357="Houquan B",205,IF(Atletas!M357="Zuiquan B",206,IF(Atletas!M357="Ditangquan C",207,IF(Atletas!M357="Houquan C",208,IF(Atletas!M357="Zuiquan C",209,IF(Atletas!M357="Ditangquan D",210,IF(Atletas!M357="Houquan D",211,IF(Atletas!M357="Zuiquan D",212,IF(Atletas!M357="Ditangquan E",213,IF(Atletas!M357="Houquan E",214,IF(Atletas!M357="Zuiquan E",215,IF(Atletas!M357="Ditangquan F",216,IF(Atletas!M357="Houquan F",217,IF(Atletas!M357="Zuiquan F",218,"")))))))))))))))))))))</f>
        <v/>
      </c>
      <c r="BO361" s="52" t="str">
        <f>IF(Atletas!N357="","",IF(Atletas!W357&lt;&gt;"",10000,0)+IF(Atletas!B357="Feminino",1000,IF(Atletas!B357="Masculino",2000,""))+IF(Atletas!N357="Yang A",301,IF(Atletas!N357="Chen A",30,IF(Atletas!N357="Sun A",303,IF(Atletas!N357="Wu A",304,IF(Atletas!N357="Wu-Hao A",305,IF(Atletas!N357="Outro Taijiquan A",306,IF(Atletas!N357="Yang B",307,IF(Atletas!N357="Chen B",308,IF(Atletas!N357="Sun B",309,IF(Atletas!N357="Wu B",310,IF(Atletas!N357="Wu-Hao B",311,IF(Atletas!N357="Outro Taijiquan B",312,IF(Atletas!N357="Yang C",313,IF(Atletas!N357="Chen C",314,IF(Atletas!N357="Sun C",315,IF(Atletas!N357="Wu C",316,IF(Atletas!N357="Wu-Hao C",317,IF(Atletas!N357="Outro Taijiquan C",318,IF(Atletas!N357="Yang D",319,IF(Atletas!N357="Chen D",320,IF(Atletas!N357="Sun D",321,IF(Atletas!N357="Wu D",322,IF(Atletas!N357="Wu-Hao D",323,IF(Atletas!N357="Outro Taijiquan D",324,IF(Atletas!N357="Yang E",325,IF(Atletas!N357="Chen E",326,IF(Atletas!N357="Sun E",327,IF(Atletas!N357="Wu E",328,IF(Atletas!N357="Wu-Hao E",329,IF(Atletas!N357="Outro Taijiquan E",330,IF(Atletas!N357="Yang F",331,IF(Atletas!N357="Chen F",332,IF(Atletas!N357="Sun F",333,IF(Atletas!N357="Wu F",334,IF(Atletas!N357="Wu-Hao F",335,IF(Atletas!N357="Outro Taijiquan F",336,"")))))))))))))))))))))))))))))))))))))</f>
        <v/>
      </c>
      <c r="BP361" s="52" t="str">
        <f>IF(Atletas!O357="","",IF(Atletas!W357&lt;&gt;"",10000,0)+IF(Atletas!B357="Feminino",1000,IF(Atletas!B357="Masculino",2000,""))+IF(OR(Atletas!O357="Yang 26 A",Atletas!O357="Yang 40 A"),401,IF(OR(Atletas!O357="Chen 25 A",Atletas!O357="Chen 36 A",Atletas!O357="Chen 56 A"),402,IF(Atletas!O357="Sun 73 A",403,IF(Atletas!O357="Wu 45 A",404,IF(Atletas!O357="Wu-Hao 46 A",405,IF(OR(Atletas!O357="Taijiquan 16 A",Atletas!O357="Taijiquan 24 A",Atletas!O357="Taijiquan 32 A",Atletas!O357="Taijiquan 42 A"),406,IF(OR(Atletas!O357="Yang 26 B",Atletas!O357="Yang 40 B"),407,IF(OR(Atletas!O357="Chen 25 B",Atletas!O357="Chen 36 B",Atletas!O357="Chen 56 B"),408,IF(Atletas!O357="Sun 73 B",409,IF(Atletas!O357="Wu 45 B",410,IF(Atletas!O357="Wu-Hao 46 B",411,IF(OR(Atletas!O357="Taijiquan 16 B",Atletas!O357="Taijiquan 24 B",Atletas!O357="Taijiquan 32 B",Atletas!O357="Taijiquan 42 B"),412,IF(OR(Atletas!O357="Yang 26 C",Atletas!O357="Yang 40 C"),413,IF(OR(Atletas!O357="Chen 25 C",Atletas!O357="Chen 36 C",Atletas!O357="Chen 56 C"),414,IF(Atletas!O357="Sun 73 C",415,IF(Atletas!O357="Wu 45 C",416,IF(Atletas!O357="Wu-Hao 46 C",417,IF(OR(Atletas!O357="Taijiquan 16 C",Atletas!O357="Taijiquan 24 C",Atletas!O357="Taijiquan 32 C",Atletas!O357="Taijiquan 42 C"),418,0)))))))))))))))))))</f>
        <v/>
      </c>
      <c r="BQ361" s="52" t="str">
        <f>IF(Atletas!O357="","",IF(Atletas!W357&lt;&gt;"",10000,0)+IF(Atletas!B357="Feminino",1000,IF(Atletas!B357="Masculino",2000,""))+IF(OR(Atletas!O357="Yang 26 D",Atletas!O357="Yang 40 D"),419,IF(OR(Atletas!O357="Chen 25 D",Atletas!O357="Chen 36 D",Atletas!O357="Chen 56 D"),420,IF(Atletas!O357="Sun 73 D",421,IF(Atletas!O357="Wu 45 D",422,IF(Atletas!O357="Wu-Hao 46 D",423,IF(OR(Atletas!O357="Taijiquan 16 D",Atletas!O357="Taijiquan 24 D",Atletas!O357="Taijiquan 32 D",Atletas!O357="Taijiquan 42 D"),424,IF(OR(Atletas!O357="Yang 26 E",Atletas!O357="Yang 40 E"),425,IF(OR(Atletas!O357="Chen 25 E",Atletas!O357="Chen 36 E",Atletas!O357="Chen 56 E"),426,IF(Atletas!O357="Sun 73 E",427,IF(Atletas!O357="Wu 45 E",428,IF(Atletas!O357="Wu-Hao 46 E",429,IF(OR(Atletas!O357="Taijiquan 16 E",Atletas!O357="Taijiquan 24 E",Atletas!O357="Taijiquan 32 E",Atletas!O357="Taijiquan 42 E"),430,IF(OR(Atletas!O357="Yang 26 F",Atletas!O357="Yang 40 F"),431,IF(OR(Atletas!O357="Chen 25 F",Atletas!O357="Chen 36 F",Atletas!O357="Chen 56 F"),432,IF(Atletas!O357="Sun 73 F",433,IF(Atletas!O357="Wu 45 F",434,IF(Atletas!O357="Wu-Hao 46 F",435,IF(OR(Atletas!O357="Taijiquan 16 F",Atletas!O357="Taijiquan 24 F",Atletas!O357="Taijiquan 32 F",Atletas!O357="Taijiquan 42 F"),436,0)))))))))))))))))))</f>
        <v/>
      </c>
      <c r="BR361" s="52" t="str">
        <f>IF(Atletas!P357="","",IF(Atletas!W357&lt;&gt;"",10000,0)+IF(Atletas!B357="Feminino",1000,IF(Atletas!B357="Masculino",2000,""))+IF(Atletas!P357="Xingyiquan A",501,IF(Atletas!P357="Baguazhang A",502,IF(Atletas!P357="Outro Estilo Interno A",503,IF(Atletas!P357="Xingyiquan B",504,IF(Atletas!P357="Baguazhang B",505,IF(Atletas!P357="Outro Estilo Interno B",506,IF(Atletas!P357="Xingyiquan C",507,IF(Atletas!P357="Baguazhang C",508,IF(Atletas!P357="Outro Estilo Interno C",509,IF(Atletas!P357="Xingyiquan D",510,IF(Atletas!P357="Baguazhang D",511,IF(Atletas!P357="Outro Estilo Interno D",512,IF(Atletas!P357="Xingyiquan E",513,IF(Atletas!P357="Baguazhang E",514,IF(Atletas!P357="Outro Estilo Interno E",515,IF(Atletas!P357="Xingyiquan F",516,IF(Atletas!P357="Baguazhang F",517,IF(Atletas!P357="Outro Estilo Interno F",518, "")))))))))))))))))))</f>
        <v/>
      </c>
      <c r="BS361" s="52" t="str">
        <f>IF(Atletas!Q357="","",IF(Atletas!W357&lt;&gt;"",10000,0)+IF(Atletas!B357="Feminino",1000,IF(Atletas!B357="Masculino",2000,""))+IF(Atletas!Q357="Dao A",601,IF(Atletas!Q357="Jian A",602,IF(Atletas!Q357="Bishou A",603,IF(Atletas!Q357="Shan A",604,IF(Atletas!Q357="Outra Arma Curta A",605,IF(Atletas!Q357="Dao B",606,IF(Atletas!Q357="Jian B",607,IF(Atletas!Q357="Bishou B",608,IF(Atletas!Q357="Shan B",609,IF(Atletas!Q357="Outra Arma Curta B",610,IF(Atletas!Q357="Dao C",611,IF(Atletas!Q357="Jian C",612,IF(Atletas!Q357="Bishou C",613,IF(Atletas!Q357="Shan C",614,IF(Atletas!Q357="Outra Arma Curta C",615,IF(Atletas!Q357="Dao D",616,IF(Atletas!Q357="Jian D",617,IF(Atletas!Q357="Bishou D",618,IF(Atletas!Q357="Shan D",619,IF(Atletas!Q357="Outra Arma Curta D",620,IF(Atletas!Q357="Dao E",621,IF(Atletas!Q357="Jian E",622,IF(Atletas!Q357="Bishou E",623,IF(Atletas!Q357="Shan E",624,IF(Atletas!Q357="Outra Arma Curta E",625,IF(Atletas!Q357="Dao F",626,IF(Atletas!Q357="Jian F",627,IF(Atletas!Q357="Bishou F",628,IF(Atletas!Q357="Shan F",629,IF(Atletas!Q357="Outra Arma Curta F",630, "")))))))))))))))))))))))))))))))</f>
        <v/>
      </c>
      <c r="BT361" s="52" t="str">
        <f>IF(Atletas!R357="","",IF(Atletas!W357&lt;&gt;"",10000,0)+IF(Atletas!B357="Feminino",1000,IF(Atletas!B357="Masculino",2000,""))+IF(Atletas!R357="Gun A",701,IF(Atletas!R357="Qiang A",702,IF(Atletas!R357="Pudao / Guandao A",703,IF(Atletas!R357="Outra Arma Longa A",704,IF(Atletas!R357="Gun B",705,IF(Atletas!R357="Qiang B",706,IF(Atletas!R357="Pudao / Guandao B",707,IF(Atletas!R357="Outra Arma Longa B",708,IF(Atletas!R357="Gun C",709,IF(Atletas!R357="Qiang C",710,IF(Atletas!R357="Pudao / Guandao C",711,IF(Atletas!R357="Outra Arma Longa C",712,IF(Atletas!R357="Gun D",713,IF(Atletas!R357="Qiang D",714,IF(Atletas!R357="Pudao / Guandao D",715,IF(Atletas!R357="Outra Arma Longa D",716,IF(Atletas!R357="Gun E",717,IF(Atletas!R357="Qiang E",718,IF(Atletas!R357="Pudao / Guandao E",719,IF(Atletas!R357="Outra Arma Longa E",720,IF(Atletas!R357="Gun F",721,IF(Atletas!R357="Qiang F",722,IF(Atletas!R357="Pudao / Guandao F",723,IF(Atletas!R357="Outra Arma Longa F",724,"")))))))))))))))))))))))))</f>
        <v/>
      </c>
      <c r="BU361" s="52" t="str">
        <f>IF(Atletas!S357="","",IF(Atletas!W357&lt;&gt;"",10000,0)+IF(Atletas!B357="Feminino",1000,IF(Atletas!B357="Masculino",2000,""))+IF(Atletas!S357="Arma Dupla A",801,IF(Atletas!S357="Arma Maleável A",802,IF(Atletas!S357="Arma Dupla B",803,IF(Atletas!S357="Arma Maleável B",804,IF(Atletas!S357="Arma Dupla C",805,IF(Atletas!S357="Arma Maleável C",806,IF(Atletas!S357="Arma Dupla D",807,IF(Atletas!S357="Arma Maleável D",808,IF(Atletas!S357="Arma Dupla E",809,IF(Atletas!S357="Arma Maleável E",810,IF(Atletas!S357="Arma Dupla F",811,IF(Atletas!S357="Arma Maleável F",812, "")))))))))))))</f>
        <v/>
      </c>
      <c r="BV361" s="52" t="str">
        <f>IF(Atletas!T357="","",IF(Atletas!W357&lt;&gt;"",10000,0)+IF(Atletas!B357="Feminino",1000,IF(Atletas!B357="Masculino",2000,""))+IF(Atletas!T357="Taijijian Yang A",901,IF(Atletas!T357="Taijijian Chen A",902,IF(Atletas!T357="Taijijian Sun A",903,IF(Atletas!T357="Taijijian Wu A",904,IF(Atletas!T357="Taijijian Wu-Hao A",905,IF(Atletas!T357="Taijijian 32 A",906,IF(Atletas!T357="Taijijian 42 A",907,IF(Atletas!T357="Taijijian Yang B",908,IF(Atletas!T357="Taijijian Chen B",909,IF(Atletas!T357="Taijijian Sun B",910,IF(Atletas!T357="Taijijian Wu B",911,IF(Atletas!T357="Taijijian Wu-Hao B",912,IF(Atletas!T357="Taijijian 32 B",913,IF(Atletas!T357="Taijijian 42 B",914,IF(Atletas!T357="Taijijian Yang C",915,IF(Atletas!T357="Taijijian Chen C",916,IF(Atletas!T357="Taijijian Sun C",917,IF(Atletas!T357="Taijijian Wu C",918,IF(Atletas!T357="Taijijian Wu-Hao C",919,IF(Atletas!T357="Taijijian 32 C",920,IF(Atletas!T357="Taijijian 42 C",921,IF(Atletas!T357="Taijijian Yang D",922,IF(Atletas!T357="Taijijian Chen D",923,IF(Atletas!T357="Taijijian Sun D",924,IF(Atletas!T357="Taijijian Wu D",925,IF(Atletas!T357="Taijijian Wu-Hao D",926,IF(Atletas!T357="Taijijian 32 D",927,IF(Atletas!T357="Taijijian 42 D",928,IF(Atletas!T357="Taijijian Yang E",929,IF(Atletas!T357="Taijijian Chen E",930,IF(Atletas!T357="Taijijian Sun E",931,IF(Atletas!T357="Taijijian Wu E",932,IF(Atletas!T357="Taijijian Wu-Hao E",933,IF(Atletas!T357="Taijijian 32 E",934,IF(Atletas!T357="Taijijian 42 E",935,IF(Atletas!T357="Taijijian Yang F",936,IF(Atletas!T357="Taijijian Chen F",937,IF(Atletas!T357="Taijijian Sun F",938,IF(Atletas!T357="Taijijian Wu F",939,IF(Atletas!T357="Taijijian Wu-Hao F",940,IF(Atletas!T357="Taijijian 32 F",941,IF(Atletas!T357="Taijijian 42 F",942,"")))))))))))))))))))))))))))))))))))))))))))</f>
        <v/>
      </c>
      <c r="BW361" s="52" t="str">
        <f>IF(Atletas!U357="","",IF(Atletas!W357&lt;&gt;"",10000,0)+IF(Atletas!B357="Feminino",1000,IF(Atletas!B357="Masculino",2000,""))+IF(Atletas!T357="Taijijian 42 F",942,IF(Atletas!U357="Taijidao A",943,IF(Atletas!U357="Taijishan A",944,IF(Atletas!U357="Taijiqiang A",945,IF(Atletas!U357="Taijidao B",946,IF(Atletas!U357="Taijishan B",947,IF(Atletas!U357="Taijiqiang B",948,IF(Atletas!U357="Taijidao C",949,IF(Atletas!U357="Taijishan C",950,IF(Atletas!U357="Taijiqiang C",951,IF(Atletas!U357="Taijidao D",952,IF(Atletas!U357="Taijishan D",953,IF(Atletas!U357="Taijiqiang D",954,IF(Atletas!U357="Taijidao E",955,IF(Atletas!U357="Taijishan E",956,IF(Atletas!U357="Taijiqiang E",957,IF(Atletas!U357="Taijidao F",958,IF(Atletas!U357="Taijishan F",959,IF(Atletas!U357="Taijiqiang F",960))))))))))))))))))))</f>
        <v/>
      </c>
      <c r="BX361" s="72"/>
      <c r="BY361" s="72"/>
      <c r="BZ361" s="72"/>
      <c r="CA361" s="72"/>
      <c r="CB361" s="72"/>
      <c r="CC361" s="64" t="str">
        <f>IF(COUNTIF(BK:BW,11913)&gt;0,COUNTIF(BK:BW,11913),"")</f>
        <v/>
      </c>
      <c r="CD361" s="64" t="str">
        <f>IF(CE361&lt;&gt;"","Taijijian 32 B","")</f>
        <v/>
      </c>
      <c r="CE361" s="64" t="str">
        <f>IF(COUNTIF(BK:BW,12913)&gt;0,COUNTIF(BK:BW,12913),"")</f>
        <v/>
      </c>
      <c r="CF361" s="52" t="str">
        <f xml:space="preserve"> IF(Atletas!V357="","",IF(Atletas!V357="Duilian de Mãos AB - Equipe 1",1,IF(Atletas!V357="Duilian de Mãos AB - Equipe 2",2,IF(Atletas!V357="Duilian de Armas AB - Equipe 1",3,IF(Atletas!V357="Duilian de Armas AB - Equipe 2",4,IF(Atletas!V357="Duilian de Tuishou - Equipe 1",5,IF(Atletas!V357="Duilian de Tuishou - Equipe 2",6,IF(Atletas!V357="Grupo Externo AB - Equipe 1",7,IF(Atletas!V357="Grupo Externo AB - Equipe 2",8,IF(Atletas!V357="Grupo Interno AB - Equipe 1",9,IF(Atletas!V357="Grupo Interno AB - Equipe 2",10,IF(Atletas!V357="Duilian de Mãos CD - Equipe 1",11,IF(Atletas!V357="Duilian de Mãos CD - Equipe 2",12,IF(Atletas!V357="Duilian de Armas CD - Equipe 1",13,IF(Atletas!V357="Duilian de Armas CD - Equipe 2",14,IF(Atletas!V357="Duilian de Tuishou - Equipe 1",15,IF(Atletas!V357="Duilian de Tuishou - Equipe 2",16,IF(Atletas!V357="Grupo Externo CDEF - Equipe 1",17,IF(Atletas!V357="Grupo Externo CDEF - Equipe 2",18,IF(Atletas!V357="Grupo Interno CDEF - Equipe 1",19,IF(Atletas!V357="Grupo Interno CDEF - Equipe 2",20,IF(Atletas!V357="Duilian de Mãos EF - Equipe 1",21,IF(Atletas!V357="Duilian de Mãos EF - Equipe 2",22,IF(Atletas!V357="Duilian de Armas EF - Equipe 1",23,IF(Atletas!V357="Duilian de Armas EF - Equipe 2",24,IF(Atletas!V357="Duilian de Tuishou - Equipe 1",25,IF(Atletas!V357="Duilian de Tuishou - Equipe 2",26,"")))))))))))))))))))))))))))</f>
        <v/>
      </c>
    </row>
    <row r="362" spans="36:84">
      <c r="AJ362" s="46" t="str">
        <f>IF(Atletas!D358="","",IF(Atletas!B358="Feminino",100,IF(Atletas!B358="Masculino",200,""))+(IF(Atletas!D358="Infantil 39kg",1,IF(Atletas!D358="Infantil 42kg",2,IF(Atletas!D358="Infantil 45kg",3,IF(Atletas!D358="Infantil 48kg",4,IF(Atletas!D358="Infantil 52kg",5,IF(Atletas!D358="Infantil 56kg",6,IF(Atletas!D358="Infantil 60kg",7,IF(Atletas!D358="Juvenil 48kg",8,IF(Atletas!D358="Juvenil 52kg",9,IF(Atletas!D358="Juvenil 56kg",10,IF(Atletas!D358="Juvenil 60kg",11,IF(Atletas!D358="Juvenil 65kg",12,IF(Atletas!D358="Juvenil 70kg",13,IF(Atletas!D358="Juvenil 75kg",14,IF(Atletas!D358="Juvenil 80kg",15,IF(Atletas!D358="Adulto 48kg",16,IF(Atletas!D358="Adulto 52kg",17,IF(Atletas!D358="Adulto 56kg",18,IF(Atletas!D358="Adulto 60kg",19,IF(Atletas!D358="Adulto 65kg",20,IF(Atletas!D358="Adulto 70kg",21,IF(Atletas!D358="Adulto 75kg",22,IF(Atletas!D358="Adulto 80kg",23,IF(Atletas!D358="Adulto 85kg",24,IF(Atletas!D358="Adulto 90kg",25,IF(Atletas!D358="Adulto +90kg",26,""))))))))))))))))))))))))))))</f>
        <v/>
      </c>
      <c r="AO362" s="10" t="str">
        <f>IF(Atletas!E358="","",IF(Atletas!B358="Feminino",100,IF(Atletas!B358="Masculino",200,""))+(IF(Atletas!E358="Juvenil 44kg",1,IF(Atletas!E358="Juvenil 48kg",2,IF(Atletas!E358="Juvenil 52kg",3,IF(Atletas!E358="Juvenil 56kg",4,IF(Atletas!E358="Juvenil 60kg",5,IF(Atletas!E358="Juvenil 65kg",6,IF(Atletas!E358="Juvenil 70kg",7,IF(Atletas!E358="Juvenil 75kg",8,IF(Atletas!E358="Juvenil 82kg",9,IF(Atletas!E358="Juvenil 90kg",10,IF(Atletas!E358="Juvenil 100kg",11,IF(Atletas!E358="Adulto 48kg",12,IF(Atletas!E358="Adulto 52kg",13,IF(Atletas!E358="Adulto 56kg",14,IF(Atletas!E358="Adulto 60kg",15,IF(Atletas!E358="Adulto 65kg",16,IF(Atletas!E358="Adulto 70kg",17,IF(Atletas!E358="Adulto 75kg",18,IF(Atletas!E358="Adulto 82kg",19,IF(Atletas!E358="Adulto 90kg",20,IF(Atletas!E358="Adulto 100kg",21,IF(Atletas!E358="Adulto +100kg",22,""))))))))))))))))))))))))</f>
        <v/>
      </c>
      <c r="AT362" s="10" t="str">
        <f>IF(Atletas!F358="","",IF(Atletas!B358="Feminino",100,IF(Atletas!B358="Masculino",200,""))+(IF(Atletas!F358="Adulto 48kg",1,IF(Atletas!F358="Adulto 56kg",2,IF(Atletas!F358="Adulto 65kg",3,IF(Atletas!F358="Adulto 75kg",4,IF(Atletas!F358="Adulto +75kg",5,IF(Atletas!F358="Adulto 52kg",6,IF(Atletas!F358="Adulto 60kg",7,IF(Atletas!F358="Adulto 70kg",8,IF(Atletas!F358="Adulto 80kg",9,IF(Atletas!F358="Adulto 90kg",10,IF(Atletas!F358="Adulto +90kg",11,"")))))))))))))</f>
        <v/>
      </c>
      <c r="AY362" s="46" t="str">
        <f>IF(Atletas!G358="","",IF(Atletas!B358="Feminino",100,IF(Atletas!B358="Masculino",200,""))+(IF(Atletas!G358="Changquan Mirim",1,IF(Atletas!G358="Nanquan Mirim",2,IF(Atletas!G358="Taijiquan Mirim",3,IF(Atletas!G358="Changquan Grupo C",4,IF(Atletas!G358="Nanquan Grupo C",5,IF(Atletas!G358="Taijiquan Grupo C",6,IF(Atletas!G358="Changquan Grupo B",7,IF(Atletas!G358="Nanquan Grupo B",8,IF(Atletas!G358="Taijiquan Grupo B",9,IF(Atletas!G358="Changquan Grupo A",10,IF(Atletas!G358="Nanquan Grupo A",11,IF(Atletas!G358="Taijiquan Grupo A",12,IF(Atletas!G358="Changquan Opcional",13,IF(Atletas!G358="Nanquan Opcional",14,IF(Atletas!G358="Taijiquan Opcional",15,IF(Atletas!G358="Changquan Adulto",16,IF(Atletas!G358="Nanquan Adulto",17,IF(Atletas!G358="Taijiquan Adulto",18,""))))))))))))))))))))</f>
        <v/>
      </c>
      <c r="AZ362" s="46" t="str">
        <f>IF(Atletas!H358="","",IF(Atletas!B358="Feminino",100,IF(Atletas!B358="Masculino",200,""))+(IF(Atletas!H358="Daoshu Mirim",19,IF(Atletas!H358="Jianshu Mirim",20,IF(Atletas!H358="Nandao Mirim",21,IF(Atletas!H358="Taijijian Mirim",22,IF(Atletas!H358="Daoshu Grupo C",23,IF(Atletas!H358="Jianshu Grupo C",24,IF(Atletas!H358="Nandao Grupo C",25,IF(Atletas!H358="Taijijian Grupo C",26,IF(Atletas!H358="Daoshu Grupo B",27,IF(Atletas!H358="Jianshu Grupo B",28,IF(Atletas!H358="Nandao Grupo B",29,IF(Atletas!H358="Taijijian Grupo B",30,IF(Atletas!H358="Daoshu Grupo A",31,IF(Atletas!H358="Jianshu Grupo A",32,IF(Atletas!H358="Nandao Grupo A",33,IF(Atletas!H358="Taijijian Grupo A",34,IF(Atletas!H358="Daoshu Opcional",35,IF(Atletas!H358="Jianshu Opcional",36,IF(Atletas!H358="Nandao Opcional",37,IF(Atletas!H358="Taijijian Opcional",38,IF(Atletas!H358="Daoshu Adulto",39,IF(Atletas!H358="Jianshu Adulto",40,IF(Atletas!H358="Nandao Adulto",41,IF(Atletas!H358="Taijijian Adulto",42,""))))))))))))))))))))))))))</f>
        <v/>
      </c>
      <c r="BA362" s="46" t="str">
        <f>IF(Atletas!I358="","",IF(Atletas!B358="Feminino",100,IF(Atletas!B358="Masculino",200,""))+(IF(Atletas!I358="Gunshu Mirim",43,IF(Atletas!I358="Qiangshu Mirim",44,IF(Atletas!I358="Nangun Mirim",45,IF(Atletas!I358="Gunshu Grupo C",46,IF(Atletas!I358="Qiangshu Grupo C",47,IF(Atletas!I358="Nangun Grupo C",48,IF(Atletas!I358="Gunshu Grupo B",49,IF(Atletas!I358="Qiangshu Grupo B",50,IF(Atletas!I358="Nangun Grupo B",51,IF(Atletas!I358="Gunshu Grupo A",52,IF(Atletas!I358="Qiangshu Grupo A",53,IF(Atletas!I358="Nangun Grupo A",54,IF(Atletas!I358="Gunshu Opcional",55,IF(Atletas!I358="Qiangshu Opcional",56,IF(Atletas!I358="Nangun Opcional",57,IF(Atletas!I358="Gunshu Adulto",58,IF(Atletas!I358="Qiangshu Adulto",59,IF(Atletas!I358="Nangun Adulto",60,""))))))))))))))))))))</f>
        <v/>
      </c>
      <c r="BF362" s="52" t="str">
        <f>IF(Atletas!J358="","",IF(Atletas!B358="Feminino",100,IF(Atletas!B358="Masculino",200,""))+(IF(Atletas!J358="Equipe 1 Grupo B",1,IF(Atletas!J358="Equipe 2 Grupo B",2,IF(Atletas!J358="Equipe 1 Grupo A",3,IF(Atletas!J358="Equipe 2 Grupo A",4,IF(Atletas!J358="Equipe 1 Adulto",5,IF(Atletas!J358="Equipe 2 Adulto",6,""))))))))</f>
        <v/>
      </c>
      <c r="BK362" s="52" t="str">
        <f>IF(Atletas!K358="","",IF(Atletas!W358&lt;&gt;"",10000,0)+(IF(Atletas!B358="Feminino",1000,IF(Atletas!B358="Masculino",2000,""))+IF(Atletas!K358="Choylayfut A",1,IF(Atletas!K358="Hunggar A",2,IF(Atletas!K358="Wuzuquan A",3,IF(Atletas!K358="Wingchun A",4,IF(Atletas!K358="Outra Mão de Sul A",5,IF(Atletas!K358="Choylayfut B",6,IF(Atletas!K358="Hunggar B",7,IF(Atletas!K358="Wuzuquan B",8,IF(Atletas!K358="Wingchun B",9,IF(Atletas!K358="Outra Mão de Sul B",10,IF(Atletas!K358="Choylayfut C",11,IF(Atletas!K358="Hunggar C",12,IF(Atletas!K358="Wuzuquan C",13,IF(Atletas!K358="Wingchun C",14,IF(Atletas!K358="Outra Mão de Sul C",15,IF(Atletas!K358="Choylayfut D",16,IF(Atletas!K358="Hunggar D",17,IF(Atletas!K358="Wuzuquan D",18,IF(Atletas!K358="Wingchun D",19,IF(Atletas!K358="Outra Mão de Sul D",20,IF(Atletas!K358="Choylayfut E",21,IF(Atletas!K358="Hunggar E",22,IF(Atletas!K358="Wuzuquan E",23,IF(Atletas!K358="Wingchun E",24,IF(Atletas!K358="Outra Mão de Sul E",25,IF(Atletas!K358="Choylayfut F",26,IF(Atletas!K358="Hunggar F",27,IF(Atletas!K358="Wuzuquan F",28,IF(Atletas!K358="Wingchun F",29,IF(Atletas!K358="Outra Mão de Sul F",30,""))))))))))))))))))))))))))))))))</f>
        <v/>
      </c>
      <c r="BL362" s="52" t="str">
        <f>IF(Atletas!L358="","",IF(Atletas!W358&lt;&gt;"",10000,0)+(IF(Atletas!B358="Feminino",1000,IF(Atletas!B358="Masculino",2000,""))+(IF(Atletas!L358="Chaquan A",101,IF(Atletas!L358="Emeiquan A",102,IF(Atletas!L358="Fanziquan A",103,IF(Atletas!L358="Huaquan A",104,IF(Atletas!L358="Hongquan A",105,IF(Atletas!L358="Paochui A",106,IF(Atletas!L358="Piguaquan A",107,IF(Atletas!L358="Shaolinquan A",108,IF(Atletas!L358="Tanglangquan A",109,IF(Atletas!L358="Yinzhaophai A",110,IF(Atletas!L358="Tongbeiquan A",111,IF(Atletas!L358="Wudangquan A",112,IF(Atletas!L358="Outros Estilos A",113,IF(Atletas!L358="Chaquan B",114,IF(Atletas!L358="Emeiquan B",115,IF(Atletas!L358="Fanziquan B",116,IF(Atletas!L358="Huaquan B",117,IF(Atletas!L358="Hongquan B",118,IF(Atletas!L358="Paochui B",119,IF(Atletas!L358="Piguaquan B",120,IF(Atletas!L358="Shaolinquan B",121,IF(Atletas!L358="Tanglangquan B",122,IF(Atletas!L358="Yinzhaophai B",123,IF(Atletas!L358="Tongbeiquan B",124,IF(Atletas!L358="Wudangquan B",125,IF(Atletas!L358="Outros Estilos B",126,IF(Atletas!L358="Chaquan C",127,IF(Atletas!L358="Emeiquan C",128,IF(Atletas!L358="Fanziquan C",129,IF(Atletas!L358="Huaquan C",130,IF(Atletas!L358="Hongquan C",131,IF(Atletas!L358="Paochui C",132,IF(Atletas!L358="Piguaquan C",133,IF(Atletas!L358="Shaolinquan C",134,IF(Atletas!L358="Tanglangquan C",135,IF(Atletas!L358="Yinzhaophai C",136,IF(Atletas!L358="Tongbeiquan C",137,IF(Atletas!L358="Wudangquan C",138,IF(Atletas!L358="Outros Estilos C",139,0))))))))))))))))))))))))))))))))))))))))))</f>
        <v/>
      </c>
      <c r="BM362" s="52" t="str">
        <f>IF(Atletas!L358="","",IF(Atletas!W358&lt;&gt;"",10000,0)+(IF(Atletas!B358="Feminino",1000,IF(Atletas!B358="Masculino",2000,""))+(IF(Atletas!L358="Chaquan D",140,IF(Atletas!L358="Emeiquan D",141,IF(Atletas!L358="Fanziquan D",142,IF(Atletas!L358="Huaquan D",143,IF(Atletas!L358="Hongquan D",144,IF(Atletas!L358="Paochui D",145,IF(Atletas!L358="Piguaquan D",146,IF(Atletas!L358="Shaolinquan D",147,IF(Atletas!L358="Tanglangquan D",148,IF(Atletas!L358="Yinzhaophai D",149,IF(Atletas!L358="Tongbeiquan D",150,IF(Atletas!L358="Wudangquan D",151,IF(Atletas!L358="Outros Estilos D",152,IF(Atletas!L358="Chaquan E",153,IF(Atletas!L358="Emeiquan E",154,IF(Atletas!L358="Fanziquan E",155,IF(Atletas!L358="Huaquan E",156,IF(Atletas!L358="Hongquan E",157,IF(Atletas!L358="Paochui E",158,IF(Atletas!L358="Piguaquan E",159,IF(Atletas!L358="Shaolinquan E",160,IF(Atletas!L358="Tanglangquan E",161,IF(Atletas!L358="Yinzhaophai E",162,IF(Atletas!L358="Tongbeiquan E",163,IF(Atletas!L358="Wudangquan E",164,IF(Atletas!L358="Outros Estilos E",165,IF(Atletas!L358="Chaquan F",166,IF(Atletas!L358="Emeiquan F",167,IF(Atletas!L358="Fanziquan F",168,IF(Atletas!L358="Huaquan F",169,IF(Atletas!L358="Hongquan F",170,IF(Atletas!L358="Paochui F",171,IF(Atletas!L358="Piguaquan F",172,IF(Atletas!L358="Shaolinquan F",173,IF(Atletas!L358="Tanglangquan F",174,IF(Atletas!L358="Yinzhaophai F",175,IF(Atletas!L358="Tongbeiquan F",176,IF(Atletas!L358="Wudangquan F",177,IF(Atletas!L358="Outros Estilos F",178,0))))))))))))))))))))))))))))))))))))))))))</f>
        <v/>
      </c>
      <c r="BN362" s="52" t="str">
        <f>IF(Atletas!M358="","",IF(Atletas!W358&lt;&gt;"",10000,0)+(IF(Atletas!B358="Feminino",1000,IF(Atletas!B358="Masculino",2000,""))+(IF(Atletas!M358="Ditangquan A",201,IF(Atletas!M358="Houquan A",202,IF(Atletas!M358="Zuiquan A",203,IF(Atletas!M358="Ditangquan B",204,IF(Atletas!M358="Houquan B",205,IF(Atletas!M358="Zuiquan B",206,IF(Atletas!M358="Ditangquan C",207,IF(Atletas!M358="Houquan C",208,IF(Atletas!M358="Zuiquan C",209,IF(Atletas!M358="Ditangquan D",210,IF(Atletas!M358="Houquan D",211,IF(Atletas!M358="Zuiquan D",212,IF(Atletas!M358="Ditangquan E",213,IF(Atletas!M358="Houquan E",214,IF(Atletas!M358="Zuiquan E",215,IF(Atletas!M358="Ditangquan F",216,IF(Atletas!M358="Houquan F",217,IF(Atletas!M358="Zuiquan F",218,"")))))))))))))))))))))</f>
        <v/>
      </c>
      <c r="BO362" s="52" t="str">
        <f>IF(Atletas!N358="","",IF(Atletas!W358&lt;&gt;"",10000,0)+IF(Atletas!B358="Feminino",1000,IF(Atletas!B358="Masculino",2000,""))+IF(Atletas!N358="Yang A",301,IF(Atletas!N358="Chen A",30,IF(Atletas!N358="Sun A",303,IF(Atletas!N358="Wu A",304,IF(Atletas!N358="Wu-Hao A",305,IF(Atletas!N358="Outro Taijiquan A",306,IF(Atletas!N358="Yang B",307,IF(Atletas!N358="Chen B",308,IF(Atletas!N358="Sun B",309,IF(Atletas!N358="Wu B",310,IF(Atletas!N358="Wu-Hao B",311,IF(Atletas!N358="Outro Taijiquan B",312,IF(Atletas!N358="Yang C",313,IF(Atletas!N358="Chen C",314,IF(Atletas!N358="Sun C",315,IF(Atletas!N358="Wu C",316,IF(Atletas!N358="Wu-Hao C",317,IF(Atletas!N358="Outro Taijiquan C",318,IF(Atletas!N358="Yang D",319,IF(Atletas!N358="Chen D",320,IF(Atletas!N358="Sun D",321,IF(Atletas!N358="Wu D",322,IF(Atletas!N358="Wu-Hao D",323,IF(Atletas!N358="Outro Taijiquan D",324,IF(Atletas!N358="Yang E",325,IF(Atletas!N358="Chen E",326,IF(Atletas!N358="Sun E",327,IF(Atletas!N358="Wu E",328,IF(Atletas!N358="Wu-Hao E",329,IF(Atletas!N358="Outro Taijiquan E",330,IF(Atletas!N358="Yang F",331,IF(Atletas!N358="Chen F",332,IF(Atletas!N358="Sun F",333,IF(Atletas!N358="Wu F",334,IF(Atletas!N358="Wu-Hao F",335,IF(Atletas!N358="Outro Taijiquan F",336,"")))))))))))))))))))))))))))))))))))))</f>
        <v/>
      </c>
      <c r="BP362" s="52" t="str">
        <f>IF(Atletas!O358="","",IF(Atletas!W358&lt;&gt;"",10000,0)+IF(Atletas!B358="Feminino",1000,IF(Atletas!B358="Masculino",2000,""))+IF(OR(Atletas!O358="Yang 26 A",Atletas!O358="Yang 40 A"),401,IF(OR(Atletas!O358="Chen 25 A",Atletas!O358="Chen 36 A",Atletas!O358="Chen 56 A"),402,IF(Atletas!O358="Sun 73 A",403,IF(Atletas!O358="Wu 45 A",404,IF(Atletas!O358="Wu-Hao 46 A",405,IF(OR(Atletas!O358="Taijiquan 16 A",Atletas!O358="Taijiquan 24 A",Atletas!O358="Taijiquan 32 A",Atletas!O358="Taijiquan 42 A"),406,IF(OR(Atletas!O358="Yang 26 B",Atletas!O358="Yang 40 B"),407,IF(OR(Atletas!O358="Chen 25 B",Atletas!O358="Chen 36 B",Atletas!O358="Chen 56 B"),408,IF(Atletas!O358="Sun 73 B",409,IF(Atletas!O358="Wu 45 B",410,IF(Atletas!O358="Wu-Hao 46 B",411,IF(OR(Atletas!O358="Taijiquan 16 B",Atletas!O358="Taijiquan 24 B",Atletas!O358="Taijiquan 32 B",Atletas!O358="Taijiquan 42 B"),412,IF(OR(Atletas!O358="Yang 26 C",Atletas!O358="Yang 40 C"),413,IF(OR(Atletas!O358="Chen 25 C",Atletas!O358="Chen 36 C",Atletas!O358="Chen 56 C"),414,IF(Atletas!O358="Sun 73 C",415,IF(Atletas!O358="Wu 45 C",416,IF(Atletas!O358="Wu-Hao 46 C",417,IF(OR(Atletas!O358="Taijiquan 16 C",Atletas!O358="Taijiquan 24 C",Atletas!O358="Taijiquan 32 C",Atletas!O358="Taijiquan 42 C"),418,0)))))))))))))))))))</f>
        <v/>
      </c>
      <c r="BQ362" s="52" t="str">
        <f>IF(Atletas!O358="","",IF(Atletas!W358&lt;&gt;"",10000,0)+IF(Atletas!B358="Feminino",1000,IF(Atletas!B358="Masculino",2000,""))+IF(OR(Atletas!O358="Yang 26 D",Atletas!O358="Yang 40 D"),419,IF(OR(Atletas!O358="Chen 25 D",Atletas!O358="Chen 36 D",Atletas!O358="Chen 56 D"),420,IF(Atletas!O358="Sun 73 D",421,IF(Atletas!O358="Wu 45 D",422,IF(Atletas!O358="Wu-Hao 46 D",423,IF(OR(Atletas!O358="Taijiquan 16 D",Atletas!O358="Taijiquan 24 D",Atletas!O358="Taijiquan 32 D",Atletas!O358="Taijiquan 42 D"),424,IF(OR(Atletas!O358="Yang 26 E",Atletas!O358="Yang 40 E"),425,IF(OR(Atletas!O358="Chen 25 E",Atletas!O358="Chen 36 E",Atletas!O358="Chen 56 E"),426,IF(Atletas!O358="Sun 73 E",427,IF(Atletas!O358="Wu 45 E",428,IF(Atletas!O358="Wu-Hao 46 E",429,IF(OR(Atletas!O358="Taijiquan 16 E",Atletas!O358="Taijiquan 24 E",Atletas!O358="Taijiquan 32 E",Atletas!O358="Taijiquan 42 E"),430,IF(OR(Atletas!O358="Yang 26 F",Atletas!O358="Yang 40 F"),431,IF(OR(Atletas!O358="Chen 25 F",Atletas!O358="Chen 36 F",Atletas!O358="Chen 56 F"),432,IF(Atletas!O358="Sun 73 F",433,IF(Atletas!O358="Wu 45 F",434,IF(Atletas!O358="Wu-Hao 46 F",435,IF(OR(Atletas!O358="Taijiquan 16 F",Atletas!O358="Taijiquan 24 F",Atletas!O358="Taijiquan 32 F",Atletas!O358="Taijiquan 42 F"),436,0)))))))))))))))))))</f>
        <v/>
      </c>
      <c r="BR362" s="52" t="str">
        <f>IF(Atletas!P358="","",IF(Atletas!W358&lt;&gt;"",10000,0)+IF(Atletas!B358="Feminino",1000,IF(Atletas!B358="Masculino",2000,""))+IF(Atletas!P358="Xingyiquan A",501,IF(Atletas!P358="Baguazhang A",502,IF(Atletas!P358="Outro Estilo Interno A",503,IF(Atletas!P358="Xingyiquan B",504,IF(Atletas!P358="Baguazhang B",505,IF(Atletas!P358="Outro Estilo Interno B",506,IF(Atletas!P358="Xingyiquan C",507,IF(Atletas!P358="Baguazhang C",508,IF(Atletas!P358="Outro Estilo Interno C",509,IF(Atletas!P358="Xingyiquan D",510,IF(Atletas!P358="Baguazhang D",511,IF(Atletas!P358="Outro Estilo Interno D",512,IF(Atletas!P358="Xingyiquan E",513,IF(Atletas!P358="Baguazhang E",514,IF(Atletas!P358="Outro Estilo Interno E",515,IF(Atletas!P358="Xingyiquan F",516,IF(Atletas!P358="Baguazhang F",517,IF(Atletas!P358="Outro Estilo Interno F",518, "")))))))))))))))))))</f>
        <v/>
      </c>
      <c r="BS362" s="52" t="str">
        <f>IF(Atletas!Q358="","",IF(Atletas!W358&lt;&gt;"",10000,0)+IF(Atletas!B358="Feminino",1000,IF(Atletas!B358="Masculino",2000,""))+IF(Atletas!Q358="Dao A",601,IF(Atletas!Q358="Jian A",602,IF(Atletas!Q358="Bishou A",603,IF(Atletas!Q358="Shan A",604,IF(Atletas!Q358="Outra Arma Curta A",605,IF(Atletas!Q358="Dao B",606,IF(Atletas!Q358="Jian B",607,IF(Atletas!Q358="Bishou B",608,IF(Atletas!Q358="Shan B",609,IF(Atletas!Q358="Outra Arma Curta B",610,IF(Atletas!Q358="Dao C",611,IF(Atletas!Q358="Jian C",612,IF(Atletas!Q358="Bishou C",613,IF(Atletas!Q358="Shan C",614,IF(Atletas!Q358="Outra Arma Curta C",615,IF(Atletas!Q358="Dao D",616,IF(Atletas!Q358="Jian D",617,IF(Atletas!Q358="Bishou D",618,IF(Atletas!Q358="Shan D",619,IF(Atletas!Q358="Outra Arma Curta D",620,IF(Atletas!Q358="Dao E",621,IF(Atletas!Q358="Jian E",622,IF(Atletas!Q358="Bishou E",623,IF(Atletas!Q358="Shan E",624,IF(Atletas!Q358="Outra Arma Curta E",625,IF(Atletas!Q358="Dao F",626,IF(Atletas!Q358="Jian F",627,IF(Atletas!Q358="Bishou F",628,IF(Atletas!Q358="Shan F",629,IF(Atletas!Q358="Outra Arma Curta F",630, "")))))))))))))))))))))))))))))))</f>
        <v/>
      </c>
      <c r="BT362" s="52" t="str">
        <f>IF(Atletas!R358="","",IF(Atletas!W358&lt;&gt;"",10000,0)+IF(Atletas!B358="Feminino",1000,IF(Atletas!B358="Masculino",2000,""))+IF(Atletas!R358="Gun A",701,IF(Atletas!R358="Qiang A",702,IF(Atletas!R358="Pudao / Guandao A",703,IF(Atletas!R358="Outra Arma Longa A",704,IF(Atletas!R358="Gun B",705,IF(Atletas!R358="Qiang B",706,IF(Atletas!R358="Pudao / Guandao B",707,IF(Atletas!R358="Outra Arma Longa B",708,IF(Atletas!R358="Gun C",709,IF(Atletas!R358="Qiang C",710,IF(Atletas!R358="Pudao / Guandao C",711,IF(Atletas!R358="Outra Arma Longa C",712,IF(Atletas!R358="Gun D",713,IF(Atletas!R358="Qiang D",714,IF(Atletas!R358="Pudao / Guandao D",715,IF(Atletas!R358="Outra Arma Longa D",716,IF(Atletas!R358="Gun E",717,IF(Atletas!R358="Qiang E",718,IF(Atletas!R358="Pudao / Guandao E",719,IF(Atletas!R358="Outra Arma Longa E",720,IF(Atletas!R358="Gun F",721,IF(Atletas!R358="Qiang F",722,IF(Atletas!R358="Pudao / Guandao F",723,IF(Atletas!R358="Outra Arma Longa F",724,"")))))))))))))))))))))))))</f>
        <v/>
      </c>
      <c r="BU362" s="52" t="str">
        <f>IF(Atletas!S358="","",IF(Atletas!W358&lt;&gt;"",10000,0)+IF(Atletas!B358="Feminino",1000,IF(Atletas!B358="Masculino",2000,""))+IF(Atletas!S358="Arma Dupla A",801,IF(Atletas!S358="Arma Maleável A",802,IF(Atletas!S358="Arma Dupla B",803,IF(Atletas!S358="Arma Maleável B",804,IF(Atletas!S358="Arma Dupla C",805,IF(Atletas!S358="Arma Maleável C",806,IF(Atletas!S358="Arma Dupla D",807,IF(Atletas!S358="Arma Maleável D",808,IF(Atletas!S358="Arma Dupla E",809,IF(Atletas!S358="Arma Maleável E",810,IF(Atletas!S358="Arma Dupla F",811,IF(Atletas!S358="Arma Maleável F",812, "")))))))))))))</f>
        <v/>
      </c>
      <c r="BV362" s="52" t="str">
        <f>IF(Atletas!T358="","",IF(Atletas!W358&lt;&gt;"",10000,0)+IF(Atletas!B358="Feminino",1000,IF(Atletas!B358="Masculino",2000,""))+IF(Atletas!T358="Taijijian Yang A",901,IF(Atletas!T358="Taijijian Chen A",902,IF(Atletas!T358="Taijijian Sun A",903,IF(Atletas!T358="Taijijian Wu A",904,IF(Atletas!T358="Taijijian Wu-Hao A",905,IF(Atletas!T358="Taijijian 32 A",906,IF(Atletas!T358="Taijijian 42 A",907,IF(Atletas!T358="Taijijian Yang B",908,IF(Atletas!T358="Taijijian Chen B",909,IF(Atletas!T358="Taijijian Sun B",910,IF(Atletas!T358="Taijijian Wu B",911,IF(Atletas!T358="Taijijian Wu-Hao B",912,IF(Atletas!T358="Taijijian 32 B",913,IF(Atletas!T358="Taijijian 42 B",914,IF(Atletas!T358="Taijijian Yang C",915,IF(Atletas!T358="Taijijian Chen C",916,IF(Atletas!T358="Taijijian Sun C",917,IF(Atletas!T358="Taijijian Wu C",918,IF(Atletas!T358="Taijijian Wu-Hao C",919,IF(Atletas!T358="Taijijian 32 C",920,IF(Atletas!T358="Taijijian 42 C",921,IF(Atletas!T358="Taijijian Yang D",922,IF(Atletas!T358="Taijijian Chen D",923,IF(Atletas!T358="Taijijian Sun D",924,IF(Atletas!T358="Taijijian Wu D",925,IF(Atletas!T358="Taijijian Wu-Hao D",926,IF(Atletas!T358="Taijijian 32 D",927,IF(Atletas!T358="Taijijian 42 D",928,IF(Atletas!T358="Taijijian Yang E",929,IF(Atletas!T358="Taijijian Chen E",930,IF(Atletas!T358="Taijijian Sun E",931,IF(Atletas!T358="Taijijian Wu E",932,IF(Atletas!T358="Taijijian Wu-Hao E",933,IF(Atletas!T358="Taijijian 32 E",934,IF(Atletas!T358="Taijijian 42 E",935,IF(Atletas!T358="Taijijian Yang F",936,IF(Atletas!T358="Taijijian Chen F",937,IF(Atletas!T358="Taijijian Sun F",938,IF(Atletas!T358="Taijijian Wu F",939,IF(Atletas!T358="Taijijian Wu-Hao F",940,IF(Atletas!T358="Taijijian 32 F",941,IF(Atletas!T358="Taijijian 42 F",942,"")))))))))))))))))))))))))))))))))))))))))))</f>
        <v/>
      </c>
      <c r="BW362" s="52" t="str">
        <f>IF(Atletas!U358="","",IF(Atletas!W358&lt;&gt;"",10000,0)+IF(Atletas!B358="Feminino",1000,IF(Atletas!B358="Masculino",2000,""))+IF(Atletas!T358="Taijijian 42 F",942,IF(Atletas!U358="Taijidao A",943,IF(Atletas!U358="Taijishan A",944,IF(Atletas!U358="Taijiqiang A",945,IF(Atletas!U358="Taijidao B",946,IF(Atletas!U358="Taijishan B",947,IF(Atletas!U358="Taijiqiang B",948,IF(Atletas!U358="Taijidao C",949,IF(Atletas!U358="Taijishan C",950,IF(Atletas!U358="Taijiqiang C",951,IF(Atletas!U358="Taijidao D",952,IF(Atletas!U358="Taijishan D",953,IF(Atletas!U358="Taijiqiang D",954,IF(Atletas!U358="Taijidao E",955,IF(Atletas!U358="Taijishan E",956,IF(Atletas!U358="Taijiqiang E",957,IF(Atletas!U358="Taijidao F",958,IF(Atletas!U358="Taijishan F",959,IF(Atletas!U358="Taijiqiang F",960))))))))))))))))))))</f>
        <v/>
      </c>
      <c r="BX362" s="72"/>
      <c r="BY362" s="72"/>
      <c r="BZ362" s="72"/>
      <c r="CA362" s="72"/>
      <c r="CB362" s="72"/>
      <c r="CC362" s="64" t="str">
        <f>IF(COUNTIF(BK:BW,11914)&gt;0,COUNTIF(BK:BW,11914),"")</f>
        <v/>
      </c>
      <c r="CD362" s="64" t="str">
        <f>IF(CE362&lt;&gt;"","Taijijian 42 B","")</f>
        <v/>
      </c>
      <c r="CE362" s="64" t="str">
        <f>IF(COUNTIF(BK:BW,12914)&gt;0,COUNTIF(BK:BW,12914),"")</f>
        <v/>
      </c>
      <c r="CF362" s="52" t="str">
        <f xml:space="preserve"> IF(Atletas!V358="","",IF(Atletas!V358="Duilian de Mãos AB - Equipe 1",1,IF(Atletas!V358="Duilian de Mãos AB - Equipe 2",2,IF(Atletas!V358="Duilian de Armas AB - Equipe 1",3,IF(Atletas!V358="Duilian de Armas AB - Equipe 2",4,IF(Atletas!V358="Duilian de Tuishou - Equipe 1",5,IF(Atletas!V358="Duilian de Tuishou - Equipe 2",6,IF(Atletas!V358="Grupo Externo AB - Equipe 1",7,IF(Atletas!V358="Grupo Externo AB - Equipe 2",8,IF(Atletas!V358="Grupo Interno AB - Equipe 1",9,IF(Atletas!V358="Grupo Interno AB - Equipe 2",10,IF(Atletas!V358="Duilian de Mãos CD - Equipe 1",11,IF(Atletas!V358="Duilian de Mãos CD - Equipe 2",12,IF(Atletas!V358="Duilian de Armas CD - Equipe 1",13,IF(Atletas!V358="Duilian de Armas CD - Equipe 2",14,IF(Atletas!V358="Duilian de Tuishou - Equipe 1",15,IF(Atletas!V358="Duilian de Tuishou - Equipe 2",16,IF(Atletas!V358="Grupo Externo CDEF - Equipe 1",17,IF(Atletas!V358="Grupo Externo CDEF - Equipe 2",18,IF(Atletas!V358="Grupo Interno CDEF - Equipe 1",19,IF(Atletas!V358="Grupo Interno CDEF - Equipe 2",20,IF(Atletas!V358="Duilian de Mãos EF - Equipe 1",21,IF(Atletas!V358="Duilian de Mãos EF - Equipe 2",22,IF(Atletas!V358="Duilian de Armas EF - Equipe 1",23,IF(Atletas!V358="Duilian de Armas EF - Equipe 2",24,IF(Atletas!V358="Duilian de Tuishou - Equipe 1",25,IF(Atletas!V358="Duilian de Tuishou - Equipe 2",26,"")))))))))))))))))))))))))))</f>
        <v/>
      </c>
    </row>
    <row r="363" spans="36:84">
      <c r="AJ363" s="46" t="str">
        <f>IF(Atletas!D359="","",IF(Atletas!B359="Feminino",100,IF(Atletas!B359="Masculino",200,""))+(IF(Atletas!D359="Infantil 39kg",1,IF(Atletas!D359="Infantil 42kg",2,IF(Atletas!D359="Infantil 45kg",3,IF(Atletas!D359="Infantil 48kg",4,IF(Atletas!D359="Infantil 52kg",5,IF(Atletas!D359="Infantil 56kg",6,IF(Atletas!D359="Infantil 60kg",7,IF(Atletas!D359="Juvenil 48kg",8,IF(Atletas!D359="Juvenil 52kg",9,IF(Atletas!D359="Juvenil 56kg",10,IF(Atletas!D359="Juvenil 60kg",11,IF(Atletas!D359="Juvenil 65kg",12,IF(Atletas!D359="Juvenil 70kg",13,IF(Atletas!D359="Juvenil 75kg",14,IF(Atletas!D359="Juvenil 80kg",15,IF(Atletas!D359="Adulto 48kg",16,IF(Atletas!D359="Adulto 52kg",17,IF(Atletas!D359="Adulto 56kg",18,IF(Atletas!D359="Adulto 60kg",19,IF(Atletas!D359="Adulto 65kg",20,IF(Atletas!D359="Adulto 70kg",21,IF(Atletas!D359="Adulto 75kg",22,IF(Atletas!D359="Adulto 80kg",23,IF(Atletas!D359="Adulto 85kg",24,IF(Atletas!D359="Adulto 90kg",25,IF(Atletas!D359="Adulto +90kg",26,""))))))))))))))))))))))))))))</f>
        <v/>
      </c>
      <c r="AO363" s="10" t="str">
        <f>IF(Atletas!E359="","",IF(Atletas!B359="Feminino",100,IF(Atletas!B359="Masculino",200,""))+(IF(Atletas!E359="Juvenil 44kg",1,IF(Atletas!E359="Juvenil 48kg",2,IF(Atletas!E359="Juvenil 52kg",3,IF(Atletas!E359="Juvenil 56kg",4,IF(Atletas!E359="Juvenil 60kg",5,IF(Atletas!E359="Juvenil 65kg",6,IF(Atletas!E359="Juvenil 70kg",7,IF(Atletas!E359="Juvenil 75kg",8,IF(Atletas!E359="Juvenil 82kg",9,IF(Atletas!E359="Juvenil 90kg",10,IF(Atletas!E359="Juvenil 100kg",11,IF(Atletas!E359="Adulto 48kg",12,IF(Atletas!E359="Adulto 52kg",13,IF(Atletas!E359="Adulto 56kg",14,IF(Atletas!E359="Adulto 60kg",15,IF(Atletas!E359="Adulto 65kg",16,IF(Atletas!E359="Adulto 70kg",17,IF(Atletas!E359="Adulto 75kg",18,IF(Atletas!E359="Adulto 82kg",19,IF(Atletas!E359="Adulto 90kg",20,IF(Atletas!E359="Adulto 100kg",21,IF(Atletas!E359="Adulto +100kg",22,""))))))))))))))))))))))))</f>
        <v/>
      </c>
      <c r="AT363" s="10" t="str">
        <f>IF(Atletas!F359="","",IF(Atletas!B359="Feminino",100,IF(Atletas!B359="Masculino",200,""))+(IF(Atletas!F359="Adulto 48kg",1,IF(Atletas!F359="Adulto 56kg",2,IF(Atletas!F359="Adulto 65kg",3,IF(Atletas!F359="Adulto 75kg",4,IF(Atletas!F359="Adulto +75kg",5,IF(Atletas!F359="Adulto 52kg",6,IF(Atletas!F359="Adulto 60kg",7,IF(Atletas!F359="Adulto 70kg",8,IF(Atletas!F359="Adulto 80kg",9,IF(Atletas!F359="Adulto 90kg",10,IF(Atletas!F359="Adulto +90kg",11,"")))))))))))))</f>
        <v/>
      </c>
      <c r="AY363" s="46" t="str">
        <f>IF(Atletas!G359="","",IF(Atletas!B359="Feminino",100,IF(Atletas!B359="Masculino",200,""))+(IF(Atletas!G359="Changquan Mirim",1,IF(Atletas!G359="Nanquan Mirim",2,IF(Atletas!G359="Taijiquan Mirim",3,IF(Atletas!G359="Changquan Grupo C",4,IF(Atletas!G359="Nanquan Grupo C",5,IF(Atletas!G359="Taijiquan Grupo C",6,IF(Atletas!G359="Changquan Grupo B",7,IF(Atletas!G359="Nanquan Grupo B",8,IF(Atletas!G359="Taijiquan Grupo B",9,IF(Atletas!G359="Changquan Grupo A",10,IF(Atletas!G359="Nanquan Grupo A",11,IF(Atletas!G359="Taijiquan Grupo A",12,IF(Atletas!G359="Changquan Opcional",13,IF(Atletas!G359="Nanquan Opcional",14,IF(Atletas!G359="Taijiquan Opcional",15,IF(Atletas!G359="Changquan Adulto",16,IF(Atletas!G359="Nanquan Adulto",17,IF(Atletas!G359="Taijiquan Adulto",18,""))))))))))))))))))))</f>
        <v/>
      </c>
      <c r="AZ363" s="46" t="str">
        <f>IF(Atletas!H359="","",IF(Atletas!B359="Feminino",100,IF(Atletas!B359="Masculino",200,""))+(IF(Atletas!H359="Daoshu Mirim",19,IF(Atletas!H359="Jianshu Mirim",20,IF(Atletas!H359="Nandao Mirim",21,IF(Atletas!H359="Taijijian Mirim",22,IF(Atletas!H359="Daoshu Grupo C",23,IF(Atletas!H359="Jianshu Grupo C",24,IF(Atletas!H359="Nandao Grupo C",25,IF(Atletas!H359="Taijijian Grupo C",26,IF(Atletas!H359="Daoshu Grupo B",27,IF(Atletas!H359="Jianshu Grupo B",28,IF(Atletas!H359="Nandao Grupo B",29,IF(Atletas!H359="Taijijian Grupo B",30,IF(Atletas!H359="Daoshu Grupo A",31,IF(Atletas!H359="Jianshu Grupo A",32,IF(Atletas!H359="Nandao Grupo A",33,IF(Atletas!H359="Taijijian Grupo A",34,IF(Atletas!H359="Daoshu Opcional",35,IF(Atletas!H359="Jianshu Opcional",36,IF(Atletas!H359="Nandao Opcional",37,IF(Atletas!H359="Taijijian Opcional",38,IF(Atletas!H359="Daoshu Adulto",39,IF(Atletas!H359="Jianshu Adulto",40,IF(Atletas!H359="Nandao Adulto",41,IF(Atletas!H359="Taijijian Adulto",42,""))))))))))))))))))))))))))</f>
        <v/>
      </c>
      <c r="BA363" s="46" t="str">
        <f>IF(Atletas!I359="","",IF(Atletas!B359="Feminino",100,IF(Atletas!B359="Masculino",200,""))+(IF(Atletas!I359="Gunshu Mirim",43,IF(Atletas!I359="Qiangshu Mirim",44,IF(Atletas!I359="Nangun Mirim",45,IF(Atletas!I359="Gunshu Grupo C",46,IF(Atletas!I359="Qiangshu Grupo C",47,IF(Atletas!I359="Nangun Grupo C",48,IF(Atletas!I359="Gunshu Grupo B",49,IF(Atletas!I359="Qiangshu Grupo B",50,IF(Atletas!I359="Nangun Grupo B",51,IF(Atletas!I359="Gunshu Grupo A",52,IF(Atletas!I359="Qiangshu Grupo A",53,IF(Atletas!I359="Nangun Grupo A",54,IF(Atletas!I359="Gunshu Opcional",55,IF(Atletas!I359="Qiangshu Opcional",56,IF(Atletas!I359="Nangun Opcional",57,IF(Atletas!I359="Gunshu Adulto",58,IF(Atletas!I359="Qiangshu Adulto",59,IF(Atletas!I359="Nangun Adulto",60,""))))))))))))))))))))</f>
        <v/>
      </c>
      <c r="BF363" s="52" t="str">
        <f>IF(Atletas!J359="","",IF(Atletas!B359="Feminino",100,IF(Atletas!B359="Masculino",200,""))+(IF(Atletas!J359="Equipe 1 Grupo B",1,IF(Atletas!J359="Equipe 2 Grupo B",2,IF(Atletas!J359="Equipe 1 Grupo A",3,IF(Atletas!J359="Equipe 2 Grupo A",4,IF(Atletas!J359="Equipe 1 Adulto",5,IF(Atletas!J359="Equipe 2 Adulto",6,""))))))))</f>
        <v/>
      </c>
      <c r="BK363" s="52" t="str">
        <f>IF(Atletas!K359="","",IF(Atletas!W359&lt;&gt;"",10000,0)+(IF(Atletas!B359="Feminino",1000,IF(Atletas!B359="Masculino",2000,""))+IF(Atletas!K359="Choylayfut A",1,IF(Atletas!K359="Hunggar A",2,IF(Atletas!K359="Wuzuquan A",3,IF(Atletas!K359="Wingchun A",4,IF(Atletas!K359="Outra Mão de Sul A",5,IF(Atletas!K359="Choylayfut B",6,IF(Atletas!K359="Hunggar B",7,IF(Atletas!K359="Wuzuquan B",8,IF(Atletas!K359="Wingchun B",9,IF(Atletas!K359="Outra Mão de Sul B",10,IF(Atletas!K359="Choylayfut C",11,IF(Atletas!K359="Hunggar C",12,IF(Atletas!K359="Wuzuquan C",13,IF(Atletas!K359="Wingchun C",14,IF(Atletas!K359="Outra Mão de Sul C",15,IF(Atletas!K359="Choylayfut D",16,IF(Atletas!K359="Hunggar D",17,IF(Atletas!K359="Wuzuquan D",18,IF(Atletas!K359="Wingchun D",19,IF(Atletas!K359="Outra Mão de Sul D",20,IF(Atletas!K359="Choylayfut E",21,IF(Atletas!K359="Hunggar E",22,IF(Atletas!K359="Wuzuquan E",23,IF(Atletas!K359="Wingchun E",24,IF(Atletas!K359="Outra Mão de Sul E",25,IF(Atletas!K359="Choylayfut F",26,IF(Atletas!K359="Hunggar F",27,IF(Atletas!K359="Wuzuquan F",28,IF(Atletas!K359="Wingchun F",29,IF(Atletas!K359="Outra Mão de Sul F",30,""))))))))))))))))))))))))))))))))</f>
        <v/>
      </c>
      <c r="BL363" s="52" t="str">
        <f>IF(Atletas!L359="","",IF(Atletas!W359&lt;&gt;"",10000,0)+(IF(Atletas!B359="Feminino",1000,IF(Atletas!B359="Masculino",2000,""))+(IF(Atletas!L359="Chaquan A",101,IF(Atletas!L359="Emeiquan A",102,IF(Atletas!L359="Fanziquan A",103,IF(Atletas!L359="Huaquan A",104,IF(Atletas!L359="Hongquan A",105,IF(Atletas!L359="Paochui A",106,IF(Atletas!L359="Piguaquan A",107,IF(Atletas!L359="Shaolinquan A",108,IF(Atletas!L359="Tanglangquan A",109,IF(Atletas!L359="Yinzhaophai A",110,IF(Atletas!L359="Tongbeiquan A",111,IF(Atletas!L359="Wudangquan A",112,IF(Atletas!L359="Outros Estilos A",113,IF(Atletas!L359="Chaquan B",114,IF(Atletas!L359="Emeiquan B",115,IF(Atletas!L359="Fanziquan B",116,IF(Atletas!L359="Huaquan B",117,IF(Atletas!L359="Hongquan B",118,IF(Atletas!L359="Paochui B",119,IF(Atletas!L359="Piguaquan B",120,IF(Atletas!L359="Shaolinquan B",121,IF(Atletas!L359="Tanglangquan B",122,IF(Atletas!L359="Yinzhaophai B",123,IF(Atletas!L359="Tongbeiquan B",124,IF(Atletas!L359="Wudangquan B",125,IF(Atletas!L359="Outros Estilos B",126,IF(Atletas!L359="Chaquan C",127,IF(Atletas!L359="Emeiquan C",128,IF(Atletas!L359="Fanziquan C",129,IF(Atletas!L359="Huaquan C",130,IF(Atletas!L359="Hongquan C",131,IF(Atletas!L359="Paochui C",132,IF(Atletas!L359="Piguaquan C",133,IF(Atletas!L359="Shaolinquan C",134,IF(Atletas!L359="Tanglangquan C",135,IF(Atletas!L359="Yinzhaophai C",136,IF(Atletas!L359="Tongbeiquan C",137,IF(Atletas!L359="Wudangquan C",138,IF(Atletas!L359="Outros Estilos C",139,0))))))))))))))))))))))))))))))))))))))))))</f>
        <v/>
      </c>
      <c r="BM363" s="52" t="str">
        <f>IF(Atletas!L359="","",IF(Atletas!W359&lt;&gt;"",10000,0)+(IF(Atletas!B359="Feminino",1000,IF(Atletas!B359="Masculino",2000,""))+(IF(Atletas!L359="Chaquan D",140,IF(Atletas!L359="Emeiquan D",141,IF(Atletas!L359="Fanziquan D",142,IF(Atletas!L359="Huaquan D",143,IF(Atletas!L359="Hongquan D",144,IF(Atletas!L359="Paochui D",145,IF(Atletas!L359="Piguaquan D",146,IF(Atletas!L359="Shaolinquan D",147,IF(Atletas!L359="Tanglangquan D",148,IF(Atletas!L359="Yinzhaophai D",149,IF(Atletas!L359="Tongbeiquan D",150,IF(Atletas!L359="Wudangquan D",151,IF(Atletas!L359="Outros Estilos D",152,IF(Atletas!L359="Chaquan E",153,IF(Atletas!L359="Emeiquan E",154,IF(Atletas!L359="Fanziquan E",155,IF(Atletas!L359="Huaquan E",156,IF(Atletas!L359="Hongquan E",157,IF(Atletas!L359="Paochui E",158,IF(Atletas!L359="Piguaquan E",159,IF(Atletas!L359="Shaolinquan E",160,IF(Atletas!L359="Tanglangquan E",161,IF(Atletas!L359="Yinzhaophai E",162,IF(Atletas!L359="Tongbeiquan E",163,IF(Atletas!L359="Wudangquan E",164,IF(Atletas!L359="Outros Estilos E",165,IF(Atletas!L359="Chaquan F",166,IF(Atletas!L359="Emeiquan F",167,IF(Atletas!L359="Fanziquan F",168,IF(Atletas!L359="Huaquan F",169,IF(Atletas!L359="Hongquan F",170,IF(Atletas!L359="Paochui F",171,IF(Atletas!L359="Piguaquan F",172,IF(Atletas!L359="Shaolinquan F",173,IF(Atletas!L359="Tanglangquan F",174,IF(Atletas!L359="Yinzhaophai F",175,IF(Atletas!L359="Tongbeiquan F",176,IF(Atletas!L359="Wudangquan F",177,IF(Atletas!L359="Outros Estilos F",178,0))))))))))))))))))))))))))))))))))))))))))</f>
        <v/>
      </c>
      <c r="BN363" s="52" t="str">
        <f>IF(Atletas!M359="","",IF(Atletas!W359&lt;&gt;"",10000,0)+(IF(Atletas!B359="Feminino",1000,IF(Atletas!B359="Masculino",2000,""))+(IF(Atletas!M359="Ditangquan A",201,IF(Atletas!M359="Houquan A",202,IF(Atletas!M359="Zuiquan A",203,IF(Atletas!M359="Ditangquan B",204,IF(Atletas!M359="Houquan B",205,IF(Atletas!M359="Zuiquan B",206,IF(Atletas!M359="Ditangquan C",207,IF(Atletas!M359="Houquan C",208,IF(Atletas!M359="Zuiquan C",209,IF(Atletas!M359="Ditangquan D",210,IF(Atletas!M359="Houquan D",211,IF(Atletas!M359="Zuiquan D",212,IF(Atletas!M359="Ditangquan E",213,IF(Atletas!M359="Houquan E",214,IF(Atletas!M359="Zuiquan E",215,IF(Atletas!M359="Ditangquan F",216,IF(Atletas!M359="Houquan F",217,IF(Atletas!M359="Zuiquan F",218,"")))))))))))))))))))))</f>
        <v/>
      </c>
      <c r="BO363" s="52" t="str">
        <f>IF(Atletas!N359="","",IF(Atletas!W359&lt;&gt;"",10000,0)+IF(Atletas!B359="Feminino",1000,IF(Atletas!B359="Masculino",2000,""))+IF(Atletas!N359="Yang A",301,IF(Atletas!N359="Chen A",30,IF(Atletas!N359="Sun A",303,IF(Atletas!N359="Wu A",304,IF(Atletas!N359="Wu-Hao A",305,IF(Atletas!N359="Outro Taijiquan A",306,IF(Atletas!N359="Yang B",307,IF(Atletas!N359="Chen B",308,IF(Atletas!N359="Sun B",309,IF(Atletas!N359="Wu B",310,IF(Atletas!N359="Wu-Hao B",311,IF(Atletas!N359="Outro Taijiquan B",312,IF(Atletas!N359="Yang C",313,IF(Atletas!N359="Chen C",314,IF(Atletas!N359="Sun C",315,IF(Atletas!N359="Wu C",316,IF(Atletas!N359="Wu-Hao C",317,IF(Atletas!N359="Outro Taijiquan C",318,IF(Atletas!N359="Yang D",319,IF(Atletas!N359="Chen D",320,IF(Atletas!N359="Sun D",321,IF(Atletas!N359="Wu D",322,IF(Atletas!N359="Wu-Hao D",323,IF(Atletas!N359="Outro Taijiquan D",324,IF(Atletas!N359="Yang E",325,IF(Atletas!N359="Chen E",326,IF(Atletas!N359="Sun E",327,IF(Atletas!N359="Wu E",328,IF(Atletas!N359="Wu-Hao E",329,IF(Atletas!N359="Outro Taijiquan E",330,IF(Atletas!N359="Yang F",331,IF(Atletas!N359="Chen F",332,IF(Atletas!N359="Sun F",333,IF(Atletas!N359="Wu F",334,IF(Atletas!N359="Wu-Hao F",335,IF(Atletas!N359="Outro Taijiquan F",336,"")))))))))))))))))))))))))))))))))))))</f>
        <v/>
      </c>
      <c r="BP363" s="52" t="str">
        <f>IF(Atletas!O359="","",IF(Atletas!W359&lt;&gt;"",10000,0)+IF(Atletas!B359="Feminino",1000,IF(Atletas!B359="Masculino",2000,""))+IF(OR(Atletas!O359="Yang 26 A",Atletas!O359="Yang 40 A"),401,IF(OR(Atletas!O359="Chen 25 A",Atletas!O359="Chen 36 A",Atletas!O359="Chen 56 A"),402,IF(Atletas!O359="Sun 73 A",403,IF(Atletas!O359="Wu 45 A",404,IF(Atletas!O359="Wu-Hao 46 A",405,IF(OR(Atletas!O359="Taijiquan 16 A",Atletas!O359="Taijiquan 24 A",Atletas!O359="Taijiquan 32 A",Atletas!O359="Taijiquan 42 A"),406,IF(OR(Atletas!O359="Yang 26 B",Atletas!O359="Yang 40 B"),407,IF(OR(Atletas!O359="Chen 25 B",Atletas!O359="Chen 36 B",Atletas!O359="Chen 56 B"),408,IF(Atletas!O359="Sun 73 B",409,IF(Atletas!O359="Wu 45 B",410,IF(Atletas!O359="Wu-Hao 46 B",411,IF(OR(Atletas!O359="Taijiquan 16 B",Atletas!O359="Taijiquan 24 B",Atletas!O359="Taijiquan 32 B",Atletas!O359="Taijiquan 42 B"),412,IF(OR(Atletas!O359="Yang 26 C",Atletas!O359="Yang 40 C"),413,IF(OR(Atletas!O359="Chen 25 C",Atletas!O359="Chen 36 C",Atletas!O359="Chen 56 C"),414,IF(Atletas!O359="Sun 73 C",415,IF(Atletas!O359="Wu 45 C",416,IF(Atletas!O359="Wu-Hao 46 C",417,IF(OR(Atletas!O359="Taijiquan 16 C",Atletas!O359="Taijiquan 24 C",Atletas!O359="Taijiquan 32 C",Atletas!O359="Taijiquan 42 C"),418,0)))))))))))))))))))</f>
        <v/>
      </c>
      <c r="BQ363" s="52" t="str">
        <f>IF(Atletas!O359="","",IF(Atletas!W359&lt;&gt;"",10000,0)+IF(Atletas!B359="Feminino",1000,IF(Atletas!B359="Masculino",2000,""))+IF(OR(Atletas!O359="Yang 26 D",Atletas!O359="Yang 40 D"),419,IF(OR(Atletas!O359="Chen 25 D",Atletas!O359="Chen 36 D",Atletas!O359="Chen 56 D"),420,IF(Atletas!O359="Sun 73 D",421,IF(Atletas!O359="Wu 45 D",422,IF(Atletas!O359="Wu-Hao 46 D",423,IF(OR(Atletas!O359="Taijiquan 16 D",Atletas!O359="Taijiquan 24 D",Atletas!O359="Taijiquan 32 D",Atletas!O359="Taijiquan 42 D"),424,IF(OR(Atletas!O359="Yang 26 E",Atletas!O359="Yang 40 E"),425,IF(OR(Atletas!O359="Chen 25 E",Atletas!O359="Chen 36 E",Atletas!O359="Chen 56 E"),426,IF(Atletas!O359="Sun 73 E",427,IF(Atletas!O359="Wu 45 E",428,IF(Atletas!O359="Wu-Hao 46 E",429,IF(OR(Atletas!O359="Taijiquan 16 E",Atletas!O359="Taijiquan 24 E",Atletas!O359="Taijiquan 32 E",Atletas!O359="Taijiquan 42 E"),430,IF(OR(Atletas!O359="Yang 26 F",Atletas!O359="Yang 40 F"),431,IF(OR(Atletas!O359="Chen 25 F",Atletas!O359="Chen 36 F",Atletas!O359="Chen 56 F"),432,IF(Atletas!O359="Sun 73 F",433,IF(Atletas!O359="Wu 45 F",434,IF(Atletas!O359="Wu-Hao 46 F",435,IF(OR(Atletas!O359="Taijiquan 16 F",Atletas!O359="Taijiquan 24 F",Atletas!O359="Taijiquan 32 F",Atletas!O359="Taijiquan 42 F"),436,0)))))))))))))))))))</f>
        <v/>
      </c>
      <c r="BR363" s="52" t="str">
        <f>IF(Atletas!P359="","",IF(Atletas!W359&lt;&gt;"",10000,0)+IF(Atletas!B359="Feminino",1000,IF(Atletas!B359="Masculino",2000,""))+IF(Atletas!P359="Xingyiquan A",501,IF(Atletas!P359="Baguazhang A",502,IF(Atletas!P359="Outro Estilo Interno A",503,IF(Atletas!P359="Xingyiquan B",504,IF(Atletas!P359="Baguazhang B",505,IF(Atletas!P359="Outro Estilo Interno B",506,IF(Atletas!P359="Xingyiquan C",507,IF(Atletas!P359="Baguazhang C",508,IF(Atletas!P359="Outro Estilo Interno C",509,IF(Atletas!P359="Xingyiquan D",510,IF(Atletas!P359="Baguazhang D",511,IF(Atletas!P359="Outro Estilo Interno D",512,IF(Atletas!P359="Xingyiquan E",513,IF(Atletas!P359="Baguazhang E",514,IF(Atletas!P359="Outro Estilo Interno E",515,IF(Atletas!P359="Xingyiquan F",516,IF(Atletas!P359="Baguazhang F",517,IF(Atletas!P359="Outro Estilo Interno F",518, "")))))))))))))))))))</f>
        <v/>
      </c>
      <c r="BS363" s="52" t="str">
        <f>IF(Atletas!Q359="","",IF(Atletas!W359&lt;&gt;"",10000,0)+IF(Atletas!B359="Feminino",1000,IF(Atletas!B359="Masculino",2000,""))+IF(Atletas!Q359="Dao A",601,IF(Atletas!Q359="Jian A",602,IF(Atletas!Q359="Bishou A",603,IF(Atletas!Q359="Shan A",604,IF(Atletas!Q359="Outra Arma Curta A",605,IF(Atletas!Q359="Dao B",606,IF(Atletas!Q359="Jian B",607,IF(Atletas!Q359="Bishou B",608,IF(Atletas!Q359="Shan B",609,IF(Atletas!Q359="Outra Arma Curta B",610,IF(Atletas!Q359="Dao C",611,IF(Atletas!Q359="Jian C",612,IF(Atletas!Q359="Bishou C",613,IF(Atletas!Q359="Shan C",614,IF(Atletas!Q359="Outra Arma Curta C",615,IF(Atletas!Q359="Dao D",616,IF(Atletas!Q359="Jian D",617,IF(Atletas!Q359="Bishou D",618,IF(Atletas!Q359="Shan D",619,IF(Atletas!Q359="Outra Arma Curta D",620,IF(Atletas!Q359="Dao E",621,IF(Atletas!Q359="Jian E",622,IF(Atletas!Q359="Bishou E",623,IF(Atletas!Q359="Shan E",624,IF(Atletas!Q359="Outra Arma Curta E",625,IF(Atletas!Q359="Dao F",626,IF(Atletas!Q359="Jian F",627,IF(Atletas!Q359="Bishou F",628,IF(Atletas!Q359="Shan F",629,IF(Atletas!Q359="Outra Arma Curta F",630, "")))))))))))))))))))))))))))))))</f>
        <v/>
      </c>
      <c r="BT363" s="52" t="str">
        <f>IF(Atletas!R359="","",IF(Atletas!W359&lt;&gt;"",10000,0)+IF(Atletas!B359="Feminino",1000,IF(Atletas!B359="Masculino",2000,""))+IF(Atletas!R359="Gun A",701,IF(Atletas!R359="Qiang A",702,IF(Atletas!R359="Pudao / Guandao A",703,IF(Atletas!R359="Outra Arma Longa A",704,IF(Atletas!R359="Gun B",705,IF(Atletas!R359="Qiang B",706,IF(Atletas!R359="Pudao / Guandao B",707,IF(Atletas!R359="Outra Arma Longa B",708,IF(Atletas!R359="Gun C",709,IF(Atletas!R359="Qiang C",710,IF(Atletas!R359="Pudao / Guandao C",711,IF(Atletas!R359="Outra Arma Longa C",712,IF(Atletas!R359="Gun D",713,IF(Atletas!R359="Qiang D",714,IF(Atletas!R359="Pudao / Guandao D",715,IF(Atletas!R359="Outra Arma Longa D",716,IF(Atletas!R359="Gun E",717,IF(Atletas!R359="Qiang E",718,IF(Atletas!R359="Pudao / Guandao E",719,IF(Atletas!R359="Outra Arma Longa E",720,IF(Atletas!R359="Gun F",721,IF(Atletas!R359="Qiang F",722,IF(Atletas!R359="Pudao / Guandao F",723,IF(Atletas!R359="Outra Arma Longa F",724,"")))))))))))))))))))))))))</f>
        <v/>
      </c>
      <c r="BU363" s="52" t="str">
        <f>IF(Atletas!S359="","",IF(Atletas!W359&lt;&gt;"",10000,0)+IF(Atletas!B359="Feminino",1000,IF(Atletas!B359="Masculino",2000,""))+IF(Atletas!S359="Arma Dupla A",801,IF(Atletas!S359="Arma Maleável A",802,IF(Atletas!S359="Arma Dupla B",803,IF(Atletas!S359="Arma Maleável B",804,IF(Atletas!S359="Arma Dupla C",805,IF(Atletas!S359="Arma Maleável C",806,IF(Atletas!S359="Arma Dupla D",807,IF(Atletas!S359="Arma Maleável D",808,IF(Atletas!S359="Arma Dupla E",809,IF(Atletas!S359="Arma Maleável E",810,IF(Atletas!S359="Arma Dupla F",811,IF(Atletas!S359="Arma Maleável F",812, "")))))))))))))</f>
        <v/>
      </c>
      <c r="BV363" s="52" t="str">
        <f>IF(Atletas!T359="","",IF(Atletas!W359&lt;&gt;"",10000,0)+IF(Atletas!B359="Feminino",1000,IF(Atletas!B359="Masculino",2000,""))+IF(Atletas!T359="Taijijian Yang A",901,IF(Atletas!T359="Taijijian Chen A",902,IF(Atletas!T359="Taijijian Sun A",903,IF(Atletas!T359="Taijijian Wu A",904,IF(Atletas!T359="Taijijian Wu-Hao A",905,IF(Atletas!T359="Taijijian 32 A",906,IF(Atletas!T359="Taijijian 42 A",907,IF(Atletas!T359="Taijijian Yang B",908,IF(Atletas!T359="Taijijian Chen B",909,IF(Atletas!T359="Taijijian Sun B",910,IF(Atletas!T359="Taijijian Wu B",911,IF(Atletas!T359="Taijijian Wu-Hao B",912,IF(Atletas!T359="Taijijian 32 B",913,IF(Atletas!T359="Taijijian 42 B",914,IF(Atletas!T359="Taijijian Yang C",915,IF(Atletas!T359="Taijijian Chen C",916,IF(Atletas!T359="Taijijian Sun C",917,IF(Atletas!T359="Taijijian Wu C",918,IF(Atletas!T359="Taijijian Wu-Hao C",919,IF(Atletas!T359="Taijijian 32 C",920,IF(Atletas!T359="Taijijian 42 C",921,IF(Atletas!T359="Taijijian Yang D",922,IF(Atletas!T359="Taijijian Chen D",923,IF(Atletas!T359="Taijijian Sun D",924,IF(Atletas!T359="Taijijian Wu D",925,IF(Atletas!T359="Taijijian Wu-Hao D",926,IF(Atletas!T359="Taijijian 32 D",927,IF(Atletas!T359="Taijijian 42 D",928,IF(Atletas!T359="Taijijian Yang E",929,IF(Atletas!T359="Taijijian Chen E",930,IF(Atletas!T359="Taijijian Sun E",931,IF(Atletas!T359="Taijijian Wu E",932,IF(Atletas!T359="Taijijian Wu-Hao E",933,IF(Atletas!T359="Taijijian 32 E",934,IF(Atletas!T359="Taijijian 42 E",935,IF(Atletas!T359="Taijijian Yang F",936,IF(Atletas!T359="Taijijian Chen F",937,IF(Atletas!T359="Taijijian Sun F",938,IF(Atletas!T359="Taijijian Wu F",939,IF(Atletas!T359="Taijijian Wu-Hao F",940,IF(Atletas!T359="Taijijian 32 F",941,IF(Atletas!T359="Taijijian 42 F",942,"")))))))))))))))))))))))))))))))))))))))))))</f>
        <v/>
      </c>
      <c r="BW363" s="52" t="str">
        <f>IF(Atletas!U359="","",IF(Atletas!W359&lt;&gt;"",10000,0)+IF(Atletas!B359="Feminino",1000,IF(Atletas!B359="Masculino",2000,""))+IF(Atletas!T359="Taijijian 42 F",942,IF(Atletas!U359="Taijidao A",943,IF(Atletas!U359="Taijishan A",944,IF(Atletas!U359="Taijiqiang A",945,IF(Atletas!U359="Taijidao B",946,IF(Atletas!U359="Taijishan B",947,IF(Atletas!U359="Taijiqiang B",948,IF(Atletas!U359="Taijidao C",949,IF(Atletas!U359="Taijishan C",950,IF(Atletas!U359="Taijiqiang C",951,IF(Atletas!U359="Taijidao D",952,IF(Atletas!U359="Taijishan D",953,IF(Atletas!U359="Taijiqiang D",954,IF(Atletas!U359="Taijidao E",955,IF(Atletas!U359="Taijishan E",956,IF(Atletas!U359="Taijiqiang E",957,IF(Atletas!U359="Taijidao F",958,IF(Atletas!U359="Taijishan F",959,IF(Atletas!U359="Taijiqiang F",960))))))))))))))))))))</f>
        <v/>
      </c>
      <c r="BX363" s="72"/>
      <c r="BY363" s="72"/>
      <c r="BZ363" s="72"/>
      <c r="CA363" s="72"/>
      <c r="CB363" s="72"/>
      <c r="CC363" s="64" t="str">
        <f>IF(COUNTIF(BK:BW,11915)&gt;0,COUNTIF(BK:BW,11915),"")</f>
        <v/>
      </c>
      <c r="CD363" s="64" t="str">
        <f>IF(CE363&lt;&gt;"","Taijijian Yang C","")</f>
        <v/>
      </c>
      <c r="CE363" s="64" t="str">
        <f>IF(COUNTIF(BK:BW,12915)&gt;0,COUNTIF(BK:BW,12915),"")</f>
        <v/>
      </c>
      <c r="CF363" s="52" t="str">
        <f xml:space="preserve"> IF(Atletas!V359="","",IF(Atletas!V359="Duilian de Mãos AB - Equipe 1",1,IF(Atletas!V359="Duilian de Mãos AB - Equipe 2",2,IF(Atletas!V359="Duilian de Armas AB - Equipe 1",3,IF(Atletas!V359="Duilian de Armas AB - Equipe 2",4,IF(Atletas!V359="Duilian de Tuishou - Equipe 1",5,IF(Atletas!V359="Duilian de Tuishou - Equipe 2",6,IF(Atletas!V359="Grupo Externo AB - Equipe 1",7,IF(Atletas!V359="Grupo Externo AB - Equipe 2",8,IF(Atletas!V359="Grupo Interno AB - Equipe 1",9,IF(Atletas!V359="Grupo Interno AB - Equipe 2",10,IF(Atletas!V359="Duilian de Mãos CD - Equipe 1",11,IF(Atletas!V359="Duilian de Mãos CD - Equipe 2",12,IF(Atletas!V359="Duilian de Armas CD - Equipe 1",13,IF(Atletas!V359="Duilian de Armas CD - Equipe 2",14,IF(Atletas!V359="Duilian de Tuishou - Equipe 1",15,IF(Atletas!V359="Duilian de Tuishou - Equipe 2",16,IF(Atletas!V359="Grupo Externo CDEF - Equipe 1",17,IF(Atletas!V359="Grupo Externo CDEF - Equipe 2",18,IF(Atletas!V359="Grupo Interno CDEF - Equipe 1",19,IF(Atletas!V359="Grupo Interno CDEF - Equipe 2",20,IF(Atletas!V359="Duilian de Mãos EF - Equipe 1",21,IF(Atletas!V359="Duilian de Mãos EF - Equipe 2",22,IF(Atletas!V359="Duilian de Armas EF - Equipe 1",23,IF(Atletas!V359="Duilian de Armas EF - Equipe 2",24,IF(Atletas!V359="Duilian de Tuishou - Equipe 1",25,IF(Atletas!V359="Duilian de Tuishou - Equipe 2",26,"")))))))))))))))))))))))))))</f>
        <v/>
      </c>
    </row>
    <row r="364" spans="36:84">
      <c r="AJ364" s="46" t="str">
        <f>IF(Atletas!D360="","",IF(Atletas!B360="Feminino",100,IF(Atletas!B360="Masculino",200,""))+(IF(Atletas!D360="Infantil 39kg",1,IF(Atletas!D360="Infantil 42kg",2,IF(Atletas!D360="Infantil 45kg",3,IF(Atletas!D360="Infantil 48kg",4,IF(Atletas!D360="Infantil 52kg",5,IF(Atletas!D360="Infantil 56kg",6,IF(Atletas!D360="Infantil 60kg",7,IF(Atletas!D360="Juvenil 48kg",8,IF(Atletas!D360="Juvenil 52kg",9,IF(Atletas!D360="Juvenil 56kg",10,IF(Atletas!D360="Juvenil 60kg",11,IF(Atletas!D360="Juvenil 65kg",12,IF(Atletas!D360="Juvenil 70kg",13,IF(Atletas!D360="Juvenil 75kg",14,IF(Atletas!D360="Juvenil 80kg",15,IF(Atletas!D360="Adulto 48kg",16,IF(Atletas!D360="Adulto 52kg",17,IF(Atletas!D360="Adulto 56kg",18,IF(Atletas!D360="Adulto 60kg",19,IF(Atletas!D360="Adulto 65kg",20,IF(Atletas!D360="Adulto 70kg",21,IF(Atletas!D360="Adulto 75kg",22,IF(Atletas!D360="Adulto 80kg",23,IF(Atletas!D360="Adulto 85kg",24,IF(Atletas!D360="Adulto 90kg",25,IF(Atletas!D360="Adulto +90kg",26,""))))))))))))))))))))))))))))</f>
        <v/>
      </c>
      <c r="AO364" s="10" t="str">
        <f>IF(Atletas!E360="","",IF(Atletas!B360="Feminino",100,IF(Atletas!B360="Masculino",200,""))+(IF(Atletas!E360="Juvenil 44kg",1,IF(Atletas!E360="Juvenil 48kg",2,IF(Atletas!E360="Juvenil 52kg",3,IF(Atletas!E360="Juvenil 56kg",4,IF(Atletas!E360="Juvenil 60kg",5,IF(Atletas!E360="Juvenil 65kg",6,IF(Atletas!E360="Juvenil 70kg",7,IF(Atletas!E360="Juvenil 75kg",8,IF(Atletas!E360="Juvenil 82kg",9,IF(Atletas!E360="Juvenil 90kg",10,IF(Atletas!E360="Juvenil 100kg",11,IF(Atletas!E360="Adulto 48kg",12,IF(Atletas!E360="Adulto 52kg",13,IF(Atletas!E360="Adulto 56kg",14,IF(Atletas!E360="Adulto 60kg",15,IF(Atletas!E360="Adulto 65kg",16,IF(Atletas!E360="Adulto 70kg",17,IF(Atletas!E360="Adulto 75kg",18,IF(Atletas!E360="Adulto 82kg",19,IF(Atletas!E360="Adulto 90kg",20,IF(Atletas!E360="Adulto 100kg",21,IF(Atletas!E360="Adulto +100kg",22,""))))))))))))))))))))))))</f>
        <v/>
      </c>
      <c r="AT364" s="10" t="str">
        <f>IF(Atletas!F360="","",IF(Atletas!B360="Feminino",100,IF(Atletas!B360="Masculino",200,""))+(IF(Atletas!F360="Adulto 48kg",1,IF(Atletas!F360="Adulto 56kg",2,IF(Atletas!F360="Adulto 65kg",3,IF(Atletas!F360="Adulto 75kg",4,IF(Atletas!F360="Adulto +75kg",5,IF(Atletas!F360="Adulto 52kg",6,IF(Atletas!F360="Adulto 60kg",7,IF(Atletas!F360="Adulto 70kg",8,IF(Atletas!F360="Adulto 80kg",9,IF(Atletas!F360="Adulto 90kg",10,IF(Atletas!F360="Adulto +90kg",11,"")))))))))))))</f>
        <v/>
      </c>
      <c r="AY364" s="46" t="str">
        <f>IF(Atletas!G360="","",IF(Atletas!B360="Feminino",100,IF(Atletas!B360="Masculino",200,""))+(IF(Atletas!G360="Changquan Mirim",1,IF(Atletas!G360="Nanquan Mirim",2,IF(Atletas!G360="Taijiquan Mirim",3,IF(Atletas!G360="Changquan Grupo C",4,IF(Atletas!G360="Nanquan Grupo C",5,IF(Atletas!G360="Taijiquan Grupo C",6,IF(Atletas!G360="Changquan Grupo B",7,IF(Atletas!G360="Nanquan Grupo B",8,IF(Atletas!G360="Taijiquan Grupo B",9,IF(Atletas!G360="Changquan Grupo A",10,IF(Atletas!G360="Nanquan Grupo A",11,IF(Atletas!G360="Taijiquan Grupo A",12,IF(Atletas!G360="Changquan Opcional",13,IF(Atletas!G360="Nanquan Opcional",14,IF(Atletas!G360="Taijiquan Opcional",15,IF(Atletas!G360="Changquan Adulto",16,IF(Atletas!G360="Nanquan Adulto",17,IF(Atletas!G360="Taijiquan Adulto",18,""))))))))))))))))))))</f>
        <v/>
      </c>
      <c r="AZ364" s="46" t="str">
        <f>IF(Atletas!H360="","",IF(Atletas!B360="Feminino",100,IF(Atletas!B360="Masculino",200,""))+(IF(Atletas!H360="Daoshu Mirim",19,IF(Atletas!H360="Jianshu Mirim",20,IF(Atletas!H360="Nandao Mirim",21,IF(Atletas!H360="Taijijian Mirim",22,IF(Atletas!H360="Daoshu Grupo C",23,IF(Atletas!H360="Jianshu Grupo C",24,IF(Atletas!H360="Nandao Grupo C",25,IF(Atletas!H360="Taijijian Grupo C",26,IF(Atletas!H360="Daoshu Grupo B",27,IF(Atletas!H360="Jianshu Grupo B",28,IF(Atletas!H360="Nandao Grupo B",29,IF(Atletas!H360="Taijijian Grupo B",30,IF(Atletas!H360="Daoshu Grupo A",31,IF(Atletas!H360="Jianshu Grupo A",32,IF(Atletas!H360="Nandao Grupo A",33,IF(Atletas!H360="Taijijian Grupo A",34,IF(Atletas!H360="Daoshu Opcional",35,IF(Atletas!H360="Jianshu Opcional",36,IF(Atletas!H360="Nandao Opcional",37,IF(Atletas!H360="Taijijian Opcional",38,IF(Atletas!H360="Daoshu Adulto",39,IF(Atletas!H360="Jianshu Adulto",40,IF(Atletas!H360="Nandao Adulto",41,IF(Atletas!H360="Taijijian Adulto",42,""))))))))))))))))))))))))))</f>
        <v/>
      </c>
      <c r="BA364" s="46" t="str">
        <f>IF(Atletas!I360="","",IF(Atletas!B360="Feminino",100,IF(Atletas!B360="Masculino",200,""))+(IF(Atletas!I360="Gunshu Mirim",43,IF(Atletas!I360="Qiangshu Mirim",44,IF(Atletas!I360="Nangun Mirim",45,IF(Atletas!I360="Gunshu Grupo C",46,IF(Atletas!I360="Qiangshu Grupo C",47,IF(Atletas!I360="Nangun Grupo C",48,IF(Atletas!I360="Gunshu Grupo B",49,IF(Atletas!I360="Qiangshu Grupo B",50,IF(Atletas!I360="Nangun Grupo B",51,IF(Atletas!I360="Gunshu Grupo A",52,IF(Atletas!I360="Qiangshu Grupo A",53,IF(Atletas!I360="Nangun Grupo A",54,IF(Atletas!I360="Gunshu Opcional",55,IF(Atletas!I360="Qiangshu Opcional",56,IF(Atletas!I360="Nangun Opcional",57,IF(Atletas!I360="Gunshu Adulto",58,IF(Atletas!I360="Qiangshu Adulto",59,IF(Atletas!I360="Nangun Adulto",60,""))))))))))))))))))))</f>
        <v/>
      </c>
      <c r="BF364" s="52" t="str">
        <f>IF(Atletas!J360="","",IF(Atletas!B360="Feminino",100,IF(Atletas!B360="Masculino",200,""))+(IF(Atletas!J360="Equipe 1 Grupo B",1,IF(Atletas!J360="Equipe 2 Grupo B",2,IF(Atletas!J360="Equipe 1 Grupo A",3,IF(Atletas!J360="Equipe 2 Grupo A",4,IF(Atletas!J360="Equipe 1 Adulto",5,IF(Atletas!J360="Equipe 2 Adulto",6,""))))))))</f>
        <v/>
      </c>
      <c r="BK364" s="52" t="str">
        <f>IF(Atletas!K360="","",IF(Atletas!W360&lt;&gt;"",10000,0)+(IF(Atletas!B360="Feminino",1000,IF(Atletas!B360="Masculino",2000,""))+IF(Atletas!K360="Choylayfut A",1,IF(Atletas!K360="Hunggar A",2,IF(Atletas!K360="Wuzuquan A",3,IF(Atletas!K360="Wingchun A",4,IF(Atletas!K360="Outra Mão de Sul A",5,IF(Atletas!K360="Choylayfut B",6,IF(Atletas!K360="Hunggar B",7,IF(Atletas!K360="Wuzuquan B",8,IF(Atletas!K360="Wingchun B",9,IF(Atletas!K360="Outra Mão de Sul B",10,IF(Atletas!K360="Choylayfut C",11,IF(Atletas!K360="Hunggar C",12,IF(Atletas!K360="Wuzuquan C",13,IF(Atletas!K360="Wingchun C",14,IF(Atletas!K360="Outra Mão de Sul C",15,IF(Atletas!K360="Choylayfut D",16,IF(Atletas!K360="Hunggar D",17,IF(Atletas!K360="Wuzuquan D",18,IF(Atletas!K360="Wingchun D",19,IF(Atletas!K360="Outra Mão de Sul D",20,IF(Atletas!K360="Choylayfut E",21,IF(Atletas!K360="Hunggar E",22,IF(Atletas!K360="Wuzuquan E",23,IF(Atletas!K360="Wingchun E",24,IF(Atletas!K360="Outra Mão de Sul E",25,IF(Atletas!K360="Choylayfut F",26,IF(Atletas!K360="Hunggar F",27,IF(Atletas!K360="Wuzuquan F",28,IF(Atletas!K360="Wingchun F",29,IF(Atletas!K360="Outra Mão de Sul F",30,""))))))))))))))))))))))))))))))))</f>
        <v/>
      </c>
      <c r="BL364" s="52" t="str">
        <f>IF(Atletas!L360="","",IF(Atletas!W360&lt;&gt;"",10000,0)+(IF(Atletas!B360="Feminino",1000,IF(Atletas!B360="Masculino",2000,""))+(IF(Atletas!L360="Chaquan A",101,IF(Atletas!L360="Emeiquan A",102,IF(Atletas!L360="Fanziquan A",103,IF(Atletas!L360="Huaquan A",104,IF(Atletas!L360="Hongquan A",105,IF(Atletas!L360="Paochui A",106,IF(Atletas!L360="Piguaquan A",107,IF(Atletas!L360="Shaolinquan A",108,IF(Atletas!L360="Tanglangquan A",109,IF(Atletas!L360="Yinzhaophai A",110,IF(Atletas!L360="Tongbeiquan A",111,IF(Atletas!L360="Wudangquan A",112,IF(Atletas!L360="Outros Estilos A",113,IF(Atletas!L360="Chaquan B",114,IF(Atletas!L360="Emeiquan B",115,IF(Atletas!L360="Fanziquan B",116,IF(Atletas!L360="Huaquan B",117,IF(Atletas!L360="Hongquan B",118,IF(Atletas!L360="Paochui B",119,IF(Atletas!L360="Piguaquan B",120,IF(Atletas!L360="Shaolinquan B",121,IF(Atletas!L360="Tanglangquan B",122,IF(Atletas!L360="Yinzhaophai B",123,IF(Atletas!L360="Tongbeiquan B",124,IF(Atletas!L360="Wudangquan B",125,IF(Atletas!L360="Outros Estilos B",126,IF(Atletas!L360="Chaquan C",127,IF(Atletas!L360="Emeiquan C",128,IF(Atletas!L360="Fanziquan C",129,IF(Atletas!L360="Huaquan C",130,IF(Atletas!L360="Hongquan C",131,IF(Atletas!L360="Paochui C",132,IF(Atletas!L360="Piguaquan C",133,IF(Atletas!L360="Shaolinquan C",134,IF(Atletas!L360="Tanglangquan C",135,IF(Atletas!L360="Yinzhaophai C",136,IF(Atletas!L360="Tongbeiquan C",137,IF(Atletas!L360="Wudangquan C",138,IF(Atletas!L360="Outros Estilos C",139,0))))))))))))))))))))))))))))))))))))))))))</f>
        <v/>
      </c>
      <c r="BM364" s="52" t="str">
        <f>IF(Atletas!L360="","",IF(Atletas!W360&lt;&gt;"",10000,0)+(IF(Atletas!B360="Feminino",1000,IF(Atletas!B360="Masculino",2000,""))+(IF(Atletas!L360="Chaquan D",140,IF(Atletas!L360="Emeiquan D",141,IF(Atletas!L360="Fanziquan D",142,IF(Atletas!L360="Huaquan D",143,IF(Atletas!L360="Hongquan D",144,IF(Atletas!L360="Paochui D",145,IF(Atletas!L360="Piguaquan D",146,IF(Atletas!L360="Shaolinquan D",147,IF(Atletas!L360="Tanglangquan D",148,IF(Atletas!L360="Yinzhaophai D",149,IF(Atletas!L360="Tongbeiquan D",150,IF(Atletas!L360="Wudangquan D",151,IF(Atletas!L360="Outros Estilos D",152,IF(Atletas!L360="Chaquan E",153,IF(Atletas!L360="Emeiquan E",154,IF(Atletas!L360="Fanziquan E",155,IF(Atletas!L360="Huaquan E",156,IF(Atletas!L360="Hongquan E",157,IF(Atletas!L360="Paochui E",158,IF(Atletas!L360="Piguaquan E",159,IF(Atletas!L360="Shaolinquan E",160,IF(Atletas!L360="Tanglangquan E",161,IF(Atletas!L360="Yinzhaophai E",162,IF(Atletas!L360="Tongbeiquan E",163,IF(Atletas!L360="Wudangquan E",164,IF(Atletas!L360="Outros Estilos E",165,IF(Atletas!L360="Chaquan F",166,IF(Atletas!L360="Emeiquan F",167,IF(Atletas!L360="Fanziquan F",168,IF(Atletas!L360="Huaquan F",169,IF(Atletas!L360="Hongquan F",170,IF(Atletas!L360="Paochui F",171,IF(Atletas!L360="Piguaquan F",172,IF(Atletas!L360="Shaolinquan F",173,IF(Atletas!L360="Tanglangquan F",174,IF(Atletas!L360="Yinzhaophai F",175,IF(Atletas!L360="Tongbeiquan F",176,IF(Atletas!L360="Wudangquan F",177,IF(Atletas!L360="Outros Estilos F",178,0))))))))))))))))))))))))))))))))))))))))))</f>
        <v/>
      </c>
      <c r="BN364" s="52" t="str">
        <f>IF(Atletas!M360="","",IF(Atletas!W360&lt;&gt;"",10000,0)+(IF(Atletas!B360="Feminino",1000,IF(Atletas!B360="Masculino",2000,""))+(IF(Atletas!M360="Ditangquan A",201,IF(Atletas!M360="Houquan A",202,IF(Atletas!M360="Zuiquan A",203,IF(Atletas!M360="Ditangquan B",204,IF(Atletas!M360="Houquan B",205,IF(Atletas!M360="Zuiquan B",206,IF(Atletas!M360="Ditangquan C",207,IF(Atletas!M360="Houquan C",208,IF(Atletas!M360="Zuiquan C",209,IF(Atletas!M360="Ditangquan D",210,IF(Atletas!M360="Houquan D",211,IF(Atletas!M360="Zuiquan D",212,IF(Atletas!M360="Ditangquan E",213,IF(Atletas!M360="Houquan E",214,IF(Atletas!M360="Zuiquan E",215,IF(Atletas!M360="Ditangquan F",216,IF(Atletas!M360="Houquan F",217,IF(Atletas!M360="Zuiquan F",218,"")))))))))))))))))))))</f>
        <v/>
      </c>
      <c r="BO364" s="52" t="str">
        <f>IF(Atletas!N360="","",IF(Atletas!W360&lt;&gt;"",10000,0)+IF(Atletas!B360="Feminino",1000,IF(Atletas!B360="Masculino",2000,""))+IF(Atletas!N360="Yang A",301,IF(Atletas!N360="Chen A",30,IF(Atletas!N360="Sun A",303,IF(Atletas!N360="Wu A",304,IF(Atletas!N360="Wu-Hao A",305,IF(Atletas!N360="Outro Taijiquan A",306,IF(Atletas!N360="Yang B",307,IF(Atletas!N360="Chen B",308,IF(Atletas!N360="Sun B",309,IF(Atletas!N360="Wu B",310,IF(Atletas!N360="Wu-Hao B",311,IF(Atletas!N360="Outro Taijiquan B",312,IF(Atletas!N360="Yang C",313,IF(Atletas!N360="Chen C",314,IF(Atletas!N360="Sun C",315,IF(Atletas!N360="Wu C",316,IF(Atletas!N360="Wu-Hao C",317,IF(Atletas!N360="Outro Taijiquan C",318,IF(Atletas!N360="Yang D",319,IF(Atletas!N360="Chen D",320,IF(Atletas!N360="Sun D",321,IF(Atletas!N360="Wu D",322,IF(Atletas!N360="Wu-Hao D",323,IF(Atletas!N360="Outro Taijiquan D",324,IF(Atletas!N360="Yang E",325,IF(Atletas!N360="Chen E",326,IF(Atletas!N360="Sun E",327,IF(Atletas!N360="Wu E",328,IF(Atletas!N360="Wu-Hao E",329,IF(Atletas!N360="Outro Taijiquan E",330,IF(Atletas!N360="Yang F",331,IF(Atletas!N360="Chen F",332,IF(Atletas!N360="Sun F",333,IF(Atletas!N360="Wu F",334,IF(Atletas!N360="Wu-Hao F",335,IF(Atletas!N360="Outro Taijiquan F",336,"")))))))))))))))))))))))))))))))))))))</f>
        <v/>
      </c>
      <c r="BP364" s="52" t="str">
        <f>IF(Atletas!O360="","",IF(Atletas!W360&lt;&gt;"",10000,0)+IF(Atletas!B360="Feminino",1000,IF(Atletas!B360="Masculino",2000,""))+IF(OR(Atletas!O360="Yang 26 A",Atletas!O360="Yang 40 A"),401,IF(OR(Atletas!O360="Chen 25 A",Atletas!O360="Chen 36 A",Atletas!O360="Chen 56 A"),402,IF(Atletas!O360="Sun 73 A",403,IF(Atletas!O360="Wu 45 A",404,IF(Atletas!O360="Wu-Hao 46 A",405,IF(OR(Atletas!O360="Taijiquan 16 A",Atletas!O360="Taijiquan 24 A",Atletas!O360="Taijiquan 32 A",Atletas!O360="Taijiquan 42 A"),406,IF(OR(Atletas!O360="Yang 26 B",Atletas!O360="Yang 40 B"),407,IF(OR(Atletas!O360="Chen 25 B",Atletas!O360="Chen 36 B",Atletas!O360="Chen 56 B"),408,IF(Atletas!O360="Sun 73 B",409,IF(Atletas!O360="Wu 45 B",410,IF(Atletas!O360="Wu-Hao 46 B",411,IF(OR(Atletas!O360="Taijiquan 16 B",Atletas!O360="Taijiquan 24 B",Atletas!O360="Taijiquan 32 B",Atletas!O360="Taijiquan 42 B"),412,IF(OR(Atletas!O360="Yang 26 C",Atletas!O360="Yang 40 C"),413,IF(OR(Atletas!O360="Chen 25 C",Atletas!O360="Chen 36 C",Atletas!O360="Chen 56 C"),414,IF(Atletas!O360="Sun 73 C",415,IF(Atletas!O360="Wu 45 C",416,IF(Atletas!O360="Wu-Hao 46 C",417,IF(OR(Atletas!O360="Taijiquan 16 C",Atletas!O360="Taijiquan 24 C",Atletas!O360="Taijiquan 32 C",Atletas!O360="Taijiquan 42 C"),418,0)))))))))))))))))))</f>
        <v/>
      </c>
      <c r="BQ364" s="52" t="str">
        <f>IF(Atletas!O360="","",IF(Atletas!W360&lt;&gt;"",10000,0)+IF(Atletas!B360="Feminino",1000,IF(Atletas!B360="Masculino",2000,""))+IF(OR(Atletas!O360="Yang 26 D",Atletas!O360="Yang 40 D"),419,IF(OR(Atletas!O360="Chen 25 D",Atletas!O360="Chen 36 D",Atletas!O360="Chen 56 D"),420,IF(Atletas!O360="Sun 73 D",421,IF(Atletas!O360="Wu 45 D",422,IF(Atletas!O360="Wu-Hao 46 D",423,IF(OR(Atletas!O360="Taijiquan 16 D",Atletas!O360="Taijiquan 24 D",Atletas!O360="Taijiquan 32 D",Atletas!O360="Taijiquan 42 D"),424,IF(OR(Atletas!O360="Yang 26 E",Atletas!O360="Yang 40 E"),425,IF(OR(Atletas!O360="Chen 25 E",Atletas!O360="Chen 36 E",Atletas!O360="Chen 56 E"),426,IF(Atletas!O360="Sun 73 E",427,IF(Atletas!O360="Wu 45 E",428,IF(Atletas!O360="Wu-Hao 46 E",429,IF(OR(Atletas!O360="Taijiquan 16 E",Atletas!O360="Taijiquan 24 E",Atletas!O360="Taijiquan 32 E",Atletas!O360="Taijiquan 42 E"),430,IF(OR(Atletas!O360="Yang 26 F",Atletas!O360="Yang 40 F"),431,IF(OR(Atletas!O360="Chen 25 F",Atletas!O360="Chen 36 F",Atletas!O360="Chen 56 F"),432,IF(Atletas!O360="Sun 73 F",433,IF(Atletas!O360="Wu 45 F",434,IF(Atletas!O360="Wu-Hao 46 F",435,IF(OR(Atletas!O360="Taijiquan 16 F",Atletas!O360="Taijiquan 24 F",Atletas!O360="Taijiquan 32 F",Atletas!O360="Taijiquan 42 F"),436,0)))))))))))))))))))</f>
        <v/>
      </c>
      <c r="BR364" s="52" t="str">
        <f>IF(Atletas!P360="","",IF(Atletas!W360&lt;&gt;"",10000,0)+IF(Atletas!B360="Feminino",1000,IF(Atletas!B360="Masculino",2000,""))+IF(Atletas!P360="Xingyiquan A",501,IF(Atletas!P360="Baguazhang A",502,IF(Atletas!P360="Outro Estilo Interno A",503,IF(Atletas!P360="Xingyiquan B",504,IF(Atletas!P360="Baguazhang B",505,IF(Atletas!P360="Outro Estilo Interno B",506,IF(Atletas!P360="Xingyiquan C",507,IF(Atletas!P360="Baguazhang C",508,IF(Atletas!P360="Outro Estilo Interno C",509,IF(Atletas!P360="Xingyiquan D",510,IF(Atletas!P360="Baguazhang D",511,IF(Atletas!P360="Outro Estilo Interno D",512,IF(Atletas!P360="Xingyiquan E",513,IF(Atletas!P360="Baguazhang E",514,IF(Atletas!P360="Outro Estilo Interno E",515,IF(Atletas!P360="Xingyiquan F",516,IF(Atletas!P360="Baguazhang F",517,IF(Atletas!P360="Outro Estilo Interno F",518, "")))))))))))))))))))</f>
        <v/>
      </c>
      <c r="BS364" s="52" t="str">
        <f>IF(Atletas!Q360="","",IF(Atletas!W360&lt;&gt;"",10000,0)+IF(Atletas!B360="Feminino",1000,IF(Atletas!B360="Masculino",2000,""))+IF(Atletas!Q360="Dao A",601,IF(Atletas!Q360="Jian A",602,IF(Atletas!Q360="Bishou A",603,IF(Atletas!Q360="Shan A",604,IF(Atletas!Q360="Outra Arma Curta A",605,IF(Atletas!Q360="Dao B",606,IF(Atletas!Q360="Jian B",607,IF(Atletas!Q360="Bishou B",608,IF(Atletas!Q360="Shan B",609,IF(Atletas!Q360="Outra Arma Curta B",610,IF(Atletas!Q360="Dao C",611,IF(Atletas!Q360="Jian C",612,IF(Atletas!Q360="Bishou C",613,IF(Atletas!Q360="Shan C",614,IF(Atletas!Q360="Outra Arma Curta C",615,IF(Atletas!Q360="Dao D",616,IF(Atletas!Q360="Jian D",617,IF(Atletas!Q360="Bishou D",618,IF(Atletas!Q360="Shan D",619,IF(Atletas!Q360="Outra Arma Curta D",620,IF(Atletas!Q360="Dao E",621,IF(Atletas!Q360="Jian E",622,IF(Atletas!Q360="Bishou E",623,IF(Atletas!Q360="Shan E",624,IF(Atletas!Q360="Outra Arma Curta E",625,IF(Atletas!Q360="Dao F",626,IF(Atletas!Q360="Jian F",627,IF(Atletas!Q360="Bishou F",628,IF(Atletas!Q360="Shan F",629,IF(Atletas!Q360="Outra Arma Curta F",630, "")))))))))))))))))))))))))))))))</f>
        <v/>
      </c>
      <c r="BT364" s="52" t="str">
        <f>IF(Atletas!R360="","",IF(Atletas!W360&lt;&gt;"",10000,0)+IF(Atletas!B360="Feminino",1000,IF(Atletas!B360="Masculino",2000,""))+IF(Atletas!R360="Gun A",701,IF(Atletas!R360="Qiang A",702,IF(Atletas!R360="Pudao / Guandao A",703,IF(Atletas!R360="Outra Arma Longa A",704,IF(Atletas!R360="Gun B",705,IF(Atletas!R360="Qiang B",706,IF(Atletas!R360="Pudao / Guandao B",707,IF(Atletas!R360="Outra Arma Longa B",708,IF(Atletas!R360="Gun C",709,IF(Atletas!R360="Qiang C",710,IF(Atletas!R360="Pudao / Guandao C",711,IF(Atletas!R360="Outra Arma Longa C",712,IF(Atletas!R360="Gun D",713,IF(Atletas!R360="Qiang D",714,IF(Atletas!R360="Pudao / Guandao D",715,IF(Atletas!R360="Outra Arma Longa D",716,IF(Atletas!R360="Gun E",717,IF(Atletas!R360="Qiang E",718,IF(Atletas!R360="Pudao / Guandao E",719,IF(Atletas!R360="Outra Arma Longa E",720,IF(Atletas!R360="Gun F",721,IF(Atletas!R360="Qiang F",722,IF(Atletas!R360="Pudao / Guandao F",723,IF(Atletas!R360="Outra Arma Longa F",724,"")))))))))))))))))))))))))</f>
        <v/>
      </c>
      <c r="BU364" s="52" t="str">
        <f>IF(Atletas!S360="","",IF(Atletas!W360&lt;&gt;"",10000,0)+IF(Atletas!B360="Feminino",1000,IF(Atletas!B360="Masculino",2000,""))+IF(Atletas!S360="Arma Dupla A",801,IF(Atletas!S360="Arma Maleável A",802,IF(Atletas!S360="Arma Dupla B",803,IF(Atletas!S360="Arma Maleável B",804,IF(Atletas!S360="Arma Dupla C",805,IF(Atletas!S360="Arma Maleável C",806,IF(Atletas!S360="Arma Dupla D",807,IF(Atletas!S360="Arma Maleável D",808,IF(Atletas!S360="Arma Dupla E",809,IF(Atletas!S360="Arma Maleável E",810,IF(Atletas!S360="Arma Dupla F",811,IF(Atletas!S360="Arma Maleável F",812, "")))))))))))))</f>
        <v/>
      </c>
      <c r="BV364" s="52" t="str">
        <f>IF(Atletas!T360="","",IF(Atletas!W360&lt;&gt;"",10000,0)+IF(Atletas!B360="Feminino",1000,IF(Atletas!B360="Masculino",2000,""))+IF(Atletas!T360="Taijijian Yang A",901,IF(Atletas!T360="Taijijian Chen A",902,IF(Atletas!T360="Taijijian Sun A",903,IF(Atletas!T360="Taijijian Wu A",904,IF(Atletas!T360="Taijijian Wu-Hao A",905,IF(Atletas!T360="Taijijian 32 A",906,IF(Atletas!T360="Taijijian 42 A",907,IF(Atletas!T360="Taijijian Yang B",908,IF(Atletas!T360="Taijijian Chen B",909,IF(Atletas!T360="Taijijian Sun B",910,IF(Atletas!T360="Taijijian Wu B",911,IF(Atletas!T360="Taijijian Wu-Hao B",912,IF(Atletas!T360="Taijijian 32 B",913,IF(Atletas!T360="Taijijian 42 B",914,IF(Atletas!T360="Taijijian Yang C",915,IF(Atletas!T360="Taijijian Chen C",916,IF(Atletas!T360="Taijijian Sun C",917,IF(Atletas!T360="Taijijian Wu C",918,IF(Atletas!T360="Taijijian Wu-Hao C",919,IF(Atletas!T360="Taijijian 32 C",920,IF(Atletas!T360="Taijijian 42 C",921,IF(Atletas!T360="Taijijian Yang D",922,IF(Atletas!T360="Taijijian Chen D",923,IF(Atletas!T360="Taijijian Sun D",924,IF(Atletas!T360="Taijijian Wu D",925,IF(Atletas!T360="Taijijian Wu-Hao D",926,IF(Atletas!T360="Taijijian 32 D",927,IF(Atletas!T360="Taijijian 42 D",928,IF(Atletas!T360="Taijijian Yang E",929,IF(Atletas!T360="Taijijian Chen E",930,IF(Atletas!T360="Taijijian Sun E",931,IF(Atletas!T360="Taijijian Wu E",932,IF(Atletas!T360="Taijijian Wu-Hao E",933,IF(Atletas!T360="Taijijian 32 E",934,IF(Atletas!T360="Taijijian 42 E",935,IF(Atletas!T360="Taijijian Yang F",936,IF(Atletas!T360="Taijijian Chen F",937,IF(Atletas!T360="Taijijian Sun F",938,IF(Atletas!T360="Taijijian Wu F",939,IF(Atletas!T360="Taijijian Wu-Hao F",940,IF(Atletas!T360="Taijijian 32 F",941,IF(Atletas!T360="Taijijian 42 F",942,"")))))))))))))))))))))))))))))))))))))))))))</f>
        <v/>
      </c>
      <c r="BW364" s="52" t="str">
        <f>IF(Atletas!U360="","",IF(Atletas!W360&lt;&gt;"",10000,0)+IF(Atletas!B360="Feminino",1000,IF(Atletas!B360="Masculino",2000,""))+IF(Atletas!T360="Taijijian 42 F",942,IF(Atletas!U360="Taijidao A",943,IF(Atletas!U360="Taijishan A",944,IF(Atletas!U360="Taijiqiang A",945,IF(Atletas!U360="Taijidao B",946,IF(Atletas!U360="Taijishan B",947,IF(Atletas!U360="Taijiqiang B",948,IF(Atletas!U360="Taijidao C",949,IF(Atletas!U360="Taijishan C",950,IF(Atletas!U360="Taijiqiang C",951,IF(Atletas!U360="Taijidao D",952,IF(Atletas!U360="Taijishan D",953,IF(Atletas!U360="Taijiqiang D",954,IF(Atletas!U360="Taijidao E",955,IF(Atletas!U360="Taijishan E",956,IF(Atletas!U360="Taijiqiang E",957,IF(Atletas!U360="Taijidao F",958,IF(Atletas!U360="Taijishan F",959,IF(Atletas!U360="Taijiqiang F",960))))))))))))))))))))</f>
        <v/>
      </c>
      <c r="BX364" s="72"/>
      <c r="BY364" s="72"/>
      <c r="BZ364" s="72"/>
      <c r="CA364" s="72"/>
      <c r="CB364" s="72"/>
      <c r="CC364" s="64" t="str">
        <f>IF(COUNTIF(BK:BW,11916)&gt;0,COUNTIF(BK:BW,11916),"")</f>
        <v/>
      </c>
      <c r="CD364" s="64" t="str">
        <f>IF(CE364&lt;&gt;"","Taijijian Chen C","")</f>
        <v/>
      </c>
      <c r="CE364" s="64" t="str">
        <f>IF(COUNTIF(BK:BW,12916)&gt;0,COUNTIF(BK:BW,12916),"")</f>
        <v/>
      </c>
      <c r="CF364" s="52" t="str">
        <f xml:space="preserve"> IF(Atletas!V360="","",IF(Atletas!V360="Duilian de Mãos AB - Equipe 1",1,IF(Atletas!V360="Duilian de Mãos AB - Equipe 2",2,IF(Atletas!V360="Duilian de Armas AB - Equipe 1",3,IF(Atletas!V360="Duilian de Armas AB - Equipe 2",4,IF(Atletas!V360="Duilian de Tuishou - Equipe 1",5,IF(Atletas!V360="Duilian de Tuishou - Equipe 2",6,IF(Atletas!V360="Grupo Externo AB - Equipe 1",7,IF(Atletas!V360="Grupo Externo AB - Equipe 2",8,IF(Atletas!V360="Grupo Interno AB - Equipe 1",9,IF(Atletas!V360="Grupo Interno AB - Equipe 2",10,IF(Atletas!V360="Duilian de Mãos CD - Equipe 1",11,IF(Atletas!V360="Duilian de Mãos CD - Equipe 2",12,IF(Atletas!V360="Duilian de Armas CD - Equipe 1",13,IF(Atletas!V360="Duilian de Armas CD - Equipe 2",14,IF(Atletas!V360="Duilian de Tuishou - Equipe 1",15,IF(Atletas!V360="Duilian de Tuishou - Equipe 2",16,IF(Atletas!V360="Grupo Externo CDEF - Equipe 1",17,IF(Atletas!V360="Grupo Externo CDEF - Equipe 2",18,IF(Atletas!V360="Grupo Interno CDEF - Equipe 1",19,IF(Atletas!V360="Grupo Interno CDEF - Equipe 2",20,IF(Atletas!V360="Duilian de Mãos EF - Equipe 1",21,IF(Atletas!V360="Duilian de Mãos EF - Equipe 2",22,IF(Atletas!V360="Duilian de Armas EF - Equipe 1",23,IF(Atletas!V360="Duilian de Armas EF - Equipe 2",24,IF(Atletas!V360="Duilian de Tuishou - Equipe 1",25,IF(Atletas!V360="Duilian de Tuishou - Equipe 2",26,"")))))))))))))))))))))))))))</f>
        <v/>
      </c>
    </row>
    <row r="365" spans="36:84">
      <c r="AJ365" s="46" t="str">
        <f>IF(Atletas!D361="","",IF(Atletas!B361="Feminino",100,IF(Atletas!B361="Masculino",200,""))+(IF(Atletas!D361="Infantil 39kg",1,IF(Atletas!D361="Infantil 42kg",2,IF(Atletas!D361="Infantil 45kg",3,IF(Atletas!D361="Infantil 48kg",4,IF(Atletas!D361="Infantil 52kg",5,IF(Atletas!D361="Infantil 56kg",6,IF(Atletas!D361="Infantil 60kg",7,IF(Atletas!D361="Juvenil 48kg",8,IF(Atletas!D361="Juvenil 52kg",9,IF(Atletas!D361="Juvenil 56kg",10,IF(Atletas!D361="Juvenil 60kg",11,IF(Atletas!D361="Juvenil 65kg",12,IF(Atletas!D361="Juvenil 70kg",13,IF(Atletas!D361="Juvenil 75kg",14,IF(Atletas!D361="Juvenil 80kg",15,IF(Atletas!D361="Adulto 48kg",16,IF(Atletas!D361="Adulto 52kg",17,IF(Atletas!D361="Adulto 56kg",18,IF(Atletas!D361="Adulto 60kg",19,IF(Atletas!D361="Adulto 65kg",20,IF(Atletas!D361="Adulto 70kg",21,IF(Atletas!D361="Adulto 75kg",22,IF(Atletas!D361="Adulto 80kg",23,IF(Atletas!D361="Adulto 85kg",24,IF(Atletas!D361="Adulto 90kg",25,IF(Atletas!D361="Adulto +90kg",26,""))))))))))))))))))))))))))))</f>
        <v/>
      </c>
      <c r="AO365" s="10" t="str">
        <f>IF(Atletas!E361="","",IF(Atletas!B361="Feminino",100,IF(Atletas!B361="Masculino",200,""))+(IF(Atletas!E361="Juvenil 44kg",1,IF(Atletas!E361="Juvenil 48kg",2,IF(Atletas!E361="Juvenil 52kg",3,IF(Atletas!E361="Juvenil 56kg",4,IF(Atletas!E361="Juvenil 60kg",5,IF(Atletas!E361="Juvenil 65kg",6,IF(Atletas!E361="Juvenil 70kg",7,IF(Atletas!E361="Juvenil 75kg",8,IF(Atletas!E361="Juvenil 82kg",9,IF(Atletas!E361="Juvenil 90kg",10,IF(Atletas!E361="Juvenil 100kg",11,IF(Atletas!E361="Adulto 48kg",12,IF(Atletas!E361="Adulto 52kg",13,IF(Atletas!E361="Adulto 56kg",14,IF(Atletas!E361="Adulto 60kg",15,IF(Atletas!E361="Adulto 65kg",16,IF(Atletas!E361="Adulto 70kg",17,IF(Atletas!E361="Adulto 75kg",18,IF(Atletas!E361="Adulto 82kg",19,IF(Atletas!E361="Adulto 90kg",20,IF(Atletas!E361="Adulto 100kg",21,IF(Atletas!E361="Adulto +100kg",22,""))))))))))))))))))))))))</f>
        <v/>
      </c>
      <c r="AT365" s="10" t="str">
        <f>IF(Atletas!F361="","",IF(Atletas!B361="Feminino",100,IF(Atletas!B361="Masculino",200,""))+(IF(Atletas!F361="Adulto 48kg",1,IF(Atletas!F361="Adulto 56kg",2,IF(Atletas!F361="Adulto 65kg",3,IF(Atletas!F361="Adulto 75kg",4,IF(Atletas!F361="Adulto +75kg",5,IF(Atletas!F361="Adulto 52kg",6,IF(Atletas!F361="Adulto 60kg",7,IF(Atletas!F361="Adulto 70kg",8,IF(Atletas!F361="Adulto 80kg",9,IF(Atletas!F361="Adulto 90kg",10,IF(Atletas!F361="Adulto +90kg",11,"")))))))))))))</f>
        <v/>
      </c>
      <c r="AY365" s="46" t="str">
        <f>IF(Atletas!G361="","",IF(Atletas!B361="Feminino",100,IF(Atletas!B361="Masculino",200,""))+(IF(Atletas!G361="Changquan Mirim",1,IF(Atletas!G361="Nanquan Mirim",2,IF(Atletas!G361="Taijiquan Mirim",3,IF(Atletas!G361="Changquan Grupo C",4,IF(Atletas!G361="Nanquan Grupo C",5,IF(Atletas!G361="Taijiquan Grupo C",6,IF(Atletas!G361="Changquan Grupo B",7,IF(Atletas!G361="Nanquan Grupo B",8,IF(Atletas!G361="Taijiquan Grupo B",9,IF(Atletas!G361="Changquan Grupo A",10,IF(Atletas!G361="Nanquan Grupo A",11,IF(Atletas!G361="Taijiquan Grupo A",12,IF(Atletas!G361="Changquan Opcional",13,IF(Atletas!G361="Nanquan Opcional",14,IF(Atletas!G361="Taijiquan Opcional",15,IF(Atletas!G361="Changquan Adulto",16,IF(Atletas!G361="Nanquan Adulto",17,IF(Atletas!G361="Taijiquan Adulto",18,""))))))))))))))))))))</f>
        <v/>
      </c>
      <c r="AZ365" s="46" t="str">
        <f>IF(Atletas!H361="","",IF(Atletas!B361="Feminino",100,IF(Atletas!B361="Masculino",200,""))+(IF(Atletas!H361="Daoshu Mirim",19,IF(Atletas!H361="Jianshu Mirim",20,IF(Atletas!H361="Nandao Mirim",21,IF(Atletas!H361="Taijijian Mirim",22,IF(Atletas!H361="Daoshu Grupo C",23,IF(Atletas!H361="Jianshu Grupo C",24,IF(Atletas!H361="Nandao Grupo C",25,IF(Atletas!H361="Taijijian Grupo C",26,IF(Atletas!H361="Daoshu Grupo B",27,IF(Atletas!H361="Jianshu Grupo B",28,IF(Atletas!H361="Nandao Grupo B",29,IF(Atletas!H361="Taijijian Grupo B",30,IF(Atletas!H361="Daoshu Grupo A",31,IF(Atletas!H361="Jianshu Grupo A",32,IF(Atletas!H361="Nandao Grupo A",33,IF(Atletas!H361="Taijijian Grupo A",34,IF(Atletas!H361="Daoshu Opcional",35,IF(Atletas!H361="Jianshu Opcional",36,IF(Atletas!H361="Nandao Opcional",37,IF(Atletas!H361="Taijijian Opcional",38,IF(Atletas!H361="Daoshu Adulto",39,IF(Atletas!H361="Jianshu Adulto",40,IF(Atletas!H361="Nandao Adulto",41,IF(Atletas!H361="Taijijian Adulto",42,""))))))))))))))))))))))))))</f>
        <v/>
      </c>
      <c r="BA365" s="46" t="str">
        <f>IF(Atletas!I361="","",IF(Atletas!B361="Feminino",100,IF(Atletas!B361="Masculino",200,""))+(IF(Atletas!I361="Gunshu Mirim",43,IF(Atletas!I361="Qiangshu Mirim",44,IF(Atletas!I361="Nangun Mirim",45,IF(Atletas!I361="Gunshu Grupo C",46,IF(Atletas!I361="Qiangshu Grupo C",47,IF(Atletas!I361="Nangun Grupo C",48,IF(Atletas!I361="Gunshu Grupo B",49,IF(Atletas!I361="Qiangshu Grupo B",50,IF(Atletas!I361="Nangun Grupo B",51,IF(Atletas!I361="Gunshu Grupo A",52,IF(Atletas!I361="Qiangshu Grupo A",53,IF(Atletas!I361="Nangun Grupo A",54,IF(Atletas!I361="Gunshu Opcional",55,IF(Atletas!I361="Qiangshu Opcional",56,IF(Atletas!I361="Nangun Opcional",57,IF(Atletas!I361="Gunshu Adulto",58,IF(Atletas!I361="Qiangshu Adulto",59,IF(Atletas!I361="Nangun Adulto",60,""))))))))))))))))))))</f>
        <v/>
      </c>
      <c r="BF365" s="52" t="str">
        <f>IF(Atletas!J361="","",IF(Atletas!B361="Feminino",100,IF(Atletas!B361="Masculino",200,""))+(IF(Atletas!J361="Equipe 1 Grupo B",1,IF(Atletas!J361="Equipe 2 Grupo B",2,IF(Atletas!J361="Equipe 1 Grupo A",3,IF(Atletas!J361="Equipe 2 Grupo A",4,IF(Atletas!J361="Equipe 1 Adulto",5,IF(Atletas!J361="Equipe 2 Adulto",6,""))))))))</f>
        <v/>
      </c>
      <c r="BK365" s="52" t="str">
        <f>IF(Atletas!K361="","",IF(Atletas!W361&lt;&gt;"",10000,0)+(IF(Atletas!B361="Feminino",1000,IF(Atletas!B361="Masculino",2000,""))+IF(Atletas!K361="Choylayfut A",1,IF(Atletas!K361="Hunggar A",2,IF(Atletas!K361="Wuzuquan A",3,IF(Atletas!K361="Wingchun A",4,IF(Atletas!K361="Outra Mão de Sul A",5,IF(Atletas!K361="Choylayfut B",6,IF(Atletas!K361="Hunggar B",7,IF(Atletas!K361="Wuzuquan B",8,IF(Atletas!K361="Wingchun B",9,IF(Atletas!K361="Outra Mão de Sul B",10,IF(Atletas!K361="Choylayfut C",11,IF(Atletas!K361="Hunggar C",12,IF(Atletas!K361="Wuzuquan C",13,IF(Atletas!K361="Wingchun C",14,IF(Atletas!K361="Outra Mão de Sul C",15,IF(Atletas!K361="Choylayfut D",16,IF(Atletas!K361="Hunggar D",17,IF(Atletas!K361="Wuzuquan D",18,IF(Atletas!K361="Wingchun D",19,IF(Atletas!K361="Outra Mão de Sul D",20,IF(Atletas!K361="Choylayfut E",21,IF(Atletas!K361="Hunggar E",22,IF(Atletas!K361="Wuzuquan E",23,IF(Atletas!K361="Wingchun E",24,IF(Atletas!K361="Outra Mão de Sul E",25,IF(Atletas!K361="Choylayfut F",26,IF(Atletas!K361="Hunggar F",27,IF(Atletas!K361="Wuzuquan F",28,IF(Atletas!K361="Wingchun F",29,IF(Atletas!K361="Outra Mão de Sul F",30,""))))))))))))))))))))))))))))))))</f>
        <v/>
      </c>
      <c r="BL365" s="52" t="str">
        <f>IF(Atletas!L361="","",IF(Atletas!W361&lt;&gt;"",10000,0)+(IF(Atletas!B361="Feminino",1000,IF(Atletas!B361="Masculino",2000,""))+(IF(Atletas!L361="Chaquan A",101,IF(Atletas!L361="Emeiquan A",102,IF(Atletas!L361="Fanziquan A",103,IF(Atletas!L361="Huaquan A",104,IF(Atletas!L361="Hongquan A",105,IF(Atletas!L361="Paochui A",106,IF(Atletas!L361="Piguaquan A",107,IF(Atletas!L361="Shaolinquan A",108,IF(Atletas!L361="Tanglangquan A",109,IF(Atletas!L361="Yinzhaophai A",110,IF(Atletas!L361="Tongbeiquan A",111,IF(Atletas!L361="Wudangquan A",112,IF(Atletas!L361="Outros Estilos A",113,IF(Atletas!L361="Chaquan B",114,IF(Atletas!L361="Emeiquan B",115,IF(Atletas!L361="Fanziquan B",116,IF(Atletas!L361="Huaquan B",117,IF(Atletas!L361="Hongquan B",118,IF(Atletas!L361="Paochui B",119,IF(Atletas!L361="Piguaquan B",120,IF(Atletas!L361="Shaolinquan B",121,IF(Atletas!L361="Tanglangquan B",122,IF(Atletas!L361="Yinzhaophai B",123,IF(Atletas!L361="Tongbeiquan B",124,IF(Atletas!L361="Wudangquan B",125,IF(Atletas!L361="Outros Estilos B",126,IF(Atletas!L361="Chaquan C",127,IF(Atletas!L361="Emeiquan C",128,IF(Atletas!L361="Fanziquan C",129,IF(Atletas!L361="Huaquan C",130,IF(Atletas!L361="Hongquan C",131,IF(Atletas!L361="Paochui C",132,IF(Atletas!L361="Piguaquan C",133,IF(Atletas!L361="Shaolinquan C",134,IF(Atletas!L361="Tanglangquan C",135,IF(Atletas!L361="Yinzhaophai C",136,IF(Atletas!L361="Tongbeiquan C",137,IF(Atletas!L361="Wudangquan C",138,IF(Atletas!L361="Outros Estilos C",139,0))))))))))))))))))))))))))))))))))))))))))</f>
        <v/>
      </c>
      <c r="BM365" s="52" t="str">
        <f>IF(Atletas!L361="","",IF(Atletas!W361&lt;&gt;"",10000,0)+(IF(Atletas!B361="Feminino",1000,IF(Atletas!B361="Masculino",2000,""))+(IF(Atletas!L361="Chaquan D",140,IF(Atletas!L361="Emeiquan D",141,IF(Atletas!L361="Fanziquan D",142,IF(Atletas!L361="Huaquan D",143,IF(Atletas!L361="Hongquan D",144,IF(Atletas!L361="Paochui D",145,IF(Atletas!L361="Piguaquan D",146,IF(Atletas!L361="Shaolinquan D",147,IF(Atletas!L361="Tanglangquan D",148,IF(Atletas!L361="Yinzhaophai D",149,IF(Atletas!L361="Tongbeiquan D",150,IF(Atletas!L361="Wudangquan D",151,IF(Atletas!L361="Outros Estilos D",152,IF(Atletas!L361="Chaquan E",153,IF(Atletas!L361="Emeiquan E",154,IF(Atletas!L361="Fanziquan E",155,IF(Atletas!L361="Huaquan E",156,IF(Atletas!L361="Hongquan E",157,IF(Atletas!L361="Paochui E",158,IF(Atletas!L361="Piguaquan E",159,IF(Atletas!L361="Shaolinquan E",160,IF(Atletas!L361="Tanglangquan E",161,IF(Atletas!L361="Yinzhaophai E",162,IF(Atletas!L361="Tongbeiquan E",163,IF(Atletas!L361="Wudangquan E",164,IF(Atletas!L361="Outros Estilos E",165,IF(Atletas!L361="Chaquan F",166,IF(Atletas!L361="Emeiquan F",167,IF(Atletas!L361="Fanziquan F",168,IF(Atletas!L361="Huaquan F",169,IF(Atletas!L361="Hongquan F",170,IF(Atletas!L361="Paochui F",171,IF(Atletas!L361="Piguaquan F",172,IF(Atletas!L361="Shaolinquan F",173,IF(Atletas!L361="Tanglangquan F",174,IF(Atletas!L361="Yinzhaophai F",175,IF(Atletas!L361="Tongbeiquan F",176,IF(Atletas!L361="Wudangquan F",177,IF(Atletas!L361="Outros Estilos F",178,0))))))))))))))))))))))))))))))))))))))))))</f>
        <v/>
      </c>
      <c r="BN365" s="52" t="str">
        <f>IF(Atletas!M361="","",IF(Atletas!W361&lt;&gt;"",10000,0)+(IF(Atletas!B361="Feminino",1000,IF(Atletas!B361="Masculino",2000,""))+(IF(Atletas!M361="Ditangquan A",201,IF(Atletas!M361="Houquan A",202,IF(Atletas!M361="Zuiquan A",203,IF(Atletas!M361="Ditangquan B",204,IF(Atletas!M361="Houquan B",205,IF(Atletas!M361="Zuiquan B",206,IF(Atletas!M361="Ditangquan C",207,IF(Atletas!M361="Houquan C",208,IF(Atletas!M361="Zuiquan C",209,IF(Atletas!M361="Ditangquan D",210,IF(Atletas!M361="Houquan D",211,IF(Atletas!M361="Zuiquan D",212,IF(Atletas!M361="Ditangquan E",213,IF(Atletas!M361="Houquan E",214,IF(Atletas!M361="Zuiquan E",215,IF(Atletas!M361="Ditangquan F",216,IF(Atletas!M361="Houquan F",217,IF(Atletas!M361="Zuiquan F",218,"")))))))))))))))))))))</f>
        <v/>
      </c>
      <c r="BO365" s="52" t="str">
        <f>IF(Atletas!N361="","",IF(Atletas!W361&lt;&gt;"",10000,0)+IF(Atletas!B361="Feminino",1000,IF(Atletas!B361="Masculino",2000,""))+IF(Atletas!N361="Yang A",301,IF(Atletas!N361="Chen A",30,IF(Atletas!N361="Sun A",303,IF(Atletas!N361="Wu A",304,IF(Atletas!N361="Wu-Hao A",305,IF(Atletas!N361="Outro Taijiquan A",306,IF(Atletas!N361="Yang B",307,IF(Atletas!N361="Chen B",308,IF(Atletas!N361="Sun B",309,IF(Atletas!N361="Wu B",310,IF(Atletas!N361="Wu-Hao B",311,IF(Atletas!N361="Outro Taijiquan B",312,IF(Atletas!N361="Yang C",313,IF(Atletas!N361="Chen C",314,IF(Atletas!N361="Sun C",315,IF(Atletas!N361="Wu C",316,IF(Atletas!N361="Wu-Hao C",317,IF(Atletas!N361="Outro Taijiquan C",318,IF(Atletas!N361="Yang D",319,IF(Atletas!N361="Chen D",320,IF(Atletas!N361="Sun D",321,IF(Atletas!N361="Wu D",322,IF(Atletas!N361="Wu-Hao D",323,IF(Atletas!N361="Outro Taijiquan D",324,IF(Atletas!N361="Yang E",325,IF(Atletas!N361="Chen E",326,IF(Atletas!N361="Sun E",327,IF(Atletas!N361="Wu E",328,IF(Atletas!N361="Wu-Hao E",329,IF(Atletas!N361="Outro Taijiquan E",330,IF(Atletas!N361="Yang F",331,IF(Atletas!N361="Chen F",332,IF(Atletas!N361="Sun F",333,IF(Atletas!N361="Wu F",334,IF(Atletas!N361="Wu-Hao F",335,IF(Atletas!N361="Outro Taijiquan F",336,"")))))))))))))))))))))))))))))))))))))</f>
        <v/>
      </c>
      <c r="BP365" s="52" t="str">
        <f>IF(Atletas!O361="","",IF(Atletas!W361&lt;&gt;"",10000,0)+IF(Atletas!B361="Feminino",1000,IF(Atletas!B361="Masculino",2000,""))+IF(OR(Atletas!O361="Yang 26 A",Atletas!O361="Yang 40 A"),401,IF(OR(Atletas!O361="Chen 25 A",Atletas!O361="Chen 36 A",Atletas!O361="Chen 56 A"),402,IF(Atletas!O361="Sun 73 A",403,IF(Atletas!O361="Wu 45 A",404,IF(Atletas!O361="Wu-Hao 46 A",405,IF(OR(Atletas!O361="Taijiquan 16 A",Atletas!O361="Taijiquan 24 A",Atletas!O361="Taijiquan 32 A",Atletas!O361="Taijiquan 42 A"),406,IF(OR(Atletas!O361="Yang 26 B",Atletas!O361="Yang 40 B"),407,IF(OR(Atletas!O361="Chen 25 B",Atletas!O361="Chen 36 B",Atletas!O361="Chen 56 B"),408,IF(Atletas!O361="Sun 73 B",409,IF(Atletas!O361="Wu 45 B",410,IF(Atletas!O361="Wu-Hao 46 B",411,IF(OR(Atletas!O361="Taijiquan 16 B",Atletas!O361="Taijiquan 24 B",Atletas!O361="Taijiquan 32 B",Atletas!O361="Taijiquan 42 B"),412,IF(OR(Atletas!O361="Yang 26 C",Atletas!O361="Yang 40 C"),413,IF(OR(Atletas!O361="Chen 25 C",Atletas!O361="Chen 36 C",Atletas!O361="Chen 56 C"),414,IF(Atletas!O361="Sun 73 C",415,IF(Atletas!O361="Wu 45 C",416,IF(Atletas!O361="Wu-Hao 46 C",417,IF(OR(Atletas!O361="Taijiquan 16 C",Atletas!O361="Taijiquan 24 C",Atletas!O361="Taijiquan 32 C",Atletas!O361="Taijiquan 42 C"),418,0)))))))))))))))))))</f>
        <v/>
      </c>
      <c r="BQ365" s="52" t="str">
        <f>IF(Atletas!O361="","",IF(Atletas!W361&lt;&gt;"",10000,0)+IF(Atletas!B361="Feminino",1000,IF(Atletas!B361="Masculino",2000,""))+IF(OR(Atletas!O361="Yang 26 D",Atletas!O361="Yang 40 D"),419,IF(OR(Atletas!O361="Chen 25 D",Atletas!O361="Chen 36 D",Atletas!O361="Chen 56 D"),420,IF(Atletas!O361="Sun 73 D",421,IF(Atletas!O361="Wu 45 D",422,IF(Atletas!O361="Wu-Hao 46 D",423,IF(OR(Atletas!O361="Taijiquan 16 D",Atletas!O361="Taijiquan 24 D",Atletas!O361="Taijiquan 32 D",Atletas!O361="Taijiquan 42 D"),424,IF(OR(Atletas!O361="Yang 26 E",Atletas!O361="Yang 40 E"),425,IF(OR(Atletas!O361="Chen 25 E",Atletas!O361="Chen 36 E",Atletas!O361="Chen 56 E"),426,IF(Atletas!O361="Sun 73 E",427,IF(Atletas!O361="Wu 45 E",428,IF(Atletas!O361="Wu-Hao 46 E",429,IF(OR(Atletas!O361="Taijiquan 16 E",Atletas!O361="Taijiquan 24 E",Atletas!O361="Taijiquan 32 E",Atletas!O361="Taijiquan 42 E"),430,IF(OR(Atletas!O361="Yang 26 F",Atletas!O361="Yang 40 F"),431,IF(OR(Atletas!O361="Chen 25 F",Atletas!O361="Chen 36 F",Atletas!O361="Chen 56 F"),432,IF(Atletas!O361="Sun 73 F",433,IF(Atletas!O361="Wu 45 F",434,IF(Atletas!O361="Wu-Hao 46 F",435,IF(OR(Atletas!O361="Taijiquan 16 F",Atletas!O361="Taijiquan 24 F",Atletas!O361="Taijiquan 32 F",Atletas!O361="Taijiquan 42 F"),436,0)))))))))))))))))))</f>
        <v/>
      </c>
      <c r="BR365" s="52" t="str">
        <f>IF(Atletas!P361="","",IF(Atletas!W361&lt;&gt;"",10000,0)+IF(Atletas!B361="Feminino",1000,IF(Atletas!B361="Masculino",2000,""))+IF(Atletas!P361="Xingyiquan A",501,IF(Atletas!P361="Baguazhang A",502,IF(Atletas!P361="Outro Estilo Interno A",503,IF(Atletas!P361="Xingyiquan B",504,IF(Atletas!P361="Baguazhang B",505,IF(Atletas!P361="Outro Estilo Interno B",506,IF(Atletas!P361="Xingyiquan C",507,IF(Atletas!P361="Baguazhang C",508,IF(Atletas!P361="Outro Estilo Interno C",509,IF(Atletas!P361="Xingyiquan D",510,IF(Atletas!P361="Baguazhang D",511,IF(Atletas!P361="Outro Estilo Interno D",512,IF(Atletas!P361="Xingyiquan E",513,IF(Atletas!P361="Baguazhang E",514,IF(Atletas!P361="Outro Estilo Interno E",515,IF(Atletas!P361="Xingyiquan F",516,IF(Atletas!P361="Baguazhang F",517,IF(Atletas!P361="Outro Estilo Interno F",518, "")))))))))))))))))))</f>
        <v/>
      </c>
      <c r="BS365" s="52" t="str">
        <f>IF(Atletas!Q361="","",IF(Atletas!W361&lt;&gt;"",10000,0)+IF(Atletas!B361="Feminino",1000,IF(Atletas!B361="Masculino",2000,""))+IF(Atletas!Q361="Dao A",601,IF(Atletas!Q361="Jian A",602,IF(Atletas!Q361="Bishou A",603,IF(Atletas!Q361="Shan A",604,IF(Atletas!Q361="Outra Arma Curta A",605,IF(Atletas!Q361="Dao B",606,IF(Atletas!Q361="Jian B",607,IF(Atletas!Q361="Bishou B",608,IF(Atletas!Q361="Shan B",609,IF(Atletas!Q361="Outra Arma Curta B",610,IF(Atletas!Q361="Dao C",611,IF(Atletas!Q361="Jian C",612,IF(Atletas!Q361="Bishou C",613,IF(Atletas!Q361="Shan C",614,IF(Atletas!Q361="Outra Arma Curta C",615,IF(Atletas!Q361="Dao D",616,IF(Atletas!Q361="Jian D",617,IF(Atletas!Q361="Bishou D",618,IF(Atletas!Q361="Shan D",619,IF(Atletas!Q361="Outra Arma Curta D",620,IF(Atletas!Q361="Dao E",621,IF(Atletas!Q361="Jian E",622,IF(Atletas!Q361="Bishou E",623,IF(Atletas!Q361="Shan E",624,IF(Atletas!Q361="Outra Arma Curta E",625,IF(Atletas!Q361="Dao F",626,IF(Atletas!Q361="Jian F",627,IF(Atletas!Q361="Bishou F",628,IF(Atletas!Q361="Shan F",629,IF(Atletas!Q361="Outra Arma Curta F",630, "")))))))))))))))))))))))))))))))</f>
        <v/>
      </c>
      <c r="BT365" s="52" t="str">
        <f>IF(Atletas!R361="","",IF(Atletas!W361&lt;&gt;"",10000,0)+IF(Atletas!B361="Feminino",1000,IF(Atletas!B361="Masculino",2000,""))+IF(Atletas!R361="Gun A",701,IF(Atletas!R361="Qiang A",702,IF(Atletas!R361="Pudao / Guandao A",703,IF(Atletas!R361="Outra Arma Longa A",704,IF(Atletas!R361="Gun B",705,IF(Atletas!R361="Qiang B",706,IF(Atletas!R361="Pudao / Guandao B",707,IF(Atletas!R361="Outra Arma Longa B",708,IF(Atletas!R361="Gun C",709,IF(Atletas!R361="Qiang C",710,IF(Atletas!R361="Pudao / Guandao C",711,IF(Atletas!R361="Outra Arma Longa C",712,IF(Atletas!R361="Gun D",713,IF(Atletas!R361="Qiang D",714,IF(Atletas!R361="Pudao / Guandao D",715,IF(Atletas!R361="Outra Arma Longa D",716,IF(Atletas!R361="Gun E",717,IF(Atletas!R361="Qiang E",718,IF(Atletas!R361="Pudao / Guandao E",719,IF(Atletas!R361="Outra Arma Longa E",720,IF(Atletas!R361="Gun F",721,IF(Atletas!R361="Qiang F",722,IF(Atletas!R361="Pudao / Guandao F",723,IF(Atletas!R361="Outra Arma Longa F",724,"")))))))))))))))))))))))))</f>
        <v/>
      </c>
      <c r="BU365" s="52" t="str">
        <f>IF(Atletas!S361="","",IF(Atletas!W361&lt;&gt;"",10000,0)+IF(Atletas!B361="Feminino",1000,IF(Atletas!B361="Masculino",2000,""))+IF(Atletas!S361="Arma Dupla A",801,IF(Atletas!S361="Arma Maleável A",802,IF(Atletas!S361="Arma Dupla B",803,IF(Atletas!S361="Arma Maleável B",804,IF(Atletas!S361="Arma Dupla C",805,IF(Atletas!S361="Arma Maleável C",806,IF(Atletas!S361="Arma Dupla D",807,IF(Atletas!S361="Arma Maleável D",808,IF(Atletas!S361="Arma Dupla E",809,IF(Atletas!S361="Arma Maleável E",810,IF(Atletas!S361="Arma Dupla F",811,IF(Atletas!S361="Arma Maleável F",812, "")))))))))))))</f>
        <v/>
      </c>
      <c r="BV365" s="52" t="str">
        <f>IF(Atletas!T361="","",IF(Atletas!W361&lt;&gt;"",10000,0)+IF(Atletas!B361="Feminino",1000,IF(Atletas!B361="Masculino",2000,""))+IF(Atletas!T361="Taijijian Yang A",901,IF(Atletas!T361="Taijijian Chen A",902,IF(Atletas!T361="Taijijian Sun A",903,IF(Atletas!T361="Taijijian Wu A",904,IF(Atletas!T361="Taijijian Wu-Hao A",905,IF(Atletas!T361="Taijijian 32 A",906,IF(Atletas!T361="Taijijian 42 A",907,IF(Atletas!T361="Taijijian Yang B",908,IF(Atletas!T361="Taijijian Chen B",909,IF(Atletas!T361="Taijijian Sun B",910,IF(Atletas!T361="Taijijian Wu B",911,IF(Atletas!T361="Taijijian Wu-Hao B",912,IF(Atletas!T361="Taijijian 32 B",913,IF(Atletas!T361="Taijijian 42 B",914,IF(Atletas!T361="Taijijian Yang C",915,IF(Atletas!T361="Taijijian Chen C",916,IF(Atletas!T361="Taijijian Sun C",917,IF(Atletas!T361="Taijijian Wu C",918,IF(Atletas!T361="Taijijian Wu-Hao C",919,IF(Atletas!T361="Taijijian 32 C",920,IF(Atletas!T361="Taijijian 42 C",921,IF(Atletas!T361="Taijijian Yang D",922,IF(Atletas!T361="Taijijian Chen D",923,IF(Atletas!T361="Taijijian Sun D",924,IF(Atletas!T361="Taijijian Wu D",925,IF(Atletas!T361="Taijijian Wu-Hao D",926,IF(Atletas!T361="Taijijian 32 D",927,IF(Atletas!T361="Taijijian 42 D",928,IF(Atletas!T361="Taijijian Yang E",929,IF(Atletas!T361="Taijijian Chen E",930,IF(Atletas!T361="Taijijian Sun E",931,IF(Atletas!T361="Taijijian Wu E",932,IF(Atletas!T361="Taijijian Wu-Hao E",933,IF(Atletas!T361="Taijijian 32 E",934,IF(Atletas!T361="Taijijian 42 E",935,IF(Atletas!T361="Taijijian Yang F",936,IF(Atletas!T361="Taijijian Chen F",937,IF(Atletas!T361="Taijijian Sun F",938,IF(Atletas!T361="Taijijian Wu F",939,IF(Atletas!T361="Taijijian Wu-Hao F",940,IF(Atletas!T361="Taijijian 32 F",941,IF(Atletas!T361="Taijijian 42 F",942,"")))))))))))))))))))))))))))))))))))))))))))</f>
        <v/>
      </c>
      <c r="BW365" s="52" t="str">
        <f>IF(Atletas!U361="","",IF(Atletas!W361&lt;&gt;"",10000,0)+IF(Atletas!B361="Feminino",1000,IF(Atletas!B361="Masculino",2000,""))+IF(Atletas!T361="Taijijian 42 F",942,IF(Atletas!U361="Taijidao A",943,IF(Atletas!U361="Taijishan A",944,IF(Atletas!U361="Taijiqiang A",945,IF(Atletas!U361="Taijidao B",946,IF(Atletas!U361="Taijishan B",947,IF(Atletas!U361="Taijiqiang B",948,IF(Atletas!U361="Taijidao C",949,IF(Atletas!U361="Taijishan C",950,IF(Atletas!U361="Taijiqiang C",951,IF(Atletas!U361="Taijidao D",952,IF(Atletas!U361="Taijishan D",953,IF(Atletas!U361="Taijiqiang D",954,IF(Atletas!U361="Taijidao E",955,IF(Atletas!U361="Taijishan E",956,IF(Atletas!U361="Taijiqiang E",957,IF(Atletas!U361="Taijidao F",958,IF(Atletas!U361="Taijishan F",959,IF(Atletas!U361="Taijiqiang F",960))))))))))))))))))))</f>
        <v/>
      </c>
      <c r="BX365" s="72"/>
      <c r="BY365" s="72"/>
      <c r="BZ365" s="72"/>
      <c r="CA365" s="72"/>
      <c r="CB365" s="72"/>
      <c r="CC365" s="64" t="str">
        <f>IF(COUNTIF(BK:BW,11917)&gt;0,COUNTIF(BK:BW,11917),"")</f>
        <v/>
      </c>
      <c r="CD365" s="64" t="str">
        <f>IF(CE365&lt;&gt;"","Taijijian Sun C","")</f>
        <v/>
      </c>
      <c r="CE365" s="64" t="str">
        <f>IF(COUNTIF(BK:BW,12917)&gt;0,COUNTIF(BK:BW,12917),"")</f>
        <v/>
      </c>
      <c r="CF365" s="52" t="str">
        <f xml:space="preserve"> IF(Atletas!V361="","",IF(Atletas!V361="Duilian de Mãos AB - Equipe 1",1,IF(Atletas!V361="Duilian de Mãos AB - Equipe 2",2,IF(Atletas!V361="Duilian de Armas AB - Equipe 1",3,IF(Atletas!V361="Duilian de Armas AB - Equipe 2",4,IF(Atletas!V361="Duilian de Tuishou - Equipe 1",5,IF(Atletas!V361="Duilian de Tuishou - Equipe 2",6,IF(Atletas!V361="Grupo Externo AB - Equipe 1",7,IF(Atletas!V361="Grupo Externo AB - Equipe 2",8,IF(Atletas!V361="Grupo Interno AB - Equipe 1",9,IF(Atletas!V361="Grupo Interno AB - Equipe 2",10,IF(Atletas!V361="Duilian de Mãos CD - Equipe 1",11,IF(Atletas!V361="Duilian de Mãos CD - Equipe 2",12,IF(Atletas!V361="Duilian de Armas CD - Equipe 1",13,IF(Atletas!V361="Duilian de Armas CD - Equipe 2",14,IF(Atletas!V361="Duilian de Tuishou - Equipe 1",15,IF(Atletas!V361="Duilian de Tuishou - Equipe 2",16,IF(Atletas!V361="Grupo Externo CDEF - Equipe 1",17,IF(Atletas!V361="Grupo Externo CDEF - Equipe 2",18,IF(Atletas!V361="Grupo Interno CDEF - Equipe 1",19,IF(Atletas!V361="Grupo Interno CDEF - Equipe 2",20,IF(Atletas!V361="Duilian de Mãos EF - Equipe 1",21,IF(Atletas!V361="Duilian de Mãos EF - Equipe 2",22,IF(Atletas!V361="Duilian de Armas EF - Equipe 1",23,IF(Atletas!V361="Duilian de Armas EF - Equipe 2",24,IF(Atletas!V361="Duilian de Tuishou - Equipe 1",25,IF(Atletas!V361="Duilian de Tuishou - Equipe 2",26,"")))))))))))))))))))))))))))</f>
        <v/>
      </c>
    </row>
    <row r="366" spans="36:84">
      <c r="AJ366" s="46" t="str">
        <f>IF(Atletas!D362="","",IF(Atletas!B362="Feminino",100,IF(Atletas!B362="Masculino",200,""))+(IF(Atletas!D362="Infantil 39kg",1,IF(Atletas!D362="Infantil 42kg",2,IF(Atletas!D362="Infantil 45kg",3,IF(Atletas!D362="Infantil 48kg",4,IF(Atletas!D362="Infantil 52kg",5,IF(Atletas!D362="Infantil 56kg",6,IF(Atletas!D362="Infantil 60kg",7,IF(Atletas!D362="Juvenil 48kg",8,IF(Atletas!D362="Juvenil 52kg",9,IF(Atletas!D362="Juvenil 56kg",10,IF(Atletas!D362="Juvenil 60kg",11,IF(Atletas!D362="Juvenil 65kg",12,IF(Atletas!D362="Juvenil 70kg",13,IF(Atletas!D362="Juvenil 75kg",14,IF(Atletas!D362="Juvenil 80kg",15,IF(Atletas!D362="Adulto 48kg",16,IF(Atletas!D362="Adulto 52kg",17,IF(Atletas!D362="Adulto 56kg",18,IF(Atletas!D362="Adulto 60kg",19,IF(Atletas!D362="Adulto 65kg",20,IF(Atletas!D362="Adulto 70kg",21,IF(Atletas!D362="Adulto 75kg",22,IF(Atletas!D362="Adulto 80kg",23,IF(Atletas!D362="Adulto 85kg",24,IF(Atletas!D362="Adulto 90kg",25,IF(Atletas!D362="Adulto +90kg",26,""))))))))))))))))))))))))))))</f>
        <v/>
      </c>
      <c r="AO366" s="10" t="str">
        <f>IF(Atletas!E362="","",IF(Atletas!B362="Feminino",100,IF(Atletas!B362="Masculino",200,""))+(IF(Atletas!E362="Juvenil 44kg",1,IF(Atletas!E362="Juvenil 48kg",2,IF(Atletas!E362="Juvenil 52kg",3,IF(Atletas!E362="Juvenil 56kg",4,IF(Atletas!E362="Juvenil 60kg",5,IF(Atletas!E362="Juvenil 65kg",6,IF(Atletas!E362="Juvenil 70kg",7,IF(Atletas!E362="Juvenil 75kg",8,IF(Atletas!E362="Juvenil 82kg",9,IF(Atletas!E362="Juvenil 90kg",10,IF(Atletas!E362="Juvenil 100kg",11,IF(Atletas!E362="Adulto 48kg",12,IF(Atletas!E362="Adulto 52kg",13,IF(Atletas!E362="Adulto 56kg",14,IF(Atletas!E362="Adulto 60kg",15,IF(Atletas!E362="Adulto 65kg",16,IF(Atletas!E362="Adulto 70kg",17,IF(Atletas!E362="Adulto 75kg",18,IF(Atletas!E362="Adulto 82kg",19,IF(Atletas!E362="Adulto 90kg",20,IF(Atletas!E362="Adulto 100kg",21,IF(Atletas!E362="Adulto +100kg",22,""))))))))))))))))))))))))</f>
        <v/>
      </c>
      <c r="AT366" s="10" t="str">
        <f>IF(Atletas!F362="","",IF(Atletas!B362="Feminino",100,IF(Atletas!B362="Masculino",200,""))+(IF(Atletas!F362="Adulto 48kg",1,IF(Atletas!F362="Adulto 56kg",2,IF(Atletas!F362="Adulto 65kg",3,IF(Atletas!F362="Adulto 75kg",4,IF(Atletas!F362="Adulto +75kg",5,IF(Atletas!F362="Adulto 52kg",6,IF(Atletas!F362="Adulto 60kg",7,IF(Atletas!F362="Adulto 70kg",8,IF(Atletas!F362="Adulto 80kg",9,IF(Atletas!F362="Adulto 90kg",10,IF(Atletas!F362="Adulto +90kg",11,"")))))))))))))</f>
        <v/>
      </c>
      <c r="AY366" s="46" t="str">
        <f>IF(Atletas!G362="","",IF(Atletas!B362="Feminino",100,IF(Atletas!B362="Masculino",200,""))+(IF(Atletas!G362="Changquan Mirim",1,IF(Atletas!G362="Nanquan Mirim",2,IF(Atletas!G362="Taijiquan Mirim",3,IF(Atletas!G362="Changquan Grupo C",4,IF(Atletas!G362="Nanquan Grupo C",5,IF(Atletas!G362="Taijiquan Grupo C",6,IF(Atletas!G362="Changquan Grupo B",7,IF(Atletas!G362="Nanquan Grupo B",8,IF(Atletas!G362="Taijiquan Grupo B",9,IF(Atletas!G362="Changquan Grupo A",10,IF(Atletas!G362="Nanquan Grupo A",11,IF(Atletas!G362="Taijiquan Grupo A",12,IF(Atletas!G362="Changquan Opcional",13,IF(Atletas!G362="Nanquan Opcional",14,IF(Atletas!G362="Taijiquan Opcional",15,IF(Atletas!G362="Changquan Adulto",16,IF(Atletas!G362="Nanquan Adulto",17,IF(Atletas!G362="Taijiquan Adulto",18,""))))))))))))))))))))</f>
        <v/>
      </c>
      <c r="AZ366" s="46" t="str">
        <f>IF(Atletas!H362="","",IF(Atletas!B362="Feminino",100,IF(Atletas!B362="Masculino",200,""))+(IF(Atletas!H362="Daoshu Mirim",19,IF(Atletas!H362="Jianshu Mirim",20,IF(Atletas!H362="Nandao Mirim",21,IF(Atletas!H362="Taijijian Mirim",22,IF(Atletas!H362="Daoshu Grupo C",23,IF(Atletas!H362="Jianshu Grupo C",24,IF(Atletas!H362="Nandao Grupo C",25,IF(Atletas!H362="Taijijian Grupo C",26,IF(Atletas!H362="Daoshu Grupo B",27,IF(Atletas!H362="Jianshu Grupo B",28,IF(Atletas!H362="Nandao Grupo B",29,IF(Atletas!H362="Taijijian Grupo B",30,IF(Atletas!H362="Daoshu Grupo A",31,IF(Atletas!H362="Jianshu Grupo A",32,IF(Atletas!H362="Nandao Grupo A",33,IF(Atletas!H362="Taijijian Grupo A",34,IF(Atletas!H362="Daoshu Opcional",35,IF(Atletas!H362="Jianshu Opcional",36,IF(Atletas!H362="Nandao Opcional",37,IF(Atletas!H362="Taijijian Opcional",38,IF(Atletas!H362="Daoshu Adulto",39,IF(Atletas!H362="Jianshu Adulto",40,IF(Atletas!H362="Nandao Adulto",41,IF(Atletas!H362="Taijijian Adulto",42,""))))))))))))))))))))))))))</f>
        <v/>
      </c>
      <c r="BA366" s="46" t="str">
        <f>IF(Atletas!I362="","",IF(Atletas!B362="Feminino",100,IF(Atletas!B362="Masculino",200,""))+(IF(Atletas!I362="Gunshu Mirim",43,IF(Atletas!I362="Qiangshu Mirim",44,IF(Atletas!I362="Nangun Mirim",45,IF(Atletas!I362="Gunshu Grupo C",46,IF(Atletas!I362="Qiangshu Grupo C",47,IF(Atletas!I362="Nangun Grupo C",48,IF(Atletas!I362="Gunshu Grupo B",49,IF(Atletas!I362="Qiangshu Grupo B",50,IF(Atletas!I362="Nangun Grupo B",51,IF(Atletas!I362="Gunshu Grupo A",52,IF(Atletas!I362="Qiangshu Grupo A",53,IF(Atletas!I362="Nangun Grupo A",54,IF(Atletas!I362="Gunshu Opcional",55,IF(Atletas!I362="Qiangshu Opcional",56,IF(Atletas!I362="Nangun Opcional",57,IF(Atletas!I362="Gunshu Adulto",58,IF(Atletas!I362="Qiangshu Adulto",59,IF(Atletas!I362="Nangun Adulto",60,""))))))))))))))))))))</f>
        <v/>
      </c>
      <c r="BF366" s="52" t="str">
        <f>IF(Atletas!J362="","",IF(Atletas!B362="Feminino",100,IF(Atletas!B362="Masculino",200,""))+(IF(Atletas!J362="Equipe 1 Grupo B",1,IF(Atletas!J362="Equipe 2 Grupo B",2,IF(Atletas!J362="Equipe 1 Grupo A",3,IF(Atletas!J362="Equipe 2 Grupo A",4,IF(Atletas!J362="Equipe 1 Adulto",5,IF(Atletas!J362="Equipe 2 Adulto",6,""))))))))</f>
        <v/>
      </c>
      <c r="BK366" s="52" t="str">
        <f>IF(Atletas!K362="","",IF(Atletas!W362&lt;&gt;"",10000,0)+(IF(Atletas!B362="Feminino",1000,IF(Atletas!B362="Masculino",2000,""))+IF(Atletas!K362="Choylayfut A",1,IF(Atletas!K362="Hunggar A",2,IF(Atletas!K362="Wuzuquan A",3,IF(Atletas!K362="Wingchun A",4,IF(Atletas!K362="Outra Mão de Sul A",5,IF(Atletas!K362="Choylayfut B",6,IF(Atletas!K362="Hunggar B",7,IF(Atletas!K362="Wuzuquan B",8,IF(Atletas!K362="Wingchun B",9,IF(Atletas!K362="Outra Mão de Sul B",10,IF(Atletas!K362="Choylayfut C",11,IF(Atletas!K362="Hunggar C",12,IF(Atletas!K362="Wuzuquan C",13,IF(Atletas!K362="Wingchun C",14,IF(Atletas!K362="Outra Mão de Sul C",15,IF(Atletas!K362="Choylayfut D",16,IF(Atletas!K362="Hunggar D",17,IF(Atletas!K362="Wuzuquan D",18,IF(Atletas!K362="Wingchun D",19,IF(Atletas!K362="Outra Mão de Sul D",20,IF(Atletas!K362="Choylayfut E",21,IF(Atletas!K362="Hunggar E",22,IF(Atletas!K362="Wuzuquan E",23,IF(Atletas!K362="Wingchun E",24,IF(Atletas!K362="Outra Mão de Sul E",25,IF(Atletas!K362="Choylayfut F",26,IF(Atletas!K362="Hunggar F",27,IF(Atletas!K362="Wuzuquan F",28,IF(Atletas!K362="Wingchun F",29,IF(Atletas!K362="Outra Mão de Sul F",30,""))))))))))))))))))))))))))))))))</f>
        <v/>
      </c>
      <c r="BL366" s="52" t="str">
        <f>IF(Atletas!L362="","",IF(Atletas!W362&lt;&gt;"",10000,0)+(IF(Atletas!B362="Feminino",1000,IF(Atletas!B362="Masculino",2000,""))+(IF(Atletas!L362="Chaquan A",101,IF(Atletas!L362="Emeiquan A",102,IF(Atletas!L362="Fanziquan A",103,IF(Atletas!L362="Huaquan A",104,IF(Atletas!L362="Hongquan A",105,IF(Atletas!L362="Paochui A",106,IF(Atletas!L362="Piguaquan A",107,IF(Atletas!L362="Shaolinquan A",108,IF(Atletas!L362="Tanglangquan A",109,IF(Atletas!L362="Yinzhaophai A",110,IF(Atletas!L362="Tongbeiquan A",111,IF(Atletas!L362="Wudangquan A",112,IF(Atletas!L362="Outros Estilos A",113,IF(Atletas!L362="Chaquan B",114,IF(Atletas!L362="Emeiquan B",115,IF(Atletas!L362="Fanziquan B",116,IF(Atletas!L362="Huaquan B",117,IF(Atletas!L362="Hongquan B",118,IF(Atletas!L362="Paochui B",119,IF(Atletas!L362="Piguaquan B",120,IF(Atletas!L362="Shaolinquan B",121,IF(Atletas!L362="Tanglangquan B",122,IF(Atletas!L362="Yinzhaophai B",123,IF(Atletas!L362="Tongbeiquan B",124,IF(Atletas!L362="Wudangquan B",125,IF(Atletas!L362="Outros Estilos B",126,IF(Atletas!L362="Chaquan C",127,IF(Atletas!L362="Emeiquan C",128,IF(Atletas!L362="Fanziquan C",129,IF(Atletas!L362="Huaquan C",130,IF(Atletas!L362="Hongquan C",131,IF(Atletas!L362="Paochui C",132,IF(Atletas!L362="Piguaquan C",133,IF(Atletas!L362="Shaolinquan C",134,IF(Atletas!L362="Tanglangquan C",135,IF(Atletas!L362="Yinzhaophai C",136,IF(Atletas!L362="Tongbeiquan C",137,IF(Atletas!L362="Wudangquan C",138,IF(Atletas!L362="Outros Estilos C",139,0))))))))))))))))))))))))))))))))))))))))))</f>
        <v/>
      </c>
      <c r="BM366" s="52" t="str">
        <f>IF(Atletas!L362="","",IF(Atletas!W362&lt;&gt;"",10000,0)+(IF(Atletas!B362="Feminino",1000,IF(Atletas!B362="Masculino",2000,""))+(IF(Atletas!L362="Chaquan D",140,IF(Atletas!L362="Emeiquan D",141,IF(Atletas!L362="Fanziquan D",142,IF(Atletas!L362="Huaquan D",143,IF(Atletas!L362="Hongquan D",144,IF(Atletas!L362="Paochui D",145,IF(Atletas!L362="Piguaquan D",146,IF(Atletas!L362="Shaolinquan D",147,IF(Atletas!L362="Tanglangquan D",148,IF(Atletas!L362="Yinzhaophai D",149,IF(Atletas!L362="Tongbeiquan D",150,IF(Atletas!L362="Wudangquan D",151,IF(Atletas!L362="Outros Estilos D",152,IF(Atletas!L362="Chaquan E",153,IF(Atletas!L362="Emeiquan E",154,IF(Atletas!L362="Fanziquan E",155,IF(Atletas!L362="Huaquan E",156,IF(Atletas!L362="Hongquan E",157,IF(Atletas!L362="Paochui E",158,IF(Atletas!L362="Piguaquan E",159,IF(Atletas!L362="Shaolinquan E",160,IF(Atletas!L362="Tanglangquan E",161,IF(Atletas!L362="Yinzhaophai E",162,IF(Atletas!L362="Tongbeiquan E",163,IF(Atletas!L362="Wudangquan E",164,IF(Atletas!L362="Outros Estilos E",165,IF(Atletas!L362="Chaquan F",166,IF(Atletas!L362="Emeiquan F",167,IF(Atletas!L362="Fanziquan F",168,IF(Atletas!L362="Huaquan F",169,IF(Atletas!L362="Hongquan F",170,IF(Atletas!L362="Paochui F",171,IF(Atletas!L362="Piguaquan F",172,IF(Atletas!L362="Shaolinquan F",173,IF(Atletas!L362="Tanglangquan F",174,IF(Atletas!L362="Yinzhaophai F",175,IF(Atletas!L362="Tongbeiquan F",176,IF(Atletas!L362="Wudangquan F",177,IF(Atletas!L362="Outros Estilos F",178,0))))))))))))))))))))))))))))))))))))))))))</f>
        <v/>
      </c>
      <c r="BN366" s="52" t="str">
        <f>IF(Atletas!M362="","",IF(Atletas!W362&lt;&gt;"",10000,0)+(IF(Atletas!B362="Feminino",1000,IF(Atletas!B362="Masculino",2000,""))+(IF(Atletas!M362="Ditangquan A",201,IF(Atletas!M362="Houquan A",202,IF(Atletas!M362="Zuiquan A",203,IF(Atletas!M362="Ditangquan B",204,IF(Atletas!M362="Houquan B",205,IF(Atletas!M362="Zuiquan B",206,IF(Atletas!M362="Ditangquan C",207,IF(Atletas!M362="Houquan C",208,IF(Atletas!M362="Zuiquan C",209,IF(Atletas!M362="Ditangquan D",210,IF(Atletas!M362="Houquan D",211,IF(Atletas!M362="Zuiquan D",212,IF(Atletas!M362="Ditangquan E",213,IF(Atletas!M362="Houquan E",214,IF(Atletas!M362="Zuiquan E",215,IF(Atletas!M362="Ditangquan F",216,IF(Atletas!M362="Houquan F",217,IF(Atletas!M362="Zuiquan F",218,"")))))))))))))))))))))</f>
        <v/>
      </c>
      <c r="BO366" s="52" t="str">
        <f>IF(Atletas!N362="","",IF(Atletas!W362&lt;&gt;"",10000,0)+IF(Atletas!B362="Feminino",1000,IF(Atletas!B362="Masculino",2000,""))+IF(Atletas!N362="Yang A",301,IF(Atletas!N362="Chen A",30,IF(Atletas!N362="Sun A",303,IF(Atletas!N362="Wu A",304,IF(Atletas!N362="Wu-Hao A",305,IF(Atletas!N362="Outro Taijiquan A",306,IF(Atletas!N362="Yang B",307,IF(Atletas!N362="Chen B",308,IF(Atletas!N362="Sun B",309,IF(Atletas!N362="Wu B",310,IF(Atletas!N362="Wu-Hao B",311,IF(Atletas!N362="Outro Taijiquan B",312,IF(Atletas!N362="Yang C",313,IF(Atletas!N362="Chen C",314,IF(Atletas!N362="Sun C",315,IF(Atletas!N362="Wu C",316,IF(Atletas!N362="Wu-Hao C",317,IF(Atletas!N362="Outro Taijiquan C",318,IF(Atletas!N362="Yang D",319,IF(Atletas!N362="Chen D",320,IF(Atletas!N362="Sun D",321,IF(Atletas!N362="Wu D",322,IF(Atletas!N362="Wu-Hao D",323,IF(Atletas!N362="Outro Taijiquan D",324,IF(Atletas!N362="Yang E",325,IF(Atletas!N362="Chen E",326,IF(Atletas!N362="Sun E",327,IF(Atletas!N362="Wu E",328,IF(Atletas!N362="Wu-Hao E",329,IF(Atletas!N362="Outro Taijiquan E",330,IF(Atletas!N362="Yang F",331,IF(Atletas!N362="Chen F",332,IF(Atletas!N362="Sun F",333,IF(Atletas!N362="Wu F",334,IF(Atletas!N362="Wu-Hao F",335,IF(Atletas!N362="Outro Taijiquan F",336,"")))))))))))))))))))))))))))))))))))))</f>
        <v/>
      </c>
      <c r="BP366" s="52" t="str">
        <f>IF(Atletas!O362="","",IF(Atletas!W362&lt;&gt;"",10000,0)+IF(Atletas!B362="Feminino",1000,IF(Atletas!B362="Masculino",2000,""))+IF(OR(Atletas!O362="Yang 26 A",Atletas!O362="Yang 40 A"),401,IF(OR(Atletas!O362="Chen 25 A",Atletas!O362="Chen 36 A",Atletas!O362="Chen 56 A"),402,IF(Atletas!O362="Sun 73 A",403,IF(Atletas!O362="Wu 45 A",404,IF(Atletas!O362="Wu-Hao 46 A",405,IF(OR(Atletas!O362="Taijiquan 16 A",Atletas!O362="Taijiquan 24 A",Atletas!O362="Taijiquan 32 A",Atletas!O362="Taijiquan 42 A"),406,IF(OR(Atletas!O362="Yang 26 B",Atletas!O362="Yang 40 B"),407,IF(OR(Atletas!O362="Chen 25 B",Atletas!O362="Chen 36 B",Atletas!O362="Chen 56 B"),408,IF(Atletas!O362="Sun 73 B",409,IF(Atletas!O362="Wu 45 B",410,IF(Atletas!O362="Wu-Hao 46 B",411,IF(OR(Atletas!O362="Taijiquan 16 B",Atletas!O362="Taijiquan 24 B",Atletas!O362="Taijiquan 32 B",Atletas!O362="Taijiquan 42 B"),412,IF(OR(Atletas!O362="Yang 26 C",Atletas!O362="Yang 40 C"),413,IF(OR(Atletas!O362="Chen 25 C",Atletas!O362="Chen 36 C",Atletas!O362="Chen 56 C"),414,IF(Atletas!O362="Sun 73 C",415,IF(Atletas!O362="Wu 45 C",416,IF(Atletas!O362="Wu-Hao 46 C",417,IF(OR(Atletas!O362="Taijiquan 16 C",Atletas!O362="Taijiquan 24 C",Atletas!O362="Taijiquan 32 C",Atletas!O362="Taijiquan 42 C"),418,0)))))))))))))))))))</f>
        <v/>
      </c>
      <c r="BQ366" s="52" t="str">
        <f>IF(Atletas!O362="","",IF(Atletas!W362&lt;&gt;"",10000,0)+IF(Atletas!B362="Feminino",1000,IF(Atletas!B362="Masculino",2000,""))+IF(OR(Atletas!O362="Yang 26 D",Atletas!O362="Yang 40 D"),419,IF(OR(Atletas!O362="Chen 25 D",Atletas!O362="Chen 36 D",Atletas!O362="Chen 56 D"),420,IF(Atletas!O362="Sun 73 D",421,IF(Atletas!O362="Wu 45 D",422,IF(Atletas!O362="Wu-Hao 46 D",423,IF(OR(Atletas!O362="Taijiquan 16 D",Atletas!O362="Taijiquan 24 D",Atletas!O362="Taijiquan 32 D",Atletas!O362="Taijiquan 42 D"),424,IF(OR(Atletas!O362="Yang 26 E",Atletas!O362="Yang 40 E"),425,IF(OR(Atletas!O362="Chen 25 E",Atletas!O362="Chen 36 E",Atletas!O362="Chen 56 E"),426,IF(Atletas!O362="Sun 73 E",427,IF(Atletas!O362="Wu 45 E",428,IF(Atletas!O362="Wu-Hao 46 E",429,IF(OR(Atletas!O362="Taijiquan 16 E",Atletas!O362="Taijiquan 24 E",Atletas!O362="Taijiquan 32 E",Atletas!O362="Taijiquan 42 E"),430,IF(OR(Atletas!O362="Yang 26 F",Atletas!O362="Yang 40 F"),431,IF(OR(Atletas!O362="Chen 25 F",Atletas!O362="Chen 36 F",Atletas!O362="Chen 56 F"),432,IF(Atletas!O362="Sun 73 F",433,IF(Atletas!O362="Wu 45 F",434,IF(Atletas!O362="Wu-Hao 46 F",435,IF(OR(Atletas!O362="Taijiquan 16 F",Atletas!O362="Taijiquan 24 F",Atletas!O362="Taijiquan 32 F",Atletas!O362="Taijiquan 42 F"),436,0)))))))))))))))))))</f>
        <v/>
      </c>
      <c r="BR366" s="52" t="str">
        <f>IF(Atletas!P362="","",IF(Atletas!W362&lt;&gt;"",10000,0)+IF(Atletas!B362="Feminino",1000,IF(Atletas!B362="Masculino",2000,""))+IF(Atletas!P362="Xingyiquan A",501,IF(Atletas!P362="Baguazhang A",502,IF(Atletas!P362="Outro Estilo Interno A",503,IF(Atletas!P362="Xingyiquan B",504,IF(Atletas!P362="Baguazhang B",505,IF(Atletas!P362="Outro Estilo Interno B",506,IF(Atletas!P362="Xingyiquan C",507,IF(Atletas!P362="Baguazhang C",508,IF(Atletas!P362="Outro Estilo Interno C",509,IF(Atletas!P362="Xingyiquan D",510,IF(Atletas!P362="Baguazhang D",511,IF(Atletas!P362="Outro Estilo Interno D",512,IF(Atletas!P362="Xingyiquan E",513,IF(Atletas!P362="Baguazhang E",514,IF(Atletas!P362="Outro Estilo Interno E",515,IF(Atletas!P362="Xingyiquan F",516,IF(Atletas!P362="Baguazhang F",517,IF(Atletas!P362="Outro Estilo Interno F",518, "")))))))))))))))))))</f>
        <v/>
      </c>
      <c r="BS366" s="52" t="str">
        <f>IF(Atletas!Q362="","",IF(Atletas!W362&lt;&gt;"",10000,0)+IF(Atletas!B362="Feminino",1000,IF(Atletas!B362="Masculino",2000,""))+IF(Atletas!Q362="Dao A",601,IF(Atletas!Q362="Jian A",602,IF(Atletas!Q362="Bishou A",603,IF(Atletas!Q362="Shan A",604,IF(Atletas!Q362="Outra Arma Curta A",605,IF(Atletas!Q362="Dao B",606,IF(Atletas!Q362="Jian B",607,IF(Atletas!Q362="Bishou B",608,IF(Atletas!Q362="Shan B",609,IF(Atletas!Q362="Outra Arma Curta B",610,IF(Atletas!Q362="Dao C",611,IF(Atletas!Q362="Jian C",612,IF(Atletas!Q362="Bishou C",613,IF(Atletas!Q362="Shan C",614,IF(Atletas!Q362="Outra Arma Curta C",615,IF(Atletas!Q362="Dao D",616,IF(Atletas!Q362="Jian D",617,IF(Atletas!Q362="Bishou D",618,IF(Atletas!Q362="Shan D",619,IF(Atletas!Q362="Outra Arma Curta D",620,IF(Atletas!Q362="Dao E",621,IF(Atletas!Q362="Jian E",622,IF(Atletas!Q362="Bishou E",623,IF(Atletas!Q362="Shan E",624,IF(Atletas!Q362="Outra Arma Curta E",625,IF(Atletas!Q362="Dao F",626,IF(Atletas!Q362="Jian F",627,IF(Atletas!Q362="Bishou F",628,IF(Atletas!Q362="Shan F",629,IF(Atletas!Q362="Outra Arma Curta F",630, "")))))))))))))))))))))))))))))))</f>
        <v/>
      </c>
      <c r="BT366" s="52" t="str">
        <f>IF(Atletas!R362="","",IF(Atletas!W362&lt;&gt;"",10000,0)+IF(Atletas!B362="Feminino",1000,IF(Atletas!B362="Masculino",2000,""))+IF(Atletas!R362="Gun A",701,IF(Atletas!R362="Qiang A",702,IF(Atletas!R362="Pudao / Guandao A",703,IF(Atletas!R362="Outra Arma Longa A",704,IF(Atletas!R362="Gun B",705,IF(Atletas!R362="Qiang B",706,IF(Atletas!R362="Pudao / Guandao B",707,IF(Atletas!R362="Outra Arma Longa B",708,IF(Atletas!R362="Gun C",709,IF(Atletas!R362="Qiang C",710,IF(Atletas!R362="Pudao / Guandao C",711,IF(Atletas!R362="Outra Arma Longa C",712,IF(Atletas!R362="Gun D",713,IF(Atletas!R362="Qiang D",714,IF(Atletas!R362="Pudao / Guandao D",715,IF(Atletas!R362="Outra Arma Longa D",716,IF(Atletas!R362="Gun E",717,IF(Atletas!R362="Qiang E",718,IF(Atletas!R362="Pudao / Guandao E",719,IF(Atletas!R362="Outra Arma Longa E",720,IF(Atletas!R362="Gun F",721,IF(Atletas!R362="Qiang F",722,IF(Atletas!R362="Pudao / Guandao F",723,IF(Atletas!R362="Outra Arma Longa F",724,"")))))))))))))))))))))))))</f>
        <v/>
      </c>
      <c r="BU366" s="52" t="str">
        <f>IF(Atletas!S362="","",IF(Atletas!W362&lt;&gt;"",10000,0)+IF(Atletas!B362="Feminino",1000,IF(Atletas!B362="Masculino",2000,""))+IF(Atletas!S362="Arma Dupla A",801,IF(Atletas!S362="Arma Maleável A",802,IF(Atletas!S362="Arma Dupla B",803,IF(Atletas!S362="Arma Maleável B",804,IF(Atletas!S362="Arma Dupla C",805,IF(Atletas!S362="Arma Maleável C",806,IF(Atletas!S362="Arma Dupla D",807,IF(Atletas!S362="Arma Maleável D",808,IF(Atletas!S362="Arma Dupla E",809,IF(Atletas!S362="Arma Maleável E",810,IF(Atletas!S362="Arma Dupla F",811,IF(Atletas!S362="Arma Maleável F",812, "")))))))))))))</f>
        <v/>
      </c>
      <c r="BV366" s="52" t="str">
        <f>IF(Atletas!T362="","",IF(Atletas!W362&lt;&gt;"",10000,0)+IF(Atletas!B362="Feminino",1000,IF(Atletas!B362="Masculino",2000,""))+IF(Atletas!T362="Taijijian Yang A",901,IF(Atletas!T362="Taijijian Chen A",902,IF(Atletas!T362="Taijijian Sun A",903,IF(Atletas!T362="Taijijian Wu A",904,IF(Atletas!T362="Taijijian Wu-Hao A",905,IF(Atletas!T362="Taijijian 32 A",906,IF(Atletas!T362="Taijijian 42 A",907,IF(Atletas!T362="Taijijian Yang B",908,IF(Atletas!T362="Taijijian Chen B",909,IF(Atletas!T362="Taijijian Sun B",910,IF(Atletas!T362="Taijijian Wu B",911,IF(Atletas!T362="Taijijian Wu-Hao B",912,IF(Atletas!T362="Taijijian 32 B",913,IF(Atletas!T362="Taijijian 42 B",914,IF(Atletas!T362="Taijijian Yang C",915,IF(Atletas!T362="Taijijian Chen C",916,IF(Atletas!T362="Taijijian Sun C",917,IF(Atletas!T362="Taijijian Wu C",918,IF(Atletas!T362="Taijijian Wu-Hao C",919,IF(Atletas!T362="Taijijian 32 C",920,IF(Atletas!T362="Taijijian 42 C",921,IF(Atletas!T362="Taijijian Yang D",922,IF(Atletas!T362="Taijijian Chen D",923,IF(Atletas!T362="Taijijian Sun D",924,IF(Atletas!T362="Taijijian Wu D",925,IF(Atletas!T362="Taijijian Wu-Hao D",926,IF(Atletas!T362="Taijijian 32 D",927,IF(Atletas!T362="Taijijian 42 D",928,IF(Atletas!T362="Taijijian Yang E",929,IF(Atletas!T362="Taijijian Chen E",930,IF(Atletas!T362="Taijijian Sun E",931,IF(Atletas!T362="Taijijian Wu E",932,IF(Atletas!T362="Taijijian Wu-Hao E",933,IF(Atletas!T362="Taijijian 32 E",934,IF(Atletas!T362="Taijijian 42 E",935,IF(Atletas!T362="Taijijian Yang F",936,IF(Atletas!T362="Taijijian Chen F",937,IF(Atletas!T362="Taijijian Sun F",938,IF(Atletas!T362="Taijijian Wu F",939,IF(Atletas!T362="Taijijian Wu-Hao F",940,IF(Atletas!T362="Taijijian 32 F",941,IF(Atletas!T362="Taijijian 42 F",942,"")))))))))))))))))))))))))))))))))))))))))))</f>
        <v/>
      </c>
      <c r="BW366" s="52" t="str">
        <f>IF(Atletas!U362="","",IF(Atletas!W362&lt;&gt;"",10000,0)+IF(Atletas!B362="Feminino",1000,IF(Atletas!B362="Masculino",2000,""))+IF(Atletas!T362="Taijijian 42 F",942,IF(Atletas!U362="Taijidao A",943,IF(Atletas!U362="Taijishan A",944,IF(Atletas!U362="Taijiqiang A",945,IF(Atletas!U362="Taijidao B",946,IF(Atletas!U362="Taijishan B",947,IF(Atletas!U362="Taijiqiang B",948,IF(Atletas!U362="Taijidao C",949,IF(Atletas!U362="Taijishan C",950,IF(Atletas!U362="Taijiqiang C",951,IF(Atletas!U362="Taijidao D",952,IF(Atletas!U362="Taijishan D",953,IF(Atletas!U362="Taijiqiang D",954,IF(Atletas!U362="Taijidao E",955,IF(Atletas!U362="Taijishan E",956,IF(Atletas!U362="Taijiqiang E",957,IF(Atletas!U362="Taijidao F",958,IF(Atletas!U362="Taijishan F",959,IF(Atletas!U362="Taijiqiang F",960))))))))))))))))))))</f>
        <v/>
      </c>
      <c r="BX366" s="72"/>
      <c r="BY366" s="72"/>
      <c r="BZ366" s="72"/>
      <c r="CA366" s="72"/>
      <c r="CB366" s="72"/>
      <c r="CC366" s="64" t="str">
        <f>IF(COUNTIF(BK:BW,11918)&gt;0,COUNTIF(BK:BW,11918),"")</f>
        <v/>
      </c>
      <c r="CD366" s="64" t="str">
        <f>IF(CE366&lt;&gt;"","Taijijian Wu C","")</f>
        <v/>
      </c>
      <c r="CE366" s="64" t="str">
        <f>IF(COUNTIF(BK:BW,12918)&gt;0,COUNTIF(BK:BW,12918),"")</f>
        <v/>
      </c>
      <c r="CF366" s="52" t="str">
        <f xml:space="preserve"> IF(Atletas!V362="","",IF(Atletas!V362="Duilian de Mãos AB - Equipe 1",1,IF(Atletas!V362="Duilian de Mãos AB - Equipe 2",2,IF(Atletas!V362="Duilian de Armas AB - Equipe 1",3,IF(Atletas!V362="Duilian de Armas AB - Equipe 2",4,IF(Atletas!V362="Duilian de Tuishou - Equipe 1",5,IF(Atletas!V362="Duilian de Tuishou - Equipe 2",6,IF(Atletas!V362="Grupo Externo AB - Equipe 1",7,IF(Atletas!V362="Grupo Externo AB - Equipe 2",8,IF(Atletas!V362="Grupo Interno AB - Equipe 1",9,IF(Atletas!V362="Grupo Interno AB - Equipe 2",10,IF(Atletas!V362="Duilian de Mãos CD - Equipe 1",11,IF(Atletas!V362="Duilian de Mãos CD - Equipe 2",12,IF(Atletas!V362="Duilian de Armas CD - Equipe 1",13,IF(Atletas!V362="Duilian de Armas CD - Equipe 2",14,IF(Atletas!V362="Duilian de Tuishou - Equipe 1",15,IF(Atletas!V362="Duilian de Tuishou - Equipe 2",16,IF(Atletas!V362="Grupo Externo CDEF - Equipe 1",17,IF(Atletas!V362="Grupo Externo CDEF - Equipe 2",18,IF(Atletas!V362="Grupo Interno CDEF - Equipe 1",19,IF(Atletas!V362="Grupo Interno CDEF - Equipe 2",20,IF(Atletas!V362="Duilian de Mãos EF - Equipe 1",21,IF(Atletas!V362="Duilian de Mãos EF - Equipe 2",22,IF(Atletas!V362="Duilian de Armas EF - Equipe 1",23,IF(Atletas!V362="Duilian de Armas EF - Equipe 2",24,IF(Atletas!V362="Duilian de Tuishou - Equipe 1",25,IF(Atletas!V362="Duilian de Tuishou - Equipe 2",26,"")))))))))))))))))))))))))))</f>
        <v/>
      </c>
    </row>
    <row r="367" spans="36:84">
      <c r="AJ367" s="46" t="str">
        <f>IF(Atletas!D363="","",IF(Atletas!B363="Feminino",100,IF(Atletas!B363="Masculino",200,""))+(IF(Atletas!D363="Infantil 39kg",1,IF(Atletas!D363="Infantil 42kg",2,IF(Atletas!D363="Infantil 45kg",3,IF(Atletas!D363="Infantil 48kg",4,IF(Atletas!D363="Infantil 52kg",5,IF(Atletas!D363="Infantil 56kg",6,IF(Atletas!D363="Infantil 60kg",7,IF(Atletas!D363="Juvenil 48kg",8,IF(Atletas!D363="Juvenil 52kg",9,IF(Atletas!D363="Juvenil 56kg",10,IF(Atletas!D363="Juvenil 60kg",11,IF(Atletas!D363="Juvenil 65kg",12,IF(Atletas!D363="Juvenil 70kg",13,IF(Atletas!D363="Juvenil 75kg",14,IF(Atletas!D363="Juvenil 80kg",15,IF(Atletas!D363="Adulto 48kg",16,IF(Atletas!D363="Adulto 52kg",17,IF(Atletas!D363="Adulto 56kg",18,IF(Atletas!D363="Adulto 60kg",19,IF(Atletas!D363="Adulto 65kg",20,IF(Atletas!D363="Adulto 70kg",21,IF(Atletas!D363="Adulto 75kg",22,IF(Atletas!D363="Adulto 80kg",23,IF(Atletas!D363="Adulto 85kg",24,IF(Atletas!D363="Adulto 90kg",25,IF(Atletas!D363="Adulto +90kg",26,""))))))))))))))))))))))))))))</f>
        <v/>
      </c>
      <c r="AO367" s="10" t="str">
        <f>IF(Atletas!E363="","",IF(Atletas!B363="Feminino",100,IF(Atletas!B363="Masculino",200,""))+(IF(Atletas!E363="Juvenil 44kg",1,IF(Atletas!E363="Juvenil 48kg",2,IF(Atletas!E363="Juvenil 52kg",3,IF(Atletas!E363="Juvenil 56kg",4,IF(Atletas!E363="Juvenil 60kg",5,IF(Atletas!E363="Juvenil 65kg",6,IF(Atletas!E363="Juvenil 70kg",7,IF(Atletas!E363="Juvenil 75kg",8,IF(Atletas!E363="Juvenil 82kg",9,IF(Atletas!E363="Juvenil 90kg",10,IF(Atletas!E363="Juvenil 100kg",11,IF(Atletas!E363="Adulto 48kg",12,IF(Atletas!E363="Adulto 52kg",13,IF(Atletas!E363="Adulto 56kg",14,IF(Atletas!E363="Adulto 60kg",15,IF(Atletas!E363="Adulto 65kg",16,IF(Atletas!E363="Adulto 70kg",17,IF(Atletas!E363="Adulto 75kg",18,IF(Atletas!E363="Adulto 82kg",19,IF(Atletas!E363="Adulto 90kg",20,IF(Atletas!E363="Adulto 100kg",21,IF(Atletas!E363="Adulto +100kg",22,""))))))))))))))))))))))))</f>
        <v/>
      </c>
      <c r="AT367" s="10" t="str">
        <f>IF(Atletas!F363="","",IF(Atletas!B363="Feminino",100,IF(Atletas!B363="Masculino",200,""))+(IF(Atletas!F363="Adulto 48kg",1,IF(Atletas!F363="Adulto 56kg",2,IF(Atletas!F363="Adulto 65kg",3,IF(Atletas!F363="Adulto 75kg",4,IF(Atletas!F363="Adulto +75kg",5,IF(Atletas!F363="Adulto 52kg",6,IF(Atletas!F363="Adulto 60kg",7,IF(Atletas!F363="Adulto 70kg",8,IF(Atletas!F363="Adulto 80kg",9,IF(Atletas!F363="Adulto 90kg",10,IF(Atletas!F363="Adulto +90kg",11,"")))))))))))))</f>
        <v/>
      </c>
      <c r="AY367" s="46" t="str">
        <f>IF(Atletas!G363="","",IF(Atletas!B363="Feminino",100,IF(Atletas!B363="Masculino",200,""))+(IF(Atletas!G363="Changquan Mirim",1,IF(Atletas!G363="Nanquan Mirim",2,IF(Atletas!G363="Taijiquan Mirim",3,IF(Atletas!G363="Changquan Grupo C",4,IF(Atletas!G363="Nanquan Grupo C",5,IF(Atletas!G363="Taijiquan Grupo C",6,IF(Atletas!G363="Changquan Grupo B",7,IF(Atletas!G363="Nanquan Grupo B",8,IF(Atletas!G363="Taijiquan Grupo B",9,IF(Atletas!G363="Changquan Grupo A",10,IF(Atletas!G363="Nanquan Grupo A",11,IF(Atletas!G363="Taijiquan Grupo A",12,IF(Atletas!G363="Changquan Opcional",13,IF(Atletas!G363="Nanquan Opcional",14,IF(Atletas!G363="Taijiquan Opcional",15,IF(Atletas!G363="Changquan Adulto",16,IF(Atletas!G363="Nanquan Adulto",17,IF(Atletas!G363="Taijiquan Adulto",18,""))))))))))))))))))))</f>
        <v/>
      </c>
      <c r="AZ367" s="46" t="str">
        <f>IF(Atletas!H363="","",IF(Atletas!B363="Feminino",100,IF(Atletas!B363="Masculino",200,""))+(IF(Atletas!H363="Daoshu Mirim",19,IF(Atletas!H363="Jianshu Mirim",20,IF(Atletas!H363="Nandao Mirim",21,IF(Atletas!H363="Taijijian Mirim",22,IF(Atletas!H363="Daoshu Grupo C",23,IF(Atletas!H363="Jianshu Grupo C",24,IF(Atletas!H363="Nandao Grupo C",25,IF(Atletas!H363="Taijijian Grupo C",26,IF(Atletas!H363="Daoshu Grupo B",27,IF(Atletas!H363="Jianshu Grupo B",28,IF(Atletas!H363="Nandao Grupo B",29,IF(Atletas!H363="Taijijian Grupo B",30,IF(Atletas!H363="Daoshu Grupo A",31,IF(Atletas!H363="Jianshu Grupo A",32,IF(Atletas!H363="Nandao Grupo A",33,IF(Atletas!H363="Taijijian Grupo A",34,IF(Atletas!H363="Daoshu Opcional",35,IF(Atletas!H363="Jianshu Opcional",36,IF(Atletas!H363="Nandao Opcional",37,IF(Atletas!H363="Taijijian Opcional",38,IF(Atletas!H363="Daoshu Adulto",39,IF(Atletas!H363="Jianshu Adulto",40,IF(Atletas!H363="Nandao Adulto",41,IF(Atletas!H363="Taijijian Adulto",42,""))))))))))))))))))))))))))</f>
        <v/>
      </c>
      <c r="BA367" s="46" t="str">
        <f>IF(Atletas!I363="","",IF(Atletas!B363="Feminino",100,IF(Atletas!B363="Masculino",200,""))+(IF(Atletas!I363="Gunshu Mirim",43,IF(Atletas!I363="Qiangshu Mirim",44,IF(Atletas!I363="Nangun Mirim",45,IF(Atletas!I363="Gunshu Grupo C",46,IF(Atletas!I363="Qiangshu Grupo C",47,IF(Atletas!I363="Nangun Grupo C",48,IF(Atletas!I363="Gunshu Grupo B",49,IF(Atletas!I363="Qiangshu Grupo B",50,IF(Atletas!I363="Nangun Grupo B",51,IF(Atletas!I363="Gunshu Grupo A",52,IF(Atletas!I363="Qiangshu Grupo A",53,IF(Atletas!I363="Nangun Grupo A",54,IF(Atletas!I363="Gunshu Opcional",55,IF(Atletas!I363="Qiangshu Opcional",56,IF(Atletas!I363="Nangun Opcional",57,IF(Atletas!I363="Gunshu Adulto",58,IF(Atletas!I363="Qiangshu Adulto",59,IF(Atletas!I363="Nangun Adulto",60,""))))))))))))))))))))</f>
        <v/>
      </c>
      <c r="BF367" s="52" t="str">
        <f>IF(Atletas!J363="","",IF(Atletas!B363="Feminino",100,IF(Atletas!B363="Masculino",200,""))+(IF(Atletas!J363="Equipe 1 Grupo B",1,IF(Atletas!J363="Equipe 2 Grupo B",2,IF(Atletas!J363="Equipe 1 Grupo A",3,IF(Atletas!J363="Equipe 2 Grupo A",4,IF(Atletas!J363="Equipe 1 Adulto",5,IF(Atletas!J363="Equipe 2 Adulto",6,""))))))))</f>
        <v/>
      </c>
      <c r="BK367" s="52" t="str">
        <f>IF(Atletas!K363="","",IF(Atletas!W363&lt;&gt;"",10000,0)+(IF(Atletas!B363="Feminino",1000,IF(Atletas!B363="Masculino",2000,""))+IF(Atletas!K363="Choylayfut A",1,IF(Atletas!K363="Hunggar A",2,IF(Atletas!K363="Wuzuquan A",3,IF(Atletas!K363="Wingchun A",4,IF(Atletas!K363="Outra Mão de Sul A",5,IF(Atletas!K363="Choylayfut B",6,IF(Atletas!K363="Hunggar B",7,IF(Atletas!K363="Wuzuquan B",8,IF(Atletas!K363="Wingchun B",9,IF(Atletas!K363="Outra Mão de Sul B",10,IF(Atletas!K363="Choylayfut C",11,IF(Atletas!K363="Hunggar C",12,IF(Atletas!K363="Wuzuquan C",13,IF(Atletas!K363="Wingchun C",14,IF(Atletas!K363="Outra Mão de Sul C",15,IF(Atletas!K363="Choylayfut D",16,IF(Atletas!K363="Hunggar D",17,IF(Atletas!K363="Wuzuquan D",18,IF(Atletas!K363="Wingchun D",19,IF(Atletas!K363="Outra Mão de Sul D",20,IF(Atletas!K363="Choylayfut E",21,IF(Atletas!K363="Hunggar E",22,IF(Atletas!K363="Wuzuquan E",23,IF(Atletas!K363="Wingchun E",24,IF(Atletas!K363="Outra Mão de Sul E",25,IF(Atletas!K363="Choylayfut F",26,IF(Atletas!K363="Hunggar F",27,IF(Atletas!K363="Wuzuquan F",28,IF(Atletas!K363="Wingchun F",29,IF(Atletas!K363="Outra Mão de Sul F",30,""))))))))))))))))))))))))))))))))</f>
        <v/>
      </c>
      <c r="BL367" s="52" t="str">
        <f>IF(Atletas!L363="","",IF(Atletas!W363&lt;&gt;"",10000,0)+(IF(Atletas!B363="Feminino",1000,IF(Atletas!B363="Masculino",2000,""))+(IF(Atletas!L363="Chaquan A",101,IF(Atletas!L363="Emeiquan A",102,IF(Atletas!L363="Fanziquan A",103,IF(Atletas!L363="Huaquan A",104,IF(Atletas!L363="Hongquan A",105,IF(Atletas!L363="Paochui A",106,IF(Atletas!L363="Piguaquan A",107,IF(Atletas!L363="Shaolinquan A",108,IF(Atletas!L363="Tanglangquan A",109,IF(Atletas!L363="Yinzhaophai A",110,IF(Atletas!L363="Tongbeiquan A",111,IF(Atletas!L363="Wudangquan A",112,IF(Atletas!L363="Outros Estilos A",113,IF(Atletas!L363="Chaquan B",114,IF(Atletas!L363="Emeiquan B",115,IF(Atletas!L363="Fanziquan B",116,IF(Atletas!L363="Huaquan B",117,IF(Atletas!L363="Hongquan B",118,IF(Atletas!L363="Paochui B",119,IF(Atletas!L363="Piguaquan B",120,IF(Atletas!L363="Shaolinquan B",121,IF(Atletas!L363="Tanglangquan B",122,IF(Atletas!L363="Yinzhaophai B",123,IF(Atletas!L363="Tongbeiquan B",124,IF(Atletas!L363="Wudangquan B",125,IF(Atletas!L363="Outros Estilos B",126,IF(Atletas!L363="Chaquan C",127,IF(Atletas!L363="Emeiquan C",128,IF(Atletas!L363="Fanziquan C",129,IF(Atletas!L363="Huaquan C",130,IF(Atletas!L363="Hongquan C",131,IF(Atletas!L363="Paochui C",132,IF(Atletas!L363="Piguaquan C",133,IF(Atletas!L363="Shaolinquan C",134,IF(Atletas!L363="Tanglangquan C",135,IF(Atletas!L363="Yinzhaophai C",136,IF(Atletas!L363="Tongbeiquan C",137,IF(Atletas!L363="Wudangquan C",138,IF(Atletas!L363="Outros Estilos C",139,0))))))))))))))))))))))))))))))))))))))))))</f>
        <v/>
      </c>
      <c r="BM367" s="52" t="str">
        <f>IF(Atletas!L363="","",IF(Atletas!W363&lt;&gt;"",10000,0)+(IF(Atletas!B363="Feminino",1000,IF(Atletas!B363="Masculino",2000,""))+(IF(Atletas!L363="Chaquan D",140,IF(Atletas!L363="Emeiquan D",141,IF(Atletas!L363="Fanziquan D",142,IF(Atletas!L363="Huaquan D",143,IF(Atletas!L363="Hongquan D",144,IF(Atletas!L363="Paochui D",145,IF(Atletas!L363="Piguaquan D",146,IF(Atletas!L363="Shaolinquan D",147,IF(Atletas!L363="Tanglangquan D",148,IF(Atletas!L363="Yinzhaophai D",149,IF(Atletas!L363="Tongbeiquan D",150,IF(Atletas!L363="Wudangquan D",151,IF(Atletas!L363="Outros Estilos D",152,IF(Atletas!L363="Chaquan E",153,IF(Atletas!L363="Emeiquan E",154,IF(Atletas!L363="Fanziquan E",155,IF(Atletas!L363="Huaquan E",156,IF(Atletas!L363="Hongquan E",157,IF(Atletas!L363="Paochui E",158,IF(Atletas!L363="Piguaquan E",159,IF(Atletas!L363="Shaolinquan E",160,IF(Atletas!L363="Tanglangquan E",161,IF(Atletas!L363="Yinzhaophai E",162,IF(Atletas!L363="Tongbeiquan E",163,IF(Atletas!L363="Wudangquan E",164,IF(Atletas!L363="Outros Estilos E",165,IF(Atletas!L363="Chaquan F",166,IF(Atletas!L363="Emeiquan F",167,IF(Atletas!L363="Fanziquan F",168,IF(Atletas!L363="Huaquan F",169,IF(Atletas!L363="Hongquan F",170,IF(Atletas!L363="Paochui F",171,IF(Atletas!L363="Piguaquan F",172,IF(Atletas!L363="Shaolinquan F",173,IF(Atletas!L363="Tanglangquan F",174,IF(Atletas!L363="Yinzhaophai F",175,IF(Atletas!L363="Tongbeiquan F",176,IF(Atletas!L363="Wudangquan F",177,IF(Atletas!L363="Outros Estilos F",178,0))))))))))))))))))))))))))))))))))))))))))</f>
        <v/>
      </c>
      <c r="BN367" s="52" t="str">
        <f>IF(Atletas!M363="","",IF(Atletas!W363&lt;&gt;"",10000,0)+(IF(Atletas!B363="Feminino",1000,IF(Atletas!B363="Masculino",2000,""))+(IF(Atletas!M363="Ditangquan A",201,IF(Atletas!M363="Houquan A",202,IF(Atletas!M363="Zuiquan A",203,IF(Atletas!M363="Ditangquan B",204,IF(Atletas!M363="Houquan B",205,IF(Atletas!M363="Zuiquan B",206,IF(Atletas!M363="Ditangquan C",207,IF(Atletas!M363="Houquan C",208,IF(Atletas!M363="Zuiquan C",209,IF(Atletas!M363="Ditangquan D",210,IF(Atletas!M363="Houquan D",211,IF(Atletas!M363="Zuiquan D",212,IF(Atletas!M363="Ditangquan E",213,IF(Atletas!M363="Houquan E",214,IF(Atletas!M363="Zuiquan E",215,IF(Atletas!M363="Ditangquan F",216,IF(Atletas!M363="Houquan F",217,IF(Atletas!M363="Zuiquan F",218,"")))))))))))))))))))))</f>
        <v/>
      </c>
      <c r="BO367" s="52" t="str">
        <f>IF(Atletas!N363="","",IF(Atletas!W363&lt;&gt;"",10000,0)+IF(Atletas!B363="Feminino",1000,IF(Atletas!B363="Masculino",2000,""))+IF(Atletas!N363="Yang A",301,IF(Atletas!N363="Chen A",30,IF(Atletas!N363="Sun A",303,IF(Atletas!N363="Wu A",304,IF(Atletas!N363="Wu-Hao A",305,IF(Atletas!N363="Outro Taijiquan A",306,IF(Atletas!N363="Yang B",307,IF(Atletas!N363="Chen B",308,IF(Atletas!N363="Sun B",309,IF(Atletas!N363="Wu B",310,IF(Atletas!N363="Wu-Hao B",311,IF(Atletas!N363="Outro Taijiquan B",312,IF(Atletas!N363="Yang C",313,IF(Atletas!N363="Chen C",314,IF(Atletas!N363="Sun C",315,IF(Atletas!N363="Wu C",316,IF(Atletas!N363="Wu-Hao C",317,IF(Atletas!N363="Outro Taijiquan C",318,IF(Atletas!N363="Yang D",319,IF(Atletas!N363="Chen D",320,IF(Atletas!N363="Sun D",321,IF(Atletas!N363="Wu D",322,IF(Atletas!N363="Wu-Hao D",323,IF(Atletas!N363="Outro Taijiquan D",324,IF(Atletas!N363="Yang E",325,IF(Atletas!N363="Chen E",326,IF(Atletas!N363="Sun E",327,IF(Atletas!N363="Wu E",328,IF(Atletas!N363="Wu-Hao E",329,IF(Atletas!N363="Outro Taijiquan E",330,IF(Atletas!N363="Yang F",331,IF(Atletas!N363="Chen F",332,IF(Atletas!N363="Sun F",333,IF(Atletas!N363="Wu F",334,IF(Atletas!N363="Wu-Hao F",335,IF(Atletas!N363="Outro Taijiquan F",336,"")))))))))))))))))))))))))))))))))))))</f>
        <v/>
      </c>
      <c r="BP367" s="52" t="str">
        <f>IF(Atletas!O363="","",IF(Atletas!W363&lt;&gt;"",10000,0)+IF(Atletas!B363="Feminino",1000,IF(Atletas!B363="Masculino",2000,""))+IF(OR(Atletas!O363="Yang 26 A",Atletas!O363="Yang 40 A"),401,IF(OR(Atletas!O363="Chen 25 A",Atletas!O363="Chen 36 A",Atletas!O363="Chen 56 A"),402,IF(Atletas!O363="Sun 73 A",403,IF(Atletas!O363="Wu 45 A",404,IF(Atletas!O363="Wu-Hao 46 A",405,IF(OR(Atletas!O363="Taijiquan 16 A",Atletas!O363="Taijiquan 24 A",Atletas!O363="Taijiquan 32 A",Atletas!O363="Taijiquan 42 A"),406,IF(OR(Atletas!O363="Yang 26 B",Atletas!O363="Yang 40 B"),407,IF(OR(Atletas!O363="Chen 25 B",Atletas!O363="Chen 36 B",Atletas!O363="Chen 56 B"),408,IF(Atletas!O363="Sun 73 B",409,IF(Atletas!O363="Wu 45 B",410,IF(Atletas!O363="Wu-Hao 46 B",411,IF(OR(Atletas!O363="Taijiquan 16 B",Atletas!O363="Taijiquan 24 B",Atletas!O363="Taijiquan 32 B",Atletas!O363="Taijiquan 42 B"),412,IF(OR(Atletas!O363="Yang 26 C",Atletas!O363="Yang 40 C"),413,IF(OR(Atletas!O363="Chen 25 C",Atletas!O363="Chen 36 C",Atletas!O363="Chen 56 C"),414,IF(Atletas!O363="Sun 73 C",415,IF(Atletas!O363="Wu 45 C",416,IF(Atletas!O363="Wu-Hao 46 C",417,IF(OR(Atletas!O363="Taijiquan 16 C",Atletas!O363="Taijiquan 24 C",Atletas!O363="Taijiquan 32 C",Atletas!O363="Taijiquan 42 C"),418,0)))))))))))))))))))</f>
        <v/>
      </c>
      <c r="BQ367" s="52" t="str">
        <f>IF(Atletas!O363="","",IF(Atletas!W363&lt;&gt;"",10000,0)+IF(Atletas!B363="Feminino",1000,IF(Atletas!B363="Masculino",2000,""))+IF(OR(Atletas!O363="Yang 26 D",Atletas!O363="Yang 40 D"),419,IF(OR(Atletas!O363="Chen 25 D",Atletas!O363="Chen 36 D",Atletas!O363="Chen 56 D"),420,IF(Atletas!O363="Sun 73 D",421,IF(Atletas!O363="Wu 45 D",422,IF(Atletas!O363="Wu-Hao 46 D",423,IF(OR(Atletas!O363="Taijiquan 16 D",Atletas!O363="Taijiquan 24 D",Atletas!O363="Taijiquan 32 D",Atletas!O363="Taijiquan 42 D"),424,IF(OR(Atletas!O363="Yang 26 E",Atletas!O363="Yang 40 E"),425,IF(OR(Atletas!O363="Chen 25 E",Atletas!O363="Chen 36 E",Atletas!O363="Chen 56 E"),426,IF(Atletas!O363="Sun 73 E",427,IF(Atletas!O363="Wu 45 E",428,IF(Atletas!O363="Wu-Hao 46 E",429,IF(OR(Atletas!O363="Taijiquan 16 E",Atletas!O363="Taijiquan 24 E",Atletas!O363="Taijiquan 32 E",Atletas!O363="Taijiquan 42 E"),430,IF(OR(Atletas!O363="Yang 26 F",Atletas!O363="Yang 40 F"),431,IF(OR(Atletas!O363="Chen 25 F",Atletas!O363="Chen 36 F",Atletas!O363="Chen 56 F"),432,IF(Atletas!O363="Sun 73 F",433,IF(Atletas!O363="Wu 45 F",434,IF(Atletas!O363="Wu-Hao 46 F",435,IF(OR(Atletas!O363="Taijiquan 16 F",Atletas!O363="Taijiquan 24 F",Atletas!O363="Taijiquan 32 F",Atletas!O363="Taijiquan 42 F"),436,0)))))))))))))))))))</f>
        <v/>
      </c>
      <c r="BR367" s="52" t="str">
        <f>IF(Atletas!P363="","",IF(Atletas!W363&lt;&gt;"",10000,0)+IF(Atletas!B363="Feminino",1000,IF(Atletas!B363="Masculino",2000,""))+IF(Atletas!P363="Xingyiquan A",501,IF(Atletas!P363="Baguazhang A",502,IF(Atletas!P363="Outro Estilo Interno A",503,IF(Atletas!P363="Xingyiquan B",504,IF(Atletas!P363="Baguazhang B",505,IF(Atletas!P363="Outro Estilo Interno B",506,IF(Atletas!P363="Xingyiquan C",507,IF(Atletas!P363="Baguazhang C",508,IF(Atletas!P363="Outro Estilo Interno C",509,IF(Atletas!P363="Xingyiquan D",510,IF(Atletas!P363="Baguazhang D",511,IF(Atletas!P363="Outro Estilo Interno D",512,IF(Atletas!P363="Xingyiquan E",513,IF(Atletas!P363="Baguazhang E",514,IF(Atletas!P363="Outro Estilo Interno E",515,IF(Atletas!P363="Xingyiquan F",516,IF(Atletas!P363="Baguazhang F",517,IF(Atletas!P363="Outro Estilo Interno F",518, "")))))))))))))))))))</f>
        <v/>
      </c>
      <c r="BS367" s="52" t="str">
        <f>IF(Atletas!Q363="","",IF(Atletas!W363&lt;&gt;"",10000,0)+IF(Atletas!B363="Feminino",1000,IF(Atletas!B363="Masculino",2000,""))+IF(Atletas!Q363="Dao A",601,IF(Atletas!Q363="Jian A",602,IF(Atletas!Q363="Bishou A",603,IF(Atletas!Q363="Shan A",604,IF(Atletas!Q363="Outra Arma Curta A",605,IF(Atletas!Q363="Dao B",606,IF(Atletas!Q363="Jian B",607,IF(Atletas!Q363="Bishou B",608,IF(Atletas!Q363="Shan B",609,IF(Atletas!Q363="Outra Arma Curta B",610,IF(Atletas!Q363="Dao C",611,IF(Atletas!Q363="Jian C",612,IF(Atletas!Q363="Bishou C",613,IF(Atletas!Q363="Shan C",614,IF(Atletas!Q363="Outra Arma Curta C",615,IF(Atletas!Q363="Dao D",616,IF(Atletas!Q363="Jian D",617,IF(Atletas!Q363="Bishou D",618,IF(Atletas!Q363="Shan D",619,IF(Atletas!Q363="Outra Arma Curta D",620,IF(Atletas!Q363="Dao E",621,IF(Atletas!Q363="Jian E",622,IF(Atletas!Q363="Bishou E",623,IF(Atletas!Q363="Shan E",624,IF(Atletas!Q363="Outra Arma Curta E",625,IF(Atletas!Q363="Dao F",626,IF(Atletas!Q363="Jian F",627,IF(Atletas!Q363="Bishou F",628,IF(Atletas!Q363="Shan F",629,IF(Atletas!Q363="Outra Arma Curta F",630, "")))))))))))))))))))))))))))))))</f>
        <v/>
      </c>
      <c r="BT367" s="52" t="str">
        <f>IF(Atletas!R363="","",IF(Atletas!W363&lt;&gt;"",10000,0)+IF(Atletas!B363="Feminino",1000,IF(Atletas!B363="Masculino",2000,""))+IF(Atletas!R363="Gun A",701,IF(Atletas!R363="Qiang A",702,IF(Atletas!R363="Pudao / Guandao A",703,IF(Atletas!R363="Outra Arma Longa A",704,IF(Atletas!R363="Gun B",705,IF(Atletas!R363="Qiang B",706,IF(Atletas!R363="Pudao / Guandao B",707,IF(Atletas!R363="Outra Arma Longa B",708,IF(Atletas!R363="Gun C",709,IF(Atletas!R363="Qiang C",710,IF(Atletas!R363="Pudao / Guandao C",711,IF(Atletas!R363="Outra Arma Longa C",712,IF(Atletas!R363="Gun D",713,IF(Atletas!R363="Qiang D",714,IF(Atletas!R363="Pudao / Guandao D",715,IF(Atletas!R363="Outra Arma Longa D",716,IF(Atletas!R363="Gun E",717,IF(Atletas!R363="Qiang E",718,IF(Atletas!R363="Pudao / Guandao E",719,IF(Atletas!R363="Outra Arma Longa E",720,IF(Atletas!R363="Gun F",721,IF(Atletas!R363="Qiang F",722,IF(Atletas!R363="Pudao / Guandao F",723,IF(Atletas!R363="Outra Arma Longa F",724,"")))))))))))))))))))))))))</f>
        <v/>
      </c>
      <c r="BU367" s="52" t="str">
        <f>IF(Atletas!S363="","",IF(Atletas!W363&lt;&gt;"",10000,0)+IF(Atletas!B363="Feminino",1000,IF(Atletas!B363="Masculino",2000,""))+IF(Atletas!S363="Arma Dupla A",801,IF(Atletas!S363="Arma Maleável A",802,IF(Atletas!S363="Arma Dupla B",803,IF(Atletas!S363="Arma Maleável B",804,IF(Atletas!S363="Arma Dupla C",805,IF(Atletas!S363="Arma Maleável C",806,IF(Atletas!S363="Arma Dupla D",807,IF(Atletas!S363="Arma Maleável D",808,IF(Atletas!S363="Arma Dupla E",809,IF(Atletas!S363="Arma Maleável E",810,IF(Atletas!S363="Arma Dupla F",811,IF(Atletas!S363="Arma Maleável F",812, "")))))))))))))</f>
        <v/>
      </c>
      <c r="BV367" s="52" t="str">
        <f>IF(Atletas!T363="","",IF(Atletas!W363&lt;&gt;"",10000,0)+IF(Atletas!B363="Feminino",1000,IF(Atletas!B363="Masculino",2000,""))+IF(Atletas!T363="Taijijian Yang A",901,IF(Atletas!T363="Taijijian Chen A",902,IF(Atletas!T363="Taijijian Sun A",903,IF(Atletas!T363="Taijijian Wu A",904,IF(Atletas!T363="Taijijian Wu-Hao A",905,IF(Atletas!T363="Taijijian 32 A",906,IF(Atletas!T363="Taijijian 42 A",907,IF(Atletas!T363="Taijijian Yang B",908,IF(Atletas!T363="Taijijian Chen B",909,IF(Atletas!T363="Taijijian Sun B",910,IF(Atletas!T363="Taijijian Wu B",911,IF(Atletas!T363="Taijijian Wu-Hao B",912,IF(Atletas!T363="Taijijian 32 B",913,IF(Atletas!T363="Taijijian 42 B",914,IF(Atletas!T363="Taijijian Yang C",915,IF(Atletas!T363="Taijijian Chen C",916,IF(Atletas!T363="Taijijian Sun C",917,IF(Atletas!T363="Taijijian Wu C",918,IF(Atletas!T363="Taijijian Wu-Hao C",919,IF(Atletas!T363="Taijijian 32 C",920,IF(Atletas!T363="Taijijian 42 C",921,IF(Atletas!T363="Taijijian Yang D",922,IF(Atletas!T363="Taijijian Chen D",923,IF(Atletas!T363="Taijijian Sun D",924,IF(Atletas!T363="Taijijian Wu D",925,IF(Atletas!T363="Taijijian Wu-Hao D",926,IF(Atletas!T363="Taijijian 32 D",927,IF(Atletas!T363="Taijijian 42 D",928,IF(Atletas!T363="Taijijian Yang E",929,IF(Atletas!T363="Taijijian Chen E",930,IF(Atletas!T363="Taijijian Sun E",931,IF(Atletas!T363="Taijijian Wu E",932,IF(Atletas!T363="Taijijian Wu-Hao E",933,IF(Atletas!T363="Taijijian 32 E",934,IF(Atletas!T363="Taijijian 42 E",935,IF(Atletas!T363="Taijijian Yang F",936,IF(Atletas!T363="Taijijian Chen F",937,IF(Atletas!T363="Taijijian Sun F",938,IF(Atletas!T363="Taijijian Wu F",939,IF(Atletas!T363="Taijijian Wu-Hao F",940,IF(Atletas!T363="Taijijian 32 F",941,IF(Atletas!T363="Taijijian 42 F",942,"")))))))))))))))))))))))))))))))))))))))))))</f>
        <v/>
      </c>
      <c r="BW367" s="52" t="str">
        <f>IF(Atletas!U363="","",IF(Atletas!W363&lt;&gt;"",10000,0)+IF(Atletas!B363="Feminino",1000,IF(Atletas!B363="Masculino",2000,""))+IF(Atletas!T363="Taijijian 42 F",942,IF(Atletas!U363="Taijidao A",943,IF(Atletas!U363="Taijishan A",944,IF(Atletas!U363="Taijiqiang A",945,IF(Atletas!U363="Taijidao B",946,IF(Atletas!U363="Taijishan B",947,IF(Atletas!U363="Taijiqiang B",948,IF(Atletas!U363="Taijidao C",949,IF(Atletas!U363="Taijishan C",950,IF(Atletas!U363="Taijiqiang C",951,IF(Atletas!U363="Taijidao D",952,IF(Atletas!U363="Taijishan D",953,IF(Atletas!U363="Taijiqiang D",954,IF(Atletas!U363="Taijidao E",955,IF(Atletas!U363="Taijishan E",956,IF(Atletas!U363="Taijiqiang E",957,IF(Atletas!U363="Taijidao F",958,IF(Atletas!U363="Taijishan F",959,IF(Atletas!U363="Taijiqiang F",960))))))))))))))))))))</f>
        <v/>
      </c>
      <c r="BX367" s="73"/>
      <c r="BY367" s="73"/>
      <c r="BZ367" s="73"/>
      <c r="CA367" s="73"/>
      <c r="CB367" s="72"/>
      <c r="CC367" s="64" t="str">
        <f>IF(COUNTIF(BK:BW,11919)&gt;0,COUNTIF(BK:BW,11919),"")</f>
        <v/>
      </c>
      <c r="CD367" s="64" t="str">
        <f>IF(CE367&lt;&gt;"","Taijijian Wu-Hao C","")</f>
        <v/>
      </c>
      <c r="CE367" s="64" t="str">
        <f>IF(COUNTIF(BK:BW,12919)&gt;0,COUNTIF(BK:BW,12919),"")</f>
        <v/>
      </c>
      <c r="CF367" s="52" t="str">
        <f xml:space="preserve"> IF(Atletas!V363="","",IF(Atletas!V363="Duilian de Mãos AB - Equipe 1",1,IF(Atletas!V363="Duilian de Mãos AB - Equipe 2",2,IF(Atletas!V363="Duilian de Armas AB - Equipe 1",3,IF(Atletas!V363="Duilian de Armas AB - Equipe 2",4,IF(Atletas!V363="Duilian de Tuishou - Equipe 1",5,IF(Atletas!V363="Duilian de Tuishou - Equipe 2",6,IF(Atletas!V363="Grupo Externo AB - Equipe 1",7,IF(Atletas!V363="Grupo Externo AB - Equipe 2",8,IF(Atletas!V363="Grupo Interno AB - Equipe 1",9,IF(Atletas!V363="Grupo Interno AB - Equipe 2",10,IF(Atletas!V363="Duilian de Mãos CD - Equipe 1",11,IF(Atletas!V363="Duilian de Mãos CD - Equipe 2",12,IF(Atletas!V363="Duilian de Armas CD - Equipe 1",13,IF(Atletas!V363="Duilian de Armas CD - Equipe 2",14,IF(Atletas!V363="Duilian de Tuishou - Equipe 1",15,IF(Atletas!V363="Duilian de Tuishou - Equipe 2",16,IF(Atletas!V363="Grupo Externo CDEF - Equipe 1",17,IF(Atletas!V363="Grupo Externo CDEF - Equipe 2",18,IF(Atletas!V363="Grupo Interno CDEF - Equipe 1",19,IF(Atletas!V363="Grupo Interno CDEF - Equipe 2",20,IF(Atletas!V363="Duilian de Mãos EF - Equipe 1",21,IF(Atletas!V363="Duilian de Mãos EF - Equipe 2",22,IF(Atletas!V363="Duilian de Armas EF - Equipe 1",23,IF(Atletas!V363="Duilian de Armas EF - Equipe 2",24,IF(Atletas!V363="Duilian de Tuishou - Equipe 1",25,IF(Atletas!V363="Duilian de Tuishou - Equipe 2",26,"")))))))))))))))))))))))))))</f>
        <v/>
      </c>
    </row>
    <row r="368" spans="36:84">
      <c r="AJ368" s="46" t="str">
        <f>IF(Atletas!D364="","",IF(Atletas!B364="Feminino",100,IF(Atletas!B364="Masculino",200,""))+(IF(Atletas!D364="Infantil 39kg",1,IF(Atletas!D364="Infantil 42kg",2,IF(Atletas!D364="Infantil 45kg",3,IF(Atletas!D364="Infantil 48kg",4,IF(Atletas!D364="Infantil 52kg",5,IF(Atletas!D364="Infantil 56kg",6,IF(Atletas!D364="Infantil 60kg",7,IF(Atletas!D364="Juvenil 48kg",8,IF(Atletas!D364="Juvenil 52kg",9,IF(Atletas!D364="Juvenil 56kg",10,IF(Atletas!D364="Juvenil 60kg",11,IF(Atletas!D364="Juvenil 65kg",12,IF(Atletas!D364="Juvenil 70kg",13,IF(Atletas!D364="Juvenil 75kg",14,IF(Atletas!D364="Juvenil 80kg",15,IF(Atletas!D364="Adulto 48kg",16,IF(Atletas!D364="Adulto 52kg",17,IF(Atletas!D364="Adulto 56kg",18,IF(Atletas!D364="Adulto 60kg",19,IF(Atletas!D364="Adulto 65kg",20,IF(Atletas!D364="Adulto 70kg",21,IF(Atletas!D364="Adulto 75kg",22,IF(Atletas!D364="Adulto 80kg",23,IF(Atletas!D364="Adulto 85kg",24,IF(Atletas!D364="Adulto 90kg",25,IF(Atletas!D364="Adulto +90kg",26,""))))))))))))))))))))))))))))</f>
        <v/>
      </c>
      <c r="AO368" s="10" t="str">
        <f>IF(Atletas!E364="","",IF(Atletas!B364="Feminino",100,IF(Atletas!B364="Masculino",200,""))+(IF(Atletas!E364="Juvenil 44kg",1,IF(Atletas!E364="Juvenil 48kg",2,IF(Atletas!E364="Juvenil 52kg",3,IF(Atletas!E364="Juvenil 56kg",4,IF(Atletas!E364="Juvenil 60kg",5,IF(Atletas!E364="Juvenil 65kg",6,IF(Atletas!E364="Juvenil 70kg",7,IF(Atletas!E364="Juvenil 75kg",8,IF(Atletas!E364="Juvenil 82kg",9,IF(Atletas!E364="Juvenil 90kg",10,IF(Atletas!E364="Juvenil 100kg",11,IF(Atletas!E364="Adulto 48kg",12,IF(Atletas!E364="Adulto 52kg",13,IF(Atletas!E364="Adulto 56kg",14,IF(Atletas!E364="Adulto 60kg",15,IF(Atletas!E364="Adulto 65kg",16,IF(Atletas!E364="Adulto 70kg",17,IF(Atletas!E364="Adulto 75kg",18,IF(Atletas!E364="Adulto 82kg",19,IF(Atletas!E364="Adulto 90kg",20,IF(Atletas!E364="Adulto 100kg",21,IF(Atletas!E364="Adulto +100kg",22,""))))))))))))))))))))))))</f>
        <v/>
      </c>
      <c r="AT368" s="10" t="str">
        <f>IF(Atletas!F364="","",IF(Atletas!B364="Feminino",100,IF(Atletas!B364="Masculino",200,""))+(IF(Atletas!F364="Adulto 48kg",1,IF(Atletas!F364="Adulto 56kg",2,IF(Atletas!F364="Adulto 65kg",3,IF(Atletas!F364="Adulto 75kg",4,IF(Atletas!F364="Adulto +75kg",5,IF(Atletas!F364="Adulto 52kg",6,IF(Atletas!F364="Adulto 60kg",7,IF(Atletas!F364="Adulto 70kg",8,IF(Atletas!F364="Adulto 80kg",9,IF(Atletas!F364="Adulto 90kg",10,IF(Atletas!F364="Adulto +90kg",11,"")))))))))))))</f>
        <v/>
      </c>
      <c r="AY368" s="46" t="str">
        <f>IF(Atletas!G364="","",IF(Atletas!B364="Feminino",100,IF(Atletas!B364="Masculino",200,""))+(IF(Atletas!G364="Changquan Mirim",1,IF(Atletas!G364="Nanquan Mirim",2,IF(Atletas!G364="Taijiquan Mirim",3,IF(Atletas!G364="Changquan Grupo C",4,IF(Atletas!G364="Nanquan Grupo C",5,IF(Atletas!G364="Taijiquan Grupo C",6,IF(Atletas!G364="Changquan Grupo B",7,IF(Atletas!G364="Nanquan Grupo B",8,IF(Atletas!G364="Taijiquan Grupo B",9,IF(Atletas!G364="Changquan Grupo A",10,IF(Atletas!G364="Nanquan Grupo A",11,IF(Atletas!G364="Taijiquan Grupo A",12,IF(Atletas!G364="Changquan Opcional",13,IF(Atletas!G364="Nanquan Opcional",14,IF(Atletas!G364="Taijiquan Opcional",15,IF(Atletas!G364="Changquan Adulto",16,IF(Atletas!G364="Nanquan Adulto",17,IF(Atletas!G364="Taijiquan Adulto",18,""))))))))))))))))))))</f>
        <v/>
      </c>
      <c r="AZ368" s="46" t="str">
        <f>IF(Atletas!H364="","",IF(Atletas!B364="Feminino",100,IF(Atletas!B364="Masculino",200,""))+(IF(Atletas!H364="Daoshu Mirim",19,IF(Atletas!H364="Jianshu Mirim",20,IF(Atletas!H364="Nandao Mirim",21,IF(Atletas!H364="Taijijian Mirim",22,IF(Atletas!H364="Daoshu Grupo C",23,IF(Atletas!H364="Jianshu Grupo C",24,IF(Atletas!H364="Nandao Grupo C",25,IF(Atletas!H364="Taijijian Grupo C",26,IF(Atletas!H364="Daoshu Grupo B",27,IF(Atletas!H364="Jianshu Grupo B",28,IF(Atletas!H364="Nandao Grupo B",29,IF(Atletas!H364="Taijijian Grupo B",30,IF(Atletas!H364="Daoshu Grupo A",31,IF(Atletas!H364="Jianshu Grupo A",32,IF(Atletas!H364="Nandao Grupo A",33,IF(Atletas!H364="Taijijian Grupo A",34,IF(Atletas!H364="Daoshu Opcional",35,IF(Atletas!H364="Jianshu Opcional",36,IF(Atletas!H364="Nandao Opcional",37,IF(Atletas!H364="Taijijian Opcional",38,IF(Atletas!H364="Daoshu Adulto",39,IF(Atletas!H364="Jianshu Adulto",40,IF(Atletas!H364="Nandao Adulto",41,IF(Atletas!H364="Taijijian Adulto",42,""))))))))))))))))))))))))))</f>
        <v/>
      </c>
      <c r="BA368" s="46" t="str">
        <f>IF(Atletas!I364="","",IF(Atletas!B364="Feminino",100,IF(Atletas!B364="Masculino",200,""))+(IF(Atletas!I364="Gunshu Mirim",43,IF(Atletas!I364="Qiangshu Mirim",44,IF(Atletas!I364="Nangun Mirim",45,IF(Atletas!I364="Gunshu Grupo C",46,IF(Atletas!I364="Qiangshu Grupo C",47,IF(Atletas!I364="Nangun Grupo C",48,IF(Atletas!I364="Gunshu Grupo B",49,IF(Atletas!I364="Qiangshu Grupo B",50,IF(Atletas!I364="Nangun Grupo B",51,IF(Atletas!I364="Gunshu Grupo A",52,IF(Atletas!I364="Qiangshu Grupo A",53,IF(Atletas!I364="Nangun Grupo A",54,IF(Atletas!I364="Gunshu Opcional",55,IF(Atletas!I364="Qiangshu Opcional",56,IF(Atletas!I364="Nangun Opcional",57,IF(Atletas!I364="Gunshu Adulto",58,IF(Atletas!I364="Qiangshu Adulto",59,IF(Atletas!I364="Nangun Adulto",60,""))))))))))))))))))))</f>
        <v/>
      </c>
      <c r="BF368" s="52" t="str">
        <f>IF(Atletas!J364="","",IF(Atletas!B364="Feminino",100,IF(Atletas!B364="Masculino",200,""))+(IF(Atletas!J364="Equipe 1 Grupo B",1,IF(Atletas!J364="Equipe 2 Grupo B",2,IF(Atletas!J364="Equipe 1 Grupo A",3,IF(Atletas!J364="Equipe 2 Grupo A",4,IF(Atletas!J364="Equipe 1 Adulto",5,IF(Atletas!J364="Equipe 2 Adulto",6,""))))))))</f>
        <v/>
      </c>
      <c r="BK368" s="52" t="str">
        <f>IF(Atletas!K364="","",IF(Atletas!W364&lt;&gt;"",10000,0)+(IF(Atletas!B364="Feminino",1000,IF(Atletas!B364="Masculino",2000,""))+IF(Atletas!K364="Choylayfut A",1,IF(Atletas!K364="Hunggar A",2,IF(Atletas!K364="Wuzuquan A",3,IF(Atletas!K364="Wingchun A",4,IF(Atletas!K364="Outra Mão de Sul A",5,IF(Atletas!K364="Choylayfut B",6,IF(Atletas!K364="Hunggar B",7,IF(Atletas!K364="Wuzuquan B",8,IF(Atletas!K364="Wingchun B",9,IF(Atletas!K364="Outra Mão de Sul B",10,IF(Atletas!K364="Choylayfut C",11,IF(Atletas!K364="Hunggar C",12,IF(Atletas!K364="Wuzuquan C",13,IF(Atletas!K364="Wingchun C",14,IF(Atletas!K364="Outra Mão de Sul C",15,IF(Atletas!K364="Choylayfut D",16,IF(Atletas!K364="Hunggar D",17,IF(Atletas!K364="Wuzuquan D",18,IF(Atletas!K364="Wingchun D",19,IF(Atletas!K364="Outra Mão de Sul D",20,IF(Atletas!K364="Choylayfut E",21,IF(Atletas!K364="Hunggar E",22,IF(Atletas!K364="Wuzuquan E",23,IF(Atletas!K364="Wingchun E",24,IF(Atletas!K364="Outra Mão de Sul E",25,IF(Atletas!K364="Choylayfut F",26,IF(Atletas!K364="Hunggar F",27,IF(Atletas!K364="Wuzuquan F",28,IF(Atletas!K364="Wingchun F",29,IF(Atletas!K364="Outra Mão de Sul F",30,""))))))))))))))))))))))))))))))))</f>
        <v/>
      </c>
      <c r="BL368" s="52" t="str">
        <f>IF(Atletas!L364="","",IF(Atletas!W364&lt;&gt;"",10000,0)+(IF(Atletas!B364="Feminino",1000,IF(Atletas!B364="Masculino",2000,""))+(IF(Atletas!L364="Chaquan A",101,IF(Atletas!L364="Emeiquan A",102,IF(Atletas!L364="Fanziquan A",103,IF(Atletas!L364="Huaquan A",104,IF(Atletas!L364="Hongquan A",105,IF(Atletas!L364="Paochui A",106,IF(Atletas!L364="Piguaquan A",107,IF(Atletas!L364="Shaolinquan A",108,IF(Atletas!L364="Tanglangquan A",109,IF(Atletas!L364="Yinzhaophai A",110,IF(Atletas!L364="Tongbeiquan A",111,IF(Atletas!L364="Wudangquan A",112,IF(Atletas!L364="Outros Estilos A",113,IF(Atletas!L364="Chaquan B",114,IF(Atletas!L364="Emeiquan B",115,IF(Atletas!L364="Fanziquan B",116,IF(Atletas!L364="Huaquan B",117,IF(Atletas!L364="Hongquan B",118,IF(Atletas!L364="Paochui B",119,IF(Atletas!L364="Piguaquan B",120,IF(Atletas!L364="Shaolinquan B",121,IF(Atletas!L364="Tanglangquan B",122,IF(Atletas!L364="Yinzhaophai B",123,IF(Atletas!L364="Tongbeiquan B",124,IF(Atletas!L364="Wudangquan B",125,IF(Atletas!L364="Outros Estilos B",126,IF(Atletas!L364="Chaquan C",127,IF(Atletas!L364="Emeiquan C",128,IF(Atletas!L364="Fanziquan C",129,IF(Atletas!L364="Huaquan C",130,IF(Atletas!L364="Hongquan C",131,IF(Atletas!L364="Paochui C",132,IF(Atletas!L364="Piguaquan C",133,IF(Atletas!L364="Shaolinquan C",134,IF(Atletas!L364="Tanglangquan C",135,IF(Atletas!L364="Yinzhaophai C",136,IF(Atletas!L364="Tongbeiquan C",137,IF(Atletas!L364="Wudangquan C",138,IF(Atletas!L364="Outros Estilos C",139,0))))))))))))))))))))))))))))))))))))))))))</f>
        <v/>
      </c>
      <c r="BM368" s="52" t="str">
        <f>IF(Atletas!L364="","",IF(Atletas!W364&lt;&gt;"",10000,0)+(IF(Atletas!B364="Feminino",1000,IF(Atletas!B364="Masculino",2000,""))+(IF(Atletas!L364="Chaquan D",140,IF(Atletas!L364="Emeiquan D",141,IF(Atletas!L364="Fanziquan D",142,IF(Atletas!L364="Huaquan D",143,IF(Atletas!L364="Hongquan D",144,IF(Atletas!L364="Paochui D",145,IF(Atletas!L364="Piguaquan D",146,IF(Atletas!L364="Shaolinquan D",147,IF(Atletas!L364="Tanglangquan D",148,IF(Atletas!L364="Yinzhaophai D",149,IF(Atletas!L364="Tongbeiquan D",150,IF(Atletas!L364="Wudangquan D",151,IF(Atletas!L364="Outros Estilos D",152,IF(Atletas!L364="Chaquan E",153,IF(Atletas!L364="Emeiquan E",154,IF(Atletas!L364="Fanziquan E",155,IF(Atletas!L364="Huaquan E",156,IF(Atletas!L364="Hongquan E",157,IF(Atletas!L364="Paochui E",158,IF(Atletas!L364="Piguaquan E",159,IF(Atletas!L364="Shaolinquan E",160,IF(Atletas!L364="Tanglangquan E",161,IF(Atletas!L364="Yinzhaophai E",162,IF(Atletas!L364="Tongbeiquan E",163,IF(Atletas!L364="Wudangquan E",164,IF(Atletas!L364="Outros Estilos E",165,IF(Atletas!L364="Chaquan F",166,IF(Atletas!L364="Emeiquan F",167,IF(Atletas!L364="Fanziquan F",168,IF(Atletas!L364="Huaquan F",169,IF(Atletas!L364="Hongquan F",170,IF(Atletas!L364="Paochui F",171,IF(Atletas!L364="Piguaquan F",172,IF(Atletas!L364="Shaolinquan F",173,IF(Atletas!L364="Tanglangquan F",174,IF(Atletas!L364="Yinzhaophai F",175,IF(Atletas!L364="Tongbeiquan F",176,IF(Atletas!L364="Wudangquan F",177,IF(Atletas!L364="Outros Estilos F",178,0))))))))))))))))))))))))))))))))))))))))))</f>
        <v/>
      </c>
      <c r="BN368" s="52" t="str">
        <f>IF(Atletas!M364="","",IF(Atletas!W364&lt;&gt;"",10000,0)+(IF(Atletas!B364="Feminino",1000,IF(Atletas!B364="Masculino",2000,""))+(IF(Atletas!M364="Ditangquan A",201,IF(Atletas!M364="Houquan A",202,IF(Atletas!M364="Zuiquan A",203,IF(Atletas!M364="Ditangquan B",204,IF(Atletas!M364="Houquan B",205,IF(Atletas!M364="Zuiquan B",206,IF(Atletas!M364="Ditangquan C",207,IF(Atletas!M364="Houquan C",208,IF(Atletas!M364="Zuiquan C",209,IF(Atletas!M364="Ditangquan D",210,IF(Atletas!M364="Houquan D",211,IF(Atletas!M364="Zuiquan D",212,IF(Atletas!M364="Ditangquan E",213,IF(Atletas!M364="Houquan E",214,IF(Atletas!M364="Zuiquan E",215,IF(Atletas!M364="Ditangquan F",216,IF(Atletas!M364="Houquan F",217,IF(Atletas!M364="Zuiquan F",218,"")))))))))))))))))))))</f>
        <v/>
      </c>
      <c r="BO368" s="52" t="str">
        <f>IF(Atletas!N364="","",IF(Atletas!W364&lt;&gt;"",10000,0)+IF(Atletas!B364="Feminino",1000,IF(Atletas!B364="Masculino",2000,""))+IF(Atletas!N364="Yang A",301,IF(Atletas!N364="Chen A",30,IF(Atletas!N364="Sun A",303,IF(Atletas!N364="Wu A",304,IF(Atletas!N364="Wu-Hao A",305,IF(Atletas!N364="Outro Taijiquan A",306,IF(Atletas!N364="Yang B",307,IF(Atletas!N364="Chen B",308,IF(Atletas!N364="Sun B",309,IF(Atletas!N364="Wu B",310,IF(Atletas!N364="Wu-Hao B",311,IF(Atletas!N364="Outro Taijiquan B",312,IF(Atletas!N364="Yang C",313,IF(Atletas!N364="Chen C",314,IF(Atletas!N364="Sun C",315,IF(Atletas!N364="Wu C",316,IF(Atletas!N364="Wu-Hao C",317,IF(Atletas!N364="Outro Taijiquan C",318,IF(Atletas!N364="Yang D",319,IF(Atletas!N364="Chen D",320,IF(Atletas!N364="Sun D",321,IF(Atletas!N364="Wu D",322,IF(Atletas!N364="Wu-Hao D",323,IF(Atletas!N364="Outro Taijiquan D",324,IF(Atletas!N364="Yang E",325,IF(Atletas!N364="Chen E",326,IF(Atletas!N364="Sun E",327,IF(Atletas!N364="Wu E",328,IF(Atletas!N364="Wu-Hao E",329,IF(Atletas!N364="Outro Taijiquan E",330,IF(Atletas!N364="Yang F",331,IF(Atletas!N364="Chen F",332,IF(Atletas!N364="Sun F",333,IF(Atletas!N364="Wu F",334,IF(Atletas!N364="Wu-Hao F",335,IF(Atletas!N364="Outro Taijiquan F",336,"")))))))))))))))))))))))))))))))))))))</f>
        <v/>
      </c>
      <c r="BP368" s="52" t="str">
        <f>IF(Atletas!O364="","",IF(Atletas!W364&lt;&gt;"",10000,0)+IF(Atletas!B364="Feminino",1000,IF(Atletas!B364="Masculino",2000,""))+IF(OR(Atletas!O364="Yang 26 A",Atletas!O364="Yang 40 A"),401,IF(OR(Atletas!O364="Chen 25 A",Atletas!O364="Chen 36 A",Atletas!O364="Chen 56 A"),402,IF(Atletas!O364="Sun 73 A",403,IF(Atletas!O364="Wu 45 A",404,IF(Atletas!O364="Wu-Hao 46 A",405,IF(OR(Atletas!O364="Taijiquan 16 A",Atletas!O364="Taijiquan 24 A",Atletas!O364="Taijiquan 32 A",Atletas!O364="Taijiquan 42 A"),406,IF(OR(Atletas!O364="Yang 26 B",Atletas!O364="Yang 40 B"),407,IF(OR(Atletas!O364="Chen 25 B",Atletas!O364="Chen 36 B",Atletas!O364="Chen 56 B"),408,IF(Atletas!O364="Sun 73 B",409,IF(Atletas!O364="Wu 45 B",410,IF(Atletas!O364="Wu-Hao 46 B",411,IF(OR(Atletas!O364="Taijiquan 16 B",Atletas!O364="Taijiquan 24 B",Atletas!O364="Taijiquan 32 B",Atletas!O364="Taijiquan 42 B"),412,IF(OR(Atletas!O364="Yang 26 C",Atletas!O364="Yang 40 C"),413,IF(OR(Atletas!O364="Chen 25 C",Atletas!O364="Chen 36 C",Atletas!O364="Chen 56 C"),414,IF(Atletas!O364="Sun 73 C",415,IF(Atletas!O364="Wu 45 C",416,IF(Atletas!O364="Wu-Hao 46 C",417,IF(OR(Atletas!O364="Taijiquan 16 C",Atletas!O364="Taijiquan 24 C",Atletas!O364="Taijiquan 32 C",Atletas!O364="Taijiquan 42 C"),418,0)))))))))))))))))))</f>
        <v/>
      </c>
      <c r="BQ368" s="52" t="str">
        <f>IF(Atletas!O364="","",IF(Atletas!W364&lt;&gt;"",10000,0)+IF(Atletas!B364="Feminino",1000,IF(Atletas!B364="Masculino",2000,""))+IF(OR(Atletas!O364="Yang 26 D",Atletas!O364="Yang 40 D"),419,IF(OR(Atletas!O364="Chen 25 D",Atletas!O364="Chen 36 D",Atletas!O364="Chen 56 D"),420,IF(Atletas!O364="Sun 73 D",421,IF(Atletas!O364="Wu 45 D",422,IF(Atletas!O364="Wu-Hao 46 D",423,IF(OR(Atletas!O364="Taijiquan 16 D",Atletas!O364="Taijiquan 24 D",Atletas!O364="Taijiquan 32 D",Atletas!O364="Taijiquan 42 D"),424,IF(OR(Atletas!O364="Yang 26 E",Atletas!O364="Yang 40 E"),425,IF(OR(Atletas!O364="Chen 25 E",Atletas!O364="Chen 36 E",Atletas!O364="Chen 56 E"),426,IF(Atletas!O364="Sun 73 E",427,IF(Atletas!O364="Wu 45 E",428,IF(Atletas!O364="Wu-Hao 46 E",429,IF(OR(Atletas!O364="Taijiquan 16 E",Atletas!O364="Taijiquan 24 E",Atletas!O364="Taijiquan 32 E",Atletas!O364="Taijiquan 42 E"),430,IF(OR(Atletas!O364="Yang 26 F",Atletas!O364="Yang 40 F"),431,IF(OR(Atletas!O364="Chen 25 F",Atletas!O364="Chen 36 F",Atletas!O364="Chen 56 F"),432,IF(Atletas!O364="Sun 73 F",433,IF(Atletas!O364="Wu 45 F",434,IF(Atletas!O364="Wu-Hao 46 F",435,IF(OR(Atletas!O364="Taijiquan 16 F",Atletas!O364="Taijiquan 24 F",Atletas!O364="Taijiquan 32 F",Atletas!O364="Taijiquan 42 F"),436,0)))))))))))))))))))</f>
        <v/>
      </c>
      <c r="BR368" s="52" t="str">
        <f>IF(Atletas!P364="","",IF(Atletas!W364&lt;&gt;"",10000,0)+IF(Atletas!B364="Feminino",1000,IF(Atletas!B364="Masculino",2000,""))+IF(Atletas!P364="Xingyiquan A",501,IF(Atletas!P364="Baguazhang A",502,IF(Atletas!P364="Outro Estilo Interno A",503,IF(Atletas!P364="Xingyiquan B",504,IF(Atletas!P364="Baguazhang B",505,IF(Atletas!P364="Outro Estilo Interno B",506,IF(Atletas!P364="Xingyiquan C",507,IF(Atletas!P364="Baguazhang C",508,IF(Atletas!P364="Outro Estilo Interno C",509,IF(Atletas!P364="Xingyiquan D",510,IF(Atletas!P364="Baguazhang D",511,IF(Atletas!P364="Outro Estilo Interno D",512,IF(Atletas!P364="Xingyiquan E",513,IF(Atletas!P364="Baguazhang E",514,IF(Atletas!P364="Outro Estilo Interno E",515,IF(Atletas!P364="Xingyiquan F",516,IF(Atletas!P364="Baguazhang F",517,IF(Atletas!P364="Outro Estilo Interno F",518, "")))))))))))))))))))</f>
        <v/>
      </c>
      <c r="BS368" s="52" t="str">
        <f>IF(Atletas!Q364="","",IF(Atletas!W364&lt;&gt;"",10000,0)+IF(Atletas!B364="Feminino",1000,IF(Atletas!B364="Masculino",2000,""))+IF(Atletas!Q364="Dao A",601,IF(Atletas!Q364="Jian A",602,IF(Atletas!Q364="Bishou A",603,IF(Atletas!Q364="Shan A",604,IF(Atletas!Q364="Outra Arma Curta A",605,IF(Atletas!Q364="Dao B",606,IF(Atletas!Q364="Jian B",607,IF(Atletas!Q364="Bishou B",608,IF(Atletas!Q364="Shan B",609,IF(Atletas!Q364="Outra Arma Curta B",610,IF(Atletas!Q364="Dao C",611,IF(Atletas!Q364="Jian C",612,IF(Atletas!Q364="Bishou C",613,IF(Atletas!Q364="Shan C",614,IF(Atletas!Q364="Outra Arma Curta C",615,IF(Atletas!Q364="Dao D",616,IF(Atletas!Q364="Jian D",617,IF(Atletas!Q364="Bishou D",618,IF(Atletas!Q364="Shan D",619,IF(Atletas!Q364="Outra Arma Curta D",620,IF(Atletas!Q364="Dao E",621,IF(Atletas!Q364="Jian E",622,IF(Atletas!Q364="Bishou E",623,IF(Atletas!Q364="Shan E",624,IF(Atletas!Q364="Outra Arma Curta E",625,IF(Atletas!Q364="Dao F",626,IF(Atletas!Q364="Jian F",627,IF(Atletas!Q364="Bishou F",628,IF(Atletas!Q364="Shan F",629,IF(Atletas!Q364="Outra Arma Curta F",630, "")))))))))))))))))))))))))))))))</f>
        <v/>
      </c>
      <c r="BT368" s="52" t="str">
        <f>IF(Atletas!R364="","",IF(Atletas!W364&lt;&gt;"",10000,0)+IF(Atletas!B364="Feminino",1000,IF(Atletas!B364="Masculino",2000,""))+IF(Atletas!R364="Gun A",701,IF(Atletas!R364="Qiang A",702,IF(Atletas!R364="Pudao / Guandao A",703,IF(Atletas!R364="Outra Arma Longa A",704,IF(Atletas!R364="Gun B",705,IF(Atletas!R364="Qiang B",706,IF(Atletas!R364="Pudao / Guandao B",707,IF(Atletas!R364="Outra Arma Longa B",708,IF(Atletas!R364="Gun C",709,IF(Atletas!R364="Qiang C",710,IF(Atletas!R364="Pudao / Guandao C",711,IF(Atletas!R364="Outra Arma Longa C",712,IF(Atletas!R364="Gun D",713,IF(Atletas!R364="Qiang D",714,IF(Atletas!R364="Pudao / Guandao D",715,IF(Atletas!R364="Outra Arma Longa D",716,IF(Atletas!R364="Gun E",717,IF(Atletas!R364="Qiang E",718,IF(Atletas!R364="Pudao / Guandao E",719,IF(Atletas!R364="Outra Arma Longa E",720,IF(Atletas!R364="Gun F",721,IF(Atletas!R364="Qiang F",722,IF(Atletas!R364="Pudao / Guandao F",723,IF(Atletas!R364="Outra Arma Longa F",724,"")))))))))))))))))))))))))</f>
        <v/>
      </c>
      <c r="BU368" s="52" t="str">
        <f>IF(Atletas!S364="","",IF(Atletas!W364&lt;&gt;"",10000,0)+IF(Atletas!B364="Feminino",1000,IF(Atletas!B364="Masculino",2000,""))+IF(Atletas!S364="Arma Dupla A",801,IF(Atletas!S364="Arma Maleável A",802,IF(Atletas!S364="Arma Dupla B",803,IF(Atletas!S364="Arma Maleável B",804,IF(Atletas!S364="Arma Dupla C",805,IF(Atletas!S364="Arma Maleável C",806,IF(Atletas!S364="Arma Dupla D",807,IF(Atletas!S364="Arma Maleável D",808,IF(Atletas!S364="Arma Dupla E",809,IF(Atletas!S364="Arma Maleável E",810,IF(Atletas!S364="Arma Dupla F",811,IF(Atletas!S364="Arma Maleável F",812, "")))))))))))))</f>
        <v/>
      </c>
      <c r="BV368" s="52" t="str">
        <f>IF(Atletas!T364="","",IF(Atletas!W364&lt;&gt;"",10000,0)+IF(Atletas!B364="Feminino",1000,IF(Atletas!B364="Masculino",2000,""))+IF(Atletas!T364="Taijijian Yang A",901,IF(Atletas!T364="Taijijian Chen A",902,IF(Atletas!T364="Taijijian Sun A",903,IF(Atletas!T364="Taijijian Wu A",904,IF(Atletas!T364="Taijijian Wu-Hao A",905,IF(Atletas!T364="Taijijian 32 A",906,IF(Atletas!T364="Taijijian 42 A",907,IF(Atletas!T364="Taijijian Yang B",908,IF(Atletas!T364="Taijijian Chen B",909,IF(Atletas!T364="Taijijian Sun B",910,IF(Atletas!T364="Taijijian Wu B",911,IF(Atletas!T364="Taijijian Wu-Hao B",912,IF(Atletas!T364="Taijijian 32 B",913,IF(Atletas!T364="Taijijian 42 B",914,IF(Atletas!T364="Taijijian Yang C",915,IF(Atletas!T364="Taijijian Chen C",916,IF(Atletas!T364="Taijijian Sun C",917,IF(Atletas!T364="Taijijian Wu C",918,IF(Atletas!T364="Taijijian Wu-Hao C",919,IF(Atletas!T364="Taijijian 32 C",920,IF(Atletas!T364="Taijijian 42 C",921,IF(Atletas!T364="Taijijian Yang D",922,IF(Atletas!T364="Taijijian Chen D",923,IF(Atletas!T364="Taijijian Sun D",924,IF(Atletas!T364="Taijijian Wu D",925,IF(Atletas!T364="Taijijian Wu-Hao D",926,IF(Atletas!T364="Taijijian 32 D",927,IF(Atletas!T364="Taijijian 42 D",928,IF(Atletas!T364="Taijijian Yang E",929,IF(Atletas!T364="Taijijian Chen E",930,IF(Atletas!T364="Taijijian Sun E",931,IF(Atletas!T364="Taijijian Wu E",932,IF(Atletas!T364="Taijijian Wu-Hao E",933,IF(Atletas!T364="Taijijian 32 E",934,IF(Atletas!T364="Taijijian 42 E",935,IF(Atletas!T364="Taijijian Yang F",936,IF(Atletas!T364="Taijijian Chen F",937,IF(Atletas!T364="Taijijian Sun F",938,IF(Atletas!T364="Taijijian Wu F",939,IF(Atletas!T364="Taijijian Wu-Hao F",940,IF(Atletas!T364="Taijijian 32 F",941,IF(Atletas!T364="Taijijian 42 F",942,"")))))))))))))))))))))))))))))))))))))))))))</f>
        <v/>
      </c>
      <c r="BW368" s="52" t="str">
        <f>IF(Atletas!U364="","",IF(Atletas!W364&lt;&gt;"",10000,0)+IF(Atletas!B364="Feminino",1000,IF(Atletas!B364="Masculino",2000,""))+IF(Atletas!T364="Taijijian 42 F",942,IF(Atletas!U364="Taijidao A",943,IF(Atletas!U364="Taijishan A",944,IF(Atletas!U364="Taijiqiang A",945,IF(Atletas!U364="Taijidao B",946,IF(Atletas!U364="Taijishan B",947,IF(Atletas!U364="Taijiqiang B",948,IF(Atletas!U364="Taijidao C",949,IF(Atletas!U364="Taijishan C",950,IF(Atletas!U364="Taijiqiang C",951,IF(Atletas!U364="Taijidao D",952,IF(Atletas!U364="Taijishan D",953,IF(Atletas!U364="Taijiqiang D",954,IF(Atletas!U364="Taijidao E",955,IF(Atletas!U364="Taijishan E",956,IF(Atletas!U364="Taijiqiang E",957,IF(Atletas!U364="Taijidao F",958,IF(Atletas!U364="Taijishan F",959,IF(Atletas!U364="Taijiqiang F",960))))))))))))))))))))</f>
        <v/>
      </c>
      <c r="BX368" s="73"/>
      <c r="BY368" s="73"/>
      <c r="BZ368" s="73"/>
      <c r="CA368" s="73"/>
      <c r="CB368" s="72" t="str">
        <f>IF(CC368&lt;&gt;"","Taijijian 32 C","")</f>
        <v/>
      </c>
      <c r="CC368" s="64" t="str">
        <f>IF(COUNTIF(BK:BW,11920)&gt;0,COUNTIF(BK:BW,11920),"")</f>
        <v/>
      </c>
      <c r="CD368" s="64" t="str">
        <f>IF(CE368&lt;&gt;"","Taijijian 32 C","")</f>
        <v/>
      </c>
      <c r="CE368" s="64" t="str">
        <f>IF(COUNTIF(BK:BW,12920)&gt;0,COUNTIF(BK:BW,12920),"")</f>
        <v/>
      </c>
      <c r="CF368" s="52" t="str">
        <f xml:space="preserve"> IF(Atletas!V364="","",IF(Atletas!V364="Duilian de Mãos AB - Equipe 1",1,IF(Atletas!V364="Duilian de Mãos AB - Equipe 2",2,IF(Atletas!V364="Duilian de Armas AB - Equipe 1",3,IF(Atletas!V364="Duilian de Armas AB - Equipe 2",4,IF(Atletas!V364="Duilian de Tuishou - Equipe 1",5,IF(Atletas!V364="Duilian de Tuishou - Equipe 2",6,IF(Atletas!V364="Grupo Externo AB - Equipe 1",7,IF(Atletas!V364="Grupo Externo AB - Equipe 2",8,IF(Atletas!V364="Grupo Interno AB - Equipe 1",9,IF(Atletas!V364="Grupo Interno AB - Equipe 2",10,IF(Atletas!V364="Duilian de Mãos CD - Equipe 1",11,IF(Atletas!V364="Duilian de Mãos CD - Equipe 2",12,IF(Atletas!V364="Duilian de Armas CD - Equipe 1",13,IF(Atletas!V364="Duilian de Armas CD - Equipe 2",14,IF(Atletas!V364="Duilian de Tuishou - Equipe 1",15,IF(Atletas!V364="Duilian de Tuishou - Equipe 2",16,IF(Atletas!V364="Grupo Externo CDEF - Equipe 1",17,IF(Atletas!V364="Grupo Externo CDEF - Equipe 2",18,IF(Atletas!V364="Grupo Interno CDEF - Equipe 1",19,IF(Atletas!V364="Grupo Interno CDEF - Equipe 2",20,IF(Atletas!V364="Duilian de Mãos EF - Equipe 1",21,IF(Atletas!V364="Duilian de Mãos EF - Equipe 2",22,IF(Atletas!V364="Duilian de Armas EF - Equipe 1",23,IF(Atletas!V364="Duilian de Armas EF - Equipe 2",24,IF(Atletas!V364="Duilian de Tuishou - Equipe 1",25,IF(Atletas!V364="Duilian de Tuishou - Equipe 2",26,"")))))))))))))))))))))))))))</f>
        <v/>
      </c>
    </row>
    <row r="369" spans="36:84">
      <c r="AJ369" s="46" t="str">
        <f>IF(Atletas!D365="","",IF(Atletas!B365="Feminino",100,IF(Atletas!B365="Masculino",200,""))+(IF(Atletas!D365="Infantil 39kg",1,IF(Atletas!D365="Infantil 42kg",2,IF(Atletas!D365="Infantil 45kg",3,IF(Atletas!D365="Infantil 48kg",4,IF(Atletas!D365="Infantil 52kg",5,IF(Atletas!D365="Infantil 56kg",6,IF(Atletas!D365="Infantil 60kg",7,IF(Atletas!D365="Juvenil 48kg",8,IF(Atletas!D365="Juvenil 52kg",9,IF(Atletas!D365="Juvenil 56kg",10,IF(Atletas!D365="Juvenil 60kg",11,IF(Atletas!D365="Juvenil 65kg",12,IF(Atletas!D365="Juvenil 70kg",13,IF(Atletas!D365="Juvenil 75kg",14,IF(Atletas!D365="Juvenil 80kg",15,IF(Atletas!D365="Adulto 48kg",16,IF(Atletas!D365="Adulto 52kg",17,IF(Atletas!D365="Adulto 56kg",18,IF(Atletas!D365="Adulto 60kg",19,IF(Atletas!D365="Adulto 65kg",20,IF(Atletas!D365="Adulto 70kg",21,IF(Atletas!D365="Adulto 75kg",22,IF(Atletas!D365="Adulto 80kg",23,IF(Atletas!D365="Adulto 85kg",24,IF(Atletas!D365="Adulto 90kg",25,IF(Atletas!D365="Adulto +90kg",26,""))))))))))))))))))))))))))))</f>
        <v/>
      </c>
      <c r="AO369" s="10" t="str">
        <f>IF(Atletas!E365="","",IF(Atletas!B365="Feminino",100,IF(Atletas!B365="Masculino",200,""))+(IF(Atletas!E365="Juvenil 44kg",1,IF(Atletas!E365="Juvenil 48kg",2,IF(Atletas!E365="Juvenil 52kg",3,IF(Atletas!E365="Juvenil 56kg",4,IF(Atletas!E365="Juvenil 60kg",5,IF(Atletas!E365="Juvenil 65kg",6,IF(Atletas!E365="Juvenil 70kg",7,IF(Atletas!E365="Juvenil 75kg",8,IF(Atletas!E365="Juvenil 82kg",9,IF(Atletas!E365="Juvenil 90kg",10,IF(Atletas!E365="Juvenil 100kg",11,IF(Atletas!E365="Adulto 48kg",12,IF(Atletas!E365="Adulto 52kg",13,IF(Atletas!E365="Adulto 56kg",14,IF(Atletas!E365="Adulto 60kg",15,IF(Atletas!E365="Adulto 65kg",16,IF(Atletas!E365="Adulto 70kg",17,IF(Atletas!E365="Adulto 75kg",18,IF(Atletas!E365="Adulto 82kg",19,IF(Atletas!E365="Adulto 90kg",20,IF(Atletas!E365="Adulto 100kg",21,IF(Atletas!E365="Adulto +100kg",22,""))))))))))))))))))))))))</f>
        <v/>
      </c>
      <c r="AT369" s="10" t="str">
        <f>IF(Atletas!F365="","",IF(Atletas!B365="Feminino",100,IF(Atletas!B365="Masculino",200,""))+(IF(Atletas!F365="Adulto 48kg",1,IF(Atletas!F365="Adulto 56kg",2,IF(Atletas!F365="Adulto 65kg",3,IF(Atletas!F365="Adulto 75kg",4,IF(Atletas!F365="Adulto +75kg",5,IF(Atletas!F365="Adulto 52kg",6,IF(Atletas!F365="Adulto 60kg",7,IF(Atletas!F365="Adulto 70kg",8,IF(Atletas!F365="Adulto 80kg",9,IF(Atletas!F365="Adulto 90kg",10,IF(Atletas!F365="Adulto +90kg",11,"")))))))))))))</f>
        <v/>
      </c>
      <c r="AY369" s="46" t="str">
        <f>IF(Atletas!G365="","",IF(Atletas!B365="Feminino",100,IF(Atletas!B365="Masculino",200,""))+(IF(Atletas!G365="Changquan Mirim",1,IF(Atletas!G365="Nanquan Mirim",2,IF(Atletas!G365="Taijiquan Mirim",3,IF(Atletas!G365="Changquan Grupo C",4,IF(Atletas!G365="Nanquan Grupo C",5,IF(Atletas!G365="Taijiquan Grupo C",6,IF(Atletas!G365="Changquan Grupo B",7,IF(Atletas!G365="Nanquan Grupo B",8,IF(Atletas!G365="Taijiquan Grupo B",9,IF(Atletas!G365="Changquan Grupo A",10,IF(Atletas!G365="Nanquan Grupo A",11,IF(Atletas!G365="Taijiquan Grupo A",12,IF(Atletas!G365="Changquan Opcional",13,IF(Atletas!G365="Nanquan Opcional",14,IF(Atletas!G365="Taijiquan Opcional",15,IF(Atletas!G365="Changquan Adulto",16,IF(Atletas!G365="Nanquan Adulto",17,IF(Atletas!G365="Taijiquan Adulto",18,""))))))))))))))))))))</f>
        <v/>
      </c>
      <c r="AZ369" s="46" t="str">
        <f>IF(Atletas!H365="","",IF(Atletas!B365="Feminino",100,IF(Atletas!B365="Masculino",200,""))+(IF(Atletas!H365="Daoshu Mirim",19,IF(Atletas!H365="Jianshu Mirim",20,IF(Atletas!H365="Nandao Mirim",21,IF(Atletas!H365="Taijijian Mirim",22,IF(Atletas!H365="Daoshu Grupo C",23,IF(Atletas!H365="Jianshu Grupo C",24,IF(Atletas!H365="Nandao Grupo C",25,IF(Atletas!H365="Taijijian Grupo C",26,IF(Atletas!H365="Daoshu Grupo B",27,IF(Atletas!H365="Jianshu Grupo B",28,IF(Atletas!H365="Nandao Grupo B",29,IF(Atletas!H365="Taijijian Grupo B",30,IF(Atletas!H365="Daoshu Grupo A",31,IF(Atletas!H365="Jianshu Grupo A",32,IF(Atletas!H365="Nandao Grupo A",33,IF(Atletas!H365="Taijijian Grupo A",34,IF(Atletas!H365="Daoshu Opcional",35,IF(Atletas!H365="Jianshu Opcional",36,IF(Atletas!H365="Nandao Opcional",37,IF(Atletas!H365="Taijijian Opcional",38,IF(Atletas!H365="Daoshu Adulto",39,IF(Atletas!H365="Jianshu Adulto",40,IF(Atletas!H365="Nandao Adulto",41,IF(Atletas!H365="Taijijian Adulto",42,""))))))))))))))))))))))))))</f>
        <v/>
      </c>
      <c r="BA369" s="46" t="str">
        <f>IF(Atletas!I365="","",IF(Atletas!B365="Feminino",100,IF(Atletas!B365="Masculino",200,""))+(IF(Atletas!I365="Gunshu Mirim",43,IF(Atletas!I365="Qiangshu Mirim",44,IF(Atletas!I365="Nangun Mirim",45,IF(Atletas!I365="Gunshu Grupo C",46,IF(Atletas!I365="Qiangshu Grupo C",47,IF(Atletas!I365="Nangun Grupo C",48,IF(Atletas!I365="Gunshu Grupo B",49,IF(Atletas!I365="Qiangshu Grupo B",50,IF(Atletas!I365="Nangun Grupo B",51,IF(Atletas!I365="Gunshu Grupo A",52,IF(Atletas!I365="Qiangshu Grupo A",53,IF(Atletas!I365="Nangun Grupo A",54,IF(Atletas!I365="Gunshu Opcional",55,IF(Atletas!I365="Qiangshu Opcional",56,IF(Atletas!I365="Nangun Opcional",57,IF(Atletas!I365="Gunshu Adulto",58,IF(Atletas!I365="Qiangshu Adulto",59,IF(Atletas!I365="Nangun Adulto",60,""))))))))))))))))))))</f>
        <v/>
      </c>
      <c r="BF369" s="52" t="str">
        <f>IF(Atletas!J365="","",IF(Atletas!B365="Feminino",100,IF(Atletas!B365="Masculino",200,""))+(IF(Atletas!J365="Equipe 1 Grupo B",1,IF(Atletas!J365="Equipe 2 Grupo B",2,IF(Atletas!J365="Equipe 1 Grupo A",3,IF(Atletas!J365="Equipe 2 Grupo A",4,IF(Atletas!J365="Equipe 1 Adulto",5,IF(Atletas!J365="Equipe 2 Adulto",6,""))))))))</f>
        <v/>
      </c>
      <c r="BK369" s="52" t="str">
        <f>IF(Atletas!K365="","",IF(Atletas!W365&lt;&gt;"",10000,0)+(IF(Atletas!B365="Feminino",1000,IF(Atletas!B365="Masculino",2000,""))+IF(Atletas!K365="Choylayfut A",1,IF(Atletas!K365="Hunggar A",2,IF(Atletas!K365="Wuzuquan A",3,IF(Atletas!K365="Wingchun A",4,IF(Atletas!K365="Outra Mão de Sul A",5,IF(Atletas!K365="Choylayfut B",6,IF(Atletas!K365="Hunggar B",7,IF(Atletas!K365="Wuzuquan B",8,IF(Atletas!K365="Wingchun B",9,IF(Atletas!K365="Outra Mão de Sul B",10,IF(Atletas!K365="Choylayfut C",11,IF(Atletas!K365="Hunggar C",12,IF(Atletas!K365="Wuzuquan C",13,IF(Atletas!K365="Wingchun C",14,IF(Atletas!K365="Outra Mão de Sul C",15,IF(Atletas!K365="Choylayfut D",16,IF(Atletas!K365="Hunggar D",17,IF(Atletas!K365="Wuzuquan D",18,IF(Atletas!K365="Wingchun D",19,IF(Atletas!K365="Outra Mão de Sul D",20,IF(Atletas!K365="Choylayfut E",21,IF(Atletas!K365="Hunggar E",22,IF(Atletas!K365="Wuzuquan E",23,IF(Atletas!K365="Wingchun E",24,IF(Atletas!K365="Outra Mão de Sul E",25,IF(Atletas!K365="Choylayfut F",26,IF(Atletas!K365="Hunggar F",27,IF(Atletas!K365="Wuzuquan F",28,IF(Atletas!K365="Wingchun F",29,IF(Atletas!K365="Outra Mão de Sul F",30,""))))))))))))))))))))))))))))))))</f>
        <v/>
      </c>
      <c r="BL369" s="52" t="str">
        <f>IF(Atletas!L365="","",IF(Atletas!W365&lt;&gt;"",10000,0)+(IF(Atletas!B365="Feminino",1000,IF(Atletas!B365="Masculino",2000,""))+(IF(Atletas!L365="Chaquan A",101,IF(Atletas!L365="Emeiquan A",102,IF(Atletas!L365="Fanziquan A",103,IF(Atletas!L365="Huaquan A",104,IF(Atletas!L365="Hongquan A",105,IF(Atletas!L365="Paochui A",106,IF(Atletas!L365="Piguaquan A",107,IF(Atletas!L365="Shaolinquan A",108,IF(Atletas!L365="Tanglangquan A",109,IF(Atletas!L365="Yinzhaophai A",110,IF(Atletas!L365="Tongbeiquan A",111,IF(Atletas!L365="Wudangquan A",112,IF(Atletas!L365="Outros Estilos A",113,IF(Atletas!L365="Chaquan B",114,IF(Atletas!L365="Emeiquan B",115,IF(Atletas!L365="Fanziquan B",116,IF(Atletas!L365="Huaquan B",117,IF(Atletas!L365="Hongquan B",118,IF(Atletas!L365="Paochui B",119,IF(Atletas!L365="Piguaquan B",120,IF(Atletas!L365="Shaolinquan B",121,IF(Atletas!L365="Tanglangquan B",122,IF(Atletas!L365="Yinzhaophai B",123,IF(Atletas!L365="Tongbeiquan B",124,IF(Atletas!L365="Wudangquan B",125,IF(Atletas!L365="Outros Estilos B",126,IF(Atletas!L365="Chaquan C",127,IF(Atletas!L365="Emeiquan C",128,IF(Atletas!L365="Fanziquan C",129,IF(Atletas!L365="Huaquan C",130,IF(Atletas!L365="Hongquan C",131,IF(Atletas!L365="Paochui C",132,IF(Atletas!L365="Piguaquan C",133,IF(Atletas!L365="Shaolinquan C",134,IF(Atletas!L365="Tanglangquan C",135,IF(Atletas!L365="Yinzhaophai C",136,IF(Atletas!L365="Tongbeiquan C",137,IF(Atletas!L365="Wudangquan C",138,IF(Atletas!L365="Outros Estilos C",139,0))))))))))))))))))))))))))))))))))))))))))</f>
        <v/>
      </c>
      <c r="BM369" s="52" t="str">
        <f>IF(Atletas!L365="","",IF(Atletas!W365&lt;&gt;"",10000,0)+(IF(Atletas!B365="Feminino",1000,IF(Atletas!B365="Masculino",2000,""))+(IF(Atletas!L365="Chaquan D",140,IF(Atletas!L365="Emeiquan D",141,IF(Atletas!L365="Fanziquan D",142,IF(Atletas!L365="Huaquan D",143,IF(Atletas!L365="Hongquan D",144,IF(Atletas!L365="Paochui D",145,IF(Atletas!L365="Piguaquan D",146,IF(Atletas!L365="Shaolinquan D",147,IF(Atletas!L365="Tanglangquan D",148,IF(Atletas!L365="Yinzhaophai D",149,IF(Atletas!L365="Tongbeiquan D",150,IF(Atletas!L365="Wudangquan D",151,IF(Atletas!L365="Outros Estilos D",152,IF(Atletas!L365="Chaquan E",153,IF(Atletas!L365="Emeiquan E",154,IF(Atletas!L365="Fanziquan E",155,IF(Atletas!L365="Huaquan E",156,IF(Atletas!L365="Hongquan E",157,IF(Atletas!L365="Paochui E",158,IF(Atletas!L365="Piguaquan E",159,IF(Atletas!L365="Shaolinquan E",160,IF(Atletas!L365="Tanglangquan E",161,IF(Atletas!L365="Yinzhaophai E",162,IF(Atletas!L365="Tongbeiquan E",163,IF(Atletas!L365="Wudangquan E",164,IF(Atletas!L365="Outros Estilos E",165,IF(Atletas!L365="Chaquan F",166,IF(Atletas!L365="Emeiquan F",167,IF(Atletas!L365="Fanziquan F",168,IF(Atletas!L365="Huaquan F",169,IF(Atletas!L365="Hongquan F",170,IF(Atletas!L365="Paochui F",171,IF(Atletas!L365="Piguaquan F",172,IF(Atletas!L365="Shaolinquan F",173,IF(Atletas!L365="Tanglangquan F",174,IF(Atletas!L365="Yinzhaophai F",175,IF(Atletas!L365="Tongbeiquan F",176,IF(Atletas!L365="Wudangquan F",177,IF(Atletas!L365="Outros Estilos F",178,0))))))))))))))))))))))))))))))))))))))))))</f>
        <v/>
      </c>
      <c r="BN369" s="52" t="str">
        <f>IF(Atletas!M365="","",IF(Atletas!W365&lt;&gt;"",10000,0)+(IF(Atletas!B365="Feminino",1000,IF(Atletas!B365="Masculino",2000,""))+(IF(Atletas!M365="Ditangquan A",201,IF(Atletas!M365="Houquan A",202,IF(Atletas!M365="Zuiquan A",203,IF(Atletas!M365="Ditangquan B",204,IF(Atletas!M365="Houquan B",205,IF(Atletas!M365="Zuiquan B",206,IF(Atletas!M365="Ditangquan C",207,IF(Atletas!M365="Houquan C",208,IF(Atletas!M365="Zuiquan C",209,IF(Atletas!M365="Ditangquan D",210,IF(Atletas!M365="Houquan D",211,IF(Atletas!M365="Zuiquan D",212,IF(Atletas!M365="Ditangquan E",213,IF(Atletas!M365="Houquan E",214,IF(Atletas!M365="Zuiquan E",215,IF(Atletas!M365="Ditangquan F",216,IF(Atletas!M365="Houquan F",217,IF(Atletas!M365="Zuiquan F",218,"")))))))))))))))))))))</f>
        <v/>
      </c>
      <c r="BO369" s="52" t="str">
        <f>IF(Atletas!N365="","",IF(Atletas!W365&lt;&gt;"",10000,0)+IF(Atletas!B365="Feminino",1000,IF(Atletas!B365="Masculino",2000,""))+IF(Atletas!N365="Yang A",301,IF(Atletas!N365="Chen A",30,IF(Atletas!N365="Sun A",303,IF(Atletas!N365="Wu A",304,IF(Atletas!N365="Wu-Hao A",305,IF(Atletas!N365="Outro Taijiquan A",306,IF(Atletas!N365="Yang B",307,IF(Atletas!N365="Chen B",308,IF(Atletas!N365="Sun B",309,IF(Atletas!N365="Wu B",310,IF(Atletas!N365="Wu-Hao B",311,IF(Atletas!N365="Outro Taijiquan B",312,IF(Atletas!N365="Yang C",313,IF(Atletas!N365="Chen C",314,IF(Atletas!N365="Sun C",315,IF(Atletas!N365="Wu C",316,IF(Atletas!N365="Wu-Hao C",317,IF(Atletas!N365="Outro Taijiquan C",318,IF(Atletas!N365="Yang D",319,IF(Atletas!N365="Chen D",320,IF(Atletas!N365="Sun D",321,IF(Atletas!N365="Wu D",322,IF(Atletas!N365="Wu-Hao D",323,IF(Atletas!N365="Outro Taijiquan D",324,IF(Atletas!N365="Yang E",325,IF(Atletas!N365="Chen E",326,IF(Atletas!N365="Sun E",327,IF(Atletas!N365="Wu E",328,IF(Atletas!N365="Wu-Hao E",329,IF(Atletas!N365="Outro Taijiquan E",330,IF(Atletas!N365="Yang F",331,IF(Atletas!N365="Chen F",332,IF(Atletas!N365="Sun F",333,IF(Atletas!N365="Wu F",334,IF(Atletas!N365="Wu-Hao F",335,IF(Atletas!N365="Outro Taijiquan F",336,"")))))))))))))))))))))))))))))))))))))</f>
        <v/>
      </c>
      <c r="BP369" s="52" t="str">
        <f>IF(Atletas!O365="","",IF(Atletas!W365&lt;&gt;"",10000,0)+IF(Atletas!B365="Feminino",1000,IF(Atletas!B365="Masculino",2000,""))+IF(OR(Atletas!O365="Yang 26 A",Atletas!O365="Yang 40 A"),401,IF(OR(Atletas!O365="Chen 25 A",Atletas!O365="Chen 36 A",Atletas!O365="Chen 56 A"),402,IF(Atletas!O365="Sun 73 A",403,IF(Atletas!O365="Wu 45 A",404,IF(Atletas!O365="Wu-Hao 46 A",405,IF(OR(Atletas!O365="Taijiquan 16 A",Atletas!O365="Taijiquan 24 A",Atletas!O365="Taijiquan 32 A",Atletas!O365="Taijiquan 42 A"),406,IF(OR(Atletas!O365="Yang 26 B",Atletas!O365="Yang 40 B"),407,IF(OR(Atletas!O365="Chen 25 B",Atletas!O365="Chen 36 B",Atletas!O365="Chen 56 B"),408,IF(Atletas!O365="Sun 73 B",409,IF(Atletas!O365="Wu 45 B",410,IF(Atletas!O365="Wu-Hao 46 B",411,IF(OR(Atletas!O365="Taijiquan 16 B",Atletas!O365="Taijiquan 24 B",Atletas!O365="Taijiquan 32 B",Atletas!O365="Taijiquan 42 B"),412,IF(OR(Atletas!O365="Yang 26 C",Atletas!O365="Yang 40 C"),413,IF(OR(Atletas!O365="Chen 25 C",Atletas!O365="Chen 36 C",Atletas!O365="Chen 56 C"),414,IF(Atletas!O365="Sun 73 C",415,IF(Atletas!O365="Wu 45 C",416,IF(Atletas!O365="Wu-Hao 46 C",417,IF(OR(Atletas!O365="Taijiquan 16 C",Atletas!O365="Taijiquan 24 C",Atletas!O365="Taijiquan 32 C",Atletas!O365="Taijiquan 42 C"),418,0)))))))))))))))))))</f>
        <v/>
      </c>
      <c r="BQ369" s="52" t="str">
        <f>IF(Atletas!O365="","",IF(Atletas!W365&lt;&gt;"",10000,0)+IF(Atletas!B365="Feminino",1000,IF(Atletas!B365="Masculino",2000,""))+IF(OR(Atletas!O365="Yang 26 D",Atletas!O365="Yang 40 D"),419,IF(OR(Atletas!O365="Chen 25 D",Atletas!O365="Chen 36 D",Atletas!O365="Chen 56 D"),420,IF(Atletas!O365="Sun 73 D",421,IF(Atletas!O365="Wu 45 D",422,IF(Atletas!O365="Wu-Hao 46 D",423,IF(OR(Atletas!O365="Taijiquan 16 D",Atletas!O365="Taijiquan 24 D",Atletas!O365="Taijiquan 32 D",Atletas!O365="Taijiquan 42 D"),424,IF(OR(Atletas!O365="Yang 26 E",Atletas!O365="Yang 40 E"),425,IF(OR(Atletas!O365="Chen 25 E",Atletas!O365="Chen 36 E",Atletas!O365="Chen 56 E"),426,IF(Atletas!O365="Sun 73 E",427,IF(Atletas!O365="Wu 45 E",428,IF(Atletas!O365="Wu-Hao 46 E",429,IF(OR(Atletas!O365="Taijiquan 16 E",Atletas!O365="Taijiquan 24 E",Atletas!O365="Taijiquan 32 E",Atletas!O365="Taijiquan 42 E"),430,IF(OR(Atletas!O365="Yang 26 F",Atletas!O365="Yang 40 F"),431,IF(OR(Atletas!O365="Chen 25 F",Atletas!O365="Chen 36 F",Atletas!O365="Chen 56 F"),432,IF(Atletas!O365="Sun 73 F",433,IF(Atletas!O365="Wu 45 F",434,IF(Atletas!O365="Wu-Hao 46 F",435,IF(OR(Atletas!O365="Taijiquan 16 F",Atletas!O365="Taijiquan 24 F",Atletas!O365="Taijiquan 32 F",Atletas!O365="Taijiquan 42 F"),436,0)))))))))))))))))))</f>
        <v/>
      </c>
      <c r="BR369" s="52" t="str">
        <f>IF(Atletas!P365="","",IF(Atletas!W365&lt;&gt;"",10000,0)+IF(Atletas!B365="Feminino",1000,IF(Atletas!B365="Masculino",2000,""))+IF(Atletas!P365="Xingyiquan A",501,IF(Atletas!P365="Baguazhang A",502,IF(Atletas!P365="Outro Estilo Interno A",503,IF(Atletas!P365="Xingyiquan B",504,IF(Atletas!P365="Baguazhang B",505,IF(Atletas!P365="Outro Estilo Interno B",506,IF(Atletas!P365="Xingyiquan C",507,IF(Atletas!P365="Baguazhang C",508,IF(Atletas!P365="Outro Estilo Interno C",509,IF(Atletas!P365="Xingyiquan D",510,IF(Atletas!P365="Baguazhang D",511,IF(Atletas!P365="Outro Estilo Interno D",512,IF(Atletas!P365="Xingyiquan E",513,IF(Atletas!P365="Baguazhang E",514,IF(Atletas!P365="Outro Estilo Interno E",515,IF(Atletas!P365="Xingyiquan F",516,IF(Atletas!P365="Baguazhang F",517,IF(Atletas!P365="Outro Estilo Interno F",518, "")))))))))))))))))))</f>
        <v/>
      </c>
      <c r="BS369" s="52" t="str">
        <f>IF(Atletas!Q365="","",IF(Atletas!W365&lt;&gt;"",10000,0)+IF(Atletas!B365="Feminino",1000,IF(Atletas!B365="Masculino",2000,""))+IF(Atletas!Q365="Dao A",601,IF(Atletas!Q365="Jian A",602,IF(Atletas!Q365="Bishou A",603,IF(Atletas!Q365="Shan A",604,IF(Atletas!Q365="Outra Arma Curta A",605,IF(Atletas!Q365="Dao B",606,IF(Atletas!Q365="Jian B",607,IF(Atletas!Q365="Bishou B",608,IF(Atletas!Q365="Shan B",609,IF(Atletas!Q365="Outra Arma Curta B",610,IF(Atletas!Q365="Dao C",611,IF(Atletas!Q365="Jian C",612,IF(Atletas!Q365="Bishou C",613,IF(Atletas!Q365="Shan C",614,IF(Atletas!Q365="Outra Arma Curta C",615,IF(Atletas!Q365="Dao D",616,IF(Atletas!Q365="Jian D",617,IF(Atletas!Q365="Bishou D",618,IF(Atletas!Q365="Shan D",619,IF(Atletas!Q365="Outra Arma Curta D",620,IF(Atletas!Q365="Dao E",621,IF(Atletas!Q365="Jian E",622,IF(Atletas!Q365="Bishou E",623,IF(Atletas!Q365="Shan E",624,IF(Atletas!Q365="Outra Arma Curta E",625,IF(Atletas!Q365="Dao F",626,IF(Atletas!Q365="Jian F",627,IF(Atletas!Q365="Bishou F",628,IF(Atletas!Q365="Shan F",629,IF(Atletas!Q365="Outra Arma Curta F",630, "")))))))))))))))))))))))))))))))</f>
        <v/>
      </c>
      <c r="BT369" s="52" t="str">
        <f>IF(Atletas!R365="","",IF(Atletas!W365&lt;&gt;"",10000,0)+IF(Atletas!B365="Feminino",1000,IF(Atletas!B365="Masculino",2000,""))+IF(Atletas!R365="Gun A",701,IF(Atletas!R365="Qiang A",702,IF(Atletas!R365="Pudao / Guandao A",703,IF(Atletas!R365="Outra Arma Longa A",704,IF(Atletas!R365="Gun B",705,IF(Atletas!R365="Qiang B",706,IF(Atletas!R365="Pudao / Guandao B",707,IF(Atletas!R365="Outra Arma Longa B",708,IF(Atletas!R365="Gun C",709,IF(Atletas!R365="Qiang C",710,IF(Atletas!R365="Pudao / Guandao C",711,IF(Atletas!R365="Outra Arma Longa C",712,IF(Atletas!R365="Gun D",713,IF(Atletas!R365="Qiang D",714,IF(Atletas!R365="Pudao / Guandao D",715,IF(Atletas!R365="Outra Arma Longa D",716,IF(Atletas!R365="Gun E",717,IF(Atletas!R365="Qiang E",718,IF(Atletas!R365="Pudao / Guandao E",719,IF(Atletas!R365="Outra Arma Longa E",720,IF(Atletas!R365="Gun F",721,IF(Atletas!R365="Qiang F",722,IF(Atletas!R365="Pudao / Guandao F",723,IF(Atletas!R365="Outra Arma Longa F",724,"")))))))))))))))))))))))))</f>
        <v/>
      </c>
      <c r="BU369" s="52" t="str">
        <f>IF(Atletas!S365="","",IF(Atletas!W365&lt;&gt;"",10000,0)+IF(Atletas!B365="Feminino",1000,IF(Atletas!B365="Masculino",2000,""))+IF(Atletas!S365="Arma Dupla A",801,IF(Atletas!S365="Arma Maleável A",802,IF(Atletas!S365="Arma Dupla B",803,IF(Atletas!S365="Arma Maleável B",804,IF(Atletas!S365="Arma Dupla C",805,IF(Atletas!S365="Arma Maleável C",806,IF(Atletas!S365="Arma Dupla D",807,IF(Atletas!S365="Arma Maleável D",808,IF(Atletas!S365="Arma Dupla E",809,IF(Atletas!S365="Arma Maleável E",810,IF(Atletas!S365="Arma Dupla F",811,IF(Atletas!S365="Arma Maleável F",812, "")))))))))))))</f>
        <v/>
      </c>
      <c r="BV369" s="52" t="str">
        <f>IF(Atletas!T365="","",IF(Atletas!W365&lt;&gt;"",10000,0)+IF(Atletas!B365="Feminino",1000,IF(Atletas!B365="Masculino",2000,""))+IF(Atletas!T365="Taijijian Yang A",901,IF(Atletas!T365="Taijijian Chen A",902,IF(Atletas!T365="Taijijian Sun A",903,IF(Atletas!T365="Taijijian Wu A",904,IF(Atletas!T365="Taijijian Wu-Hao A",905,IF(Atletas!T365="Taijijian 32 A",906,IF(Atletas!T365="Taijijian 42 A",907,IF(Atletas!T365="Taijijian Yang B",908,IF(Atletas!T365="Taijijian Chen B",909,IF(Atletas!T365="Taijijian Sun B",910,IF(Atletas!T365="Taijijian Wu B",911,IF(Atletas!T365="Taijijian Wu-Hao B",912,IF(Atletas!T365="Taijijian 32 B",913,IF(Atletas!T365="Taijijian 42 B",914,IF(Atletas!T365="Taijijian Yang C",915,IF(Atletas!T365="Taijijian Chen C",916,IF(Atletas!T365="Taijijian Sun C",917,IF(Atletas!T365="Taijijian Wu C",918,IF(Atletas!T365="Taijijian Wu-Hao C",919,IF(Atletas!T365="Taijijian 32 C",920,IF(Atletas!T365="Taijijian 42 C",921,IF(Atletas!T365="Taijijian Yang D",922,IF(Atletas!T365="Taijijian Chen D",923,IF(Atletas!T365="Taijijian Sun D",924,IF(Atletas!T365="Taijijian Wu D",925,IF(Atletas!T365="Taijijian Wu-Hao D",926,IF(Atletas!T365="Taijijian 32 D",927,IF(Atletas!T365="Taijijian 42 D",928,IF(Atletas!T365="Taijijian Yang E",929,IF(Atletas!T365="Taijijian Chen E",930,IF(Atletas!T365="Taijijian Sun E",931,IF(Atletas!T365="Taijijian Wu E",932,IF(Atletas!T365="Taijijian Wu-Hao E",933,IF(Atletas!T365="Taijijian 32 E",934,IF(Atletas!T365="Taijijian 42 E",935,IF(Atletas!T365="Taijijian Yang F",936,IF(Atletas!T365="Taijijian Chen F",937,IF(Atletas!T365="Taijijian Sun F",938,IF(Atletas!T365="Taijijian Wu F",939,IF(Atletas!T365="Taijijian Wu-Hao F",940,IF(Atletas!T365="Taijijian 32 F",941,IF(Atletas!T365="Taijijian 42 F",942,"")))))))))))))))))))))))))))))))))))))))))))</f>
        <v/>
      </c>
      <c r="BW369" s="52" t="str">
        <f>IF(Atletas!U365="","",IF(Atletas!W365&lt;&gt;"",10000,0)+IF(Atletas!B365="Feminino",1000,IF(Atletas!B365="Masculino",2000,""))+IF(Atletas!T365="Taijijian 42 F",942,IF(Atletas!U365="Taijidao A",943,IF(Atletas!U365="Taijishan A",944,IF(Atletas!U365="Taijiqiang A",945,IF(Atletas!U365="Taijidao B",946,IF(Atletas!U365="Taijishan B",947,IF(Atletas!U365="Taijiqiang B",948,IF(Atletas!U365="Taijidao C",949,IF(Atletas!U365="Taijishan C",950,IF(Atletas!U365="Taijiqiang C",951,IF(Atletas!U365="Taijidao D",952,IF(Atletas!U365="Taijishan D",953,IF(Atletas!U365="Taijiqiang D",954,IF(Atletas!U365="Taijidao E",955,IF(Atletas!U365="Taijishan E",956,IF(Atletas!U365="Taijiqiang E",957,IF(Atletas!U365="Taijidao F",958,IF(Atletas!U365="Taijishan F",959,IF(Atletas!U365="Taijiqiang F",960))))))))))))))))))))</f>
        <v/>
      </c>
      <c r="CB369" s="64" t="str">
        <f>IF(CC369&lt;&gt;"","Taijijian 42 C","")</f>
        <v/>
      </c>
      <c r="CC369" s="64" t="str">
        <f>IF(COUNTIF(BK:BW,11921)&gt;0,COUNTIF(BK:BW,11921),"")</f>
        <v/>
      </c>
      <c r="CD369" s="64" t="str">
        <f>IF(CE369&lt;&gt;"","Taijijian 42 C","")</f>
        <v/>
      </c>
      <c r="CE369" s="64" t="str">
        <f>IF(COUNTIF(BK:BW,12921)&gt;0,COUNTIF(BK:BW,12921),"")</f>
        <v/>
      </c>
      <c r="CF369" s="52" t="str">
        <f xml:space="preserve"> IF(Atletas!V365="","",IF(Atletas!V365="Duilian de Mãos AB - Equipe 1",1,IF(Atletas!V365="Duilian de Mãos AB - Equipe 2",2,IF(Atletas!V365="Duilian de Armas AB - Equipe 1",3,IF(Atletas!V365="Duilian de Armas AB - Equipe 2",4,IF(Atletas!V365="Duilian de Tuishou - Equipe 1",5,IF(Atletas!V365="Duilian de Tuishou - Equipe 2",6,IF(Atletas!V365="Grupo Externo AB - Equipe 1",7,IF(Atletas!V365="Grupo Externo AB - Equipe 2",8,IF(Atletas!V365="Grupo Interno AB - Equipe 1",9,IF(Atletas!V365="Grupo Interno AB - Equipe 2",10,IF(Atletas!V365="Duilian de Mãos CD - Equipe 1",11,IF(Atletas!V365="Duilian de Mãos CD - Equipe 2",12,IF(Atletas!V365="Duilian de Armas CD - Equipe 1",13,IF(Atletas!V365="Duilian de Armas CD - Equipe 2",14,IF(Atletas!V365="Duilian de Tuishou - Equipe 1",15,IF(Atletas!V365="Duilian de Tuishou - Equipe 2",16,IF(Atletas!V365="Grupo Externo CDEF - Equipe 1",17,IF(Atletas!V365="Grupo Externo CDEF - Equipe 2",18,IF(Atletas!V365="Grupo Interno CDEF - Equipe 1",19,IF(Atletas!V365="Grupo Interno CDEF - Equipe 2",20,IF(Atletas!V365="Duilian de Mãos EF - Equipe 1",21,IF(Atletas!V365="Duilian de Mãos EF - Equipe 2",22,IF(Atletas!V365="Duilian de Armas EF - Equipe 1",23,IF(Atletas!V365="Duilian de Armas EF - Equipe 2",24,IF(Atletas!V365="Duilian de Tuishou - Equipe 1",25,IF(Atletas!V365="Duilian de Tuishou - Equipe 2",26,"")))))))))))))))))))))))))))</f>
        <v/>
      </c>
    </row>
    <row r="370" spans="36:84">
      <c r="AJ370" s="46" t="str">
        <f>IF(Atletas!D366="","",IF(Atletas!B366="Feminino",100,IF(Atletas!B366="Masculino",200,""))+(IF(Atletas!D366="Infantil 39kg",1,IF(Atletas!D366="Infantil 42kg",2,IF(Atletas!D366="Infantil 45kg",3,IF(Atletas!D366="Infantil 48kg",4,IF(Atletas!D366="Infantil 52kg",5,IF(Atletas!D366="Infantil 56kg",6,IF(Atletas!D366="Infantil 60kg",7,IF(Atletas!D366="Juvenil 48kg",8,IF(Atletas!D366="Juvenil 52kg",9,IF(Atletas!D366="Juvenil 56kg",10,IF(Atletas!D366="Juvenil 60kg",11,IF(Atletas!D366="Juvenil 65kg",12,IF(Atletas!D366="Juvenil 70kg",13,IF(Atletas!D366="Juvenil 75kg",14,IF(Atletas!D366="Juvenil 80kg",15,IF(Atletas!D366="Adulto 48kg",16,IF(Atletas!D366="Adulto 52kg",17,IF(Atletas!D366="Adulto 56kg",18,IF(Atletas!D366="Adulto 60kg",19,IF(Atletas!D366="Adulto 65kg",20,IF(Atletas!D366="Adulto 70kg",21,IF(Atletas!D366="Adulto 75kg",22,IF(Atletas!D366="Adulto 80kg",23,IF(Atletas!D366="Adulto 85kg",24,IF(Atletas!D366="Adulto 90kg",25,IF(Atletas!D366="Adulto +90kg",26,""))))))))))))))))))))))))))))</f>
        <v/>
      </c>
      <c r="AO370" s="10" t="str">
        <f>IF(Atletas!E366="","",IF(Atletas!B366="Feminino",100,IF(Atletas!B366="Masculino",200,""))+(IF(Atletas!E366="Juvenil 44kg",1,IF(Atletas!E366="Juvenil 48kg",2,IF(Atletas!E366="Juvenil 52kg",3,IF(Atletas!E366="Juvenil 56kg",4,IF(Atletas!E366="Juvenil 60kg",5,IF(Atletas!E366="Juvenil 65kg",6,IF(Atletas!E366="Juvenil 70kg",7,IF(Atletas!E366="Juvenil 75kg",8,IF(Atletas!E366="Juvenil 82kg",9,IF(Atletas!E366="Juvenil 90kg",10,IF(Atletas!E366="Juvenil 100kg",11,IF(Atletas!E366="Adulto 48kg",12,IF(Atletas!E366="Adulto 52kg",13,IF(Atletas!E366="Adulto 56kg",14,IF(Atletas!E366="Adulto 60kg",15,IF(Atletas!E366="Adulto 65kg",16,IF(Atletas!E366="Adulto 70kg",17,IF(Atletas!E366="Adulto 75kg",18,IF(Atletas!E366="Adulto 82kg",19,IF(Atletas!E366="Adulto 90kg",20,IF(Atletas!E366="Adulto 100kg",21,IF(Atletas!E366="Adulto +100kg",22,""))))))))))))))))))))))))</f>
        <v/>
      </c>
      <c r="AT370" s="10" t="str">
        <f>IF(Atletas!F366="","",IF(Atletas!B366="Feminino",100,IF(Atletas!B366="Masculino",200,""))+(IF(Atletas!F366="Adulto 48kg",1,IF(Atletas!F366="Adulto 56kg",2,IF(Atletas!F366="Adulto 65kg",3,IF(Atletas!F366="Adulto 75kg",4,IF(Atletas!F366="Adulto +75kg",5,IF(Atletas!F366="Adulto 52kg",6,IF(Atletas!F366="Adulto 60kg",7,IF(Atletas!F366="Adulto 70kg",8,IF(Atletas!F366="Adulto 80kg",9,IF(Atletas!F366="Adulto 90kg",10,IF(Atletas!F366="Adulto +90kg",11,"")))))))))))))</f>
        <v/>
      </c>
      <c r="AY370" s="46" t="str">
        <f>IF(Atletas!G366="","",IF(Atletas!B366="Feminino",100,IF(Atletas!B366="Masculino",200,""))+(IF(Atletas!G366="Changquan Mirim",1,IF(Atletas!G366="Nanquan Mirim",2,IF(Atletas!G366="Taijiquan Mirim",3,IF(Atletas!G366="Changquan Grupo C",4,IF(Atletas!G366="Nanquan Grupo C",5,IF(Atletas!G366="Taijiquan Grupo C",6,IF(Atletas!G366="Changquan Grupo B",7,IF(Atletas!G366="Nanquan Grupo B",8,IF(Atletas!G366="Taijiquan Grupo B",9,IF(Atletas!G366="Changquan Grupo A",10,IF(Atletas!G366="Nanquan Grupo A",11,IF(Atletas!G366="Taijiquan Grupo A",12,IF(Atletas!G366="Changquan Opcional",13,IF(Atletas!G366="Nanquan Opcional",14,IF(Atletas!G366="Taijiquan Opcional",15,IF(Atletas!G366="Changquan Adulto",16,IF(Atletas!G366="Nanquan Adulto",17,IF(Atletas!G366="Taijiquan Adulto",18,""))))))))))))))))))))</f>
        <v/>
      </c>
      <c r="AZ370" s="46" t="str">
        <f>IF(Atletas!H366="","",IF(Atletas!B366="Feminino",100,IF(Atletas!B366="Masculino",200,""))+(IF(Atletas!H366="Daoshu Mirim",19,IF(Atletas!H366="Jianshu Mirim",20,IF(Atletas!H366="Nandao Mirim",21,IF(Atletas!H366="Taijijian Mirim",22,IF(Atletas!H366="Daoshu Grupo C",23,IF(Atletas!H366="Jianshu Grupo C",24,IF(Atletas!H366="Nandao Grupo C",25,IF(Atletas!H366="Taijijian Grupo C",26,IF(Atletas!H366="Daoshu Grupo B",27,IF(Atletas!H366="Jianshu Grupo B",28,IF(Atletas!H366="Nandao Grupo B",29,IF(Atletas!H366="Taijijian Grupo B",30,IF(Atletas!H366="Daoshu Grupo A",31,IF(Atletas!H366="Jianshu Grupo A",32,IF(Atletas!H366="Nandao Grupo A",33,IF(Atletas!H366="Taijijian Grupo A",34,IF(Atletas!H366="Daoshu Opcional",35,IF(Atletas!H366="Jianshu Opcional",36,IF(Atletas!H366="Nandao Opcional",37,IF(Atletas!H366="Taijijian Opcional",38,IF(Atletas!H366="Daoshu Adulto",39,IF(Atletas!H366="Jianshu Adulto",40,IF(Atletas!H366="Nandao Adulto",41,IF(Atletas!H366="Taijijian Adulto",42,""))))))))))))))))))))))))))</f>
        <v/>
      </c>
      <c r="BA370" s="46" t="str">
        <f>IF(Atletas!I366="","",IF(Atletas!B366="Feminino",100,IF(Atletas!B366="Masculino",200,""))+(IF(Atletas!I366="Gunshu Mirim",43,IF(Atletas!I366="Qiangshu Mirim",44,IF(Atletas!I366="Nangun Mirim",45,IF(Atletas!I366="Gunshu Grupo C",46,IF(Atletas!I366="Qiangshu Grupo C",47,IF(Atletas!I366="Nangun Grupo C",48,IF(Atletas!I366="Gunshu Grupo B",49,IF(Atletas!I366="Qiangshu Grupo B",50,IF(Atletas!I366="Nangun Grupo B",51,IF(Atletas!I366="Gunshu Grupo A",52,IF(Atletas!I366="Qiangshu Grupo A",53,IF(Atletas!I366="Nangun Grupo A",54,IF(Atletas!I366="Gunshu Opcional",55,IF(Atletas!I366="Qiangshu Opcional",56,IF(Atletas!I366="Nangun Opcional",57,IF(Atletas!I366="Gunshu Adulto",58,IF(Atletas!I366="Qiangshu Adulto",59,IF(Atletas!I366="Nangun Adulto",60,""))))))))))))))))))))</f>
        <v/>
      </c>
      <c r="BF370" s="52" t="str">
        <f>IF(Atletas!J366="","",IF(Atletas!B366="Feminino",100,IF(Atletas!B366="Masculino",200,""))+(IF(Atletas!J366="Equipe 1 Grupo B",1,IF(Atletas!J366="Equipe 2 Grupo B",2,IF(Atletas!J366="Equipe 1 Grupo A",3,IF(Atletas!J366="Equipe 2 Grupo A",4,IF(Atletas!J366="Equipe 1 Adulto",5,IF(Atletas!J366="Equipe 2 Adulto",6,""))))))))</f>
        <v/>
      </c>
      <c r="BK370" s="52" t="str">
        <f>IF(Atletas!K366="","",IF(Atletas!W366&lt;&gt;"",10000,0)+(IF(Atletas!B366="Feminino",1000,IF(Atletas!B366="Masculino",2000,""))+IF(Atletas!K366="Choylayfut A",1,IF(Atletas!K366="Hunggar A",2,IF(Atletas!K366="Wuzuquan A",3,IF(Atletas!K366="Wingchun A",4,IF(Atletas!K366="Outra Mão de Sul A",5,IF(Atletas!K366="Choylayfut B",6,IF(Atletas!K366="Hunggar B",7,IF(Atletas!K366="Wuzuquan B",8,IF(Atletas!K366="Wingchun B",9,IF(Atletas!K366="Outra Mão de Sul B",10,IF(Atletas!K366="Choylayfut C",11,IF(Atletas!K366="Hunggar C",12,IF(Atletas!K366="Wuzuquan C",13,IF(Atletas!K366="Wingchun C",14,IF(Atletas!K366="Outra Mão de Sul C",15,IF(Atletas!K366="Choylayfut D",16,IF(Atletas!K366="Hunggar D",17,IF(Atletas!K366="Wuzuquan D",18,IF(Atletas!K366="Wingchun D",19,IF(Atletas!K366="Outra Mão de Sul D",20,IF(Atletas!K366="Choylayfut E",21,IF(Atletas!K366="Hunggar E",22,IF(Atletas!K366="Wuzuquan E",23,IF(Atletas!K366="Wingchun E",24,IF(Atletas!K366="Outra Mão de Sul E",25,IF(Atletas!K366="Choylayfut F",26,IF(Atletas!K366="Hunggar F",27,IF(Atletas!K366="Wuzuquan F",28,IF(Atletas!K366="Wingchun F",29,IF(Atletas!K366="Outra Mão de Sul F",30,""))))))))))))))))))))))))))))))))</f>
        <v/>
      </c>
      <c r="BL370" s="52" t="str">
        <f>IF(Atletas!L366="","",IF(Atletas!W366&lt;&gt;"",10000,0)+(IF(Atletas!B366="Feminino",1000,IF(Atletas!B366="Masculino",2000,""))+(IF(Atletas!L366="Chaquan A",101,IF(Atletas!L366="Emeiquan A",102,IF(Atletas!L366="Fanziquan A",103,IF(Atletas!L366="Huaquan A",104,IF(Atletas!L366="Hongquan A",105,IF(Atletas!L366="Paochui A",106,IF(Atletas!L366="Piguaquan A",107,IF(Atletas!L366="Shaolinquan A",108,IF(Atletas!L366="Tanglangquan A",109,IF(Atletas!L366="Yinzhaophai A",110,IF(Atletas!L366="Tongbeiquan A",111,IF(Atletas!L366="Wudangquan A",112,IF(Atletas!L366="Outros Estilos A",113,IF(Atletas!L366="Chaquan B",114,IF(Atletas!L366="Emeiquan B",115,IF(Atletas!L366="Fanziquan B",116,IF(Atletas!L366="Huaquan B",117,IF(Atletas!L366="Hongquan B",118,IF(Atletas!L366="Paochui B",119,IF(Atletas!L366="Piguaquan B",120,IF(Atletas!L366="Shaolinquan B",121,IF(Atletas!L366="Tanglangquan B",122,IF(Atletas!L366="Yinzhaophai B",123,IF(Atletas!L366="Tongbeiquan B",124,IF(Atletas!L366="Wudangquan B",125,IF(Atletas!L366="Outros Estilos B",126,IF(Atletas!L366="Chaquan C",127,IF(Atletas!L366="Emeiquan C",128,IF(Atletas!L366="Fanziquan C",129,IF(Atletas!L366="Huaquan C",130,IF(Atletas!L366="Hongquan C",131,IF(Atletas!L366="Paochui C",132,IF(Atletas!L366="Piguaquan C",133,IF(Atletas!L366="Shaolinquan C",134,IF(Atletas!L366="Tanglangquan C",135,IF(Atletas!L366="Yinzhaophai C",136,IF(Atletas!L366="Tongbeiquan C",137,IF(Atletas!L366="Wudangquan C",138,IF(Atletas!L366="Outros Estilos C",139,0))))))))))))))))))))))))))))))))))))))))))</f>
        <v/>
      </c>
      <c r="BM370" s="52" t="str">
        <f>IF(Atletas!L366="","",IF(Atletas!W366&lt;&gt;"",10000,0)+(IF(Atletas!B366="Feminino",1000,IF(Atletas!B366="Masculino",2000,""))+(IF(Atletas!L366="Chaquan D",140,IF(Atletas!L366="Emeiquan D",141,IF(Atletas!L366="Fanziquan D",142,IF(Atletas!L366="Huaquan D",143,IF(Atletas!L366="Hongquan D",144,IF(Atletas!L366="Paochui D",145,IF(Atletas!L366="Piguaquan D",146,IF(Atletas!L366="Shaolinquan D",147,IF(Atletas!L366="Tanglangquan D",148,IF(Atletas!L366="Yinzhaophai D",149,IF(Atletas!L366="Tongbeiquan D",150,IF(Atletas!L366="Wudangquan D",151,IF(Atletas!L366="Outros Estilos D",152,IF(Atletas!L366="Chaquan E",153,IF(Atletas!L366="Emeiquan E",154,IF(Atletas!L366="Fanziquan E",155,IF(Atletas!L366="Huaquan E",156,IF(Atletas!L366="Hongquan E",157,IF(Atletas!L366="Paochui E",158,IF(Atletas!L366="Piguaquan E",159,IF(Atletas!L366="Shaolinquan E",160,IF(Atletas!L366="Tanglangquan E",161,IF(Atletas!L366="Yinzhaophai E",162,IF(Atletas!L366="Tongbeiquan E",163,IF(Atletas!L366="Wudangquan E",164,IF(Atletas!L366="Outros Estilos E",165,IF(Atletas!L366="Chaquan F",166,IF(Atletas!L366="Emeiquan F",167,IF(Atletas!L366="Fanziquan F",168,IF(Atletas!L366="Huaquan F",169,IF(Atletas!L366="Hongquan F",170,IF(Atletas!L366="Paochui F",171,IF(Atletas!L366="Piguaquan F",172,IF(Atletas!L366="Shaolinquan F",173,IF(Atletas!L366="Tanglangquan F",174,IF(Atletas!L366="Yinzhaophai F",175,IF(Atletas!L366="Tongbeiquan F",176,IF(Atletas!L366="Wudangquan F",177,IF(Atletas!L366="Outros Estilos F",178,0))))))))))))))))))))))))))))))))))))))))))</f>
        <v/>
      </c>
      <c r="BN370" s="52" t="str">
        <f>IF(Atletas!M366="","",IF(Atletas!W366&lt;&gt;"",10000,0)+(IF(Atletas!B366="Feminino",1000,IF(Atletas!B366="Masculino",2000,""))+(IF(Atletas!M366="Ditangquan A",201,IF(Atletas!M366="Houquan A",202,IF(Atletas!M366="Zuiquan A",203,IF(Atletas!M366="Ditangquan B",204,IF(Atletas!M366="Houquan B",205,IF(Atletas!M366="Zuiquan B",206,IF(Atletas!M366="Ditangquan C",207,IF(Atletas!M366="Houquan C",208,IF(Atletas!M366="Zuiquan C",209,IF(Atletas!M366="Ditangquan D",210,IF(Atletas!M366="Houquan D",211,IF(Atletas!M366="Zuiquan D",212,IF(Atletas!M366="Ditangquan E",213,IF(Atletas!M366="Houquan E",214,IF(Atletas!M366="Zuiquan E",215,IF(Atletas!M366="Ditangquan F",216,IF(Atletas!M366="Houquan F",217,IF(Atletas!M366="Zuiquan F",218,"")))))))))))))))))))))</f>
        <v/>
      </c>
      <c r="BO370" s="52" t="str">
        <f>IF(Atletas!N366="","",IF(Atletas!W366&lt;&gt;"",10000,0)+IF(Atletas!B366="Feminino",1000,IF(Atletas!B366="Masculino",2000,""))+IF(Atletas!N366="Yang A",301,IF(Atletas!N366="Chen A",30,IF(Atletas!N366="Sun A",303,IF(Atletas!N366="Wu A",304,IF(Atletas!N366="Wu-Hao A",305,IF(Atletas!N366="Outro Taijiquan A",306,IF(Atletas!N366="Yang B",307,IF(Atletas!N366="Chen B",308,IF(Atletas!N366="Sun B",309,IF(Atletas!N366="Wu B",310,IF(Atletas!N366="Wu-Hao B",311,IF(Atletas!N366="Outro Taijiquan B",312,IF(Atletas!N366="Yang C",313,IF(Atletas!N366="Chen C",314,IF(Atletas!N366="Sun C",315,IF(Atletas!N366="Wu C",316,IF(Atletas!N366="Wu-Hao C",317,IF(Atletas!N366="Outro Taijiquan C",318,IF(Atletas!N366="Yang D",319,IF(Atletas!N366="Chen D",320,IF(Atletas!N366="Sun D",321,IF(Atletas!N366="Wu D",322,IF(Atletas!N366="Wu-Hao D",323,IF(Atletas!N366="Outro Taijiquan D",324,IF(Atletas!N366="Yang E",325,IF(Atletas!N366="Chen E",326,IF(Atletas!N366="Sun E",327,IF(Atletas!N366="Wu E",328,IF(Atletas!N366="Wu-Hao E",329,IF(Atletas!N366="Outro Taijiquan E",330,IF(Atletas!N366="Yang F",331,IF(Atletas!N366="Chen F",332,IF(Atletas!N366="Sun F",333,IF(Atletas!N366="Wu F",334,IF(Atletas!N366="Wu-Hao F",335,IF(Atletas!N366="Outro Taijiquan F",336,"")))))))))))))))))))))))))))))))))))))</f>
        <v/>
      </c>
      <c r="BP370" s="52" t="str">
        <f>IF(Atletas!O366="","",IF(Atletas!W366&lt;&gt;"",10000,0)+IF(Atletas!B366="Feminino",1000,IF(Atletas!B366="Masculino",2000,""))+IF(OR(Atletas!O366="Yang 26 A",Atletas!O366="Yang 40 A"),401,IF(OR(Atletas!O366="Chen 25 A",Atletas!O366="Chen 36 A",Atletas!O366="Chen 56 A"),402,IF(Atletas!O366="Sun 73 A",403,IF(Atletas!O366="Wu 45 A",404,IF(Atletas!O366="Wu-Hao 46 A",405,IF(OR(Atletas!O366="Taijiquan 16 A",Atletas!O366="Taijiquan 24 A",Atletas!O366="Taijiquan 32 A",Atletas!O366="Taijiquan 42 A"),406,IF(OR(Atletas!O366="Yang 26 B",Atletas!O366="Yang 40 B"),407,IF(OR(Atletas!O366="Chen 25 B",Atletas!O366="Chen 36 B",Atletas!O366="Chen 56 B"),408,IF(Atletas!O366="Sun 73 B",409,IF(Atletas!O366="Wu 45 B",410,IF(Atletas!O366="Wu-Hao 46 B",411,IF(OR(Atletas!O366="Taijiquan 16 B",Atletas!O366="Taijiquan 24 B",Atletas!O366="Taijiquan 32 B",Atletas!O366="Taijiquan 42 B"),412,IF(OR(Atletas!O366="Yang 26 C",Atletas!O366="Yang 40 C"),413,IF(OR(Atletas!O366="Chen 25 C",Atletas!O366="Chen 36 C",Atletas!O366="Chen 56 C"),414,IF(Atletas!O366="Sun 73 C",415,IF(Atletas!O366="Wu 45 C",416,IF(Atletas!O366="Wu-Hao 46 C",417,IF(OR(Atletas!O366="Taijiquan 16 C",Atletas!O366="Taijiquan 24 C",Atletas!O366="Taijiquan 32 C",Atletas!O366="Taijiquan 42 C"),418,0)))))))))))))))))))</f>
        <v/>
      </c>
      <c r="BQ370" s="52" t="str">
        <f>IF(Atletas!O366="","",IF(Atletas!W366&lt;&gt;"",10000,0)+IF(Atletas!B366="Feminino",1000,IF(Atletas!B366="Masculino",2000,""))+IF(OR(Atletas!O366="Yang 26 D",Atletas!O366="Yang 40 D"),419,IF(OR(Atletas!O366="Chen 25 D",Atletas!O366="Chen 36 D",Atletas!O366="Chen 56 D"),420,IF(Atletas!O366="Sun 73 D",421,IF(Atletas!O366="Wu 45 D",422,IF(Atletas!O366="Wu-Hao 46 D",423,IF(OR(Atletas!O366="Taijiquan 16 D",Atletas!O366="Taijiquan 24 D",Atletas!O366="Taijiquan 32 D",Atletas!O366="Taijiquan 42 D"),424,IF(OR(Atletas!O366="Yang 26 E",Atletas!O366="Yang 40 E"),425,IF(OR(Atletas!O366="Chen 25 E",Atletas!O366="Chen 36 E",Atletas!O366="Chen 56 E"),426,IF(Atletas!O366="Sun 73 E",427,IF(Atletas!O366="Wu 45 E",428,IF(Atletas!O366="Wu-Hao 46 E",429,IF(OR(Atletas!O366="Taijiquan 16 E",Atletas!O366="Taijiquan 24 E",Atletas!O366="Taijiquan 32 E",Atletas!O366="Taijiquan 42 E"),430,IF(OR(Atletas!O366="Yang 26 F",Atletas!O366="Yang 40 F"),431,IF(OR(Atletas!O366="Chen 25 F",Atletas!O366="Chen 36 F",Atletas!O366="Chen 56 F"),432,IF(Atletas!O366="Sun 73 F",433,IF(Atletas!O366="Wu 45 F",434,IF(Atletas!O366="Wu-Hao 46 F",435,IF(OR(Atletas!O366="Taijiquan 16 F",Atletas!O366="Taijiquan 24 F",Atletas!O366="Taijiquan 32 F",Atletas!O366="Taijiquan 42 F"),436,0)))))))))))))))))))</f>
        <v/>
      </c>
      <c r="BR370" s="52" t="str">
        <f>IF(Atletas!P366="","",IF(Atletas!W366&lt;&gt;"",10000,0)+IF(Atletas!B366="Feminino",1000,IF(Atletas!B366="Masculino",2000,""))+IF(Atletas!P366="Xingyiquan A",501,IF(Atletas!P366="Baguazhang A",502,IF(Atletas!P366="Outro Estilo Interno A",503,IF(Atletas!P366="Xingyiquan B",504,IF(Atletas!P366="Baguazhang B",505,IF(Atletas!P366="Outro Estilo Interno B",506,IF(Atletas!P366="Xingyiquan C",507,IF(Atletas!P366="Baguazhang C",508,IF(Atletas!P366="Outro Estilo Interno C",509,IF(Atletas!P366="Xingyiquan D",510,IF(Atletas!P366="Baguazhang D",511,IF(Atletas!P366="Outro Estilo Interno D",512,IF(Atletas!P366="Xingyiquan E",513,IF(Atletas!P366="Baguazhang E",514,IF(Atletas!P366="Outro Estilo Interno E",515,IF(Atletas!P366="Xingyiquan F",516,IF(Atletas!P366="Baguazhang F",517,IF(Atletas!P366="Outro Estilo Interno F",518, "")))))))))))))))))))</f>
        <v/>
      </c>
      <c r="BS370" s="52" t="str">
        <f>IF(Atletas!Q366="","",IF(Atletas!W366&lt;&gt;"",10000,0)+IF(Atletas!B366="Feminino",1000,IF(Atletas!B366="Masculino",2000,""))+IF(Atletas!Q366="Dao A",601,IF(Atletas!Q366="Jian A",602,IF(Atletas!Q366="Bishou A",603,IF(Atletas!Q366="Shan A",604,IF(Atletas!Q366="Outra Arma Curta A",605,IF(Atletas!Q366="Dao B",606,IF(Atletas!Q366="Jian B",607,IF(Atletas!Q366="Bishou B",608,IF(Atletas!Q366="Shan B",609,IF(Atletas!Q366="Outra Arma Curta B",610,IF(Atletas!Q366="Dao C",611,IF(Atletas!Q366="Jian C",612,IF(Atletas!Q366="Bishou C",613,IF(Atletas!Q366="Shan C",614,IF(Atletas!Q366="Outra Arma Curta C",615,IF(Atletas!Q366="Dao D",616,IF(Atletas!Q366="Jian D",617,IF(Atletas!Q366="Bishou D",618,IF(Atletas!Q366="Shan D",619,IF(Atletas!Q366="Outra Arma Curta D",620,IF(Atletas!Q366="Dao E",621,IF(Atletas!Q366="Jian E",622,IF(Atletas!Q366="Bishou E",623,IF(Atletas!Q366="Shan E",624,IF(Atletas!Q366="Outra Arma Curta E",625,IF(Atletas!Q366="Dao F",626,IF(Atletas!Q366="Jian F",627,IF(Atletas!Q366="Bishou F",628,IF(Atletas!Q366="Shan F",629,IF(Atletas!Q366="Outra Arma Curta F",630, "")))))))))))))))))))))))))))))))</f>
        <v/>
      </c>
      <c r="BT370" s="52" t="str">
        <f>IF(Atletas!R366="","",IF(Atletas!W366&lt;&gt;"",10000,0)+IF(Atletas!B366="Feminino",1000,IF(Atletas!B366="Masculino",2000,""))+IF(Atletas!R366="Gun A",701,IF(Atletas!R366="Qiang A",702,IF(Atletas!R366="Pudao / Guandao A",703,IF(Atletas!R366="Outra Arma Longa A",704,IF(Atletas!R366="Gun B",705,IF(Atletas!R366="Qiang B",706,IF(Atletas!R366="Pudao / Guandao B",707,IF(Atletas!R366="Outra Arma Longa B",708,IF(Atletas!R366="Gun C",709,IF(Atletas!R366="Qiang C",710,IF(Atletas!R366="Pudao / Guandao C",711,IF(Atletas!R366="Outra Arma Longa C",712,IF(Atletas!R366="Gun D",713,IF(Atletas!R366="Qiang D",714,IF(Atletas!R366="Pudao / Guandao D",715,IF(Atletas!R366="Outra Arma Longa D",716,IF(Atletas!R366="Gun E",717,IF(Atletas!R366="Qiang E",718,IF(Atletas!R366="Pudao / Guandao E",719,IF(Atletas!R366="Outra Arma Longa E",720,IF(Atletas!R366="Gun F",721,IF(Atletas!R366="Qiang F",722,IF(Atletas!R366="Pudao / Guandao F",723,IF(Atletas!R366="Outra Arma Longa F",724,"")))))))))))))))))))))))))</f>
        <v/>
      </c>
      <c r="BU370" s="52" t="str">
        <f>IF(Atletas!S366="","",IF(Atletas!W366&lt;&gt;"",10000,0)+IF(Atletas!B366="Feminino",1000,IF(Atletas!B366="Masculino",2000,""))+IF(Atletas!S366="Arma Dupla A",801,IF(Atletas!S366="Arma Maleável A",802,IF(Atletas!S366="Arma Dupla B",803,IF(Atletas!S366="Arma Maleável B",804,IF(Atletas!S366="Arma Dupla C",805,IF(Atletas!S366="Arma Maleável C",806,IF(Atletas!S366="Arma Dupla D",807,IF(Atletas!S366="Arma Maleável D",808,IF(Atletas!S366="Arma Dupla E",809,IF(Atletas!S366="Arma Maleável E",810,IF(Atletas!S366="Arma Dupla F",811,IF(Atletas!S366="Arma Maleável F",812, "")))))))))))))</f>
        <v/>
      </c>
      <c r="BV370" s="52" t="str">
        <f>IF(Atletas!T366="","",IF(Atletas!W366&lt;&gt;"",10000,0)+IF(Atletas!B366="Feminino",1000,IF(Atletas!B366="Masculino",2000,""))+IF(Atletas!T366="Taijijian Yang A",901,IF(Atletas!T366="Taijijian Chen A",902,IF(Atletas!T366="Taijijian Sun A",903,IF(Atletas!T366="Taijijian Wu A",904,IF(Atletas!T366="Taijijian Wu-Hao A",905,IF(Atletas!T366="Taijijian 32 A",906,IF(Atletas!T366="Taijijian 42 A",907,IF(Atletas!T366="Taijijian Yang B",908,IF(Atletas!T366="Taijijian Chen B",909,IF(Atletas!T366="Taijijian Sun B",910,IF(Atletas!T366="Taijijian Wu B",911,IF(Atletas!T366="Taijijian Wu-Hao B",912,IF(Atletas!T366="Taijijian 32 B",913,IF(Atletas!T366="Taijijian 42 B",914,IF(Atletas!T366="Taijijian Yang C",915,IF(Atletas!T366="Taijijian Chen C",916,IF(Atletas!T366="Taijijian Sun C",917,IF(Atletas!T366="Taijijian Wu C",918,IF(Atletas!T366="Taijijian Wu-Hao C",919,IF(Atletas!T366="Taijijian 32 C",920,IF(Atletas!T366="Taijijian 42 C",921,IF(Atletas!T366="Taijijian Yang D",922,IF(Atletas!T366="Taijijian Chen D",923,IF(Atletas!T366="Taijijian Sun D",924,IF(Atletas!T366="Taijijian Wu D",925,IF(Atletas!T366="Taijijian Wu-Hao D",926,IF(Atletas!T366="Taijijian 32 D",927,IF(Atletas!T366="Taijijian 42 D",928,IF(Atletas!T366="Taijijian Yang E",929,IF(Atletas!T366="Taijijian Chen E",930,IF(Atletas!T366="Taijijian Sun E",931,IF(Atletas!T366="Taijijian Wu E",932,IF(Atletas!T366="Taijijian Wu-Hao E",933,IF(Atletas!T366="Taijijian 32 E",934,IF(Atletas!T366="Taijijian 42 E",935,IF(Atletas!T366="Taijijian Yang F",936,IF(Atletas!T366="Taijijian Chen F",937,IF(Atletas!T366="Taijijian Sun F",938,IF(Atletas!T366="Taijijian Wu F",939,IF(Atletas!T366="Taijijian Wu-Hao F",940,IF(Atletas!T366="Taijijian 32 F",941,IF(Atletas!T366="Taijijian 42 F",942,"")))))))))))))))))))))))))))))))))))))))))))</f>
        <v/>
      </c>
      <c r="BW370" s="52" t="str">
        <f>IF(Atletas!U366="","",IF(Atletas!W366&lt;&gt;"",10000,0)+IF(Atletas!B366="Feminino",1000,IF(Atletas!B366="Masculino",2000,""))+IF(Atletas!T366="Taijijian 42 F",942,IF(Atletas!U366="Taijidao A",943,IF(Atletas!U366="Taijishan A",944,IF(Atletas!U366="Taijiqiang A",945,IF(Atletas!U366="Taijidao B",946,IF(Atletas!U366="Taijishan B",947,IF(Atletas!U366="Taijiqiang B",948,IF(Atletas!U366="Taijidao C",949,IF(Atletas!U366="Taijishan C",950,IF(Atletas!U366="Taijiqiang C",951,IF(Atletas!U366="Taijidao D",952,IF(Atletas!U366="Taijishan D",953,IF(Atletas!U366="Taijiqiang D",954,IF(Atletas!U366="Taijidao E",955,IF(Atletas!U366="Taijishan E",956,IF(Atletas!U366="Taijiqiang E",957,IF(Atletas!U366="Taijidao F",958,IF(Atletas!U366="Taijishan F",959,IF(Atletas!U366="Taijiqiang F",960))))))))))))))))))))</f>
        <v/>
      </c>
      <c r="CB370" s="64" t="str">
        <f>IF(CC370&lt;&gt;"","Taijijian Yang D","")</f>
        <v/>
      </c>
      <c r="CC370" s="64" t="str">
        <f>IF(COUNTIF(BK:BW,11922)&gt;0,COUNTIF(BK:BW,11922),"")</f>
        <v/>
      </c>
      <c r="CD370" s="64" t="str">
        <f>IF(CE370&lt;&gt;"","Taijijian Yang D","")</f>
        <v/>
      </c>
      <c r="CE370" s="64" t="str">
        <f>IF(COUNTIF(BK:BW,12922)&gt;0,COUNTIF(BK:BW,12922),"")</f>
        <v/>
      </c>
      <c r="CF370" s="52" t="str">
        <f xml:space="preserve"> IF(Atletas!V366="","",IF(Atletas!V366="Duilian de Mãos AB - Equipe 1",1,IF(Atletas!V366="Duilian de Mãos AB - Equipe 2",2,IF(Atletas!V366="Duilian de Armas AB - Equipe 1",3,IF(Atletas!V366="Duilian de Armas AB - Equipe 2",4,IF(Atletas!V366="Duilian de Tuishou - Equipe 1",5,IF(Atletas!V366="Duilian de Tuishou - Equipe 2",6,IF(Atletas!V366="Grupo Externo AB - Equipe 1",7,IF(Atletas!V366="Grupo Externo AB - Equipe 2",8,IF(Atletas!V366="Grupo Interno AB - Equipe 1",9,IF(Atletas!V366="Grupo Interno AB - Equipe 2",10,IF(Atletas!V366="Duilian de Mãos CD - Equipe 1",11,IF(Atletas!V366="Duilian de Mãos CD - Equipe 2",12,IF(Atletas!V366="Duilian de Armas CD - Equipe 1",13,IF(Atletas!V366="Duilian de Armas CD - Equipe 2",14,IF(Atletas!V366="Duilian de Tuishou - Equipe 1",15,IF(Atletas!V366="Duilian de Tuishou - Equipe 2",16,IF(Atletas!V366="Grupo Externo CDEF - Equipe 1",17,IF(Atletas!V366="Grupo Externo CDEF - Equipe 2",18,IF(Atletas!V366="Grupo Interno CDEF - Equipe 1",19,IF(Atletas!V366="Grupo Interno CDEF - Equipe 2",20,IF(Atletas!V366="Duilian de Mãos EF - Equipe 1",21,IF(Atletas!V366="Duilian de Mãos EF - Equipe 2",22,IF(Atletas!V366="Duilian de Armas EF - Equipe 1",23,IF(Atletas!V366="Duilian de Armas EF - Equipe 2",24,IF(Atletas!V366="Duilian de Tuishou - Equipe 1",25,IF(Atletas!V366="Duilian de Tuishou - Equipe 2",26,"")))))))))))))))))))))))))))</f>
        <v/>
      </c>
    </row>
    <row r="371" spans="36:84">
      <c r="AJ371" s="46" t="str">
        <f>IF(Atletas!D367="","",IF(Atletas!B367="Feminino",100,IF(Atletas!B367="Masculino",200,""))+(IF(Atletas!D367="Infantil 39kg",1,IF(Atletas!D367="Infantil 42kg",2,IF(Atletas!D367="Infantil 45kg",3,IF(Atletas!D367="Infantil 48kg",4,IF(Atletas!D367="Infantil 52kg",5,IF(Atletas!D367="Infantil 56kg",6,IF(Atletas!D367="Infantil 60kg",7,IF(Atletas!D367="Juvenil 48kg",8,IF(Atletas!D367="Juvenil 52kg",9,IF(Atletas!D367="Juvenil 56kg",10,IF(Atletas!D367="Juvenil 60kg",11,IF(Atletas!D367="Juvenil 65kg",12,IF(Atletas!D367="Juvenil 70kg",13,IF(Atletas!D367="Juvenil 75kg",14,IF(Atletas!D367="Juvenil 80kg",15,IF(Atletas!D367="Adulto 48kg",16,IF(Atletas!D367="Adulto 52kg",17,IF(Atletas!D367="Adulto 56kg",18,IF(Atletas!D367="Adulto 60kg",19,IF(Atletas!D367="Adulto 65kg",20,IF(Atletas!D367="Adulto 70kg",21,IF(Atletas!D367="Adulto 75kg",22,IF(Atletas!D367="Adulto 80kg",23,IF(Atletas!D367="Adulto 85kg",24,IF(Atletas!D367="Adulto 90kg",25,IF(Atletas!D367="Adulto +90kg",26,""))))))))))))))))))))))))))))</f>
        <v/>
      </c>
      <c r="AO371" s="10" t="str">
        <f>IF(Atletas!E367="","",IF(Atletas!B367="Feminino",100,IF(Atletas!B367="Masculino",200,""))+(IF(Atletas!E367="Juvenil 44kg",1,IF(Atletas!E367="Juvenil 48kg",2,IF(Atletas!E367="Juvenil 52kg",3,IF(Atletas!E367="Juvenil 56kg",4,IF(Atletas!E367="Juvenil 60kg",5,IF(Atletas!E367="Juvenil 65kg",6,IF(Atletas!E367="Juvenil 70kg",7,IF(Atletas!E367="Juvenil 75kg",8,IF(Atletas!E367="Juvenil 82kg",9,IF(Atletas!E367="Juvenil 90kg",10,IF(Atletas!E367="Juvenil 100kg",11,IF(Atletas!E367="Adulto 48kg",12,IF(Atletas!E367="Adulto 52kg",13,IF(Atletas!E367="Adulto 56kg",14,IF(Atletas!E367="Adulto 60kg",15,IF(Atletas!E367="Adulto 65kg",16,IF(Atletas!E367="Adulto 70kg",17,IF(Atletas!E367="Adulto 75kg",18,IF(Atletas!E367="Adulto 82kg",19,IF(Atletas!E367="Adulto 90kg",20,IF(Atletas!E367="Adulto 100kg",21,IF(Atletas!E367="Adulto +100kg",22,""))))))))))))))))))))))))</f>
        <v/>
      </c>
      <c r="AT371" s="10" t="str">
        <f>IF(Atletas!F367="","",IF(Atletas!B367="Feminino",100,IF(Atletas!B367="Masculino",200,""))+(IF(Atletas!F367="Adulto 48kg",1,IF(Atletas!F367="Adulto 56kg",2,IF(Atletas!F367="Adulto 65kg",3,IF(Atletas!F367="Adulto 75kg",4,IF(Atletas!F367="Adulto +75kg",5,IF(Atletas!F367="Adulto 52kg",6,IF(Atletas!F367="Adulto 60kg",7,IF(Atletas!F367="Adulto 70kg",8,IF(Atletas!F367="Adulto 80kg",9,IF(Atletas!F367="Adulto 90kg",10,IF(Atletas!F367="Adulto +90kg",11,"")))))))))))))</f>
        <v/>
      </c>
      <c r="AY371" s="46" t="str">
        <f>IF(Atletas!G367="","",IF(Atletas!B367="Feminino",100,IF(Atletas!B367="Masculino",200,""))+(IF(Atletas!G367="Changquan Mirim",1,IF(Atletas!G367="Nanquan Mirim",2,IF(Atletas!G367="Taijiquan Mirim",3,IF(Atletas!G367="Changquan Grupo C",4,IF(Atletas!G367="Nanquan Grupo C",5,IF(Atletas!G367="Taijiquan Grupo C",6,IF(Atletas!G367="Changquan Grupo B",7,IF(Atletas!G367="Nanquan Grupo B",8,IF(Atletas!G367="Taijiquan Grupo B",9,IF(Atletas!G367="Changquan Grupo A",10,IF(Atletas!G367="Nanquan Grupo A",11,IF(Atletas!G367="Taijiquan Grupo A",12,IF(Atletas!G367="Changquan Opcional",13,IF(Atletas!G367="Nanquan Opcional",14,IF(Atletas!G367="Taijiquan Opcional",15,IF(Atletas!G367="Changquan Adulto",16,IF(Atletas!G367="Nanquan Adulto",17,IF(Atletas!G367="Taijiquan Adulto",18,""))))))))))))))))))))</f>
        <v/>
      </c>
      <c r="AZ371" s="46" t="str">
        <f>IF(Atletas!H367="","",IF(Atletas!B367="Feminino",100,IF(Atletas!B367="Masculino",200,""))+(IF(Atletas!H367="Daoshu Mirim",19,IF(Atletas!H367="Jianshu Mirim",20,IF(Atletas!H367="Nandao Mirim",21,IF(Atletas!H367="Taijijian Mirim",22,IF(Atletas!H367="Daoshu Grupo C",23,IF(Atletas!H367="Jianshu Grupo C",24,IF(Atletas!H367="Nandao Grupo C",25,IF(Atletas!H367="Taijijian Grupo C",26,IF(Atletas!H367="Daoshu Grupo B",27,IF(Atletas!H367="Jianshu Grupo B",28,IF(Atletas!H367="Nandao Grupo B",29,IF(Atletas!H367="Taijijian Grupo B",30,IF(Atletas!H367="Daoshu Grupo A",31,IF(Atletas!H367="Jianshu Grupo A",32,IF(Atletas!H367="Nandao Grupo A",33,IF(Atletas!H367="Taijijian Grupo A",34,IF(Atletas!H367="Daoshu Opcional",35,IF(Atletas!H367="Jianshu Opcional",36,IF(Atletas!H367="Nandao Opcional",37,IF(Atletas!H367="Taijijian Opcional",38,IF(Atletas!H367="Daoshu Adulto",39,IF(Atletas!H367="Jianshu Adulto",40,IF(Atletas!H367="Nandao Adulto",41,IF(Atletas!H367="Taijijian Adulto",42,""))))))))))))))))))))))))))</f>
        <v/>
      </c>
      <c r="BA371" s="46" t="str">
        <f>IF(Atletas!I367="","",IF(Atletas!B367="Feminino",100,IF(Atletas!B367="Masculino",200,""))+(IF(Atletas!I367="Gunshu Mirim",43,IF(Atletas!I367="Qiangshu Mirim",44,IF(Atletas!I367="Nangun Mirim",45,IF(Atletas!I367="Gunshu Grupo C",46,IF(Atletas!I367="Qiangshu Grupo C",47,IF(Atletas!I367="Nangun Grupo C",48,IF(Atletas!I367="Gunshu Grupo B",49,IF(Atletas!I367="Qiangshu Grupo B",50,IF(Atletas!I367="Nangun Grupo B",51,IF(Atletas!I367="Gunshu Grupo A",52,IF(Atletas!I367="Qiangshu Grupo A",53,IF(Atletas!I367="Nangun Grupo A",54,IF(Atletas!I367="Gunshu Opcional",55,IF(Atletas!I367="Qiangshu Opcional",56,IF(Atletas!I367="Nangun Opcional",57,IF(Atletas!I367="Gunshu Adulto",58,IF(Atletas!I367="Qiangshu Adulto",59,IF(Atletas!I367="Nangun Adulto",60,""))))))))))))))))))))</f>
        <v/>
      </c>
      <c r="BF371" s="52" t="str">
        <f>IF(Atletas!J367="","",IF(Atletas!B367="Feminino",100,IF(Atletas!B367="Masculino",200,""))+(IF(Atletas!J367="Equipe 1 Grupo B",1,IF(Atletas!J367="Equipe 2 Grupo B",2,IF(Atletas!J367="Equipe 1 Grupo A",3,IF(Atletas!J367="Equipe 2 Grupo A",4,IF(Atletas!J367="Equipe 1 Adulto",5,IF(Atletas!J367="Equipe 2 Adulto",6,""))))))))</f>
        <v/>
      </c>
      <c r="BK371" s="52" t="str">
        <f>IF(Atletas!K367="","",IF(Atletas!W367&lt;&gt;"",10000,0)+(IF(Atletas!B367="Feminino",1000,IF(Atletas!B367="Masculino",2000,""))+IF(Atletas!K367="Choylayfut A",1,IF(Atletas!K367="Hunggar A",2,IF(Atletas!K367="Wuzuquan A",3,IF(Atletas!K367="Wingchun A",4,IF(Atletas!K367="Outra Mão de Sul A",5,IF(Atletas!K367="Choylayfut B",6,IF(Atletas!K367="Hunggar B",7,IF(Atletas!K367="Wuzuquan B",8,IF(Atletas!K367="Wingchun B",9,IF(Atletas!K367="Outra Mão de Sul B",10,IF(Atletas!K367="Choylayfut C",11,IF(Atletas!K367="Hunggar C",12,IF(Atletas!K367="Wuzuquan C",13,IF(Atletas!K367="Wingchun C",14,IF(Atletas!K367="Outra Mão de Sul C",15,IF(Atletas!K367="Choylayfut D",16,IF(Atletas!K367="Hunggar D",17,IF(Atletas!K367="Wuzuquan D",18,IF(Atletas!K367="Wingchun D",19,IF(Atletas!K367="Outra Mão de Sul D",20,IF(Atletas!K367="Choylayfut E",21,IF(Atletas!K367="Hunggar E",22,IF(Atletas!K367="Wuzuquan E",23,IF(Atletas!K367="Wingchun E",24,IF(Atletas!K367="Outra Mão de Sul E",25,IF(Atletas!K367="Choylayfut F",26,IF(Atletas!K367="Hunggar F",27,IF(Atletas!K367="Wuzuquan F",28,IF(Atletas!K367="Wingchun F",29,IF(Atletas!K367="Outra Mão de Sul F",30,""))))))))))))))))))))))))))))))))</f>
        <v/>
      </c>
      <c r="BL371" s="52" t="str">
        <f>IF(Atletas!L367="","",IF(Atletas!W367&lt;&gt;"",10000,0)+(IF(Atletas!B367="Feminino",1000,IF(Atletas!B367="Masculino",2000,""))+(IF(Atletas!L367="Chaquan A",101,IF(Atletas!L367="Emeiquan A",102,IF(Atletas!L367="Fanziquan A",103,IF(Atletas!L367="Huaquan A",104,IF(Atletas!L367="Hongquan A",105,IF(Atletas!L367="Paochui A",106,IF(Atletas!L367="Piguaquan A",107,IF(Atletas!L367="Shaolinquan A",108,IF(Atletas!L367="Tanglangquan A",109,IF(Atletas!L367="Yinzhaophai A",110,IF(Atletas!L367="Tongbeiquan A",111,IF(Atletas!L367="Wudangquan A",112,IF(Atletas!L367="Outros Estilos A",113,IF(Atletas!L367="Chaquan B",114,IF(Atletas!L367="Emeiquan B",115,IF(Atletas!L367="Fanziquan B",116,IF(Atletas!L367="Huaquan B",117,IF(Atletas!L367="Hongquan B",118,IF(Atletas!L367="Paochui B",119,IF(Atletas!L367="Piguaquan B",120,IF(Atletas!L367="Shaolinquan B",121,IF(Atletas!L367="Tanglangquan B",122,IF(Atletas!L367="Yinzhaophai B",123,IF(Atletas!L367="Tongbeiquan B",124,IF(Atletas!L367="Wudangquan B",125,IF(Atletas!L367="Outros Estilos B",126,IF(Atletas!L367="Chaquan C",127,IF(Atletas!L367="Emeiquan C",128,IF(Atletas!L367="Fanziquan C",129,IF(Atletas!L367="Huaquan C",130,IF(Atletas!L367="Hongquan C",131,IF(Atletas!L367="Paochui C",132,IF(Atletas!L367="Piguaquan C",133,IF(Atletas!L367="Shaolinquan C",134,IF(Atletas!L367="Tanglangquan C",135,IF(Atletas!L367="Yinzhaophai C",136,IF(Atletas!L367="Tongbeiquan C",137,IF(Atletas!L367="Wudangquan C",138,IF(Atletas!L367="Outros Estilos C",139,0))))))))))))))))))))))))))))))))))))))))))</f>
        <v/>
      </c>
      <c r="BM371" s="52" t="str">
        <f>IF(Atletas!L367="","",IF(Atletas!W367&lt;&gt;"",10000,0)+(IF(Atletas!B367="Feminino",1000,IF(Atletas!B367="Masculino",2000,""))+(IF(Atletas!L367="Chaquan D",140,IF(Atletas!L367="Emeiquan D",141,IF(Atletas!L367="Fanziquan D",142,IF(Atletas!L367="Huaquan D",143,IF(Atletas!L367="Hongquan D",144,IF(Atletas!L367="Paochui D",145,IF(Atletas!L367="Piguaquan D",146,IF(Atletas!L367="Shaolinquan D",147,IF(Atletas!L367="Tanglangquan D",148,IF(Atletas!L367="Yinzhaophai D",149,IF(Atletas!L367="Tongbeiquan D",150,IF(Atletas!L367="Wudangquan D",151,IF(Atletas!L367="Outros Estilos D",152,IF(Atletas!L367="Chaquan E",153,IF(Atletas!L367="Emeiquan E",154,IF(Atletas!L367="Fanziquan E",155,IF(Atletas!L367="Huaquan E",156,IF(Atletas!L367="Hongquan E",157,IF(Atletas!L367="Paochui E",158,IF(Atletas!L367="Piguaquan E",159,IF(Atletas!L367="Shaolinquan E",160,IF(Atletas!L367="Tanglangquan E",161,IF(Atletas!L367="Yinzhaophai E",162,IF(Atletas!L367="Tongbeiquan E",163,IF(Atletas!L367="Wudangquan E",164,IF(Atletas!L367="Outros Estilos E",165,IF(Atletas!L367="Chaquan F",166,IF(Atletas!L367="Emeiquan F",167,IF(Atletas!L367="Fanziquan F",168,IF(Atletas!L367="Huaquan F",169,IF(Atletas!L367="Hongquan F",170,IF(Atletas!L367="Paochui F",171,IF(Atletas!L367="Piguaquan F",172,IF(Atletas!L367="Shaolinquan F",173,IF(Atletas!L367="Tanglangquan F",174,IF(Atletas!L367="Yinzhaophai F",175,IF(Atletas!L367="Tongbeiquan F",176,IF(Atletas!L367="Wudangquan F",177,IF(Atletas!L367="Outros Estilos F",178,0))))))))))))))))))))))))))))))))))))))))))</f>
        <v/>
      </c>
      <c r="BN371" s="52" t="str">
        <f>IF(Atletas!M367="","",IF(Atletas!W367&lt;&gt;"",10000,0)+(IF(Atletas!B367="Feminino",1000,IF(Atletas!B367="Masculino",2000,""))+(IF(Atletas!M367="Ditangquan A",201,IF(Atletas!M367="Houquan A",202,IF(Atletas!M367="Zuiquan A",203,IF(Atletas!M367="Ditangquan B",204,IF(Atletas!M367="Houquan B",205,IF(Atletas!M367="Zuiquan B",206,IF(Atletas!M367="Ditangquan C",207,IF(Atletas!M367="Houquan C",208,IF(Atletas!M367="Zuiquan C",209,IF(Atletas!M367="Ditangquan D",210,IF(Atletas!M367="Houquan D",211,IF(Atletas!M367="Zuiquan D",212,IF(Atletas!M367="Ditangquan E",213,IF(Atletas!M367="Houquan E",214,IF(Atletas!M367="Zuiquan E",215,IF(Atletas!M367="Ditangquan F",216,IF(Atletas!M367="Houquan F",217,IF(Atletas!M367="Zuiquan F",218,"")))))))))))))))))))))</f>
        <v/>
      </c>
      <c r="BO371" s="52" t="str">
        <f>IF(Atletas!N367="","",IF(Atletas!W367&lt;&gt;"",10000,0)+IF(Atletas!B367="Feminino",1000,IF(Atletas!B367="Masculino",2000,""))+IF(Atletas!N367="Yang A",301,IF(Atletas!N367="Chen A",30,IF(Atletas!N367="Sun A",303,IF(Atletas!N367="Wu A",304,IF(Atletas!N367="Wu-Hao A",305,IF(Atletas!N367="Outro Taijiquan A",306,IF(Atletas!N367="Yang B",307,IF(Atletas!N367="Chen B",308,IF(Atletas!N367="Sun B",309,IF(Atletas!N367="Wu B",310,IF(Atletas!N367="Wu-Hao B",311,IF(Atletas!N367="Outro Taijiquan B",312,IF(Atletas!N367="Yang C",313,IF(Atletas!N367="Chen C",314,IF(Atletas!N367="Sun C",315,IF(Atletas!N367="Wu C",316,IF(Atletas!N367="Wu-Hao C",317,IF(Atletas!N367="Outro Taijiquan C",318,IF(Atletas!N367="Yang D",319,IF(Atletas!N367="Chen D",320,IF(Atletas!N367="Sun D",321,IF(Atletas!N367="Wu D",322,IF(Atletas!N367="Wu-Hao D",323,IF(Atletas!N367="Outro Taijiquan D",324,IF(Atletas!N367="Yang E",325,IF(Atletas!N367="Chen E",326,IF(Atletas!N367="Sun E",327,IF(Atletas!N367="Wu E",328,IF(Atletas!N367="Wu-Hao E",329,IF(Atletas!N367="Outro Taijiquan E",330,IF(Atletas!N367="Yang F",331,IF(Atletas!N367="Chen F",332,IF(Atletas!N367="Sun F",333,IF(Atletas!N367="Wu F",334,IF(Atletas!N367="Wu-Hao F",335,IF(Atletas!N367="Outro Taijiquan F",336,"")))))))))))))))))))))))))))))))))))))</f>
        <v/>
      </c>
      <c r="BP371" s="52" t="str">
        <f>IF(Atletas!O367="","",IF(Atletas!W367&lt;&gt;"",10000,0)+IF(Atletas!B367="Feminino",1000,IF(Atletas!B367="Masculino",2000,""))+IF(OR(Atletas!O367="Yang 26 A",Atletas!O367="Yang 40 A"),401,IF(OR(Atletas!O367="Chen 25 A",Atletas!O367="Chen 36 A",Atletas!O367="Chen 56 A"),402,IF(Atletas!O367="Sun 73 A",403,IF(Atletas!O367="Wu 45 A",404,IF(Atletas!O367="Wu-Hao 46 A",405,IF(OR(Atletas!O367="Taijiquan 16 A",Atletas!O367="Taijiquan 24 A",Atletas!O367="Taijiquan 32 A",Atletas!O367="Taijiquan 42 A"),406,IF(OR(Atletas!O367="Yang 26 B",Atletas!O367="Yang 40 B"),407,IF(OR(Atletas!O367="Chen 25 B",Atletas!O367="Chen 36 B",Atletas!O367="Chen 56 B"),408,IF(Atletas!O367="Sun 73 B",409,IF(Atletas!O367="Wu 45 B",410,IF(Atletas!O367="Wu-Hao 46 B",411,IF(OR(Atletas!O367="Taijiquan 16 B",Atletas!O367="Taijiquan 24 B",Atletas!O367="Taijiquan 32 B",Atletas!O367="Taijiquan 42 B"),412,IF(OR(Atletas!O367="Yang 26 C",Atletas!O367="Yang 40 C"),413,IF(OR(Atletas!O367="Chen 25 C",Atletas!O367="Chen 36 C",Atletas!O367="Chen 56 C"),414,IF(Atletas!O367="Sun 73 C",415,IF(Atletas!O367="Wu 45 C",416,IF(Atletas!O367="Wu-Hao 46 C",417,IF(OR(Atletas!O367="Taijiquan 16 C",Atletas!O367="Taijiquan 24 C",Atletas!O367="Taijiquan 32 C",Atletas!O367="Taijiquan 42 C"),418,0)))))))))))))))))))</f>
        <v/>
      </c>
      <c r="BQ371" s="52" t="str">
        <f>IF(Atletas!O367="","",IF(Atletas!W367&lt;&gt;"",10000,0)+IF(Atletas!B367="Feminino",1000,IF(Atletas!B367="Masculino",2000,""))+IF(OR(Atletas!O367="Yang 26 D",Atletas!O367="Yang 40 D"),419,IF(OR(Atletas!O367="Chen 25 D",Atletas!O367="Chen 36 D",Atletas!O367="Chen 56 D"),420,IF(Atletas!O367="Sun 73 D",421,IF(Atletas!O367="Wu 45 D",422,IF(Atletas!O367="Wu-Hao 46 D",423,IF(OR(Atletas!O367="Taijiquan 16 D",Atletas!O367="Taijiquan 24 D",Atletas!O367="Taijiquan 32 D",Atletas!O367="Taijiquan 42 D"),424,IF(OR(Atletas!O367="Yang 26 E",Atletas!O367="Yang 40 E"),425,IF(OR(Atletas!O367="Chen 25 E",Atletas!O367="Chen 36 E",Atletas!O367="Chen 56 E"),426,IF(Atletas!O367="Sun 73 E",427,IF(Atletas!O367="Wu 45 E",428,IF(Atletas!O367="Wu-Hao 46 E",429,IF(OR(Atletas!O367="Taijiquan 16 E",Atletas!O367="Taijiquan 24 E",Atletas!O367="Taijiquan 32 E",Atletas!O367="Taijiquan 42 E"),430,IF(OR(Atletas!O367="Yang 26 F",Atletas!O367="Yang 40 F"),431,IF(OR(Atletas!O367="Chen 25 F",Atletas!O367="Chen 36 F",Atletas!O367="Chen 56 F"),432,IF(Atletas!O367="Sun 73 F",433,IF(Atletas!O367="Wu 45 F",434,IF(Atletas!O367="Wu-Hao 46 F",435,IF(OR(Atletas!O367="Taijiquan 16 F",Atletas!O367="Taijiquan 24 F",Atletas!O367="Taijiquan 32 F",Atletas!O367="Taijiquan 42 F"),436,0)))))))))))))))))))</f>
        <v/>
      </c>
      <c r="BR371" s="52" t="str">
        <f>IF(Atletas!P367="","",IF(Atletas!W367&lt;&gt;"",10000,0)+IF(Atletas!B367="Feminino",1000,IF(Atletas!B367="Masculino",2000,""))+IF(Atletas!P367="Xingyiquan A",501,IF(Atletas!P367="Baguazhang A",502,IF(Atletas!P367="Outro Estilo Interno A",503,IF(Atletas!P367="Xingyiquan B",504,IF(Atletas!P367="Baguazhang B",505,IF(Atletas!P367="Outro Estilo Interno B",506,IF(Atletas!P367="Xingyiquan C",507,IF(Atletas!P367="Baguazhang C",508,IF(Atletas!P367="Outro Estilo Interno C",509,IF(Atletas!P367="Xingyiquan D",510,IF(Atletas!P367="Baguazhang D",511,IF(Atletas!P367="Outro Estilo Interno D",512,IF(Atletas!P367="Xingyiquan E",513,IF(Atletas!P367="Baguazhang E",514,IF(Atletas!P367="Outro Estilo Interno E",515,IF(Atletas!P367="Xingyiquan F",516,IF(Atletas!P367="Baguazhang F",517,IF(Atletas!P367="Outro Estilo Interno F",518, "")))))))))))))))))))</f>
        <v/>
      </c>
      <c r="BS371" s="52" t="str">
        <f>IF(Atletas!Q367="","",IF(Atletas!W367&lt;&gt;"",10000,0)+IF(Atletas!B367="Feminino",1000,IF(Atletas!B367="Masculino",2000,""))+IF(Atletas!Q367="Dao A",601,IF(Atletas!Q367="Jian A",602,IF(Atletas!Q367="Bishou A",603,IF(Atletas!Q367="Shan A",604,IF(Atletas!Q367="Outra Arma Curta A",605,IF(Atletas!Q367="Dao B",606,IF(Atletas!Q367="Jian B",607,IF(Atletas!Q367="Bishou B",608,IF(Atletas!Q367="Shan B",609,IF(Atletas!Q367="Outra Arma Curta B",610,IF(Atletas!Q367="Dao C",611,IF(Atletas!Q367="Jian C",612,IF(Atletas!Q367="Bishou C",613,IF(Atletas!Q367="Shan C",614,IF(Atletas!Q367="Outra Arma Curta C",615,IF(Atletas!Q367="Dao D",616,IF(Atletas!Q367="Jian D",617,IF(Atletas!Q367="Bishou D",618,IF(Atletas!Q367="Shan D",619,IF(Atletas!Q367="Outra Arma Curta D",620,IF(Atletas!Q367="Dao E",621,IF(Atletas!Q367="Jian E",622,IF(Atletas!Q367="Bishou E",623,IF(Atletas!Q367="Shan E",624,IF(Atletas!Q367="Outra Arma Curta E",625,IF(Atletas!Q367="Dao F",626,IF(Atletas!Q367="Jian F",627,IF(Atletas!Q367="Bishou F",628,IF(Atletas!Q367="Shan F",629,IF(Atletas!Q367="Outra Arma Curta F",630, "")))))))))))))))))))))))))))))))</f>
        <v/>
      </c>
      <c r="BT371" s="52" t="str">
        <f>IF(Atletas!R367="","",IF(Atletas!W367&lt;&gt;"",10000,0)+IF(Atletas!B367="Feminino",1000,IF(Atletas!B367="Masculino",2000,""))+IF(Atletas!R367="Gun A",701,IF(Atletas!R367="Qiang A",702,IF(Atletas!R367="Pudao / Guandao A",703,IF(Atletas!R367="Outra Arma Longa A",704,IF(Atletas!R367="Gun B",705,IF(Atletas!R367="Qiang B",706,IF(Atletas!R367="Pudao / Guandao B",707,IF(Atletas!R367="Outra Arma Longa B",708,IF(Atletas!R367="Gun C",709,IF(Atletas!R367="Qiang C",710,IF(Atletas!R367="Pudao / Guandao C",711,IF(Atletas!R367="Outra Arma Longa C",712,IF(Atletas!R367="Gun D",713,IF(Atletas!R367="Qiang D",714,IF(Atletas!R367="Pudao / Guandao D",715,IF(Atletas!R367="Outra Arma Longa D",716,IF(Atletas!R367="Gun E",717,IF(Atletas!R367="Qiang E",718,IF(Atletas!R367="Pudao / Guandao E",719,IF(Atletas!R367="Outra Arma Longa E",720,IF(Atletas!R367="Gun F",721,IF(Atletas!R367="Qiang F",722,IF(Atletas!R367="Pudao / Guandao F",723,IF(Atletas!R367="Outra Arma Longa F",724,"")))))))))))))))))))))))))</f>
        <v/>
      </c>
      <c r="BU371" s="52" t="str">
        <f>IF(Atletas!S367="","",IF(Atletas!W367&lt;&gt;"",10000,0)+IF(Atletas!B367="Feminino",1000,IF(Atletas!B367="Masculino",2000,""))+IF(Atletas!S367="Arma Dupla A",801,IF(Atletas!S367="Arma Maleável A",802,IF(Atletas!S367="Arma Dupla B",803,IF(Atletas!S367="Arma Maleável B",804,IF(Atletas!S367="Arma Dupla C",805,IF(Atletas!S367="Arma Maleável C",806,IF(Atletas!S367="Arma Dupla D",807,IF(Atletas!S367="Arma Maleável D",808,IF(Atletas!S367="Arma Dupla E",809,IF(Atletas!S367="Arma Maleável E",810,IF(Atletas!S367="Arma Dupla F",811,IF(Atletas!S367="Arma Maleável F",812, "")))))))))))))</f>
        <v/>
      </c>
      <c r="BV371" s="52" t="str">
        <f>IF(Atletas!T367="","",IF(Atletas!W367&lt;&gt;"",10000,0)+IF(Atletas!B367="Feminino",1000,IF(Atletas!B367="Masculino",2000,""))+IF(Atletas!T367="Taijijian Yang A",901,IF(Atletas!T367="Taijijian Chen A",902,IF(Atletas!T367="Taijijian Sun A",903,IF(Atletas!T367="Taijijian Wu A",904,IF(Atletas!T367="Taijijian Wu-Hao A",905,IF(Atletas!T367="Taijijian 32 A",906,IF(Atletas!T367="Taijijian 42 A",907,IF(Atletas!T367="Taijijian Yang B",908,IF(Atletas!T367="Taijijian Chen B",909,IF(Atletas!T367="Taijijian Sun B",910,IF(Atletas!T367="Taijijian Wu B",911,IF(Atletas!T367="Taijijian Wu-Hao B",912,IF(Atletas!T367="Taijijian 32 B",913,IF(Atletas!T367="Taijijian 42 B",914,IF(Atletas!T367="Taijijian Yang C",915,IF(Atletas!T367="Taijijian Chen C",916,IF(Atletas!T367="Taijijian Sun C",917,IF(Atletas!T367="Taijijian Wu C",918,IF(Atletas!T367="Taijijian Wu-Hao C",919,IF(Atletas!T367="Taijijian 32 C",920,IF(Atletas!T367="Taijijian 42 C",921,IF(Atletas!T367="Taijijian Yang D",922,IF(Atletas!T367="Taijijian Chen D",923,IF(Atletas!T367="Taijijian Sun D",924,IF(Atletas!T367="Taijijian Wu D",925,IF(Atletas!T367="Taijijian Wu-Hao D",926,IF(Atletas!T367="Taijijian 32 D",927,IF(Atletas!T367="Taijijian 42 D",928,IF(Atletas!T367="Taijijian Yang E",929,IF(Atletas!T367="Taijijian Chen E",930,IF(Atletas!T367="Taijijian Sun E",931,IF(Atletas!T367="Taijijian Wu E",932,IF(Atletas!T367="Taijijian Wu-Hao E",933,IF(Atletas!T367="Taijijian 32 E",934,IF(Atletas!T367="Taijijian 42 E",935,IF(Atletas!T367="Taijijian Yang F",936,IF(Atletas!T367="Taijijian Chen F",937,IF(Atletas!T367="Taijijian Sun F",938,IF(Atletas!T367="Taijijian Wu F",939,IF(Atletas!T367="Taijijian Wu-Hao F",940,IF(Atletas!T367="Taijijian 32 F",941,IF(Atletas!T367="Taijijian 42 F",942,"")))))))))))))))))))))))))))))))))))))))))))</f>
        <v/>
      </c>
      <c r="BW371" s="52" t="str">
        <f>IF(Atletas!U367="","",IF(Atletas!W367&lt;&gt;"",10000,0)+IF(Atletas!B367="Feminino",1000,IF(Atletas!B367="Masculino",2000,""))+IF(Atletas!T367="Taijijian 42 F",942,IF(Atletas!U367="Taijidao A",943,IF(Atletas!U367="Taijishan A",944,IF(Atletas!U367="Taijiqiang A",945,IF(Atletas!U367="Taijidao B",946,IF(Atletas!U367="Taijishan B",947,IF(Atletas!U367="Taijiqiang B",948,IF(Atletas!U367="Taijidao C",949,IF(Atletas!U367="Taijishan C",950,IF(Atletas!U367="Taijiqiang C",951,IF(Atletas!U367="Taijidao D",952,IF(Atletas!U367="Taijishan D",953,IF(Atletas!U367="Taijiqiang D",954,IF(Atletas!U367="Taijidao E",955,IF(Atletas!U367="Taijishan E",956,IF(Atletas!U367="Taijiqiang E",957,IF(Atletas!U367="Taijidao F",958,IF(Atletas!U367="Taijishan F",959,IF(Atletas!U367="Taijiqiang F",960))))))))))))))))))))</f>
        <v/>
      </c>
      <c r="CB371" s="64" t="str">
        <f>IF(CC371&lt;&gt;"","Taijijian Chen D","")</f>
        <v/>
      </c>
      <c r="CC371" s="64" t="str">
        <f>IF(COUNTIF(BK:BW,11923)&gt;0,COUNTIF(BK:BW,11923),"")</f>
        <v/>
      </c>
      <c r="CD371" s="64" t="str">
        <f>IF(CE371&lt;&gt;"","Taijijian Chen D","")</f>
        <v/>
      </c>
      <c r="CE371" s="64" t="str">
        <f>IF(COUNTIF(BK:BW,12923)&gt;0,COUNTIF(BK:BW,12923),"")</f>
        <v/>
      </c>
      <c r="CF371" s="52" t="str">
        <f xml:space="preserve"> IF(Atletas!V367="","",IF(Atletas!V367="Duilian de Mãos AB - Equipe 1",1,IF(Atletas!V367="Duilian de Mãos AB - Equipe 2",2,IF(Atletas!V367="Duilian de Armas AB - Equipe 1",3,IF(Atletas!V367="Duilian de Armas AB - Equipe 2",4,IF(Atletas!V367="Duilian de Tuishou - Equipe 1",5,IF(Atletas!V367="Duilian de Tuishou - Equipe 2",6,IF(Atletas!V367="Grupo Externo AB - Equipe 1",7,IF(Atletas!V367="Grupo Externo AB - Equipe 2",8,IF(Atletas!V367="Grupo Interno AB - Equipe 1",9,IF(Atletas!V367="Grupo Interno AB - Equipe 2",10,IF(Atletas!V367="Duilian de Mãos CD - Equipe 1",11,IF(Atletas!V367="Duilian de Mãos CD - Equipe 2",12,IF(Atletas!V367="Duilian de Armas CD - Equipe 1",13,IF(Atletas!V367="Duilian de Armas CD - Equipe 2",14,IF(Atletas!V367="Duilian de Tuishou - Equipe 1",15,IF(Atletas!V367="Duilian de Tuishou - Equipe 2",16,IF(Atletas!V367="Grupo Externo CDEF - Equipe 1",17,IF(Atletas!V367="Grupo Externo CDEF - Equipe 2",18,IF(Atletas!V367="Grupo Interno CDEF - Equipe 1",19,IF(Atletas!V367="Grupo Interno CDEF - Equipe 2",20,IF(Atletas!V367="Duilian de Mãos EF - Equipe 1",21,IF(Atletas!V367="Duilian de Mãos EF - Equipe 2",22,IF(Atletas!V367="Duilian de Armas EF - Equipe 1",23,IF(Atletas!V367="Duilian de Armas EF - Equipe 2",24,IF(Atletas!V367="Duilian de Tuishou - Equipe 1",25,IF(Atletas!V367="Duilian de Tuishou - Equipe 2",26,"")))))))))))))))))))))))))))</f>
        <v/>
      </c>
    </row>
    <row r="372" spans="36:84">
      <c r="AJ372" s="46" t="str">
        <f>IF(Atletas!D368="","",IF(Atletas!B368="Feminino",100,IF(Atletas!B368="Masculino",200,""))+(IF(Atletas!D368="Infantil 39kg",1,IF(Atletas!D368="Infantil 42kg",2,IF(Atletas!D368="Infantil 45kg",3,IF(Atletas!D368="Infantil 48kg",4,IF(Atletas!D368="Infantil 52kg",5,IF(Atletas!D368="Infantil 56kg",6,IF(Atletas!D368="Infantil 60kg",7,IF(Atletas!D368="Juvenil 48kg",8,IF(Atletas!D368="Juvenil 52kg",9,IF(Atletas!D368="Juvenil 56kg",10,IF(Atletas!D368="Juvenil 60kg",11,IF(Atletas!D368="Juvenil 65kg",12,IF(Atletas!D368="Juvenil 70kg",13,IF(Atletas!D368="Juvenil 75kg",14,IF(Atletas!D368="Juvenil 80kg",15,IF(Atletas!D368="Adulto 48kg",16,IF(Atletas!D368="Adulto 52kg",17,IF(Atletas!D368="Adulto 56kg",18,IF(Atletas!D368="Adulto 60kg",19,IF(Atletas!D368="Adulto 65kg",20,IF(Atletas!D368="Adulto 70kg",21,IF(Atletas!D368="Adulto 75kg",22,IF(Atletas!D368="Adulto 80kg",23,IF(Atletas!D368="Adulto 85kg",24,IF(Atletas!D368="Adulto 90kg",25,IF(Atletas!D368="Adulto +90kg",26,""))))))))))))))))))))))))))))</f>
        <v/>
      </c>
      <c r="AO372" s="10" t="str">
        <f>IF(Atletas!E368="","",IF(Atletas!B368="Feminino",100,IF(Atletas!B368="Masculino",200,""))+(IF(Atletas!E368="Juvenil 44kg",1,IF(Atletas!E368="Juvenil 48kg",2,IF(Atletas!E368="Juvenil 52kg",3,IF(Atletas!E368="Juvenil 56kg",4,IF(Atletas!E368="Juvenil 60kg",5,IF(Atletas!E368="Juvenil 65kg",6,IF(Atletas!E368="Juvenil 70kg",7,IF(Atletas!E368="Juvenil 75kg",8,IF(Atletas!E368="Juvenil 82kg",9,IF(Atletas!E368="Juvenil 90kg",10,IF(Atletas!E368="Juvenil 100kg",11,IF(Atletas!E368="Adulto 48kg",12,IF(Atletas!E368="Adulto 52kg",13,IF(Atletas!E368="Adulto 56kg",14,IF(Atletas!E368="Adulto 60kg",15,IF(Atletas!E368="Adulto 65kg",16,IF(Atletas!E368="Adulto 70kg",17,IF(Atletas!E368="Adulto 75kg",18,IF(Atletas!E368="Adulto 82kg",19,IF(Atletas!E368="Adulto 90kg",20,IF(Atletas!E368="Adulto 100kg",21,IF(Atletas!E368="Adulto +100kg",22,""))))))))))))))))))))))))</f>
        <v/>
      </c>
      <c r="AT372" s="10" t="str">
        <f>IF(Atletas!F368="","",IF(Atletas!B368="Feminino",100,IF(Atletas!B368="Masculino",200,""))+(IF(Atletas!F368="Adulto 48kg",1,IF(Atletas!F368="Adulto 56kg",2,IF(Atletas!F368="Adulto 65kg",3,IF(Atletas!F368="Adulto 75kg",4,IF(Atletas!F368="Adulto +75kg",5,IF(Atletas!F368="Adulto 52kg",6,IF(Atletas!F368="Adulto 60kg",7,IF(Atletas!F368="Adulto 70kg",8,IF(Atletas!F368="Adulto 80kg",9,IF(Atletas!F368="Adulto 90kg",10,IF(Atletas!F368="Adulto +90kg",11,"")))))))))))))</f>
        <v/>
      </c>
      <c r="AY372" s="46" t="str">
        <f>IF(Atletas!G368="","",IF(Atletas!B368="Feminino",100,IF(Atletas!B368="Masculino",200,""))+(IF(Atletas!G368="Changquan Mirim",1,IF(Atletas!G368="Nanquan Mirim",2,IF(Atletas!G368="Taijiquan Mirim",3,IF(Atletas!G368="Changquan Grupo C",4,IF(Atletas!G368="Nanquan Grupo C",5,IF(Atletas!G368="Taijiquan Grupo C",6,IF(Atletas!G368="Changquan Grupo B",7,IF(Atletas!G368="Nanquan Grupo B",8,IF(Atletas!G368="Taijiquan Grupo B",9,IF(Atletas!G368="Changquan Grupo A",10,IF(Atletas!G368="Nanquan Grupo A",11,IF(Atletas!G368="Taijiquan Grupo A",12,IF(Atletas!G368="Changquan Opcional",13,IF(Atletas!G368="Nanquan Opcional",14,IF(Atletas!G368="Taijiquan Opcional",15,IF(Atletas!G368="Changquan Adulto",16,IF(Atletas!G368="Nanquan Adulto",17,IF(Atletas!G368="Taijiquan Adulto",18,""))))))))))))))))))))</f>
        <v/>
      </c>
      <c r="AZ372" s="46" t="str">
        <f>IF(Atletas!H368="","",IF(Atletas!B368="Feminino",100,IF(Atletas!B368="Masculino",200,""))+(IF(Atletas!H368="Daoshu Mirim",19,IF(Atletas!H368="Jianshu Mirim",20,IF(Atletas!H368="Nandao Mirim",21,IF(Atletas!H368="Taijijian Mirim",22,IF(Atletas!H368="Daoshu Grupo C",23,IF(Atletas!H368="Jianshu Grupo C",24,IF(Atletas!H368="Nandao Grupo C",25,IF(Atletas!H368="Taijijian Grupo C",26,IF(Atletas!H368="Daoshu Grupo B",27,IF(Atletas!H368="Jianshu Grupo B",28,IF(Atletas!H368="Nandao Grupo B",29,IF(Atletas!H368="Taijijian Grupo B",30,IF(Atletas!H368="Daoshu Grupo A",31,IF(Atletas!H368="Jianshu Grupo A",32,IF(Atletas!H368="Nandao Grupo A",33,IF(Atletas!H368="Taijijian Grupo A",34,IF(Atletas!H368="Daoshu Opcional",35,IF(Atletas!H368="Jianshu Opcional",36,IF(Atletas!H368="Nandao Opcional",37,IF(Atletas!H368="Taijijian Opcional",38,IF(Atletas!H368="Daoshu Adulto",39,IF(Atletas!H368="Jianshu Adulto",40,IF(Atletas!H368="Nandao Adulto",41,IF(Atletas!H368="Taijijian Adulto",42,""))))))))))))))))))))))))))</f>
        <v/>
      </c>
      <c r="BA372" s="46" t="str">
        <f>IF(Atletas!I368="","",IF(Atletas!B368="Feminino",100,IF(Atletas!B368="Masculino",200,""))+(IF(Atletas!I368="Gunshu Mirim",43,IF(Atletas!I368="Qiangshu Mirim",44,IF(Atletas!I368="Nangun Mirim",45,IF(Atletas!I368="Gunshu Grupo C",46,IF(Atletas!I368="Qiangshu Grupo C",47,IF(Atletas!I368="Nangun Grupo C",48,IF(Atletas!I368="Gunshu Grupo B",49,IF(Atletas!I368="Qiangshu Grupo B",50,IF(Atletas!I368="Nangun Grupo B",51,IF(Atletas!I368="Gunshu Grupo A",52,IF(Atletas!I368="Qiangshu Grupo A",53,IF(Atletas!I368="Nangun Grupo A",54,IF(Atletas!I368="Gunshu Opcional",55,IF(Atletas!I368="Qiangshu Opcional",56,IF(Atletas!I368="Nangun Opcional",57,IF(Atletas!I368="Gunshu Adulto",58,IF(Atletas!I368="Qiangshu Adulto",59,IF(Atletas!I368="Nangun Adulto",60,""))))))))))))))))))))</f>
        <v/>
      </c>
      <c r="BF372" s="52" t="str">
        <f>IF(Atletas!J368="","",IF(Atletas!B368="Feminino",100,IF(Atletas!B368="Masculino",200,""))+(IF(Atletas!J368="Equipe 1 Grupo B",1,IF(Atletas!J368="Equipe 2 Grupo B",2,IF(Atletas!J368="Equipe 1 Grupo A",3,IF(Atletas!J368="Equipe 2 Grupo A",4,IF(Atletas!J368="Equipe 1 Adulto",5,IF(Atletas!J368="Equipe 2 Adulto",6,""))))))))</f>
        <v/>
      </c>
      <c r="BK372" s="52" t="str">
        <f>IF(Atletas!K368="","",IF(Atletas!W368&lt;&gt;"",10000,0)+(IF(Atletas!B368="Feminino",1000,IF(Atletas!B368="Masculino",2000,""))+IF(Atletas!K368="Choylayfut A",1,IF(Atletas!K368="Hunggar A",2,IF(Atletas!K368="Wuzuquan A",3,IF(Atletas!K368="Wingchun A",4,IF(Atletas!K368="Outra Mão de Sul A",5,IF(Atletas!K368="Choylayfut B",6,IF(Atletas!K368="Hunggar B",7,IF(Atletas!K368="Wuzuquan B",8,IF(Atletas!K368="Wingchun B",9,IF(Atletas!K368="Outra Mão de Sul B",10,IF(Atletas!K368="Choylayfut C",11,IF(Atletas!K368="Hunggar C",12,IF(Atletas!K368="Wuzuquan C",13,IF(Atletas!K368="Wingchun C",14,IF(Atletas!K368="Outra Mão de Sul C",15,IF(Atletas!K368="Choylayfut D",16,IF(Atletas!K368="Hunggar D",17,IF(Atletas!K368="Wuzuquan D",18,IF(Atletas!K368="Wingchun D",19,IF(Atletas!K368="Outra Mão de Sul D",20,IF(Atletas!K368="Choylayfut E",21,IF(Atletas!K368="Hunggar E",22,IF(Atletas!K368="Wuzuquan E",23,IF(Atletas!K368="Wingchun E",24,IF(Atletas!K368="Outra Mão de Sul E",25,IF(Atletas!K368="Choylayfut F",26,IF(Atletas!K368="Hunggar F",27,IF(Atletas!K368="Wuzuquan F",28,IF(Atletas!K368="Wingchun F",29,IF(Atletas!K368="Outra Mão de Sul F",30,""))))))))))))))))))))))))))))))))</f>
        <v/>
      </c>
      <c r="BL372" s="52" t="str">
        <f>IF(Atletas!L368="","",IF(Atletas!W368&lt;&gt;"",10000,0)+(IF(Atletas!B368="Feminino",1000,IF(Atletas!B368="Masculino",2000,""))+(IF(Atletas!L368="Chaquan A",101,IF(Atletas!L368="Emeiquan A",102,IF(Atletas!L368="Fanziquan A",103,IF(Atletas!L368="Huaquan A",104,IF(Atletas!L368="Hongquan A",105,IF(Atletas!L368="Paochui A",106,IF(Atletas!L368="Piguaquan A",107,IF(Atletas!L368="Shaolinquan A",108,IF(Atletas!L368="Tanglangquan A",109,IF(Atletas!L368="Yinzhaophai A",110,IF(Atletas!L368="Tongbeiquan A",111,IF(Atletas!L368="Wudangquan A",112,IF(Atletas!L368="Outros Estilos A",113,IF(Atletas!L368="Chaquan B",114,IF(Atletas!L368="Emeiquan B",115,IF(Atletas!L368="Fanziquan B",116,IF(Atletas!L368="Huaquan B",117,IF(Atletas!L368="Hongquan B",118,IF(Atletas!L368="Paochui B",119,IF(Atletas!L368="Piguaquan B",120,IF(Atletas!L368="Shaolinquan B",121,IF(Atletas!L368="Tanglangquan B",122,IF(Atletas!L368="Yinzhaophai B",123,IF(Atletas!L368="Tongbeiquan B",124,IF(Atletas!L368="Wudangquan B",125,IF(Atletas!L368="Outros Estilos B",126,IF(Atletas!L368="Chaquan C",127,IF(Atletas!L368="Emeiquan C",128,IF(Atletas!L368="Fanziquan C",129,IF(Atletas!L368="Huaquan C",130,IF(Atletas!L368="Hongquan C",131,IF(Atletas!L368="Paochui C",132,IF(Atletas!L368="Piguaquan C",133,IF(Atletas!L368="Shaolinquan C",134,IF(Atletas!L368="Tanglangquan C",135,IF(Atletas!L368="Yinzhaophai C",136,IF(Atletas!L368="Tongbeiquan C",137,IF(Atletas!L368="Wudangquan C",138,IF(Atletas!L368="Outros Estilos C",139,0))))))))))))))))))))))))))))))))))))))))))</f>
        <v/>
      </c>
      <c r="BM372" s="52" t="str">
        <f>IF(Atletas!L368="","",IF(Atletas!W368&lt;&gt;"",10000,0)+(IF(Atletas!B368="Feminino",1000,IF(Atletas!B368="Masculino",2000,""))+(IF(Atletas!L368="Chaquan D",140,IF(Atletas!L368="Emeiquan D",141,IF(Atletas!L368="Fanziquan D",142,IF(Atletas!L368="Huaquan D",143,IF(Atletas!L368="Hongquan D",144,IF(Atletas!L368="Paochui D",145,IF(Atletas!L368="Piguaquan D",146,IF(Atletas!L368="Shaolinquan D",147,IF(Atletas!L368="Tanglangquan D",148,IF(Atletas!L368="Yinzhaophai D",149,IF(Atletas!L368="Tongbeiquan D",150,IF(Atletas!L368="Wudangquan D",151,IF(Atletas!L368="Outros Estilos D",152,IF(Atletas!L368="Chaquan E",153,IF(Atletas!L368="Emeiquan E",154,IF(Atletas!L368="Fanziquan E",155,IF(Atletas!L368="Huaquan E",156,IF(Atletas!L368="Hongquan E",157,IF(Atletas!L368="Paochui E",158,IF(Atletas!L368="Piguaquan E",159,IF(Atletas!L368="Shaolinquan E",160,IF(Atletas!L368="Tanglangquan E",161,IF(Atletas!L368="Yinzhaophai E",162,IF(Atletas!L368="Tongbeiquan E",163,IF(Atletas!L368="Wudangquan E",164,IF(Atletas!L368="Outros Estilos E",165,IF(Atletas!L368="Chaquan F",166,IF(Atletas!L368="Emeiquan F",167,IF(Atletas!L368="Fanziquan F",168,IF(Atletas!L368="Huaquan F",169,IF(Atletas!L368="Hongquan F",170,IF(Atletas!L368="Paochui F",171,IF(Atletas!L368="Piguaquan F",172,IF(Atletas!L368="Shaolinquan F",173,IF(Atletas!L368="Tanglangquan F",174,IF(Atletas!L368="Yinzhaophai F",175,IF(Atletas!L368="Tongbeiquan F",176,IF(Atletas!L368="Wudangquan F",177,IF(Atletas!L368="Outros Estilos F",178,0))))))))))))))))))))))))))))))))))))))))))</f>
        <v/>
      </c>
      <c r="BN372" s="52" t="str">
        <f>IF(Atletas!M368="","",IF(Atletas!W368&lt;&gt;"",10000,0)+(IF(Atletas!B368="Feminino",1000,IF(Atletas!B368="Masculino",2000,""))+(IF(Atletas!M368="Ditangquan A",201,IF(Atletas!M368="Houquan A",202,IF(Atletas!M368="Zuiquan A",203,IF(Atletas!M368="Ditangquan B",204,IF(Atletas!M368="Houquan B",205,IF(Atletas!M368="Zuiquan B",206,IF(Atletas!M368="Ditangquan C",207,IF(Atletas!M368="Houquan C",208,IF(Atletas!M368="Zuiquan C",209,IF(Atletas!M368="Ditangquan D",210,IF(Atletas!M368="Houquan D",211,IF(Atletas!M368="Zuiquan D",212,IF(Atletas!M368="Ditangquan E",213,IF(Atletas!M368="Houquan E",214,IF(Atletas!M368="Zuiquan E",215,IF(Atletas!M368="Ditangquan F",216,IF(Atletas!M368="Houquan F",217,IF(Atletas!M368="Zuiquan F",218,"")))))))))))))))))))))</f>
        <v/>
      </c>
      <c r="BO372" s="52" t="str">
        <f>IF(Atletas!N368="","",IF(Atletas!W368&lt;&gt;"",10000,0)+IF(Atletas!B368="Feminino",1000,IF(Atletas!B368="Masculino",2000,""))+IF(Atletas!N368="Yang A",301,IF(Atletas!N368="Chen A",30,IF(Atletas!N368="Sun A",303,IF(Atletas!N368="Wu A",304,IF(Atletas!N368="Wu-Hao A",305,IF(Atletas!N368="Outro Taijiquan A",306,IF(Atletas!N368="Yang B",307,IF(Atletas!N368="Chen B",308,IF(Atletas!N368="Sun B",309,IF(Atletas!N368="Wu B",310,IF(Atletas!N368="Wu-Hao B",311,IF(Atletas!N368="Outro Taijiquan B",312,IF(Atletas!N368="Yang C",313,IF(Atletas!N368="Chen C",314,IF(Atletas!N368="Sun C",315,IF(Atletas!N368="Wu C",316,IF(Atletas!N368="Wu-Hao C",317,IF(Atletas!N368="Outro Taijiquan C",318,IF(Atletas!N368="Yang D",319,IF(Atletas!N368="Chen D",320,IF(Atletas!N368="Sun D",321,IF(Atletas!N368="Wu D",322,IF(Atletas!N368="Wu-Hao D",323,IF(Atletas!N368="Outro Taijiquan D",324,IF(Atletas!N368="Yang E",325,IF(Atletas!N368="Chen E",326,IF(Atletas!N368="Sun E",327,IF(Atletas!N368="Wu E",328,IF(Atletas!N368="Wu-Hao E",329,IF(Atletas!N368="Outro Taijiquan E",330,IF(Atletas!N368="Yang F",331,IF(Atletas!N368="Chen F",332,IF(Atletas!N368="Sun F",333,IF(Atletas!N368="Wu F",334,IF(Atletas!N368="Wu-Hao F",335,IF(Atletas!N368="Outro Taijiquan F",336,"")))))))))))))))))))))))))))))))))))))</f>
        <v/>
      </c>
      <c r="BP372" s="52" t="str">
        <f>IF(Atletas!O368="","",IF(Atletas!W368&lt;&gt;"",10000,0)+IF(Atletas!B368="Feminino",1000,IF(Atletas!B368="Masculino",2000,""))+IF(OR(Atletas!O368="Yang 26 A",Atletas!O368="Yang 40 A"),401,IF(OR(Atletas!O368="Chen 25 A",Atletas!O368="Chen 36 A",Atletas!O368="Chen 56 A"),402,IF(Atletas!O368="Sun 73 A",403,IF(Atletas!O368="Wu 45 A",404,IF(Atletas!O368="Wu-Hao 46 A",405,IF(OR(Atletas!O368="Taijiquan 16 A",Atletas!O368="Taijiquan 24 A",Atletas!O368="Taijiquan 32 A",Atletas!O368="Taijiquan 42 A"),406,IF(OR(Atletas!O368="Yang 26 B",Atletas!O368="Yang 40 B"),407,IF(OR(Atletas!O368="Chen 25 B",Atletas!O368="Chen 36 B",Atletas!O368="Chen 56 B"),408,IF(Atletas!O368="Sun 73 B",409,IF(Atletas!O368="Wu 45 B",410,IF(Atletas!O368="Wu-Hao 46 B",411,IF(OR(Atletas!O368="Taijiquan 16 B",Atletas!O368="Taijiquan 24 B",Atletas!O368="Taijiquan 32 B",Atletas!O368="Taijiquan 42 B"),412,IF(OR(Atletas!O368="Yang 26 C",Atletas!O368="Yang 40 C"),413,IF(OR(Atletas!O368="Chen 25 C",Atletas!O368="Chen 36 C",Atletas!O368="Chen 56 C"),414,IF(Atletas!O368="Sun 73 C",415,IF(Atletas!O368="Wu 45 C",416,IF(Atletas!O368="Wu-Hao 46 C",417,IF(OR(Atletas!O368="Taijiquan 16 C",Atletas!O368="Taijiquan 24 C",Atletas!O368="Taijiquan 32 C",Atletas!O368="Taijiquan 42 C"),418,0)))))))))))))))))))</f>
        <v/>
      </c>
      <c r="BQ372" s="52" t="str">
        <f>IF(Atletas!O368="","",IF(Atletas!W368&lt;&gt;"",10000,0)+IF(Atletas!B368="Feminino",1000,IF(Atletas!B368="Masculino",2000,""))+IF(OR(Atletas!O368="Yang 26 D",Atletas!O368="Yang 40 D"),419,IF(OR(Atletas!O368="Chen 25 D",Atletas!O368="Chen 36 D",Atletas!O368="Chen 56 D"),420,IF(Atletas!O368="Sun 73 D",421,IF(Atletas!O368="Wu 45 D",422,IF(Atletas!O368="Wu-Hao 46 D",423,IF(OR(Atletas!O368="Taijiquan 16 D",Atletas!O368="Taijiquan 24 D",Atletas!O368="Taijiquan 32 D",Atletas!O368="Taijiquan 42 D"),424,IF(OR(Atletas!O368="Yang 26 E",Atletas!O368="Yang 40 E"),425,IF(OR(Atletas!O368="Chen 25 E",Atletas!O368="Chen 36 E",Atletas!O368="Chen 56 E"),426,IF(Atletas!O368="Sun 73 E",427,IF(Atletas!O368="Wu 45 E",428,IF(Atletas!O368="Wu-Hao 46 E",429,IF(OR(Atletas!O368="Taijiquan 16 E",Atletas!O368="Taijiquan 24 E",Atletas!O368="Taijiquan 32 E",Atletas!O368="Taijiquan 42 E"),430,IF(OR(Atletas!O368="Yang 26 F",Atletas!O368="Yang 40 F"),431,IF(OR(Atletas!O368="Chen 25 F",Atletas!O368="Chen 36 F",Atletas!O368="Chen 56 F"),432,IF(Atletas!O368="Sun 73 F",433,IF(Atletas!O368="Wu 45 F",434,IF(Atletas!O368="Wu-Hao 46 F",435,IF(OR(Atletas!O368="Taijiquan 16 F",Atletas!O368="Taijiquan 24 F",Atletas!O368="Taijiquan 32 F",Atletas!O368="Taijiquan 42 F"),436,0)))))))))))))))))))</f>
        <v/>
      </c>
      <c r="BR372" s="52" t="str">
        <f>IF(Atletas!P368="","",IF(Atletas!W368&lt;&gt;"",10000,0)+IF(Atletas!B368="Feminino",1000,IF(Atletas!B368="Masculino",2000,""))+IF(Atletas!P368="Xingyiquan A",501,IF(Atletas!P368="Baguazhang A",502,IF(Atletas!P368="Outro Estilo Interno A",503,IF(Atletas!P368="Xingyiquan B",504,IF(Atletas!P368="Baguazhang B",505,IF(Atletas!P368="Outro Estilo Interno B",506,IF(Atletas!P368="Xingyiquan C",507,IF(Atletas!P368="Baguazhang C",508,IF(Atletas!P368="Outro Estilo Interno C",509,IF(Atletas!P368="Xingyiquan D",510,IF(Atletas!P368="Baguazhang D",511,IF(Atletas!P368="Outro Estilo Interno D",512,IF(Atletas!P368="Xingyiquan E",513,IF(Atletas!P368="Baguazhang E",514,IF(Atletas!P368="Outro Estilo Interno E",515,IF(Atletas!P368="Xingyiquan F",516,IF(Atletas!P368="Baguazhang F",517,IF(Atletas!P368="Outro Estilo Interno F",518, "")))))))))))))))))))</f>
        <v/>
      </c>
      <c r="BS372" s="52" t="str">
        <f>IF(Atletas!Q368="","",IF(Atletas!W368&lt;&gt;"",10000,0)+IF(Atletas!B368="Feminino",1000,IF(Atletas!B368="Masculino",2000,""))+IF(Atletas!Q368="Dao A",601,IF(Atletas!Q368="Jian A",602,IF(Atletas!Q368="Bishou A",603,IF(Atletas!Q368="Shan A",604,IF(Atletas!Q368="Outra Arma Curta A",605,IF(Atletas!Q368="Dao B",606,IF(Atletas!Q368="Jian B",607,IF(Atletas!Q368="Bishou B",608,IF(Atletas!Q368="Shan B",609,IF(Atletas!Q368="Outra Arma Curta B",610,IF(Atletas!Q368="Dao C",611,IF(Atletas!Q368="Jian C",612,IF(Atletas!Q368="Bishou C",613,IF(Atletas!Q368="Shan C",614,IF(Atletas!Q368="Outra Arma Curta C",615,IF(Atletas!Q368="Dao D",616,IF(Atletas!Q368="Jian D",617,IF(Atletas!Q368="Bishou D",618,IF(Atletas!Q368="Shan D",619,IF(Atletas!Q368="Outra Arma Curta D",620,IF(Atletas!Q368="Dao E",621,IF(Atletas!Q368="Jian E",622,IF(Atletas!Q368="Bishou E",623,IF(Atletas!Q368="Shan E",624,IF(Atletas!Q368="Outra Arma Curta E",625,IF(Atletas!Q368="Dao F",626,IF(Atletas!Q368="Jian F",627,IF(Atletas!Q368="Bishou F",628,IF(Atletas!Q368="Shan F",629,IF(Atletas!Q368="Outra Arma Curta F",630, "")))))))))))))))))))))))))))))))</f>
        <v/>
      </c>
      <c r="BT372" s="52" t="str">
        <f>IF(Atletas!R368="","",IF(Atletas!W368&lt;&gt;"",10000,0)+IF(Atletas!B368="Feminino",1000,IF(Atletas!B368="Masculino",2000,""))+IF(Atletas!R368="Gun A",701,IF(Atletas!R368="Qiang A",702,IF(Atletas!R368="Pudao / Guandao A",703,IF(Atletas!R368="Outra Arma Longa A",704,IF(Atletas!R368="Gun B",705,IF(Atletas!R368="Qiang B",706,IF(Atletas!R368="Pudao / Guandao B",707,IF(Atletas!R368="Outra Arma Longa B",708,IF(Atletas!R368="Gun C",709,IF(Atletas!R368="Qiang C",710,IF(Atletas!R368="Pudao / Guandao C",711,IF(Atletas!R368="Outra Arma Longa C",712,IF(Atletas!R368="Gun D",713,IF(Atletas!R368="Qiang D",714,IF(Atletas!R368="Pudao / Guandao D",715,IF(Atletas!R368="Outra Arma Longa D",716,IF(Atletas!R368="Gun E",717,IF(Atletas!R368="Qiang E",718,IF(Atletas!R368="Pudao / Guandao E",719,IF(Atletas!R368="Outra Arma Longa E",720,IF(Atletas!R368="Gun F",721,IF(Atletas!R368="Qiang F",722,IF(Atletas!R368="Pudao / Guandao F",723,IF(Atletas!R368="Outra Arma Longa F",724,"")))))))))))))))))))))))))</f>
        <v/>
      </c>
      <c r="BU372" s="52" t="str">
        <f>IF(Atletas!S368="","",IF(Atletas!W368&lt;&gt;"",10000,0)+IF(Atletas!B368="Feminino",1000,IF(Atletas!B368="Masculino",2000,""))+IF(Atletas!S368="Arma Dupla A",801,IF(Atletas!S368="Arma Maleável A",802,IF(Atletas!S368="Arma Dupla B",803,IF(Atletas!S368="Arma Maleável B",804,IF(Atletas!S368="Arma Dupla C",805,IF(Atletas!S368="Arma Maleável C",806,IF(Atletas!S368="Arma Dupla D",807,IF(Atletas!S368="Arma Maleável D",808,IF(Atletas!S368="Arma Dupla E",809,IF(Atletas!S368="Arma Maleável E",810,IF(Atletas!S368="Arma Dupla F",811,IF(Atletas!S368="Arma Maleável F",812, "")))))))))))))</f>
        <v/>
      </c>
      <c r="BV372" s="52" t="str">
        <f>IF(Atletas!T368="","",IF(Atletas!W368&lt;&gt;"",10000,0)+IF(Atletas!B368="Feminino",1000,IF(Atletas!B368="Masculino",2000,""))+IF(Atletas!T368="Taijijian Yang A",901,IF(Atletas!T368="Taijijian Chen A",902,IF(Atletas!T368="Taijijian Sun A",903,IF(Atletas!T368="Taijijian Wu A",904,IF(Atletas!T368="Taijijian Wu-Hao A",905,IF(Atletas!T368="Taijijian 32 A",906,IF(Atletas!T368="Taijijian 42 A",907,IF(Atletas!T368="Taijijian Yang B",908,IF(Atletas!T368="Taijijian Chen B",909,IF(Atletas!T368="Taijijian Sun B",910,IF(Atletas!T368="Taijijian Wu B",911,IF(Atletas!T368="Taijijian Wu-Hao B",912,IF(Atletas!T368="Taijijian 32 B",913,IF(Atletas!T368="Taijijian 42 B",914,IF(Atletas!T368="Taijijian Yang C",915,IF(Atletas!T368="Taijijian Chen C",916,IF(Atletas!T368="Taijijian Sun C",917,IF(Atletas!T368="Taijijian Wu C",918,IF(Atletas!T368="Taijijian Wu-Hao C",919,IF(Atletas!T368="Taijijian 32 C",920,IF(Atletas!T368="Taijijian 42 C",921,IF(Atletas!T368="Taijijian Yang D",922,IF(Atletas!T368="Taijijian Chen D",923,IF(Atletas!T368="Taijijian Sun D",924,IF(Atletas!T368="Taijijian Wu D",925,IF(Atletas!T368="Taijijian Wu-Hao D",926,IF(Atletas!T368="Taijijian 32 D",927,IF(Atletas!T368="Taijijian 42 D",928,IF(Atletas!T368="Taijijian Yang E",929,IF(Atletas!T368="Taijijian Chen E",930,IF(Atletas!T368="Taijijian Sun E",931,IF(Atletas!T368="Taijijian Wu E",932,IF(Atletas!T368="Taijijian Wu-Hao E",933,IF(Atletas!T368="Taijijian 32 E",934,IF(Atletas!T368="Taijijian 42 E",935,IF(Atletas!T368="Taijijian Yang F",936,IF(Atletas!T368="Taijijian Chen F",937,IF(Atletas!T368="Taijijian Sun F",938,IF(Atletas!T368="Taijijian Wu F",939,IF(Atletas!T368="Taijijian Wu-Hao F",940,IF(Atletas!T368="Taijijian 32 F",941,IF(Atletas!T368="Taijijian 42 F",942,"")))))))))))))))))))))))))))))))))))))))))))</f>
        <v/>
      </c>
      <c r="BW372" s="52" t="str">
        <f>IF(Atletas!U368="","",IF(Atletas!W368&lt;&gt;"",10000,0)+IF(Atletas!B368="Feminino",1000,IF(Atletas!B368="Masculino",2000,""))+IF(Atletas!T368="Taijijian 42 F",942,IF(Atletas!U368="Taijidao A",943,IF(Atletas!U368="Taijishan A",944,IF(Atletas!U368="Taijiqiang A",945,IF(Atletas!U368="Taijidao B",946,IF(Atletas!U368="Taijishan B",947,IF(Atletas!U368="Taijiqiang B",948,IF(Atletas!U368="Taijidao C",949,IF(Atletas!U368="Taijishan C",950,IF(Atletas!U368="Taijiqiang C",951,IF(Atletas!U368="Taijidao D",952,IF(Atletas!U368="Taijishan D",953,IF(Atletas!U368="Taijiqiang D",954,IF(Atletas!U368="Taijidao E",955,IF(Atletas!U368="Taijishan E",956,IF(Atletas!U368="Taijiqiang E",957,IF(Atletas!U368="Taijidao F",958,IF(Atletas!U368="Taijishan F",959,IF(Atletas!U368="Taijiqiang F",960))))))))))))))))))))</f>
        <v/>
      </c>
      <c r="CB372" s="64" t="str">
        <f>IF(CC372&lt;&gt;"","Taijijian Sun D","")</f>
        <v/>
      </c>
      <c r="CC372" s="64" t="str">
        <f>IF(COUNTIF(BK:BW,11924)&gt;0,COUNTIF(BK:BW,11924),"")</f>
        <v/>
      </c>
      <c r="CD372" s="64" t="str">
        <f>IF(CE372&lt;&gt;"","Taijijian Sun D","")</f>
        <v/>
      </c>
      <c r="CE372" s="64" t="str">
        <f>IF(COUNTIF(BK:BW,12924)&gt;0,COUNTIF(BK:BW,12924),"")</f>
        <v/>
      </c>
      <c r="CF372" s="52" t="str">
        <f xml:space="preserve"> IF(Atletas!V368="","",IF(Atletas!V368="Duilian de Mãos AB - Equipe 1",1,IF(Atletas!V368="Duilian de Mãos AB - Equipe 2",2,IF(Atletas!V368="Duilian de Armas AB - Equipe 1",3,IF(Atletas!V368="Duilian de Armas AB - Equipe 2",4,IF(Atletas!V368="Duilian de Tuishou - Equipe 1",5,IF(Atletas!V368="Duilian de Tuishou - Equipe 2",6,IF(Atletas!V368="Grupo Externo AB - Equipe 1",7,IF(Atletas!V368="Grupo Externo AB - Equipe 2",8,IF(Atletas!V368="Grupo Interno AB - Equipe 1",9,IF(Atletas!V368="Grupo Interno AB - Equipe 2",10,IF(Atletas!V368="Duilian de Mãos CD - Equipe 1",11,IF(Atletas!V368="Duilian de Mãos CD - Equipe 2",12,IF(Atletas!V368="Duilian de Armas CD - Equipe 1",13,IF(Atletas!V368="Duilian de Armas CD - Equipe 2",14,IF(Atletas!V368="Duilian de Tuishou - Equipe 1",15,IF(Atletas!V368="Duilian de Tuishou - Equipe 2",16,IF(Atletas!V368="Grupo Externo CDEF - Equipe 1",17,IF(Atletas!V368="Grupo Externo CDEF - Equipe 2",18,IF(Atletas!V368="Grupo Interno CDEF - Equipe 1",19,IF(Atletas!V368="Grupo Interno CDEF - Equipe 2",20,IF(Atletas!V368="Duilian de Mãos EF - Equipe 1",21,IF(Atletas!V368="Duilian de Mãos EF - Equipe 2",22,IF(Atletas!V368="Duilian de Armas EF - Equipe 1",23,IF(Atletas!V368="Duilian de Armas EF - Equipe 2",24,IF(Atletas!V368="Duilian de Tuishou - Equipe 1",25,IF(Atletas!V368="Duilian de Tuishou - Equipe 2",26,"")))))))))))))))))))))))))))</f>
        <v/>
      </c>
    </row>
    <row r="373" spans="36:84">
      <c r="AJ373" s="46" t="str">
        <f>IF(Atletas!D369="","",IF(Atletas!B369="Feminino",100,IF(Atletas!B369="Masculino",200,""))+(IF(Atletas!D369="Infantil 39kg",1,IF(Atletas!D369="Infantil 42kg",2,IF(Atletas!D369="Infantil 45kg",3,IF(Atletas!D369="Infantil 48kg",4,IF(Atletas!D369="Infantil 52kg",5,IF(Atletas!D369="Infantil 56kg",6,IF(Atletas!D369="Infantil 60kg",7,IF(Atletas!D369="Juvenil 48kg",8,IF(Atletas!D369="Juvenil 52kg",9,IF(Atletas!D369="Juvenil 56kg",10,IF(Atletas!D369="Juvenil 60kg",11,IF(Atletas!D369="Juvenil 65kg",12,IF(Atletas!D369="Juvenil 70kg",13,IF(Atletas!D369="Juvenil 75kg",14,IF(Atletas!D369="Juvenil 80kg",15,IF(Atletas!D369="Adulto 48kg",16,IF(Atletas!D369="Adulto 52kg",17,IF(Atletas!D369="Adulto 56kg",18,IF(Atletas!D369="Adulto 60kg",19,IF(Atletas!D369="Adulto 65kg",20,IF(Atletas!D369="Adulto 70kg",21,IF(Atletas!D369="Adulto 75kg",22,IF(Atletas!D369="Adulto 80kg",23,IF(Atletas!D369="Adulto 85kg",24,IF(Atletas!D369="Adulto 90kg",25,IF(Atletas!D369="Adulto +90kg",26,""))))))))))))))))))))))))))))</f>
        <v/>
      </c>
      <c r="AO373" s="10" t="str">
        <f>IF(Atletas!E369="","",IF(Atletas!B369="Feminino",100,IF(Atletas!B369="Masculino",200,""))+(IF(Atletas!E369="Juvenil 44kg",1,IF(Atletas!E369="Juvenil 48kg",2,IF(Atletas!E369="Juvenil 52kg",3,IF(Atletas!E369="Juvenil 56kg",4,IF(Atletas!E369="Juvenil 60kg",5,IF(Atletas!E369="Juvenil 65kg",6,IF(Atletas!E369="Juvenil 70kg",7,IF(Atletas!E369="Juvenil 75kg",8,IF(Atletas!E369="Juvenil 82kg",9,IF(Atletas!E369="Juvenil 90kg",10,IF(Atletas!E369="Juvenil 100kg",11,IF(Atletas!E369="Adulto 48kg",12,IF(Atletas!E369="Adulto 52kg",13,IF(Atletas!E369="Adulto 56kg",14,IF(Atletas!E369="Adulto 60kg",15,IF(Atletas!E369="Adulto 65kg",16,IF(Atletas!E369="Adulto 70kg",17,IF(Atletas!E369="Adulto 75kg",18,IF(Atletas!E369="Adulto 82kg",19,IF(Atletas!E369="Adulto 90kg",20,IF(Atletas!E369="Adulto 100kg",21,IF(Atletas!E369="Adulto +100kg",22,""))))))))))))))))))))))))</f>
        <v/>
      </c>
      <c r="AT373" s="10" t="str">
        <f>IF(Atletas!F369="","",IF(Atletas!B369="Feminino",100,IF(Atletas!B369="Masculino",200,""))+(IF(Atletas!F369="Adulto 48kg",1,IF(Atletas!F369="Adulto 56kg",2,IF(Atletas!F369="Adulto 65kg",3,IF(Atletas!F369="Adulto 75kg",4,IF(Atletas!F369="Adulto +75kg",5,IF(Atletas!F369="Adulto 52kg",6,IF(Atletas!F369="Adulto 60kg",7,IF(Atletas!F369="Adulto 70kg",8,IF(Atletas!F369="Adulto 80kg",9,IF(Atletas!F369="Adulto 90kg",10,IF(Atletas!F369="Adulto +90kg",11,"")))))))))))))</f>
        <v/>
      </c>
      <c r="AY373" s="46" t="str">
        <f>IF(Atletas!G369="","",IF(Atletas!B369="Feminino",100,IF(Atletas!B369="Masculino",200,""))+(IF(Atletas!G369="Changquan Mirim",1,IF(Atletas!G369="Nanquan Mirim",2,IF(Atletas!G369="Taijiquan Mirim",3,IF(Atletas!G369="Changquan Grupo C",4,IF(Atletas!G369="Nanquan Grupo C",5,IF(Atletas!G369="Taijiquan Grupo C",6,IF(Atletas!G369="Changquan Grupo B",7,IF(Atletas!G369="Nanquan Grupo B",8,IF(Atletas!G369="Taijiquan Grupo B",9,IF(Atletas!G369="Changquan Grupo A",10,IF(Atletas!G369="Nanquan Grupo A",11,IF(Atletas!G369="Taijiquan Grupo A",12,IF(Atletas!G369="Changquan Opcional",13,IF(Atletas!G369="Nanquan Opcional",14,IF(Atletas!G369="Taijiquan Opcional",15,IF(Atletas!G369="Changquan Adulto",16,IF(Atletas!G369="Nanquan Adulto",17,IF(Atletas!G369="Taijiquan Adulto",18,""))))))))))))))))))))</f>
        <v/>
      </c>
      <c r="AZ373" s="46" t="str">
        <f>IF(Atletas!H369="","",IF(Atletas!B369="Feminino",100,IF(Atletas!B369="Masculino",200,""))+(IF(Atletas!H369="Daoshu Mirim",19,IF(Atletas!H369="Jianshu Mirim",20,IF(Atletas!H369="Nandao Mirim",21,IF(Atletas!H369="Taijijian Mirim",22,IF(Atletas!H369="Daoshu Grupo C",23,IF(Atletas!H369="Jianshu Grupo C",24,IF(Atletas!H369="Nandao Grupo C",25,IF(Atletas!H369="Taijijian Grupo C",26,IF(Atletas!H369="Daoshu Grupo B",27,IF(Atletas!H369="Jianshu Grupo B",28,IF(Atletas!H369="Nandao Grupo B",29,IF(Atletas!H369="Taijijian Grupo B",30,IF(Atletas!H369="Daoshu Grupo A",31,IF(Atletas!H369="Jianshu Grupo A",32,IF(Atletas!H369="Nandao Grupo A",33,IF(Atletas!H369="Taijijian Grupo A",34,IF(Atletas!H369="Daoshu Opcional",35,IF(Atletas!H369="Jianshu Opcional",36,IF(Atletas!H369="Nandao Opcional",37,IF(Atletas!H369="Taijijian Opcional",38,IF(Atletas!H369="Daoshu Adulto",39,IF(Atletas!H369="Jianshu Adulto",40,IF(Atletas!H369="Nandao Adulto",41,IF(Atletas!H369="Taijijian Adulto",42,""))))))))))))))))))))))))))</f>
        <v/>
      </c>
      <c r="BA373" s="46" t="str">
        <f>IF(Atletas!I369="","",IF(Atletas!B369="Feminino",100,IF(Atletas!B369="Masculino",200,""))+(IF(Atletas!I369="Gunshu Mirim",43,IF(Atletas!I369="Qiangshu Mirim",44,IF(Atletas!I369="Nangun Mirim",45,IF(Atletas!I369="Gunshu Grupo C",46,IF(Atletas!I369="Qiangshu Grupo C",47,IF(Atletas!I369="Nangun Grupo C",48,IF(Atletas!I369="Gunshu Grupo B",49,IF(Atletas!I369="Qiangshu Grupo B",50,IF(Atletas!I369="Nangun Grupo B",51,IF(Atletas!I369="Gunshu Grupo A",52,IF(Atletas!I369="Qiangshu Grupo A",53,IF(Atletas!I369="Nangun Grupo A",54,IF(Atletas!I369="Gunshu Opcional",55,IF(Atletas!I369="Qiangshu Opcional",56,IF(Atletas!I369="Nangun Opcional",57,IF(Atletas!I369="Gunshu Adulto",58,IF(Atletas!I369="Qiangshu Adulto",59,IF(Atletas!I369="Nangun Adulto",60,""))))))))))))))))))))</f>
        <v/>
      </c>
      <c r="BF373" s="52" t="str">
        <f>IF(Atletas!J369="","",IF(Atletas!B369="Feminino",100,IF(Atletas!B369="Masculino",200,""))+(IF(Atletas!J369="Equipe 1 Grupo B",1,IF(Atletas!J369="Equipe 2 Grupo B",2,IF(Atletas!J369="Equipe 1 Grupo A",3,IF(Atletas!J369="Equipe 2 Grupo A",4,IF(Atletas!J369="Equipe 1 Adulto",5,IF(Atletas!J369="Equipe 2 Adulto",6,""))))))))</f>
        <v/>
      </c>
      <c r="BK373" s="52" t="str">
        <f>IF(Atletas!K369="","",IF(Atletas!W369&lt;&gt;"",10000,0)+(IF(Atletas!B369="Feminino",1000,IF(Atletas!B369="Masculino",2000,""))+IF(Atletas!K369="Choylayfut A",1,IF(Atletas!K369="Hunggar A",2,IF(Atletas!K369="Wuzuquan A",3,IF(Atletas!K369="Wingchun A",4,IF(Atletas!K369="Outra Mão de Sul A",5,IF(Atletas!K369="Choylayfut B",6,IF(Atletas!K369="Hunggar B",7,IF(Atletas!K369="Wuzuquan B",8,IF(Atletas!K369="Wingchun B",9,IF(Atletas!K369="Outra Mão de Sul B",10,IF(Atletas!K369="Choylayfut C",11,IF(Atletas!K369="Hunggar C",12,IF(Atletas!K369="Wuzuquan C",13,IF(Atletas!K369="Wingchun C",14,IF(Atletas!K369="Outra Mão de Sul C",15,IF(Atletas!K369="Choylayfut D",16,IF(Atletas!K369="Hunggar D",17,IF(Atletas!K369="Wuzuquan D",18,IF(Atletas!K369="Wingchun D",19,IF(Atletas!K369="Outra Mão de Sul D",20,IF(Atletas!K369="Choylayfut E",21,IF(Atletas!K369="Hunggar E",22,IF(Atletas!K369="Wuzuquan E",23,IF(Atletas!K369="Wingchun E",24,IF(Atletas!K369="Outra Mão de Sul E",25,IF(Atletas!K369="Choylayfut F",26,IF(Atletas!K369="Hunggar F",27,IF(Atletas!K369="Wuzuquan F",28,IF(Atletas!K369="Wingchun F",29,IF(Atletas!K369="Outra Mão de Sul F",30,""))))))))))))))))))))))))))))))))</f>
        <v/>
      </c>
      <c r="BL373" s="52" t="str">
        <f>IF(Atletas!L369="","",IF(Atletas!W369&lt;&gt;"",10000,0)+(IF(Atletas!B369="Feminino",1000,IF(Atletas!B369="Masculino",2000,""))+(IF(Atletas!L369="Chaquan A",101,IF(Atletas!L369="Emeiquan A",102,IF(Atletas!L369="Fanziquan A",103,IF(Atletas!L369="Huaquan A",104,IF(Atletas!L369="Hongquan A",105,IF(Atletas!L369="Paochui A",106,IF(Atletas!L369="Piguaquan A",107,IF(Atletas!L369="Shaolinquan A",108,IF(Atletas!L369="Tanglangquan A",109,IF(Atletas!L369="Yinzhaophai A",110,IF(Atletas!L369="Tongbeiquan A",111,IF(Atletas!L369="Wudangquan A",112,IF(Atletas!L369="Outros Estilos A",113,IF(Atletas!L369="Chaquan B",114,IF(Atletas!L369="Emeiquan B",115,IF(Atletas!L369="Fanziquan B",116,IF(Atletas!L369="Huaquan B",117,IF(Atletas!L369="Hongquan B",118,IF(Atletas!L369="Paochui B",119,IF(Atletas!L369="Piguaquan B",120,IF(Atletas!L369="Shaolinquan B",121,IF(Atletas!L369="Tanglangquan B",122,IF(Atletas!L369="Yinzhaophai B",123,IF(Atletas!L369="Tongbeiquan B",124,IF(Atletas!L369="Wudangquan B",125,IF(Atletas!L369="Outros Estilos B",126,IF(Atletas!L369="Chaquan C",127,IF(Atletas!L369="Emeiquan C",128,IF(Atletas!L369="Fanziquan C",129,IF(Atletas!L369="Huaquan C",130,IF(Atletas!L369="Hongquan C",131,IF(Atletas!L369="Paochui C",132,IF(Atletas!L369="Piguaquan C",133,IF(Atletas!L369="Shaolinquan C",134,IF(Atletas!L369="Tanglangquan C",135,IF(Atletas!L369="Yinzhaophai C",136,IF(Atletas!L369="Tongbeiquan C",137,IF(Atletas!L369="Wudangquan C",138,IF(Atletas!L369="Outros Estilos C",139,0))))))))))))))))))))))))))))))))))))))))))</f>
        <v/>
      </c>
      <c r="BM373" s="52" t="str">
        <f>IF(Atletas!L369="","",IF(Atletas!W369&lt;&gt;"",10000,0)+(IF(Atletas!B369="Feminino",1000,IF(Atletas!B369="Masculino",2000,""))+(IF(Atletas!L369="Chaquan D",140,IF(Atletas!L369="Emeiquan D",141,IF(Atletas!L369="Fanziquan D",142,IF(Atletas!L369="Huaquan D",143,IF(Atletas!L369="Hongquan D",144,IF(Atletas!L369="Paochui D",145,IF(Atletas!L369="Piguaquan D",146,IF(Atletas!L369="Shaolinquan D",147,IF(Atletas!L369="Tanglangquan D",148,IF(Atletas!L369="Yinzhaophai D",149,IF(Atletas!L369="Tongbeiquan D",150,IF(Atletas!L369="Wudangquan D",151,IF(Atletas!L369="Outros Estilos D",152,IF(Atletas!L369="Chaquan E",153,IF(Atletas!L369="Emeiquan E",154,IF(Atletas!L369="Fanziquan E",155,IF(Atletas!L369="Huaquan E",156,IF(Atletas!L369="Hongquan E",157,IF(Atletas!L369="Paochui E",158,IF(Atletas!L369="Piguaquan E",159,IF(Atletas!L369="Shaolinquan E",160,IF(Atletas!L369="Tanglangquan E",161,IF(Atletas!L369="Yinzhaophai E",162,IF(Atletas!L369="Tongbeiquan E",163,IF(Atletas!L369="Wudangquan E",164,IF(Atletas!L369="Outros Estilos E",165,IF(Atletas!L369="Chaquan F",166,IF(Atletas!L369="Emeiquan F",167,IF(Atletas!L369="Fanziquan F",168,IF(Atletas!L369="Huaquan F",169,IF(Atletas!L369="Hongquan F",170,IF(Atletas!L369="Paochui F",171,IF(Atletas!L369="Piguaquan F",172,IF(Atletas!L369="Shaolinquan F",173,IF(Atletas!L369="Tanglangquan F",174,IF(Atletas!L369="Yinzhaophai F",175,IF(Atletas!L369="Tongbeiquan F",176,IF(Atletas!L369="Wudangquan F",177,IF(Atletas!L369="Outros Estilos F",178,0))))))))))))))))))))))))))))))))))))))))))</f>
        <v/>
      </c>
      <c r="BN373" s="52" t="str">
        <f>IF(Atletas!M369="","",IF(Atletas!W369&lt;&gt;"",10000,0)+(IF(Atletas!B369="Feminino",1000,IF(Atletas!B369="Masculino",2000,""))+(IF(Atletas!M369="Ditangquan A",201,IF(Atletas!M369="Houquan A",202,IF(Atletas!M369="Zuiquan A",203,IF(Atletas!M369="Ditangquan B",204,IF(Atletas!M369="Houquan B",205,IF(Atletas!M369="Zuiquan B",206,IF(Atletas!M369="Ditangquan C",207,IF(Atletas!M369="Houquan C",208,IF(Atletas!M369="Zuiquan C",209,IF(Atletas!M369="Ditangquan D",210,IF(Atletas!M369="Houquan D",211,IF(Atletas!M369="Zuiquan D",212,IF(Atletas!M369="Ditangquan E",213,IF(Atletas!M369="Houquan E",214,IF(Atletas!M369="Zuiquan E",215,IF(Atletas!M369="Ditangquan F",216,IF(Atletas!M369="Houquan F",217,IF(Atletas!M369="Zuiquan F",218,"")))))))))))))))))))))</f>
        <v/>
      </c>
      <c r="BO373" s="52" t="str">
        <f>IF(Atletas!N369="","",IF(Atletas!W369&lt;&gt;"",10000,0)+IF(Atletas!B369="Feminino",1000,IF(Atletas!B369="Masculino",2000,""))+IF(Atletas!N369="Yang A",301,IF(Atletas!N369="Chen A",30,IF(Atletas!N369="Sun A",303,IF(Atletas!N369="Wu A",304,IF(Atletas!N369="Wu-Hao A",305,IF(Atletas!N369="Outro Taijiquan A",306,IF(Atletas!N369="Yang B",307,IF(Atletas!N369="Chen B",308,IF(Atletas!N369="Sun B",309,IF(Atletas!N369="Wu B",310,IF(Atletas!N369="Wu-Hao B",311,IF(Atletas!N369="Outro Taijiquan B",312,IF(Atletas!N369="Yang C",313,IF(Atletas!N369="Chen C",314,IF(Atletas!N369="Sun C",315,IF(Atletas!N369="Wu C",316,IF(Atletas!N369="Wu-Hao C",317,IF(Atletas!N369="Outro Taijiquan C",318,IF(Atletas!N369="Yang D",319,IF(Atletas!N369="Chen D",320,IF(Atletas!N369="Sun D",321,IF(Atletas!N369="Wu D",322,IF(Atletas!N369="Wu-Hao D",323,IF(Atletas!N369="Outro Taijiquan D",324,IF(Atletas!N369="Yang E",325,IF(Atletas!N369="Chen E",326,IF(Atletas!N369="Sun E",327,IF(Atletas!N369="Wu E",328,IF(Atletas!N369="Wu-Hao E",329,IF(Atletas!N369="Outro Taijiquan E",330,IF(Atletas!N369="Yang F",331,IF(Atletas!N369="Chen F",332,IF(Atletas!N369="Sun F",333,IF(Atletas!N369="Wu F",334,IF(Atletas!N369="Wu-Hao F",335,IF(Atletas!N369="Outro Taijiquan F",336,"")))))))))))))))))))))))))))))))))))))</f>
        <v/>
      </c>
      <c r="BP373" s="52" t="str">
        <f>IF(Atletas!O369="","",IF(Atletas!W369&lt;&gt;"",10000,0)+IF(Atletas!B369="Feminino",1000,IF(Atletas!B369="Masculino",2000,""))+IF(OR(Atletas!O369="Yang 26 A",Atletas!O369="Yang 40 A"),401,IF(OR(Atletas!O369="Chen 25 A",Atletas!O369="Chen 36 A",Atletas!O369="Chen 56 A"),402,IF(Atletas!O369="Sun 73 A",403,IF(Atletas!O369="Wu 45 A",404,IF(Atletas!O369="Wu-Hao 46 A",405,IF(OR(Atletas!O369="Taijiquan 16 A",Atletas!O369="Taijiquan 24 A",Atletas!O369="Taijiquan 32 A",Atletas!O369="Taijiquan 42 A"),406,IF(OR(Atletas!O369="Yang 26 B",Atletas!O369="Yang 40 B"),407,IF(OR(Atletas!O369="Chen 25 B",Atletas!O369="Chen 36 B",Atletas!O369="Chen 56 B"),408,IF(Atletas!O369="Sun 73 B",409,IF(Atletas!O369="Wu 45 B",410,IF(Atletas!O369="Wu-Hao 46 B",411,IF(OR(Atletas!O369="Taijiquan 16 B",Atletas!O369="Taijiquan 24 B",Atletas!O369="Taijiquan 32 B",Atletas!O369="Taijiquan 42 B"),412,IF(OR(Atletas!O369="Yang 26 C",Atletas!O369="Yang 40 C"),413,IF(OR(Atletas!O369="Chen 25 C",Atletas!O369="Chen 36 C",Atletas!O369="Chen 56 C"),414,IF(Atletas!O369="Sun 73 C",415,IF(Atletas!O369="Wu 45 C",416,IF(Atletas!O369="Wu-Hao 46 C",417,IF(OR(Atletas!O369="Taijiquan 16 C",Atletas!O369="Taijiquan 24 C",Atletas!O369="Taijiquan 32 C",Atletas!O369="Taijiquan 42 C"),418,0)))))))))))))))))))</f>
        <v/>
      </c>
      <c r="BQ373" s="52" t="str">
        <f>IF(Atletas!O369="","",IF(Atletas!W369&lt;&gt;"",10000,0)+IF(Atletas!B369="Feminino",1000,IF(Atletas!B369="Masculino",2000,""))+IF(OR(Atletas!O369="Yang 26 D",Atletas!O369="Yang 40 D"),419,IF(OR(Atletas!O369="Chen 25 D",Atletas!O369="Chen 36 D",Atletas!O369="Chen 56 D"),420,IF(Atletas!O369="Sun 73 D",421,IF(Atletas!O369="Wu 45 D",422,IF(Atletas!O369="Wu-Hao 46 D",423,IF(OR(Atletas!O369="Taijiquan 16 D",Atletas!O369="Taijiquan 24 D",Atletas!O369="Taijiquan 32 D",Atletas!O369="Taijiquan 42 D"),424,IF(OR(Atletas!O369="Yang 26 E",Atletas!O369="Yang 40 E"),425,IF(OR(Atletas!O369="Chen 25 E",Atletas!O369="Chen 36 E",Atletas!O369="Chen 56 E"),426,IF(Atletas!O369="Sun 73 E",427,IF(Atletas!O369="Wu 45 E",428,IF(Atletas!O369="Wu-Hao 46 E",429,IF(OR(Atletas!O369="Taijiquan 16 E",Atletas!O369="Taijiquan 24 E",Atletas!O369="Taijiquan 32 E",Atletas!O369="Taijiquan 42 E"),430,IF(OR(Atletas!O369="Yang 26 F",Atletas!O369="Yang 40 F"),431,IF(OR(Atletas!O369="Chen 25 F",Atletas!O369="Chen 36 F",Atletas!O369="Chen 56 F"),432,IF(Atletas!O369="Sun 73 F",433,IF(Atletas!O369="Wu 45 F",434,IF(Atletas!O369="Wu-Hao 46 F",435,IF(OR(Atletas!O369="Taijiquan 16 F",Atletas!O369="Taijiquan 24 F",Atletas!O369="Taijiquan 32 F",Atletas!O369="Taijiquan 42 F"),436,0)))))))))))))))))))</f>
        <v/>
      </c>
      <c r="BR373" s="52" t="str">
        <f>IF(Atletas!P369="","",IF(Atletas!W369&lt;&gt;"",10000,0)+IF(Atletas!B369="Feminino",1000,IF(Atletas!B369="Masculino",2000,""))+IF(Atletas!P369="Xingyiquan A",501,IF(Atletas!P369="Baguazhang A",502,IF(Atletas!P369="Outro Estilo Interno A",503,IF(Atletas!P369="Xingyiquan B",504,IF(Atletas!P369="Baguazhang B",505,IF(Atletas!P369="Outro Estilo Interno B",506,IF(Atletas!P369="Xingyiquan C",507,IF(Atletas!P369="Baguazhang C",508,IF(Atletas!P369="Outro Estilo Interno C",509,IF(Atletas!P369="Xingyiquan D",510,IF(Atletas!P369="Baguazhang D",511,IF(Atletas!P369="Outro Estilo Interno D",512,IF(Atletas!P369="Xingyiquan E",513,IF(Atletas!P369="Baguazhang E",514,IF(Atletas!P369="Outro Estilo Interno E",515,IF(Atletas!P369="Xingyiquan F",516,IF(Atletas!P369="Baguazhang F",517,IF(Atletas!P369="Outro Estilo Interno F",518, "")))))))))))))))))))</f>
        <v/>
      </c>
      <c r="BS373" s="52" t="str">
        <f>IF(Atletas!Q369="","",IF(Atletas!W369&lt;&gt;"",10000,0)+IF(Atletas!B369="Feminino",1000,IF(Atletas!B369="Masculino",2000,""))+IF(Atletas!Q369="Dao A",601,IF(Atletas!Q369="Jian A",602,IF(Atletas!Q369="Bishou A",603,IF(Atletas!Q369="Shan A",604,IF(Atletas!Q369="Outra Arma Curta A",605,IF(Atletas!Q369="Dao B",606,IF(Atletas!Q369="Jian B",607,IF(Atletas!Q369="Bishou B",608,IF(Atletas!Q369="Shan B",609,IF(Atletas!Q369="Outra Arma Curta B",610,IF(Atletas!Q369="Dao C",611,IF(Atletas!Q369="Jian C",612,IF(Atletas!Q369="Bishou C",613,IF(Atletas!Q369="Shan C",614,IF(Atletas!Q369="Outra Arma Curta C",615,IF(Atletas!Q369="Dao D",616,IF(Atletas!Q369="Jian D",617,IF(Atletas!Q369="Bishou D",618,IF(Atletas!Q369="Shan D",619,IF(Atletas!Q369="Outra Arma Curta D",620,IF(Atletas!Q369="Dao E",621,IF(Atletas!Q369="Jian E",622,IF(Atletas!Q369="Bishou E",623,IF(Atletas!Q369="Shan E",624,IF(Atletas!Q369="Outra Arma Curta E",625,IF(Atletas!Q369="Dao F",626,IF(Atletas!Q369="Jian F",627,IF(Atletas!Q369="Bishou F",628,IF(Atletas!Q369="Shan F",629,IF(Atletas!Q369="Outra Arma Curta F",630, "")))))))))))))))))))))))))))))))</f>
        <v/>
      </c>
      <c r="BT373" s="52" t="str">
        <f>IF(Atletas!R369="","",IF(Atletas!W369&lt;&gt;"",10000,0)+IF(Atletas!B369="Feminino",1000,IF(Atletas!B369="Masculino",2000,""))+IF(Atletas!R369="Gun A",701,IF(Atletas!R369="Qiang A",702,IF(Atletas!R369="Pudao / Guandao A",703,IF(Atletas!R369="Outra Arma Longa A",704,IF(Atletas!R369="Gun B",705,IF(Atletas!R369="Qiang B",706,IF(Atletas!R369="Pudao / Guandao B",707,IF(Atletas!R369="Outra Arma Longa B",708,IF(Atletas!R369="Gun C",709,IF(Atletas!R369="Qiang C",710,IF(Atletas!R369="Pudao / Guandao C",711,IF(Atletas!R369="Outra Arma Longa C",712,IF(Atletas!R369="Gun D",713,IF(Atletas!R369="Qiang D",714,IF(Atletas!R369="Pudao / Guandao D",715,IF(Atletas!R369="Outra Arma Longa D",716,IF(Atletas!R369="Gun E",717,IF(Atletas!R369="Qiang E",718,IF(Atletas!R369="Pudao / Guandao E",719,IF(Atletas!R369="Outra Arma Longa E",720,IF(Atletas!R369="Gun F",721,IF(Atletas!R369="Qiang F",722,IF(Atletas!R369="Pudao / Guandao F",723,IF(Atletas!R369="Outra Arma Longa F",724,"")))))))))))))))))))))))))</f>
        <v/>
      </c>
      <c r="BU373" s="52" t="str">
        <f>IF(Atletas!S369="","",IF(Atletas!W369&lt;&gt;"",10000,0)+IF(Atletas!B369="Feminino",1000,IF(Atletas!B369="Masculino",2000,""))+IF(Atletas!S369="Arma Dupla A",801,IF(Atletas!S369="Arma Maleável A",802,IF(Atletas!S369="Arma Dupla B",803,IF(Atletas!S369="Arma Maleável B",804,IF(Atletas!S369="Arma Dupla C",805,IF(Atletas!S369="Arma Maleável C",806,IF(Atletas!S369="Arma Dupla D",807,IF(Atletas!S369="Arma Maleável D",808,IF(Atletas!S369="Arma Dupla E",809,IF(Atletas!S369="Arma Maleável E",810,IF(Atletas!S369="Arma Dupla F",811,IF(Atletas!S369="Arma Maleável F",812, "")))))))))))))</f>
        <v/>
      </c>
      <c r="BV373" s="52" t="str">
        <f>IF(Atletas!T369="","",IF(Atletas!W369&lt;&gt;"",10000,0)+IF(Atletas!B369="Feminino",1000,IF(Atletas!B369="Masculino",2000,""))+IF(Atletas!T369="Taijijian Yang A",901,IF(Atletas!T369="Taijijian Chen A",902,IF(Atletas!T369="Taijijian Sun A",903,IF(Atletas!T369="Taijijian Wu A",904,IF(Atletas!T369="Taijijian Wu-Hao A",905,IF(Atletas!T369="Taijijian 32 A",906,IF(Atletas!T369="Taijijian 42 A",907,IF(Atletas!T369="Taijijian Yang B",908,IF(Atletas!T369="Taijijian Chen B",909,IF(Atletas!T369="Taijijian Sun B",910,IF(Atletas!T369="Taijijian Wu B",911,IF(Atletas!T369="Taijijian Wu-Hao B",912,IF(Atletas!T369="Taijijian 32 B",913,IF(Atletas!T369="Taijijian 42 B",914,IF(Atletas!T369="Taijijian Yang C",915,IF(Atletas!T369="Taijijian Chen C",916,IF(Atletas!T369="Taijijian Sun C",917,IF(Atletas!T369="Taijijian Wu C",918,IF(Atletas!T369="Taijijian Wu-Hao C",919,IF(Atletas!T369="Taijijian 32 C",920,IF(Atletas!T369="Taijijian 42 C",921,IF(Atletas!T369="Taijijian Yang D",922,IF(Atletas!T369="Taijijian Chen D",923,IF(Atletas!T369="Taijijian Sun D",924,IF(Atletas!T369="Taijijian Wu D",925,IF(Atletas!T369="Taijijian Wu-Hao D",926,IF(Atletas!T369="Taijijian 32 D",927,IF(Atletas!T369="Taijijian 42 D",928,IF(Atletas!T369="Taijijian Yang E",929,IF(Atletas!T369="Taijijian Chen E",930,IF(Atletas!T369="Taijijian Sun E",931,IF(Atletas!T369="Taijijian Wu E",932,IF(Atletas!T369="Taijijian Wu-Hao E",933,IF(Atletas!T369="Taijijian 32 E",934,IF(Atletas!T369="Taijijian 42 E",935,IF(Atletas!T369="Taijijian Yang F",936,IF(Atletas!T369="Taijijian Chen F",937,IF(Atletas!T369="Taijijian Sun F",938,IF(Atletas!T369="Taijijian Wu F",939,IF(Atletas!T369="Taijijian Wu-Hao F",940,IF(Atletas!T369="Taijijian 32 F",941,IF(Atletas!T369="Taijijian 42 F",942,"")))))))))))))))))))))))))))))))))))))))))))</f>
        <v/>
      </c>
      <c r="BW373" s="52" t="str">
        <f>IF(Atletas!U369="","",IF(Atletas!W369&lt;&gt;"",10000,0)+IF(Atletas!B369="Feminino",1000,IF(Atletas!B369="Masculino",2000,""))+IF(Atletas!T369="Taijijian 42 F",942,IF(Atletas!U369="Taijidao A",943,IF(Atletas!U369="Taijishan A",944,IF(Atletas!U369="Taijiqiang A",945,IF(Atletas!U369="Taijidao B",946,IF(Atletas!U369="Taijishan B",947,IF(Atletas!U369="Taijiqiang B",948,IF(Atletas!U369="Taijidao C",949,IF(Atletas!U369="Taijishan C",950,IF(Atletas!U369="Taijiqiang C",951,IF(Atletas!U369="Taijidao D",952,IF(Atletas!U369="Taijishan D",953,IF(Atletas!U369="Taijiqiang D",954,IF(Atletas!U369="Taijidao E",955,IF(Atletas!U369="Taijishan E",956,IF(Atletas!U369="Taijiqiang E",957,IF(Atletas!U369="Taijidao F",958,IF(Atletas!U369="Taijishan F",959,IF(Atletas!U369="Taijiqiang F",960))))))))))))))))))))</f>
        <v/>
      </c>
      <c r="CB373" s="64" t="str">
        <f>IF(CC373&lt;&gt;"","Taijijian Wu D","")</f>
        <v/>
      </c>
      <c r="CC373" s="64" t="str">
        <f>IF(COUNTIF(BK:BW,11925)&gt;0,COUNTIF(BK:BW,11925),"")</f>
        <v/>
      </c>
      <c r="CD373" s="64" t="str">
        <f>IF(CE373&lt;&gt;"","Taijijian Wu D","")</f>
        <v/>
      </c>
      <c r="CE373" s="64" t="str">
        <f>IF(COUNTIF(BK:BW,12925)&gt;0,COUNTIF(BK:BW,12925),"")</f>
        <v/>
      </c>
      <c r="CF373" s="52" t="str">
        <f xml:space="preserve"> IF(Atletas!V369="","",IF(Atletas!V369="Duilian de Mãos AB - Equipe 1",1,IF(Atletas!V369="Duilian de Mãos AB - Equipe 2",2,IF(Atletas!V369="Duilian de Armas AB - Equipe 1",3,IF(Atletas!V369="Duilian de Armas AB - Equipe 2",4,IF(Atletas!V369="Duilian de Tuishou - Equipe 1",5,IF(Atletas!V369="Duilian de Tuishou - Equipe 2",6,IF(Atletas!V369="Grupo Externo AB - Equipe 1",7,IF(Atletas!V369="Grupo Externo AB - Equipe 2",8,IF(Atletas!V369="Grupo Interno AB - Equipe 1",9,IF(Atletas!V369="Grupo Interno AB - Equipe 2",10,IF(Atletas!V369="Duilian de Mãos CD - Equipe 1",11,IF(Atletas!V369="Duilian de Mãos CD - Equipe 2",12,IF(Atletas!V369="Duilian de Armas CD - Equipe 1",13,IF(Atletas!V369="Duilian de Armas CD - Equipe 2",14,IF(Atletas!V369="Duilian de Tuishou - Equipe 1",15,IF(Atletas!V369="Duilian de Tuishou - Equipe 2",16,IF(Atletas!V369="Grupo Externo CDEF - Equipe 1",17,IF(Atletas!V369="Grupo Externo CDEF - Equipe 2",18,IF(Atletas!V369="Grupo Interno CDEF - Equipe 1",19,IF(Atletas!V369="Grupo Interno CDEF - Equipe 2",20,IF(Atletas!V369="Duilian de Mãos EF - Equipe 1",21,IF(Atletas!V369="Duilian de Mãos EF - Equipe 2",22,IF(Atletas!V369="Duilian de Armas EF - Equipe 1",23,IF(Atletas!V369="Duilian de Armas EF - Equipe 2",24,IF(Atletas!V369="Duilian de Tuishou - Equipe 1",25,IF(Atletas!V369="Duilian de Tuishou - Equipe 2",26,"")))))))))))))))))))))))))))</f>
        <v/>
      </c>
    </row>
    <row r="374" spans="36:84">
      <c r="AJ374" s="46" t="str">
        <f>IF(Atletas!D370="","",IF(Atletas!B370="Feminino",100,IF(Atletas!B370="Masculino",200,""))+(IF(Atletas!D370="Infantil 39kg",1,IF(Atletas!D370="Infantil 42kg",2,IF(Atletas!D370="Infantil 45kg",3,IF(Atletas!D370="Infantil 48kg",4,IF(Atletas!D370="Infantil 52kg",5,IF(Atletas!D370="Infantil 56kg",6,IF(Atletas!D370="Infantil 60kg",7,IF(Atletas!D370="Juvenil 48kg",8,IF(Atletas!D370="Juvenil 52kg",9,IF(Atletas!D370="Juvenil 56kg",10,IF(Atletas!D370="Juvenil 60kg",11,IF(Atletas!D370="Juvenil 65kg",12,IF(Atletas!D370="Juvenil 70kg",13,IF(Atletas!D370="Juvenil 75kg",14,IF(Atletas!D370="Juvenil 80kg",15,IF(Atletas!D370="Adulto 48kg",16,IF(Atletas!D370="Adulto 52kg",17,IF(Atletas!D370="Adulto 56kg",18,IF(Atletas!D370="Adulto 60kg",19,IF(Atletas!D370="Adulto 65kg",20,IF(Atletas!D370="Adulto 70kg",21,IF(Atletas!D370="Adulto 75kg",22,IF(Atletas!D370="Adulto 80kg",23,IF(Atletas!D370="Adulto 85kg",24,IF(Atletas!D370="Adulto 90kg",25,IF(Atletas!D370="Adulto +90kg",26,""))))))))))))))))))))))))))))</f>
        <v/>
      </c>
      <c r="AO374" s="10" t="str">
        <f>IF(Atletas!E370="","",IF(Atletas!B370="Feminino",100,IF(Atletas!B370="Masculino",200,""))+(IF(Atletas!E370="Juvenil 44kg",1,IF(Atletas!E370="Juvenil 48kg",2,IF(Atletas!E370="Juvenil 52kg",3,IF(Atletas!E370="Juvenil 56kg",4,IF(Atletas!E370="Juvenil 60kg",5,IF(Atletas!E370="Juvenil 65kg",6,IF(Atletas!E370="Juvenil 70kg",7,IF(Atletas!E370="Juvenil 75kg",8,IF(Atletas!E370="Juvenil 82kg",9,IF(Atletas!E370="Juvenil 90kg",10,IF(Atletas!E370="Juvenil 100kg",11,IF(Atletas!E370="Adulto 48kg",12,IF(Atletas!E370="Adulto 52kg",13,IF(Atletas!E370="Adulto 56kg",14,IF(Atletas!E370="Adulto 60kg",15,IF(Atletas!E370="Adulto 65kg",16,IF(Atletas!E370="Adulto 70kg",17,IF(Atletas!E370="Adulto 75kg",18,IF(Atletas!E370="Adulto 82kg",19,IF(Atletas!E370="Adulto 90kg",20,IF(Atletas!E370="Adulto 100kg",21,IF(Atletas!E370="Adulto +100kg",22,""))))))))))))))))))))))))</f>
        <v/>
      </c>
      <c r="AT374" s="10" t="str">
        <f>IF(Atletas!F370="","",IF(Atletas!B370="Feminino",100,IF(Atletas!B370="Masculino",200,""))+(IF(Atletas!F370="Adulto 48kg",1,IF(Atletas!F370="Adulto 56kg",2,IF(Atletas!F370="Adulto 65kg",3,IF(Atletas!F370="Adulto 75kg",4,IF(Atletas!F370="Adulto +75kg",5,IF(Atletas!F370="Adulto 52kg",6,IF(Atletas!F370="Adulto 60kg",7,IF(Atletas!F370="Adulto 70kg",8,IF(Atletas!F370="Adulto 80kg",9,IF(Atletas!F370="Adulto 90kg",10,IF(Atletas!F370="Adulto +90kg",11,"")))))))))))))</f>
        <v/>
      </c>
      <c r="AY374" s="46" t="str">
        <f>IF(Atletas!G370="","",IF(Atletas!B370="Feminino",100,IF(Atletas!B370="Masculino",200,""))+(IF(Atletas!G370="Changquan Mirim",1,IF(Atletas!G370="Nanquan Mirim",2,IF(Atletas!G370="Taijiquan Mirim",3,IF(Atletas!G370="Changquan Grupo C",4,IF(Atletas!G370="Nanquan Grupo C",5,IF(Atletas!G370="Taijiquan Grupo C",6,IF(Atletas!G370="Changquan Grupo B",7,IF(Atletas!G370="Nanquan Grupo B",8,IF(Atletas!G370="Taijiquan Grupo B",9,IF(Atletas!G370="Changquan Grupo A",10,IF(Atletas!G370="Nanquan Grupo A",11,IF(Atletas!G370="Taijiquan Grupo A",12,IF(Atletas!G370="Changquan Opcional",13,IF(Atletas!G370="Nanquan Opcional",14,IF(Atletas!G370="Taijiquan Opcional",15,IF(Atletas!G370="Changquan Adulto",16,IF(Atletas!G370="Nanquan Adulto",17,IF(Atletas!G370="Taijiquan Adulto",18,""))))))))))))))))))))</f>
        <v/>
      </c>
      <c r="AZ374" s="46" t="str">
        <f>IF(Atletas!H370="","",IF(Atletas!B370="Feminino",100,IF(Atletas!B370="Masculino",200,""))+(IF(Atletas!H370="Daoshu Mirim",19,IF(Atletas!H370="Jianshu Mirim",20,IF(Atletas!H370="Nandao Mirim",21,IF(Atletas!H370="Taijijian Mirim",22,IF(Atletas!H370="Daoshu Grupo C",23,IF(Atletas!H370="Jianshu Grupo C",24,IF(Atletas!H370="Nandao Grupo C",25,IF(Atletas!H370="Taijijian Grupo C",26,IF(Atletas!H370="Daoshu Grupo B",27,IF(Atletas!H370="Jianshu Grupo B",28,IF(Atletas!H370="Nandao Grupo B",29,IF(Atletas!H370="Taijijian Grupo B",30,IF(Atletas!H370="Daoshu Grupo A",31,IF(Atletas!H370="Jianshu Grupo A",32,IF(Atletas!H370="Nandao Grupo A",33,IF(Atletas!H370="Taijijian Grupo A",34,IF(Atletas!H370="Daoshu Opcional",35,IF(Atletas!H370="Jianshu Opcional",36,IF(Atletas!H370="Nandao Opcional",37,IF(Atletas!H370="Taijijian Opcional",38,IF(Atletas!H370="Daoshu Adulto",39,IF(Atletas!H370="Jianshu Adulto",40,IF(Atletas!H370="Nandao Adulto",41,IF(Atletas!H370="Taijijian Adulto",42,""))))))))))))))))))))))))))</f>
        <v/>
      </c>
      <c r="BA374" s="46" t="str">
        <f>IF(Atletas!I370="","",IF(Atletas!B370="Feminino",100,IF(Atletas!B370="Masculino",200,""))+(IF(Atletas!I370="Gunshu Mirim",43,IF(Atletas!I370="Qiangshu Mirim",44,IF(Atletas!I370="Nangun Mirim",45,IF(Atletas!I370="Gunshu Grupo C",46,IF(Atletas!I370="Qiangshu Grupo C",47,IF(Atletas!I370="Nangun Grupo C",48,IF(Atletas!I370="Gunshu Grupo B",49,IF(Atletas!I370="Qiangshu Grupo B",50,IF(Atletas!I370="Nangun Grupo B",51,IF(Atletas!I370="Gunshu Grupo A",52,IF(Atletas!I370="Qiangshu Grupo A",53,IF(Atletas!I370="Nangun Grupo A",54,IF(Atletas!I370="Gunshu Opcional",55,IF(Atletas!I370="Qiangshu Opcional",56,IF(Atletas!I370="Nangun Opcional",57,IF(Atletas!I370="Gunshu Adulto",58,IF(Atletas!I370="Qiangshu Adulto",59,IF(Atletas!I370="Nangun Adulto",60,""))))))))))))))))))))</f>
        <v/>
      </c>
      <c r="BF374" s="52" t="str">
        <f>IF(Atletas!J370="","",IF(Atletas!B370="Feminino",100,IF(Atletas!B370="Masculino",200,""))+(IF(Atletas!J370="Equipe 1 Grupo B",1,IF(Atletas!J370="Equipe 2 Grupo B",2,IF(Atletas!J370="Equipe 1 Grupo A",3,IF(Atletas!J370="Equipe 2 Grupo A",4,IF(Atletas!J370="Equipe 1 Adulto",5,IF(Atletas!J370="Equipe 2 Adulto",6,""))))))))</f>
        <v/>
      </c>
      <c r="BK374" s="52" t="str">
        <f>IF(Atletas!K370="","",IF(Atletas!W370&lt;&gt;"",10000,0)+(IF(Atletas!B370="Feminino",1000,IF(Atletas!B370="Masculino",2000,""))+IF(Atletas!K370="Choylayfut A",1,IF(Atletas!K370="Hunggar A",2,IF(Atletas!K370="Wuzuquan A",3,IF(Atletas!K370="Wingchun A",4,IF(Atletas!K370="Outra Mão de Sul A",5,IF(Atletas!K370="Choylayfut B",6,IF(Atletas!K370="Hunggar B",7,IF(Atletas!K370="Wuzuquan B",8,IF(Atletas!K370="Wingchun B",9,IF(Atletas!K370="Outra Mão de Sul B",10,IF(Atletas!K370="Choylayfut C",11,IF(Atletas!K370="Hunggar C",12,IF(Atletas!K370="Wuzuquan C",13,IF(Atletas!K370="Wingchun C",14,IF(Atletas!K370="Outra Mão de Sul C",15,IF(Atletas!K370="Choylayfut D",16,IF(Atletas!K370="Hunggar D",17,IF(Atletas!K370="Wuzuquan D",18,IF(Atletas!K370="Wingchun D",19,IF(Atletas!K370="Outra Mão de Sul D",20,IF(Atletas!K370="Choylayfut E",21,IF(Atletas!K370="Hunggar E",22,IF(Atletas!K370="Wuzuquan E",23,IF(Atletas!K370="Wingchun E",24,IF(Atletas!K370="Outra Mão de Sul E",25,IF(Atletas!K370="Choylayfut F",26,IF(Atletas!K370="Hunggar F",27,IF(Atletas!K370="Wuzuquan F",28,IF(Atletas!K370="Wingchun F",29,IF(Atletas!K370="Outra Mão de Sul F",30,""))))))))))))))))))))))))))))))))</f>
        <v/>
      </c>
      <c r="BL374" s="52" t="str">
        <f>IF(Atletas!L370="","",IF(Atletas!W370&lt;&gt;"",10000,0)+(IF(Atletas!B370="Feminino",1000,IF(Atletas!B370="Masculino",2000,""))+(IF(Atletas!L370="Chaquan A",101,IF(Atletas!L370="Emeiquan A",102,IF(Atletas!L370="Fanziquan A",103,IF(Atletas!L370="Huaquan A",104,IF(Atletas!L370="Hongquan A",105,IF(Atletas!L370="Paochui A",106,IF(Atletas!L370="Piguaquan A",107,IF(Atletas!L370="Shaolinquan A",108,IF(Atletas!L370="Tanglangquan A",109,IF(Atletas!L370="Yinzhaophai A",110,IF(Atletas!L370="Tongbeiquan A",111,IF(Atletas!L370="Wudangquan A",112,IF(Atletas!L370="Outros Estilos A",113,IF(Atletas!L370="Chaquan B",114,IF(Atletas!L370="Emeiquan B",115,IF(Atletas!L370="Fanziquan B",116,IF(Atletas!L370="Huaquan B",117,IF(Atletas!L370="Hongquan B",118,IF(Atletas!L370="Paochui B",119,IF(Atletas!L370="Piguaquan B",120,IF(Atletas!L370="Shaolinquan B",121,IF(Atletas!L370="Tanglangquan B",122,IF(Atletas!L370="Yinzhaophai B",123,IF(Atletas!L370="Tongbeiquan B",124,IF(Atletas!L370="Wudangquan B",125,IF(Atletas!L370="Outros Estilos B",126,IF(Atletas!L370="Chaquan C",127,IF(Atletas!L370="Emeiquan C",128,IF(Atletas!L370="Fanziquan C",129,IF(Atletas!L370="Huaquan C",130,IF(Atletas!L370="Hongquan C",131,IF(Atletas!L370="Paochui C",132,IF(Atletas!L370="Piguaquan C",133,IF(Atletas!L370="Shaolinquan C",134,IF(Atletas!L370="Tanglangquan C",135,IF(Atletas!L370="Yinzhaophai C",136,IF(Atletas!L370="Tongbeiquan C",137,IF(Atletas!L370="Wudangquan C",138,IF(Atletas!L370="Outros Estilos C",139,0))))))))))))))))))))))))))))))))))))))))))</f>
        <v/>
      </c>
      <c r="BM374" s="52" t="str">
        <f>IF(Atletas!L370="","",IF(Atletas!W370&lt;&gt;"",10000,0)+(IF(Atletas!B370="Feminino",1000,IF(Atletas!B370="Masculino",2000,""))+(IF(Atletas!L370="Chaquan D",140,IF(Atletas!L370="Emeiquan D",141,IF(Atletas!L370="Fanziquan D",142,IF(Atletas!L370="Huaquan D",143,IF(Atletas!L370="Hongquan D",144,IF(Atletas!L370="Paochui D",145,IF(Atletas!L370="Piguaquan D",146,IF(Atletas!L370="Shaolinquan D",147,IF(Atletas!L370="Tanglangquan D",148,IF(Atletas!L370="Yinzhaophai D",149,IF(Atletas!L370="Tongbeiquan D",150,IF(Atletas!L370="Wudangquan D",151,IF(Atletas!L370="Outros Estilos D",152,IF(Atletas!L370="Chaquan E",153,IF(Atletas!L370="Emeiquan E",154,IF(Atletas!L370="Fanziquan E",155,IF(Atletas!L370="Huaquan E",156,IF(Atletas!L370="Hongquan E",157,IF(Atletas!L370="Paochui E",158,IF(Atletas!L370="Piguaquan E",159,IF(Atletas!L370="Shaolinquan E",160,IF(Atletas!L370="Tanglangquan E",161,IF(Atletas!L370="Yinzhaophai E",162,IF(Atletas!L370="Tongbeiquan E",163,IF(Atletas!L370="Wudangquan E",164,IF(Atletas!L370="Outros Estilos E",165,IF(Atletas!L370="Chaquan F",166,IF(Atletas!L370="Emeiquan F",167,IF(Atletas!L370="Fanziquan F",168,IF(Atletas!L370="Huaquan F",169,IF(Atletas!L370="Hongquan F",170,IF(Atletas!L370="Paochui F",171,IF(Atletas!L370="Piguaquan F",172,IF(Atletas!L370="Shaolinquan F",173,IF(Atletas!L370="Tanglangquan F",174,IF(Atletas!L370="Yinzhaophai F",175,IF(Atletas!L370="Tongbeiquan F",176,IF(Atletas!L370="Wudangquan F",177,IF(Atletas!L370="Outros Estilos F",178,0))))))))))))))))))))))))))))))))))))))))))</f>
        <v/>
      </c>
      <c r="BN374" s="52" t="str">
        <f>IF(Atletas!M370="","",IF(Atletas!W370&lt;&gt;"",10000,0)+(IF(Atletas!B370="Feminino",1000,IF(Atletas!B370="Masculino",2000,""))+(IF(Atletas!M370="Ditangquan A",201,IF(Atletas!M370="Houquan A",202,IF(Atletas!M370="Zuiquan A",203,IF(Atletas!M370="Ditangquan B",204,IF(Atletas!M370="Houquan B",205,IF(Atletas!M370="Zuiquan B",206,IF(Atletas!M370="Ditangquan C",207,IF(Atletas!M370="Houquan C",208,IF(Atletas!M370="Zuiquan C",209,IF(Atletas!M370="Ditangquan D",210,IF(Atletas!M370="Houquan D",211,IF(Atletas!M370="Zuiquan D",212,IF(Atletas!M370="Ditangquan E",213,IF(Atletas!M370="Houquan E",214,IF(Atletas!M370="Zuiquan E",215,IF(Atletas!M370="Ditangquan F",216,IF(Atletas!M370="Houquan F",217,IF(Atletas!M370="Zuiquan F",218,"")))))))))))))))))))))</f>
        <v/>
      </c>
      <c r="BO374" s="52" t="str">
        <f>IF(Atletas!N370="","",IF(Atletas!W370&lt;&gt;"",10000,0)+IF(Atletas!B370="Feminino",1000,IF(Atletas!B370="Masculino",2000,""))+IF(Atletas!N370="Yang A",301,IF(Atletas!N370="Chen A",30,IF(Atletas!N370="Sun A",303,IF(Atletas!N370="Wu A",304,IF(Atletas!N370="Wu-Hao A",305,IF(Atletas!N370="Outro Taijiquan A",306,IF(Atletas!N370="Yang B",307,IF(Atletas!N370="Chen B",308,IF(Atletas!N370="Sun B",309,IF(Atletas!N370="Wu B",310,IF(Atletas!N370="Wu-Hao B",311,IF(Atletas!N370="Outro Taijiquan B",312,IF(Atletas!N370="Yang C",313,IF(Atletas!N370="Chen C",314,IF(Atletas!N370="Sun C",315,IF(Atletas!N370="Wu C",316,IF(Atletas!N370="Wu-Hao C",317,IF(Atletas!N370="Outro Taijiquan C",318,IF(Atletas!N370="Yang D",319,IF(Atletas!N370="Chen D",320,IF(Atletas!N370="Sun D",321,IF(Atletas!N370="Wu D",322,IF(Atletas!N370="Wu-Hao D",323,IF(Atletas!N370="Outro Taijiquan D",324,IF(Atletas!N370="Yang E",325,IF(Atletas!N370="Chen E",326,IF(Atletas!N370="Sun E",327,IF(Atletas!N370="Wu E",328,IF(Atletas!N370="Wu-Hao E",329,IF(Atletas!N370="Outro Taijiquan E",330,IF(Atletas!N370="Yang F",331,IF(Atletas!N370="Chen F",332,IF(Atletas!N370="Sun F",333,IF(Atletas!N370="Wu F",334,IF(Atletas!N370="Wu-Hao F",335,IF(Atletas!N370="Outro Taijiquan F",336,"")))))))))))))))))))))))))))))))))))))</f>
        <v/>
      </c>
      <c r="BP374" s="52" t="str">
        <f>IF(Atletas!O370="","",IF(Atletas!W370&lt;&gt;"",10000,0)+IF(Atletas!B370="Feminino",1000,IF(Atletas!B370="Masculino",2000,""))+IF(OR(Atletas!O370="Yang 26 A",Atletas!O370="Yang 40 A"),401,IF(OR(Atletas!O370="Chen 25 A",Atletas!O370="Chen 36 A",Atletas!O370="Chen 56 A"),402,IF(Atletas!O370="Sun 73 A",403,IF(Atletas!O370="Wu 45 A",404,IF(Atletas!O370="Wu-Hao 46 A",405,IF(OR(Atletas!O370="Taijiquan 16 A",Atletas!O370="Taijiquan 24 A",Atletas!O370="Taijiquan 32 A",Atletas!O370="Taijiquan 42 A"),406,IF(OR(Atletas!O370="Yang 26 B",Atletas!O370="Yang 40 B"),407,IF(OR(Atletas!O370="Chen 25 B",Atletas!O370="Chen 36 B",Atletas!O370="Chen 56 B"),408,IF(Atletas!O370="Sun 73 B",409,IF(Atletas!O370="Wu 45 B",410,IF(Atletas!O370="Wu-Hao 46 B",411,IF(OR(Atletas!O370="Taijiquan 16 B",Atletas!O370="Taijiquan 24 B",Atletas!O370="Taijiquan 32 B",Atletas!O370="Taijiquan 42 B"),412,IF(OR(Atletas!O370="Yang 26 C",Atletas!O370="Yang 40 C"),413,IF(OR(Atletas!O370="Chen 25 C",Atletas!O370="Chen 36 C",Atletas!O370="Chen 56 C"),414,IF(Atletas!O370="Sun 73 C",415,IF(Atletas!O370="Wu 45 C",416,IF(Atletas!O370="Wu-Hao 46 C",417,IF(OR(Atletas!O370="Taijiquan 16 C",Atletas!O370="Taijiquan 24 C",Atletas!O370="Taijiquan 32 C",Atletas!O370="Taijiquan 42 C"),418,0)))))))))))))))))))</f>
        <v/>
      </c>
      <c r="BQ374" s="52" t="str">
        <f>IF(Atletas!O370="","",IF(Atletas!W370&lt;&gt;"",10000,0)+IF(Atletas!B370="Feminino",1000,IF(Atletas!B370="Masculino",2000,""))+IF(OR(Atletas!O370="Yang 26 D",Atletas!O370="Yang 40 D"),419,IF(OR(Atletas!O370="Chen 25 D",Atletas!O370="Chen 36 D",Atletas!O370="Chen 56 D"),420,IF(Atletas!O370="Sun 73 D",421,IF(Atletas!O370="Wu 45 D",422,IF(Atletas!O370="Wu-Hao 46 D",423,IF(OR(Atletas!O370="Taijiquan 16 D",Atletas!O370="Taijiquan 24 D",Atletas!O370="Taijiquan 32 D",Atletas!O370="Taijiquan 42 D"),424,IF(OR(Atletas!O370="Yang 26 E",Atletas!O370="Yang 40 E"),425,IF(OR(Atletas!O370="Chen 25 E",Atletas!O370="Chen 36 E",Atletas!O370="Chen 56 E"),426,IF(Atletas!O370="Sun 73 E",427,IF(Atletas!O370="Wu 45 E",428,IF(Atletas!O370="Wu-Hao 46 E",429,IF(OR(Atletas!O370="Taijiquan 16 E",Atletas!O370="Taijiquan 24 E",Atletas!O370="Taijiquan 32 E",Atletas!O370="Taijiquan 42 E"),430,IF(OR(Atletas!O370="Yang 26 F",Atletas!O370="Yang 40 F"),431,IF(OR(Atletas!O370="Chen 25 F",Atletas!O370="Chen 36 F",Atletas!O370="Chen 56 F"),432,IF(Atletas!O370="Sun 73 F",433,IF(Atletas!O370="Wu 45 F",434,IF(Atletas!O370="Wu-Hao 46 F",435,IF(OR(Atletas!O370="Taijiquan 16 F",Atletas!O370="Taijiquan 24 F",Atletas!O370="Taijiquan 32 F",Atletas!O370="Taijiquan 42 F"),436,0)))))))))))))))))))</f>
        <v/>
      </c>
      <c r="BR374" s="52" t="str">
        <f>IF(Atletas!P370="","",IF(Atletas!W370&lt;&gt;"",10000,0)+IF(Atletas!B370="Feminino",1000,IF(Atletas!B370="Masculino",2000,""))+IF(Atletas!P370="Xingyiquan A",501,IF(Atletas!P370="Baguazhang A",502,IF(Atletas!P370="Outro Estilo Interno A",503,IF(Atletas!P370="Xingyiquan B",504,IF(Atletas!P370="Baguazhang B",505,IF(Atletas!P370="Outro Estilo Interno B",506,IF(Atletas!P370="Xingyiquan C",507,IF(Atletas!P370="Baguazhang C",508,IF(Atletas!P370="Outro Estilo Interno C",509,IF(Atletas!P370="Xingyiquan D",510,IF(Atletas!P370="Baguazhang D",511,IF(Atletas!P370="Outro Estilo Interno D",512,IF(Atletas!P370="Xingyiquan E",513,IF(Atletas!P370="Baguazhang E",514,IF(Atletas!P370="Outro Estilo Interno E",515,IF(Atletas!P370="Xingyiquan F",516,IF(Atletas!P370="Baguazhang F",517,IF(Atletas!P370="Outro Estilo Interno F",518, "")))))))))))))))))))</f>
        <v/>
      </c>
      <c r="BS374" s="52" t="str">
        <f>IF(Atletas!Q370="","",IF(Atletas!W370&lt;&gt;"",10000,0)+IF(Atletas!B370="Feminino",1000,IF(Atletas!B370="Masculino",2000,""))+IF(Atletas!Q370="Dao A",601,IF(Atletas!Q370="Jian A",602,IF(Atletas!Q370="Bishou A",603,IF(Atletas!Q370="Shan A",604,IF(Atletas!Q370="Outra Arma Curta A",605,IF(Atletas!Q370="Dao B",606,IF(Atletas!Q370="Jian B",607,IF(Atletas!Q370="Bishou B",608,IF(Atletas!Q370="Shan B",609,IF(Atletas!Q370="Outra Arma Curta B",610,IF(Atletas!Q370="Dao C",611,IF(Atletas!Q370="Jian C",612,IF(Atletas!Q370="Bishou C",613,IF(Atletas!Q370="Shan C",614,IF(Atletas!Q370="Outra Arma Curta C",615,IF(Atletas!Q370="Dao D",616,IF(Atletas!Q370="Jian D",617,IF(Atletas!Q370="Bishou D",618,IF(Atletas!Q370="Shan D",619,IF(Atletas!Q370="Outra Arma Curta D",620,IF(Atletas!Q370="Dao E",621,IF(Atletas!Q370="Jian E",622,IF(Atletas!Q370="Bishou E",623,IF(Atletas!Q370="Shan E",624,IF(Atletas!Q370="Outra Arma Curta E",625,IF(Atletas!Q370="Dao F",626,IF(Atletas!Q370="Jian F",627,IF(Atletas!Q370="Bishou F",628,IF(Atletas!Q370="Shan F",629,IF(Atletas!Q370="Outra Arma Curta F",630, "")))))))))))))))))))))))))))))))</f>
        <v/>
      </c>
      <c r="BT374" s="52" t="str">
        <f>IF(Atletas!R370="","",IF(Atletas!W370&lt;&gt;"",10000,0)+IF(Atletas!B370="Feminino",1000,IF(Atletas!B370="Masculino",2000,""))+IF(Atletas!R370="Gun A",701,IF(Atletas!R370="Qiang A",702,IF(Atletas!R370="Pudao / Guandao A",703,IF(Atletas!R370="Outra Arma Longa A",704,IF(Atletas!R370="Gun B",705,IF(Atletas!R370="Qiang B",706,IF(Atletas!R370="Pudao / Guandao B",707,IF(Atletas!R370="Outra Arma Longa B",708,IF(Atletas!R370="Gun C",709,IF(Atletas!R370="Qiang C",710,IF(Atletas!R370="Pudao / Guandao C",711,IF(Atletas!R370="Outra Arma Longa C",712,IF(Atletas!R370="Gun D",713,IF(Atletas!R370="Qiang D",714,IF(Atletas!R370="Pudao / Guandao D",715,IF(Atletas!R370="Outra Arma Longa D",716,IF(Atletas!R370="Gun E",717,IF(Atletas!R370="Qiang E",718,IF(Atletas!R370="Pudao / Guandao E",719,IF(Atletas!R370="Outra Arma Longa E",720,IF(Atletas!R370="Gun F",721,IF(Atletas!R370="Qiang F",722,IF(Atletas!R370="Pudao / Guandao F",723,IF(Atletas!R370="Outra Arma Longa F",724,"")))))))))))))))))))))))))</f>
        <v/>
      </c>
      <c r="BU374" s="52" t="str">
        <f>IF(Atletas!S370="","",IF(Atletas!W370&lt;&gt;"",10000,0)+IF(Atletas!B370="Feminino",1000,IF(Atletas!B370="Masculino",2000,""))+IF(Atletas!S370="Arma Dupla A",801,IF(Atletas!S370="Arma Maleável A",802,IF(Atletas!S370="Arma Dupla B",803,IF(Atletas!S370="Arma Maleável B",804,IF(Atletas!S370="Arma Dupla C",805,IF(Atletas!S370="Arma Maleável C",806,IF(Atletas!S370="Arma Dupla D",807,IF(Atletas!S370="Arma Maleável D",808,IF(Atletas!S370="Arma Dupla E",809,IF(Atletas!S370="Arma Maleável E",810,IF(Atletas!S370="Arma Dupla F",811,IF(Atletas!S370="Arma Maleável F",812, "")))))))))))))</f>
        <v/>
      </c>
      <c r="BV374" s="52" t="str">
        <f>IF(Atletas!T370="","",IF(Atletas!W370&lt;&gt;"",10000,0)+IF(Atletas!B370="Feminino",1000,IF(Atletas!B370="Masculino",2000,""))+IF(Atletas!T370="Taijijian Yang A",901,IF(Atletas!T370="Taijijian Chen A",902,IF(Atletas!T370="Taijijian Sun A",903,IF(Atletas!T370="Taijijian Wu A",904,IF(Atletas!T370="Taijijian Wu-Hao A",905,IF(Atletas!T370="Taijijian 32 A",906,IF(Atletas!T370="Taijijian 42 A",907,IF(Atletas!T370="Taijijian Yang B",908,IF(Atletas!T370="Taijijian Chen B",909,IF(Atletas!T370="Taijijian Sun B",910,IF(Atletas!T370="Taijijian Wu B",911,IF(Atletas!T370="Taijijian Wu-Hao B",912,IF(Atletas!T370="Taijijian 32 B",913,IF(Atletas!T370="Taijijian 42 B",914,IF(Atletas!T370="Taijijian Yang C",915,IF(Atletas!T370="Taijijian Chen C",916,IF(Atletas!T370="Taijijian Sun C",917,IF(Atletas!T370="Taijijian Wu C",918,IF(Atletas!T370="Taijijian Wu-Hao C",919,IF(Atletas!T370="Taijijian 32 C",920,IF(Atletas!T370="Taijijian 42 C",921,IF(Atletas!T370="Taijijian Yang D",922,IF(Atletas!T370="Taijijian Chen D",923,IF(Atletas!T370="Taijijian Sun D",924,IF(Atletas!T370="Taijijian Wu D",925,IF(Atletas!T370="Taijijian Wu-Hao D",926,IF(Atletas!T370="Taijijian 32 D",927,IF(Atletas!T370="Taijijian 42 D",928,IF(Atletas!T370="Taijijian Yang E",929,IF(Atletas!T370="Taijijian Chen E",930,IF(Atletas!T370="Taijijian Sun E",931,IF(Atletas!T370="Taijijian Wu E",932,IF(Atletas!T370="Taijijian Wu-Hao E",933,IF(Atletas!T370="Taijijian 32 E",934,IF(Atletas!T370="Taijijian 42 E",935,IF(Atletas!T370="Taijijian Yang F",936,IF(Atletas!T370="Taijijian Chen F",937,IF(Atletas!T370="Taijijian Sun F",938,IF(Atletas!T370="Taijijian Wu F",939,IF(Atletas!T370="Taijijian Wu-Hao F",940,IF(Atletas!T370="Taijijian 32 F",941,IF(Atletas!T370="Taijijian 42 F",942,"")))))))))))))))))))))))))))))))))))))))))))</f>
        <v/>
      </c>
      <c r="BW374" s="52" t="str">
        <f>IF(Atletas!U370="","",IF(Atletas!W370&lt;&gt;"",10000,0)+IF(Atletas!B370="Feminino",1000,IF(Atletas!B370="Masculino",2000,""))+IF(Atletas!T370="Taijijian 42 F",942,IF(Atletas!U370="Taijidao A",943,IF(Atletas!U370="Taijishan A",944,IF(Atletas!U370="Taijiqiang A",945,IF(Atletas!U370="Taijidao B",946,IF(Atletas!U370="Taijishan B",947,IF(Atletas!U370="Taijiqiang B",948,IF(Atletas!U370="Taijidao C",949,IF(Atletas!U370="Taijishan C",950,IF(Atletas!U370="Taijiqiang C",951,IF(Atletas!U370="Taijidao D",952,IF(Atletas!U370="Taijishan D",953,IF(Atletas!U370="Taijiqiang D",954,IF(Atletas!U370="Taijidao E",955,IF(Atletas!U370="Taijishan E",956,IF(Atletas!U370="Taijiqiang E",957,IF(Atletas!U370="Taijidao F",958,IF(Atletas!U370="Taijishan F",959,IF(Atletas!U370="Taijiqiang F",960))))))))))))))))))))</f>
        <v/>
      </c>
      <c r="CB374" s="64" t="str">
        <f>IF(CC374&lt;&gt;"","Taijijian Wu-Hao D","")</f>
        <v/>
      </c>
      <c r="CC374" s="64" t="str">
        <f>IF(COUNTIF(BK:BW,11926)&gt;0,COUNTIF(BK:BW,11926),"")</f>
        <v/>
      </c>
      <c r="CD374" s="64" t="str">
        <f>IF(CE374&lt;&gt;"","Taijijian Wu-Hao D","")</f>
        <v/>
      </c>
      <c r="CE374" s="64" t="str">
        <f>IF(COUNTIF(BK:BW,12926)&gt;0,COUNTIF(BK:BW,12926),"")</f>
        <v/>
      </c>
      <c r="CF374" s="52" t="str">
        <f xml:space="preserve"> IF(Atletas!V370="","",IF(Atletas!V370="Duilian de Mãos AB - Equipe 1",1,IF(Atletas!V370="Duilian de Mãos AB - Equipe 2",2,IF(Atletas!V370="Duilian de Armas AB - Equipe 1",3,IF(Atletas!V370="Duilian de Armas AB - Equipe 2",4,IF(Atletas!V370="Duilian de Tuishou - Equipe 1",5,IF(Atletas!V370="Duilian de Tuishou - Equipe 2",6,IF(Atletas!V370="Grupo Externo AB - Equipe 1",7,IF(Atletas!V370="Grupo Externo AB - Equipe 2",8,IF(Atletas!V370="Grupo Interno AB - Equipe 1",9,IF(Atletas!V370="Grupo Interno AB - Equipe 2",10,IF(Atletas!V370="Duilian de Mãos CD - Equipe 1",11,IF(Atletas!V370="Duilian de Mãos CD - Equipe 2",12,IF(Atletas!V370="Duilian de Armas CD - Equipe 1",13,IF(Atletas!V370="Duilian de Armas CD - Equipe 2",14,IF(Atletas!V370="Duilian de Tuishou - Equipe 1",15,IF(Atletas!V370="Duilian de Tuishou - Equipe 2",16,IF(Atletas!V370="Grupo Externo CDEF - Equipe 1",17,IF(Atletas!V370="Grupo Externo CDEF - Equipe 2",18,IF(Atletas!V370="Grupo Interno CDEF - Equipe 1",19,IF(Atletas!V370="Grupo Interno CDEF - Equipe 2",20,IF(Atletas!V370="Duilian de Mãos EF - Equipe 1",21,IF(Atletas!V370="Duilian de Mãos EF - Equipe 2",22,IF(Atletas!V370="Duilian de Armas EF - Equipe 1",23,IF(Atletas!V370="Duilian de Armas EF - Equipe 2",24,IF(Atletas!V370="Duilian de Tuishou - Equipe 1",25,IF(Atletas!V370="Duilian de Tuishou - Equipe 2",26,"")))))))))))))))))))))))))))</f>
        <v/>
      </c>
    </row>
    <row r="375" spans="36:84">
      <c r="AJ375" s="46" t="str">
        <f>IF(Atletas!D371="","",IF(Atletas!B371="Feminino",100,IF(Atletas!B371="Masculino",200,""))+(IF(Atletas!D371="Infantil 39kg",1,IF(Atletas!D371="Infantil 42kg",2,IF(Atletas!D371="Infantil 45kg",3,IF(Atletas!D371="Infantil 48kg",4,IF(Atletas!D371="Infantil 52kg",5,IF(Atletas!D371="Infantil 56kg",6,IF(Atletas!D371="Infantil 60kg",7,IF(Atletas!D371="Juvenil 48kg",8,IF(Atletas!D371="Juvenil 52kg",9,IF(Atletas!D371="Juvenil 56kg",10,IF(Atletas!D371="Juvenil 60kg",11,IF(Atletas!D371="Juvenil 65kg",12,IF(Atletas!D371="Juvenil 70kg",13,IF(Atletas!D371="Juvenil 75kg",14,IF(Atletas!D371="Juvenil 80kg",15,IF(Atletas!D371="Adulto 48kg",16,IF(Atletas!D371="Adulto 52kg",17,IF(Atletas!D371="Adulto 56kg",18,IF(Atletas!D371="Adulto 60kg",19,IF(Atletas!D371="Adulto 65kg",20,IF(Atletas!D371="Adulto 70kg",21,IF(Atletas!D371="Adulto 75kg",22,IF(Atletas!D371="Adulto 80kg",23,IF(Atletas!D371="Adulto 85kg",24,IF(Atletas!D371="Adulto 90kg",25,IF(Atletas!D371="Adulto +90kg",26,""))))))))))))))))))))))))))))</f>
        <v/>
      </c>
      <c r="AO375" s="10" t="str">
        <f>IF(Atletas!E371="","",IF(Atletas!B371="Feminino",100,IF(Atletas!B371="Masculino",200,""))+(IF(Atletas!E371="Juvenil 44kg",1,IF(Atletas!E371="Juvenil 48kg",2,IF(Atletas!E371="Juvenil 52kg",3,IF(Atletas!E371="Juvenil 56kg",4,IF(Atletas!E371="Juvenil 60kg",5,IF(Atletas!E371="Juvenil 65kg",6,IF(Atletas!E371="Juvenil 70kg",7,IF(Atletas!E371="Juvenil 75kg",8,IF(Atletas!E371="Juvenil 82kg",9,IF(Atletas!E371="Juvenil 90kg",10,IF(Atletas!E371="Juvenil 100kg",11,IF(Atletas!E371="Adulto 48kg",12,IF(Atletas!E371="Adulto 52kg",13,IF(Atletas!E371="Adulto 56kg",14,IF(Atletas!E371="Adulto 60kg",15,IF(Atletas!E371="Adulto 65kg",16,IF(Atletas!E371="Adulto 70kg",17,IF(Atletas!E371="Adulto 75kg",18,IF(Atletas!E371="Adulto 82kg",19,IF(Atletas!E371="Adulto 90kg",20,IF(Atletas!E371="Adulto 100kg",21,IF(Atletas!E371="Adulto +100kg",22,""))))))))))))))))))))))))</f>
        <v/>
      </c>
      <c r="AT375" s="10" t="str">
        <f>IF(Atletas!F371="","",IF(Atletas!B371="Feminino",100,IF(Atletas!B371="Masculino",200,""))+(IF(Atletas!F371="Adulto 48kg",1,IF(Atletas!F371="Adulto 56kg",2,IF(Atletas!F371="Adulto 65kg",3,IF(Atletas!F371="Adulto 75kg",4,IF(Atletas!F371="Adulto +75kg",5,IF(Atletas!F371="Adulto 52kg",6,IF(Atletas!F371="Adulto 60kg",7,IF(Atletas!F371="Adulto 70kg",8,IF(Atletas!F371="Adulto 80kg",9,IF(Atletas!F371="Adulto 90kg",10,IF(Atletas!F371="Adulto +90kg",11,"")))))))))))))</f>
        <v/>
      </c>
      <c r="AY375" s="46" t="str">
        <f>IF(Atletas!G371="","",IF(Atletas!B371="Feminino",100,IF(Atletas!B371="Masculino",200,""))+(IF(Atletas!G371="Changquan Mirim",1,IF(Atletas!G371="Nanquan Mirim",2,IF(Atletas!G371="Taijiquan Mirim",3,IF(Atletas!G371="Changquan Grupo C",4,IF(Atletas!G371="Nanquan Grupo C",5,IF(Atletas!G371="Taijiquan Grupo C",6,IF(Atletas!G371="Changquan Grupo B",7,IF(Atletas!G371="Nanquan Grupo B",8,IF(Atletas!G371="Taijiquan Grupo B",9,IF(Atletas!G371="Changquan Grupo A",10,IF(Atletas!G371="Nanquan Grupo A",11,IF(Atletas!G371="Taijiquan Grupo A",12,IF(Atletas!G371="Changquan Opcional",13,IF(Atletas!G371="Nanquan Opcional",14,IF(Atletas!G371="Taijiquan Opcional",15,IF(Atletas!G371="Changquan Adulto",16,IF(Atletas!G371="Nanquan Adulto",17,IF(Atletas!G371="Taijiquan Adulto",18,""))))))))))))))))))))</f>
        <v/>
      </c>
      <c r="AZ375" s="46" t="str">
        <f>IF(Atletas!H371="","",IF(Atletas!B371="Feminino",100,IF(Atletas!B371="Masculino",200,""))+(IF(Atletas!H371="Daoshu Mirim",19,IF(Atletas!H371="Jianshu Mirim",20,IF(Atletas!H371="Nandao Mirim",21,IF(Atletas!H371="Taijijian Mirim",22,IF(Atletas!H371="Daoshu Grupo C",23,IF(Atletas!H371="Jianshu Grupo C",24,IF(Atletas!H371="Nandao Grupo C",25,IF(Atletas!H371="Taijijian Grupo C",26,IF(Atletas!H371="Daoshu Grupo B",27,IF(Atletas!H371="Jianshu Grupo B",28,IF(Atletas!H371="Nandao Grupo B",29,IF(Atletas!H371="Taijijian Grupo B",30,IF(Atletas!H371="Daoshu Grupo A",31,IF(Atletas!H371="Jianshu Grupo A",32,IF(Atletas!H371="Nandao Grupo A",33,IF(Atletas!H371="Taijijian Grupo A",34,IF(Atletas!H371="Daoshu Opcional",35,IF(Atletas!H371="Jianshu Opcional",36,IF(Atletas!H371="Nandao Opcional",37,IF(Atletas!H371="Taijijian Opcional",38,IF(Atletas!H371="Daoshu Adulto",39,IF(Atletas!H371="Jianshu Adulto",40,IF(Atletas!H371="Nandao Adulto",41,IF(Atletas!H371="Taijijian Adulto",42,""))))))))))))))))))))))))))</f>
        <v/>
      </c>
      <c r="BA375" s="46" t="str">
        <f>IF(Atletas!I371="","",IF(Atletas!B371="Feminino",100,IF(Atletas!B371="Masculino",200,""))+(IF(Atletas!I371="Gunshu Mirim",43,IF(Atletas!I371="Qiangshu Mirim",44,IF(Atletas!I371="Nangun Mirim",45,IF(Atletas!I371="Gunshu Grupo C",46,IF(Atletas!I371="Qiangshu Grupo C",47,IF(Atletas!I371="Nangun Grupo C",48,IF(Atletas!I371="Gunshu Grupo B",49,IF(Atletas!I371="Qiangshu Grupo B",50,IF(Atletas!I371="Nangun Grupo B",51,IF(Atletas!I371="Gunshu Grupo A",52,IF(Atletas!I371="Qiangshu Grupo A",53,IF(Atletas!I371="Nangun Grupo A",54,IF(Atletas!I371="Gunshu Opcional",55,IF(Atletas!I371="Qiangshu Opcional",56,IF(Atletas!I371="Nangun Opcional",57,IF(Atletas!I371="Gunshu Adulto",58,IF(Atletas!I371="Qiangshu Adulto",59,IF(Atletas!I371="Nangun Adulto",60,""))))))))))))))))))))</f>
        <v/>
      </c>
      <c r="BF375" s="52" t="str">
        <f>IF(Atletas!J371="","",IF(Atletas!B371="Feminino",100,IF(Atletas!B371="Masculino",200,""))+(IF(Atletas!J371="Equipe 1 Grupo B",1,IF(Atletas!J371="Equipe 2 Grupo B",2,IF(Atletas!J371="Equipe 1 Grupo A",3,IF(Atletas!J371="Equipe 2 Grupo A",4,IF(Atletas!J371="Equipe 1 Adulto",5,IF(Atletas!J371="Equipe 2 Adulto",6,""))))))))</f>
        <v/>
      </c>
      <c r="BK375" s="52" t="str">
        <f>IF(Atletas!K371="","",IF(Atletas!W371&lt;&gt;"",10000,0)+(IF(Atletas!B371="Feminino",1000,IF(Atletas!B371="Masculino",2000,""))+IF(Atletas!K371="Choylayfut A",1,IF(Atletas!K371="Hunggar A",2,IF(Atletas!K371="Wuzuquan A",3,IF(Atletas!K371="Wingchun A",4,IF(Atletas!K371="Outra Mão de Sul A",5,IF(Atletas!K371="Choylayfut B",6,IF(Atletas!K371="Hunggar B",7,IF(Atletas!K371="Wuzuquan B",8,IF(Atletas!K371="Wingchun B",9,IF(Atletas!K371="Outra Mão de Sul B",10,IF(Atletas!K371="Choylayfut C",11,IF(Atletas!K371="Hunggar C",12,IF(Atletas!K371="Wuzuquan C",13,IF(Atletas!K371="Wingchun C",14,IF(Atletas!K371="Outra Mão de Sul C",15,IF(Atletas!K371="Choylayfut D",16,IF(Atletas!K371="Hunggar D",17,IF(Atletas!K371="Wuzuquan D",18,IF(Atletas!K371="Wingchun D",19,IF(Atletas!K371="Outra Mão de Sul D",20,IF(Atletas!K371="Choylayfut E",21,IF(Atletas!K371="Hunggar E",22,IF(Atletas!K371="Wuzuquan E",23,IF(Atletas!K371="Wingchun E",24,IF(Atletas!K371="Outra Mão de Sul E",25,IF(Atletas!K371="Choylayfut F",26,IF(Atletas!K371="Hunggar F",27,IF(Atletas!K371="Wuzuquan F",28,IF(Atletas!K371="Wingchun F",29,IF(Atletas!K371="Outra Mão de Sul F",30,""))))))))))))))))))))))))))))))))</f>
        <v/>
      </c>
      <c r="BL375" s="52" t="str">
        <f>IF(Atletas!L371="","",IF(Atletas!W371&lt;&gt;"",10000,0)+(IF(Atletas!B371="Feminino",1000,IF(Atletas!B371="Masculino",2000,""))+(IF(Atletas!L371="Chaquan A",101,IF(Atletas!L371="Emeiquan A",102,IF(Atletas!L371="Fanziquan A",103,IF(Atletas!L371="Huaquan A",104,IF(Atletas!L371="Hongquan A",105,IF(Atletas!L371="Paochui A",106,IF(Atletas!L371="Piguaquan A",107,IF(Atletas!L371="Shaolinquan A",108,IF(Atletas!L371="Tanglangquan A",109,IF(Atletas!L371="Yinzhaophai A",110,IF(Atletas!L371="Tongbeiquan A",111,IF(Atletas!L371="Wudangquan A",112,IF(Atletas!L371="Outros Estilos A",113,IF(Atletas!L371="Chaquan B",114,IF(Atletas!L371="Emeiquan B",115,IF(Atletas!L371="Fanziquan B",116,IF(Atletas!L371="Huaquan B",117,IF(Atletas!L371="Hongquan B",118,IF(Atletas!L371="Paochui B",119,IF(Atletas!L371="Piguaquan B",120,IF(Atletas!L371="Shaolinquan B",121,IF(Atletas!L371="Tanglangquan B",122,IF(Atletas!L371="Yinzhaophai B",123,IF(Atletas!L371="Tongbeiquan B",124,IF(Atletas!L371="Wudangquan B",125,IF(Atletas!L371="Outros Estilos B",126,IF(Atletas!L371="Chaquan C",127,IF(Atletas!L371="Emeiquan C",128,IF(Atletas!L371="Fanziquan C",129,IF(Atletas!L371="Huaquan C",130,IF(Atletas!L371="Hongquan C",131,IF(Atletas!L371="Paochui C",132,IF(Atletas!L371="Piguaquan C",133,IF(Atletas!L371="Shaolinquan C",134,IF(Atletas!L371="Tanglangquan C",135,IF(Atletas!L371="Yinzhaophai C",136,IF(Atletas!L371="Tongbeiquan C",137,IF(Atletas!L371="Wudangquan C",138,IF(Atletas!L371="Outros Estilos C",139,0))))))))))))))))))))))))))))))))))))))))))</f>
        <v/>
      </c>
      <c r="BM375" s="52" t="str">
        <f>IF(Atletas!L371="","",IF(Atletas!W371&lt;&gt;"",10000,0)+(IF(Atletas!B371="Feminino",1000,IF(Atletas!B371="Masculino",2000,""))+(IF(Atletas!L371="Chaquan D",140,IF(Atletas!L371="Emeiquan D",141,IF(Atletas!L371="Fanziquan D",142,IF(Atletas!L371="Huaquan D",143,IF(Atletas!L371="Hongquan D",144,IF(Atletas!L371="Paochui D",145,IF(Atletas!L371="Piguaquan D",146,IF(Atletas!L371="Shaolinquan D",147,IF(Atletas!L371="Tanglangquan D",148,IF(Atletas!L371="Yinzhaophai D",149,IF(Atletas!L371="Tongbeiquan D",150,IF(Atletas!L371="Wudangquan D",151,IF(Atletas!L371="Outros Estilos D",152,IF(Atletas!L371="Chaquan E",153,IF(Atletas!L371="Emeiquan E",154,IF(Atletas!L371="Fanziquan E",155,IF(Atletas!L371="Huaquan E",156,IF(Atletas!L371="Hongquan E",157,IF(Atletas!L371="Paochui E",158,IF(Atletas!L371="Piguaquan E",159,IF(Atletas!L371="Shaolinquan E",160,IF(Atletas!L371="Tanglangquan E",161,IF(Atletas!L371="Yinzhaophai E",162,IF(Atletas!L371="Tongbeiquan E",163,IF(Atletas!L371="Wudangquan E",164,IF(Atletas!L371="Outros Estilos E",165,IF(Atletas!L371="Chaquan F",166,IF(Atletas!L371="Emeiquan F",167,IF(Atletas!L371="Fanziquan F",168,IF(Atletas!L371="Huaquan F",169,IF(Atletas!L371="Hongquan F",170,IF(Atletas!L371="Paochui F",171,IF(Atletas!L371="Piguaquan F",172,IF(Atletas!L371="Shaolinquan F",173,IF(Atletas!L371="Tanglangquan F",174,IF(Atletas!L371="Yinzhaophai F",175,IF(Atletas!L371="Tongbeiquan F",176,IF(Atletas!L371="Wudangquan F",177,IF(Atletas!L371="Outros Estilos F",178,0))))))))))))))))))))))))))))))))))))))))))</f>
        <v/>
      </c>
      <c r="BN375" s="52" t="str">
        <f>IF(Atletas!M371="","",IF(Atletas!W371&lt;&gt;"",10000,0)+(IF(Atletas!B371="Feminino",1000,IF(Atletas!B371="Masculino",2000,""))+(IF(Atletas!M371="Ditangquan A",201,IF(Atletas!M371="Houquan A",202,IF(Atletas!M371="Zuiquan A",203,IF(Atletas!M371="Ditangquan B",204,IF(Atletas!M371="Houquan B",205,IF(Atletas!M371="Zuiquan B",206,IF(Atletas!M371="Ditangquan C",207,IF(Atletas!M371="Houquan C",208,IF(Atletas!M371="Zuiquan C",209,IF(Atletas!M371="Ditangquan D",210,IF(Atletas!M371="Houquan D",211,IF(Atletas!M371="Zuiquan D",212,IF(Atletas!M371="Ditangquan E",213,IF(Atletas!M371="Houquan E",214,IF(Atletas!M371="Zuiquan E",215,IF(Atletas!M371="Ditangquan F",216,IF(Atletas!M371="Houquan F",217,IF(Atletas!M371="Zuiquan F",218,"")))))))))))))))))))))</f>
        <v/>
      </c>
      <c r="BO375" s="52" t="str">
        <f>IF(Atletas!N371="","",IF(Atletas!W371&lt;&gt;"",10000,0)+IF(Atletas!B371="Feminino",1000,IF(Atletas!B371="Masculino",2000,""))+IF(Atletas!N371="Yang A",301,IF(Atletas!N371="Chen A",30,IF(Atletas!N371="Sun A",303,IF(Atletas!N371="Wu A",304,IF(Atletas!N371="Wu-Hao A",305,IF(Atletas!N371="Outro Taijiquan A",306,IF(Atletas!N371="Yang B",307,IF(Atletas!N371="Chen B",308,IF(Atletas!N371="Sun B",309,IF(Atletas!N371="Wu B",310,IF(Atletas!N371="Wu-Hao B",311,IF(Atletas!N371="Outro Taijiquan B",312,IF(Atletas!N371="Yang C",313,IF(Atletas!N371="Chen C",314,IF(Atletas!N371="Sun C",315,IF(Atletas!N371="Wu C",316,IF(Atletas!N371="Wu-Hao C",317,IF(Atletas!N371="Outro Taijiquan C",318,IF(Atletas!N371="Yang D",319,IF(Atletas!N371="Chen D",320,IF(Atletas!N371="Sun D",321,IF(Atletas!N371="Wu D",322,IF(Atletas!N371="Wu-Hao D",323,IF(Atletas!N371="Outro Taijiquan D",324,IF(Atletas!N371="Yang E",325,IF(Atletas!N371="Chen E",326,IF(Atletas!N371="Sun E",327,IF(Atletas!N371="Wu E",328,IF(Atletas!N371="Wu-Hao E",329,IF(Atletas!N371="Outro Taijiquan E",330,IF(Atletas!N371="Yang F",331,IF(Atletas!N371="Chen F",332,IF(Atletas!N371="Sun F",333,IF(Atletas!N371="Wu F",334,IF(Atletas!N371="Wu-Hao F",335,IF(Atletas!N371="Outro Taijiquan F",336,"")))))))))))))))))))))))))))))))))))))</f>
        <v/>
      </c>
      <c r="BP375" s="52" t="str">
        <f>IF(Atletas!O371="","",IF(Atletas!W371&lt;&gt;"",10000,0)+IF(Atletas!B371="Feminino",1000,IF(Atletas!B371="Masculino",2000,""))+IF(OR(Atletas!O371="Yang 26 A",Atletas!O371="Yang 40 A"),401,IF(OR(Atletas!O371="Chen 25 A",Atletas!O371="Chen 36 A",Atletas!O371="Chen 56 A"),402,IF(Atletas!O371="Sun 73 A",403,IF(Atletas!O371="Wu 45 A",404,IF(Atletas!O371="Wu-Hao 46 A",405,IF(OR(Atletas!O371="Taijiquan 16 A",Atletas!O371="Taijiquan 24 A",Atletas!O371="Taijiquan 32 A",Atletas!O371="Taijiquan 42 A"),406,IF(OR(Atletas!O371="Yang 26 B",Atletas!O371="Yang 40 B"),407,IF(OR(Atletas!O371="Chen 25 B",Atletas!O371="Chen 36 B",Atletas!O371="Chen 56 B"),408,IF(Atletas!O371="Sun 73 B",409,IF(Atletas!O371="Wu 45 B",410,IF(Atletas!O371="Wu-Hao 46 B",411,IF(OR(Atletas!O371="Taijiquan 16 B",Atletas!O371="Taijiquan 24 B",Atletas!O371="Taijiquan 32 B",Atletas!O371="Taijiquan 42 B"),412,IF(OR(Atletas!O371="Yang 26 C",Atletas!O371="Yang 40 C"),413,IF(OR(Atletas!O371="Chen 25 C",Atletas!O371="Chen 36 C",Atletas!O371="Chen 56 C"),414,IF(Atletas!O371="Sun 73 C",415,IF(Atletas!O371="Wu 45 C",416,IF(Atletas!O371="Wu-Hao 46 C",417,IF(OR(Atletas!O371="Taijiquan 16 C",Atletas!O371="Taijiquan 24 C",Atletas!O371="Taijiquan 32 C",Atletas!O371="Taijiquan 42 C"),418,0)))))))))))))))))))</f>
        <v/>
      </c>
      <c r="BQ375" s="52" t="str">
        <f>IF(Atletas!O371="","",IF(Atletas!W371&lt;&gt;"",10000,0)+IF(Atletas!B371="Feminino",1000,IF(Atletas!B371="Masculino",2000,""))+IF(OR(Atletas!O371="Yang 26 D",Atletas!O371="Yang 40 D"),419,IF(OR(Atletas!O371="Chen 25 D",Atletas!O371="Chen 36 D",Atletas!O371="Chen 56 D"),420,IF(Atletas!O371="Sun 73 D",421,IF(Atletas!O371="Wu 45 D",422,IF(Atletas!O371="Wu-Hao 46 D",423,IF(OR(Atletas!O371="Taijiquan 16 D",Atletas!O371="Taijiquan 24 D",Atletas!O371="Taijiquan 32 D",Atletas!O371="Taijiquan 42 D"),424,IF(OR(Atletas!O371="Yang 26 E",Atletas!O371="Yang 40 E"),425,IF(OR(Atletas!O371="Chen 25 E",Atletas!O371="Chen 36 E",Atletas!O371="Chen 56 E"),426,IF(Atletas!O371="Sun 73 E",427,IF(Atletas!O371="Wu 45 E",428,IF(Atletas!O371="Wu-Hao 46 E",429,IF(OR(Atletas!O371="Taijiquan 16 E",Atletas!O371="Taijiquan 24 E",Atletas!O371="Taijiquan 32 E",Atletas!O371="Taijiquan 42 E"),430,IF(OR(Atletas!O371="Yang 26 F",Atletas!O371="Yang 40 F"),431,IF(OR(Atletas!O371="Chen 25 F",Atletas!O371="Chen 36 F",Atletas!O371="Chen 56 F"),432,IF(Atletas!O371="Sun 73 F",433,IF(Atletas!O371="Wu 45 F",434,IF(Atletas!O371="Wu-Hao 46 F",435,IF(OR(Atletas!O371="Taijiquan 16 F",Atletas!O371="Taijiquan 24 F",Atletas!O371="Taijiquan 32 F",Atletas!O371="Taijiquan 42 F"),436,0)))))))))))))))))))</f>
        <v/>
      </c>
      <c r="BR375" s="52" t="str">
        <f>IF(Atletas!P371="","",IF(Atletas!W371&lt;&gt;"",10000,0)+IF(Atletas!B371="Feminino",1000,IF(Atletas!B371="Masculino",2000,""))+IF(Atletas!P371="Xingyiquan A",501,IF(Atletas!P371="Baguazhang A",502,IF(Atletas!P371="Outro Estilo Interno A",503,IF(Atletas!P371="Xingyiquan B",504,IF(Atletas!P371="Baguazhang B",505,IF(Atletas!P371="Outro Estilo Interno B",506,IF(Atletas!P371="Xingyiquan C",507,IF(Atletas!P371="Baguazhang C",508,IF(Atletas!P371="Outro Estilo Interno C",509,IF(Atletas!P371="Xingyiquan D",510,IF(Atletas!P371="Baguazhang D",511,IF(Atletas!P371="Outro Estilo Interno D",512,IF(Atletas!P371="Xingyiquan E",513,IF(Atletas!P371="Baguazhang E",514,IF(Atletas!P371="Outro Estilo Interno E",515,IF(Atletas!P371="Xingyiquan F",516,IF(Atletas!P371="Baguazhang F",517,IF(Atletas!P371="Outro Estilo Interno F",518, "")))))))))))))))))))</f>
        <v/>
      </c>
      <c r="BS375" s="52" t="str">
        <f>IF(Atletas!Q371="","",IF(Atletas!W371&lt;&gt;"",10000,0)+IF(Atletas!B371="Feminino",1000,IF(Atletas!B371="Masculino",2000,""))+IF(Atletas!Q371="Dao A",601,IF(Atletas!Q371="Jian A",602,IF(Atletas!Q371="Bishou A",603,IF(Atletas!Q371="Shan A",604,IF(Atletas!Q371="Outra Arma Curta A",605,IF(Atletas!Q371="Dao B",606,IF(Atletas!Q371="Jian B",607,IF(Atletas!Q371="Bishou B",608,IF(Atletas!Q371="Shan B",609,IF(Atletas!Q371="Outra Arma Curta B",610,IF(Atletas!Q371="Dao C",611,IF(Atletas!Q371="Jian C",612,IF(Atletas!Q371="Bishou C",613,IF(Atletas!Q371="Shan C",614,IF(Atletas!Q371="Outra Arma Curta C",615,IF(Atletas!Q371="Dao D",616,IF(Atletas!Q371="Jian D",617,IF(Atletas!Q371="Bishou D",618,IF(Atletas!Q371="Shan D",619,IF(Atletas!Q371="Outra Arma Curta D",620,IF(Atletas!Q371="Dao E",621,IF(Atletas!Q371="Jian E",622,IF(Atletas!Q371="Bishou E",623,IF(Atletas!Q371="Shan E",624,IF(Atletas!Q371="Outra Arma Curta E",625,IF(Atletas!Q371="Dao F",626,IF(Atletas!Q371="Jian F",627,IF(Atletas!Q371="Bishou F",628,IF(Atletas!Q371="Shan F",629,IF(Atletas!Q371="Outra Arma Curta F",630, "")))))))))))))))))))))))))))))))</f>
        <v/>
      </c>
      <c r="BT375" s="52" t="str">
        <f>IF(Atletas!R371="","",IF(Atletas!W371&lt;&gt;"",10000,0)+IF(Atletas!B371="Feminino",1000,IF(Atletas!B371="Masculino",2000,""))+IF(Atletas!R371="Gun A",701,IF(Atletas!R371="Qiang A",702,IF(Atletas!R371="Pudao / Guandao A",703,IF(Atletas!R371="Outra Arma Longa A",704,IF(Atletas!R371="Gun B",705,IF(Atletas!R371="Qiang B",706,IF(Atletas!R371="Pudao / Guandao B",707,IF(Atletas!R371="Outra Arma Longa B",708,IF(Atletas!R371="Gun C",709,IF(Atletas!R371="Qiang C",710,IF(Atletas!R371="Pudao / Guandao C",711,IF(Atletas!R371="Outra Arma Longa C",712,IF(Atletas!R371="Gun D",713,IF(Atletas!R371="Qiang D",714,IF(Atletas!R371="Pudao / Guandao D",715,IF(Atletas!R371="Outra Arma Longa D",716,IF(Atletas!R371="Gun E",717,IF(Atletas!R371="Qiang E",718,IF(Atletas!R371="Pudao / Guandao E",719,IF(Atletas!R371="Outra Arma Longa E",720,IF(Atletas!R371="Gun F",721,IF(Atletas!R371="Qiang F",722,IF(Atletas!R371="Pudao / Guandao F",723,IF(Atletas!R371="Outra Arma Longa F",724,"")))))))))))))))))))))))))</f>
        <v/>
      </c>
      <c r="BU375" s="52" t="str">
        <f>IF(Atletas!S371="","",IF(Atletas!W371&lt;&gt;"",10000,0)+IF(Atletas!B371="Feminino",1000,IF(Atletas!B371="Masculino",2000,""))+IF(Atletas!S371="Arma Dupla A",801,IF(Atletas!S371="Arma Maleável A",802,IF(Atletas!S371="Arma Dupla B",803,IF(Atletas!S371="Arma Maleável B",804,IF(Atletas!S371="Arma Dupla C",805,IF(Atletas!S371="Arma Maleável C",806,IF(Atletas!S371="Arma Dupla D",807,IF(Atletas!S371="Arma Maleável D",808,IF(Atletas!S371="Arma Dupla E",809,IF(Atletas!S371="Arma Maleável E",810,IF(Atletas!S371="Arma Dupla F",811,IF(Atletas!S371="Arma Maleável F",812, "")))))))))))))</f>
        <v/>
      </c>
      <c r="BV375" s="52" t="str">
        <f>IF(Atletas!T371="","",IF(Atletas!W371&lt;&gt;"",10000,0)+IF(Atletas!B371="Feminino",1000,IF(Atletas!B371="Masculino",2000,""))+IF(Atletas!T371="Taijijian Yang A",901,IF(Atletas!T371="Taijijian Chen A",902,IF(Atletas!T371="Taijijian Sun A",903,IF(Atletas!T371="Taijijian Wu A",904,IF(Atletas!T371="Taijijian Wu-Hao A",905,IF(Atletas!T371="Taijijian 32 A",906,IF(Atletas!T371="Taijijian 42 A",907,IF(Atletas!T371="Taijijian Yang B",908,IF(Atletas!T371="Taijijian Chen B",909,IF(Atletas!T371="Taijijian Sun B",910,IF(Atletas!T371="Taijijian Wu B",911,IF(Atletas!T371="Taijijian Wu-Hao B",912,IF(Atletas!T371="Taijijian 32 B",913,IF(Atletas!T371="Taijijian 42 B",914,IF(Atletas!T371="Taijijian Yang C",915,IF(Atletas!T371="Taijijian Chen C",916,IF(Atletas!T371="Taijijian Sun C",917,IF(Atletas!T371="Taijijian Wu C",918,IF(Atletas!T371="Taijijian Wu-Hao C",919,IF(Atletas!T371="Taijijian 32 C",920,IF(Atletas!T371="Taijijian 42 C",921,IF(Atletas!T371="Taijijian Yang D",922,IF(Atletas!T371="Taijijian Chen D",923,IF(Atletas!T371="Taijijian Sun D",924,IF(Atletas!T371="Taijijian Wu D",925,IF(Atletas!T371="Taijijian Wu-Hao D",926,IF(Atletas!T371="Taijijian 32 D",927,IF(Atletas!T371="Taijijian 42 D",928,IF(Atletas!T371="Taijijian Yang E",929,IF(Atletas!T371="Taijijian Chen E",930,IF(Atletas!T371="Taijijian Sun E",931,IF(Atletas!T371="Taijijian Wu E",932,IF(Atletas!T371="Taijijian Wu-Hao E",933,IF(Atletas!T371="Taijijian 32 E",934,IF(Atletas!T371="Taijijian 42 E",935,IF(Atletas!T371="Taijijian Yang F",936,IF(Atletas!T371="Taijijian Chen F",937,IF(Atletas!T371="Taijijian Sun F",938,IF(Atletas!T371="Taijijian Wu F",939,IF(Atletas!T371="Taijijian Wu-Hao F",940,IF(Atletas!T371="Taijijian 32 F",941,IF(Atletas!T371="Taijijian 42 F",942,"")))))))))))))))))))))))))))))))))))))))))))</f>
        <v/>
      </c>
      <c r="BW375" s="52" t="str">
        <f>IF(Atletas!U371="","",IF(Atletas!W371&lt;&gt;"",10000,0)+IF(Atletas!B371="Feminino",1000,IF(Atletas!B371="Masculino",2000,""))+IF(Atletas!T371="Taijijian 42 F",942,IF(Atletas!U371="Taijidao A",943,IF(Atletas!U371="Taijishan A",944,IF(Atletas!U371="Taijiqiang A",945,IF(Atletas!U371="Taijidao B",946,IF(Atletas!U371="Taijishan B",947,IF(Atletas!U371="Taijiqiang B",948,IF(Atletas!U371="Taijidao C",949,IF(Atletas!U371="Taijishan C",950,IF(Atletas!U371="Taijiqiang C",951,IF(Atletas!U371="Taijidao D",952,IF(Atletas!U371="Taijishan D",953,IF(Atletas!U371="Taijiqiang D",954,IF(Atletas!U371="Taijidao E",955,IF(Atletas!U371="Taijishan E",956,IF(Atletas!U371="Taijiqiang E",957,IF(Atletas!U371="Taijidao F",958,IF(Atletas!U371="Taijishan F",959,IF(Atletas!U371="Taijiqiang F",960))))))))))))))))))))</f>
        <v/>
      </c>
      <c r="CB375" s="64" t="str">
        <f>IF(CC375&lt;&gt;"","Taijijian 32 D","")</f>
        <v/>
      </c>
      <c r="CC375" s="64" t="str">
        <f>IF(COUNTIF(BK:BW,11927)&gt;0,COUNTIF(BK:BW,11927),"")</f>
        <v/>
      </c>
      <c r="CD375" s="64" t="str">
        <f>IF(CE375&lt;&gt;"","Taijijian 32 D","")</f>
        <v/>
      </c>
      <c r="CE375" s="64" t="str">
        <f>IF(COUNTIF(BK:BW,12927)&gt;0,COUNTIF(BK:BW,12927),"")</f>
        <v/>
      </c>
      <c r="CF375" s="52" t="str">
        <f xml:space="preserve"> IF(Atletas!V371="","",IF(Atletas!V371="Duilian de Mãos AB - Equipe 1",1,IF(Atletas!V371="Duilian de Mãos AB - Equipe 2",2,IF(Atletas!V371="Duilian de Armas AB - Equipe 1",3,IF(Atletas!V371="Duilian de Armas AB - Equipe 2",4,IF(Atletas!V371="Duilian de Tuishou - Equipe 1",5,IF(Atletas!V371="Duilian de Tuishou - Equipe 2",6,IF(Atletas!V371="Grupo Externo AB - Equipe 1",7,IF(Atletas!V371="Grupo Externo AB - Equipe 2",8,IF(Atletas!V371="Grupo Interno AB - Equipe 1",9,IF(Atletas!V371="Grupo Interno AB - Equipe 2",10,IF(Atletas!V371="Duilian de Mãos CD - Equipe 1",11,IF(Atletas!V371="Duilian de Mãos CD - Equipe 2",12,IF(Atletas!V371="Duilian de Armas CD - Equipe 1",13,IF(Atletas!V371="Duilian de Armas CD - Equipe 2",14,IF(Atletas!V371="Duilian de Tuishou - Equipe 1",15,IF(Atletas!V371="Duilian de Tuishou - Equipe 2",16,IF(Atletas!V371="Grupo Externo CDEF - Equipe 1",17,IF(Atletas!V371="Grupo Externo CDEF - Equipe 2",18,IF(Atletas!V371="Grupo Interno CDEF - Equipe 1",19,IF(Atletas!V371="Grupo Interno CDEF - Equipe 2",20,IF(Atletas!V371="Duilian de Mãos EF - Equipe 1",21,IF(Atletas!V371="Duilian de Mãos EF - Equipe 2",22,IF(Atletas!V371="Duilian de Armas EF - Equipe 1",23,IF(Atletas!V371="Duilian de Armas EF - Equipe 2",24,IF(Atletas!V371="Duilian de Tuishou - Equipe 1",25,IF(Atletas!V371="Duilian de Tuishou - Equipe 2",26,"")))))))))))))))))))))))))))</f>
        <v/>
      </c>
    </row>
    <row r="376" spans="36:84">
      <c r="AJ376" s="46" t="str">
        <f>IF(Atletas!D372="","",IF(Atletas!B372="Feminino",100,IF(Atletas!B372="Masculino",200,""))+(IF(Atletas!D372="Infantil 39kg",1,IF(Atletas!D372="Infantil 42kg",2,IF(Atletas!D372="Infantil 45kg",3,IF(Atletas!D372="Infantil 48kg",4,IF(Atletas!D372="Infantil 52kg",5,IF(Atletas!D372="Infantil 56kg",6,IF(Atletas!D372="Infantil 60kg",7,IF(Atletas!D372="Juvenil 48kg",8,IF(Atletas!D372="Juvenil 52kg",9,IF(Atletas!D372="Juvenil 56kg",10,IF(Atletas!D372="Juvenil 60kg",11,IF(Atletas!D372="Juvenil 65kg",12,IF(Atletas!D372="Juvenil 70kg",13,IF(Atletas!D372="Juvenil 75kg",14,IF(Atletas!D372="Juvenil 80kg",15,IF(Atletas!D372="Adulto 48kg",16,IF(Atletas!D372="Adulto 52kg",17,IF(Atletas!D372="Adulto 56kg",18,IF(Atletas!D372="Adulto 60kg",19,IF(Atletas!D372="Adulto 65kg",20,IF(Atletas!D372="Adulto 70kg",21,IF(Atletas!D372="Adulto 75kg",22,IF(Atletas!D372="Adulto 80kg",23,IF(Atletas!D372="Adulto 85kg",24,IF(Atletas!D372="Adulto 90kg",25,IF(Atletas!D372="Adulto +90kg",26,""))))))))))))))))))))))))))))</f>
        <v/>
      </c>
      <c r="AO376" s="10" t="str">
        <f>IF(Atletas!E372="","",IF(Atletas!B372="Feminino",100,IF(Atletas!B372="Masculino",200,""))+(IF(Atletas!E372="Juvenil 44kg",1,IF(Atletas!E372="Juvenil 48kg",2,IF(Atletas!E372="Juvenil 52kg",3,IF(Atletas!E372="Juvenil 56kg",4,IF(Atletas!E372="Juvenil 60kg",5,IF(Atletas!E372="Juvenil 65kg",6,IF(Atletas!E372="Juvenil 70kg",7,IF(Atletas!E372="Juvenil 75kg",8,IF(Atletas!E372="Juvenil 82kg",9,IF(Atletas!E372="Juvenil 90kg",10,IF(Atletas!E372="Juvenil 100kg",11,IF(Atletas!E372="Adulto 48kg",12,IF(Atletas!E372="Adulto 52kg",13,IF(Atletas!E372="Adulto 56kg",14,IF(Atletas!E372="Adulto 60kg",15,IF(Atletas!E372="Adulto 65kg",16,IF(Atletas!E372="Adulto 70kg",17,IF(Atletas!E372="Adulto 75kg",18,IF(Atletas!E372="Adulto 82kg",19,IF(Atletas!E372="Adulto 90kg",20,IF(Atletas!E372="Adulto 100kg",21,IF(Atletas!E372="Adulto +100kg",22,""))))))))))))))))))))))))</f>
        <v/>
      </c>
      <c r="AT376" s="10" t="str">
        <f>IF(Atletas!F372="","",IF(Atletas!B372="Feminino",100,IF(Atletas!B372="Masculino",200,""))+(IF(Atletas!F372="Adulto 48kg",1,IF(Atletas!F372="Adulto 56kg",2,IF(Atletas!F372="Adulto 65kg",3,IF(Atletas!F372="Adulto 75kg",4,IF(Atletas!F372="Adulto +75kg",5,IF(Atletas!F372="Adulto 52kg",6,IF(Atletas!F372="Adulto 60kg",7,IF(Atletas!F372="Adulto 70kg",8,IF(Atletas!F372="Adulto 80kg",9,IF(Atletas!F372="Adulto 90kg",10,IF(Atletas!F372="Adulto +90kg",11,"")))))))))))))</f>
        <v/>
      </c>
      <c r="AY376" s="46" t="str">
        <f>IF(Atletas!G372="","",IF(Atletas!B372="Feminino",100,IF(Atletas!B372="Masculino",200,""))+(IF(Atletas!G372="Changquan Mirim",1,IF(Atletas!G372="Nanquan Mirim",2,IF(Atletas!G372="Taijiquan Mirim",3,IF(Atletas!G372="Changquan Grupo C",4,IF(Atletas!G372="Nanquan Grupo C",5,IF(Atletas!G372="Taijiquan Grupo C",6,IF(Atletas!G372="Changquan Grupo B",7,IF(Atletas!G372="Nanquan Grupo B",8,IF(Atletas!G372="Taijiquan Grupo B",9,IF(Atletas!G372="Changquan Grupo A",10,IF(Atletas!G372="Nanquan Grupo A",11,IF(Atletas!G372="Taijiquan Grupo A",12,IF(Atletas!G372="Changquan Opcional",13,IF(Atletas!G372="Nanquan Opcional",14,IF(Atletas!G372="Taijiquan Opcional",15,IF(Atletas!G372="Changquan Adulto",16,IF(Atletas!G372="Nanquan Adulto",17,IF(Atletas!G372="Taijiquan Adulto",18,""))))))))))))))))))))</f>
        <v/>
      </c>
      <c r="AZ376" s="46" t="str">
        <f>IF(Atletas!H372="","",IF(Atletas!B372="Feminino",100,IF(Atletas!B372="Masculino",200,""))+(IF(Atletas!H372="Daoshu Mirim",19,IF(Atletas!H372="Jianshu Mirim",20,IF(Atletas!H372="Nandao Mirim",21,IF(Atletas!H372="Taijijian Mirim",22,IF(Atletas!H372="Daoshu Grupo C",23,IF(Atletas!H372="Jianshu Grupo C",24,IF(Atletas!H372="Nandao Grupo C",25,IF(Atletas!H372="Taijijian Grupo C",26,IF(Atletas!H372="Daoshu Grupo B",27,IF(Atletas!H372="Jianshu Grupo B",28,IF(Atletas!H372="Nandao Grupo B",29,IF(Atletas!H372="Taijijian Grupo B",30,IF(Atletas!H372="Daoshu Grupo A",31,IF(Atletas!H372="Jianshu Grupo A",32,IF(Atletas!H372="Nandao Grupo A",33,IF(Atletas!H372="Taijijian Grupo A",34,IF(Atletas!H372="Daoshu Opcional",35,IF(Atletas!H372="Jianshu Opcional",36,IF(Atletas!H372="Nandao Opcional",37,IF(Atletas!H372="Taijijian Opcional",38,IF(Atletas!H372="Daoshu Adulto",39,IF(Atletas!H372="Jianshu Adulto",40,IF(Atletas!H372="Nandao Adulto",41,IF(Atletas!H372="Taijijian Adulto",42,""))))))))))))))))))))))))))</f>
        <v/>
      </c>
      <c r="BA376" s="46" t="str">
        <f>IF(Atletas!I372="","",IF(Atletas!B372="Feminino",100,IF(Atletas!B372="Masculino",200,""))+(IF(Atletas!I372="Gunshu Mirim",43,IF(Atletas!I372="Qiangshu Mirim",44,IF(Atletas!I372="Nangun Mirim",45,IF(Atletas!I372="Gunshu Grupo C",46,IF(Atletas!I372="Qiangshu Grupo C",47,IF(Atletas!I372="Nangun Grupo C",48,IF(Atletas!I372="Gunshu Grupo B",49,IF(Atletas!I372="Qiangshu Grupo B",50,IF(Atletas!I372="Nangun Grupo B",51,IF(Atletas!I372="Gunshu Grupo A",52,IF(Atletas!I372="Qiangshu Grupo A",53,IF(Atletas!I372="Nangun Grupo A",54,IF(Atletas!I372="Gunshu Opcional",55,IF(Atletas!I372="Qiangshu Opcional",56,IF(Atletas!I372="Nangun Opcional",57,IF(Atletas!I372="Gunshu Adulto",58,IF(Atletas!I372="Qiangshu Adulto",59,IF(Atletas!I372="Nangun Adulto",60,""))))))))))))))))))))</f>
        <v/>
      </c>
      <c r="BF376" s="52" t="str">
        <f>IF(Atletas!J372="","",IF(Atletas!B372="Feminino",100,IF(Atletas!B372="Masculino",200,""))+(IF(Atletas!J372="Equipe 1 Grupo B",1,IF(Atletas!J372="Equipe 2 Grupo B",2,IF(Atletas!J372="Equipe 1 Grupo A",3,IF(Atletas!J372="Equipe 2 Grupo A",4,IF(Atletas!J372="Equipe 1 Adulto",5,IF(Atletas!J372="Equipe 2 Adulto",6,""))))))))</f>
        <v/>
      </c>
      <c r="BK376" s="52" t="str">
        <f>IF(Atletas!K372="","",IF(Atletas!W372&lt;&gt;"",10000,0)+(IF(Atletas!B372="Feminino",1000,IF(Atletas!B372="Masculino",2000,""))+IF(Atletas!K372="Choylayfut A",1,IF(Atletas!K372="Hunggar A",2,IF(Atletas!K372="Wuzuquan A",3,IF(Atletas!K372="Wingchun A",4,IF(Atletas!K372="Outra Mão de Sul A",5,IF(Atletas!K372="Choylayfut B",6,IF(Atletas!K372="Hunggar B",7,IF(Atletas!K372="Wuzuquan B",8,IF(Atletas!K372="Wingchun B",9,IF(Atletas!K372="Outra Mão de Sul B",10,IF(Atletas!K372="Choylayfut C",11,IF(Atletas!K372="Hunggar C",12,IF(Atletas!K372="Wuzuquan C",13,IF(Atletas!K372="Wingchun C",14,IF(Atletas!K372="Outra Mão de Sul C",15,IF(Atletas!K372="Choylayfut D",16,IF(Atletas!K372="Hunggar D",17,IF(Atletas!K372="Wuzuquan D",18,IF(Atletas!K372="Wingchun D",19,IF(Atletas!K372="Outra Mão de Sul D",20,IF(Atletas!K372="Choylayfut E",21,IF(Atletas!K372="Hunggar E",22,IF(Atletas!K372="Wuzuquan E",23,IF(Atletas!K372="Wingchun E",24,IF(Atletas!K372="Outra Mão de Sul E",25,IF(Atletas!K372="Choylayfut F",26,IF(Atletas!K372="Hunggar F",27,IF(Atletas!K372="Wuzuquan F",28,IF(Atletas!K372="Wingchun F",29,IF(Atletas!K372="Outra Mão de Sul F",30,""))))))))))))))))))))))))))))))))</f>
        <v/>
      </c>
      <c r="BL376" s="52" t="str">
        <f>IF(Atletas!L372="","",IF(Atletas!W372&lt;&gt;"",10000,0)+(IF(Atletas!B372="Feminino",1000,IF(Atletas!B372="Masculino",2000,""))+(IF(Atletas!L372="Chaquan A",101,IF(Atletas!L372="Emeiquan A",102,IF(Atletas!L372="Fanziquan A",103,IF(Atletas!L372="Huaquan A",104,IF(Atletas!L372="Hongquan A",105,IF(Atletas!L372="Paochui A",106,IF(Atletas!L372="Piguaquan A",107,IF(Atletas!L372="Shaolinquan A",108,IF(Atletas!L372="Tanglangquan A",109,IF(Atletas!L372="Yinzhaophai A",110,IF(Atletas!L372="Tongbeiquan A",111,IF(Atletas!L372="Wudangquan A",112,IF(Atletas!L372="Outros Estilos A",113,IF(Atletas!L372="Chaquan B",114,IF(Atletas!L372="Emeiquan B",115,IF(Atletas!L372="Fanziquan B",116,IF(Atletas!L372="Huaquan B",117,IF(Atletas!L372="Hongquan B",118,IF(Atletas!L372="Paochui B",119,IF(Atletas!L372="Piguaquan B",120,IF(Atletas!L372="Shaolinquan B",121,IF(Atletas!L372="Tanglangquan B",122,IF(Atletas!L372="Yinzhaophai B",123,IF(Atletas!L372="Tongbeiquan B",124,IF(Atletas!L372="Wudangquan B",125,IF(Atletas!L372="Outros Estilos B",126,IF(Atletas!L372="Chaquan C",127,IF(Atletas!L372="Emeiquan C",128,IF(Atletas!L372="Fanziquan C",129,IF(Atletas!L372="Huaquan C",130,IF(Atletas!L372="Hongquan C",131,IF(Atletas!L372="Paochui C",132,IF(Atletas!L372="Piguaquan C",133,IF(Atletas!L372="Shaolinquan C",134,IF(Atletas!L372="Tanglangquan C",135,IF(Atletas!L372="Yinzhaophai C",136,IF(Atletas!L372="Tongbeiquan C",137,IF(Atletas!L372="Wudangquan C",138,IF(Atletas!L372="Outros Estilos C",139,0))))))))))))))))))))))))))))))))))))))))))</f>
        <v/>
      </c>
      <c r="BM376" s="52" t="str">
        <f>IF(Atletas!L372="","",IF(Atletas!W372&lt;&gt;"",10000,0)+(IF(Atletas!B372="Feminino",1000,IF(Atletas!B372="Masculino",2000,""))+(IF(Atletas!L372="Chaquan D",140,IF(Atletas!L372="Emeiquan D",141,IF(Atletas!L372="Fanziquan D",142,IF(Atletas!L372="Huaquan D",143,IF(Atletas!L372="Hongquan D",144,IF(Atletas!L372="Paochui D",145,IF(Atletas!L372="Piguaquan D",146,IF(Atletas!L372="Shaolinquan D",147,IF(Atletas!L372="Tanglangquan D",148,IF(Atletas!L372="Yinzhaophai D",149,IF(Atletas!L372="Tongbeiquan D",150,IF(Atletas!L372="Wudangquan D",151,IF(Atletas!L372="Outros Estilos D",152,IF(Atletas!L372="Chaquan E",153,IF(Atletas!L372="Emeiquan E",154,IF(Atletas!L372="Fanziquan E",155,IF(Atletas!L372="Huaquan E",156,IF(Atletas!L372="Hongquan E",157,IF(Atletas!L372="Paochui E",158,IF(Atletas!L372="Piguaquan E",159,IF(Atletas!L372="Shaolinquan E",160,IF(Atletas!L372="Tanglangquan E",161,IF(Atletas!L372="Yinzhaophai E",162,IF(Atletas!L372="Tongbeiquan E",163,IF(Atletas!L372="Wudangquan E",164,IF(Atletas!L372="Outros Estilos E",165,IF(Atletas!L372="Chaquan F",166,IF(Atletas!L372="Emeiquan F",167,IF(Atletas!L372="Fanziquan F",168,IF(Atletas!L372="Huaquan F",169,IF(Atletas!L372="Hongquan F",170,IF(Atletas!L372="Paochui F",171,IF(Atletas!L372="Piguaquan F",172,IF(Atletas!L372="Shaolinquan F",173,IF(Atletas!L372="Tanglangquan F",174,IF(Atletas!L372="Yinzhaophai F",175,IF(Atletas!L372="Tongbeiquan F",176,IF(Atletas!L372="Wudangquan F",177,IF(Atletas!L372="Outros Estilos F",178,0))))))))))))))))))))))))))))))))))))))))))</f>
        <v/>
      </c>
      <c r="BN376" s="52" t="str">
        <f>IF(Atletas!M372="","",IF(Atletas!W372&lt;&gt;"",10000,0)+(IF(Atletas!B372="Feminino",1000,IF(Atletas!B372="Masculino",2000,""))+(IF(Atletas!M372="Ditangquan A",201,IF(Atletas!M372="Houquan A",202,IF(Atletas!M372="Zuiquan A",203,IF(Atletas!M372="Ditangquan B",204,IF(Atletas!M372="Houquan B",205,IF(Atletas!M372="Zuiquan B",206,IF(Atletas!M372="Ditangquan C",207,IF(Atletas!M372="Houquan C",208,IF(Atletas!M372="Zuiquan C",209,IF(Atletas!M372="Ditangquan D",210,IF(Atletas!M372="Houquan D",211,IF(Atletas!M372="Zuiquan D",212,IF(Atletas!M372="Ditangquan E",213,IF(Atletas!M372="Houquan E",214,IF(Atletas!M372="Zuiquan E",215,IF(Atletas!M372="Ditangquan F",216,IF(Atletas!M372="Houquan F",217,IF(Atletas!M372="Zuiquan F",218,"")))))))))))))))))))))</f>
        <v/>
      </c>
      <c r="BO376" s="52" t="str">
        <f>IF(Atletas!N372="","",IF(Atletas!W372&lt;&gt;"",10000,0)+IF(Atletas!B372="Feminino",1000,IF(Atletas!B372="Masculino",2000,""))+IF(Atletas!N372="Yang A",301,IF(Atletas!N372="Chen A",30,IF(Atletas!N372="Sun A",303,IF(Atletas!N372="Wu A",304,IF(Atletas!N372="Wu-Hao A",305,IF(Atletas!N372="Outro Taijiquan A",306,IF(Atletas!N372="Yang B",307,IF(Atletas!N372="Chen B",308,IF(Atletas!N372="Sun B",309,IF(Atletas!N372="Wu B",310,IF(Atletas!N372="Wu-Hao B",311,IF(Atletas!N372="Outro Taijiquan B",312,IF(Atletas!N372="Yang C",313,IF(Atletas!N372="Chen C",314,IF(Atletas!N372="Sun C",315,IF(Atletas!N372="Wu C",316,IF(Atletas!N372="Wu-Hao C",317,IF(Atletas!N372="Outro Taijiquan C",318,IF(Atletas!N372="Yang D",319,IF(Atletas!N372="Chen D",320,IF(Atletas!N372="Sun D",321,IF(Atletas!N372="Wu D",322,IF(Atletas!N372="Wu-Hao D",323,IF(Atletas!N372="Outro Taijiquan D",324,IF(Atletas!N372="Yang E",325,IF(Atletas!N372="Chen E",326,IF(Atletas!N372="Sun E",327,IF(Atletas!N372="Wu E",328,IF(Atletas!N372="Wu-Hao E",329,IF(Atletas!N372="Outro Taijiquan E",330,IF(Atletas!N372="Yang F",331,IF(Atletas!N372="Chen F",332,IF(Atletas!N372="Sun F",333,IF(Atletas!N372="Wu F",334,IF(Atletas!N372="Wu-Hao F",335,IF(Atletas!N372="Outro Taijiquan F",336,"")))))))))))))))))))))))))))))))))))))</f>
        <v/>
      </c>
      <c r="BP376" s="52" t="str">
        <f>IF(Atletas!O372="","",IF(Atletas!W372&lt;&gt;"",10000,0)+IF(Atletas!B372="Feminino",1000,IF(Atletas!B372="Masculino",2000,""))+IF(OR(Atletas!O372="Yang 26 A",Atletas!O372="Yang 40 A"),401,IF(OR(Atletas!O372="Chen 25 A",Atletas!O372="Chen 36 A",Atletas!O372="Chen 56 A"),402,IF(Atletas!O372="Sun 73 A",403,IF(Atletas!O372="Wu 45 A",404,IF(Atletas!O372="Wu-Hao 46 A",405,IF(OR(Atletas!O372="Taijiquan 16 A",Atletas!O372="Taijiquan 24 A",Atletas!O372="Taijiquan 32 A",Atletas!O372="Taijiquan 42 A"),406,IF(OR(Atletas!O372="Yang 26 B",Atletas!O372="Yang 40 B"),407,IF(OR(Atletas!O372="Chen 25 B",Atletas!O372="Chen 36 B",Atletas!O372="Chen 56 B"),408,IF(Atletas!O372="Sun 73 B",409,IF(Atletas!O372="Wu 45 B",410,IF(Atletas!O372="Wu-Hao 46 B",411,IF(OR(Atletas!O372="Taijiquan 16 B",Atletas!O372="Taijiquan 24 B",Atletas!O372="Taijiquan 32 B",Atletas!O372="Taijiquan 42 B"),412,IF(OR(Atletas!O372="Yang 26 C",Atletas!O372="Yang 40 C"),413,IF(OR(Atletas!O372="Chen 25 C",Atletas!O372="Chen 36 C",Atletas!O372="Chen 56 C"),414,IF(Atletas!O372="Sun 73 C",415,IF(Atletas!O372="Wu 45 C",416,IF(Atletas!O372="Wu-Hao 46 C",417,IF(OR(Atletas!O372="Taijiquan 16 C",Atletas!O372="Taijiquan 24 C",Atletas!O372="Taijiquan 32 C",Atletas!O372="Taijiquan 42 C"),418,0)))))))))))))))))))</f>
        <v/>
      </c>
      <c r="BQ376" s="52" t="str">
        <f>IF(Atletas!O372="","",IF(Atletas!W372&lt;&gt;"",10000,0)+IF(Atletas!B372="Feminino",1000,IF(Atletas!B372="Masculino",2000,""))+IF(OR(Atletas!O372="Yang 26 D",Atletas!O372="Yang 40 D"),419,IF(OR(Atletas!O372="Chen 25 D",Atletas!O372="Chen 36 D",Atletas!O372="Chen 56 D"),420,IF(Atletas!O372="Sun 73 D",421,IF(Atletas!O372="Wu 45 D",422,IF(Atletas!O372="Wu-Hao 46 D",423,IF(OR(Atletas!O372="Taijiquan 16 D",Atletas!O372="Taijiquan 24 D",Atletas!O372="Taijiquan 32 D",Atletas!O372="Taijiquan 42 D"),424,IF(OR(Atletas!O372="Yang 26 E",Atletas!O372="Yang 40 E"),425,IF(OR(Atletas!O372="Chen 25 E",Atletas!O372="Chen 36 E",Atletas!O372="Chen 56 E"),426,IF(Atletas!O372="Sun 73 E",427,IF(Atletas!O372="Wu 45 E",428,IF(Atletas!O372="Wu-Hao 46 E",429,IF(OR(Atletas!O372="Taijiquan 16 E",Atletas!O372="Taijiquan 24 E",Atletas!O372="Taijiquan 32 E",Atletas!O372="Taijiquan 42 E"),430,IF(OR(Atletas!O372="Yang 26 F",Atletas!O372="Yang 40 F"),431,IF(OR(Atletas!O372="Chen 25 F",Atletas!O372="Chen 36 F",Atletas!O372="Chen 56 F"),432,IF(Atletas!O372="Sun 73 F",433,IF(Atletas!O372="Wu 45 F",434,IF(Atletas!O372="Wu-Hao 46 F",435,IF(OR(Atletas!O372="Taijiquan 16 F",Atletas!O372="Taijiquan 24 F",Atletas!O372="Taijiquan 32 F",Atletas!O372="Taijiquan 42 F"),436,0)))))))))))))))))))</f>
        <v/>
      </c>
      <c r="BR376" s="52" t="str">
        <f>IF(Atletas!P372="","",IF(Atletas!W372&lt;&gt;"",10000,0)+IF(Atletas!B372="Feminino",1000,IF(Atletas!B372="Masculino",2000,""))+IF(Atletas!P372="Xingyiquan A",501,IF(Atletas!P372="Baguazhang A",502,IF(Atletas!P372="Outro Estilo Interno A",503,IF(Atletas!P372="Xingyiquan B",504,IF(Atletas!P372="Baguazhang B",505,IF(Atletas!P372="Outro Estilo Interno B",506,IF(Atletas!P372="Xingyiquan C",507,IF(Atletas!P372="Baguazhang C",508,IF(Atletas!P372="Outro Estilo Interno C",509,IF(Atletas!P372="Xingyiquan D",510,IF(Atletas!P372="Baguazhang D",511,IF(Atletas!P372="Outro Estilo Interno D",512,IF(Atletas!P372="Xingyiquan E",513,IF(Atletas!P372="Baguazhang E",514,IF(Atletas!P372="Outro Estilo Interno E",515,IF(Atletas!P372="Xingyiquan F",516,IF(Atletas!P372="Baguazhang F",517,IF(Atletas!P372="Outro Estilo Interno F",518, "")))))))))))))))))))</f>
        <v/>
      </c>
      <c r="BS376" s="52" t="str">
        <f>IF(Atletas!Q372="","",IF(Atletas!W372&lt;&gt;"",10000,0)+IF(Atletas!B372="Feminino",1000,IF(Atletas!B372="Masculino",2000,""))+IF(Atletas!Q372="Dao A",601,IF(Atletas!Q372="Jian A",602,IF(Atletas!Q372="Bishou A",603,IF(Atletas!Q372="Shan A",604,IF(Atletas!Q372="Outra Arma Curta A",605,IF(Atletas!Q372="Dao B",606,IF(Atletas!Q372="Jian B",607,IF(Atletas!Q372="Bishou B",608,IF(Atletas!Q372="Shan B",609,IF(Atletas!Q372="Outra Arma Curta B",610,IF(Atletas!Q372="Dao C",611,IF(Atletas!Q372="Jian C",612,IF(Atletas!Q372="Bishou C",613,IF(Atletas!Q372="Shan C",614,IF(Atletas!Q372="Outra Arma Curta C",615,IF(Atletas!Q372="Dao D",616,IF(Atletas!Q372="Jian D",617,IF(Atletas!Q372="Bishou D",618,IF(Atletas!Q372="Shan D",619,IF(Atletas!Q372="Outra Arma Curta D",620,IF(Atletas!Q372="Dao E",621,IF(Atletas!Q372="Jian E",622,IF(Atletas!Q372="Bishou E",623,IF(Atletas!Q372="Shan E",624,IF(Atletas!Q372="Outra Arma Curta E",625,IF(Atletas!Q372="Dao F",626,IF(Atletas!Q372="Jian F",627,IF(Atletas!Q372="Bishou F",628,IF(Atletas!Q372="Shan F",629,IF(Atletas!Q372="Outra Arma Curta F",630, "")))))))))))))))))))))))))))))))</f>
        <v/>
      </c>
      <c r="BT376" s="52" t="str">
        <f>IF(Atletas!R372="","",IF(Atletas!W372&lt;&gt;"",10000,0)+IF(Atletas!B372="Feminino",1000,IF(Atletas!B372="Masculino",2000,""))+IF(Atletas!R372="Gun A",701,IF(Atletas!R372="Qiang A",702,IF(Atletas!R372="Pudao / Guandao A",703,IF(Atletas!R372="Outra Arma Longa A",704,IF(Atletas!R372="Gun B",705,IF(Atletas!R372="Qiang B",706,IF(Atletas!R372="Pudao / Guandao B",707,IF(Atletas!R372="Outra Arma Longa B",708,IF(Atletas!R372="Gun C",709,IF(Atletas!R372="Qiang C",710,IF(Atletas!R372="Pudao / Guandao C",711,IF(Atletas!R372="Outra Arma Longa C",712,IF(Atletas!R372="Gun D",713,IF(Atletas!R372="Qiang D",714,IF(Atletas!R372="Pudao / Guandao D",715,IF(Atletas!R372="Outra Arma Longa D",716,IF(Atletas!R372="Gun E",717,IF(Atletas!R372="Qiang E",718,IF(Atletas!R372="Pudao / Guandao E",719,IF(Atletas!R372="Outra Arma Longa E",720,IF(Atletas!R372="Gun F",721,IF(Atletas!R372="Qiang F",722,IF(Atletas!R372="Pudao / Guandao F",723,IF(Atletas!R372="Outra Arma Longa F",724,"")))))))))))))))))))))))))</f>
        <v/>
      </c>
      <c r="BU376" s="52" t="str">
        <f>IF(Atletas!S372="","",IF(Atletas!W372&lt;&gt;"",10000,0)+IF(Atletas!B372="Feminino",1000,IF(Atletas!B372="Masculino",2000,""))+IF(Atletas!S372="Arma Dupla A",801,IF(Atletas!S372="Arma Maleável A",802,IF(Atletas!S372="Arma Dupla B",803,IF(Atletas!S372="Arma Maleável B",804,IF(Atletas!S372="Arma Dupla C",805,IF(Atletas!S372="Arma Maleável C",806,IF(Atletas!S372="Arma Dupla D",807,IF(Atletas!S372="Arma Maleável D",808,IF(Atletas!S372="Arma Dupla E",809,IF(Atletas!S372="Arma Maleável E",810,IF(Atletas!S372="Arma Dupla F",811,IF(Atletas!S372="Arma Maleável F",812, "")))))))))))))</f>
        <v/>
      </c>
      <c r="BV376" s="52" t="str">
        <f>IF(Atletas!T372="","",IF(Atletas!W372&lt;&gt;"",10000,0)+IF(Atletas!B372="Feminino",1000,IF(Atletas!B372="Masculino",2000,""))+IF(Atletas!T372="Taijijian Yang A",901,IF(Atletas!T372="Taijijian Chen A",902,IF(Atletas!T372="Taijijian Sun A",903,IF(Atletas!T372="Taijijian Wu A",904,IF(Atletas!T372="Taijijian Wu-Hao A",905,IF(Atletas!T372="Taijijian 32 A",906,IF(Atletas!T372="Taijijian 42 A",907,IF(Atletas!T372="Taijijian Yang B",908,IF(Atletas!T372="Taijijian Chen B",909,IF(Atletas!T372="Taijijian Sun B",910,IF(Atletas!T372="Taijijian Wu B",911,IF(Atletas!T372="Taijijian Wu-Hao B",912,IF(Atletas!T372="Taijijian 32 B",913,IF(Atletas!T372="Taijijian 42 B",914,IF(Atletas!T372="Taijijian Yang C",915,IF(Atletas!T372="Taijijian Chen C",916,IF(Atletas!T372="Taijijian Sun C",917,IF(Atletas!T372="Taijijian Wu C",918,IF(Atletas!T372="Taijijian Wu-Hao C",919,IF(Atletas!T372="Taijijian 32 C",920,IF(Atletas!T372="Taijijian 42 C",921,IF(Atletas!T372="Taijijian Yang D",922,IF(Atletas!T372="Taijijian Chen D",923,IF(Atletas!T372="Taijijian Sun D",924,IF(Atletas!T372="Taijijian Wu D",925,IF(Atletas!T372="Taijijian Wu-Hao D",926,IF(Atletas!T372="Taijijian 32 D",927,IF(Atletas!T372="Taijijian 42 D",928,IF(Atletas!T372="Taijijian Yang E",929,IF(Atletas!T372="Taijijian Chen E",930,IF(Atletas!T372="Taijijian Sun E",931,IF(Atletas!T372="Taijijian Wu E",932,IF(Atletas!T372="Taijijian Wu-Hao E",933,IF(Atletas!T372="Taijijian 32 E",934,IF(Atletas!T372="Taijijian 42 E",935,IF(Atletas!T372="Taijijian Yang F",936,IF(Atletas!T372="Taijijian Chen F",937,IF(Atletas!T372="Taijijian Sun F",938,IF(Atletas!T372="Taijijian Wu F",939,IF(Atletas!T372="Taijijian Wu-Hao F",940,IF(Atletas!T372="Taijijian 32 F",941,IF(Atletas!T372="Taijijian 42 F",942,"")))))))))))))))))))))))))))))))))))))))))))</f>
        <v/>
      </c>
      <c r="BW376" s="52" t="str">
        <f>IF(Atletas!U372="","",IF(Atletas!W372&lt;&gt;"",10000,0)+IF(Atletas!B372="Feminino",1000,IF(Atletas!B372="Masculino",2000,""))+IF(Atletas!T372="Taijijian 42 F",942,IF(Atletas!U372="Taijidao A",943,IF(Atletas!U372="Taijishan A",944,IF(Atletas!U372="Taijiqiang A",945,IF(Atletas!U372="Taijidao B",946,IF(Atletas!U372="Taijishan B",947,IF(Atletas!U372="Taijiqiang B",948,IF(Atletas!U372="Taijidao C",949,IF(Atletas!U372="Taijishan C",950,IF(Atletas!U372="Taijiqiang C",951,IF(Atletas!U372="Taijidao D",952,IF(Atletas!U372="Taijishan D",953,IF(Atletas!U372="Taijiqiang D",954,IF(Atletas!U372="Taijidao E",955,IF(Atletas!U372="Taijishan E",956,IF(Atletas!U372="Taijiqiang E",957,IF(Atletas!U372="Taijidao F",958,IF(Atletas!U372="Taijishan F",959,IF(Atletas!U372="Taijiqiang F",960))))))))))))))))))))</f>
        <v/>
      </c>
      <c r="CB376" s="64" t="str">
        <f>IF(CC376&lt;&gt;"","Taijijian 42 D","")</f>
        <v/>
      </c>
      <c r="CC376" s="64" t="str">
        <f>IF(COUNTIF(BK:BW,11928)&gt;0,COUNTIF(BK:BW,11928),"")</f>
        <v/>
      </c>
      <c r="CD376" s="64" t="str">
        <f>IF(CE376&lt;&gt;"","Taijijian 42 D","")</f>
        <v/>
      </c>
      <c r="CE376" s="64" t="str">
        <f>IF(COUNTIF(BK:BW,12928)&gt;0,COUNTIF(BK:BW,12928),"")</f>
        <v/>
      </c>
      <c r="CF376" s="52" t="str">
        <f xml:space="preserve"> IF(Atletas!V372="","",IF(Atletas!V372="Duilian de Mãos AB - Equipe 1",1,IF(Atletas!V372="Duilian de Mãos AB - Equipe 2",2,IF(Atletas!V372="Duilian de Armas AB - Equipe 1",3,IF(Atletas!V372="Duilian de Armas AB - Equipe 2",4,IF(Atletas!V372="Duilian de Tuishou - Equipe 1",5,IF(Atletas!V372="Duilian de Tuishou - Equipe 2",6,IF(Atletas!V372="Grupo Externo AB - Equipe 1",7,IF(Atletas!V372="Grupo Externo AB - Equipe 2",8,IF(Atletas!V372="Grupo Interno AB - Equipe 1",9,IF(Atletas!V372="Grupo Interno AB - Equipe 2",10,IF(Atletas!V372="Duilian de Mãos CD - Equipe 1",11,IF(Atletas!V372="Duilian de Mãos CD - Equipe 2",12,IF(Atletas!V372="Duilian de Armas CD - Equipe 1",13,IF(Atletas!V372="Duilian de Armas CD - Equipe 2",14,IF(Atletas!V372="Duilian de Tuishou - Equipe 1",15,IF(Atletas!V372="Duilian de Tuishou - Equipe 2",16,IF(Atletas!V372="Grupo Externo CDEF - Equipe 1",17,IF(Atletas!V372="Grupo Externo CDEF - Equipe 2",18,IF(Atletas!V372="Grupo Interno CDEF - Equipe 1",19,IF(Atletas!V372="Grupo Interno CDEF - Equipe 2",20,IF(Atletas!V372="Duilian de Mãos EF - Equipe 1",21,IF(Atletas!V372="Duilian de Mãos EF - Equipe 2",22,IF(Atletas!V372="Duilian de Armas EF - Equipe 1",23,IF(Atletas!V372="Duilian de Armas EF - Equipe 2",24,IF(Atletas!V372="Duilian de Tuishou - Equipe 1",25,IF(Atletas!V372="Duilian de Tuishou - Equipe 2",26,"")))))))))))))))))))))))))))</f>
        <v/>
      </c>
    </row>
    <row r="377" spans="36:84">
      <c r="AJ377" s="46" t="str">
        <f>IF(Atletas!D373="","",IF(Atletas!B373="Feminino",100,IF(Atletas!B373="Masculino",200,""))+(IF(Atletas!D373="Infantil 39kg",1,IF(Atletas!D373="Infantil 42kg",2,IF(Atletas!D373="Infantil 45kg",3,IF(Atletas!D373="Infantil 48kg",4,IF(Atletas!D373="Infantil 52kg",5,IF(Atletas!D373="Infantil 56kg",6,IF(Atletas!D373="Infantil 60kg",7,IF(Atletas!D373="Juvenil 48kg",8,IF(Atletas!D373="Juvenil 52kg",9,IF(Atletas!D373="Juvenil 56kg",10,IF(Atletas!D373="Juvenil 60kg",11,IF(Atletas!D373="Juvenil 65kg",12,IF(Atletas!D373="Juvenil 70kg",13,IF(Atletas!D373="Juvenil 75kg",14,IF(Atletas!D373="Juvenil 80kg",15,IF(Atletas!D373="Adulto 48kg",16,IF(Atletas!D373="Adulto 52kg",17,IF(Atletas!D373="Adulto 56kg",18,IF(Atletas!D373="Adulto 60kg",19,IF(Atletas!D373="Adulto 65kg",20,IF(Atletas!D373="Adulto 70kg",21,IF(Atletas!D373="Adulto 75kg",22,IF(Atletas!D373="Adulto 80kg",23,IF(Atletas!D373="Adulto 85kg",24,IF(Atletas!D373="Adulto 90kg",25,IF(Atletas!D373="Adulto +90kg",26,""))))))))))))))))))))))))))))</f>
        <v/>
      </c>
      <c r="AO377" s="10" t="str">
        <f>IF(Atletas!E373="","",IF(Atletas!B373="Feminino",100,IF(Atletas!B373="Masculino",200,""))+(IF(Atletas!E373="Juvenil 44kg",1,IF(Atletas!E373="Juvenil 48kg",2,IF(Atletas!E373="Juvenil 52kg",3,IF(Atletas!E373="Juvenil 56kg",4,IF(Atletas!E373="Juvenil 60kg",5,IF(Atletas!E373="Juvenil 65kg",6,IF(Atletas!E373="Juvenil 70kg",7,IF(Atletas!E373="Juvenil 75kg",8,IF(Atletas!E373="Juvenil 82kg",9,IF(Atletas!E373="Juvenil 90kg",10,IF(Atletas!E373="Juvenil 100kg",11,IF(Atletas!E373="Adulto 48kg",12,IF(Atletas!E373="Adulto 52kg",13,IF(Atletas!E373="Adulto 56kg",14,IF(Atletas!E373="Adulto 60kg",15,IF(Atletas!E373="Adulto 65kg",16,IF(Atletas!E373="Adulto 70kg",17,IF(Atletas!E373="Adulto 75kg",18,IF(Atletas!E373="Adulto 82kg",19,IF(Atletas!E373="Adulto 90kg",20,IF(Atletas!E373="Adulto 100kg",21,IF(Atletas!E373="Adulto +100kg",22,""))))))))))))))))))))))))</f>
        <v/>
      </c>
      <c r="AT377" s="10" t="str">
        <f>IF(Atletas!F373="","",IF(Atletas!B373="Feminino",100,IF(Atletas!B373="Masculino",200,""))+(IF(Atletas!F373="Adulto 48kg",1,IF(Atletas!F373="Adulto 56kg",2,IF(Atletas!F373="Adulto 65kg",3,IF(Atletas!F373="Adulto 75kg",4,IF(Atletas!F373="Adulto +75kg",5,IF(Atletas!F373="Adulto 52kg",6,IF(Atletas!F373="Adulto 60kg",7,IF(Atletas!F373="Adulto 70kg",8,IF(Atletas!F373="Adulto 80kg",9,IF(Atletas!F373="Adulto 90kg",10,IF(Atletas!F373="Adulto +90kg",11,"")))))))))))))</f>
        <v/>
      </c>
      <c r="AY377" s="46" t="str">
        <f>IF(Atletas!G373="","",IF(Atletas!B373="Feminino",100,IF(Atletas!B373="Masculino",200,""))+(IF(Atletas!G373="Changquan Mirim",1,IF(Atletas!G373="Nanquan Mirim",2,IF(Atletas!G373="Taijiquan Mirim",3,IF(Atletas!G373="Changquan Grupo C",4,IF(Atletas!G373="Nanquan Grupo C",5,IF(Atletas!G373="Taijiquan Grupo C",6,IF(Atletas!G373="Changquan Grupo B",7,IF(Atletas!G373="Nanquan Grupo B",8,IF(Atletas!G373="Taijiquan Grupo B",9,IF(Atletas!G373="Changquan Grupo A",10,IF(Atletas!G373="Nanquan Grupo A",11,IF(Atletas!G373="Taijiquan Grupo A",12,IF(Atletas!G373="Changquan Opcional",13,IF(Atletas!G373="Nanquan Opcional",14,IF(Atletas!G373="Taijiquan Opcional",15,IF(Atletas!G373="Changquan Adulto",16,IF(Atletas!G373="Nanquan Adulto",17,IF(Atletas!G373="Taijiquan Adulto",18,""))))))))))))))))))))</f>
        <v/>
      </c>
      <c r="AZ377" s="46" t="str">
        <f>IF(Atletas!H373="","",IF(Atletas!B373="Feminino",100,IF(Atletas!B373="Masculino",200,""))+(IF(Atletas!H373="Daoshu Mirim",19,IF(Atletas!H373="Jianshu Mirim",20,IF(Atletas!H373="Nandao Mirim",21,IF(Atletas!H373="Taijijian Mirim",22,IF(Atletas!H373="Daoshu Grupo C",23,IF(Atletas!H373="Jianshu Grupo C",24,IF(Atletas!H373="Nandao Grupo C",25,IF(Atletas!H373="Taijijian Grupo C",26,IF(Atletas!H373="Daoshu Grupo B",27,IF(Atletas!H373="Jianshu Grupo B",28,IF(Atletas!H373="Nandao Grupo B",29,IF(Atletas!H373="Taijijian Grupo B",30,IF(Atletas!H373="Daoshu Grupo A",31,IF(Atletas!H373="Jianshu Grupo A",32,IF(Atletas!H373="Nandao Grupo A",33,IF(Atletas!H373="Taijijian Grupo A",34,IF(Atletas!H373="Daoshu Opcional",35,IF(Atletas!H373="Jianshu Opcional",36,IF(Atletas!H373="Nandao Opcional",37,IF(Atletas!H373="Taijijian Opcional",38,IF(Atletas!H373="Daoshu Adulto",39,IF(Atletas!H373="Jianshu Adulto",40,IF(Atletas!H373="Nandao Adulto",41,IF(Atletas!H373="Taijijian Adulto",42,""))))))))))))))))))))))))))</f>
        <v/>
      </c>
      <c r="BA377" s="46" t="str">
        <f>IF(Atletas!I373="","",IF(Atletas!B373="Feminino",100,IF(Atletas!B373="Masculino",200,""))+(IF(Atletas!I373="Gunshu Mirim",43,IF(Atletas!I373="Qiangshu Mirim",44,IF(Atletas!I373="Nangun Mirim",45,IF(Atletas!I373="Gunshu Grupo C",46,IF(Atletas!I373="Qiangshu Grupo C",47,IF(Atletas!I373="Nangun Grupo C",48,IF(Atletas!I373="Gunshu Grupo B",49,IF(Atletas!I373="Qiangshu Grupo B",50,IF(Atletas!I373="Nangun Grupo B",51,IF(Atletas!I373="Gunshu Grupo A",52,IF(Atletas!I373="Qiangshu Grupo A",53,IF(Atletas!I373="Nangun Grupo A",54,IF(Atletas!I373="Gunshu Opcional",55,IF(Atletas!I373="Qiangshu Opcional",56,IF(Atletas!I373="Nangun Opcional",57,IF(Atletas!I373="Gunshu Adulto",58,IF(Atletas!I373="Qiangshu Adulto",59,IF(Atletas!I373="Nangun Adulto",60,""))))))))))))))))))))</f>
        <v/>
      </c>
      <c r="BF377" s="52" t="str">
        <f>IF(Atletas!J373="","",IF(Atletas!B373="Feminino",100,IF(Atletas!B373="Masculino",200,""))+(IF(Atletas!J373="Equipe 1 Grupo B",1,IF(Atletas!J373="Equipe 2 Grupo B",2,IF(Atletas!J373="Equipe 1 Grupo A",3,IF(Atletas!J373="Equipe 2 Grupo A",4,IF(Atletas!J373="Equipe 1 Adulto",5,IF(Atletas!J373="Equipe 2 Adulto",6,""))))))))</f>
        <v/>
      </c>
      <c r="BK377" s="52" t="str">
        <f>IF(Atletas!K373="","",IF(Atletas!W373&lt;&gt;"",10000,0)+(IF(Atletas!B373="Feminino",1000,IF(Atletas!B373="Masculino",2000,""))+IF(Atletas!K373="Choylayfut A",1,IF(Atletas!K373="Hunggar A",2,IF(Atletas!K373="Wuzuquan A",3,IF(Atletas!K373="Wingchun A",4,IF(Atletas!K373="Outra Mão de Sul A",5,IF(Atletas!K373="Choylayfut B",6,IF(Atletas!K373="Hunggar B",7,IF(Atletas!K373="Wuzuquan B",8,IF(Atletas!K373="Wingchun B",9,IF(Atletas!K373="Outra Mão de Sul B",10,IF(Atletas!K373="Choylayfut C",11,IF(Atletas!K373="Hunggar C",12,IF(Atletas!K373="Wuzuquan C",13,IF(Atletas!K373="Wingchun C",14,IF(Atletas!K373="Outra Mão de Sul C",15,IF(Atletas!K373="Choylayfut D",16,IF(Atletas!K373="Hunggar D",17,IF(Atletas!K373="Wuzuquan D",18,IF(Atletas!K373="Wingchun D",19,IF(Atletas!K373="Outra Mão de Sul D",20,IF(Atletas!K373="Choylayfut E",21,IF(Atletas!K373="Hunggar E",22,IF(Atletas!K373="Wuzuquan E",23,IF(Atletas!K373="Wingchun E",24,IF(Atletas!K373="Outra Mão de Sul E",25,IF(Atletas!K373="Choylayfut F",26,IF(Atletas!K373="Hunggar F",27,IF(Atletas!K373="Wuzuquan F",28,IF(Atletas!K373="Wingchun F",29,IF(Atletas!K373="Outra Mão de Sul F",30,""))))))))))))))))))))))))))))))))</f>
        <v/>
      </c>
      <c r="BL377" s="52" t="str">
        <f>IF(Atletas!L373="","",IF(Atletas!W373&lt;&gt;"",10000,0)+(IF(Atletas!B373="Feminino",1000,IF(Atletas!B373="Masculino",2000,""))+(IF(Atletas!L373="Chaquan A",101,IF(Atletas!L373="Emeiquan A",102,IF(Atletas!L373="Fanziquan A",103,IF(Atletas!L373="Huaquan A",104,IF(Atletas!L373="Hongquan A",105,IF(Atletas!L373="Paochui A",106,IF(Atletas!L373="Piguaquan A",107,IF(Atletas!L373="Shaolinquan A",108,IF(Atletas!L373="Tanglangquan A",109,IF(Atletas!L373="Yinzhaophai A",110,IF(Atletas!L373="Tongbeiquan A",111,IF(Atletas!L373="Wudangquan A",112,IF(Atletas!L373="Outros Estilos A",113,IF(Atletas!L373="Chaquan B",114,IF(Atletas!L373="Emeiquan B",115,IF(Atletas!L373="Fanziquan B",116,IF(Atletas!L373="Huaquan B",117,IF(Atletas!L373="Hongquan B",118,IF(Atletas!L373="Paochui B",119,IF(Atletas!L373="Piguaquan B",120,IF(Atletas!L373="Shaolinquan B",121,IF(Atletas!L373="Tanglangquan B",122,IF(Atletas!L373="Yinzhaophai B",123,IF(Atletas!L373="Tongbeiquan B",124,IF(Atletas!L373="Wudangquan B",125,IF(Atletas!L373="Outros Estilos B",126,IF(Atletas!L373="Chaquan C",127,IF(Atletas!L373="Emeiquan C",128,IF(Atletas!L373="Fanziquan C",129,IF(Atletas!L373="Huaquan C",130,IF(Atletas!L373="Hongquan C",131,IF(Atletas!L373="Paochui C",132,IF(Atletas!L373="Piguaquan C",133,IF(Atletas!L373="Shaolinquan C",134,IF(Atletas!L373="Tanglangquan C",135,IF(Atletas!L373="Yinzhaophai C",136,IF(Atletas!L373="Tongbeiquan C",137,IF(Atletas!L373="Wudangquan C",138,IF(Atletas!L373="Outros Estilos C",139,0))))))))))))))))))))))))))))))))))))))))))</f>
        <v/>
      </c>
      <c r="BM377" s="52" t="str">
        <f>IF(Atletas!L373="","",IF(Atletas!W373&lt;&gt;"",10000,0)+(IF(Atletas!B373="Feminino",1000,IF(Atletas!B373="Masculino",2000,""))+(IF(Atletas!L373="Chaquan D",140,IF(Atletas!L373="Emeiquan D",141,IF(Atletas!L373="Fanziquan D",142,IF(Atletas!L373="Huaquan D",143,IF(Atletas!L373="Hongquan D",144,IF(Atletas!L373="Paochui D",145,IF(Atletas!L373="Piguaquan D",146,IF(Atletas!L373="Shaolinquan D",147,IF(Atletas!L373="Tanglangquan D",148,IF(Atletas!L373="Yinzhaophai D",149,IF(Atletas!L373="Tongbeiquan D",150,IF(Atletas!L373="Wudangquan D",151,IF(Atletas!L373="Outros Estilos D",152,IF(Atletas!L373="Chaquan E",153,IF(Atletas!L373="Emeiquan E",154,IF(Atletas!L373="Fanziquan E",155,IF(Atletas!L373="Huaquan E",156,IF(Atletas!L373="Hongquan E",157,IF(Atletas!L373="Paochui E",158,IF(Atletas!L373="Piguaquan E",159,IF(Atletas!L373="Shaolinquan E",160,IF(Atletas!L373="Tanglangquan E",161,IF(Atletas!L373="Yinzhaophai E",162,IF(Atletas!L373="Tongbeiquan E",163,IF(Atletas!L373="Wudangquan E",164,IF(Atletas!L373="Outros Estilos E",165,IF(Atletas!L373="Chaquan F",166,IF(Atletas!L373="Emeiquan F",167,IF(Atletas!L373="Fanziquan F",168,IF(Atletas!L373="Huaquan F",169,IF(Atletas!L373="Hongquan F",170,IF(Atletas!L373="Paochui F",171,IF(Atletas!L373="Piguaquan F",172,IF(Atletas!L373="Shaolinquan F",173,IF(Atletas!L373="Tanglangquan F",174,IF(Atletas!L373="Yinzhaophai F",175,IF(Atletas!L373="Tongbeiquan F",176,IF(Atletas!L373="Wudangquan F",177,IF(Atletas!L373="Outros Estilos F",178,0))))))))))))))))))))))))))))))))))))))))))</f>
        <v/>
      </c>
      <c r="BN377" s="52" t="str">
        <f>IF(Atletas!M373="","",IF(Atletas!W373&lt;&gt;"",10000,0)+(IF(Atletas!B373="Feminino",1000,IF(Atletas!B373="Masculino",2000,""))+(IF(Atletas!M373="Ditangquan A",201,IF(Atletas!M373="Houquan A",202,IF(Atletas!M373="Zuiquan A",203,IF(Atletas!M373="Ditangquan B",204,IF(Atletas!M373="Houquan B",205,IF(Atletas!M373="Zuiquan B",206,IF(Atletas!M373="Ditangquan C",207,IF(Atletas!M373="Houquan C",208,IF(Atletas!M373="Zuiquan C",209,IF(Atletas!M373="Ditangquan D",210,IF(Atletas!M373="Houquan D",211,IF(Atletas!M373="Zuiquan D",212,IF(Atletas!M373="Ditangquan E",213,IF(Atletas!M373="Houquan E",214,IF(Atletas!M373="Zuiquan E",215,IF(Atletas!M373="Ditangquan F",216,IF(Atletas!M373="Houquan F",217,IF(Atletas!M373="Zuiquan F",218,"")))))))))))))))))))))</f>
        <v/>
      </c>
      <c r="BO377" s="52" t="str">
        <f>IF(Atletas!N373="","",IF(Atletas!W373&lt;&gt;"",10000,0)+IF(Atletas!B373="Feminino",1000,IF(Atletas!B373="Masculino",2000,""))+IF(Atletas!N373="Yang A",301,IF(Atletas!N373="Chen A",30,IF(Atletas!N373="Sun A",303,IF(Atletas!N373="Wu A",304,IF(Atletas!N373="Wu-Hao A",305,IF(Atletas!N373="Outro Taijiquan A",306,IF(Atletas!N373="Yang B",307,IF(Atletas!N373="Chen B",308,IF(Atletas!N373="Sun B",309,IF(Atletas!N373="Wu B",310,IF(Atletas!N373="Wu-Hao B",311,IF(Atletas!N373="Outro Taijiquan B",312,IF(Atletas!N373="Yang C",313,IF(Atletas!N373="Chen C",314,IF(Atletas!N373="Sun C",315,IF(Atletas!N373="Wu C",316,IF(Atletas!N373="Wu-Hao C",317,IF(Atletas!N373="Outro Taijiquan C",318,IF(Atletas!N373="Yang D",319,IF(Atletas!N373="Chen D",320,IF(Atletas!N373="Sun D",321,IF(Atletas!N373="Wu D",322,IF(Atletas!N373="Wu-Hao D",323,IF(Atletas!N373="Outro Taijiquan D",324,IF(Atletas!N373="Yang E",325,IF(Atletas!N373="Chen E",326,IF(Atletas!N373="Sun E",327,IF(Atletas!N373="Wu E",328,IF(Atletas!N373="Wu-Hao E",329,IF(Atletas!N373="Outro Taijiquan E",330,IF(Atletas!N373="Yang F",331,IF(Atletas!N373="Chen F",332,IF(Atletas!N373="Sun F",333,IF(Atletas!N373="Wu F",334,IF(Atletas!N373="Wu-Hao F",335,IF(Atletas!N373="Outro Taijiquan F",336,"")))))))))))))))))))))))))))))))))))))</f>
        <v/>
      </c>
      <c r="BP377" s="52" t="str">
        <f>IF(Atletas!O373="","",IF(Atletas!W373&lt;&gt;"",10000,0)+IF(Atletas!B373="Feminino",1000,IF(Atletas!B373="Masculino",2000,""))+IF(OR(Atletas!O373="Yang 26 A",Atletas!O373="Yang 40 A"),401,IF(OR(Atletas!O373="Chen 25 A",Atletas!O373="Chen 36 A",Atletas!O373="Chen 56 A"),402,IF(Atletas!O373="Sun 73 A",403,IF(Atletas!O373="Wu 45 A",404,IF(Atletas!O373="Wu-Hao 46 A",405,IF(OR(Atletas!O373="Taijiquan 16 A",Atletas!O373="Taijiquan 24 A",Atletas!O373="Taijiquan 32 A",Atletas!O373="Taijiquan 42 A"),406,IF(OR(Atletas!O373="Yang 26 B",Atletas!O373="Yang 40 B"),407,IF(OR(Atletas!O373="Chen 25 B",Atletas!O373="Chen 36 B",Atletas!O373="Chen 56 B"),408,IF(Atletas!O373="Sun 73 B",409,IF(Atletas!O373="Wu 45 B",410,IF(Atletas!O373="Wu-Hao 46 B",411,IF(OR(Atletas!O373="Taijiquan 16 B",Atletas!O373="Taijiquan 24 B",Atletas!O373="Taijiquan 32 B",Atletas!O373="Taijiquan 42 B"),412,IF(OR(Atletas!O373="Yang 26 C",Atletas!O373="Yang 40 C"),413,IF(OR(Atletas!O373="Chen 25 C",Atletas!O373="Chen 36 C",Atletas!O373="Chen 56 C"),414,IF(Atletas!O373="Sun 73 C",415,IF(Atletas!O373="Wu 45 C",416,IF(Atletas!O373="Wu-Hao 46 C",417,IF(OR(Atletas!O373="Taijiquan 16 C",Atletas!O373="Taijiquan 24 C",Atletas!O373="Taijiquan 32 C",Atletas!O373="Taijiquan 42 C"),418,0)))))))))))))))))))</f>
        <v/>
      </c>
      <c r="BQ377" s="52" t="str">
        <f>IF(Atletas!O373="","",IF(Atletas!W373&lt;&gt;"",10000,0)+IF(Atletas!B373="Feminino",1000,IF(Atletas!B373="Masculino",2000,""))+IF(OR(Atletas!O373="Yang 26 D",Atletas!O373="Yang 40 D"),419,IF(OR(Atletas!O373="Chen 25 D",Atletas!O373="Chen 36 D",Atletas!O373="Chen 56 D"),420,IF(Atletas!O373="Sun 73 D",421,IF(Atletas!O373="Wu 45 D",422,IF(Atletas!O373="Wu-Hao 46 D",423,IF(OR(Atletas!O373="Taijiquan 16 D",Atletas!O373="Taijiquan 24 D",Atletas!O373="Taijiquan 32 D",Atletas!O373="Taijiquan 42 D"),424,IF(OR(Atletas!O373="Yang 26 E",Atletas!O373="Yang 40 E"),425,IF(OR(Atletas!O373="Chen 25 E",Atletas!O373="Chen 36 E",Atletas!O373="Chen 56 E"),426,IF(Atletas!O373="Sun 73 E",427,IF(Atletas!O373="Wu 45 E",428,IF(Atletas!O373="Wu-Hao 46 E",429,IF(OR(Atletas!O373="Taijiquan 16 E",Atletas!O373="Taijiquan 24 E",Atletas!O373="Taijiquan 32 E",Atletas!O373="Taijiquan 42 E"),430,IF(OR(Atletas!O373="Yang 26 F",Atletas!O373="Yang 40 F"),431,IF(OR(Atletas!O373="Chen 25 F",Atletas!O373="Chen 36 F",Atletas!O373="Chen 56 F"),432,IF(Atletas!O373="Sun 73 F",433,IF(Atletas!O373="Wu 45 F",434,IF(Atletas!O373="Wu-Hao 46 F",435,IF(OR(Atletas!O373="Taijiquan 16 F",Atletas!O373="Taijiquan 24 F",Atletas!O373="Taijiquan 32 F",Atletas!O373="Taijiquan 42 F"),436,0)))))))))))))))))))</f>
        <v/>
      </c>
      <c r="BR377" s="52" t="str">
        <f>IF(Atletas!P373="","",IF(Atletas!W373&lt;&gt;"",10000,0)+IF(Atletas!B373="Feminino",1000,IF(Atletas!B373="Masculino",2000,""))+IF(Atletas!P373="Xingyiquan A",501,IF(Atletas!P373="Baguazhang A",502,IF(Atletas!P373="Outro Estilo Interno A",503,IF(Atletas!P373="Xingyiquan B",504,IF(Atletas!P373="Baguazhang B",505,IF(Atletas!P373="Outro Estilo Interno B",506,IF(Atletas!P373="Xingyiquan C",507,IF(Atletas!P373="Baguazhang C",508,IF(Atletas!P373="Outro Estilo Interno C",509,IF(Atletas!P373="Xingyiquan D",510,IF(Atletas!P373="Baguazhang D",511,IF(Atletas!P373="Outro Estilo Interno D",512,IF(Atletas!P373="Xingyiquan E",513,IF(Atletas!P373="Baguazhang E",514,IF(Atletas!P373="Outro Estilo Interno E",515,IF(Atletas!P373="Xingyiquan F",516,IF(Atletas!P373="Baguazhang F",517,IF(Atletas!P373="Outro Estilo Interno F",518, "")))))))))))))))))))</f>
        <v/>
      </c>
      <c r="BS377" s="52" t="str">
        <f>IF(Atletas!Q373="","",IF(Atletas!W373&lt;&gt;"",10000,0)+IF(Atletas!B373="Feminino",1000,IF(Atletas!B373="Masculino",2000,""))+IF(Atletas!Q373="Dao A",601,IF(Atletas!Q373="Jian A",602,IF(Atletas!Q373="Bishou A",603,IF(Atletas!Q373="Shan A",604,IF(Atletas!Q373="Outra Arma Curta A",605,IF(Atletas!Q373="Dao B",606,IF(Atletas!Q373="Jian B",607,IF(Atletas!Q373="Bishou B",608,IF(Atletas!Q373="Shan B",609,IF(Atletas!Q373="Outra Arma Curta B",610,IF(Atletas!Q373="Dao C",611,IF(Atletas!Q373="Jian C",612,IF(Atletas!Q373="Bishou C",613,IF(Atletas!Q373="Shan C",614,IF(Atletas!Q373="Outra Arma Curta C",615,IF(Atletas!Q373="Dao D",616,IF(Atletas!Q373="Jian D",617,IF(Atletas!Q373="Bishou D",618,IF(Atletas!Q373="Shan D",619,IF(Atletas!Q373="Outra Arma Curta D",620,IF(Atletas!Q373="Dao E",621,IF(Atletas!Q373="Jian E",622,IF(Atletas!Q373="Bishou E",623,IF(Atletas!Q373="Shan E",624,IF(Atletas!Q373="Outra Arma Curta E",625,IF(Atletas!Q373="Dao F",626,IF(Atletas!Q373="Jian F",627,IF(Atletas!Q373="Bishou F",628,IF(Atletas!Q373="Shan F",629,IF(Atletas!Q373="Outra Arma Curta F",630, "")))))))))))))))))))))))))))))))</f>
        <v/>
      </c>
      <c r="BT377" s="52" t="str">
        <f>IF(Atletas!R373="","",IF(Atletas!W373&lt;&gt;"",10000,0)+IF(Atletas!B373="Feminino",1000,IF(Atletas!B373="Masculino",2000,""))+IF(Atletas!R373="Gun A",701,IF(Atletas!R373="Qiang A",702,IF(Atletas!R373="Pudao / Guandao A",703,IF(Atletas!R373="Outra Arma Longa A",704,IF(Atletas!R373="Gun B",705,IF(Atletas!R373="Qiang B",706,IF(Atletas!R373="Pudao / Guandao B",707,IF(Atletas!R373="Outra Arma Longa B",708,IF(Atletas!R373="Gun C",709,IF(Atletas!R373="Qiang C",710,IF(Atletas!R373="Pudao / Guandao C",711,IF(Atletas!R373="Outra Arma Longa C",712,IF(Atletas!R373="Gun D",713,IF(Atletas!R373="Qiang D",714,IF(Atletas!R373="Pudao / Guandao D",715,IF(Atletas!R373="Outra Arma Longa D",716,IF(Atletas!R373="Gun E",717,IF(Atletas!R373="Qiang E",718,IF(Atletas!R373="Pudao / Guandao E",719,IF(Atletas!R373="Outra Arma Longa E",720,IF(Atletas!R373="Gun F",721,IF(Atletas!R373="Qiang F",722,IF(Atletas!R373="Pudao / Guandao F",723,IF(Atletas!R373="Outra Arma Longa F",724,"")))))))))))))))))))))))))</f>
        <v/>
      </c>
      <c r="BU377" s="52" t="str">
        <f>IF(Atletas!S373="","",IF(Atletas!W373&lt;&gt;"",10000,0)+IF(Atletas!B373="Feminino",1000,IF(Atletas!B373="Masculino",2000,""))+IF(Atletas!S373="Arma Dupla A",801,IF(Atletas!S373="Arma Maleável A",802,IF(Atletas!S373="Arma Dupla B",803,IF(Atletas!S373="Arma Maleável B",804,IF(Atletas!S373="Arma Dupla C",805,IF(Atletas!S373="Arma Maleável C",806,IF(Atletas!S373="Arma Dupla D",807,IF(Atletas!S373="Arma Maleável D",808,IF(Atletas!S373="Arma Dupla E",809,IF(Atletas!S373="Arma Maleável E",810,IF(Atletas!S373="Arma Dupla F",811,IF(Atletas!S373="Arma Maleável F",812, "")))))))))))))</f>
        <v/>
      </c>
      <c r="BV377" s="52" t="str">
        <f>IF(Atletas!T373="","",IF(Atletas!W373&lt;&gt;"",10000,0)+IF(Atletas!B373="Feminino",1000,IF(Atletas!B373="Masculino",2000,""))+IF(Atletas!T373="Taijijian Yang A",901,IF(Atletas!T373="Taijijian Chen A",902,IF(Atletas!T373="Taijijian Sun A",903,IF(Atletas!T373="Taijijian Wu A",904,IF(Atletas!T373="Taijijian Wu-Hao A",905,IF(Atletas!T373="Taijijian 32 A",906,IF(Atletas!T373="Taijijian 42 A",907,IF(Atletas!T373="Taijijian Yang B",908,IF(Atletas!T373="Taijijian Chen B",909,IF(Atletas!T373="Taijijian Sun B",910,IF(Atletas!T373="Taijijian Wu B",911,IF(Atletas!T373="Taijijian Wu-Hao B",912,IF(Atletas!T373="Taijijian 32 B",913,IF(Atletas!T373="Taijijian 42 B",914,IF(Atletas!T373="Taijijian Yang C",915,IF(Atletas!T373="Taijijian Chen C",916,IF(Atletas!T373="Taijijian Sun C",917,IF(Atletas!T373="Taijijian Wu C",918,IF(Atletas!T373="Taijijian Wu-Hao C",919,IF(Atletas!T373="Taijijian 32 C",920,IF(Atletas!T373="Taijijian 42 C",921,IF(Atletas!T373="Taijijian Yang D",922,IF(Atletas!T373="Taijijian Chen D",923,IF(Atletas!T373="Taijijian Sun D",924,IF(Atletas!T373="Taijijian Wu D",925,IF(Atletas!T373="Taijijian Wu-Hao D",926,IF(Atletas!T373="Taijijian 32 D",927,IF(Atletas!T373="Taijijian 42 D",928,IF(Atletas!T373="Taijijian Yang E",929,IF(Atletas!T373="Taijijian Chen E",930,IF(Atletas!T373="Taijijian Sun E",931,IF(Atletas!T373="Taijijian Wu E",932,IF(Atletas!T373="Taijijian Wu-Hao E",933,IF(Atletas!T373="Taijijian 32 E",934,IF(Atletas!T373="Taijijian 42 E",935,IF(Atletas!T373="Taijijian Yang F",936,IF(Atletas!T373="Taijijian Chen F",937,IF(Atletas!T373="Taijijian Sun F",938,IF(Atletas!T373="Taijijian Wu F",939,IF(Atletas!T373="Taijijian Wu-Hao F",940,IF(Atletas!T373="Taijijian 32 F",941,IF(Atletas!T373="Taijijian 42 F",942,"")))))))))))))))))))))))))))))))))))))))))))</f>
        <v/>
      </c>
      <c r="BW377" s="52" t="str">
        <f>IF(Atletas!U373="","",IF(Atletas!W373&lt;&gt;"",10000,0)+IF(Atletas!B373="Feminino",1000,IF(Atletas!B373="Masculino",2000,""))+IF(Atletas!T373="Taijijian 42 F",942,IF(Atletas!U373="Taijidao A",943,IF(Atletas!U373="Taijishan A",944,IF(Atletas!U373="Taijiqiang A",945,IF(Atletas!U373="Taijidao B",946,IF(Atletas!U373="Taijishan B",947,IF(Atletas!U373="Taijiqiang B",948,IF(Atletas!U373="Taijidao C",949,IF(Atletas!U373="Taijishan C",950,IF(Atletas!U373="Taijiqiang C",951,IF(Atletas!U373="Taijidao D",952,IF(Atletas!U373="Taijishan D",953,IF(Atletas!U373="Taijiqiang D",954,IF(Atletas!U373="Taijidao E",955,IF(Atletas!U373="Taijishan E",956,IF(Atletas!U373="Taijiqiang E",957,IF(Atletas!U373="Taijidao F",958,IF(Atletas!U373="Taijishan F",959,IF(Atletas!U373="Taijiqiang F",960))))))))))))))))))))</f>
        <v/>
      </c>
      <c r="CB377" s="64" t="str">
        <f>IF(CC377&lt;&gt;"","Taijijian Yang E","")</f>
        <v/>
      </c>
      <c r="CC377" s="64" t="str">
        <f>IF(COUNTIF(BK:BW,11929)&gt;0,COUNTIF(BK:BW,11929),"")</f>
        <v/>
      </c>
      <c r="CD377" s="64" t="str">
        <f>IF(CE377&lt;&gt;"","Taijijian Yang E","")</f>
        <v/>
      </c>
      <c r="CE377" s="64" t="str">
        <f>IF(COUNTIF(BK:BW,12929)&gt;0,COUNTIF(BK:BW,12929),"")</f>
        <v/>
      </c>
      <c r="CF377" s="52" t="str">
        <f xml:space="preserve"> IF(Atletas!V373="","",IF(Atletas!V373="Duilian de Mãos AB - Equipe 1",1,IF(Atletas!V373="Duilian de Mãos AB - Equipe 2",2,IF(Atletas!V373="Duilian de Armas AB - Equipe 1",3,IF(Atletas!V373="Duilian de Armas AB - Equipe 2",4,IF(Atletas!V373="Duilian de Tuishou - Equipe 1",5,IF(Atletas!V373="Duilian de Tuishou - Equipe 2",6,IF(Atletas!V373="Grupo Externo AB - Equipe 1",7,IF(Atletas!V373="Grupo Externo AB - Equipe 2",8,IF(Atletas!V373="Grupo Interno AB - Equipe 1",9,IF(Atletas!V373="Grupo Interno AB - Equipe 2",10,IF(Atletas!V373="Duilian de Mãos CD - Equipe 1",11,IF(Atletas!V373="Duilian de Mãos CD - Equipe 2",12,IF(Atletas!V373="Duilian de Armas CD - Equipe 1",13,IF(Atletas!V373="Duilian de Armas CD - Equipe 2",14,IF(Atletas!V373="Duilian de Tuishou - Equipe 1",15,IF(Atletas!V373="Duilian de Tuishou - Equipe 2",16,IF(Atletas!V373="Grupo Externo CDEF - Equipe 1",17,IF(Atletas!V373="Grupo Externo CDEF - Equipe 2",18,IF(Atletas!V373="Grupo Interno CDEF - Equipe 1",19,IF(Atletas!V373="Grupo Interno CDEF - Equipe 2",20,IF(Atletas!V373="Duilian de Mãos EF - Equipe 1",21,IF(Atletas!V373="Duilian de Mãos EF - Equipe 2",22,IF(Atletas!V373="Duilian de Armas EF - Equipe 1",23,IF(Atletas!V373="Duilian de Armas EF - Equipe 2",24,IF(Atletas!V373="Duilian de Tuishou - Equipe 1",25,IF(Atletas!V373="Duilian de Tuishou - Equipe 2",26,"")))))))))))))))))))))))))))</f>
        <v/>
      </c>
    </row>
    <row r="378" spans="36:84">
      <c r="AJ378" s="46" t="str">
        <f>IF(Atletas!D374="","",IF(Atletas!B374="Feminino",100,IF(Atletas!B374="Masculino",200,""))+(IF(Atletas!D374="Infantil 39kg",1,IF(Atletas!D374="Infantil 42kg",2,IF(Atletas!D374="Infantil 45kg",3,IF(Atletas!D374="Infantil 48kg",4,IF(Atletas!D374="Infantil 52kg",5,IF(Atletas!D374="Infantil 56kg",6,IF(Atletas!D374="Infantil 60kg",7,IF(Atletas!D374="Juvenil 48kg",8,IF(Atletas!D374="Juvenil 52kg",9,IF(Atletas!D374="Juvenil 56kg",10,IF(Atletas!D374="Juvenil 60kg",11,IF(Atletas!D374="Juvenil 65kg",12,IF(Atletas!D374="Juvenil 70kg",13,IF(Atletas!D374="Juvenil 75kg",14,IF(Atletas!D374="Juvenil 80kg",15,IF(Atletas!D374="Adulto 48kg",16,IF(Atletas!D374="Adulto 52kg",17,IF(Atletas!D374="Adulto 56kg",18,IF(Atletas!D374="Adulto 60kg",19,IF(Atletas!D374="Adulto 65kg",20,IF(Atletas!D374="Adulto 70kg",21,IF(Atletas!D374="Adulto 75kg",22,IF(Atletas!D374="Adulto 80kg",23,IF(Atletas!D374="Adulto 85kg",24,IF(Atletas!D374="Adulto 90kg",25,IF(Atletas!D374="Adulto +90kg",26,""))))))))))))))))))))))))))))</f>
        <v/>
      </c>
      <c r="AO378" s="10" t="str">
        <f>IF(Atletas!E374="","",IF(Atletas!B374="Feminino",100,IF(Atletas!B374="Masculino",200,""))+(IF(Atletas!E374="Juvenil 44kg",1,IF(Atletas!E374="Juvenil 48kg",2,IF(Atletas!E374="Juvenil 52kg",3,IF(Atletas!E374="Juvenil 56kg",4,IF(Atletas!E374="Juvenil 60kg",5,IF(Atletas!E374="Juvenil 65kg",6,IF(Atletas!E374="Juvenil 70kg",7,IF(Atletas!E374="Juvenil 75kg",8,IF(Atletas!E374="Juvenil 82kg",9,IF(Atletas!E374="Juvenil 90kg",10,IF(Atletas!E374="Juvenil 100kg",11,IF(Atletas!E374="Adulto 48kg",12,IF(Atletas!E374="Adulto 52kg",13,IF(Atletas!E374="Adulto 56kg",14,IF(Atletas!E374="Adulto 60kg",15,IF(Atletas!E374="Adulto 65kg",16,IF(Atletas!E374="Adulto 70kg",17,IF(Atletas!E374="Adulto 75kg",18,IF(Atletas!E374="Adulto 82kg",19,IF(Atletas!E374="Adulto 90kg",20,IF(Atletas!E374="Adulto 100kg",21,IF(Atletas!E374="Adulto +100kg",22,""))))))))))))))))))))))))</f>
        <v/>
      </c>
      <c r="AT378" s="10" t="str">
        <f>IF(Atletas!F374="","",IF(Atletas!B374="Feminino",100,IF(Atletas!B374="Masculino",200,""))+(IF(Atletas!F374="Adulto 48kg",1,IF(Atletas!F374="Adulto 56kg",2,IF(Atletas!F374="Adulto 65kg",3,IF(Atletas!F374="Adulto 75kg",4,IF(Atletas!F374="Adulto +75kg",5,IF(Atletas!F374="Adulto 52kg",6,IF(Atletas!F374="Adulto 60kg",7,IF(Atletas!F374="Adulto 70kg",8,IF(Atletas!F374="Adulto 80kg",9,IF(Atletas!F374="Adulto 90kg",10,IF(Atletas!F374="Adulto +90kg",11,"")))))))))))))</f>
        <v/>
      </c>
      <c r="AY378" s="46" t="str">
        <f>IF(Atletas!G374="","",IF(Atletas!B374="Feminino",100,IF(Atletas!B374="Masculino",200,""))+(IF(Atletas!G374="Changquan Mirim",1,IF(Atletas!G374="Nanquan Mirim",2,IF(Atletas!G374="Taijiquan Mirim",3,IF(Atletas!G374="Changquan Grupo C",4,IF(Atletas!G374="Nanquan Grupo C",5,IF(Atletas!G374="Taijiquan Grupo C",6,IF(Atletas!G374="Changquan Grupo B",7,IF(Atletas!G374="Nanquan Grupo B",8,IF(Atletas!G374="Taijiquan Grupo B",9,IF(Atletas!G374="Changquan Grupo A",10,IF(Atletas!G374="Nanquan Grupo A",11,IF(Atletas!G374="Taijiquan Grupo A",12,IF(Atletas!G374="Changquan Opcional",13,IF(Atletas!G374="Nanquan Opcional",14,IF(Atletas!G374="Taijiquan Opcional",15,IF(Atletas!G374="Changquan Adulto",16,IF(Atletas!G374="Nanquan Adulto",17,IF(Atletas!G374="Taijiquan Adulto",18,""))))))))))))))))))))</f>
        <v/>
      </c>
      <c r="AZ378" s="46" t="str">
        <f>IF(Atletas!H374="","",IF(Atletas!B374="Feminino",100,IF(Atletas!B374="Masculino",200,""))+(IF(Atletas!H374="Daoshu Mirim",19,IF(Atletas!H374="Jianshu Mirim",20,IF(Atletas!H374="Nandao Mirim",21,IF(Atletas!H374="Taijijian Mirim",22,IF(Atletas!H374="Daoshu Grupo C",23,IF(Atletas!H374="Jianshu Grupo C",24,IF(Atletas!H374="Nandao Grupo C",25,IF(Atletas!H374="Taijijian Grupo C",26,IF(Atletas!H374="Daoshu Grupo B",27,IF(Atletas!H374="Jianshu Grupo B",28,IF(Atletas!H374="Nandao Grupo B",29,IF(Atletas!H374="Taijijian Grupo B",30,IF(Atletas!H374="Daoshu Grupo A",31,IF(Atletas!H374="Jianshu Grupo A",32,IF(Atletas!H374="Nandao Grupo A",33,IF(Atletas!H374="Taijijian Grupo A",34,IF(Atletas!H374="Daoshu Opcional",35,IF(Atletas!H374="Jianshu Opcional",36,IF(Atletas!H374="Nandao Opcional",37,IF(Atletas!H374="Taijijian Opcional",38,IF(Atletas!H374="Daoshu Adulto",39,IF(Atletas!H374="Jianshu Adulto",40,IF(Atletas!H374="Nandao Adulto",41,IF(Atletas!H374="Taijijian Adulto",42,""))))))))))))))))))))))))))</f>
        <v/>
      </c>
      <c r="BA378" s="46" t="str">
        <f>IF(Atletas!I374="","",IF(Atletas!B374="Feminino",100,IF(Atletas!B374="Masculino",200,""))+(IF(Atletas!I374="Gunshu Mirim",43,IF(Atletas!I374="Qiangshu Mirim",44,IF(Atletas!I374="Nangun Mirim",45,IF(Atletas!I374="Gunshu Grupo C",46,IF(Atletas!I374="Qiangshu Grupo C",47,IF(Atletas!I374="Nangun Grupo C",48,IF(Atletas!I374="Gunshu Grupo B",49,IF(Atletas!I374="Qiangshu Grupo B",50,IF(Atletas!I374="Nangun Grupo B",51,IF(Atletas!I374="Gunshu Grupo A",52,IF(Atletas!I374="Qiangshu Grupo A",53,IF(Atletas!I374="Nangun Grupo A",54,IF(Atletas!I374="Gunshu Opcional",55,IF(Atletas!I374="Qiangshu Opcional",56,IF(Atletas!I374="Nangun Opcional",57,IF(Atletas!I374="Gunshu Adulto",58,IF(Atletas!I374="Qiangshu Adulto",59,IF(Atletas!I374="Nangun Adulto",60,""))))))))))))))))))))</f>
        <v/>
      </c>
      <c r="BF378" s="52" t="str">
        <f>IF(Atletas!J374="","",IF(Atletas!B374="Feminino",100,IF(Atletas!B374="Masculino",200,""))+(IF(Atletas!J374="Equipe 1 Grupo B",1,IF(Atletas!J374="Equipe 2 Grupo B",2,IF(Atletas!J374="Equipe 1 Grupo A",3,IF(Atletas!J374="Equipe 2 Grupo A",4,IF(Atletas!J374="Equipe 1 Adulto",5,IF(Atletas!J374="Equipe 2 Adulto",6,""))))))))</f>
        <v/>
      </c>
      <c r="BK378" s="52" t="str">
        <f>IF(Atletas!K374="","",IF(Atletas!W374&lt;&gt;"",10000,0)+(IF(Atletas!B374="Feminino",1000,IF(Atletas!B374="Masculino",2000,""))+IF(Atletas!K374="Choylayfut A",1,IF(Atletas!K374="Hunggar A",2,IF(Atletas!K374="Wuzuquan A",3,IF(Atletas!K374="Wingchun A",4,IF(Atletas!K374="Outra Mão de Sul A",5,IF(Atletas!K374="Choylayfut B",6,IF(Atletas!K374="Hunggar B",7,IF(Atletas!K374="Wuzuquan B",8,IF(Atletas!K374="Wingchun B",9,IF(Atletas!K374="Outra Mão de Sul B",10,IF(Atletas!K374="Choylayfut C",11,IF(Atletas!K374="Hunggar C",12,IF(Atletas!K374="Wuzuquan C",13,IF(Atletas!K374="Wingchun C",14,IF(Atletas!K374="Outra Mão de Sul C",15,IF(Atletas!K374="Choylayfut D",16,IF(Atletas!K374="Hunggar D",17,IF(Atletas!K374="Wuzuquan D",18,IF(Atletas!K374="Wingchun D",19,IF(Atletas!K374="Outra Mão de Sul D",20,IF(Atletas!K374="Choylayfut E",21,IF(Atletas!K374="Hunggar E",22,IF(Atletas!K374="Wuzuquan E",23,IF(Atletas!K374="Wingchun E",24,IF(Atletas!K374="Outra Mão de Sul E",25,IF(Atletas!K374="Choylayfut F",26,IF(Atletas!K374="Hunggar F",27,IF(Atletas!K374="Wuzuquan F",28,IF(Atletas!K374="Wingchun F",29,IF(Atletas!K374="Outra Mão de Sul F",30,""))))))))))))))))))))))))))))))))</f>
        <v/>
      </c>
      <c r="BL378" s="52" t="str">
        <f>IF(Atletas!L374="","",IF(Atletas!W374&lt;&gt;"",10000,0)+(IF(Atletas!B374="Feminino",1000,IF(Atletas!B374="Masculino",2000,""))+(IF(Atletas!L374="Chaquan A",101,IF(Atletas!L374="Emeiquan A",102,IF(Atletas!L374="Fanziquan A",103,IF(Atletas!L374="Huaquan A",104,IF(Atletas!L374="Hongquan A",105,IF(Atletas!L374="Paochui A",106,IF(Atletas!L374="Piguaquan A",107,IF(Atletas!L374="Shaolinquan A",108,IF(Atletas!L374="Tanglangquan A",109,IF(Atletas!L374="Yinzhaophai A",110,IF(Atletas!L374="Tongbeiquan A",111,IF(Atletas!L374="Wudangquan A",112,IF(Atletas!L374="Outros Estilos A",113,IF(Atletas!L374="Chaquan B",114,IF(Atletas!L374="Emeiquan B",115,IF(Atletas!L374="Fanziquan B",116,IF(Atletas!L374="Huaquan B",117,IF(Atletas!L374="Hongquan B",118,IF(Atletas!L374="Paochui B",119,IF(Atletas!L374="Piguaquan B",120,IF(Atletas!L374="Shaolinquan B",121,IF(Atletas!L374="Tanglangquan B",122,IF(Atletas!L374="Yinzhaophai B",123,IF(Atletas!L374="Tongbeiquan B",124,IF(Atletas!L374="Wudangquan B",125,IF(Atletas!L374="Outros Estilos B",126,IF(Atletas!L374="Chaquan C",127,IF(Atletas!L374="Emeiquan C",128,IF(Atletas!L374="Fanziquan C",129,IF(Atletas!L374="Huaquan C",130,IF(Atletas!L374="Hongquan C",131,IF(Atletas!L374="Paochui C",132,IF(Atletas!L374="Piguaquan C",133,IF(Atletas!L374="Shaolinquan C",134,IF(Atletas!L374="Tanglangquan C",135,IF(Atletas!L374="Yinzhaophai C",136,IF(Atletas!L374="Tongbeiquan C",137,IF(Atletas!L374="Wudangquan C",138,IF(Atletas!L374="Outros Estilos C",139,0))))))))))))))))))))))))))))))))))))))))))</f>
        <v/>
      </c>
      <c r="BM378" s="52" t="str">
        <f>IF(Atletas!L374="","",IF(Atletas!W374&lt;&gt;"",10000,0)+(IF(Atletas!B374="Feminino",1000,IF(Atletas!B374="Masculino",2000,""))+(IF(Atletas!L374="Chaquan D",140,IF(Atletas!L374="Emeiquan D",141,IF(Atletas!L374="Fanziquan D",142,IF(Atletas!L374="Huaquan D",143,IF(Atletas!L374="Hongquan D",144,IF(Atletas!L374="Paochui D",145,IF(Atletas!L374="Piguaquan D",146,IF(Atletas!L374="Shaolinquan D",147,IF(Atletas!L374="Tanglangquan D",148,IF(Atletas!L374="Yinzhaophai D",149,IF(Atletas!L374="Tongbeiquan D",150,IF(Atletas!L374="Wudangquan D",151,IF(Atletas!L374="Outros Estilos D",152,IF(Atletas!L374="Chaquan E",153,IF(Atletas!L374="Emeiquan E",154,IF(Atletas!L374="Fanziquan E",155,IF(Atletas!L374="Huaquan E",156,IF(Atletas!L374="Hongquan E",157,IF(Atletas!L374="Paochui E",158,IF(Atletas!L374="Piguaquan E",159,IF(Atletas!L374="Shaolinquan E",160,IF(Atletas!L374="Tanglangquan E",161,IF(Atletas!L374="Yinzhaophai E",162,IF(Atletas!L374="Tongbeiquan E",163,IF(Atletas!L374="Wudangquan E",164,IF(Atletas!L374="Outros Estilos E",165,IF(Atletas!L374="Chaquan F",166,IF(Atletas!L374="Emeiquan F",167,IF(Atletas!L374="Fanziquan F",168,IF(Atletas!L374="Huaquan F",169,IF(Atletas!L374="Hongquan F",170,IF(Atletas!L374="Paochui F",171,IF(Atletas!L374="Piguaquan F",172,IF(Atletas!L374="Shaolinquan F",173,IF(Atletas!L374="Tanglangquan F",174,IF(Atletas!L374="Yinzhaophai F",175,IF(Atletas!L374="Tongbeiquan F",176,IF(Atletas!L374="Wudangquan F",177,IF(Atletas!L374="Outros Estilos F",178,0))))))))))))))))))))))))))))))))))))))))))</f>
        <v/>
      </c>
      <c r="BN378" s="52" t="str">
        <f>IF(Atletas!M374="","",IF(Atletas!W374&lt;&gt;"",10000,0)+(IF(Atletas!B374="Feminino",1000,IF(Atletas!B374="Masculino",2000,""))+(IF(Atletas!M374="Ditangquan A",201,IF(Atletas!M374="Houquan A",202,IF(Atletas!M374="Zuiquan A",203,IF(Atletas!M374="Ditangquan B",204,IF(Atletas!M374="Houquan B",205,IF(Atletas!M374="Zuiquan B",206,IF(Atletas!M374="Ditangquan C",207,IF(Atletas!M374="Houquan C",208,IF(Atletas!M374="Zuiquan C",209,IF(Atletas!M374="Ditangquan D",210,IF(Atletas!M374="Houquan D",211,IF(Atletas!M374="Zuiquan D",212,IF(Atletas!M374="Ditangquan E",213,IF(Atletas!M374="Houquan E",214,IF(Atletas!M374="Zuiquan E",215,IF(Atletas!M374="Ditangquan F",216,IF(Atletas!M374="Houquan F",217,IF(Atletas!M374="Zuiquan F",218,"")))))))))))))))))))))</f>
        <v/>
      </c>
      <c r="BO378" s="52" t="str">
        <f>IF(Atletas!N374="","",IF(Atletas!W374&lt;&gt;"",10000,0)+IF(Atletas!B374="Feminino",1000,IF(Atletas!B374="Masculino",2000,""))+IF(Atletas!N374="Yang A",301,IF(Atletas!N374="Chen A",30,IF(Atletas!N374="Sun A",303,IF(Atletas!N374="Wu A",304,IF(Atletas!N374="Wu-Hao A",305,IF(Atletas!N374="Outro Taijiquan A",306,IF(Atletas!N374="Yang B",307,IF(Atletas!N374="Chen B",308,IF(Atletas!N374="Sun B",309,IF(Atletas!N374="Wu B",310,IF(Atletas!N374="Wu-Hao B",311,IF(Atletas!N374="Outro Taijiquan B",312,IF(Atletas!N374="Yang C",313,IF(Atletas!N374="Chen C",314,IF(Atletas!N374="Sun C",315,IF(Atletas!N374="Wu C",316,IF(Atletas!N374="Wu-Hao C",317,IF(Atletas!N374="Outro Taijiquan C",318,IF(Atletas!N374="Yang D",319,IF(Atletas!N374="Chen D",320,IF(Atletas!N374="Sun D",321,IF(Atletas!N374="Wu D",322,IF(Atletas!N374="Wu-Hao D",323,IF(Atletas!N374="Outro Taijiquan D",324,IF(Atletas!N374="Yang E",325,IF(Atletas!N374="Chen E",326,IF(Atletas!N374="Sun E",327,IF(Atletas!N374="Wu E",328,IF(Atletas!N374="Wu-Hao E",329,IF(Atletas!N374="Outro Taijiquan E",330,IF(Atletas!N374="Yang F",331,IF(Atletas!N374="Chen F",332,IF(Atletas!N374="Sun F",333,IF(Atletas!N374="Wu F",334,IF(Atletas!N374="Wu-Hao F",335,IF(Atletas!N374="Outro Taijiquan F",336,"")))))))))))))))))))))))))))))))))))))</f>
        <v/>
      </c>
      <c r="BP378" s="52" t="str">
        <f>IF(Atletas!O374="","",IF(Atletas!W374&lt;&gt;"",10000,0)+IF(Atletas!B374="Feminino",1000,IF(Atletas!B374="Masculino",2000,""))+IF(OR(Atletas!O374="Yang 26 A",Atletas!O374="Yang 40 A"),401,IF(OR(Atletas!O374="Chen 25 A",Atletas!O374="Chen 36 A",Atletas!O374="Chen 56 A"),402,IF(Atletas!O374="Sun 73 A",403,IF(Atletas!O374="Wu 45 A",404,IF(Atletas!O374="Wu-Hao 46 A",405,IF(OR(Atletas!O374="Taijiquan 16 A",Atletas!O374="Taijiquan 24 A",Atletas!O374="Taijiquan 32 A",Atletas!O374="Taijiquan 42 A"),406,IF(OR(Atletas!O374="Yang 26 B",Atletas!O374="Yang 40 B"),407,IF(OR(Atletas!O374="Chen 25 B",Atletas!O374="Chen 36 B",Atletas!O374="Chen 56 B"),408,IF(Atletas!O374="Sun 73 B",409,IF(Atletas!O374="Wu 45 B",410,IF(Atletas!O374="Wu-Hao 46 B",411,IF(OR(Atletas!O374="Taijiquan 16 B",Atletas!O374="Taijiquan 24 B",Atletas!O374="Taijiquan 32 B",Atletas!O374="Taijiquan 42 B"),412,IF(OR(Atletas!O374="Yang 26 C",Atletas!O374="Yang 40 C"),413,IF(OR(Atletas!O374="Chen 25 C",Atletas!O374="Chen 36 C",Atletas!O374="Chen 56 C"),414,IF(Atletas!O374="Sun 73 C",415,IF(Atletas!O374="Wu 45 C",416,IF(Atletas!O374="Wu-Hao 46 C",417,IF(OR(Atletas!O374="Taijiquan 16 C",Atletas!O374="Taijiquan 24 C",Atletas!O374="Taijiquan 32 C",Atletas!O374="Taijiquan 42 C"),418,0)))))))))))))))))))</f>
        <v/>
      </c>
      <c r="BQ378" s="52" t="str">
        <f>IF(Atletas!O374="","",IF(Atletas!W374&lt;&gt;"",10000,0)+IF(Atletas!B374="Feminino",1000,IF(Atletas!B374="Masculino",2000,""))+IF(OR(Atletas!O374="Yang 26 D",Atletas!O374="Yang 40 D"),419,IF(OR(Atletas!O374="Chen 25 D",Atletas!O374="Chen 36 D",Atletas!O374="Chen 56 D"),420,IF(Atletas!O374="Sun 73 D",421,IF(Atletas!O374="Wu 45 D",422,IF(Atletas!O374="Wu-Hao 46 D",423,IF(OR(Atletas!O374="Taijiquan 16 D",Atletas!O374="Taijiquan 24 D",Atletas!O374="Taijiquan 32 D",Atletas!O374="Taijiquan 42 D"),424,IF(OR(Atletas!O374="Yang 26 E",Atletas!O374="Yang 40 E"),425,IF(OR(Atletas!O374="Chen 25 E",Atletas!O374="Chen 36 E",Atletas!O374="Chen 56 E"),426,IF(Atletas!O374="Sun 73 E",427,IF(Atletas!O374="Wu 45 E",428,IF(Atletas!O374="Wu-Hao 46 E",429,IF(OR(Atletas!O374="Taijiquan 16 E",Atletas!O374="Taijiquan 24 E",Atletas!O374="Taijiquan 32 E",Atletas!O374="Taijiquan 42 E"),430,IF(OR(Atletas!O374="Yang 26 F",Atletas!O374="Yang 40 F"),431,IF(OR(Atletas!O374="Chen 25 F",Atletas!O374="Chen 36 F",Atletas!O374="Chen 56 F"),432,IF(Atletas!O374="Sun 73 F",433,IF(Atletas!O374="Wu 45 F",434,IF(Atletas!O374="Wu-Hao 46 F",435,IF(OR(Atletas!O374="Taijiquan 16 F",Atletas!O374="Taijiquan 24 F",Atletas!O374="Taijiquan 32 F",Atletas!O374="Taijiquan 42 F"),436,0)))))))))))))))))))</f>
        <v/>
      </c>
      <c r="BR378" s="52" t="str">
        <f>IF(Atletas!P374="","",IF(Atletas!W374&lt;&gt;"",10000,0)+IF(Atletas!B374="Feminino",1000,IF(Atletas!B374="Masculino",2000,""))+IF(Atletas!P374="Xingyiquan A",501,IF(Atletas!P374="Baguazhang A",502,IF(Atletas!P374="Outro Estilo Interno A",503,IF(Atletas!P374="Xingyiquan B",504,IF(Atletas!P374="Baguazhang B",505,IF(Atletas!P374="Outro Estilo Interno B",506,IF(Atletas!P374="Xingyiquan C",507,IF(Atletas!P374="Baguazhang C",508,IF(Atletas!P374="Outro Estilo Interno C",509,IF(Atletas!P374="Xingyiquan D",510,IF(Atletas!P374="Baguazhang D",511,IF(Atletas!P374="Outro Estilo Interno D",512,IF(Atletas!P374="Xingyiquan E",513,IF(Atletas!P374="Baguazhang E",514,IF(Atletas!P374="Outro Estilo Interno E",515,IF(Atletas!P374="Xingyiquan F",516,IF(Atletas!P374="Baguazhang F",517,IF(Atletas!P374="Outro Estilo Interno F",518, "")))))))))))))))))))</f>
        <v/>
      </c>
      <c r="BS378" s="52" t="str">
        <f>IF(Atletas!Q374="","",IF(Atletas!W374&lt;&gt;"",10000,0)+IF(Atletas!B374="Feminino",1000,IF(Atletas!B374="Masculino",2000,""))+IF(Atletas!Q374="Dao A",601,IF(Atletas!Q374="Jian A",602,IF(Atletas!Q374="Bishou A",603,IF(Atletas!Q374="Shan A",604,IF(Atletas!Q374="Outra Arma Curta A",605,IF(Atletas!Q374="Dao B",606,IF(Atletas!Q374="Jian B",607,IF(Atletas!Q374="Bishou B",608,IF(Atletas!Q374="Shan B",609,IF(Atletas!Q374="Outra Arma Curta B",610,IF(Atletas!Q374="Dao C",611,IF(Atletas!Q374="Jian C",612,IF(Atletas!Q374="Bishou C",613,IF(Atletas!Q374="Shan C",614,IF(Atletas!Q374="Outra Arma Curta C",615,IF(Atletas!Q374="Dao D",616,IF(Atletas!Q374="Jian D",617,IF(Atletas!Q374="Bishou D",618,IF(Atletas!Q374="Shan D",619,IF(Atletas!Q374="Outra Arma Curta D",620,IF(Atletas!Q374="Dao E",621,IF(Atletas!Q374="Jian E",622,IF(Atletas!Q374="Bishou E",623,IF(Atletas!Q374="Shan E",624,IF(Atletas!Q374="Outra Arma Curta E",625,IF(Atletas!Q374="Dao F",626,IF(Atletas!Q374="Jian F",627,IF(Atletas!Q374="Bishou F",628,IF(Atletas!Q374="Shan F",629,IF(Atletas!Q374="Outra Arma Curta F",630, "")))))))))))))))))))))))))))))))</f>
        <v/>
      </c>
      <c r="BT378" s="52" t="str">
        <f>IF(Atletas!R374="","",IF(Atletas!W374&lt;&gt;"",10000,0)+IF(Atletas!B374="Feminino",1000,IF(Atletas!B374="Masculino",2000,""))+IF(Atletas!R374="Gun A",701,IF(Atletas!R374="Qiang A",702,IF(Atletas!R374="Pudao / Guandao A",703,IF(Atletas!R374="Outra Arma Longa A",704,IF(Atletas!R374="Gun B",705,IF(Atletas!R374="Qiang B",706,IF(Atletas!R374="Pudao / Guandao B",707,IF(Atletas!R374="Outra Arma Longa B",708,IF(Atletas!R374="Gun C",709,IF(Atletas!R374="Qiang C",710,IF(Atletas!R374="Pudao / Guandao C",711,IF(Atletas!R374="Outra Arma Longa C",712,IF(Atletas!R374="Gun D",713,IF(Atletas!R374="Qiang D",714,IF(Atletas!R374="Pudao / Guandao D",715,IF(Atletas!R374="Outra Arma Longa D",716,IF(Atletas!R374="Gun E",717,IF(Atletas!R374="Qiang E",718,IF(Atletas!R374="Pudao / Guandao E",719,IF(Atletas!R374="Outra Arma Longa E",720,IF(Atletas!R374="Gun F",721,IF(Atletas!R374="Qiang F",722,IF(Atletas!R374="Pudao / Guandao F",723,IF(Atletas!R374="Outra Arma Longa F",724,"")))))))))))))))))))))))))</f>
        <v/>
      </c>
      <c r="BU378" s="52" t="str">
        <f>IF(Atletas!S374="","",IF(Atletas!W374&lt;&gt;"",10000,0)+IF(Atletas!B374="Feminino",1000,IF(Atletas!B374="Masculino",2000,""))+IF(Atletas!S374="Arma Dupla A",801,IF(Atletas!S374="Arma Maleável A",802,IF(Atletas!S374="Arma Dupla B",803,IF(Atletas!S374="Arma Maleável B",804,IF(Atletas!S374="Arma Dupla C",805,IF(Atletas!S374="Arma Maleável C",806,IF(Atletas!S374="Arma Dupla D",807,IF(Atletas!S374="Arma Maleável D",808,IF(Atletas!S374="Arma Dupla E",809,IF(Atletas!S374="Arma Maleável E",810,IF(Atletas!S374="Arma Dupla F",811,IF(Atletas!S374="Arma Maleável F",812, "")))))))))))))</f>
        <v/>
      </c>
      <c r="BV378" s="52" t="str">
        <f>IF(Atletas!T374="","",IF(Atletas!W374&lt;&gt;"",10000,0)+IF(Atletas!B374="Feminino",1000,IF(Atletas!B374="Masculino",2000,""))+IF(Atletas!T374="Taijijian Yang A",901,IF(Atletas!T374="Taijijian Chen A",902,IF(Atletas!T374="Taijijian Sun A",903,IF(Atletas!T374="Taijijian Wu A",904,IF(Atletas!T374="Taijijian Wu-Hao A",905,IF(Atletas!T374="Taijijian 32 A",906,IF(Atletas!T374="Taijijian 42 A",907,IF(Atletas!T374="Taijijian Yang B",908,IF(Atletas!T374="Taijijian Chen B",909,IF(Atletas!T374="Taijijian Sun B",910,IF(Atletas!T374="Taijijian Wu B",911,IF(Atletas!T374="Taijijian Wu-Hao B",912,IF(Atletas!T374="Taijijian 32 B",913,IF(Atletas!T374="Taijijian 42 B",914,IF(Atletas!T374="Taijijian Yang C",915,IF(Atletas!T374="Taijijian Chen C",916,IF(Atletas!T374="Taijijian Sun C",917,IF(Atletas!T374="Taijijian Wu C",918,IF(Atletas!T374="Taijijian Wu-Hao C",919,IF(Atletas!T374="Taijijian 32 C",920,IF(Atletas!T374="Taijijian 42 C",921,IF(Atletas!T374="Taijijian Yang D",922,IF(Atletas!T374="Taijijian Chen D",923,IF(Atletas!T374="Taijijian Sun D",924,IF(Atletas!T374="Taijijian Wu D",925,IF(Atletas!T374="Taijijian Wu-Hao D",926,IF(Atletas!T374="Taijijian 32 D",927,IF(Atletas!T374="Taijijian 42 D",928,IF(Atletas!T374="Taijijian Yang E",929,IF(Atletas!T374="Taijijian Chen E",930,IF(Atletas!T374="Taijijian Sun E",931,IF(Atletas!T374="Taijijian Wu E",932,IF(Atletas!T374="Taijijian Wu-Hao E",933,IF(Atletas!T374="Taijijian 32 E",934,IF(Atletas!T374="Taijijian 42 E",935,IF(Atletas!T374="Taijijian Yang F",936,IF(Atletas!T374="Taijijian Chen F",937,IF(Atletas!T374="Taijijian Sun F",938,IF(Atletas!T374="Taijijian Wu F",939,IF(Atletas!T374="Taijijian Wu-Hao F",940,IF(Atletas!T374="Taijijian 32 F",941,IF(Atletas!T374="Taijijian 42 F",942,"")))))))))))))))))))))))))))))))))))))))))))</f>
        <v/>
      </c>
      <c r="BW378" s="52" t="str">
        <f>IF(Atletas!U374="","",IF(Atletas!W374&lt;&gt;"",10000,0)+IF(Atletas!B374="Feminino",1000,IF(Atletas!B374="Masculino",2000,""))+IF(Atletas!T374="Taijijian 42 F",942,IF(Atletas!U374="Taijidao A",943,IF(Atletas!U374="Taijishan A",944,IF(Atletas!U374="Taijiqiang A",945,IF(Atletas!U374="Taijidao B",946,IF(Atletas!U374="Taijishan B",947,IF(Atletas!U374="Taijiqiang B",948,IF(Atletas!U374="Taijidao C",949,IF(Atletas!U374="Taijishan C",950,IF(Atletas!U374="Taijiqiang C",951,IF(Atletas!U374="Taijidao D",952,IF(Atletas!U374="Taijishan D",953,IF(Atletas!U374="Taijiqiang D",954,IF(Atletas!U374="Taijidao E",955,IF(Atletas!U374="Taijishan E",956,IF(Atletas!U374="Taijiqiang E",957,IF(Atletas!U374="Taijidao F",958,IF(Atletas!U374="Taijishan F",959,IF(Atletas!U374="Taijiqiang F",960))))))))))))))))))))</f>
        <v/>
      </c>
      <c r="CB378" s="64" t="str">
        <f>IF(CC378&lt;&gt;"","Taijijian Chen E","")</f>
        <v/>
      </c>
      <c r="CC378" s="64" t="str">
        <f>IF(COUNTIF(BK:BW,11930)&gt;0,COUNTIF(BK:BW,11930),"")</f>
        <v/>
      </c>
      <c r="CD378" s="64" t="str">
        <f>IF(CE378&lt;&gt;"","Taijijian Chen E","")</f>
        <v/>
      </c>
      <c r="CE378" s="64" t="str">
        <f>IF(COUNTIF(BK:BW,12930)&gt;0,COUNTIF(BK:BW,12930),"")</f>
        <v/>
      </c>
      <c r="CF378" s="52" t="str">
        <f xml:space="preserve"> IF(Atletas!V374="","",IF(Atletas!V374="Duilian de Mãos AB - Equipe 1",1,IF(Atletas!V374="Duilian de Mãos AB - Equipe 2",2,IF(Atletas!V374="Duilian de Armas AB - Equipe 1",3,IF(Atletas!V374="Duilian de Armas AB - Equipe 2",4,IF(Atletas!V374="Duilian de Tuishou - Equipe 1",5,IF(Atletas!V374="Duilian de Tuishou - Equipe 2",6,IF(Atletas!V374="Grupo Externo AB - Equipe 1",7,IF(Atletas!V374="Grupo Externo AB - Equipe 2",8,IF(Atletas!V374="Grupo Interno AB - Equipe 1",9,IF(Atletas!V374="Grupo Interno AB - Equipe 2",10,IF(Atletas!V374="Duilian de Mãos CD - Equipe 1",11,IF(Atletas!V374="Duilian de Mãos CD - Equipe 2",12,IF(Atletas!V374="Duilian de Armas CD - Equipe 1",13,IF(Atletas!V374="Duilian de Armas CD - Equipe 2",14,IF(Atletas!V374="Duilian de Tuishou - Equipe 1",15,IF(Atletas!V374="Duilian de Tuishou - Equipe 2",16,IF(Atletas!V374="Grupo Externo CDEF - Equipe 1",17,IF(Atletas!V374="Grupo Externo CDEF - Equipe 2",18,IF(Atletas!V374="Grupo Interno CDEF - Equipe 1",19,IF(Atletas!V374="Grupo Interno CDEF - Equipe 2",20,IF(Atletas!V374="Duilian de Mãos EF - Equipe 1",21,IF(Atletas!V374="Duilian de Mãos EF - Equipe 2",22,IF(Atletas!V374="Duilian de Armas EF - Equipe 1",23,IF(Atletas!V374="Duilian de Armas EF - Equipe 2",24,IF(Atletas!V374="Duilian de Tuishou - Equipe 1",25,IF(Atletas!V374="Duilian de Tuishou - Equipe 2",26,"")))))))))))))))))))))))))))</f>
        <v/>
      </c>
    </row>
    <row r="379" spans="36:84">
      <c r="AJ379" s="46" t="str">
        <f>IF(Atletas!D375="","",IF(Atletas!B375="Feminino",100,IF(Atletas!B375="Masculino",200,""))+(IF(Atletas!D375="Infantil 39kg",1,IF(Atletas!D375="Infantil 42kg",2,IF(Atletas!D375="Infantil 45kg",3,IF(Atletas!D375="Infantil 48kg",4,IF(Atletas!D375="Infantil 52kg",5,IF(Atletas!D375="Infantil 56kg",6,IF(Atletas!D375="Infantil 60kg",7,IF(Atletas!D375="Juvenil 48kg",8,IF(Atletas!D375="Juvenil 52kg",9,IF(Atletas!D375="Juvenil 56kg",10,IF(Atletas!D375="Juvenil 60kg",11,IF(Atletas!D375="Juvenil 65kg",12,IF(Atletas!D375="Juvenil 70kg",13,IF(Atletas!D375="Juvenil 75kg",14,IF(Atletas!D375="Juvenil 80kg",15,IF(Atletas!D375="Adulto 48kg",16,IF(Atletas!D375="Adulto 52kg",17,IF(Atletas!D375="Adulto 56kg",18,IF(Atletas!D375="Adulto 60kg",19,IF(Atletas!D375="Adulto 65kg",20,IF(Atletas!D375="Adulto 70kg",21,IF(Atletas!D375="Adulto 75kg",22,IF(Atletas!D375="Adulto 80kg",23,IF(Atletas!D375="Adulto 85kg",24,IF(Atletas!D375="Adulto 90kg",25,IF(Atletas!D375="Adulto +90kg",26,""))))))))))))))))))))))))))))</f>
        <v/>
      </c>
      <c r="AO379" s="10" t="str">
        <f>IF(Atletas!E375="","",IF(Atletas!B375="Feminino",100,IF(Atletas!B375="Masculino",200,""))+(IF(Atletas!E375="Juvenil 44kg",1,IF(Atletas!E375="Juvenil 48kg",2,IF(Atletas!E375="Juvenil 52kg",3,IF(Atletas!E375="Juvenil 56kg",4,IF(Atletas!E375="Juvenil 60kg",5,IF(Atletas!E375="Juvenil 65kg",6,IF(Atletas!E375="Juvenil 70kg",7,IF(Atletas!E375="Juvenil 75kg",8,IF(Atletas!E375="Juvenil 82kg",9,IF(Atletas!E375="Juvenil 90kg",10,IF(Atletas!E375="Juvenil 100kg",11,IF(Atletas!E375="Adulto 48kg",12,IF(Atletas!E375="Adulto 52kg",13,IF(Atletas!E375="Adulto 56kg",14,IF(Atletas!E375="Adulto 60kg",15,IF(Atletas!E375="Adulto 65kg",16,IF(Atletas!E375="Adulto 70kg",17,IF(Atletas!E375="Adulto 75kg",18,IF(Atletas!E375="Adulto 82kg",19,IF(Atletas!E375="Adulto 90kg",20,IF(Atletas!E375="Adulto 100kg",21,IF(Atletas!E375="Adulto +100kg",22,""))))))))))))))))))))))))</f>
        <v/>
      </c>
      <c r="AT379" s="10" t="str">
        <f>IF(Atletas!F375="","",IF(Atletas!B375="Feminino",100,IF(Atletas!B375="Masculino",200,""))+(IF(Atletas!F375="Adulto 48kg",1,IF(Atletas!F375="Adulto 56kg",2,IF(Atletas!F375="Adulto 65kg",3,IF(Atletas!F375="Adulto 75kg",4,IF(Atletas!F375="Adulto +75kg",5,IF(Atletas!F375="Adulto 52kg",6,IF(Atletas!F375="Adulto 60kg",7,IF(Atletas!F375="Adulto 70kg",8,IF(Atletas!F375="Adulto 80kg",9,IF(Atletas!F375="Adulto 90kg",10,IF(Atletas!F375="Adulto +90kg",11,"")))))))))))))</f>
        <v/>
      </c>
      <c r="AY379" s="46" t="str">
        <f>IF(Atletas!G375="","",IF(Atletas!B375="Feminino",100,IF(Atletas!B375="Masculino",200,""))+(IF(Atletas!G375="Changquan Mirim",1,IF(Atletas!G375="Nanquan Mirim",2,IF(Atletas!G375="Taijiquan Mirim",3,IF(Atletas!G375="Changquan Grupo C",4,IF(Atletas!G375="Nanquan Grupo C",5,IF(Atletas!G375="Taijiquan Grupo C",6,IF(Atletas!G375="Changquan Grupo B",7,IF(Atletas!G375="Nanquan Grupo B",8,IF(Atletas!G375="Taijiquan Grupo B",9,IF(Atletas!G375="Changquan Grupo A",10,IF(Atletas!G375="Nanquan Grupo A",11,IF(Atletas!G375="Taijiquan Grupo A",12,IF(Atletas!G375="Changquan Opcional",13,IF(Atletas!G375="Nanquan Opcional",14,IF(Atletas!G375="Taijiquan Opcional",15,IF(Atletas!G375="Changquan Adulto",16,IF(Atletas!G375="Nanquan Adulto",17,IF(Atletas!G375="Taijiquan Adulto",18,""))))))))))))))))))))</f>
        <v/>
      </c>
      <c r="AZ379" s="46" t="str">
        <f>IF(Atletas!H375="","",IF(Atletas!B375="Feminino",100,IF(Atletas!B375="Masculino",200,""))+(IF(Atletas!H375="Daoshu Mirim",19,IF(Atletas!H375="Jianshu Mirim",20,IF(Atletas!H375="Nandao Mirim",21,IF(Atletas!H375="Taijijian Mirim",22,IF(Atletas!H375="Daoshu Grupo C",23,IF(Atletas!H375="Jianshu Grupo C",24,IF(Atletas!H375="Nandao Grupo C",25,IF(Atletas!H375="Taijijian Grupo C",26,IF(Atletas!H375="Daoshu Grupo B",27,IF(Atletas!H375="Jianshu Grupo B",28,IF(Atletas!H375="Nandao Grupo B",29,IF(Atletas!H375="Taijijian Grupo B",30,IF(Atletas!H375="Daoshu Grupo A",31,IF(Atletas!H375="Jianshu Grupo A",32,IF(Atletas!H375="Nandao Grupo A",33,IF(Atletas!H375="Taijijian Grupo A",34,IF(Atletas!H375="Daoshu Opcional",35,IF(Atletas!H375="Jianshu Opcional",36,IF(Atletas!H375="Nandao Opcional",37,IF(Atletas!H375="Taijijian Opcional",38,IF(Atletas!H375="Daoshu Adulto",39,IF(Atletas!H375="Jianshu Adulto",40,IF(Atletas!H375="Nandao Adulto",41,IF(Atletas!H375="Taijijian Adulto",42,""))))))))))))))))))))))))))</f>
        <v/>
      </c>
      <c r="BA379" s="46" t="str">
        <f>IF(Atletas!I375="","",IF(Atletas!B375="Feminino",100,IF(Atletas!B375="Masculino",200,""))+(IF(Atletas!I375="Gunshu Mirim",43,IF(Atletas!I375="Qiangshu Mirim",44,IF(Atletas!I375="Nangun Mirim",45,IF(Atletas!I375="Gunshu Grupo C",46,IF(Atletas!I375="Qiangshu Grupo C",47,IF(Atletas!I375="Nangun Grupo C",48,IF(Atletas!I375="Gunshu Grupo B",49,IF(Atletas!I375="Qiangshu Grupo B",50,IF(Atletas!I375="Nangun Grupo B",51,IF(Atletas!I375="Gunshu Grupo A",52,IF(Atletas!I375="Qiangshu Grupo A",53,IF(Atletas!I375="Nangun Grupo A",54,IF(Atletas!I375="Gunshu Opcional",55,IF(Atletas!I375="Qiangshu Opcional",56,IF(Atletas!I375="Nangun Opcional",57,IF(Atletas!I375="Gunshu Adulto",58,IF(Atletas!I375="Qiangshu Adulto",59,IF(Atletas!I375="Nangun Adulto",60,""))))))))))))))))))))</f>
        <v/>
      </c>
      <c r="BF379" s="52" t="str">
        <f>IF(Atletas!J375="","",IF(Atletas!B375="Feminino",100,IF(Atletas!B375="Masculino",200,""))+(IF(Atletas!J375="Equipe 1 Grupo B",1,IF(Atletas!J375="Equipe 2 Grupo B",2,IF(Atletas!J375="Equipe 1 Grupo A",3,IF(Atletas!J375="Equipe 2 Grupo A",4,IF(Atletas!J375="Equipe 1 Adulto",5,IF(Atletas!J375="Equipe 2 Adulto",6,""))))))))</f>
        <v/>
      </c>
      <c r="BK379" s="52" t="str">
        <f>IF(Atletas!K375="","",IF(Atletas!W375&lt;&gt;"",10000,0)+(IF(Atletas!B375="Feminino",1000,IF(Atletas!B375="Masculino",2000,""))+IF(Atletas!K375="Choylayfut A",1,IF(Atletas!K375="Hunggar A",2,IF(Atletas!K375="Wuzuquan A",3,IF(Atletas!K375="Wingchun A",4,IF(Atletas!K375="Outra Mão de Sul A",5,IF(Atletas!K375="Choylayfut B",6,IF(Atletas!K375="Hunggar B",7,IF(Atletas!K375="Wuzuquan B",8,IF(Atletas!K375="Wingchun B",9,IF(Atletas!K375="Outra Mão de Sul B",10,IF(Atletas!K375="Choylayfut C",11,IF(Atletas!K375="Hunggar C",12,IF(Atletas!K375="Wuzuquan C",13,IF(Atletas!K375="Wingchun C",14,IF(Atletas!K375="Outra Mão de Sul C",15,IF(Atletas!K375="Choylayfut D",16,IF(Atletas!K375="Hunggar D",17,IF(Atletas!K375="Wuzuquan D",18,IF(Atletas!K375="Wingchun D",19,IF(Atletas!K375="Outra Mão de Sul D",20,IF(Atletas!K375="Choylayfut E",21,IF(Atletas!K375="Hunggar E",22,IF(Atletas!K375="Wuzuquan E",23,IF(Atletas!K375="Wingchun E",24,IF(Atletas!K375="Outra Mão de Sul E",25,IF(Atletas!K375="Choylayfut F",26,IF(Atletas!K375="Hunggar F",27,IF(Atletas!K375="Wuzuquan F",28,IF(Atletas!K375="Wingchun F",29,IF(Atletas!K375="Outra Mão de Sul F",30,""))))))))))))))))))))))))))))))))</f>
        <v/>
      </c>
      <c r="BL379" s="52" t="str">
        <f>IF(Atletas!L375="","",IF(Atletas!W375&lt;&gt;"",10000,0)+(IF(Atletas!B375="Feminino",1000,IF(Atletas!B375="Masculino",2000,""))+(IF(Atletas!L375="Chaquan A",101,IF(Atletas!L375="Emeiquan A",102,IF(Atletas!L375="Fanziquan A",103,IF(Atletas!L375="Huaquan A",104,IF(Atletas!L375="Hongquan A",105,IF(Atletas!L375="Paochui A",106,IF(Atletas!L375="Piguaquan A",107,IF(Atletas!L375="Shaolinquan A",108,IF(Atletas!L375="Tanglangquan A",109,IF(Atletas!L375="Yinzhaophai A",110,IF(Atletas!L375="Tongbeiquan A",111,IF(Atletas!L375="Wudangquan A",112,IF(Atletas!L375="Outros Estilos A",113,IF(Atletas!L375="Chaquan B",114,IF(Atletas!L375="Emeiquan B",115,IF(Atletas!L375="Fanziquan B",116,IF(Atletas!L375="Huaquan B",117,IF(Atletas!L375="Hongquan B",118,IF(Atletas!L375="Paochui B",119,IF(Atletas!L375="Piguaquan B",120,IF(Atletas!L375="Shaolinquan B",121,IF(Atletas!L375="Tanglangquan B",122,IF(Atletas!L375="Yinzhaophai B",123,IF(Atletas!L375="Tongbeiquan B",124,IF(Atletas!L375="Wudangquan B",125,IF(Atletas!L375="Outros Estilos B",126,IF(Atletas!L375="Chaquan C",127,IF(Atletas!L375="Emeiquan C",128,IF(Atletas!L375="Fanziquan C",129,IF(Atletas!L375="Huaquan C",130,IF(Atletas!L375="Hongquan C",131,IF(Atletas!L375="Paochui C",132,IF(Atletas!L375="Piguaquan C",133,IF(Atletas!L375="Shaolinquan C",134,IF(Atletas!L375="Tanglangquan C",135,IF(Atletas!L375="Yinzhaophai C",136,IF(Atletas!L375="Tongbeiquan C",137,IF(Atletas!L375="Wudangquan C",138,IF(Atletas!L375="Outros Estilos C",139,0))))))))))))))))))))))))))))))))))))))))))</f>
        <v/>
      </c>
      <c r="BM379" s="52" t="str">
        <f>IF(Atletas!L375="","",IF(Atletas!W375&lt;&gt;"",10000,0)+(IF(Atletas!B375="Feminino",1000,IF(Atletas!B375="Masculino",2000,""))+(IF(Atletas!L375="Chaquan D",140,IF(Atletas!L375="Emeiquan D",141,IF(Atletas!L375="Fanziquan D",142,IF(Atletas!L375="Huaquan D",143,IF(Atletas!L375="Hongquan D",144,IF(Atletas!L375="Paochui D",145,IF(Atletas!L375="Piguaquan D",146,IF(Atletas!L375="Shaolinquan D",147,IF(Atletas!L375="Tanglangquan D",148,IF(Atletas!L375="Yinzhaophai D",149,IF(Atletas!L375="Tongbeiquan D",150,IF(Atletas!L375="Wudangquan D",151,IF(Atletas!L375="Outros Estilos D",152,IF(Atletas!L375="Chaquan E",153,IF(Atletas!L375="Emeiquan E",154,IF(Atletas!L375="Fanziquan E",155,IF(Atletas!L375="Huaquan E",156,IF(Atletas!L375="Hongquan E",157,IF(Atletas!L375="Paochui E",158,IF(Atletas!L375="Piguaquan E",159,IF(Atletas!L375="Shaolinquan E",160,IF(Atletas!L375="Tanglangquan E",161,IF(Atletas!L375="Yinzhaophai E",162,IF(Atletas!L375="Tongbeiquan E",163,IF(Atletas!L375="Wudangquan E",164,IF(Atletas!L375="Outros Estilos E",165,IF(Atletas!L375="Chaquan F",166,IF(Atletas!L375="Emeiquan F",167,IF(Atletas!L375="Fanziquan F",168,IF(Atletas!L375="Huaquan F",169,IF(Atletas!L375="Hongquan F",170,IF(Atletas!L375="Paochui F",171,IF(Atletas!L375="Piguaquan F",172,IF(Atletas!L375="Shaolinquan F",173,IF(Atletas!L375="Tanglangquan F",174,IF(Atletas!L375="Yinzhaophai F",175,IF(Atletas!L375="Tongbeiquan F",176,IF(Atletas!L375="Wudangquan F",177,IF(Atletas!L375="Outros Estilos F",178,0))))))))))))))))))))))))))))))))))))))))))</f>
        <v/>
      </c>
      <c r="BN379" s="52" t="str">
        <f>IF(Atletas!M375="","",IF(Atletas!W375&lt;&gt;"",10000,0)+(IF(Atletas!B375="Feminino",1000,IF(Atletas!B375="Masculino",2000,""))+(IF(Atletas!M375="Ditangquan A",201,IF(Atletas!M375="Houquan A",202,IF(Atletas!M375="Zuiquan A",203,IF(Atletas!M375="Ditangquan B",204,IF(Atletas!M375="Houquan B",205,IF(Atletas!M375="Zuiquan B",206,IF(Atletas!M375="Ditangquan C",207,IF(Atletas!M375="Houquan C",208,IF(Atletas!M375="Zuiquan C",209,IF(Atletas!M375="Ditangquan D",210,IF(Atletas!M375="Houquan D",211,IF(Atletas!M375="Zuiquan D",212,IF(Atletas!M375="Ditangquan E",213,IF(Atletas!M375="Houquan E",214,IF(Atletas!M375="Zuiquan E",215,IF(Atletas!M375="Ditangquan F",216,IF(Atletas!M375="Houquan F",217,IF(Atletas!M375="Zuiquan F",218,"")))))))))))))))))))))</f>
        <v/>
      </c>
      <c r="BO379" s="52" t="str">
        <f>IF(Atletas!N375="","",IF(Atletas!W375&lt;&gt;"",10000,0)+IF(Atletas!B375="Feminino",1000,IF(Atletas!B375="Masculino",2000,""))+IF(Atletas!N375="Yang A",301,IF(Atletas!N375="Chen A",30,IF(Atletas!N375="Sun A",303,IF(Atletas!N375="Wu A",304,IF(Atletas!N375="Wu-Hao A",305,IF(Atletas!N375="Outro Taijiquan A",306,IF(Atletas!N375="Yang B",307,IF(Atletas!N375="Chen B",308,IF(Atletas!N375="Sun B",309,IF(Atletas!N375="Wu B",310,IF(Atletas!N375="Wu-Hao B",311,IF(Atletas!N375="Outro Taijiquan B",312,IF(Atletas!N375="Yang C",313,IF(Atletas!N375="Chen C",314,IF(Atletas!N375="Sun C",315,IF(Atletas!N375="Wu C",316,IF(Atletas!N375="Wu-Hao C",317,IF(Atletas!N375="Outro Taijiquan C",318,IF(Atletas!N375="Yang D",319,IF(Atletas!N375="Chen D",320,IF(Atletas!N375="Sun D",321,IF(Atletas!N375="Wu D",322,IF(Atletas!N375="Wu-Hao D",323,IF(Atletas!N375="Outro Taijiquan D",324,IF(Atletas!N375="Yang E",325,IF(Atletas!N375="Chen E",326,IF(Atletas!N375="Sun E",327,IF(Atletas!N375="Wu E",328,IF(Atletas!N375="Wu-Hao E",329,IF(Atletas!N375="Outro Taijiquan E",330,IF(Atletas!N375="Yang F",331,IF(Atletas!N375="Chen F",332,IF(Atletas!N375="Sun F",333,IF(Atletas!N375="Wu F",334,IF(Atletas!N375="Wu-Hao F",335,IF(Atletas!N375="Outro Taijiquan F",336,"")))))))))))))))))))))))))))))))))))))</f>
        <v/>
      </c>
      <c r="BP379" s="52" t="str">
        <f>IF(Atletas!O375="","",IF(Atletas!W375&lt;&gt;"",10000,0)+IF(Atletas!B375="Feminino",1000,IF(Atletas!B375="Masculino",2000,""))+IF(OR(Atletas!O375="Yang 26 A",Atletas!O375="Yang 40 A"),401,IF(OR(Atletas!O375="Chen 25 A",Atletas!O375="Chen 36 A",Atletas!O375="Chen 56 A"),402,IF(Atletas!O375="Sun 73 A",403,IF(Atletas!O375="Wu 45 A",404,IF(Atletas!O375="Wu-Hao 46 A",405,IF(OR(Atletas!O375="Taijiquan 16 A",Atletas!O375="Taijiquan 24 A",Atletas!O375="Taijiquan 32 A",Atletas!O375="Taijiquan 42 A"),406,IF(OR(Atletas!O375="Yang 26 B",Atletas!O375="Yang 40 B"),407,IF(OR(Atletas!O375="Chen 25 B",Atletas!O375="Chen 36 B",Atletas!O375="Chen 56 B"),408,IF(Atletas!O375="Sun 73 B",409,IF(Atletas!O375="Wu 45 B",410,IF(Atletas!O375="Wu-Hao 46 B",411,IF(OR(Atletas!O375="Taijiquan 16 B",Atletas!O375="Taijiquan 24 B",Atletas!O375="Taijiquan 32 B",Atletas!O375="Taijiquan 42 B"),412,IF(OR(Atletas!O375="Yang 26 C",Atletas!O375="Yang 40 C"),413,IF(OR(Atletas!O375="Chen 25 C",Atletas!O375="Chen 36 C",Atletas!O375="Chen 56 C"),414,IF(Atletas!O375="Sun 73 C",415,IF(Atletas!O375="Wu 45 C",416,IF(Atletas!O375="Wu-Hao 46 C",417,IF(OR(Atletas!O375="Taijiquan 16 C",Atletas!O375="Taijiquan 24 C",Atletas!O375="Taijiquan 32 C",Atletas!O375="Taijiquan 42 C"),418,0)))))))))))))))))))</f>
        <v/>
      </c>
      <c r="BQ379" s="52" t="str">
        <f>IF(Atletas!O375="","",IF(Atletas!W375&lt;&gt;"",10000,0)+IF(Atletas!B375="Feminino",1000,IF(Atletas!B375="Masculino",2000,""))+IF(OR(Atletas!O375="Yang 26 D",Atletas!O375="Yang 40 D"),419,IF(OR(Atletas!O375="Chen 25 D",Atletas!O375="Chen 36 D",Atletas!O375="Chen 56 D"),420,IF(Atletas!O375="Sun 73 D",421,IF(Atletas!O375="Wu 45 D",422,IF(Atletas!O375="Wu-Hao 46 D",423,IF(OR(Atletas!O375="Taijiquan 16 D",Atletas!O375="Taijiquan 24 D",Atletas!O375="Taijiquan 32 D",Atletas!O375="Taijiquan 42 D"),424,IF(OR(Atletas!O375="Yang 26 E",Atletas!O375="Yang 40 E"),425,IF(OR(Atletas!O375="Chen 25 E",Atletas!O375="Chen 36 E",Atletas!O375="Chen 56 E"),426,IF(Atletas!O375="Sun 73 E",427,IF(Atletas!O375="Wu 45 E",428,IF(Atletas!O375="Wu-Hao 46 E",429,IF(OR(Atletas!O375="Taijiquan 16 E",Atletas!O375="Taijiquan 24 E",Atletas!O375="Taijiquan 32 E",Atletas!O375="Taijiquan 42 E"),430,IF(OR(Atletas!O375="Yang 26 F",Atletas!O375="Yang 40 F"),431,IF(OR(Atletas!O375="Chen 25 F",Atletas!O375="Chen 36 F",Atletas!O375="Chen 56 F"),432,IF(Atletas!O375="Sun 73 F",433,IF(Atletas!O375="Wu 45 F",434,IF(Atletas!O375="Wu-Hao 46 F",435,IF(OR(Atletas!O375="Taijiquan 16 F",Atletas!O375="Taijiquan 24 F",Atletas!O375="Taijiquan 32 F",Atletas!O375="Taijiquan 42 F"),436,0)))))))))))))))))))</f>
        <v/>
      </c>
      <c r="BR379" s="52" t="str">
        <f>IF(Atletas!P375="","",IF(Atletas!W375&lt;&gt;"",10000,0)+IF(Atletas!B375="Feminino",1000,IF(Atletas!B375="Masculino",2000,""))+IF(Atletas!P375="Xingyiquan A",501,IF(Atletas!P375="Baguazhang A",502,IF(Atletas!P375="Outro Estilo Interno A",503,IF(Atletas!P375="Xingyiquan B",504,IF(Atletas!P375="Baguazhang B",505,IF(Atletas!P375="Outro Estilo Interno B",506,IF(Atletas!P375="Xingyiquan C",507,IF(Atletas!P375="Baguazhang C",508,IF(Atletas!P375="Outro Estilo Interno C",509,IF(Atletas!P375="Xingyiquan D",510,IF(Atletas!P375="Baguazhang D",511,IF(Atletas!P375="Outro Estilo Interno D",512,IF(Atletas!P375="Xingyiquan E",513,IF(Atletas!P375="Baguazhang E",514,IF(Atletas!P375="Outro Estilo Interno E",515,IF(Atletas!P375="Xingyiquan F",516,IF(Atletas!P375="Baguazhang F",517,IF(Atletas!P375="Outro Estilo Interno F",518, "")))))))))))))))))))</f>
        <v/>
      </c>
      <c r="BS379" s="52" t="str">
        <f>IF(Atletas!Q375="","",IF(Atletas!W375&lt;&gt;"",10000,0)+IF(Atletas!B375="Feminino",1000,IF(Atletas!B375="Masculino",2000,""))+IF(Atletas!Q375="Dao A",601,IF(Atletas!Q375="Jian A",602,IF(Atletas!Q375="Bishou A",603,IF(Atletas!Q375="Shan A",604,IF(Atletas!Q375="Outra Arma Curta A",605,IF(Atletas!Q375="Dao B",606,IF(Atletas!Q375="Jian B",607,IF(Atletas!Q375="Bishou B",608,IF(Atletas!Q375="Shan B",609,IF(Atletas!Q375="Outra Arma Curta B",610,IF(Atletas!Q375="Dao C",611,IF(Atletas!Q375="Jian C",612,IF(Atletas!Q375="Bishou C",613,IF(Atletas!Q375="Shan C",614,IF(Atletas!Q375="Outra Arma Curta C",615,IF(Atletas!Q375="Dao D",616,IF(Atletas!Q375="Jian D",617,IF(Atletas!Q375="Bishou D",618,IF(Atletas!Q375="Shan D",619,IF(Atletas!Q375="Outra Arma Curta D",620,IF(Atletas!Q375="Dao E",621,IF(Atletas!Q375="Jian E",622,IF(Atletas!Q375="Bishou E",623,IF(Atletas!Q375="Shan E",624,IF(Atletas!Q375="Outra Arma Curta E",625,IF(Atletas!Q375="Dao F",626,IF(Atletas!Q375="Jian F",627,IF(Atletas!Q375="Bishou F",628,IF(Atletas!Q375="Shan F",629,IF(Atletas!Q375="Outra Arma Curta F",630, "")))))))))))))))))))))))))))))))</f>
        <v/>
      </c>
      <c r="BT379" s="52" t="str">
        <f>IF(Atletas!R375="","",IF(Atletas!W375&lt;&gt;"",10000,0)+IF(Atletas!B375="Feminino",1000,IF(Atletas!B375="Masculino",2000,""))+IF(Atletas!R375="Gun A",701,IF(Atletas!R375="Qiang A",702,IF(Atletas!R375="Pudao / Guandao A",703,IF(Atletas!R375="Outra Arma Longa A",704,IF(Atletas!R375="Gun B",705,IF(Atletas!R375="Qiang B",706,IF(Atletas!R375="Pudao / Guandao B",707,IF(Atletas!R375="Outra Arma Longa B",708,IF(Atletas!R375="Gun C",709,IF(Atletas!R375="Qiang C",710,IF(Atletas!R375="Pudao / Guandao C",711,IF(Atletas!R375="Outra Arma Longa C",712,IF(Atletas!R375="Gun D",713,IF(Atletas!R375="Qiang D",714,IF(Atletas!R375="Pudao / Guandao D",715,IF(Atletas!R375="Outra Arma Longa D",716,IF(Atletas!R375="Gun E",717,IF(Atletas!R375="Qiang E",718,IF(Atletas!R375="Pudao / Guandao E",719,IF(Atletas!R375="Outra Arma Longa E",720,IF(Atletas!R375="Gun F",721,IF(Atletas!R375="Qiang F",722,IF(Atletas!R375="Pudao / Guandao F",723,IF(Atletas!R375="Outra Arma Longa F",724,"")))))))))))))))))))))))))</f>
        <v/>
      </c>
      <c r="BU379" s="52" t="str">
        <f>IF(Atletas!S375="","",IF(Atletas!W375&lt;&gt;"",10000,0)+IF(Atletas!B375="Feminino",1000,IF(Atletas!B375="Masculino",2000,""))+IF(Atletas!S375="Arma Dupla A",801,IF(Atletas!S375="Arma Maleável A",802,IF(Atletas!S375="Arma Dupla B",803,IF(Atletas!S375="Arma Maleável B",804,IF(Atletas!S375="Arma Dupla C",805,IF(Atletas!S375="Arma Maleável C",806,IF(Atletas!S375="Arma Dupla D",807,IF(Atletas!S375="Arma Maleável D",808,IF(Atletas!S375="Arma Dupla E",809,IF(Atletas!S375="Arma Maleável E",810,IF(Atletas!S375="Arma Dupla F",811,IF(Atletas!S375="Arma Maleável F",812, "")))))))))))))</f>
        <v/>
      </c>
      <c r="BV379" s="52" t="str">
        <f>IF(Atletas!T375="","",IF(Atletas!W375&lt;&gt;"",10000,0)+IF(Atletas!B375="Feminino",1000,IF(Atletas!B375="Masculino",2000,""))+IF(Atletas!T375="Taijijian Yang A",901,IF(Atletas!T375="Taijijian Chen A",902,IF(Atletas!T375="Taijijian Sun A",903,IF(Atletas!T375="Taijijian Wu A",904,IF(Atletas!T375="Taijijian Wu-Hao A",905,IF(Atletas!T375="Taijijian 32 A",906,IF(Atletas!T375="Taijijian 42 A",907,IF(Atletas!T375="Taijijian Yang B",908,IF(Atletas!T375="Taijijian Chen B",909,IF(Atletas!T375="Taijijian Sun B",910,IF(Atletas!T375="Taijijian Wu B",911,IF(Atletas!T375="Taijijian Wu-Hao B",912,IF(Atletas!T375="Taijijian 32 B",913,IF(Atletas!T375="Taijijian 42 B",914,IF(Atletas!T375="Taijijian Yang C",915,IF(Atletas!T375="Taijijian Chen C",916,IF(Atletas!T375="Taijijian Sun C",917,IF(Atletas!T375="Taijijian Wu C",918,IF(Atletas!T375="Taijijian Wu-Hao C",919,IF(Atletas!T375="Taijijian 32 C",920,IF(Atletas!T375="Taijijian 42 C",921,IF(Atletas!T375="Taijijian Yang D",922,IF(Atletas!T375="Taijijian Chen D",923,IF(Atletas!T375="Taijijian Sun D",924,IF(Atletas!T375="Taijijian Wu D",925,IF(Atletas!T375="Taijijian Wu-Hao D",926,IF(Atletas!T375="Taijijian 32 D",927,IF(Atletas!T375="Taijijian 42 D",928,IF(Atletas!T375="Taijijian Yang E",929,IF(Atletas!T375="Taijijian Chen E",930,IF(Atletas!T375="Taijijian Sun E",931,IF(Atletas!T375="Taijijian Wu E",932,IF(Atletas!T375="Taijijian Wu-Hao E",933,IF(Atletas!T375="Taijijian 32 E",934,IF(Atletas!T375="Taijijian 42 E",935,IF(Atletas!T375="Taijijian Yang F",936,IF(Atletas!T375="Taijijian Chen F",937,IF(Atletas!T375="Taijijian Sun F",938,IF(Atletas!T375="Taijijian Wu F",939,IF(Atletas!T375="Taijijian Wu-Hao F",940,IF(Atletas!T375="Taijijian 32 F",941,IF(Atletas!T375="Taijijian 42 F",942,"")))))))))))))))))))))))))))))))))))))))))))</f>
        <v/>
      </c>
      <c r="BW379" s="52" t="str">
        <f>IF(Atletas!U375="","",IF(Atletas!W375&lt;&gt;"",10000,0)+IF(Atletas!B375="Feminino",1000,IF(Atletas!B375="Masculino",2000,""))+IF(Atletas!T375="Taijijian 42 F",942,IF(Atletas!U375="Taijidao A",943,IF(Atletas!U375="Taijishan A",944,IF(Atletas!U375="Taijiqiang A",945,IF(Atletas!U375="Taijidao B",946,IF(Atletas!U375="Taijishan B",947,IF(Atletas!U375="Taijiqiang B",948,IF(Atletas!U375="Taijidao C",949,IF(Atletas!U375="Taijishan C",950,IF(Atletas!U375="Taijiqiang C",951,IF(Atletas!U375="Taijidao D",952,IF(Atletas!U375="Taijishan D",953,IF(Atletas!U375="Taijiqiang D",954,IF(Atletas!U375="Taijidao E",955,IF(Atletas!U375="Taijishan E",956,IF(Atletas!U375="Taijiqiang E",957,IF(Atletas!U375="Taijidao F",958,IF(Atletas!U375="Taijishan F",959,IF(Atletas!U375="Taijiqiang F",960))))))))))))))))))))</f>
        <v/>
      </c>
      <c r="CB379" s="64" t="str">
        <f>IF(CC379&lt;&gt;"","Taijijian Sun E","")</f>
        <v/>
      </c>
      <c r="CC379" s="64" t="str">
        <f>IF(COUNTIF(BK:BW,11931)&gt;0,COUNTIF(BK:BW,11931),"")</f>
        <v/>
      </c>
      <c r="CD379" s="64" t="str">
        <f>IF(CE379&lt;&gt;"","Taijijian Sun E","")</f>
        <v/>
      </c>
      <c r="CE379" s="64" t="str">
        <f>IF(COUNTIF(BK:BW,12931)&gt;0,COUNTIF(BK:BW,12931),"")</f>
        <v/>
      </c>
      <c r="CF379" s="52" t="str">
        <f xml:space="preserve"> IF(Atletas!V375="","",IF(Atletas!V375="Duilian de Mãos AB - Equipe 1",1,IF(Atletas!V375="Duilian de Mãos AB - Equipe 2",2,IF(Atletas!V375="Duilian de Armas AB - Equipe 1",3,IF(Atletas!V375="Duilian de Armas AB - Equipe 2",4,IF(Atletas!V375="Duilian de Tuishou - Equipe 1",5,IF(Atletas!V375="Duilian de Tuishou - Equipe 2",6,IF(Atletas!V375="Grupo Externo AB - Equipe 1",7,IF(Atletas!V375="Grupo Externo AB - Equipe 2",8,IF(Atletas!V375="Grupo Interno AB - Equipe 1",9,IF(Atletas!V375="Grupo Interno AB - Equipe 2",10,IF(Atletas!V375="Duilian de Mãos CD - Equipe 1",11,IF(Atletas!V375="Duilian de Mãos CD - Equipe 2",12,IF(Atletas!V375="Duilian de Armas CD - Equipe 1",13,IF(Atletas!V375="Duilian de Armas CD - Equipe 2",14,IF(Atletas!V375="Duilian de Tuishou - Equipe 1",15,IF(Atletas!V375="Duilian de Tuishou - Equipe 2",16,IF(Atletas!V375="Grupo Externo CDEF - Equipe 1",17,IF(Atletas!V375="Grupo Externo CDEF - Equipe 2",18,IF(Atletas!V375="Grupo Interno CDEF - Equipe 1",19,IF(Atletas!V375="Grupo Interno CDEF - Equipe 2",20,IF(Atletas!V375="Duilian de Mãos EF - Equipe 1",21,IF(Atletas!V375="Duilian de Mãos EF - Equipe 2",22,IF(Atletas!V375="Duilian de Armas EF - Equipe 1",23,IF(Atletas!V375="Duilian de Armas EF - Equipe 2",24,IF(Atletas!V375="Duilian de Tuishou - Equipe 1",25,IF(Atletas!V375="Duilian de Tuishou - Equipe 2",26,"")))))))))))))))))))))))))))</f>
        <v/>
      </c>
    </row>
    <row r="380" spans="36:84">
      <c r="AJ380" s="46" t="str">
        <f>IF(Atletas!D376="","",IF(Atletas!B376="Feminino",100,IF(Atletas!B376="Masculino",200,""))+(IF(Atletas!D376="Infantil 39kg",1,IF(Atletas!D376="Infantil 42kg",2,IF(Atletas!D376="Infantil 45kg",3,IF(Atletas!D376="Infantil 48kg",4,IF(Atletas!D376="Infantil 52kg",5,IF(Atletas!D376="Infantil 56kg",6,IF(Atletas!D376="Infantil 60kg",7,IF(Atletas!D376="Juvenil 48kg",8,IF(Atletas!D376="Juvenil 52kg",9,IF(Atletas!D376="Juvenil 56kg",10,IF(Atletas!D376="Juvenil 60kg",11,IF(Atletas!D376="Juvenil 65kg",12,IF(Atletas!D376="Juvenil 70kg",13,IF(Atletas!D376="Juvenil 75kg",14,IF(Atletas!D376="Juvenil 80kg",15,IF(Atletas!D376="Adulto 48kg",16,IF(Atletas!D376="Adulto 52kg",17,IF(Atletas!D376="Adulto 56kg",18,IF(Atletas!D376="Adulto 60kg",19,IF(Atletas!D376="Adulto 65kg",20,IF(Atletas!D376="Adulto 70kg",21,IF(Atletas!D376="Adulto 75kg",22,IF(Atletas!D376="Adulto 80kg",23,IF(Atletas!D376="Adulto 85kg",24,IF(Atletas!D376="Adulto 90kg",25,IF(Atletas!D376="Adulto +90kg",26,""))))))))))))))))))))))))))))</f>
        <v/>
      </c>
      <c r="AO380" s="10" t="str">
        <f>IF(Atletas!E376="","",IF(Atletas!B376="Feminino",100,IF(Atletas!B376="Masculino",200,""))+(IF(Atletas!E376="Juvenil 44kg",1,IF(Atletas!E376="Juvenil 48kg",2,IF(Atletas!E376="Juvenil 52kg",3,IF(Atletas!E376="Juvenil 56kg",4,IF(Atletas!E376="Juvenil 60kg",5,IF(Atletas!E376="Juvenil 65kg",6,IF(Atletas!E376="Juvenil 70kg",7,IF(Atletas!E376="Juvenil 75kg",8,IF(Atletas!E376="Juvenil 82kg",9,IF(Atletas!E376="Juvenil 90kg",10,IF(Atletas!E376="Juvenil 100kg",11,IF(Atletas!E376="Adulto 48kg",12,IF(Atletas!E376="Adulto 52kg",13,IF(Atletas!E376="Adulto 56kg",14,IF(Atletas!E376="Adulto 60kg",15,IF(Atletas!E376="Adulto 65kg",16,IF(Atletas!E376="Adulto 70kg",17,IF(Atletas!E376="Adulto 75kg",18,IF(Atletas!E376="Adulto 82kg",19,IF(Atletas!E376="Adulto 90kg",20,IF(Atletas!E376="Adulto 100kg",21,IF(Atletas!E376="Adulto +100kg",22,""))))))))))))))))))))))))</f>
        <v/>
      </c>
      <c r="AT380" s="10" t="str">
        <f>IF(Atletas!F376="","",IF(Atletas!B376="Feminino",100,IF(Atletas!B376="Masculino",200,""))+(IF(Atletas!F376="Adulto 48kg",1,IF(Atletas!F376="Adulto 56kg",2,IF(Atletas!F376="Adulto 65kg",3,IF(Atletas!F376="Adulto 75kg",4,IF(Atletas!F376="Adulto +75kg",5,IF(Atletas!F376="Adulto 52kg",6,IF(Atletas!F376="Adulto 60kg",7,IF(Atletas!F376="Adulto 70kg",8,IF(Atletas!F376="Adulto 80kg",9,IF(Atletas!F376="Adulto 90kg",10,IF(Atletas!F376="Adulto +90kg",11,"")))))))))))))</f>
        <v/>
      </c>
      <c r="AY380" s="46" t="str">
        <f>IF(Atletas!G376="","",IF(Atletas!B376="Feminino",100,IF(Atletas!B376="Masculino",200,""))+(IF(Atletas!G376="Changquan Mirim",1,IF(Atletas!G376="Nanquan Mirim",2,IF(Atletas!G376="Taijiquan Mirim",3,IF(Atletas!G376="Changquan Grupo C",4,IF(Atletas!G376="Nanquan Grupo C",5,IF(Atletas!G376="Taijiquan Grupo C",6,IF(Atletas!G376="Changquan Grupo B",7,IF(Atletas!G376="Nanquan Grupo B",8,IF(Atletas!G376="Taijiquan Grupo B",9,IF(Atletas!G376="Changquan Grupo A",10,IF(Atletas!G376="Nanquan Grupo A",11,IF(Atletas!G376="Taijiquan Grupo A",12,IF(Atletas!G376="Changquan Opcional",13,IF(Atletas!G376="Nanquan Opcional",14,IF(Atletas!G376="Taijiquan Opcional",15,IF(Atletas!G376="Changquan Adulto",16,IF(Atletas!G376="Nanquan Adulto",17,IF(Atletas!G376="Taijiquan Adulto",18,""))))))))))))))))))))</f>
        <v/>
      </c>
      <c r="AZ380" s="46" t="str">
        <f>IF(Atletas!H376="","",IF(Atletas!B376="Feminino",100,IF(Atletas!B376="Masculino",200,""))+(IF(Atletas!H376="Daoshu Mirim",19,IF(Atletas!H376="Jianshu Mirim",20,IF(Atletas!H376="Nandao Mirim",21,IF(Atletas!H376="Taijijian Mirim",22,IF(Atletas!H376="Daoshu Grupo C",23,IF(Atletas!H376="Jianshu Grupo C",24,IF(Atletas!H376="Nandao Grupo C",25,IF(Atletas!H376="Taijijian Grupo C",26,IF(Atletas!H376="Daoshu Grupo B",27,IF(Atletas!H376="Jianshu Grupo B",28,IF(Atletas!H376="Nandao Grupo B",29,IF(Atletas!H376="Taijijian Grupo B",30,IF(Atletas!H376="Daoshu Grupo A",31,IF(Atletas!H376="Jianshu Grupo A",32,IF(Atletas!H376="Nandao Grupo A",33,IF(Atletas!H376="Taijijian Grupo A",34,IF(Atletas!H376="Daoshu Opcional",35,IF(Atletas!H376="Jianshu Opcional",36,IF(Atletas!H376="Nandao Opcional",37,IF(Atletas!H376="Taijijian Opcional",38,IF(Atletas!H376="Daoshu Adulto",39,IF(Atletas!H376="Jianshu Adulto",40,IF(Atletas!H376="Nandao Adulto",41,IF(Atletas!H376="Taijijian Adulto",42,""))))))))))))))))))))))))))</f>
        <v/>
      </c>
      <c r="BA380" s="46" t="str">
        <f>IF(Atletas!I376="","",IF(Atletas!B376="Feminino",100,IF(Atletas!B376="Masculino",200,""))+(IF(Atletas!I376="Gunshu Mirim",43,IF(Atletas!I376="Qiangshu Mirim",44,IF(Atletas!I376="Nangun Mirim",45,IF(Atletas!I376="Gunshu Grupo C",46,IF(Atletas!I376="Qiangshu Grupo C",47,IF(Atletas!I376="Nangun Grupo C",48,IF(Atletas!I376="Gunshu Grupo B",49,IF(Atletas!I376="Qiangshu Grupo B",50,IF(Atletas!I376="Nangun Grupo B",51,IF(Atletas!I376="Gunshu Grupo A",52,IF(Atletas!I376="Qiangshu Grupo A",53,IF(Atletas!I376="Nangun Grupo A",54,IF(Atletas!I376="Gunshu Opcional",55,IF(Atletas!I376="Qiangshu Opcional",56,IF(Atletas!I376="Nangun Opcional",57,IF(Atletas!I376="Gunshu Adulto",58,IF(Atletas!I376="Qiangshu Adulto",59,IF(Atletas!I376="Nangun Adulto",60,""))))))))))))))))))))</f>
        <v/>
      </c>
      <c r="BF380" s="52" t="str">
        <f>IF(Atletas!J376="","",IF(Atletas!B376="Feminino",100,IF(Atletas!B376="Masculino",200,""))+(IF(Atletas!J376="Equipe 1 Grupo B",1,IF(Atletas!J376="Equipe 2 Grupo B",2,IF(Atletas!J376="Equipe 1 Grupo A",3,IF(Atletas!J376="Equipe 2 Grupo A",4,IF(Atletas!J376="Equipe 1 Adulto",5,IF(Atletas!J376="Equipe 2 Adulto",6,""))))))))</f>
        <v/>
      </c>
      <c r="BK380" s="52" t="str">
        <f>IF(Atletas!K376="","",IF(Atletas!W376&lt;&gt;"",10000,0)+(IF(Atletas!B376="Feminino",1000,IF(Atletas!B376="Masculino",2000,""))+IF(Atletas!K376="Choylayfut A",1,IF(Atletas!K376="Hunggar A",2,IF(Atletas!K376="Wuzuquan A",3,IF(Atletas!K376="Wingchun A",4,IF(Atletas!K376="Outra Mão de Sul A",5,IF(Atletas!K376="Choylayfut B",6,IF(Atletas!K376="Hunggar B",7,IF(Atletas!K376="Wuzuquan B",8,IF(Atletas!K376="Wingchun B",9,IF(Atletas!K376="Outra Mão de Sul B",10,IF(Atletas!K376="Choylayfut C",11,IF(Atletas!K376="Hunggar C",12,IF(Atletas!K376="Wuzuquan C",13,IF(Atletas!K376="Wingchun C",14,IF(Atletas!K376="Outra Mão de Sul C",15,IF(Atletas!K376="Choylayfut D",16,IF(Atletas!K376="Hunggar D",17,IF(Atletas!K376="Wuzuquan D",18,IF(Atletas!K376="Wingchun D",19,IF(Atletas!K376="Outra Mão de Sul D",20,IF(Atletas!K376="Choylayfut E",21,IF(Atletas!K376="Hunggar E",22,IF(Atletas!K376="Wuzuquan E",23,IF(Atletas!K376="Wingchun E",24,IF(Atletas!K376="Outra Mão de Sul E",25,IF(Atletas!K376="Choylayfut F",26,IF(Atletas!K376="Hunggar F",27,IF(Atletas!K376="Wuzuquan F",28,IF(Atletas!K376="Wingchun F",29,IF(Atletas!K376="Outra Mão de Sul F",30,""))))))))))))))))))))))))))))))))</f>
        <v/>
      </c>
      <c r="BL380" s="52" t="str">
        <f>IF(Atletas!L376="","",IF(Atletas!W376&lt;&gt;"",10000,0)+(IF(Atletas!B376="Feminino",1000,IF(Atletas!B376="Masculino",2000,""))+(IF(Atletas!L376="Chaquan A",101,IF(Atletas!L376="Emeiquan A",102,IF(Atletas!L376="Fanziquan A",103,IF(Atletas!L376="Huaquan A",104,IF(Atletas!L376="Hongquan A",105,IF(Atletas!L376="Paochui A",106,IF(Atletas!L376="Piguaquan A",107,IF(Atletas!L376="Shaolinquan A",108,IF(Atletas!L376="Tanglangquan A",109,IF(Atletas!L376="Yinzhaophai A",110,IF(Atletas!L376="Tongbeiquan A",111,IF(Atletas!L376="Wudangquan A",112,IF(Atletas!L376="Outros Estilos A",113,IF(Atletas!L376="Chaquan B",114,IF(Atletas!L376="Emeiquan B",115,IF(Atletas!L376="Fanziquan B",116,IF(Atletas!L376="Huaquan B",117,IF(Atletas!L376="Hongquan B",118,IF(Atletas!L376="Paochui B",119,IF(Atletas!L376="Piguaquan B",120,IF(Atletas!L376="Shaolinquan B",121,IF(Atletas!L376="Tanglangquan B",122,IF(Atletas!L376="Yinzhaophai B",123,IF(Atletas!L376="Tongbeiquan B",124,IF(Atletas!L376="Wudangquan B",125,IF(Atletas!L376="Outros Estilos B",126,IF(Atletas!L376="Chaquan C",127,IF(Atletas!L376="Emeiquan C",128,IF(Atletas!L376="Fanziquan C",129,IF(Atletas!L376="Huaquan C",130,IF(Atletas!L376="Hongquan C",131,IF(Atletas!L376="Paochui C",132,IF(Atletas!L376="Piguaquan C",133,IF(Atletas!L376="Shaolinquan C",134,IF(Atletas!L376="Tanglangquan C",135,IF(Atletas!L376="Yinzhaophai C",136,IF(Atletas!L376="Tongbeiquan C",137,IF(Atletas!L376="Wudangquan C",138,IF(Atletas!L376="Outros Estilos C",139,0))))))))))))))))))))))))))))))))))))))))))</f>
        <v/>
      </c>
      <c r="BM380" s="52" t="str">
        <f>IF(Atletas!L376="","",IF(Atletas!W376&lt;&gt;"",10000,0)+(IF(Atletas!B376="Feminino",1000,IF(Atletas!B376="Masculino",2000,""))+(IF(Atletas!L376="Chaquan D",140,IF(Atletas!L376="Emeiquan D",141,IF(Atletas!L376="Fanziquan D",142,IF(Atletas!L376="Huaquan D",143,IF(Atletas!L376="Hongquan D",144,IF(Atletas!L376="Paochui D",145,IF(Atletas!L376="Piguaquan D",146,IF(Atletas!L376="Shaolinquan D",147,IF(Atletas!L376="Tanglangquan D",148,IF(Atletas!L376="Yinzhaophai D",149,IF(Atletas!L376="Tongbeiquan D",150,IF(Atletas!L376="Wudangquan D",151,IF(Atletas!L376="Outros Estilos D",152,IF(Atletas!L376="Chaquan E",153,IF(Atletas!L376="Emeiquan E",154,IF(Atletas!L376="Fanziquan E",155,IF(Atletas!L376="Huaquan E",156,IF(Atletas!L376="Hongquan E",157,IF(Atletas!L376="Paochui E",158,IF(Atletas!L376="Piguaquan E",159,IF(Atletas!L376="Shaolinquan E",160,IF(Atletas!L376="Tanglangquan E",161,IF(Atletas!L376="Yinzhaophai E",162,IF(Atletas!L376="Tongbeiquan E",163,IF(Atletas!L376="Wudangquan E",164,IF(Atletas!L376="Outros Estilos E",165,IF(Atletas!L376="Chaquan F",166,IF(Atletas!L376="Emeiquan F",167,IF(Atletas!L376="Fanziquan F",168,IF(Atletas!L376="Huaquan F",169,IF(Atletas!L376="Hongquan F",170,IF(Atletas!L376="Paochui F",171,IF(Atletas!L376="Piguaquan F",172,IF(Atletas!L376="Shaolinquan F",173,IF(Atletas!L376="Tanglangquan F",174,IF(Atletas!L376="Yinzhaophai F",175,IF(Atletas!L376="Tongbeiquan F",176,IF(Atletas!L376="Wudangquan F",177,IF(Atletas!L376="Outros Estilos F",178,0))))))))))))))))))))))))))))))))))))))))))</f>
        <v/>
      </c>
      <c r="BN380" s="52" t="str">
        <f>IF(Atletas!M376="","",IF(Atletas!W376&lt;&gt;"",10000,0)+(IF(Atletas!B376="Feminino",1000,IF(Atletas!B376="Masculino",2000,""))+(IF(Atletas!M376="Ditangquan A",201,IF(Atletas!M376="Houquan A",202,IF(Atletas!M376="Zuiquan A",203,IF(Atletas!M376="Ditangquan B",204,IF(Atletas!M376="Houquan B",205,IF(Atletas!M376="Zuiquan B",206,IF(Atletas!M376="Ditangquan C",207,IF(Atletas!M376="Houquan C",208,IF(Atletas!M376="Zuiquan C",209,IF(Atletas!M376="Ditangquan D",210,IF(Atletas!M376="Houquan D",211,IF(Atletas!M376="Zuiquan D",212,IF(Atletas!M376="Ditangquan E",213,IF(Atletas!M376="Houquan E",214,IF(Atletas!M376="Zuiquan E",215,IF(Atletas!M376="Ditangquan F",216,IF(Atletas!M376="Houquan F",217,IF(Atletas!M376="Zuiquan F",218,"")))))))))))))))))))))</f>
        <v/>
      </c>
      <c r="BO380" s="52" t="str">
        <f>IF(Atletas!N376="","",IF(Atletas!W376&lt;&gt;"",10000,0)+IF(Atletas!B376="Feminino",1000,IF(Atletas!B376="Masculino",2000,""))+IF(Atletas!N376="Yang A",301,IF(Atletas!N376="Chen A",30,IF(Atletas!N376="Sun A",303,IF(Atletas!N376="Wu A",304,IF(Atletas!N376="Wu-Hao A",305,IF(Atletas!N376="Outro Taijiquan A",306,IF(Atletas!N376="Yang B",307,IF(Atletas!N376="Chen B",308,IF(Atletas!N376="Sun B",309,IF(Atletas!N376="Wu B",310,IF(Atletas!N376="Wu-Hao B",311,IF(Atletas!N376="Outro Taijiquan B",312,IF(Atletas!N376="Yang C",313,IF(Atletas!N376="Chen C",314,IF(Atletas!N376="Sun C",315,IF(Atletas!N376="Wu C",316,IF(Atletas!N376="Wu-Hao C",317,IF(Atletas!N376="Outro Taijiquan C",318,IF(Atletas!N376="Yang D",319,IF(Atletas!N376="Chen D",320,IF(Atletas!N376="Sun D",321,IF(Atletas!N376="Wu D",322,IF(Atletas!N376="Wu-Hao D",323,IF(Atletas!N376="Outro Taijiquan D",324,IF(Atletas!N376="Yang E",325,IF(Atletas!N376="Chen E",326,IF(Atletas!N376="Sun E",327,IF(Atletas!N376="Wu E",328,IF(Atletas!N376="Wu-Hao E",329,IF(Atletas!N376="Outro Taijiquan E",330,IF(Atletas!N376="Yang F",331,IF(Atletas!N376="Chen F",332,IF(Atletas!N376="Sun F",333,IF(Atletas!N376="Wu F",334,IF(Atletas!N376="Wu-Hao F",335,IF(Atletas!N376="Outro Taijiquan F",336,"")))))))))))))))))))))))))))))))))))))</f>
        <v/>
      </c>
      <c r="BP380" s="52" t="str">
        <f>IF(Atletas!O376="","",IF(Atletas!W376&lt;&gt;"",10000,0)+IF(Atletas!B376="Feminino",1000,IF(Atletas!B376="Masculino",2000,""))+IF(OR(Atletas!O376="Yang 26 A",Atletas!O376="Yang 40 A"),401,IF(OR(Atletas!O376="Chen 25 A",Atletas!O376="Chen 36 A",Atletas!O376="Chen 56 A"),402,IF(Atletas!O376="Sun 73 A",403,IF(Atletas!O376="Wu 45 A",404,IF(Atletas!O376="Wu-Hao 46 A",405,IF(OR(Atletas!O376="Taijiquan 16 A",Atletas!O376="Taijiquan 24 A",Atletas!O376="Taijiquan 32 A",Atletas!O376="Taijiquan 42 A"),406,IF(OR(Atletas!O376="Yang 26 B",Atletas!O376="Yang 40 B"),407,IF(OR(Atletas!O376="Chen 25 B",Atletas!O376="Chen 36 B",Atletas!O376="Chen 56 B"),408,IF(Atletas!O376="Sun 73 B",409,IF(Atletas!O376="Wu 45 B",410,IF(Atletas!O376="Wu-Hao 46 B",411,IF(OR(Atletas!O376="Taijiquan 16 B",Atletas!O376="Taijiquan 24 B",Atletas!O376="Taijiquan 32 B",Atletas!O376="Taijiquan 42 B"),412,IF(OR(Atletas!O376="Yang 26 C",Atletas!O376="Yang 40 C"),413,IF(OR(Atletas!O376="Chen 25 C",Atletas!O376="Chen 36 C",Atletas!O376="Chen 56 C"),414,IF(Atletas!O376="Sun 73 C",415,IF(Atletas!O376="Wu 45 C",416,IF(Atletas!O376="Wu-Hao 46 C",417,IF(OR(Atletas!O376="Taijiquan 16 C",Atletas!O376="Taijiquan 24 C",Atletas!O376="Taijiquan 32 C",Atletas!O376="Taijiquan 42 C"),418,0)))))))))))))))))))</f>
        <v/>
      </c>
      <c r="BQ380" s="52" t="str">
        <f>IF(Atletas!O376="","",IF(Atletas!W376&lt;&gt;"",10000,0)+IF(Atletas!B376="Feminino",1000,IF(Atletas!B376="Masculino",2000,""))+IF(OR(Atletas!O376="Yang 26 D",Atletas!O376="Yang 40 D"),419,IF(OR(Atletas!O376="Chen 25 D",Atletas!O376="Chen 36 D",Atletas!O376="Chen 56 D"),420,IF(Atletas!O376="Sun 73 D",421,IF(Atletas!O376="Wu 45 D",422,IF(Atletas!O376="Wu-Hao 46 D",423,IF(OR(Atletas!O376="Taijiquan 16 D",Atletas!O376="Taijiquan 24 D",Atletas!O376="Taijiquan 32 D",Atletas!O376="Taijiquan 42 D"),424,IF(OR(Atletas!O376="Yang 26 E",Atletas!O376="Yang 40 E"),425,IF(OR(Atletas!O376="Chen 25 E",Atletas!O376="Chen 36 E",Atletas!O376="Chen 56 E"),426,IF(Atletas!O376="Sun 73 E",427,IF(Atletas!O376="Wu 45 E",428,IF(Atletas!O376="Wu-Hao 46 E",429,IF(OR(Atletas!O376="Taijiquan 16 E",Atletas!O376="Taijiquan 24 E",Atletas!O376="Taijiquan 32 E",Atletas!O376="Taijiquan 42 E"),430,IF(OR(Atletas!O376="Yang 26 F",Atletas!O376="Yang 40 F"),431,IF(OR(Atletas!O376="Chen 25 F",Atletas!O376="Chen 36 F",Atletas!O376="Chen 56 F"),432,IF(Atletas!O376="Sun 73 F",433,IF(Atletas!O376="Wu 45 F",434,IF(Atletas!O376="Wu-Hao 46 F",435,IF(OR(Atletas!O376="Taijiquan 16 F",Atletas!O376="Taijiquan 24 F",Atletas!O376="Taijiquan 32 F",Atletas!O376="Taijiquan 42 F"),436,0)))))))))))))))))))</f>
        <v/>
      </c>
      <c r="BR380" s="52" t="str">
        <f>IF(Atletas!P376="","",IF(Atletas!W376&lt;&gt;"",10000,0)+IF(Atletas!B376="Feminino",1000,IF(Atletas!B376="Masculino",2000,""))+IF(Atletas!P376="Xingyiquan A",501,IF(Atletas!P376="Baguazhang A",502,IF(Atletas!P376="Outro Estilo Interno A",503,IF(Atletas!P376="Xingyiquan B",504,IF(Atletas!P376="Baguazhang B",505,IF(Atletas!P376="Outro Estilo Interno B",506,IF(Atletas!P376="Xingyiquan C",507,IF(Atletas!P376="Baguazhang C",508,IF(Atletas!P376="Outro Estilo Interno C",509,IF(Atletas!P376="Xingyiquan D",510,IF(Atletas!P376="Baguazhang D",511,IF(Atletas!P376="Outro Estilo Interno D",512,IF(Atletas!P376="Xingyiquan E",513,IF(Atletas!P376="Baguazhang E",514,IF(Atletas!P376="Outro Estilo Interno E",515,IF(Atletas!P376="Xingyiquan F",516,IF(Atletas!P376="Baguazhang F",517,IF(Atletas!P376="Outro Estilo Interno F",518, "")))))))))))))))))))</f>
        <v/>
      </c>
      <c r="BS380" s="52" t="str">
        <f>IF(Atletas!Q376="","",IF(Atletas!W376&lt;&gt;"",10000,0)+IF(Atletas!B376="Feminino",1000,IF(Atletas!B376="Masculino",2000,""))+IF(Atletas!Q376="Dao A",601,IF(Atletas!Q376="Jian A",602,IF(Atletas!Q376="Bishou A",603,IF(Atletas!Q376="Shan A",604,IF(Atletas!Q376="Outra Arma Curta A",605,IF(Atletas!Q376="Dao B",606,IF(Atletas!Q376="Jian B",607,IF(Atletas!Q376="Bishou B",608,IF(Atletas!Q376="Shan B",609,IF(Atletas!Q376="Outra Arma Curta B",610,IF(Atletas!Q376="Dao C",611,IF(Atletas!Q376="Jian C",612,IF(Atletas!Q376="Bishou C",613,IF(Atletas!Q376="Shan C",614,IF(Atletas!Q376="Outra Arma Curta C",615,IF(Atletas!Q376="Dao D",616,IF(Atletas!Q376="Jian D",617,IF(Atletas!Q376="Bishou D",618,IF(Atletas!Q376="Shan D",619,IF(Atletas!Q376="Outra Arma Curta D",620,IF(Atletas!Q376="Dao E",621,IF(Atletas!Q376="Jian E",622,IF(Atletas!Q376="Bishou E",623,IF(Atletas!Q376="Shan E",624,IF(Atletas!Q376="Outra Arma Curta E",625,IF(Atletas!Q376="Dao F",626,IF(Atletas!Q376="Jian F",627,IF(Atletas!Q376="Bishou F",628,IF(Atletas!Q376="Shan F",629,IF(Atletas!Q376="Outra Arma Curta F",630, "")))))))))))))))))))))))))))))))</f>
        <v/>
      </c>
      <c r="BT380" s="52" t="str">
        <f>IF(Atletas!R376="","",IF(Atletas!W376&lt;&gt;"",10000,0)+IF(Atletas!B376="Feminino",1000,IF(Atletas!B376="Masculino",2000,""))+IF(Atletas!R376="Gun A",701,IF(Atletas!R376="Qiang A",702,IF(Atletas!R376="Pudao / Guandao A",703,IF(Atletas!R376="Outra Arma Longa A",704,IF(Atletas!R376="Gun B",705,IF(Atletas!R376="Qiang B",706,IF(Atletas!R376="Pudao / Guandao B",707,IF(Atletas!R376="Outra Arma Longa B",708,IF(Atletas!R376="Gun C",709,IF(Atletas!R376="Qiang C",710,IF(Atletas!R376="Pudao / Guandao C",711,IF(Atletas!R376="Outra Arma Longa C",712,IF(Atletas!R376="Gun D",713,IF(Atletas!R376="Qiang D",714,IF(Atletas!R376="Pudao / Guandao D",715,IF(Atletas!R376="Outra Arma Longa D",716,IF(Atletas!R376="Gun E",717,IF(Atletas!R376="Qiang E",718,IF(Atletas!R376="Pudao / Guandao E",719,IF(Atletas!R376="Outra Arma Longa E",720,IF(Atletas!R376="Gun F",721,IF(Atletas!R376="Qiang F",722,IF(Atletas!R376="Pudao / Guandao F",723,IF(Atletas!R376="Outra Arma Longa F",724,"")))))))))))))))))))))))))</f>
        <v/>
      </c>
      <c r="BU380" s="52" t="str">
        <f>IF(Atletas!S376="","",IF(Atletas!W376&lt;&gt;"",10000,0)+IF(Atletas!B376="Feminino",1000,IF(Atletas!B376="Masculino",2000,""))+IF(Atletas!S376="Arma Dupla A",801,IF(Atletas!S376="Arma Maleável A",802,IF(Atletas!S376="Arma Dupla B",803,IF(Atletas!S376="Arma Maleável B",804,IF(Atletas!S376="Arma Dupla C",805,IF(Atletas!S376="Arma Maleável C",806,IF(Atletas!S376="Arma Dupla D",807,IF(Atletas!S376="Arma Maleável D",808,IF(Atletas!S376="Arma Dupla E",809,IF(Atletas!S376="Arma Maleável E",810,IF(Atletas!S376="Arma Dupla F",811,IF(Atletas!S376="Arma Maleável F",812, "")))))))))))))</f>
        <v/>
      </c>
      <c r="BV380" s="52" t="str">
        <f>IF(Atletas!T376="","",IF(Atletas!W376&lt;&gt;"",10000,0)+IF(Atletas!B376="Feminino",1000,IF(Atletas!B376="Masculino",2000,""))+IF(Atletas!T376="Taijijian Yang A",901,IF(Atletas!T376="Taijijian Chen A",902,IF(Atletas!T376="Taijijian Sun A",903,IF(Atletas!T376="Taijijian Wu A",904,IF(Atletas!T376="Taijijian Wu-Hao A",905,IF(Atletas!T376="Taijijian 32 A",906,IF(Atletas!T376="Taijijian 42 A",907,IF(Atletas!T376="Taijijian Yang B",908,IF(Atletas!T376="Taijijian Chen B",909,IF(Atletas!T376="Taijijian Sun B",910,IF(Atletas!T376="Taijijian Wu B",911,IF(Atletas!T376="Taijijian Wu-Hao B",912,IF(Atletas!T376="Taijijian 32 B",913,IF(Atletas!T376="Taijijian 42 B",914,IF(Atletas!T376="Taijijian Yang C",915,IF(Atletas!T376="Taijijian Chen C",916,IF(Atletas!T376="Taijijian Sun C",917,IF(Atletas!T376="Taijijian Wu C",918,IF(Atletas!T376="Taijijian Wu-Hao C",919,IF(Atletas!T376="Taijijian 32 C",920,IF(Atletas!T376="Taijijian 42 C",921,IF(Atletas!T376="Taijijian Yang D",922,IF(Atletas!T376="Taijijian Chen D",923,IF(Atletas!T376="Taijijian Sun D",924,IF(Atletas!T376="Taijijian Wu D",925,IF(Atletas!T376="Taijijian Wu-Hao D",926,IF(Atletas!T376="Taijijian 32 D",927,IF(Atletas!T376="Taijijian 42 D",928,IF(Atletas!T376="Taijijian Yang E",929,IF(Atletas!T376="Taijijian Chen E",930,IF(Atletas!T376="Taijijian Sun E",931,IF(Atletas!T376="Taijijian Wu E",932,IF(Atletas!T376="Taijijian Wu-Hao E",933,IF(Atletas!T376="Taijijian 32 E",934,IF(Atletas!T376="Taijijian 42 E",935,IF(Atletas!T376="Taijijian Yang F",936,IF(Atletas!T376="Taijijian Chen F",937,IF(Atletas!T376="Taijijian Sun F",938,IF(Atletas!T376="Taijijian Wu F",939,IF(Atletas!T376="Taijijian Wu-Hao F",940,IF(Atletas!T376="Taijijian 32 F",941,IF(Atletas!T376="Taijijian 42 F",942,"")))))))))))))))))))))))))))))))))))))))))))</f>
        <v/>
      </c>
      <c r="BW380" s="52" t="str">
        <f>IF(Atletas!U376="","",IF(Atletas!W376&lt;&gt;"",10000,0)+IF(Atletas!B376="Feminino",1000,IF(Atletas!B376="Masculino",2000,""))+IF(Atletas!T376="Taijijian 42 F",942,IF(Atletas!U376="Taijidao A",943,IF(Atletas!U376="Taijishan A",944,IF(Atletas!U376="Taijiqiang A",945,IF(Atletas!U376="Taijidao B",946,IF(Atletas!U376="Taijishan B",947,IF(Atletas!U376="Taijiqiang B",948,IF(Atletas!U376="Taijidao C",949,IF(Atletas!U376="Taijishan C",950,IF(Atletas!U376="Taijiqiang C",951,IF(Atletas!U376="Taijidao D",952,IF(Atletas!U376="Taijishan D",953,IF(Atletas!U376="Taijiqiang D",954,IF(Atletas!U376="Taijidao E",955,IF(Atletas!U376="Taijishan E",956,IF(Atletas!U376="Taijiqiang E",957,IF(Atletas!U376="Taijidao F",958,IF(Atletas!U376="Taijishan F",959,IF(Atletas!U376="Taijiqiang F",960))))))))))))))))))))</f>
        <v/>
      </c>
      <c r="CB380" s="64" t="str">
        <f>IF(CC380&lt;&gt;"","Taijijian Wu E","")</f>
        <v/>
      </c>
      <c r="CC380" s="64" t="str">
        <f>IF(COUNTIF(BK:BW,11932)&gt;0,COUNTIF(BK:BW,11932),"")</f>
        <v/>
      </c>
      <c r="CD380" s="64" t="str">
        <f>IF(CE380&lt;&gt;"","Taijijian Wu E","")</f>
        <v/>
      </c>
      <c r="CE380" s="64" t="str">
        <f>IF(COUNTIF(BK:BW,12932)&gt;0,COUNTIF(BK:BW,12932),"")</f>
        <v/>
      </c>
      <c r="CF380" s="52" t="str">
        <f xml:space="preserve"> IF(Atletas!V376="","",IF(Atletas!V376="Duilian de Mãos AB - Equipe 1",1,IF(Atletas!V376="Duilian de Mãos AB - Equipe 2",2,IF(Atletas!V376="Duilian de Armas AB - Equipe 1",3,IF(Atletas!V376="Duilian de Armas AB - Equipe 2",4,IF(Atletas!V376="Duilian de Tuishou - Equipe 1",5,IF(Atletas!V376="Duilian de Tuishou - Equipe 2",6,IF(Atletas!V376="Grupo Externo AB - Equipe 1",7,IF(Atletas!V376="Grupo Externo AB - Equipe 2",8,IF(Atletas!V376="Grupo Interno AB - Equipe 1",9,IF(Atletas!V376="Grupo Interno AB - Equipe 2",10,IF(Atletas!V376="Duilian de Mãos CD - Equipe 1",11,IF(Atletas!V376="Duilian de Mãos CD - Equipe 2",12,IF(Atletas!V376="Duilian de Armas CD - Equipe 1",13,IF(Atletas!V376="Duilian de Armas CD - Equipe 2",14,IF(Atletas!V376="Duilian de Tuishou - Equipe 1",15,IF(Atletas!V376="Duilian de Tuishou - Equipe 2",16,IF(Atletas!V376="Grupo Externo CDEF - Equipe 1",17,IF(Atletas!V376="Grupo Externo CDEF - Equipe 2",18,IF(Atletas!V376="Grupo Interno CDEF - Equipe 1",19,IF(Atletas!V376="Grupo Interno CDEF - Equipe 2",20,IF(Atletas!V376="Duilian de Mãos EF - Equipe 1",21,IF(Atletas!V376="Duilian de Mãos EF - Equipe 2",22,IF(Atletas!V376="Duilian de Armas EF - Equipe 1",23,IF(Atletas!V376="Duilian de Armas EF - Equipe 2",24,IF(Atletas!V376="Duilian de Tuishou - Equipe 1",25,IF(Atletas!V376="Duilian de Tuishou - Equipe 2",26,"")))))))))))))))))))))))))))</f>
        <v/>
      </c>
    </row>
    <row r="381" spans="36:84">
      <c r="AJ381" s="46" t="str">
        <f>IF(Atletas!D377="","",IF(Atletas!B377="Feminino",100,IF(Atletas!B377="Masculino",200,""))+(IF(Atletas!D377="Infantil 39kg",1,IF(Atletas!D377="Infantil 42kg",2,IF(Atletas!D377="Infantil 45kg",3,IF(Atletas!D377="Infantil 48kg",4,IF(Atletas!D377="Infantil 52kg",5,IF(Atletas!D377="Infantil 56kg",6,IF(Atletas!D377="Infantil 60kg",7,IF(Atletas!D377="Juvenil 48kg",8,IF(Atletas!D377="Juvenil 52kg",9,IF(Atletas!D377="Juvenil 56kg",10,IF(Atletas!D377="Juvenil 60kg",11,IF(Atletas!D377="Juvenil 65kg",12,IF(Atletas!D377="Juvenil 70kg",13,IF(Atletas!D377="Juvenil 75kg",14,IF(Atletas!D377="Juvenil 80kg",15,IF(Atletas!D377="Adulto 48kg",16,IF(Atletas!D377="Adulto 52kg",17,IF(Atletas!D377="Adulto 56kg",18,IF(Atletas!D377="Adulto 60kg",19,IF(Atletas!D377="Adulto 65kg",20,IF(Atletas!D377="Adulto 70kg",21,IF(Atletas!D377="Adulto 75kg",22,IF(Atletas!D377="Adulto 80kg",23,IF(Atletas!D377="Adulto 85kg",24,IF(Atletas!D377="Adulto 90kg",25,IF(Atletas!D377="Adulto +90kg",26,""))))))))))))))))))))))))))))</f>
        <v/>
      </c>
      <c r="AO381" s="10" t="str">
        <f>IF(Atletas!E377="","",IF(Atletas!B377="Feminino",100,IF(Atletas!B377="Masculino",200,""))+(IF(Atletas!E377="Juvenil 44kg",1,IF(Atletas!E377="Juvenil 48kg",2,IF(Atletas!E377="Juvenil 52kg",3,IF(Atletas!E377="Juvenil 56kg",4,IF(Atletas!E377="Juvenil 60kg",5,IF(Atletas!E377="Juvenil 65kg",6,IF(Atletas!E377="Juvenil 70kg",7,IF(Atletas!E377="Juvenil 75kg",8,IF(Atletas!E377="Juvenil 82kg",9,IF(Atletas!E377="Juvenil 90kg",10,IF(Atletas!E377="Juvenil 100kg",11,IF(Atletas!E377="Adulto 48kg",12,IF(Atletas!E377="Adulto 52kg",13,IF(Atletas!E377="Adulto 56kg",14,IF(Atletas!E377="Adulto 60kg",15,IF(Atletas!E377="Adulto 65kg",16,IF(Atletas!E377="Adulto 70kg",17,IF(Atletas!E377="Adulto 75kg",18,IF(Atletas!E377="Adulto 82kg",19,IF(Atletas!E377="Adulto 90kg",20,IF(Atletas!E377="Adulto 100kg",21,IF(Atletas!E377="Adulto +100kg",22,""))))))))))))))))))))))))</f>
        <v/>
      </c>
      <c r="AT381" s="10" t="str">
        <f>IF(Atletas!F377="","",IF(Atletas!B377="Feminino",100,IF(Atletas!B377="Masculino",200,""))+(IF(Atletas!F377="Adulto 48kg",1,IF(Atletas!F377="Adulto 56kg",2,IF(Atletas!F377="Adulto 65kg",3,IF(Atletas!F377="Adulto 75kg",4,IF(Atletas!F377="Adulto +75kg",5,IF(Atletas!F377="Adulto 52kg",6,IF(Atletas!F377="Adulto 60kg",7,IF(Atletas!F377="Adulto 70kg",8,IF(Atletas!F377="Adulto 80kg",9,IF(Atletas!F377="Adulto 90kg",10,IF(Atletas!F377="Adulto +90kg",11,"")))))))))))))</f>
        <v/>
      </c>
      <c r="AY381" s="46" t="str">
        <f>IF(Atletas!G377="","",IF(Atletas!B377="Feminino",100,IF(Atletas!B377="Masculino",200,""))+(IF(Atletas!G377="Changquan Mirim",1,IF(Atletas!G377="Nanquan Mirim",2,IF(Atletas!G377="Taijiquan Mirim",3,IF(Atletas!G377="Changquan Grupo C",4,IF(Atletas!G377="Nanquan Grupo C",5,IF(Atletas!G377="Taijiquan Grupo C",6,IF(Atletas!G377="Changquan Grupo B",7,IF(Atletas!G377="Nanquan Grupo B",8,IF(Atletas!G377="Taijiquan Grupo B",9,IF(Atletas!G377="Changquan Grupo A",10,IF(Atletas!G377="Nanquan Grupo A",11,IF(Atletas!G377="Taijiquan Grupo A",12,IF(Atletas!G377="Changquan Opcional",13,IF(Atletas!G377="Nanquan Opcional",14,IF(Atletas!G377="Taijiquan Opcional",15,IF(Atletas!G377="Changquan Adulto",16,IF(Atletas!G377="Nanquan Adulto",17,IF(Atletas!G377="Taijiquan Adulto",18,""))))))))))))))))))))</f>
        <v/>
      </c>
      <c r="AZ381" s="46" t="str">
        <f>IF(Atletas!H377="","",IF(Atletas!B377="Feminino",100,IF(Atletas!B377="Masculino",200,""))+(IF(Atletas!H377="Daoshu Mirim",19,IF(Atletas!H377="Jianshu Mirim",20,IF(Atletas!H377="Nandao Mirim",21,IF(Atletas!H377="Taijijian Mirim",22,IF(Atletas!H377="Daoshu Grupo C",23,IF(Atletas!H377="Jianshu Grupo C",24,IF(Atletas!H377="Nandao Grupo C",25,IF(Atletas!H377="Taijijian Grupo C",26,IF(Atletas!H377="Daoshu Grupo B",27,IF(Atletas!H377="Jianshu Grupo B",28,IF(Atletas!H377="Nandao Grupo B",29,IF(Atletas!H377="Taijijian Grupo B",30,IF(Atletas!H377="Daoshu Grupo A",31,IF(Atletas!H377="Jianshu Grupo A",32,IF(Atletas!H377="Nandao Grupo A",33,IF(Atletas!H377="Taijijian Grupo A",34,IF(Atletas!H377="Daoshu Opcional",35,IF(Atletas!H377="Jianshu Opcional",36,IF(Atletas!H377="Nandao Opcional",37,IF(Atletas!H377="Taijijian Opcional",38,IF(Atletas!H377="Daoshu Adulto",39,IF(Atletas!H377="Jianshu Adulto",40,IF(Atletas!H377="Nandao Adulto",41,IF(Atletas!H377="Taijijian Adulto",42,""))))))))))))))))))))))))))</f>
        <v/>
      </c>
      <c r="BA381" s="46" t="str">
        <f>IF(Atletas!I377="","",IF(Atletas!B377="Feminino",100,IF(Atletas!B377="Masculino",200,""))+(IF(Atletas!I377="Gunshu Mirim",43,IF(Atletas!I377="Qiangshu Mirim",44,IF(Atletas!I377="Nangun Mirim",45,IF(Atletas!I377="Gunshu Grupo C",46,IF(Atletas!I377="Qiangshu Grupo C",47,IF(Atletas!I377="Nangun Grupo C",48,IF(Atletas!I377="Gunshu Grupo B",49,IF(Atletas!I377="Qiangshu Grupo B",50,IF(Atletas!I377="Nangun Grupo B",51,IF(Atletas!I377="Gunshu Grupo A",52,IF(Atletas!I377="Qiangshu Grupo A",53,IF(Atletas!I377="Nangun Grupo A",54,IF(Atletas!I377="Gunshu Opcional",55,IF(Atletas!I377="Qiangshu Opcional",56,IF(Atletas!I377="Nangun Opcional",57,IF(Atletas!I377="Gunshu Adulto",58,IF(Atletas!I377="Qiangshu Adulto",59,IF(Atletas!I377="Nangun Adulto",60,""))))))))))))))))))))</f>
        <v/>
      </c>
      <c r="BF381" s="52" t="str">
        <f>IF(Atletas!J377="","",IF(Atletas!B377="Feminino",100,IF(Atletas!B377="Masculino",200,""))+(IF(Atletas!J377="Equipe 1 Grupo B",1,IF(Atletas!J377="Equipe 2 Grupo B",2,IF(Atletas!J377="Equipe 1 Grupo A",3,IF(Atletas!J377="Equipe 2 Grupo A",4,IF(Atletas!J377="Equipe 1 Adulto",5,IF(Atletas!J377="Equipe 2 Adulto",6,""))))))))</f>
        <v/>
      </c>
      <c r="BK381" s="52" t="str">
        <f>IF(Atletas!K377="","",IF(Atletas!W377&lt;&gt;"",10000,0)+(IF(Atletas!B377="Feminino",1000,IF(Atletas!B377="Masculino",2000,""))+IF(Atletas!K377="Choylayfut A",1,IF(Atletas!K377="Hunggar A",2,IF(Atletas!K377="Wuzuquan A",3,IF(Atletas!K377="Wingchun A",4,IF(Atletas!K377="Outra Mão de Sul A",5,IF(Atletas!K377="Choylayfut B",6,IF(Atletas!K377="Hunggar B",7,IF(Atletas!K377="Wuzuquan B",8,IF(Atletas!K377="Wingchun B",9,IF(Atletas!K377="Outra Mão de Sul B",10,IF(Atletas!K377="Choylayfut C",11,IF(Atletas!K377="Hunggar C",12,IF(Atletas!K377="Wuzuquan C",13,IF(Atletas!K377="Wingchun C",14,IF(Atletas!K377="Outra Mão de Sul C",15,IF(Atletas!K377="Choylayfut D",16,IF(Atletas!K377="Hunggar D",17,IF(Atletas!K377="Wuzuquan D",18,IF(Atletas!K377="Wingchun D",19,IF(Atletas!K377="Outra Mão de Sul D",20,IF(Atletas!K377="Choylayfut E",21,IF(Atletas!K377="Hunggar E",22,IF(Atletas!K377="Wuzuquan E",23,IF(Atletas!K377="Wingchun E",24,IF(Atletas!K377="Outra Mão de Sul E",25,IF(Atletas!K377="Choylayfut F",26,IF(Atletas!K377="Hunggar F",27,IF(Atletas!K377="Wuzuquan F",28,IF(Atletas!K377="Wingchun F",29,IF(Atletas!K377="Outra Mão de Sul F",30,""))))))))))))))))))))))))))))))))</f>
        <v/>
      </c>
      <c r="BL381" s="52" t="str">
        <f>IF(Atletas!L377="","",IF(Atletas!W377&lt;&gt;"",10000,0)+(IF(Atletas!B377="Feminino",1000,IF(Atletas!B377="Masculino",2000,""))+(IF(Atletas!L377="Chaquan A",101,IF(Atletas!L377="Emeiquan A",102,IF(Atletas!L377="Fanziquan A",103,IF(Atletas!L377="Huaquan A",104,IF(Atletas!L377="Hongquan A",105,IF(Atletas!L377="Paochui A",106,IF(Atletas!L377="Piguaquan A",107,IF(Atletas!L377="Shaolinquan A",108,IF(Atletas!L377="Tanglangquan A",109,IF(Atletas!L377="Yinzhaophai A",110,IF(Atletas!L377="Tongbeiquan A",111,IF(Atletas!L377="Wudangquan A",112,IF(Atletas!L377="Outros Estilos A",113,IF(Atletas!L377="Chaquan B",114,IF(Atletas!L377="Emeiquan B",115,IF(Atletas!L377="Fanziquan B",116,IF(Atletas!L377="Huaquan B",117,IF(Atletas!L377="Hongquan B",118,IF(Atletas!L377="Paochui B",119,IF(Atletas!L377="Piguaquan B",120,IF(Atletas!L377="Shaolinquan B",121,IF(Atletas!L377="Tanglangquan B",122,IF(Atletas!L377="Yinzhaophai B",123,IF(Atletas!L377="Tongbeiquan B",124,IF(Atletas!L377="Wudangquan B",125,IF(Atletas!L377="Outros Estilos B",126,IF(Atletas!L377="Chaquan C",127,IF(Atletas!L377="Emeiquan C",128,IF(Atletas!L377="Fanziquan C",129,IF(Atletas!L377="Huaquan C",130,IF(Atletas!L377="Hongquan C",131,IF(Atletas!L377="Paochui C",132,IF(Atletas!L377="Piguaquan C",133,IF(Atletas!L377="Shaolinquan C",134,IF(Atletas!L377="Tanglangquan C",135,IF(Atletas!L377="Yinzhaophai C",136,IF(Atletas!L377="Tongbeiquan C",137,IF(Atletas!L377="Wudangquan C",138,IF(Atletas!L377="Outros Estilos C",139,0))))))))))))))))))))))))))))))))))))))))))</f>
        <v/>
      </c>
      <c r="BM381" s="52" t="str">
        <f>IF(Atletas!L377="","",IF(Atletas!W377&lt;&gt;"",10000,0)+(IF(Atletas!B377="Feminino",1000,IF(Atletas!B377="Masculino",2000,""))+(IF(Atletas!L377="Chaquan D",140,IF(Atletas!L377="Emeiquan D",141,IF(Atletas!L377="Fanziquan D",142,IF(Atletas!L377="Huaquan D",143,IF(Atletas!L377="Hongquan D",144,IF(Atletas!L377="Paochui D",145,IF(Atletas!L377="Piguaquan D",146,IF(Atletas!L377="Shaolinquan D",147,IF(Atletas!L377="Tanglangquan D",148,IF(Atletas!L377="Yinzhaophai D",149,IF(Atletas!L377="Tongbeiquan D",150,IF(Atletas!L377="Wudangquan D",151,IF(Atletas!L377="Outros Estilos D",152,IF(Atletas!L377="Chaquan E",153,IF(Atletas!L377="Emeiquan E",154,IF(Atletas!L377="Fanziquan E",155,IF(Atletas!L377="Huaquan E",156,IF(Atletas!L377="Hongquan E",157,IF(Atletas!L377="Paochui E",158,IF(Atletas!L377="Piguaquan E",159,IF(Atletas!L377="Shaolinquan E",160,IF(Atletas!L377="Tanglangquan E",161,IF(Atletas!L377="Yinzhaophai E",162,IF(Atletas!L377="Tongbeiquan E",163,IF(Atletas!L377="Wudangquan E",164,IF(Atletas!L377="Outros Estilos E",165,IF(Atletas!L377="Chaquan F",166,IF(Atletas!L377="Emeiquan F",167,IF(Atletas!L377="Fanziquan F",168,IF(Atletas!L377="Huaquan F",169,IF(Atletas!L377="Hongquan F",170,IF(Atletas!L377="Paochui F",171,IF(Atletas!L377="Piguaquan F",172,IF(Atletas!L377="Shaolinquan F",173,IF(Atletas!L377="Tanglangquan F",174,IF(Atletas!L377="Yinzhaophai F",175,IF(Atletas!L377="Tongbeiquan F",176,IF(Atletas!L377="Wudangquan F",177,IF(Atletas!L377="Outros Estilos F",178,0))))))))))))))))))))))))))))))))))))))))))</f>
        <v/>
      </c>
      <c r="BN381" s="52" t="str">
        <f>IF(Atletas!M377="","",IF(Atletas!W377&lt;&gt;"",10000,0)+(IF(Atletas!B377="Feminino",1000,IF(Atletas!B377="Masculino",2000,""))+(IF(Atletas!M377="Ditangquan A",201,IF(Atletas!M377="Houquan A",202,IF(Atletas!M377="Zuiquan A",203,IF(Atletas!M377="Ditangquan B",204,IF(Atletas!M377="Houquan B",205,IF(Atletas!M377="Zuiquan B",206,IF(Atletas!M377="Ditangquan C",207,IF(Atletas!M377="Houquan C",208,IF(Atletas!M377="Zuiquan C",209,IF(Atletas!M377="Ditangquan D",210,IF(Atletas!M377="Houquan D",211,IF(Atletas!M377="Zuiquan D",212,IF(Atletas!M377="Ditangquan E",213,IF(Atletas!M377="Houquan E",214,IF(Atletas!M377="Zuiquan E",215,IF(Atletas!M377="Ditangquan F",216,IF(Atletas!M377="Houquan F",217,IF(Atletas!M377="Zuiquan F",218,"")))))))))))))))))))))</f>
        <v/>
      </c>
      <c r="BO381" s="52" t="str">
        <f>IF(Atletas!N377="","",IF(Atletas!W377&lt;&gt;"",10000,0)+IF(Atletas!B377="Feminino",1000,IF(Atletas!B377="Masculino",2000,""))+IF(Atletas!N377="Yang A",301,IF(Atletas!N377="Chen A",30,IF(Atletas!N377="Sun A",303,IF(Atletas!N377="Wu A",304,IF(Atletas!N377="Wu-Hao A",305,IF(Atletas!N377="Outro Taijiquan A",306,IF(Atletas!N377="Yang B",307,IF(Atletas!N377="Chen B",308,IF(Atletas!N377="Sun B",309,IF(Atletas!N377="Wu B",310,IF(Atletas!N377="Wu-Hao B",311,IF(Atletas!N377="Outro Taijiquan B",312,IF(Atletas!N377="Yang C",313,IF(Atletas!N377="Chen C",314,IF(Atletas!N377="Sun C",315,IF(Atletas!N377="Wu C",316,IF(Atletas!N377="Wu-Hao C",317,IF(Atletas!N377="Outro Taijiquan C",318,IF(Atletas!N377="Yang D",319,IF(Atletas!N377="Chen D",320,IF(Atletas!N377="Sun D",321,IF(Atletas!N377="Wu D",322,IF(Atletas!N377="Wu-Hao D",323,IF(Atletas!N377="Outro Taijiquan D",324,IF(Atletas!N377="Yang E",325,IF(Atletas!N377="Chen E",326,IF(Atletas!N377="Sun E",327,IF(Atletas!N377="Wu E",328,IF(Atletas!N377="Wu-Hao E",329,IF(Atletas!N377="Outro Taijiquan E",330,IF(Atletas!N377="Yang F",331,IF(Atletas!N377="Chen F",332,IF(Atletas!N377="Sun F",333,IF(Atletas!N377="Wu F",334,IF(Atletas!N377="Wu-Hao F",335,IF(Atletas!N377="Outro Taijiquan F",336,"")))))))))))))))))))))))))))))))))))))</f>
        <v/>
      </c>
      <c r="BP381" s="52" t="str">
        <f>IF(Atletas!O377="","",IF(Atletas!W377&lt;&gt;"",10000,0)+IF(Atletas!B377="Feminino",1000,IF(Atletas!B377="Masculino",2000,""))+IF(OR(Atletas!O377="Yang 26 A",Atletas!O377="Yang 40 A"),401,IF(OR(Atletas!O377="Chen 25 A",Atletas!O377="Chen 36 A",Atletas!O377="Chen 56 A"),402,IF(Atletas!O377="Sun 73 A",403,IF(Atletas!O377="Wu 45 A",404,IF(Atletas!O377="Wu-Hao 46 A",405,IF(OR(Atletas!O377="Taijiquan 16 A",Atletas!O377="Taijiquan 24 A",Atletas!O377="Taijiquan 32 A",Atletas!O377="Taijiquan 42 A"),406,IF(OR(Atletas!O377="Yang 26 B",Atletas!O377="Yang 40 B"),407,IF(OR(Atletas!O377="Chen 25 B",Atletas!O377="Chen 36 B",Atletas!O377="Chen 56 B"),408,IF(Atletas!O377="Sun 73 B",409,IF(Atletas!O377="Wu 45 B",410,IF(Atletas!O377="Wu-Hao 46 B",411,IF(OR(Atletas!O377="Taijiquan 16 B",Atletas!O377="Taijiquan 24 B",Atletas!O377="Taijiquan 32 B",Atletas!O377="Taijiquan 42 B"),412,IF(OR(Atletas!O377="Yang 26 C",Atletas!O377="Yang 40 C"),413,IF(OR(Atletas!O377="Chen 25 C",Atletas!O377="Chen 36 C",Atletas!O377="Chen 56 C"),414,IF(Atletas!O377="Sun 73 C",415,IF(Atletas!O377="Wu 45 C",416,IF(Atletas!O377="Wu-Hao 46 C",417,IF(OR(Atletas!O377="Taijiquan 16 C",Atletas!O377="Taijiquan 24 C",Atletas!O377="Taijiquan 32 C",Atletas!O377="Taijiquan 42 C"),418,0)))))))))))))))))))</f>
        <v/>
      </c>
      <c r="BQ381" s="52" t="str">
        <f>IF(Atletas!O377="","",IF(Atletas!W377&lt;&gt;"",10000,0)+IF(Atletas!B377="Feminino",1000,IF(Atletas!B377="Masculino",2000,""))+IF(OR(Atletas!O377="Yang 26 D",Atletas!O377="Yang 40 D"),419,IF(OR(Atletas!O377="Chen 25 D",Atletas!O377="Chen 36 D",Atletas!O377="Chen 56 D"),420,IF(Atletas!O377="Sun 73 D",421,IF(Atletas!O377="Wu 45 D",422,IF(Atletas!O377="Wu-Hao 46 D",423,IF(OR(Atletas!O377="Taijiquan 16 D",Atletas!O377="Taijiquan 24 D",Atletas!O377="Taijiquan 32 D",Atletas!O377="Taijiquan 42 D"),424,IF(OR(Atletas!O377="Yang 26 E",Atletas!O377="Yang 40 E"),425,IF(OR(Atletas!O377="Chen 25 E",Atletas!O377="Chen 36 E",Atletas!O377="Chen 56 E"),426,IF(Atletas!O377="Sun 73 E",427,IF(Atletas!O377="Wu 45 E",428,IF(Atletas!O377="Wu-Hao 46 E",429,IF(OR(Atletas!O377="Taijiquan 16 E",Atletas!O377="Taijiquan 24 E",Atletas!O377="Taijiquan 32 E",Atletas!O377="Taijiquan 42 E"),430,IF(OR(Atletas!O377="Yang 26 F",Atletas!O377="Yang 40 F"),431,IF(OR(Atletas!O377="Chen 25 F",Atletas!O377="Chen 36 F",Atletas!O377="Chen 56 F"),432,IF(Atletas!O377="Sun 73 F",433,IF(Atletas!O377="Wu 45 F",434,IF(Atletas!O377="Wu-Hao 46 F",435,IF(OR(Atletas!O377="Taijiquan 16 F",Atletas!O377="Taijiquan 24 F",Atletas!O377="Taijiquan 32 F",Atletas!O377="Taijiquan 42 F"),436,0)))))))))))))))))))</f>
        <v/>
      </c>
      <c r="BR381" s="52" t="str">
        <f>IF(Atletas!P377="","",IF(Atletas!W377&lt;&gt;"",10000,0)+IF(Atletas!B377="Feminino",1000,IF(Atletas!B377="Masculino",2000,""))+IF(Atletas!P377="Xingyiquan A",501,IF(Atletas!P377="Baguazhang A",502,IF(Atletas!P377="Outro Estilo Interno A",503,IF(Atletas!P377="Xingyiquan B",504,IF(Atletas!P377="Baguazhang B",505,IF(Atletas!P377="Outro Estilo Interno B",506,IF(Atletas!P377="Xingyiquan C",507,IF(Atletas!P377="Baguazhang C",508,IF(Atletas!P377="Outro Estilo Interno C",509,IF(Atletas!P377="Xingyiquan D",510,IF(Atletas!P377="Baguazhang D",511,IF(Atletas!P377="Outro Estilo Interno D",512,IF(Atletas!P377="Xingyiquan E",513,IF(Atletas!P377="Baguazhang E",514,IF(Atletas!P377="Outro Estilo Interno E",515,IF(Atletas!P377="Xingyiquan F",516,IF(Atletas!P377="Baguazhang F",517,IF(Atletas!P377="Outro Estilo Interno F",518, "")))))))))))))))))))</f>
        <v/>
      </c>
      <c r="BS381" s="52" t="str">
        <f>IF(Atletas!Q377="","",IF(Atletas!W377&lt;&gt;"",10000,0)+IF(Atletas!B377="Feminino",1000,IF(Atletas!B377="Masculino",2000,""))+IF(Atletas!Q377="Dao A",601,IF(Atletas!Q377="Jian A",602,IF(Atletas!Q377="Bishou A",603,IF(Atletas!Q377="Shan A",604,IF(Atletas!Q377="Outra Arma Curta A",605,IF(Atletas!Q377="Dao B",606,IF(Atletas!Q377="Jian B",607,IF(Atletas!Q377="Bishou B",608,IF(Atletas!Q377="Shan B",609,IF(Atletas!Q377="Outra Arma Curta B",610,IF(Atletas!Q377="Dao C",611,IF(Atletas!Q377="Jian C",612,IF(Atletas!Q377="Bishou C",613,IF(Atletas!Q377="Shan C",614,IF(Atletas!Q377="Outra Arma Curta C",615,IF(Atletas!Q377="Dao D",616,IF(Atletas!Q377="Jian D",617,IF(Atletas!Q377="Bishou D",618,IF(Atletas!Q377="Shan D",619,IF(Atletas!Q377="Outra Arma Curta D",620,IF(Atletas!Q377="Dao E",621,IF(Atletas!Q377="Jian E",622,IF(Atletas!Q377="Bishou E",623,IF(Atletas!Q377="Shan E",624,IF(Atletas!Q377="Outra Arma Curta E",625,IF(Atletas!Q377="Dao F",626,IF(Atletas!Q377="Jian F",627,IF(Atletas!Q377="Bishou F",628,IF(Atletas!Q377="Shan F",629,IF(Atletas!Q377="Outra Arma Curta F",630, "")))))))))))))))))))))))))))))))</f>
        <v/>
      </c>
      <c r="BT381" s="52" t="str">
        <f>IF(Atletas!R377="","",IF(Atletas!W377&lt;&gt;"",10000,0)+IF(Atletas!B377="Feminino",1000,IF(Atletas!B377="Masculino",2000,""))+IF(Atletas!R377="Gun A",701,IF(Atletas!R377="Qiang A",702,IF(Atletas!R377="Pudao / Guandao A",703,IF(Atletas!R377="Outra Arma Longa A",704,IF(Atletas!R377="Gun B",705,IF(Atletas!R377="Qiang B",706,IF(Atletas!R377="Pudao / Guandao B",707,IF(Atletas!R377="Outra Arma Longa B",708,IF(Atletas!R377="Gun C",709,IF(Atletas!R377="Qiang C",710,IF(Atletas!R377="Pudao / Guandao C",711,IF(Atletas!R377="Outra Arma Longa C",712,IF(Atletas!R377="Gun D",713,IF(Atletas!R377="Qiang D",714,IF(Atletas!R377="Pudao / Guandao D",715,IF(Atletas!R377="Outra Arma Longa D",716,IF(Atletas!R377="Gun E",717,IF(Atletas!R377="Qiang E",718,IF(Atletas!R377="Pudao / Guandao E",719,IF(Atletas!R377="Outra Arma Longa E",720,IF(Atletas!R377="Gun F",721,IF(Atletas!R377="Qiang F",722,IF(Atletas!R377="Pudao / Guandao F",723,IF(Atletas!R377="Outra Arma Longa F",724,"")))))))))))))))))))))))))</f>
        <v/>
      </c>
      <c r="BU381" s="52" t="str">
        <f>IF(Atletas!S377="","",IF(Atletas!W377&lt;&gt;"",10000,0)+IF(Atletas!B377="Feminino",1000,IF(Atletas!B377="Masculino",2000,""))+IF(Atletas!S377="Arma Dupla A",801,IF(Atletas!S377="Arma Maleável A",802,IF(Atletas!S377="Arma Dupla B",803,IF(Atletas!S377="Arma Maleável B",804,IF(Atletas!S377="Arma Dupla C",805,IF(Atletas!S377="Arma Maleável C",806,IF(Atletas!S377="Arma Dupla D",807,IF(Atletas!S377="Arma Maleável D",808,IF(Atletas!S377="Arma Dupla E",809,IF(Atletas!S377="Arma Maleável E",810,IF(Atletas!S377="Arma Dupla F",811,IF(Atletas!S377="Arma Maleável F",812, "")))))))))))))</f>
        <v/>
      </c>
      <c r="BV381" s="52" t="str">
        <f>IF(Atletas!T377="","",IF(Atletas!W377&lt;&gt;"",10000,0)+IF(Atletas!B377="Feminino",1000,IF(Atletas!B377="Masculino",2000,""))+IF(Atletas!T377="Taijijian Yang A",901,IF(Atletas!T377="Taijijian Chen A",902,IF(Atletas!T377="Taijijian Sun A",903,IF(Atletas!T377="Taijijian Wu A",904,IF(Atletas!T377="Taijijian Wu-Hao A",905,IF(Atletas!T377="Taijijian 32 A",906,IF(Atletas!T377="Taijijian 42 A",907,IF(Atletas!T377="Taijijian Yang B",908,IF(Atletas!T377="Taijijian Chen B",909,IF(Atletas!T377="Taijijian Sun B",910,IF(Atletas!T377="Taijijian Wu B",911,IF(Atletas!T377="Taijijian Wu-Hao B",912,IF(Atletas!T377="Taijijian 32 B",913,IF(Atletas!T377="Taijijian 42 B",914,IF(Atletas!T377="Taijijian Yang C",915,IF(Atletas!T377="Taijijian Chen C",916,IF(Atletas!T377="Taijijian Sun C",917,IF(Atletas!T377="Taijijian Wu C",918,IF(Atletas!T377="Taijijian Wu-Hao C",919,IF(Atletas!T377="Taijijian 32 C",920,IF(Atletas!T377="Taijijian 42 C",921,IF(Atletas!T377="Taijijian Yang D",922,IF(Atletas!T377="Taijijian Chen D",923,IF(Atletas!T377="Taijijian Sun D",924,IF(Atletas!T377="Taijijian Wu D",925,IF(Atletas!T377="Taijijian Wu-Hao D",926,IF(Atletas!T377="Taijijian 32 D",927,IF(Atletas!T377="Taijijian 42 D",928,IF(Atletas!T377="Taijijian Yang E",929,IF(Atletas!T377="Taijijian Chen E",930,IF(Atletas!T377="Taijijian Sun E",931,IF(Atletas!T377="Taijijian Wu E",932,IF(Atletas!T377="Taijijian Wu-Hao E",933,IF(Atletas!T377="Taijijian 32 E",934,IF(Atletas!T377="Taijijian 42 E",935,IF(Atletas!T377="Taijijian Yang F",936,IF(Atletas!T377="Taijijian Chen F",937,IF(Atletas!T377="Taijijian Sun F",938,IF(Atletas!T377="Taijijian Wu F",939,IF(Atletas!T377="Taijijian Wu-Hao F",940,IF(Atletas!T377="Taijijian 32 F",941,IF(Atletas!T377="Taijijian 42 F",942,"")))))))))))))))))))))))))))))))))))))))))))</f>
        <v/>
      </c>
      <c r="BW381" s="52" t="str">
        <f>IF(Atletas!U377="","",IF(Atletas!W377&lt;&gt;"",10000,0)+IF(Atletas!B377="Feminino",1000,IF(Atletas!B377="Masculino",2000,""))+IF(Atletas!T377="Taijijian 42 F",942,IF(Atletas!U377="Taijidao A",943,IF(Atletas!U377="Taijishan A",944,IF(Atletas!U377="Taijiqiang A",945,IF(Atletas!U377="Taijidao B",946,IF(Atletas!U377="Taijishan B",947,IF(Atletas!U377="Taijiqiang B",948,IF(Atletas!U377="Taijidao C",949,IF(Atletas!U377="Taijishan C",950,IF(Atletas!U377="Taijiqiang C",951,IF(Atletas!U377="Taijidao D",952,IF(Atletas!U377="Taijishan D",953,IF(Atletas!U377="Taijiqiang D",954,IF(Atletas!U377="Taijidao E",955,IF(Atletas!U377="Taijishan E",956,IF(Atletas!U377="Taijiqiang E",957,IF(Atletas!U377="Taijidao F",958,IF(Atletas!U377="Taijishan F",959,IF(Atletas!U377="Taijiqiang F",960))))))))))))))))))))</f>
        <v/>
      </c>
      <c r="CB381" s="64" t="str">
        <f>IF(CC381&lt;&gt;"","Taijijian Wu-Hao E","")</f>
        <v/>
      </c>
      <c r="CC381" s="64" t="str">
        <f>IF(COUNTIF(BK:BW,11933)&gt;0,COUNTIF(BK:BW,11933),"")</f>
        <v/>
      </c>
      <c r="CD381" s="64" t="str">
        <f>IF(CE381&lt;&gt;"","Taijijian Wu-Hao E","")</f>
        <v/>
      </c>
      <c r="CE381" s="64" t="str">
        <f>IF(COUNTIF(BK:BW,12933)&gt;0,COUNTIF(BK:BW,12933),"")</f>
        <v/>
      </c>
      <c r="CF381" s="52" t="str">
        <f xml:space="preserve"> IF(Atletas!V377="","",IF(Atletas!V377="Duilian de Mãos AB - Equipe 1",1,IF(Atletas!V377="Duilian de Mãos AB - Equipe 2",2,IF(Atletas!V377="Duilian de Armas AB - Equipe 1",3,IF(Atletas!V377="Duilian de Armas AB - Equipe 2",4,IF(Atletas!V377="Duilian de Tuishou - Equipe 1",5,IF(Atletas!V377="Duilian de Tuishou - Equipe 2",6,IF(Atletas!V377="Grupo Externo AB - Equipe 1",7,IF(Atletas!V377="Grupo Externo AB - Equipe 2",8,IF(Atletas!V377="Grupo Interno AB - Equipe 1",9,IF(Atletas!V377="Grupo Interno AB - Equipe 2",10,IF(Atletas!V377="Duilian de Mãos CD - Equipe 1",11,IF(Atletas!V377="Duilian de Mãos CD - Equipe 2",12,IF(Atletas!V377="Duilian de Armas CD - Equipe 1",13,IF(Atletas!V377="Duilian de Armas CD - Equipe 2",14,IF(Atletas!V377="Duilian de Tuishou - Equipe 1",15,IF(Atletas!V377="Duilian de Tuishou - Equipe 2",16,IF(Atletas!V377="Grupo Externo CDEF - Equipe 1",17,IF(Atletas!V377="Grupo Externo CDEF - Equipe 2",18,IF(Atletas!V377="Grupo Interno CDEF - Equipe 1",19,IF(Atletas!V377="Grupo Interno CDEF - Equipe 2",20,IF(Atletas!V377="Duilian de Mãos EF - Equipe 1",21,IF(Atletas!V377="Duilian de Mãos EF - Equipe 2",22,IF(Atletas!V377="Duilian de Armas EF - Equipe 1",23,IF(Atletas!V377="Duilian de Armas EF - Equipe 2",24,IF(Atletas!V377="Duilian de Tuishou - Equipe 1",25,IF(Atletas!V377="Duilian de Tuishou - Equipe 2",26,"")))))))))))))))))))))))))))</f>
        <v/>
      </c>
    </row>
    <row r="382" spans="36:84">
      <c r="AJ382" s="46" t="str">
        <f>IF(Atletas!D378="","",IF(Atletas!B378="Feminino",100,IF(Atletas!B378="Masculino",200,""))+(IF(Atletas!D378="Infantil 39kg",1,IF(Atletas!D378="Infantil 42kg",2,IF(Atletas!D378="Infantil 45kg",3,IF(Atletas!D378="Infantil 48kg",4,IF(Atletas!D378="Infantil 52kg",5,IF(Atletas!D378="Infantil 56kg",6,IF(Atletas!D378="Infantil 60kg",7,IF(Atletas!D378="Juvenil 48kg",8,IF(Atletas!D378="Juvenil 52kg",9,IF(Atletas!D378="Juvenil 56kg",10,IF(Atletas!D378="Juvenil 60kg",11,IF(Atletas!D378="Juvenil 65kg",12,IF(Atletas!D378="Juvenil 70kg",13,IF(Atletas!D378="Juvenil 75kg",14,IF(Atletas!D378="Juvenil 80kg",15,IF(Atletas!D378="Adulto 48kg",16,IF(Atletas!D378="Adulto 52kg",17,IF(Atletas!D378="Adulto 56kg",18,IF(Atletas!D378="Adulto 60kg",19,IF(Atletas!D378="Adulto 65kg",20,IF(Atletas!D378="Adulto 70kg",21,IF(Atletas!D378="Adulto 75kg",22,IF(Atletas!D378="Adulto 80kg",23,IF(Atletas!D378="Adulto 85kg",24,IF(Atletas!D378="Adulto 90kg",25,IF(Atletas!D378="Adulto +90kg",26,""))))))))))))))))))))))))))))</f>
        <v/>
      </c>
      <c r="AO382" s="10" t="str">
        <f>IF(Atletas!E378="","",IF(Atletas!B378="Feminino",100,IF(Atletas!B378="Masculino",200,""))+(IF(Atletas!E378="Juvenil 44kg",1,IF(Atletas!E378="Juvenil 48kg",2,IF(Atletas!E378="Juvenil 52kg",3,IF(Atletas!E378="Juvenil 56kg",4,IF(Atletas!E378="Juvenil 60kg",5,IF(Atletas!E378="Juvenil 65kg",6,IF(Atletas!E378="Juvenil 70kg",7,IF(Atletas!E378="Juvenil 75kg",8,IF(Atletas!E378="Juvenil 82kg",9,IF(Atletas!E378="Juvenil 90kg",10,IF(Atletas!E378="Juvenil 100kg",11,IF(Atletas!E378="Adulto 48kg",12,IF(Atletas!E378="Adulto 52kg",13,IF(Atletas!E378="Adulto 56kg",14,IF(Atletas!E378="Adulto 60kg",15,IF(Atletas!E378="Adulto 65kg",16,IF(Atletas!E378="Adulto 70kg",17,IF(Atletas!E378="Adulto 75kg",18,IF(Atletas!E378="Adulto 82kg",19,IF(Atletas!E378="Adulto 90kg",20,IF(Atletas!E378="Adulto 100kg",21,IF(Atletas!E378="Adulto +100kg",22,""))))))))))))))))))))))))</f>
        <v/>
      </c>
      <c r="AT382" s="10" t="str">
        <f>IF(Atletas!F378="","",IF(Atletas!B378="Feminino",100,IF(Atletas!B378="Masculino",200,""))+(IF(Atletas!F378="Adulto 48kg",1,IF(Atletas!F378="Adulto 56kg",2,IF(Atletas!F378="Adulto 65kg",3,IF(Atletas!F378="Adulto 75kg",4,IF(Atletas!F378="Adulto +75kg",5,IF(Atletas!F378="Adulto 52kg",6,IF(Atletas!F378="Adulto 60kg",7,IF(Atletas!F378="Adulto 70kg",8,IF(Atletas!F378="Adulto 80kg",9,IF(Atletas!F378="Adulto 90kg",10,IF(Atletas!F378="Adulto +90kg",11,"")))))))))))))</f>
        <v/>
      </c>
      <c r="AY382" s="46" t="str">
        <f>IF(Atletas!G378="","",IF(Atletas!B378="Feminino",100,IF(Atletas!B378="Masculino",200,""))+(IF(Atletas!G378="Changquan Mirim",1,IF(Atletas!G378="Nanquan Mirim",2,IF(Atletas!G378="Taijiquan Mirim",3,IF(Atletas!G378="Changquan Grupo C",4,IF(Atletas!G378="Nanquan Grupo C",5,IF(Atletas!G378="Taijiquan Grupo C",6,IF(Atletas!G378="Changquan Grupo B",7,IF(Atletas!G378="Nanquan Grupo B",8,IF(Atletas!G378="Taijiquan Grupo B",9,IF(Atletas!G378="Changquan Grupo A",10,IF(Atletas!G378="Nanquan Grupo A",11,IF(Atletas!G378="Taijiquan Grupo A",12,IF(Atletas!G378="Changquan Opcional",13,IF(Atletas!G378="Nanquan Opcional",14,IF(Atletas!G378="Taijiquan Opcional",15,IF(Atletas!G378="Changquan Adulto",16,IF(Atletas!G378="Nanquan Adulto",17,IF(Atletas!G378="Taijiquan Adulto",18,""))))))))))))))))))))</f>
        <v/>
      </c>
      <c r="AZ382" s="46" t="str">
        <f>IF(Atletas!H378="","",IF(Atletas!B378="Feminino",100,IF(Atletas!B378="Masculino",200,""))+(IF(Atletas!H378="Daoshu Mirim",19,IF(Atletas!H378="Jianshu Mirim",20,IF(Atletas!H378="Nandao Mirim",21,IF(Atletas!H378="Taijijian Mirim",22,IF(Atletas!H378="Daoshu Grupo C",23,IF(Atletas!H378="Jianshu Grupo C",24,IF(Atletas!H378="Nandao Grupo C",25,IF(Atletas!H378="Taijijian Grupo C",26,IF(Atletas!H378="Daoshu Grupo B",27,IF(Atletas!H378="Jianshu Grupo B",28,IF(Atletas!H378="Nandao Grupo B",29,IF(Atletas!H378="Taijijian Grupo B",30,IF(Atletas!H378="Daoshu Grupo A",31,IF(Atletas!H378="Jianshu Grupo A",32,IF(Atletas!H378="Nandao Grupo A",33,IF(Atletas!H378="Taijijian Grupo A",34,IF(Atletas!H378="Daoshu Opcional",35,IF(Atletas!H378="Jianshu Opcional",36,IF(Atletas!H378="Nandao Opcional",37,IF(Atletas!H378="Taijijian Opcional",38,IF(Atletas!H378="Daoshu Adulto",39,IF(Atletas!H378="Jianshu Adulto",40,IF(Atletas!H378="Nandao Adulto",41,IF(Atletas!H378="Taijijian Adulto",42,""))))))))))))))))))))))))))</f>
        <v/>
      </c>
      <c r="BA382" s="46" t="str">
        <f>IF(Atletas!I378="","",IF(Atletas!B378="Feminino",100,IF(Atletas!B378="Masculino",200,""))+(IF(Atletas!I378="Gunshu Mirim",43,IF(Atletas!I378="Qiangshu Mirim",44,IF(Atletas!I378="Nangun Mirim",45,IF(Atletas!I378="Gunshu Grupo C",46,IF(Atletas!I378="Qiangshu Grupo C",47,IF(Atletas!I378="Nangun Grupo C",48,IF(Atletas!I378="Gunshu Grupo B",49,IF(Atletas!I378="Qiangshu Grupo B",50,IF(Atletas!I378="Nangun Grupo B",51,IF(Atletas!I378="Gunshu Grupo A",52,IF(Atletas!I378="Qiangshu Grupo A",53,IF(Atletas!I378="Nangun Grupo A",54,IF(Atletas!I378="Gunshu Opcional",55,IF(Atletas!I378="Qiangshu Opcional",56,IF(Atletas!I378="Nangun Opcional",57,IF(Atletas!I378="Gunshu Adulto",58,IF(Atletas!I378="Qiangshu Adulto",59,IF(Atletas!I378="Nangun Adulto",60,""))))))))))))))))))))</f>
        <v/>
      </c>
      <c r="BF382" s="52" t="str">
        <f>IF(Atletas!J378="","",IF(Atletas!B378="Feminino",100,IF(Atletas!B378="Masculino",200,""))+(IF(Atletas!J378="Equipe 1 Grupo B",1,IF(Atletas!J378="Equipe 2 Grupo B",2,IF(Atletas!J378="Equipe 1 Grupo A",3,IF(Atletas!J378="Equipe 2 Grupo A",4,IF(Atletas!J378="Equipe 1 Adulto",5,IF(Atletas!J378="Equipe 2 Adulto",6,""))))))))</f>
        <v/>
      </c>
      <c r="BK382" s="52" t="str">
        <f>IF(Atletas!K378="","",IF(Atletas!W378&lt;&gt;"",10000,0)+(IF(Atletas!B378="Feminino",1000,IF(Atletas!B378="Masculino",2000,""))+IF(Atletas!K378="Choylayfut A",1,IF(Atletas!K378="Hunggar A",2,IF(Atletas!K378="Wuzuquan A",3,IF(Atletas!K378="Wingchun A",4,IF(Atletas!K378="Outra Mão de Sul A",5,IF(Atletas!K378="Choylayfut B",6,IF(Atletas!K378="Hunggar B",7,IF(Atletas!K378="Wuzuquan B",8,IF(Atletas!K378="Wingchun B",9,IF(Atletas!K378="Outra Mão de Sul B",10,IF(Atletas!K378="Choylayfut C",11,IF(Atletas!K378="Hunggar C",12,IF(Atletas!K378="Wuzuquan C",13,IF(Atletas!K378="Wingchun C",14,IF(Atletas!K378="Outra Mão de Sul C",15,IF(Atletas!K378="Choylayfut D",16,IF(Atletas!K378="Hunggar D",17,IF(Atletas!K378="Wuzuquan D",18,IF(Atletas!K378="Wingchun D",19,IF(Atletas!K378="Outra Mão de Sul D",20,IF(Atletas!K378="Choylayfut E",21,IF(Atletas!K378="Hunggar E",22,IF(Atletas!K378="Wuzuquan E",23,IF(Atletas!K378="Wingchun E",24,IF(Atletas!K378="Outra Mão de Sul E",25,IF(Atletas!K378="Choylayfut F",26,IF(Atletas!K378="Hunggar F",27,IF(Atletas!K378="Wuzuquan F",28,IF(Atletas!K378="Wingchun F",29,IF(Atletas!K378="Outra Mão de Sul F",30,""))))))))))))))))))))))))))))))))</f>
        <v/>
      </c>
      <c r="BL382" s="52" t="str">
        <f>IF(Atletas!L378="","",IF(Atletas!W378&lt;&gt;"",10000,0)+(IF(Atletas!B378="Feminino",1000,IF(Atletas!B378="Masculino",2000,""))+(IF(Atletas!L378="Chaquan A",101,IF(Atletas!L378="Emeiquan A",102,IF(Atletas!L378="Fanziquan A",103,IF(Atletas!L378="Huaquan A",104,IF(Atletas!L378="Hongquan A",105,IF(Atletas!L378="Paochui A",106,IF(Atletas!L378="Piguaquan A",107,IF(Atletas!L378="Shaolinquan A",108,IF(Atletas!L378="Tanglangquan A",109,IF(Atletas!L378="Yinzhaophai A",110,IF(Atletas!L378="Tongbeiquan A",111,IF(Atletas!L378="Wudangquan A",112,IF(Atletas!L378="Outros Estilos A",113,IF(Atletas!L378="Chaquan B",114,IF(Atletas!L378="Emeiquan B",115,IF(Atletas!L378="Fanziquan B",116,IF(Atletas!L378="Huaquan B",117,IF(Atletas!L378="Hongquan B",118,IF(Atletas!L378="Paochui B",119,IF(Atletas!L378="Piguaquan B",120,IF(Atletas!L378="Shaolinquan B",121,IF(Atletas!L378="Tanglangquan B",122,IF(Atletas!L378="Yinzhaophai B",123,IF(Atletas!L378="Tongbeiquan B",124,IF(Atletas!L378="Wudangquan B",125,IF(Atletas!L378="Outros Estilos B",126,IF(Atletas!L378="Chaquan C",127,IF(Atletas!L378="Emeiquan C",128,IF(Atletas!L378="Fanziquan C",129,IF(Atletas!L378="Huaquan C",130,IF(Atletas!L378="Hongquan C",131,IF(Atletas!L378="Paochui C",132,IF(Atletas!L378="Piguaquan C",133,IF(Atletas!L378="Shaolinquan C",134,IF(Atletas!L378="Tanglangquan C",135,IF(Atletas!L378="Yinzhaophai C",136,IF(Atletas!L378="Tongbeiquan C",137,IF(Atletas!L378="Wudangquan C",138,IF(Atletas!L378="Outros Estilos C",139,0))))))))))))))))))))))))))))))))))))))))))</f>
        <v/>
      </c>
      <c r="BM382" s="52" t="str">
        <f>IF(Atletas!L378="","",IF(Atletas!W378&lt;&gt;"",10000,0)+(IF(Atletas!B378="Feminino",1000,IF(Atletas!B378="Masculino",2000,""))+(IF(Atletas!L378="Chaquan D",140,IF(Atletas!L378="Emeiquan D",141,IF(Atletas!L378="Fanziquan D",142,IF(Atletas!L378="Huaquan D",143,IF(Atletas!L378="Hongquan D",144,IF(Atletas!L378="Paochui D",145,IF(Atletas!L378="Piguaquan D",146,IF(Atletas!L378="Shaolinquan D",147,IF(Atletas!L378="Tanglangquan D",148,IF(Atletas!L378="Yinzhaophai D",149,IF(Atletas!L378="Tongbeiquan D",150,IF(Atletas!L378="Wudangquan D",151,IF(Atletas!L378="Outros Estilos D",152,IF(Atletas!L378="Chaquan E",153,IF(Atletas!L378="Emeiquan E",154,IF(Atletas!L378="Fanziquan E",155,IF(Atletas!L378="Huaquan E",156,IF(Atletas!L378="Hongquan E",157,IF(Atletas!L378="Paochui E",158,IF(Atletas!L378="Piguaquan E",159,IF(Atletas!L378="Shaolinquan E",160,IF(Atletas!L378="Tanglangquan E",161,IF(Atletas!L378="Yinzhaophai E",162,IF(Atletas!L378="Tongbeiquan E",163,IF(Atletas!L378="Wudangquan E",164,IF(Atletas!L378="Outros Estilos E",165,IF(Atletas!L378="Chaquan F",166,IF(Atletas!L378="Emeiquan F",167,IF(Atletas!L378="Fanziquan F",168,IF(Atletas!L378="Huaquan F",169,IF(Atletas!L378="Hongquan F",170,IF(Atletas!L378="Paochui F",171,IF(Atletas!L378="Piguaquan F",172,IF(Atletas!L378="Shaolinquan F",173,IF(Atletas!L378="Tanglangquan F",174,IF(Atletas!L378="Yinzhaophai F",175,IF(Atletas!L378="Tongbeiquan F",176,IF(Atletas!L378="Wudangquan F",177,IF(Atletas!L378="Outros Estilos F",178,0))))))))))))))))))))))))))))))))))))))))))</f>
        <v/>
      </c>
      <c r="BN382" s="52" t="str">
        <f>IF(Atletas!M378="","",IF(Atletas!W378&lt;&gt;"",10000,0)+(IF(Atletas!B378="Feminino",1000,IF(Atletas!B378="Masculino",2000,""))+(IF(Atletas!M378="Ditangquan A",201,IF(Atletas!M378="Houquan A",202,IF(Atletas!M378="Zuiquan A",203,IF(Atletas!M378="Ditangquan B",204,IF(Atletas!M378="Houquan B",205,IF(Atletas!M378="Zuiquan B",206,IF(Atletas!M378="Ditangquan C",207,IF(Atletas!M378="Houquan C",208,IF(Atletas!M378="Zuiquan C",209,IF(Atletas!M378="Ditangquan D",210,IF(Atletas!M378="Houquan D",211,IF(Atletas!M378="Zuiquan D",212,IF(Atletas!M378="Ditangquan E",213,IF(Atletas!M378="Houquan E",214,IF(Atletas!M378="Zuiquan E",215,IF(Atletas!M378="Ditangquan F",216,IF(Atletas!M378="Houquan F",217,IF(Atletas!M378="Zuiquan F",218,"")))))))))))))))))))))</f>
        <v/>
      </c>
      <c r="BO382" s="52" t="str">
        <f>IF(Atletas!N378="","",IF(Atletas!W378&lt;&gt;"",10000,0)+IF(Atletas!B378="Feminino",1000,IF(Atletas!B378="Masculino",2000,""))+IF(Atletas!N378="Yang A",301,IF(Atletas!N378="Chen A",30,IF(Atletas!N378="Sun A",303,IF(Atletas!N378="Wu A",304,IF(Atletas!N378="Wu-Hao A",305,IF(Atletas!N378="Outro Taijiquan A",306,IF(Atletas!N378="Yang B",307,IF(Atletas!N378="Chen B",308,IF(Atletas!N378="Sun B",309,IF(Atletas!N378="Wu B",310,IF(Atletas!N378="Wu-Hao B",311,IF(Atletas!N378="Outro Taijiquan B",312,IF(Atletas!N378="Yang C",313,IF(Atletas!N378="Chen C",314,IF(Atletas!N378="Sun C",315,IF(Atletas!N378="Wu C",316,IF(Atletas!N378="Wu-Hao C",317,IF(Atletas!N378="Outro Taijiquan C",318,IF(Atletas!N378="Yang D",319,IF(Atletas!N378="Chen D",320,IF(Atletas!N378="Sun D",321,IF(Atletas!N378="Wu D",322,IF(Atletas!N378="Wu-Hao D",323,IF(Atletas!N378="Outro Taijiquan D",324,IF(Atletas!N378="Yang E",325,IF(Atletas!N378="Chen E",326,IF(Atletas!N378="Sun E",327,IF(Atletas!N378="Wu E",328,IF(Atletas!N378="Wu-Hao E",329,IF(Atletas!N378="Outro Taijiquan E",330,IF(Atletas!N378="Yang F",331,IF(Atletas!N378="Chen F",332,IF(Atletas!N378="Sun F",333,IF(Atletas!N378="Wu F",334,IF(Atletas!N378="Wu-Hao F",335,IF(Atletas!N378="Outro Taijiquan F",336,"")))))))))))))))))))))))))))))))))))))</f>
        <v/>
      </c>
      <c r="BP382" s="52" t="str">
        <f>IF(Atletas!O378="","",IF(Atletas!W378&lt;&gt;"",10000,0)+IF(Atletas!B378="Feminino",1000,IF(Atletas!B378="Masculino",2000,""))+IF(OR(Atletas!O378="Yang 26 A",Atletas!O378="Yang 40 A"),401,IF(OR(Atletas!O378="Chen 25 A",Atletas!O378="Chen 36 A",Atletas!O378="Chen 56 A"),402,IF(Atletas!O378="Sun 73 A",403,IF(Atletas!O378="Wu 45 A",404,IF(Atletas!O378="Wu-Hao 46 A",405,IF(OR(Atletas!O378="Taijiquan 16 A",Atletas!O378="Taijiquan 24 A",Atletas!O378="Taijiquan 32 A",Atletas!O378="Taijiquan 42 A"),406,IF(OR(Atletas!O378="Yang 26 B",Atletas!O378="Yang 40 B"),407,IF(OR(Atletas!O378="Chen 25 B",Atletas!O378="Chen 36 B",Atletas!O378="Chen 56 B"),408,IF(Atletas!O378="Sun 73 B",409,IF(Atletas!O378="Wu 45 B",410,IF(Atletas!O378="Wu-Hao 46 B",411,IF(OR(Atletas!O378="Taijiquan 16 B",Atletas!O378="Taijiquan 24 B",Atletas!O378="Taijiquan 32 B",Atletas!O378="Taijiquan 42 B"),412,IF(OR(Atletas!O378="Yang 26 C",Atletas!O378="Yang 40 C"),413,IF(OR(Atletas!O378="Chen 25 C",Atletas!O378="Chen 36 C",Atletas!O378="Chen 56 C"),414,IF(Atletas!O378="Sun 73 C",415,IF(Atletas!O378="Wu 45 C",416,IF(Atletas!O378="Wu-Hao 46 C",417,IF(OR(Atletas!O378="Taijiquan 16 C",Atletas!O378="Taijiquan 24 C",Atletas!O378="Taijiquan 32 C",Atletas!O378="Taijiquan 42 C"),418,0)))))))))))))))))))</f>
        <v/>
      </c>
      <c r="BQ382" s="52" t="str">
        <f>IF(Atletas!O378="","",IF(Atletas!W378&lt;&gt;"",10000,0)+IF(Atletas!B378="Feminino",1000,IF(Atletas!B378="Masculino",2000,""))+IF(OR(Atletas!O378="Yang 26 D",Atletas!O378="Yang 40 D"),419,IF(OR(Atletas!O378="Chen 25 D",Atletas!O378="Chen 36 D",Atletas!O378="Chen 56 D"),420,IF(Atletas!O378="Sun 73 D",421,IF(Atletas!O378="Wu 45 D",422,IF(Atletas!O378="Wu-Hao 46 D",423,IF(OR(Atletas!O378="Taijiquan 16 D",Atletas!O378="Taijiquan 24 D",Atletas!O378="Taijiquan 32 D",Atletas!O378="Taijiquan 42 D"),424,IF(OR(Atletas!O378="Yang 26 E",Atletas!O378="Yang 40 E"),425,IF(OR(Atletas!O378="Chen 25 E",Atletas!O378="Chen 36 E",Atletas!O378="Chen 56 E"),426,IF(Atletas!O378="Sun 73 E",427,IF(Atletas!O378="Wu 45 E",428,IF(Atletas!O378="Wu-Hao 46 E",429,IF(OR(Atletas!O378="Taijiquan 16 E",Atletas!O378="Taijiquan 24 E",Atletas!O378="Taijiquan 32 E",Atletas!O378="Taijiquan 42 E"),430,IF(OR(Atletas!O378="Yang 26 F",Atletas!O378="Yang 40 F"),431,IF(OR(Atletas!O378="Chen 25 F",Atletas!O378="Chen 36 F",Atletas!O378="Chen 56 F"),432,IF(Atletas!O378="Sun 73 F",433,IF(Atletas!O378="Wu 45 F",434,IF(Atletas!O378="Wu-Hao 46 F",435,IF(OR(Atletas!O378="Taijiquan 16 F",Atletas!O378="Taijiquan 24 F",Atletas!O378="Taijiquan 32 F",Atletas!O378="Taijiquan 42 F"),436,0)))))))))))))))))))</f>
        <v/>
      </c>
      <c r="BR382" s="52" t="str">
        <f>IF(Atletas!P378="","",IF(Atletas!W378&lt;&gt;"",10000,0)+IF(Atletas!B378="Feminino",1000,IF(Atletas!B378="Masculino",2000,""))+IF(Atletas!P378="Xingyiquan A",501,IF(Atletas!P378="Baguazhang A",502,IF(Atletas!P378="Outro Estilo Interno A",503,IF(Atletas!P378="Xingyiquan B",504,IF(Atletas!P378="Baguazhang B",505,IF(Atletas!P378="Outro Estilo Interno B",506,IF(Atletas!P378="Xingyiquan C",507,IF(Atletas!P378="Baguazhang C",508,IF(Atletas!P378="Outro Estilo Interno C",509,IF(Atletas!P378="Xingyiquan D",510,IF(Atletas!P378="Baguazhang D",511,IF(Atletas!P378="Outro Estilo Interno D",512,IF(Atletas!P378="Xingyiquan E",513,IF(Atletas!P378="Baguazhang E",514,IF(Atletas!P378="Outro Estilo Interno E",515,IF(Atletas!P378="Xingyiquan F",516,IF(Atletas!P378="Baguazhang F",517,IF(Atletas!P378="Outro Estilo Interno F",518, "")))))))))))))))))))</f>
        <v/>
      </c>
      <c r="BS382" s="52" t="str">
        <f>IF(Atletas!Q378="","",IF(Atletas!W378&lt;&gt;"",10000,0)+IF(Atletas!B378="Feminino",1000,IF(Atletas!B378="Masculino",2000,""))+IF(Atletas!Q378="Dao A",601,IF(Atletas!Q378="Jian A",602,IF(Atletas!Q378="Bishou A",603,IF(Atletas!Q378="Shan A",604,IF(Atletas!Q378="Outra Arma Curta A",605,IF(Atletas!Q378="Dao B",606,IF(Atletas!Q378="Jian B",607,IF(Atletas!Q378="Bishou B",608,IF(Atletas!Q378="Shan B",609,IF(Atletas!Q378="Outra Arma Curta B",610,IF(Atletas!Q378="Dao C",611,IF(Atletas!Q378="Jian C",612,IF(Atletas!Q378="Bishou C",613,IF(Atletas!Q378="Shan C",614,IF(Atletas!Q378="Outra Arma Curta C",615,IF(Atletas!Q378="Dao D",616,IF(Atletas!Q378="Jian D",617,IF(Atletas!Q378="Bishou D",618,IF(Atletas!Q378="Shan D",619,IF(Atletas!Q378="Outra Arma Curta D",620,IF(Atletas!Q378="Dao E",621,IF(Atletas!Q378="Jian E",622,IF(Atletas!Q378="Bishou E",623,IF(Atletas!Q378="Shan E",624,IF(Atletas!Q378="Outra Arma Curta E",625,IF(Atletas!Q378="Dao F",626,IF(Atletas!Q378="Jian F",627,IF(Atletas!Q378="Bishou F",628,IF(Atletas!Q378="Shan F",629,IF(Atletas!Q378="Outra Arma Curta F",630, "")))))))))))))))))))))))))))))))</f>
        <v/>
      </c>
      <c r="BT382" s="52" t="str">
        <f>IF(Atletas!R378="","",IF(Atletas!W378&lt;&gt;"",10000,0)+IF(Atletas!B378="Feminino",1000,IF(Atletas!B378="Masculino",2000,""))+IF(Atletas!R378="Gun A",701,IF(Atletas!R378="Qiang A",702,IF(Atletas!R378="Pudao / Guandao A",703,IF(Atletas!R378="Outra Arma Longa A",704,IF(Atletas!R378="Gun B",705,IF(Atletas!R378="Qiang B",706,IF(Atletas!R378="Pudao / Guandao B",707,IF(Atletas!R378="Outra Arma Longa B",708,IF(Atletas!R378="Gun C",709,IF(Atletas!R378="Qiang C",710,IF(Atletas!R378="Pudao / Guandao C",711,IF(Atletas!R378="Outra Arma Longa C",712,IF(Atletas!R378="Gun D",713,IF(Atletas!R378="Qiang D",714,IF(Atletas!R378="Pudao / Guandao D",715,IF(Atletas!R378="Outra Arma Longa D",716,IF(Atletas!R378="Gun E",717,IF(Atletas!R378="Qiang E",718,IF(Atletas!R378="Pudao / Guandao E",719,IF(Atletas!R378="Outra Arma Longa E",720,IF(Atletas!R378="Gun F",721,IF(Atletas!R378="Qiang F",722,IF(Atletas!R378="Pudao / Guandao F",723,IF(Atletas!R378="Outra Arma Longa F",724,"")))))))))))))))))))))))))</f>
        <v/>
      </c>
      <c r="BU382" s="52" t="str">
        <f>IF(Atletas!S378="","",IF(Atletas!W378&lt;&gt;"",10000,0)+IF(Atletas!B378="Feminino",1000,IF(Atletas!B378="Masculino",2000,""))+IF(Atletas!S378="Arma Dupla A",801,IF(Atletas!S378="Arma Maleável A",802,IF(Atletas!S378="Arma Dupla B",803,IF(Atletas!S378="Arma Maleável B",804,IF(Atletas!S378="Arma Dupla C",805,IF(Atletas!S378="Arma Maleável C",806,IF(Atletas!S378="Arma Dupla D",807,IF(Atletas!S378="Arma Maleável D",808,IF(Atletas!S378="Arma Dupla E",809,IF(Atletas!S378="Arma Maleável E",810,IF(Atletas!S378="Arma Dupla F",811,IF(Atletas!S378="Arma Maleável F",812, "")))))))))))))</f>
        <v/>
      </c>
      <c r="BV382" s="52" t="str">
        <f>IF(Atletas!T378="","",IF(Atletas!W378&lt;&gt;"",10000,0)+IF(Atletas!B378="Feminino",1000,IF(Atletas!B378="Masculino",2000,""))+IF(Atletas!T378="Taijijian Yang A",901,IF(Atletas!T378="Taijijian Chen A",902,IF(Atletas!T378="Taijijian Sun A",903,IF(Atletas!T378="Taijijian Wu A",904,IF(Atletas!T378="Taijijian Wu-Hao A",905,IF(Atletas!T378="Taijijian 32 A",906,IF(Atletas!T378="Taijijian 42 A",907,IF(Atletas!T378="Taijijian Yang B",908,IF(Atletas!T378="Taijijian Chen B",909,IF(Atletas!T378="Taijijian Sun B",910,IF(Atletas!T378="Taijijian Wu B",911,IF(Atletas!T378="Taijijian Wu-Hao B",912,IF(Atletas!T378="Taijijian 32 B",913,IF(Atletas!T378="Taijijian 42 B",914,IF(Atletas!T378="Taijijian Yang C",915,IF(Atletas!T378="Taijijian Chen C",916,IF(Atletas!T378="Taijijian Sun C",917,IF(Atletas!T378="Taijijian Wu C",918,IF(Atletas!T378="Taijijian Wu-Hao C",919,IF(Atletas!T378="Taijijian 32 C",920,IF(Atletas!T378="Taijijian 42 C",921,IF(Atletas!T378="Taijijian Yang D",922,IF(Atletas!T378="Taijijian Chen D",923,IF(Atletas!T378="Taijijian Sun D",924,IF(Atletas!T378="Taijijian Wu D",925,IF(Atletas!T378="Taijijian Wu-Hao D",926,IF(Atletas!T378="Taijijian 32 D",927,IF(Atletas!T378="Taijijian 42 D",928,IF(Atletas!T378="Taijijian Yang E",929,IF(Atletas!T378="Taijijian Chen E",930,IF(Atletas!T378="Taijijian Sun E",931,IF(Atletas!T378="Taijijian Wu E",932,IF(Atletas!T378="Taijijian Wu-Hao E",933,IF(Atletas!T378="Taijijian 32 E",934,IF(Atletas!T378="Taijijian 42 E",935,IF(Atletas!T378="Taijijian Yang F",936,IF(Atletas!T378="Taijijian Chen F",937,IF(Atletas!T378="Taijijian Sun F",938,IF(Atletas!T378="Taijijian Wu F",939,IF(Atletas!T378="Taijijian Wu-Hao F",940,IF(Atletas!T378="Taijijian 32 F",941,IF(Atletas!T378="Taijijian 42 F",942,"")))))))))))))))))))))))))))))))))))))))))))</f>
        <v/>
      </c>
      <c r="BW382" s="52" t="str">
        <f>IF(Atletas!U378="","",IF(Atletas!W378&lt;&gt;"",10000,0)+IF(Atletas!B378="Feminino",1000,IF(Atletas!B378="Masculino",2000,""))+IF(Atletas!T378="Taijijian 42 F",942,IF(Atletas!U378="Taijidao A",943,IF(Atletas!U378="Taijishan A",944,IF(Atletas!U378="Taijiqiang A",945,IF(Atletas!U378="Taijidao B",946,IF(Atletas!U378="Taijishan B",947,IF(Atletas!U378="Taijiqiang B",948,IF(Atletas!U378="Taijidao C",949,IF(Atletas!U378="Taijishan C",950,IF(Atletas!U378="Taijiqiang C",951,IF(Atletas!U378="Taijidao D",952,IF(Atletas!U378="Taijishan D",953,IF(Atletas!U378="Taijiqiang D",954,IF(Atletas!U378="Taijidao E",955,IF(Atletas!U378="Taijishan E",956,IF(Atletas!U378="Taijiqiang E",957,IF(Atletas!U378="Taijidao F",958,IF(Atletas!U378="Taijishan F",959,IF(Atletas!U378="Taijiqiang F",960))))))))))))))))))))</f>
        <v/>
      </c>
      <c r="CB382" s="64" t="str">
        <f>IF(CC382&lt;&gt;"","Taijijian 32 E","")</f>
        <v/>
      </c>
      <c r="CC382" s="64" t="str">
        <f>IF(COUNTIF(BK:BW,11934)&gt;0,COUNTIF(BK:BW,11934),"")</f>
        <v/>
      </c>
      <c r="CD382" s="64" t="str">
        <f>IF(CE382&lt;&gt;"","Taijijian 32 E","")</f>
        <v/>
      </c>
      <c r="CE382" s="64" t="str">
        <f>IF(COUNTIF(BK:BW,12934)&gt;0,COUNTIF(BK:BW,12934),"")</f>
        <v/>
      </c>
      <c r="CF382" s="52" t="str">
        <f xml:space="preserve"> IF(Atletas!V378="","",IF(Atletas!V378="Duilian de Mãos AB - Equipe 1",1,IF(Atletas!V378="Duilian de Mãos AB - Equipe 2",2,IF(Atletas!V378="Duilian de Armas AB - Equipe 1",3,IF(Atletas!V378="Duilian de Armas AB - Equipe 2",4,IF(Atletas!V378="Duilian de Tuishou - Equipe 1",5,IF(Atletas!V378="Duilian de Tuishou - Equipe 2",6,IF(Atletas!V378="Grupo Externo AB - Equipe 1",7,IF(Atletas!V378="Grupo Externo AB - Equipe 2",8,IF(Atletas!V378="Grupo Interno AB - Equipe 1",9,IF(Atletas!V378="Grupo Interno AB - Equipe 2",10,IF(Atletas!V378="Duilian de Mãos CD - Equipe 1",11,IF(Atletas!V378="Duilian de Mãos CD - Equipe 2",12,IF(Atletas!V378="Duilian de Armas CD - Equipe 1",13,IF(Atletas!V378="Duilian de Armas CD - Equipe 2",14,IF(Atletas!V378="Duilian de Tuishou - Equipe 1",15,IF(Atletas!V378="Duilian de Tuishou - Equipe 2",16,IF(Atletas!V378="Grupo Externo CDEF - Equipe 1",17,IF(Atletas!V378="Grupo Externo CDEF - Equipe 2",18,IF(Atletas!V378="Grupo Interno CDEF - Equipe 1",19,IF(Atletas!V378="Grupo Interno CDEF - Equipe 2",20,IF(Atletas!V378="Duilian de Mãos EF - Equipe 1",21,IF(Atletas!V378="Duilian de Mãos EF - Equipe 2",22,IF(Atletas!V378="Duilian de Armas EF - Equipe 1",23,IF(Atletas!V378="Duilian de Armas EF - Equipe 2",24,IF(Atletas!V378="Duilian de Tuishou - Equipe 1",25,IF(Atletas!V378="Duilian de Tuishou - Equipe 2",26,"")))))))))))))))))))))))))))</f>
        <v/>
      </c>
    </row>
    <row r="383" spans="36:84">
      <c r="AJ383" s="46" t="str">
        <f>IF(Atletas!D379="","",IF(Atletas!B379="Feminino",100,IF(Atletas!B379="Masculino",200,""))+(IF(Atletas!D379="Infantil 39kg",1,IF(Atletas!D379="Infantil 42kg",2,IF(Atletas!D379="Infantil 45kg",3,IF(Atletas!D379="Infantil 48kg",4,IF(Atletas!D379="Infantil 52kg",5,IF(Atletas!D379="Infantil 56kg",6,IF(Atletas!D379="Infantil 60kg",7,IF(Atletas!D379="Juvenil 48kg",8,IF(Atletas!D379="Juvenil 52kg",9,IF(Atletas!D379="Juvenil 56kg",10,IF(Atletas!D379="Juvenil 60kg",11,IF(Atletas!D379="Juvenil 65kg",12,IF(Atletas!D379="Juvenil 70kg",13,IF(Atletas!D379="Juvenil 75kg",14,IF(Atletas!D379="Juvenil 80kg",15,IF(Atletas!D379="Adulto 48kg",16,IF(Atletas!D379="Adulto 52kg",17,IF(Atletas!D379="Adulto 56kg",18,IF(Atletas!D379="Adulto 60kg",19,IF(Atletas!D379="Adulto 65kg",20,IF(Atletas!D379="Adulto 70kg",21,IF(Atletas!D379="Adulto 75kg",22,IF(Atletas!D379="Adulto 80kg",23,IF(Atletas!D379="Adulto 85kg",24,IF(Atletas!D379="Adulto 90kg",25,IF(Atletas!D379="Adulto +90kg",26,""))))))))))))))))))))))))))))</f>
        <v/>
      </c>
      <c r="AO383" s="10" t="str">
        <f>IF(Atletas!E379="","",IF(Atletas!B379="Feminino",100,IF(Atletas!B379="Masculino",200,""))+(IF(Atletas!E379="Juvenil 44kg",1,IF(Atletas!E379="Juvenil 48kg",2,IF(Atletas!E379="Juvenil 52kg",3,IF(Atletas!E379="Juvenil 56kg",4,IF(Atletas!E379="Juvenil 60kg",5,IF(Atletas!E379="Juvenil 65kg",6,IF(Atletas!E379="Juvenil 70kg",7,IF(Atletas!E379="Juvenil 75kg",8,IF(Atletas!E379="Juvenil 82kg",9,IF(Atletas!E379="Juvenil 90kg",10,IF(Atletas!E379="Juvenil 100kg",11,IF(Atletas!E379="Adulto 48kg",12,IF(Atletas!E379="Adulto 52kg",13,IF(Atletas!E379="Adulto 56kg",14,IF(Atletas!E379="Adulto 60kg",15,IF(Atletas!E379="Adulto 65kg",16,IF(Atletas!E379="Adulto 70kg",17,IF(Atletas!E379="Adulto 75kg",18,IF(Atletas!E379="Adulto 82kg",19,IF(Atletas!E379="Adulto 90kg",20,IF(Atletas!E379="Adulto 100kg",21,IF(Atletas!E379="Adulto +100kg",22,""))))))))))))))))))))))))</f>
        <v/>
      </c>
      <c r="AT383" s="10" t="str">
        <f>IF(Atletas!F379="","",IF(Atletas!B379="Feminino",100,IF(Atletas!B379="Masculino",200,""))+(IF(Atletas!F379="Adulto 48kg",1,IF(Atletas!F379="Adulto 56kg",2,IF(Atletas!F379="Adulto 65kg",3,IF(Atletas!F379="Adulto 75kg",4,IF(Atletas!F379="Adulto +75kg",5,IF(Atletas!F379="Adulto 52kg",6,IF(Atletas!F379="Adulto 60kg",7,IF(Atletas!F379="Adulto 70kg",8,IF(Atletas!F379="Adulto 80kg",9,IF(Atletas!F379="Adulto 90kg",10,IF(Atletas!F379="Adulto +90kg",11,"")))))))))))))</f>
        <v/>
      </c>
      <c r="AY383" s="46" t="str">
        <f>IF(Atletas!G379="","",IF(Atletas!B379="Feminino",100,IF(Atletas!B379="Masculino",200,""))+(IF(Atletas!G379="Changquan Mirim",1,IF(Atletas!G379="Nanquan Mirim",2,IF(Atletas!G379="Taijiquan Mirim",3,IF(Atletas!G379="Changquan Grupo C",4,IF(Atletas!G379="Nanquan Grupo C",5,IF(Atletas!G379="Taijiquan Grupo C",6,IF(Atletas!G379="Changquan Grupo B",7,IF(Atletas!G379="Nanquan Grupo B",8,IF(Atletas!G379="Taijiquan Grupo B",9,IF(Atletas!G379="Changquan Grupo A",10,IF(Atletas!G379="Nanquan Grupo A",11,IF(Atletas!G379="Taijiquan Grupo A",12,IF(Atletas!G379="Changquan Opcional",13,IF(Atletas!G379="Nanquan Opcional",14,IF(Atletas!G379="Taijiquan Opcional",15,IF(Atletas!G379="Changquan Adulto",16,IF(Atletas!G379="Nanquan Adulto",17,IF(Atletas!G379="Taijiquan Adulto",18,""))))))))))))))))))))</f>
        <v/>
      </c>
      <c r="AZ383" s="46" t="str">
        <f>IF(Atletas!H379="","",IF(Atletas!B379="Feminino",100,IF(Atletas!B379="Masculino",200,""))+(IF(Atletas!H379="Daoshu Mirim",19,IF(Atletas!H379="Jianshu Mirim",20,IF(Atletas!H379="Nandao Mirim",21,IF(Atletas!H379="Taijijian Mirim",22,IF(Atletas!H379="Daoshu Grupo C",23,IF(Atletas!H379="Jianshu Grupo C",24,IF(Atletas!H379="Nandao Grupo C",25,IF(Atletas!H379="Taijijian Grupo C",26,IF(Atletas!H379="Daoshu Grupo B",27,IF(Atletas!H379="Jianshu Grupo B",28,IF(Atletas!H379="Nandao Grupo B",29,IF(Atletas!H379="Taijijian Grupo B",30,IF(Atletas!H379="Daoshu Grupo A",31,IF(Atletas!H379="Jianshu Grupo A",32,IF(Atletas!H379="Nandao Grupo A",33,IF(Atletas!H379="Taijijian Grupo A",34,IF(Atletas!H379="Daoshu Opcional",35,IF(Atletas!H379="Jianshu Opcional",36,IF(Atletas!H379="Nandao Opcional",37,IF(Atletas!H379="Taijijian Opcional",38,IF(Atletas!H379="Daoshu Adulto",39,IF(Atletas!H379="Jianshu Adulto",40,IF(Atletas!H379="Nandao Adulto",41,IF(Atletas!H379="Taijijian Adulto",42,""))))))))))))))))))))))))))</f>
        <v/>
      </c>
      <c r="BA383" s="46" t="str">
        <f>IF(Atletas!I379="","",IF(Atletas!B379="Feminino",100,IF(Atletas!B379="Masculino",200,""))+(IF(Atletas!I379="Gunshu Mirim",43,IF(Atletas!I379="Qiangshu Mirim",44,IF(Atletas!I379="Nangun Mirim",45,IF(Atletas!I379="Gunshu Grupo C",46,IF(Atletas!I379="Qiangshu Grupo C",47,IF(Atletas!I379="Nangun Grupo C",48,IF(Atletas!I379="Gunshu Grupo B",49,IF(Atletas!I379="Qiangshu Grupo B",50,IF(Atletas!I379="Nangun Grupo B",51,IF(Atletas!I379="Gunshu Grupo A",52,IF(Atletas!I379="Qiangshu Grupo A",53,IF(Atletas!I379="Nangun Grupo A",54,IF(Atletas!I379="Gunshu Opcional",55,IF(Atletas!I379="Qiangshu Opcional",56,IF(Atletas!I379="Nangun Opcional",57,IF(Atletas!I379="Gunshu Adulto",58,IF(Atletas!I379="Qiangshu Adulto",59,IF(Atletas!I379="Nangun Adulto",60,""))))))))))))))))))))</f>
        <v/>
      </c>
      <c r="BF383" s="52" t="str">
        <f>IF(Atletas!J379="","",IF(Atletas!B379="Feminino",100,IF(Atletas!B379="Masculino",200,""))+(IF(Atletas!J379="Equipe 1 Grupo B",1,IF(Atletas!J379="Equipe 2 Grupo B",2,IF(Atletas!J379="Equipe 1 Grupo A",3,IF(Atletas!J379="Equipe 2 Grupo A",4,IF(Atletas!J379="Equipe 1 Adulto",5,IF(Atletas!J379="Equipe 2 Adulto",6,""))))))))</f>
        <v/>
      </c>
      <c r="BK383" s="52" t="str">
        <f>IF(Atletas!K379="","",IF(Atletas!W379&lt;&gt;"",10000,0)+(IF(Atletas!B379="Feminino",1000,IF(Atletas!B379="Masculino",2000,""))+IF(Atletas!K379="Choylayfut A",1,IF(Atletas!K379="Hunggar A",2,IF(Atletas!K379="Wuzuquan A",3,IF(Atletas!K379="Wingchun A",4,IF(Atletas!K379="Outra Mão de Sul A",5,IF(Atletas!K379="Choylayfut B",6,IF(Atletas!K379="Hunggar B",7,IF(Atletas!K379="Wuzuquan B",8,IF(Atletas!K379="Wingchun B",9,IF(Atletas!K379="Outra Mão de Sul B",10,IF(Atletas!K379="Choylayfut C",11,IF(Atletas!K379="Hunggar C",12,IF(Atletas!K379="Wuzuquan C",13,IF(Atletas!K379="Wingchun C",14,IF(Atletas!K379="Outra Mão de Sul C",15,IF(Atletas!K379="Choylayfut D",16,IF(Atletas!K379="Hunggar D",17,IF(Atletas!K379="Wuzuquan D",18,IF(Atletas!K379="Wingchun D",19,IF(Atletas!K379="Outra Mão de Sul D",20,IF(Atletas!K379="Choylayfut E",21,IF(Atletas!K379="Hunggar E",22,IF(Atletas!K379="Wuzuquan E",23,IF(Atletas!K379="Wingchun E",24,IF(Atletas!K379="Outra Mão de Sul E",25,IF(Atletas!K379="Choylayfut F",26,IF(Atletas!K379="Hunggar F",27,IF(Atletas!K379="Wuzuquan F",28,IF(Atletas!K379="Wingchun F",29,IF(Atletas!K379="Outra Mão de Sul F",30,""))))))))))))))))))))))))))))))))</f>
        <v/>
      </c>
      <c r="BL383" s="52" t="str">
        <f>IF(Atletas!L379="","",IF(Atletas!W379&lt;&gt;"",10000,0)+(IF(Atletas!B379="Feminino",1000,IF(Atletas!B379="Masculino",2000,""))+(IF(Atletas!L379="Chaquan A",101,IF(Atletas!L379="Emeiquan A",102,IF(Atletas!L379="Fanziquan A",103,IF(Atletas!L379="Huaquan A",104,IF(Atletas!L379="Hongquan A",105,IF(Atletas!L379="Paochui A",106,IF(Atletas!L379="Piguaquan A",107,IF(Atletas!L379="Shaolinquan A",108,IF(Atletas!L379="Tanglangquan A",109,IF(Atletas!L379="Yinzhaophai A",110,IF(Atletas!L379="Tongbeiquan A",111,IF(Atletas!L379="Wudangquan A",112,IF(Atletas!L379="Outros Estilos A",113,IF(Atletas!L379="Chaquan B",114,IF(Atletas!L379="Emeiquan B",115,IF(Atletas!L379="Fanziquan B",116,IF(Atletas!L379="Huaquan B",117,IF(Atletas!L379="Hongquan B",118,IF(Atletas!L379="Paochui B",119,IF(Atletas!L379="Piguaquan B",120,IF(Atletas!L379="Shaolinquan B",121,IF(Atletas!L379="Tanglangquan B",122,IF(Atletas!L379="Yinzhaophai B",123,IF(Atletas!L379="Tongbeiquan B",124,IF(Atletas!L379="Wudangquan B",125,IF(Atletas!L379="Outros Estilos B",126,IF(Atletas!L379="Chaquan C",127,IF(Atletas!L379="Emeiquan C",128,IF(Atletas!L379="Fanziquan C",129,IF(Atletas!L379="Huaquan C",130,IF(Atletas!L379="Hongquan C",131,IF(Atletas!L379="Paochui C",132,IF(Atletas!L379="Piguaquan C",133,IF(Atletas!L379="Shaolinquan C",134,IF(Atletas!L379="Tanglangquan C",135,IF(Atletas!L379="Yinzhaophai C",136,IF(Atletas!L379="Tongbeiquan C",137,IF(Atletas!L379="Wudangquan C",138,IF(Atletas!L379="Outros Estilos C",139,0))))))))))))))))))))))))))))))))))))))))))</f>
        <v/>
      </c>
      <c r="BM383" s="52" t="str">
        <f>IF(Atletas!L379="","",IF(Atletas!W379&lt;&gt;"",10000,0)+(IF(Atletas!B379="Feminino",1000,IF(Atletas!B379="Masculino",2000,""))+(IF(Atletas!L379="Chaquan D",140,IF(Atletas!L379="Emeiquan D",141,IF(Atletas!L379="Fanziquan D",142,IF(Atletas!L379="Huaquan D",143,IF(Atletas!L379="Hongquan D",144,IF(Atletas!L379="Paochui D",145,IF(Atletas!L379="Piguaquan D",146,IF(Atletas!L379="Shaolinquan D",147,IF(Atletas!L379="Tanglangquan D",148,IF(Atletas!L379="Yinzhaophai D",149,IF(Atletas!L379="Tongbeiquan D",150,IF(Atletas!L379="Wudangquan D",151,IF(Atletas!L379="Outros Estilos D",152,IF(Atletas!L379="Chaquan E",153,IF(Atletas!L379="Emeiquan E",154,IF(Atletas!L379="Fanziquan E",155,IF(Atletas!L379="Huaquan E",156,IF(Atletas!L379="Hongquan E",157,IF(Atletas!L379="Paochui E",158,IF(Atletas!L379="Piguaquan E",159,IF(Atletas!L379="Shaolinquan E",160,IF(Atletas!L379="Tanglangquan E",161,IF(Atletas!L379="Yinzhaophai E",162,IF(Atletas!L379="Tongbeiquan E",163,IF(Atletas!L379="Wudangquan E",164,IF(Atletas!L379="Outros Estilos E",165,IF(Atletas!L379="Chaquan F",166,IF(Atletas!L379="Emeiquan F",167,IF(Atletas!L379="Fanziquan F",168,IF(Atletas!L379="Huaquan F",169,IF(Atletas!L379="Hongquan F",170,IF(Atletas!L379="Paochui F",171,IF(Atletas!L379="Piguaquan F",172,IF(Atletas!L379="Shaolinquan F",173,IF(Atletas!L379="Tanglangquan F",174,IF(Atletas!L379="Yinzhaophai F",175,IF(Atletas!L379="Tongbeiquan F",176,IF(Atletas!L379="Wudangquan F",177,IF(Atletas!L379="Outros Estilos F",178,0))))))))))))))))))))))))))))))))))))))))))</f>
        <v/>
      </c>
      <c r="BN383" s="52" t="str">
        <f>IF(Atletas!M379="","",IF(Atletas!W379&lt;&gt;"",10000,0)+(IF(Atletas!B379="Feminino",1000,IF(Atletas!B379="Masculino",2000,""))+(IF(Atletas!M379="Ditangquan A",201,IF(Atletas!M379="Houquan A",202,IF(Atletas!M379="Zuiquan A",203,IF(Atletas!M379="Ditangquan B",204,IF(Atletas!M379="Houquan B",205,IF(Atletas!M379="Zuiquan B",206,IF(Atletas!M379="Ditangquan C",207,IF(Atletas!M379="Houquan C",208,IF(Atletas!M379="Zuiquan C",209,IF(Atletas!M379="Ditangquan D",210,IF(Atletas!M379="Houquan D",211,IF(Atletas!M379="Zuiquan D",212,IF(Atletas!M379="Ditangquan E",213,IF(Atletas!M379="Houquan E",214,IF(Atletas!M379="Zuiquan E",215,IF(Atletas!M379="Ditangquan F",216,IF(Atletas!M379="Houquan F",217,IF(Atletas!M379="Zuiquan F",218,"")))))))))))))))))))))</f>
        <v/>
      </c>
      <c r="BO383" s="52" t="str">
        <f>IF(Atletas!N379="","",IF(Atletas!W379&lt;&gt;"",10000,0)+IF(Atletas!B379="Feminino",1000,IF(Atletas!B379="Masculino",2000,""))+IF(Atletas!N379="Yang A",301,IF(Atletas!N379="Chen A",30,IF(Atletas!N379="Sun A",303,IF(Atletas!N379="Wu A",304,IF(Atletas!N379="Wu-Hao A",305,IF(Atletas!N379="Outro Taijiquan A",306,IF(Atletas!N379="Yang B",307,IF(Atletas!N379="Chen B",308,IF(Atletas!N379="Sun B",309,IF(Atletas!N379="Wu B",310,IF(Atletas!N379="Wu-Hao B",311,IF(Atletas!N379="Outro Taijiquan B",312,IF(Atletas!N379="Yang C",313,IF(Atletas!N379="Chen C",314,IF(Atletas!N379="Sun C",315,IF(Atletas!N379="Wu C",316,IF(Atletas!N379="Wu-Hao C",317,IF(Atletas!N379="Outro Taijiquan C",318,IF(Atletas!N379="Yang D",319,IF(Atletas!N379="Chen D",320,IF(Atletas!N379="Sun D",321,IF(Atletas!N379="Wu D",322,IF(Atletas!N379="Wu-Hao D",323,IF(Atletas!N379="Outro Taijiquan D",324,IF(Atletas!N379="Yang E",325,IF(Atletas!N379="Chen E",326,IF(Atletas!N379="Sun E",327,IF(Atletas!N379="Wu E",328,IF(Atletas!N379="Wu-Hao E",329,IF(Atletas!N379="Outro Taijiquan E",330,IF(Atletas!N379="Yang F",331,IF(Atletas!N379="Chen F",332,IF(Atletas!N379="Sun F",333,IF(Atletas!N379="Wu F",334,IF(Atletas!N379="Wu-Hao F",335,IF(Atletas!N379="Outro Taijiquan F",336,"")))))))))))))))))))))))))))))))))))))</f>
        <v/>
      </c>
      <c r="BP383" s="52" t="str">
        <f>IF(Atletas!O379="","",IF(Atletas!W379&lt;&gt;"",10000,0)+IF(Atletas!B379="Feminino",1000,IF(Atletas!B379="Masculino",2000,""))+IF(OR(Atletas!O379="Yang 26 A",Atletas!O379="Yang 40 A"),401,IF(OR(Atletas!O379="Chen 25 A",Atletas!O379="Chen 36 A",Atletas!O379="Chen 56 A"),402,IF(Atletas!O379="Sun 73 A",403,IF(Atletas!O379="Wu 45 A",404,IF(Atletas!O379="Wu-Hao 46 A",405,IF(OR(Atletas!O379="Taijiquan 16 A",Atletas!O379="Taijiquan 24 A",Atletas!O379="Taijiquan 32 A",Atletas!O379="Taijiquan 42 A"),406,IF(OR(Atletas!O379="Yang 26 B",Atletas!O379="Yang 40 B"),407,IF(OR(Atletas!O379="Chen 25 B",Atletas!O379="Chen 36 B",Atletas!O379="Chen 56 B"),408,IF(Atletas!O379="Sun 73 B",409,IF(Atletas!O379="Wu 45 B",410,IF(Atletas!O379="Wu-Hao 46 B",411,IF(OR(Atletas!O379="Taijiquan 16 B",Atletas!O379="Taijiquan 24 B",Atletas!O379="Taijiquan 32 B",Atletas!O379="Taijiquan 42 B"),412,IF(OR(Atletas!O379="Yang 26 C",Atletas!O379="Yang 40 C"),413,IF(OR(Atletas!O379="Chen 25 C",Atletas!O379="Chen 36 C",Atletas!O379="Chen 56 C"),414,IF(Atletas!O379="Sun 73 C",415,IF(Atletas!O379="Wu 45 C",416,IF(Atletas!O379="Wu-Hao 46 C",417,IF(OR(Atletas!O379="Taijiquan 16 C",Atletas!O379="Taijiquan 24 C",Atletas!O379="Taijiquan 32 C",Atletas!O379="Taijiquan 42 C"),418,0)))))))))))))))))))</f>
        <v/>
      </c>
      <c r="BQ383" s="52" t="str">
        <f>IF(Atletas!O379="","",IF(Atletas!W379&lt;&gt;"",10000,0)+IF(Atletas!B379="Feminino",1000,IF(Atletas!B379="Masculino",2000,""))+IF(OR(Atletas!O379="Yang 26 D",Atletas!O379="Yang 40 D"),419,IF(OR(Atletas!O379="Chen 25 D",Atletas!O379="Chen 36 D",Atletas!O379="Chen 56 D"),420,IF(Atletas!O379="Sun 73 D",421,IF(Atletas!O379="Wu 45 D",422,IF(Atletas!O379="Wu-Hao 46 D",423,IF(OR(Atletas!O379="Taijiquan 16 D",Atletas!O379="Taijiquan 24 D",Atletas!O379="Taijiquan 32 D",Atletas!O379="Taijiquan 42 D"),424,IF(OR(Atletas!O379="Yang 26 E",Atletas!O379="Yang 40 E"),425,IF(OR(Atletas!O379="Chen 25 E",Atletas!O379="Chen 36 E",Atletas!O379="Chen 56 E"),426,IF(Atletas!O379="Sun 73 E",427,IF(Atletas!O379="Wu 45 E",428,IF(Atletas!O379="Wu-Hao 46 E",429,IF(OR(Atletas!O379="Taijiquan 16 E",Atletas!O379="Taijiquan 24 E",Atletas!O379="Taijiquan 32 E",Atletas!O379="Taijiquan 42 E"),430,IF(OR(Atletas!O379="Yang 26 F",Atletas!O379="Yang 40 F"),431,IF(OR(Atletas!O379="Chen 25 F",Atletas!O379="Chen 36 F",Atletas!O379="Chen 56 F"),432,IF(Atletas!O379="Sun 73 F",433,IF(Atletas!O379="Wu 45 F",434,IF(Atletas!O379="Wu-Hao 46 F",435,IF(OR(Atletas!O379="Taijiquan 16 F",Atletas!O379="Taijiquan 24 F",Atletas!O379="Taijiquan 32 F",Atletas!O379="Taijiquan 42 F"),436,0)))))))))))))))))))</f>
        <v/>
      </c>
      <c r="BR383" s="52" t="str">
        <f>IF(Atletas!P379="","",IF(Atletas!W379&lt;&gt;"",10000,0)+IF(Atletas!B379="Feminino",1000,IF(Atletas!B379="Masculino",2000,""))+IF(Atletas!P379="Xingyiquan A",501,IF(Atletas!P379="Baguazhang A",502,IF(Atletas!P379="Outro Estilo Interno A",503,IF(Atletas!P379="Xingyiquan B",504,IF(Atletas!P379="Baguazhang B",505,IF(Atletas!P379="Outro Estilo Interno B",506,IF(Atletas!P379="Xingyiquan C",507,IF(Atletas!P379="Baguazhang C",508,IF(Atletas!P379="Outro Estilo Interno C",509,IF(Atletas!P379="Xingyiquan D",510,IF(Atletas!P379="Baguazhang D",511,IF(Atletas!P379="Outro Estilo Interno D",512,IF(Atletas!P379="Xingyiquan E",513,IF(Atletas!P379="Baguazhang E",514,IF(Atletas!P379="Outro Estilo Interno E",515,IF(Atletas!P379="Xingyiquan F",516,IF(Atletas!P379="Baguazhang F",517,IF(Atletas!P379="Outro Estilo Interno F",518, "")))))))))))))))))))</f>
        <v/>
      </c>
      <c r="BS383" s="52" t="str">
        <f>IF(Atletas!Q379="","",IF(Atletas!W379&lt;&gt;"",10000,0)+IF(Atletas!B379="Feminino",1000,IF(Atletas!B379="Masculino",2000,""))+IF(Atletas!Q379="Dao A",601,IF(Atletas!Q379="Jian A",602,IF(Atletas!Q379="Bishou A",603,IF(Atletas!Q379="Shan A",604,IF(Atletas!Q379="Outra Arma Curta A",605,IF(Atletas!Q379="Dao B",606,IF(Atletas!Q379="Jian B",607,IF(Atletas!Q379="Bishou B",608,IF(Atletas!Q379="Shan B",609,IF(Atletas!Q379="Outra Arma Curta B",610,IF(Atletas!Q379="Dao C",611,IF(Atletas!Q379="Jian C",612,IF(Atletas!Q379="Bishou C",613,IF(Atletas!Q379="Shan C",614,IF(Atletas!Q379="Outra Arma Curta C",615,IF(Atletas!Q379="Dao D",616,IF(Atletas!Q379="Jian D",617,IF(Atletas!Q379="Bishou D",618,IF(Atletas!Q379="Shan D",619,IF(Atletas!Q379="Outra Arma Curta D",620,IF(Atletas!Q379="Dao E",621,IF(Atletas!Q379="Jian E",622,IF(Atletas!Q379="Bishou E",623,IF(Atletas!Q379="Shan E",624,IF(Atletas!Q379="Outra Arma Curta E",625,IF(Atletas!Q379="Dao F",626,IF(Atletas!Q379="Jian F",627,IF(Atletas!Q379="Bishou F",628,IF(Atletas!Q379="Shan F",629,IF(Atletas!Q379="Outra Arma Curta F",630, "")))))))))))))))))))))))))))))))</f>
        <v/>
      </c>
      <c r="BT383" s="52" t="str">
        <f>IF(Atletas!R379="","",IF(Atletas!W379&lt;&gt;"",10000,0)+IF(Atletas!B379="Feminino",1000,IF(Atletas!B379="Masculino",2000,""))+IF(Atletas!R379="Gun A",701,IF(Atletas!R379="Qiang A",702,IF(Atletas!R379="Pudao / Guandao A",703,IF(Atletas!R379="Outra Arma Longa A",704,IF(Atletas!R379="Gun B",705,IF(Atletas!R379="Qiang B",706,IF(Atletas!R379="Pudao / Guandao B",707,IF(Atletas!R379="Outra Arma Longa B",708,IF(Atletas!R379="Gun C",709,IF(Atletas!R379="Qiang C",710,IF(Atletas!R379="Pudao / Guandao C",711,IF(Atletas!R379="Outra Arma Longa C",712,IF(Atletas!R379="Gun D",713,IF(Atletas!R379="Qiang D",714,IF(Atletas!R379="Pudao / Guandao D",715,IF(Atletas!R379="Outra Arma Longa D",716,IF(Atletas!R379="Gun E",717,IF(Atletas!R379="Qiang E",718,IF(Atletas!R379="Pudao / Guandao E",719,IF(Atletas!R379="Outra Arma Longa E",720,IF(Atletas!R379="Gun F",721,IF(Atletas!R379="Qiang F",722,IF(Atletas!R379="Pudao / Guandao F",723,IF(Atletas!R379="Outra Arma Longa F",724,"")))))))))))))))))))))))))</f>
        <v/>
      </c>
      <c r="BU383" s="52" t="str">
        <f>IF(Atletas!S379="","",IF(Atletas!W379&lt;&gt;"",10000,0)+IF(Atletas!B379="Feminino",1000,IF(Atletas!B379="Masculino",2000,""))+IF(Atletas!S379="Arma Dupla A",801,IF(Atletas!S379="Arma Maleável A",802,IF(Atletas!S379="Arma Dupla B",803,IF(Atletas!S379="Arma Maleável B",804,IF(Atletas!S379="Arma Dupla C",805,IF(Atletas!S379="Arma Maleável C",806,IF(Atletas!S379="Arma Dupla D",807,IF(Atletas!S379="Arma Maleável D",808,IF(Atletas!S379="Arma Dupla E",809,IF(Atletas!S379="Arma Maleável E",810,IF(Atletas!S379="Arma Dupla F",811,IF(Atletas!S379="Arma Maleável F",812, "")))))))))))))</f>
        <v/>
      </c>
      <c r="BV383" s="52" t="str">
        <f>IF(Atletas!T379="","",IF(Atletas!W379&lt;&gt;"",10000,0)+IF(Atletas!B379="Feminino",1000,IF(Atletas!B379="Masculino",2000,""))+IF(Atletas!T379="Taijijian Yang A",901,IF(Atletas!T379="Taijijian Chen A",902,IF(Atletas!T379="Taijijian Sun A",903,IF(Atletas!T379="Taijijian Wu A",904,IF(Atletas!T379="Taijijian Wu-Hao A",905,IF(Atletas!T379="Taijijian 32 A",906,IF(Atletas!T379="Taijijian 42 A",907,IF(Atletas!T379="Taijijian Yang B",908,IF(Atletas!T379="Taijijian Chen B",909,IF(Atletas!T379="Taijijian Sun B",910,IF(Atletas!T379="Taijijian Wu B",911,IF(Atletas!T379="Taijijian Wu-Hao B",912,IF(Atletas!T379="Taijijian 32 B",913,IF(Atletas!T379="Taijijian 42 B",914,IF(Atletas!T379="Taijijian Yang C",915,IF(Atletas!T379="Taijijian Chen C",916,IF(Atletas!T379="Taijijian Sun C",917,IF(Atletas!T379="Taijijian Wu C",918,IF(Atletas!T379="Taijijian Wu-Hao C",919,IF(Atletas!T379="Taijijian 32 C",920,IF(Atletas!T379="Taijijian 42 C",921,IF(Atletas!T379="Taijijian Yang D",922,IF(Atletas!T379="Taijijian Chen D",923,IF(Atletas!T379="Taijijian Sun D",924,IF(Atletas!T379="Taijijian Wu D",925,IF(Atletas!T379="Taijijian Wu-Hao D",926,IF(Atletas!T379="Taijijian 32 D",927,IF(Atletas!T379="Taijijian 42 D",928,IF(Atletas!T379="Taijijian Yang E",929,IF(Atletas!T379="Taijijian Chen E",930,IF(Atletas!T379="Taijijian Sun E",931,IF(Atletas!T379="Taijijian Wu E",932,IF(Atletas!T379="Taijijian Wu-Hao E",933,IF(Atletas!T379="Taijijian 32 E",934,IF(Atletas!T379="Taijijian 42 E",935,IF(Atletas!T379="Taijijian Yang F",936,IF(Atletas!T379="Taijijian Chen F",937,IF(Atletas!T379="Taijijian Sun F",938,IF(Atletas!T379="Taijijian Wu F",939,IF(Atletas!T379="Taijijian Wu-Hao F",940,IF(Atletas!T379="Taijijian 32 F",941,IF(Atletas!T379="Taijijian 42 F",942,"")))))))))))))))))))))))))))))))))))))))))))</f>
        <v/>
      </c>
      <c r="BW383" s="52" t="str">
        <f>IF(Atletas!U379="","",IF(Atletas!W379&lt;&gt;"",10000,0)+IF(Atletas!B379="Feminino",1000,IF(Atletas!B379="Masculino",2000,""))+IF(Atletas!T379="Taijijian 42 F",942,IF(Atletas!U379="Taijidao A",943,IF(Atletas!U379="Taijishan A",944,IF(Atletas!U379="Taijiqiang A",945,IF(Atletas!U379="Taijidao B",946,IF(Atletas!U379="Taijishan B",947,IF(Atletas!U379="Taijiqiang B",948,IF(Atletas!U379="Taijidao C",949,IF(Atletas!U379="Taijishan C",950,IF(Atletas!U379="Taijiqiang C",951,IF(Atletas!U379="Taijidao D",952,IF(Atletas!U379="Taijishan D",953,IF(Atletas!U379="Taijiqiang D",954,IF(Atletas!U379="Taijidao E",955,IF(Atletas!U379="Taijishan E",956,IF(Atletas!U379="Taijiqiang E",957,IF(Atletas!U379="Taijidao F",958,IF(Atletas!U379="Taijishan F",959,IF(Atletas!U379="Taijiqiang F",960))))))))))))))))))))</f>
        <v/>
      </c>
      <c r="CB383" s="64" t="str">
        <f>IF(CC383&lt;&gt;"","Taijijian 42 E","")</f>
        <v/>
      </c>
      <c r="CC383" s="64" t="str">
        <f>IF(COUNTIF(BK:BW,11935)&gt;0,COUNTIF(BK:BW,11935),"")</f>
        <v/>
      </c>
      <c r="CD383" s="64" t="str">
        <f>IF(CE383&lt;&gt;"","Taijijian 42 E","")</f>
        <v/>
      </c>
      <c r="CE383" s="64" t="str">
        <f>IF(COUNTIF(BK:BW,12935)&gt;0,COUNTIF(BK:BW,12935),"")</f>
        <v/>
      </c>
      <c r="CF383" s="52" t="str">
        <f xml:space="preserve"> IF(Atletas!V379="","",IF(Atletas!V379="Duilian de Mãos AB - Equipe 1",1,IF(Atletas!V379="Duilian de Mãos AB - Equipe 2",2,IF(Atletas!V379="Duilian de Armas AB - Equipe 1",3,IF(Atletas!V379="Duilian de Armas AB - Equipe 2",4,IF(Atletas!V379="Duilian de Tuishou - Equipe 1",5,IF(Atletas!V379="Duilian de Tuishou - Equipe 2",6,IF(Atletas!V379="Grupo Externo AB - Equipe 1",7,IF(Atletas!V379="Grupo Externo AB - Equipe 2",8,IF(Atletas!V379="Grupo Interno AB - Equipe 1",9,IF(Atletas!V379="Grupo Interno AB - Equipe 2",10,IF(Atletas!V379="Duilian de Mãos CD - Equipe 1",11,IF(Atletas!V379="Duilian de Mãos CD - Equipe 2",12,IF(Atletas!V379="Duilian de Armas CD - Equipe 1",13,IF(Atletas!V379="Duilian de Armas CD - Equipe 2",14,IF(Atletas!V379="Duilian de Tuishou - Equipe 1",15,IF(Atletas!V379="Duilian de Tuishou - Equipe 2",16,IF(Atletas!V379="Grupo Externo CDEF - Equipe 1",17,IF(Atletas!V379="Grupo Externo CDEF - Equipe 2",18,IF(Atletas!V379="Grupo Interno CDEF - Equipe 1",19,IF(Atletas!V379="Grupo Interno CDEF - Equipe 2",20,IF(Atletas!V379="Duilian de Mãos EF - Equipe 1",21,IF(Atletas!V379="Duilian de Mãos EF - Equipe 2",22,IF(Atletas!V379="Duilian de Armas EF - Equipe 1",23,IF(Atletas!V379="Duilian de Armas EF - Equipe 2",24,IF(Atletas!V379="Duilian de Tuishou - Equipe 1",25,IF(Atletas!V379="Duilian de Tuishou - Equipe 2",26,"")))))))))))))))))))))))))))</f>
        <v/>
      </c>
    </row>
    <row r="384" spans="36:84">
      <c r="AJ384" s="46" t="str">
        <f>IF(Atletas!D380="","",IF(Atletas!B380="Feminino",100,IF(Atletas!B380="Masculino",200,""))+(IF(Atletas!D380="Infantil 39kg",1,IF(Atletas!D380="Infantil 42kg",2,IF(Atletas!D380="Infantil 45kg",3,IF(Atletas!D380="Infantil 48kg",4,IF(Atletas!D380="Infantil 52kg",5,IF(Atletas!D380="Infantil 56kg",6,IF(Atletas!D380="Infantil 60kg",7,IF(Atletas!D380="Juvenil 48kg",8,IF(Atletas!D380="Juvenil 52kg",9,IF(Atletas!D380="Juvenil 56kg",10,IF(Atletas!D380="Juvenil 60kg",11,IF(Atletas!D380="Juvenil 65kg",12,IF(Atletas!D380="Juvenil 70kg",13,IF(Atletas!D380="Juvenil 75kg",14,IF(Atletas!D380="Juvenil 80kg",15,IF(Atletas!D380="Adulto 48kg",16,IF(Atletas!D380="Adulto 52kg",17,IF(Atletas!D380="Adulto 56kg",18,IF(Atletas!D380="Adulto 60kg",19,IF(Atletas!D380="Adulto 65kg",20,IF(Atletas!D380="Adulto 70kg",21,IF(Atletas!D380="Adulto 75kg",22,IF(Atletas!D380="Adulto 80kg",23,IF(Atletas!D380="Adulto 85kg",24,IF(Atletas!D380="Adulto 90kg",25,IF(Atletas!D380="Adulto +90kg",26,""))))))))))))))))))))))))))))</f>
        <v/>
      </c>
      <c r="AO384" s="10" t="str">
        <f>IF(Atletas!E380="","",IF(Atletas!B380="Feminino",100,IF(Atletas!B380="Masculino",200,""))+(IF(Atletas!E380="Juvenil 44kg",1,IF(Atletas!E380="Juvenil 48kg",2,IF(Atletas!E380="Juvenil 52kg",3,IF(Atletas!E380="Juvenil 56kg",4,IF(Atletas!E380="Juvenil 60kg",5,IF(Atletas!E380="Juvenil 65kg",6,IF(Atletas!E380="Juvenil 70kg",7,IF(Atletas!E380="Juvenil 75kg",8,IF(Atletas!E380="Juvenil 82kg",9,IF(Atletas!E380="Juvenil 90kg",10,IF(Atletas!E380="Juvenil 100kg",11,IF(Atletas!E380="Adulto 48kg",12,IF(Atletas!E380="Adulto 52kg",13,IF(Atletas!E380="Adulto 56kg",14,IF(Atletas!E380="Adulto 60kg",15,IF(Atletas!E380="Adulto 65kg",16,IF(Atletas!E380="Adulto 70kg",17,IF(Atletas!E380="Adulto 75kg",18,IF(Atletas!E380="Adulto 82kg",19,IF(Atletas!E380="Adulto 90kg",20,IF(Atletas!E380="Adulto 100kg",21,IF(Atletas!E380="Adulto +100kg",22,""))))))))))))))))))))))))</f>
        <v/>
      </c>
      <c r="AT384" s="10" t="str">
        <f>IF(Atletas!F380="","",IF(Atletas!B380="Feminino",100,IF(Atletas!B380="Masculino",200,""))+(IF(Atletas!F380="Adulto 48kg",1,IF(Atletas!F380="Adulto 56kg",2,IF(Atletas!F380="Adulto 65kg",3,IF(Atletas!F380="Adulto 75kg",4,IF(Atletas!F380="Adulto +75kg",5,IF(Atletas!F380="Adulto 52kg",6,IF(Atletas!F380="Adulto 60kg",7,IF(Atletas!F380="Adulto 70kg",8,IF(Atletas!F380="Adulto 80kg",9,IF(Atletas!F380="Adulto 90kg",10,IF(Atletas!F380="Adulto +90kg",11,"")))))))))))))</f>
        <v/>
      </c>
      <c r="AY384" s="46" t="str">
        <f>IF(Atletas!G380="","",IF(Atletas!B380="Feminino",100,IF(Atletas!B380="Masculino",200,""))+(IF(Atletas!G380="Changquan Mirim",1,IF(Atletas!G380="Nanquan Mirim",2,IF(Atletas!G380="Taijiquan Mirim",3,IF(Atletas!G380="Changquan Grupo C",4,IF(Atletas!G380="Nanquan Grupo C",5,IF(Atletas!G380="Taijiquan Grupo C",6,IF(Atletas!G380="Changquan Grupo B",7,IF(Atletas!G380="Nanquan Grupo B",8,IF(Atletas!G380="Taijiquan Grupo B",9,IF(Atletas!G380="Changquan Grupo A",10,IF(Atletas!G380="Nanquan Grupo A",11,IF(Atletas!G380="Taijiquan Grupo A",12,IF(Atletas!G380="Changquan Opcional",13,IF(Atletas!G380="Nanquan Opcional",14,IF(Atletas!G380="Taijiquan Opcional",15,IF(Atletas!G380="Changquan Adulto",16,IF(Atletas!G380="Nanquan Adulto",17,IF(Atletas!G380="Taijiquan Adulto",18,""))))))))))))))))))))</f>
        <v/>
      </c>
      <c r="AZ384" s="46" t="str">
        <f>IF(Atletas!H380="","",IF(Atletas!B380="Feminino",100,IF(Atletas!B380="Masculino",200,""))+(IF(Atletas!H380="Daoshu Mirim",19,IF(Atletas!H380="Jianshu Mirim",20,IF(Atletas!H380="Nandao Mirim",21,IF(Atletas!H380="Taijijian Mirim",22,IF(Atletas!H380="Daoshu Grupo C",23,IF(Atletas!H380="Jianshu Grupo C",24,IF(Atletas!H380="Nandao Grupo C",25,IF(Atletas!H380="Taijijian Grupo C",26,IF(Atletas!H380="Daoshu Grupo B",27,IF(Atletas!H380="Jianshu Grupo B",28,IF(Atletas!H380="Nandao Grupo B",29,IF(Atletas!H380="Taijijian Grupo B",30,IF(Atletas!H380="Daoshu Grupo A",31,IF(Atletas!H380="Jianshu Grupo A",32,IF(Atletas!H380="Nandao Grupo A",33,IF(Atletas!H380="Taijijian Grupo A",34,IF(Atletas!H380="Daoshu Opcional",35,IF(Atletas!H380="Jianshu Opcional",36,IF(Atletas!H380="Nandao Opcional",37,IF(Atletas!H380="Taijijian Opcional",38,IF(Atletas!H380="Daoshu Adulto",39,IF(Atletas!H380="Jianshu Adulto",40,IF(Atletas!H380="Nandao Adulto",41,IF(Atletas!H380="Taijijian Adulto",42,""))))))))))))))))))))))))))</f>
        <v/>
      </c>
      <c r="BA384" s="46" t="str">
        <f>IF(Atletas!I380="","",IF(Atletas!B380="Feminino",100,IF(Atletas!B380="Masculino",200,""))+(IF(Atletas!I380="Gunshu Mirim",43,IF(Atletas!I380="Qiangshu Mirim",44,IF(Atletas!I380="Nangun Mirim",45,IF(Atletas!I380="Gunshu Grupo C",46,IF(Atletas!I380="Qiangshu Grupo C",47,IF(Atletas!I380="Nangun Grupo C",48,IF(Atletas!I380="Gunshu Grupo B",49,IF(Atletas!I380="Qiangshu Grupo B",50,IF(Atletas!I380="Nangun Grupo B",51,IF(Atletas!I380="Gunshu Grupo A",52,IF(Atletas!I380="Qiangshu Grupo A",53,IF(Atletas!I380="Nangun Grupo A",54,IF(Atletas!I380="Gunshu Opcional",55,IF(Atletas!I380="Qiangshu Opcional",56,IF(Atletas!I380="Nangun Opcional",57,IF(Atletas!I380="Gunshu Adulto",58,IF(Atletas!I380="Qiangshu Adulto",59,IF(Atletas!I380="Nangun Adulto",60,""))))))))))))))))))))</f>
        <v/>
      </c>
      <c r="BF384" s="52" t="str">
        <f>IF(Atletas!J380="","",IF(Atletas!B380="Feminino",100,IF(Atletas!B380="Masculino",200,""))+(IF(Atletas!J380="Equipe 1 Grupo B",1,IF(Atletas!J380="Equipe 2 Grupo B",2,IF(Atletas!J380="Equipe 1 Grupo A",3,IF(Atletas!J380="Equipe 2 Grupo A",4,IF(Atletas!J380="Equipe 1 Adulto",5,IF(Atletas!J380="Equipe 2 Adulto",6,""))))))))</f>
        <v/>
      </c>
      <c r="BK384" s="52" t="str">
        <f>IF(Atletas!K380="","",IF(Atletas!W380&lt;&gt;"",10000,0)+(IF(Atletas!B380="Feminino",1000,IF(Atletas!B380="Masculino",2000,""))+IF(Atletas!K380="Choylayfut A",1,IF(Atletas!K380="Hunggar A",2,IF(Atletas!K380="Wuzuquan A",3,IF(Atletas!K380="Wingchun A",4,IF(Atletas!K380="Outra Mão de Sul A",5,IF(Atletas!K380="Choylayfut B",6,IF(Atletas!K380="Hunggar B",7,IF(Atletas!K380="Wuzuquan B",8,IF(Atletas!K380="Wingchun B",9,IF(Atletas!K380="Outra Mão de Sul B",10,IF(Atletas!K380="Choylayfut C",11,IF(Atletas!K380="Hunggar C",12,IF(Atletas!K380="Wuzuquan C",13,IF(Atletas!K380="Wingchun C",14,IF(Atletas!K380="Outra Mão de Sul C",15,IF(Atletas!K380="Choylayfut D",16,IF(Atletas!K380="Hunggar D",17,IF(Atletas!K380="Wuzuquan D",18,IF(Atletas!K380="Wingchun D",19,IF(Atletas!K380="Outra Mão de Sul D",20,IF(Atletas!K380="Choylayfut E",21,IF(Atletas!K380="Hunggar E",22,IF(Atletas!K380="Wuzuquan E",23,IF(Atletas!K380="Wingchun E",24,IF(Atletas!K380="Outra Mão de Sul E",25,IF(Atletas!K380="Choylayfut F",26,IF(Atletas!K380="Hunggar F",27,IF(Atletas!K380="Wuzuquan F",28,IF(Atletas!K380="Wingchun F",29,IF(Atletas!K380="Outra Mão de Sul F",30,""))))))))))))))))))))))))))))))))</f>
        <v/>
      </c>
      <c r="BL384" s="52" t="str">
        <f>IF(Atletas!L380="","",IF(Atletas!W380&lt;&gt;"",10000,0)+(IF(Atletas!B380="Feminino",1000,IF(Atletas!B380="Masculino",2000,""))+(IF(Atletas!L380="Chaquan A",101,IF(Atletas!L380="Emeiquan A",102,IF(Atletas!L380="Fanziquan A",103,IF(Atletas!L380="Huaquan A",104,IF(Atletas!L380="Hongquan A",105,IF(Atletas!L380="Paochui A",106,IF(Atletas!L380="Piguaquan A",107,IF(Atletas!L380="Shaolinquan A",108,IF(Atletas!L380="Tanglangquan A",109,IF(Atletas!L380="Yinzhaophai A",110,IF(Atletas!L380="Tongbeiquan A",111,IF(Atletas!L380="Wudangquan A",112,IF(Atletas!L380="Outros Estilos A",113,IF(Atletas!L380="Chaquan B",114,IF(Atletas!L380="Emeiquan B",115,IF(Atletas!L380="Fanziquan B",116,IF(Atletas!L380="Huaquan B",117,IF(Atletas!L380="Hongquan B",118,IF(Atletas!L380="Paochui B",119,IF(Atletas!L380="Piguaquan B",120,IF(Atletas!L380="Shaolinquan B",121,IF(Atletas!L380="Tanglangquan B",122,IF(Atletas!L380="Yinzhaophai B",123,IF(Atletas!L380="Tongbeiquan B",124,IF(Atletas!L380="Wudangquan B",125,IF(Atletas!L380="Outros Estilos B",126,IF(Atletas!L380="Chaquan C",127,IF(Atletas!L380="Emeiquan C",128,IF(Atletas!L380="Fanziquan C",129,IF(Atletas!L380="Huaquan C",130,IF(Atletas!L380="Hongquan C",131,IF(Atletas!L380="Paochui C",132,IF(Atletas!L380="Piguaquan C",133,IF(Atletas!L380="Shaolinquan C",134,IF(Atletas!L380="Tanglangquan C",135,IF(Atletas!L380="Yinzhaophai C",136,IF(Atletas!L380="Tongbeiquan C",137,IF(Atletas!L380="Wudangquan C",138,IF(Atletas!L380="Outros Estilos C",139,0))))))))))))))))))))))))))))))))))))))))))</f>
        <v/>
      </c>
      <c r="BM384" s="52" t="str">
        <f>IF(Atletas!L380="","",IF(Atletas!W380&lt;&gt;"",10000,0)+(IF(Atletas!B380="Feminino",1000,IF(Atletas!B380="Masculino",2000,""))+(IF(Atletas!L380="Chaquan D",140,IF(Atletas!L380="Emeiquan D",141,IF(Atletas!L380="Fanziquan D",142,IF(Atletas!L380="Huaquan D",143,IF(Atletas!L380="Hongquan D",144,IF(Atletas!L380="Paochui D",145,IF(Atletas!L380="Piguaquan D",146,IF(Atletas!L380="Shaolinquan D",147,IF(Atletas!L380="Tanglangquan D",148,IF(Atletas!L380="Yinzhaophai D",149,IF(Atletas!L380="Tongbeiquan D",150,IF(Atletas!L380="Wudangquan D",151,IF(Atletas!L380="Outros Estilos D",152,IF(Atletas!L380="Chaquan E",153,IF(Atletas!L380="Emeiquan E",154,IF(Atletas!L380="Fanziquan E",155,IF(Atletas!L380="Huaquan E",156,IF(Atletas!L380="Hongquan E",157,IF(Atletas!L380="Paochui E",158,IF(Atletas!L380="Piguaquan E",159,IF(Atletas!L380="Shaolinquan E",160,IF(Atletas!L380="Tanglangquan E",161,IF(Atletas!L380="Yinzhaophai E",162,IF(Atletas!L380="Tongbeiquan E",163,IF(Atletas!L380="Wudangquan E",164,IF(Atletas!L380="Outros Estilos E",165,IF(Atletas!L380="Chaquan F",166,IF(Atletas!L380="Emeiquan F",167,IF(Atletas!L380="Fanziquan F",168,IF(Atletas!L380="Huaquan F",169,IF(Atletas!L380="Hongquan F",170,IF(Atletas!L380="Paochui F",171,IF(Atletas!L380="Piguaquan F",172,IF(Atletas!L380="Shaolinquan F",173,IF(Atletas!L380="Tanglangquan F",174,IF(Atletas!L380="Yinzhaophai F",175,IF(Atletas!L380="Tongbeiquan F",176,IF(Atletas!L380="Wudangquan F",177,IF(Atletas!L380="Outros Estilos F",178,0))))))))))))))))))))))))))))))))))))))))))</f>
        <v/>
      </c>
      <c r="BN384" s="52" t="str">
        <f>IF(Atletas!M380="","",IF(Atletas!W380&lt;&gt;"",10000,0)+(IF(Atletas!B380="Feminino",1000,IF(Atletas!B380="Masculino",2000,""))+(IF(Atletas!M380="Ditangquan A",201,IF(Atletas!M380="Houquan A",202,IF(Atletas!M380="Zuiquan A",203,IF(Atletas!M380="Ditangquan B",204,IF(Atletas!M380="Houquan B",205,IF(Atletas!M380="Zuiquan B",206,IF(Atletas!M380="Ditangquan C",207,IF(Atletas!M380="Houquan C",208,IF(Atletas!M380="Zuiquan C",209,IF(Atletas!M380="Ditangquan D",210,IF(Atletas!M380="Houquan D",211,IF(Atletas!M380="Zuiquan D",212,IF(Atletas!M380="Ditangquan E",213,IF(Atletas!M380="Houquan E",214,IF(Atletas!M380="Zuiquan E",215,IF(Atletas!M380="Ditangquan F",216,IF(Atletas!M380="Houquan F",217,IF(Atletas!M380="Zuiquan F",218,"")))))))))))))))))))))</f>
        <v/>
      </c>
      <c r="BO384" s="52" t="str">
        <f>IF(Atletas!N380="","",IF(Atletas!W380&lt;&gt;"",10000,0)+IF(Atletas!B380="Feminino",1000,IF(Atletas!B380="Masculino",2000,""))+IF(Atletas!N380="Yang A",301,IF(Atletas!N380="Chen A",30,IF(Atletas!N380="Sun A",303,IF(Atletas!N380="Wu A",304,IF(Atletas!N380="Wu-Hao A",305,IF(Atletas!N380="Outro Taijiquan A",306,IF(Atletas!N380="Yang B",307,IF(Atletas!N380="Chen B",308,IF(Atletas!N380="Sun B",309,IF(Atletas!N380="Wu B",310,IF(Atletas!N380="Wu-Hao B",311,IF(Atletas!N380="Outro Taijiquan B",312,IF(Atletas!N380="Yang C",313,IF(Atletas!N380="Chen C",314,IF(Atletas!N380="Sun C",315,IF(Atletas!N380="Wu C",316,IF(Atletas!N380="Wu-Hao C",317,IF(Atletas!N380="Outro Taijiquan C",318,IF(Atletas!N380="Yang D",319,IF(Atletas!N380="Chen D",320,IF(Atletas!N380="Sun D",321,IF(Atletas!N380="Wu D",322,IF(Atletas!N380="Wu-Hao D",323,IF(Atletas!N380="Outro Taijiquan D",324,IF(Atletas!N380="Yang E",325,IF(Atletas!N380="Chen E",326,IF(Atletas!N380="Sun E",327,IF(Atletas!N380="Wu E",328,IF(Atletas!N380="Wu-Hao E",329,IF(Atletas!N380="Outro Taijiquan E",330,IF(Atletas!N380="Yang F",331,IF(Atletas!N380="Chen F",332,IF(Atletas!N380="Sun F",333,IF(Atletas!N380="Wu F",334,IF(Atletas!N380="Wu-Hao F",335,IF(Atletas!N380="Outro Taijiquan F",336,"")))))))))))))))))))))))))))))))))))))</f>
        <v/>
      </c>
      <c r="BP384" s="52" t="str">
        <f>IF(Atletas!O380="","",IF(Atletas!W380&lt;&gt;"",10000,0)+IF(Atletas!B380="Feminino",1000,IF(Atletas!B380="Masculino",2000,""))+IF(OR(Atletas!O380="Yang 26 A",Atletas!O380="Yang 40 A"),401,IF(OR(Atletas!O380="Chen 25 A",Atletas!O380="Chen 36 A",Atletas!O380="Chen 56 A"),402,IF(Atletas!O380="Sun 73 A",403,IF(Atletas!O380="Wu 45 A",404,IF(Atletas!O380="Wu-Hao 46 A",405,IF(OR(Atletas!O380="Taijiquan 16 A",Atletas!O380="Taijiquan 24 A",Atletas!O380="Taijiquan 32 A",Atletas!O380="Taijiquan 42 A"),406,IF(OR(Atletas!O380="Yang 26 B",Atletas!O380="Yang 40 B"),407,IF(OR(Atletas!O380="Chen 25 B",Atletas!O380="Chen 36 B",Atletas!O380="Chen 56 B"),408,IF(Atletas!O380="Sun 73 B",409,IF(Atletas!O380="Wu 45 B",410,IF(Atletas!O380="Wu-Hao 46 B",411,IF(OR(Atletas!O380="Taijiquan 16 B",Atletas!O380="Taijiquan 24 B",Atletas!O380="Taijiquan 32 B",Atletas!O380="Taijiquan 42 B"),412,IF(OR(Atletas!O380="Yang 26 C",Atletas!O380="Yang 40 C"),413,IF(OR(Atletas!O380="Chen 25 C",Atletas!O380="Chen 36 C",Atletas!O380="Chen 56 C"),414,IF(Atletas!O380="Sun 73 C",415,IF(Atletas!O380="Wu 45 C",416,IF(Atletas!O380="Wu-Hao 46 C",417,IF(OR(Atletas!O380="Taijiquan 16 C",Atletas!O380="Taijiquan 24 C",Atletas!O380="Taijiquan 32 C",Atletas!O380="Taijiquan 42 C"),418,0)))))))))))))))))))</f>
        <v/>
      </c>
      <c r="BQ384" s="52" t="str">
        <f>IF(Atletas!O380="","",IF(Atletas!W380&lt;&gt;"",10000,0)+IF(Atletas!B380="Feminino",1000,IF(Atletas!B380="Masculino",2000,""))+IF(OR(Atletas!O380="Yang 26 D",Atletas!O380="Yang 40 D"),419,IF(OR(Atletas!O380="Chen 25 D",Atletas!O380="Chen 36 D",Atletas!O380="Chen 56 D"),420,IF(Atletas!O380="Sun 73 D",421,IF(Atletas!O380="Wu 45 D",422,IF(Atletas!O380="Wu-Hao 46 D",423,IF(OR(Atletas!O380="Taijiquan 16 D",Atletas!O380="Taijiquan 24 D",Atletas!O380="Taijiquan 32 D",Atletas!O380="Taijiquan 42 D"),424,IF(OR(Atletas!O380="Yang 26 E",Atletas!O380="Yang 40 E"),425,IF(OR(Atletas!O380="Chen 25 E",Atletas!O380="Chen 36 E",Atletas!O380="Chen 56 E"),426,IF(Atletas!O380="Sun 73 E",427,IF(Atletas!O380="Wu 45 E",428,IF(Atletas!O380="Wu-Hao 46 E",429,IF(OR(Atletas!O380="Taijiquan 16 E",Atletas!O380="Taijiquan 24 E",Atletas!O380="Taijiquan 32 E",Atletas!O380="Taijiquan 42 E"),430,IF(OR(Atletas!O380="Yang 26 F",Atletas!O380="Yang 40 F"),431,IF(OR(Atletas!O380="Chen 25 F",Atletas!O380="Chen 36 F",Atletas!O380="Chen 56 F"),432,IF(Atletas!O380="Sun 73 F",433,IF(Atletas!O380="Wu 45 F",434,IF(Atletas!O380="Wu-Hao 46 F",435,IF(OR(Atletas!O380="Taijiquan 16 F",Atletas!O380="Taijiquan 24 F",Atletas!O380="Taijiquan 32 F",Atletas!O380="Taijiquan 42 F"),436,0)))))))))))))))))))</f>
        <v/>
      </c>
      <c r="BR384" s="52" t="str">
        <f>IF(Atletas!P380="","",IF(Atletas!W380&lt;&gt;"",10000,0)+IF(Atletas!B380="Feminino",1000,IF(Atletas!B380="Masculino",2000,""))+IF(Atletas!P380="Xingyiquan A",501,IF(Atletas!P380="Baguazhang A",502,IF(Atletas!P380="Outro Estilo Interno A",503,IF(Atletas!P380="Xingyiquan B",504,IF(Atletas!P380="Baguazhang B",505,IF(Atletas!P380="Outro Estilo Interno B",506,IF(Atletas!P380="Xingyiquan C",507,IF(Atletas!P380="Baguazhang C",508,IF(Atletas!P380="Outro Estilo Interno C",509,IF(Atletas!P380="Xingyiquan D",510,IF(Atletas!P380="Baguazhang D",511,IF(Atletas!P380="Outro Estilo Interno D",512,IF(Atletas!P380="Xingyiquan E",513,IF(Atletas!P380="Baguazhang E",514,IF(Atletas!P380="Outro Estilo Interno E",515,IF(Atletas!P380="Xingyiquan F",516,IF(Atletas!P380="Baguazhang F",517,IF(Atletas!P380="Outro Estilo Interno F",518, "")))))))))))))))))))</f>
        <v/>
      </c>
      <c r="BS384" s="52" t="str">
        <f>IF(Atletas!Q380="","",IF(Atletas!W380&lt;&gt;"",10000,0)+IF(Atletas!B380="Feminino",1000,IF(Atletas!B380="Masculino",2000,""))+IF(Atletas!Q380="Dao A",601,IF(Atletas!Q380="Jian A",602,IF(Atletas!Q380="Bishou A",603,IF(Atletas!Q380="Shan A",604,IF(Atletas!Q380="Outra Arma Curta A",605,IF(Atletas!Q380="Dao B",606,IF(Atletas!Q380="Jian B",607,IF(Atletas!Q380="Bishou B",608,IF(Atletas!Q380="Shan B",609,IF(Atletas!Q380="Outra Arma Curta B",610,IF(Atletas!Q380="Dao C",611,IF(Atletas!Q380="Jian C",612,IF(Atletas!Q380="Bishou C",613,IF(Atletas!Q380="Shan C",614,IF(Atletas!Q380="Outra Arma Curta C",615,IF(Atletas!Q380="Dao D",616,IF(Atletas!Q380="Jian D",617,IF(Atletas!Q380="Bishou D",618,IF(Atletas!Q380="Shan D",619,IF(Atletas!Q380="Outra Arma Curta D",620,IF(Atletas!Q380="Dao E",621,IF(Atletas!Q380="Jian E",622,IF(Atletas!Q380="Bishou E",623,IF(Atletas!Q380="Shan E",624,IF(Atletas!Q380="Outra Arma Curta E",625,IF(Atletas!Q380="Dao F",626,IF(Atletas!Q380="Jian F",627,IF(Atletas!Q380="Bishou F",628,IF(Atletas!Q380="Shan F",629,IF(Atletas!Q380="Outra Arma Curta F",630, "")))))))))))))))))))))))))))))))</f>
        <v/>
      </c>
      <c r="BT384" s="52" t="str">
        <f>IF(Atletas!R380="","",IF(Atletas!W380&lt;&gt;"",10000,0)+IF(Atletas!B380="Feminino",1000,IF(Atletas!B380="Masculino",2000,""))+IF(Atletas!R380="Gun A",701,IF(Atletas!R380="Qiang A",702,IF(Atletas!R380="Pudao / Guandao A",703,IF(Atletas!R380="Outra Arma Longa A",704,IF(Atletas!R380="Gun B",705,IF(Atletas!R380="Qiang B",706,IF(Atletas!R380="Pudao / Guandao B",707,IF(Atletas!R380="Outra Arma Longa B",708,IF(Atletas!R380="Gun C",709,IF(Atletas!R380="Qiang C",710,IF(Atletas!R380="Pudao / Guandao C",711,IF(Atletas!R380="Outra Arma Longa C",712,IF(Atletas!R380="Gun D",713,IF(Atletas!R380="Qiang D",714,IF(Atletas!R380="Pudao / Guandao D",715,IF(Atletas!R380="Outra Arma Longa D",716,IF(Atletas!R380="Gun E",717,IF(Atletas!R380="Qiang E",718,IF(Atletas!R380="Pudao / Guandao E",719,IF(Atletas!R380="Outra Arma Longa E",720,IF(Atletas!R380="Gun F",721,IF(Atletas!R380="Qiang F",722,IF(Atletas!R380="Pudao / Guandao F",723,IF(Atletas!R380="Outra Arma Longa F",724,"")))))))))))))))))))))))))</f>
        <v/>
      </c>
      <c r="BU384" s="52" t="str">
        <f>IF(Atletas!S380="","",IF(Atletas!W380&lt;&gt;"",10000,0)+IF(Atletas!B380="Feminino",1000,IF(Atletas!B380="Masculino",2000,""))+IF(Atletas!S380="Arma Dupla A",801,IF(Atletas!S380="Arma Maleável A",802,IF(Atletas!S380="Arma Dupla B",803,IF(Atletas!S380="Arma Maleável B",804,IF(Atletas!S380="Arma Dupla C",805,IF(Atletas!S380="Arma Maleável C",806,IF(Atletas!S380="Arma Dupla D",807,IF(Atletas!S380="Arma Maleável D",808,IF(Atletas!S380="Arma Dupla E",809,IF(Atletas!S380="Arma Maleável E",810,IF(Atletas!S380="Arma Dupla F",811,IF(Atletas!S380="Arma Maleável F",812, "")))))))))))))</f>
        <v/>
      </c>
      <c r="BV384" s="52" t="str">
        <f>IF(Atletas!T380="","",IF(Atletas!W380&lt;&gt;"",10000,0)+IF(Atletas!B380="Feminino",1000,IF(Atletas!B380="Masculino",2000,""))+IF(Atletas!T380="Taijijian Yang A",901,IF(Atletas!T380="Taijijian Chen A",902,IF(Atletas!T380="Taijijian Sun A",903,IF(Atletas!T380="Taijijian Wu A",904,IF(Atletas!T380="Taijijian Wu-Hao A",905,IF(Atletas!T380="Taijijian 32 A",906,IF(Atletas!T380="Taijijian 42 A",907,IF(Atletas!T380="Taijijian Yang B",908,IF(Atletas!T380="Taijijian Chen B",909,IF(Atletas!T380="Taijijian Sun B",910,IF(Atletas!T380="Taijijian Wu B",911,IF(Atletas!T380="Taijijian Wu-Hao B",912,IF(Atletas!T380="Taijijian 32 B",913,IF(Atletas!T380="Taijijian 42 B",914,IF(Atletas!T380="Taijijian Yang C",915,IF(Atletas!T380="Taijijian Chen C",916,IF(Atletas!T380="Taijijian Sun C",917,IF(Atletas!T380="Taijijian Wu C",918,IF(Atletas!T380="Taijijian Wu-Hao C",919,IF(Atletas!T380="Taijijian 32 C",920,IF(Atletas!T380="Taijijian 42 C",921,IF(Atletas!T380="Taijijian Yang D",922,IF(Atletas!T380="Taijijian Chen D",923,IF(Atletas!T380="Taijijian Sun D",924,IF(Atletas!T380="Taijijian Wu D",925,IF(Atletas!T380="Taijijian Wu-Hao D",926,IF(Atletas!T380="Taijijian 32 D",927,IF(Atletas!T380="Taijijian 42 D",928,IF(Atletas!T380="Taijijian Yang E",929,IF(Atletas!T380="Taijijian Chen E",930,IF(Atletas!T380="Taijijian Sun E",931,IF(Atletas!T380="Taijijian Wu E",932,IF(Atletas!T380="Taijijian Wu-Hao E",933,IF(Atletas!T380="Taijijian 32 E",934,IF(Atletas!T380="Taijijian 42 E",935,IF(Atletas!T380="Taijijian Yang F",936,IF(Atletas!T380="Taijijian Chen F",937,IF(Atletas!T380="Taijijian Sun F",938,IF(Atletas!T380="Taijijian Wu F",939,IF(Atletas!T380="Taijijian Wu-Hao F",940,IF(Atletas!T380="Taijijian 32 F",941,IF(Atletas!T380="Taijijian 42 F",942,"")))))))))))))))))))))))))))))))))))))))))))</f>
        <v/>
      </c>
      <c r="BW384" s="52" t="str">
        <f>IF(Atletas!U380="","",IF(Atletas!W380&lt;&gt;"",10000,0)+IF(Atletas!B380="Feminino",1000,IF(Atletas!B380="Masculino",2000,""))+IF(Atletas!T380="Taijijian 42 F",942,IF(Atletas!U380="Taijidao A",943,IF(Atletas!U380="Taijishan A",944,IF(Atletas!U380="Taijiqiang A",945,IF(Atletas!U380="Taijidao B",946,IF(Atletas!U380="Taijishan B",947,IF(Atletas!U380="Taijiqiang B",948,IF(Atletas!U380="Taijidao C",949,IF(Atletas!U380="Taijishan C",950,IF(Atletas!U380="Taijiqiang C",951,IF(Atletas!U380="Taijidao D",952,IF(Atletas!U380="Taijishan D",953,IF(Atletas!U380="Taijiqiang D",954,IF(Atletas!U380="Taijidao E",955,IF(Atletas!U380="Taijishan E",956,IF(Atletas!U380="Taijiqiang E",957,IF(Atletas!U380="Taijidao F",958,IF(Atletas!U380="Taijishan F",959,IF(Atletas!U380="Taijiqiang F",960))))))))))))))))))))</f>
        <v/>
      </c>
      <c r="CB384" s="64" t="str">
        <f>IF(CC384&lt;&gt;"","Taijijian Yang F","")</f>
        <v/>
      </c>
      <c r="CC384" s="64" t="str">
        <f>IF(COUNTIF(BK:BW,11936)&gt;0,COUNTIF(BK:BW,11936),"")</f>
        <v/>
      </c>
      <c r="CD384" s="64" t="str">
        <f>IF(CE384&lt;&gt;"","Taijijian Yang F","")</f>
        <v/>
      </c>
      <c r="CE384" s="64" t="str">
        <f>IF(COUNTIF(BK:BW,12936)&gt;0,COUNTIF(BK:BW,12936),"")</f>
        <v/>
      </c>
      <c r="CF384" s="52" t="str">
        <f xml:space="preserve"> IF(Atletas!V380="","",IF(Atletas!V380="Duilian de Mãos AB - Equipe 1",1,IF(Atletas!V380="Duilian de Mãos AB - Equipe 2",2,IF(Atletas!V380="Duilian de Armas AB - Equipe 1",3,IF(Atletas!V380="Duilian de Armas AB - Equipe 2",4,IF(Atletas!V380="Duilian de Tuishou - Equipe 1",5,IF(Atletas!V380="Duilian de Tuishou - Equipe 2",6,IF(Atletas!V380="Grupo Externo AB - Equipe 1",7,IF(Atletas!V380="Grupo Externo AB - Equipe 2",8,IF(Atletas!V380="Grupo Interno AB - Equipe 1",9,IF(Atletas!V380="Grupo Interno AB - Equipe 2",10,IF(Atletas!V380="Duilian de Mãos CD - Equipe 1",11,IF(Atletas!V380="Duilian de Mãos CD - Equipe 2",12,IF(Atletas!V380="Duilian de Armas CD - Equipe 1",13,IF(Atletas!V380="Duilian de Armas CD - Equipe 2",14,IF(Atletas!V380="Duilian de Tuishou - Equipe 1",15,IF(Atletas!V380="Duilian de Tuishou - Equipe 2",16,IF(Atletas!V380="Grupo Externo CDEF - Equipe 1",17,IF(Atletas!V380="Grupo Externo CDEF - Equipe 2",18,IF(Atletas!V380="Grupo Interno CDEF - Equipe 1",19,IF(Atletas!V380="Grupo Interno CDEF - Equipe 2",20,IF(Atletas!V380="Duilian de Mãos EF - Equipe 1",21,IF(Atletas!V380="Duilian de Mãos EF - Equipe 2",22,IF(Atletas!V380="Duilian de Armas EF - Equipe 1",23,IF(Atletas!V380="Duilian de Armas EF - Equipe 2",24,IF(Atletas!V380="Duilian de Tuishou - Equipe 1",25,IF(Atletas!V380="Duilian de Tuishou - Equipe 2",26,"")))))))))))))))))))))))))))</f>
        <v/>
      </c>
    </row>
    <row r="385" spans="36:84">
      <c r="AJ385" s="46" t="str">
        <f>IF(Atletas!D381="","",IF(Atletas!B381="Feminino",100,IF(Atletas!B381="Masculino",200,""))+(IF(Atletas!D381="Infantil 39kg",1,IF(Atletas!D381="Infantil 42kg",2,IF(Atletas!D381="Infantil 45kg",3,IF(Atletas!D381="Infantil 48kg",4,IF(Atletas!D381="Infantil 52kg",5,IF(Atletas!D381="Infantil 56kg",6,IF(Atletas!D381="Infantil 60kg",7,IF(Atletas!D381="Juvenil 48kg",8,IF(Atletas!D381="Juvenil 52kg",9,IF(Atletas!D381="Juvenil 56kg",10,IF(Atletas!D381="Juvenil 60kg",11,IF(Atletas!D381="Juvenil 65kg",12,IF(Atletas!D381="Juvenil 70kg",13,IF(Atletas!D381="Juvenil 75kg",14,IF(Atletas!D381="Juvenil 80kg",15,IF(Atletas!D381="Adulto 48kg",16,IF(Atletas!D381="Adulto 52kg",17,IF(Atletas!D381="Adulto 56kg",18,IF(Atletas!D381="Adulto 60kg",19,IF(Atletas!D381="Adulto 65kg",20,IF(Atletas!D381="Adulto 70kg",21,IF(Atletas!D381="Adulto 75kg",22,IF(Atletas!D381="Adulto 80kg",23,IF(Atletas!D381="Adulto 85kg",24,IF(Atletas!D381="Adulto 90kg",25,IF(Atletas!D381="Adulto +90kg",26,""))))))))))))))))))))))))))))</f>
        <v/>
      </c>
      <c r="AO385" s="10" t="str">
        <f>IF(Atletas!E381="","",IF(Atletas!B381="Feminino",100,IF(Atletas!B381="Masculino",200,""))+(IF(Atletas!E381="Juvenil 44kg",1,IF(Atletas!E381="Juvenil 48kg",2,IF(Atletas!E381="Juvenil 52kg",3,IF(Atletas!E381="Juvenil 56kg",4,IF(Atletas!E381="Juvenil 60kg",5,IF(Atletas!E381="Juvenil 65kg",6,IF(Atletas!E381="Juvenil 70kg",7,IF(Atletas!E381="Juvenil 75kg",8,IF(Atletas!E381="Juvenil 82kg",9,IF(Atletas!E381="Juvenil 90kg",10,IF(Atletas!E381="Juvenil 100kg",11,IF(Atletas!E381="Adulto 48kg",12,IF(Atletas!E381="Adulto 52kg",13,IF(Atletas!E381="Adulto 56kg",14,IF(Atletas!E381="Adulto 60kg",15,IF(Atletas!E381="Adulto 65kg",16,IF(Atletas!E381="Adulto 70kg",17,IF(Atletas!E381="Adulto 75kg",18,IF(Atletas!E381="Adulto 82kg",19,IF(Atletas!E381="Adulto 90kg",20,IF(Atletas!E381="Adulto 100kg",21,IF(Atletas!E381="Adulto +100kg",22,""))))))))))))))))))))))))</f>
        <v/>
      </c>
      <c r="AT385" s="10" t="str">
        <f>IF(Atletas!F381="","",IF(Atletas!B381="Feminino",100,IF(Atletas!B381="Masculino",200,""))+(IF(Atletas!F381="Adulto 48kg",1,IF(Atletas!F381="Adulto 56kg",2,IF(Atletas!F381="Adulto 65kg",3,IF(Atletas!F381="Adulto 75kg",4,IF(Atletas!F381="Adulto +75kg",5,IF(Atletas!F381="Adulto 52kg",6,IF(Atletas!F381="Adulto 60kg",7,IF(Atletas!F381="Adulto 70kg",8,IF(Atletas!F381="Adulto 80kg",9,IF(Atletas!F381="Adulto 90kg",10,IF(Atletas!F381="Adulto +90kg",11,"")))))))))))))</f>
        <v/>
      </c>
      <c r="AY385" s="46" t="str">
        <f>IF(Atletas!G381="","",IF(Atletas!B381="Feminino",100,IF(Atletas!B381="Masculino",200,""))+(IF(Atletas!G381="Changquan Mirim",1,IF(Atletas!G381="Nanquan Mirim",2,IF(Atletas!G381="Taijiquan Mirim",3,IF(Atletas!G381="Changquan Grupo C",4,IF(Atletas!G381="Nanquan Grupo C",5,IF(Atletas!G381="Taijiquan Grupo C",6,IF(Atletas!G381="Changquan Grupo B",7,IF(Atletas!G381="Nanquan Grupo B",8,IF(Atletas!G381="Taijiquan Grupo B",9,IF(Atletas!G381="Changquan Grupo A",10,IF(Atletas!G381="Nanquan Grupo A",11,IF(Atletas!G381="Taijiquan Grupo A",12,IF(Atletas!G381="Changquan Opcional",13,IF(Atletas!G381="Nanquan Opcional",14,IF(Atletas!G381="Taijiquan Opcional",15,IF(Atletas!G381="Changquan Adulto",16,IF(Atletas!G381="Nanquan Adulto",17,IF(Atletas!G381="Taijiquan Adulto",18,""))))))))))))))))))))</f>
        <v/>
      </c>
      <c r="AZ385" s="46" t="str">
        <f>IF(Atletas!H381="","",IF(Atletas!B381="Feminino",100,IF(Atletas!B381="Masculino",200,""))+(IF(Atletas!H381="Daoshu Mirim",19,IF(Atletas!H381="Jianshu Mirim",20,IF(Atletas!H381="Nandao Mirim",21,IF(Atletas!H381="Taijijian Mirim",22,IF(Atletas!H381="Daoshu Grupo C",23,IF(Atletas!H381="Jianshu Grupo C",24,IF(Atletas!H381="Nandao Grupo C",25,IF(Atletas!H381="Taijijian Grupo C",26,IF(Atletas!H381="Daoshu Grupo B",27,IF(Atletas!H381="Jianshu Grupo B",28,IF(Atletas!H381="Nandao Grupo B",29,IF(Atletas!H381="Taijijian Grupo B",30,IF(Atletas!H381="Daoshu Grupo A",31,IF(Atletas!H381="Jianshu Grupo A",32,IF(Atletas!H381="Nandao Grupo A",33,IF(Atletas!H381="Taijijian Grupo A",34,IF(Atletas!H381="Daoshu Opcional",35,IF(Atletas!H381="Jianshu Opcional",36,IF(Atletas!H381="Nandao Opcional",37,IF(Atletas!H381="Taijijian Opcional",38,IF(Atletas!H381="Daoshu Adulto",39,IF(Atletas!H381="Jianshu Adulto",40,IF(Atletas!H381="Nandao Adulto",41,IF(Atletas!H381="Taijijian Adulto",42,""))))))))))))))))))))))))))</f>
        <v/>
      </c>
      <c r="BA385" s="46" t="str">
        <f>IF(Atletas!I381="","",IF(Atletas!B381="Feminino",100,IF(Atletas!B381="Masculino",200,""))+(IF(Atletas!I381="Gunshu Mirim",43,IF(Atletas!I381="Qiangshu Mirim",44,IF(Atletas!I381="Nangun Mirim",45,IF(Atletas!I381="Gunshu Grupo C",46,IF(Atletas!I381="Qiangshu Grupo C",47,IF(Atletas!I381="Nangun Grupo C",48,IF(Atletas!I381="Gunshu Grupo B",49,IF(Atletas!I381="Qiangshu Grupo B",50,IF(Atletas!I381="Nangun Grupo B",51,IF(Atletas!I381="Gunshu Grupo A",52,IF(Atletas!I381="Qiangshu Grupo A",53,IF(Atletas!I381="Nangun Grupo A",54,IF(Atletas!I381="Gunshu Opcional",55,IF(Atletas!I381="Qiangshu Opcional",56,IF(Atletas!I381="Nangun Opcional",57,IF(Atletas!I381="Gunshu Adulto",58,IF(Atletas!I381="Qiangshu Adulto",59,IF(Atletas!I381="Nangun Adulto",60,""))))))))))))))))))))</f>
        <v/>
      </c>
      <c r="BF385" s="52" t="str">
        <f>IF(Atletas!J381="","",IF(Atletas!B381="Feminino",100,IF(Atletas!B381="Masculino",200,""))+(IF(Atletas!J381="Equipe 1 Grupo B",1,IF(Atletas!J381="Equipe 2 Grupo B",2,IF(Atletas!J381="Equipe 1 Grupo A",3,IF(Atletas!J381="Equipe 2 Grupo A",4,IF(Atletas!J381="Equipe 1 Adulto",5,IF(Atletas!J381="Equipe 2 Adulto",6,""))))))))</f>
        <v/>
      </c>
      <c r="BK385" s="52" t="str">
        <f>IF(Atletas!K381="","",IF(Atletas!W381&lt;&gt;"",10000,0)+(IF(Atletas!B381="Feminino",1000,IF(Atletas!B381="Masculino",2000,""))+IF(Atletas!K381="Choylayfut A",1,IF(Atletas!K381="Hunggar A",2,IF(Atletas!K381="Wuzuquan A",3,IF(Atletas!K381="Wingchun A",4,IF(Atletas!K381="Outra Mão de Sul A",5,IF(Atletas!K381="Choylayfut B",6,IF(Atletas!K381="Hunggar B",7,IF(Atletas!K381="Wuzuquan B",8,IF(Atletas!K381="Wingchun B",9,IF(Atletas!K381="Outra Mão de Sul B",10,IF(Atletas!K381="Choylayfut C",11,IF(Atletas!K381="Hunggar C",12,IF(Atletas!K381="Wuzuquan C",13,IF(Atletas!K381="Wingchun C",14,IF(Atletas!K381="Outra Mão de Sul C",15,IF(Atletas!K381="Choylayfut D",16,IF(Atletas!K381="Hunggar D",17,IF(Atletas!K381="Wuzuquan D",18,IF(Atletas!K381="Wingchun D",19,IF(Atletas!K381="Outra Mão de Sul D",20,IF(Atletas!K381="Choylayfut E",21,IF(Atletas!K381="Hunggar E",22,IF(Atletas!K381="Wuzuquan E",23,IF(Atletas!K381="Wingchun E",24,IF(Atletas!K381="Outra Mão de Sul E",25,IF(Atletas!K381="Choylayfut F",26,IF(Atletas!K381="Hunggar F",27,IF(Atletas!K381="Wuzuquan F",28,IF(Atletas!K381="Wingchun F",29,IF(Atletas!K381="Outra Mão de Sul F",30,""))))))))))))))))))))))))))))))))</f>
        <v/>
      </c>
      <c r="BL385" s="52" t="str">
        <f>IF(Atletas!L381="","",IF(Atletas!W381&lt;&gt;"",10000,0)+(IF(Atletas!B381="Feminino",1000,IF(Atletas!B381="Masculino",2000,""))+(IF(Atletas!L381="Chaquan A",101,IF(Atletas!L381="Emeiquan A",102,IF(Atletas!L381="Fanziquan A",103,IF(Atletas!L381="Huaquan A",104,IF(Atletas!L381="Hongquan A",105,IF(Atletas!L381="Paochui A",106,IF(Atletas!L381="Piguaquan A",107,IF(Atletas!L381="Shaolinquan A",108,IF(Atletas!L381="Tanglangquan A",109,IF(Atletas!L381="Yinzhaophai A",110,IF(Atletas!L381="Tongbeiquan A",111,IF(Atletas!L381="Wudangquan A",112,IF(Atletas!L381="Outros Estilos A",113,IF(Atletas!L381="Chaquan B",114,IF(Atletas!L381="Emeiquan B",115,IF(Atletas!L381="Fanziquan B",116,IF(Atletas!L381="Huaquan B",117,IF(Atletas!L381="Hongquan B",118,IF(Atletas!L381="Paochui B",119,IF(Atletas!L381="Piguaquan B",120,IF(Atletas!L381="Shaolinquan B",121,IF(Atletas!L381="Tanglangquan B",122,IF(Atletas!L381="Yinzhaophai B",123,IF(Atletas!L381="Tongbeiquan B",124,IF(Atletas!L381="Wudangquan B",125,IF(Atletas!L381="Outros Estilos B",126,IF(Atletas!L381="Chaquan C",127,IF(Atletas!L381="Emeiquan C",128,IF(Atletas!L381="Fanziquan C",129,IF(Atletas!L381="Huaquan C",130,IF(Atletas!L381="Hongquan C",131,IF(Atletas!L381="Paochui C",132,IF(Atletas!L381="Piguaquan C",133,IF(Atletas!L381="Shaolinquan C",134,IF(Atletas!L381="Tanglangquan C",135,IF(Atletas!L381="Yinzhaophai C",136,IF(Atletas!L381="Tongbeiquan C",137,IF(Atletas!L381="Wudangquan C",138,IF(Atletas!L381="Outros Estilos C",139,0))))))))))))))))))))))))))))))))))))))))))</f>
        <v/>
      </c>
      <c r="BM385" s="52" t="str">
        <f>IF(Atletas!L381="","",IF(Atletas!W381&lt;&gt;"",10000,0)+(IF(Atletas!B381="Feminino",1000,IF(Atletas!B381="Masculino",2000,""))+(IF(Atletas!L381="Chaquan D",140,IF(Atletas!L381="Emeiquan D",141,IF(Atletas!L381="Fanziquan D",142,IF(Atletas!L381="Huaquan D",143,IF(Atletas!L381="Hongquan D",144,IF(Atletas!L381="Paochui D",145,IF(Atletas!L381="Piguaquan D",146,IF(Atletas!L381="Shaolinquan D",147,IF(Atletas!L381="Tanglangquan D",148,IF(Atletas!L381="Yinzhaophai D",149,IF(Atletas!L381="Tongbeiquan D",150,IF(Atletas!L381="Wudangquan D",151,IF(Atletas!L381="Outros Estilos D",152,IF(Atletas!L381="Chaquan E",153,IF(Atletas!L381="Emeiquan E",154,IF(Atletas!L381="Fanziquan E",155,IF(Atletas!L381="Huaquan E",156,IF(Atletas!L381="Hongquan E",157,IF(Atletas!L381="Paochui E",158,IF(Atletas!L381="Piguaquan E",159,IF(Atletas!L381="Shaolinquan E",160,IF(Atletas!L381="Tanglangquan E",161,IF(Atletas!L381="Yinzhaophai E",162,IF(Atletas!L381="Tongbeiquan E",163,IF(Atletas!L381="Wudangquan E",164,IF(Atletas!L381="Outros Estilos E",165,IF(Atletas!L381="Chaquan F",166,IF(Atletas!L381="Emeiquan F",167,IF(Atletas!L381="Fanziquan F",168,IF(Atletas!L381="Huaquan F",169,IF(Atletas!L381="Hongquan F",170,IF(Atletas!L381="Paochui F",171,IF(Atletas!L381="Piguaquan F",172,IF(Atletas!L381="Shaolinquan F",173,IF(Atletas!L381="Tanglangquan F",174,IF(Atletas!L381="Yinzhaophai F",175,IF(Atletas!L381="Tongbeiquan F",176,IF(Atletas!L381="Wudangquan F",177,IF(Atletas!L381="Outros Estilos F",178,0))))))))))))))))))))))))))))))))))))))))))</f>
        <v/>
      </c>
      <c r="BN385" s="52" t="str">
        <f>IF(Atletas!M381="","",IF(Atletas!W381&lt;&gt;"",10000,0)+(IF(Atletas!B381="Feminino",1000,IF(Atletas!B381="Masculino",2000,""))+(IF(Atletas!M381="Ditangquan A",201,IF(Atletas!M381="Houquan A",202,IF(Atletas!M381="Zuiquan A",203,IF(Atletas!M381="Ditangquan B",204,IF(Atletas!M381="Houquan B",205,IF(Atletas!M381="Zuiquan B",206,IF(Atletas!M381="Ditangquan C",207,IF(Atletas!M381="Houquan C",208,IF(Atletas!M381="Zuiquan C",209,IF(Atletas!M381="Ditangquan D",210,IF(Atletas!M381="Houquan D",211,IF(Atletas!M381="Zuiquan D",212,IF(Atletas!M381="Ditangquan E",213,IF(Atletas!M381="Houquan E",214,IF(Atletas!M381="Zuiquan E",215,IF(Atletas!M381="Ditangquan F",216,IF(Atletas!M381="Houquan F",217,IF(Atletas!M381="Zuiquan F",218,"")))))))))))))))))))))</f>
        <v/>
      </c>
      <c r="BO385" s="52" t="str">
        <f>IF(Atletas!N381="","",IF(Atletas!W381&lt;&gt;"",10000,0)+IF(Atletas!B381="Feminino",1000,IF(Atletas!B381="Masculino",2000,""))+IF(Atletas!N381="Yang A",301,IF(Atletas!N381="Chen A",30,IF(Atletas!N381="Sun A",303,IF(Atletas!N381="Wu A",304,IF(Atletas!N381="Wu-Hao A",305,IF(Atletas!N381="Outro Taijiquan A",306,IF(Atletas!N381="Yang B",307,IF(Atletas!N381="Chen B",308,IF(Atletas!N381="Sun B",309,IF(Atletas!N381="Wu B",310,IF(Atletas!N381="Wu-Hao B",311,IF(Atletas!N381="Outro Taijiquan B",312,IF(Atletas!N381="Yang C",313,IF(Atletas!N381="Chen C",314,IF(Atletas!N381="Sun C",315,IF(Atletas!N381="Wu C",316,IF(Atletas!N381="Wu-Hao C",317,IF(Atletas!N381="Outro Taijiquan C",318,IF(Atletas!N381="Yang D",319,IF(Atletas!N381="Chen D",320,IF(Atletas!N381="Sun D",321,IF(Atletas!N381="Wu D",322,IF(Atletas!N381="Wu-Hao D",323,IF(Atletas!N381="Outro Taijiquan D",324,IF(Atletas!N381="Yang E",325,IF(Atletas!N381="Chen E",326,IF(Atletas!N381="Sun E",327,IF(Atletas!N381="Wu E",328,IF(Atletas!N381="Wu-Hao E",329,IF(Atletas!N381="Outro Taijiquan E",330,IF(Atletas!N381="Yang F",331,IF(Atletas!N381="Chen F",332,IF(Atletas!N381="Sun F",333,IF(Atletas!N381="Wu F",334,IF(Atletas!N381="Wu-Hao F",335,IF(Atletas!N381="Outro Taijiquan F",336,"")))))))))))))))))))))))))))))))))))))</f>
        <v/>
      </c>
      <c r="BP385" s="52" t="str">
        <f>IF(Atletas!O381="","",IF(Atletas!W381&lt;&gt;"",10000,0)+IF(Atletas!B381="Feminino",1000,IF(Atletas!B381="Masculino",2000,""))+IF(OR(Atletas!O381="Yang 26 A",Atletas!O381="Yang 40 A"),401,IF(OR(Atletas!O381="Chen 25 A",Atletas!O381="Chen 36 A",Atletas!O381="Chen 56 A"),402,IF(Atletas!O381="Sun 73 A",403,IF(Atletas!O381="Wu 45 A",404,IF(Atletas!O381="Wu-Hao 46 A",405,IF(OR(Atletas!O381="Taijiquan 16 A",Atletas!O381="Taijiquan 24 A",Atletas!O381="Taijiquan 32 A",Atletas!O381="Taijiquan 42 A"),406,IF(OR(Atletas!O381="Yang 26 B",Atletas!O381="Yang 40 B"),407,IF(OR(Atletas!O381="Chen 25 B",Atletas!O381="Chen 36 B",Atletas!O381="Chen 56 B"),408,IF(Atletas!O381="Sun 73 B",409,IF(Atletas!O381="Wu 45 B",410,IF(Atletas!O381="Wu-Hao 46 B",411,IF(OR(Atletas!O381="Taijiquan 16 B",Atletas!O381="Taijiquan 24 B",Atletas!O381="Taijiquan 32 B",Atletas!O381="Taijiquan 42 B"),412,IF(OR(Atletas!O381="Yang 26 C",Atletas!O381="Yang 40 C"),413,IF(OR(Atletas!O381="Chen 25 C",Atletas!O381="Chen 36 C",Atletas!O381="Chen 56 C"),414,IF(Atletas!O381="Sun 73 C",415,IF(Atletas!O381="Wu 45 C",416,IF(Atletas!O381="Wu-Hao 46 C",417,IF(OR(Atletas!O381="Taijiquan 16 C",Atletas!O381="Taijiquan 24 C",Atletas!O381="Taijiquan 32 C",Atletas!O381="Taijiquan 42 C"),418,0)))))))))))))))))))</f>
        <v/>
      </c>
      <c r="BQ385" s="52" t="str">
        <f>IF(Atletas!O381="","",IF(Atletas!W381&lt;&gt;"",10000,0)+IF(Atletas!B381="Feminino",1000,IF(Atletas!B381="Masculino",2000,""))+IF(OR(Atletas!O381="Yang 26 D",Atletas!O381="Yang 40 D"),419,IF(OR(Atletas!O381="Chen 25 D",Atletas!O381="Chen 36 D",Atletas!O381="Chen 56 D"),420,IF(Atletas!O381="Sun 73 D",421,IF(Atletas!O381="Wu 45 D",422,IF(Atletas!O381="Wu-Hao 46 D",423,IF(OR(Atletas!O381="Taijiquan 16 D",Atletas!O381="Taijiquan 24 D",Atletas!O381="Taijiquan 32 D",Atletas!O381="Taijiquan 42 D"),424,IF(OR(Atletas!O381="Yang 26 E",Atletas!O381="Yang 40 E"),425,IF(OR(Atletas!O381="Chen 25 E",Atletas!O381="Chen 36 E",Atletas!O381="Chen 56 E"),426,IF(Atletas!O381="Sun 73 E",427,IF(Atletas!O381="Wu 45 E",428,IF(Atletas!O381="Wu-Hao 46 E",429,IF(OR(Atletas!O381="Taijiquan 16 E",Atletas!O381="Taijiquan 24 E",Atletas!O381="Taijiquan 32 E",Atletas!O381="Taijiquan 42 E"),430,IF(OR(Atletas!O381="Yang 26 F",Atletas!O381="Yang 40 F"),431,IF(OR(Atletas!O381="Chen 25 F",Atletas!O381="Chen 36 F",Atletas!O381="Chen 56 F"),432,IF(Atletas!O381="Sun 73 F",433,IF(Atletas!O381="Wu 45 F",434,IF(Atletas!O381="Wu-Hao 46 F",435,IF(OR(Atletas!O381="Taijiquan 16 F",Atletas!O381="Taijiquan 24 F",Atletas!O381="Taijiquan 32 F",Atletas!O381="Taijiquan 42 F"),436,0)))))))))))))))))))</f>
        <v/>
      </c>
      <c r="BR385" s="52" t="str">
        <f>IF(Atletas!P381="","",IF(Atletas!W381&lt;&gt;"",10000,0)+IF(Atletas!B381="Feminino",1000,IF(Atletas!B381="Masculino",2000,""))+IF(Atletas!P381="Xingyiquan A",501,IF(Atletas!P381="Baguazhang A",502,IF(Atletas!P381="Outro Estilo Interno A",503,IF(Atletas!P381="Xingyiquan B",504,IF(Atletas!P381="Baguazhang B",505,IF(Atletas!P381="Outro Estilo Interno B",506,IF(Atletas!P381="Xingyiquan C",507,IF(Atletas!P381="Baguazhang C",508,IF(Atletas!P381="Outro Estilo Interno C",509,IF(Atletas!P381="Xingyiquan D",510,IF(Atletas!P381="Baguazhang D",511,IF(Atletas!P381="Outro Estilo Interno D",512,IF(Atletas!P381="Xingyiquan E",513,IF(Atletas!P381="Baguazhang E",514,IF(Atletas!P381="Outro Estilo Interno E",515,IF(Atletas!P381="Xingyiquan F",516,IF(Atletas!P381="Baguazhang F",517,IF(Atletas!P381="Outro Estilo Interno F",518, "")))))))))))))))))))</f>
        <v/>
      </c>
      <c r="BS385" s="52" t="str">
        <f>IF(Atletas!Q381="","",IF(Atletas!W381&lt;&gt;"",10000,0)+IF(Atletas!B381="Feminino",1000,IF(Atletas!B381="Masculino",2000,""))+IF(Atletas!Q381="Dao A",601,IF(Atletas!Q381="Jian A",602,IF(Atletas!Q381="Bishou A",603,IF(Atletas!Q381="Shan A",604,IF(Atletas!Q381="Outra Arma Curta A",605,IF(Atletas!Q381="Dao B",606,IF(Atletas!Q381="Jian B",607,IF(Atletas!Q381="Bishou B",608,IF(Atletas!Q381="Shan B",609,IF(Atletas!Q381="Outra Arma Curta B",610,IF(Atletas!Q381="Dao C",611,IF(Atletas!Q381="Jian C",612,IF(Atletas!Q381="Bishou C",613,IF(Atletas!Q381="Shan C",614,IF(Atletas!Q381="Outra Arma Curta C",615,IF(Atletas!Q381="Dao D",616,IF(Atletas!Q381="Jian D",617,IF(Atletas!Q381="Bishou D",618,IF(Atletas!Q381="Shan D",619,IF(Atletas!Q381="Outra Arma Curta D",620,IF(Atletas!Q381="Dao E",621,IF(Atletas!Q381="Jian E",622,IF(Atletas!Q381="Bishou E",623,IF(Atletas!Q381="Shan E",624,IF(Atletas!Q381="Outra Arma Curta E",625,IF(Atletas!Q381="Dao F",626,IF(Atletas!Q381="Jian F",627,IF(Atletas!Q381="Bishou F",628,IF(Atletas!Q381="Shan F",629,IF(Atletas!Q381="Outra Arma Curta F",630, "")))))))))))))))))))))))))))))))</f>
        <v/>
      </c>
      <c r="BT385" s="52" t="str">
        <f>IF(Atletas!R381="","",IF(Atletas!W381&lt;&gt;"",10000,0)+IF(Atletas!B381="Feminino",1000,IF(Atletas!B381="Masculino",2000,""))+IF(Atletas!R381="Gun A",701,IF(Atletas!R381="Qiang A",702,IF(Atletas!R381="Pudao / Guandao A",703,IF(Atletas!R381="Outra Arma Longa A",704,IF(Atletas!R381="Gun B",705,IF(Atletas!R381="Qiang B",706,IF(Atletas!R381="Pudao / Guandao B",707,IF(Atletas!R381="Outra Arma Longa B",708,IF(Atletas!R381="Gun C",709,IF(Atletas!R381="Qiang C",710,IF(Atletas!R381="Pudao / Guandao C",711,IF(Atletas!R381="Outra Arma Longa C",712,IF(Atletas!R381="Gun D",713,IF(Atletas!R381="Qiang D",714,IF(Atletas!R381="Pudao / Guandao D",715,IF(Atletas!R381="Outra Arma Longa D",716,IF(Atletas!R381="Gun E",717,IF(Atletas!R381="Qiang E",718,IF(Atletas!R381="Pudao / Guandao E",719,IF(Atletas!R381="Outra Arma Longa E",720,IF(Atletas!R381="Gun F",721,IF(Atletas!R381="Qiang F",722,IF(Atletas!R381="Pudao / Guandao F",723,IF(Atletas!R381="Outra Arma Longa F",724,"")))))))))))))))))))))))))</f>
        <v/>
      </c>
      <c r="BU385" s="52" t="str">
        <f>IF(Atletas!S381="","",IF(Atletas!W381&lt;&gt;"",10000,0)+IF(Atletas!B381="Feminino",1000,IF(Atletas!B381="Masculino",2000,""))+IF(Atletas!S381="Arma Dupla A",801,IF(Atletas!S381="Arma Maleável A",802,IF(Atletas!S381="Arma Dupla B",803,IF(Atletas!S381="Arma Maleável B",804,IF(Atletas!S381="Arma Dupla C",805,IF(Atletas!S381="Arma Maleável C",806,IF(Atletas!S381="Arma Dupla D",807,IF(Atletas!S381="Arma Maleável D",808,IF(Atletas!S381="Arma Dupla E",809,IF(Atletas!S381="Arma Maleável E",810,IF(Atletas!S381="Arma Dupla F",811,IF(Atletas!S381="Arma Maleável F",812, "")))))))))))))</f>
        <v/>
      </c>
      <c r="BV385" s="52" t="str">
        <f>IF(Atletas!T381="","",IF(Atletas!W381&lt;&gt;"",10000,0)+IF(Atletas!B381="Feminino",1000,IF(Atletas!B381="Masculino",2000,""))+IF(Atletas!T381="Taijijian Yang A",901,IF(Atletas!T381="Taijijian Chen A",902,IF(Atletas!T381="Taijijian Sun A",903,IF(Atletas!T381="Taijijian Wu A",904,IF(Atletas!T381="Taijijian Wu-Hao A",905,IF(Atletas!T381="Taijijian 32 A",906,IF(Atletas!T381="Taijijian 42 A",907,IF(Atletas!T381="Taijijian Yang B",908,IF(Atletas!T381="Taijijian Chen B",909,IF(Atletas!T381="Taijijian Sun B",910,IF(Atletas!T381="Taijijian Wu B",911,IF(Atletas!T381="Taijijian Wu-Hao B",912,IF(Atletas!T381="Taijijian 32 B",913,IF(Atletas!T381="Taijijian 42 B",914,IF(Atletas!T381="Taijijian Yang C",915,IF(Atletas!T381="Taijijian Chen C",916,IF(Atletas!T381="Taijijian Sun C",917,IF(Atletas!T381="Taijijian Wu C",918,IF(Atletas!T381="Taijijian Wu-Hao C",919,IF(Atletas!T381="Taijijian 32 C",920,IF(Atletas!T381="Taijijian 42 C",921,IF(Atletas!T381="Taijijian Yang D",922,IF(Atletas!T381="Taijijian Chen D",923,IF(Atletas!T381="Taijijian Sun D",924,IF(Atletas!T381="Taijijian Wu D",925,IF(Atletas!T381="Taijijian Wu-Hao D",926,IF(Atletas!T381="Taijijian 32 D",927,IF(Atletas!T381="Taijijian 42 D",928,IF(Atletas!T381="Taijijian Yang E",929,IF(Atletas!T381="Taijijian Chen E",930,IF(Atletas!T381="Taijijian Sun E",931,IF(Atletas!T381="Taijijian Wu E",932,IF(Atletas!T381="Taijijian Wu-Hao E",933,IF(Atletas!T381="Taijijian 32 E",934,IF(Atletas!T381="Taijijian 42 E",935,IF(Atletas!T381="Taijijian Yang F",936,IF(Atletas!T381="Taijijian Chen F",937,IF(Atletas!T381="Taijijian Sun F",938,IF(Atletas!T381="Taijijian Wu F",939,IF(Atletas!T381="Taijijian Wu-Hao F",940,IF(Atletas!T381="Taijijian 32 F",941,IF(Atletas!T381="Taijijian 42 F",942,"")))))))))))))))))))))))))))))))))))))))))))</f>
        <v/>
      </c>
      <c r="BW385" s="52" t="str">
        <f>IF(Atletas!U381="","",IF(Atletas!W381&lt;&gt;"",10000,0)+IF(Atletas!B381="Feminino",1000,IF(Atletas!B381="Masculino",2000,""))+IF(Atletas!T381="Taijijian 42 F",942,IF(Atletas!U381="Taijidao A",943,IF(Atletas!U381="Taijishan A",944,IF(Atletas!U381="Taijiqiang A",945,IF(Atletas!U381="Taijidao B",946,IF(Atletas!U381="Taijishan B",947,IF(Atletas!U381="Taijiqiang B",948,IF(Atletas!U381="Taijidao C",949,IF(Atletas!U381="Taijishan C",950,IF(Atletas!U381="Taijiqiang C",951,IF(Atletas!U381="Taijidao D",952,IF(Atletas!U381="Taijishan D",953,IF(Atletas!U381="Taijiqiang D",954,IF(Atletas!U381="Taijidao E",955,IF(Atletas!U381="Taijishan E",956,IF(Atletas!U381="Taijiqiang E",957,IF(Atletas!U381="Taijidao F",958,IF(Atletas!U381="Taijishan F",959,IF(Atletas!U381="Taijiqiang F",960))))))))))))))))))))</f>
        <v/>
      </c>
      <c r="CB385" s="64" t="str">
        <f>IF(CC385&lt;&gt;"","Taijijian Chen F","")</f>
        <v/>
      </c>
      <c r="CC385" s="64" t="str">
        <f>IF(COUNTIF(BK:BW,11937)&gt;0,COUNTIF(BK:BW,11937),"")</f>
        <v/>
      </c>
      <c r="CD385" s="64" t="str">
        <f>IF(CE385&lt;&gt;"","Taijijian Chen F","")</f>
        <v/>
      </c>
      <c r="CE385" s="64" t="str">
        <f>IF(COUNTIF(BK:BW,12937)&gt;0,COUNTIF(BK:BW,12937),"")</f>
        <v/>
      </c>
      <c r="CF385" s="52" t="str">
        <f xml:space="preserve"> IF(Atletas!V381="","",IF(Atletas!V381="Duilian de Mãos AB - Equipe 1",1,IF(Atletas!V381="Duilian de Mãos AB - Equipe 2",2,IF(Atletas!V381="Duilian de Armas AB - Equipe 1",3,IF(Atletas!V381="Duilian de Armas AB - Equipe 2",4,IF(Atletas!V381="Duilian de Tuishou - Equipe 1",5,IF(Atletas!V381="Duilian de Tuishou - Equipe 2",6,IF(Atletas!V381="Grupo Externo AB - Equipe 1",7,IF(Atletas!V381="Grupo Externo AB - Equipe 2",8,IF(Atletas!V381="Grupo Interno AB - Equipe 1",9,IF(Atletas!V381="Grupo Interno AB - Equipe 2",10,IF(Atletas!V381="Duilian de Mãos CD - Equipe 1",11,IF(Atletas!V381="Duilian de Mãos CD - Equipe 2",12,IF(Atletas!V381="Duilian de Armas CD - Equipe 1",13,IF(Atletas!V381="Duilian de Armas CD - Equipe 2",14,IF(Atletas!V381="Duilian de Tuishou - Equipe 1",15,IF(Atletas!V381="Duilian de Tuishou - Equipe 2",16,IF(Atletas!V381="Grupo Externo CDEF - Equipe 1",17,IF(Atletas!V381="Grupo Externo CDEF - Equipe 2",18,IF(Atletas!V381="Grupo Interno CDEF - Equipe 1",19,IF(Atletas!V381="Grupo Interno CDEF - Equipe 2",20,IF(Atletas!V381="Duilian de Mãos EF - Equipe 1",21,IF(Atletas!V381="Duilian de Mãos EF - Equipe 2",22,IF(Atletas!V381="Duilian de Armas EF - Equipe 1",23,IF(Atletas!V381="Duilian de Armas EF - Equipe 2",24,IF(Atletas!V381="Duilian de Tuishou - Equipe 1",25,IF(Atletas!V381="Duilian de Tuishou - Equipe 2",26,"")))))))))))))))))))))))))))</f>
        <v/>
      </c>
    </row>
    <row r="386" spans="36:84">
      <c r="AJ386" s="46" t="str">
        <f>IF(Atletas!D382="","",IF(Atletas!B382="Feminino",100,IF(Atletas!B382="Masculino",200,""))+(IF(Atletas!D382="Infantil 39kg",1,IF(Atletas!D382="Infantil 42kg",2,IF(Atletas!D382="Infantil 45kg",3,IF(Atletas!D382="Infantil 48kg",4,IF(Atletas!D382="Infantil 52kg",5,IF(Atletas!D382="Infantil 56kg",6,IF(Atletas!D382="Infantil 60kg",7,IF(Atletas!D382="Juvenil 48kg",8,IF(Atletas!D382="Juvenil 52kg",9,IF(Atletas!D382="Juvenil 56kg",10,IF(Atletas!D382="Juvenil 60kg",11,IF(Atletas!D382="Juvenil 65kg",12,IF(Atletas!D382="Juvenil 70kg",13,IF(Atletas!D382="Juvenil 75kg",14,IF(Atletas!D382="Juvenil 80kg",15,IF(Atletas!D382="Adulto 48kg",16,IF(Atletas!D382="Adulto 52kg",17,IF(Atletas!D382="Adulto 56kg",18,IF(Atletas!D382="Adulto 60kg",19,IF(Atletas!D382="Adulto 65kg",20,IF(Atletas!D382="Adulto 70kg",21,IF(Atletas!D382="Adulto 75kg",22,IF(Atletas!D382="Adulto 80kg",23,IF(Atletas!D382="Adulto 85kg",24,IF(Atletas!D382="Adulto 90kg",25,IF(Atletas!D382="Adulto +90kg",26,""))))))))))))))))))))))))))))</f>
        <v/>
      </c>
      <c r="AO386" s="10" t="str">
        <f>IF(Atletas!E382="","",IF(Atletas!B382="Feminino",100,IF(Atletas!B382="Masculino",200,""))+(IF(Atletas!E382="Juvenil 44kg",1,IF(Atletas!E382="Juvenil 48kg",2,IF(Atletas!E382="Juvenil 52kg",3,IF(Atletas!E382="Juvenil 56kg",4,IF(Atletas!E382="Juvenil 60kg",5,IF(Atletas!E382="Juvenil 65kg",6,IF(Atletas!E382="Juvenil 70kg",7,IF(Atletas!E382="Juvenil 75kg",8,IF(Atletas!E382="Juvenil 82kg",9,IF(Atletas!E382="Juvenil 90kg",10,IF(Atletas!E382="Juvenil 100kg",11,IF(Atletas!E382="Adulto 48kg",12,IF(Atletas!E382="Adulto 52kg",13,IF(Atletas!E382="Adulto 56kg",14,IF(Atletas!E382="Adulto 60kg",15,IF(Atletas!E382="Adulto 65kg",16,IF(Atletas!E382="Adulto 70kg",17,IF(Atletas!E382="Adulto 75kg",18,IF(Atletas!E382="Adulto 82kg",19,IF(Atletas!E382="Adulto 90kg",20,IF(Atletas!E382="Adulto 100kg",21,IF(Atletas!E382="Adulto +100kg",22,""))))))))))))))))))))))))</f>
        <v/>
      </c>
      <c r="AT386" s="10" t="str">
        <f>IF(Atletas!F382="","",IF(Atletas!B382="Feminino",100,IF(Atletas!B382="Masculino",200,""))+(IF(Atletas!F382="Adulto 48kg",1,IF(Atletas!F382="Adulto 56kg",2,IF(Atletas!F382="Adulto 65kg",3,IF(Atletas!F382="Adulto 75kg",4,IF(Atletas!F382="Adulto +75kg",5,IF(Atletas!F382="Adulto 52kg",6,IF(Atletas!F382="Adulto 60kg",7,IF(Atletas!F382="Adulto 70kg",8,IF(Atletas!F382="Adulto 80kg",9,IF(Atletas!F382="Adulto 90kg",10,IF(Atletas!F382="Adulto +90kg",11,"")))))))))))))</f>
        <v/>
      </c>
      <c r="AY386" s="46" t="str">
        <f>IF(Atletas!G382="","",IF(Atletas!B382="Feminino",100,IF(Atletas!B382="Masculino",200,""))+(IF(Atletas!G382="Changquan Mirim",1,IF(Atletas!G382="Nanquan Mirim",2,IF(Atletas!G382="Taijiquan Mirim",3,IF(Atletas!G382="Changquan Grupo C",4,IF(Atletas!G382="Nanquan Grupo C",5,IF(Atletas!G382="Taijiquan Grupo C",6,IF(Atletas!G382="Changquan Grupo B",7,IF(Atletas!G382="Nanquan Grupo B",8,IF(Atletas!G382="Taijiquan Grupo B",9,IF(Atletas!G382="Changquan Grupo A",10,IF(Atletas!G382="Nanquan Grupo A",11,IF(Atletas!G382="Taijiquan Grupo A",12,IF(Atletas!G382="Changquan Opcional",13,IF(Atletas!G382="Nanquan Opcional",14,IF(Atletas!G382="Taijiquan Opcional",15,IF(Atletas!G382="Changquan Adulto",16,IF(Atletas!G382="Nanquan Adulto",17,IF(Atletas!G382="Taijiquan Adulto",18,""))))))))))))))))))))</f>
        <v/>
      </c>
      <c r="AZ386" s="46" t="str">
        <f>IF(Atletas!H382="","",IF(Atletas!B382="Feminino",100,IF(Atletas!B382="Masculino",200,""))+(IF(Atletas!H382="Daoshu Mirim",19,IF(Atletas!H382="Jianshu Mirim",20,IF(Atletas!H382="Nandao Mirim",21,IF(Atletas!H382="Taijijian Mirim",22,IF(Atletas!H382="Daoshu Grupo C",23,IF(Atletas!H382="Jianshu Grupo C",24,IF(Atletas!H382="Nandao Grupo C",25,IF(Atletas!H382="Taijijian Grupo C",26,IF(Atletas!H382="Daoshu Grupo B",27,IF(Atletas!H382="Jianshu Grupo B",28,IF(Atletas!H382="Nandao Grupo B",29,IF(Atletas!H382="Taijijian Grupo B",30,IF(Atletas!H382="Daoshu Grupo A",31,IF(Atletas!H382="Jianshu Grupo A",32,IF(Atletas!H382="Nandao Grupo A",33,IF(Atletas!H382="Taijijian Grupo A",34,IF(Atletas!H382="Daoshu Opcional",35,IF(Atletas!H382="Jianshu Opcional",36,IF(Atletas!H382="Nandao Opcional",37,IF(Atletas!H382="Taijijian Opcional",38,IF(Atletas!H382="Daoshu Adulto",39,IF(Atletas!H382="Jianshu Adulto",40,IF(Atletas!H382="Nandao Adulto",41,IF(Atletas!H382="Taijijian Adulto",42,""))))))))))))))))))))))))))</f>
        <v/>
      </c>
      <c r="BA386" s="46" t="str">
        <f>IF(Atletas!I382="","",IF(Atletas!B382="Feminino",100,IF(Atletas!B382="Masculino",200,""))+(IF(Atletas!I382="Gunshu Mirim",43,IF(Atletas!I382="Qiangshu Mirim",44,IF(Atletas!I382="Nangun Mirim",45,IF(Atletas!I382="Gunshu Grupo C",46,IF(Atletas!I382="Qiangshu Grupo C",47,IF(Atletas!I382="Nangun Grupo C",48,IF(Atletas!I382="Gunshu Grupo B",49,IF(Atletas!I382="Qiangshu Grupo B",50,IF(Atletas!I382="Nangun Grupo B",51,IF(Atletas!I382="Gunshu Grupo A",52,IF(Atletas!I382="Qiangshu Grupo A",53,IF(Atletas!I382="Nangun Grupo A",54,IF(Atletas!I382="Gunshu Opcional",55,IF(Atletas!I382="Qiangshu Opcional",56,IF(Atletas!I382="Nangun Opcional",57,IF(Atletas!I382="Gunshu Adulto",58,IF(Atletas!I382="Qiangshu Adulto",59,IF(Atletas!I382="Nangun Adulto",60,""))))))))))))))))))))</f>
        <v/>
      </c>
      <c r="BF386" s="52" t="str">
        <f>IF(Atletas!J382="","",IF(Atletas!B382="Feminino",100,IF(Atletas!B382="Masculino",200,""))+(IF(Atletas!J382="Equipe 1 Grupo B",1,IF(Atletas!J382="Equipe 2 Grupo B",2,IF(Atletas!J382="Equipe 1 Grupo A",3,IF(Atletas!J382="Equipe 2 Grupo A",4,IF(Atletas!J382="Equipe 1 Adulto",5,IF(Atletas!J382="Equipe 2 Adulto",6,""))))))))</f>
        <v/>
      </c>
      <c r="BK386" s="52" t="str">
        <f>IF(Atletas!K382="","",IF(Atletas!W382&lt;&gt;"",10000,0)+(IF(Atletas!B382="Feminino",1000,IF(Atletas!B382="Masculino",2000,""))+IF(Atletas!K382="Choylayfut A",1,IF(Atletas!K382="Hunggar A",2,IF(Atletas!K382="Wuzuquan A",3,IF(Atletas!K382="Wingchun A",4,IF(Atletas!K382="Outra Mão de Sul A",5,IF(Atletas!K382="Choylayfut B",6,IF(Atletas!K382="Hunggar B",7,IF(Atletas!K382="Wuzuquan B",8,IF(Atletas!K382="Wingchun B",9,IF(Atletas!K382="Outra Mão de Sul B",10,IF(Atletas!K382="Choylayfut C",11,IF(Atletas!K382="Hunggar C",12,IF(Atletas!K382="Wuzuquan C",13,IF(Atletas!K382="Wingchun C",14,IF(Atletas!K382="Outra Mão de Sul C",15,IF(Atletas!K382="Choylayfut D",16,IF(Atletas!K382="Hunggar D",17,IF(Atletas!K382="Wuzuquan D",18,IF(Atletas!K382="Wingchun D",19,IF(Atletas!K382="Outra Mão de Sul D",20,IF(Atletas!K382="Choylayfut E",21,IF(Atletas!K382="Hunggar E",22,IF(Atletas!K382="Wuzuquan E",23,IF(Atletas!K382="Wingchun E",24,IF(Atletas!K382="Outra Mão de Sul E",25,IF(Atletas!K382="Choylayfut F",26,IF(Atletas!K382="Hunggar F",27,IF(Atletas!K382="Wuzuquan F",28,IF(Atletas!K382="Wingchun F",29,IF(Atletas!K382="Outra Mão de Sul F",30,""))))))))))))))))))))))))))))))))</f>
        <v/>
      </c>
      <c r="BL386" s="52" t="str">
        <f>IF(Atletas!L382="","",IF(Atletas!W382&lt;&gt;"",10000,0)+(IF(Atletas!B382="Feminino",1000,IF(Atletas!B382="Masculino",2000,""))+(IF(Atletas!L382="Chaquan A",101,IF(Atletas!L382="Emeiquan A",102,IF(Atletas!L382="Fanziquan A",103,IF(Atletas!L382="Huaquan A",104,IF(Atletas!L382="Hongquan A",105,IF(Atletas!L382="Paochui A",106,IF(Atletas!L382="Piguaquan A",107,IF(Atletas!L382="Shaolinquan A",108,IF(Atletas!L382="Tanglangquan A",109,IF(Atletas!L382="Yinzhaophai A",110,IF(Atletas!L382="Tongbeiquan A",111,IF(Atletas!L382="Wudangquan A",112,IF(Atletas!L382="Outros Estilos A",113,IF(Atletas!L382="Chaquan B",114,IF(Atletas!L382="Emeiquan B",115,IF(Atletas!L382="Fanziquan B",116,IF(Atletas!L382="Huaquan B",117,IF(Atletas!L382="Hongquan B",118,IF(Atletas!L382="Paochui B",119,IF(Atletas!L382="Piguaquan B",120,IF(Atletas!L382="Shaolinquan B",121,IF(Atletas!L382="Tanglangquan B",122,IF(Atletas!L382="Yinzhaophai B",123,IF(Atletas!L382="Tongbeiquan B",124,IF(Atletas!L382="Wudangquan B",125,IF(Atletas!L382="Outros Estilos B",126,IF(Atletas!L382="Chaquan C",127,IF(Atletas!L382="Emeiquan C",128,IF(Atletas!L382="Fanziquan C",129,IF(Atletas!L382="Huaquan C",130,IF(Atletas!L382="Hongquan C",131,IF(Atletas!L382="Paochui C",132,IF(Atletas!L382="Piguaquan C",133,IF(Atletas!L382="Shaolinquan C",134,IF(Atletas!L382="Tanglangquan C",135,IF(Atletas!L382="Yinzhaophai C",136,IF(Atletas!L382="Tongbeiquan C",137,IF(Atletas!L382="Wudangquan C",138,IF(Atletas!L382="Outros Estilos C",139,0))))))))))))))))))))))))))))))))))))))))))</f>
        <v/>
      </c>
      <c r="BM386" s="52" t="str">
        <f>IF(Atletas!L382="","",IF(Atletas!W382&lt;&gt;"",10000,0)+(IF(Atletas!B382="Feminino",1000,IF(Atletas!B382="Masculino",2000,""))+(IF(Atletas!L382="Chaquan D",140,IF(Atletas!L382="Emeiquan D",141,IF(Atletas!L382="Fanziquan D",142,IF(Atletas!L382="Huaquan D",143,IF(Atletas!L382="Hongquan D",144,IF(Atletas!L382="Paochui D",145,IF(Atletas!L382="Piguaquan D",146,IF(Atletas!L382="Shaolinquan D",147,IF(Atletas!L382="Tanglangquan D",148,IF(Atletas!L382="Yinzhaophai D",149,IF(Atletas!L382="Tongbeiquan D",150,IF(Atletas!L382="Wudangquan D",151,IF(Atletas!L382="Outros Estilos D",152,IF(Atletas!L382="Chaquan E",153,IF(Atletas!L382="Emeiquan E",154,IF(Atletas!L382="Fanziquan E",155,IF(Atletas!L382="Huaquan E",156,IF(Atletas!L382="Hongquan E",157,IF(Atletas!L382="Paochui E",158,IF(Atletas!L382="Piguaquan E",159,IF(Atletas!L382="Shaolinquan E",160,IF(Atletas!L382="Tanglangquan E",161,IF(Atletas!L382="Yinzhaophai E",162,IF(Atletas!L382="Tongbeiquan E",163,IF(Atletas!L382="Wudangquan E",164,IF(Atletas!L382="Outros Estilos E",165,IF(Atletas!L382="Chaquan F",166,IF(Atletas!L382="Emeiquan F",167,IF(Atletas!L382="Fanziquan F",168,IF(Atletas!L382="Huaquan F",169,IF(Atletas!L382="Hongquan F",170,IF(Atletas!L382="Paochui F",171,IF(Atletas!L382="Piguaquan F",172,IF(Atletas!L382="Shaolinquan F",173,IF(Atletas!L382="Tanglangquan F",174,IF(Atletas!L382="Yinzhaophai F",175,IF(Atletas!L382="Tongbeiquan F",176,IF(Atletas!L382="Wudangquan F",177,IF(Atletas!L382="Outros Estilos F",178,0))))))))))))))))))))))))))))))))))))))))))</f>
        <v/>
      </c>
      <c r="BN386" s="52" t="str">
        <f>IF(Atletas!M382="","",IF(Atletas!W382&lt;&gt;"",10000,0)+(IF(Atletas!B382="Feminino",1000,IF(Atletas!B382="Masculino",2000,""))+(IF(Atletas!M382="Ditangquan A",201,IF(Atletas!M382="Houquan A",202,IF(Atletas!M382="Zuiquan A",203,IF(Atletas!M382="Ditangquan B",204,IF(Atletas!M382="Houquan B",205,IF(Atletas!M382="Zuiquan B",206,IF(Atletas!M382="Ditangquan C",207,IF(Atletas!M382="Houquan C",208,IF(Atletas!M382="Zuiquan C",209,IF(Atletas!M382="Ditangquan D",210,IF(Atletas!M382="Houquan D",211,IF(Atletas!M382="Zuiquan D",212,IF(Atletas!M382="Ditangquan E",213,IF(Atletas!M382="Houquan E",214,IF(Atletas!M382="Zuiquan E",215,IF(Atletas!M382="Ditangquan F",216,IF(Atletas!M382="Houquan F",217,IF(Atletas!M382="Zuiquan F",218,"")))))))))))))))))))))</f>
        <v/>
      </c>
      <c r="BO386" s="52" t="str">
        <f>IF(Atletas!N382="","",IF(Atletas!W382&lt;&gt;"",10000,0)+IF(Atletas!B382="Feminino",1000,IF(Atletas!B382="Masculino",2000,""))+IF(Atletas!N382="Yang A",301,IF(Atletas!N382="Chen A",30,IF(Atletas!N382="Sun A",303,IF(Atletas!N382="Wu A",304,IF(Atletas!N382="Wu-Hao A",305,IF(Atletas!N382="Outro Taijiquan A",306,IF(Atletas!N382="Yang B",307,IF(Atletas!N382="Chen B",308,IF(Atletas!N382="Sun B",309,IF(Atletas!N382="Wu B",310,IF(Atletas!N382="Wu-Hao B",311,IF(Atletas!N382="Outro Taijiquan B",312,IF(Atletas!N382="Yang C",313,IF(Atletas!N382="Chen C",314,IF(Atletas!N382="Sun C",315,IF(Atletas!N382="Wu C",316,IF(Atletas!N382="Wu-Hao C",317,IF(Atletas!N382="Outro Taijiquan C",318,IF(Atletas!N382="Yang D",319,IF(Atletas!N382="Chen D",320,IF(Atletas!N382="Sun D",321,IF(Atletas!N382="Wu D",322,IF(Atletas!N382="Wu-Hao D",323,IF(Atletas!N382="Outro Taijiquan D",324,IF(Atletas!N382="Yang E",325,IF(Atletas!N382="Chen E",326,IF(Atletas!N382="Sun E",327,IF(Atletas!N382="Wu E",328,IF(Atletas!N382="Wu-Hao E",329,IF(Atletas!N382="Outro Taijiquan E",330,IF(Atletas!N382="Yang F",331,IF(Atletas!N382="Chen F",332,IF(Atletas!N382="Sun F",333,IF(Atletas!N382="Wu F",334,IF(Atletas!N382="Wu-Hao F",335,IF(Atletas!N382="Outro Taijiquan F",336,"")))))))))))))))))))))))))))))))))))))</f>
        <v/>
      </c>
      <c r="BP386" s="52" t="str">
        <f>IF(Atletas!O382="","",IF(Atletas!W382&lt;&gt;"",10000,0)+IF(Atletas!B382="Feminino",1000,IF(Atletas!B382="Masculino",2000,""))+IF(OR(Atletas!O382="Yang 26 A",Atletas!O382="Yang 40 A"),401,IF(OR(Atletas!O382="Chen 25 A",Atletas!O382="Chen 36 A",Atletas!O382="Chen 56 A"),402,IF(Atletas!O382="Sun 73 A",403,IF(Atletas!O382="Wu 45 A",404,IF(Atletas!O382="Wu-Hao 46 A",405,IF(OR(Atletas!O382="Taijiquan 16 A",Atletas!O382="Taijiquan 24 A",Atletas!O382="Taijiquan 32 A",Atletas!O382="Taijiquan 42 A"),406,IF(OR(Atletas!O382="Yang 26 B",Atletas!O382="Yang 40 B"),407,IF(OR(Atletas!O382="Chen 25 B",Atletas!O382="Chen 36 B",Atletas!O382="Chen 56 B"),408,IF(Atletas!O382="Sun 73 B",409,IF(Atletas!O382="Wu 45 B",410,IF(Atletas!O382="Wu-Hao 46 B",411,IF(OR(Atletas!O382="Taijiquan 16 B",Atletas!O382="Taijiquan 24 B",Atletas!O382="Taijiquan 32 B",Atletas!O382="Taijiquan 42 B"),412,IF(OR(Atletas!O382="Yang 26 C",Atletas!O382="Yang 40 C"),413,IF(OR(Atletas!O382="Chen 25 C",Atletas!O382="Chen 36 C",Atletas!O382="Chen 56 C"),414,IF(Atletas!O382="Sun 73 C",415,IF(Atletas!O382="Wu 45 C",416,IF(Atletas!O382="Wu-Hao 46 C",417,IF(OR(Atletas!O382="Taijiquan 16 C",Atletas!O382="Taijiquan 24 C",Atletas!O382="Taijiquan 32 C",Atletas!O382="Taijiquan 42 C"),418,0)))))))))))))))))))</f>
        <v/>
      </c>
      <c r="BQ386" s="52" t="str">
        <f>IF(Atletas!O382="","",IF(Atletas!W382&lt;&gt;"",10000,0)+IF(Atletas!B382="Feminino",1000,IF(Atletas!B382="Masculino",2000,""))+IF(OR(Atletas!O382="Yang 26 D",Atletas!O382="Yang 40 D"),419,IF(OR(Atletas!O382="Chen 25 D",Atletas!O382="Chen 36 D",Atletas!O382="Chen 56 D"),420,IF(Atletas!O382="Sun 73 D",421,IF(Atletas!O382="Wu 45 D",422,IF(Atletas!O382="Wu-Hao 46 D",423,IF(OR(Atletas!O382="Taijiquan 16 D",Atletas!O382="Taijiquan 24 D",Atletas!O382="Taijiquan 32 D",Atletas!O382="Taijiquan 42 D"),424,IF(OR(Atletas!O382="Yang 26 E",Atletas!O382="Yang 40 E"),425,IF(OR(Atletas!O382="Chen 25 E",Atletas!O382="Chen 36 E",Atletas!O382="Chen 56 E"),426,IF(Atletas!O382="Sun 73 E",427,IF(Atletas!O382="Wu 45 E",428,IF(Atletas!O382="Wu-Hao 46 E",429,IF(OR(Atletas!O382="Taijiquan 16 E",Atletas!O382="Taijiquan 24 E",Atletas!O382="Taijiquan 32 E",Atletas!O382="Taijiquan 42 E"),430,IF(OR(Atletas!O382="Yang 26 F",Atletas!O382="Yang 40 F"),431,IF(OR(Atletas!O382="Chen 25 F",Atletas!O382="Chen 36 F",Atletas!O382="Chen 56 F"),432,IF(Atletas!O382="Sun 73 F",433,IF(Atletas!O382="Wu 45 F",434,IF(Atletas!O382="Wu-Hao 46 F",435,IF(OR(Atletas!O382="Taijiquan 16 F",Atletas!O382="Taijiquan 24 F",Atletas!O382="Taijiquan 32 F",Atletas!O382="Taijiquan 42 F"),436,0)))))))))))))))))))</f>
        <v/>
      </c>
      <c r="BR386" s="52" t="str">
        <f>IF(Atletas!P382="","",IF(Atletas!W382&lt;&gt;"",10000,0)+IF(Atletas!B382="Feminino",1000,IF(Atletas!B382="Masculino",2000,""))+IF(Atletas!P382="Xingyiquan A",501,IF(Atletas!P382="Baguazhang A",502,IF(Atletas!P382="Outro Estilo Interno A",503,IF(Atletas!P382="Xingyiquan B",504,IF(Atletas!P382="Baguazhang B",505,IF(Atletas!P382="Outro Estilo Interno B",506,IF(Atletas!P382="Xingyiquan C",507,IF(Atletas!P382="Baguazhang C",508,IF(Atletas!P382="Outro Estilo Interno C",509,IF(Atletas!P382="Xingyiquan D",510,IF(Atletas!P382="Baguazhang D",511,IF(Atletas!P382="Outro Estilo Interno D",512,IF(Atletas!P382="Xingyiquan E",513,IF(Atletas!P382="Baguazhang E",514,IF(Atletas!P382="Outro Estilo Interno E",515,IF(Atletas!P382="Xingyiquan F",516,IF(Atletas!P382="Baguazhang F",517,IF(Atletas!P382="Outro Estilo Interno F",518, "")))))))))))))))))))</f>
        <v/>
      </c>
      <c r="BS386" s="52" t="str">
        <f>IF(Atletas!Q382="","",IF(Atletas!W382&lt;&gt;"",10000,0)+IF(Atletas!B382="Feminino",1000,IF(Atletas!B382="Masculino",2000,""))+IF(Atletas!Q382="Dao A",601,IF(Atletas!Q382="Jian A",602,IF(Atletas!Q382="Bishou A",603,IF(Atletas!Q382="Shan A",604,IF(Atletas!Q382="Outra Arma Curta A",605,IF(Atletas!Q382="Dao B",606,IF(Atletas!Q382="Jian B",607,IF(Atletas!Q382="Bishou B",608,IF(Atletas!Q382="Shan B",609,IF(Atletas!Q382="Outra Arma Curta B",610,IF(Atletas!Q382="Dao C",611,IF(Atletas!Q382="Jian C",612,IF(Atletas!Q382="Bishou C",613,IF(Atletas!Q382="Shan C",614,IF(Atletas!Q382="Outra Arma Curta C",615,IF(Atletas!Q382="Dao D",616,IF(Atletas!Q382="Jian D",617,IF(Atletas!Q382="Bishou D",618,IF(Atletas!Q382="Shan D",619,IF(Atletas!Q382="Outra Arma Curta D",620,IF(Atletas!Q382="Dao E",621,IF(Atletas!Q382="Jian E",622,IF(Atletas!Q382="Bishou E",623,IF(Atletas!Q382="Shan E",624,IF(Atletas!Q382="Outra Arma Curta E",625,IF(Atletas!Q382="Dao F",626,IF(Atletas!Q382="Jian F",627,IF(Atletas!Q382="Bishou F",628,IF(Atletas!Q382="Shan F",629,IF(Atletas!Q382="Outra Arma Curta F",630, "")))))))))))))))))))))))))))))))</f>
        <v/>
      </c>
      <c r="BT386" s="52" t="str">
        <f>IF(Atletas!R382="","",IF(Atletas!W382&lt;&gt;"",10000,0)+IF(Atletas!B382="Feminino",1000,IF(Atletas!B382="Masculino",2000,""))+IF(Atletas!R382="Gun A",701,IF(Atletas!R382="Qiang A",702,IF(Atletas!R382="Pudao / Guandao A",703,IF(Atletas!R382="Outra Arma Longa A",704,IF(Atletas!R382="Gun B",705,IF(Atletas!R382="Qiang B",706,IF(Atletas!R382="Pudao / Guandao B",707,IF(Atletas!R382="Outra Arma Longa B",708,IF(Atletas!R382="Gun C",709,IF(Atletas!R382="Qiang C",710,IF(Atletas!R382="Pudao / Guandao C",711,IF(Atletas!R382="Outra Arma Longa C",712,IF(Atletas!R382="Gun D",713,IF(Atletas!R382="Qiang D",714,IF(Atletas!R382="Pudao / Guandao D",715,IF(Atletas!R382="Outra Arma Longa D",716,IF(Atletas!R382="Gun E",717,IF(Atletas!R382="Qiang E",718,IF(Atletas!R382="Pudao / Guandao E",719,IF(Atletas!R382="Outra Arma Longa E",720,IF(Atletas!R382="Gun F",721,IF(Atletas!R382="Qiang F",722,IF(Atletas!R382="Pudao / Guandao F",723,IF(Atletas!R382="Outra Arma Longa F",724,"")))))))))))))))))))))))))</f>
        <v/>
      </c>
      <c r="BU386" s="52" t="str">
        <f>IF(Atletas!S382="","",IF(Atletas!W382&lt;&gt;"",10000,0)+IF(Atletas!B382="Feminino",1000,IF(Atletas!B382="Masculino",2000,""))+IF(Atletas!S382="Arma Dupla A",801,IF(Atletas!S382="Arma Maleável A",802,IF(Atletas!S382="Arma Dupla B",803,IF(Atletas!S382="Arma Maleável B",804,IF(Atletas!S382="Arma Dupla C",805,IF(Atletas!S382="Arma Maleável C",806,IF(Atletas!S382="Arma Dupla D",807,IF(Atletas!S382="Arma Maleável D",808,IF(Atletas!S382="Arma Dupla E",809,IF(Atletas!S382="Arma Maleável E",810,IF(Atletas!S382="Arma Dupla F",811,IF(Atletas!S382="Arma Maleável F",812, "")))))))))))))</f>
        <v/>
      </c>
      <c r="BV386" s="52" t="str">
        <f>IF(Atletas!T382="","",IF(Atletas!W382&lt;&gt;"",10000,0)+IF(Atletas!B382="Feminino",1000,IF(Atletas!B382="Masculino",2000,""))+IF(Atletas!T382="Taijijian Yang A",901,IF(Atletas!T382="Taijijian Chen A",902,IF(Atletas!T382="Taijijian Sun A",903,IF(Atletas!T382="Taijijian Wu A",904,IF(Atletas!T382="Taijijian Wu-Hao A",905,IF(Atletas!T382="Taijijian 32 A",906,IF(Atletas!T382="Taijijian 42 A",907,IF(Atletas!T382="Taijijian Yang B",908,IF(Atletas!T382="Taijijian Chen B",909,IF(Atletas!T382="Taijijian Sun B",910,IF(Atletas!T382="Taijijian Wu B",911,IF(Atletas!T382="Taijijian Wu-Hao B",912,IF(Atletas!T382="Taijijian 32 B",913,IF(Atletas!T382="Taijijian 42 B",914,IF(Atletas!T382="Taijijian Yang C",915,IF(Atletas!T382="Taijijian Chen C",916,IF(Atletas!T382="Taijijian Sun C",917,IF(Atletas!T382="Taijijian Wu C",918,IF(Atletas!T382="Taijijian Wu-Hao C",919,IF(Atletas!T382="Taijijian 32 C",920,IF(Atletas!T382="Taijijian 42 C",921,IF(Atletas!T382="Taijijian Yang D",922,IF(Atletas!T382="Taijijian Chen D",923,IF(Atletas!T382="Taijijian Sun D",924,IF(Atletas!T382="Taijijian Wu D",925,IF(Atletas!T382="Taijijian Wu-Hao D",926,IF(Atletas!T382="Taijijian 32 D",927,IF(Atletas!T382="Taijijian 42 D",928,IF(Atletas!T382="Taijijian Yang E",929,IF(Atletas!T382="Taijijian Chen E",930,IF(Atletas!T382="Taijijian Sun E",931,IF(Atletas!T382="Taijijian Wu E",932,IF(Atletas!T382="Taijijian Wu-Hao E",933,IF(Atletas!T382="Taijijian 32 E",934,IF(Atletas!T382="Taijijian 42 E",935,IF(Atletas!T382="Taijijian Yang F",936,IF(Atletas!T382="Taijijian Chen F",937,IF(Atletas!T382="Taijijian Sun F",938,IF(Atletas!T382="Taijijian Wu F",939,IF(Atletas!T382="Taijijian Wu-Hao F",940,IF(Atletas!T382="Taijijian 32 F",941,IF(Atletas!T382="Taijijian 42 F",942,"")))))))))))))))))))))))))))))))))))))))))))</f>
        <v/>
      </c>
      <c r="BW386" s="52" t="str">
        <f>IF(Atletas!U382="","",IF(Atletas!W382&lt;&gt;"",10000,0)+IF(Atletas!B382="Feminino",1000,IF(Atletas!B382="Masculino",2000,""))+IF(Atletas!T382="Taijijian 42 F",942,IF(Atletas!U382="Taijidao A",943,IF(Atletas!U382="Taijishan A",944,IF(Atletas!U382="Taijiqiang A",945,IF(Atletas!U382="Taijidao B",946,IF(Atletas!U382="Taijishan B",947,IF(Atletas!U382="Taijiqiang B",948,IF(Atletas!U382="Taijidao C",949,IF(Atletas!U382="Taijishan C",950,IF(Atletas!U382="Taijiqiang C",951,IF(Atletas!U382="Taijidao D",952,IF(Atletas!U382="Taijishan D",953,IF(Atletas!U382="Taijiqiang D",954,IF(Atletas!U382="Taijidao E",955,IF(Atletas!U382="Taijishan E",956,IF(Atletas!U382="Taijiqiang E",957,IF(Atletas!U382="Taijidao F",958,IF(Atletas!U382="Taijishan F",959,IF(Atletas!U382="Taijiqiang F",960))))))))))))))))))))</f>
        <v/>
      </c>
      <c r="CB386" s="64" t="str">
        <f>IF(CC386&lt;&gt;"","Taijijian Sun F","")</f>
        <v/>
      </c>
      <c r="CC386" s="64" t="str">
        <f>IF(COUNTIF(BK:BW,11938)&gt;0,COUNTIF(BK:BW,11938),"")</f>
        <v/>
      </c>
      <c r="CD386" s="64" t="str">
        <f>IF(CE386&lt;&gt;"","Taijijian Sun F","")</f>
        <v/>
      </c>
      <c r="CE386" s="64" t="str">
        <f>IF(COUNTIF(BK:BW,12938)&gt;0,COUNTIF(BK:BW,12938),"")</f>
        <v/>
      </c>
      <c r="CF386" s="52" t="str">
        <f xml:space="preserve"> IF(Atletas!V382="","",IF(Atletas!V382="Duilian de Mãos AB - Equipe 1",1,IF(Atletas!V382="Duilian de Mãos AB - Equipe 2",2,IF(Atletas!V382="Duilian de Armas AB - Equipe 1",3,IF(Atletas!V382="Duilian de Armas AB - Equipe 2",4,IF(Atletas!V382="Duilian de Tuishou - Equipe 1",5,IF(Atletas!V382="Duilian de Tuishou - Equipe 2",6,IF(Atletas!V382="Grupo Externo AB - Equipe 1",7,IF(Atletas!V382="Grupo Externo AB - Equipe 2",8,IF(Atletas!V382="Grupo Interno AB - Equipe 1",9,IF(Atletas!V382="Grupo Interno AB - Equipe 2",10,IF(Atletas!V382="Duilian de Mãos CD - Equipe 1",11,IF(Atletas!V382="Duilian de Mãos CD - Equipe 2",12,IF(Atletas!V382="Duilian de Armas CD - Equipe 1",13,IF(Atletas!V382="Duilian de Armas CD - Equipe 2",14,IF(Atletas!V382="Duilian de Tuishou - Equipe 1",15,IF(Atletas!V382="Duilian de Tuishou - Equipe 2",16,IF(Atletas!V382="Grupo Externo CDEF - Equipe 1",17,IF(Atletas!V382="Grupo Externo CDEF - Equipe 2",18,IF(Atletas!V382="Grupo Interno CDEF - Equipe 1",19,IF(Atletas!V382="Grupo Interno CDEF - Equipe 2",20,IF(Atletas!V382="Duilian de Mãos EF - Equipe 1",21,IF(Atletas!V382="Duilian de Mãos EF - Equipe 2",22,IF(Atletas!V382="Duilian de Armas EF - Equipe 1",23,IF(Atletas!V382="Duilian de Armas EF - Equipe 2",24,IF(Atletas!V382="Duilian de Tuishou - Equipe 1",25,IF(Atletas!V382="Duilian de Tuishou - Equipe 2",26,"")))))))))))))))))))))))))))</f>
        <v/>
      </c>
    </row>
    <row r="387" spans="36:84">
      <c r="AJ387" s="46" t="str">
        <f>IF(Atletas!D383="","",IF(Atletas!B383="Feminino",100,IF(Atletas!B383="Masculino",200,""))+(IF(Atletas!D383="Infantil 39kg",1,IF(Atletas!D383="Infantil 42kg",2,IF(Atletas!D383="Infantil 45kg",3,IF(Atletas!D383="Infantil 48kg",4,IF(Atletas!D383="Infantil 52kg",5,IF(Atletas!D383="Infantil 56kg",6,IF(Atletas!D383="Infantil 60kg",7,IF(Atletas!D383="Juvenil 48kg",8,IF(Atletas!D383="Juvenil 52kg",9,IF(Atletas!D383="Juvenil 56kg",10,IF(Atletas!D383="Juvenil 60kg",11,IF(Atletas!D383="Juvenil 65kg",12,IF(Atletas!D383="Juvenil 70kg",13,IF(Atletas!D383="Juvenil 75kg",14,IF(Atletas!D383="Juvenil 80kg",15,IF(Atletas!D383="Adulto 48kg",16,IF(Atletas!D383="Adulto 52kg",17,IF(Atletas!D383="Adulto 56kg",18,IF(Atletas!D383="Adulto 60kg",19,IF(Atletas!D383="Adulto 65kg",20,IF(Atletas!D383="Adulto 70kg",21,IF(Atletas!D383="Adulto 75kg",22,IF(Atletas!D383="Adulto 80kg",23,IF(Atletas!D383="Adulto 85kg",24,IF(Atletas!D383="Adulto 90kg",25,IF(Atletas!D383="Adulto +90kg",26,""))))))))))))))))))))))))))))</f>
        <v/>
      </c>
      <c r="AO387" s="10" t="str">
        <f>IF(Atletas!E383="","",IF(Atletas!B383="Feminino",100,IF(Atletas!B383="Masculino",200,""))+(IF(Atletas!E383="Juvenil 44kg",1,IF(Atletas!E383="Juvenil 48kg",2,IF(Atletas!E383="Juvenil 52kg",3,IF(Atletas!E383="Juvenil 56kg",4,IF(Atletas!E383="Juvenil 60kg",5,IF(Atletas!E383="Juvenil 65kg",6,IF(Atletas!E383="Juvenil 70kg",7,IF(Atletas!E383="Juvenil 75kg",8,IF(Atletas!E383="Juvenil 82kg",9,IF(Atletas!E383="Juvenil 90kg",10,IF(Atletas!E383="Juvenil 100kg",11,IF(Atletas!E383="Adulto 48kg",12,IF(Atletas!E383="Adulto 52kg",13,IF(Atletas!E383="Adulto 56kg",14,IF(Atletas!E383="Adulto 60kg",15,IF(Atletas!E383="Adulto 65kg",16,IF(Atletas!E383="Adulto 70kg",17,IF(Atletas!E383="Adulto 75kg",18,IF(Atletas!E383="Adulto 82kg",19,IF(Atletas!E383="Adulto 90kg",20,IF(Atletas!E383="Adulto 100kg",21,IF(Atletas!E383="Adulto +100kg",22,""))))))))))))))))))))))))</f>
        <v/>
      </c>
      <c r="AT387" s="10" t="str">
        <f>IF(Atletas!F383="","",IF(Atletas!B383="Feminino",100,IF(Atletas!B383="Masculino",200,""))+(IF(Atletas!F383="Adulto 48kg",1,IF(Atletas!F383="Adulto 56kg",2,IF(Atletas!F383="Adulto 65kg",3,IF(Atletas!F383="Adulto 75kg",4,IF(Atletas!F383="Adulto +75kg",5,IF(Atletas!F383="Adulto 52kg",6,IF(Atletas!F383="Adulto 60kg",7,IF(Atletas!F383="Adulto 70kg",8,IF(Atletas!F383="Adulto 80kg",9,IF(Atletas!F383="Adulto 90kg",10,IF(Atletas!F383="Adulto +90kg",11,"")))))))))))))</f>
        <v/>
      </c>
      <c r="AY387" s="46" t="str">
        <f>IF(Atletas!G383="","",IF(Atletas!B383="Feminino",100,IF(Atletas!B383="Masculino",200,""))+(IF(Atletas!G383="Changquan Mirim",1,IF(Atletas!G383="Nanquan Mirim",2,IF(Atletas!G383="Taijiquan Mirim",3,IF(Atletas!G383="Changquan Grupo C",4,IF(Atletas!G383="Nanquan Grupo C",5,IF(Atletas!G383="Taijiquan Grupo C",6,IF(Atletas!G383="Changquan Grupo B",7,IF(Atletas!G383="Nanquan Grupo B",8,IF(Atletas!G383="Taijiquan Grupo B",9,IF(Atletas!G383="Changquan Grupo A",10,IF(Atletas!G383="Nanquan Grupo A",11,IF(Atletas!G383="Taijiquan Grupo A",12,IF(Atletas!G383="Changquan Opcional",13,IF(Atletas!G383="Nanquan Opcional",14,IF(Atletas!G383="Taijiquan Opcional",15,IF(Atletas!G383="Changquan Adulto",16,IF(Atletas!G383="Nanquan Adulto",17,IF(Atletas!G383="Taijiquan Adulto",18,""))))))))))))))))))))</f>
        <v/>
      </c>
      <c r="AZ387" s="46" t="str">
        <f>IF(Atletas!H383="","",IF(Atletas!B383="Feminino",100,IF(Atletas!B383="Masculino",200,""))+(IF(Atletas!H383="Daoshu Mirim",19,IF(Atletas!H383="Jianshu Mirim",20,IF(Atletas!H383="Nandao Mirim",21,IF(Atletas!H383="Taijijian Mirim",22,IF(Atletas!H383="Daoshu Grupo C",23,IF(Atletas!H383="Jianshu Grupo C",24,IF(Atletas!H383="Nandao Grupo C",25,IF(Atletas!H383="Taijijian Grupo C",26,IF(Atletas!H383="Daoshu Grupo B",27,IF(Atletas!H383="Jianshu Grupo B",28,IF(Atletas!H383="Nandao Grupo B",29,IF(Atletas!H383="Taijijian Grupo B",30,IF(Atletas!H383="Daoshu Grupo A",31,IF(Atletas!H383="Jianshu Grupo A",32,IF(Atletas!H383="Nandao Grupo A",33,IF(Atletas!H383="Taijijian Grupo A",34,IF(Atletas!H383="Daoshu Opcional",35,IF(Atletas!H383="Jianshu Opcional",36,IF(Atletas!H383="Nandao Opcional",37,IF(Atletas!H383="Taijijian Opcional",38,IF(Atletas!H383="Daoshu Adulto",39,IF(Atletas!H383="Jianshu Adulto",40,IF(Atletas!H383="Nandao Adulto",41,IF(Atletas!H383="Taijijian Adulto",42,""))))))))))))))))))))))))))</f>
        <v/>
      </c>
      <c r="BA387" s="46" t="str">
        <f>IF(Atletas!I383="","",IF(Atletas!B383="Feminino",100,IF(Atletas!B383="Masculino",200,""))+(IF(Atletas!I383="Gunshu Mirim",43,IF(Atletas!I383="Qiangshu Mirim",44,IF(Atletas!I383="Nangun Mirim",45,IF(Atletas!I383="Gunshu Grupo C",46,IF(Atletas!I383="Qiangshu Grupo C",47,IF(Atletas!I383="Nangun Grupo C",48,IF(Atletas!I383="Gunshu Grupo B",49,IF(Atletas!I383="Qiangshu Grupo B",50,IF(Atletas!I383="Nangun Grupo B",51,IF(Atletas!I383="Gunshu Grupo A",52,IF(Atletas!I383="Qiangshu Grupo A",53,IF(Atletas!I383="Nangun Grupo A",54,IF(Atletas!I383="Gunshu Opcional",55,IF(Atletas!I383="Qiangshu Opcional",56,IF(Atletas!I383="Nangun Opcional",57,IF(Atletas!I383="Gunshu Adulto",58,IF(Atletas!I383="Qiangshu Adulto",59,IF(Atletas!I383="Nangun Adulto",60,""))))))))))))))))))))</f>
        <v/>
      </c>
      <c r="BF387" s="52" t="str">
        <f>IF(Atletas!J383="","",IF(Atletas!B383="Feminino",100,IF(Atletas!B383="Masculino",200,""))+(IF(Atletas!J383="Equipe 1 Grupo B",1,IF(Atletas!J383="Equipe 2 Grupo B",2,IF(Atletas!J383="Equipe 1 Grupo A",3,IF(Atletas!J383="Equipe 2 Grupo A",4,IF(Atletas!J383="Equipe 1 Adulto",5,IF(Atletas!J383="Equipe 2 Adulto",6,""))))))))</f>
        <v/>
      </c>
      <c r="BK387" s="52" t="str">
        <f>IF(Atletas!K383="","",IF(Atletas!W383&lt;&gt;"",10000,0)+(IF(Atletas!B383="Feminino",1000,IF(Atletas!B383="Masculino",2000,""))+IF(Atletas!K383="Choylayfut A",1,IF(Atletas!K383="Hunggar A",2,IF(Atletas!K383="Wuzuquan A",3,IF(Atletas!K383="Wingchun A",4,IF(Atletas!K383="Outra Mão de Sul A",5,IF(Atletas!K383="Choylayfut B",6,IF(Atletas!K383="Hunggar B",7,IF(Atletas!K383="Wuzuquan B",8,IF(Atletas!K383="Wingchun B",9,IF(Atletas!K383="Outra Mão de Sul B",10,IF(Atletas!K383="Choylayfut C",11,IF(Atletas!K383="Hunggar C",12,IF(Atletas!K383="Wuzuquan C",13,IF(Atletas!K383="Wingchun C",14,IF(Atletas!K383="Outra Mão de Sul C",15,IF(Atletas!K383="Choylayfut D",16,IF(Atletas!K383="Hunggar D",17,IF(Atletas!K383="Wuzuquan D",18,IF(Atletas!K383="Wingchun D",19,IF(Atletas!K383="Outra Mão de Sul D",20,IF(Atletas!K383="Choylayfut E",21,IF(Atletas!K383="Hunggar E",22,IF(Atletas!K383="Wuzuquan E",23,IF(Atletas!K383="Wingchun E",24,IF(Atletas!K383="Outra Mão de Sul E",25,IF(Atletas!K383="Choylayfut F",26,IF(Atletas!K383="Hunggar F",27,IF(Atletas!K383="Wuzuquan F",28,IF(Atletas!K383="Wingchun F",29,IF(Atletas!K383="Outra Mão de Sul F",30,""))))))))))))))))))))))))))))))))</f>
        <v/>
      </c>
      <c r="BL387" s="52" t="str">
        <f>IF(Atletas!L383="","",IF(Atletas!W383&lt;&gt;"",10000,0)+(IF(Atletas!B383="Feminino",1000,IF(Atletas!B383="Masculino",2000,""))+(IF(Atletas!L383="Chaquan A",101,IF(Atletas!L383="Emeiquan A",102,IF(Atletas!L383="Fanziquan A",103,IF(Atletas!L383="Huaquan A",104,IF(Atletas!L383="Hongquan A",105,IF(Atletas!L383="Paochui A",106,IF(Atletas!L383="Piguaquan A",107,IF(Atletas!L383="Shaolinquan A",108,IF(Atletas!L383="Tanglangquan A",109,IF(Atletas!L383="Yinzhaophai A",110,IF(Atletas!L383="Tongbeiquan A",111,IF(Atletas!L383="Wudangquan A",112,IF(Atletas!L383="Outros Estilos A",113,IF(Atletas!L383="Chaquan B",114,IF(Atletas!L383="Emeiquan B",115,IF(Atletas!L383="Fanziquan B",116,IF(Atletas!L383="Huaquan B",117,IF(Atletas!L383="Hongquan B",118,IF(Atletas!L383="Paochui B",119,IF(Atletas!L383="Piguaquan B",120,IF(Atletas!L383="Shaolinquan B",121,IF(Atletas!L383="Tanglangquan B",122,IF(Atletas!L383="Yinzhaophai B",123,IF(Atletas!L383="Tongbeiquan B",124,IF(Atletas!L383="Wudangquan B",125,IF(Atletas!L383="Outros Estilos B",126,IF(Atletas!L383="Chaquan C",127,IF(Atletas!L383="Emeiquan C",128,IF(Atletas!L383="Fanziquan C",129,IF(Atletas!L383="Huaquan C",130,IF(Atletas!L383="Hongquan C",131,IF(Atletas!L383="Paochui C",132,IF(Atletas!L383="Piguaquan C",133,IF(Atletas!L383="Shaolinquan C",134,IF(Atletas!L383="Tanglangquan C",135,IF(Atletas!L383="Yinzhaophai C",136,IF(Atletas!L383="Tongbeiquan C",137,IF(Atletas!L383="Wudangquan C",138,IF(Atletas!L383="Outros Estilos C",139,0))))))))))))))))))))))))))))))))))))))))))</f>
        <v/>
      </c>
      <c r="BM387" s="52" t="str">
        <f>IF(Atletas!L383="","",IF(Atletas!W383&lt;&gt;"",10000,0)+(IF(Atletas!B383="Feminino",1000,IF(Atletas!B383="Masculino",2000,""))+(IF(Atletas!L383="Chaquan D",140,IF(Atletas!L383="Emeiquan D",141,IF(Atletas!L383="Fanziquan D",142,IF(Atletas!L383="Huaquan D",143,IF(Atletas!L383="Hongquan D",144,IF(Atletas!L383="Paochui D",145,IF(Atletas!L383="Piguaquan D",146,IF(Atletas!L383="Shaolinquan D",147,IF(Atletas!L383="Tanglangquan D",148,IF(Atletas!L383="Yinzhaophai D",149,IF(Atletas!L383="Tongbeiquan D",150,IF(Atletas!L383="Wudangquan D",151,IF(Atletas!L383="Outros Estilos D",152,IF(Atletas!L383="Chaquan E",153,IF(Atletas!L383="Emeiquan E",154,IF(Atletas!L383="Fanziquan E",155,IF(Atletas!L383="Huaquan E",156,IF(Atletas!L383="Hongquan E",157,IF(Atletas!L383="Paochui E",158,IF(Atletas!L383="Piguaquan E",159,IF(Atletas!L383="Shaolinquan E",160,IF(Atletas!L383="Tanglangquan E",161,IF(Atletas!L383="Yinzhaophai E",162,IF(Atletas!L383="Tongbeiquan E",163,IF(Atletas!L383="Wudangquan E",164,IF(Atletas!L383="Outros Estilos E",165,IF(Atletas!L383="Chaquan F",166,IF(Atletas!L383="Emeiquan F",167,IF(Atletas!L383="Fanziquan F",168,IF(Atletas!L383="Huaquan F",169,IF(Atletas!L383="Hongquan F",170,IF(Atletas!L383="Paochui F",171,IF(Atletas!L383="Piguaquan F",172,IF(Atletas!L383="Shaolinquan F",173,IF(Atletas!L383="Tanglangquan F",174,IF(Atletas!L383="Yinzhaophai F",175,IF(Atletas!L383="Tongbeiquan F",176,IF(Atletas!L383="Wudangquan F",177,IF(Atletas!L383="Outros Estilos F",178,0))))))))))))))))))))))))))))))))))))))))))</f>
        <v/>
      </c>
      <c r="BN387" s="52" t="str">
        <f>IF(Atletas!M383="","",IF(Atletas!W383&lt;&gt;"",10000,0)+(IF(Atletas!B383="Feminino",1000,IF(Atletas!B383="Masculino",2000,""))+(IF(Atletas!M383="Ditangquan A",201,IF(Atletas!M383="Houquan A",202,IF(Atletas!M383="Zuiquan A",203,IF(Atletas!M383="Ditangquan B",204,IF(Atletas!M383="Houquan B",205,IF(Atletas!M383="Zuiquan B",206,IF(Atletas!M383="Ditangquan C",207,IF(Atletas!M383="Houquan C",208,IF(Atletas!M383="Zuiquan C",209,IF(Atletas!M383="Ditangquan D",210,IF(Atletas!M383="Houquan D",211,IF(Atletas!M383="Zuiquan D",212,IF(Atletas!M383="Ditangquan E",213,IF(Atletas!M383="Houquan E",214,IF(Atletas!M383="Zuiquan E",215,IF(Atletas!M383="Ditangquan F",216,IF(Atletas!M383="Houquan F",217,IF(Atletas!M383="Zuiquan F",218,"")))))))))))))))))))))</f>
        <v/>
      </c>
      <c r="BO387" s="52" t="str">
        <f>IF(Atletas!N383="","",IF(Atletas!W383&lt;&gt;"",10000,0)+IF(Atletas!B383="Feminino",1000,IF(Atletas!B383="Masculino",2000,""))+IF(Atletas!N383="Yang A",301,IF(Atletas!N383="Chen A",30,IF(Atletas!N383="Sun A",303,IF(Atletas!N383="Wu A",304,IF(Atletas!N383="Wu-Hao A",305,IF(Atletas!N383="Outro Taijiquan A",306,IF(Atletas!N383="Yang B",307,IF(Atletas!N383="Chen B",308,IF(Atletas!N383="Sun B",309,IF(Atletas!N383="Wu B",310,IF(Atletas!N383="Wu-Hao B",311,IF(Atletas!N383="Outro Taijiquan B",312,IF(Atletas!N383="Yang C",313,IF(Atletas!N383="Chen C",314,IF(Atletas!N383="Sun C",315,IF(Atletas!N383="Wu C",316,IF(Atletas!N383="Wu-Hao C",317,IF(Atletas!N383="Outro Taijiquan C",318,IF(Atletas!N383="Yang D",319,IF(Atletas!N383="Chen D",320,IF(Atletas!N383="Sun D",321,IF(Atletas!N383="Wu D",322,IF(Atletas!N383="Wu-Hao D",323,IF(Atletas!N383="Outro Taijiquan D",324,IF(Atletas!N383="Yang E",325,IF(Atletas!N383="Chen E",326,IF(Atletas!N383="Sun E",327,IF(Atletas!N383="Wu E",328,IF(Atletas!N383="Wu-Hao E",329,IF(Atletas!N383="Outro Taijiquan E",330,IF(Atletas!N383="Yang F",331,IF(Atletas!N383="Chen F",332,IF(Atletas!N383="Sun F",333,IF(Atletas!N383="Wu F",334,IF(Atletas!N383="Wu-Hao F",335,IF(Atletas!N383="Outro Taijiquan F",336,"")))))))))))))))))))))))))))))))))))))</f>
        <v/>
      </c>
      <c r="BP387" s="52" t="str">
        <f>IF(Atletas!O383="","",IF(Atletas!W383&lt;&gt;"",10000,0)+IF(Atletas!B383="Feminino",1000,IF(Atletas!B383="Masculino",2000,""))+IF(OR(Atletas!O383="Yang 26 A",Atletas!O383="Yang 40 A"),401,IF(OR(Atletas!O383="Chen 25 A",Atletas!O383="Chen 36 A",Atletas!O383="Chen 56 A"),402,IF(Atletas!O383="Sun 73 A",403,IF(Atletas!O383="Wu 45 A",404,IF(Atletas!O383="Wu-Hao 46 A",405,IF(OR(Atletas!O383="Taijiquan 16 A",Atletas!O383="Taijiquan 24 A",Atletas!O383="Taijiquan 32 A",Atletas!O383="Taijiquan 42 A"),406,IF(OR(Atletas!O383="Yang 26 B",Atletas!O383="Yang 40 B"),407,IF(OR(Atletas!O383="Chen 25 B",Atletas!O383="Chen 36 B",Atletas!O383="Chen 56 B"),408,IF(Atletas!O383="Sun 73 B",409,IF(Atletas!O383="Wu 45 B",410,IF(Atletas!O383="Wu-Hao 46 B",411,IF(OR(Atletas!O383="Taijiquan 16 B",Atletas!O383="Taijiquan 24 B",Atletas!O383="Taijiquan 32 B",Atletas!O383="Taijiquan 42 B"),412,IF(OR(Atletas!O383="Yang 26 C",Atletas!O383="Yang 40 C"),413,IF(OR(Atletas!O383="Chen 25 C",Atletas!O383="Chen 36 C",Atletas!O383="Chen 56 C"),414,IF(Atletas!O383="Sun 73 C",415,IF(Atletas!O383="Wu 45 C",416,IF(Atletas!O383="Wu-Hao 46 C",417,IF(OR(Atletas!O383="Taijiquan 16 C",Atletas!O383="Taijiquan 24 C",Atletas!O383="Taijiquan 32 C",Atletas!O383="Taijiquan 42 C"),418,0)))))))))))))))))))</f>
        <v/>
      </c>
      <c r="BQ387" s="52" t="str">
        <f>IF(Atletas!O383="","",IF(Atletas!W383&lt;&gt;"",10000,0)+IF(Atletas!B383="Feminino",1000,IF(Atletas!B383="Masculino",2000,""))+IF(OR(Atletas!O383="Yang 26 D",Atletas!O383="Yang 40 D"),419,IF(OR(Atletas!O383="Chen 25 D",Atletas!O383="Chen 36 D",Atletas!O383="Chen 56 D"),420,IF(Atletas!O383="Sun 73 D",421,IF(Atletas!O383="Wu 45 D",422,IF(Atletas!O383="Wu-Hao 46 D",423,IF(OR(Atletas!O383="Taijiquan 16 D",Atletas!O383="Taijiquan 24 D",Atletas!O383="Taijiquan 32 D",Atletas!O383="Taijiquan 42 D"),424,IF(OR(Atletas!O383="Yang 26 E",Atletas!O383="Yang 40 E"),425,IF(OR(Atletas!O383="Chen 25 E",Atletas!O383="Chen 36 E",Atletas!O383="Chen 56 E"),426,IF(Atletas!O383="Sun 73 E",427,IF(Atletas!O383="Wu 45 E",428,IF(Atletas!O383="Wu-Hao 46 E",429,IF(OR(Atletas!O383="Taijiquan 16 E",Atletas!O383="Taijiquan 24 E",Atletas!O383="Taijiquan 32 E",Atletas!O383="Taijiquan 42 E"),430,IF(OR(Atletas!O383="Yang 26 F",Atletas!O383="Yang 40 F"),431,IF(OR(Atletas!O383="Chen 25 F",Atletas!O383="Chen 36 F",Atletas!O383="Chen 56 F"),432,IF(Atletas!O383="Sun 73 F",433,IF(Atletas!O383="Wu 45 F",434,IF(Atletas!O383="Wu-Hao 46 F",435,IF(OR(Atletas!O383="Taijiquan 16 F",Atletas!O383="Taijiquan 24 F",Atletas!O383="Taijiquan 32 F",Atletas!O383="Taijiquan 42 F"),436,0)))))))))))))))))))</f>
        <v/>
      </c>
      <c r="BR387" s="52" t="str">
        <f>IF(Atletas!P383="","",IF(Atletas!W383&lt;&gt;"",10000,0)+IF(Atletas!B383="Feminino",1000,IF(Atletas!B383="Masculino",2000,""))+IF(Atletas!P383="Xingyiquan A",501,IF(Atletas!P383="Baguazhang A",502,IF(Atletas!P383="Outro Estilo Interno A",503,IF(Atletas!P383="Xingyiquan B",504,IF(Atletas!P383="Baguazhang B",505,IF(Atletas!P383="Outro Estilo Interno B",506,IF(Atletas!P383="Xingyiquan C",507,IF(Atletas!P383="Baguazhang C",508,IF(Atletas!P383="Outro Estilo Interno C",509,IF(Atletas!P383="Xingyiquan D",510,IF(Atletas!P383="Baguazhang D",511,IF(Atletas!P383="Outro Estilo Interno D",512,IF(Atletas!P383="Xingyiquan E",513,IF(Atletas!P383="Baguazhang E",514,IF(Atletas!P383="Outro Estilo Interno E",515,IF(Atletas!P383="Xingyiquan F",516,IF(Atletas!P383="Baguazhang F",517,IF(Atletas!P383="Outro Estilo Interno F",518, "")))))))))))))))))))</f>
        <v/>
      </c>
      <c r="BS387" s="52" t="str">
        <f>IF(Atletas!Q383="","",IF(Atletas!W383&lt;&gt;"",10000,0)+IF(Atletas!B383="Feminino",1000,IF(Atletas!B383="Masculino",2000,""))+IF(Atletas!Q383="Dao A",601,IF(Atletas!Q383="Jian A",602,IF(Atletas!Q383="Bishou A",603,IF(Atletas!Q383="Shan A",604,IF(Atletas!Q383="Outra Arma Curta A",605,IF(Atletas!Q383="Dao B",606,IF(Atletas!Q383="Jian B",607,IF(Atletas!Q383="Bishou B",608,IF(Atletas!Q383="Shan B",609,IF(Atletas!Q383="Outra Arma Curta B",610,IF(Atletas!Q383="Dao C",611,IF(Atletas!Q383="Jian C",612,IF(Atletas!Q383="Bishou C",613,IF(Atletas!Q383="Shan C",614,IF(Atletas!Q383="Outra Arma Curta C",615,IF(Atletas!Q383="Dao D",616,IF(Atletas!Q383="Jian D",617,IF(Atletas!Q383="Bishou D",618,IF(Atletas!Q383="Shan D",619,IF(Atletas!Q383="Outra Arma Curta D",620,IF(Atletas!Q383="Dao E",621,IF(Atletas!Q383="Jian E",622,IF(Atletas!Q383="Bishou E",623,IF(Atletas!Q383="Shan E",624,IF(Atletas!Q383="Outra Arma Curta E",625,IF(Atletas!Q383="Dao F",626,IF(Atletas!Q383="Jian F",627,IF(Atletas!Q383="Bishou F",628,IF(Atletas!Q383="Shan F",629,IF(Atletas!Q383="Outra Arma Curta F",630, "")))))))))))))))))))))))))))))))</f>
        <v/>
      </c>
      <c r="BT387" s="52" t="str">
        <f>IF(Atletas!R383="","",IF(Atletas!W383&lt;&gt;"",10000,0)+IF(Atletas!B383="Feminino",1000,IF(Atletas!B383="Masculino",2000,""))+IF(Atletas!R383="Gun A",701,IF(Atletas!R383="Qiang A",702,IF(Atletas!R383="Pudao / Guandao A",703,IF(Atletas!R383="Outra Arma Longa A",704,IF(Atletas!R383="Gun B",705,IF(Atletas!R383="Qiang B",706,IF(Atletas!R383="Pudao / Guandao B",707,IF(Atletas!R383="Outra Arma Longa B",708,IF(Atletas!R383="Gun C",709,IF(Atletas!R383="Qiang C",710,IF(Atletas!R383="Pudao / Guandao C",711,IF(Atletas!R383="Outra Arma Longa C",712,IF(Atletas!R383="Gun D",713,IF(Atletas!R383="Qiang D",714,IF(Atletas!R383="Pudao / Guandao D",715,IF(Atletas!R383="Outra Arma Longa D",716,IF(Atletas!R383="Gun E",717,IF(Atletas!R383="Qiang E",718,IF(Atletas!R383="Pudao / Guandao E",719,IF(Atletas!R383="Outra Arma Longa E",720,IF(Atletas!R383="Gun F",721,IF(Atletas!R383="Qiang F",722,IF(Atletas!R383="Pudao / Guandao F",723,IF(Atletas!R383="Outra Arma Longa F",724,"")))))))))))))))))))))))))</f>
        <v/>
      </c>
      <c r="BU387" s="52" t="str">
        <f>IF(Atletas!S383="","",IF(Atletas!W383&lt;&gt;"",10000,0)+IF(Atletas!B383="Feminino",1000,IF(Atletas!B383="Masculino",2000,""))+IF(Atletas!S383="Arma Dupla A",801,IF(Atletas!S383="Arma Maleável A",802,IF(Atletas!S383="Arma Dupla B",803,IF(Atletas!S383="Arma Maleável B",804,IF(Atletas!S383="Arma Dupla C",805,IF(Atletas!S383="Arma Maleável C",806,IF(Atletas!S383="Arma Dupla D",807,IF(Atletas!S383="Arma Maleável D",808,IF(Atletas!S383="Arma Dupla E",809,IF(Atletas!S383="Arma Maleável E",810,IF(Atletas!S383="Arma Dupla F",811,IF(Atletas!S383="Arma Maleável F",812, "")))))))))))))</f>
        <v/>
      </c>
      <c r="BV387" s="52" t="str">
        <f>IF(Atletas!T383="","",IF(Atletas!W383&lt;&gt;"",10000,0)+IF(Atletas!B383="Feminino",1000,IF(Atletas!B383="Masculino",2000,""))+IF(Atletas!T383="Taijijian Yang A",901,IF(Atletas!T383="Taijijian Chen A",902,IF(Atletas!T383="Taijijian Sun A",903,IF(Atletas!T383="Taijijian Wu A",904,IF(Atletas!T383="Taijijian Wu-Hao A",905,IF(Atletas!T383="Taijijian 32 A",906,IF(Atletas!T383="Taijijian 42 A",907,IF(Atletas!T383="Taijijian Yang B",908,IF(Atletas!T383="Taijijian Chen B",909,IF(Atletas!T383="Taijijian Sun B",910,IF(Atletas!T383="Taijijian Wu B",911,IF(Atletas!T383="Taijijian Wu-Hao B",912,IF(Atletas!T383="Taijijian 32 B",913,IF(Atletas!T383="Taijijian 42 B",914,IF(Atletas!T383="Taijijian Yang C",915,IF(Atletas!T383="Taijijian Chen C",916,IF(Atletas!T383="Taijijian Sun C",917,IF(Atletas!T383="Taijijian Wu C",918,IF(Atletas!T383="Taijijian Wu-Hao C",919,IF(Atletas!T383="Taijijian 32 C",920,IF(Atletas!T383="Taijijian 42 C",921,IF(Atletas!T383="Taijijian Yang D",922,IF(Atletas!T383="Taijijian Chen D",923,IF(Atletas!T383="Taijijian Sun D",924,IF(Atletas!T383="Taijijian Wu D",925,IF(Atletas!T383="Taijijian Wu-Hao D",926,IF(Atletas!T383="Taijijian 32 D",927,IF(Atletas!T383="Taijijian 42 D",928,IF(Atletas!T383="Taijijian Yang E",929,IF(Atletas!T383="Taijijian Chen E",930,IF(Atletas!T383="Taijijian Sun E",931,IF(Atletas!T383="Taijijian Wu E",932,IF(Atletas!T383="Taijijian Wu-Hao E",933,IF(Atletas!T383="Taijijian 32 E",934,IF(Atletas!T383="Taijijian 42 E",935,IF(Atletas!T383="Taijijian Yang F",936,IF(Atletas!T383="Taijijian Chen F",937,IF(Atletas!T383="Taijijian Sun F",938,IF(Atletas!T383="Taijijian Wu F",939,IF(Atletas!T383="Taijijian Wu-Hao F",940,IF(Atletas!T383="Taijijian 32 F",941,IF(Atletas!T383="Taijijian 42 F",942,"")))))))))))))))))))))))))))))))))))))))))))</f>
        <v/>
      </c>
      <c r="BW387" s="52" t="str">
        <f>IF(Atletas!U383="","",IF(Atletas!W383&lt;&gt;"",10000,0)+IF(Atletas!B383="Feminino",1000,IF(Atletas!B383="Masculino",2000,""))+IF(Atletas!T383="Taijijian 42 F",942,IF(Atletas!U383="Taijidao A",943,IF(Atletas!U383="Taijishan A",944,IF(Atletas!U383="Taijiqiang A",945,IF(Atletas!U383="Taijidao B",946,IF(Atletas!U383="Taijishan B",947,IF(Atletas!U383="Taijiqiang B",948,IF(Atletas!U383="Taijidao C",949,IF(Atletas!U383="Taijishan C",950,IF(Atletas!U383="Taijiqiang C",951,IF(Atletas!U383="Taijidao D",952,IF(Atletas!U383="Taijishan D",953,IF(Atletas!U383="Taijiqiang D",954,IF(Atletas!U383="Taijidao E",955,IF(Atletas!U383="Taijishan E",956,IF(Atletas!U383="Taijiqiang E",957,IF(Atletas!U383="Taijidao F",958,IF(Atletas!U383="Taijishan F",959,IF(Atletas!U383="Taijiqiang F",960))))))))))))))))))))</f>
        <v/>
      </c>
      <c r="CB387" s="64" t="str">
        <f>IF(CC387&lt;&gt;"","Taijijian Wu F","")</f>
        <v/>
      </c>
      <c r="CC387" s="64" t="str">
        <f>IF(COUNTIF(BK:BW,11939)&gt;0,COUNTIF(BK:BW,11939),"")</f>
        <v/>
      </c>
      <c r="CD387" s="64" t="str">
        <f>IF(CE387&lt;&gt;"","Taijijian Wu F","")</f>
        <v/>
      </c>
      <c r="CE387" s="64" t="str">
        <f>IF(COUNTIF(BK:BW,12939)&gt;0,COUNTIF(BK:BW,12939),"")</f>
        <v/>
      </c>
      <c r="CF387" s="52" t="str">
        <f xml:space="preserve"> IF(Atletas!V383="","",IF(Atletas!V383="Duilian de Mãos AB - Equipe 1",1,IF(Atletas!V383="Duilian de Mãos AB - Equipe 2",2,IF(Atletas!V383="Duilian de Armas AB - Equipe 1",3,IF(Atletas!V383="Duilian de Armas AB - Equipe 2",4,IF(Atletas!V383="Duilian de Tuishou - Equipe 1",5,IF(Atletas!V383="Duilian de Tuishou - Equipe 2",6,IF(Atletas!V383="Grupo Externo AB - Equipe 1",7,IF(Atletas!V383="Grupo Externo AB - Equipe 2",8,IF(Atletas!V383="Grupo Interno AB - Equipe 1",9,IF(Atletas!V383="Grupo Interno AB - Equipe 2",10,IF(Atletas!V383="Duilian de Mãos CD - Equipe 1",11,IF(Atletas!V383="Duilian de Mãos CD - Equipe 2",12,IF(Atletas!V383="Duilian de Armas CD - Equipe 1",13,IF(Atletas!V383="Duilian de Armas CD - Equipe 2",14,IF(Atletas!V383="Duilian de Tuishou - Equipe 1",15,IF(Atletas!V383="Duilian de Tuishou - Equipe 2",16,IF(Atletas!V383="Grupo Externo CDEF - Equipe 1",17,IF(Atletas!V383="Grupo Externo CDEF - Equipe 2",18,IF(Atletas!V383="Grupo Interno CDEF - Equipe 1",19,IF(Atletas!V383="Grupo Interno CDEF - Equipe 2",20,IF(Atletas!V383="Duilian de Mãos EF - Equipe 1",21,IF(Atletas!V383="Duilian de Mãos EF - Equipe 2",22,IF(Atletas!V383="Duilian de Armas EF - Equipe 1",23,IF(Atletas!V383="Duilian de Armas EF - Equipe 2",24,IF(Atletas!V383="Duilian de Tuishou - Equipe 1",25,IF(Atletas!V383="Duilian de Tuishou - Equipe 2",26,"")))))))))))))))))))))))))))</f>
        <v/>
      </c>
    </row>
    <row r="388" spans="36:84">
      <c r="AJ388" s="46" t="str">
        <f>IF(Atletas!D384="","",IF(Atletas!B384="Feminino",100,IF(Atletas!B384="Masculino",200,""))+(IF(Atletas!D384="Infantil 39kg",1,IF(Atletas!D384="Infantil 42kg",2,IF(Atletas!D384="Infantil 45kg",3,IF(Atletas!D384="Infantil 48kg",4,IF(Atletas!D384="Infantil 52kg",5,IF(Atletas!D384="Infantil 56kg",6,IF(Atletas!D384="Infantil 60kg",7,IF(Atletas!D384="Juvenil 48kg",8,IF(Atletas!D384="Juvenil 52kg",9,IF(Atletas!D384="Juvenil 56kg",10,IF(Atletas!D384="Juvenil 60kg",11,IF(Atletas!D384="Juvenil 65kg",12,IF(Atletas!D384="Juvenil 70kg",13,IF(Atletas!D384="Juvenil 75kg",14,IF(Atletas!D384="Juvenil 80kg",15,IF(Atletas!D384="Adulto 48kg",16,IF(Atletas!D384="Adulto 52kg",17,IF(Atletas!D384="Adulto 56kg",18,IF(Atletas!D384="Adulto 60kg",19,IF(Atletas!D384="Adulto 65kg",20,IF(Atletas!D384="Adulto 70kg",21,IF(Atletas!D384="Adulto 75kg",22,IF(Atletas!D384="Adulto 80kg",23,IF(Atletas!D384="Adulto 85kg",24,IF(Atletas!D384="Adulto 90kg",25,IF(Atletas!D384="Adulto +90kg",26,""))))))))))))))))))))))))))))</f>
        <v/>
      </c>
      <c r="AO388" s="10" t="str">
        <f>IF(Atletas!E384="","",IF(Atletas!B384="Feminino",100,IF(Atletas!B384="Masculino",200,""))+(IF(Atletas!E384="Juvenil 44kg",1,IF(Atletas!E384="Juvenil 48kg",2,IF(Atletas!E384="Juvenil 52kg",3,IF(Atletas!E384="Juvenil 56kg",4,IF(Atletas!E384="Juvenil 60kg",5,IF(Atletas!E384="Juvenil 65kg",6,IF(Atletas!E384="Juvenil 70kg",7,IF(Atletas!E384="Juvenil 75kg",8,IF(Atletas!E384="Juvenil 82kg",9,IF(Atletas!E384="Juvenil 90kg",10,IF(Atletas!E384="Juvenil 100kg",11,IF(Atletas!E384="Adulto 48kg",12,IF(Atletas!E384="Adulto 52kg",13,IF(Atletas!E384="Adulto 56kg",14,IF(Atletas!E384="Adulto 60kg",15,IF(Atletas!E384="Adulto 65kg",16,IF(Atletas!E384="Adulto 70kg",17,IF(Atletas!E384="Adulto 75kg",18,IF(Atletas!E384="Adulto 82kg",19,IF(Atletas!E384="Adulto 90kg",20,IF(Atletas!E384="Adulto 100kg",21,IF(Atletas!E384="Adulto +100kg",22,""))))))))))))))))))))))))</f>
        <v/>
      </c>
      <c r="AT388" s="10" t="str">
        <f>IF(Atletas!F384="","",IF(Atletas!B384="Feminino",100,IF(Atletas!B384="Masculino",200,""))+(IF(Atletas!F384="Adulto 48kg",1,IF(Atletas!F384="Adulto 56kg",2,IF(Atletas!F384="Adulto 65kg",3,IF(Atletas!F384="Adulto 75kg",4,IF(Atletas!F384="Adulto +75kg",5,IF(Atletas!F384="Adulto 52kg",6,IF(Atletas!F384="Adulto 60kg",7,IF(Atletas!F384="Adulto 70kg",8,IF(Atletas!F384="Adulto 80kg",9,IF(Atletas!F384="Adulto 90kg",10,IF(Atletas!F384="Adulto +90kg",11,"")))))))))))))</f>
        <v/>
      </c>
      <c r="AY388" s="46" t="str">
        <f>IF(Atletas!G384="","",IF(Atletas!B384="Feminino",100,IF(Atletas!B384="Masculino",200,""))+(IF(Atletas!G384="Changquan Mirim",1,IF(Atletas!G384="Nanquan Mirim",2,IF(Atletas!G384="Taijiquan Mirim",3,IF(Atletas!G384="Changquan Grupo C",4,IF(Atletas!G384="Nanquan Grupo C",5,IF(Atletas!G384="Taijiquan Grupo C",6,IF(Atletas!G384="Changquan Grupo B",7,IF(Atletas!G384="Nanquan Grupo B",8,IF(Atletas!G384="Taijiquan Grupo B",9,IF(Atletas!G384="Changquan Grupo A",10,IF(Atletas!G384="Nanquan Grupo A",11,IF(Atletas!G384="Taijiquan Grupo A",12,IF(Atletas!G384="Changquan Opcional",13,IF(Atletas!G384="Nanquan Opcional",14,IF(Atletas!G384="Taijiquan Opcional",15,IF(Atletas!G384="Changquan Adulto",16,IF(Atletas!G384="Nanquan Adulto",17,IF(Atletas!G384="Taijiquan Adulto",18,""))))))))))))))))))))</f>
        <v/>
      </c>
      <c r="AZ388" s="46" t="str">
        <f>IF(Atletas!H384="","",IF(Atletas!B384="Feminino",100,IF(Atletas!B384="Masculino",200,""))+(IF(Atletas!H384="Daoshu Mirim",19,IF(Atletas!H384="Jianshu Mirim",20,IF(Atletas!H384="Nandao Mirim",21,IF(Atletas!H384="Taijijian Mirim",22,IF(Atletas!H384="Daoshu Grupo C",23,IF(Atletas!H384="Jianshu Grupo C",24,IF(Atletas!H384="Nandao Grupo C",25,IF(Atletas!H384="Taijijian Grupo C",26,IF(Atletas!H384="Daoshu Grupo B",27,IF(Atletas!H384="Jianshu Grupo B",28,IF(Atletas!H384="Nandao Grupo B",29,IF(Atletas!H384="Taijijian Grupo B",30,IF(Atletas!H384="Daoshu Grupo A",31,IF(Atletas!H384="Jianshu Grupo A",32,IF(Atletas!H384="Nandao Grupo A",33,IF(Atletas!H384="Taijijian Grupo A",34,IF(Atletas!H384="Daoshu Opcional",35,IF(Atletas!H384="Jianshu Opcional",36,IF(Atletas!H384="Nandao Opcional",37,IF(Atletas!H384="Taijijian Opcional",38,IF(Atletas!H384="Daoshu Adulto",39,IF(Atletas!H384="Jianshu Adulto",40,IF(Atletas!H384="Nandao Adulto",41,IF(Atletas!H384="Taijijian Adulto",42,""))))))))))))))))))))))))))</f>
        <v/>
      </c>
      <c r="BA388" s="46" t="str">
        <f>IF(Atletas!I384="","",IF(Atletas!B384="Feminino",100,IF(Atletas!B384="Masculino",200,""))+(IF(Atletas!I384="Gunshu Mirim",43,IF(Atletas!I384="Qiangshu Mirim",44,IF(Atletas!I384="Nangun Mirim",45,IF(Atletas!I384="Gunshu Grupo C",46,IF(Atletas!I384="Qiangshu Grupo C",47,IF(Atletas!I384="Nangun Grupo C",48,IF(Atletas!I384="Gunshu Grupo B",49,IF(Atletas!I384="Qiangshu Grupo B",50,IF(Atletas!I384="Nangun Grupo B",51,IF(Atletas!I384="Gunshu Grupo A",52,IF(Atletas!I384="Qiangshu Grupo A",53,IF(Atletas!I384="Nangun Grupo A",54,IF(Atletas!I384="Gunshu Opcional",55,IF(Atletas!I384="Qiangshu Opcional",56,IF(Atletas!I384="Nangun Opcional",57,IF(Atletas!I384="Gunshu Adulto",58,IF(Atletas!I384="Qiangshu Adulto",59,IF(Atletas!I384="Nangun Adulto",60,""))))))))))))))))))))</f>
        <v/>
      </c>
      <c r="BF388" s="52" t="str">
        <f>IF(Atletas!J384="","",IF(Atletas!B384="Feminino",100,IF(Atletas!B384="Masculino",200,""))+(IF(Atletas!J384="Equipe 1 Grupo B",1,IF(Atletas!J384="Equipe 2 Grupo B",2,IF(Atletas!J384="Equipe 1 Grupo A",3,IF(Atletas!J384="Equipe 2 Grupo A",4,IF(Atletas!J384="Equipe 1 Adulto",5,IF(Atletas!J384="Equipe 2 Adulto",6,""))))))))</f>
        <v/>
      </c>
      <c r="BK388" s="52" t="str">
        <f>IF(Atletas!K384="","",IF(Atletas!W384&lt;&gt;"",10000,0)+(IF(Atletas!B384="Feminino",1000,IF(Atletas!B384="Masculino",2000,""))+IF(Atletas!K384="Choylayfut A",1,IF(Atletas!K384="Hunggar A",2,IF(Atletas!K384="Wuzuquan A",3,IF(Atletas!K384="Wingchun A",4,IF(Atletas!K384="Outra Mão de Sul A",5,IF(Atletas!K384="Choylayfut B",6,IF(Atletas!K384="Hunggar B",7,IF(Atletas!K384="Wuzuquan B",8,IF(Atletas!K384="Wingchun B",9,IF(Atletas!K384="Outra Mão de Sul B",10,IF(Atletas!K384="Choylayfut C",11,IF(Atletas!K384="Hunggar C",12,IF(Atletas!K384="Wuzuquan C",13,IF(Atletas!K384="Wingchun C",14,IF(Atletas!K384="Outra Mão de Sul C",15,IF(Atletas!K384="Choylayfut D",16,IF(Atletas!K384="Hunggar D",17,IF(Atletas!K384="Wuzuquan D",18,IF(Atletas!K384="Wingchun D",19,IF(Atletas!K384="Outra Mão de Sul D",20,IF(Atletas!K384="Choylayfut E",21,IF(Atletas!K384="Hunggar E",22,IF(Atletas!K384="Wuzuquan E",23,IF(Atletas!K384="Wingchun E",24,IF(Atletas!K384="Outra Mão de Sul E",25,IF(Atletas!K384="Choylayfut F",26,IF(Atletas!K384="Hunggar F",27,IF(Atletas!K384="Wuzuquan F",28,IF(Atletas!K384="Wingchun F",29,IF(Atletas!K384="Outra Mão de Sul F",30,""))))))))))))))))))))))))))))))))</f>
        <v/>
      </c>
      <c r="BL388" s="52" t="str">
        <f>IF(Atletas!L384="","",IF(Atletas!W384&lt;&gt;"",10000,0)+(IF(Atletas!B384="Feminino",1000,IF(Atletas!B384="Masculino",2000,""))+(IF(Atletas!L384="Chaquan A",101,IF(Atletas!L384="Emeiquan A",102,IF(Atletas!L384="Fanziquan A",103,IF(Atletas!L384="Huaquan A",104,IF(Atletas!L384="Hongquan A",105,IF(Atletas!L384="Paochui A",106,IF(Atletas!L384="Piguaquan A",107,IF(Atletas!L384="Shaolinquan A",108,IF(Atletas!L384="Tanglangquan A",109,IF(Atletas!L384="Yinzhaophai A",110,IF(Atletas!L384="Tongbeiquan A",111,IF(Atletas!L384="Wudangquan A",112,IF(Atletas!L384="Outros Estilos A",113,IF(Atletas!L384="Chaquan B",114,IF(Atletas!L384="Emeiquan B",115,IF(Atletas!L384="Fanziquan B",116,IF(Atletas!L384="Huaquan B",117,IF(Atletas!L384="Hongquan B",118,IF(Atletas!L384="Paochui B",119,IF(Atletas!L384="Piguaquan B",120,IF(Atletas!L384="Shaolinquan B",121,IF(Atletas!L384="Tanglangquan B",122,IF(Atletas!L384="Yinzhaophai B",123,IF(Atletas!L384="Tongbeiquan B",124,IF(Atletas!L384="Wudangquan B",125,IF(Atletas!L384="Outros Estilos B",126,IF(Atletas!L384="Chaquan C",127,IF(Atletas!L384="Emeiquan C",128,IF(Atletas!L384="Fanziquan C",129,IF(Atletas!L384="Huaquan C",130,IF(Atletas!L384="Hongquan C",131,IF(Atletas!L384="Paochui C",132,IF(Atletas!L384="Piguaquan C",133,IF(Atletas!L384="Shaolinquan C",134,IF(Atletas!L384="Tanglangquan C",135,IF(Atletas!L384="Yinzhaophai C",136,IF(Atletas!L384="Tongbeiquan C",137,IF(Atletas!L384="Wudangquan C",138,IF(Atletas!L384="Outros Estilos C",139,0))))))))))))))))))))))))))))))))))))))))))</f>
        <v/>
      </c>
      <c r="BM388" s="52" t="str">
        <f>IF(Atletas!L384="","",IF(Atletas!W384&lt;&gt;"",10000,0)+(IF(Atletas!B384="Feminino",1000,IF(Atletas!B384="Masculino",2000,""))+(IF(Atletas!L384="Chaquan D",140,IF(Atletas!L384="Emeiquan D",141,IF(Atletas!L384="Fanziquan D",142,IF(Atletas!L384="Huaquan D",143,IF(Atletas!L384="Hongquan D",144,IF(Atletas!L384="Paochui D",145,IF(Atletas!L384="Piguaquan D",146,IF(Atletas!L384="Shaolinquan D",147,IF(Atletas!L384="Tanglangquan D",148,IF(Atletas!L384="Yinzhaophai D",149,IF(Atletas!L384="Tongbeiquan D",150,IF(Atletas!L384="Wudangquan D",151,IF(Atletas!L384="Outros Estilos D",152,IF(Atletas!L384="Chaquan E",153,IF(Atletas!L384="Emeiquan E",154,IF(Atletas!L384="Fanziquan E",155,IF(Atletas!L384="Huaquan E",156,IF(Atletas!L384="Hongquan E",157,IF(Atletas!L384="Paochui E",158,IF(Atletas!L384="Piguaquan E",159,IF(Atletas!L384="Shaolinquan E",160,IF(Atletas!L384="Tanglangquan E",161,IF(Atletas!L384="Yinzhaophai E",162,IF(Atletas!L384="Tongbeiquan E",163,IF(Atletas!L384="Wudangquan E",164,IF(Atletas!L384="Outros Estilos E",165,IF(Atletas!L384="Chaquan F",166,IF(Atletas!L384="Emeiquan F",167,IF(Atletas!L384="Fanziquan F",168,IF(Atletas!L384="Huaquan F",169,IF(Atletas!L384="Hongquan F",170,IF(Atletas!L384="Paochui F",171,IF(Atletas!L384="Piguaquan F",172,IF(Atletas!L384="Shaolinquan F",173,IF(Atletas!L384="Tanglangquan F",174,IF(Atletas!L384="Yinzhaophai F",175,IF(Atletas!L384="Tongbeiquan F",176,IF(Atletas!L384="Wudangquan F",177,IF(Atletas!L384="Outros Estilos F",178,0))))))))))))))))))))))))))))))))))))))))))</f>
        <v/>
      </c>
      <c r="BN388" s="52" t="str">
        <f>IF(Atletas!M384="","",IF(Atletas!W384&lt;&gt;"",10000,0)+(IF(Atletas!B384="Feminino",1000,IF(Atletas!B384="Masculino",2000,""))+(IF(Atletas!M384="Ditangquan A",201,IF(Atletas!M384="Houquan A",202,IF(Atletas!M384="Zuiquan A",203,IF(Atletas!M384="Ditangquan B",204,IF(Atletas!M384="Houquan B",205,IF(Atletas!M384="Zuiquan B",206,IF(Atletas!M384="Ditangquan C",207,IF(Atletas!M384="Houquan C",208,IF(Atletas!M384="Zuiquan C",209,IF(Atletas!M384="Ditangquan D",210,IF(Atletas!M384="Houquan D",211,IF(Atletas!M384="Zuiquan D",212,IF(Atletas!M384="Ditangquan E",213,IF(Atletas!M384="Houquan E",214,IF(Atletas!M384="Zuiquan E",215,IF(Atletas!M384="Ditangquan F",216,IF(Atletas!M384="Houquan F",217,IF(Atletas!M384="Zuiquan F",218,"")))))))))))))))))))))</f>
        <v/>
      </c>
      <c r="BO388" s="52" t="str">
        <f>IF(Atletas!N384="","",IF(Atletas!W384&lt;&gt;"",10000,0)+IF(Atletas!B384="Feminino",1000,IF(Atletas!B384="Masculino",2000,""))+IF(Atletas!N384="Yang A",301,IF(Atletas!N384="Chen A",30,IF(Atletas!N384="Sun A",303,IF(Atletas!N384="Wu A",304,IF(Atletas!N384="Wu-Hao A",305,IF(Atletas!N384="Outro Taijiquan A",306,IF(Atletas!N384="Yang B",307,IF(Atletas!N384="Chen B",308,IF(Atletas!N384="Sun B",309,IF(Atletas!N384="Wu B",310,IF(Atletas!N384="Wu-Hao B",311,IF(Atletas!N384="Outro Taijiquan B",312,IF(Atletas!N384="Yang C",313,IF(Atletas!N384="Chen C",314,IF(Atletas!N384="Sun C",315,IF(Atletas!N384="Wu C",316,IF(Atletas!N384="Wu-Hao C",317,IF(Atletas!N384="Outro Taijiquan C",318,IF(Atletas!N384="Yang D",319,IF(Atletas!N384="Chen D",320,IF(Atletas!N384="Sun D",321,IF(Atletas!N384="Wu D",322,IF(Atletas!N384="Wu-Hao D",323,IF(Atletas!N384="Outro Taijiquan D",324,IF(Atletas!N384="Yang E",325,IF(Atletas!N384="Chen E",326,IF(Atletas!N384="Sun E",327,IF(Atletas!N384="Wu E",328,IF(Atletas!N384="Wu-Hao E",329,IF(Atletas!N384="Outro Taijiquan E",330,IF(Atletas!N384="Yang F",331,IF(Atletas!N384="Chen F",332,IF(Atletas!N384="Sun F",333,IF(Atletas!N384="Wu F",334,IF(Atletas!N384="Wu-Hao F",335,IF(Atletas!N384="Outro Taijiquan F",336,"")))))))))))))))))))))))))))))))))))))</f>
        <v/>
      </c>
      <c r="BP388" s="52" t="str">
        <f>IF(Atletas!O384="","",IF(Atletas!W384&lt;&gt;"",10000,0)+IF(Atletas!B384="Feminino",1000,IF(Atletas!B384="Masculino",2000,""))+IF(OR(Atletas!O384="Yang 26 A",Atletas!O384="Yang 40 A"),401,IF(OR(Atletas!O384="Chen 25 A",Atletas!O384="Chen 36 A",Atletas!O384="Chen 56 A"),402,IF(Atletas!O384="Sun 73 A",403,IF(Atletas!O384="Wu 45 A",404,IF(Atletas!O384="Wu-Hao 46 A",405,IF(OR(Atletas!O384="Taijiquan 16 A",Atletas!O384="Taijiquan 24 A",Atletas!O384="Taijiquan 32 A",Atletas!O384="Taijiquan 42 A"),406,IF(OR(Atletas!O384="Yang 26 B",Atletas!O384="Yang 40 B"),407,IF(OR(Atletas!O384="Chen 25 B",Atletas!O384="Chen 36 B",Atletas!O384="Chen 56 B"),408,IF(Atletas!O384="Sun 73 B",409,IF(Atletas!O384="Wu 45 B",410,IF(Atletas!O384="Wu-Hao 46 B",411,IF(OR(Atletas!O384="Taijiquan 16 B",Atletas!O384="Taijiquan 24 B",Atletas!O384="Taijiquan 32 B",Atletas!O384="Taijiquan 42 B"),412,IF(OR(Atletas!O384="Yang 26 C",Atletas!O384="Yang 40 C"),413,IF(OR(Atletas!O384="Chen 25 C",Atletas!O384="Chen 36 C",Atletas!O384="Chen 56 C"),414,IF(Atletas!O384="Sun 73 C",415,IF(Atletas!O384="Wu 45 C",416,IF(Atletas!O384="Wu-Hao 46 C",417,IF(OR(Atletas!O384="Taijiquan 16 C",Atletas!O384="Taijiquan 24 C",Atletas!O384="Taijiquan 32 C",Atletas!O384="Taijiquan 42 C"),418,0)))))))))))))))))))</f>
        <v/>
      </c>
      <c r="BQ388" s="52" t="str">
        <f>IF(Atletas!O384="","",IF(Atletas!W384&lt;&gt;"",10000,0)+IF(Atletas!B384="Feminino",1000,IF(Atletas!B384="Masculino",2000,""))+IF(OR(Atletas!O384="Yang 26 D",Atletas!O384="Yang 40 D"),419,IF(OR(Atletas!O384="Chen 25 D",Atletas!O384="Chen 36 D",Atletas!O384="Chen 56 D"),420,IF(Atletas!O384="Sun 73 D",421,IF(Atletas!O384="Wu 45 D",422,IF(Atletas!O384="Wu-Hao 46 D",423,IF(OR(Atletas!O384="Taijiquan 16 D",Atletas!O384="Taijiquan 24 D",Atletas!O384="Taijiquan 32 D",Atletas!O384="Taijiquan 42 D"),424,IF(OR(Atletas!O384="Yang 26 E",Atletas!O384="Yang 40 E"),425,IF(OR(Atletas!O384="Chen 25 E",Atletas!O384="Chen 36 E",Atletas!O384="Chen 56 E"),426,IF(Atletas!O384="Sun 73 E",427,IF(Atletas!O384="Wu 45 E",428,IF(Atletas!O384="Wu-Hao 46 E",429,IF(OR(Atletas!O384="Taijiquan 16 E",Atletas!O384="Taijiquan 24 E",Atletas!O384="Taijiquan 32 E",Atletas!O384="Taijiquan 42 E"),430,IF(OR(Atletas!O384="Yang 26 F",Atletas!O384="Yang 40 F"),431,IF(OR(Atletas!O384="Chen 25 F",Atletas!O384="Chen 36 F",Atletas!O384="Chen 56 F"),432,IF(Atletas!O384="Sun 73 F",433,IF(Atletas!O384="Wu 45 F",434,IF(Atletas!O384="Wu-Hao 46 F",435,IF(OR(Atletas!O384="Taijiquan 16 F",Atletas!O384="Taijiquan 24 F",Atletas!O384="Taijiquan 32 F",Atletas!O384="Taijiquan 42 F"),436,0)))))))))))))))))))</f>
        <v/>
      </c>
      <c r="BR388" s="52" t="str">
        <f>IF(Atletas!P384="","",IF(Atletas!W384&lt;&gt;"",10000,0)+IF(Atletas!B384="Feminino",1000,IF(Atletas!B384="Masculino",2000,""))+IF(Atletas!P384="Xingyiquan A",501,IF(Atletas!P384="Baguazhang A",502,IF(Atletas!P384="Outro Estilo Interno A",503,IF(Atletas!P384="Xingyiquan B",504,IF(Atletas!P384="Baguazhang B",505,IF(Atletas!P384="Outro Estilo Interno B",506,IF(Atletas!P384="Xingyiquan C",507,IF(Atletas!P384="Baguazhang C",508,IF(Atletas!P384="Outro Estilo Interno C",509,IF(Atletas!P384="Xingyiquan D",510,IF(Atletas!P384="Baguazhang D",511,IF(Atletas!P384="Outro Estilo Interno D",512,IF(Atletas!P384="Xingyiquan E",513,IF(Atletas!P384="Baguazhang E",514,IF(Atletas!P384="Outro Estilo Interno E",515,IF(Atletas!P384="Xingyiquan F",516,IF(Atletas!P384="Baguazhang F",517,IF(Atletas!P384="Outro Estilo Interno F",518, "")))))))))))))))))))</f>
        <v/>
      </c>
      <c r="BS388" s="52" t="str">
        <f>IF(Atletas!Q384="","",IF(Atletas!W384&lt;&gt;"",10000,0)+IF(Atletas!B384="Feminino",1000,IF(Atletas!B384="Masculino",2000,""))+IF(Atletas!Q384="Dao A",601,IF(Atletas!Q384="Jian A",602,IF(Atletas!Q384="Bishou A",603,IF(Atletas!Q384="Shan A",604,IF(Atletas!Q384="Outra Arma Curta A",605,IF(Atletas!Q384="Dao B",606,IF(Atletas!Q384="Jian B",607,IF(Atletas!Q384="Bishou B",608,IF(Atletas!Q384="Shan B",609,IF(Atletas!Q384="Outra Arma Curta B",610,IF(Atletas!Q384="Dao C",611,IF(Atletas!Q384="Jian C",612,IF(Atletas!Q384="Bishou C",613,IF(Atletas!Q384="Shan C",614,IF(Atletas!Q384="Outra Arma Curta C",615,IF(Atletas!Q384="Dao D",616,IF(Atletas!Q384="Jian D",617,IF(Atletas!Q384="Bishou D",618,IF(Atletas!Q384="Shan D",619,IF(Atletas!Q384="Outra Arma Curta D",620,IF(Atletas!Q384="Dao E",621,IF(Atletas!Q384="Jian E",622,IF(Atletas!Q384="Bishou E",623,IF(Atletas!Q384="Shan E",624,IF(Atletas!Q384="Outra Arma Curta E",625,IF(Atletas!Q384="Dao F",626,IF(Atletas!Q384="Jian F",627,IF(Atletas!Q384="Bishou F",628,IF(Atletas!Q384="Shan F",629,IF(Atletas!Q384="Outra Arma Curta F",630, "")))))))))))))))))))))))))))))))</f>
        <v/>
      </c>
      <c r="BT388" s="52" t="str">
        <f>IF(Atletas!R384="","",IF(Atletas!W384&lt;&gt;"",10000,0)+IF(Atletas!B384="Feminino",1000,IF(Atletas!B384="Masculino",2000,""))+IF(Atletas!R384="Gun A",701,IF(Atletas!R384="Qiang A",702,IF(Atletas!R384="Pudao / Guandao A",703,IF(Atletas!R384="Outra Arma Longa A",704,IF(Atletas!R384="Gun B",705,IF(Atletas!R384="Qiang B",706,IF(Atletas!R384="Pudao / Guandao B",707,IF(Atletas!R384="Outra Arma Longa B",708,IF(Atletas!R384="Gun C",709,IF(Atletas!R384="Qiang C",710,IF(Atletas!R384="Pudao / Guandao C",711,IF(Atletas!R384="Outra Arma Longa C",712,IF(Atletas!R384="Gun D",713,IF(Atletas!R384="Qiang D",714,IF(Atletas!R384="Pudao / Guandao D",715,IF(Atletas!R384="Outra Arma Longa D",716,IF(Atletas!R384="Gun E",717,IF(Atletas!R384="Qiang E",718,IF(Atletas!R384="Pudao / Guandao E",719,IF(Atletas!R384="Outra Arma Longa E",720,IF(Atletas!R384="Gun F",721,IF(Atletas!R384="Qiang F",722,IF(Atletas!R384="Pudao / Guandao F",723,IF(Atletas!R384="Outra Arma Longa F",724,"")))))))))))))))))))))))))</f>
        <v/>
      </c>
      <c r="BU388" s="52" t="str">
        <f>IF(Atletas!S384="","",IF(Atletas!W384&lt;&gt;"",10000,0)+IF(Atletas!B384="Feminino",1000,IF(Atletas!B384="Masculino",2000,""))+IF(Atletas!S384="Arma Dupla A",801,IF(Atletas!S384="Arma Maleável A",802,IF(Atletas!S384="Arma Dupla B",803,IF(Atletas!S384="Arma Maleável B",804,IF(Atletas!S384="Arma Dupla C",805,IF(Atletas!S384="Arma Maleável C",806,IF(Atletas!S384="Arma Dupla D",807,IF(Atletas!S384="Arma Maleável D",808,IF(Atletas!S384="Arma Dupla E",809,IF(Atletas!S384="Arma Maleável E",810,IF(Atletas!S384="Arma Dupla F",811,IF(Atletas!S384="Arma Maleável F",812, "")))))))))))))</f>
        <v/>
      </c>
      <c r="BV388" s="52" t="str">
        <f>IF(Atletas!T384="","",IF(Atletas!W384&lt;&gt;"",10000,0)+IF(Atletas!B384="Feminino",1000,IF(Atletas!B384="Masculino",2000,""))+IF(Atletas!T384="Taijijian Yang A",901,IF(Atletas!T384="Taijijian Chen A",902,IF(Atletas!T384="Taijijian Sun A",903,IF(Atletas!T384="Taijijian Wu A",904,IF(Atletas!T384="Taijijian Wu-Hao A",905,IF(Atletas!T384="Taijijian 32 A",906,IF(Atletas!T384="Taijijian 42 A",907,IF(Atletas!T384="Taijijian Yang B",908,IF(Atletas!T384="Taijijian Chen B",909,IF(Atletas!T384="Taijijian Sun B",910,IF(Atletas!T384="Taijijian Wu B",911,IF(Atletas!T384="Taijijian Wu-Hao B",912,IF(Atletas!T384="Taijijian 32 B",913,IF(Atletas!T384="Taijijian 42 B",914,IF(Atletas!T384="Taijijian Yang C",915,IF(Atletas!T384="Taijijian Chen C",916,IF(Atletas!T384="Taijijian Sun C",917,IF(Atletas!T384="Taijijian Wu C",918,IF(Atletas!T384="Taijijian Wu-Hao C",919,IF(Atletas!T384="Taijijian 32 C",920,IF(Atletas!T384="Taijijian 42 C",921,IF(Atletas!T384="Taijijian Yang D",922,IF(Atletas!T384="Taijijian Chen D",923,IF(Atletas!T384="Taijijian Sun D",924,IF(Atletas!T384="Taijijian Wu D",925,IF(Atletas!T384="Taijijian Wu-Hao D",926,IF(Atletas!T384="Taijijian 32 D",927,IF(Atletas!T384="Taijijian 42 D",928,IF(Atletas!T384="Taijijian Yang E",929,IF(Atletas!T384="Taijijian Chen E",930,IF(Atletas!T384="Taijijian Sun E",931,IF(Atletas!T384="Taijijian Wu E",932,IF(Atletas!T384="Taijijian Wu-Hao E",933,IF(Atletas!T384="Taijijian 32 E",934,IF(Atletas!T384="Taijijian 42 E",935,IF(Atletas!T384="Taijijian Yang F",936,IF(Atletas!T384="Taijijian Chen F",937,IF(Atletas!T384="Taijijian Sun F",938,IF(Atletas!T384="Taijijian Wu F",939,IF(Atletas!T384="Taijijian Wu-Hao F",940,IF(Atletas!T384="Taijijian 32 F",941,IF(Atletas!T384="Taijijian 42 F",942,"")))))))))))))))))))))))))))))))))))))))))))</f>
        <v/>
      </c>
      <c r="BW388" s="52" t="str">
        <f>IF(Atletas!U384="","",IF(Atletas!W384&lt;&gt;"",10000,0)+IF(Atletas!B384="Feminino",1000,IF(Atletas!B384="Masculino",2000,""))+IF(Atletas!T384="Taijijian 42 F",942,IF(Atletas!U384="Taijidao A",943,IF(Atletas!U384="Taijishan A",944,IF(Atletas!U384="Taijiqiang A",945,IF(Atletas!U384="Taijidao B",946,IF(Atletas!U384="Taijishan B",947,IF(Atletas!U384="Taijiqiang B",948,IF(Atletas!U384="Taijidao C",949,IF(Atletas!U384="Taijishan C",950,IF(Atletas!U384="Taijiqiang C",951,IF(Atletas!U384="Taijidao D",952,IF(Atletas!U384="Taijishan D",953,IF(Atletas!U384="Taijiqiang D",954,IF(Atletas!U384="Taijidao E",955,IF(Atletas!U384="Taijishan E",956,IF(Atletas!U384="Taijiqiang E",957,IF(Atletas!U384="Taijidao F",958,IF(Atletas!U384="Taijishan F",959,IF(Atletas!U384="Taijiqiang F",960))))))))))))))))))))</f>
        <v/>
      </c>
      <c r="CB388" s="64" t="str">
        <f>IF(CC388&lt;&gt;"","Taijijian Wu-Hao F","")</f>
        <v/>
      </c>
      <c r="CC388" s="64" t="str">
        <f>IF(COUNTIF(BK:BW,11940)&gt;0,COUNTIF(BK:BW,11940),"")</f>
        <v/>
      </c>
      <c r="CD388" s="64" t="str">
        <f>IF(CE388&lt;&gt;"","Taijijian Wu-Hao F","")</f>
        <v/>
      </c>
      <c r="CE388" s="64" t="str">
        <f>IF(COUNTIF(BK:BW,12940)&gt;0,COUNTIF(BK:BW,12940),"")</f>
        <v/>
      </c>
      <c r="CF388" s="52" t="str">
        <f xml:space="preserve"> IF(Atletas!V384="","",IF(Atletas!V384="Duilian de Mãos AB - Equipe 1",1,IF(Atletas!V384="Duilian de Mãos AB - Equipe 2",2,IF(Atletas!V384="Duilian de Armas AB - Equipe 1",3,IF(Atletas!V384="Duilian de Armas AB - Equipe 2",4,IF(Atletas!V384="Duilian de Tuishou - Equipe 1",5,IF(Atletas!V384="Duilian de Tuishou - Equipe 2",6,IF(Atletas!V384="Grupo Externo AB - Equipe 1",7,IF(Atletas!V384="Grupo Externo AB - Equipe 2",8,IF(Atletas!V384="Grupo Interno AB - Equipe 1",9,IF(Atletas!V384="Grupo Interno AB - Equipe 2",10,IF(Atletas!V384="Duilian de Mãos CD - Equipe 1",11,IF(Atletas!V384="Duilian de Mãos CD - Equipe 2",12,IF(Atletas!V384="Duilian de Armas CD - Equipe 1",13,IF(Atletas!V384="Duilian de Armas CD - Equipe 2",14,IF(Atletas!V384="Duilian de Tuishou - Equipe 1",15,IF(Atletas!V384="Duilian de Tuishou - Equipe 2",16,IF(Atletas!V384="Grupo Externo CDEF - Equipe 1",17,IF(Atletas!V384="Grupo Externo CDEF - Equipe 2",18,IF(Atletas!V384="Grupo Interno CDEF - Equipe 1",19,IF(Atletas!V384="Grupo Interno CDEF - Equipe 2",20,IF(Atletas!V384="Duilian de Mãos EF - Equipe 1",21,IF(Atletas!V384="Duilian de Mãos EF - Equipe 2",22,IF(Atletas!V384="Duilian de Armas EF - Equipe 1",23,IF(Atletas!V384="Duilian de Armas EF - Equipe 2",24,IF(Atletas!V384="Duilian de Tuishou - Equipe 1",25,IF(Atletas!V384="Duilian de Tuishou - Equipe 2",26,"")))))))))))))))))))))))))))</f>
        <v/>
      </c>
    </row>
    <row r="389" spans="36:84">
      <c r="AJ389" s="46" t="str">
        <f>IF(Atletas!D385="","",IF(Atletas!B385="Feminino",100,IF(Atletas!B385="Masculino",200,""))+(IF(Atletas!D385="Infantil 39kg",1,IF(Atletas!D385="Infantil 42kg",2,IF(Atletas!D385="Infantil 45kg",3,IF(Atletas!D385="Infantil 48kg",4,IF(Atletas!D385="Infantil 52kg",5,IF(Atletas!D385="Infantil 56kg",6,IF(Atletas!D385="Infantil 60kg",7,IF(Atletas!D385="Juvenil 48kg",8,IF(Atletas!D385="Juvenil 52kg",9,IF(Atletas!D385="Juvenil 56kg",10,IF(Atletas!D385="Juvenil 60kg",11,IF(Atletas!D385="Juvenil 65kg",12,IF(Atletas!D385="Juvenil 70kg",13,IF(Atletas!D385="Juvenil 75kg",14,IF(Atletas!D385="Juvenil 80kg",15,IF(Atletas!D385="Adulto 48kg",16,IF(Atletas!D385="Adulto 52kg",17,IF(Atletas!D385="Adulto 56kg",18,IF(Atletas!D385="Adulto 60kg",19,IF(Atletas!D385="Adulto 65kg",20,IF(Atletas!D385="Adulto 70kg",21,IF(Atletas!D385="Adulto 75kg",22,IF(Atletas!D385="Adulto 80kg",23,IF(Atletas!D385="Adulto 85kg",24,IF(Atletas!D385="Adulto 90kg",25,IF(Atletas!D385="Adulto +90kg",26,""))))))))))))))))))))))))))))</f>
        <v/>
      </c>
      <c r="AO389" s="10" t="str">
        <f>IF(Atletas!E385="","",IF(Atletas!B385="Feminino",100,IF(Atletas!B385="Masculino",200,""))+(IF(Atletas!E385="Juvenil 44kg",1,IF(Atletas!E385="Juvenil 48kg",2,IF(Atletas!E385="Juvenil 52kg",3,IF(Atletas!E385="Juvenil 56kg",4,IF(Atletas!E385="Juvenil 60kg",5,IF(Atletas!E385="Juvenil 65kg",6,IF(Atletas!E385="Juvenil 70kg",7,IF(Atletas!E385="Juvenil 75kg",8,IF(Atletas!E385="Juvenil 82kg",9,IF(Atletas!E385="Juvenil 90kg",10,IF(Atletas!E385="Juvenil 100kg",11,IF(Atletas!E385="Adulto 48kg",12,IF(Atletas!E385="Adulto 52kg",13,IF(Atletas!E385="Adulto 56kg",14,IF(Atletas!E385="Adulto 60kg",15,IF(Atletas!E385="Adulto 65kg",16,IF(Atletas!E385="Adulto 70kg",17,IF(Atletas!E385="Adulto 75kg",18,IF(Atletas!E385="Adulto 82kg",19,IF(Atletas!E385="Adulto 90kg",20,IF(Atletas!E385="Adulto 100kg",21,IF(Atletas!E385="Adulto +100kg",22,""))))))))))))))))))))))))</f>
        <v/>
      </c>
      <c r="AT389" s="10" t="str">
        <f>IF(Atletas!F385="","",IF(Atletas!B385="Feminino",100,IF(Atletas!B385="Masculino",200,""))+(IF(Atletas!F385="Adulto 48kg",1,IF(Atletas!F385="Adulto 56kg",2,IF(Atletas!F385="Adulto 65kg",3,IF(Atletas!F385="Adulto 75kg",4,IF(Atletas!F385="Adulto +75kg",5,IF(Atletas!F385="Adulto 52kg",6,IF(Atletas!F385="Adulto 60kg",7,IF(Atletas!F385="Adulto 70kg",8,IF(Atletas!F385="Adulto 80kg",9,IF(Atletas!F385="Adulto 90kg",10,IF(Atletas!F385="Adulto +90kg",11,"")))))))))))))</f>
        <v/>
      </c>
      <c r="AY389" s="46" t="str">
        <f>IF(Atletas!G385="","",IF(Atletas!B385="Feminino",100,IF(Atletas!B385="Masculino",200,""))+(IF(Atletas!G385="Changquan Mirim",1,IF(Atletas!G385="Nanquan Mirim",2,IF(Atletas!G385="Taijiquan Mirim",3,IF(Atletas!G385="Changquan Grupo C",4,IF(Atletas!G385="Nanquan Grupo C",5,IF(Atletas!G385="Taijiquan Grupo C",6,IF(Atletas!G385="Changquan Grupo B",7,IF(Atletas!G385="Nanquan Grupo B",8,IF(Atletas!G385="Taijiquan Grupo B",9,IF(Atletas!G385="Changquan Grupo A",10,IF(Atletas!G385="Nanquan Grupo A",11,IF(Atletas!G385="Taijiquan Grupo A",12,IF(Atletas!G385="Changquan Opcional",13,IF(Atletas!G385="Nanquan Opcional",14,IF(Atletas!G385="Taijiquan Opcional",15,IF(Atletas!G385="Changquan Adulto",16,IF(Atletas!G385="Nanquan Adulto",17,IF(Atletas!G385="Taijiquan Adulto",18,""))))))))))))))))))))</f>
        <v/>
      </c>
      <c r="AZ389" s="46" t="str">
        <f>IF(Atletas!H385="","",IF(Atletas!B385="Feminino",100,IF(Atletas!B385="Masculino",200,""))+(IF(Atletas!H385="Daoshu Mirim",19,IF(Atletas!H385="Jianshu Mirim",20,IF(Atletas!H385="Nandao Mirim",21,IF(Atletas!H385="Taijijian Mirim",22,IF(Atletas!H385="Daoshu Grupo C",23,IF(Atletas!H385="Jianshu Grupo C",24,IF(Atletas!H385="Nandao Grupo C",25,IF(Atletas!H385="Taijijian Grupo C",26,IF(Atletas!H385="Daoshu Grupo B",27,IF(Atletas!H385="Jianshu Grupo B",28,IF(Atletas!H385="Nandao Grupo B",29,IF(Atletas!H385="Taijijian Grupo B",30,IF(Atletas!H385="Daoshu Grupo A",31,IF(Atletas!H385="Jianshu Grupo A",32,IF(Atletas!H385="Nandao Grupo A",33,IF(Atletas!H385="Taijijian Grupo A",34,IF(Atletas!H385="Daoshu Opcional",35,IF(Atletas!H385="Jianshu Opcional",36,IF(Atletas!H385="Nandao Opcional",37,IF(Atletas!H385="Taijijian Opcional",38,IF(Atletas!H385="Daoshu Adulto",39,IF(Atletas!H385="Jianshu Adulto",40,IF(Atletas!H385="Nandao Adulto",41,IF(Atletas!H385="Taijijian Adulto",42,""))))))))))))))))))))))))))</f>
        <v/>
      </c>
      <c r="BA389" s="46" t="str">
        <f>IF(Atletas!I385="","",IF(Atletas!B385="Feminino",100,IF(Atletas!B385="Masculino",200,""))+(IF(Atletas!I385="Gunshu Mirim",43,IF(Atletas!I385="Qiangshu Mirim",44,IF(Atletas!I385="Nangun Mirim",45,IF(Atletas!I385="Gunshu Grupo C",46,IF(Atletas!I385="Qiangshu Grupo C",47,IF(Atletas!I385="Nangun Grupo C",48,IF(Atletas!I385="Gunshu Grupo B",49,IF(Atletas!I385="Qiangshu Grupo B",50,IF(Atletas!I385="Nangun Grupo B",51,IF(Atletas!I385="Gunshu Grupo A",52,IF(Atletas!I385="Qiangshu Grupo A",53,IF(Atletas!I385="Nangun Grupo A",54,IF(Atletas!I385="Gunshu Opcional",55,IF(Atletas!I385="Qiangshu Opcional",56,IF(Atletas!I385="Nangun Opcional",57,IF(Atletas!I385="Gunshu Adulto",58,IF(Atletas!I385="Qiangshu Adulto",59,IF(Atletas!I385="Nangun Adulto",60,""))))))))))))))))))))</f>
        <v/>
      </c>
      <c r="BF389" s="52" t="str">
        <f>IF(Atletas!J385="","",IF(Atletas!B385="Feminino",100,IF(Atletas!B385="Masculino",200,""))+(IF(Atletas!J385="Equipe 1 Grupo B",1,IF(Atletas!J385="Equipe 2 Grupo B",2,IF(Atletas!J385="Equipe 1 Grupo A",3,IF(Atletas!J385="Equipe 2 Grupo A",4,IF(Atletas!J385="Equipe 1 Adulto",5,IF(Atletas!J385="Equipe 2 Adulto",6,""))))))))</f>
        <v/>
      </c>
      <c r="BK389" s="52" t="str">
        <f>IF(Atletas!K385="","",IF(Atletas!W385&lt;&gt;"",10000,0)+(IF(Atletas!B385="Feminino",1000,IF(Atletas!B385="Masculino",2000,""))+IF(Atletas!K385="Choylayfut A",1,IF(Atletas!K385="Hunggar A",2,IF(Atletas!K385="Wuzuquan A",3,IF(Atletas!K385="Wingchun A",4,IF(Atletas!K385="Outra Mão de Sul A",5,IF(Atletas!K385="Choylayfut B",6,IF(Atletas!K385="Hunggar B",7,IF(Atletas!K385="Wuzuquan B",8,IF(Atletas!K385="Wingchun B",9,IF(Atletas!K385="Outra Mão de Sul B",10,IF(Atletas!K385="Choylayfut C",11,IF(Atletas!K385="Hunggar C",12,IF(Atletas!K385="Wuzuquan C",13,IF(Atletas!K385="Wingchun C",14,IF(Atletas!K385="Outra Mão de Sul C",15,IF(Atletas!K385="Choylayfut D",16,IF(Atletas!K385="Hunggar D",17,IF(Atletas!K385="Wuzuquan D",18,IF(Atletas!K385="Wingchun D",19,IF(Atletas!K385="Outra Mão de Sul D",20,IF(Atletas!K385="Choylayfut E",21,IF(Atletas!K385="Hunggar E",22,IF(Atletas!K385="Wuzuquan E",23,IF(Atletas!K385="Wingchun E",24,IF(Atletas!K385="Outra Mão de Sul E",25,IF(Atletas!K385="Choylayfut F",26,IF(Atletas!K385="Hunggar F",27,IF(Atletas!K385="Wuzuquan F",28,IF(Atletas!K385="Wingchun F",29,IF(Atletas!K385="Outra Mão de Sul F",30,""))))))))))))))))))))))))))))))))</f>
        <v/>
      </c>
      <c r="BL389" s="52" t="str">
        <f>IF(Atletas!L385="","",IF(Atletas!W385&lt;&gt;"",10000,0)+(IF(Atletas!B385="Feminino",1000,IF(Atletas!B385="Masculino",2000,""))+(IF(Atletas!L385="Chaquan A",101,IF(Atletas!L385="Emeiquan A",102,IF(Atletas!L385="Fanziquan A",103,IF(Atletas!L385="Huaquan A",104,IF(Atletas!L385="Hongquan A",105,IF(Atletas!L385="Paochui A",106,IF(Atletas!L385="Piguaquan A",107,IF(Atletas!L385="Shaolinquan A",108,IF(Atletas!L385="Tanglangquan A",109,IF(Atletas!L385="Yinzhaophai A",110,IF(Atletas!L385="Tongbeiquan A",111,IF(Atletas!L385="Wudangquan A",112,IF(Atletas!L385="Outros Estilos A",113,IF(Atletas!L385="Chaquan B",114,IF(Atletas!L385="Emeiquan B",115,IF(Atletas!L385="Fanziquan B",116,IF(Atletas!L385="Huaquan B",117,IF(Atletas!L385="Hongquan B",118,IF(Atletas!L385="Paochui B",119,IF(Atletas!L385="Piguaquan B",120,IF(Atletas!L385="Shaolinquan B",121,IF(Atletas!L385="Tanglangquan B",122,IF(Atletas!L385="Yinzhaophai B",123,IF(Atletas!L385="Tongbeiquan B",124,IF(Atletas!L385="Wudangquan B",125,IF(Atletas!L385="Outros Estilos B",126,IF(Atletas!L385="Chaquan C",127,IF(Atletas!L385="Emeiquan C",128,IF(Atletas!L385="Fanziquan C",129,IF(Atletas!L385="Huaquan C",130,IF(Atletas!L385="Hongquan C",131,IF(Atletas!L385="Paochui C",132,IF(Atletas!L385="Piguaquan C",133,IF(Atletas!L385="Shaolinquan C",134,IF(Atletas!L385="Tanglangquan C",135,IF(Atletas!L385="Yinzhaophai C",136,IF(Atletas!L385="Tongbeiquan C",137,IF(Atletas!L385="Wudangquan C",138,IF(Atletas!L385="Outros Estilos C",139,0))))))))))))))))))))))))))))))))))))))))))</f>
        <v/>
      </c>
      <c r="BM389" s="52" t="str">
        <f>IF(Atletas!L385="","",IF(Atletas!W385&lt;&gt;"",10000,0)+(IF(Atletas!B385="Feminino",1000,IF(Atletas!B385="Masculino",2000,""))+(IF(Atletas!L385="Chaquan D",140,IF(Atletas!L385="Emeiquan D",141,IF(Atletas!L385="Fanziquan D",142,IF(Atletas!L385="Huaquan D",143,IF(Atletas!L385="Hongquan D",144,IF(Atletas!L385="Paochui D",145,IF(Atletas!L385="Piguaquan D",146,IF(Atletas!L385="Shaolinquan D",147,IF(Atletas!L385="Tanglangquan D",148,IF(Atletas!L385="Yinzhaophai D",149,IF(Atletas!L385="Tongbeiquan D",150,IF(Atletas!L385="Wudangquan D",151,IF(Atletas!L385="Outros Estilos D",152,IF(Atletas!L385="Chaquan E",153,IF(Atletas!L385="Emeiquan E",154,IF(Atletas!L385="Fanziquan E",155,IF(Atletas!L385="Huaquan E",156,IF(Atletas!L385="Hongquan E",157,IF(Atletas!L385="Paochui E",158,IF(Atletas!L385="Piguaquan E",159,IF(Atletas!L385="Shaolinquan E",160,IF(Atletas!L385="Tanglangquan E",161,IF(Atletas!L385="Yinzhaophai E",162,IF(Atletas!L385="Tongbeiquan E",163,IF(Atletas!L385="Wudangquan E",164,IF(Atletas!L385="Outros Estilos E",165,IF(Atletas!L385="Chaquan F",166,IF(Atletas!L385="Emeiquan F",167,IF(Atletas!L385="Fanziquan F",168,IF(Atletas!L385="Huaquan F",169,IF(Atletas!L385="Hongquan F",170,IF(Atletas!L385="Paochui F",171,IF(Atletas!L385="Piguaquan F",172,IF(Atletas!L385="Shaolinquan F",173,IF(Atletas!L385="Tanglangquan F",174,IF(Atletas!L385="Yinzhaophai F",175,IF(Atletas!L385="Tongbeiquan F",176,IF(Atletas!L385="Wudangquan F",177,IF(Atletas!L385="Outros Estilos F",178,0))))))))))))))))))))))))))))))))))))))))))</f>
        <v/>
      </c>
      <c r="BN389" s="52" t="str">
        <f>IF(Atletas!M385="","",IF(Atletas!W385&lt;&gt;"",10000,0)+(IF(Atletas!B385="Feminino",1000,IF(Atletas!B385="Masculino",2000,""))+(IF(Atletas!M385="Ditangquan A",201,IF(Atletas!M385="Houquan A",202,IF(Atletas!M385="Zuiquan A",203,IF(Atletas!M385="Ditangquan B",204,IF(Atletas!M385="Houquan B",205,IF(Atletas!M385="Zuiquan B",206,IF(Atletas!M385="Ditangquan C",207,IF(Atletas!M385="Houquan C",208,IF(Atletas!M385="Zuiquan C",209,IF(Atletas!M385="Ditangquan D",210,IF(Atletas!M385="Houquan D",211,IF(Atletas!M385="Zuiquan D",212,IF(Atletas!M385="Ditangquan E",213,IF(Atletas!M385="Houquan E",214,IF(Atletas!M385="Zuiquan E",215,IF(Atletas!M385="Ditangquan F",216,IF(Atletas!M385="Houquan F",217,IF(Atletas!M385="Zuiquan F",218,"")))))))))))))))))))))</f>
        <v/>
      </c>
      <c r="BO389" s="52" t="str">
        <f>IF(Atletas!N385="","",IF(Atletas!W385&lt;&gt;"",10000,0)+IF(Atletas!B385="Feminino",1000,IF(Atletas!B385="Masculino",2000,""))+IF(Atletas!N385="Yang A",301,IF(Atletas!N385="Chen A",30,IF(Atletas!N385="Sun A",303,IF(Atletas!N385="Wu A",304,IF(Atletas!N385="Wu-Hao A",305,IF(Atletas!N385="Outro Taijiquan A",306,IF(Atletas!N385="Yang B",307,IF(Atletas!N385="Chen B",308,IF(Atletas!N385="Sun B",309,IF(Atletas!N385="Wu B",310,IF(Atletas!N385="Wu-Hao B",311,IF(Atletas!N385="Outro Taijiquan B",312,IF(Atletas!N385="Yang C",313,IF(Atletas!N385="Chen C",314,IF(Atletas!N385="Sun C",315,IF(Atletas!N385="Wu C",316,IF(Atletas!N385="Wu-Hao C",317,IF(Atletas!N385="Outro Taijiquan C",318,IF(Atletas!N385="Yang D",319,IF(Atletas!N385="Chen D",320,IF(Atletas!N385="Sun D",321,IF(Atletas!N385="Wu D",322,IF(Atletas!N385="Wu-Hao D",323,IF(Atletas!N385="Outro Taijiquan D",324,IF(Atletas!N385="Yang E",325,IF(Atletas!N385="Chen E",326,IF(Atletas!N385="Sun E",327,IF(Atletas!N385="Wu E",328,IF(Atletas!N385="Wu-Hao E",329,IF(Atletas!N385="Outro Taijiquan E",330,IF(Atletas!N385="Yang F",331,IF(Atletas!N385="Chen F",332,IF(Atletas!N385="Sun F",333,IF(Atletas!N385="Wu F",334,IF(Atletas!N385="Wu-Hao F",335,IF(Atletas!N385="Outro Taijiquan F",336,"")))))))))))))))))))))))))))))))))))))</f>
        <v/>
      </c>
      <c r="BP389" s="52" t="str">
        <f>IF(Atletas!O385="","",IF(Atletas!W385&lt;&gt;"",10000,0)+IF(Atletas!B385="Feminino",1000,IF(Atletas!B385="Masculino",2000,""))+IF(OR(Atletas!O385="Yang 26 A",Atletas!O385="Yang 40 A"),401,IF(OR(Atletas!O385="Chen 25 A",Atletas!O385="Chen 36 A",Atletas!O385="Chen 56 A"),402,IF(Atletas!O385="Sun 73 A",403,IF(Atletas!O385="Wu 45 A",404,IF(Atletas!O385="Wu-Hao 46 A",405,IF(OR(Atletas!O385="Taijiquan 16 A",Atletas!O385="Taijiquan 24 A",Atletas!O385="Taijiquan 32 A",Atletas!O385="Taijiquan 42 A"),406,IF(OR(Atletas!O385="Yang 26 B",Atletas!O385="Yang 40 B"),407,IF(OR(Atletas!O385="Chen 25 B",Atletas!O385="Chen 36 B",Atletas!O385="Chen 56 B"),408,IF(Atletas!O385="Sun 73 B",409,IF(Atletas!O385="Wu 45 B",410,IF(Atletas!O385="Wu-Hao 46 B",411,IF(OR(Atletas!O385="Taijiquan 16 B",Atletas!O385="Taijiquan 24 B",Atletas!O385="Taijiquan 32 B",Atletas!O385="Taijiquan 42 B"),412,IF(OR(Atletas!O385="Yang 26 C",Atletas!O385="Yang 40 C"),413,IF(OR(Atletas!O385="Chen 25 C",Atletas!O385="Chen 36 C",Atletas!O385="Chen 56 C"),414,IF(Atletas!O385="Sun 73 C",415,IF(Atletas!O385="Wu 45 C",416,IF(Atletas!O385="Wu-Hao 46 C",417,IF(OR(Atletas!O385="Taijiquan 16 C",Atletas!O385="Taijiquan 24 C",Atletas!O385="Taijiquan 32 C",Atletas!O385="Taijiquan 42 C"),418,0)))))))))))))))))))</f>
        <v/>
      </c>
      <c r="BQ389" s="52" t="str">
        <f>IF(Atletas!O385="","",IF(Atletas!W385&lt;&gt;"",10000,0)+IF(Atletas!B385="Feminino",1000,IF(Atletas!B385="Masculino",2000,""))+IF(OR(Atletas!O385="Yang 26 D",Atletas!O385="Yang 40 D"),419,IF(OR(Atletas!O385="Chen 25 D",Atletas!O385="Chen 36 D",Atletas!O385="Chen 56 D"),420,IF(Atletas!O385="Sun 73 D",421,IF(Atletas!O385="Wu 45 D",422,IF(Atletas!O385="Wu-Hao 46 D",423,IF(OR(Atletas!O385="Taijiquan 16 D",Atletas!O385="Taijiquan 24 D",Atletas!O385="Taijiquan 32 D",Atletas!O385="Taijiquan 42 D"),424,IF(OR(Atletas!O385="Yang 26 E",Atletas!O385="Yang 40 E"),425,IF(OR(Atletas!O385="Chen 25 E",Atletas!O385="Chen 36 E",Atletas!O385="Chen 56 E"),426,IF(Atletas!O385="Sun 73 E",427,IF(Atletas!O385="Wu 45 E",428,IF(Atletas!O385="Wu-Hao 46 E",429,IF(OR(Atletas!O385="Taijiquan 16 E",Atletas!O385="Taijiquan 24 E",Atletas!O385="Taijiquan 32 E",Atletas!O385="Taijiquan 42 E"),430,IF(OR(Atletas!O385="Yang 26 F",Atletas!O385="Yang 40 F"),431,IF(OR(Atletas!O385="Chen 25 F",Atletas!O385="Chen 36 F",Atletas!O385="Chen 56 F"),432,IF(Atletas!O385="Sun 73 F",433,IF(Atletas!O385="Wu 45 F",434,IF(Atletas!O385="Wu-Hao 46 F",435,IF(OR(Atletas!O385="Taijiquan 16 F",Atletas!O385="Taijiquan 24 F",Atletas!O385="Taijiquan 32 F",Atletas!O385="Taijiquan 42 F"),436,0)))))))))))))))))))</f>
        <v/>
      </c>
      <c r="BR389" s="52" t="str">
        <f>IF(Atletas!P385="","",IF(Atletas!W385&lt;&gt;"",10000,0)+IF(Atletas!B385="Feminino",1000,IF(Atletas!B385="Masculino",2000,""))+IF(Atletas!P385="Xingyiquan A",501,IF(Atletas!P385="Baguazhang A",502,IF(Atletas!P385="Outro Estilo Interno A",503,IF(Atletas!P385="Xingyiquan B",504,IF(Atletas!P385="Baguazhang B",505,IF(Atletas!P385="Outro Estilo Interno B",506,IF(Atletas!P385="Xingyiquan C",507,IF(Atletas!P385="Baguazhang C",508,IF(Atletas!P385="Outro Estilo Interno C",509,IF(Atletas!P385="Xingyiquan D",510,IF(Atletas!P385="Baguazhang D",511,IF(Atletas!P385="Outro Estilo Interno D",512,IF(Atletas!P385="Xingyiquan E",513,IF(Atletas!P385="Baguazhang E",514,IF(Atletas!P385="Outro Estilo Interno E",515,IF(Atletas!P385="Xingyiquan F",516,IF(Atletas!P385="Baguazhang F",517,IF(Atletas!P385="Outro Estilo Interno F",518, "")))))))))))))))))))</f>
        <v/>
      </c>
      <c r="BS389" s="52" t="str">
        <f>IF(Atletas!Q385="","",IF(Atletas!W385&lt;&gt;"",10000,0)+IF(Atletas!B385="Feminino",1000,IF(Atletas!B385="Masculino",2000,""))+IF(Atletas!Q385="Dao A",601,IF(Atletas!Q385="Jian A",602,IF(Atletas!Q385="Bishou A",603,IF(Atletas!Q385="Shan A",604,IF(Atletas!Q385="Outra Arma Curta A",605,IF(Atletas!Q385="Dao B",606,IF(Atletas!Q385="Jian B",607,IF(Atletas!Q385="Bishou B",608,IF(Atletas!Q385="Shan B",609,IF(Atletas!Q385="Outra Arma Curta B",610,IF(Atletas!Q385="Dao C",611,IF(Atletas!Q385="Jian C",612,IF(Atletas!Q385="Bishou C",613,IF(Atletas!Q385="Shan C",614,IF(Atletas!Q385="Outra Arma Curta C",615,IF(Atletas!Q385="Dao D",616,IF(Atletas!Q385="Jian D",617,IF(Atletas!Q385="Bishou D",618,IF(Atletas!Q385="Shan D",619,IF(Atletas!Q385="Outra Arma Curta D",620,IF(Atletas!Q385="Dao E",621,IF(Atletas!Q385="Jian E",622,IF(Atletas!Q385="Bishou E",623,IF(Atletas!Q385="Shan E",624,IF(Atletas!Q385="Outra Arma Curta E",625,IF(Atletas!Q385="Dao F",626,IF(Atletas!Q385="Jian F",627,IF(Atletas!Q385="Bishou F",628,IF(Atletas!Q385="Shan F",629,IF(Atletas!Q385="Outra Arma Curta F",630, "")))))))))))))))))))))))))))))))</f>
        <v/>
      </c>
      <c r="BT389" s="52" t="str">
        <f>IF(Atletas!R385="","",IF(Atletas!W385&lt;&gt;"",10000,0)+IF(Atletas!B385="Feminino",1000,IF(Atletas!B385="Masculino",2000,""))+IF(Atletas!R385="Gun A",701,IF(Atletas!R385="Qiang A",702,IF(Atletas!R385="Pudao / Guandao A",703,IF(Atletas!R385="Outra Arma Longa A",704,IF(Atletas!R385="Gun B",705,IF(Atletas!R385="Qiang B",706,IF(Atletas!R385="Pudao / Guandao B",707,IF(Atletas!R385="Outra Arma Longa B",708,IF(Atletas!R385="Gun C",709,IF(Atletas!R385="Qiang C",710,IF(Atletas!R385="Pudao / Guandao C",711,IF(Atletas!R385="Outra Arma Longa C",712,IF(Atletas!R385="Gun D",713,IF(Atletas!R385="Qiang D",714,IF(Atletas!R385="Pudao / Guandao D",715,IF(Atletas!R385="Outra Arma Longa D",716,IF(Atletas!R385="Gun E",717,IF(Atletas!R385="Qiang E",718,IF(Atletas!R385="Pudao / Guandao E",719,IF(Atletas!R385="Outra Arma Longa E",720,IF(Atletas!R385="Gun F",721,IF(Atletas!R385="Qiang F",722,IF(Atletas!R385="Pudao / Guandao F",723,IF(Atletas!R385="Outra Arma Longa F",724,"")))))))))))))))))))))))))</f>
        <v/>
      </c>
      <c r="BU389" s="52" t="str">
        <f>IF(Atletas!S385="","",IF(Atletas!W385&lt;&gt;"",10000,0)+IF(Atletas!B385="Feminino",1000,IF(Atletas!B385="Masculino",2000,""))+IF(Atletas!S385="Arma Dupla A",801,IF(Atletas!S385="Arma Maleável A",802,IF(Atletas!S385="Arma Dupla B",803,IF(Atletas!S385="Arma Maleável B",804,IF(Atletas!S385="Arma Dupla C",805,IF(Atletas!S385="Arma Maleável C",806,IF(Atletas!S385="Arma Dupla D",807,IF(Atletas!S385="Arma Maleável D",808,IF(Atletas!S385="Arma Dupla E",809,IF(Atletas!S385="Arma Maleável E",810,IF(Atletas!S385="Arma Dupla F",811,IF(Atletas!S385="Arma Maleável F",812, "")))))))))))))</f>
        <v/>
      </c>
      <c r="BV389" s="52" t="str">
        <f>IF(Atletas!T385="","",IF(Atletas!W385&lt;&gt;"",10000,0)+IF(Atletas!B385="Feminino",1000,IF(Atletas!B385="Masculino",2000,""))+IF(Atletas!T385="Taijijian Yang A",901,IF(Atletas!T385="Taijijian Chen A",902,IF(Atletas!T385="Taijijian Sun A",903,IF(Atletas!T385="Taijijian Wu A",904,IF(Atletas!T385="Taijijian Wu-Hao A",905,IF(Atletas!T385="Taijijian 32 A",906,IF(Atletas!T385="Taijijian 42 A",907,IF(Atletas!T385="Taijijian Yang B",908,IF(Atletas!T385="Taijijian Chen B",909,IF(Atletas!T385="Taijijian Sun B",910,IF(Atletas!T385="Taijijian Wu B",911,IF(Atletas!T385="Taijijian Wu-Hao B",912,IF(Atletas!T385="Taijijian 32 B",913,IF(Atletas!T385="Taijijian 42 B",914,IF(Atletas!T385="Taijijian Yang C",915,IF(Atletas!T385="Taijijian Chen C",916,IF(Atletas!T385="Taijijian Sun C",917,IF(Atletas!T385="Taijijian Wu C",918,IF(Atletas!T385="Taijijian Wu-Hao C",919,IF(Atletas!T385="Taijijian 32 C",920,IF(Atletas!T385="Taijijian 42 C",921,IF(Atletas!T385="Taijijian Yang D",922,IF(Atletas!T385="Taijijian Chen D",923,IF(Atletas!T385="Taijijian Sun D",924,IF(Atletas!T385="Taijijian Wu D",925,IF(Atletas!T385="Taijijian Wu-Hao D",926,IF(Atletas!T385="Taijijian 32 D",927,IF(Atletas!T385="Taijijian 42 D",928,IF(Atletas!T385="Taijijian Yang E",929,IF(Atletas!T385="Taijijian Chen E",930,IF(Atletas!T385="Taijijian Sun E",931,IF(Atletas!T385="Taijijian Wu E",932,IF(Atletas!T385="Taijijian Wu-Hao E",933,IF(Atletas!T385="Taijijian 32 E",934,IF(Atletas!T385="Taijijian 42 E",935,IF(Atletas!T385="Taijijian Yang F",936,IF(Atletas!T385="Taijijian Chen F",937,IF(Atletas!T385="Taijijian Sun F",938,IF(Atletas!T385="Taijijian Wu F",939,IF(Atletas!T385="Taijijian Wu-Hao F",940,IF(Atletas!T385="Taijijian 32 F",941,IF(Atletas!T385="Taijijian 42 F",942,"")))))))))))))))))))))))))))))))))))))))))))</f>
        <v/>
      </c>
      <c r="BW389" s="52" t="str">
        <f>IF(Atletas!U385="","",IF(Atletas!W385&lt;&gt;"",10000,0)+IF(Atletas!B385="Feminino",1000,IF(Atletas!B385="Masculino",2000,""))+IF(Atletas!T385="Taijijian 42 F",942,IF(Atletas!U385="Taijidao A",943,IF(Atletas!U385="Taijishan A",944,IF(Atletas!U385="Taijiqiang A",945,IF(Atletas!U385="Taijidao B",946,IF(Atletas!U385="Taijishan B",947,IF(Atletas!U385="Taijiqiang B",948,IF(Atletas!U385="Taijidao C",949,IF(Atletas!U385="Taijishan C",950,IF(Atletas!U385="Taijiqiang C",951,IF(Atletas!U385="Taijidao D",952,IF(Atletas!U385="Taijishan D",953,IF(Atletas!U385="Taijiqiang D",954,IF(Atletas!U385="Taijidao E",955,IF(Atletas!U385="Taijishan E",956,IF(Atletas!U385="Taijiqiang E",957,IF(Atletas!U385="Taijidao F",958,IF(Atletas!U385="Taijishan F",959,IF(Atletas!U385="Taijiqiang F",960))))))))))))))))))))</f>
        <v/>
      </c>
      <c r="CB389" s="64" t="str">
        <f>IF(CC389&lt;&gt;"","Taijijian 32 F","")</f>
        <v/>
      </c>
      <c r="CC389" s="64" t="str">
        <f>IF(COUNTIF(BK:BW,11941)&gt;0,COUNTIF(BK:BW,11941),"")</f>
        <v/>
      </c>
      <c r="CD389" s="64" t="str">
        <f>IF(CE389&lt;&gt;"","Taijijian 32 F","")</f>
        <v/>
      </c>
      <c r="CE389" s="64" t="str">
        <f>IF(COUNTIF(BK:BW,12941)&gt;0,COUNTIF(BK:BW,12941),"")</f>
        <v/>
      </c>
      <c r="CF389" s="52" t="str">
        <f xml:space="preserve"> IF(Atletas!V385="","",IF(Atletas!V385="Duilian de Mãos AB - Equipe 1",1,IF(Atletas!V385="Duilian de Mãos AB - Equipe 2",2,IF(Atletas!V385="Duilian de Armas AB - Equipe 1",3,IF(Atletas!V385="Duilian de Armas AB - Equipe 2",4,IF(Atletas!V385="Duilian de Tuishou - Equipe 1",5,IF(Atletas!V385="Duilian de Tuishou - Equipe 2",6,IF(Atletas!V385="Grupo Externo AB - Equipe 1",7,IF(Atletas!V385="Grupo Externo AB - Equipe 2",8,IF(Atletas!V385="Grupo Interno AB - Equipe 1",9,IF(Atletas!V385="Grupo Interno AB - Equipe 2",10,IF(Atletas!V385="Duilian de Mãos CD - Equipe 1",11,IF(Atletas!V385="Duilian de Mãos CD - Equipe 2",12,IF(Atletas!V385="Duilian de Armas CD - Equipe 1",13,IF(Atletas!V385="Duilian de Armas CD - Equipe 2",14,IF(Atletas!V385="Duilian de Tuishou - Equipe 1",15,IF(Atletas!V385="Duilian de Tuishou - Equipe 2",16,IF(Atletas!V385="Grupo Externo CDEF - Equipe 1",17,IF(Atletas!V385="Grupo Externo CDEF - Equipe 2",18,IF(Atletas!V385="Grupo Interno CDEF - Equipe 1",19,IF(Atletas!V385="Grupo Interno CDEF - Equipe 2",20,IF(Atletas!V385="Duilian de Mãos EF - Equipe 1",21,IF(Atletas!V385="Duilian de Mãos EF - Equipe 2",22,IF(Atletas!V385="Duilian de Armas EF - Equipe 1",23,IF(Atletas!V385="Duilian de Armas EF - Equipe 2",24,IF(Atletas!V385="Duilian de Tuishou - Equipe 1",25,IF(Atletas!V385="Duilian de Tuishou - Equipe 2",26,"")))))))))))))))))))))))))))</f>
        <v/>
      </c>
    </row>
    <row r="390" spans="36:84">
      <c r="AJ390" s="46" t="str">
        <f>IF(Atletas!D386="","",IF(Atletas!B386="Feminino",100,IF(Atletas!B386="Masculino",200,""))+(IF(Atletas!D386="Infantil 39kg",1,IF(Atletas!D386="Infantil 42kg",2,IF(Atletas!D386="Infantil 45kg",3,IF(Atletas!D386="Infantil 48kg",4,IF(Atletas!D386="Infantil 52kg",5,IF(Atletas!D386="Infantil 56kg",6,IF(Atletas!D386="Infantil 60kg",7,IF(Atletas!D386="Juvenil 48kg",8,IF(Atletas!D386="Juvenil 52kg",9,IF(Atletas!D386="Juvenil 56kg",10,IF(Atletas!D386="Juvenil 60kg",11,IF(Atletas!D386="Juvenil 65kg",12,IF(Atletas!D386="Juvenil 70kg",13,IF(Atletas!D386="Juvenil 75kg",14,IF(Atletas!D386="Juvenil 80kg",15,IF(Atletas!D386="Adulto 48kg",16,IF(Atletas!D386="Adulto 52kg",17,IF(Atletas!D386="Adulto 56kg",18,IF(Atletas!D386="Adulto 60kg",19,IF(Atletas!D386="Adulto 65kg",20,IF(Atletas!D386="Adulto 70kg",21,IF(Atletas!D386="Adulto 75kg",22,IF(Atletas!D386="Adulto 80kg",23,IF(Atletas!D386="Adulto 85kg",24,IF(Atletas!D386="Adulto 90kg",25,IF(Atletas!D386="Adulto +90kg",26,""))))))))))))))))))))))))))))</f>
        <v/>
      </c>
      <c r="AO390" s="10" t="str">
        <f>IF(Atletas!E386="","",IF(Atletas!B386="Feminino",100,IF(Atletas!B386="Masculino",200,""))+(IF(Atletas!E386="Juvenil 44kg",1,IF(Atletas!E386="Juvenil 48kg",2,IF(Atletas!E386="Juvenil 52kg",3,IF(Atletas!E386="Juvenil 56kg",4,IF(Atletas!E386="Juvenil 60kg",5,IF(Atletas!E386="Juvenil 65kg",6,IF(Atletas!E386="Juvenil 70kg",7,IF(Atletas!E386="Juvenil 75kg",8,IF(Atletas!E386="Juvenil 82kg",9,IF(Atletas!E386="Juvenil 90kg",10,IF(Atletas!E386="Juvenil 100kg",11,IF(Atletas!E386="Adulto 48kg",12,IF(Atletas!E386="Adulto 52kg",13,IF(Atletas!E386="Adulto 56kg",14,IF(Atletas!E386="Adulto 60kg",15,IF(Atletas!E386="Adulto 65kg",16,IF(Atletas!E386="Adulto 70kg",17,IF(Atletas!E386="Adulto 75kg",18,IF(Atletas!E386="Adulto 82kg",19,IF(Atletas!E386="Adulto 90kg",20,IF(Atletas!E386="Adulto 100kg",21,IF(Atletas!E386="Adulto +100kg",22,""))))))))))))))))))))))))</f>
        <v/>
      </c>
      <c r="AT390" s="10" t="str">
        <f>IF(Atletas!F386="","",IF(Atletas!B386="Feminino",100,IF(Atletas!B386="Masculino",200,""))+(IF(Atletas!F386="Adulto 48kg",1,IF(Atletas!F386="Adulto 56kg",2,IF(Atletas!F386="Adulto 65kg",3,IF(Atletas!F386="Adulto 75kg",4,IF(Atletas!F386="Adulto +75kg",5,IF(Atletas!F386="Adulto 52kg",6,IF(Atletas!F386="Adulto 60kg",7,IF(Atletas!F386="Adulto 70kg",8,IF(Atletas!F386="Adulto 80kg",9,IF(Atletas!F386="Adulto 90kg",10,IF(Atletas!F386="Adulto +90kg",11,"")))))))))))))</f>
        <v/>
      </c>
      <c r="AY390" s="46" t="str">
        <f>IF(Atletas!G386="","",IF(Atletas!B386="Feminino",100,IF(Atletas!B386="Masculino",200,""))+(IF(Atletas!G386="Changquan Mirim",1,IF(Atletas!G386="Nanquan Mirim",2,IF(Atletas!G386="Taijiquan Mirim",3,IF(Atletas!G386="Changquan Grupo C",4,IF(Atletas!G386="Nanquan Grupo C",5,IF(Atletas!G386="Taijiquan Grupo C",6,IF(Atletas!G386="Changquan Grupo B",7,IF(Atletas!G386="Nanquan Grupo B",8,IF(Atletas!G386="Taijiquan Grupo B",9,IF(Atletas!G386="Changquan Grupo A",10,IF(Atletas!G386="Nanquan Grupo A",11,IF(Atletas!G386="Taijiquan Grupo A",12,IF(Atletas!G386="Changquan Opcional",13,IF(Atletas!G386="Nanquan Opcional",14,IF(Atletas!G386="Taijiquan Opcional",15,IF(Atletas!G386="Changquan Adulto",16,IF(Atletas!G386="Nanquan Adulto",17,IF(Atletas!G386="Taijiquan Adulto",18,""))))))))))))))))))))</f>
        <v/>
      </c>
      <c r="AZ390" s="46" t="str">
        <f>IF(Atletas!H386="","",IF(Atletas!B386="Feminino",100,IF(Atletas!B386="Masculino",200,""))+(IF(Atletas!H386="Daoshu Mirim",19,IF(Atletas!H386="Jianshu Mirim",20,IF(Atletas!H386="Nandao Mirim",21,IF(Atletas!H386="Taijijian Mirim",22,IF(Atletas!H386="Daoshu Grupo C",23,IF(Atletas!H386="Jianshu Grupo C",24,IF(Atletas!H386="Nandao Grupo C",25,IF(Atletas!H386="Taijijian Grupo C",26,IF(Atletas!H386="Daoshu Grupo B",27,IF(Atletas!H386="Jianshu Grupo B",28,IF(Atletas!H386="Nandao Grupo B",29,IF(Atletas!H386="Taijijian Grupo B",30,IF(Atletas!H386="Daoshu Grupo A",31,IF(Atletas!H386="Jianshu Grupo A",32,IF(Atletas!H386="Nandao Grupo A",33,IF(Atletas!H386="Taijijian Grupo A",34,IF(Atletas!H386="Daoshu Opcional",35,IF(Atletas!H386="Jianshu Opcional",36,IF(Atletas!H386="Nandao Opcional",37,IF(Atletas!H386="Taijijian Opcional",38,IF(Atletas!H386="Daoshu Adulto",39,IF(Atletas!H386="Jianshu Adulto",40,IF(Atletas!H386="Nandao Adulto",41,IF(Atletas!H386="Taijijian Adulto",42,""))))))))))))))))))))))))))</f>
        <v/>
      </c>
      <c r="BA390" s="46" t="str">
        <f>IF(Atletas!I386="","",IF(Atletas!B386="Feminino",100,IF(Atletas!B386="Masculino",200,""))+(IF(Atletas!I386="Gunshu Mirim",43,IF(Atletas!I386="Qiangshu Mirim",44,IF(Atletas!I386="Nangun Mirim",45,IF(Atletas!I386="Gunshu Grupo C",46,IF(Atletas!I386="Qiangshu Grupo C",47,IF(Atletas!I386="Nangun Grupo C",48,IF(Atletas!I386="Gunshu Grupo B",49,IF(Atletas!I386="Qiangshu Grupo B",50,IF(Atletas!I386="Nangun Grupo B",51,IF(Atletas!I386="Gunshu Grupo A",52,IF(Atletas!I386="Qiangshu Grupo A",53,IF(Atletas!I386="Nangun Grupo A",54,IF(Atletas!I386="Gunshu Opcional",55,IF(Atletas!I386="Qiangshu Opcional",56,IF(Atletas!I386="Nangun Opcional",57,IF(Atletas!I386="Gunshu Adulto",58,IF(Atletas!I386="Qiangshu Adulto",59,IF(Atletas!I386="Nangun Adulto",60,""))))))))))))))))))))</f>
        <v/>
      </c>
      <c r="BF390" s="52" t="str">
        <f>IF(Atletas!J386="","",IF(Atletas!B386="Feminino",100,IF(Atletas!B386="Masculino",200,""))+(IF(Atletas!J386="Equipe 1 Grupo B",1,IF(Atletas!J386="Equipe 2 Grupo B",2,IF(Atletas!J386="Equipe 1 Grupo A",3,IF(Atletas!J386="Equipe 2 Grupo A",4,IF(Atletas!J386="Equipe 1 Adulto",5,IF(Atletas!J386="Equipe 2 Adulto",6,""))))))))</f>
        <v/>
      </c>
      <c r="BK390" s="52" t="str">
        <f>IF(Atletas!K386="","",IF(Atletas!W386&lt;&gt;"",10000,0)+(IF(Atletas!B386="Feminino",1000,IF(Atletas!B386="Masculino",2000,""))+IF(Atletas!K386="Choylayfut A",1,IF(Atletas!K386="Hunggar A",2,IF(Atletas!K386="Wuzuquan A",3,IF(Atletas!K386="Wingchun A",4,IF(Atletas!K386="Outra Mão de Sul A",5,IF(Atletas!K386="Choylayfut B",6,IF(Atletas!K386="Hunggar B",7,IF(Atletas!K386="Wuzuquan B",8,IF(Atletas!K386="Wingchun B",9,IF(Atletas!K386="Outra Mão de Sul B",10,IF(Atletas!K386="Choylayfut C",11,IF(Atletas!K386="Hunggar C",12,IF(Atletas!K386="Wuzuquan C",13,IF(Atletas!K386="Wingchun C",14,IF(Atletas!K386="Outra Mão de Sul C",15,IF(Atletas!K386="Choylayfut D",16,IF(Atletas!K386="Hunggar D",17,IF(Atletas!K386="Wuzuquan D",18,IF(Atletas!K386="Wingchun D",19,IF(Atletas!K386="Outra Mão de Sul D",20,IF(Atletas!K386="Choylayfut E",21,IF(Atletas!K386="Hunggar E",22,IF(Atletas!K386="Wuzuquan E",23,IF(Atletas!K386="Wingchun E",24,IF(Atletas!K386="Outra Mão de Sul E",25,IF(Atletas!K386="Choylayfut F",26,IF(Atletas!K386="Hunggar F",27,IF(Atletas!K386="Wuzuquan F",28,IF(Atletas!K386="Wingchun F",29,IF(Atletas!K386="Outra Mão de Sul F",30,""))))))))))))))))))))))))))))))))</f>
        <v/>
      </c>
      <c r="BL390" s="52" t="str">
        <f>IF(Atletas!L386="","",IF(Atletas!W386&lt;&gt;"",10000,0)+(IF(Atletas!B386="Feminino",1000,IF(Atletas!B386="Masculino",2000,""))+(IF(Atletas!L386="Chaquan A",101,IF(Atletas!L386="Emeiquan A",102,IF(Atletas!L386="Fanziquan A",103,IF(Atletas!L386="Huaquan A",104,IF(Atletas!L386="Hongquan A",105,IF(Atletas!L386="Paochui A",106,IF(Atletas!L386="Piguaquan A",107,IF(Atletas!L386="Shaolinquan A",108,IF(Atletas!L386="Tanglangquan A",109,IF(Atletas!L386="Yinzhaophai A",110,IF(Atletas!L386="Tongbeiquan A",111,IF(Atletas!L386="Wudangquan A",112,IF(Atletas!L386="Outros Estilos A",113,IF(Atletas!L386="Chaquan B",114,IF(Atletas!L386="Emeiquan B",115,IF(Atletas!L386="Fanziquan B",116,IF(Atletas!L386="Huaquan B",117,IF(Atletas!L386="Hongquan B",118,IF(Atletas!L386="Paochui B",119,IF(Atletas!L386="Piguaquan B",120,IF(Atletas!L386="Shaolinquan B",121,IF(Atletas!L386="Tanglangquan B",122,IF(Atletas!L386="Yinzhaophai B",123,IF(Atletas!L386="Tongbeiquan B",124,IF(Atletas!L386="Wudangquan B",125,IF(Atletas!L386="Outros Estilos B",126,IF(Atletas!L386="Chaquan C",127,IF(Atletas!L386="Emeiquan C",128,IF(Atletas!L386="Fanziquan C",129,IF(Atletas!L386="Huaquan C",130,IF(Atletas!L386="Hongquan C",131,IF(Atletas!L386="Paochui C",132,IF(Atletas!L386="Piguaquan C",133,IF(Atletas!L386="Shaolinquan C",134,IF(Atletas!L386="Tanglangquan C",135,IF(Atletas!L386="Yinzhaophai C",136,IF(Atletas!L386="Tongbeiquan C",137,IF(Atletas!L386="Wudangquan C",138,IF(Atletas!L386="Outros Estilos C",139,0))))))))))))))))))))))))))))))))))))))))))</f>
        <v/>
      </c>
      <c r="BM390" s="52" t="str">
        <f>IF(Atletas!L386="","",IF(Atletas!W386&lt;&gt;"",10000,0)+(IF(Atletas!B386="Feminino",1000,IF(Atletas!B386="Masculino",2000,""))+(IF(Atletas!L386="Chaquan D",140,IF(Atletas!L386="Emeiquan D",141,IF(Atletas!L386="Fanziquan D",142,IF(Atletas!L386="Huaquan D",143,IF(Atletas!L386="Hongquan D",144,IF(Atletas!L386="Paochui D",145,IF(Atletas!L386="Piguaquan D",146,IF(Atletas!L386="Shaolinquan D",147,IF(Atletas!L386="Tanglangquan D",148,IF(Atletas!L386="Yinzhaophai D",149,IF(Atletas!L386="Tongbeiquan D",150,IF(Atletas!L386="Wudangquan D",151,IF(Atletas!L386="Outros Estilos D",152,IF(Atletas!L386="Chaquan E",153,IF(Atletas!L386="Emeiquan E",154,IF(Atletas!L386="Fanziquan E",155,IF(Atletas!L386="Huaquan E",156,IF(Atletas!L386="Hongquan E",157,IF(Atletas!L386="Paochui E",158,IF(Atletas!L386="Piguaquan E",159,IF(Atletas!L386="Shaolinquan E",160,IF(Atletas!L386="Tanglangquan E",161,IF(Atletas!L386="Yinzhaophai E",162,IF(Atletas!L386="Tongbeiquan E",163,IF(Atletas!L386="Wudangquan E",164,IF(Atletas!L386="Outros Estilos E",165,IF(Atletas!L386="Chaquan F",166,IF(Atletas!L386="Emeiquan F",167,IF(Atletas!L386="Fanziquan F",168,IF(Atletas!L386="Huaquan F",169,IF(Atletas!L386="Hongquan F",170,IF(Atletas!L386="Paochui F",171,IF(Atletas!L386="Piguaquan F",172,IF(Atletas!L386="Shaolinquan F",173,IF(Atletas!L386="Tanglangquan F",174,IF(Atletas!L386="Yinzhaophai F",175,IF(Atletas!L386="Tongbeiquan F",176,IF(Atletas!L386="Wudangquan F",177,IF(Atletas!L386="Outros Estilos F",178,0))))))))))))))))))))))))))))))))))))))))))</f>
        <v/>
      </c>
      <c r="BN390" s="52" t="str">
        <f>IF(Atletas!M386="","",IF(Atletas!W386&lt;&gt;"",10000,0)+(IF(Atletas!B386="Feminino",1000,IF(Atletas!B386="Masculino",2000,""))+(IF(Atletas!M386="Ditangquan A",201,IF(Atletas!M386="Houquan A",202,IF(Atletas!M386="Zuiquan A",203,IF(Atletas!M386="Ditangquan B",204,IF(Atletas!M386="Houquan B",205,IF(Atletas!M386="Zuiquan B",206,IF(Atletas!M386="Ditangquan C",207,IF(Atletas!M386="Houquan C",208,IF(Atletas!M386="Zuiquan C",209,IF(Atletas!M386="Ditangquan D",210,IF(Atletas!M386="Houquan D",211,IF(Atletas!M386="Zuiquan D",212,IF(Atletas!M386="Ditangquan E",213,IF(Atletas!M386="Houquan E",214,IF(Atletas!M386="Zuiquan E",215,IF(Atletas!M386="Ditangquan F",216,IF(Atletas!M386="Houquan F",217,IF(Atletas!M386="Zuiquan F",218,"")))))))))))))))))))))</f>
        <v/>
      </c>
      <c r="BO390" s="52" t="str">
        <f>IF(Atletas!N386="","",IF(Atletas!W386&lt;&gt;"",10000,0)+IF(Atletas!B386="Feminino",1000,IF(Atletas!B386="Masculino",2000,""))+IF(Atletas!N386="Yang A",301,IF(Atletas!N386="Chen A",30,IF(Atletas!N386="Sun A",303,IF(Atletas!N386="Wu A",304,IF(Atletas!N386="Wu-Hao A",305,IF(Atletas!N386="Outro Taijiquan A",306,IF(Atletas!N386="Yang B",307,IF(Atletas!N386="Chen B",308,IF(Atletas!N386="Sun B",309,IF(Atletas!N386="Wu B",310,IF(Atletas!N386="Wu-Hao B",311,IF(Atletas!N386="Outro Taijiquan B",312,IF(Atletas!N386="Yang C",313,IF(Atletas!N386="Chen C",314,IF(Atletas!N386="Sun C",315,IF(Atletas!N386="Wu C",316,IF(Atletas!N386="Wu-Hao C",317,IF(Atletas!N386="Outro Taijiquan C",318,IF(Atletas!N386="Yang D",319,IF(Atletas!N386="Chen D",320,IF(Atletas!N386="Sun D",321,IF(Atletas!N386="Wu D",322,IF(Atletas!N386="Wu-Hao D",323,IF(Atletas!N386="Outro Taijiquan D",324,IF(Atletas!N386="Yang E",325,IF(Atletas!N386="Chen E",326,IF(Atletas!N386="Sun E",327,IF(Atletas!N386="Wu E",328,IF(Atletas!N386="Wu-Hao E",329,IF(Atletas!N386="Outro Taijiquan E",330,IF(Atletas!N386="Yang F",331,IF(Atletas!N386="Chen F",332,IF(Atletas!N386="Sun F",333,IF(Atletas!N386="Wu F",334,IF(Atletas!N386="Wu-Hao F",335,IF(Atletas!N386="Outro Taijiquan F",336,"")))))))))))))))))))))))))))))))))))))</f>
        <v/>
      </c>
      <c r="BP390" s="52" t="str">
        <f>IF(Atletas!O386="","",IF(Atletas!W386&lt;&gt;"",10000,0)+IF(Atletas!B386="Feminino",1000,IF(Atletas!B386="Masculino",2000,""))+IF(OR(Atletas!O386="Yang 26 A",Atletas!O386="Yang 40 A"),401,IF(OR(Atletas!O386="Chen 25 A",Atletas!O386="Chen 36 A",Atletas!O386="Chen 56 A"),402,IF(Atletas!O386="Sun 73 A",403,IF(Atletas!O386="Wu 45 A",404,IF(Atletas!O386="Wu-Hao 46 A",405,IF(OR(Atletas!O386="Taijiquan 16 A",Atletas!O386="Taijiquan 24 A",Atletas!O386="Taijiquan 32 A",Atletas!O386="Taijiquan 42 A"),406,IF(OR(Atletas!O386="Yang 26 B",Atletas!O386="Yang 40 B"),407,IF(OR(Atletas!O386="Chen 25 B",Atletas!O386="Chen 36 B",Atletas!O386="Chen 56 B"),408,IF(Atletas!O386="Sun 73 B",409,IF(Atletas!O386="Wu 45 B",410,IF(Atletas!O386="Wu-Hao 46 B",411,IF(OR(Atletas!O386="Taijiquan 16 B",Atletas!O386="Taijiquan 24 B",Atletas!O386="Taijiquan 32 B",Atletas!O386="Taijiquan 42 B"),412,IF(OR(Atletas!O386="Yang 26 C",Atletas!O386="Yang 40 C"),413,IF(OR(Atletas!O386="Chen 25 C",Atletas!O386="Chen 36 C",Atletas!O386="Chen 56 C"),414,IF(Atletas!O386="Sun 73 C",415,IF(Atletas!O386="Wu 45 C",416,IF(Atletas!O386="Wu-Hao 46 C",417,IF(OR(Atletas!O386="Taijiquan 16 C",Atletas!O386="Taijiquan 24 C",Atletas!O386="Taijiquan 32 C",Atletas!O386="Taijiquan 42 C"),418,0)))))))))))))))))))</f>
        <v/>
      </c>
      <c r="BQ390" s="52" t="str">
        <f>IF(Atletas!O386="","",IF(Atletas!W386&lt;&gt;"",10000,0)+IF(Atletas!B386="Feminino",1000,IF(Atletas!B386="Masculino",2000,""))+IF(OR(Atletas!O386="Yang 26 D",Atletas!O386="Yang 40 D"),419,IF(OR(Atletas!O386="Chen 25 D",Atletas!O386="Chen 36 D",Atletas!O386="Chen 56 D"),420,IF(Atletas!O386="Sun 73 D",421,IF(Atletas!O386="Wu 45 D",422,IF(Atletas!O386="Wu-Hao 46 D",423,IF(OR(Atletas!O386="Taijiquan 16 D",Atletas!O386="Taijiquan 24 D",Atletas!O386="Taijiquan 32 D",Atletas!O386="Taijiquan 42 D"),424,IF(OR(Atletas!O386="Yang 26 E",Atletas!O386="Yang 40 E"),425,IF(OR(Atletas!O386="Chen 25 E",Atletas!O386="Chen 36 E",Atletas!O386="Chen 56 E"),426,IF(Atletas!O386="Sun 73 E",427,IF(Atletas!O386="Wu 45 E",428,IF(Atletas!O386="Wu-Hao 46 E",429,IF(OR(Atletas!O386="Taijiquan 16 E",Atletas!O386="Taijiquan 24 E",Atletas!O386="Taijiquan 32 E",Atletas!O386="Taijiquan 42 E"),430,IF(OR(Atletas!O386="Yang 26 F",Atletas!O386="Yang 40 F"),431,IF(OR(Atletas!O386="Chen 25 F",Atletas!O386="Chen 36 F",Atletas!O386="Chen 56 F"),432,IF(Atletas!O386="Sun 73 F",433,IF(Atletas!O386="Wu 45 F",434,IF(Atletas!O386="Wu-Hao 46 F",435,IF(OR(Atletas!O386="Taijiquan 16 F",Atletas!O386="Taijiquan 24 F",Atletas!O386="Taijiquan 32 F",Atletas!O386="Taijiquan 42 F"),436,0)))))))))))))))))))</f>
        <v/>
      </c>
      <c r="BR390" s="52" t="str">
        <f>IF(Atletas!P386="","",IF(Atletas!W386&lt;&gt;"",10000,0)+IF(Atletas!B386="Feminino",1000,IF(Atletas!B386="Masculino",2000,""))+IF(Atletas!P386="Xingyiquan A",501,IF(Atletas!P386="Baguazhang A",502,IF(Atletas!P386="Outro Estilo Interno A",503,IF(Atletas!P386="Xingyiquan B",504,IF(Atletas!P386="Baguazhang B",505,IF(Atletas!P386="Outro Estilo Interno B",506,IF(Atletas!P386="Xingyiquan C",507,IF(Atletas!P386="Baguazhang C",508,IF(Atletas!P386="Outro Estilo Interno C",509,IF(Atletas!P386="Xingyiquan D",510,IF(Atletas!P386="Baguazhang D",511,IF(Atletas!P386="Outro Estilo Interno D",512,IF(Atletas!P386="Xingyiquan E",513,IF(Atletas!P386="Baguazhang E",514,IF(Atletas!P386="Outro Estilo Interno E",515,IF(Atletas!P386="Xingyiquan F",516,IF(Atletas!P386="Baguazhang F",517,IF(Atletas!P386="Outro Estilo Interno F",518, "")))))))))))))))))))</f>
        <v/>
      </c>
      <c r="BS390" s="52" t="str">
        <f>IF(Atletas!Q386="","",IF(Atletas!W386&lt;&gt;"",10000,0)+IF(Atletas!B386="Feminino",1000,IF(Atletas!B386="Masculino",2000,""))+IF(Atletas!Q386="Dao A",601,IF(Atletas!Q386="Jian A",602,IF(Atletas!Q386="Bishou A",603,IF(Atletas!Q386="Shan A",604,IF(Atletas!Q386="Outra Arma Curta A",605,IF(Atletas!Q386="Dao B",606,IF(Atletas!Q386="Jian B",607,IF(Atletas!Q386="Bishou B",608,IF(Atletas!Q386="Shan B",609,IF(Atletas!Q386="Outra Arma Curta B",610,IF(Atletas!Q386="Dao C",611,IF(Atletas!Q386="Jian C",612,IF(Atletas!Q386="Bishou C",613,IF(Atletas!Q386="Shan C",614,IF(Atletas!Q386="Outra Arma Curta C",615,IF(Atletas!Q386="Dao D",616,IF(Atletas!Q386="Jian D",617,IF(Atletas!Q386="Bishou D",618,IF(Atletas!Q386="Shan D",619,IF(Atletas!Q386="Outra Arma Curta D",620,IF(Atletas!Q386="Dao E",621,IF(Atletas!Q386="Jian E",622,IF(Atletas!Q386="Bishou E",623,IF(Atletas!Q386="Shan E",624,IF(Atletas!Q386="Outra Arma Curta E",625,IF(Atletas!Q386="Dao F",626,IF(Atletas!Q386="Jian F",627,IF(Atletas!Q386="Bishou F",628,IF(Atletas!Q386="Shan F",629,IF(Atletas!Q386="Outra Arma Curta F",630, "")))))))))))))))))))))))))))))))</f>
        <v/>
      </c>
      <c r="BT390" s="52" t="str">
        <f>IF(Atletas!R386="","",IF(Atletas!W386&lt;&gt;"",10000,0)+IF(Atletas!B386="Feminino",1000,IF(Atletas!B386="Masculino",2000,""))+IF(Atletas!R386="Gun A",701,IF(Atletas!R386="Qiang A",702,IF(Atletas!R386="Pudao / Guandao A",703,IF(Atletas!R386="Outra Arma Longa A",704,IF(Atletas!R386="Gun B",705,IF(Atletas!R386="Qiang B",706,IF(Atletas!R386="Pudao / Guandao B",707,IF(Atletas!R386="Outra Arma Longa B",708,IF(Atletas!R386="Gun C",709,IF(Atletas!R386="Qiang C",710,IF(Atletas!R386="Pudao / Guandao C",711,IF(Atletas!R386="Outra Arma Longa C",712,IF(Atletas!R386="Gun D",713,IF(Atletas!R386="Qiang D",714,IF(Atletas!R386="Pudao / Guandao D",715,IF(Atletas!R386="Outra Arma Longa D",716,IF(Atletas!R386="Gun E",717,IF(Atletas!R386="Qiang E",718,IF(Atletas!R386="Pudao / Guandao E",719,IF(Atletas!R386="Outra Arma Longa E",720,IF(Atletas!R386="Gun F",721,IF(Atletas!R386="Qiang F",722,IF(Atletas!R386="Pudao / Guandao F",723,IF(Atletas!R386="Outra Arma Longa F",724,"")))))))))))))))))))))))))</f>
        <v/>
      </c>
      <c r="BU390" s="52" t="str">
        <f>IF(Atletas!S386="","",IF(Atletas!W386&lt;&gt;"",10000,0)+IF(Atletas!B386="Feminino",1000,IF(Atletas!B386="Masculino",2000,""))+IF(Atletas!S386="Arma Dupla A",801,IF(Atletas!S386="Arma Maleável A",802,IF(Atletas!S386="Arma Dupla B",803,IF(Atletas!S386="Arma Maleável B",804,IF(Atletas!S386="Arma Dupla C",805,IF(Atletas!S386="Arma Maleável C",806,IF(Atletas!S386="Arma Dupla D",807,IF(Atletas!S386="Arma Maleável D",808,IF(Atletas!S386="Arma Dupla E",809,IF(Atletas!S386="Arma Maleável E",810,IF(Atletas!S386="Arma Dupla F",811,IF(Atletas!S386="Arma Maleável F",812, "")))))))))))))</f>
        <v/>
      </c>
      <c r="BV390" s="52" t="str">
        <f>IF(Atletas!T386="","",IF(Atletas!W386&lt;&gt;"",10000,0)+IF(Atletas!B386="Feminino",1000,IF(Atletas!B386="Masculino",2000,""))+IF(Atletas!T386="Taijijian Yang A",901,IF(Atletas!T386="Taijijian Chen A",902,IF(Atletas!T386="Taijijian Sun A",903,IF(Atletas!T386="Taijijian Wu A",904,IF(Atletas!T386="Taijijian Wu-Hao A",905,IF(Atletas!T386="Taijijian 32 A",906,IF(Atletas!T386="Taijijian 42 A",907,IF(Atletas!T386="Taijijian Yang B",908,IF(Atletas!T386="Taijijian Chen B",909,IF(Atletas!T386="Taijijian Sun B",910,IF(Atletas!T386="Taijijian Wu B",911,IF(Atletas!T386="Taijijian Wu-Hao B",912,IF(Atletas!T386="Taijijian 32 B",913,IF(Atletas!T386="Taijijian 42 B",914,IF(Atletas!T386="Taijijian Yang C",915,IF(Atletas!T386="Taijijian Chen C",916,IF(Atletas!T386="Taijijian Sun C",917,IF(Atletas!T386="Taijijian Wu C",918,IF(Atletas!T386="Taijijian Wu-Hao C",919,IF(Atletas!T386="Taijijian 32 C",920,IF(Atletas!T386="Taijijian 42 C",921,IF(Atletas!T386="Taijijian Yang D",922,IF(Atletas!T386="Taijijian Chen D",923,IF(Atletas!T386="Taijijian Sun D",924,IF(Atletas!T386="Taijijian Wu D",925,IF(Atletas!T386="Taijijian Wu-Hao D",926,IF(Atletas!T386="Taijijian 32 D",927,IF(Atletas!T386="Taijijian 42 D",928,IF(Atletas!T386="Taijijian Yang E",929,IF(Atletas!T386="Taijijian Chen E",930,IF(Atletas!T386="Taijijian Sun E",931,IF(Atletas!T386="Taijijian Wu E",932,IF(Atletas!T386="Taijijian Wu-Hao E",933,IF(Atletas!T386="Taijijian 32 E",934,IF(Atletas!T386="Taijijian 42 E",935,IF(Atletas!T386="Taijijian Yang F",936,IF(Atletas!T386="Taijijian Chen F",937,IF(Atletas!T386="Taijijian Sun F",938,IF(Atletas!T386="Taijijian Wu F",939,IF(Atletas!T386="Taijijian Wu-Hao F",940,IF(Atletas!T386="Taijijian 32 F",941,IF(Atletas!T386="Taijijian 42 F",942,"")))))))))))))))))))))))))))))))))))))))))))</f>
        <v/>
      </c>
      <c r="BW390" s="52" t="str">
        <f>IF(Atletas!U386="","",IF(Atletas!W386&lt;&gt;"",10000,0)+IF(Atletas!B386="Feminino",1000,IF(Atletas!B386="Masculino",2000,""))+IF(Atletas!T386="Taijijian 42 F",942,IF(Atletas!U386="Taijidao A",943,IF(Atletas!U386="Taijishan A",944,IF(Atletas!U386="Taijiqiang A",945,IF(Atletas!U386="Taijidao B",946,IF(Atletas!U386="Taijishan B",947,IF(Atletas!U386="Taijiqiang B",948,IF(Atletas!U386="Taijidao C",949,IF(Atletas!U386="Taijishan C",950,IF(Atletas!U386="Taijiqiang C",951,IF(Atletas!U386="Taijidao D",952,IF(Atletas!U386="Taijishan D",953,IF(Atletas!U386="Taijiqiang D",954,IF(Atletas!U386="Taijidao E",955,IF(Atletas!U386="Taijishan E",956,IF(Atletas!U386="Taijiqiang E",957,IF(Atletas!U386="Taijidao F",958,IF(Atletas!U386="Taijishan F",959,IF(Atletas!U386="Taijiqiang F",960))))))))))))))))))))</f>
        <v/>
      </c>
      <c r="CB390" s="64" t="str">
        <f>IF(CC390&lt;&gt;"","Taijijian 42 F","")</f>
        <v/>
      </c>
      <c r="CC390" s="64" t="str">
        <f>IF(COUNTIF(BK:BW,11942)&gt;0,COUNTIF(BK:BW,11942),"")</f>
        <v/>
      </c>
      <c r="CD390" s="64" t="str">
        <f>IF(CE390&lt;&gt;"","Taijijian 42 F","")</f>
        <v/>
      </c>
      <c r="CE390" s="64" t="str">
        <f>IF(COUNTIF(BK:BW,12942)&gt;0,COUNTIF(BK:BW,12942),"")</f>
        <v/>
      </c>
      <c r="CF390" s="52" t="str">
        <f xml:space="preserve"> IF(Atletas!V386="","",IF(Atletas!V386="Duilian de Mãos AB - Equipe 1",1,IF(Atletas!V386="Duilian de Mãos AB - Equipe 2",2,IF(Atletas!V386="Duilian de Armas AB - Equipe 1",3,IF(Atletas!V386="Duilian de Armas AB - Equipe 2",4,IF(Atletas!V386="Duilian de Tuishou - Equipe 1",5,IF(Atletas!V386="Duilian de Tuishou - Equipe 2",6,IF(Atletas!V386="Grupo Externo AB - Equipe 1",7,IF(Atletas!V386="Grupo Externo AB - Equipe 2",8,IF(Atletas!V386="Grupo Interno AB - Equipe 1",9,IF(Atletas!V386="Grupo Interno AB - Equipe 2",10,IF(Atletas!V386="Duilian de Mãos CD - Equipe 1",11,IF(Atletas!V386="Duilian de Mãos CD - Equipe 2",12,IF(Atletas!V386="Duilian de Armas CD - Equipe 1",13,IF(Atletas!V386="Duilian de Armas CD - Equipe 2",14,IF(Atletas!V386="Duilian de Tuishou - Equipe 1",15,IF(Atletas!V386="Duilian de Tuishou - Equipe 2",16,IF(Atletas!V386="Grupo Externo CDEF - Equipe 1",17,IF(Atletas!V386="Grupo Externo CDEF - Equipe 2",18,IF(Atletas!V386="Grupo Interno CDEF - Equipe 1",19,IF(Atletas!V386="Grupo Interno CDEF - Equipe 2",20,IF(Atletas!V386="Duilian de Mãos EF - Equipe 1",21,IF(Atletas!V386="Duilian de Mãos EF - Equipe 2",22,IF(Atletas!V386="Duilian de Armas EF - Equipe 1",23,IF(Atletas!V386="Duilian de Armas EF - Equipe 2",24,IF(Atletas!V386="Duilian de Tuishou - Equipe 1",25,IF(Atletas!V386="Duilian de Tuishou - Equipe 2",26,"")))))))))))))))))))))))))))</f>
        <v/>
      </c>
    </row>
    <row r="391" spans="36:84">
      <c r="AJ391" s="46" t="str">
        <f>IF(Atletas!D387="","",IF(Atletas!B387="Feminino",100,IF(Atletas!B387="Masculino",200,""))+(IF(Atletas!D387="Infantil 39kg",1,IF(Atletas!D387="Infantil 42kg",2,IF(Atletas!D387="Infantil 45kg",3,IF(Atletas!D387="Infantil 48kg",4,IF(Atletas!D387="Infantil 52kg",5,IF(Atletas!D387="Infantil 56kg",6,IF(Atletas!D387="Infantil 60kg",7,IF(Atletas!D387="Juvenil 48kg",8,IF(Atletas!D387="Juvenil 52kg",9,IF(Atletas!D387="Juvenil 56kg",10,IF(Atletas!D387="Juvenil 60kg",11,IF(Atletas!D387="Juvenil 65kg",12,IF(Atletas!D387="Juvenil 70kg",13,IF(Atletas!D387="Juvenil 75kg",14,IF(Atletas!D387="Juvenil 80kg",15,IF(Atletas!D387="Adulto 48kg",16,IF(Atletas!D387="Adulto 52kg",17,IF(Atletas!D387="Adulto 56kg",18,IF(Atletas!D387="Adulto 60kg",19,IF(Atletas!D387="Adulto 65kg",20,IF(Atletas!D387="Adulto 70kg",21,IF(Atletas!D387="Adulto 75kg",22,IF(Atletas!D387="Adulto 80kg",23,IF(Atletas!D387="Adulto 85kg",24,IF(Atletas!D387="Adulto 90kg",25,IF(Atletas!D387="Adulto +90kg",26,""))))))))))))))))))))))))))))</f>
        <v/>
      </c>
      <c r="AO391" s="10" t="str">
        <f>IF(Atletas!E387="","",IF(Atletas!B387="Feminino",100,IF(Atletas!B387="Masculino",200,""))+(IF(Atletas!E387="Juvenil 44kg",1,IF(Atletas!E387="Juvenil 48kg",2,IF(Atletas!E387="Juvenil 52kg",3,IF(Atletas!E387="Juvenil 56kg",4,IF(Atletas!E387="Juvenil 60kg",5,IF(Atletas!E387="Juvenil 65kg",6,IF(Atletas!E387="Juvenil 70kg",7,IF(Atletas!E387="Juvenil 75kg",8,IF(Atletas!E387="Juvenil 82kg",9,IF(Atletas!E387="Juvenil 90kg",10,IF(Atletas!E387="Juvenil 100kg",11,IF(Atletas!E387="Adulto 48kg",12,IF(Atletas!E387="Adulto 52kg",13,IF(Atletas!E387="Adulto 56kg",14,IF(Atletas!E387="Adulto 60kg",15,IF(Atletas!E387="Adulto 65kg",16,IF(Atletas!E387="Adulto 70kg",17,IF(Atletas!E387="Adulto 75kg",18,IF(Atletas!E387="Adulto 82kg",19,IF(Atletas!E387="Adulto 90kg",20,IF(Atletas!E387="Adulto 100kg",21,IF(Atletas!E387="Adulto +100kg",22,""))))))))))))))))))))))))</f>
        <v/>
      </c>
      <c r="AT391" s="10" t="str">
        <f>IF(Atletas!F387="","",IF(Atletas!B387="Feminino",100,IF(Atletas!B387="Masculino",200,""))+(IF(Atletas!F387="Adulto 48kg",1,IF(Atletas!F387="Adulto 56kg",2,IF(Atletas!F387="Adulto 65kg",3,IF(Atletas!F387="Adulto 75kg",4,IF(Atletas!F387="Adulto +75kg",5,IF(Atletas!F387="Adulto 52kg",6,IF(Atletas!F387="Adulto 60kg",7,IF(Atletas!F387="Adulto 70kg",8,IF(Atletas!F387="Adulto 80kg",9,IF(Atletas!F387="Adulto 90kg",10,IF(Atletas!F387="Adulto +90kg",11,"")))))))))))))</f>
        <v/>
      </c>
      <c r="AY391" s="46" t="str">
        <f>IF(Atletas!G387="","",IF(Atletas!B387="Feminino",100,IF(Atletas!B387="Masculino",200,""))+(IF(Atletas!G387="Changquan Mirim",1,IF(Atletas!G387="Nanquan Mirim",2,IF(Atletas!G387="Taijiquan Mirim",3,IF(Atletas!G387="Changquan Grupo C",4,IF(Atletas!G387="Nanquan Grupo C",5,IF(Atletas!G387="Taijiquan Grupo C",6,IF(Atletas!G387="Changquan Grupo B",7,IF(Atletas!G387="Nanquan Grupo B",8,IF(Atletas!G387="Taijiquan Grupo B",9,IF(Atletas!G387="Changquan Grupo A",10,IF(Atletas!G387="Nanquan Grupo A",11,IF(Atletas!G387="Taijiquan Grupo A",12,IF(Atletas!G387="Changquan Opcional",13,IF(Atletas!G387="Nanquan Opcional",14,IF(Atletas!G387="Taijiquan Opcional",15,IF(Atletas!G387="Changquan Adulto",16,IF(Atletas!G387="Nanquan Adulto",17,IF(Atletas!G387="Taijiquan Adulto",18,""))))))))))))))))))))</f>
        <v/>
      </c>
      <c r="AZ391" s="46" t="str">
        <f>IF(Atletas!H387="","",IF(Atletas!B387="Feminino",100,IF(Atletas!B387="Masculino",200,""))+(IF(Atletas!H387="Daoshu Mirim",19,IF(Atletas!H387="Jianshu Mirim",20,IF(Atletas!H387="Nandao Mirim",21,IF(Atletas!H387="Taijijian Mirim",22,IF(Atletas!H387="Daoshu Grupo C",23,IF(Atletas!H387="Jianshu Grupo C",24,IF(Atletas!H387="Nandao Grupo C",25,IF(Atletas!H387="Taijijian Grupo C",26,IF(Atletas!H387="Daoshu Grupo B",27,IF(Atletas!H387="Jianshu Grupo B",28,IF(Atletas!H387="Nandao Grupo B",29,IF(Atletas!H387="Taijijian Grupo B",30,IF(Atletas!H387="Daoshu Grupo A",31,IF(Atletas!H387="Jianshu Grupo A",32,IF(Atletas!H387="Nandao Grupo A",33,IF(Atletas!H387="Taijijian Grupo A",34,IF(Atletas!H387="Daoshu Opcional",35,IF(Atletas!H387="Jianshu Opcional",36,IF(Atletas!H387="Nandao Opcional",37,IF(Atletas!H387="Taijijian Opcional",38,IF(Atletas!H387="Daoshu Adulto",39,IF(Atletas!H387="Jianshu Adulto",40,IF(Atletas!H387="Nandao Adulto",41,IF(Atletas!H387="Taijijian Adulto",42,""))))))))))))))))))))))))))</f>
        <v/>
      </c>
      <c r="BA391" s="46" t="str">
        <f>IF(Atletas!I387="","",IF(Atletas!B387="Feminino",100,IF(Atletas!B387="Masculino",200,""))+(IF(Atletas!I387="Gunshu Mirim",43,IF(Atletas!I387="Qiangshu Mirim",44,IF(Atletas!I387="Nangun Mirim",45,IF(Atletas!I387="Gunshu Grupo C",46,IF(Atletas!I387="Qiangshu Grupo C",47,IF(Atletas!I387="Nangun Grupo C",48,IF(Atletas!I387="Gunshu Grupo B",49,IF(Atletas!I387="Qiangshu Grupo B",50,IF(Atletas!I387="Nangun Grupo B",51,IF(Atletas!I387="Gunshu Grupo A",52,IF(Atletas!I387="Qiangshu Grupo A",53,IF(Atletas!I387="Nangun Grupo A",54,IF(Atletas!I387="Gunshu Opcional",55,IF(Atletas!I387="Qiangshu Opcional",56,IF(Atletas!I387="Nangun Opcional",57,IF(Atletas!I387="Gunshu Adulto",58,IF(Atletas!I387="Qiangshu Adulto",59,IF(Atletas!I387="Nangun Adulto",60,""))))))))))))))))))))</f>
        <v/>
      </c>
      <c r="BF391" s="52" t="str">
        <f>IF(Atletas!J387="","",IF(Atletas!B387="Feminino",100,IF(Atletas!B387="Masculino",200,""))+(IF(Atletas!J387="Equipe 1 Grupo B",1,IF(Atletas!J387="Equipe 2 Grupo B",2,IF(Atletas!J387="Equipe 1 Grupo A",3,IF(Atletas!J387="Equipe 2 Grupo A",4,IF(Atletas!J387="Equipe 1 Adulto",5,IF(Atletas!J387="Equipe 2 Adulto",6,""))))))))</f>
        <v/>
      </c>
      <c r="BK391" s="52" t="str">
        <f>IF(Atletas!K387="","",IF(Atletas!W387&lt;&gt;"",10000,0)+(IF(Atletas!B387="Feminino",1000,IF(Atletas!B387="Masculino",2000,""))+IF(Atletas!K387="Choylayfut A",1,IF(Atletas!K387="Hunggar A",2,IF(Atletas!K387="Wuzuquan A",3,IF(Atletas!K387="Wingchun A",4,IF(Atletas!K387="Outra Mão de Sul A",5,IF(Atletas!K387="Choylayfut B",6,IF(Atletas!K387="Hunggar B",7,IF(Atletas!K387="Wuzuquan B",8,IF(Atletas!K387="Wingchun B",9,IF(Atletas!K387="Outra Mão de Sul B",10,IF(Atletas!K387="Choylayfut C",11,IF(Atletas!K387="Hunggar C",12,IF(Atletas!K387="Wuzuquan C",13,IF(Atletas!K387="Wingchun C",14,IF(Atletas!K387="Outra Mão de Sul C",15,IF(Atletas!K387="Choylayfut D",16,IF(Atletas!K387="Hunggar D",17,IF(Atletas!K387="Wuzuquan D",18,IF(Atletas!K387="Wingchun D",19,IF(Atletas!K387="Outra Mão de Sul D",20,IF(Atletas!K387="Choylayfut E",21,IF(Atletas!K387="Hunggar E",22,IF(Atletas!K387="Wuzuquan E",23,IF(Atletas!K387="Wingchun E",24,IF(Atletas!K387="Outra Mão de Sul E",25,IF(Atletas!K387="Choylayfut F",26,IF(Atletas!K387="Hunggar F",27,IF(Atletas!K387="Wuzuquan F",28,IF(Atletas!K387="Wingchun F",29,IF(Atletas!K387="Outra Mão de Sul F",30,""))))))))))))))))))))))))))))))))</f>
        <v/>
      </c>
      <c r="BL391" s="52" t="str">
        <f>IF(Atletas!L387="","",IF(Atletas!W387&lt;&gt;"",10000,0)+(IF(Atletas!B387="Feminino",1000,IF(Atletas!B387="Masculino",2000,""))+(IF(Atletas!L387="Chaquan A",101,IF(Atletas!L387="Emeiquan A",102,IF(Atletas!L387="Fanziquan A",103,IF(Atletas!L387="Huaquan A",104,IF(Atletas!L387="Hongquan A",105,IF(Atletas!L387="Paochui A",106,IF(Atletas!L387="Piguaquan A",107,IF(Atletas!L387="Shaolinquan A",108,IF(Atletas!L387="Tanglangquan A",109,IF(Atletas!L387="Yinzhaophai A",110,IF(Atletas!L387="Tongbeiquan A",111,IF(Atletas!L387="Wudangquan A",112,IF(Atletas!L387="Outros Estilos A",113,IF(Atletas!L387="Chaquan B",114,IF(Atletas!L387="Emeiquan B",115,IF(Atletas!L387="Fanziquan B",116,IF(Atletas!L387="Huaquan B",117,IF(Atletas!L387="Hongquan B",118,IF(Atletas!L387="Paochui B",119,IF(Atletas!L387="Piguaquan B",120,IF(Atletas!L387="Shaolinquan B",121,IF(Atletas!L387="Tanglangquan B",122,IF(Atletas!L387="Yinzhaophai B",123,IF(Atletas!L387="Tongbeiquan B",124,IF(Atletas!L387="Wudangquan B",125,IF(Atletas!L387="Outros Estilos B",126,IF(Atletas!L387="Chaquan C",127,IF(Atletas!L387="Emeiquan C",128,IF(Atletas!L387="Fanziquan C",129,IF(Atletas!L387="Huaquan C",130,IF(Atletas!L387="Hongquan C",131,IF(Atletas!L387="Paochui C",132,IF(Atletas!L387="Piguaquan C",133,IF(Atletas!L387="Shaolinquan C",134,IF(Atletas!L387="Tanglangquan C",135,IF(Atletas!L387="Yinzhaophai C",136,IF(Atletas!L387="Tongbeiquan C",137,IF(Atletas!L387="Wudangquan C",138,IF(Atletas!L387="Outros Estilos C",139,0))))))))))))))))))))))))))))))))))))))))))</f>
        <v/>
      </c>
      <c r="BM391" s="52" t="str">
        <f>IF(Atletas!L387="","",IF(Atletas!W387&lt;&gt;"",10000,0)+(IF(Atletas!B387="Feminino",1000,IF(Atletas!B387="Masculino",2000,""))+(IF(Atletas!L387="Chaquan D",140,IF(Atletas!L387="Emeiquan D",141,IF(Atletas!L387="Fanziquan D",142,IF(Atletas!L387="Huaquan D",143,IF(Atletas!L387="Hongquan D",144,IF(Atletas!L387="Paochui D",145,IF(Atletas!L387="Piguaquan D",146,IF(Atletas!L387="Shaolinquan D",147,IF(Atletas!L387="Tanglangquan D",148,IF(Atletas!L387="Yinzhaophai D",149,IF(Atletas!L387="Tongbeiquan D",150,IF(Atletas!L387="Wudangquan D",151,IF(Atletas!L387="Outros Estilos D",152,IF(Atletas!L387="Chaquan E",153,IF(Atletas!L387="Emeiquan E",154,IF(Atletas!L387="Fanziquan E",155,IF(Atletas!L387="Huaquan E",156,IF(Atletas!L387="Hongquan E",157,IF(Atletas!L387="Paochui E",158,IF(Atletas!L387="Piguaquan E",159,IF(Atletas!L387="Shaolinquan E",160,IF(Atletas!L387="Tanglangquan E",161,IF(Atletas!L387="Yinzhaophai E",162,IF(Atletas!L387="Tongbeiquan E",163,IF(Atletas!L387="Wudangquan E",164,IF(Atletas!L387="Outros Estilos E",165,IF(Atletas!L387="Chaquan F",166,IF(Atletas!L387="Emeiquan F",167,IF(Atletas!L387="Fanziquan F",168,IF(Atletas!L387="Huaquan F",169,IF(Atletas!L387="Hongquan F",170,IF(Atletas!L387="Paochui F",171,IF(Atletas!L387="Piguaquan F",172,IF(Atletas!L387="Shaolinquan F",173,IF(Atletas!L387="Tanglangquan F",174,IF(Atletas!L387="Yinzhaophai F",175,IF(Atletas!L387="Tongbeiquan F",176,IF(Atletas!L387="Wudangquan F",177,IF(Atletas!L387="Outros Estilos F",178,0))))))))))))))))))))))))))))))))))))))))))</f>
        <v/>
      </c>
      <c r="BN391" s="52" t="str">
        <f>IF(Atletas!M387="","",IF(Atletas!W387&lt;&gt;"",10000,0)+(IF(Atletas!B387="Feminino",1000,IF(Atletas!B387="Masculino",2000,""))+(IF(Atletas!M387="Ditangquan A",201,IF(Atletas!M387="Houquan A",202,IF(Atletas!M387="Zuiquan A",203,IF(Atletas!M387="Ditangquan B",204,IF(Atletas!M387="Houquan B",205,IF(Atletas!M387="Zuiquan B",206,IF(Atletas!M387="Ditangquan C",207,IF(Atletas!M387="Houquan C",208,IF(Atletas!M387="Zuiquan C",209,IF(Atletas!M387="Ditangquan D",210,IF(Atletas!M387="Houquan D",211,IF(Atletas!M387="Zuiquan D",212,IF(Atletas!M387="Ditangquan E",213,IF(Atletas!M387="Houquan E",214,IF(Atletas!M387="Zuiquan E",215,IF(Atletas!M387="Ditangquan F",216,IF(Atletas!M387="Houquan F",217,IF(Atletas!M387="Zuiquan F",218,"")))))))))))))))))))))</f>
        <v/>
      </c>
      <c r="BO391" s="52" t="str">
        <f>IF(Atletas!N387="","",IF(Atletas!W387&lt;&gt;"",10000,0)+IF(Atletas!B387="Feminino",1000,IF(Atletas!B387="Masculino",2000,""))+IF(Atletas!N387="Yang A",301,IF(Atletas!N387="Chen A",30,IF(Atletas!N387="Sun A",303,IF(Atletas!N387="Wu A",304,IF(Atletas!N387="Wu-Hao A",305,IF(Atletas!N387="Outro Taijiquan A",306,IF(Atletas!N387="Yang B",307,IF(Atletas!N387="Chen B",308,IF(Atletas!N387="Sun B",309,IF(Atletas!N387="Wu B",310,IF(Atletas!N387="Wu-Hao B",311,IF(Atletas!N387="Outro Taijiquan B",312,IF(Atletas!N387="Yang C",313,IF(Atletas!N387="Chen C",314,IF(Atletas!N387="Sun C",315,IF(Atletas!N387="Wu C",316,IF(Atletas!N387="Wu-Hao C",317,IF(Atletas!N387="Outro Taijiquan C",318,IF(Atletas!N387="Yang D",319,IF(Atletas!N387="Chen D",320,IF(Atletas!N387="Sun D",321,IF(Atletas!N387="Wu D",322,IF(Atletas!N387="Wu-Hao D",323,IF(Atletas!N387="Outro Taijiquan D",324,IF(Atletas!N387="Yang E",325,IF(Atletas!N387="Chen E",326,IF(Atletas!N387="Sun E",327,IF(Atletas!N387="Wu E",328,IF(Atletas!N387="Wu-Hao E",329,IF(Atletas!N387="Outro Taijiquan E",330,IF(Atletas!N387="Yang F",331,IF(Atletas!N387="Chen F",332,IF(Atletas!N387="Sun F",333,IF(Atletas!N387="Wu F",334,IF(Atletas!N387="Wu-Hao F",335,IF(Atletas!N387="Outro Taijiquan F",336,"")))))))))))))))))))))))))))))))))))))</f>
        <v/>
      </c>
      <c r="BP391" s="52" t="str">
        <f>IF(Atletas!O387="","",IF(Atletas!W387&lt;&gt;"",10000,0)+IF(Atletas!B387="Feminino",1000,IF(Atletas!B387="Masculino",2000,""))+IF(OR(Atletas!O387="Yang 26 A",Atletas!O387="Yang 40 A"),401,IF(OR(Atletas!O387="Chen 25 A",Atletas!O387="Chen 36 A",Atletas!O387="Chen 56 A"),402,IF(Atletas!O387="Sun 73 A",403,IF(Atletas!O387="Wu 45 A",404,IF(Atletas!O387="Wu-Hao 46 A",405,IF(OR(Atletas!O387="Taijiquan 16 A",Atletas!O387="Taijiquan 24 A",Atletas!O387="Taijiquan 32 A",Atletas!O387="Taijiquan 42 A"),406,IF(OR(Atletas!O387="Yang 26 B",Atletas!O387="Yang 40 B"),407,IF(OR(Atletas!O387="Chen 25 B",Atletas!O387="Chen 36 B",Atletas!O387="Chen 56 B"),408,IF(Atletas!O387="Sun 73 B",409,IF(Atletas!O387="Wu 45 B",410,IF(Atletas!O387="Wu-Hao 46 B",411,IF(OR(Atletas!O387="Taijiquan 16 B",Atletas!O387="Taijiquan 24 B",Atletas!O387="Taijiquan 32 B",Atletas!O387="Taijiquan 42 B"),412,IF(OR(Atletas!O387="Yang 26 C",Atletas!O387="Yang 40 C"),413,IF(OR(Atletas!O387="Chen 25 C",Atletas!O387="Chen 36 C",Atletas!O387="Chen 56 C"),414,IF(Atletas!O387="Sun 73 C",415,IF(Atletas!O387="Wu 45 C",416,IF(Atletas!O387="Wu-Hao 46 C",417,IF(OR(Atletas!O387="Taijiquan 16 C",Atletas!O387="Taijiquan 24 C",Atletas!O387="Taijiquan 32 C",Atletas!O387="Taijiquan 42 C"),418,0)))))))))))))))))))</f>
        <v/>
      </c>
      <c r="BQ391" s="52" t="str">
        <f>IF(Atletas!O387="","",IF(Atletas!W387&lt;&gt;"",10000,0)+IF(Atletas!B387="Feminino",1000,IF(Atletas!B387="Masculino",2000,""))+IF(OR(Atletas!O387="Yang 26 D",Atletas!O387="Yang 40 D"),419,IF(OR(Atletas!O387="Chen 25 D",Atletas!O387="Chen 36 D",Atletas!O387="Chen 56 D"),420,IF(Atletas!O387="Sun 73 D",421,IF(Atletas!O387="Wu 45 D",422,IF(Atletas!O387="Wu-Hao 46 D",423,IF(OR(Atletas!O387="Taijiquan 16 D",Atletas!O387="Taijiquan 24 D",Atletas!O387="Taijiquan 32 D",Atletas!O387="Taijiquan 42 D"),424,IF(OR(Atletas!O387="Yang 26 E",Atletas!O387="Yang 40 E"),425,IF(OR(Atletas!O387="Chen 25 E",Atletas!O387="Chen 36 E",Atletas!O387="Chen 56 E"),426,IF(Atletas!O387="Sun 73 E",427,IF(Atletas!O387="Wu 45 E",428,IF(Atletas!O387="Wu-Hao 46 E",429,IF(OR(Atletas!O387="Taijiquan 16 E",Atletas!O387="Taijiquan 24 E",Atletas!O387="Taijiquan 32 E",Atletas!O387="Taijiquan 42 E"),430,IF(OR(Atletas!O387="Yang 26 F",Atletas!O387="Yang 40 F"),431,IF(OR(Atletas!O387="Chen 25 F",Atletas!O387="Chen 36 F",Atletas!O387="Chen 56 F"),432,IF(Atletas!O387="Sun 73 F",433,IF(Atletas!O387="Wu 45 F",434,IF(Atletas!O387="Wu-Hao 46 F",435,IF(OR(Atletas!O387="Taijiquan 16 F",Atletas!O387="Taijiquan 24 F",Atletas!O387="Taijiquan 32 F",Atletas!O387="Taijiquan 42 F"),436,0)))))))))))))))))))</f>
        <v/>
      </c>
      <c r="BR391" s="52" t="str">
        <f>IF(Atletas!P387="","",IF(Atletas!W387&lt;&gt;"",10000,0)+IF(Atletas!B387="Feminino",1000,IF(Atletas!B387="Masculino",2000,""))+IF(Atletas!P387="Xingyiquan A",501,IF(Atletas!P387="Baguazhang A",502,IF(Atletas!P387="Outro Estilo Interno A",503,IF(Atletas!P387="Xingyiquan B",504,IF(Atletas!P387="Baguazhang B",505,IF(Atletas!P387="Outro Estilo Interno B",506,IF(Atletas!P387="Xingyiquan C",507,IF(Atletas!P387="Baguazhang C",508,IF(Atletas!P387="Outro Estilo Interno C",509,IF(Atletas!P387="Xingyiquan D",510,IF(Atletas!P387="Baguazhang D",511,IF(Atletas!P387="Outro Estilo Interno D",512,IF(Atletas!P387="Xingyiquan E",513,IF(Atletas!P387="Baguazhang E",514,IF(Atletas!P387="Outro Estilo Interno E",515,IF(Atletas!P387="Xingyiquan F",516,IF(Atletas!P387="Baguazhang F",517,IF(Atletas!P387="Outro Estilo Interno F",518, "")))))))))))))))))))</f>
        <v/>
      </c>
      <c r="BS391" s="52" t="str">
        <f>IF(Atletas!Q387="","",IF(Atletas!W387&lt;&gt;"",10000,0)+IF(Atletas!B387="Feminino",1000,IF(Atletas!B387="Masculino",2000,""))+IF(Atletas!Q387="Dao A",601,IF(Atletas!Q387="Jian A",602,IF(Atletas!Q387="Bishou A",603,IF(Atletas!Q387="Shan A",604,IF(Atletas!Q387="Outra Arma Curta A",605,IF(Atletas!Q387="Dao B",606,IF(Atletas!Q387="Jian B",607,IF(Atletas!Q387="Bishou B",608,IF(Atletas!Q387="Shan B",609,IF(Atletas!Q387="Outra Arma Curta B",610,IF(Atletas!Q387="Dao C",611,IF(Atletas!Q387="Jian C",612,IF(Atletas!Q387="Bishou C",613,IF(Atletas!Q387="Shan C",614,IF(Atletas!Q387="Outra Arma Curta C",615,IF(Atletas!Q387="Dao D",616,IF(Atletas!Q387="Jian D",617,IF(Atletas!Q387="Bishou D",618,IF(Atletas!Q387="Shan D",619,IF(Atletas!Q387="Outra Arma Curta D",620,IF(Atletas!Q387="Dao E",621,IF(Atletas!Q387="Jian E",622,IF(Atletas!Q387="Bishou E",623,IF(Atletas!Q387="Shan E",624,IF(Atletas!Q387="Outra Arma Curta E",625,IF(Atletas!Q387="Dao F",626,IF(Atletas!Q387="Jian F",627,IF(Atletas!Q387="Bishou F",628,IF(Atletas!Q387="Shan F",629,IF(Atletas!Q387="Outra Arma Curta F",630, "")))))))))))))))))))))))))))))))</f>
        <v/>
      </c>
      <c r="BT391" s="52" t="str">
        <f>IF(Atletas!R387="","",IF(Atletas!W387&lt;&gt;"",10000,0)+IF(Atletas!B387="Feminino",1000,IF(Atletas!B387="Masculino",2000,""))+IF(Atletas!R387="Gun A",701,IF(Atletas!R387="Qiang A",702,IF(Atletas!R387="Pudao / Guandao A",703,IF(Atletas!R387="Outra Arma Longa A",704,IF(Atletas!R387="Gun B",705,IF(Atletas!R387="Qiang B",706,IF(Atletas!R387="Pudao / Guandao B",707,IF(Atletas!R387="Outra Arma Longa B",708,IF(Atletas!R387="Gun C",709,IF(Atletas!R387="Qiang C",710,IF(Atletas!R387="Pudao / Guandao C",711,IF(Atletas!R387="Outra Arma Longa C",712,IF(Atletas!R387="Gun D",713,IF(Atletas!R387="Qiang D",714,IF(Atletas!R387="Pudao / Guandao D",715,IF(Atletas!R387="Outra Arma Longa D",716,IF(Atletas!R387="Gun E",717,IF(Atletas!R387="Qiang E",718,IF(Atletas!R387="Pudao / Guandao E",719,IF(Atletas!R387="Outra Arma Longa E",720,IF(Atletas!R387="Gun F",721,IF(Atletas!R387="Qiang F",722,IF(Atletas!R387="Pudao / Guandao F",723,IF(Atletas!R387="Outra Arma Longa F",724,"")))))))))))))))))))))))))</f>
        <v/>
      </c>
      <c r="BU391" s="52" t="str">
        <f>IF(Atletas!S387="","",IF(Atletas!W387&lt;&gt;"",10000,0)+IF(Atletas!B387="Feminino",1000,IF(Atletas!B387="Masculino",2000,""))+IF(Atletas!S387="Arma Dupla A",801,IF(Atletas!S387="Arma Maleável A",802,IF(Atletas!S387="Arma Dupla B",803,IF(Atletas!S387="Arma Maleável B",804,IF(Atletas!S387="Arma Dupla C",805,IF(Atletas!S387="Arma Maleável C",806,IF(Atletas!S387="Arma Dupla D",807,IF(Atletas!S387="Arma Maleável D",808,IF(Atletas!S387="Arma Dupla E",809,IF(Atletas!S387="Arma Maleável E",810,IF(Atletas!S387="Arma Dupla F",811,IF(Atletas!S387="Arma Maleável F",812, "")))))))))))))</f>
        <v/>
      </c>
      <c r="BV391" s="52" t="str">
        <f>IF(Atletas!T387="","",IF(Atletas!W387&lt;&gt;"",10000,0)+IF(Atletas!B387="Feminino",1000,IF(Atletas!B387="Masculino",2000,""))+IF(Atletas!T387="Taijijian Yang A",901,IF(Atletas!T387="Taijijian Chen A",902,IF(Atletas!T387="Taijijian Sun A",903,IF(Atletas!T387="Taijijian Wu A",904,IF(Atletas!T387="Taijijian Wu-Hao A",905,IF(Atletas!T387="Taijijian 32 A",906,IF(Atletas!T387="Taijijian 42 A",907,IF(Atletas!T387="Taijijian Yang B",908,IF(Atletas!T387="Taijijian Chen B",909,IF(Atletas!T387="Taijijian Sun B",910,IF(Atletas!T387="Taijijian Wu B",911,IF(Atletas!T387="Taijijian Wu-Hao B",912,IF(Atletas!T387="Taijijian 32 B",913,IF(Atletas!T387="Taijijian 42 B",914,IF(Atletas!T387="Taijijian Yang C",915,IF(Atletas!T387="Taijijian Chen C",916,IF(Atletas!T387="Taijijian Sun C",917,IF(Atletas!T387="Taijijian Wu C",918,IF(Atletas!T387="Taijijian Wu-Hao C",919,IF(Atletas!T387="Taijijian 32 C",920,IF(Atletas!T387="Taijijian 42 C",921,IF(Atletas!T387="Taijijian Yang D",922,IF(Atletas!T387="Taijijian Chen D",923,IF(Atletas!T387="Taijijian Sun D",924,IF(Atletas!T387="Taijijian Wu D",925,IF(Atletas!T387="Taijijian Wu-Hao D",926,IF(Atletas!T387="Taijijian 32 D",927,IF(Atletas!T387="Taijijian 42 D",928,IF(Atletas!T387="Taijijian Yang E",929,IF(Atletas!T387="Taijijian Chen E",930,IF(Atletas!T387="Taijijian Sun E",931,IF(Atletas!T387="Taijijian Wu E",932,IF(Atletas!T387="Taijijian Wu-Hao E",933,IF(Atletas!T387="Taijijian 32 E",934,IF(Atletas!T387="Taijijian 42 E",935,IF(Atletas!T387="Taijijian Yang F",936,IF(Atletas!T387="Taijijian Chen F",937,IF(Atletas!T387="Taijijian Sun F",938,IF(Atletas!T387="Taijijian Wu F",939,IF(Atletas!T387="Taijijian Wu-Hao F",940,IF(Atletas!T387="Taijijian 32 F",941,IF(Atletas!T387="Taijijian 42 F",942,"")))))))))))))))))))))))))))))))))))))))))))</f>
        <v/>
      </c>
      <c r="BW391" s="52" t="str">
        <f>IF(Atletas!U387="","",IF(Atletas!W387&lt;&gt;"",10000,0)+IF(Atletas!B387="Feminino",1000,IF(Atletas!B387="Masculino",2000,""))+IF(Atletas!T387="Taijijian 42 F",942,IF(Atletas!U387="Taijidao A",943,IF(Atletas!U387="Taijishan A",944,IF(Atletas!U387="Taijiqiang A",945,IF(Atletas!U387="Taijidao B",946,IF(Atletas!U387="Taijishan B",947,IF(Atletas!U387="Taijiqiang B",948,IF(Atletas!U387="Taijidao C",949,IF(Atletas!U387="Taijishan C",950,IF(Atletas!U387="Taijiqiang C",951,IF(Atletas!U387="Taijidao D",952,IF(Atletas!U387="Taijishan D",953,IF(Atletas!U387="Taijiqiang D",954,IF(Atletas!U387="Taijidao E",955,IF(Atletas!U387="Taijishan E",956,IF(Atletas!U387="Taijiqiang E",957,IF(Atletas!U387="Taijidao F",958,IF(Atletas!U387="Taijishan F",959,IF(Atletas!U387="Taijiqiang F",960))))))))))))))))))))</f>
        <v/>
      </c>
      <c r="CB391" s="64" t="str">
        <f>IF(CC391&lt;&gt;"","Taijidao A","")</f>
        <v/>
      </c>
      <c r="CC391" s="64" t="str">
        <f>IF(COUNTIF(BK:BW,11943)&gt;0,COUNTIF(BK:BW,11943),"")</f>
        <v/>
      </c>
      <c r="CD391" s="64" t="str">
        <f>IF(CE391&lt;&gt;"","Taijidao A","")</f>
        <v/>
      </c>
      <c r="CE391" s="64" t="str">
        <f>IF(COUNTIF(BK:BW,12943)&gt;0,COUNTIF(BK:BW,12943),"")</f>
        <v/>
      </c>
      <c r="CF391" s="52" t="str">
        <f xml:space="preserve"> IF(Atletas!V387="","",IF(Atletas!V387="Duilian de Mãos AB - Equipe 1",1,IF(Atletas!V387="Duilian de Mãos AB - Equipe 2",2,IF(Atletas!V387="Duilian de Armas AB - Equipe 1",3,IF(Atletas!V387="Duilian de Armas AB - Equipe 2",4,IF(Atletas!V387="Duilian de Tuishou - Equipe 1",5,IF(Atletas!V387="Duilian de Tuishou - Equipe 2",6,IF(Atletas!V387="Grupo Externo AB - Equipe 1",7,IF(Atletas!V387="Grupo Externo AB - Equipe 2",8,IF(Atletas!V387="Grupo Interno AB - Equipe 1",9,IF(Atletas!V387="Grupo Interno AB - Equipe 2",10,IF(Atletas!V387="Duilian de Mãos CD - Equipe 1",11,IF(Atletas!V387="Duilian de Mãos CD - Equipe 2",12,IF(Atletas!V387="Duilian de Armas CD - Equipe 1",13,IF(Atletas!V387="Duilian de Armas CD - Equipe 2",14,IF(Atletas!V387="Duilian de Tuishou - Equipe 1",15,IF(Atletas!V387="Duilian de Tuishou - Equipe 2",16,IF(Atletas!V387="Grupo Externo CDEF - Equipe 1",17,IF(Atletas!V387="Grupo Externo CDEF - Equipe 2",18,IF(Atletas!V387="Grupo Interno CDEF - Equipe 1",19,IF(Atletas!V387="Grupo Interno CDEF - Equipe 2",20,IF(Atletas!V387="Duilian de Mãos EF - Equipe 1",21,IF(Atletas!V387="Duilian de Mãos EF - Equipe 2",22,IF(Atletas!V387="Duilian de Armas EF - Equipe 1",23,IF(Atletas!V387="Duilian de Armas EF - Equipe 2",24,IF(Atletas!V387="Duilian de Tuishou - Equipe 1",25,IF(Atletas!V387="Duilian de Tuishou - Equipe 2",26,"")))))))))))))))))))))))))))</f>
        <v/>
      </c>
    </row>
    <row r="392" spans="36:84">
      <c r="AJ392" s="46" t="str">
        <f>IF(Atletas!D388="","",IF(Atletas!B388="Feminino",100,IF(Atletas!B388="Masculino",200,""))+(IF(Atletas!D388="Infantil 39kg",1,IF(Atletas!D388="Infantil 42kg",2,IF(Atletas!D388="Infantil 45kg",3,IF(Atletas!D388="Infantil 48kg",4,IF(Atletas!D388="Infantil 52kg",5,IF(Atletas!D388="Infantil 56kg",6,IF(Atletas!D388="Infantil 60kg",7,IF(Atletas!D388="Juvenil 48kg",8,IF(Atletas!D388="Juvenil 52kg",9,IF(Atletas!D388="Juvenil 56kg",10,IF(Atletas!D388="Juvenil 60kg",11,IF(Atletas!D388="Juvenil 65kg",12,IF(Atletas!D388="Juvenil 70kg",13,IF(Atletas!D388="Juvenil 75kg",14,IF(Atletas!D388="Juvenil 80kg",15,IF(Atletas!D388="Adulto 48kg",16,IF(Atletas!D388="Adulto 52kg",17,IF(Atletas!D388="Adulto 56kg",18,IF(Atletas!D388="Adulto 60kg",19,IF(Atletas!D388="Adulto 65kg",20,IF(Atletas!D388="Adulto 70kg",21,IF(Atletas!D388="Adulto 75kg",22,IF(Atletas!D388="Adulto 80kg",23,IF(Atletas!D388="Adulto 85kg",24,IF(Atletas!D388="Adulto 90kg",25,IF(Atletas!D388="Adulto +90kg",26,""))))))))))))))))))))))))))))</f>
        <v/>
      </c>
      <c r="AO392" s="10" t="str">
        <f>IF(Atletas!E388="","",IF(Atletas!B388="Feminino",100,IF(Atletas!B388="Masculino",200,""))+(IF(Atletas!E388="Juvenil 44kg",1,IF(Atletas!E388="Juvenil 48kg",2,IF(Atletas!E388="Juvenil 52kg",3,IF(Atletas!E388="Juvenil 56kg",4,IF(Atletas!E388="Juvenil 60kg",5,IF(Atletas!E388="Juvenil 65kg",6,IF(Atletas!E388="Juvenil 70kg",7,IF(Atletas!E388="Juvenil 75kg",8,IF(Atletas!E388="Juvenil 82kg",9,IF(Atletas!E388="Juvenil 90kg",10,IF(Atletas!E388="Juvenil 100kg",11,IF(Atletas!E388="Adulto 48kg",12,IF(Atletas!E388="Adulto 52kg",13,IF(Atletas!E388="Adulto 56kg",14,IF(Atletas!E388="Adulto 60kg",15,IF(Atletas!E388="Adulto 65kg",16,IF(Atletas!E388="Adulto 70kg",17,IF(Atletas!E388="Adulto 75kg",18,IF(Atletas!E388="Adulto 82kg",19,IF(Atletas!E388="Adulto 90kg",20,IF(Atletas!E388="Adulto 100kg",21,IF(Atletas!E388="Adulto +100kg",22,""))))))))))))))))))))))))</f>
        <v/>
      </c>
      <c r="AT392" s="10" t="str">
        <f>IF(Atletas!F388="","",IF(Atletas!B388="Feminino",100,IF(Atletas!B388="Masculino",200,""))+(IF(Atletas!F388="Adulto 48kg",1,IF(Atletas!F388="Adulto 56kg",2,IF(Atletas!F388="Adulto 65kg",3,IF(Atletas!F388="Adulto 75kg",4,IF(Atletas!F388="Adulto +75kg",5,IF(Atletas!F388="Adulto 52kg",6,IF(Atletas!F388="Adulto 60kg",7,IF(Atletas!F388="Adulto 70kg",8,IF(Atletas!F388="Adulto 80kg",9,IF(Atletas!F388="Adulto 90kg",10,IF(Atletas!F388="Adulto +90kg",11,"")))))))))))))</f>
        <v/>
      </c>
      <c r="AY392" s="46" t="str">
        <f>IF(Atletas!G388="","",IF(Atletas!B388="Feminino",100,IF(Atletas!B388="Masculino",200,""))+(IF(Atletas!G388="Changquan Mirim",1,IF(Atletas!G388="Nanquan Mirim",2,IF(Atletas!G388="Taijiquan Mirim",3,IF(Atletas!G388="Changquan Grupo C",4,IF(Atletas!G388="Nanquan Grupo C",5,IF(Atletas!G388="Taijiquan Grupo C",6,IF(Atletas!G388="Changquan Grupo B",7,IF(Atletas!G388="Nanquan Grupo B",8,IF(Atletas!G388="Taijiquan Grupo B",9,IF(Atletas!G388="Changquan Grupo A",10,IF(Atletas!G388="Nanquan Grupo A",11,IF(Atletas!G388="Taijiquan Grupo A",12,IF(Atletas!G388="Changquan Opcional",13,IF(Atletas!G388="Nanquan Opcional",14,IF(Atletas!G388="Taijiquan Opcional",15,IF(Atletas!G388="Changquan Adulto",16,IF(Atletas!G388="Nanquan Adulto",17,IF(Atletas!G388="Taijiquan Adulto",18,""))))))))))))))))))))</f>
        <v/>
      </c>
      <c r="AZ392" s="46" t="str">
        <f>IF(Atletas!H388="","",IF(Atletas!B388="Feminino",100,IF(Atletas!B388="Masculino",200,""))+(IF(Atletas!H388="Daoshu Mirim",19,IF(Atletas!H388="Jianshu Mirim",20,IF(Atletas!H388="Nandao Mirim",21,IF(Atletas!H388="Taijijian Mirim",22,IF(Atletas!H388="Daoshu Grupo C",23,IF(Atletas!H388="Jianshu Grupo C",24,IF(Atletas!H388="Nandao Grupo C",25,IF(Atletas!H388="Taijijian Grupo C",26,IF(Atletas!H388="Daoshu Grupo B",27,IF(Atletas!H388="Jianshu Grupo B",28,IF(Atletas!H388="Nandao Grupo B",29,IF(Atletas!H388="Taijijian Grupo B",30,IF(Atletas!H388="Daoshu Grupo A",31,IF(Atletas!H388="Jianshu Grupo A",32,IF(Atletas!H388="Nandao Grupo A",33,IF(Atletas!H388="Taijijian Grupo A",34,IF(Atletas!H388="Daoshu Opcional",35,IF(Atletas!H388="Jianshu Opcional",36,IF(Atletas!H388="Nandao Opcional",37,IF(Atletas!H388="Taijijian Opcional",38,IF(Atletas!H388="Daoshu Adulto",39,IF(Atletas!H388="Jianshu Adulto",40,IF(Atletas!H388="Nandao Adulto",41,IF(Atletas!H388="Taijijian Adulto",42,""))))))))))))))))))))))))))</f>
        <v/>
      </c>
      <c r="BA392" s="46" t="str">
        <f>IF(Atletas!I388="","",IF(Atletas!B388="Feminino",100,IF(Atletas!B388="Masculino",200,""))+(IF(Atletas!I388="Gunshu Mirim",43,IF(Atletas!I388="Qiangshu Mirim",44,IF(Atletas!I388="Nangun Mirim",45,IF(Atletas!I388="Gunshu Grupo C",46,IF(Atletas!I388="Qiangshu Grupo C",47,IF(Atletas!I388="Nangun Grupo C",48,IF(Atletas!I388="Gunshu Grupo B",49,IF(Atletas!I388="Qiangshu Grupo B",50,IF(Atletas!I388="Nangun Grupo B",51,IF(Atletas!I388="Gunshu Grupo A",52,IF(Atletas!I388="Qiangshu Grupo A",53,IF(Atletas!I388="Nangun Grupo A",54,IF(Atletas!I388="Gunshu Opcional",55,IF(Atletas!I388="Qiangshu Opcional",56,IF(Atletas!I388="Nangun Opcional",57,IF(Atletas!I388="Gunshu Adulto",58,IF(Atletas!I388="Qiangshu Adulto",59,IF(Atletas!I388="Nangun Adulto",60,""))))))))))))))))))))</f>
        <v/>
      </c>
      <c r="BF392" s="52" t="str">
        <f>IF(Atletas!J388="","",IF(Atletas!B388="Feminino",100,IF(Atletas!B388="Masculino",200,""))+(IF(Atletas!J388="Equipe 1 Grupo B",1,IF(Atletas!J388="Equipe 2 Grupo B",2,IF(Atletas!J388="Equipe 1 Grupo A",3,IF(Atletas!J388="Equipe 2 Grupo A",4,IF(Atletas!J388="Equipe 1 Adulto",5,IF(Atletas!J388="Equipe 2 Adulto",6,""))))))))</f>
        <v/>
      </c>
      <c r="BK392" s="52" t="str">
        <f>IF(Atletas!K388="","",IF(Atletas!W388&lt;&gt;"",10000,0)+(IF(Atletas!B388="Feminino",1000,IF(Atletas!B388="Masculino",2000,""))+IF(Atletas!K388="Choylayfut A",1,IF(Atletas!K388="Hunggar A",2,IF(Atletas!K388="Wuzuquan A",3,IF(Atletas!K388="Wingchun A",4,IF(Atletas!K388="Outra Mão de Sul A",5,IF(Atletas!K388="Choylayfut B",6,IF(Atletas!K388="Hunggar B",7,IF(Atletas!K388="Wuzuquan B",8,IF(Atletas!K388="Wingchun B",9,IF(Atletas!K388="Outra Mão de Sul B",10,IF(Atletas!K388="Choylayfut C",11,IF(Atletas!K388="Hunggar C",12,IF(Atletas!K388="Wuzuquan C",13,IF(Atletas!K388="Wingchun C",14,IF(Atletas!K388="Outra Mão de Sul C",15,IF(Atletas!K388="Choylayfut D",16,IF(Atletas!K388="Hunggar D",17,IF(Atletas!K388="Wuzuquan D",18,IF(Atletas!K388="Wingchun D",19,IF(Atletas!K388="Outra Mão de Sul D",20,IF(Atletas!K388="Choylayfut E",21,IF(Atletas!K388="Hunggar E",22,IF(Atletas!K388="Wuzuquan E",23,IF(Atletas!K388="Wingchun E",24,IF(Atletas!K388="Outra Mão de Sul E",25,IF(Atletas!K388="Choylayfut F",26,IF(Atletas!K388="Hunggar F",27,IF(Atletas!K388="Wuzuquan F",28,IF(Atletas!K388="Wingchun F",29,IF(Atletas!K388="Outra Mão de Sul F",30,""))))))))))))))))))))))))))))))))</f>
        <v/>
      </c>
      <c r="BL392" s="52" t="str">
        <f>IF(Atletas!L388="","",IF(Atletas!W388&lt;&gt;"",10000,0)+(IF(Atletas!B388="Feminino",1000,IF(Atletas!B388="Masculino",2000,""))+(IF(Atletas!L388="Chaquan A",101,IF(Atletas!L388="Emeiquan A",102,IF(Atletas!L388="Fanziquan A",103,IF(Atletas!L388="Huaquan A",104,IF(Atletas!L388="Hongquan A",105,IF(Atletas!L388="Paochui A",106,IF(Atletas!L388="Piguaquan A",107,IF(Atletas!L388="Shaolinquan A",108,IF(Atletas!L388="Tanglangquan A",109,IF(Atletas!L388="Yinzhaophai A",110,IF(Atletas!L388="Tongbeiquan A",111,IF(Atletas!L388="Wudangquan A",112,IF(Atletas!L388="Outros Estilos A",113,IF(Atletas!L388="Chaquan B",114,IF(Atletas!L388="Emeiquan B",115,IF(Atletas!L388="Fanziquan B",116,IF(Atletas!L388="Huaquan B",117,IF(Atletas!L388="Hongquan B",118,IF(Atletas!L388="Paochui B",119,IF(Atletas!L388="Piguaquan B",120,IF(Atletas!L388="Shaolinquan B",121,IF(Atletas!L388="Tanglangquan B",122,IF(Atletas!L388="Yinzhaophai B",123,IF(Atletas!L388="Tongbeiquan B",124,IF(Atletas!L388="Wudangquan B",125,IF(Atletas!L388="Outros Estilos B",126,IF(Atletas!L388="Chaquan C",127,IF(Atletas!L388="Emeiquan C",128,IF(Atletas!L388="Fanziquan C",129,IF(Atletas!L388="Huaquan C",130,IF(Atletas!L388="Hongquan C",131,IF(Atletas!L388="Paochui C",132,IF(Atletas!L388="Piguaquan C",133,IF(Atletas!L388="Shaolinquan C",134,IF(Atletas!L388="Tanglangquan C",135,IF(Atletas!L388="Yinzhaophai C",136,IF(Atletas!L388="Tongbeiquan C",137,IF(Atletas!L388="Wudangquan C",138,IF(Atletas!L388="Outros Estilos C",139,0))))))))))))))))))))))))))))))))))))))))))</f>
        <v/>
      </c>
      <c r="BM392" s="52" t="str">
        <f>IF(Atletas!L388="","",IF(Atletas!W388&lt;&gt;"",10000,0)+(IF(Atletas!B388="Feminino",1000,IF(Atletas!B388="Masculino",2000,""))+(IF(Atletas!L388="Chaquan D",140,IF(Atletas!L388="Emeiquan D",141,IF(Atletas!L388="Fanziquan D",142,IF(Atletas!L388="Huaquan D",143,IF(Atletas!L388="Hongquan D",144,IF(Atletas!L388="Paochui D",145,IF(Atletas!L388="Piguaquan D",146,IF(Atletas!L388="Shaolinquan D",147,IF(Atletas!L388="Tanglangquan D",148,IF(Atletas!L388="Yinzhaophai D",149,IF(Atletas!L388="Tongbeiquan D",150,IF(Atletas!L388="Wudangquan D",151,IF(Atletas!L388="Outros Estilos D",152,IF(Atletas!L388="Chaquan E",153,IF(Atletas!L388="Emeiquan E",154,IF(Atletas!L388="Fanziquan E",155,IF(Atletas!L388="Huaquan E",156,IF(Atletas!L388="Hongquan E",157,IF(Atletas!L388="Paochui E",158,IF(Atletas!L388="Piguaquan E",159,IF(Atletas!L388="Shaolinquan E",160,IF(Atletas!L388="Tanglangquan E",161,IF(Atletas!L388="Yinzhaophai E",162,IF(Atletas!L388="Tongbeiquan E",163,IF(Atletas!L388="Wudangquan E",164,IF(Atletas!L388="Outros Estilos E",165,IF(Atletas!L388="Chaquan F",166,IF(Atletas!L388="Emeiquan F",167,IF(Atletas!L388="Fanziquan F",168,IF(Atletas!L388="Huaquan F",169,IF(Atletas!L388="Hongquan F",170,IF(Atletas!L388="Paochui F",171,IF(Atletas!L388="Piguaquan F",172,IF(Atletas!L388="Shaolinquan F",173,IF(Atletas!L388="Tanglangquan F",174,IF(Atletas!L388="Yinzhaophai F",175,IF(Atletas!L388="Tongbeiquan F",176,IF(Atletas!L388="Wudangquan F",177,IF(Atletas!L388="Outros Estilos F",178,0))))))))))))))))))))))))))))))))))))))))))</f>
        <v/>
      </c>
      <c r="BN392" s="52" t="str">
        <f>IF(Atletas!M388="","",IF(Atletas!W388&lt;&gt;"",10000,0)+(IF(Atletas!B388="Feminino",1000,IF(Atletas!B388="Masculino",2000,""))+(IF(Atletas!M388="Ditangquan A",201,IF(Atletas!M388="Houquan A",202,IF(Atletas!M388="Zuiquan A",203,IF(Atletas!M388="Ditangquan B",204,IF(Atletas!M388="Houquan B",205,IF(Atletas!M388="Zuiquan B",206,IF(Atletas!M388="Ditangquan C",207,IF(Atletas!M388="Houquan C",208,IF(Atletas!M388="Zuiquan C",209,IF(Atletas!M388="Ditangquan D",210,IF(Atletas!M388="Houquan D",211,IF(Atletas!M388="Zuiquan D",212,IF(Atletas!M388="Ditangquan E",213,IF(Atletas!M388="Houquan E",214,IF(Atletas!M388="Zuiquan E",215,IF(Atletas!M388="Ditangquan F",216,IF(Atletas!M388="Houquan F",217,IF(Atletas!M388="Zuiquan F",218,"")))))))))))))))))))))</f>
        <v/>
      </c>
      <c r="BO392" s="52" t="str">
        <f>IF(Atletas!N388="","",IF(Atletas!W388&lt;&gt;"",10000,0)+IF(Atletas!B388="Feminino",1000,IF(Atletas!B388="Masculino",2000,""))+IF(Atletas!N388="Yang A",301,IF(Atletas!N388="Chen A",30,IF(Atletas!N388="Sun A",303,IF(Atletas!N388="Wu A",304,IF(Atletas!N388="Wu-Hao A",305,IF(Atletas!N388="Outro Taijiquan A",306,IF(Atletas!N388="Yang B",307,IF(Atletas!N388="Chen B",308,IF(Atletas!N388="Sun B",309,IF(Atletas!N388="Wu B",310,IF(Atletas!N388="Wu-Hao B",311,IF(Atletas!N388="Outro Taijiquan B",312,IF(Atletas!N388="Yang C",313,IF(Atletas!N388="Chen C",314,IF(Atletas!N388="Sun C",315,IF(Atletas!N388="Wu C",316,IF(Atletas!N388="Wu-Hao C",317,IF(Atletas!N388="Outro Taijiquan C",318,IF(Atletas!N388="Yang D",319,IF(Atletas!N388="Chen D",320,IF(Atletas!N388="Sun D",321,IF(Atletas!N388="Wu D",322,IF(Atletas!N388="Wu-Hao D",323,IF(Atletas!N388="Outro Taijiquan D",324,IF(Atletas!N388="Yang E",325,IF(Atletas!N388="Chen E",326,IF(Atletas!N388="Sun E",327,IF(Atletas!N388="Wu E",328,IF(Atletas!N388="Wu-Hao E",329,IF(Atletas!N388="Outro Taijiquan E",330,IF(Atletas!N388="Yang F",331,IF(Atletas!N388="Chen F",332,IF(Atletas!N388="Sun F",333,IF(Atletas!N388="Wu F",334,IF(Atletas!N388="Wu-Hao F",335,IF(Atletas!N388="Outro Taijiquan F",336,"")))))))))))))))))))))))))))))))))))))</f>
        <v/>
      </c>
      <c r="BP392" s="52" t="str">
        <f>IF(Atletas!O388="","",IF(Atletas!W388&lt;&gt;"",10000,0)+IF(Atletas!B388="Feminino",1000,IF(Atletas!B388="Masculino",2000,""))+IF(OR(Atletas!O388="Yang 26 A",Atletas!O388="Yang 40 A"),401,IF(OR(Atletas!O388="Chen 25 A",Atletas!O388="Chen 36 A",Atletas!O388="Chen 56 A"),402,IF(Atletas!O388="Sun 73 A",403,IF(Atletas!O388="Wu 45 A",404,IF(Atletas!O388="Wu-Hao 46 A",405,IF(OR(Atletas!O388="Taijiquan 16 A",Atletas!O388="Taijiquan 24 A",Atletas!O388="Taijiquan 32 A",Atletas!O388="Taijiquan 42 A"),406,IF(OR(Atletas!O388="Yang 26 B",Atletas!O388="Yang 40 B"),407,IF(OR(Atletas!O388="Chen 25 B",Atletas!O388="Chen 36 B",Atletas!O388="Chen 56 B"),408,IF(Atletas!O388="Sun 73 B",409,IF(Atletas!O388="Wu 45 B",410,IF(Atletas!O388="Wu-Hao 46 B",411,IF(OR(Atletas!O388="Taijiquan 16 B",Atletas!O388="Taijiquan 24 B",Atletas!O388="Taijiquan 32 B",Atletas!O388="Taijiquan 42 B"),412,IF(OR(Atletas!O388="Yang 26 C",Atletas!O388="Yang 40 C"),413,IF(OR(Atletas!O388="Chen 25 C",Atletas!O388="Chen 36 C",Atletas!O388="Chen 56 C"),414,IF(Atletas!O388="Sun 73 C",415,IF(Atletas!O388="Wu 45 C",416,IF(Atletas!O388="Wu-Hao 46 C",417,IF(OR(Atletas!O388="Taijiquan 16 C",Atletas!O388="Taijiquan 24 C",Atletas!O388="Taijiquan 32 C",Atletas!O388="Taijiquan 42 C"),418,0)))))))))))))))))))</f>
        <v/>
      </c>
      <c r="BQ392" s="52" t="str">
        <f>IF(Atletas!O388="","",IF(Atletas!W388&lt;&gt;"",10000,0)+IF(Atletas!B388="Feminino",1000,IF(Atletas!B388="Masculino",2000,""))+IF(OR(Atletas!O388="Yang 26 D",Atletas!O388="Yang 40 D"),419,IF(OR(Atletas!O388="Chen 25 D",Atletas!O388="Chen 36 D",Atletas!O388="Chen 56 D"),420,IF(Atletas!O388="Sun 73 D",421,IF(Atletas!O388="Wu 45 D",422,IF(Atletas!O388="Wu-Hao 46 D",423,IF(OR(Atletas!O388="Taijiquan 16 D",Atletas!O388="Taijiquan 24 D",Atletas!O388="Taijiquan 32 D",Atletas!O388="Taijiquan 42 D"),424,IF(OR(Atletas!O388="Yang 26 E",Atletas!O388="Yang 40 E"),425,IF(OR(Atletas!O388="Chen 25 E",Atletas!O388="Chen 36 E",Atletas!O388="Chen 56 E"),426,IF(Atletas!O388="Sun 73 E",427,IF(Atletas!O388="Wu 45 E",428,IF(Atletas!O388="Wu-Hao 46 E",429,IF(OR(Atletas!O388="Taijiquan 16 E",Atletas!O388="Taijiquan 24 E",Atletas!O388="Taijiquan 32 E",Atletas!O388="Taijiquan 42 E"),430,IF(OR(Atletas!O388="Yang 26 F",Atletas!O388="Yang 40 F"),431,IF(OR(Atletas!O388="Chen 25 F",Atletas!O388="Chen 36 F",Atletas!O388="Chen 56 F"),432,IF(Atletas!O388="Sun 73 F",433,IF(Atletas!O388="Wu 45 F",434,IF(Atletas!O388="Wu-Hao 46 F",435,IF(OR(Atletas!O388="Taijiquan 16 F",Atletas!O388="Taijiquan 24 F",Atletas!O388="Taijiquan 32 F",Atletas!O388="Taijiquan 42 F"),436,0)))))))))))))))))))</f>
        <v/>
      </c>
      <c r="BR392" s="52" t="str">
        <f>IF(Atletas!P388="","",IF(Atletas!W388&lt;&gt;"",10000,0)+IF(Atletas!B388="Feminino",1000,IF(Atletas!B388="Masculino",2000,""))+IF(Atletas!P388="Xingyiquan A",501,IF(Atletas!P388="Baguazhang A",502,IF(Atletas!P388="Outro Estilo Interno A",503,IF(Atletas!P388="Xingyiquan B",504,IF(Atletas!P388="Baguazhang B",505,IF(Atletas!P388="Outro Estilo Interno B",506,IF(Atletas!P388="Xingyiquan C",507,IF(Atletas!P388="Baguazhang C",508,IF(Atletas!P388="Outro Estilo Interno C",509,IF(Atletas!P388="Xingyiquan D",510,IF(Atletas!P388="Baguazhang D",511,IF(Atletas!P388="Outro Estilo Interno D",512,IF(Atletas!P388="Xingyiquan E",513,IF(Atletas!P388="Baguazhang E",514,IF(Atletas!P388="Outro Estilo Interno E",515,IF(Atletas!P388="Xingyiquan F",516,IF(Atletas!P388="Baguazhang F",517,IF(Atletas!P388="Outro Estilo Interno F",518, "")))))))))))))))))))</f>
        <v/>
      </c>
      <c r="BS392" s="52" t="str">
        <f>IF(Atletas!Q388="","",IF(Atletas!W388&lt;&gt;"",10000,0)+IF(Atletas!B388="Feminino",1000,IF(Atletas!B388="Masculino",2000,""))+IF(Atletas!Q388="Dao A",601,IF(Atletas!Q388="Jian A",602,IF(Atletas!Q388="Bishou A",603,IF(Atletas!Q388="Shan A",604,IF(Atletas!Q388="Outra Arma Curta A",605,IF(Atletas!Q388="Dao B",606,IF(Atletas!Q388="Jian B",607,IF(Atletas!Q388="Bishou B",608,IF(Atletas!Q388="Shan B",609,IF(Atletas!Q388="Outra Arma Curta B",610,IF(Atletas!Q388="Dao C",611,IF(Atletas!Q388="Jian C",612,IF(Atletas!Q388="Bishou C",613,IF(Atletas!Q388="Shan C",614,IF(Atletas!Q388="Outra Arma Curta C",615,IF(Atletas!Q388="Dao D",616,IF(Atletas!Q388="Jian D",617,IF(Atletas!Q388="Bishou D",618,IF(Atletas!Q388="Shan D",619,IF(Atletas!Q388="Outra Arma Curta D",620,IF(Atletas!Q388="Dao E",621,IF(Atletas!Q388="Jian E",622,IF(Atletas!Q388="Bishou E",623,IF(Atletas!Q388="Shan E",624,IF(Atletas!Q388="Outra Arma Curta E",625,IF(Atletas!Q388="Dao F",626,IF(Atletas!Q388="Jian F",627,IF(Atletas!Q388="Bishou F",628,IF(Atletas!Q388="Shan F",629,IF(Atletas!Q388="Outra Arma Curta F",630, "")))))))))))))))))))))))))))))))</f>
        <v/>
      </c>
      <c r="BT392" s="52" t="str">
        <f>IF(Atletas!R388="","",IF(Atletas!W388&lt;&gt;"",10000,0)+IF(Atletas!B388="Feminino",1000,IF(Atletas!B388="Masculino",2000,""))+IF(Atletas!R388="Gun A",701,IF(Atletas!R388="Qiang A",702,IF(Atletas!R388="Pudao / Guandao A",703,IF(Atletas!R388="Outra Arma Longa A",704,IF(Atletas!R388="Gun B",705,IF(Atletas!R388="Qiang B",706,IF(Atletas!R388="Pudao / Guandao B",707,IF(Atletas!R388="Outra Arma Longa B",708,IF(Atletas!R388="Gun C",709,IF(Atletas!R388="Qiang C",710,IF(Atletas!R388="Pudao / Guandao C",711,IF(Atletas!R388="Outra Arma Longa C",712,IF(Atletas!R388="Gun D",713,IF(Atletas!R388="Qiang D",714,IF(Atletas!R388="Pudao / Guandao D",715,IF(Atletas!R388="Outra Arma Longa D",716,IF(Atletas!R388="Gun E",717,IF(Atletas!R388="Qiang E",718,IF(Atletas!R388="Pudao / Guandao E",719,IF(Atletas!R388="Outra Arma Longa E",720,IF(Atletas!R388="Gun F",721,IF(Atletas!R388="Qiang F",722,IF(Atletas!R388="Pudao / Guandao F",723,IF(Atletas!R388="Outra Arma Longa F",724,"")))))))))))))))))))))))))</f>
        <v/>
      </c>
      <c r="BU392" s="52" t="str">
        <f>IF(Atletas!S388="","",IF(Atletas!W388&lt;&gt;"",10000,0)+IF(Atletas!B388="Feminino",1000,IF(Atletas!B388="Masculino",2000,""))+IF(Atletas!S388="Arma Dupla A",801,IF(Atletas!S388="Arma Maleável A",802,IF(Atletas!S388="Arma Dupla B",803,IF(Atletas!S388="Arma Maleável B",804,IF(Atletas!S388="Arma Dupla C",805,IF(Atletas!S388="Arma Maleável C",806,IF(Atletas!S388="Arma Dupla D",807,IF(Atletas!S388="Arma Maleável D",808,IF(Atletas!S388="Arma Dupla E",809,IF(Atletas!S388="Arma Maleável E",810,IF(Atletas!S388="Arma Dupla F",811,IF(Atletas!S388="Arma Maleável F",812, "")))))))))))))</f>
        <v/>
      </c>
      <c r="BV392" s="52" t="str">
        <f>IF(Atletas!T388="","",IF(Atletas!W388&lt;&gt;"",10000,0)+IF(Atletas!B388="Feminino",1000,IF(Atletas!B388="Masculino",2000,""))+IF(Atletas!T388="Taijijian Yang A",901,IF(Atletas!T388="Taijijian Chen A",902,IF(Atletas!T388="Taijijian Sun A",903,IF(Atletas!T388="Taijijian Wu A",904,IF(Atletas!T388="Taijijian Wu-Hao A",905,IF(Atletas!T388="Taijijian 32 A",906,IF(Atletas!T388="Taijijian 42 A",907,IF(Atletas!T388="Taijijian Yang B",908,IF(Atletas!T388="Taijijian Chen B",909,IF(Atletas!T388="Taijijian Sun B",910,IF(Atletas!T388="Taijijian Wu B",911,IF(Atletas!T388="Taijijian Wu-Hao B",912,IF(Atletas!T388="Taijijian 32 B",913,IF(Atletas!T388="Taijijian 42 B",914,IF(Atletas!T388="Taijijian Yang C",915,IF(Atletas!T388="Taijijian Chen C",916,IF(Atletas!T388="Taijijian Sun C",917,IF(Atletas!T388="Taijijian Wu C",918,IF(Atletas!T388="Taijijian Wu-Hao C",919,IF(Atletas!T388="Taijijian 32 C",920,IF(Atletas!T388="Taijijian 42 C",921,IF(Atletas!T388="Taijijian Yang D",922,IF(Atletas!T388="Taijijian Chen D",923,IF(Atletas!T388="Taijijian Sun D",924,IF(Atletas!T388="Taijijian Wu D",925,IF(Atletas!T388="Taijijian Wu-Hao D",926,IF(Atletas!T388="Taijijian 32 D",927,IF(Atletas!T388="Taijijian 42 D",928,IF(Atletas!T388="Taijijian Yang E",929,IF(Atletas!T388="Taijijian Chen E",930,IF(Atletas!T388="Taijijian Sun E",931,IF(Atletas!T388="Taijijian Wu E",932,IF(Atletas!T388="Taijijian Wu-Hao E",933,IF(Atletas!T388="Taijijian 32 E",934,IF(Atletas!T388="Taijijian 42 E",935,IF(Atletas!T388="Taijijian Yang F",936,IF(Atletas!T388="Taijijian Chen F",937,IF(Atletas!T388="Taijijian Sun F",938,IF(Atletas!T388="Taijijian Wu F",939,IF(Atletas!T388="Taijijian Wu-Hao F",940,IF(Atletas!T388="Taijijian 32 F",941,IF(Atletas!T388="Taijijian 42 F",942,"")))))))))))))))))))))))))))))))))))))))))))</f>
        <v/>
      </c>
      <c r="BW392" s="52" t="str">
        <f>IF(Atletas!U388="","",IF(Atletas!W388&lt;&gt;"",10000,0)+IF(Atletas!B388="Feminino",1000,IF(Atletas!B388="Masculino",2000,""))+IF(Atletas!T388="Taijijian 42 F",942,IF(Atletas!U388="Taijidao A",943,IF(Atletas!U388="Taijishan A",944,IF(Atletas!U388="Taijiqiang A",945,IF(Atletas!U388="Taijidao B",946,IF(Atletas!U388="Taijishan B",947,IF(Atletas!U388="Taijiqiang B",948,IF(Atletas!U388="Taijidao C",949,IF(Atletas!U388="Taijishan C",950,IF(Atletas!U388="Taijiqiang C",951,IF(Atletas!U388="Taijidao D",952,IF(Atletas!U388="Taijishan D",953,IF(Atletas!U388="Taijiqiang D",954,IF(Atletas!U388="Taijidao E",955,IF(Atletas!U388="Taijishan E",956,IF(Atletas!U388="Taijiqiang E",957,IF(Atletas!U388="Taijidao F",958,IF(Atletas!U388="Taijishan F",959,IF(Atletas!U388="Taijiqiang F",960))))))))))))))))))))</f>
        <v/>
      </c>
      <c r="CB392" s="64" t="str">
        <f>IF(CC392&lt;&gt;"","Taijishan A","")</f>
        <v/>
      </c>
      <c r="CC392" s="64" t="str">
        <f>IF(COUNTIF(BK:BW,11944)&gt;0,COUNTIF(BK:BW,11944),"")</f>
        <v/>
      </c>
      <c r="CD392" s="64" t="str">
        <f>IF(CE392&lt;&gt;"","Taijishan A","")</f>
        <v/>
      </c>
      <c r="CE392" s="64" t="str">
        <f>IF(COUNTIF(BK:BW,12944)&gt;0,COUNTIF(BK:BW,12944),"")</f>
        <v/>
      </c>
      <c r="CF392" s="52" t="str">
        <f xml:space="preserve"> IF(Atletas!V388="","",IF(Atletas!V388="Duilian de Mãos AB - Equipe 1",1,IF(Atletas!V388="Duilian de Mãos AB - Equipe 2",2,IF(Atletas!V388="Duilian de Armas AB - Equipe 1",3,IF(Atletas!V388="Duilian de Armas AB - Equipe 2",4,IF(Atletas!V388="Duilian de Tuishou - Equipe 1",5,IF(Atletas!V388="Duilian de Tuishou - Equipe 2",6,IF(Atletas!V388="Grupo Externo AB - Equipe 1",7,IF(Atletas!V388="Grupo Externo AB - Equipe 2",8,IF(Atletas!V388="Grupo Interno AB - Equipe 1",9,IF(Atletas!V388="Grupo Interno AB - Equipe 2",10,IF(Atletas!V388="Duilian de Mãos CD - Equipe 1",11,IF(Atletas!V388="Duilian de Mãos CD - Equipe 2",12,IF(Atletas!V388="Duilian de Armas CD - Equipe 1",13,IF(Atletas!V388="Duilian de Armas CD - Equipe 2",14,IF(Atletas!V388="Duilian de Tuishou - Equipe 1",15,IF(Atletas!V388="Duilian de Tuishou - Equipe 2",16,IF(Atletas!V388="Grupo Externo CDEF - Equipe 1",17,IF(Atletas!V388="Grupo Externo CDEF - Equipe 2",18,IF(Atletas!V388="Grupo Interno CDEF - Equipe 1",19,IF(Atletas!V388="Grupo Interno CDEF - Equipe 2",20,IF(Atletas!V388="Duilian de Mãos EF - Equipe 1",21,IF(Atletas!V388="Duilian de Mãos EF - Equipe 2",22,IF(Atletas!V388="Duilian de Armas EF - Equipe 1",23,IF(Atletas!V388="Duilian de Armas EF - Equipe 2",24,IF(Atletas!V388="Duilian de Tuishou - Equipe 1",25,IF(Atletas!V388="Duilian de Tuishou - Equipe 2",26,"")))))))))))))))))))))))))))</f>
        <v/>
      </c>
    </row>
    <row r="393" spans="36:84">
      <c r="AJ393" s="46" t="str">
        <f>IF(Atletas!D389="","",IF(Atletas!B389="Feminino",100,IF(Atletas!B389="Masculino",200,""))+(IF(Atletas!D389="Infantil 39kg",1,IF(Atletas!D389="Infantil 42kg",2,IF(Atletas!D389="Infantil 45kg",3,IF(Atletas!D389="Infantil 48kg",4,IF(Atletas!D389="Infantil 52kg",5,IF(Atletas!D389="Infantil 56kg",6,IF(Atletas!D389="Infantil 60kg",7,IF(Atletas!D389="Juvenil 48kg",8,IF(Atletas!D389="Juvenil 52kg",9,IF(Atletas!D389="Juvenil 56kg",10,IF(Atletas!D389="Juvenil 60kg",11,IF(Atletas!D389="Juvenil 65kg",12,IF(Atletas!D389="Juvenil 70kg",13,IF(Atletas!D389="Juvenil 75kg",14,IF(Atletas!D389="Juvenil 80kg",15,IF(Atletas!D389="Adulto 48kg",16,IF(Atletas!D389="Adulto 52kg",17,IF(Atletas!D389="Adulto 56kg",18,IF(Atletas!D389="Adulto 60kg",19,IF(Atletas!D389="Adulto 65kg",20,IF(Atletas!D389="Adulto 70kg",21,IF(Atletas!D389="Adulto 75kg",22,IF(Atletas!D389="Adulto 80kg",23,IF(Atletas!D389="Adulto 85kg",24,IF(Atletas!D389="Adulto 90kg",25,IF(Atletas!D389="Adulto +90kg",26,""))))))))))))))))))))))))))))</f>
        <v/>
      </c>
      <c r="AO393" s="10" t="str">
        <f>IF(Atletas!E389="","",IF(Atletas!B389="Feminino",100,IF(Atletas!B389="Masculino",200,""))+(IF(Atletas!E389="Juvenil 44kg",1,IF(Atletas!E389="Juvenil 48kg",2,IF(Atletas!E389="Juvenil 52kg",3,IF(Atletas!E389="Juvenil 56kg",4,IF(Atletas!E389="Juvenil 60kg",5,IF(Atletas!E389="Juvenil 65kg",6,IF(Atletas!E389="Juvenil 70kg",7,IF(Atletas!E389="Juvenil 75kg",8,IF(Atletas!E389="Juvenil 82kg",9,IF(Atletas!E389="Juvenil 90kg",10,IF(Atletas!E389="Juvenil 100kg",11,IF(Atletas!E389="Adulto 48kg",12,IF(Atletas!E389="Adulto 52kg",13,IF(Atletas!E389="Adulto 56kg",14,IF(Atletas!E389="Adulto 60kg",15,IF(Atletas!E389="Adulto 65kg",16,IF(Atletas!E389="Adulto 70kg",17,IF(Atletas!E389="Adulto 75kg",18,IF(Atletas!E389="Adulto 82kg",19,IF(Atletas!E389="Adulto 90kg",20,IF(Atletas!E389="Adulto 100kg",21,IF(Atletas!E389="Adulto +100kg",22,""))))))))))))))))))))))))</f>
        <v/>
      </c>
      <c r="AT393" s="10" t="str">
        <f>IF(Atletas!F389="","",IF(Atletas!B389="Feminino",100,IF(Atletas!B389="Masculino",200,""))+(IF(Atletas!F389="Adulto 48kg",1,IF(Atletas!F389="Adulto 56kg",2,IF(Atletas!F389="Adulto 65kg",3,IF(Atletas!F389="Adulto 75kg",4,IF(Atletas!F389="Adulto +75kg",5,IF(Atletas!F389="Adulto 52kg",6,IF(Atletas!F389="Adulto 60kg",7,IF(Atletas!F389="Adulto 70kg",8,IF(Atletas!F389="Adulto 80kg",9,IF(Atletas!F389="Adulto 90kg",10,IF(Atletas!F389="Adulto +90kg",11,"")))))))))))))</f>
        <v/>
      </c>
      <c r="AY393" s="46" t="str">
        <f>IF(Atletas!G389="","",IF(Atletas!B389="Feminino",100,IF(Atletas!B389="Masculino",200,""))+(IF(Atletas!G389="Changquan Mirim",1,IF(Atletas!G389="Nanquan Mirim",2,IF(Atletas!G389="Taijiquan Mirim",3,IF(Atletas!G389="Changquan Grupo C",4,IF(Atletas!G389="Nanquan Grupo C",5,IF(Atletas!G389="Taijiquan Grupo C",6,IF(Atletas!G389="Changquan Grupo B",7,IF(Atletas!G389="Nanquan Grupo B",8,IF(Atletas!G389="Taijiquan Grupo B",9,IF(Atletas!G389="Changquan Grupo A",10,IF(Atletas!G389="Nanquan Grupo A",11,IF(Atletas!G389="Taijiquan Grupo A",12,IF(Atletas!G389="Changquan Opcional",13,IF(Atletas!G389="Nanquan Opcional",14,IF(Atletas!G389="Taijiquan Opcional",15,IF(Atletas!G389="Changquan Adulto",16,IF(Atletas!G389="Nanquan Adulto",17,IF(Atletas!G389="Taijiquan Adulto",18,""))))))))))))))))))))</f>
        <v/>
      </c>
      <c r="AZ393" s="46" t="str">
        <f>IF(Atletas!H389="","",IF(Atletas!B389="Feminino",100,IF(Atletas!B389="Masculino",200,""))+(IF(Atletas!H389="Daoshu Mirim",19,IF(Atletas!H389="Jianshu Mirim",20,IF(Atletas!H389="Nandao Mirim",21,IF(Atletas!H389="Taijijian Mirim",22,IF(Atletas!H389="Daoshu Grupo C",23,IF(Atletas!H389="Jianshu Grupo C",24,IF(Atletas!H389="Nandao Grupo C",25,IF(Atletas!H389="Taijijian Grupo C",26,IF(Atletas!H389="Daoshu Grupo B",27,IF(Atletas!H389="Jianshu Grupo B",28,IF(Atletas!H389="Nandao Grupo B",29,IF(Atletas!H389="Taijijian Grupo B",30,IF(Atletas!H389="Daoshu Grupo A",31,IF(Atletas!H389="Jianshu Grupo A",32,IF(Atletas!H389="Nandao Grupo A",33,IF(Atletas!H389="Taijijian Grupo A",34,IF(Atletas!H389="Daoshu Opcional",35,IF(Atletas!H389="Jianshu Opcional",36,IF(Atletas!H389="Nandao Opcional",37,IF(Atletas!H389="Taijijian Opcional",38,IF(Atletas!H389="Daoshu Adulto",39,IF(Atletas!H389="Jianshu Adulto",40,IF(Atletas!H389="Nandao Adulto",41,IF(Atletas!H389="Taijijian Adulto",42,""))))))))))))))))))))))))))</f>
        <v/>
      </c>
      <c r="BA393" s="46" t="str">
        <f>IF(Atletas!I389="","",IF(Atletas!B389="Feminino",100,IF(Atletas!B389="Masculino",200,""))+(IF(Atletas!I389="Gunshu Mirim",43,IF(Atletas!I389="Qiangshu Mirim",44,IF(Atletas!I389="Nangun Mirim",45,IF(Atletas!I389="Gunshu Grupo C",46,IF(Atletas!I389="Qiangshu Grupo C",47,IF(Atletas!I389="Nangun Grupo C",48,IF(Atletas!I389="Gunshu Grupo B",49,IF(Atletas!I389="Qiangshu Grupo B",50,IF(Atletas!I389="Nangun Grupo B",51,IF(Atletas!I389="Gunshu Grupo A",52,IF(Atletas!I389="Qiangshu Grupo A",53,IF(Atletas!I389="Nangun Grupo A",54,IF(Atletas!I389="Gunshu Opcional",55,IF(Atletas!I389="Qiangshu Opcional",56,IF(Atletas!I389="Nangun Opcional",57,IF(Atletas!I389="Gunshu Adulto",58,IF(Atletas!I389="Qiangshu Adulto",59,IF(Atletas!I389="Nangun Adulto",60,""))))))))))))))))))))</f>
        <v/>
      </c>
      <c r="BF393" s="52" t="str">
        <f>IF(Atletas!J389="","",IF(Atletas!B389="Feminino",100,IF(Atletas!B389="Masculino",200,""))+(IF(Atletas!J389="Equipe 1 Grupo B",1,IF(Atletas!J389="Equipe 2 Grupo B",2,IF(Atletas!J389="Equipe 1 Grupo A",3,IF(Atletas!J389="Equipe 2 Grupo A",4,IF(Atletas!J389="Equipe 1 Adulto",5,IF(Atletas!J389="Equipe 2 Adulto",6,""))))))))</f>
        <v/>
      </c>
      <c r="BK393" s="52" t="str">
        <f>IF(Atletas!K389="","",IF(Atletas!W389&lt;&gt;"",10000,0)+(IF(Atletas!B389="Feminino",1000,IF(Atletas!B389="Masculino",2000,""))+IF(Atletas!K389="Choylayfut A",1,IF(Atletas!K389="Hunggar A",2,IF(Atletas!K389="Wuzuquan A",3,IF(Atletas!K389="Wingchun A",4,IF(Atletas!K389="Outra Mão de Sul A",5,IF(Atletas!K389="Choylayfut B",6,IF(Atletas!K389="Hunggar B",7,IF(Atletas!K389="Wuzuquan B",8,IF(Atletas!K389="Wingchun B",9,IF(Atletas!K389="Outra Mão de Sul B",10,IF(Atletas!K389="Choylayfut C",11,IF(Atletas!K389="Hunggar C",12,IF(Atletas!K389="Wuzuquan C",13,IF(Atletas!K389="Wingchun C",14,IF(Atletas!K389="Outra Mão de Sul C",15,IF(Atletas!K389="Choylayfut D",16,IF(Atletas!K389="Hunggar D",17,IF(Atletas!K389="Wuzuquan D",18,IF(Atletas!K389="Wingchun D",19,IF(Atletas!K389="Outra Mão de Sul D",20,IF(Atletas!K389="Choylayfut E",21,IF(Atletas!K389="Hunggar E",22,IF(Atletas!K389="Wuzuquan E",23,IF(Atletas!K389="Wingchun E",24,IF(Atletas!K389="Outra Mão de Sul E",25,IF(Atletas!K389="Choylayfut F",26,IF(Atletas!K389="Hunggar F",27,IF(Atletas!K389="Wuzuquan F",28,IF(Atletas!K389="Wingchun F",29,IF(Atletas!K389="Outra Mão de Sul F",30,""))))))))))))))))))))))))))))))))</f>
        <v/>
      </c>
      <c r="BL393" s="52" t="str">
        <f>IF(Atletas!L389="","",IF(Atletas!W389&lt;&gt;"",10000,0)+(IF(Atletas!B389="Feminino",1000,IF(Atletas!B389="Masculino",2000,""))+(IF(Atletas!L389="Chaquan A",101,IF(Atletas!L389="Emeiquan A",102,IF(Atletas!L389="Fanziquan A",103,IF(Atletas!L389="Huaquan A",104,IF(Atletas!L389="Hongquan A",105,IF(Atletas!L389="Paochui A",106,IF(Atletas!L389="Piguaquan A",107,IF(Atletas!L389="Shaolinquan A",108,IF(Atletas!L389="Tanglangquan A",109,IF(Atletas!L389="Yinzhaophai A",110,IF(Atletas!L389="Tongbeiquan A",111,IF(Atletas!L389="Wudangquan A",112,IF(Atletas!L389="Outros Estilos A",113,IF(Atletas!L389="Chaquan B",114,IF(Atletas!L389="Emeiquan B",115,IF(Atletas!L389="Fanziquan B",116,IF(Atletas!L389="Huaquan B",117,IF(Atletas!L389="Hongquan B",118,IF(Atletas!L389="Paochui B",119,IF(Atletas!L389="Piguaquan B",120,IF(Atletas!L389="Shaolinquan B",121,IF(Atletas!L389="Tanglangquan B",122,IF(Atletas!L389="Yinzhaophai B",123,IF(Atletas!L389="Tongbeiquan B",124,IF(Atletas!L389="Wudangquan B",125,IF(Atletas!L389="Outros Estilos B",126,IF(Atletas!L389="Chaquan C",127,IF(Atletas!L389="Emeiquan C",128,IF(Atletas!L389="Fanziquan C",129,IF(Atletas!L389="Huaquan C",130,IF(Atletas!L389="Hongquan C",131,IF(Atletas!L389="Paochui C",132,IF(Atletas!L389="Piguaquan C",133,IF(Atletas!L389="Shaolinquan C",134,IF(Atletas!L389="Tanglangquan C",135,IF(Atletas!L389="Yinzhaophai C",136,IF(Atletas!L389="Tongbeiquan C",137,IF(Atletas!L389="Wudangquan C",138,IF(Atletas!L389="Outros Estilos C",139,0))))))))))))))))))))))))))))))))))))))))))</f>
        <v/>
      </c>
      <c r="BM393" s="52" t="str">
        <f>IF(Atletas!L389="","",IF(Atletas!W389&lt;&gt;"",10000,0)+(IF(Atletas!B389="Feminino",1000,IF(Atletas!B389="Masculino",2000,""))+(IF(Atletas!L389="Chaquan D",140,IF(Atletas!L389="Emeiquan D",141,IF(Atletas!L389="Fanziquan D",142,IF(Atletas!L389="Huaquan D",143,IF(Atletas!L389="Hongquan D",144,IF(Atletas!L389="Paochui D",145,IF(Atletas!L389="Piguaquan D",146,IF(Atletas!L389="Shaolinquan D",147,IF(Atletas!L389="Tanglangquan D",148,IF(Atletas!L389="Yinzhaophai D",149,IF(Atletas!L389="Tongbeiquan D",150,IF(Atletas!L389="Wudangquan D",151,IF(Atletas!L389="Outros Estilos D",152,IF(Atletas!L389="Chaquan E",153,IF(Atletas!L389="Emeiquan E",154,IF(Atletas!L389="Fanziquan E",155,IF(Atletas!L389="Huaquan E",156,IF(Atletas!L389="Hongquan E",157,IF(Atletas!L389="Paochui E",158,IF(Atletas!L389="Piguaquan E",159,IF(Atletas!L389="Shaolinquan E",160,IF(Atletas!L389="Tanglangquan E",161,IF(Atletas!L389="Yinzhaophai E",162,IF(Atletas!L389="Tongbeiquan E",163,IF(Atletas!L389="Wudangquan E",164,IF(Atletas!L389="Outros Estilos E",165,IF(Atletas!L389="Chaquan F",166,IF(Atletas!L389="Emeiquan F",167,IF(Atletas!L389="Fanziquan F",168,IF(Atletas!L389="Huaquan F",169,IF(Atletas!L389="Hongquan F",170,IF(Atletas!L389="Paochui F",171,IF(Atletas!L389="Piguaquan F",172,IF(Atletas!L389="Shaolinquan F",173,IF(Atletas!L389="Tanglangquan F",174,IF(Atletas!L389="Yinzhaophai F",175,IF(Atletas!L389="Tongbeiquan F",176,IF(Atletas!L389="Wudangquan F",177,IF(Atletas!L389="Outros Estilos F",178,0))))))))))))))))))))))))))))))))))))))))))</f>
        <v/>
      </c>
      <c r="BN393" s="52" t="str">
        <f>IF(Atletas!M389="","",IF(Atletas!W389&lt;&gt;"",10000,0)+(IF(Atletas!B389="Feminino",1000,IF(Atletas!B389="Masculino",2000,""))+(IF(Atletas!M389="Ditangquan A",201,IF(Atletas!M389="Houquan A",202,IF(Atletas!M389="Zuiquan A",203,IF(Atletas!M389="Ditangquan B",204,IF(Atletas!M389="Houquan B",205,IF(Atletas!M389="Zuiquan B",206,IF(Atletas!M389="Ditangquan C",207,IF(Atletas!M389="Houquan C",208,IF(Atletas!M389="Zuiquan C",209,IF(Atletas!M389="Ditangquan D",210,IF(Atletas!M389="Houquan D",211,IF(Atletas!M389="Zuiquan D",212,IF(Atletas!M389="Ditangquan E",213,IF(Atletas!M389="Houquan E",214,IF(Atletas!M389="Zuiquan E",215,IF(Atletas!M389="Ditangquan F",216,IF(Atletas!M389="Houquan F",217,IF(Atletas!M389="Zuiquan F",218,"")))))))))))))))))))))</f>
        <v/>
      </c>
      <c r="BO393" s="52" t="str">
        <f>IF(Atletas!N389="","",IF(Atletas!W389&lt;&gt;"",10000,0)+IF(Atletas!B389="Feminino",1000,IF(Atletas!B389="Masculino",2000,""))+IF(Atletas!N389="Yang A",301,IF(Atletas!N389="Chen A",30,IF(Atletas!N389="Sun A",303,IF(Atletas!N389="Wu A",304,IF(Atletas!N389="Wu-Hao A",305,IF(Atletas!N389="Outro Taijiquan A",306,IF(Atletas!N389="Yang B",307,IF(Atletas!N389="Chen B",308,IF(Atletas!N389="Sun B",309,IF(Atletas!N389="Wu B",310,IF(Atletas!N389="Wu-Hao B",311,IF(Atletas!N389="Outro Taijiquan B",312,IF(Atletas!N389="Yang C",313,IF(Atletas!N389="Chen C",314,IF(Atletas!N389="Sun C",315,IF(Atletas!N389="Wu C",316,IF(Atletas!N389="Wu-Hao C",317,IF(Atletas!N389="Outro Taijiquan C",318,IF(Atletas!N389="Yang D",319,IF(Atletas!N389="Chen D",320,IF(Atletas!N389="Sun D",321,IF(Atletas!N389="Wu D",322,IF(Atletas!N389="Wu-Hao D",323,IF(Atletas!N389="Outro Taijiquan D",324,IF(Atletas!N389="Yang E",325,IF(Atletas!N389="Chen E",326,IF(Atletas!N389="Sun E",327,IF(Atletas!N389="Wu E",328,IF(Atletas!N389="Wu-Hao E",329,IF(Atletas!N389="Outro Taijiquan E",330,IF(Atletas!N389="Yang F",331,IF(Atletas!N389="Chen F",332,IF(Atletas!N389="Sun F",333,IF(Atletas!N389="Wu F",334,IF(Atletas!N389="Wu-Hao F",335,IF(Atletas!N389="Outro Taijiquan F",336,"")))))))))))))))))))))))))))))))))))))</f>
        <v/>
      </c>
      <c r="BP393" s="52" t="str">
        <f>IF(Atletas!O389="","",IF(Atletas!W389&lt;&gt;"",10000,0)+IF(Atletas!B389="Feminino",1000,IF(Atletas!B389="Masculino",2000,""))+IF(OR(Atletas!O389="Yang 26 A",Atletas!O389="Yang 40 A"),401,IF(OR(Atletas!O389="Chen 25 A",Atletas!O389="Chen 36 A",Atletas!O389="Chen 56 A"),402,IF(Atletas!O389="Sun 73 A",403,IF(Atletas!O389="Wu 45 A",404,IF(Atletas!O389="Wu-Hao 46 A",405,IF(OR(Atletas!O389="Taijiquan 16 A",Atletas!O389="Taijiquan 24 A",Atletas!O389="Taijiquan 32 A",Atletas!O389="Taijiquan 42 A"),406,IF(OR(Atletas!O389="Yang 26 B",Atletas!O389="Yang 40 B"),407,IF(OR(Atletas!O389="Chen 25 B",Atletas!O389="Chen 36 B",Atletas!O389="Chen 56 B"),408,IF(Atletas!O389="Sun 73 B",409,IF(Atletas!O389="Wu 45 B",410,IF(Atletas!O389="Wu-Hao 46 B",411,IF(OR(Atletas!O389="Taijiquan 16 B",Atletas!O389="Taijiquan 24 B",Atletas!O389="Taijiquan 32 B",Atletas!O389="Taijiquan 42 B"),412,IF(OR(Atletas!O389="Yang 26 C",Atletas!O389="Yang 40 C"),413,IF(OR(Atletas!O389="Chen 25 C",Atletas!O389="Chen 36 C",Atletas!O389="Chen 56 C"),414,IF(Atletas!O389="Sun 73 C",415,IF(Atletas!O389="Wu 45 C",416,IF(Atletas!O389="Wu-Hao 46 C",417,IF(OR(Atletas!O389="Taijiquan 16 C",Atletas!O389="Taijiquan 24 C",Atletas!O389="Taijiquan 32 C",Atletas!O389="Taijiquan 42 C"),418,0)))))))))))))))))))</f>
        <v/>
      </c>
      <c r="BQ393" s="52" t="str">
        <f>IF(Atletas!O389="","",IF(Atletas!W389&lt;&gt;"",10000,0)+IF(Atletas!B389="Feminino",1000,IF(Atletas!B389="Masculino",2000,""))+IF(OR(Atletas!O389="Yang 26 D",Atletas!O389="Yang 40 D"),419,IF(OR(Atletas!O389="Chen 25 D",Atletas!O389="Chen 36 D",Atletas!O389="Chen 56 D"),420,IF(Atletas!O389="Sun 73 D",421,IF(Atletas!O389="Wu 45 D",422,IF(Atletas!O389="Wu-Hao 46 D",423,IF(OR(Atletas!O389="Taijiquan 16 D",Atletas!O389="Taijiquan 24 D",Atletas!O389="Taijiquan 32 D",Atletas!O389="Taijiquan 42 D"),424,IF(OR(Atletas!O389="Yang 26 E",Atletas!O389="Yang 40 E"),425,IF(OR(Atletas!O389="Chen 25 E",Atletas!O389="Chen 36 E",Atletas!O389="Chen 56 E"),426,IF(Atletas!O389="Sun 73 E",427,IF(Atletas!O389="Wu 45 E",428,IF(Atletas!O389="Wu-Hao 46 E",429,IF(OR(Atletas!O389="Taijiquan 16 E",Atletas!O389="Taijiquan 24 E",Atletas!O389="Taijiquan 32 E",Atletas!O389="Taijiquan 42 E"),430,IF(OR(Atletas!O389="Yang 26 F",Atletas!O389="Yang 40 F"),431,IF(OR(Atletas!O389="Chen 25 F",Atletas!O389="Chen 36 F",Atletas!O389="Chen 56 F"),432,IF(Atletas!O389="Sun 73 F",433,IF(Atletas!O389="Wu 45 F",434,IF(Atletas!O389="Wu-Hao 46 F",435,IF(OR(Atletas!O389="Taijiquan 16 F",Atletas!O389="Taijiquan 24 F",Atletas!O389="Taijiquan 32 F",Atletas!O389="Taijiquan 42 F"),436,0)))))))))))))))))))</f>
        <v/>
      </c>
      <c r="BR393" s="52" t="str">
        <f>IF(Atletas!P389="","",IF(Atletas!W389&lt;&gt;"",10000,0)+IF(Atletas!B389="Feminino",1000,IF(Atletas!B389="Masculino",2000,""))+IF(Atletas!P389="Xingyiquan A",501,IF(Atletas!P389="Baguazhang A",502,IF(Atletas!P389="Outro Estilo Interno A",503,IF(Atletas!P389="Xingyiquan B",504,IF(Atletas!P389="Baguazhang B",505,IF(Atletas!P389="Outro Estilo Interno B",506,IF(Atletas!P389="Xingyiquan C",507,IF(Atletas!P389="Baguazhang C",508,IF(Atletas!P389="Outro Estilo Interno C",509,IF(Atletas!P389="Xingyiquan D",510,IF(Atletas!P389="Baguazhang D",511,IF(Atletas!P389="Outro Estilo Interno D",512,IF(Atletas!P389="Xingyiquan E",513,IF(Atletas!P389="Baguazhang E",514,IF(Atletas!P389="Outro Estilo Interno E",515,IF(Atletas!P389="Xingyiquan F",516,IF(Atletas!P389="Baguazhang F",517,IF(Atletas!P389="Outro Estilo Interno F",518, "")))))))))))))))))))</f>
        <v/>
      </c>
      <c r="BS393" s="52" t="str">
        <f>IF(Atletas!Q389="","",IF(Atletas!W389&lt;&gt;"",10000,0)+IF(Atletas!B389="Feminino",1000,IF(Atletas!B389="Masculino",2000,""))+IF(Atletas!Q389="Dao A",601,IF(Atletas!Q389="Jian A",602,IF(Atletas!Q389="Bishou A",603,IF(Atletas!Q389="Shan A",604,IF(Atletas!Q389="Outra Arma Curta A",605,IF(Atletas!Q389="Dao B",606,IF(Atletas!Q389="Jian B",607,IF(Atletas!Q389="Bishou B",608,IF(Atletas!Q389="Shan B",609,IF(Atletas!Q389="Outra Arma Curta B",610,IF(Atletas!Q389="Dao C",611,IF(Atletas!Q389="Jian C",612,IF(Atletas!Q389="Bishou C",613,IF(Atletas!Q389="Shan C",614,IF(Atletas!Q389="Outra Arma Curta C",615,IF(Atletas!Q389="Dao D",616,IF(Atletas!Q389="Jian D",617,IF(Atletas!Q389="Bishou D",618,IF(Atletas!Q389="Shan D",619,IF(Atletas!Q389="Outra Arma Curta D",620,IF(Atletas!Q389="Dao E",621,IF(Atletas!Q389="Jian E",622,IF(Atletas!Q389="Bishou E",623,IF(Atletas!Q389="Shan E",624,IF(Atletas!Q389="Outra Arma Curta E",625,IF(Atletas!Q389="Dao F",626,IF(Atletas!Q389="Jian F",627,IF(Atletas!Q389="Bishou F",628,IF(Atletas!Q389="Shan F",629,IF(Atletas!Q389="Outra Arma Curta F",630, "")))))))))))))))))))))))))))))))</f>
        <v/>
      </c>
      <c r="BT393" s="52" t="str">
        <f>IF(Atletas!R389="","",IF(Atletas!W389&lt;&gt;"",10000,0)+IF(Atletas!B389="Feminino",1000,IF(Atletas!B389="Masculino",2000,""))+IF(Atletas!R389="Gun A",701,IF(Atletas!R389="Qiang A",702,IF(Atletas!R389="Pudao / Guandao A",703,IF(Atletas!R389="Outra Arma Longa A",704,IF(Atletas!R389="Gun B",705,IF(Atletas!R389="Qiang B",706,IF(Atletas!R389="Pudao / Guandao B",707,IF(Atletas!R389="Outra Arma Longa B",708,IF(Atletas!R389="Gun C",709,IF(Atletas!R389="Qiang C",710,IF(Atletas!R389="Pudao / Guandao C",711,IF(Atletas!R389="Outra Arma Longa C",712,IF(Atletas!R389="Gun D",713,IF(Atletas!R389="Qiang D",714,IF(Atletas!R389="Pudao / Guandao D",715,IF(Atletas!R389="Outra Arma Longa D",716,IF(Atletas!R389="Gun E",717,IF(Atletas!R389="Qiang E",718,IF(Atletas!R389="Pudao / Guandao E",719,IF(Atletas!R389="Outra Arma Longa E",720,IF(Atletas!R389="Gun F",721,IF(Atletas!R389="Qiang F",722,IF(Atletas!R389="Pudao / Guandao F",723,IF(Atletas!R389="Outra Arma Longa F",724,"")))))))))))))))))))))))))</f>
        <v/>
      </c>
      <c r="BU393" s="52" t="str">
        <f>IF(Atletas!S389="","",IF(Atletas!W389&lt;&gt;"",10000,0)+IF(Atletas!B389="Feminino",1000,IF(Atletas!B389="Masculino",2000,""))+IF(Atletas!S389="Arma Dupla A",801,IF(Atletas!S389="Arma Maleável A",802,IF(Atletas!S389="Arma Dupla B",803,IF(Atletas!S389="Arma Maleável B",804,IF(Atletas!S389="Arma Dupla C",805,IF(Atletas!S389="Arma Maleável C",806,IF(Atletas!S389="Arma Dupla D",807,IF(Atletas!S389="Arma Maleável D",808,IF(Atletas!S389="Arma Dupla E",809,IF(Atletas!S389="Arma Maleável E",810,IF(Atletas!S389="Arma Dupla F",811,IF(Atletas!S389="Arma Maleável F",812, "")))))))))))))</f>
        <v/>
      </c>
      <c r="BV393" s="52" t="str">
        <f>IF(Atletas!T389="","",IF(Atletas!W389&lt;&gt;"",10000,0)+IF(Atletas!B389="Feminino",1000,IF(Atletas!B389="Masculino",2000,""))+IF(Atletas!T389="Taijijian Yang A",901,IF(Atletas!T389="Taijijian Chen A",902,IF(Atletas!T389="Taijijian Sun A",903,IF(Atletas!T389="Taijijian Wu A",904,IF(Atletas!T389="Taijijian Wu-Hao A",905,IF(Atletas!T389="Taijijian 32 A",906,IF(Atletas!T389="Taijijian 42 A",907,IF(Atletas!T389="Taijijian Yang B",908,IF(Atletas!T389="Taijijian Chen B",909,IF(Atletas!T389="Taijijian Sun B",910,IF(Atletas!T389="Taijijian Wu B",911,IF(Atletas!T389="Taijijian Wu-Hao B",912,IF(Atletas!T389="Taijijian 32 B",913,IF(Atletas!T389="Taijijian 42 B",914,IF(Atletas!T389="Taijijian Yang C",915,IF(Atletas!T389="Taijijian Chen C",916,IF(Atletas!T389="Taijijian Sun C",917,IF(Atletas!T389="Taijijian Wu C",918,IF(Atletas!T389="Taijijian Wu-Hao C",919,IF(Atletas!T389="Taijijian 32 C",920,IF(Atletas!T389="Taijijian 42 C",921,IF(Atletas!T389="Taijijian Yang D",922,IF(Atletas!T389="Taijijian Chen D",923,IF(Atletas!T389="Taijijian Sun D",924,IF(Atletas!T389="Taijijian Wu D",925,IF(Atletas!T389="Taijijian Wu-Hao D",926,IF(Atletas!T389="Taijijian 32 D",927,IF(Atletas!T389="Taijijian 42 D",928,IF(Atletas!T389="Taijijian Yang E",929,IF(Atletas!T389="Taijijian Chen E",930,IF(Atletas!T389="Taijijian Sun E",931,IF(Atletas!T389="Taijijian Wu E",932,IF(Atletas!T389="Taijijian Wu-Hao E",933,IF(Atletas!T389="Taijijian 32 E",934,IF(Atletas!T389="Taijijian 42 E",935,IF(Atletas!T389="Taijijian Yang F",936,IF(Atletas!T389="Taijijian Chen F",937,IF(Atletas!T389="Taijijian Sun F",938,IF(Atletas!T389="Taijijian Wu F",939,IF(Atletas!T389="Taijijian Wu-Hao F",940,IF(Atletas!T389="Taijijian 32 F",941,IF(Atletas!T389="Taijijian 42 F",942,"")))))))))))))))))))))))))))))))))))))))))))</f>
        <v/>
      </c>
      <c r="BW393" s="52" t="str">
        <f>IF(Atletas!U389="","",IF(Atletas!W389&lt;&gt;"",10000,0)+IF(Atletas!B389="Feminino",1000,IF(Atletas!B389="Masculino",2000,""))+IF(Atletas!T389="Taijijian 42 F",942,IF(Atletas!U389="Taijidao A",943,IF(Atletas!U389="Taijishan A",944,IF(Atletas!U389="Taijiqiang A",945,IF(Atletas!U389="Taijidao B",946,IF(Atletas!U389="Taijishan B",947,IF(Atletas!U389="Taijiqiang B",948,IF(Atletas!U389="Taijidao C",949,IF(Atletas!U389="Taijishan C",950,IF(Atletas!U389="Taijiqiang C",951,IF(Atletas!U389="Taijidao D",952,IF(Atletas!U389="Taijishan D",953,IF(Atletas!U389="Taijiqiang D",954,IF(Atletas!U389="Taijidao E",955,IF(Atletas!U389="Taijishan E",956,IF(Atletas!U389="Taijiqiang E",957,IF(Atletas!U389="Taijidao F",958,IF(Atletas!U389="Taijishan F",959,IF(Atletas!U389="Taijiqiang F",960))))))))))))))))))))</f>
        <v/>
      </c>
      <c r="CB393" s="64" t="str">
        <f>IF(CC393&lt;&gt;"","Taijiqiang A","")</f>
        <v/>
      </c>
      <c r="CC393" s="64" t="str">
        <f>IF(COUNTIF(BK:BW,11945)&gt;0,COUNTIF(BK:BW,11945),"")</f>
        <v/>
      </c>
      <c r="CD393" s="64" t="str">
        <f>IF(CE393&lt;&gt;"","Taijiqiang A","")</f>
        <v/>
      </c>
      <c r="CE393" s="64" t="str">
        <f>IF(COUNTIF(BK:BW,12945)&gt;0,COUNTIF(BK:BW,12945),"")</f>
        <v/>
      </c>
      <c r="CF393" s="52" t="str">
        <f xml:space="preserve"> IF(Atletas!V389="","",IF(Atletas!V389="Duilian de Mãos AB - Equipe 1",1,IF(Atletas!V389="Duilian de Mãos AB - Equipe 2",2,IF(Atletas!V389="Duilian de Armas AB - Equipe 1",3,IF(Atletas!V389="Duilian de Armas AB - Equipe 2",4,IF(Atletas!V389="Duilian de Tuishou - Equipe 1",5,IF(Atletas!V389="Duilian de Tuishou - Equipe 2",6,IF(Atletas!V389="Grupo Externo AB - Equipe 1",7,IF(Atletas!V389="Grupo Externo AB - Equipe 2",8,IF(Atletas!V389="Grupo Interno AB - Equipe 1",9,IF(Atletas!V389="Grupo Interno AB - Equipe 2",10,IF(Atletas!V389="Duilian de Mãos CD - Equipe 1",11,IF(Atletas!V389="Duilian de Mãos CD - Equipe 2",12,IF(Atletas!V389="Duilian de Armas CD - Equipe 1",13,IF(Atletas!V389="Duilian de Armas CD - Equipe 2",14,IF(Atletas!V389="Duilian de Tuishou - Equipe 1",15,IF(Atletas!V389="Duilian de Tuishou - Equipe 2",16,IF(Atletas!V389="Grupo Externo CDEF - Equipe 1",17,IF(Atletas!V389="Grupo Externo CDEF - Equipe 2",18,IF(Atletas!V389="Grupo Interno CDEF - Equipe 1",19,IF(Atletas!V389="Grupo Interno CDEF - Equipe 2",20,IF(Atletas!V389="Duilian de Mãos EF - Equipe 1",21,IF(Atletas!V389="Duilian de Mãos EF - Equipe 2",22,IF(Atletas!V389="Duilian de Armas EF - Equipe 1",23,IF(Atletas!V389="Duilian de Armas EF - Equipe 2",24,IF(Atletas!V389="Duilian de Tuishou - Equipe 1",25,IF(Atletas!V389="Duilian de Tuishou - Equipe 2",26,"")))))))))))))))))))))))))))</f>
        <v/>
      </c>
    </row>
    <row r="394" spans="36:84">
      <c r="AJ394" s="46" t="str">
        <f>IF(Atletas!D390="","",IF(Atletas!B390="Feminino",100,IF(Atletas!B390="Masculino",200,""))+(IF(Atletas!D390="Infantil 39kg",1,IF(Atletas!D390="Infantil 42kg",2,IF(Atletas!D390="Infantil 45kg",3,IF(Atletas!D390="Infantil 48kg",4,IF(Atletas!D390="Infantil 52kg",5,IF(Atletas!D390="Infantil 56kg",6,IF(Atletas!D390="Infantil 60kg",7,IF(Atletas!D390="Juvenil 48kg",8,IF(Atletas!D390="Juvenil 52kg",9,IF(Atletas!D390="Juvenil 56kg",10,IF(Atletas!D390="Juvenil 60kg",11,IF(Atletas!D390="Juvenil 65kg",12,IF(Atletas!D390="Juvenil 70kg",13,IF(Atletas!D390="Juvenil 75kg",14,IF(Atletas!D390="Juvenil 80kg",15,IF(Atletas!D390="Adulto 48kg",16,IF(Atletas!D390="Adulto 52kg",17,IF(Atletas!D390="Adulto 56kg",18,IF(Atletas!D390="Adulto 60kg",19,IF(Atletas!D390="Adulto 65kg",20,IF(Atletas!D390="Adulto 70kg",21,IF(Atletas!D390="Adulto 75kg",22,IF(Atletas!D390="Adulto 80kg",23,IF(Atletas!D390="Adulto 85kg",24,IF(Atletas!D390="Adulto 90kg",25,IF(Atletas!D390="Adulto +90kg",26,""))))))))))))))))))))))))))))</f>
        <v/>
      </c>
      <c r="AO394" s="10" t="str">
        <f>IF(Atletas!E390="","",IF(Atletas!B390="Feminino",100,IF(Atletas!B390="Masculino",200,""))+(IF(Atletas!E390="Juvenil 44kg",1,IF(Atletas!E390="Juvenil 48kg",2,IF(Atletas!E390="Juvenil 52kg",3,IF(Atletas!E390="Juvenil 56kg",4,IF(Atletas!E390="Juvenil 60kg",5,IF(Atletas!E390="Juvenil 65kg",6,IF(Atletas!E390="Juvenil 70kg",7,IF(Atletas!E390="Juvenil 75kg",8,IF(Atletas!E390="Juvenil 82kg",9,IF(Atletas!E390="Juvenil 90kg",10,IF(Atletas!E390="Juvenil 100kg",11,IF(Atletas!E390="Adulto 48kg",12,IF(Atletas!E390="Adulto 52kg",13,IF(Atletas!E390="Adulto 56kg",14,IF(Atletas!E390="Adulto 60kg",15,IF(Atletas!E390="Adulto 65kg",16,IF(Atletas!E390="Adulto 70kg",17,IF(Atletas!E390="Adulto 75kg",18,IF(Atletas!E390="Adulto 82kg",19,IF(Atletas!E390="Adulto 90kg",20,IF(Atletas!E390="Adulto 100kg",21,IF(Atletas!E390="Adulto +100kg",22,""))))))))))))))))))))))))</f>
        <v/>
      </c>
      <c r="AT394" s="10" t="str">
        <f>IF(Atletas!F390="","",IF(Atletas!B390="Feminino",100,IF(Atletas!B390="Masculino",200,""))+(IF(Atletas!F390="Adulto 48kg",1,IF(Atletas!F390="Adulto 56kg",2,IF(Atletas!F390="Adulto 65kg",3,IF(Atletas!F390="Adulto 75kg",4,IF(Atletas!F390="Adulto +75kg",5,IF(Atletas!F390="Adulto 52kg",6,IF(Atletas!F390="Adulto 60kg",7,IF(Atletas!F390="Adulto 70kg",8,IF(Atletas!F390="Adulto 80kg",9,IF(Atletas!F390="Adulto 90kg",10,IF(Atletas!F390="Adulto +90kg",11,"")))))))))))))</f>
        <v/>
      </c>
      <c r="AY394" s="46" t="str">
        <f>IF(Atletas!G390="","",IF(Atletas!B390="Feminino",100,IF(Atletas!B390="Masculino",200,""))+(IF(Atletas!G390="Changquan Mirim",1,IF(Atletas!G390="Nanquan Mirim",2,IF(Atletas!G390="Taijiquan Mirim",3,IF(Atletas!G390="Changquan Grupo C",4,IF(Atletas!G390="Nanquan Grupo C",5,IF(Atletas!G390="Taijiquan Grupo C",6,IF(Atletas!G390="Changquan Grupo B",7,IF(Atletas!G390="Nanquan Grupo B",8,IF(Atletas!G390="Taijiquan Grupo B",9,IF(Atletas!G390="Changquan Grupo A",10,IF(Atletas!G390="Nanquan Grupo A",11,IF(Atletas!G390="Taijiquan Grupo A",12,IF(Atletas!G390="Changquan Opcional",13,IF(Atletas!G390="Nanquan Opcional",14,IF(Atletas!G390="Taijiquan Opcional",15,IF(Atletas!G390="Changquan Adulto",16,IF(Atletas!G390="Nanquan Adulto",17,IF(Atletas!G390="Taijiquan Adulto",18,""))))))))))))))))))))</f>
        <v/>
      </c>
      <c r="AZ394" s="46" t="str">
        <f>IF(Atletas!H390="","",IF(Atletas!B390="Feminino",100,IF(Atletas!B390="Masculino",200,""))+(IF(Atletas!H390="Daoshu Mirim",19,IF(Atletas!H390="Jianshu Mirim",20,IF(Atletas!H390="Nandao Mirim",21,IF(Atletas!H390="Taijijian Mirim",22,IF(Atletas!H390="Daoshu Grupo C",23,IF(Atletas!H390="Jianshu Grupo C",24,IF(Atletas!H390="Nandao Grupo C",25,IF(Atletas!H390="Taijijian Grupo C",26,IF(Atletas!H390="Daoshu Grupo B",27,IF(Atletas!H390="Jianshu Grupo B",28,IF(Atletas!H390="Nandao Grupo B",29,IF(Atletas!H390="Taijijian Grupo B",30,IF(Atletas!H390="Daoshu Grupo A",31,IF(Atletas!H390="Jianshu Grupo A",32,IF(Atletas!H390="Nandao Grupo A",33,IF(Atletas!H390="Taijijian Grupo A",34,IF(Atletas!H390="Daoshu Opcional",35,IF(Atletas!H390="Jianshu Opcional",36,IF(Atletas!H390="Nandao Opcional",37,IF(Atletas!H390="Taijijian Opcional",38,IF(Atletas!H390="Daoshu Adulto",39,IF(Atletas!H390="Jianshu Adulto",40,IF(Atletas!H390="Nandao Adulto",41,IF(Atletas!H390="Taijijian Adulto",42,""))))))))))))))))))))))))))</f>
        <v/>
      </c>
      <c r="BA394" s="46" t="str">
        <f>IF(Atletas!I390="","",IF(Atletas!B390="Feminino",100,IF(Atletas!B390="Masculino",200,""))+(IF(Atletas!I390="Gunshu Mirim",43,IF(Atletas!I390="Qiangshu Mirim",44,IF(Atletas!I390="Nangun Mirim",45,IF(Atletas!I390="Gunshu Grupo C",46,IF(Atletas!I390="Qiangshu Grupo C",47,IF(Atletas!I390="Nangun Grupo C",48,IF(Atletas!I390="Gunshu Grupo B",49,IF(Atletas!I390="Qiangshu Grupo B",50,IF(Atletas!I390="Nangun Grupo B",51,IF(Atletas!I390="Gunshu Grupo A",52,IF(Atletas!I390="Qiangshu Grupo A",53,IF(Atletas!I390="Nangun Grupo A",54,IF(Atletas!I390="Gunshu Opcional",55,IF(Atletas!I390="Qiangshu Opcional",56,IF(Atletas!I390="Nangun Opcional",57,IF(Atletas!I390="Gunshu Adulto",58,IF(Atletas!I390="Qiangshu Adulto",59,IF(Atletas!I390="Nangun Adulto",60,""))))))))))))))))))))</f>
        <v/>
      </c>
      <c r="BF394" s="52" t="str">
        <f>IF(Atletas!J390="","",IF(Atletas!B390="Feminino",100,IF(Atletas!B390="Masculino",200,""))+(IF(Atletas!J390="Equipe 1 Grupo B",1,IF(Atletas!J390="Equipe 2 Grupo B",2,IF(Atletas!J390="Equipe 1 Grupo A",3,IF(Atletas!J390="Equipe 2 Grupo A",4,IF(Atletas!J390="Equipe 1 Adulto",5,IF(Atletas!J390="Equipe 2 Adulto",6,""))))))))</f>
        <v/>
      </c>
      <c r="BK394" s="52" t="str">
        <f>IF(Atletas!K390="","",IF(Atletas!W390&lt;&gt;"",10000,0)+(IF(Atletas!B390="Feminino",1000,IF(Atletas!B390="Masculino",2000,""))+IF(Atletas!K390="Choylayfut A",1,IF(Atletas!K390="Hunggar A",2,IF(Atletas!K390="Wuzuquan A",3,IF(Atletas!K390="Wingchun A",4,IF(Atletas!K390="Outra Mão de Sul A",5,IF(Atletas!K390="Choylayfut B",6,IF(Atletas!K390="Hunggar B",7,IF(Atletas!K390="Wuzuquan B",8,IF(Atletas!K390="Wingchun B",9,IF(Atletas!K390="Outra Mão de Sul B",10,IF(Atletas!K390="Choylayfut C",11,IF(Atletas!K390="Hunggar C",12,IF(Atletas!K390="Wuzuquan C",13,IF(Atletas!K390="Wingchun C",14,IF(Atletas!K390="Outra Mão de Sul C",15,IF(Atletas!K390="Choylayfut D",16,IF(Atletas!K390="Hunggar D",17,IF(Atletas!K390="Wuzuquan D",18,IF(Atletas!K390="Wingchun D",19,IF(Atletas!K390="Outra Mão de Sul D",20,IF(Atletas!K390="Choylayfut E",21,IF(Atletas!K390="Hunggar E",22,IF(Atletas!K390="Wuzuquan E",23,IF(Atletas!K390="Wingchun E",24,IF(Atletas!K390="Outra Mão de Sul E",25,IF(Atletas!K390="Choylayfut F",26,IF(Atletas!K390="Hunggar F",27,IF(Atletas!K390="Wuzuquan F",28,IF(Atletas!K390="Wingchun F",29,IF(Atletas!K390="Outra Mão de Sul F",30,""))))))))))))))))))))))))))))))))</f>
        <v/>
      </c>
      <c r="BL394" s="52" t="str">
        <f>IF(Atletas!L390="","",IF(Atletas!W390&lt;&gt;"",10000,0)+(IF(Atletas!B390="Feminino",1000,IF(Atletas!B390="Masculino",2000,""))+(IF(Atletas!L390="Chaquan A",101,IF(Atletas!L390="Emeiquan A",102,IF(Atletas!L390="Fanziquan A",103,IF(Atletas!L390="Huaquan A",104,IF(Atletas!L390="Hongquan A",105,IF(Atletas!L390="Paochui A",106,IF(Atletas!L390="Piguaquan A",107,IF(Atletas!L390="Shaolinquan A",108,IF(Atletas!L390="Tanglangquan A",109,IF(Atletas!L390="Yinzhaophai A",110,IF(Atletas!L390="Tongbeiquan A",111,IF(Atletas!L390="Wudangquan A",112,IF(Atletas!L390="Outros Estilos A",113,IF(Atletas!L390="Chaquan B",114,IF(Atletas!L390="Emeiquan B",115,IF(Atletas!L390="Fanziquan B",116,IF(Atletas!L390="Huaquan B",117,IF(Atletas!L390="Hongquan B",118,IF(Atletas!L390="Paochui B",119,IF(Atletas!L390="Piguaquan B",120,IF(Atletas!L390="Shaolinquan B",121,IF(Atletas!L390="Tanglangquan B",122,IF(Atletas!L390="Yinzhaophai B",123,IF(Atletas!L390="Tongbeiquan B",124,IF(Atletas!L390="Wudangquan B",125,IF(Atletas!L390="Outros Estilos B",126,IF(Atletas!L390="Chaquan C",127,IF(Atletas!L390="Emeiquan C",128,IF(Atletas!L390="Fanziquan C",129,IF(Atletas!L390="Huaquan C",130,IF(Atletas!L390="Hongquan C",131,IF(Atletas!L390="Paochui C",132,IF(Atletas!L390="Piguaquan C",133,IF(Atletas!L390="Shaolinquan C",134,IF(Atletas!L390="Tanglangquan C",135,IF(Atletas!L390="Yinzhaophai C",136,IF(Atletas!L390="Tongbeiquan C",137,IF(Atletas!L390="Wudangquan C",138,IF(Atletas!L390="Outros Estilos C",139,0))))))))))))))))))))))))))))))))))))))))))</f>
        <v/>
      </c>
      <c r="BM394" s="52" t="str">
        <f>IF(Atletas!L390="","",IF(Atletas!W390&lt;&gt;"",10000,0)+(IF(Atletas!B390="Feminino",1000,IF(Atletas!B390="Masculino",2000,""))+(IF(Atletas!L390="Chaquan D",140,IF(Atletas!L390="Emeiquan D",141,IF(Atletas!L390="Fanziquan D",142,IF(Atletas!L390="Huaquan D",143,IF(Atletas!L390="Hongquan D",144,IF(Atletas!L390="Paochui D",145,IF(Atletas!L390="Piguaquan D",146,IF(Atletas!L390="Shaolinquan D",147,IF(Atletas!L390="Tanglangquan D",148,IF(Atletas!L390="Yinzhaophai D",149,IF(Atletas!L390="Tongbeiquan D",150,IF(Atletas!L390="Wudangquan D",151,IF(Atletas!L390="Outros Estilos D",152,IF(Atletas!L390="Chaquan E",153,IF(Atletas!L390="Emeiquan E",154,IF(Atletas!L390="Fanziquan E",155,IF(Atletas!L390="Huaquan E",156,IF(Atletas!L390="Hongquan E",157,IF(Atletas!L390="Paochui E",158,IF(Atletas!L390="Piguaquan E",159,IF(Atletas!L390="Shaolinquan E",160,IF(Atletas!L390="Tanglangquan E",161,IF(Atletas!L390="Yinzhaophai E",162,IF(Atletas!L390="Tongbeiquan E",163,IF(Atletas!L390="Wudangquan E",164,IF(Atletas!L390="Outros Estilos E",165,IF(Atletas!L390="Chaquan F",166,IF(Atletas!L390="Emeiquan F",167,IF(Atletas!L390="Fanziquan F",168,IF(Atletas!L390="Huaquan F",169,IF(Atletas!L390="Hongquan F",170,IF(Atletas!L390="Paochui F",171,IF(Atletas!L390="Piguaquan F",172,IF(Atletas!L390="Shaolinquan F",173,IF(Atletas!L390="Tanglangquan F",174,IF(Atletas!L390="Yinzhaophai F",175,IF(Atletas!L390="Tongbeiquan F",176,IF(Atletas!L390="Wudangquan F",177,IF(Atletas!L390="Outros Estilos F",178,0))))))))))))))))))))))))))))))))))))))))))</f>
        <v/>
      </c>
      <c r="BN394" s="52" t="str">
        <f>IF(Atletas!M390="","",IF(Atletas!W390&lt;&gt;"",10000,0)+(IF(Atletas!B390="Feminino",1000,IF(Atletas!B390="Masculino",2000,""))+(IF(Atletas!M390="Ditangquan A",201,IF(Atletas!M390="Houquan A",202,IF(Atletas!M390="Zuiquan A",203,IF(Atletas!M390="Ditangquan B",204,IF(Atletas!M390="Houquan B",205,IF(Atletas!M390="Zuiquan B",206,IF(Atletas!M390="Ditangquan C",207,IF(Atletas!M390="Houquan C",208,IF(Atletas!M390="Zuiquan C",209,IF(Atletas!M390="Ditangquan D",210,IF(Atletas!M390="Houquan D",211,IF(Atletas!M390="Zuiquan D",212,IF(Atletas!M390="Ditangquan E",213,IF(Atletas!M390="Houquan E",214,IF(Atletas!M390="Zuiquan E",215,IF(Atletas!M390="Ditangquan F",216,IF(Atletas!M390="Houquan F",217,IF(Atletas!M390="Zuiquan F",218,"")))))))))))))))))))))</f>
        <v/>
      </c>
      <c r="BO394" s="52" t="str">
        <f>IF(Atletas!N390="","",IF(Atletas!W390&lt;&gt;"",10000,0)+IF(Atletas!B390="Feminino",1000,IF(Atletas!B390="Masculino",2000,""))+IF(Atletas!N390="Yang A",301,IF(Atletas!N390="Chen A",30,IF(Atletas!N390="Sun A",303,IF(Atletas!N390="Wu A",304,IF(Atletas!N390="Wu-Hao A",305,IF(Atletas!N390="Outro Taijiquan A",306,IF(Atletas!N390="Yang B",307,IF(Atletas!N390="Chen B",308,IF(Atletas!N390="Sun B",309,IF(Atletas!N390="Wu B",310,IF(Atletas!N390="Wu-Hao B",311,IF(Atletas!N390="Outro Taijiquan B",312,IF(Atletas!N390="Yang C",313,IF(Atletas!N390="Chen C",314,IF(Atletas!N390="Sun C",315,IF(Atletas!N390="Wu C",316,IF(Atletas!N390="Wu-Hao C",317,IF(Atletas!N390="Outro Taijiquan C",318,IF(Atletas!N390="Yang D",319,IF(Atletas!N390="Chen D",320,IF(Atletas!N390="Sun D",321,IF(Atletas!N390="Wu D",322,IF(Atletas!N390="Wu-Hao D",323,IF(Atletas!N390="Outro Taijiquan D",324,IF(Atletas!N390="Yang E",325,IF(Atletas!N390="Chen E",326,IF(Atletas!N390="Sun E",327,IF(Atletas!N390="Wu E",328,IF(Atletas!N390="Wu-Hao E",329,IF(Atletas!N390="Outro Taijiquan E",330,IF(Atletas!N390="Yang F",331,IF(Atletas!N390="Chen F",332,IF(Atletas!N390="Sun F",333,IF(Atletas!N390="Wu F",334,IF(Atletas!N390="Wu-Hao F",335,IF(Atletas!N390="Outro Taijiquan F",336,"")))))))))))))))))))))))))))))))))))))</f>
        <v/>
      </c>
      <c r="BP394" s="52" t="str">
        <f>IF(Atletas!O390="","",IF(Atletas!W390&lt;&gt;"",10000,0)+IF(Atletas!B390="Feminino",1000,IF(Atletas!B390="Masculino",2000,""))+IF(OR(Atletas!O390="Yang 26 A",Atletas!O390="Yang 40 A"),401,IF(OR(Atletas!O390="Chen 25 A",Atletas!O390="Chen 36 A",Atletas!O390="Chen 56 A"),402,IF(Atletas!O390="Sun 73 A",403,IF(Atletas!O390="Wu 45 A",404,IF(Atletas!O390="Wu-Hao 46 A",405,IF(OR(Atletas!O390="Taijiquan 16 A",Atletas!O390="Taijiquan 24 A",Atletas!O390="Taijiquan 32 A",Atletas!O390="Taijiquan 42 A"),406,IF(OR(Atletas!O390="Yang 26 B",Atletas!O390="Yang 40 B"),407,IF(OR(Atletas!O390="Chen 25 B",Atletas!O390="Chen 36 B",Atletas!O390="Chen 56 B"),408,IF(Atletas!O390="Sun 73 B",409,IF(Atletas!O390="Wu 45 B",410,IF(Atletas!O390="Wu-Hao 46 B",411,IF(OR(Atletas!O390="Taijiquan 16 B",Atletas!O390="Taijiquan 24 B",Atletas!O390="Taijiquan 32 B",Atletas!O390="Taijiquan 42 B"),412,IF(OR(Atletas!O390="Yang 26 C",Atletas!O390="Yang 40 C"),413,IF(OR(Atletas!O390="Chen 25 C",Atletas!O390="Chen 36 C",Atletas!O390="Chen 56 C"),414,IF(Atletas!O390="Sun 73 C",415,IF(Atletas!O390="Wu 45 C",416,IF(Atletas!O390="Wu-Hao 46 C",417,IF(OR(Atletas!O390="Taijiquan 16 C",Atletas!O390="Taijiquan 24 C",Atletas!O390="Taijiquan 32 C",Atletas!O390="Taijiquan 42 C"),418,0)))))))))))))))))))</f>
        <v/>
      </c>
      <c r="BQ394" s="52" t="str">
        <f>IF(Atletas!O390="","",IF(Atletas!W390&lt;&gt;"",10000,0)+IF(Atletas!B390="Feminino",1000,IF(Atletas!B390="Masculino",2000,""))+IF(OR(Atletas!O390="Yang 26 D",Atletas!O390="Yang 40 D"),419,IF(OR(Atletas!O390="Chen 25 D",Atletas!O390="Chen 36 D",Atletas!O390="Chen 56 D"),420,IF(Atletas!O390="Sun 73 D",421,IF(Atletas!O390="Wu 45 D",422,IF(Atletas!O390="Wu-Hao 46 D",423,IF(OR(Atletas!O390="Taijiquan 16 D",Atletas!O390="Taijiquan 24 D",Atletas!O390="Taijiquan 32 D",Atletas!O390="Taijiquan 42 D"),424,IF(OR(Atletas!O390="Yang 26 E",Atletas!O390="Yang 40 E"),425,IF(OR(Atletas!O390="Chen 25 E",Atletas!O390="Chen 36 E",Atletas!O390="Chen 56 E"),426,IF(Atletas!O390="Sun 73 E",427,IF(Atletas!O390="Wu 45 E",428,IF(Atletas!O390="Wu-Hao 46 E",429,IF(OR(Atletas!O390="Taijiquan 16 E",Atletas!O390="Taijiquan 24 E",Atletas!O390="Taijiquan 32 E",Atletas!O390="Taijiquan 42 E"),430,IF(OR(Atletas!O390="Yang 26 F",Atletas!O390="Yang 40 F"),431,IF(OR(Atletas!O390="Chen 25 F",Atletas!O390="Chen 36 F",Atletas!O390="Chen 56 F"),432,IF(Atletas!O390="Sun 73 F",433,IF(Atletas!O390="Wu 45 F",434,IF(Atletas!O390="Wu-Hao 46 F",435,IF(OR(Atletas!O390="Taijiquan 16 F",Atletas!O390="Taijiquan 24 F",Atletas!O390="Taijiquan 32 F",Atletas!O390="Taijiquan 42 F"),436,0)))))))))))))))))))</f>
        <v/>
      </c>
      <c r="BR394" s="52" t="str">
        <f>IF(Atletas!P390="","",IF(Atletas!W390&lt;&gt;"",10000,0)+IF(Atletas!B390="Feminino",1000,IF(Atletas!B390="Masculino",2000,""))+IF(Atletas!P390="Xingyiquan A",501,IF(Atletas!P390="Baguazhang A",502,IF(Atletas!P390="Outro Estilo Interno A",503,IF(Atletas!P390="Xingyiquan B",504,IF(Atletas!P390="Baguazhang B",505,IF(Atletas!P390="Outro Estilo Interno B",506,IF(Atletas!P390="Xingyiquan C",507,IF(Atletas!P390="Baguazhang C",508,IF(Atletas!P390="Outro Estilo Interno C",509,IF(Atletas!P390="Xingyiquan D",510,IF(Atletas!P390="Baguazhang D",511,IF(Atletas!P390="Outro Estilo Interno D",512,IF(Atletas!P390="Xingyiquan E",513,IF(Atletas!P390="Baguazhang E",514,IF(Atletas!P390="Outro Estilo Interno E",515,IF(Atletas!P390="Xingyiquan F",516,IF(Atletas!P390="Baguazhang F",517,IF(Atletas!P390="Outro Estilo Interno F",518, "")))))))))))))))))))</f>
        <v/>
      </c>
      <c r="BS394" s="52" t="str">
        <f>IF(Atletas!Q390="","",IF(Atletas!W390&lt;&gt;"",10000,0)+IF(Atletas!B390="Feminino",1000,IF(Atletas!B390="Masculino",2000,""))+IF(Atletas!Q390="Dao A",601,IF(Atletas!Q390="Jian A",602,IF(Atletas!Q390="Bishou A",603,IF(Atletas!Q390="Shan A",604,IF(Atletas!Q390="Outra Arma Curta A",605,IF(Atletas!Q390="Dao B",606,IF(Atletas!Q390="Jian B",607,IF(Atletas!Q390="Bishou B",608,IF(Atletas!Q390="Shan B",609,IF(Atletas!Q390="Outra Arma Curta B",610,IF(Atletas!Q390="Dao C",611,IF(Atletas!Q390="Jian C",612,IF(Atletas!Q390="Bishou C",613,IF(Atletas!Q390="Shan C",614,IF(Atletas!Q390="Outra Arma Curta C",615,IF(Atletas!Q390="Dao D",616,IF(Atletas!Q390="Jian D",617,IF(Atletas!Q390="Bishou D",618,IF(Atletas!Q390="Shan D",619,IF(Atletas!Q390="Outra Arma Curta D",620,IF(Atletas!Q390="Dao E",621,IF(Atletas!Q390="Jian E",622,IF(Atletas!Q390="Bishou E",623,IF(Atletas!Q390="Shan E",624,IF(Atletas!Q390="Outra Arma Curta E",625,IF(Atletas!Q390="Dao F",626,IF(Atletas!Q390="Jian F",627,IF(Atletas!Q390="Bishou F",628,IF(Atletas!Q390="Shan F",629,IF(Atletas!Q390="Outra Arma Curta F",630, "")))))))))))))))))))))))))))))))</f>
        <v/>
      </c>
      <c r="BT394" s="52" t="str">
        <f>IF(Atletas!R390="","",IF(Atletas!W390&lt;&gt;"",10000,0)+IF(Atletas!B390="Feminino",1000,IF(Atletas!B390="Masculino",2000,""))+IF(Atletas!R390="Gun A",701,IF(Atletas!R390="Qiang A",702,IF(Atletas!R390="Pudao / Guandao A",703,IF(Atletas!R390="Outra Arma Longa A",704,IF(Atletas!R390="Gun B",705,IF(Atletas!R390="Qiang B",706,IF(Atletas!R390="Pudao / Guandao B",707,IF(Atletas!R390="Outra Arma Longa B",708,IF(Atletas!R390="Gun C",709,IF(Atletas!R390="Qiang C",710,IF(Atletas!R390="Pudao / Guandao C",711,IF(Atletas!R390="Outra Arma Longa C",712,IF(Atletas!R390="Gun D",713,IF(Atletas!R390="Qiang D",714,IF(Atletas!R390="Pudao / Guandao D",715,IF(Atletas!R390="Outra Arma Longa D",716,IF(Atletas!R390="Gun E",717,IF(Atletas!R390="Qiang E",718,IF(Atletas!R390="Pudao / Guandao E",719,IF(Atletas!R390="Outra Arma Longa E",720,IF(Atletas!R390="Gun F",721,IF(Atletas!R390="Qiang F",722,IF(Atletas!R390="Pudao / Guandao F",723,IF(Atletas!R390="Outra Arma Longa F",724,"")))))))))))))))))))))))))</f>
        <v/>
      </c>
      <c r="BU394" s="52" t="str">
        <f>IF(Atletas!S390="","",IF(Atletas!W390&lt;&gt;"",10000,0)+IF(Atletas!B390="Feminino",1000,IF(Atletas!B390="Masculino",2000,""))+IF(Atletas!S390="Arma Dupla A",801,IF(Atletas!S390="Arma Maleável A",802,IF(Atletas!S390="Arma Dupla B",803,IF(Atletas!S390="Arma Maleável B",804,IF(Atletas!S390="Arma Dupla C",805,IF(Atletas!S390="Arma Maleável C",806,IF(Atletas!S390="Arma Dupla D",807,IF(Atletas!S390="Arma Maleável D",808,IF(Atletas!S390="Arma Dupla E",809,IF(Atletas!S390="Arma Maleável E",810,IF(Atletas!S390="Arma Dupla F",811,IF(Atletas!S390="Arma Maleável F",812, "")))))))))))))</f>
        <v/>
      </c>
      <c r="BV394" s="52" t="str">
        <f>IF(Atletas!T390="","",IF(Atletas!W390&lt;&gt;"",10000,0)+IF(Atletas!B390="Feminino",1000,IF(Atletas!B390="Masculino",2000,""))+IF(Atletas!T390="Taijijian Yang A",901,IF(Atletas!T390="Taijijian Chen A",902,IF(Atletas!T390="Taijijian Sun A",903,IF(Atletas!T390="Taijijian Wu A",904,IF(Atletas!T390="Taijijian Wu-Hao A",905,IF(Atletas!T390="Taijijian 32 A",906,IF(Atletas!T390="Taijijian 42 A",907,IF(Atletas!T390="Taijijian Yang B",908,IF(Atletas!T390="Taijijian Chen B",909,IF(Atletas!T390="Taijijian Sun B",910,IF(Atletas!T390="Taijijian Wu B",911,IF(Atletas!T390="Taijijian Wu-Hao B",912,IF(Atletas!T390="Taijijian 32 B",913,IF(Atletas!T390="Taijijian 42 B",914,IF(Atletas!T390="Taijijian Yang C",915,IF(Atletas!T390="Taijijian Chen C",916,IF(Atletas!T390="Taijijian Sun C",917,IF(Atletas!T390="Taijijian Wu C",918,IF(Atletas!T390="Taijijian Wu-Hao C",919,IF(Atletas!T390="Taijijian 32 C",920,IF(Atletas!T390="Taijijian 42 C",921,IF(Atletas!T390="Taijijian Yang D",922,IF(Atletas!T390="Taijijian Chen D",923,IF(Atletas!T390="Taijijian Sun D",924,IF(Atletas!T390="Taijijian Wu D",925,IF(Atletas!T390="Taijijian Wu-Hao D",926,IF(Atletas!T390="Taijijian 32 D",927,IF(Atletas!T390="Taijijian 42 D",928,IF(Atletas!T390="Taijijian Yang E",929,IF(Atletas!T390="Taijijian Chen E",930,IF(Atletas!T390="Taijijian Sun E",931,IF(Atletas!T390="Taijijian Wu E",932,IF(Atletas!T390="Taijijian Wu-Hao E",933,IF(Atletas!T390="Taijijian 32 E",934,IF(Atletas!T390="Taijijian 42 E",935,IF(Atletas!T390="Taijijian Yang F",936,IF(Atletas!T390="Taijijian Chen F",937,IF(Atletas!T390="Taijijian Sun F",938,IF(Atletas!T390="Taijijian Wu F",939,IF(Atletas!T390="Taijijian Wu-Hao F",940,IF(Atletas!T390="Taijijian 32 F",941,IF(Atletas!T390="Taijijian 42 F",942,"")))))))))))))))))))))))))))))))))))))))))))</f>
        <v/>
      </c>
      <c r="BW394" s="52" t="str">
        <f>IF(Atletas!U390="","",IF(Atletas!W390&lt;&gt;"",10000,0)+IF(Atletas!B390="Feminino",1000,IF(Atletas!B390="Masculino",2000,""))+IF(Atletas!T390="Taijijian 42 F",942,IF(Atletas!U390="Taijidao A",943,IF(Atletas!U390="Taijishan A",944,IF(Atletas!U390="Taijiqiang A",945,IF(Atletas!U390="Taijidao B",946,IF(Atletas!U390="Taijishan B",947,IF(Atletas!U390="Taijiqiang B",948,IF(Atletas!U390="Taijidao C",949,IF(Atletas!U390="Taijishan C",950,IF(Atletas!U390="Taijiqiang C",951,IF(Atletas!U390="Taijidao D",952,IF(Atletas!U390="Taijishan D",953,IF(Atletas!U390="Taijiqiang D",954,IF(Atletas!U390="Taijidao E",955,IF(Atletas!U390="Taijishan E",956,IF(Atletas!U390="Taijiqiang E",957,IF(Atletas!U390="Taijidao F",958,IF(Atletas!U390="Taijishan F",959,IF(Atletas!U390="Taijiqiang F",960))))))))))))))))))))</f>
        <v/>
      </c>
      <c r="CB394" s="64" t="str">
        <f>IF(CC394&lt;&gt;"","Taijidao B","")</f>
        <v/>
      </c>
      <c r="CC394" s="64" t="str">
        <f>IF(COUNTIF(BK:BW,11946)&gt;0,COUNTIF(BK:BW,11946),"")</f>
        <v/>
      </c>
      <c r="CD394" s="64" t="str">
        <f>IF(CE394&lt;&gt;"","Taijidao B","")</f>
        <v/>
      </c>
      <c r="CE394" s="64" t="str">
        <f>IF(COUNTIF(BK:BW,12946)&gt;0,COUNTIF(BK:BW,12946),"")</f>
        <v/>
      </c>
      <c r="CF394" s="52" t="str">
        <f xml:space="preserve"> IF(Atletas!V390="","",IF(Atletas!V390="Duilian de Mãos AB - Equipe 1",1,IF(Atletas!V390="Duilian de Mãos AB - Equipe 2",2,IF(Atletas!V390="Duilian de Armas AB - Equipe 1",3,IF(Atletas!V390="Duilian de Armas AB - Equipe 2",4,IF(Atletas!V390="Duilian de Tuishou - Equipe 1",5,IF(Atletas!V390="Duilian de Tuishou - Equipe 2",6,IF(Atletas!V390="Grupo Externo AB - Equipe 1",7,IF(Atletas!V390="Grupo Externo AB - Equipe 2",8,IF(Atletas!V390="Grupo Interno AB - Equipe 1",9,IF(Atletas!V390="Grupo Interno AB - Equipe 2",10,IF(Atletas!V390="Duilian de Mãos CD - Equipe 1",11,IF(Atletas!V390="Duilian de Mãos CD - Equipe 2",12,IF(Atletas!V390="Duilian de Armas CD - Equipe 1",13,IF(Atletas!V390="Duilian de Armas CD - Equipe 2",14,IF(Atletas!V390="Duilian de Tuishou - Equipe 1",15,IF(Atletas!V390="Duilian de Tuishou - Equipe 2",16,IF(Atletas!V390="Grupo Externo CDEF - Equipe 1",17,IF(Atletas!V390="Grupo Externo CDEF - Equipe 2",18,IF(Atletas!V390="Grupo Interno CDEF - Equipe 1",19,IF(Atletas!V390="Grupo Interno CDEF - Equipe 2",20,IF(Atletas!V390="Duilian de Mãos EF - Equipe 1",21,IF(Atletas!V390="Duilian de Mãos EF - Equipe 2",22,IF(Atletas!V390="Duilian de Armas EF - Equipe 1",23,IF(Atletas!V390="Duilian de Armas EF - Equipe 2",24,IF(Atletas!V390="Duilian de Tuishou - Equipe 1",25,IF(Atletas!V390="Duilian de Tuishou - Equipe 2",26,"")))))))))))))))))))))))))))</f>
        <v/>
      </c>
    </row>
    <row r="395" spans="36:84">
      <c r="AJ395" s="46" t="str">
        <f>IF(Atletas!D391="","",IF(Atletas!B391="Feminino",100,IF(Atletas!B391="Masculino",200,""))+(IF(Atletas!D391="Infantil 39kg",1,IF(Atletas!D391="Infantil 42kg",2,IF(Atletas!D391="Infantil 45kg",3,IF(Atletas!D391="Infantil 48kg",4,IF(Atletas!D391="Infantil 52kg",5,IF(Atletas!D391="Infantil 56kg",6,IF(Atletas!D391="Infantil 60kg",7,IF(Atletas!D391="Juvenil 48kg",8,IF(Atletas!D391="Juvenil 52kg",9,IF(Atletas!D391="Juvenil 56kg",10,IF(Atletas!D391="Juvenil 60kg",11,IF(Atletas!D391="Juvenil 65kg",12,IF(Atletas!D391="Juvenil 70kg",13,IF(Atletas!D391="Juvenil 75kg",14,IF(Atletas!D391="Juvenil 80kg",15,IF(Atletas!D391="Adulto 48kg",16,IF(Atletas!D391="Adulto 52kg",17,IF(Atletas!D391="Adulto 56kg",18,IF(Atletas!D391="Adulto 60kg",19,IF(Atletas!D391="Adulto 65kg",20,IF(Atletas!D391="Adulto 70kg",21,IF(Atletas!D391="Adulto 75kg",22,IF(Atletas!D391="Adulto 80kg",23,IF(Atletas!D391="Adulto 85kg",24,IF(Atletas!D391="Adulto 90kg",25,IF(Atletas!D391="Adulto +90kg",26,""))))))))))))))))))))))))))))</f>
        <v/>
      </c>
      <c r="AO395" s="10" t="str">
        <f>IF(Atletas!E391="","",IF(Atletas!B391="Feminino",100,IF(Atletas!B391="Masculino",200,""))+(IF(Atletas!E391="Juvenil 44kg",1,IF(Atletas!E391="Juvenil 48kg",2,IF(Atletas!E391="Juvenil 52kg",3,IF(Atletas!E391="Juvenil 56kg",4,IF(Atletas!E391="Juvenil 60kg",5,IF(Atletas!E391="Juvenil 65kg",6,IF(Atletas!E391="Juvenil 70kg",7,IF(Atletas!E391="Juvenil 75kg",8,IF(Atletas!E391="Juvenil 82kg",9,IF(Atletas!E391="Juvenil 90kg",10,IF(Atletas!E391="Juvenil 100kg",11,IF(Atletas!E391="Adulto 48kg",12,IF(Atletas!E391="Adulto 52kg",13,IF(Atletas!E391="Adulto 56kg",14,IF(Atletas!E391="Adulto 60kg",15,IF(Atletas!E391="Adulto 65kg",16,IF(Atletas!E391="Adulto 70kg",17,IF(Atletas!E391="Adulto 75kg",18,IF(Atletas!E391="Adulto 82kg",19,IF(Atletas!E391="Adulto 90kg",20,IF(Atletas!E391="Adulto 100kg",21,IF(Atletas!E391="Adulto +100kg",22,""))))))))))))))))))))))))</f>
        <v/>
      </c>
      <c r="AT395" s="10" t="str">
        <f>IF(Atletas!F391="","",IF(Atletas!B391="Feminino",100,IF(Atletas!B391="Masculino",200,""))+(IF(Atletas!F391="Adulto 48kg",1,IF(Atletas!F391="Adulto 56kg",2,IF(Atletas!F391="Adulto 65kg",3,IF(Atletas!F391="Adulto 75kg",4,IF(Atletas!F391="Adulto +75kg",5,IF(Atletas!F391="Adulto 52kg",6,IF(Atletas!F391="Adulto 60kg",7,IF(Atletas!F391="Adulto 70kg",8,IF(Atletas!F391="Adulto 80kg",9,IF(Atletas!F391="Adulto 90kg",10,IF(Atletas!F391="Adulto +90kg",11,"")))))))))))))</f>
        <v/>
      </c>
      <c r="AY395" s="46" t="str">
        <f>IF(Atletas!G391="","",IF(Atletas!B391="Feminino",100,IF(Atletas!B391="Masculino",200,""))+(IF(Atletas!G391="Changquan Mirim",1,IF(Atletas!G391="Nanquan Mirim",2,IF(Atletas!G391="Taijiquan Mirim",3,IF(Atletas!G391="Changquan Grupo C",4,IF(Atletas!G391="Nanquan Grupo C",5,IF(Atletas!G391="Taijiquan Grupo C",6,IF(Atletas!G391="Changquan Grupo B",7,IF(Atletas!G391="Nanquan Grupo B",8,IF(Atletas!G391="Taijiquan Grupo B",9,IF(Atletas!G391="Changquan Grupo A",10,IF(Atletas!G391="Nanquan Grupo A",11,IF(Atletas!G391="Taijiquan Grupo A",12,IF(Atletas!G391="Changquan Opcional",13,IF(Atletas!G391="Nanquan Opcional",14,IF(Atletas!G391="Taijiquan Opcional",15,IF(Atletas!G391="Changquan Adulto",16,IF(Atletas!G391="Nanquan Adulto",17,IF(Atletas!G391="Taijiquan Adulto",18,""))))))))))))))))))))</f>
        <v/>
      </c>
      <c r="AZ395" s="46" t="str">
        <f>IF(Atletas!H391="","",IF(Atletas!B391="Feminino",100,IF(Atletas!B391="Masculino",200,""))+(IF(Atletas!H391="Daoshu Mirim",19,IF(Atletas!H391="Jianshu Mirim",20,IF(Atletas!H391="Nandao Mirim",21,IF(Atletas!H391="Taijijian Mirim",22,IF(Atletas!H391="Daoshu Grupo C",23,IF(Atletas!H391="Jianshu Grupo C",24,IF(Atletas!H391="Nandao Grupo C",25,IF(Atletas!H391="Taijijian Grupo C",26,IF(Atletas!H391="Daoshu Grupo B",27,IF(Atletas!H391="Jianshu Grupo B",28,IF(Atletas!H391="Nandao Grupo B",29,IF(Atletas!H391="Taijijian Grupo B",30,IF(Atletas!H391="Daoshu Grupo A",31,IF(Atletas!H391="Jianshu Grupo A",32,IF(Atletas!H391="Nandao Grupo A",33,IF(Atletas!H391="Taijijian Grupo A",34,IF(Atletas!H391="Daoshu Opcional",35,IF(Atletas!H391="Jianshu Opcional",36,IF(Atletas!H391="Nandao Opcional",37,IF(Atletas!H391="Taijijian Opcional",38,IF(Atletas!H391="Daoshu Adulto",39,IF(Atletas!H391="Jianshu Adulto",40,IF(Atletas!H391="Nandao Adulto",41,IF(Atletas!H391="Taijijian Adulto",42,""))))))))))))))))))))))))))</f>
        <v/>
      </c>
      <c r="BA395" s="46" t="str">
        <f>IF(Atletas!I391="","",IF(Atletas!B391="Feminino",100,IF(Atletas!B391="Masculino",200,""))+(IF(Atletas!I391="Gunshu Mirim",43,IF(Atletas!I391="Qiangshu Mirim",44,IF(Atletas!I391="Nangun Mirim",45,IF(Atletas!I391="Gunshu Grupo C",46,IF(Atletas!I391="Qiangshu Grupo C",47,IF(Atletas!I391="Nangun Grupo C",48,IF(Atletas!I391="Gunshu Grupo B",49,IF(Atletas!I391="Qiangshu Grupo B",50,IF(Atletas!I391="Nangun Grupo B",51,IF(Atletas!I391="Gunshu Grupo A",52,IF(Atletas!I391="Qiangshu Grupo A",53,IF(Atletas!I391="Nangun Grupo A",54,IF(Atletas!I391="Gunshu Opcional",55,IF(Atletas!I391="Qiangshu Opcional",56,IF(Atletas!I391="Nangun Opcional",57,IF(Atletas!I391="Gunshu Adulto",58,IF(Atletas!I391="Qiangshu Adulto",59,IF(Atletas!I391="Nangun Adulto",60,""))))))))))))))))))))</f>
        <v/>
      </c>
      <c r="BF395" s="52" t="str">
        <f>IF(Atletas!J391="","",IF(Atletas!B391="Feminino",100,IF(Atletas!B391="Masculino",200,""))+(IF(Atletas!J391="Equipe 1 Grupo B",1,IF(Atletas!J391="Equipe 2 Grupo B",2,IF(Atletas!J391="Equipe 1 Grupo A",3,IF(Atletas!J391="Equipe 2 Grupo A",4,IF(Atletas!J391="Equipe 1 Adulto",5,IF(Atletas!J391="Equipe 2 Adulto",6,""))))))))</f>
        <v/>
      </c>
      <c r="BK395" s="52" t="str">
        <f>IF(Atletas!K391="","",IF(Atletas!W391&lt;&gt;"",10000,0)+(IF(Atletas!B391="Feminino",1000,IF(Atletas!B391="Masculino",2000,""))+IF(Atletas!K391="Choylayfut A",1,IF(Atletas!K391="Hunggar A",2,IF(Atletas!K391="Wuzuquan A",3,IF(Atletas!K391="Wingchun A",4,IF(Atletas!K391="Outra Mão de Sul A",5,IF(Atletas!K391="Choylayfut B",6,IF(Atletas!K391="Hunggar B",7,IF(Atletas!K391="Wuzuquan B",8,IF(Atletas!K391="Wingchun B",9,IF(Atletas!K391="Outra Mão de Sul B",10,IF(Atletas!K391="Choylayfut C",11,IF(Atletas!K391="Hunggar C",12,IF(Atletas!K391="Wuzuquan C",13,IF(Atletas!K391="Wingchun C",14,IF(Atletas!K391="Outra Mão de Sul C",15,IF(Atletas!K391="Choylayfut D",16,IF(Atletas!K391="Hunggar D",17,IF(Atletas!K391="Wuzuquan D",18,IF(Atletas!K391="Wingchun D",19,IF(Atletas!K391="Outra Mão de Sul D",20,IF(Atletas!K391="Choylayfut E",21,IF(Atletas!K391="Hunggar E",22,IF(Atletas!K391="Wuzuquan E",23,IF(Atletas!K391="Wingchun E",24,IF(Atletas!K391="Outra Mão de Sul E",25,IF(Atletas!K391="Choylayfut F",26,IF(Atletas!K391="Hunggar F",27,IF(Atletas!K391="Wuzuquan F",28,IF(Atletas!K391="Wingchun F",29,IF(Atletas!K391="Outra Mão de Sul F",30,""))))))))))))))))))))))))))))))))</f>
        <v/>
      </c>
      <c r="BL395" s="52" t="str">
        <f>IF(Atletas!L391="","",IF(Atletas!W391&lt;&gt;"",10000,0)+(IF(Atletas!B391="Feminino",1000,IF(Atletas!B391="Masculino",2000,""))+(IF(Atletas!L391="Chaquan A",101,IF(Atletas!L391="Emeiquan A",102,IF(Atletas!L391="Fanziquan A",103,IF(Atletas!L391="Huaquan A",104,IF(Atletas!L391="Hongquan A",105,IF(Atletas!L391="Paochui A",106,IF(Atletas!L391="Piguaquan A",107,IF(Atletas!L391="Shaolinquan A",108,IF(Atletas!L391="Tanglangquan A",109,IF(Atletas!L391="Yinzhaophai A",110,IF(Atletas!L391="Tongbeiquan A",111,IF(Atletas!L391="Wudangquan A",112,IF(Atletas!L391="Outros Estilos A",113,IF(Atletas!L391="Chaquan B",114,IF(Atletas!L391="Emeiquan B",115,IF(Atletas!L391="Fanziquan B",116,IF(Atletas!L391="Huaquan B",117,IF(Atletas!L391="Hongquan B",118,IF(Atletas!L391="Paochui B",119,IF(Atletas!L391="Piguaquan B",120,IF(Atletas!L391="Shaolinquan B",121,IF(Atletas!L391="Tanglangquan B",122,IF(Atletas!L391="Yinzhaophai B",123,IF(Atletas!L391="Tongbeiquan B",124,IF(Atletas!L391="Wudangquan B",125,IF(Atletas!L391="Outros Estilos B",126,IF(Atletas!L391="Chaquan C",127,IF(Atletas!L391="Emeiquan C",128,IF(Atletas!L391="Fanziquan C",129,IF(Atletas!L391="Huaquan C",130,IF(Atletas!L391="Hongquan C",131,IF(Atletas!L391="Paochui C",132,IF(Atletas!L391="Piguaquan C",133,IF(Atletas!L391="Shaolinquan C",134,IF(Atletas!L391="Tanglangquan C",135,IF(Atletas!L391="Yinzhaophai C",136,IF(Atletas!L391="Tongbeiquan C",137,IF(Atletas!L391="Wudangquan C",138,IF(Atletas!L391="Outros Estilos C",139,0))))))))))))))))))))))))))))))))))))))))))</f>
        <v/>
      </c>
      <c r="BM395" s="52" t="str">
        <f>IF(Atletas!L391="","",IF(Atletas!W391&lt;&gt;"",10000,0)+(IF(Atletas!B391="Feminino",1000,IF(Atletas!B391="Masculino",2000,""))+(IF(Atletas!L391="Chaquan D",140,IF(Atletas!L391="Emeiquan D",141,IF(Atletas!L391="Fanziquan D",142,IF(Atletas!L391="Huaquan D",143,IF(Atletas!L391="Hongquan D",144,IF(Atletas!L391="Paochui D",145,IF(Atletas!L391="Piguaquan D",146,IF(Atletas!L391="Shaolinquan D",147,IF(Atletas!L391="Tanglangquan D",148,IF(Atletas!L391="Yinzhaophai D",149,IF(Atletas!L391="Tongbeiquan D",150,IF(Atletas!L391="Wudangquan D",151,IF(Atletas!L391="Outros Estilos D",152,IF(Atletas!L391="Chaquan E",153,IF(Atletas!L391="Emeiquan E",154,IF(Atletas!L391="Fanziquan E",155,IF(Atletas!L391="Huaquan E",156,IF(Atletas!L391="Hongquan E",157,IF(Atletas!L391="Paochui E",158,IF(Atletas!L391="Piguaquan E",159,IF(Atletas!L391="Shaolinquan E",160,IF(Atletas!L391="Tanglangquan E",161,IF(Atletas!L391="Yinzhaophai E",162,IF(Atletas!L391="Tongbeiquan E",163,IF(Atletas!L391="Wudangquan E",164,IF(Atletas!L391="Outros Estilos E",165,IF(Atletas!L391="Chaquan F",166,IF(Atletas!L391="Emeiquan F",167,IF(Atletas!L391="Fanziquan F",168,IF(Atletas!L391="Huaquan F",169,IF(Atletas!L391="Hongquan F",170,IF(Atletas!L391="Paochui F",171,IF(Atletas!L391="Piguaquan F",172,IF(Atletas!L391="Shaolinquan F",173,IF(Atletas!L391="Tanglangquan F",174,IF(Atletas!L391="Yinzhaophai F",175,IF(Atletas!L391="Tongbeiquan F",176,IF(Atletas!L391="Wudangquan F",177,IF(Atletas!L391="Outros Estilos F",178,0))))))))))))))))))))))))))))))))))))))))))</f>
        <v/>
      </c>
      <c r="BN395" s="52" t="str">
        <f>IF(Atletas!M391="","",IF(Atletas!W391&lt;&gt;"",10000,0)+(IF(Atletas!B391="Feminino",1000,IF(Atletas!B391="Masculino",2000,""))+(IF(Atletas!M391="Ditangquan A",201,IF(Atletas!M391="Houquan A",202,IF(Atletas!M391="Zuiquan A",203,IF(Atletas!M391="Ditangquan B",204,IF(Atletas!M391="Houquan B",205,IF(Atletas!M391="Zuiquan B",206,IF(Atletas!M391="Ditangquan C",207,IF(Atletas!M391="Houquan C",208,IF(Atletas!M391="Zuiquan C",209,IF(Atletas!M391="Ditangquan D",210,IF(Atletas!M391="Houquan D",211,IF(Atletas!M391="Zuiquan D",212,IF(Atletas!M391="Ditangquan E",213,IF(Atletas!M391="Houquan E",214,IF(Atletas!M391="Zuiquan E",215,IF(Atletas!M391="Ditangquan F",216,IF(Atletas!M391="Houquan F",217,IF(Atletas!M391="Zuiquan F",218,"")))))))))))))))))))))</f>
        <v/>
      </c>
      <c r="BO395" s="52" t="str">
        <f>IF(Atletas!N391="","",IF(Atletas!W391&lt;&gt;"",10000,0)+IF(Atletas!B391="Feminino",1000,IF(Atletas!B391="Masculino",2000,""))+IF(Atletas!N391="Yang A",301,IF(Atletas!N391="Chen A",30,IF(Atletas!N391="Sun A",303,IF(Atletas!N391="Wu A",304,IF(Atletas!N391="Wu-Hao A",305,IF(Atletas!N391="Outro Taijiquan A",306,IF(Atletas!N391="Yang B",307,IF(Atletas!N391="Chen B",308,IF(Atletas!N391="Sun B",309,IF(Atletas!N391="Wu B",310,IF(Atletas!N391="Wu-Hao B",311,IF(Atletas!N391="Outro Taijiquan B",312,IF(Atletas!N391="Yang C",313,IF(Atletas!N391="Chen C",314,IF(Atletas!N391="Sun C",315,IF(Atletas!N391="Wu C",316,IF(Atletas!N391="Wu-Hao C",317,IF(Atletas!N391="Outro Taijiquan C",318,IF(Atletas!N391="Yang D",319,IF(Atletas!N391="Chen D",320,IF(Atletas!N391="Sun D",321,IF(Atletas!N391="Wu D",322,IF(Atletas!N391="Wu-Hao D",323,IF(Atletas!N391="Outro Taijiquan D",324,IF(Atletas!N391="Yang E",325,IF(Atletas!N391="Chen E",326,IF(Atletas!N391="Sun E",327,IF(Atletas!N391="Wu E",328,IF(Atletas!N391="Wu-Hao E",329,IF(Atletas!N391="Outro Taijiquan E",330,IF(Atletas!N391="Yang F",331,IF(Atletas!N391="Chen F",332,IF(Atletas!N391="Sun F",333,IF(Atletas!N391="Wu F",334,IF(Atletas!N391="Wu-Hao F",335,IF(Atletas!N391="Outro Taijiquan F",336,"")))))))))))))))))))))))))))))))))))))</f>
        <v/>
      </c>
      <c r="BP395" s="52" t="str">
        <f>IF(Atletas!O391="","",IF(Atletas!W391&lt;&gt;"",10000,0)+IF(Atletas!B391="Feminino",1000,IF(Atletas!B391="Masculino",2000,""))+IF(OR(Atletas!O391="Yang 26 A",Atletas!O391="Yang 40 A"),401,IF(OR(Atletas!O391="Chen 25 A",Atletas!O391="Chen 36 A",Atletas!O391="Chen 56 A"),402,IF(Atletas!O391="Sun 73 A",403,IF(Atletas!O391="Wu 45 A",404,IF(Atletas!O391="Wu-Hao 46 A",405,IF(OR(Atletas!O391="Taijiquan 16 A",Atletas!O391="Taijiquan 24 A",Atletas!O391="Taijiquan 32 A",Atletas!O391="Taijiquan 42 A"),406,IF(OR(Atletas!O391="Yang 26 B",Atletas!O391="Yang 40 B"),407,IF(OR(Atletas!O391="Chen 25 B",Atletas!O391="Chen 36 B",Atletas!O391="Chen 56 B"),408,IF(Atletas!O391="Sun 73 B",409,IF(Atletas!O391="Wu 45 B",410,IF(Atletas!O391="Wu-Hao 46 B",411,IF(OR(Atletas!O391="Taijiquan 16 B",Atletas!O391="Taijiquan 24 B",Atletas!O391="Taijiquan 32 B",Atletas!O391="Taijiquan 42 B"),412,IF(OR(Atletas!O391="Yang 26 C",Atletas!O391="Yang 40 C"),413,IF(OR(Atletas!O391="Chen 25 C",Atletas!O391="Chen 36 C",Atletas!O391="Chen 56 C"),414,IF(Atletas!O391="Sun 73 C",415,IF(Atletas!O391="Wu 45 C",416,IF(Atletas!O391="Wu-Hao 46 C",417,IF(OR(Atletas!O391="Taijiquan 16 C",Atletas!O391="Taijiquan 24 C",Atletas!O391="Taijiquan 32 C",Atletas!O391="Taijiquan 42 C"),418,0)))))))))))))))))))</f>
        <v/>
      </c>
      <c r="BQ395" s="52" t="str">
        <f>IF(Atletas!O391="","",IF(Atletas!W391&lt;&gt;"",10000,0)+IF(Atletas!B391="Feminino",1000,IF(Atletas!B391="Masculino",2000,""))+IF(OR(Atletas!O391="Yang 26 D",Atletas!O391="Yang 40 D"),419,IF(OR(Atletas!O391="Chen 25 D",Atletas!O391="Chen 36 D",Atletas!O391="Chen 56 D"),420,IF(Atletas!O391="Sun 73 D",421,IF(Atletas!O391="Wu 45 D",422,IF(Atletas!O391="Wu-Hao 46 D",423,IF(OR(Atletas!O391="Taijiquan 16 D",Atletas!O391="Taijiquan 24 D",Atletas!O391="Taijiquan 32 D",Atletas!O391="Taijiquan 42 D"),424,IF(OR(Atletas!O391="Yang 26 E",Atletas!O391="Yang 40 E"),425,IF(OR(Atletas!O391="Chen 25 E",Atletas!O391="Chen 36 E",Atletas!O391="Chen 56 E"),426,IF(Atletas!O391="Sun 73 E",427,IF(Atletas!O391="Wu 45 E",428,IF(Atletas!O391="Wu-Hao 46 E",429,IF(OR(Atletas!O391="Taijiquan 16 E",Atletas!O391="Taijiquan 24 E",Atletas!O391="Taijiquan 32 E",Atletas!O391="Taijiquan 42 E"),430,IF(OR(Atletas!O391="Yang 26 F",Atletas!O391="Yang 40 F"),431,IF(OR(Atletas!O391="Chen 25 F",Atletas!O391="Chen 36 F",Atletas!O391="Chen 56 F"),432,IF(Atletas!O391="Sun 73 F",433,IF(Atletas!O391="Wu 45 F",434,IF(Atletas!O391="Wu-Hao 46 F",435,IF(OR(Atletas!O391="Taijiquan 16 F",Atletas!O391="Taijiquan 24 F",Atletas!O391="Taijiquan 32 F",Atletas!O391="Taijiquan 42 F"),436,0)))))))))))))))))))</f>
        <v/>
      </c>
      <c r="BR395" s="52" t="str">
        <f>IF(Atletas!P391="","",IF(Atletas!W391&lt;&gt;"",10000,0)+IF(Atletas!B391="Feminino",1000,IF(Atletas!B391="Masculino",2000,""))+IF(Atletas!P391="Xingyiquan A",501,IF(Atletas!P391="Baguazhang A",502,IF(Atletas!P391="Outro Estilo Interno A",503,IF(Atletas!P391="Xingyiquan B",504,IF(Atletas!P391="Baguazhang B",505,IF(Atletas!P391="Outro Estilo Interno B",506,IF(Atletas!P391="Xingyiquan C",507,IF(Atletas!P391="Baguazhang C",508,IF(Atletas!P391="Outro Estilo Interno C",509,IF(Atletas!P391="Xingyiquan D",510,IF(Atletas!P391="Baguazhang D",511,IF(Atletas!P391="Outro Estilo Interno D",512,IF(Atletas!P391="Xingyiquan E",513,IF(Atletas!P391="Baguazhang E",514,IF(Atletas!P391="Outro Estilo Interno E",515,IF(Atletas!P391="Xingyiquan F",516,IF(Atletas!P391="Baguazhang F",517,IF(Atletas!P391="Outro Estilo Interno F",518, "")))))))))))))))))))</f>
        <v/>
      </c>
      <c r="BS395" s="52" t="str">
        <f>IF(Atletas!Q391="","",IF(Atletas!W391&lt;&gt;"",10000,0)+IF(Atletas!B391="Feminino",1000,IF(Atletas!B391="Masculino",2000,""))+IF(Atletas!Q391="Dao A",601,IF(Atletas!Q391="Jian A",602,IF(Atletas!Q391="Bishou A",603,IF(Atletas!Q391="Shan A",604,IF(Atletas!Q391="Outra Arma Curta A",605,IF(Atletas!Q391="Dao B",606,IF(Atletas!Q391="Jian B",607,IF(Atletas!Q391="Bishou B",608,IF(Atletas!Q391="Shan B",609,IF(Atletas!Q391="Outra Arma Curta B",610,IF(Atletas!Q391="Dao C",611,IF(Atletas!Q391="Jian C",612,IF(Atletas!Q391="Bishou C",613,IF(Atletas!Q391="Shan C",614,IF(Atletas!Q391="Outra Arma Curta C",615,IF(Atletas!Q391="Dao D",616,IF(Atletas!Q391="Jian D",617,IF(Atletas!Q391="Bishou D",618,IF(Atletas!Q391="Shan D",619,IF(Atletas!Q391="Outra Arma Curta D",620,IF(Atletas!Q391="Dao E",621,IF(Atletas!Q391="Jian E",622,IF(Atletas!Q391="Bishou E",623,IF(Atletas!Q391="Shan E",624,IF(Atletas!Q391="Outra Arma Curta E",625,IF(Atletas!Q391="Dao F",626,IF(Atletas!Q391="Jian F",627,IF(Atletas!Q391="Bishou F",628,IF(Atletas!Q391="Shan F",629,IF(Atletas!Q391="Outra Arma Curta F",630, "")))))))))))))))))))))))))))))))</f>
        <v/>
      </c>
      <c r="BT395" s="52" t="str">
        <f>IF(Atletas!R391="","",IF(Atletas!W391&lt;&gt;"",10000,0)+IF(Atletas!B391="Feminino",1000,IF(Atletas!B391="Masculino",2000,""))+IF(Atletas!R391="Gun A",701,IF(Atletas!R391="Qiang A",702,IF(Atletas!R391="Pudao / Guandao A",703,IF(Atletas!R391="Outra Arma Longa A",704,IF(Atletas!R391="Gun B",705,IF(Atletas!R391="Qiang B",706,IF(Atletas!R391="Pudao / Guandao B",707,IF(Atletas!R391="Outra Arma Longa B",708,IF(Atletas!R391="Gun C",709,IF(Atletas!R391="Qiang C",710,IF(Atletas!R391="Pudao / Guandao C",711,IF(Atletas!R391="Outra Arma Longa C",712,IF(Atletas!R391="Gun D",713,IF(Atletas!R391="Qiang D",714,IF(Atletas!R391="Pudao / Guandao D",715,IF(Atletas!R391="Outra Arma Longa D",716,IF(Atletas!R391="Gun E",717,IF(Atletas!R391="Qiang E",718,IF(Atletas!R391="Pudao / Guandao E",719,IF(Atletas!R391="Outra Arma Longa E",720,IF(Atletas!R391="Gun F",721,IF(Atletas!R391="Qiang F",722,IF(Atletas!R391="Pudao / Guandao F",723,IF(Atletas!R391="Outra Arma Longa F",724,"")))))))))))))))))))))))))</f>
        <v/>
      </c>
      <c r="BU395" s="52" t="str">
        <f>IF(Atletas!S391="","",IF(Atletas!W391&lt;&gt;"",10000,0)+IF(Atletas!B391="Feminino",1000,IF(Atletas!B391="Masculino",2000,""))+IF(Atletas!S391="Arma Dupla A",801,IF(Atletas!S391="Arma Maleável A",802,IF(Atletas!S391="Arma Dupla B",803,IF(Atletas!S391="Arma Maleável B",804,IF(Atletas!S391="Arma Dupla C",805,IF(Atletas!S391="Arma Maleável C",806,IF(Atletas!S391="Arma Dupla D",807,IF(Atletas!S391="Arma Maleável D",808,IF(Atletas!S391="Arma Dupla E",809,IF(Atletas!S391="Arma Maleável E",810,IF(Atletas!S391="Arma Dupla F",811,IF(Atletas!S391="Arma Maleável F",812, "")))))))))))))</f>
        <v/>
      </c>
      <c r="BV395" s="52" t="str">
        <f>IF(Atletas!T391="","",IF(Atletas!W391&lt;&gt;"",10000,0)+IF(Atletas!B391="Feminino",1000,IF(Atletas!B391="Masculino",2000,""))+IF(Atletas!T391="Taijijian Yang A",901,IF(Atletas!T391="Taijijian Chen A",902,IF(Atletas!T391="Taijijian Sun A",903,IF(Atletas!T391="Taijijian Wu A",904,IF(Atletas!T391="Taijijian Wu-Hao A",905,IF(Atletas!T391="Taijijian 32 A",906,IF(Atletas!T391="Taijijian 42 A",907,IF(Atletas!T391="Taijijian Yang B",908,IF(Atletas!T391="Taijijian Chen B",909,IF(Atletas!T391="Taijijian Sun B",910,IF(Atletas!T391="Taijijian Wu B",911,IF(Atletas!T391="Taijijian Wu-Hao B",912,IF(Atletas!T391="Taijijian 32 B",913,IF(Atletas!T391="Taijijian 42 B",914,IF(Atletas!T391="Taijijian Yang C",915,IF(Atletas!T391="Taijijian Chen C",916,IF(Atletas!T391="Taijijian Sun C",917,IF(Atletas!T391="Taijijian Wu C",918,IF(Atletas!T391="Taijijian Wu-Hao C",919,IF(Atletas!T391="Taijijian 32 C",920,IF(Atletas!T391="Taijijian 42 C",921,IF(Atletas!T391="Taijijian Yang D",922,IF(Atletas!T391="Taijijian Chen D",923,IF(Atletas!T391="Taijijian Sun D",924,IF(Atletas!T391="Taijijian Wu D",925,IF(Atletas!T391="Taijijian Wu-Hao D",926,IF(Atletas!T391="Taijijian 32 D",927,IF(Atletas!T391="Taijijian 42 D",928,IF(Atletas!T391="Taijijian Yang E",929,IF(Atletas!T391="Taijijian Chen E",930,IF(Atletas!T391="Taijijian Sun E",931,IF(Atletas!T391="Taijijian Wu E",932,IF(Atletas!T391="Taijijian Wu-Hao E",933,IF(Atletas!T391="Taijijian 32 E",934,IF(Atletas!T391="Taijijian 42 E",935,IF(Atletas!T391="Taijijian Yang F",936,IF(Atletas!T391="Taijijian Chen F",937,IF(Atletas!T391="Taijijian Sun F",938,IF(Atletas!T391="Taijijian Wu F",939,IF(Atletas!T391="Taijijian Wu-Hao F",940,IF(Atletas!T391="Taijijian 32 F",941,IF(Atletas!T391="Taijijian 42 F",942,"")))))))))))))))))))))))))))))))))))))))))))</f>
        <v/>
      </c>
      <c r="BW395" s="52" t="str">
        <f>IF(Atletas!U391="","",IF(Atletas!W391&lt;&gt;"",10000,0)+IF(Atletas!B391="Feminino",1000,IF(Atletas!B391="Masculino",2000,""))+IF(Atletas!T391="Taijijian 42 F",942,IF(Atletas!U391="Taijidao A",943,IF(Atletas!U391="Taijishan A",944,IF(Atletas!U391="Taijiqiang A",945,IF(Atletas!U391="Taijidao B",946,IF(Atletas!U391="Taijishan B",947,IF(Atletas!U391="Taijiqiang B",948,IF(Atletas!U391="Taijidao C",949,IF(Atletas!U391="Taijishan C",950,IF(Atletas!U391="Taijiqiang C",951,IF(Atletas!U391="Taijidao D",952,IF(Atletas!U391="Taijishan D",953,IF(Atletas!U391="Taijiqiang D",954,IF(Atletas!U391="Taijidao E",955,IF(Atletas!U391="Taijishan E",956,IF(Atletas!U391="Taijiqiang E",957,IF(Atletas!U391="Taijidao F",958,IF(Atletas!U391="Taijishan F",959,IF(Atletas!U391="Taijiqiang F",960))))))))))))))))))))</f>
        <v/>
      </c>
      <c r="CB395" s="64" t="str">
        <f>IF(CC395&lt;&gt;"","Taijishan B","")</f>
        <v/>
      </c>
      <c r="CC395" s="64" t="str">
        <f>IF(COUNTIF(BK:BW,11947)&gt;0,COUNTIF(BK:BW,11947),"")</f>
        <v/>
      </c>
      <c r="CD395" s="64" t="str">
        <f>IF(CE395&lt;&gt;"","Taijishan B","")</f>
        <v/>
      </c>
      <c r="CE395" s="64" t="str">
        <f>IF(COUNTIF(BK:BW,12947)&gt;0,COUNTIF(BK:BW,12947),"")</f>
        <v/>
      </c>
      <c r="CF395" s="52" t="str">
        <f xml:space="preserve"> IF(Atletas!V391="","",IF(Atletas!V391="Duilian de Mãos AB - Equipe 1",1,IF(Atletas!V391="Duilian de Mãos AB - Equipe 2",2,IF(Atletas!V391="Duilian de Armas AB - Equipe 1",3,IF(Atletas!V391="Duilian de Armas AB - Equipe 2",4,IF(Atletas!V391="Duilian de Tuishou - Equipe 1",5,IF(Atletas!V391="Duilian de Tuishou - Equipe 2",6,IF(Atletas!V391="Grupo Externo AB - Equipe 1",7,IF(Atletas!V391="Grupo Externo AB - Equipe 2",8,IF(Atletas!V391="Grupo Interno AB - Equipe 1",9,IF(Atletas!V391="Grupo Interno AB - Equipe 2",10,IF(Atletas!V391="Duilian de Mãos CD - Equipe 1",11,IF(Atletas!V391="Duilian de Mãos CD - Equipe 2",12,IF(Atletas!V391="Duilian de Armas CD - Equipe 1",13,IF(Atletas!V391="Duilian de Armas CD - Equipe 2",14,IF(Atletas!V391="Duilian de Tuishou - Equipe 1",15,IF(Atletas!V391="Duilian de Tuishou - Equipe 2",16,IF(Atletas!V391="Grupo Externo CDEF - Equipe 1",17,IF(Atletas!V391="Grupo Externo CDEF - Equipe 2",18,IF(Atletas!V391="Grupo Interno CDEF - Equipe 1",19,IF(Atletas!V391="Grupo Interno CDEF - Equipe 2",20,IF(Atletas!V391="Duilian de Mãos EF - Equipe 1",21,IF(Atletas!V391="Duilian de Mãos EF - Equipe 2",22,IF(Atletas!V391="Duilian de Armas EF - Equipe 1",23,IF(Atletas!V391="Duilian de Armas EF - Equipe 2",24,IF(Atletas!V391="Duilian de Tuishou - Equipe 1",25,IF(Atletas!V391="Duilian de Tuishou - Equipe 2",26,"")))))))))))))))))))))))))))</f>
        <v/>
      </c>
    </row>
    <row r="396" spans="36:84">
      <c r="AJ396" s="46" t="str">
        <f>IF(Atletas!D392="","",IF(Atletas!B392="Feminino",100,IF(Atletas!B392="Masculino",200,""))+(IF(Atletas!D392="Infantil 39kg",1,IF(Atletas!D392="Infantil 42kg",2,IF(Atletas!D392="Infantil 45kg",3,IF(Atletas!D392="Infantil 48kg",4,IF(Atletas!D392="Infantil 52kg",5,IF(Atletas!D392="Infantil 56kg",6,IF(Atletas!D392="Infantil 60kg",7,IF(Atletas!D392="Juvenil 48kg",8,IF(Atletas!D392="Juvenil 52kg",9,IF(Atletas!D392="Juvenil 56kg",10,IF(Atletas!D392="Juvenil 60kg",11,IF(Atletas!D392="Juvenil 65kg",12,IF(Atletas!D392="Juvenil 70kg",13,IF(Atletas!D392="Juvenil 75kg",14,IF(Atletas!D392="Juvenil 80kg",15,IF(Atletas!D392="Adulto 48kg",16,IF(Atletas!D392="Adulto 52kg",17,IF(Atletas!D392="Adulto 56kg",18,IF(Atletas!D392="Adulto 60kg",19,IF(Atletas!D392="Adulto 65kg",20,IF(Atletas!D392="Adulto 70kg",21,IF(Atletas!D392="Adulto 75kg",22,IF(Atletas!D392="Adulto 80kg",23,IF(Atletas!D392="Adulto 85kg",24,IF(Atletas!D392="Adulto 90kg",25,IF(Atletas!D392="Adulto +90kg",26,""))))))))))))))))))))))))))))</f>
        <v/>
      </c>
      <c r="AO396" s="10" t="str">
        <f>IF(Atletas!E392="","",IF(Atletas!B392="Feminino",100,IF(Atletas!B392="Masculino",200,""))+(IF(Atletas!E392="Juvenil 44kg",1,IF(Atletas!E392="Juvenil 48kg",2,IF(Atletas!E392="Juvenil 52kg",3,IF(Atletas!E392="Juvenil 56kg",4,IF(Atletas!E392="Juvenil 60kg",5,IF(Atletas!E392="Juvenil 65kg",6,IF(Atletas!E392="Juvenil 70kg",7,IF(Atletas!E392="Juvenil 75kg",8,IF(Atletas!E392="Juvenil 82kg",9,IF(Atletas!E392="Juvenil 90kg",10,IF(Atletas!E392="Juvenil 100kg",11,IF(Atletas!E392="Adulto 48kg",12,IF(Atletas!E392="Adulto 52kg",13,IF(Atletas!E392="Adulto 56kg",14,IF(Atletas!E392="Adulto 60kg",15,IF(Atletas!E392="Adulto 65kg",16,IF(Atletas!E392="Adulto 70kg",17,IF(Atletas!E392="Adulto 75kg",18,IF(Atletas!E392="Adulto 82kg",19,IF(Atletas!E392="Adulto 90kg",20,IF(Atletas!E392="Adulto 100kg",21,IF(Atletas!E392="Adulto +100kg",22,""))))))))))))))))))))))))</f>
        <v/>
      </c>
      <c r="AT396" s="10" t="str">
        <f>IF(Atletas!F392="","",IF(Atletas!B392="Feminino",100,IF(Atletas!B392="Masculino",200,""))+(IF(Atletas!F392="Adulto 48kg",1,IF(Atletas!F392="Adulto 56kg",2,IF(Atletas!F392="Adulto 65kg",3,IF(Atletas!F392="Adulto 75kg",4,IF(Atletas!F392="Adulto +75kg",5,IF(Atletas!F392="Adulto 52kg",6,IF(Atletas!F392="Adulto 60kg",7,IF(Atletas!F392="Adulto 70kg",8,IF(Atletas!F392="Adulto 80kg",9,IF(Atletas!F392="Adulto 90kg",10,IF(Atletas!F392="Adulto +90kg",11,"")))))))))))))</f>
        <v/>
      </c>
      <c r="AY396" s="46" t="str">
        <f>IF(Atletas!G392="","",IF(Atletas!B392="Feminino",100,IF(Atletas!B392="Masculino",200,""))+(IF(Atletas!G392="Changquan Mirim",1,IF(Atletas!G392="Nanquan Mirim",2,IF(Atletas!G392="Taijiquan Mirim",3,IF(Atletas!G392="Changquan Grupo C",4,IF(Atletas!G392="Nanquan Grupo C",5,IF(Atletas!G392="Taijiquan Grupo C",6,IF(Atletas!G392="Changquan Grupo B",7,IF(Atletas!G392="Nanquan Grupo B",8,IF(Atletas!G392="Taijiquan Grupo B",9,IF(Atletas!G392="Changquan Grupo A",10,IF(Atletas!G392="Nanquan Grupo A",11,IF(Atletas!G392="Taijiquan Grupo A",12,IF(Atletas!G392="Changquan Opcional",13,IF(Atletas!G392="Nanquan Opcional",14,IF(Atletas!G392="Taijiquan Opcional",15,IF(Atletas!G392="Changquan Adulto",16,IF(Atletas!G392="Nanquan Adulto",17,IF(Atletas!G392="Taijiquan Adulto",18,""))))))))))))))))))))</f>
        <v/>
      </c>
      <c r="AZ396" s="46" t="str">
        <f>IF(Atletas!H392="","",IF(Atletas!B392="Feminino",100,IF(Atletas!B392="Masculino",200,""))+(IF(Atletas!H392="Daoshu Mirim",19,IF(Atletas!H392="Jianshu Mirim",20,IF(Atletas!H392="Nandao Mirim",21,IF(Atletas!H392="Taijijian Mirim",22,IF(Atletas!H392="Daoshu Grupo C",23,IF(Atletas!H392="Jianshu Grupo C",24,IF(Atletas!H392="Nandao Grupo C",25,IF(Atletas!H392="Taijijian Grupo C",26,IF(Atletas!H392="Daoshu Grupo B",27,IF(Atletas!H392="Jianshu Grupo B",28,IF(Atletas!H392="Nandao Grupo B",29,IF(Atletas!H392="Taijijian Grupo B",30,IF(Atletas!H392="Daoshu Grupo A",31,IF(Atletas!H392="Jianshu Grupo A",32,IF(Atletas!H392="Nandao Grupo A",33,IF(Atletas!H392="Taijijian Grupo A",34,IF(Atletas!H392="Daoshu Opcional",35,IF(Atletas!H392="Jianshu Opcional",36,IF(Atletas!H392="Nandao Opcional",37,IF(Atletas!H392="Taijijian Opcional",38,IF(Atletas!H392="Daoshu Adulto",39,IF(Atletas!H392="Jianshu Adulto",40,IF(Atletas!H392="Nandao Adulto",41,IF(Atletas!H392="Taijijian Adulto",42,""))))))))))))))))))))))))))</f>
        <v/>
      </c>
      <c r="BA396" s="46" t="str">
        <f>IF(Atletas!I392="","",IF(Atletas!B392="Feminino",100,IF(Atletas!B392="Masculino",200,""))+(IF(Atletas!I392="Gunshu Mirim",43,IF(Atletas!I392="Qiangshu Mirim",44,IF(Atletas!I392="Nangun Mirim",45,IF(Atletas!I392="Gunshu Grupo C",46,IF(Atletas!I392="Qiangshu Grupo C",47,IF(Atletas!I392="Nangun Grupo C",48,IF(Atletas!I392="Gunshu Grupo B",49,IF(Atletas!I392="Qiangshu Grupo B",50,IF(Atletas!I392="Nangun Grupo B",51,IF(Atletas!I392="Gunshu Grupo A",52,IF(Atletas!I392="Qiangshu Grupo A",53,IF(Atletas!I392="Nangun Grupo A",54,IF(Atletas!I392="Gunshu Opcional",55,IF(Atletas!I392="Qiangshu Opcional",56,IF(Atletas!I392="Nangun Opcional",57,IF(Atletas!I392="Gunshu Adulto",58,IF(Atletas!I392="Qiangshu Adulto",59,IF(Atletas!I392="Nangun Adulto",60,""))))))))))))))))))))</f>
        <v/>
      </c>
      <c r="BF396" s="52" t="str">
        <f>IF(Atletas!J392="","",IF(Atletas!B392="Feminino",100,IF(Atletas!B392="Masculino",200,""))+(IF(Atletas!J392="Equipe 1 Grupo B",1,IF(Atletas!J392="Equipe 2 Grupo B",2,IF(Atletas!J392="Equipe 1 Grupo A",3,IF(Atletas!J392="Equipe 2 Grupo A",4,IF(Atletas!J392="Equipe 1 Adulto",5,IF(Atletas!J392="Equipe 2 Adulto",6,""))))))))</f>
        <v/>
      </c>
      <c r="BK396" s="52" t="str">
        <f>IF(Atletas!K392="","",IF(Atletas!W392&lt;&gt;"",10000,0)+(IF(Atletas!B392="Feminino",1000,IF(Atletas!B392="Masculino",2000,""))+IF(Atletas!K392="Choylayfut A",1,IF(Atletas!K392="Hunggar A",2,IF(Atletas!K392="Wuzuquan A",3,IF(Atletas!K392="Wingchun A",4,IF(Atletas!K392="Outra Mão de Sul A",5,IF(Atletas!K392="Choylayfut B",6,IF(Atletas!K392="Hunggar B",7,IF(Atletas!K392="Wuzuquan B",8,IF(Atletas!K392="Wingchun B",9,IF(Atletas!K392="Outra Mão de Sul B",10,IF(Atletas!K392="Choylayfut C",11,IF(Atletas!K392="Hunggar C",12,IF(Atletas!K392="Wuzuquan C",13,IF(Atletas!K392="Wingchun C",14,IF(Atletas!K392="Outra Mão de Sul C",15,IF(Atletas!K392="Choylayfut D",16,IF(Atletas!K392="Hunggar D",17,IF(Atletas!K392="Wuzuquan D",18,IF(Atletas!K392="Wingchun D",19,IF(Atletas!K392="Outra Mão de Sul D",20,IF(Atletas!K392="Choylayfut E",21,IF(Atletas!K392="Hunggar E",22,IF(Atletas!K392="Wuzuquan E",23,IF(Atletas!K392="Wingchun E",24,IF(Atletas!K392="Outra Mão de Sul E",25,IF(Atletas!K392="Choylayfut F",26,IF(Atletas!K392="Hunggar F",27,IF(Atletas!K392="Wuzuquan F",28,IF(Atletas!K392="Wingchun F",29,IF(Atletas!K392="Outra Mão de Sul F",30,""))))))))))))))))))))))))))))))))</f>
        <v/>
      </c>
      <c r="BL396" s="52" t="str">
        <f>IF(Atletas!L392="","",IF(Atletas!W392&lt;&gt;"",10000,0)+(IF(Atletas!B392="Feminino",1000,IF(Atletas!B392="Masculino",2000,""))+(IF(Atletas!L392="Chaquan A",101,IF(Atletas!L392="Emeiquan A",102,IF(Atletas!L392="Fanziquan A",103,IF(Atletas!L392="Huaquan A",104,IF(Atletas!L392="Hongquan A",105,IF(Atletas!L392="Paochui A",106,IF(Atletas!L392="Piguaquan A",107,IF(Atletas!L392="Shaolinquan A",108,IF(Atletas!L392="Tanglangquan A",109,IF(Atletas!L392="Yinzhaophai A",110,IF(Atletas!L392="Tongbeiquan A",111,IF(Atletas!L392="Wudangquan A",112,IF(Atletas!L392="Outros Estilos A",113,IF(Atletas!L392="Chaquan B",114,IF(Atletas!L392="Emeiquan B",115,IF(Atletas!L392="Fanziquan B",116,IF(Atletas!L392="Huaquan B",117,IF(Atletas!L392="Hongquan B",118,IF(Atletas!L392="Paochui B",119,IF(Atletas!L392="Piguaquan B",120,IF(Atletas!L392="Shaolinquan B",121,IF(Atletas!L392="Tanglangquan B",122,IF(Atletas!L392="Yinzhaophai B",123,IF(Atletas!L392="Tongbeiquan B",124,IF(Atletas!L392="Wudangquan B",125,IF(Atletas!L392="Outros Estilos B",126,IF(Atletas!L392="Chaquan C",127,IF(Atletas!L392="Emeiquan C",128,IF(Atletas!L392="Fanziquan C",129,IF(Atletas!L392="Huaquan C",130,IF(Atletas!L392="Hongquan C",131,IF(Atletas!L392="Paochui C",132,IF(Atletas!L392="Piguaquan C",133,IF(Atletas!L392="Shaolinquan C",134,IF(Atletas!L392="Tanglangquan C",135,IF(Atletas!L392="Yinzhaophai C",136,IF(Atletas!L392="Tongbeiquan C",137,IF(Atletas!L392="Wudangquan C",138,IF(Atletas!L392="Outros Estilos C",139,0))))))))))))))))))))))))))))))))))))))))))</f>
        <v/>
      </c>
      <c r="BM396" s="52" t="str">
        <f>IF(Atletas!L392="","",IF(Atletas!W392&lt;&gt;"",10000,0)+(IF(Atletas!B392="Feminino",1000,IF(Atletas!B392="Masculino",2000,""))+(IF(Atletas!L392="Chaquan D",140,IF(Atletas!L392="Emeiquan D",141,IF(Atletas!L392="Fanziquan D",142,IF(Atletas!L392="Huaquan D",143,IF(Atletas!L392="Hongquan D",144,IF(Atletas!L392="Paochui D",145,IF(Atletas!L392="Piguaquan D",146,IF(Atletas!L392="Shaolinquan D",147,IF(Atletas!L392="Tanglangquan D",148,IF(Atletas!L392="Yinzhaophai D",149,IF(Atletas!L392="Tongbeiquan D",150,IF(Atletas!L392="Wudangquan D",151,IF(Atletas!L392="Outros Estilos D",152,IF(Atletas!L392="Chaquan E",153,IF(Atletas!L392="Emeiquan E",154,IF(Atletas!L392="Fanziquan E",155,IF(Atletas!L392="Huaquan E",156,IF(Atletas!L392="Hongquan E",157,IF(Atletas!L392="Paochui E",158,IF(Atletas!L392="Piguaquan E",159,IF(Atletas!L392="Shaolinquan E",160,IF(Atletas!L392="Tanglangquan E",161,IF(Atletas!L392="Yinzhaophai E",162,IF(Atletas!L392="Tongbeiquan E",163,IF(Atletas!L392="Wudangquan E",164,IF(Atletas!L392="Outros Estilos E",165,IF(Atletas!L392="Chaquan F",166,IF(Atletas!L392="Emeiquan F",167,IF(Atletas!L392="Fanziquan F",168,IF(Atletas!L392="Huaquan F",169,IF(Atletas!L392="Hongquan F",170,IF(Atletas!L392="Paochui F",171,IF(Atletas!L392="Piguaquan F",172,IF(Atletas!L392="Shaolinquan F",173,IF(Atletas!L392="Tanglangquan F",174,IF(Atletas!L392="Yinzhaophai F",175,IF(Atletas!L392="Tongbeiquan F",176,IF(Atletas!L392="Wudangquan F",177,IF(Atletas!L392="Outros Estilos F",178,0))))))))))))))))))))))))))))))))))))))))))</f>
        <v/>
      </c>
      <c r="BN396" s="52" t="str">
        <f>IF(Atletas!M392="","",IF(Atletas!W392&lt;&gt;"",10000,0)+(IF(Atletas!B392="Feminino",1000,IF(Atletas!B392="Masculino",2000,""))+(IF(Atletas!M392="Ditangquan A",201,IF(Atletas!M392="Houquan A",202,IF(Atletas!M392="Zuiquan A",203,IF(Atletas!M392="Ditangquan B",204,IF(Atletas!M392="Houquan B",205,IF(Atletas!M392="Zuiquan B",206,IF(Atletas!M392="Ditangquan C",207,IF(Atletas!M392="Houquan C",208,IF(Atletas!M392="Zuiquan C",209,IF(Atletas!M392="Ditangquan D",210,IF(Atletas!M392="Houquan D",211,IF(Atletas!M392="Zuiquan D",212,IF(Atletas!M392="Ditangquan E",213,IF(Atletas!M392="Houquan E",214,IF(Atletas!M392="Zuiquan E",215,IF(Atletas!M392="Ditangquan F",216,IF(Atletas!M392="Houquan F",217,IF(Atletas!M392="Zuiquan F",218,"")))))))))))))))))))))</f>
        <v/>
      </c>
      <c r="BO396" s="52" t="str">
        <f>IF(Atletas!N392="","",IF(Atletas!W392&lt;&gt;"",10000,0)+IF(Atletas!B392="Feminino",1000,IF(Atletas!B392="Masculino",2000,""))+IF(Atletas!N392="Yang A",301,IF(Atletas!N392="Chen A",30,IF(Atletas!N392="Sun A",303,IF(Atletas!N392="Wu A",304,IF(Atletas!N392="Wu-Hao A",305,IF(Atletas!N392="Outro Taijiquan A",306,IF(Atletas!N392="Yang B",307,IF(Atletas!N392="Chen B",308,IF(Atletas!N392="Sun B",309,IF(Atletas!N392="Wu B",310,IF(Atletas!N392="Wu-Hao B",311,IF(Atletas!N392="Outro Taijiquan B",312,IF(Atletas!N392="Yang C",313,IF(Atletas!N392="Chen C",314,IF(Atletas!N392="Sun C",315,IF(Atletas!N392="Wu C",316,IF(Atletas!N392="Wu-Hao C",317,IF(Atletas!N392="Outro Taijiquan C",318,IF(Atletas!N392="Yang D",319,IF(Atletas!N392="Chen D",320,IF(Atletas!N392="Sun D",321,IF(Atletas!N392="Wu D",322,IF(Atletas!N392="Wu-Hao D",323,IF(Atletas!N392="Outro Taijiquan D",324,IF(Atletas!N392="Yang E",325,IF(Atletas!N392="Chen E",326,IF(Atletas!N392="Sun E",327,IF(Atletas!N392="Wu E",328,IF(Atletas!N392="Wu-Hao E",329,IF(Atletas!N392="Outro Taijiquan E",330,IF(Atletas!N392="Yang F",331,IF(Atletas!N392="Chen F",332,IF(Atletas!N392="Sun F",333,IF(Atletas!N392="Wu F",334,IF(Atletas!N392="Wu-Hao F",335,IF(Atletas!N392="Outro Taijiquan F",336,"")))))))))))))))))))))))))))))))))))))</f>
        <v/>
      </c>
      <c r="BP396" s="52" t="str">
        <f>IF(Atletas!O392="","",IF(Atletas!W392&lt;&gt;"",10000,0)+IF(Atletas!B392="Feminino",1000,IF(Atletas!B392="Masculino",2000,""))+IF(OR(Atletas!O392="Yang 26 A",Atletas!O392="Yang 40 A"),401,IF(OR(Atletas!O392="Chen 25 A",Atletas!O392="Chen 36 A",Atletas!O392="Chen 56 A"),402,IF(Atletas!O392="Sun 73 A",403,IF(Atletas!O392="Wu 45 A",404,IF(Atletas!O392="Wu-Hao 46 A",405,IF(OR(Atletas!O392="Taijiquan 16 A",Atletas!O392="Taijiquan 24 A",Atletas!O392="Taijiquan 32 A",Atletas!O392="Taijiquan 42 A"),406,IF(OR(Atletas!O392="Yang 26 B",Atletas!O392="Yang 40 B"),407,IF(OR(Atletas!O392="Chen 25 B",Atletas!O392="Chen 36 B",Atletas!O392="Chen 56 B"),408,IF(Atletas!O392="Sun 73 B",409,IF(Atletas!O392="Wu 45 B",410,IF(Atletas!O392="Wu-Hao 46 B",411,IF(OR(Atletas!O392="Taijiquan 16 B",Atletas!O392="Taijiquan 24 B",Atletas!O392="Taijiquan 32 B",Atletas!O392="Taijiquan 42 B"),412,IF(OR(Atletas!O392="Yang 26 C",Atletas!O392="Yang 40 C"),413,IF(OR(Atletas!O392="Chen 25 C",Atletas!O392="Chen 36 C",Atletas!O392="Chen 56 C"),414,IF(Atletas!O392="Sun 73 C",415,IF(Atletas!O392="Wu 45 C",416,IF(Atletas!O392="Wu-Hao 46 C",417,IF(OR(Atletas!O392="Taijiquan 16 C",Atletas!O392="Taijiquan 24 C",Atletas!O392="Taijiquan 32 C",Atletas!O392="Taijiquan 42 C"),418,0)))))))))))))))))))</f>
        <v/>
      </c>
      <c r="BQ396" s="52" t="str">
        <f>IF(Atletas!O392="","",IF(Atletas!W392&lt;&gt;"",10000,0)+IF(Atletas!B392="Feminino",1000,IF(Atletas!B392="Masculino",2000,""))+IF(OR(Atletas!O392="Yang 26 D",Atletas!O392="Yang 40 D"),419,IF(OR(Atletas!O392="Chen 25 D",Atletas!O392="Chen 36 D",Atletas!O392="Chen 56 D"),420,IF(Atletas!O392="Sun 73 D",421,IF(Atletas!O392="Wu 45 D",422,IF(Atletas!O392="Wu-Hao 46 D",423,IF(OR(Atletas!O392="Taijiquan 16 D",Atletas!O392="Taijiquan 24 D",Atletas!O392="Taijiquan 32 D",Atletas!O392="Taijiquan 42 D"),424,IF(OR(Atletas!O392="Yang 26 E",Atletas!O392="Yang 40 E"),425,IF(OR(Atletas!O392="Chen 25 E",Atletas!O392="Chen 36 E",Atletas!O392="Chen 56 E"),426,IF(Atletas!O392="Sun 73 E",427,IF(Atletas!O392="Wu 45 E",428,IF(Atletas!O392="Wu-Hao 46 E",429,IF(OR(Atletas!O392="Taijiquan 16 E",Atletas!O392="Taijiquan 24 E",Atletas!O392="Taijiquan 32 E",Atletas!O392="Taijiquan 42 E"),430,IF(OR(Atletas!O392="Yang 26 F",Atletas!O392="Yang 40 F"),431,IF(OR(Atletas!O392="Chen 25 F",Atletas!O392="Chen 36 F",Atletas!O392="Chen 56 F"),432,IF(Atletas!O392="Sun 73 F",433,IF(Atletas!O392="Wu 45 F",434,IF(Atletas!O392="Wu-Hao 46 F",435,IF(OR(Atletas!O392="Taijiquan 16 F",Atletas!O392="Taijiquan 24 F",Atletas!O392="Taijiquan 32 F",Atletas!O392="Taijiquan 42 F"),436,0)))))))))))))))))))</f>
        <v/>
      </c>
      <c r="BR396" s="52" t="str">
        <f>IF(Atletas!P392="","",IF(Atletas!W392&lt;&gt;"",10000,0)+IF(Atletas!B392="Feminino",1000,IF(Atletas!B392="Masculino",2000,""))+IF(Atletas!P392="Xingyiquan A",501,IF(Atletas!P392="Baguazhang A",502,IF(Atletas!P392="Outro Estilo Interno A",503,IF(Atletas!P392="Xingyiquan B",504,IF(Atletas!P392="Baguazhang B",505,IF(Atletas!P392="Outro Estilo Interno B",506,IF(Atletas!P392="Xingyiquan C",507,IF(Atletas!P392="Baguazhang C",508,IF(Atletas!P392="Outro Estilo Interno C",509,IF(Atletas!P392="Xingyiquan D",510,IF(Atletas!P392="Baguazhang D",511,IF(Atletas!P392="Outro Estilo Interno D",512,IF(Atletas!P392="Xingyiquan E",513,IF(Atletas!P392="Baguazhang E",514,IF(Atletas!P392="Outro Estilo Interno E",515,IF(Atletas!P392="Xingyiquan F",516,IF(Atletas!P392="Baguazhang F",517,IF(Atletas!P392="Outro Estilo Interno F",518, "")))))))))))))))))))</f>
        <v/>
      </c>
      <c r="BS396" s="52" t="str">
        <f>IF(Atletas!Q392="","",IF(Atletas!W392&lt;&gt;"",10000,0)+IF(Atletas!B392="Feminino",1000,IF(Atletas!B392="Masculino",2000,""))+IF(Atletas!Q392="Dao A",601,IF(Atletas!Q392="Jian A",602,IF(Atletas!Q392="Bishou A",603,IF(Atletas!Q392="Shan A",604,IF(Atletas!Q392="Outra Arma Curta A",605,IF(Atletas!Q392="Dao B",606,IF(Atletas!Q392="Jian B",607,IF(Atletas!Q392="Bishou B",608,IF(Atletas!Q392="Shan B",609,IF(Atletas!Q392="Outra Arma Curta B",610,IF(Atletas!Q392="Dao C",611,IF(Atletas!Q392="Jian C",612,IF(Atletas!Q392="Bishou C",613,IF(Atletas!Q392="Shan C",614,IF(Atletas!Q392="Outra Arma Curta C",615,IF(Atletas!Q392="Dao D",616,IF(Atletas!Q392="Jian D",617,IF(Atletas!Q392="Bishou D",618,IF(Atletas!Q392="Shan D",619,IF(Atletas!Q392="Outra Arma Curta D",620,IF(Atletas!Q392="Dao E",621,IF(Atletas!Q392="Jian E",622,IF(Atletas!Q392="Bishou E",623,IF(Atletas!Q392="Shan E",624,IF(Atletas!Q392="Outra Arma Curta E",625,IF(Atletas!Q392="Dao F",626,IF(Atletas!Q392="Jian F",627,IF(Atletas!Q392="Bishou F",628,IF(Atletas!Q392="Shan F",629,IF(Atletas!Q392="Outra Arma Curta F",630, "")))))))))))))))))))))))))))))))</f>
        <v/>
      </c>
      <c r="BT396" s="52" t="str">
        <f>IF(Atletas!R392="","",IF(Atletas!W392&lt;&gt;"",10000,0)+IF(Atletas!B392="Feminino",1000,IF(Atletas!B392="Masculino",2000,""))+IF(Atletas!R392="Gun A",701,IF(Atletas!R392="Qiang A",702,IF(Atletas!R392="Pudao / Guandao A",703,IF(Atletas!R392="Outra Arma Longa A",704,IF(Atletas!R392="Gun B",705,IF(Atletas!R392="Qiang B",706,IF(Atletas!R392="Pudao / Guandao B",707,IF(Atletas!R392="Outra Arma Longa B",708,IF(Atletas!R392="Gun C",709,IF(Atletas!R392="Qiang C",710,IF(Atletas!R392="Pudao / Guandao C",711,IF(Atletas!R392="Outra Arma Longa C",712,IF(Atletas!R392="Gun D",713,IF(Atletas!R392="Qiang D",714,IF(Atletas!R392="Pudao / Guandao D",715,IF(Atletas!R392="Outra Arma Longa D",716,IF(Atletas!R392="Gun E",717,IF(Atletas!R392="Qiang E",718,IF(Atletas!R392="Pudao / Guandao E",719,IF(Atletas!R392="Outra Arma Longa E",720,IF(Atletas!R392="Gun F",721,IF(Atletas!R392="Qiang F",722,IF(Atletas!R392="Pudao / Guandao F",723,IF(Atletas!R392="Outra Arma Longa F",724,"")))))))))))))))))))))))))</f>
        <v/>
      </c>
      <c r="BU396" s="52" t="str">
        <f>IF(Atletas!S392="","",IF(Atletas!W392&lt;&gt;"",10000,0)+IF(Atletas!B392="Feminino",1000,IF(Atletas!B392="Masculino",2000,""))+IF(Atletas!S392="Arma Dupla A",801,IF(Atletas!S392="Arma Maleável A",802,IF(Atletas!S392="Arma Dupla B",803,IF(Atletas!S392="Arma Maleável B",804,IF(Atletas!S392="Arma Dupla C",805,IF(Atletas!S392="Arma Maleável C",806,IF(Atletas!S392="Arma Dupla D",807,IF(Atletas!S392="Arma Maleável D",808,IF(Atletas!S392="Arma Dupla E",809,IF(Atletas!S392="Arma Maleável E",810,IF(Atletas!S392="Arma Dupla F",811,IF(Atletas!S392="Arma Maleável F",812, "")))))))))))))</f>
        <v/>
      </c>
      <c r="BV396" s="52" t="str">
        <f>IF(Atletas!T392="","",IF(Atletas!W392&lt;&gt;"",10000,0)+IF(Atletas!B392="Feminino",1000,IF(Atletas!B392="Masculino",2000,""))+IF(Atletas!T392="Taijijian Yang A",901,IF(Atletas!T392="Taijijian Chen A",902,IF(Atletas!T392="Taijijian Sun A",903,IF(Atletas!T392="Taijijian Wu A",904,IF(Atletas!T392="Taijijian Wu-Hao A",905,IF(Atletas!T392="Taijijian 32 A",906,IF(Atletas!T392="Taijijian 42 A",907,IF(Atletas!T392="Taijijian Yang B",908,IF(Atletas!T392="Taijijian Chen B",909,IF(Atletas!T392="Taijijian Sun B",910,IF(Atletas!T392="Taijijian Wu B",911,IF(Atletas!T392="Taijijian Wu-Hao B",912,IF(Atletas!T392="Taijijian 32 B",913,IF(Atletas!T392="Taijijian 42 B",914,IF(Atletas!T392="Taijijian Yang C",915,IF(Atletas!T392="Taijijian Chen C",916,IF(Atletas!T392="Taijijian Sun C",917,IF(Atletas!T392="Taijijian Wu C",918,IF(Atletas!T392="Taijijian Wu-Hao C",919,IF(Atletas!T392="Taijijian 32 C",920,IF(Atletas!T392="Taijijian 42 C",921,IF(Atletas!T392="Taijijian Yang D",922,IF(Atletas!T392="Taijijian Chen D",923,IF(Atletas!T392="Taijijian Sun D",924,IF(Atletas!T392="Taijijian Wu D",925,IF(Atletas!T392="Taijijian Wu-Hao D",926,IF(Atletas!T392="Taijijian 32 D",927,IF(Atletas!T392="Taijijian 42 D",928,IF(Atletas!T392="Taijijian Yang E",929,IF(Atletas!T392="Taijijian Chen E",930,IF(Atletas!T392="Taijijian Sun E",931,IF(Atletas!T392="Taijijian Wu E",932,IF(Atletas!T392="Taijijian Wu-Hao E",933,IF(Atletas!T392="Taijijian 32 E",934,IF(Atletas!T392="Taijijian 42 E",935,IF(Atletas!T392="Taijijian Yang F",936,IF(Atletas!T392="Taijijian Chen F",937,IF(Atletas!T392="Taijijian Sun F",938,IF(Atletas!T392="Taijijian Wu F",939,IF(Atletas!T392="Taijijian Wu-Hao F",940,IF(Atletas!T392="Taijijian 32 F",941,IF(Atletas!T392="Taijijian 42 F",942,"")))))))))))))))))))))))))))))))))))))))))))</f>
        <v/>
      </c>
      <c r="BW396" s="52" t="str">
        <f>IF(Atletas!U392="","",IF(Atletas!W392&lt;&gt;"",10000,0)+IF(Atletas!B392="Feminino",1000,IF(Atletas!B392="Masculino",2000,""))+IF(Atletas!T392="Taijijian 42 F",942,IF(Atletas!U392="Taijidao A",943,IF(Atletas!U392="Taijishan A",944,IF(Atletas!U392="Taijiqiang A",945,IF(Atletas!U392="Taijidao B",946,IF(Atletas!U392="Taijishan B",947,IF(Atletas!U392="Taijiqiang B",948,IF(Atletas!U392="Taijidao C",949,IF(Atletas!U392="Taijishan C",950,IF(Atletas!U392="Taijiqiang C",951,IF(Atletas!U392="Taijidao D",952,IF(Atletas!U392="Taijishan D",953,IF(Atletas!U392="Taijiqiang D",954,IF(Atletas!U392="Taijidao E",955,IF(Atletas!U392="Taijishan E",956,IF(Atletas!U392="Taijiqiang E",957,IF(Atletas!U392="Taijidao F",958,IF(Atletas!U392="Taijishan F",959,IF(Atletas!U392="Taijiqiang F",960))))))))))))))))))))</f>
        <v/>
      </c>
      <c r="CB396" s="64" t="str">
        <f>IF(CC396&lt;&gt;"","Taijiqiang B","")</f>
        <v/>
      </c>
      <c r="CC396" s="64" t="str">
        <f>IF(COUNTIF(BK:BW,11948)&gt;0,COUNTIF(BK:BW,11948),"")</f>
        <v/>
      </c>
      <c r="CD396" s="64" t="str">
        <f>IF(CE396&lt;&gt;"","Taijiqiang B","")</f>
        <v/>
      </c>
      <c r="CE396" s="64" t="str">
        <f>IF(COUNTIF(BK:BW,12948)&gt;0,COUNTIF(BK:BW,12948),"")</f>
        <v/>
      </c>
      <c r="CF396" s="52" t="str">
        <f xml:space="preserve"> IF(Atletas!V392="","",IF(Atletas!V392="Duilian de Mãos AB - Equipe 1",1,IF(Atletas!V392="Duilian de Mãos AB - Equipe 2",2,IF(Atletas!V392="Duilian de Armas AB - Equipe 1",3,IF(Atletas!V392="Duilian de Armas AB - Equipe 2",4,IF(Atletas!V392="Duilian de Tuishou - Equipe 1",5,IF(Atletas!V392="Duilian de Tuishou - Equipe 2",6,IF(Atletas!V392="Grupo Externo AB - Equipe 1",7,IF(Atletas!V392="Grupo Externo AB - Equipe 2",8,IF(Atletas!V392="Grupo Interno AB - Equipe 1",9,IF(Atletas!V392="Grupo Interno AB - Equipe 2",10,IF(Atletas!V392="Duilian de Mãos CD - Equipe 1",11,IF(Atletas!V392="Duilian de Mãos CD - Equipe 2",12,IF(Atletas!V392="Duilian de Armas CD - Equipe 1",13,IF(Atletas!V392="Duilian de Armas CD - Equipe 2",14,IF(Atletas!V392="Duilian de Tuishou - Equipe 1",15,IF(Atletas!V392="Duilian de Tuishou - Equipe 2",16,IF(Atletas!V392="Grupo Externo CDEF - Equipe 1",17,IF(Atletas!V392="Grupo Externo CDEF - Equipe 2",18,IF(Atletas!V392="Grupo Interno CDEF - Equipe 1",19,IF(Atletas!V392="Grupo Interno CDEF - Equipe 2",20,IF(Atletas!V392="Duilian de Mãos EF - Equipe 1",21,IF(Atletas!V392="Duilian de Mãos EF - Equipe 2",22,IF(Atletas!V392="Duilian de Armas EF - Equipe 1",23,IF(Atletas!V392="Duilian de Armas EF - Equipe 2",24,IF(Atletas!V392="Duilian de Tuishou - Equipe 1",25,IF(Atletas!V392="Duilian de Tuishou - Equipe 2",26,"")))))))))))))))))))))))))))</f>
        <v/>
      </c>
    </row>
    <row r="397" spans="36:84">
      <c r="AJ397" s="46" t="str">
        <f>IF(Atletas!D393="","",IF(Atletas!B393="Feminino",100,IF(Atletas!B393="Masculino",200,""))+(IF(Atletas!D393="Infantil 39kg",1,IF(Atletas!D393="Infantil 42kg",2,IF(Atletas!D393="Infantil 45kg",3,IF(Atletas!D393="Infantil 48kg",4,IF(Atletas!D393="Infantil 52kg",5,IF(Atletas!D393="Infantil 56kg",6,IF(Atletas!D393="Infantil 60kg",7,IF(Atletas!D393="Juvenil 48kg",8,IF(Atletas!D393="Juvenil 52kg",9,IF(Atletas!D393="Juvenil 56kg",10,IF(Atletas!D393="Juvenil 60kg",11,IF(Atletas!D393="Juvenil 65kg",12,IF(Atletas!D393="Juvenil 70kg",13,IF(Atletas!D393="Juvenil 75kg",14,IF(Atletas!D393="Juvenil 80kg",15,IF(Atletas!D393="Adulto 48kg",16,IF(Atletas!D393="Adulto 52kg",17,IF(Atletas!D393="Adulto 56kg",18,IF(Atletas!D393="Adulto 60kg",19,IF(Atletas!D393="Adulto 65kg",20,IF(Atletas!D393="Adulto 70kg",21,IF(Atletas!D393="Adulto 75kg",22,IF(Atletas!D393="Adulto 80kg",23,IF(Atletas!D393="Adulto 85kg",24,IF(Atletas!D393="Adulto 90kg",25,IF(Atletas!D393="Adulto +90kg",26,""))))))))))))))))))))))))))))</f>
        <v/>
      </c>
      <c r="AO397" s="10" t="str">
        <f>IF(Atletas!E393="","",IF(Atletas!B393="Feminino",100,IF(Atletas!B393="Masculino",200,""))+(IF(Atletas!E393="Juvenil 44kg",1,IF(Atletas!E393="Juvenil 48kg",2,IF(Atletas!E393="Juvenil 52kg",3,IF(Atletas!E393="Juvenil 56kg",4,IF(Atletas!E393="Juvenil 60kg",5,IF(Atletas!E393="Juvenil 65kg",6,IF(Atletas!E393="Juvenil 70kg",7,IF(Atletas!E393="Juvenil 75kg",8,IF(Atletas!E393="Juvenil 82kg",9,IF(Atletas!E393="Juvenil 90kg",10,IF(Atletas!E393="Juvenil 100kg",11,IF(Atletas!E393="Adulto 48kg",12,IF(Atletas!E393="Adulto 52kg",13,IF(Atletas!E393="Adulto 56kg",14,IF(Atletas!E393="Adulto 60kg",15,IF(Atletas!E393="Adulto 65kg",16,IF(Atletas!E393="Adulto 70kg",17,IF(Atletas!E393="Adulto 75kg",18,IF(Atletas!E393="Adulto 82kg",19,IF(Atletas!E393="Adulto 90kg",20,IF(Atletas!E393="Adulto 100kg",21,IF(Atletas!E393="Adulto +100kg",22,""))))))))))))))))))))))))</f>
        <v/>
      </c>
      <c r="AT397" s="10" t="str">
        <f>IF(Atletas!F393="","",IF(Atletas!B393="Feminino",100,IF(Atletas!B393="Masculino",200,""))+(IF(Atletas!F393="Adulto 48kg",1,IF(Atletas!F393="Adulto 56kg",2,IF(Atletas!F393="Adulto 65kg",3,IF(Atletas!F393="Adulto 75kg",4,IF(Atletas!F393="Adulto +75kg",5,IF(Atletas!F393="Adulto 52kg",6,IF(Atletas!F393="Adulto 60kg",7,IF(Atletas!F393="Adulto 70kg",8,IF(Atletas!F393="Adulto 80kg",9,IF(Atletas!F393="Adulto 90kg",10,IF(Atletas!F393="Adulto +90kg",11,"")))))))))))))</f>
        <v/>
      </c>
      <c r="AY397" s="46" t="str">
        <f>IF(Atletas!G393="","",IF(Atletas!B393="Feminino",100,IF(Atletas!B393="Masculino",200,""))+(IF(Atletas!G393="Changquan Mirim",1,IF(Atletas!G393="Nanquan Mirim",2,IF(Atletas!G393="Taijiquan Mirim",3,IF(Atletas!G393="Changquan Grupo C",4,IF(Atletas!G393="Nanquan Grupo C",5,IF(Atletas!G393="Taijiquan Grupo C",6,IF(Atletas!G393="Changquan Grupo B",7,IF(Atletas!G393="Nanquan Grupo B",8,IF(Atletas!G393="Taijiquan Grupo B",9,IF(Atletas!G393="Changquan Grupo A",10,IF(Atletas!G393="Nanquan Grupo A",11,IF(Atletas!G393="Taijiquan Grupo A",12,IF(Atletas!G393="Changquan Opcional",13,IF(Atletas!G393="Nanquan Opcional",14,IF(Atletas!G393="Taijiquan Opcional",15,IF(Atletas!G393="Changquan Adulto",16,IF(Atletas!G393="Nanquan Adulto",17,IF(Atletas!G393="Taijiquan Adulto",18,""))))))))))))))))))))</f>
        <v/>
      </c>
      <c r="AZ397" s="46" t="str">
        <f>IF(Atletas!H393="","",IF(Atletas!B393="Feminino",100,IF(Atletas!B393="Masculino",200,""))+(IF(Atletas!H393="Daoshu Mirim",19,IF(Atletas!H393="Jianshu Mirim",20,IF(Atletas!H393="Nandao Mirim",21,IF(Atletas!H393="Taijijian Mirim",22,IF(Atletas!H393="Daoshu Grupo C",23,IF(Atletas!H393="Jianshu Grupo C",24,IF(Atletas!H393="Nandao Grupo C",25,IF(Atletas!H393="Taijijian Grupo C",26,IF(Atletas!H393="Daoshu Grupo B",27,IF(Atletas!H393="Jianshu Grupo B",28,IF(Atletas!H393="Nandao Grupo B",29,IF(Atletas!H393="Taijijian Grupo B",30,IF(Atletas!H393="Daoshu Grupo A",31,IF(Atletas!H393="Jianshu Grupo A",32,IF(Atletas!H393="Nandao Grupo A",33,IF(Atletas!H393="Taijijian Grupo A",34,IF(Atletas!H393="Daoshu Opcional",35,IF(Atletas!H393="Jianshu Opcional",36,IF(Atletas!H393="Nandao Opcional",37,IF(Atletas!H393="Taijijian Opcional",38,IF(Atletas!H393="Daoshu Adulto",39,IF(Atletas!H393="Jianshu Adulto",40,IF(Atletas!H393="Nandao Adulto",41,IF(Atletas!H393="Taijijian Adulto",42,""))))))))))))))))))))))))))</f>
        <v/>
      </c>
      <c r="BA397" s="46" t="str">
        <f>IF(Atletas!I393="","",IF(Atletas!B393="Feminino",100,IF(Atletas!B393="Masculino",200,""))+(IF(Atletas!I393="Gunshu Mirim",43,IF(Atletas!I393="Qiangshu Mirim",44,IF(Atletas!I393="Nangun Mirim",45,IF(Atletas!I393="Gunshu Grupo C",46,IF(Atletas!I393="Qiangshu Grupo C",47,IF(Atletas!I393="Nangun Grupo C",48,IF(Atletas!I393="Gunshu Grupo B",49,IF(Atletas!I393="Qiangshu Grupo B",50,IF(Atletas!I393="Nangun Grupo B",51,IF(Atletas!I393="Gunshu Grupo A",52,IF(Atletas!I393="Qiangshu Grupo A",53,IF(Atletas!I393="Nangun Grupo A",54,IF(Atletas!I393="Gunshu Opcional",55,IF(Atletas!I393="Qiangshu Opcional",56,IF(Atletas!I393="Nangun Opcional",57,IF(Atletas!I393="Gunshu Adulto",58,IF(Atletas!I393="Qiangshu Adulto",59,IF(Atletas!I393="Nangun Adulto",60,""))))))))))))))))))))</f>
        <v/>
      </c>
      <c r="BF397" s="52" t="str">
        <f>IF(Atletas!J393="","",IF(Atletas!B393="Feminino",100,IF(Atletas!B393="Masculino",200,""))+(IF(Atletas!J393="Equipe 1 Grupo B",1,IF(Atletas!J393="Equipe 2 Grupo B",2,IF(Atletas!J393="Equipe 1 Grupo A",3,IF(Atletas!J393="Equipe 2 Grupo A",4,IF(Atletas!J393="Equipe 1 Adulto",5,IF(Atletas!J393="Equipe 2 Adulto",6,""))))))))</f>
        <v/>
      </c>
      <c r="BK397" s="52" t="str">
        <f>IF(Atletas!K393="","",IF(Atletas!W393&lt;&gt;"",10000,0)+(IF(Atletas!B393="Feminino",1000,IF(Atletas!B393="Masculino",2000,""))+IF(Atletas!K393="Choylayfut A",1,IF(Atletas!K393="Hunggar A",2,IF(Atletas!K393="Wuzuquan A",3,IF(Atletas!K393="Wingchun A",4,IF(Atletas!K393="Outra Mão de Sul A",5,IF(Atletas!K393="Choylayfut B",6,IF(Atletas!K393="Hunggar B",7,IF(Atletas!K393="Wuzuquan B",8,IF(Atletas!K393="Wingchun B",9,IF(Atletas!K393="Outra Mão de Sul B",10,IF(Atletas!K393="Choylayfut C",11,IF(Atletas!K393="Hunggar C",12,IF(Atletas!K393="Wuzuquan C",13,IF(Atletas!K393="Wingchun C",14,IF(Atletas!K393="Outra Mão de Sul C",15,IF(Atletas!K393="Choylayfut D",16,IF(Atletas!K393="Hunggar D",17,IF(Atletas!K393="Wuzuquan D",18,IF(Atletas!K393="Wingchun D",19,IF(Atletas!K393="Outra Mão de Sul D",20,IF(Atletas!K393="Choylayfut E",21,IF(Atletas!K393="Hunggar E",22,IF(Atletas!K393="Wuzuquan E",23,IF(Atletas!K393="Wingchun E",24,IF(Atletas!K393="Outra Mão de Sul E",25,IF(Atletas!K393="Choylayfut F",26,IF(Atletas!K393="Hunggar F",27,IF(Atletas!K393="Wuzuquan F",28,IF(Atletas!K393="Wingchun F",29,IF(Atletas!K393="Outra Mão de Sul F",30,""))))))))))))))))))))))))))))))))</f>
        <v/>
      </c>
      <c r="BL397" s="52" t="str">
        <f>IF(Atletas!L393="","",IF(Atletas!W393&lt;&gt;"",10000,0)+(IF(Atletas!B393="Feminino",1000,IF(Atletas!B393="Masculino",2000,""))+(IF(Atletas!L393="Chaquan A",101,IF(Atletas!L393="Emeiquan A",102,IF(Atletas!L393="Fanziquan A",103,IF(Atletas!L393="Huaquan A",104,IF(Atletas!L393="Hongquan A",105,IF(Atletas!L393="Paochui A",106,IF(Atletas!L393="Piguaquan A",107,IF(Atletas!L393="Shaolinquan A",108,IF(Atletas!L393="Tanglangquan A",109,IF(Atletas!L393="Yinzhaophai A",110,IF(Atletas!L393="Tongbeiquan A",111,IF(Atletas!L393="Wudangquan A",112,IF(Atletas!L393="Outros Estilos A",113,IF(Atletas!L393="Chaquan B",114,IF(Atletas!L393="Emeiquan B",115,IF(Atletas!L393="Fanziquan B",116,IF(Atletas!L393="Huaquan B",117,IF(Atletas!L393="Hongquan B",118,IF(Atletas!L393="Paochui B",119,IF(Atletas!L393="Piguaquan B",120,IF(Atletas!L393="Shaolinquan B",121,IF(Atletas!L393="Tanglangquan B",122,IF(Atletas!L393="Yinzhaophai B",123,IF(Atletas!L393="Tongbeiquan B",124,IF(Atletas!L393="Wudangquan B",125,IF(Atletas!L393="Outros Estilos B",126,IF(Atletas!L393="Chaquan C",127,IF(Atletas!L393="Emeiquan C",128,IF(Atletas!L393="Fanziquan C",129,IF(Atletas!L393="Huaquan C",130,IF(Atletas!L393="Hongquan C",131,IF(Atletas!L393="Paochui C",132,IF(Atletas!L393="Piguaquan C",133,IF(Atletas!L393="Shaolinquan C",134,IF(Atletas!L393="Tanglangquan C",135,IF(Atletas!L393="Yinzhaophai C",136,IF(Atletas!L393="Tongbeiquan C",137,IF(Atletas!L393="Wudangquan C",138,IF(Atletas!L393="Outros Estilos C",139,0))))))))))))))))))))))))))))))))))))))))))</f>
        <v/>
      </c>
      <c r="BM397" s="52" t="str">
        <f>IF(Atletas!L393="","",IF(Atletas!W393&lt;&gt;"",10000,0)+(IF(Atletas!B393="Feminino",1000,IF(Atletas!B393="Masculino",2000,""))+(IF(Atletas!L393="Chaquan D",140,IF(Atletas!L393="Emeiquan D",141,IF(Atletas!L393="Fanziquan D",142,IF(Atletas!L393="Huaquan D",143,IF(Atletas!L393="Hongquan D",144,IF(Atletas!L393="Paochui D",145,IF(Atletas!L393="Piguaquan D",146,IF(Atletas!L393="Shaolinquan D",147,IF(Atletas!L393="Tanglangquan D",148,IF(Atletas!L393="Yinzhaophai D",149,IF(Atletas!L393="Tongbeiquan D",150,IF(Atletas!L393="Wudangquan D",151,IF(Atletas!L393="Outros Estilos D",152,IF(Atletas!L393="Chaquan E",153,IF(Atletas!L393="Emeiquan E",154,IF(Atletas!L393="Fanziquan E",155,IF(Atletas!L393="Huaquan E",156,IF(Atletas!L393="Hongquan E",157,IF(Atletas!L393="Paochui E",158,IF(Atletas!L393="Piguaquan E",159,IF(Atletas!L393="Shaolinquan E",160,IF(Atletas!L393="Tanglangquan E",161,IF(Atletas!L393="Yinzhaophai E",162,IF(Atletas!L393="Tongbeiquan E",163,IF(Atletas!L393="Wudangquan E",164,IF(Atletas!L393="Outros Estilos E",165,IF(Atletas!L393="Chaquan F",166,IF(Atletas!L393="Emeiquan F",167,IF(Atletas!L393="Fanziquan F",168,IF(Atletas!L393="Huaquan F",169,IF(Atletas!L393="Hongquan F",170,IF(Atletas!L393="Paochui F",171,IF(Atletas!L393="Piguaquan F",172,IF(Atletas!L393="Shaolinquan F",173,IF(Atletas!L393="Tanglangquan F",174,IF(Atletas!L393="Yinzhaophai F",175,IF(Atletas!L393="Tongbeiquan F",176,IF(Atletas!L393="Wudangquan F",177,IF(Atletas!L393="Outros Estilos F",178,0))))))))))))))))))))))))))))))))))))))))))</f>
        <v/>
      </c>
      <c r="BN397" s="52" t="str">
        <f>IF(Atletas!M393="","",IF(Atletas!W393&lt;&gt;"",10000,0)+(IF(Atletas!B393="Feminino",1000,IF(Atletas!B393="Masculino",2000,""))+(IF(Atletas!M393="Ditangquan A",201,IF(Atletas!M393="Houquan A",202,IF(Atletas!M393="Zuiquan A",203,IF(Atletas!M393="Ditangquan B",204,IF(Atletas!M393="Houquan B",205,IF(Atletas!M393="Zuiquan B",206,IF(Atletas!M393="Ditangquan C",207,IF(Atletas!M393="Houquan C",208,IF(Atletas!M393="Zuiquan C",209,IF(Atletas!M393="Ditangquan D",210,IF(Atletas!M393="Houquan D",211,IF(Atletas!M393="Zuiquan D",212,IF(Atletas!M393="Ditangquan E",213,IF(Atletas!M393="Houquan E",214,IF(Atletas!M393="Zuiquan E",215,IF(Atletas!M393="Ditangquan F",216,IF(Atletas!M393="Houquan F",217,IF(Atletas!M393="Zuiquan F",218,"")))))))))))))))))))))</f>
        <v/>
      </c>
      <c r="BO397" s="52" t="str">
        <f>IF(Atletas!N393="","",IF(Atletas!W393&lt;&gt;"",10000,0)+IF(Atletas!B393="Feminino",1000,IF(Atletas!B393="Masculino",2000,""))+IF(Atletas!N393="Yang A",301,IF(Atletas!N393="Chen A",30,IF(Atletas!N393="Sun A",303,IF(Atletas!N393="Wu A",304,IF(Atletas!N393="Wu-Hao A",305,IF(Atletas!N393="Outro Taijiquan A",306,IF(Atletas!N393="Yang B",307,IF(Atletas!N393="Chen B",308,IF(Atletas!N393="Sun B",309,IF(Atletas!N393="Wu B",310,IF(Atletas!N393="Wu-Hao B",311,IF(Atletas!N393="Outro Taijiquan B",312,IF(Atletas!N393="Yang C",313,IF(Atletas!N393="Chen C",314,IF(Atletas!N393="Sun C",315,IF(Atletas!N393="Wu C",316,IF(Atletas!N393="Wu-Hao C",317,IF(Atletas!N393="Outro Taijiquan C",318,IF(Atletas!N393="Yang D",319,IF(Atletas!N393="Chen D",320,IF(Atletas!N393="Sun D",321,IF(Atletas!N393="Wu D",322,IF(Atletas!N393="Wu-Hao D",323,IF(Atletas!N393="Outro Taijiquan D",324,IF(Atletas!N393="Yang E",325,IF(Atletas!N393="Chen E",326,IF(Atletas!N393="Sun E",327,IF(Atletas!N393="Wu E",328,IF(Atletas!N393="Wu-Hao E",329,IF(Atletas!N393="Outro Taijiquan E",330,IF(Atletas!N393="Yang F",331,IF(Atletas!N393="Chen F",332,IF(Atletas!N393="Sun F",333,IF(Atletas!N393="Wu F",334,IF(Atletas!N393="Wu-Hao F",335,IF(Atletas!N393="Outro Taijiquan F",336,"")))))))))))))))))))))))))))))))))))))</f>
        <v/>
      </c>
      <c r="BP397" s="52" t="str">
        <f>IF(Atletas!O393="","",IF(Atletas!W393&lt;&gt;"",10000,0)+IF(Atletas!B393="Feminino",1000,IF(Atletas!B393="Masculino",2000,""))+IF(OR(Atletas!O393="Yang 26 A",Atletas!O393="Yang 40 A"),401,IF(OR(Atletas!O393="Chen 25 A",Atletas!O393="Chen 36 A",Atletas!O393="Chen 56 A"),402,IF(Atletas!O393="Sun 73 A",403,IF(Atletas!O393="Wu 45 A",404,IF(Atletas!O393="Wu-Hao 46 A",405,IF(OR(Atletas!O393="Taijiquan 16 A",Atletas!O393="Taijiquan 24 A",Atletas!O393="Taijiquan 32 A",Atletas!O393="Taijiquan 42 A"),406,IF(OR(Atletas!O393="Yang 26 B",Atletas!O393="Yang 40 B"),407,IF(OR(Atletas!O393="Chen 25 B",Atletas!O393="Chen 36 B",Atletas!O393="Chen 56 B"),408,IF(Atletas!O393="Sun 73 B",409,IF(Atletas!O393="Wu 45 B",410,IF(Atletas!O393="Wu-Hao 46 B",411,IF(OR(Atletas!O393="Taijiquan 16 B",Atletas!O393="Taijiquan 24 B",Atletas!O393="Taijiquan 32 B",Atletas!O393="Taijiquan 42 B"),412,IF(OR(Atletas!O393="Yang 26 C",Atletas!O393="Yang 40 C"),413,IF(OR(Atletas!O393="Chen 25 C",Atletas!O393="Chen 36 C",Atletas!O393="Chen 56 C"),414,IF(Atletas!O393="Sun 73 C",415,IF(Atletas!O393="Wu 45 C",416,IF(Atletas!O393="Wu-Hao 46 C",417,IF(OR(Atletas!O393="Taijiquan 16 C",Atletas!O393="Taijiquan 24 C",Atletas!O393="Taijiquan 32 C",Atletas!O393="Taijiquan 42 C"),418,0)))))))))))))))))))</f>
        <v/>
      </c>
      <c r="BQ397" s="52" t="str">
        <f>IF(Atletas!O393="","",IF(Atletas!W393&lt;&gt;"",10000,0)+IF(Atletas!B393="Feminino",1000,IF(Atletas!B393="Masculino",2000,""))+IF(OR(Atletas!O393="Yang 26 D",Atletas!O393="Yang 40 D"),419,IF(OR(Atletas!O393="Chen 25 D",Atletas!O393="Chen 36 D",Atletas!O393="Chen 56 D"),420,IF(Atletas!O393="Sun 73 D",421,IF(Atletas!O393="Wu 45 D",422,IF(Atletas!O393="Wu-Hao 46 D",423,IF(OR(Atletas!O393="Taijiquan 16 D",Atletas!O393="Taijiquan 24 D",Atletas!O393="Taijiquan 32 D",Atletas!O393="Taijiquan 42 D"),424,IF(OR(Atletas!O393="Yang 26 E",Atletas!O393="Yang 40 E"),425,IF(OR(Atletas!O393="Chen 25 E",Atletas!O393="Chen 36 E",Atletas!O393="Chen 56 E"),426,IF(Atletas!O393="Sun 73 E",427,IF(Atletas!O393="Wu 45 E",428,IF(Atletas!O393="Wu-Hao 46 E",429,IF(OR(Atletas!O393="Taijiquan 16 E",Atletas!O393="Taijiquan 24 E",Atletas!O393="Taijiquan 32 E",Atletas!O393="Taijiquan 42 E"),430,IF(OR(Atletas!O393="Yang 26 F",Atletas!O393="Yang 40 F"),431,IF(OR(Atletas!O393="Chen 25 F",Atletas!O393="Chen 36 F",Atletas!O393="Chen 56 F"),432,IF(Atletas!O393="Sun 73 F",433,IF(Atletas!O393="Wu 45 F",434,IF(Atletas!O393="Wu-Hao 46 F",435,IF(OR(Atletas!O393="Taijiquan 16 F",Atletas!O393="Taijiquan 24 F",Atletas!O393="Taijiquan 32 F",Atletas!O393="Taijiquan 42 F"),436,0)))))))))))))))))))</f>
        <v/>
      </c>
      <c r="BR397" s="52" t="str">
        <f>IF(Atletas!P393="","",IF(Atletas!W393&lt;&gt;"",10000,0)+IF(Atletas!B393="Feminino",1000,IF(Atletas!B393="Masculino",2000,""))+IF(Atletas!P393="Xingyiquan A",501,IF(Atletas!P393="Baguazhang A",502,IF(Atletas!P393="Outro Estilo Interno A",503,IF(Atletas!P393="Xingyiquan B",504,IF(Atletas!P393="Baguazhang B",505,IF(Atletas!P393="Outro Estilo Interno B",506,IF(Atletas!P393="Xingyiquan C",507,IF(Atletas!P393="Baguazhang C",508,IF(Atletas!P393="Outro Estilo Interno C",509,IF(Atletas!P393="Xingyiquan D",510,IF(Atletas!P393="Baguazhang D",511,IF(Atletas!P393="Outro Estilo Interno D",512,IF(Atletas!P393="Xingyiquan E",513,IF(Atletas!P393="Baguazhang E",514,IF(Atletas!P393="Outro Estilo Interno E",515,IF(Atletas!P393="Xingyiquan F",516,IF(Atletas!P393="Baguazhang F",517,IF(Atletas!P393="Outro Estilo Interno F",518, "")))))))))))))))))))</f>
        <v/>
      </c>
      <c r="BS397" s="52" t="str">
        <f>IF(Atletas!Q393="","",IF(Atletas!W393&lt;&gt;"",10000,0)+IF(Atletas!B393="Feminino",1000,IF(Atletas!B393="Masculino",2000,""))+IF(Atletas!Q393="Dao A",601,IF(Atletas!Q393="Jian A",602,IF(Atletas!Q393="Bishou A",603,IF(Atletas!Q393="Shan A",604,IF(Atletas!Q393="Outra Arma Curta A",605,IF(Atletas!Q393="Dao B",606,IF(Atletas!Q393="Jian B",607,IF(Atletas!Q393="Bishou B",608,IF(Atletas!Q393="Shan B",609,IF(Atletas!Q393="Outra Arma Curta B",610,IF(Atletas!Q393="Dao C",611,IF(Atletas!Q393="Jian C",612,IF(Atletas!Q393="Bishou C",613,IF(Atletas!Q393="Shan C",614,IF(Atletas!Q393="Outra Arma Curta C",615,IF(Atletas!Q393="Dao D",616,IF(Atletas!Q393="Jian D",617,IF(Atletas!Q393="Bishou D",618,IF(Atletas!Q393="Shan D",619,IF(Atletas!Q393="Outra Arma Curta D",620,IF(Atletas!Q393="Dao E",621,IF(Atletas!Q393="Jian E",622,IF(Atletas!Q393="Bishou E",623,IF(Atletas!Q393="Shan E",624,IF(Atletas!Q393="Outra Arma Curta E",625,IF(Atletas!Q393="Dao F",626,IF(Atletas!Q393="Jian F",627,IF(Atletas!Q393="Bishou F",628,IF(Atletas!Q393="Shan F",629,IF(Atletas!Q393="Outra Arma Curta F",630, "")))))))))))))))))))))))))))))))</f>
        <v/>
      </c>
      <c r="BT397" s="52" t="str">
        <f>IF(Atletas!R393="","",IF(Atletas!W393&lt;&gt;"",10000,0)+IF(Atletas!B393="Feminino",1000,IF(Atletas!B393="Masculino",2000,""))+IF(Atletas!R393="Gun A",701,IF(Atletas!R393="Qiang A",702,IF(Atletas!R393="Pudao / Guandao A",703,IF(Atletas!R393="Outra Arma Longa A",704,IF(Atletas!R393="Gun B",705,IF(Atletas!R393="Qiang B",706,IF(Atletas!R393="Pudao / Guandao B",707,IF(Atletas!R393="Outra Arma Longa B",708,IF(Atletas!R393="Gun C",709,IF(Atletas!R393="Qiang C",710,IF(Atletas!R393="Pudao / Guandao C",711,IF(Atletas!R393="Outra Arma Longa C",712,IF(Atletas!R393="Gun D",713,IF(Atletas!R393="Qiang D",714,IF(Atletas!R393="Pudao / Guandao D",715,IF(Atletas!R393="Outra Arma Longa D",716,IF(Atletas!R393="Gun E",717,IF(Atletas!R393="Qiang E",718,IF(Atletas!R393="Pudao / Guandao E",719,IF(Atletas!R393="Outra Arma Longa E",720,IF(Atletas!R393="Gun F",721,IF(Atletas!R393="Qiang F",722,IF(Atletas!R393="Pudao / Guandao F",723,IF(Atletas!R393="Outra Arma Longa F",724,"")))))))))))))))))))))))))</f>
        <v/>
      </c>
      <c r="BU397" s="52" t="str">
        <f>IF(Atletas!S393="","",IF(Atletas!W393&lt;&gt;"",10000,0)+IF(Atletas!B393="Feminino",1000,IF(Atletas!B393="Masculino",2000,""))+IF(Atletas!S393="Arma Dupla A",801,IF(Atletas!S393="Arma Maleável A",802,IF(Atletas!S393="Arma Dupla B",803,IF(Atletas!S393="Arma Maleável B",804,IF(Atletas!S393="Arma Dupla C",805,IF(Atletas!S393="Arma Maleável C",806,IF(Atletas!S393="Arma Dupla D",807,IF(Atletas!S393="Arma Maleável D",808,IF(Atletas!S393="Arma Dupla E",809,IF(Atletas!S393="Arma Maleável E",810,IF(Atletas!S393="Arma Dupla F",811,IF(Atletas!S393="Arma Maleável F",812, "")))))))))))))</f>
        <v/>
      </c>
      <c r="BV397" s="52" t="str">
        <f>IF(Atletas!T393="","",IF(Atletas!W393&lt;&gt;"",10000,0)+IF(Atletas!B393="Feminino",1000,IF(Atletas!B393="Masculino",2000,""))+IF(Atletas!T393="Taijijian Yang A",901,IF(Atletas!T393="Taijijian Chen A",902,IF(Atletas!T393="Taijijian Sun A",903,IF(Atletas!T393="Taijijian Wu A",904,IF(Atletas!T393="Taijijian Wu-Hao A",905,IF(Atletas!T393="Taijijian 32 A",906,IF(Atletas!T393="Taijijian 42 A",907,IF(Atletas!T393="Taijijian Yang B",908,IF(Atletas!T393="Taijijian Chen B",909,IF(Atletas!T393="Taijijian Sun B",910,IF(Atletas!T393="Taijijian Wu B",911,IF(Atletas!T393="Taijijian Wu-Hao B",912,IF(Atletas!T393="Taijijian 32 B",913,IF(Atletas!T393="Taijijian 42 B",914,IF(Atletas!T393="Taijijian Yang C",915,IF(Atletas!T393="Taijijian Chen C",916,IF(Atletas!T393="Taijijian Sun C",917,IF(Atletas!T393="Taijijian Wu C",918,IF(Atletas!T393="Taijijian Wu-Hao C",919,IF(Atletas!T393="Taijijian 32 C",920,IF(Atletas!T393="Taijijian 42 C",921,IF(Atletas!T393="Taijijian Yang D",922,IF(Atletas!T393="Taijijian Chen D",923,IF(Atletas!T393="Taijijian Sun D",924,IF(Atletas!T393="Taijijian Wu D",925,IF(Atletas!T393="Taijijian Wu-Hao D",926,IF(Atletas!T393="Taijijian 32 D",927,IF(Atletas!T393="Taijijian 42 D",928,IF(Atletas!T393="Taijijian Yang E",929,IF(Atletas!T393="Taijijian Chen E",930,IF(Atletas!T393="Taijijian Sun E",931,IF(Atletas!T393="Taijijian Wu E",932,IF(Atletas!T393="Taijijian Wu-Hao E",933,IF(Atletas!T393="Taijijian 32 E",934,IF(Atletas!T393="Taijijian 42 E",935,IF(Atletas!T393="Taijijian Yang F",936,IF(Atletas!T393="Taijijian Chen F",937,IF(Atletas!T393="Taijijian Sun F",938,IF(Atletas!T393="Taijijian Wu F",939,IF(Atletas!T393="Taijijian Wu-Hao F",940,IF(Atletas!T393="Taijijian 32 F",941,IF(Atletas!T393="Taijijian 42 F",942,"")))))))))))))))))))))))))))))))))))))))))))</f>
        <v/>
      </c>
      <c r="BW397" s="52" t="str">
        <f>IF(Atletas!U393="","",IF(Atletas!W393&lt;&gt;"",10000,0)+IF(Atletas!B393="Feminino",1000,IF(Atletas!B393="Masculino",2000,""))+IF(Atletas!T393="Taijijian 42 F",942,IF(Atletas!U393="Taijidao A",943,IF(Atletas!U393="Taijishan A",944,IF(Atletas!U393="Taijiqiang A",945,IF(Atletas!U393="Taijidao B",946,IF(Atletas!U393="Taijishan B",947,IF(Atletas!U393="Taijiqiang B",948,IF(Atletas!U393="Taijidao C",949,IF(Atletas!U393="Taijishan C",950,IF(Atletas!U393="Taijiqiang C",951,IF(Atletas!U393="Taijidao D",952,IF(Atletas!U393="Taijishan D",953,IF(Atletas!U393="Taijiqiang D",954,IF(Atletas!U393="Taijidao E",955,IF(Atletas!U393="Taijishan E",956,IF(Atletas!U393="Taijiqiang E",957,IF(Atletas!U393="Taijidao F",958,IF(Atletas!U393="Taijishan F",959,IF(Atletas!U393="Taijiqiang F",960))))))))))))))))))))</f>
        <v/>
      </c>
      <c r="CB397" s="64" t="str">
        <f>IF(CC397&lt;&gt;"","Taijidao C","")</f>
        <v/>
      </c>
      <c r="CC397" s="64" t="str">
        <f>IF(COUNTIF(BK:BW,11949)&gt;0,COUNTIF(BK:BW,11949),"")</f>
        <v/>
      </c>
      <c r="CD397" s="64" t="str">
        <f>IF(CE397&lt;&gt;"","Taijidao C","")</f>
        <v/>
      </c>
      <c r="CE397" s="64" t="str">
        <f>IF(COUNTIF(BK:BW,12949)&gt;0,COUNTIF(BK:BW,12949),"")</f>
        <v/>
      </c>
      <c r="CF397" s="52" t="str">
        <f xml:space="preserve"> IF(Atletas!V393="","",IF(Atletas!V393="Duilian de Mãos AB - Equipe 1",1,IF(Atletas!V393="Duilian de Mãos AB - Equipe 2",2,IF(Atletas!V393="Duilian de Armas AB - Equipe 1",3,IF(Atletas!V393="Duilian de Armas AB - Equipe 2",4,IF(Atletas!V393="Duilian de Tuishou - Equipe 1",5,IF(Atletas!V393="Duilian de Tuishou - Equipe 2",6,IF(Atletas!V393="Grupo Externo AB - Equipe 1",7,IF(Atletas!V393="Grupo Externo AB - Equipe 2",8,IF(Atletas!V393="Grupo Interno AB - Equipe 1",9,IF(Atletas!V393="Grupo Interno AB - Equipe 2",10,IF(Atletas!V393="Duilian de Mãos CD - Equipe 1",11,IF(Atletas!V393="Duilian de Mãos CD - Equipe 2",12,IF(Atletas!V393="Duilian de Armas CD - Equipe 1",13,IF(Atletas!V393="Duilian de Armas CD - Equipe 2",14,IF(Atletas!V393="Duilian de Tuishou - Equipe 1",15,IF(Atletas!V393="Duilian de Tuishou - Equipe 2",16,IF(Atletas!V393="Grupo Externo CDEF - Equipe 1",17,IF(Atletas!V393="Grupo Externo CDEF - Equipe 2",18,IF(Atletas!V393="Grupo Interno CDEF - Equipe 1",19,IF(Atletas!V393="Grupo Interno CDEF - Equipe 2",20,IF(Atletas!V393="Duilian de Mãos EF - Equipe 1",21,IF(Atletas!V393="Duilian de Mãos EF - Equipe 2",22,IF(Atletas!V393="Duilian de Armas EF - Equipe 1",23,IF(Atletas!V393="Duilian de Armas EF - Equipe 2",24,IF(Atletas!V393="Duilian de Tuishou - Equipe 1",25,IF(Atletas!V393="Duilian de Tuishou - Equipe 2",26,"")))))))))))))))))))))))))))</f>
        <v/>
      </c>
    </row>
    <row r="398" spans="36:84">
      <c r="AJ398" s="46" t="str">
        <f>IF(Atletas!D394="","",IF(Atletas!B394="Feminino",100,IF(Atletas!B394="Masculino",200,""))+(IF(Atletas!D394="Infantil 39kg",1,IF(Atletas!D394="Infantil 42kg",2,IF(Atletas!D394="Infantil 45kg",3,IF(Atletas!D394="Infantil 48kg",4,IF(Atletas!D394="Infantil 52kg",5,IF(Atletas!D394="Infantil 56kg",6,IF(Atletas!D394="Infantil 60kg",7,IF(Atletas!D394="Juvenil 48kg",8,IF(Atletas!D394="Juvenil 52kg",9,IF(Atletas!D394="Juvenil 56kg",10,IF(Atletas!D394="Juvenil 60kg",11,IF(Atletas!D394="Juvenil 65kg",12,IF(Atletas!D394="Juvenil 70kg",13,IF(Atletas!D394="Juvenil 75kg",14,IF(Atletas!D394="Juvenil 80kg",15,IF(Atletas!D394="Adulto 48kg",16,IF(Atletas!D394="Adulto 52kg",17,IF(Atletas!D394="Adulto 56kg",18,IF(Atletas!D394="Adulto 60kg",19,IF(Atletas!D394="Adulto 65kg",20,IF(Atletas!D394="Adulto 70kg",21,IF(Atletas!D394="Adulto 75kg",22,IF(Atletas!D394="Adulto 80kg",23,IF(Atletas!D394="Adulto 85kg",24,IF(Atletas!D394="Adulto 90kg",25,IF(Atletas!D394="Adulto +90kg",26,""))))))))))))))))))))))))))))</f>
        <v/>
      </c>
      <c r="AO398" s="10" t="str">
        <f>IF(Atletas!E394="","",IF(Atletas!B394="Feminino",100,IF(Atletas!B394="Masculino",200,""))+(IF(Atletas!E394="Juvenil 44kg",1,IF(Atletas!E394="Juvenil 48kg",2,IF(Atletas!E394="Juvenil 52kg",3,IF(Atletas!E394="Juvenil 56kg",4,IF(Atletas!E394="Juvenil 60kg",5,IF(Atletas!E394="Juvenil 65kg",6,IF(Atletas!E394="Juvenil 70kg",7,IF(Atletas!E394="Juvenil 75kg",8,IF(Atletas!E394="Juvenil 82kg",9,IF(Atletas!E394="Juvenil 90kg",10,IF(Atletas!E394="Juvenil 100kg",11,IF(Atletas!E394="Adulto 48kg",12,IF(Atletas!E394="Adulto 52kg",13,IF(Atletas!E394="Adulto 56kg",14,IF(Atletas!E394="Adulto 60kg",15,IF(Atletas!E394="Adulto 65kg",16,IF(Atletas!E394="Adulto 70kg",17,IF(Atletas!E394="Adulto 75kg",18,IF(Atletas!E394="Adulto 82kg",19,IF(Atletas!E394="Adulto 90kg",20,IF(Atletas!E394="Adulto 100kg",21,IF(Atletas!E394="Adulto +100kg",22,""))))))))))))))))))))))))</f>
        <v/>
      </c>
      <c r="AT398" s="10" t="str">
        <f>IF(Atletas!F394="","",IF(Atletas!B394="Feminino",100,IF(Atletas!B394="Masculino",200,""))+(IF(Atletas!F394="Adulto 48kg",1,IF(Atletas!F394="Adulto 56kg",2,IF(Atletas!F394="Adulto 65kg",3,IF(Atletas!F394="Adulto 75kg",4,IF(Atletas!F394="Adulto +75kg",5,IF(Atletas!F394="Adulto 52kg",6,IF(Atletas!F394="Adulto 60kg",7,IF(Atletas!F394="Adulto 70kg",8,IF(Atletas!F394="Adulto 80kg",9,IF(Atletas!F394="Adulto 90kg",10,IF(Atletas!F394="Adulto +90kg",11,"")))))))))))))</f>
        <v/>
      </c>
      <c r="AY398" s="46" t="str">
        <f>IF(Atletas!G394="","",IF(Atletas!B394="Feminino",100,IF(Atletas!B394="Masculino",200,""))+(IF(Atletas!G394="Changquan Mirim",1,IF(Atletas!G394="Nanquan Mirim",2,IF(Atletas!G394="Taijiquan Mirim",3,IF(Atletas!G394="Changquan Grupo C",4,IF(Atletas!G394="Nanquan Grupo C",5,IF(Atletas!G394="Taijiquan Grupo C",6,IF(Atletas!G394="Changquan Grupo B",7,IF(Atletas!G394="Nanquan Grupo B",8,IF(Atletas!G394="Taijiquan Grupo B",9,IF(Atletas!G394="Changquan Grupo A",10,IF(Atletas!G394="Nanquan Grupo A",11,IF(Atletas!G394="Taijiquan Grupo A",12,IF(Atletas!G394="Changquan Opcional",13,IF(Atletas!G394="Nanquan Opcional",14,IF(Atletas!G394="Taijiquan Opcional",15,IF(Atletas!G394="Changquan Adulto",16,IF(Atletas!G394="Nanquan Adulto",17,IF(Atletas!G394="Taijiquan Adulto",18,""))))))))))))))))))))</f>
        <v/>
      </c>
      <c r="AZ398" s="46" t="str">
        <f>IF(Atletas!H394="","",IF(Atletas!B394="Feminino",100,IF(Atletas!B394="Masculino",200,""))+(IF(Atletas!H394="Daoshu Mirim",19,IF(Atletas!H394="Jianshu Mirim",20,IF(Atletas!H394="Nandao Mirim",21,IF(Atletas!H394="Taijijian Mirim",22,IF(Atletas!H394="Daoshu Grupo C",23,IF(Atletas!H394="Jianshu Grupo C",24,IF(Atletas!H394="Nandao Grupo C",25,IF(Atletas!H394="Taijijian Grupo C",26,IF(Atletas!H394="Daoshu Grupo B",27,IF(Atletas!H394="Jianshu Grupo B",28,IF(Atletas!H394="Nandao Grupo B",29,IF(Atletas!H394="Taijijian Grupo B",30,IF(Atletas!H394="Daoshu Grupo A",31,IF(Atletas!H394="Jianshu Grupo A",32,IF(Atletas!H394="Nandao Grupo A",33,IF(Atletas!H394="Taijijian Grupo A",34,IF(Atletas!H394="Daoshu Opcional",35,IF(Atletas!H394="Jianshu Opcional",36,IF(Atletas!H394="Nandao Opcional",37,IF(Atletas!H394="Taijijian Opcional",38,IF(Atletas!H394="Daoshu Adulto",39,IF(Atletas!H394="Jianshu Adulto",40,IF(Atletas!H394="Nandao Adulto",41,IF(Atletas!H394="Taijijian Adulto",42,""))))))))))))))))))))))))))</f>
        <v/>
      </c>
      <c r="BA398" s="46" t="str">
        <f>IF(Atletas!I394="","",IF(Atletas!B394="Feminino",100,IF(Atletas!B394="Masculino",200,""))+(IF(Atletas!I394="Gunshu Mirim",43,IF(Atletas!I394="Qiangshu Mirim",44,IF(Atletas!I394="Nangun Mirim",45,IF(Atletas!I394="Gunshu Grupo C",46,IF(Atletas!I394="Qiangshu Grupo C",47,IF(Atletas!I394="Nangun Grupo C",48,IF(Atletas!I394="Gunshu Grupo B",49,IF(Atletas!I394="Qiangshu Grupo B",50,IF(Atletas!I394="Nangun Grupo B",51,IF(Atletas!I394="Gunshu Grupo A",52,IF(Atletas!I394="Qiangshu Grupo A",53,IF(Atletas!I394="Nangun Grupo A",54,IF(Atletas!I394="Gunshu Opcional",55,IF(Atletas!I394="Qiangshu Opcional",56,IF(Atletas!I394="Nangun Opcional",57,IF(Atletas!I394="Gunshu Adulto",58,IF(Atletas!I394="Qiangshu Adulto",59,IF(Atletas!I394="Nangun Adulto",60,""))))))))))))))))))))</f>
        <v/>
      </c>
      <c r="BF398" s="52" t="str">
        <f>IF(Atletas!J394="","",IF(Atletas!B394="Feminino",100,IF(Atletas!B394="Masculino",200,""))+(IF(Atletas!J394="Equipe 1 Grupo B",1,IF(Atletas!J394="Equipe 2 Grupo B",2,IF(Atletas!J394="Equipe 1 Grupo A",3,IF(Atletas!J394="Equipe 2 Grupo A",4,IF(Atletas!J394="Equipe 1 Adulto",5,IF(Atletas!J394="Equipe 2 Adulto",6,""))))))))</f>
        <v/>
      </c>
      <c r="BK398" s="52" t="str">
        <f>IF(Atletas!K394="","",IF(Atletas!W394&lt;&gt;"",10000,0)+(IF(Atletas!B394="Feminino",1000,IF(Atletas!B394="Masculino",2000,""))+IF(Atletas!K394="Choylayfut A",1,IF(Atletas!K394="Hunggar A",2,IF(Atletas!K394="Wuzuquan A",3,IF(Atletas!K394="Wingchun A",4,IF(Atletas!K394="Outra Mão de Sul A",5,IF(Atletas!K394="Choylayfut B",6,IF(Atletas!K394="Hunggar B",7,IF(Atletas!K394="Wuzuquan B",8,IF(Atletas!K394="Wingchun B",9,IF(Atletas!K394="Outra Mão de Sul B",10,IF(Atletas!K394="Choylayfut C",11,IF(Atletas!K394="Hunggar C",12,IF(Atletas!K394="Wuzuquan C",13,IF(Atletas!K394="Wingchun C",14,IF(Atletas!K394="Outra Mão de Sul C",15,IF(Atletas!K394="Choylayfut D",16,IF(Atletas!K394="Hunggar D",17,IF(Atletas!K394="Wuzuquan D",18,IF(Atletas!K394="Wingchun D",19,IF(Atletas!K394="Outra Mão de Sul D",20,IF(Atletas!K394="Choylayfut E",21,IF(Atletas!K394="Hunggar E",22,IF(Atletas!K394="Wuzuquan E",23,IF(Atletas!K394="Wingchun E",24,IF(Atletas!K394="Outra Mão de Sul E",25,IF(Atletas!K394="Choylayfut F",26,IF(Atletas!K394="Hunggar F",27,IF(Atletas!K394="Wuzuquan F",28,IF(Atletas!K394="Wingchun F",29,IF(Atletas!K394="Outra Mão de Sul F",30,""))))))))))))))))))))))))))))))))</f>
        <v/>
      </c>
      <c r="BL398" s="52" t="str">
        <f>IF(Atletas!L394="","",IF(Atletas!W394&lt;&gt;"",10000,0)+(IF(Atletas!B394="Feminino",1000,IF(Atletas!B394="Masculino",2000,""))+(IF(Atletas!L394="Chaquan A",101,IF(Atletas!L394="Emeiquan A",102,IF(Atletas!L394="Fanziquan A",103,IF(Atletas!L394="Huaquan A",104,IF(Atletas!L394="Hongquan A",105,IF(Atletas!L394="Paochui A",106,IF(Atletas!L394="Piguaquan A",107,IF(Atletas!L394="Shaolinquan A",108,IF(Atletas!L394="Tanglangquan A",109,IF(Atletas!L394="Yinzhaophai A",110,IF(Atletas!L394="Tongbeiquan A",111,IF(Atletas!L394="Wudangquan A",112,IF(Atletas!L394="Outros Estilos A",113,IF(Atletas!L394="Chaquan B",114,IF(Atletas!L394="Emeiquan B",115,IF(Atletas!L394="Fanziquan B",116,IF(Atletas!L394="Huaquan B",117,IF(Atletas!L394="Hongquan B",118,IF(Atletas!L394="Paochui B",119,IF(Atletas!L394="Piguaquan B",120,IF(Atletas!L394="Shaolinquan B",121,IF(Atletas!L394="Tanglangquan B",122,IF(Atletas!L394="Yinzhaophai B",123,IF(Atletas!L394="Tongbeiquan B",124,IF(Atletas!L394="Wudangquan B",125,IF(Atletas!L394="Outros Estilos B",126,IF(Atletas!L394="Chaquan C",127,IF(Atletas!L394="Emeiquan C",128,IF(Atletas!L394="Fanziquan C",129,IF(Atletas!L394="Huaquan C",130,IF(Atletas!L394="Hongquan C",131,IF(Atletas!L394="Paochui C",132,IF(Atletas!L394="Piguaquan C",133,IF(Atletas!L394="Shaolinquan C",134,IF(Atletas!L394="Tanglangquan C",135,IF(Atletas!L394="Yinzhaophai C",136,IF(Atletas!L394="Tongbeiquan C",137,IF(Atletas!L394="Wudangquan C",138,IF(Atletas!L394="Outros Estilos C",139,0))))))))))))))))))))))))))))))))))))))))))</f>
        <v/>
      </c>
      <c r="BM398" s="52" t="str">
        <f>IF(Atletas!L394="","",IF(Atletas!W394&lt;&gt;"",10000,0)+(IF(Atletas!B394="Feminino",1000,IF(Atletas!B394="Masculino",2000,""))+(IF(Atletas!L394="Chaquan D",140,IF(Atletas!L394="Emeiquan D",141,IF(Atletas!L394="Fanziquan D",142,IF(Atletas!L394="Huaquan D",143,IF(Atletas!L394="Hongquan D",144,IF(Atletas!L394="Paochui D",145,IF(Atletas!L394="Piguaquan D",146,IF(Atletas!L394="Shaolinquan D",147,IF(Atletas!L394="Tanglangquan D",148,IF(Atletas!L394="Yinzhaophai D",149,IF(Atletas!L394="Tongbeiquan D",150,IF(Atletas!L394="Wudangquan D",151,IF(Atletas!L394="Outros Estilos D",152,IF(Atletas!L394="Chaquan E",153,IF(Atletas!L394="Emeiquan E",154,IF(Atletas!L394="Fanziquan E",155,IF(Atletas!L394="Huaquan E",156,IF(Atletas!L394="Hongquan E",157,IF(Atletas!L394="Paochui E",158,IF(Atletas!L394="Piguaquan E",159,IF(Atletas!L394="Shaolinquan E",160,IF(Atletas!L394="Tanglangquan E",161,IF(Atletas!L394="Yinzhaophai E",162,IF(Atletas!L394="Tongbeiquan E",163,IF(Atletas!L394="Wudangquan E",164,IF(Atletas!L394="Outros Estilos E",165,IF(Atletas!L394="Chaquan F",166,IF(Atletas!L394="Emeiquan F",167,IF(Atletas!L394="Fanziquan F",168,IF(Atletas!L394="Huaquan F",169,IF(Atletas!L394="Hongquan F",170,IF(Atletas!L394="Paochui F",171,IF(Atletas!L394="Piguaquan F",172,IF(Atletas!L394="Shaolinquan F",173,IF(Atletas!L394="Tanglangquan F",174,IF(Atletas!L394="Yinzhaophai F",175,IF(Atletas!L394="Tongbeiquan F",176,IF(Atletas!L394="Wudangquan F",177,IF(Atletas!L394="Outros Estilos F",178,0))))))))))))))))))))))))))))))))))))))))))</f>
        <v/>
      </c>
      <c r="BN398" s="52" t="str">
        <f>IF(Atletas!M394="","",IF(Atletas!W394&lt;&gt;"",10000,0)+(IF(Atletas!B394="Feminino",1000,IF(Atletas!B394="Masculino",2000,""))+(IF(Atletas!M394="Ditangquan A",201,IF(Atletas!M394="Houquan A",202,IF(Atletas!M394="Zuiquan A",203,IF(Atletas!M394="Ditangquan B",204,IF(Atletas!M394="Houquan B",205,IF(Atletas!M394="Zuiquan B",206,IF(Atletas!M394="Ditangquan C",207,IF(Atletas!M394="Houquan C",208,IF(Atletas!M394="Zuiquan C",209,IF(Atletas!M394="Ditangquan D",210,IF(Atletas!M394="Houquan D",211,IF(Atletas!M394="Zuiquan D",212,IF(Atletas!M394="Ditangquan E",213,IF(Atletas!M394="Houquan E",214,IF(Atletas!M394="Zuiquan E",215,IF(Atletas!M394="Ditangquan F",216,IF(Atletas!M394="Houquan F",217,IF(Atletas!M394="Zuiquan F",218,"")))))))))))))))))))))</f>
        <v/>
      </c>
      <c r="BO398" s="52" t="str">
        <f>IF(Atletas!N394="","",IF(Atletas!W394&lt;&gt;"",10000,0)+IF(Atletas!B394="Feminino",1000,IF(Atletas!B394="Masculino",2000,""))+IF(Atletas!N394="Yang A",301,IF(Atletas!N394="Chen A",30,IF(Atletas!N394="Sun A",303,IF(Atletas!N394="Wu A",304,IF(Atletas!N394="Wu-Hao A",305,IF(Atletas!N394="Outro Taijiquan A",306,IF(Atletas!N394="Yang B",307,IF(Atletas!N394="Chen B",308,IF(Atletas!N394="Sun B",309,IF(Atletas!N394="Wu B",310,IF(Atletas!N394="Wu-Hao B",311,IF(Atletas!N394="Outro Taijiquan B",312,IF(Atletas!N394="Yang C",313,IF(Atletas!N394="Chen C",314,IF(Atletas!N394="Sun C",315,IF(Atletas!N394="Wu C",316,IF(Atletas!N394="Wu-Hao C",317,IF(Atletas!N394="Outro Taijiquan C",318,IF(Atletas!N394="Yang D",319,IF(Atletas!N394="Chen D",320,IF(Atletas!N394="Sun D",321,IF(Atletas!N394="Wu D",322,IF(Atletas!N394="Wu-Hao D",323,IF(Atletas!N394="Outro Taijiquan D",324,IF(Atletas!N394="Yang E",325,IF(Atletas!N394="Chen E",326,IF(Atletas!N394="Sun E",327,IF(Atletas!N394="Wu E",328,IF(Atletas!N394="Wu-Hao E",329,IF(Atletas!N394="Outro Taijiquan E",330,IF(Atletas!N394="Yang F",331,IF(Atletas!N394="Chen F",332,IF(Atletas!N394="Sun F",333,IF(Atletas!N394="Wu F",334,IF(Atletas!N394="Wu-Hao F",335,IF(Atletas!N394="Outro Taijiquan F",336,"")))))))))))))))))))))))))))))))))))))</f>
        <v/>
      </c>
      <c r="BP398" s="52" t="str">
        <f>IF(Atletas!O394="","",IF(Atletas!W394&lt;&gt;"",10000,0)+IF(Atletas!B394="Feminino",1000,IF(Atletas!B394="Masculino",2000,""))+IF(OR(Atletas!O394="Yang 26 A",Atletas!O394="Yang 40 A"),401,IF(OR(Atletas!O394="Chen 25 A",Atletas!O394="Chen 36 A",Atletas!O394="Chen 56 A"),402,IF(Atletas!O394="Sun 73 A",403,IF(Atletas!O394="Wu 45 A",404,IF(Atletas!O394="Wu-Hao 46 A",405,IF(OR(Atletas!O394="Taijiquan 16 A",Atletas!O394="Taijiquan 24 A",Atletas!O394="Taijiquan 32 A",Atletas!O394="Taijiquan 42 A"),406,IF(OR(Atletas!O394="Yang 26 B",Atletas!O394="Yang 40 B"),407,IF(OR(Atletas!O394="Chen 25 B",Atletas!O394="Chen 36 B",Atletas!O394="Chen 56 B"),408,IF(Atletas!O394="Sun 73 B",409,IF(Atletas!O394="Wu 45 B",410,IF(Atletas!O394="Wu-Hao 46 B",411,IF(OR(Atletas!O394="Taijiquan 16 B",Atletas!O394="Taijiquan 24 B",Atletas!O394="Taijiquan 32 B",Atletas!O394="Taijiquan 42 B"),412,IF(OR(Atletas!O394="Yang 26 C",Atletas!O394="Yang 40 C"),413,IF(OR(Atletas!O394="Chen 25 C",Atletas!O394="Chen 36 C",Atletas!O394="Chen 56 C"),414,IF(Atletas!O394="Sun 73 C",415,IF(Atletas!O394="Wu 45 C",416,IF(Atletas!O394="Wu-Hao 46 C",417,IF(OR(Atletas!O394="Taijiquan 16 C",Atletas!O394="Taijiquan 24 C",Atletas!O394="Taijiquan 32 C",Atletas!O394="Taijiquan 42 C"),418,0)))))))))))))))))))</f>
        <v/>
      </c>
      <c r="BQ398" s="52" t="str">
        <f>IF(Atletas!O394="","",IF(Atletas!W394&lt;&gt;"",10000,0)+IF(Atletas!B394="Feminino",1000,IF(Atletas!B394="Masculino",2000,""))+IF(OR(Atletas!O394="Yang 26 D",Atletas!O394="Yang 40 D"),419,IF(OR(Atletas!O394="Chen 25 D",Atletas!O394="Chen 36 D",Atletas!O394="Chen 56 D"),420,IF(Atletas!O394="Sun 73 D",421,IF(Atletas!O394="Wu 45 D",422,IF(Atletas!O394="Wu-Hao 46 D",423,IF(OR(Atletas!O394="Taijiquan 16 D",Atletas!O394="Taijiquan 24 D",Atletas!O394="Taijiquan 32 D",Atletas!O394="Taijiquan 42 D"),424,IF(OR(Atletas!O394="Yang 26 E",Atletas!O394="Yang 40 E"),425,IF(OR(Atletas!O394="Chen 25 E",Atletas!O394="Chen 36 E",Atletas!O394="Chen 56 E"),426,IF(Atletas!O394="Sun 73 E",427,IF(Atletas!O394="Wu 45 E",428,IF(Atletas!O394="Wu-Hao 46 E",429,IF(OR(Atletas!O394="Taijiquan 16 E",Atletas!O394="Taijiquan 24 E",Atletas!O394="Taijiquan 32 E",Atletas!O394="Taijiquan 42 E"),430,IF(OR(Atletas!O394="Yang 26 F",Atletas!O394="Yang 40 F"),431,IF(OR(Atletas!O394="Chen 25 F",Atletas!O394="Chen 36 F",Atletas!O394="Chen 56 F"),432,IF(Atletas!O394="Sun 73 F",433,IF(Atletas!O394="Wu 45 F",434,IF(Atletas!O394="Wu-Hao 46 F",435,IF(OR(Atletas!O394="Taijiquan 16 F",Atletas!O394="Taijiquan 24 F",Atletas!O394="Taijiquan 32 F",Atletas!O394="Taijiquan 42 F"),436,0)))))))))))))))))))</f>
        <v/>
      </c>
      <c r="BR398" s="52" t="str">
        <f>IF(Atletas!P394="","",IF(Atletas!W394&lt;&gt;"",10000,0)+IF(Atletas!B394="Feminino",1000,IF(Atletas!B394="Masculino",2000,""))+IF(Atletas!P394="Xingyiquan A",501,IF(Atletas!P394="Baguazhang A",502,IF(Atletas!P394="Outro Estilo Interno A",503,IF(Atletas!P394="Xingyiquan B",504,IF(Atletas!P394="Baguazhang B",505,IF(Atletas!P394="Outro Estilo Interno B",506,IF(Atletas!P394="Xingyiquan C",507,IF(Atletas!P394="Baguazhang C",508,IF(Atletas!P394="Outro Estilo Interno C",509,IF(Atletas!P394="Xingyiquan D",510,IF(Atletas!P394="Baguazhang D",511,IF(Atletas!P394="Outro Estilo Interno D",512,IF(Atletas!P394="Xingyiquan E",513,IF(Atletas!P394="Baguazhang E",514,IF(Atletas!P394="Outro Estilo Interno E",515,IF(Atletas!P394="Xingyiquan F",516,IF(Atletas!P394="Baguazhang F",517,IF(Atletas!P394="Outro Estilo Interno F",518, "")))))))))))))))))))</f>
        <v/>
      </c>
      <c r="BS398" s="52" t="str">
        <f>IF(Atletas!Q394="","",IF(Atletas!W394&lt;&gt;"",10000,0)+IF(Atletas!B394="Feminino",1000,IF(Atletas!B394="Masculino",2000,""))+IF(Atletas!Q394="Dao A",601,IF(Atletas!Q394="Jian A",602,IF(Atletas!Q394="Bishou A",603,IF(Atletas!Q394="Shan A",604,IF(Atletas!Q394="Outra Arma Curta A",605,IF(Atletas!Q394="Dao B",606,IF(Atletas!Q394="Jian B",607,IF(Atletas!Q394="Bishou B",608,IF(Atletas!Q394="Shan B",609,IF(Atletas!Q394="Outra Arma Curta B",610,IF(Atletas!Q394="Dao C",611,IF(Atletas!Q394="Jian C",612,IF(Atletas!Q394="Bishou C",613,IF(Atletas!Q394="Shan C",614,IF(Atletas!Q394="Outra Arma Curta C",615,IF(Atletas!Q394="Dao D",616,IF(Atletas!Q394="Jian D",617,IF(Atletas!Q394="Bishou D",618,IF(Atletas!Q394="Shan D",619,IF(Atletas!Q394="Outra Arma Curta D",620,IF(Atletas!Q394="Dao E",621,IF(Atletas!Q394="Jian E",622,IF(Atletas!Q394="Bishou E",623,IF(Atletas!Q394="Shan E",624,IF(Atletas!Q394="Outra Arma Curta E",625,IF(Atletas!Q394="Dao F",626,IF(Atletas!Q394="Jian F",627,IF(Atletas!Q394="Bishou F",628,IF(Atletas!Q394="Shan F",629,IF(Atletas!Q394="Outra Arma Curta F",630, "")))))))))))))))))))))))))))))))</f>
        <v/>
      </c>
      <c r="BT398" s="52" t="str">
        <f>IF(Atletas!R394="","",IF(Atletas!W394&lt;&gt;"",10000,0)+IF(Atletas!B394="Feminino",1000,IF(Atletas!B394="Masculino",2000,""))+IF(Atletas!R394="Gun A",701,IF(Atletas!R394="Qiang A",702,IF(Atletas!R394="Pudao / Guandao A",703,IF(Atletas!R394="Outra Arma Longa A",704,IF(Atletas!R394="Gun B",705,IF(Atletas!R394="Qiang B",706,IF(Atletas!R394="Pudao / Guandao B",707,IF(Atletas!R394="Outra Arma Longa B",708,IF(Atletas!R394="Gun C",709,IF(Atletas!R394="Qiang C",710,IF(Atletas!R394="Pudao / Guandao C",711,IF(Atletas!R394="Outra Arma Longa C",712,IF(Atletas!R394="Gun D",713,IF(Atletas!R394="Qiang D",714,IF(Atletas!R394="Pudao / Guandao D",715,IF(Atletas!R394="Outra Arma Longa D",716,IF(Atletas!R394="Gun E",717,IF(Atletas!R394="Qiang E",718,IF(Atletas!R394="Pudao / Guandao E",719,IF(Atletas!R394="Outra Arma Longa E",720,IF(Atletas!R394="Gun F",721,IF(Atletas!R394="Qiang F",722,IF(Atletas!R394="Pudao / Guandao F",723,IF(Atletas!R394="Outra Arma Longa F",724,"")))))))))))))))))))))))))</f>
        <v/>
      </c>
      <c r="BU398" s="52" t="str">
        <f>IF(Atletas!S394="","",IF(Atletas!W394&lt;&gt;"",10000,0)+IF(Atletas!B394="Feminino",1000,IF(Atletas!B394="Masculino",2000,""))+IF(Atletas!S394="Arma Dupla A",801,IF(Atletas!S394="Arma Maleável A",802,IF(Atletas!S394="Arma Dupla B",803,IF(Atletas!S394="Arma Maleável B",804,IF(Atletas!S394="Arma Dupla C",805,IF(Atletas!S394="Arma Maleável C",806,IF(Atletas!S394="Arma Dupla D",807,IF(Atletas!S394="Arma Maleável D",808,IF(Atletas!S394="Arma Dupla E",809,IF(Atletas!S394="Arma Maleável E",810,IF(Atletas!S394="Arma Dupla F",811,IF(Atletas!S394="Arma Maleável F",812, "")))))))))))))</f>
        <v/>
      </c>
      <c r="BV398" s="52" t="str">
        <f>IF(Atletas!T394="","",IF(Atletas!W394&lt;&gt;"",10000,0)+IF(Atletas!B394="Feminino",1000,IF(Atletas!B394="Masculino",2000,""))+IF(Atletas!T394="Taijijian Yang A",901,IF(Atletas!T394="Taijijian Chen A",902,IF(Atletas!T394="Taijijian Sun A",903,IF(Atletas!T394="Taijijian Wu A",904,IF(Atletas!T394="Taijijian Wu-Hao A",905,IF(Atletas!T394="Taijijian 32 A",906,IF(Atletas!T394="Taijijian 42 A",907,IF(Atletas!T394="Taijijian Yang B",908,IF(Atletas!T394="Taijijian Chen B",909,IF(Atletas!T394="Taijijian Sun B",910,IF(Atletas!T394="Taijijian Wu B",911,IF(Atletas!T394="Taijijian Wu-Hao B",912,IF(Atletas!T394="Taijijian 32 B",913,IF(Atletas!T394="Taijijian 42 B",914,IF(Atletas!T394="Taijijian Yang C",915,IF(Atletas!T394="Taijijian Chen C",916,IF(Atletas!T394="Taijijian Sun C",917,IF(Atletas!T394="Taijijian Wu C",918,IF(Atletas!T394="Taijijian Wu-Hao C",919,IF(Atletas!T394="Taijijian 32 C",920,IF(Atletas!T394="Taijijian 42 C",921,IF(Atletas!T394="Taijijian Yang D",922,IF(Atletas!T394="Taijijian Chen D",923,IF(Atletas!T394="Taijijian Sun D",924,IF(Atletas!T394="Taijijian Wu D",925,IF(Atletas!T394="Taijijian Wu-Hao D",926,IF(Atletas!T394="Taijijian 32 D",927,IF(Atletas!T394="Taijijian 42 D",928,IF(Atletas!T394="Taijijian Yang E",929,IF(Atletas!T394="Taijijian Chen E",930,IF(Atletas!T394="Taijijian Sun E",931,IF(Atletas!T394="Taijijian Wu E",932,IF(Atletas!T394="Taijijian Wu-Hao E",933,IF(Atletas!T394="Taijijian 32 E",934,IF(Atletas!T394="Taijijian 42 E",935,IF(Atletas!T394="Taijijian Yang F",936,IF(Atletas!T394="Taijijian Chen F",937,IF(Atletas!T394="Taijijian Sun F",938,IF(Atletas!T394="Taijijian Wu F",939,IF(Atletas!T394="Taijijian Wu-Hao F",940,IF(Atletas!T394="Taijijian 32 F",941,IF(Atletas!T394="Taijijian 42 F",942,"")))))))))))))))))))))))))))))))))))))))))))</f>
        <v/>
      </c>
      <c r="BW398" s="52" t="str">
        <f>IF(Atletas!U394="","",IF(Atletas!W394&lt;&gt;"",10000,0)+IF(Atletas!B394="Feminino",1000,IF(Atletas!B394="Masculino",2000,""))+IF(Atletas!T394="Taijijian 42 F",942,IF(Atletas!U394="Taijidao A",943,IF(Atletas!U394="Taijishan A",944,IF(Atletas!U394="Taijiqiang A",945,IF(Atletas!U394="Taijidao B",946,IF(Atletas!U394="Taijishan B",947,IF(Atletas!U394="Taijiqiang B",948,IF(Atletas!U394="Taijidao C",949,IF(Atletas!U394="Taijishan C",950,IF(Atletas!U394="Taijiqiang C",951,IF(Atletas!U394="Taijidao D",952,IF(Atletas!U394="Taijishan D",953,IF(Atletas!U394="Taijiqiang D",954,IF(Atletas!U394="Taijidao E",955,IF(Atletas!U394="Taijishan E",956,IF(Atletas!U394="Taijiqiang E",957,IF(Atletas!U394="Taijidao F",958,IF(Atletas!U394="Taijishan F",959,IF(Atletas!U394="Taijiqiang F",960))))))))))))))))))))</f>
        <v/>
      </c>
      <c r="CB398" s="64" t="str">
        <f>IF(CC398&lt;&gt;"","Taijishan C","")</f>
        <v/>
      </c>
      <c r="CC398" s="64" t="str">
        <f>IF(COUNTIF(BK:BW,11950)&gt;0,COUNTIF(BK:BW,11950),"")</f>
        <v/>
      </c>
      <c r="CD398" s="64" t="str">
        <f>IF(CE398&lt;&gt;"","Taijishan C","")</f>
        <v/>
      </c>
      <c r="CE398" s="64" t="str">
        <f>IF(COUNTIF(BK:BW,12950)&gt;0,COUNTIF(BK:BW,12950),"")</f>
        <v/>
      </c>
      <c r="CF398" s="52" t="str">
        <f xml:space="preserve"> IF(Atletas!V394="","",IF(Atletas!V394="Duilian de Mãos AB - Equipe 1",1,IF(Atletas!V394="Duilian de Mãos AB - Equipe 2",2,IF(Atletas!V394="Duilian de Armas AB - Equipe 1",3,IF(Atletas!V394="Duilian de Armas AB - Equipe 2",4,IF(Atletas!V394="Duilian de Tuishou - Equipe 1",5,IF(Atletas!V394="Duilian de Tuishou - Equipe 2",6,IF(Atletas!V394="Grupo Externo AB - Equipe 1",7,IF(Atletas!V394="Grupo Externo AB - Equipe 2",8,IF(Atletas!V394="Grupo Interno AB - Equipe 1",9,IF(Atletas!V394="Grupo Interno AB - Equipe 2",10,IF(Atletas!V394="Duilian de Mãos CD - Equipe 1",11,IF(Atletas!V394="Duilian de Mãos CD - Equipe 2",12,IF(Atletas!V394="Duilian de Armas CD - Equipe 1",13,IF(Atletas!V394="Duilian de Armas CD - Equipe 2",14,IF(Atletas!V394="Duilian de Tuishou - Equipe 1",15,IF(Atletas!V394="Duilian de Tuishou - Equipe 2",16,IF(Atletas!V394="Grupo Externo CDEF - Equipe 1",17,IF(Atletas!V394="Grupo Externo CDEF - Equipe 2",18,IF(Atletas!V394="Grupo Interno CDEF - Equipe 1",19,IF(Atletas!V394="Grupo Interno CDEF - Equipe 2",20,IF(Atletas!V394="Duilian de Mãos EF - Equipe 1",21,IF(Atletas!V394="Duilian de Mãos EF - Equipe 2",22,IF(Atletas!V394="Duilian de Armas EF - Equipe 1",23,IF(Atletas!V394="Duilian de Armas EF - Equipe 2",24,IF(Atletas!V394="Duilian de Tuishou - Equipe 1",25,IF(Atletas!V394="Duilian de Tuishou - Equipe 2",26,"")))))))))))))))))))))))))))</f>
        <v/>
      </c>
    </row>
    <row r="399" spans="36:84">
      <c r="AJ399" s="46" t="str">
        <f>IF(Atletas!D395="","",IF(Atletas!B395="Feminino",100,IF(Atletas!B395="Masculino",200,""))+(IF(Atletas!D395="Infantil 39kg",1,IF(Atletas!D395="Infantil 42kg",2,IF(Atletas!D395="Infantil 45kg",3,IF(Atletas!D395="Infantil 48kg",4,IF(Atletas!D395="Infantil 52kg",5,IF(Atletas!D395="Infantil 56kg",6,IF(Atletas!D395="Infantil 60kg",7,IF(Atletas!D395="Juvenil 48kg",8,IF(Atletas!D395="Juvenil 52kg",9,IF(Atletas!D395="Juvenil 56kg",10,IF(Atletas!D395="Juvenil 60kg",11,IF(Atletas!D395="Juvenil 65kg",12,IF(Atletas!D395="Juvenil 70kg",13,IF(Atletas!D395="Juvenil 75kg",14,IF(Atletas!D395="Juvenil 80kg",15,IF(Atletas!D395="Adulto 48kg",16,IF(Atletas!D395="Adulto 52kg",17,IF(Atletas!D395="Adulto 56kg",18,IF(Atletas!D395="Adulto 60kg",19,IF(Atletas!D395="Adulto 65kg",20,IF(Atletas!D395="Adulto 70kg",21,IF(Atletas!D395="Adulto 75kg",22,IF(Atletas!D395="Adulto 80kg",23,IF(Atletas!D395="Adulto 85kg",24,IF(Atletas!D395="Adulto 90kg",25,IF(Atletas!D395="Adulto +90kg",26,""))))))))))))))))))))))))))))</f>
        <v/>
      </c>
      <c r="AO399" s="10" t="str">
        <f>IF(Atletas!E395="","",IF(Atletas!B395="Feminino",100,IF(Atletas!B395="Masculino",200,""))+(IF(Atletas!E395="Juvenil 44kg",1,IF(Atletas!E395="Juvenil 48kg",2,IF(Atletas!E395="Juvenil 52kg",3,IF(Atletas!E395="Juvenil 56kg",4,IF(Atletas!E395="Juvenil 60kg",5,IF(Atletas!E395="Juvenil 65kg",6,IF(Atletas!E395="Juvenil 70kg",7,IF(Atletas!E395="Juvenil 75kg",8,IF(Atletas!E395="Juvenil 82kg",9,IF(Atletas!E395="Juvenil 90kg",10,IF(Atletas!E395="Juvenil 100kg",11,IF(Atletas!E395="Adulto 48kg",12,IF(Atletas!E395="Adulto 52kg",13,IF(Atletas!E395="Adulto 56kg",14,IF(Atletas!E395="Adulto 60kg",15,IF(Atletas!E395="Adulto 65kg",16,IF(Atletas!E395="Adulto 70kg",17,IF(Atletas!E395="Adulto 75kg",18,IF(Atletas!E395="Adulto 82kg",19,IF(Atletas!E395="Adulto 90kg",20,IF(Atletas!E395="Adulto 100kg",21,IF(Atletas!E395="Adulto +100kg",22,""))))))))))))))))))))))))</f>
        <v/>
      </c>
      <c r="AT399" s="10" t="str">
        <f>IF(Atletas!F395="","",IF(Atletas!B395="Feminino",100,IF(Atletas!B395="Masculino",200,""))+(IF(Atletas!F395="Adulto 48kg",1,IF(Atletas!F395="Adulto 56kg",2,IF(Atletas!F395="Adulto 65kg",3,IF(Atletas!F395="Adulto 75kg",4,IF(Atletas!F395="Adulto +75kg",5,IF(Atletas!F395="Adulto 52kg",6,IF(Atletas!F395="Adulto 60kg",7,IF(Atletas!F395="Adulto 70kg",8,IF(Atletas!F395="Adulto 80kg",9,IF(Atletas!F395="Adulto 90kg",10,IF(Atletas!F395="Adulto +90kg",11,"")))))))))))))</f>
        <v/>
      </c>
      <c r="AY399" s="46" t="str">
        <f>IF(Atletas!G395="","",IF(Atletas!B395="Feminino",100,IF(Atletas!B395="Masculino",200,""))+(IF(Atletas!G395="Changquan Mirim",1,IF(Atletas!G395="Nanquan Mirim",2,IF(Atletas!G395="Taijiquan Mirim",3,IF(Atletas!G395="Changquan Grupo C",4,IF(Atletas!G395="Nanquan Grupo C",5,IF(Atletas!G395="Taijiquan Grupo C",6,IF(Atletas!G395="Changquan Grupo B",7,IF(Atletas!G395="Nanquan Grupo B",8,IF(Atletas!G395="Taijiquan Grupo B",9,IF(Atletas!G395="Changquan Grupo A",10,IF(Atletas!G395="Nanquan Grupo A",11,IF(Atletas!G395="Taijiquan Grupo A",12,IF(Atletas!G395="Changquan Opcional",13,IF(Atletas!G395="Nanquan Opcional",14,IF(Atletas!G395="Taijiquan Opcional",15,IF(Atletas!G395="Changquan Adulto",16,IF(Atletas!G395="Nanquan Adulto",17,IF(Atletas!G395="Taijiquan Adulto",18,""))))))))))))))))))))</f>
        <v/>
      </c>
      <c r="AZ399" s="46" t="str">
        <f>IF(Atletas!H395="","",IF(Atletas!B395="Feminino",100,IF(Atletas!B395="Masculino",200,""))+(IF(Atletas!H395="Daoshu Mirim",19,IF(Atletas!H395="Jianshu Mirim",20,IF(Atletas!H395="Nandao Mirim",21,IF(Atletas!H395="Taijijian Mirim",22,IF(Atletas!H395="Daoshu Grupo C",23,IF(Atletas!H395="Jianshu Grupo C",24,IF(Atletas!H395="Nandao Grupo C",25,IF(Atletas!H395="Taijijian Grupo C",26,IF(Atletas!H395="Daoshu Grupo B",27,IF(Atletas!H395="Jianshu Grupo B",28,IF(Atletas!H395="Nandao Grupo B",29,IF(Atletas!H395="Taijijian Grupo B",30,IF(Atletas!H395="Daoshu Grupo A",31,IF(Atletas!H395="Jianshu Grupo A",32,IF(Atletas!H395="Nandao Grupo A",33,IF(Atletas!H395="Taijijian Grupo A",34,IF(Atletas!H395="Daoshu Opcional",35,IF(Atletas!H395="Jianshu Opcional",36,IF(Atletas!H395="Nandao Opcional",37,IF(Atletas!H395="Taijijian Opcional",38,IF(Atletas!H395="Daoshu Adulto",39,IF(Atletas!H395="Jianshu Adulto",40,IF(Atletas!H395="Nandao Adulto",41,IF(Atletas!H395="Taijijian Adulto",42,""))))))))))))))))))))))))))</f>
        <v/>
      </c>
      <c r="BA399" s="46" t="str">
        <f>IF(Atletas!I395="","",IF(Atletas!B395="Feminino",100,IF(Atletas!B395="Masculino",200,""))+(IF(Atletas!I395="Gunshu Mirim",43,IF(Atletas!I395="Qiangshu Mirim",44,IF(Atletas!I395="Nangun Mirim",45,IF(Atletas!I395="Gunshu Grupo C",46,IF(Atletas!I395="Qiangshu Grupo C",47,IF(Atletas!I395="Nangun Grupo C",48,IF(Atletas!I395="Gunshu Grupo B",49,IF(Atletas!I395="Qiangshu Grupo B",50,IF(Atletas!I395="Nangun Grupo B",51,IF(Atletas!I395="Gunshu Grupo A",52,IF(Atletas!I395="Qiangshu Grupo A",53,IF(Atletas!I395="Nangun Grupo A",54,IF(Atletas!I395="Gunshu Opcional",55,IF(Atletas!I395="Qiangshu Opcional",56,IF(Atletas!I395="Nangun Opcional",57,IF(Atletas!I395="Gunshu Adulto",58,IF(Atletas!I395="Qiangshu Adulto",59,IF(Atletas!I395="Nangun Adulto",60,""))))))))))))))))))))</f>
        <v/>
      </c>
      <c r="BF399" s="52" t="str">
        <f>IF(Atletas!J395="","",IF(Atletas!B395="Feminino",100,IF(Atletas!B395="Masculino",200,""))+(IF(Atletas!J395="Equipe 1 Grupo B",1,IF(Atletas!J395="Equipe 2 Grupo B",2,IF(Atletas!J395="Equipe 1 Grupo A",3,IF(Atletas!J395="Equipe 2 Grupo A",4,IF(Atletas!J395="Equipe 1 Adulto",5,IF(Atletas!J395="Equipe 2 Adulto",6,""))))))))</f>
        <v/>
      </c>
      <c r="BK399" s="52" t="str">
        <f>IF(Atletas!K395="","",IF(Atletas!W395&lt;&gt;"",10000,0)+(IF(Atletas!B395="Feminino",1000,IF(Atletas!B395="Masculino",2000,""))+IF(Atletas!K395="Choylayfut A",1,IF(Atletas!K395="Hunggar A",2,IF(Atletas!K395="Wuzuquan A",3,IF(Atletas!K395="Wingchun A",4,IF(Atletas!K395="Outra Mão de Sul A",5,IF(Atletas!K395="Choylayfut B",6,IF(Atletas!K395="Hunggar B",7,IF(Atletas!K395="Wuzuquan B",8,IF(Atletas!K395="Wingchun B",9,IF(Atletas!K395="Outra Mão de Sul B",10,IF(Atletas!K395="Choylayfut C",11,IF(Atletas!K395="Hunggar C",12,IF(Atletas!K395="Wuzuquan C",13,IF(Atletas!K395="Wingchun C",14,IF(Atletas!K395="Outra Mão de Sul C",15,IF(Atletas!K395="Choylayfut D",16,IF(Atletas!K395="Hunggar D",17,IF(Atletas!K395="Wuzuquan D",18,IF(Atletas!K395="Wingchun D",19,IF(Atletas!K395="Outra Mão de Sul D",20,IF(Atletas!K395="Choylayfut E",21,IF(Atletas!K395="Hunggar E",22,IF(Atletas!K395="Wuzuquan E",23,IF(Atletas!K395="Wingchun E",24,IF(Atletas!K395="Outra Mão de Sul E",25,IF(Atletas!K395="Choylayfut F",26,IF(Atletas!K395="Hunggar F",27,IF(Atletas!K395="Wuzuquan F",28,IF(Atletas!K395="Wingchun F",29,IF(Atletas!K395="Outra Mão de Sul F",30,""))))))))))))))))))))))))))))))))</f>
        <v/>
      </c>
      <c r="BL399" s="52" t="str">
        <f>IF(Atletas!L395="","",IF(Atletas!W395&lt;&gt;"",10000,0)+(IF(Atletas!B395="Feminino",1000,IF(Atletas!B395="Masculino",2000,""))+(IF(Atletas!L395="Chaquan A",101,IF(Atletas!L395="Emeiquan A",102,IF(Atletas!L395="Fanziquan A",103,IF(Atletas!L395="Huaquan A",104,IF(Atletas!L395="Hongquan A",105,IF(Atletas!L395="Paochui A",106,IF(Atletas!L395="Piguaquan A",107,IF(Atletas!L395="Shaolinquan A",108,IF(Atletas!L395="Tanglangquan A",109,IF(Atletas!L395="Yinzhaophai A",110,IF(Atletas!L395="Tongbeiquan A",111,IF(Atletas!L395="Wudangquan A",112,IF(Atletas!L395="Outros Estilos A",113,IF(Atletas!L395="Chaquan B",114,IF(Atletas!L395="Emeiquan B",115,IF(Atletas!L395="Fanziquan B",116,IF(Atletas!L395="Huaquan B",117,IF(Atletas!L395="Hongquan B",118,IF(Atletas!L395="Paochui B",119,IF(Atletas!L395="Piguaquan B",120,IF(Atletas!L395="Shaolinquan B",121,IF(Atletas!L395="Tanglangquan B",122,IF(Atletas!L395="Yinzhaophai B",123,IF(Atletas!L395="Tongbeiquan B",124,IF(Atletas!L395="Wudangquan B",125,IF(Atletas!L395="Outros Estilos B",126,IF(Atletas!L395="Chaquan C",127,IF(Atletas!L395="Emeiquan C",128,IF(Atletas!L395="Fanziquan C",129,IF(Atletas!L395="Huaquan C",130,IF(Atletas!L395="Hongquan C",131,IF(Atletas!L395="Paochui C",132,IF(Atletas!L395="Piguaquan C",133,IF(Atletas!L395="Shaolinquan C",134,IF(Atletas!L395="Tanglangquan C",135,IF(Atletas!L395="Yinzhaophai C",136,IF(Atletas!L395="Tongbeiquan C",137,IF(Atletas!L395="Wudangquan C",138,IF(Atletas!L395="Outros Estilos C",139,0))))))))))))))))))))))))))))))))))))))))))</f>
        <v/>
      </c>
      <c r="BM399" s="52" t="str">
        <f>IF(Atletas!L395="","",IF(Atletas!W395&lt;&gt;"",10000,0)+(IF(Atletas!B395="Feminino",1000,IF(Atletas!B395="Masculino",2000,""))+(IF(Atletas!L395="Chaquan D",140,IF(Atletas!L395="Emeiquan D",141,IF(Atletas!L395="Fanziquan D",142,IF(Atletas!L395="Huaquan D",143,IF(Atletas!L395="Hongquan D",144,IF(Atletas!L395="Paochui D",145,IF(Atletas!L395="Piguaquan D",146,IF(Atletas!L395="Shaolinquan D",147,IF(Atletas!L395="Tanglangquan D",148,IF(Atletas!L395="Yinzhaophai D",149,IF(Atletas!L395="Tongbeiquan D",150,IF(Atletas!L395="Wudangquan D",151,IF(Atletas!L395="Outros Estilos D",152,IF(Atletas!L395="Chaquan E",153,IF(Atletas!L395="Emeiquan E",154,IF(Atletas!L395="Fanziquan E",155,IF(Atletas!L395="Huaquan E",156,IF(Atletas!L395="Hongquan E",157,IF(Atletas!L395="Paochui E",158,IF(Atletas!L395="Piguaquan E",159,IF(Atletas!L395="Shaolinquan E",160,IF(Atletas!L395="Tanglangquan E",161,IF(Atletas!L395="Yinzhaophai E",162,IF(Atletas!L395="Tongbeiquan E",163,IF(Atletas!L395="Wudangquan E",164,IF(Atletas!L395="Outros Estilos E",165,IF(Atletas!L395="Chaquan F",166,IF(Atletas!L395="Emeiquan F",167,IF(Atletas!L395="Fanziquan F",168,IF(Atletas!L395="Huaquan F",169,IF(Atletas!L395="Hongquan F",170,IF(Atletas!L395="Paochui F",171,IF(Atletas!L395="Piguaquan F",172,IF(Atletas!L395="Shaolinquan F",173,IF(Atletas!L395="Tanglangquan F",174,IF(Atletas!L395="Yinzhaophai F",175,IF(Atletas!L395="Tongbeiquan F",176,IF(Atletas!L395="Wudangquan F",177,IF(Atletas!L395="Outros Estilos F",178,0))))))))))))))))))))))))))))))))))))))))))</f>
        <v/>
      </c>
      <c r="BN399" s="52" t="str">
        <f>IF(Atletas!M395="","",IF(Atletas!W395&lt;&gt;"",10000,0)+(IF(Atletas!B395="Feminino",1000,IF(Atletas!B395="Masculino",2000,""))+(IF(Atletas!M395="Ditangquan A",201,IF(Atletas!M395="Houquan A",202,IF(Atletas!M395="Zuiquan A",203,IF(Atletas!M395="Ditangquan B",204,IF(Atletas!M395="Houquan B",205,IF(Atletas!M395="Zuiquan B",206,IF(Atletas!M395="Ditangquan C",207,IF(Atletas!M395="Houquan C",208,IF(Atletas!M395="Zuiquan C",209,IF(Atletas!M395="Ditangquan D",210,IF(Atletas!M395="Houquan D",211,IF(Atletas!M395="Zuiquan D",212,IF(Atletas!M395="Ditangquan E",213,IF(Atletas!M395="Houquan E",214,IF(Atletas!M395="Zuiquan E",215,IF(Atletas!M395="Ditangquan F",216,IF(Atletas!M395="Houquan F",217,IF(Atletas!M395="Zuiquan F",218,"")))))))))))))))))))))</f>
        <v/>
      </c>
      <c r="BO399" s="52" t="str">
        <f>IF(Atletas!N395="","",IF(Atletas!W395&lt;&gt;"",10000,0)+IF(Atletas!B395="Feminino",1000,IF(Atletas!B395="Masculino",2000,""))+IF(Atletas!N395="Yang A",301,IF(Atletas!N395="Chen A",30,IF(Atletas!N395="Sun A",303,IF(Atletas!N395="Wu A",304,IF(Atletas!N395="Wu-Hao A",305,IF(Atletas!N395="Outro Taijiquan A",306,IF(Atletas!N395="Yang B",307,IF(Atletas!N395="Chen B",308,IF(Atletas!N395="Sun B",309,IF(Atletas!N395="Wu B",310,IF(Atletas!N395="Wu-Hao B",311,IF(Atletas!N395="Outro Taijiquan B",312,IF(Atletas!N395="Yang C",313,IF(Atletas!N395="Chen C",314,IF(Atletas!N395="Sun C",315,IF(Atletas!N395="Wu C",316,IF(Atletas!N395="Wu-Hao C",317,IF(Atletas!N395="Outro Taijiquan C",318,IF(Atletas!N395="Yang D",319,IF(Atletas!N395="Chen D",320,IF(Atletas!N395="Sun D",321,IF(Atletas!N395="Wu D",322,IF(Atletas!N395="Wu-Hao D",323,IF(Atletas!N395="Outro Taijiquan D",324,IF(Atletas!N395="Yang E",325,IF(Atletas!N395="Chen E",326,IF(Atletas!N395="Sun E",327,IF(Atletas!N395="Wu E",328,IF(Atletas!N395="Wu-Hao E",329,IF(Atletas!N395="Outro Taijiquan E",330,IF(Atletas!N395="Yang F",331,IF(Atletas!N395="Chen F",332,IF(Atletas!N395="Sun F",333,IF(Atletas!N395="Wu F",334,IF(Atletas!N395="Wu-Hao F",335,IF(Atletas!N395="Outro Taijiquan F",336,"")))))))))))))))))))))))))))))))))))))</f>
        <v/>
      </c>
      <c r="BP399" s="52" t="str">
        <f>IF(Atletas!O395="","",IF(Atletas!W395&lt;&gt;"",10000,0)+IF(Atletas!B395="Feminino",1000,IF(Atletas!B395="Masculino",2000,""))+IF(OR(Atletas!O395="Yang 26 A",Atletas!O395="Yang 40 A"),401,IF(OR(Atletas!O395="Chen 25 A",Atletas!O395="Chen 36 A",Atletas!O395="Chen 56 A"),402,IF(Atletas!O395="Sun 73 A",403,IF(Atletas!O395="Wu 45 A",404,IF(Atletas!O395="Wu-Hao 46 A",405,IF(OR(Atletas!O395="Taijiquan 16 A",Atletas!O395="Taijiquan 24 A",Atletas!O395="Taijiquan 32 A",Atletas!O395="Taijiquan 42 A"),406,IF(OR(Atletas!O395="Yang 26 B",Atletas!O395="Yang 40 B"),407,IF(OR(Atletas!O395="Chen 25 B",Atletas!O395="Chen 36 B",Atletas!O395="Chen 56 B"),408,IF(Atletas!O395="Sun 73 B",409,IF(Atletas!O395="Wu 45 B",410,IF(Atletas!O395="Wu-Hao 46 B",411,IF(OR(Atletas!O395="Taijiquan 16 B",Atletas!O395="Taijiquan 24 B",Atletas!O395="Taijiquan 32 B",Atletas!O395="Taijiquan 42 B"),412,IF(OR(Atletas!O395="Yang 26 C",Atletas!O395="Yang 40 C"),413,IF(OR(Atletas!O395="Chen 25 C",Atletas!O395="Chen 36 C",Atletas!O395="Chen 56 C"),414,IF(Atletas!O395="Sun 73 C",415,IF(Atletas!O395="Wu 45 C",416,IF(Atletas!O395="Wu-Hao 46 C",417,IF(OR(Atletas!O395="Taijiquan 16 C",Atletas!O395="Taijiquan 24 C",Atletas!O395="Taijiquan 32 C",Atletas!O395="Taijiquan 42 C"),418,0)))))))))))))))))))</f>
        <v/>
      </c>
      <c r="BQ399" s="52" t="str">
        <f>IF(Atletas!O395="","",IF(Atletas!W395&lt;&gt;"",10000,0)+IF(Atletas!B395="Feminino",1000,IF(Atletas!B395="Masculino",2000,""))+IF(OR(Atletas!O395="Yang 26 D",Atletas!O395="Yang 40 D"),419,IF(OR(Atletas!O395="Chen 25 D",Atletas!O395="Chen 36 D",Atletas!O395="Chen 56 D"),420,IF(Atletas!O395="Sun 73 D",421,IF(Atletas!O395="Wu 45 D",422,IF(Atletas!O395="Wu-Hao 46 D",423,IF(OR(Atletas!O395="Taijiquan 16 D",Atletas!O395="Taijiquan 24 D",Atletas!O395="Taijiquan 32 D",Atletas!O395="Taijiquan 42 D"),424,IF(OR(Atletas!O395="Yang 26 E",Atletas!O395="Yang 40 E"),425,IF(OR(Atletas!O395="Chen 25 E",Atletas!O395="Chen 36 E",Atletas!O395="Chen 56 E"),426,IF(Atletas!O395="Sun 73 E",427,IF(Atletas!O395="Wu 45 E",428,IF(Atletas!O395="Wu-Hao 46 E",429,IF(OR(Atletas!O395="Taijiquan 16 E",Atletas!O395="Taijiquan 24 E",Atletas!O395="Taijiquan 32 E",Atletas!O395="Taijiquan 42 E"),430,IF(OR(Atletas!O395="Yang 26 F",Atletas!O395="Yang 40 F"),431,IF(OR(Atletas!O395="Chen 25 F",Atletas!O395="Chen 36 F",Atletas!O395="Chen 56 F"),432,IF(Atletas!O395="Sun 73 F",433,IF(Atletas!O395="Wu 45 F",434,IF(Atletas!O395="Wu-Hao 46 F",435,IF(OR(Atletas!O395="Taijiquan 16 F",Atletas!O395="Taijiquan 24 F",Atletas!O395="Taijiquan 32 F",Atletas!O395="Taijiquan 42 F"),436,0)))))))))))))))))))</f>
        <v/>
      </c>
      <c r="BR399" s="52" t="str">
        <f>IF(Atletas!P395="","",IF(Atletas!W395&lt;&gt;"",10000,0)+IF(Atletas!B395="Feminino",1000,IF(Atletas!B395="Masculino",2000,""))+IF(Atletas!P395="Xingyiquan A",501,IF(Atletas!P395="Baguazhang A",502,IF(Atletas!P395="Outro Estilo Interno A",503,IF(Atletas!P395="Xingyiquan B",504,IF(Atletas!P395="Baguazhang B",505,IF(Atletas!P395="Outro Estilo Interno B",506,IF(Atletas!P395="Xingyiquan C",507,IF(Atletas!P395="Baguazhang C",508,IF(Atletas!P395="Outro Estilo Interno C",509,IF(Atletas!P395="Xingyiquan D",510,IF(Atletas!P395="Baguazhang D",511,IF(Atletas!P395="Outro Estilo Interno D",512,IF(Atletas!P395="Xingyiquan E",513,IF(Atletas!P395="Baguazhang E",514,IF(Atletas!P395="Outro Estilo Interno E",515,IF(Atletas!P395="Xingyiquan F",516,IF(Atletas!P395="Baguazhang F",517,IF(Atletas!P395="Outro Estilo Interno F",518, "")))))))))))))))))))</f>
        <v/>
      </c>
      <c r="BS399" s="52" t="str">
        <f>IF(Atletas!Q395="","",IF(Atletas!W395&lt;&gt;"",10000,0)+IF(Atletas!B395="Feminino",1000,IF(Atletas!B395="Masculino",2000,""))+IF(Atletas!Q395="Dao A",601,IF(Atletas!Q395="Jian A",602,IF(Atletas!Q395="Bishou A",603,IF(Atletas!Q395="Shan A",604,IF(Atletas!Q395="Outra Arma Curta A",605,IF(Atletas!Q395="Dao B",606,IF(Atletas!Q395="Jian B",607,IF(Atletas!Q395="Bishou B",608,IF(Atletas!Q395="Shan B",609,IF(Atletas!Q395="Outra Arma Curta B",610,IF(Atletas!Q395="Dao C",611,IF(Atletas!Q395="Jian C",612,IF(Atletas!Q395="Bishou C",613,IF(Atletas!Q395="Shan C",614,IF(Atletas!Q395="Outra Arma Curta C",615,IF(Atletas!Q395="Dao D",616,IF(Atletas!Q395="Jian D",617,IF(Atletas!Q395="Bishou D",618,IF(Atletas!Q395="Shan D",619,IF(Atletas!Q395="Outra Arma Curta D",620,IF(Atletas!Q395="Dao E",621,IF(Atletas!Q395="Jian E",622,IF(Atletas!Q395="Bishou E",623,IF(Atletas!Q395="Shan E",624,IF(Atletas!Q395="Outra Arma Curta E",625,IF(Atletas!Q395="Dao F",626,IF(Atletas!Q395="Jian F",627,IF(Atletas!Q395="Bishou F",628,IF(Atletas!Q395="Shan F",629,IF(Atletas!Q395="Outra Arma Curta F",630, "")))))))))))))))))))))))))))))))</f>
        <v/>
      </c>
      <c r="BT399" s="52" t="str">
        <f>IF(Atletas!R395="","",IF(Atletas!W395&lt;&gt;"",10000,0)+IF(Atletas!B395="Feminino",1000,IF(Atletas!B395="Masculino",2000,""))+IF(Atletas!R395="Gun A",701,IF(Atletas!R395="Qiang A",702,IF(Atletas!R395="Pudao / Guandao A",703,IF(Atletas!R395="Outra Arma Longa A",704,IF(Atletas!R395="Gun B",705,IF(Atletas!R395="Qiang B",706,IF(Atletas!R395="Pudao / Guandao B",707,IF(Atletas!R395="Outra Arma Longa B",708,IF(Atletas!R395="Gun C",709,IF(Atletas!R395="Qiang C",710,IF(Atletas!R395="Pudao / Guandao C",711,IF(Atletas!R395="Outra Arma Longa C",712,IF(Atletas!R395="Gun D",713,IF(Atletas!R395="Qiang D",714,IF(Atletas!R395="Pudao / Guandao D",715,IF(Atletas!R395="Outra Arma Longa D",716,IF(Atletas!R395="Gun E",717,IF(Atletas!R395="Qiang E",718,IF(Atletas!R395="Pudao / Guandao E",719,IF(Atletas!R395="Outra Arma Longa E",720,IF(Atletas!R395="Gun F",721,IF(Atletas!R395="Qiang F",722,IF(Atletas!R395="Pudao / Guandao F",723,IF(Atletas!R395="Outra Arma Longa F",724,"")))))))))))))))))))))))))</f>
        <v/>
      </c>
      <c r="BU399" s="52" t="str">
        <f>IF(Atletas!S395="","",IF(Atletas!W395&lt;&gt;"",10000,0)+IF(Atletas!B395="Feminino",1000,IF(Atletas!B395="Masculino",2000,""))+IF(Atletas!S395="Arma Dupla A",801,IF(Atletas!S395="Arma Maleável A",802,IF(Atletas!S395="Arma Dupla B",803,IF(Atletas!S395="Arma Maleável B",804,IF(Atletas!S395="Arma Dupla C",805,IF(Atletas!S395="Arma Maleável C",806,IF(Atletas!S395="Arma Dupla D",807,IF(Atletas!S395="Arma Maleável D",808,IF(Atletas!S395="Arma Dupla E",809,IF(Atletas!S395="Arma Maleável E",810,IF(Atletas!S395="Arma Dupla F",811,IF(Atletas!S395="Arma Maleável F",812, "")))))))))))))</f>
        <v/>
      </c>
      <c r="BV399" s="52" t="str">
        <f>IF(Atletas!T395="","",IF(Atletas!W395&lt;&gt;"",10000,0)+IF(Atletas!B395="Feminino",1000,IF(Atletas!B395="Masculino",2000,""))+IF(Atletas!T395="Taijijian Yang A",901,IF(Atletas!T395="Taijijian Chen A",902,IF(Atletas!T395="Taijijian Sun A",903,IF(Atletas!T395="Taijijian Wu A",904,IF(Atletas!T395="Taijijian Wu-Hao A",905,IF(Atletas!T395="Taijijian 32 A",906,IF(Atletas!T395="Taijijian 42 A",907,IF(Atletas!T395="Taijijian Yang B",908,IF(Atletas!T395="Taijijian Chen B",909,IF(Atletas!T395="Taijijian Sun B",910,IF(Atletas!T395="Taijijian Wu B",911,IF(Atletas!T395="Taijijian Wu-Hao B",912,IF(Atletas!T395="Taijijian 32 B",913,IF(Atletas!T395="Taijijian 42 B",914,IF(Atletas!T395="Taijijian Yang C",915,IF(Atletas!T395="Taijijian Chen C",916,IF(Atletas!T395="Taijijian Sun C",917,IF(Atletas!T395="Taijijian Wu C",918,IF(Atletas!T395="Taijijian Wu-Hao C",919,IF(Atletas!T395="Taijijian 32 C",920,IF(Atletas!T395="Taijijian 42 C",921,IF(Atletas!T395="Taijijian Yang D",922,IF(Atletas!T395="Taijijian Chen D",923,IF(Atletas!T395="Taijijian Sun D",924,IF(Atletas!T395="Taijijian Wu D",925,IF(Atletas!T395="Taijijian Wu-Hao D",926,IF(Atletas!T395="Taijijian 32 D",927,IF(Atletas!T395="Taijijian 42 D",928,IF(Atletas!T395="Taijijian Yang E",929,IF(Atletas!T395="Taijijian Chen E",930,IF(Atletas!T395="Taijijian Sun E",931,IF(Atletas!T395="Taijijian Wu E",932,IF(Atletas!T395="Taijijian Wu-Hao E",933,IF(Atletas!T395="Taijijian 32 E",934,IF(Atletas!T395="Taijijian 42 E",935,IF(Atletas!T395="Taijijian Yang F",936,IF(Atletas!T395="Taijijian Chen F",937,IF(Atletas!T395="Taijijian Sun F",938,IF(Atletas!T395="Taijijian Wu F",939,IF(Atletas!T395="Taijijian Wu-Hao F",940,IF(Atletas!T395="Taijijian 32 F",941,IF(Atletas!T395="Taijijian 42 F",942,"")))))))))))))))))))))))))))))))))))))))))))</f>
        <v/>
      </c>
      <c r="BW399" s="52" t="str">
        <f>IF(Atletas!U395="","",IF(Atletas!W395&lt;&gt;"",10000,0)+IF(Atletas!B395="Feminino",1000,IF(Atletas!B395="Masculino",2000,""))+IF(Atletas!T395="Taijijian 42 F",942,IF(Atletas!U395="Taijidao A",943,IF(Atletas!U395="Taijishan A",944,IF(Atletas!U395="Taijiqiang A",945,IF(Atletas!U395="Taijidao B",946,IF(Atletas!U395="Taijishan B",947,IF(Atletas!U395="Taijiqiang B",948,IF(Atletas!U395="Taijidao C",949,IF(Atletas!U395="Taijishan C",950,IF(Atletas!U395="Taijiqiang C",951,IF(Atletas!U395="Taijidao D",952,IF(Atletas!U395="Taijishan D",953,IF(Atletas!U395="Taijiqiang D",954,IF(Atletas!U395="Taijidao E",955,IF(Atletas!U395="Taijishan E",956,IF(Atletas!U395="Taijiqiang E",957,IF(Atletas!U395="Taijidao F",958,IF(Atletas!U395="Taijishan F",959,IF(Atletas!U395="Taijiqiang F",960))))))))))))))))))))</f>
        <v/>
      </c>
      <c r="CB399" s="64" t="str">
        <f>IF(CC399&lt;&gt;"","Taijiqiang C","")</f>
        <v/>
      </c>
      <c r="CC399" s="64" t="str">
        <f>IF(COUNTIF(BK:BW,11951)&gt;0,COUNTIF(BK:BW,11951),"")</f>
        <v/>
      </c>
      <c r="CD399" s="64" t="str">
        <f>IF(CE399&lt;&gt;"","Taijiqiang C","")</f>
        <v/>
      </c>
      <c r="CE399" s="64" t="str">
        <f>IF(COUNTIF(BK:BW,12951)&gt;0,COUNTIF(BK:BW,12951),"")</f>
        <v/>
      </c>
      <c r="CF399" s="52" t="str">
        <f xml:space="preserve"> IF(Atletas!V395="","",IF(Atletas!V395="Duilian de Mãos AB - Equipe 1",1,IF(Atletas!V395="Duilian de Mãos AB - Equipe 2",2,IF(Atletas!V395="Duilian de Armas AB - Equipe 1",3,IF(Atletas!V395="Duilian de Armas AB - Equipe 2",4,IF(Atletas!V395="Duilian de Tuishou - Equipe 1",5,IF(Atletas!V395="Duilian de Tuishou - Equipe 2",6,IF(Atletas!V395="Grupo Externo AB - Equipe 1",7,IF(Atletas!V395="Grupo Externo AB - Equipe 2",8,IF(Atletas!V395="Grupo Interno AB - Equipe 1",9,IF(Atletas!V395="Grupo Interno AB - Equipe 2",10,IF(Atletas!V395="Duilian de Mãos CD - Equipe 1",11,IF(Atletas!V395="Duilian de Mãos CD - Equipe 2",12,IF(Atletas!V395="Duilian de Armas CD - Equipe 1",13,IF(Atletas!V395="Duilian de Armas CD - Equipe 2",14,IF(Atletas!V395="Duilian de Tuishou - Equipe 1",15,IF(Atletas!V395="Duilian de Tuishou - Equipe 2",16,IF(Atletas!V395="Grupo Externo CDEF - Equipe 1",17,IF(Atletas!V395="Grupo Externo CDEF - Equipe 2",18,IF(Atletas!V395="Grupo Interno CDEF - Equipe 1",19,IF(Atletas!V395="Grupo Interno CDEF - Equipe 2",20,IF(Atletas!V395="Duilian de Mãos EF - Equipe 1",21,IF(Atletas!V395="Duilian de Mãos EF - Equipe 2",22,IF(Atletas!V395="Duilian de Armas EF - Equipe 1",23,IF(Atletas!V395="Duilian de Armas EF - Equipe 2",24,IF(Atletas!V395="Duilian de Tuishou - Equipe 1",25,IF(Atletas!V395="Duilian de Tuishou - Equipe 2",26,"")))))))))))))))))))))))))))</f>
        <v/>
      </c>
    </row>
    <row r="400" spans="36:84">
      <c r="AJ400" s="46" t="str">
        <f>IF(Atletas!D396="","",IF(Atletas!B396="Feminino",100,IF(Atletas!B396="Masculino",200,""))+(IF(Atletas!D396="Infantil 39kg",1,IF(Atletas!D396="Infantil 42kg",2,IF(Atletas!D396="Infantil 45kg",3,IF(Atletas!D396="Infantil 48kg",4,IF(Atletas!D396="Infantil 52kg",5,IF(Atletas!D396="Infantil 56kg",6,IF(Atletas!D396="Infantil 60kg",7,IF(Atletas!D396="Juvenil 48kg",8,IF(Atletas!D396="Juvenil 52kg",9,IF(Atletas!D396="Juvenil 56kg",10,IF(Atletas!D396="Juvenil 60kg",11,IF(Atletas!D396="Juvenil 65kg",12,IF(Atletas!D396="Juvenil 70kg",13,IF(Atletas!D396="Juvenil 75kg",14,IF(Atletas!D396="Juvenil 80kg",15,IF(Atletas!D396="Adulto 48kg",16,IF(Atletas!D396="Adulto 52kg",17,IF(Atletas!D396="Adulto 56kg",18,IF(Atletas!D396="Adulto 60kg",19,IF(Atletas!D396="Adulto 65kg",20,IF(Atletas!D396="Adulto 70kg",21,IF(Atletas!D396="Adulto 75kg",22,IF(Atletas!D396="Adulto 80kg",23,IF(Atletas!D396="Adulto 85kg",24,IF(Atletas!D396="Adulto 90kg",25,IF(Atletas!D396="Adulto +90kg",26,""))))))))))))))))))))))))))))</f>
        <v/>
      </c>
      <c r="AO400" s="10" t="str">
        <f>IF(Atletas!E396="","",IF(Atletas!B396="Feminino",100,IF(Atletas!B396="Masculino",200,""))+(IF(Atletas!E396="Juvenil 44kg",1,IF(Atletas!E396="Juvenil 48kg",2,IF(Atletas!E396="Juvenil 52kg",3,IF(Atletas!E396="Juvenil 56kg",4,IF(Atletas!E396="Juvenil 60kg",5,IF(Atletas!E396="Juvenil 65kg",6,IF(Atletas!E396="Juvenil 70kg",7,IF(Atletas!E396="Juvenil 75kg",8,IF(Atletas!E396="Juvenil 82kg",9,IF(Atletas!E396="Juvenil 90kg",10,IF(Atletas!E396="Juvenil 100kg",11,IF(Atletas!E396="Adulto 48kg",12,IF(Atletas!E396="Adulto 52kg",13,IF(Atletas!E396="Adulto 56kg",14,IF(Atletas!E396="Adulto 60kg",15,IF(Atletas!E396="Adulto 65kg",16,IF(Atletas!E396="Adulto 70kg",17,IF(Atletas!E396="Adulto 75kg",18,IF(Atletas!E396="Adulto 82kg",19,IF(Atletas!E396="Adulto 90kg",20,IF(Atletas!E396="Adulto 100kg",21,IF(Atletas!E396="Adulto +100kg",22,""))))))))))))))))))))))))</f>
        <v/>
      </c>
      <c r="AT400" s="10" t="str">
        <f>IF(Atletas!F396="","",IF(Atletas!B396="Feminino",100,IF(Atletas!B396="Masculino",200,""))+(IF(Atletas!F396="Adulto 48kg",1,IF(Atletas!F396="Adulto 56kg",2,IF(Atletas!F396="Adulto 65kg",3,IF(Atletas!F396="Adulto 75kg",4,IF(Atletas!F396="Adulto +75kg",5,IF(Atletas!F396="Adulto 52kg",6,IF(Atletas!F396="Adulto 60kg",7,IF(Atletas!F396="Adulto 70kg",8,IF(Atletas!F396="Adulto 80kg",9,IF(Atletas!F396="Adulto 90kg",10,IF(Atletas!F396="Adulto +90kg",11,"")))))))))))))</f>
        <v/>
      </c>
      <c r="AY400" s="46" t="str">
        <f>IF(Atletas!G396="","",IF(Atletas!B396="Feminino",100,IF(Atletas!B396="Masculino",200,""))+(IF(Atletas!G396="Changquan Mirim",1,IF(Atletas!G396="Nanquan Mirim",2,IF(Atletas!G396="Taijiquan Mirim",3,IF(Atletas!G396="Changquan Grupo C",4,IF(Atletas!G396="Nanquan Grupo C",5,IF(Atletas!G396="Taijiquan Grupo C",6,IF(Atletas!G396="Changquan Grupo B",7,IF(Atletas!G396="Nanquan Grupo B",8,IF(Atletas!G396="Taijiquan Grupo B",9,IF(Atletas!G396="Changquan Grupo A",10,IF(Atletas!G396="Nanquan Grupo A",11,IF(Atletas!G396="Taijiquan Grupo A",12,IF(Atletas!G396="Changquan Opcional",13,IF(Atletas!G396="Nanquan Opcional",14,IF(Atletas!G396="Taijiquan Opcional",15,IF(Atletas!G396="Changquan Adulto",16,IF(Atletas!G396="Nanquan Adulto",17,IF(Atletas!G396="Taijiquan Adulto",18,""))))))))))))))))))))</f>
        <v/>
      </c>
      <c r="AZ400" s="46" t="str">
        <f>IF(Atletas!H396="","",IF(Atletas!B396="Feminino",100,IF(Atletas!B396="Masculino",200,""))+(IF(Atletas!H396="Daoshu Mirim",19,IF(Atletas!H396="Jianshu Mirim",20,IF(Atletas!H396="Nandao Mirim",21,IF(Atletas!H396="Taijijian Mirim",22,IF(Atletas!H396="Daoshu Grupo C",23,IF(Atletas!H396="Jianshu Grupo C",24,IF(Atletas!H396="Nandao Grupo C",25,IF(Atletas!H396="Taijijian Grupo C",26,IF(Atletas!H396="Daoshu Grupo B",27,IF(Atletas!H396="Jianshu Grupo B",28,IF(Atletas!H396="Nandao Grupo B",29,IF(Atletas!H396="Taijijian Grupo B",30,IF(Atletas!H396="Daoshu Grupo A",31,IF(Atletas!H396="Jianshu Grupo A",32,IF(Atletas!H396="Nandao Grupo A",33,IF(Atletas!H396="Taijijian Grupo A",34,IF(Atletas!H396="Daoshu Opcional",35,IF(Atletas!H396="Jianshu Opcional",36,IF(Atletas!H396="Nandao Opcional",37,IF(Atletas!H396="Taijijian Opcional",38,IF(Atletas!H396="Daoshu Adulto",39,IF(Atletas!H396="Jianshu Adulto",40,IF(Atletas!H396="Nandao Adulto",41,IF(Atletas!H396="Taijijian Adulto",42,""))))))))))))))))))))))))))</f>
        <v/>
      </c>
      <c r="BA400" s="46" t="str">
        <f>IF(Atletas!I396="","",IF(Atletas!B396="Feminino",100,IF(Atletas!B396="Masculino",200,""))+(IF(Atletas!I396="Gunshu Mirim",43,IF(Atletas!I396="Qiangshu Mirim",44,IF(Atletas!I396="Nangun Mirim",45,IF(Atletas!I396="Gunshu Grupo C",46,IF(Atletas!I396="Qiangshu Grupo C",47,IF(Atletas!I396="Nangun Grupo C",48,IF(Atletas!I396="Gunshu Grupo B",49,IF(Atletas!I396="Qiangshu Grupo B",50,IF(Atletas!I396="Nangun Grupo B",51,IF(Atletas!I396="Gunshu Grupo A",52,IF(Atletas!I396="Qiangshu Grupo A",53,IF(Atletas!I396="Nangun Grupo A",54,IF(Atletas!I396="Gunshu Opcional",55,IF(Atletas!I396="Qiangshu Opcional",56,IF(Atletas!I396="Nangun Opcional",57,IF(Atletas!I396="Gunshu Adulto",58,IF(Atletas!I396="Qiangshu Adulto",59,IF(Atletas!I396="Nangun Adulto",60,""))))))))))))))))))))</f>
        <v/>
      </c>
      <c r="BF400" s="52" t="str">
        <f>IF(Atletas!J396="","",IF(Atletas!B396="Feminino",100,IF(Atletas!B396="Masculino",200,""))+(IF(Atletas!J396="Equipe 1 Grupo B",1,IF(Atletas!J396="Equipe 2 Grupo B",2,IF(Atletas!J396="Equipe 1 Grupo A",3,IF(Atletas!J396="Equipe 2 Grupo A",4,IF(Atletas!J396="Equipe 1 Adulto",5,IF(Atletas!J396="Equipe 2 Adulto",6,""))))))))</f>
        <v/>
      </c>
      <c r="BK400" s="52" t="str">
        <f>IF(Atletas!K396="","",IF(Atletas!W396&lt;&gt;"",10000,0)+(IF(Atletas!B396="Feminino",1000,IF(Atletas!B396="Masculino",2000,""))+IF(Atletas!K396="Choylayfut A",1,IF(Atletas!K396="Hunggar A",2,IF(Atletas!K396="Wuzuquan A",3,IF(Atletas!K396="Wingchun A",4,IF(Atletas!K396="Outra Mão de Sul A",5,IF(Atletas!K396="Choylayfut B",6,IF(Atletas!K396="Hunggar B",7,IF(Atletas!K396="Wuzuquan B",8,IF(Atletas!K396="Wingchun B",9,IF(Atletas!K396="Outra Mão de Sul B",10,IF(Atletas!K396="Choylayfut C",11,IF(Atletas!K396="Hunggar C",12,IF(Atletas!K396="Wuzuquan C",13,IF(Atletas!K396="Wingchun C",14,IF(Atletas!K396="Outra Mão de Sul C",15,IF(Atletas!K396="Choylayfut D",16,IF(Atletas!K396="Hunggar D",17,IF(Atletas!K396="Wuzuquan D",18,IF(Atletas!K396="Wingchun D",19,IF(Atletas!K396="Outra Mão de Sul D",20,IF(Atletas!K396="Choylayfut E",21,IF(Atletas!K396="Hunggar E",22,IF(Atletas!K396="Wuzuquan E",23,IF(Atletas!K396="Wingchun E",24,IF(Atletas!K396="Outra Mão de Sul E",25,IF(Atletas!K396="Choylayfut F",26,IF(Atletas!K396="Hunggar F",27,IF(Atletas!K396="Wuzuquan F",28,IF(Atletas!K396="Wingchun F",29,IF(Atletas!K396="Outra Mão de Sul F",30,""))))))))))))))))))))))))))))))))</f>
        <v/>
      </c>
      <c r="BL400" s="52" t="str">
        <f>IF(Atletas!L396="","",IF(Atletas!W396&lt;&gt;"",10000,0)+(IF(Atletas!B396="Feminino",1000,IF(Atletas!B396="Masculino",2000,""))+(IF(Atletas!L396="Chaquan A",101,IF(Atletas!L396="Emeiquan A",102,IF(Atletas!L396="Fanziquan A",103,IF(Atletas!L396="Huaquan A",104,IF(Atletas!L396="Hongquan A",105,IF(Atletas!L396="Paochui A",106,IF(Atletas!L396="Piguaquan A",107,IF(Atletas!L396="Shaolinquan A",108,IF(Atletas!L396="Tanglangquan A",109,IF(Atletas!L396="Yinzhaophai A",110,IF(Atletas!L396="Tongbeiquan A",111,IF(Atletas!L396="Wudangquan A",112,IF(Atletas!L396="Outros Estilos A",113,IF(Atletas!L396="Chaquan B",114,IF(Atletas!L396="Emeiquan B",115,IF(Atletas!L396="Fanziquan B",116,IF(Atletas!L396="Huaquan B",117,IF(Atletas!L396="Hongquan B",118,IF(Atletas!L396="Paochui B",119,IF(Atletas!L396="Piguaquan B",120,IF(Atletas!L396="Shaolinquan B",121,IF(Atletas!L396="Tanglangquan B",122,IF(Atletas!L396="Yinzhaophai B",123,IF(Atletas!L396="Tongbeiquan B",124,IF(Atletas!L396="Wudangquan B",125,IF(Atletas!L396="Outros Estilos B",126,IF(Atletas!L396="Chaquan C",127,IF(Atletas!L396="Emeiquan C",128,IF(Atletas!L396="Fanziquan C",129,IF(Atletas!L396="Huaquan C",130,IF(Atletas!L396="Hongquan C",131,IF(Atletas!L396="Paochui C",132,IF(Atletas!L396="Piguaquan C",133,IF(Atletas!L396="Shaolinquan C",134,IF(Atletas!L396="Tanglangquan C",135,IF(Atletas!L396="Yinzhaophai C",136,IF(Atletas!L396="Tongbeiquan C",137,IF(Atletas!L396="Wudangquan C",138,IF(Atletas!L396="Outros Estilos C",139,0))))))))))))))))))))))))))))))))))))))))))</f>
        <v/>
      </c>
      <c r="BM400" s="52" t="str">
        <f>IF(Atletas!L396="","",IF(Atletas!W396&lt;&gt;"",10000,0)+(IF(Atletas!B396="Feminino",1000,IF(Atletas!B396="Masculino",2000,""))+(IF(Atletas!L396="Chaquan D",140,IF(Atletas!L396="Emeiquan D",141,IF(Atletas!L396="Fanziquan D",142,IF(Atletas!L396="Huaquan D",143,IF(Atletas!L396="Hongquan D",144,IF(Atletas!L396="Paochui D",145,IF(Atletas!L396="Piguaquan D",146,IF(Atletas!L396="Shaolinquan D",147,IF(Atletas!L396="Tanglangquan D",148,IF(Atletas!L396="Yinzhaophai D",149,IF(Atletas!L396="Tongbeiquan D",150,IF(Atletas!L396="Wudangquan D",151,IF(Atletas!L396="Outros Estilos D",152,IF(Atletas!L396="Chaquan E",153,IF(Atletas!L396="Emeiquan E",154,IF(Atletas!L396="Fanziquan E",155,IF(Atletas!L396="Huaquan E",156,IF(Atletas!L396="Hongquan E",157,IF(Atletas!L396="Paochui E",158,IF(Atletas!L396="Piguaquan E",159,IF(Atletas!L396="Shaolinquan E",160,IF(Atletas!L396="Tanglangquan E",161,IF(Atletas!L396="Yinzhaophai E",162,IF(Atletas!L396="Tongbeiquan E",163,IF(Atletas!L396="Wudangquan E",164,IF(Atletas!L396="Outros Estilos E",165,IF(Atletas!L396="Chaquan F",166,IF(Atletas!L396="Emeiquan F",167,IF(Atletas!L396="Fanziquan F",168,IF(Atletas!L396="Huaquan F",169,IF(Atletas!L396="Hongquan F",170,IF(Atletas!L396="Paochui F",171,IF(Atletas!L396="Piguaquan F",172,IF(Atletas!L396="Shaolinquan F",173,IF(Atletas!L396="Tanglangquan F",174,IF(Atletas!L396="Yinzhaophai F",175,IF(Atletas!L396="Tongbeiquan F",176,IF(Atletas!L396="Wudangquan F",177,IF(Atletas!L396="Outros Estilos F",178,0))))))))))))))))))))))))))))))))))))))))))</f>
        <v/>
      </c>
      <c r="BN400" s="52" t="str">
        <f>IF(Atletas!M396="","",IF(Atletas!W396&lt;&gt;"",10000,0)+(IF(Atletas!B396="Feminino",1000,IF(Atletas!B396="Masculino",2000,""))+(IF(Atletas!M396="Ditangquan A",201,IF(Atletas!M396="Houquan A",202,IF(Atletas!M396="Zuiquan A",203,IF(Atletas!M396="Ditangquan B",204,IF(Atletas!M396="Houquan B",205,IF(Atletas!M396="Zuiquan B",206,IF(Atletas!M396="Ditangquan C",207,IF(Atletas!M396="Houquan C",208,IF(Atletas!M396="Zuiquan C",209,IF(Atletas!M396="Ditangquan D",210,IF(Atletas!M396="Houquan D",211,IF(Atletas!M396="Zuiquan D",212,IF(Atletas!M396="Ditangquan E",213,IF(Atletas!M396="Houquan E",214,IF(Atletas!M396="Zuiquan E",215,IF(Atletas!M396="Ditangquan F",216,IF(Atletas!M396="Houquan F",217,IF(Atletas!M396="Zuiquan F",218,"")))))))))))))))))))))</f>
        <v/>
      </c>
      <c r="BO400" s="52" t="str">
        <f>IF(Atletas!N396="","",IF(Atletas!W396&lt;&gt;"",10000,0)+IF(Atletas!B396="Feminino",1000,IF(Atletas!B396="Masculino",2000,""))+IF(Atletas!N396="Yang A",301,IF(Atletas!N396="Chen A",30,IF(Atletas!N396="Sun A",303,IF(Atletas!N396="Wu A",304,IF(Atletas!N396="Wu-Hao A",305,IF(Atletas!N396="Outro Taijiquan A",306,IF(Atletas!N396="Yang B",307,IF(Atletas!N396="Chen B",308,IF(Atletas!N396="Sun B",309,IF(Atletas!N396="Wu B",310,IF(Atletas!N396="Wu-Hao B",311,IF(Atletas!N396="Outro Taijiquan B",312,IF(Atletas!N396="Yang C",313,IF(Atletas!N396="Chen C",314,IF(Atletas!N396="Sun C",315,IF(Atletas!N396="Wu C",316,IF(Atletas!N396="Wu-Hao C",317,IF(Atletas!N396="Outro Taijiquan C",318,IF(Atletas!N396="Yang D",319,IF(Atletas!N396="Chen D",320,IF(Atletas!N396="Sun D",321,IF(Atletas!N396="Wu D",322,IF(Atletas!N396="Wu-Hao D",323,IF(Atletas!N396="Outro Taijiquan D",324,IF(Atletas!N396="Yang E",325,IF(Atletas!N396="Chen E",326,IF(Atletas!N396="Sun E",327,IF(Atletas!N396="Wu E",328,IF(Atletas!N396="Wu-Hao E",329,IF(Atletas!N396="Outro Taijiquan E",330,IF(Atletas!N396="Yang F",331,IF(Atletas!N396="Chen F",332,IF(Atletas!N396="Sun F",333,IF(Atletas!N396="Wu F",334,IF(Atletas!N396="Wu-Hao F",335,IF(Atletas!N396="Outro Taijiquan F",336,"")))))))))))))))))))))))))))))))))))))</f>
        <v/>
      </c>
      <c r="BP400" s="52" t="str">
        <f>IF(Atletas!O396="","",IF(Atletas!W396&lt;&gt;"",10000,0)+IF(Atletas!B396="Feminino",1000,IF(Atletas!B396="Masculino",2000,""))+IF(OR(Atletas!O396="Yang 26 A",Atletas!O396="Yang 40 A"),401,IF(OR(Atletas!O396="Chen 25 A",Atletas!O396="Chen 36 A",Atletas!O396="Chen 56 A"),402,IF(Atletas!O396="Sun 73 A",403,IF(Atletas!O396="Wu 45 A",404,IF(Atletas!O396="Wu-Hao 46 A",405,IF(OR(Atletas!O396="Taijiquan 16 A",Atletas!O396="Taijiquan 24 A",Atletas!O396="Taijiquan 32 A",Atletas!O396="Taijiquan 42 A"),406,IF(OR(Atletas!O396="Yang 26 B",Atletas!O396="Yang 40 B"),407,IF(OR(Atletas!O396="Chen 25 B",Atletas!O396="Chen 36 B",Atletas!O396="Chen 56 B"),408,IF(Atletas!O396="Sun 73 B",409,IF(Atletas!O396="Wu 45 B",410,IF(Atletas!O396="Wu-Hao 46 B",411,IF(OR(Atletas!O396="Taijiquan 16 B",Atletas!O396="Taijiquan 24 B",Atletas!O396="Taijiquan 32 B",Atletas!O396="Taijiquan 42 B"),412,IF(OR(Atletas!O396="Yang 26 C",Atletas!O396="Yang 40 C"),413,IF(OR(Atletas!O396="Chen 25 C",Atletas!O396="Chen 36 C",Atletas!O396="Chen 56 C"),414,IF(Atletas!O396="Sun 73 C",415,IF(Atletas!O396="Wu 45 C",416,IF(Atletas!O396="Wu-Hao 46 C",417,IF(OR(Atletas!O396="Taijiquan 16 C",Atletas!O396="Taijiquan 24 C",Atletas!O396="Taijiquan 32 C",Atletas!O396="Taijiquan 42 C"),418,0)))))))))))))))))))</f>
        <v/>
      </c>
      <c r="BQ400" s="52" t="str">
        <f>IF(Atletas!O396="","",IF(Atletas!W396&lt;&gt;"",10000,0)+IF(Atletas!B396="Feminino",1000,IF(Atletas!B396="Masculino",2000,""))+IF(OR(Atletas!O396="Yang 26 D",Atletas!O396="Yang 40 D"),419,IF(OR(Atletas!O396="Chen 25 D",Atletas!O396="Chen 36 D",Atletas!O396="Chen 56 D"),420,IF(Atletas!O396="Sun 73 D",421,IF(Atletas!O396="Wu 45 D",422,IF(Atletas!O396="Wu-Hao 46 D",423,IF(OR(Atletas!O396="Taijiquan 16 D",Atletas!O396="Taijiquan 24 D",Atletas!O396="Taijiquan 32 D",Atletas!O396="Taijiquan 42 D"),424,IF(OR(Atletas!O396="Yang 26 E",Atletas!O396="Yang 40 E"),425,IF(OR(Atletas!O396="Chen 25 E",Atletas!O396="Chen 36 E",Atletas!O396="Chen 56 E"),426,IF(Atletas!O396="Sun 73 E",427,IF(Atletas!O396="Wu 45 E",428,IF(Atletas!O396="Wu-Hao 46 E",429,IF(OR(Atletas!O396="Taijiquan 16 E",Atletas!O396="Taijiquan 24 E",Atletas!O396="Taijiquan 32 E",Atletas!O396="Taijiquan 42 E"),430,IF(OR(Atletas!O396="Yang 26 F",Atletas!O396="Yang 40 F"),431,IF(OR(Atletas!O396="Chen 25 F",Atletas!O396="Chen 36 F",Atletas!O396="Chen 56 F"),432,IF(Atletas!O396="Sun 73 F",433,IF(Atletas!O396="Wu 45 F",434,IF(Atletas!O396="Wu-Hao 46 F",435,IF(OR(Atletas!O396="Taijiquan 16 F",Atletas!O396="Taijiquan 24 F",Atletas!O396="Taijiquan 32 F",Atletas!O396="Taijiquan 42 F"),436,0)))))))))))))))))))</f>
        <v/>
      </c>
      <c r="BR400" s="52" t="str">
        <f>IF(Atletas!P396="","",IF(Atletas!W396&lt;&gt;"",10000,0)+IF(Atletas!B396="Feminino",1000,IF(Atletas!B396="Masculino",2000,""))+IF(Atletas!P396="Xingyiquan A",501,IF(Atletas!P396="Baguazhang A",502,IF(Atletas!P396="Outro Estilo Interno A",503,IF(Atletas!P396="Xingyiquan B",504,IF(Atletas!P396="Baguazhang B",505,IF(Atletas!P396="Outro Estilo Interno B",506,IF(Atletas!P396="Xingyiquan C",507,IF(Atletas!P396="Baguazhang C",508,IF(Atletas!P396="Outro Estilo Interno C",509,IF(Atletas!P396="Xingyiquan D",510,IF(Atletas!P396="Baguazhang D",511,IF(Atletas!P396="Outro Estilo Interno D",512,IF(Atletas!P396="Xingyiquan E",513,IF(Atletas!P396="Baguazhang E",514,IF(Atletas!P396="Outro Estilo Interno E",515,IF(Atletas!P396="Xingyiquan F",516,IF(Atletas!P396="Baguazhang F",517,IF(Atletas!P396="Outro Estilo Interno F",518, "")))))))))))))))))))</f>
        <v/>
      </c>
      <c r="BS400" s="52" t="str">
        <f>IF(Atletas!Q396="","",IF(Atletas!W396&lt;&gt;"",10000,0)+IF(Atletas!B396="Feminino",1000,IF(Atletas!B396="Masculino",2000,""))+IF(Atletas!Q396="Dao A",601,IF(Atletas!Q396="Jian A",602,IF(Atletas!Q396="Bishou A",603,IF(Atletas!Q396="Shan A",604,IF(Atletas!Q396="Outra Arma Curta A",605,IF(Atletas!Q396="Dao B",606,IF(Atletas!Q396="Jian B",607,IF(Atletas!Q396="Bishou B",608,IF(Atletas!Q396="Shan B",609,IF(Atletas!Q396="Outra Arma Curta B",610,IF(Atletas!Q396="Dao C",611,IF(Atletas!Q396="Jian C",612,IF(Atletas!Q396="Bishou C",613,IF(Atletas!Q396="Shan C",614,IF(Atletas!Q396="Outra Arma Curta C",615,IF(Atletas!Q396="Dao D",616,IF(Atletas!Q396="Jian D",617,IF(Atletas!Q396="Bishou D",618,IF(Atletas!Q396="Shan D",619,IF(Atletas!Q396="Outra Arma Curta D",620,IF(Atletas!Q396="Dao E",621,IF(Atletas!Q396="Jian E",622,IF(Atletas!Q396="Bishou E",623,IF(Atletas!Q396="Shan E",624,IF(Atletas!Q396="Outra Arma Curta E",625,IF(Atletas!Q396="Dao F",626,IF(Atletas!Q396="Jian F",627,IF(Atletas!Q396="Bishou F",628,IF(Atletas!Q396="Shan F",629,IF(Atletas!Q396="Outra Arma Curta F",630, "")))))))))))))))))))))))))))))))</f>
        <v/>
      </c>
      <c r="BT400" s="52" t="str">
        <f>IF(Atletas!R396="","",IF(Atletas!W396&lt;&gt;"",10000,0)+IF(Atletas!B396="Feminino",1000,IF(Atletas!B396="Masculino",2000,""))+IF(Atletas!R396="Gun A",701,IF(Atletas!R396="Qiang A",702,IF(Atletas!R396="Pudao / Guandao A",703,IF(Atletas!R396="Outra Arma Longa A",704,IF(Atletas!R396="Gun B",705,IF(Atletas!R396="Qiang B",706,IF(Atletas!R396="Pudao / Guandao B",707,IF(Atletas!R396="Outra Arma Longa B",708,IF(Atletas!R396="Gun C",709,IF(Atletas!R396="Qiang C",710,IF(Atletas!R396="Pudao / Guandao C",711,IF(Atletas!R396="Outra Arma Longa C",712,IF(Atletas!R396="Gun D",713,IF(Atletas!R396="Qiang D",714,IF(Atletas!R396="Pudao / Guandao D",715,IF(Atletas!R396="Outra Arma Longa D",716,IF(Atletas!R396="Gun E",717,IF(Atletas!R396="Qiang E",718,IF(Atletas!R396="Pudao / Guandao E",719,IF(Atletas!R396="Outra Arma Longa E",720,IF(Atletas!R396="Gun F",721,IF(Atletas!R396="Qiang F",722,IF(Atletas!R396="Pudao / Guandao F",723,IF(Atletas!R396="Outra Arma Longa F",724,"")))))))))))))))))))))))))</f>
        <v/>
      </c>
      <c r="BU400" s="52" t="str">
        <f>IF(Atletas!S396="","",IF(Atletas!W396&lt;&gt;"",10000,0)+IF(Atletas!B396="Feminino",1000,IF(Atletas!B396="Masculino",2000,""))+IF(Atletas!S396="Arma Dupla A",801,IF(Atletas!S396="Arma Maleável A",802,IF(Atletas!S396="Arma Dupla B",803,IF(Atletas!S396="Arma Maleável B",804,IF(Atletas!S396="Arma Dupla C",805,IF(Atletas!S396="Arma Maleável C",806,IF(Atletas!S396="Arma Dupla D",807,IF(Atletas!S396="Arma Maleável D",808,IF(Atletas!S396="Arma Dupla E",809,IF(Atletas!S396="Arma Maleável E",810,IF(Atletas!S396="Arma Dupla F",811,IF(Atletas!S396="Arma Maleável F",812, "")))))))))))))</f>
        <v/>
      </c>
      <c r="BV400" s="52" t="str">
        <f>IF(Atletas!T396="","",IF(Atletas!W396&lt;&gt;"",10000,0)+IF(Atletas!B396="Feminino",1000,IF(Atletas!B396="Masculino",2000,""))+IF(Atletas!T396="Taijijian Yang A",901,IF(Atletas!T396="Taijijian Chen A",902,IF(Atletas!T396="Taijijian Sun A",903,IF(Atletas!T396="Taijijian Wu A",904,IF(Atletas!T396="Taijijian Wu-Hao A",905,IF(Atletas!T396="Taijijian 32 A",906,IF(Atletas!T396="Taijijian 42 A",907,IF(Atletas!T396="Taijijian Yang B",908,IF(Atletas!T396="Taijijian Chen B",909,IF(Atletas!T396="Taijijian Sun B",910,IF(Atletas!T396="Taijijian Wu B",911,IF(Atletas!T396="Taijijian Wu-Hao B",912,IF(Atletas!T396="Taijijian 32 B",913,IF(Atletas!T396="Taijijian 42 B",914,IF(Atletas!T396="Taijijian Yang C",915,IF(Atletas!T396="Taijijian Chen C",916,IF(Atletas!T396="Taijijian Sun C",917,IF(Atletas!T396="Taijijian Wu C",918,IF(Atletas!T396="Taijijian Wu-Hao C",919,IF(Atletas!T396="Taijijian 32 C",920,IF(Atletas!T396="Taijijian 42 C",921,IF(Atletas!T396="Taijijian Yang D",922,IF(Atletas!T396="Taijijian Chen D",923,IF(Atletas!T396="Taijijian Sun D",924,IF(Atletas!T396="Taijijian Wu D",925,IF(Atletas!T396="Taijijian Wu-Hao D",926,IF(Atletas!T396="Taijijian 32 D",927,IF(Atletas!T396="Taijijian 42 D",928,IF(Atletas!T396="Taijijian Yang E",929,IF(Atletas!T396="Taijijian Chen E",930,IF(Atletas!T396="Taijijian Sun E",931,IF(Atletas!T396="Taijijian Wu E",932,IF(Atletas!T396="Taijijian Wu-Hao E",933,IF(Atletas!T396="Taijijian 32 E",934,IF(Atletas!T396="Taijijian 42 E",935,IF(Atletas!T396="Taijijian Yang F",936,IF(Atletas!T396="Taijijian Chen F",937,IF(Atletas!T396="Taijijian Sun F",938,IF(Atletas!T396="Taijijian Wu F",939,IF(Atletas!T396="Taijijian Wu-Hao F",940,IF(Atletas!T396="Taijijian 32 F",941,IF(Atletas!T396="Taijijian 42 F",942,"")))))))))))))))))))))))))))))))))))))))))))</f>
        <v/>
      </c>
      <c r="BW400" s="52" t="str">
        <f>IF(Atletas!U396="","",IF(Atletas!W396&lt;&gt;"",10000,0)+IF(Atletas!B396="Feminino",1000,IF(Atletas!B396="Masculino",2000,""))+IF(Atletas!T396="Taijijian 42 F",942,IF(Atletas!U396="Taijidao A",943,IF(Atletas!U396="Taijishan A",944,IF(Atletas!U396="Taijiqiang A",945,IF(Atletas!U396="Taijidao B",946,IF(Atletas!U396="Taijishan B",947,IF(Atletas!U396="Taijiqiang B",948,IF(Atletas!U396="Taijidao C",949,IF(Atletas!U396="Taijishan C",950,IF(Atletas!U396="Taijiqiang C",951,IF(Atletas!U396="Taijidao D",952,IF(Atletas!U396="Taijishan D",953,IF(Atletas!U396="Taijiqiang D",954,IF(Atletas!U396="Taijidao E",955,IF(Atletas!U396="Taijishan E",956,IF(Atletas!U396="Taijiqiang E",957,IF(Atletas!U396="Taijidao F",958,IF(Atletas!U396="Taijishan F",959,IF(Atletas!U396="Taijiqiang F",960))))))))))))))))))))</f>
        <v/>
      </c>
      <c r="CB400" s="64" t="str">
        <f>IF(CC400&lt;&gt;"","Taijidao D","")</f>
        <v/>
      </c>
      <c r="CC400" s="64" t="str">
        <f>IF(COUNTIF(BK:BW,11952)&gt;0,COUNTIF(BK:BW,11952),"")</f>
        <v/>
      </c>
      <c r="CD400" s="64" t="str">
        <f>IF(CE400&lt;&gt;"","Taijidao D","")</f>
        <v/>
      </c>
      <c r="CE400" s="64" t="str">
        <f>IF(COUNTIF(BK:BW,12952)&gt;0,COUNTIF(BK:BW,12952),"")</f>
        <v/>
      </c>
      <c r="CF400" s="52" t="str">
        <f xml:space="preserve"> IF(Atletas!V396="","",IF(Atletas!V396="Duilian de Mãos AB - Equipe 1",1,IF(Atletas!V396="Duilian de Mãos AB - Equipe 2",2,IF(Atletas!V396="Duilian de Armas AB - Equipe 1",3,IF(Atletas!V396="Duilian de Armas AB - Equipe 2",4,IF(Atletas!V396="Duilian de Tuishou - Equipe 1",5,IF(Atletas!V396="Duilian de Tuishou - Equipe 2",6,IF(Atletas!V396="Grupo Externo AB - Equipe 1",7,IF(Atletas!V396="Grupo Externo AB - Equipe 2",8,IF(Atletas!V396="Grupo Interno AB - Equipe 1",9,IF(Atletas!V396="Grupo Interno AB - Equipe 2",10,IF(Atletas!V396="Duilian de Mãos CD - Equipe 1",11,IF(Atletas!V396="Duilian de Mãos CD - Equipe 2",12,IF(Atletas!V396="Duilian de Armas CD - Equipe 1",13,IF(Atletas!V396="Duilian de Armas CD - Equipe 2",14,IF(Atletas!V396="Duilian de Tuishou - Equipe 1",15,IF(Atletas!V396="Duilian de Tuishou - Equipe 2",16,IF(Atletas!V396="Grupo Externo CDEF - Equipe 1",17,IF(Atletas!V396="Grupo Externo CDEF - Equipe 2",18,IF(Atletas!V396="Grupo Interno CDEF - Equipe 1",19,IF(Atletas!V396="Grupo Interno CDEF - Equipe 2",20,IF(Atletas!V396="Duilian de Mãos EF - Equipe 1",21,IF(Atletas!V396="Duilian de Mãos EF - Equipe 2",22,IF(Atletas!V396="Duilian de Armas EF - Equipe 1",23,IF(Atletas!V396="Duilian de Armas EF - Equipe 2",24,IF(Atletas!V396="Duilian de Tuishou - Equipe 1",25,IF(Atletas!V396="Duilian de Tuishou - Equipe 2",26,"")))))))))))))))))))))))))))</f>
        <v/>
      </c>
    </row>
    <row r="401" spans="36:84">
      <c r="AJ401" s="46" t="str">
        <f>IF(Atletas!D397="","",IF(Atletas!B397="Feminino",100,IF(Atletas!B397="Masculino",200,""))+(IF(Atletas!D397="Infantil 39kg",1,IF(Atletas!D397="Infantil 42kg",2,IF(Atletas!D397="Infantil 45kg",3,IF(Atletas!D397="Infantil 48kg",4,IF(Atletas!D397="Infantil 52kg",5,IF(Atletas!D397="Infantil 56kg",6,IF(Atletas!D397="Infantil 60kg",7,IF(Atletas!D397="Juvenil 48kg",8,IF(Atletas!D397="Juvenil 52kg",9,IF(Atletas!D397="Juvenil 56kg",10,IF(Atletas!D397="Juvenil 60kg",11,IF(Atletas!D397="Juvenil 65kg",12,IF(Atletas!D397="Juvenil 70kg",13,IF(Atletas!D397="Juvenil 75kg",14,IF(Atletas!D397="Juvenil 80kg",15,IF(Atletas!D397="Adulto 48kg",16,IF(Atletas!D397="Adulto 52kg",17,IF(Atletas!D397="Adulto 56kg",18,IF(Atletas!D397="Adulto 60kg",19,IF(Atletas!D397="Adulto 65kg",20,IF(Atletas!D397="Adulto 70kg",21,IF(Atletas!D397="Adulto 75kg",22,IF(Atletas!D397="Adulto 80kg",23,IF(Atletas!D397="Adulto 85kg",24,IF(Atletas!D397="Adulto 90kg",25,IF(Atletas!D397="Adulto +90kg",26,""))))))))))))))))))))))))))))</f>
        <v/>
      </c>
      <c r="AO401" s="10" t="str">
        <f>IF(Atletas!E397="","",IF(Atletas!B397="Feminino",100,IF(Atletas!B397="Masculino",200,""))+(IF(Atletas!E397="Juvenil 44kg",1,IF(Atletas!E397="Juvenil 48kg",2,IF(Atletas!E397="Juvenil 52kg",3,IF(Atletas!E397="Juvenil 56kg",4,IF(Atletas!E397="Juvenil 60kg",5,IF(Atletas!E397="Juvenil 65kg",6,IF(Atletas!E397="Juvenil 70kg",7,IF(Atletas!E397="Juvenil 75kg",8,IF(Atletas!E397="Juvenil 82kg",9,IF(Atletas!E397="Juvenil 90kg",10,IF(Atletas!E397="Juvenil 100kg",11,IF(Atletas!E397="Adulto 48kg",12,IF(Atletas!E397="Adulto 52kg",13,IF(Atletas!E397="Adulto 56kg",14,IF(Atletas!E397="Adulto 60kg",15,IF(Atletas!E397="Adulto 65kg",16,IF(Atletas!E397="Adulto 70kg",17,IF(Atletas!E397="Adulto 75kg",18,IF(Atletas!E397="Adulto 82kg",19,IF(Atletas!E397="Adulto 90kg",20,IF(Atletas!E397="Adulto 100kg",21,IF(Atletas!E397="Adulto +100kg",22,""))))))))))))))))))))))))</f>
        <v/>
      </c>
      <c r="AT401" s="10" t="str">
        <f>IF(Atletas!F397="","",IF(Atletas!B397="Feminino",100,IF(Atletas!B397="Masculino",200,""))+(IF(Atletas!F397="Adulto 48kg",1,IF(Atletas!F397="Adulto 56kg",2,IF(Atletas!F397="Adulto 65kg",3,IF(Atletas!F397="Adulto 75kg",4,IF(Atletas!F397="Adulto +75kg",5,IF(Atletas!F397="Adulto 52kg",6,IF(Atletas!F397="Adulto 60kg",7,IF(Atletas!F397="Adulto 70kg",8,IF(Atletas!F397="Adulto 80kg",9,IF(Atletas!F397="Adulto 90kg",10,IF(Atletas!F397="Adulto +90kg",11,"")))))))))))))</f>
        <v/>
      </c>
      <c r="AY401" s="46" t="str">
        <f>IF(Atletas!G397="","",IF(Atletas!B397="Feminino",100,IF(Atletas!B397="Masculino",200,""))+(IF(Atletas!G397="Changquan Mirim",1,IF(Atletas!G397="Nanquan Mirim",2,IF(Atletas!G397="Taijiquan Mirim",3,IF(Atletas!G397="Changquan Grupo C",4,IF(Atletas!G397="Nanquan Grupo C",5,IF(Atletas!G397="Taijiquan Grupo C",6,IF(Atletas!G397="Changquan Grupo B",7,IF(Atletas!G397="Nanquan Grupo B",8,IF(Atletas!G397="Taijiquan Grupo B",9,IF(Atletas!G397="Changquan Grupo A",10,IF(Atletas!G397="Nanquan Grupo A",11,IF(Atletas!G397="Taijiquan Grupo A",12,IF(Atletas!G397="Changquan Opcional",13,IF(Atletas!G397="Nanquan Opcional",14,IF(Atletas!G397="Taijiquan Opcional",15,IF(Atletas!G397="Changquan Adulto",16,IF(Atletas!G397="Nanquan Adulto",17,IF(Atletas!G397="Taijiquan Adulto",18,""))))))))))))))))))))</f>
        <v/>
      </c>
      <c r="AZ401" s="46" t="str">
        <f>IF(Atletas!H397="","",IF(Atletas!B397="Feminino",100,IF(Atletas!B397="Masculino",200,""))+(IF(Atletas!H397="Daoshu Mirim",19,IF(Atletas!H397="Jianshu Mirim",20,IF(Atletas!H397="Nandao Mirim",21,IF(Atletas!H397="Taijijian Mirim",22,IF(Atletas!H397="Daoshu Grupo C",23,IF(Atletas!H397="Jianshu Grupo C",24,IF(Atletas!H397="Nandao Grupo C",25,IF(Atletas!H397="Taijijian Grupo C",26,IF(Atletas!H397="Daoshu Grupo B",27,IF(Atletas!H397="Jianshu Grupo B",28,IF(Atletas!H397="Nandao Grupo B",29,IF(Atletas!H397="Taijijian Grupo B",30,IF(Atletas!H397="Daoshu Grupo A",31,IF(Atletas!H397="Jianshu Grupo A",32,IF(Atletas!H397="Nandao Grupo A",33,IF(Atletas!H397="Taijijian Grupo A",34,IF(Atletas!H397="Daoshu Opcional",35,IF(Atletas!H397="Jianshu Opcional",36,IF(Atletas!H397="Nandao Opcional",37,IF(Atletas!H397="Taijijian Opcional",38,IF(Atletas!H397="Daoshu Adulto",39,IF(Atletas!H397="Jianshu Adulto",40,IF(Atletas!H397="Nandao Adulto",41,IF(Atletas!H397="Taijijian Adulto",42,""))))))))))))))))))))))))))</f>
        <v/>
      </c>
      <c r="BA401" s="46" t="str">
        <f>IF(Atletas!I397="","",IF(Atletas!B397="Feminino",100,IF(Atletas!B397="Masculino",200,""))+(IF(Atletas!I397="Gunshu Mirim",43,IF(Atletas!I397="Qiangshu Mirim",44,IF(Atletas!I397="Nangun Mirim",45,IF(Atletas!I397="Gunshu Grupo C",46,IF(Atletas!I397="Qiangshu Grupo C",47,IF(Atletas!I397="Nangun Grupo C",48,IF(Atletas!I397="Gunshu Grupo B",49,IF(Atletas!I397="Qiangshu Grupo B",50,IF(Atletas!I397="Nangun Grupo B",51,IF(Atletas!I397="Gunshu Grupo A",52,IF(Atletas!I397="Qiangshu Grupo A",53,IF(Atletas!I397="Nangun Grupo A",54,IF(Atletas!I397="Gunshu Opcional",55,IF(Atletas!I397="Qiangshu Opcional",56,IF(Atletas!I397="Nangun Opcional",57,IF(Atletas!I397="Gunshu Adulto",58,IF(Atletas!I397="Qiangshu Adulto",59,IF(Atletas!I397="Nangun Adulto",60,""))))))))))))))))))))</f>
        <v/>
      </c>
      <c r="BF401" s="52" t="str">
        <f>IF(Atletas!J397="","",IF(Atletas!B397="Feminino",100,IF(Atletas!B397="Masculino",200,""))+(IF(Atletas!J397="Equipe 1 Grupo B",1,IF(Atletas!J397="Equipe 2 Grupo B",2,IF(Atletas!J397="Equipe 1 Grupo A",3,IF(Atletas!J397="Equipe 2 Grupo A",4,IF(Atletas!J397="Equipe 1 Adulto",5,IF(Atletas!J397="Equipe 2 Adulto",6,""))))))))</f>
        <v/>
      </c>
      <c r="BK401" s="52" t="str">
        <f>IF(Atletas!K397="","",IF(Atletas!W397&lt;&gt;"",10000,0)+(IF(Atletas!B397="Feminino",1000,IF(Atletas!B397="Masculino",2000,""))+IF(Atletas!K397="Choylayfut A",1,IF(Atletas!K397="Hunggar A",2,IF(Atletas!K397="Wuzuquan A",3,IF(Atletas!K397="Wingchun A",4,IF(Atletas!K397="Outra Mão de Sul A",5,IF(Atletas!K397="Choylayfut B",6,IF(Atletas!K397="Hunggar B",7,IF(Atletas!K397="Wuzuquan B",8,IF(Atletas!K397="Wingchun B",9,IF(Atletas!K397="Outra Mão de Sul B",10,IF(Atletas!K397="Choylayfut C",11,IF(Atletas!K397="Hunggar C",12,IF(Atletas!K397="Wuzuquan C",13,IF(Atletas!K397="Wingchun C",14,IF(Atletas!K397="Outra Mão de Sul C",15,IF(Atletas!K397="Choylayfut D",16,IF(Atletas!K397="Hunggar D",17,IF(Atletas!K397="Wuzuquan D",18,IF(Atletas!K397="Wingchun D",19,IF(Atletas!K397="Outra Mão de Sul D",20,IF(Atletas!K397="Choylayfut E",21,IF(Atletas!K397="Hunggar E",22,IF(Atletas!K397="Wuzuquan E",23,IF(Atletas!K397="Wingchun E",24,IF(Atletas!K397="Outra Mão de Sul E",25,IF(Atletas!K397="Choylayfut F",26,IF(Atletas!K397="Hunggar F",27,IF(Atletas!K397="Wuzuquan F",28,IF(Atletas!K397="Wingchun F",29,IF(Atletas!K397="Outra Mão de Sul F",30,""))))))))))))))))))))))))))))))))</f>
        <v/>
      </c>
      <c r="BL401" s="52" t="str">
        <f>IF(Atletas!L397="","",IF(Atletas!W397&lt;&gt;"",10000,0)+(IF(Atletas!B397="Feminino",1000,IF(Atletas!B397="Masculino",2000,""))+(IF(Atletas!L397="Chaquan A",101,IF(Atletas!L397="Emeiquan A",102,IF(Atletas!L397="Fanziquan A",103,IF(Atletas!L397="Huaquan A",104,IF(Atletas!L397="Hongquan A",105,IF(Atletas!L397="Paochui A",106,IF(Atletas!L397="Piguaquan A",107,IF(Atletas!L397="Shaolinquan A",108,IF(Atletas!L397="Tanglangquan A",109,IF(Atletas!L397="Yinzhaophai A",110,IF(Atletas!L397="Tongbeiquan A",111,IF(Atletas!L397="Wudangquan A",112,IF(Atletas!L397="Outros Estilos A",113,IF(Atletas!L397="Chaquan B",114,IF(Atletas!L397="Emeiquan B",115,IF(Atletas!L397="Fanziquan B",116,IF(Atletas!L397="Huaquan B",117,IF(Atletas!L397="Hongquan B",118,IF(Atletas!L397="Paochui B",119,IF(Atletas!L397="Piguaquan B",120,IF(Atletas!L397="Shaolinquan B",121,IF(Atletas!L397="Tanglangquan B",122,IF(Atletas!L397="Yinzhaophai B",123,IF(Atletas!L397="Tongbeiquan B",124,IF(Atletas!L397="Wudangquan B",125,IF(Atletas!L397="Outros Estilos B",126,IF(Atletas!L397="Chaquan C",127,IF(Atletas!L397="Emeiquan C",128,IF(Atletas!L397="Fanziquan C",129,IF(Atletas!L397="Huaquan C",130,IF(Atletas!L397="Hongquan C",131,IF(Atletas!L397="Paochui C",132,IF(Atletas!L397="Piguaquan C",133,IF(Atletas!L397="Shaolinquan C",134,IF(Atletas!L397="Tanglangquan C",135,IF(Atletas!L397="Yinzhaophai C",136,IF(Atletas!L397="Tongbeiquan C",137,IF(Atletas!L397="Wudangquan C",138,IF(Atletas!L397="Outros Estilos C",139,0))))))))))))))))))))))))))))))))))))))))))</f>
        <v/>
      </c>
      <c r="BM401" s="52" t="str">
        <f>IF(Atletas!L397="","",IF(Atletas!W397&lt;&gt;"",10000,0)+(IF(Atletas!B397="Feminino",1000,IF(Atletas!B397="Masculino",2000,""))+(IF(Atletas!L397="Chaquan D",140,IF(Atletas!L397="Emeiquan D",141,IF(Atletas!L397="Fanziquan D",142,IF(Atletas!L397="Huaquan D",143,IF(Atletas!L397="Hongquan D",144,IF(Atletas!L397="Paochui D",145,IF(Atletas!L397="Piguaquan D",146,IF(Atletas!L397="Shaolinquan D",147,IF(Atletas!L397="Tanglangquan D",148,IF(Atletas!L397="Yinzhaophai D",149,IF(Atletas!L397="Tongbeiquan D",150,IF(Atletas!L397="Wudangquan D",151,IF(Atletas!L397="Outros Estilos D",152,IF(Atletas!L397="Chaquan E",153,IF(Atletas!L397="Emeiquan E",154,IF(Atletas!L397="Fanziquan E",155,IF(Atletas!L397="Huaquan E",156,IF(Atletas!L397="Hongquan E",157,IF(Atletas!L397="Paochui E",158,IF(Atletas!L397="Piguaquan E",159,IF(Atletas!L397="Shaolinquan E",160,IF(Atletas!L397="Tanglangquan E",161,IF(Atletas!L397="Yinzhaophai E",162,IF(Atletas!L397="Tongbeiquan E",163,IF(Atletas!L397="Wudangquan E",164,IF(Atletas!L397="Outros Estilos E",165,IF(Atletas!L397="Chaquan F",166,IF(Atletas!L397="Emeiquan F",167,IF(Atletas!L397="Fanziquan F",168,IF(Atletas!L397="Huaquan F",169,IF(Atletas!L397="Hongquan F",170,IF(Atletas!L397="Paochui F",171,IF(Atletas!L397="Piguaquan F",172,IF(Atletas!L397="Shaolinquan F",173,IF(Atletas!L397="Tanglangquan F",174,IF(Atletas!L397="Yinzhaophai F",175,IF(Atletas!L397="Tongbeiquan F",176,IF(Atletas!L397="Wudangquan F",177,IF(Atletas!L397="Outros Estilos F",178,0))))))))))))))))))))))))))))))))))))))))))</f>
        <v/>
      </c>
      <c r="BN401" s="52" t="str">
        <f>IF(Atletas!M397="","",IF(Atletas!W397&lt;&gt;"",10000,0)+(IF(Atletas!B397="Feminino",1000,IF(Atletas!B397="Masculino",2000,""))+(IF(Atletas!M397="Ditangquan A",201,IF(Atletas!M397="Houquan A",202,IF(Atletas!M397="Zuiquan A",203,IF(Atletas!M397="Ditangquan B",204,IF(Atletas!M397="Houquan B",205,IF(Atletas!M397="Zuiquan B",206,IF(Atletas!M397="Ditangquan C",207,IF(Atletas!M397="Houquan C",208,IF(Atletas!M397="Zuiquan C",209,IF(Atletas!M397="Ditangquan D",210,IF(Atletas!M397="Houquan D",211,IF(Atletas!M397="Zuiquan D",212,IF(Atletas!M397="Ditangquan E",213,IF(Atletas!M397="Houquan E",214,IF(Atletas!M397="Zuiquan E",215,IF(Atletas!M397="Ditangquan F",216,IF(Atletas!M397="Houquan F",217,IF(Atletas!M397="Zuiquan F",218,"")))))))))))))))))))))</f>
        <v/>
      </c>
      <c r="BO401" s="52" t="str">
        <f>IF(Atletas!N397="","",IF(Atletas!W397&lt;&gt;"",10000,0)+IF(Atletas!B397="Feminino",1000,IF(Atletas!B397="Masculino",2000,""))+IF(Atletas!N397="Yang A",301,IF(Atletas!N397="Chen A",30,IF(Atletas!N397="Sun A",303,IF(Atletas!N397="Wu A",304,IF(Atletas!N397="Wu-Hao A",305,IF(Atletas!N397="Outro Taijiquan A",306,IF(Atletas!N397="Yang B",307,IF(Atletas!N397="Chen B",308,IF(Atletas!N397="Sun B",309,IF(Atletas!N397="Wu B",310,IF(Atletas!N397="Wu-Hao B",311,IF(Atletas!N397="Outro Taijiquan B",312,IF(Atletas!N397="Yang C",313,IF(Atletas!N397="Chen C",314,IF(Atletas!N397="Sun C",315,IF(Atletas!N397="Wu C",316,IF(Atletas!N397="Wu-Hao C",317,IF(Atletas!N397="Outro Taijiquan C",318,IF(Atletas!N397="Yang D",319,IF(Atletas!N397="Chen D",320,IF(Atletas!N397="Sun D",321,IF(Atletas!N397="Wu D",322,IF(Atletas!N397="Wu-Hao D",323,IF(Atletas!N397="Outro Taijiquan D",324,IF(Atletas!N397="Yang E",325,IF(Atletas!N397="Chen E",326,IF(Atletas!N397="Sun E",327,IF(Atletas!N397="Wu E",328,IF(Atletas!N397="Wu-Hao E",329,IF(Atletas!N397="Outro Taijiquan E",330,IF(Atletas!N397="Yang F",331,IF(Atletas!N397="Chen F",332,IF(Atletas!N397="Sun F",333,IF(Atletas!N397="Wu F",334,IF(Atletas!N397="Wu-Hao F",335,IF(Atletas!N397="Outro Taijiquan F",336,"")))))))))))))))))))))))))))))))))))))</f>
        <v/>
      </c>
      <c r="BP401" s="52" t="str">
        <f>IF(Atletas!O397="","",IF(Atletas!W397&lt;&gt;"",10000,0)+IF(Atletas!B397="Feminino",1000,IF(Atletas!B397="Masculino",2000,""))+IF(OR(Atletas!O397="Yang 26 A",Atletas!O397="Yang 40 A"),401,IF(OR(Atletas!O397="Chen 25 A",Atletas!O397="Chen 36 A",Atletas!O397="Chen 56 A"),402,IF(Atletas!O397="Sun 73 A",403,IF(Atletas!O397="Wu 45 A",404,IF(Atletas!O397="Wu-Hao 46 A",405,IF(OR(Atletas!O397="Taijiquan 16 A",Atletas!O397="Taijiquan 24 A",Atletas!O397="Taijiquan 32 A",Atletas!O397="Taijiquan 42 A"),406,IF(OR(Atletas!O397="Yang 26 B",Atletas!O397="Yang 40 B"),407,IF(OR(Atletas!O397="Chen 25 B",Atletas!O397="Chen 36 B",Atletas!O397="Chen 56 B"),408,IF(Atletas!O397="Sun 73 B",409,IF(Atletas!O397="Wu 45 B",410,IF(Atletas!O397="Wu-Hao 46 B",411,IF(OR(Atletas!O397="Taijiquan 16 B",Atletas!O397="Taijiquan 24 B",Atletas!O397="Taijiquan 32 B",Atletas!O397="Taijiquan 42 B"),412,IF(OR(Atletas!O397="Yang 26 C",Atletas!O397="Yang 40 C"),413,IF(OR(Atletas!O397="Chen 25 C",Atletas!O397="Chen 36 C",Atletas!O397="Chen 56 C"),414,IF(Atletas!O397="Sun 73 C",415,IF(Atletas!O397="Wu 45 C",416,IF(Atletas!O397="Wu-Hao 46 C",417,IF(OR(Atletas!O397="Taijiquan 16 C",Atletas!O397="Taijiquan 24 C",Atletas!O397="Taijiquan 32 C",Atletas!O397="Taijiquan 42 C"),418,0)))))))))))))))))))</f>
        <v/>
      </c>
      <c r="BQ401" s="52" t="str">
        <f>IF(Atletas!O397="","",IF(Atletas!W397&lt;&gt;"",10000,0)+IF(Atletas!B397="Feminino",1000,IF(Atletas!B397="Masculino",2000,""))+IF(OR(Atletas!O397="Yang 26 D",Atletas!O397="Yang 40 D"),419,IF(OR(Atletas!O397="Chen 25 D",Atletas!O397="Chen 36 D",Atletas!O397="Chen 56 D"),420,IF(Atletas!O397="Sun 73 D",421,IF(Atletas!O397="Wu 45 D",422,IF(Atletas!O397="Wu-Hao 46 D",423,IF(OR(Atletas!O397="Taijiquan 16 D",Atletas!O397="Taijiquan 24 D",Atletas!O397="Taijiquan 32 D",Atletas!O397="Taijiquan 42 D"),424,IF(OR(Atletas!O397="Yang 26 E",Atletas!O397="Yang 40 E"),425,IF(OR(Atletas!O397="Chen 25 E",Atletas!O397="Chen 36 E",Atletas!O397="Chen 56 E"),426,IF(Atletas!O397="Sun 73 E",427,IF(Atletas!O397="Wu 45 E",428,IF(Atletas!O397="Wu-Hao 46 E",429,IF(OR(Atletas!O397="Taijiquan 16 E",Atletas!O397="Taijiquan 24 E",Atletas!O397="Taijiquan 32 E",Atletas!O397="Taijiquan 42 E"),430,IF(OR(Atletas!O397="Yang 26 F",Atletas!O397="Yang 40 F"),431,IF(OR(Atletas!O397="Chen 25 F",Atletas!O397="Chen 36 F",Atletas!O397="Chen 56 F"),432,IF(Atletas!O397="Sun 73 F",433,IF(Atletas!O397="Wu 45 F",434,IF(Atletas!O397="Wu-Hao 46 F",435,IF(OR(Atletas!O397="Taijiquan 16 F",Atletas!O397="Taijiquan 24 F",Atletas!O397="Taijiquan 32 F",Atletas!O397="Taijiquan 42 F"),436,0)))))))))))))))))))</f>
        <v/>
      </c>
      <c r="BR401" s="52" t="str">
        <f>IF(Atletas!P397="","",IF(Atletas!W397&lt;&gt;"",10000,0)+IF(Atletas!B397="Feminino",1000,IF(Atletas!B397="Masculino",2000,""))+IF(Atletas!P397="Xingyiquan A",501,IF(Atletas!P397="Baguazhang A",502,IF(Atletas!P397="Outro Estilo Interno A",503,IF(Atletas!P397="Xingyiquan B",504,IF(Atletas!P397="Baguazhang B",505,IF(Atletas!P397="Outro Estilo Interno B",506,IF(Atletas!P397="Xingyiquan C",507,IF(Atletas!P397="Baguazhang C",508,IF(Atletas!P397="Outro Estilo Interno C",509,IF(Atletas!P397="Xingyiquan D",510,IF(Atletas!P397="Baguazhang D",511,IF(Atletas!P397="Outro Estilo Interno D",512,IF(Atletas!P397="Xingyiquan E",513,IF(Atletas!P397="Baguazhang E",514,IF(Atletas!P397="Outro Estilo Interno E",515,IF(Atletas!P397="Xingyiquan F",516,IF(Atletas!P397="Baguazhang F",517,IF(Atletas!P397="Outro Estilo Interno F",518, "")))))))))))))))))))</f>
        <v/>
      </c>
      <c r="BS401" s="52" t="str">
        <f>IF(Atletas!Q397="","",IF(Atletas!W397&lt;&gt;"",10000,0)+IF(Atletas!B397="Feminino",1000,IF(Atletas!B397="Masculino",2000,""))+IF(Atletas!Q397="Dao A",601,IF(Atletas!Q397="Jian A",602,IF(Atletas!Q397="Bishou A",603,IF(Atletas!Q397="Shan A",604,IF(Atletas!Q397="Outra Arma Curta A",605,IF(Atletas!Q397="Dao B",606,IF(Atletas!Q397="Jian B",607,IF(Atletas!Q397="Bishou B",608,IF(Atletas!Q397="Shan B",609,IF(Atletas!Q397="Outra Arma Curta B",610,IF(Atletas!Q397="Dao C",611,IF(Atletas!Q397="Jian C",612,IF(Atletas!Q397="Bishou C",613,IF(Atletas!Q397="Shan C",614,IF(Atletas!Q397="Outra Arma Curta C",615,IF(Atletas!Q397="Dao D",616,IF(Atletas!Q397="Jian D",617,IF(Atletas!Q397="Bishou D",618,IF(Atletas!Q397="Shan D",619,IF(Atletas!Q397="Outra Arma Curta D",620,IF(Atletas!Q397="Dao E",621,IF(Atletas!Q397="Jian E",622,IF(Atletas!Q397="Bishou E",623,IF(Atletas!Q397="Shan E",624,IF(Atletas!Q397="Outra Arma Curta E",625,IF(Atletas!Q397="Dao F",626,IF(Atletas!Q397="Jian F",627,IF(Atletas!Q397="Bishou F",628,IF(Atletas!Q397="Shan F",629,IF(Atletas!Q397="Outra Arma Curta F",630, "")))))))))))))))))))))))))))))))</f>
        <v/>
      </c>
      <c r="BT401" s="52" t="str">
        <f>IF(Atletas!R397="","",IF(Atletas!W397&lt;&gt;"",10000,0)+IF(Atletas!B397="Feminino",1000,IF(Atletas!B397="Masculino",2000,""))+IF(Atletas!R397="Gun A",701,IF(Atletas!R397="Qiang A",702,IF(Atletas!R397="Pudao / Guandao A",703,IF(Atletas!R397="Outra Arma Longa A",704,IF(Atletas!R397="Gun B",705,IF(Atletas!R397="Qiang B",706,IF(Atletas!R397="Pudao / Guandao B",707,IF(Atletas!R397="Outra Arma Longa B",708,IF(Atletas!R397="Gun C",709,IF(Atletas!R397="Qiang C",710,IF(Atletas!R397="Pudao / Guandao C",711,IF(Atletas!R397="Outra Arma Longa C",712,IF(Atletas!R397="Gun D",713,IF(Atletas!R397="Qiang D",714,IF(Atletas!R397="Pudao / Guandao D",715,IF(Atletas!R397="Outra Arma Longa D",716,IF(Atletas!R397="Gun E",717,IF(Atletas!R397="Qiang E",718,IF(Atletas!R397="Pudao / Guandao E",719,IF(Atletas!R397="Outra Arma Longa E",720,IF(Atletas!R397="Gun F",721,IF(Atletas!R397="Qiang F",722,IF(Atletas!R397="Pudao / Guandao F",723,IF(Atletas!R397="Outra Arma Longa F",724,"")))))))))))))))))))))))))</f>
        <v/>
      </c>
      <c r="BU401" s="52" t="str">
        <f>IF(Atletas!S397="","",IF(Atletas!W397&lt;&gt;"",10000,0)+IF(Atletas!B397="Feminino",1000,IF(Atletas!B397="Masculino",2000,""))+IF(Atletas!S397="Arma Dupla A",801,IF(Atletas!S397="Arma Maleável A",802,IF(Atletas!S397="Arma Dupla B",803,IF(Atletas!S397="Arma Maleável B",804,IF(Atletas!S397="Arma Dupla C",805,IF(Atletas!S397="Arma Maleável C",806,IF(Atletas!S397="Arma Dupla D",807,IF(Atletas!S397="Arma Maleável D",808,IF(Atletas!S397="Arma Dupla E",809,IF(Atletas!S397="Arma Maleável E",810,IF(Atletas!S397="Arma Dupla F",811,IF(Atletas!S397="Arma Maleável F",812, "")))))))))))))</f>
        <v/>
      </c>
      <c r="BV401" s="52" t="str">
        <f>IF(Atletas!T397="","",IF(Atletas!W397&lt;&gt;"",10000,0)+IF(Atletas!B397="Feminino",1000,IF(Atletas!B397="Masculino",2000,""))+IF(Atletas!T397="Taijijian Yang A",901,IF(Atletas!T397="Taijijian Chen A",902,IF(Atletas!T397="Taijijian Sun A",903,IF(Atletas!T397="Taijijian Wu A",904,IF(Atletas!T397="Taijijian Wu-Hao A",905,IF(Atletas!T397="Taijijian 32 A",906,IF(Atletas!T397="Taijijian 42 A",907,IF(Atletas!T397="Taijijian Yang B",908,IF(Atletas!T397="Taijijian Chen B",909,IF(Atletas!T397="Taijijian Sun B",910,IF(Atletas!T397="Taijijian Wu B",911,IF(Atletas!T397="Taijijian Wu-Hao B",912,IF(Atletas!T397="Taijijian 32 B",913,IF(Atletas!T397="Taijijian 42 B",914,IF(Atletas!T397="Taijijian Yang C",915,IF(Atletas!T397="Taijijian Chen C",916,IF(Atletas!T397="Taijijian Sun C",917,IF(Atletas!T397="Taijijian Wu C",918,IF(Atletas!T397="Taijijian Wu-Hao C",919,IF(Atletas!T397="Taijijian 32 C",920,IF(Atletas!T397="Taijijian 42 C",921,IF(Atletas!T397="Taijijian Yang D",922,IF(Atletas!T397="Taijijian Chen D",923,IF(Atletas!T397="Taijijian Sun D",924,IF(Atletas!T397="Taijijian Wu D",925,IF(Atletas!T397="Taijijian Wu-Hao D",926,IF(Atletas!T397="Taijijian 32 D",927,IF(Atletas!T397="Taijijian 42 D",928,IF(Atletas!T397="Taijijian Yang E",929,IF(Atletas!T397="Taijijian Chen E",930,IF(Atletas!T397="Taijijian Sun E",931,IF(Atletas!T397="Taijijian Wu E",932,IF(Atletas!T397="Taijijian Wu-Hao E",933,IF(Atletas!T397="Taijijian 32 E",934,IF(Atletas!T397="Taijijian 42 E",935,IF(Atletas!T397="Taijijian Yang F",936,IF(Atletas!T397="Taijijian Chen F",937,IF(Atletas!T397="Taijijian Sun F",938,IF(Atletas!T397="Taijijian Wu F",939,IF(Atletas!T397="Taijijian Wu-Hao F",940,IF(Atletas!T397="Taijijian 32 F",941,IF(Atletas!T397="Taijijian 42 F",942,"")))))))))))))))))))))))))))))))))))))))))))</f>
        <v/>
      </c>
      <c r="BW401" s="52" t="str">
        <f>IF(Atletas!U397="","",IF(Atletas!W397&lt;&gt;"",10000,0)+IF(Atletas!B397="Feminino",1000,IF(Atletas!B397="Masculino",2000,""))+IF(Atletas!T397="Taijijian 42 F",942,IF(Atletas!U397="Taijidao A",943,IF(Atletas!U397="Taijishan A",944,IF(Atletas!U397="Taijiqiang A",945,IF(Atletas!U397="Taijidao B",946,IF(Atletas!U397="Taijishan B",947,IF(Atletas!U397="Taijiqiang B",948,IF(Atletas!U397="Taijidao C",949,IF(Atletas!U397="Taijishan C",950,IF(Atletas!U397="Taijiqiang C",951,IF(Atletas!U397="Taijidao D",952,IF(Atletas!U397="Taijishan D",953,IF(Atletas!U397="Taijiqiang D",954,IF(Atletas!U397="Taijidao E",955,IF(Atletas!U397="Taijishan E",956,IF(Atletas!U397="Taijiqiang E",957,IF(Atletas!U397="Taijidao F",958,IF(Atletas!U397="Taijishan F",959,IF(Atletas!U397="Taijiqiang F",960))))))))))))))))))))</f>
        <v/>
      </c>
      <c r="CB401" s="64" t="str">
        <f>IF(CC401&lt;&gt;"","Taijishan D","")</f>
        <v/>
      </c>
      <c r="CC401" s="64" t="str">
        <f>IF(COUNTIF(BK:BW,11953)&gt;0,COUNTIF(BK:BW,11953),"")</f>
        <v/>
      </c>
      <c r="CD401" s="64" t="str">
        <f>IF(CE401&lt;&gt;"","Taijishan D","")</f>
        <v/>
      </c>
      <c r="CE401" s="64" t="str">
        <f>IF(COUNTIF(BK:BW,12953)&gt;0,COUNTIF(BK:BW,12953),"")</f>
        <v/>
      </c>
      <c r="CF401" s="52" t="str">
        <f xml:space="preserve"> IF(Atletas!V397="","",IF(Atletas!V397="Duilian de Mãos AB - Equipe 1",1,IF(Atletas!V397="Duilian de Mãos AB - Equipe 2",2,IF(Atletas!V397="Duilian de Armas AB - Equipe 1",3,IF(Atletas!V397="Duilian de Armas AB - Equipe 2",4,IF(Atletas!V397="Duilian de Tuishou - Equipe 1",5,IF(Atletas!V397="Duilian de Tuishou - Equipe 2",6,IF(Atletas!V397="Grupo Externo AB - Equipe 1",7,IF(Atletas!V397="Grupo Externo AB - Equipe 2",8,IF(Atletas!V397="Grupo Interno AB - Equipe 1",9,IF(Atletas!V397="Grupo Interno AB - Equipe 2",10,IF(Atletas!V397="Duilian de Mãos CD - Equipe 1",11,IF(Atletas!V397="Duilian de Mãos CD - Equipe 2",12,IF(Atletas!V397="Duilian de Armas CD - Equipe 1",13,IF(Atletas!V397="Duilian de Armas CD - Equipe 2",14,IF(Atletas!V397="Duilian de Tuishou - Equipe 1",15,IF(Atletas!V397="Duilian de Tuishou - Equipe 2",16,IF(Atletas!V397="Grupo Externo CDEF - Equipe 1",17,IF(Atletas!V397="Grupo Externo CDEF - Equipe 2",18,IF(Atletas!V397="Grupo Interno CDEF - Equipe 1",19,IF(Atletas!V397="Grupo Interno CDEF - Equipe 2",20,IF(Atletas!V397="Duilian de Mãos EF - Equipe 1",21,IF(Atletas!V397="Duilian de Mãos EF - Equipe 2",22,IF(Atletas!V397="Duilian de Armas EF - Equipe 1",23,IF(Atletas!V397="Duilian de Armas EF - Equipe 2",24,IF(Atletas!V397="Duilian de Tuishou - Equipe 1",25,IF(Atletas!V397="Duilian de Tuishou - Equipe 2",26,"")))))))))))))))))))))))))))</f>
        <v/>
      </c>
    </row>
    <row r="402" spans="36:84">
      <c r="AJ402" s="46" t="str">
        <f>IF(Atletas!D398="","",IF(Atletas!B398="Feminino",100,IF(Atletas!B398="Masculino",200,""))+(IF(Atletas!D398="Infantil 39kg",1,IF(Atletas!D398="Infantil 42kg",2,IF(Atletas!D398="Infantil 45kg",3,IF(Atletas!D398="Infantil 48kg",4,IF(Atletas!D398="Infantil 52kg",5,IF(Atletas!D398="Infantil 56kg",6,IF(Atletas!D398="Infantil 60kg",7,IF(Atletas!D398="Juvenil 48kg",8,IF(Atletas!D398="Juvenil 52kg",9,IF(Atletas!D398="Juvenil 56kg",10,IF(Atletas!D398="Juvenil 60kg",11,IF(Atletas!D398="Juvenil 65kg",12,IF(Atletas!D398="Juvenil 70kg",13,IF(Atletas!D398="Juvenil 75kg",14,IF(Atletas!D398="Juvenil 80kg",15,IF(Atletas!D398="Adulto 48kg",16,IF(Atletas!D398="Adulto 52kg",17,IF(Atletas!D398="Adulto 56kg",18,IF(Atletas!D398="Adulto 60kg",19,IF(Atletas!D398="Adulto 65kg",20,IF(Atletas!D398="Adulto 70kg",21,IF(Atletas!D398="Adulto 75kg",22,IF(Atletas!D398="Adulto 80kg",23,IF(Atletas!D398="Adulto 85kg",24,IF(Atletas!D398="Adulto 90kg",25,IF(Atletas!D398="Adulto +90kg",26,""))))))))))))))))))))))))))))</f>
        <v/>
      </c>
      <c r="AO402" s="10" t="str">
        <f>IF(Atletas!E398="","",IF(Atletas!B398="Feminino",100,IF(Atletas!B398="Masculino",200,""))+(IF(Atletas!E398="Juvenil 44kg",1,IF(Atletas!E398="Juvenil 48kg",2,IF(Atletas!E398="Juvenil 52kg",3,IF(Atletas!E398="Juvenil 56kg",4,IF(Atletas!E398="Juvenil 60kg",5,IF(Atletas!E398="Juvenil 65kg",6,IF(Atletas!E398="Juvenil 70kg",7,IF(Atletas!E398="Juvenil 75kg",8,IF(Atletas!E398="Juvenil 82kg",9,IF(Atletas!E398="Juvenil 90kg",10,IF(Atletas!E398="Juvenil 100kg",11,IF(Atletas!E398="Adulto 48kg",12,IF(Atletas!E398="Adulto 52kg",13,IF(Atletas!E398="Adulto 56kg",14,IF(Atletas!E398="Adulto 60kg",15,IF(Atletas!E398="Adulto 65kg",16,IF(Atletas!E398="Adulto 70kg",17,IF(Atletas!E398="Adulto 75kg",18,IF(Atletas!E398="Adulto 82kg",19,IF(Atletas!E398="Adulto 90kg",20,IF(Atletas!E398="Adulto 100kg",21,IF(Atletas!E398="Adulto +100kg",22,""))))))))))))))))))))))))</f>
        <v/>
      </c>
      <c r="AT402" s="10" t="str">
        <f>IF(Atletas!F398="","",IF(Atletas!B398="Feminino",100,IF(Atletas!B398="Masculino",200,""))+(IF(Atletas!F398="Adulto 48kg",1,IF(Atletas!F398="Adulto 56kg",2,IF(Atletas!F398="Adulto 65kg",3,IF(Atletas!F398="Adulto 75kg",4,IF(Atletas!F398="Adulto +75kg",5,IF(Atletas!F398="Adulto 52kg",6,IF(Atletas!F398="Adulto 60kg",7,IF(Atletas!F398="Adulto 70kg",8,IF(Atletas!F398="Adulto 80kg",9,IF(Atletas!F398="Adulto 90kg",10,IF(Atletas!F398="Adulto +90kg",11,"")))))))))))))</f>
        <v/>
      </c>
      <c r="AY402" s="46" t="str">
        <f>IF(Atletas!G398="","",IF(Atletas!B398="Feminino",100,IF(Atletas!B398="Masculino",200,""))+(IF(Atletas!G398="Changquan Mirim",1,IF(Atletas!G398="Nanquan Mirim",2,IF(Atletas!G398="Taijiquan Mirim",3,IF(Atletas!G398="Changquan Grupo C",4,IF(Atletas!G398="Nanquan Grupo C",5,IF(Atletas!G398="Taijiquan Grupo C",6,IF(Atletas!G398="Changquan Grupo B",7,IF(Atletas!G398="Nanquan Grupo B",8,IF(Atletas!G398="Taijiquan Grupo B",9,IF(Atletas!G398="Changquan Grupo A",10,IF(Atletas!G398="Nanquan Grupo A",11,IF(Atletas!G398="Taijiquan Grupo A",12,IF(Atletas!G398="Changquan Opcional",13,IF(Atletas!G398="Nanquan Opcional",14,IF(Atletas!G398="Taijiquan Opcional",15,IF(Atletas!G398="Changquan Adulto",16,IF(Atletas!G398="Nanquan Adulto",17,IF(Atletas!G398="Taijiquan Adulto",18,""))))))))))))))))))))</f>
        <v/>
      </c>
      <c r="AZ402" s="46" t="str">
        <f>IF(Atletas!H398="","",IF(Atletas!B398="Feminino",100,IF(Atletas!B398="Masculino",200,""))+(IF(Atletas!H398="Daoshu Mirim",19,IF(Atletas!H398="Jianshu Mirim",20,IF(Atletas!H398="Nandao Mirim",21,IF(Atletas!H398="Taijijian Mirim",22,IF(Atletas!H398="Daoshu Grupo C",23,IF(Atletas!H398="Jianshu Grupo C",24,IF(Atletas!H398="Nandao Grupo C",25,IF(Atletas!H398="Taijijian Grupo C",26,IF(Atletas!H398="Daoshu Grupo B",27,IF(Atletas!H398="Jianshu Grupo B",28,IF(Atletas!H398="Nandao Grupo B",29,IF(Atletas!H398="Taijijian Grupo B",30,IF(Atletas!H398="Daoshu Grupo A",31,IF(Atletas!H398="Jianshu Grupo A",32,IF(Atletas!H398="Nandao Grupo A",33,IF(Atletas!H398="Taijijian Grupo A",34,IF(Atletas!H398="Daoshu Opcional",35,IF(Atletas!H398="Jianshu Opcional",36,IF(Atletas!H398="Nandao Opcional",37,IF(Atletas!H398="Taijijian Opcional",38,IF(Atletas!H398="Daoshu Adulto",39,IF(Atletas!H398="Jianshu Adulto",40,IF(Atletas!H398="Nandao Adulto",41,IF(Atletas!H398="Taijijian Adulto",42,""))))))))))))))))))))))))))</f>
        <v/>
      </c>
      <c r="BA402" s="46" t="str">
        <f>IF(Atletas!I398="","",IF(Atletas!B398="Feminino",100,IF(Atletas!B398="Masculino",200,""))+(IF(Atletas!I398="Gunshu Mirim",43,IF(Atletas!I398="Qiangshu Mirim",44,IF(Atletas!I398="Nangun Mirim",45,IF(Atletas!I398="Gunshu Grupo C",46,IF(Atletas!I398="Qiangshu Grupo C",47,IF(Atletas!I398="Nangun Grupo C",48,IF(Atletas!I398="Gunshu Grupo B",49,IF(Atletas!I398="Qiangshu Grupo B",50,IF(Atletas!I398="Nangun Grupo B",51,IF(Atletas!I398="Gunshu Grupo A",52,IF(Atletas!I398="Qiangshu Grupo A",53,IF(Atletas!I398="Nangun Grupo A",54,IF(Atletas!I398="Gunshu Opcional",55,IF(Atletas!I398="Qiangshu Opcional",56,IF(Atletas!I398="Nangun Opcional",57,IF(Atletas!I398="Gunshu Adulto",58,IF(Atletas!I398="Qiangshu Adulto",59,IF(Atletas!I398="Nangun Adulto",60,""))))))))))))))))))))</f>
        <v/>
      </c>
      <c r="BF402" s="52" t="str">
        <f>IF(Atletas!J398="","",IF(Atletas!B398="Feminino",100,IF(Atletas!B398="Masculino",200,""))+(IF(Atletas!J398="Equipe 1 Grupo B",1,IF(Atletas!J398="Equipe 2 Grupo B",2,IF(Atletas!J398="Equipe 1 Grupo A",3,IF(Atletas!J398="Equipe 2 Grupo A",4,IF(Atletas!J398="Equipe 1 Adulto",5,IF(Atletas!J398="Equipe 2 Adulto",6,""))))))))</f>
        <v/>
      </c>
      <c r="BK402" s="52" t="str">
        <f>IF(Atletas!K398="","",IF(Atletas!W398&lt;&gt;"",10000,0)+(IF(Atletas!B398="Feminino",1000,IF(Atletas!B398="Masculino",2000,""))+IF(Atletas!K398="Choylayfut A",1,IF(Atletas!K398="Hunggar A",2,IF(Atletas!K398="Wuzuquan A",3,IF(Atletas!K398="Wingchun A",4,IF(Atletas!K398="Outra Mão de Sul A",5,IF(Atletas!K398="Choylayfut B",6,IF(Atletas!K398="Hunggar B",7,IF(Atletas!K398="Wuzuquan B",8,IF(Atletas!K398="Wingchun B",9,IF(Atletas!K398="Outra Mão de Sul B",10,IF(Atletas!K398="Choylayfut C",11,IF(Atletas!K398="Hunggar C",12,IF(Atletas!K398="Wuzuquan C",13,IF(Atletas!K398="Wingchun C",14,IF(Atletas!K398="Outra Mão de Sul C",15,IF(Atletas!K398="Choylayfut D",16,IF(Atletas!K398="Hunggar D",17,IF(Atletas!K398="Wuzuquan D",18,IF(Atletas!K398="Wingchun D",19,IF(Atletas!K398="Outra Mão de Sul D",20,IF(Atletas!K398="Choylayfut E",21,IF(Atletas!K398="Hunggar E",22,IF(Atletas!K398="Wuzuquan E",23,IF(Atletas!K398="Wingchun E",24,IF(Atletas!K398="Outra Mão de Sul E",25,IF(Atletas!K398="Choylayfut F",26,IF(Atletas!K398="Hunggar F",27,IF(Atletas!K398="Wuzuquan F",28,IF(Atletas!K398="Wingchun F",29,IF(Atletas!K398="Outra Mão de Sul F",30,""))))))))))))))))))))))))))))))))</f>
        <v/>
      </c>
      <c r="BL402" s="52" t="str">
        <f>IF(Atletas!L398="","",IF(Atletas!W398&lt;&gt;"",10000,0)+(IF(Atletas!B398="Feminino",1000,IF(Atletas!B398="Masculino",2000,""))+(IF(Atletas!L398="Chaquan A",101,IF(Atletas!L398="Emeiquan A",102,IF(Atletas!L398="Fanziquan A",103,IF(Atletas!L398="Huaquan A",104,IF(Atletas!L398="Hongquan A",105,IF(Atletas!L398="Paochui A",106,IF(Atletas!L398="Piguaquan A",107,IF(Atletas!L398="Shaolinquan A",108,IF(Atletas!L398="Tanglangquan A",109,IF(Atletas!L398="Yinzhaophai A",110,IF(Atletas!L398="Tongbeiquan A",111,IF(Atletas!L398="Wudangquan A",112,IF(Atletas!L398="Outros Estilos A",113,IF(Atletas!L398="Chaquan B",114,IF(Atletas!L398="Emeiquan B",115,IF(Atletas!L398="Fanziquan B",116,IF(Atletas!L398="Huaquan B",117,IF(Atletas!L398="Hongquan B",118,IF(Atletas!L398="Paochui B",119,IF(Atletas!L398="Piguaquan B",120,IF(Atletas!L398="Shaolinquan B",121,IF(Atletas!L398="Tanglangquan B",122,IF(Atletas!L398="Yinzhaophai B",123,IF(Atletas!L398="Tongbeiquan B",124,IF(Atletas!L398="Wudangquan B",125,IF(Atletas!L398="Outros Estilos B",126,IF(Atletas!L398="Chaquan C",127,IF(Atletas!L398="Emeiquan C",128,IF(Atletas!L398="Fanziquan C",129,IF(Atletas!L398="Huaquan C",130,IF(Atletas!L398="Hongquan C",131,IF(Atletas!L398="Paochui C",132,IF(Atletas!L398="Piguaquan C",133,IF(Atletas!L398="Shaolinquan C",134,IF(Atletas!L398="Tanglangquan C",135,IF(Atletas!L398="Yinzhaophai C",136,IF(Atletas!L398="Tongbeiquan C",137,IF(Atletas!L398="Wudangquan C",138,IF(Atletas!L398="Outros Estilos C",139,0))))))))))))))))))))))))))))))))))))))))))</f>
        <v/>
      </c>
      <c r="BM402" s="52" t="str">
        <f>IF(Atletas!L398="","",IF(Atletas!W398&lt;&gt;"",10000,0)+(IF(Atletas!B398="Feminino",1000,IF(Atletas!B398="Masculino",2000,""))+(IF(Atletas!L398="Chaquan D",140,IF(Atletas!L398="Emeiquan D",141,IF(Atletas!L398="Fanziquan D",142,IF(Atletas!L398="Huaquan D",143,IF(Atletas!L398="Hongquan D",144,IF(Atletas!L398="Paochui D",145,IF(Atletas!L398="Piguaquan D",146,IF(Atletas!L398="Shaolinquan D",147,IF(Atletas!L398="Tanglangquan D",148,IF(Atletas!L398="Yinzhaophai D",149,IF(Atletas!L398="Tongbeiquan D",150,IF(Atletas!L398="Wudangquan D",151,IF(Atletas!L398="Outros Estilos D",152,IF(Atletas!L398="Chaquan E",153,IF(Atletas!L398="Emeiquan E",154,IF(Atletas!L398="Fanziquan E",155,IF(Atletas!L398="Huaquan E",156,IF(Atletas!L398="Hongquan E",157,IF(Atletas!L398="Paochui E",158,IF(Atletas!L398="Piguaquan E",159,IF(Atletas!L398="Shaolinquan E",160,IF(Atletas!L398="Tanglangquan E",161,IF(Atletas!L398="Yinzhaophai E",162,IF(Atletas!L398="Tongbeiquan E",163,IF(Atletas!L398="Wudangquan E",164,IF(Atletas!L398="Outros Estilos E",165,IF(Atletas!L398="Chaquan F",166,IF(Atletas!L398="Emeiquan F",167,IF(Atletas!L398="Fanziquan F",168,IF(Atletas!L398="Huaquan F",169,IF(Atletas!L398="Hongquan F",170,IF(Atletas!L398="Paochui F",171,IF(Atletas!L398="Piguaquan F",172,IF(Atletas!L398="Shaolinquan F",173,IF(Atletas!L398="Tanglangquan F",174,IF(Atletas!L398="Yinzhaophai F",175,IF(Atletas!L398="Tongbeiquan F",176,IF(Atletas!L398="Wudangquan F",177,IF(Atletas!L398="Outros Estilos F",178,0))))))))))))))))))))))))))))))))))))))))))</f>
        <v/>
      </c>
      <c r="BN402" s="52" t="str">
        <f>IF(Atletas!M398="","",IF(Atletas!W398&lt;&gt;"",10000,0)+(IF(Atletas!B398="Feminino",1000,IF(Atletas!B398="Masculino",2000,""))+(IF(Atletas!M398="Ditangquan A",201,IF(Atletas!M398="Houquan A",202,IF(Atletas!M398="Zuiquan A",203,IF(Atletas!M398="Ditangquan B",204,IF(Atletas!M398="Houquan B",205,IF(Atletas!M398="Zuiquan B",206,IF(Atletas!M398="Ditangquan C",207,IF(Atletas!M398="Houquan C",208,IF(Atletas!M398="Zuiquan C",209,IF(Atletas!M398="Ditangquan D",210,IF(Atletas!M398="Houquan D",211,IF(Atletas!M398="Zuiquan D",212,IF(Atletas!M398="Ditangquan E",213,IF(Atletas!M398="Houquan E",214,IF(Atletas!M398="Zuiquan E",215,IF(Atletas!M398="Ditangquan F",216,IF(Atletas!M398="Houquan F",217,IF(Atletas!M398="Zuiquan F",218,"")))))))))))))))))))))</f>
        <v/>
      </c>
      <c r="BO402" s="52" t="str">
        <f>IF(Atletas!N398="","",IF(Atletas!W398&lt;&gt;"",10000,0)+IF(Atletas!B398="Feminino",1000,IF(Atletas!B398="Masculino",2000,""))+IF(Atletas!N398="Yang A",301,IF(Atletas!N398="Chen A",30,IF(Atletas!N398="Sun A",303,IF(Atletas!N398="Wu A",304,IF(Atletas!N398="Wu-Hao A",305,IF(Atletas!N398="Outro Taijiquan A",306,IF(Atletas!N398="Yang B",307,IF(Atletas!N398="Chen B",308,IF(Atletas!N398="Sun B",309,IF(Atletas!N398="Wu B",310,IF(Atletas!N398="Wu-Hao B",311,IF(Atletas!N398="Outro Taijiquan B",312,IF(Atletas!N398="Yang C",313,IF(Atletas!N398="Chen C",314,IF(Atletas!N398="Sun C",315,IF(Atletas!N398="Wu C",316,IF(Atletas!N398="Wu-Hao C",317,IF(Atletas!N398="Outro Taijiquan C",318,IF(Atletas!N398="Yang D",319,IF(Atletas!N398="Chen D",320,IF(Atletas!N398="Sun D",321,IF(Atletas!N398="Wu D",322,IF(Atletas!N398="Wu-Hao D",323,IF(Atletas!N398="Outro Taijiquan D",324,IF(Atletas!N398="Yang E",325,IF(Atletas!N398="Chen E",326,IF(Atletas!N398="Sun E",327,IF(Atletas!N398="Wu E",328,IF(Atletas!N398="Wu-Hao E",329,IF(Atletas!N398="Outro Taijiquan E",330,IF(Atletas!N398="Yang F",331,IF(Atletas!N398="Chen F",332,IF(Atletas!N398="Sun F",333,IF(Atletas!N398="Wu F",334,IF(Atletas!N398="Wu-Hao F",335,IF(Atletas!N398="Outro Taijiquan F",336,"")))))))))))))))))))))))))))))))))))))</f>
        <v/>
      </c>
      <c r="BP402" s="52" t="str">
        <f>IF(Atletas!O398="","",IF(Atletas!W398&lt;&gt;"",10000,0)+IF(Atletas!B398="Feminino",1000,IF(Atletas!B398="Masculino",2000,""))+IF(OR(Atletas!O398="Yang 26 A",Atletas!O398="Yang 40 A"),401,IF(OR(Atletas!O398="Chen 25 A",Atletas!O398="Chen 36 A",Atletas!O398="Chen 56 A"),402,IF(Atletas!O398="Sun 73 A",403,IF(Atletas!O398="Wu 45 A",404,IF(Atletas!O398="Wu-Hao 46 A",405,IF(OR(Atletas!O398="Taijiquan 16 A",Atletas!O398="Taijiquan 24 A",Atletas!O398="Taijiquan 32 A",Atletas!O398="Taijiquan 42 A"),406,IF(OR(Atletas!O398="Yang 26 B",Atletas!O398="Yang 40 B"),407,IF(OR(Atletas!O398="Chen 25 B",Atletas!O398="Chen 36 B",Atletas!O398="Chen 56 B"),408,IF(Atletas!O398="Sun 73 B",409,IF(Atletas!O398="Wu 45 B",410,IF(Atletas!O398="Wu-Hao 46 B",411,IF(OR(Atletas!O398="Taijiquan 16 B",Atletas!O398="Taijiquan 24 B",Atletas!O398="Taijiquan 32 B",Atletas!O398="Taijiquan 42 B"),412,IF(OR(Atletas!O398="Yang 26 C",Atletas!O398="Yang 40 C"),413,IF(OR(Atletas!O398="Chen 25 C",Atletas!O398="Chen 36 C",Atletas!O398="Chen 56 C"),414,IF(Atletas!O398="Sun 73 C",415,IF(Atletas!O398="Wu 45 C",416,IF(Atletas!O398="Wu-Hao 46 C",417,IF(OR(Atletas!O398="Taijiquan 16 C",Atletas!O398="Taijiquan 24 C",Atletas!O398="Taijiquan 32 C",Atletas!O398="Taijiquan 42 C"),418,0)))))))))))))))))))</f>
        <v/>
      </c>
      <c r="BQ402" s="52" t="str">
        <f>IF(Atletas!O398="","",IF(Atletas!W398&lt;&gt;"",10000,0)+IF(Atletas!B398="Feminino",1000,IF(Atletas!B398="Masculino",2000,""))+IF(OR(Atletas!O398="Yang 26 D",Atletas!O398="Yang 40 D"),419,IF(OR(Atletas!O398="Chen 25 D",Atletas!O398="Chen 36 D",Atletas!O398="Chen 56 D"),420,IF(Atletas!O398="Sun 73 D",421,IF(Atletas!O398="Wu 45 D",422,IF(Atletas!O398="Wu-Hao 46 D",423,IF(OR(Atletas!O398="Taijiquan 16 D",Atletas!O398="Taijiquan 24 D",Atletas!O398="Taijiquan 32 D",Atletas!O398="Taijiquan 42 D"),424,IF(OR(Atletas!O398="Yang 26 E",Atletas!O398="Yang 40 E"),425,IF(OR(Atletas!O398="Chen 25 E",Atletas!O398="Chen 36 E",Atletas!O398="Chen 56 E"),426,IF(Atletas!O398="Sun 73 E",427,IF(Atletas!O398="Wu 45 E",428,IF(Atletas!O398="Wu-Hao 46 E",429,IF(OR(Atletas!O398="Taijiquan 16 E",Atletas!O398="Taijiquan 24 E",Atletas!O398="Taijiquan 32 E",Atletas!O398="Taijiquan 42 E"),430,IF(OR(Atletas!O398="Yang 26 F",Atletas!O398="Yang 40 F"),431,IF(OR(Atletas!O398="Chen 25 F",Atletas!O398="Chen 36 F",Atletas!O398="Chen 56 F"),432,IF(Atletas!O398="Sun 73 F",433,IF(Atletas!O398="Wu 45 F",434,IF(Atletas!O398="Wu-Hao 46 F",435,IF(OR(Atletas!O398="Taijiquan 16 F",Atletas!O398="Taijiquan 24 F",Atletas!O398="Taijiquan 32 F",Atletas!O398="Taijiquan 42 F"),436,0)))))))))))))))))))</f>
        <v/>
      </c>
      <c r="BR402" s="52" t="str">
        <f>IF(Atletas!P398="","",IF(Atletas!W398&lt;&gt;"",10000,0)+IF(Atletas!B398="Feminino",1000,IF(Atletas!B398="Masculino",2000,""))+IF(Atletas!P398="Xingyiquan A",501,IF(Atletas!P398="Baguazhang A",502,IF(Atletas!P398="Outro Estilo Interno A",503,IF(Atletas!P398="Xingyiquan B",504,IF(Atletas!P398="Baguazhang B",505,IF(Atletas!P398="Outro Estilo Interno B",506,IF(Atletas!P398="Xingyiquan C",507,IF(Atletas!P398="Baguazhang C",508,IF(Atletas!P398="Outro Estilo Interno C",509,IF(Atletas!P398="Xingyiquan D",510,IF(Atletas!P398="Baguazhang D",511,IF(Atletas!P398="Outro Estilo Interno D",512,IF(Atletas!P398="Xingyiquan E",513,IF(Atletas!P398="Baguazhang E",514,IF(Atletas!P398="Outro Estilo Interno E",515,IF(Atletas!P398="Xingyiquan F",516,IF(Atletas!P398="Baguazhang F",517,IF(Atletas!P398="Outro Estilo Interno F",518, "")))))))))))))))))))</f>
        <v/>
      </c>
      <c r="BS402" s="52" t="str">
        <f>IF(Atletas!Q398="","",IF(Atletas!W398&lt;&gt;"",10000,0)+IF(Atletas!B398="Feminino",1000,IF(Atletas!B398="Masculino",2000,""))+IF(Atletas!Q398="Dao A",601,IF(Atletas!Q398="Jian A",602,IF(Atletas!Q398="Bishou A",603,IF(Atletas!Q398="Shan A",604,IF(Atletas!Q398="Outra Arma Curta A",605,IF(Atletas!Q398="Dao B",606,IF(Atletas!Q398="Jian B",607,IF(Atletas!Q398="Bishou B",608,IF(Atletas!Q398="Shan B",609,IF(Atletas!Q398="Outra Arma Curta B",610,IF(Atletas!Q398="Dao C",611,IF(Atletas!Q398="Jian C",612,IF(Atletas!Q398="Bishou C",613,IF(Atletas!Q398="Shan C",614,IF(Atletas!Q398="Outra Arma Curta C",615,IF(Atletas!Q398="Dao D",616,IF(Atletas!Q398="Jian D",617,IF(Atletas!Q398="Bishou D",618,IF(Atletas!Q398="Shan D",619,IF(Atletas!Q398="Outra Arma Curta D",620,IF(Atletas!Q398="Dao E",621,IF(Atletas!Q398="Jian E",622,IF(Atletas!Q398="Bishou E",623,IF(Atletas!Q398="Shan E",624,IF(Atletas!Q398="Outra Arma Curta E",625,IF(Atletas!Q398="Dao F",626,IF(Atletas!Q398="Jian F",627,IF(Atletas!Q398="Bishou F",628,IF(Atletas!Q398="Shan F",629,IF(Atletas!Q398="Outra Arma Curta F",630, "")))))))))))))))))))))))))))))))</f>
        <v/>
      </c>
      <c r="BT402" s="52" t="str">
        <f>IF(Atletas!R398="","",IF(Atletas!W398&lt;&gt;"",10000,0)+IF(Atletas!B398="Feminino",1000,IF(Atletas!B398="Masculino",2000,""))+IF(Atletas!R398="Gun A",701,IF(Atletas!R398="Qiang A",702,IF(Atletas!R398="Pudao / Guandao A",703,IF(Atletas!R398="Outra Arma Longa A",704,IF(Atletas!R398="Gun B",705,IF(Atletas!R398="Qiang B",706,IF(Atletas!R398="Pudao / Guandao B",707,IF(Atletas!R398="Outra Arma Longa B",708,IF(Atletas!R398="Gun C",709,IF(Atletas!R398="Qiang C",710,IF(Atletas!R398="Pudao / Guandao C",711,IF(Atletas!R398="Outra Arma Longa C",712,IF(Atletas!R398="Gun D",713,IF(Atletas!R398="Qiang D",714,IF(Atletas!R398="Pudao / Guandao D",715,IF(Atletas!R398="Outra Arma Longa D",716,IF(Atletas!R398="Gun E",717,IF(Atletas!R398="Qiang E",718,IF(Atletas!R398="Pudao / Guandao E",719,IF(Atletas!R398="Outra Arma Longa E",720,IF(Atletas!R398="Gun F",721,IF(Atletas!R398="Qiang F",722,IF(Atletas!R398="Pudao / Guandao F",723,IF(Atletas!R398="Outra Arma Longa F",724,"")))))))))))))))))))))))))</f>
        <v/>
      </c>
      <c r="BU402" s="52" t="str">
        <f>IF(Atletas!S398="","",IF(Atletas!W398&lt;&gt;"",10000,0)+IF(Atletas!B398="Feminino",1000,IF(Atletas!B398="Masculino",2000,""))+IF(Atletas!S398="Arma Dupla A",801,IF(Atletas!S398="Arma Maleável A",802,IF(Atletas!S398="Arma Dupla B",803,IF(Atletas!S398="Arma Maleável B",804,IF(Atletas!S398="Arma Dupla C",805,IF(Atletas!S398="Arma Maleável C",806,IF(Atletas!S398="Arma Dupla D",807,IF(Atletas!S398="Arma Maleável D",808,IF(Atletas!S398="Arma Dupla E",809,IF(Atletas!S398="Arma Maleável E",810,IF(Atletas!S398="Arma Dupla F",811,IF(Atletas!S398="Arma Maleável F",812, "")))))))))))))</f>
        <v/>
      </c>
      <c r="BV402" s="52" t="str">
        <f>IF(Atletas!T398="","",IF(Atletas!W398&lt;&gt;"",10000,0)+IF(Atletas!B398="Feminino",1000,IF(Atletas!B398="Masculino",2000,""))+IF(Atletas!T398="Taijijian Yang A",901,IF(Atletas!T398="Taijijian Chen A",902,IF(Atletas!T398="Taijijian Sun A",903,IF(Atletas!T398="Taijijian Wu A",904,IF(Atletas!T398="Taijijian Wu-Hao A",905,IF(Atletas!T398="Taijijian 32 A",906,IF(Atletas!T398="Taijijian 42 A",907,IF(Atletas!T398="Taijijian Yang B",908,IF(Atletas!T398="Taijijian Chen B",909,IF(Atletas!T398="Taijijian Sun B",910,IF(Atletas!T398="Taijijian Wu B",911,IF(Atletas!T398="Taijijian Wu-Hao B",912,IF(Atletas!T398="Taijijian 32 B",913,IF(Atletas!T398="Taijijian 42 B",914,IF(Atletas!T398="Taijijian Yang C",915,IF(Atletas!T398="Taijijian Chen C",916,IF(Atletas!T398="Taijijian Sun C",917,IF(Atletas!T398="Taijijian Wu C",918,IF(Atletas!T398="Taijijian Wu-Hao C",919,IF(Atletas!T398="Taijijian 32 C",920,IF(Atletas!T398="Taijijian 42 C",921,IF(Atletas!T398="Taijijian Yang D",922,IF(Atletas!T398="Taijijian Chen D",923,IF(Atletas!T398="Taijijian Sun D",924,IF(Atletas!T398="Taijijian Wu D",925,IF(Atletas!T398="Taijijian Wu-Hao D",926,IF(Atletas!T398="Taijijian 32 D",927,IF(Atletas!T398="Taijijian 42 D",928,IF(Atletas!T398="Taijijian Yang E",929,IF(Atletas!T398="Taijijian Chen E",930,IF(Atletas!T398="Taijijian Sun E",931,IF(Atletas!T398="Taijijian Wu E",932,IF(Atletas!T398="Taijijian Wu-Hao E",933,IF(Atletas!T398="Taijijian 32 E",934,IF(Atletas!T398="Taijijian 42 E",935,IF(Atletas!T398="Taijijian Yang F",936,IF(Atletas!T398="Taijijian Chen F",937,IF(Atletas!T398="Taijijian Sun F",938,IF(Atletas!T398="Taijijian Wu F",939,IF(Atletas!T398="Taijijian Wu-Hao F",940,IF(Atletas!T398="Taijijian 32 F",941,IF(Atletas!T398="Taijijian 42 F",942,"")))))))))))))))))))))))))))))))))))))))))))</f>
        <v/>
      </c>
      <c r="BW402" s="52" t="str">
        <f>IF(Atletas!U398="","",IF(Atletas!W398&lt;&gt;"",10000,0)+IF(Atletas!B398="Feminino",1000,IF(Atletas!B398="Masculino",2000,""))+IF(Atletas!T398="Taijijian 42 F",942,IF(Atletas!U398="Taijidao A",943,IF(Atletas!U398="Taijishan A",944,IF(Atletas!U398="Taijiqiang A",945,IF(Atletas!U398="Taijidao B",946,IF(Atletas!U398="Taijishan B",947,IF(Atletas!U398="Taijiqiang B",948,IF(Atletas!U398="Taijidao C",949,IF(Atletas!U398="Taijishan C",950,IF(Atletas!U398="Taijiqiang C",951,IF(Atletas!U398="Taijidao D",952,IF(Atletas!U398="Taijishan D",953,IF(Atletas!U398="Taijiqiang D",954,IF(Atletas!U398="Taijidao E",955,IF(Atletas!U398="Taijishan E",956,IF(Atletas!U398="Taijiqiang E",957,IF(Atletas!U398="Taijidao F",958,IF(Atletas!U398="Taijishan F",959,IF(Atletas!U398="Taijiqiang F",960))))))))))))))))))))</f>
        <v/>
      </c>
      <c r="CB402" s="64" t="str">
        <f>IF(CC402&lt;&gt;"","Taijiqiang D","")</f>
        <v/>
      </c>
      <c r="CC402" s="64" t="str">
        <f>IF(COUNTIF(BK:BW,11954)&gt;0,COUNTIF(BK:BW,11954),"")</f>
        <v/>
      </c>
      <c r="CD402" s="64" t="str">
        <f>IF(CE402&lt;&gt;"","Taijiqiang D","")</f>
        <v/>
      </c>
      <c r="CE402" s="64" t="str">
        <f>IF(COUNTIF(BK:BW,12954)&gt;0,COUNTIF(BK:BW,12954),"")</f>
        <v/>
      </c>
      <c r="CF402" s="52" t="str">
        <f xml:space="preserve"> IF(Atletas!V398="","",IF(Atletas!V398="Duilian de Mãos AB - Equipe 1",1,IF(Atletas!V398="Duilian de Mãos AB - Equipe 2",2,IF(Atletas!V398="Duilian de Armas AB - Equipe 1",3,IF(Atletas!V398="Duilian de Armas AB - Equipe 2",4,IF(Atletas!V398="Duilian de Tuishou - Equipe 1",5,IF(Atletas!V398="Duilian de Tuishou - Equipe 2",6,IF(Atletas!V398="Grupo Externo AB - Equipe 1",7,IF(Atletas!V398="Grupo Externo AB - Equipe 2",8,IF(Atletas!V398="Grupo Interno AB - Equipe 1",9,IF(Atletas!V398="Grupo Interno AB - Equipe 2",10,IF(Atletas!V398="Duilian de Mãos CD - Equipe 1",11,IF(Atletas!V398="Duilian de Mãos CD - Equipe 2",12,IF(Atletas!V398="Duilian de Armas CD - Equipe 1",13,IF(Atletas!V398="Duilian de Armas CD - Equipe 2",14,IF(Atletas!V398="Duilian de Tuishou - Equipe 1",15,IF(Atletas!V398="Duilian de Tuishou - Equipe 2",16,IF(Atletas!V398="Grupo Externo CDEF - Equipe 1",17,IF(Atletas!V398="Grupo Externo CDEF - Equipe 2",18,IF(Atletas!V398="Grupo Interno CDEF - Equipe 1",19,IF(Atletas!V398="Grupo Interno CDEF - Equipe 2",20,IF(Atletas!V398="Duilian de Mãos EF - Equipe 1",21,IF(Atletas!V398="Duilian de Mãos EF - Equipe 2",22,IF(Atletas!V398="Duilian de Armas EF - Equipe 1",23,IF(Atletas!V398="Duilian de Armas EF - Equipe 2",24,IF(Atletas!V398="Duilian de Tuishou - Equipe 1",25,IF(Atletas!V398="Duilian de Tuishou - Equipe 2",26,"")))))))))))))))))))))))))))</f>
        <v/>
      </c>
    </row>
    <row r="403" spans="36:84">
      <c r="AJ403" s="46" t="str">
        <f>IF(Atletas!D399="","",IF(Atletas!B399="Feminino",100,IF(Atletas!B399="Masculino",200,""))+(IF(Atletas!D399="Infantil 39kg",1,IF(Atletas!D399="Infantil 42kg",2,IF(Atletas!D399="Infantil 45kg",3,IF(Atletas!D399="Infantil 48kg",4,IF(Atletas!D399="Infantil 52kg",5,IF(Atletas!D399="Infantil 56kg",6,IF(Atletas!D399="Infantil 60kg",7,IF(Atletas!D399="Juvenil 48kg",8,IF(Atletas!D399="Juvenil 52kg",9,IF(Atletas!D399="Juvenil 56kg",10,IF(Atletas!D399="Juvenil 60kg",11,IF(Atletas!D399="Juvenil 65kg",12,IF(Atletas!D399="Juvenil 70kg",13,IF(Atletas!D399="Juvenil 75kg",14,IF(Atletas!D399="Juvenil 80kg",15,IF(Atletas!D399="Adulto 48kg",16,IF(Atletas!D399="Adulto 52kg",17,IF(Atletas!D399="Adulto 56kg",18,IF(Atletas!D399="Adulto 60kg",19,IF(Atletas!D399="Adulto 65kg",20,IF(Atletas!D399="Adulto 70kg",21,IF(Atletas!D399="Adulto 75kg",22,IF(Atletas!D399="Adulto 80kg",23,IF(Atletas!D399="Adulto 85kg",24,IF(Atletas!D399="Adulto 90kg",25,IF(Atletas!D399="Adulto +90kg",26,""))))))))))))))))))))))))))))</f>
        <v/>
      </c>
      <c r="AO403" s="10" t="str">
        <f>IF(Atletas!E399="","",IF(Atletas!B399="Feminino",100,IF(Atletas!B399="Masculino",200,""))+(IF(Atletas!E399="Juvenil 44kg",1,IF(Atletas!E399="Juvenil 48kg",2,IF(Atletas!E399="Juvenil 52kg",3,IF(Atletas!E399="Juvenil 56kg",4,IF(Atletas!E399="Juvenil 60kg",5,IF(Atletas!E399="Juvenil 65kg",6,IF(Atletas!E399="Juvenil 70kg",7,IF(Atletas!E399="Juvenil 75kg",8,IF(Atletas!E399="Juvenil 82kg",9,IF(Atletas!E399="Juvenil 90kg",10,IF(Atletas!E399="Juvenil 100kg",11,IF(Atletas!E399="Adulto 48kg",12,IF(Atletas!E399="Adulto 52kg",13,IF(Atletas!E399="Adulto 56kg",14,IF(Atletas!E399="Adulto 60kg",15,IF(Atletas!E399="Adulto 65kg",16,IF(Atletas!E399="Adulto 70kg",17,IF(Atletas!E399="Adulto 75kg",18,IF(Atletas!E399="Adulto 82kg",19,IF(Atletas!E399="Adulto 90kg",20,IF(Atletas!E399="Adulto 100kg",21,IF(Atletas!E399="Adulto +100kg",22,""))))))))))))))))))))))))</f>
        <v/>
      </c>
      <c r="AT403" s="10" t="str">
        <f>IF(Atletas!F399="","",IF(Atletas!B399="Feminino",100,IF(Atletas!B399="Masculino",200,""))+(IF(Atletas!F399="Adulto 48kg",1,IF(Atletas!F399="Adulto 56kg",2,IF(Atletas!F399="Adulto 65kg",3,IF(Atletas!F399="Adulto 75kg",4,IF(Atletas!F399="Adulto +75kg",5,IF(Atletas!F399="Adulto 52kg",6,IF(Atletas!F399="Adulto 60kg",7,IF(Atletas!F399="Adulto 70kg",8,IF(Atletas!F399="Adulto 80kg",9,IF(Atletas!F399="Adulto 90kg",10,IF(Atletas!F399="Adulto +90kg",11,"")))))))))))))</f>
        <v/>
      </c>
      <c r="AY403" s="46" t="str">
        <f>IF(Atletas!G399="","",IF(Atletas!B399="Feminino",100,IF(Atletas!B399="Masculino",200,""))+(IF(Atletas!G399="Changquan Mirim",1,IF(Atletas!G399="Nanquan Mirim",2,IF(Atletas!G399="Taijiquan Mirim",3,IF(Atletas!G399="Changquan Grupo C",4,IF(Atletas!G399="Nanquan Grupo C",5,IF(Atletas!G399="Taijiquan Grupo C",6,IF(Atletas!G399="Changquan Grupo B",7,IF(Atletas!G399="Nanquan Grupo B",8,IF(Atletas!G399="Taijiquan Grupo B",9,IF(Atletas!G399="Changquan Grupo A",10,IF(Atletas!G399="Nanquan Grupo A",11,IF(Atletas!G399="Taijiquan Grupo A",12,IF(Atletas!G399="Changquan Opcional",13,IF(Atletas!G399="Nanquan Opcional",14,IF(Atletas!G399="Taijiquan Opcional",15,IF(Atletas!G399="Changquan Adulto",16,IF(Atletas!G399="Nanquan Adulto",17,IF(Atletas!G399="Taijiquan Adulto",18,""))))))))))))))))))))</f>
        <v/>
      </c>
      <c r="AZ403" s="46" t="str">
        <f>IF(Atletas!H399="","",IF(Atletas!B399="Feminino",100,IF(Atletas!B399="Masculino",200,""))+(IF(Atletas!H399="Daoshu Mirim",19,IF(Atletas!H399="Jianshu Mirim",20,IF(Atletas!H399="Nandao Mirim",21,IF(Atletas!H399="Taijijian Mirim",22,IF(Atletas!H399="Daoshu Grupo C",23,IF(Atletas!H399="Jianshu Grupo C",24,IF(Atletas!H399="Nandao Grupo C",25,IF(Atletas!H399="Taijijian Grupo C",26,IF(Atletas!H399="Daoshu Grupo B",27,IF(Atletas!H399="Jianshu Grupo B",28,IF(Atletas!H399="Nandao Grupo B",29,IF(Atletas!H399="Taijijian Grupo B",30,IF(Atletas!H399="Daoshu Grupo A",31,IF(Atletas!H399="Jianshu Grupo A",32,IF(Atletas!H399="Nandao Grupo A",33,IF(Atletas!H399="Taijijian Grupo A",34,IF(Atletas!H399="Daoshu Opcional",35,IF(Atletas!H399="Jianshu Opcional",36,IF(Atletas!H399="Nandao Opcional",37,IF(Atletas!H399="Taijijian Opcional",38,IF(Atletas!H399="Daoshu Adulto",39,IF(Atletas!H399="Jianshu Adulto",40,IF(Atletas!H399="Nandao Adulto",41,IF(Atletas!H399="Taijijian Adulto",42,""))))))))))))))))))))))))))</f>
        <v/>
      </c>
      <c r="BA403" s="46" t="str">
        <f>IF(Atletas!I399="","",IF(Atletas!B399="Feminino",100,IF(Atletas!B399="Masculino",200,""))+(IF(Atletas!I399="Gunshu Mirim",43,IF(Atletas!I399="Qiangshu Mirim",44,IF(Atletas!I399="Nangun Mirim",45,IF(Atletas!I399="Gunshu Grupo C",46,IF(Atletas!I399="Qiangshu Grupo C",47,IF(Atletas!I399="Nangun Grupo C",48,IF(Atletas!I399="Gunshu Grupo B",49,IF(Atletas!I399="Qiangshu Grupo B",50,IF(Atletas!I399="Nangun Grupo B",51,IF(Atletas!I399="Gunshu Grupo A",52,IF(Atletas!I399="Qiangshu Grupo A",53,IF(Atletas!I399="Nangun Grupo A",54,IF(Atletas!I399="Gunshu Opcional",55,IF(Atletas!I399="Qiangshu Opcional",56,IF(Atletas!I399="Nangun Opcional",57,IF(Atletas!I399="Gunshu Adulto",58,IF(Atletas!I399="Qiangshu Adulto",59,IF(Atletas!I399="Nangun Adulto",60,""))))))))))))))))))))</f>
        <v/>
      </c>
      <c r="BF403" s="52" t="str">
        <f>IF(Atletas!J399="","",IF(Atletas!B399="Feminino",100,IF(Atletas!B399="Masculino",200,""))+(IF(Atletas!J399="Equipe 1 Grupo B",1,IF(Atletas!J399="Equipe 2 Grupo B",2,IF(Atletas!J399="Equipe 1 Grupo A",3,IF(Atletas!J399="Equipe 2 Grupo A",4,IF(Atletas!J399="Equipe 1 Adulto",5,IF(Atletas!J399="Equipe 2 Adulto",6,""))))))))</f>
        <v/>
      </c>
      <c r="BK403" s="52" t="str">
        <f>IF(Atletas!K399="","",IF(Atletas!W399&lt;&gt;"",10000,0)+(IF(Atletas!B399="Feminino",1000,IF(Atletas!B399="Masculino",2000,""))+IF(Atletas!K399="Choylayfut A",1,IF(Atletas!K399="Hunggar A",2,IF(Atletas!K399="Wuzuquan A",3,IF(Atletas!K399="Wingchun A",4,IF(Atletas!K399="Outra Mão de Sul A",5,IF(Atletas!K399="Choylayfut B",6,IF(Atletas!K399="Hunggar B",7,IF(Atletas!K399="Wuzuquan B",8,IF(Atletas!K399="Wingchun B",9,IF(Atletas!K399="Outra Mão de Sul B",10,IF(Atletas!K399="Choylayfut C",11,IF(Atletas!K399="Hunggar C",12,IF(Atletas!K399="Wuzuquan C",13,IF(Atletas!K399="Wingchun C",14,IF(Atletas!K399="Outra Mão de Sul C",15,IF(Atletas!K399="Choylayfut D",16,IF(Atletas!K399="Hunggar D",17,IF(Atletas!K399="Wuzuquan D",18,IF(Atletas!K399="Wingchun D",19,IF(Atletas!K399="Outra Mão de Sul D",20,IF(Atletas!K399="Choylayfut E",21,IF(Atletas!K399="Hunggar E",22,IF(Atletas!K399="Wuzuquan E",23,IF(Atletas!K399="Wingchun E",24,IF(Atletas!K399="Outra Mão de Sul E",25,IF(Atletas!K399="Choylayfut F",26,IF(Atletas!K399="Hunggar F",27,IF(Atletas!K399="Wuzuquan F",28,IF(Atletas!K399="Wingchun F",29,IF(Atletas!K399="Outra Mão de Sul F",30,""))))))))))))))))))))))))))))))))</f>
        <v/>
      </c>
      <c r="BL403" s="52" t="str">
        <f>IF(Atletas!L399="","",IF(Atletas!W399&lt;&gt;"",10000,0)+(IF(Atletas!B399="Feminino",1000,IF(Atletas!B399="Masculino",2000,""))+(IF(Atletas!L399="Chaquan A",101,IF(Atletas!L399="Emeiquan A",102,IF(Atletas!L399="Fanziquan A",103,IF(Atletas!L399="Huaquan A",104,IF(Atletas!L399="Hongquan A",105,IF(Atletas!L399="Paochui A",106,IF(Atletas!L399="Piguaquan A",107,IF(Atletas!L399="Shaolinquan A",108,IF(Atletas!L399="Tanglangquan A",109,IF(Atletas!L399="Yinzhaophai A",110,IF(Atletas!L399="Tongbeiquan A",111,IF(Atletas!L399="Wudangquan A",112,IF(Atletas!L399="Outros Estilos A",113,IF(Atletas!L399="Chaquan B",114,IF(Atletas!L399="Emeiquan B",115,IF(Atletas!L399="Fanziquan B",116,IF(Atletas!L399="Huaquan B",117,IF(Atletas!L399="Hongquan B",118,IF(Atletas!L399="Paochui B",119,IF(Atletas!L399="Piguaquan B",120,IF(Atletas!L399="Shaolinquan B",121,IF(Atletas!L399="Tanglangquan B",122,IF(Atletas!L399="Yinzhaophai B",123,IF(Atletas!L399="Tongbeiquan B",124,IF(Atletas!L399="Wudangquan B",125,IF(Atletas!L399="Outros Estilos B",126,IF(Atletas!L399="Chaquan C",127,IF(Atletas!L399="Emeiquan C",128,IF(Atletas!L399="Fanziquan C",129,IF(Atletas!L399="Huaquan C",130,IF(Atletas!L399="Hongquan C",131,IF(Atletas!L399="Paochui C",132,IF(Atletas!L399="Piguaquan C",133,IF(Atletas!L399="Shaolinquan C",134,IF(Atletas!L399="Tanglangquan C",135,IF(Atletas!L399="Yinzhaophai C",136,IF(Atletas!L399="Tongbeiquan C",137,IF(Atletas!L399="Wudangquan C",138,IF(Atletas!L399="Outros Estilos C",139,0))))))))))))))))))))))))))))))))))))))))))</f>
        <v/>
      </c>
      <c r="BM403" s="52" t="str">
        <f>IF(Atletas!L399="","",IF(Atletas!W399&lt;&gt;"",10000,0)+(IF(Atletas!B399="Feminino",1000,IF(Atletas!B399="Masculino",2000,""))+(IF(Atletas!L399="Chaquan D",140,IF(Atletas!L399="Emeiquan D",141,IF(Atletas!L399="Fanziquan D",142,IF(Atletas!L399="Huaquan D",143,IF(Atletas!L399="Hongquan D",144,IF(Atletas!L399="Paochui D",145,IF(Atletas!L399="Piguaquan D",146,IF(Atletas!L399="Shaolinquan D",147,IF(Atletas!L399="Tanglangquan D",148,IF(Atletas!L399="Yinzhaophai D",149,IF(Atletas!L399="Tongbeiquan D",150,IF(Atletas!L399="Wudangquan D",151,IF(Atletas!L399="Outros Estilos D",152,IF(Atletas!L399="Chaquan E",153,IF(Atletas!L399="Emeiquan E",154,IF(Atletas!L399="Fanziquan E",155,IF(Atletas!L399="Huaquan E",156,IF(Atletas!L399="Hongquan E",157,IF(Atletas!L399="Paochui E",158,IF(Atletas!L399="Piguaquan E",159,IF(Atletas!L399="Shaolinquan E",160,IF(Atletas!L399="Tanglangquan E",161,IF(Atletas!L399="Yinzhaophai E",162,IF(Atletas!L399="Tongbeiquan E",163,IF(Atletas!L399="Wudangquan E",164,IF(Atletas!L399="Outros Estilos E",165,IF(Atletas!L399="Chaquan F",166,IF(Atletas!L399="Emeiquan F",167,IF(Atletas!L399="Fanziquan F",168,IF(Atletas!L399="Huaquan F",169,IF(Atletas!L399="Hongquan F",170,IF(Atletas!L399="Paochui F",171,IF(Atletas!L399="Piguaquan F",172,IF(Atletas!L399="Shaolinquan F",173,IF(Atletas!L399="Tanglangquan F",174,IF(Atletas!L399="Yinzhaophai F",175,IF(Atletas!L399="Tongbeiquan F",176,IF(Atletas!L399="Wudangquan F",177,IF(Atletas!L399="Outros Estilos F",178,0))))))))))))))))))))))))))))))))))))))))))</f>
        <v/>
      </c>
      <c r="BN403" s="52" t="str">
        <f>IF(Atletas!M399="","",IF(Atletas!W399&lt;&gt;"",10000,0)+(IF(Atletas!B399="Feminino",1000,IF(Atletas!B399="Masculino",2000,""))+(IF(Atletas!M399="Ditangquan A",201,IF(Atletas!M399="Houquan A",202,IF(Atletas!M399="Zuiquan A",203,IF(Atletas!M399="Ditangquan B",204,IF(Atletas!M399="Houquan B",205,IF(Atletas!M399="Zuiquan B",206,IF(Atletas!M399="Ditangquan C",207,IF(Atletas!M399="Houquan C",208,IF(Atletas!M399="Zuiquan C",209,IF(Atletas!M399="Ditangquan D",210,IF(Atletas!M399="Houquan D",211,IF(Atletas!M399="Zuiquan D",212,IF(Atletas!M399="Ditangquan E",213,IF(Atletas!M399="Houquan E",214,IF(Atletas!M399="Zuiquan E",215,IF(Atletas!M399="Ditangquan F",216,IF(Atletas!M399="Houquan F",217,IF(Atletas!M399="Zuiquan F",218,"")))))))))))))))))))))</f>
        <v/>
      </c>
      <c r="BO403" s="52" t="str">
        <f>IF(Atletas!N399="","",IF(Atletas!W399&lt;&gt;"",10000,0)+IF(Atletas!B399="Feminino",1000,IF(Atletas!B399="Masculino",2000,""))+IF(Atletas!N399="Yang A",301,IF(Atletas!N399="Chen A",30,IF(Atletas!N399="Sun A",303,IF(Atletas!N399="Wu A",304,IF(Atletas!N399="Wu-Hao A",305,IF(Atletas!N399="Outro Taijiquan A",306,IF(Atletas!N399="Yang B",307,IF(Atletas!N399="Chen B",308,IF(Atletas!N399="Sun B",309,IF(Atletas!N399="Wu B",310,IF(Atletas!N399="Wu-Hao B",311,IF(Atletas!N399="Outro Taijiquan B",312,IF(Atletas!N399="Yang C",313,IF(Atletas!N399="Chen C",314,IF(Atletas!N399="Sun C",315,IF(Atletas!N399="Wu C",316,IF(Atletas!N399="Wu-Hao C",317,IF(Atletas!N399="Outro Taijiquan C",318,IF(Atletas!N399="Yang D",319,IF(Atletas!N399="Chen D",320,IF(Atletas!N399="Sun D",321,IF(Atletas!N399="Wu D",322,IF(Atletas!N399="Wu-Hao D",323,IF(Atletas!N399="Outro Taijiquan D",324,IF(Atletas!N399="Yang E",325,IF(Atletas!N399="Chen E",326,IF(Atletas!N399="Sun E",327,IF(Atletas!N399="Wu E",328,IF(Atletas!N399="Wu-Hao E",329,IF(Atletas!N399="Outro Taijiquan E",330,IF(Atletas!N399="Yang F",331,IF(Atletas!N399="Chen F",332,IF(Atletas!N399="Sun F",333,IF(Atletas!N399="Wu F",334,IF(Atletas!N399="Wu-Hao F",335,IF(Atletas!N399="Outro Taijiquan F",336,"")))))))))))))))))))))))))))))))))))))</f>
        <v/>
      </c>
      <c r="BP403" s="52" t="str">
        <f>IF(Atletas!O399="","",IF(Atletas!W399&lt;&gt;"",10000,0)+IF(Atletas!B399="Feminino",1000,IF(Atletas!B399="Masculino",2000,""))+IF(OR(Atletas!O399="Yang 26 A",Atletas!O399="Yang 40 A"),401,IF(OR(Atletas!O399="Chen 25 A",Atletas!O399="Chen 36 A",Atletas!O399="Chen 56 A"),402,IF(Atletas!O399="Sun 73 A",403,IF(Atletas!O399="Wu 45 A",404,IF(Atletas!O399="Wu-Hao 46 A",405,IF(OR(Atletas!O399="Taijiquan 16 A",Atletas!O399="Taijiquan 24 A",Atletas!O399="Taijiquan 32 A",Atletas!O399="Taijiquan 42 A"),406,IF(OR(Atletas!O399="Yang 26 B",Atletas!O399="Yang 40 B"),407,IF(OR(Atletas!O399="Chen 25 B",Atletas!O399="Chen 36 B",Atletas!O399="Chen 56 B"),408,IF(Atletas!O399="Sun 73 B",409,IF(Atletas!O399="Wu 45 B",410,IF(Atletas!O399="Wu-Hao 46 B",411,IF(OR(Atletas!O399="Taijiquan 16 B",Atletas!O399="Taijiquan 24 B",Atletas!O399="Taijiquan 32 B",Atletas!O399="Taijiquan 42 B"),412,IF(OR(Atletas!O399="Yang 26 C",Atletas!O399="Yang 40 C"),413,IF(OR(Atletas!O399="Chen 25 C",Atletas!O399="Chen 36 C",Atletas!O399="Chen 56 C"),414,IF(Atletas!O399="Sun 73 C",415,IF(Atletas!O399="Wu 45 C",416,IF(Atletas!O399="Wu-Hao 46 C",417,IF(OR(Atletas!O399="Taijiquan 16 C",Atletas!O399="Taijiquan 24 C",Atletas!O399="Taijiquan 32 C",Atletas!O399="Taijiquan 42 C"),418,0)))))))))))))))))))</f>
        <v/>
      </c>
      <c r="BQ403" s="52" t="str">
        <f>IF(Atletas!O399="","",IF(Atletas!W399&lt;&gt;"",10000,0)+IF(Atletas!B399="Feminino",1000,IF(Atletas!B399="Masculino",2000,""))+IF(OR(Atletas!O399="Yang 26 D",Atletas!O399="Yang 40 D"),419,IF(OR(Atletas!O399="Chen 25 D",Atletas!O399="Chen 36 D",Atletas!O399="Chen 56 D"),420,IF(Atletas!O399="Sun 73 D",421,IF(Atletas!O399="Wu 45 D",422,IF(Atletas!O399="Wu-Hao 46 D",423,IF(OR(Atletas!O399="Taijiquan 16 D",Atletas!O399="Taijiquan 24 D",Atletas!O399="Taijiquan 32 D",Atletas!O399="Taijiquan 42 D"),424,IF(OR(Atletas!O399="Yang 26 E",Atletas!O399="Yang 40 E"),425,IF(OR(Atletas!O399="Chen 25 E",Atletas!O399="Chen 36 E",Atletas!O399="Chen 56 E"),426,IF(Atletas!O399="Sun 73 E",427,IF(Atletas!O399="Wu 45 E",428,IF(Atletas!O399="Wu-Hao 46 E",429,IF(OR(Atletas!O399="Taijiquan 16 E",Atletas!O399="Taijiquan 24 E",Atletas!O399="Taijiquan 32 E",Atletas!O399="Taijiquan 42 E"),430,IF(OR(Atletas!O399="Yang 26 F",Atletas!O399="Yang 40 F"),431,IF(OR(Atletas!O399="Chen 25 F",Atletas!O399="Chen 36 F",Atletas!O399="Chen 56 F"),432,IF(Atletas!O399="Sun 73 F",433,IF(Atletas!O399="Wu 45 F",434,IF(Atletas!O399="Wu-Hao 46 F",435,IF(OR(Atletas!O399="Taijiquan 16 F",Atletas!O399="Taijiquan 24 F",Atletas!O399="Taijiquan 32 F",Atletas!O399="Taijiquan 42 F"),436,0)))))))))))))))))))</f>
        <v/>
      </c>
      <c r="BR403" s="52" t="str">
        <f>IF(Atletas!P399="","",IF(Atletas!W399&lt;&gt;"",10000,0)+IF(Atletas!B399="Feminino",1000,IF(Atletas!B399="Masculino",2000,""))+IF(Atletas!P399="Xingyiquan A",501,IF(Atletas!P399="Baguazhang A",502,IF(Atletas!P399="Outro Estilo Interno A",503,IF(Atletas!P399="Xingyiquan B",504,IF(Atletas!P399="Baguazhang B",505,IF(Atletas!P399="Outro Estilo Interno B",506,IF(Atletas!P399="Xingyiquan C",507,IF(Atletas!P399="Baguazhang C",508,IF(Atletas!P399="Outro Estilo Interno C",509,IF(Atletas!P399="Xingyiquan D",510,IF(Atletas!P399="Baguazhang D",511,IF(Atletas!P399="Outro Estilo Interno D",512,IF(Atletas!P399="Xingyiquan E",513,IF(Atletas!P399="Baguazhang E",514,IF(Atletas!P399="Outro Estilo Interno E",515,IF(Atletas!P399="Xingyiquan F",516,IF(Atletas!P399="Baguazhang F",517,IF(Atletas!P399="Outro Estilo Interno F",518, "")))))))))))))))))))</f>
        <v/>
      </c>
      <c r="BS403" s="52" t="str">
        <f>IF(Atletas!Q399="","",IF(Atletas!W399&lt;&gt;"",10000,0)+IF(Atletas!B399="Feminino",1000,IF(Atletas!B399="Masculino",2000,""))+IF(Atletas!Q399="Dao A",601,IF(Atletas!Q399="Jian A",602,IF(Atletas!Q399="Bishou A",603,IF(Atletas!Q399="Shan A",604,IF(Atletas!Q399="Outra Arma Curta A",605,IF(Atletas!Q399="Dao B",606,IF(Atletas!Q399="Jian B",607,IF(Atletas!Q399="Bishou B",608,IF(Atletas!Q399="Shan B",609,IF(Atletas!Q399="Outra Arma Curta B",610,IF(Atletas!Q399="Dao C",611,IF(Atletas!Q399="Jian C",612,IF(Atletas!Q399="Bishou C",613,IF(Atletas!Q399="Shan C",614,IF(Atletas!Q399="Outra Arma Curta C",615,IF(Atletas!Q399="Dao D",616,IF(Atletas!Q399="Jian D",617,IF(Atletas!Q399="Bishou D",618,IF(Atletas!Q399="Shan D",619,IF(Atletas!Q399="Outra Arma Curta D",620,IF(Atletas!Q399="Dao E",621,IF(Atletas!Q399="Jian E",622,IF(Atletas!Q399="Bishou E",623,IF(Atletas!Q399="Shan E",624,IF(Atletas!Q399="Outra Arma Curta E",625,IF(Atletas!Q399="Dao F",626,IF(Atletas!Q399="Jian F",627,IF(Atletas!Q399="Bishou F",628,IF(Atletas!Q399="Shan F",629,IF(Atletas!Q399="Outra Arma Curta F",630, "")))))))))))))))))))))))))))))))</f>
        <v/>
      </c>
      <c r="BT403" s="52" t="str">
        <f>IF(Atletas!R399="","",IF(Atletas!W399&lt;&gt;"",10000,0)+IF(Atletas!B399="Feminino",1000,IF(Atletas!B399="Masculino",2000,""))+IF(Atletas!R399="Gun A",701,IF(Atletas!R399="Qiang A",702,IF(Atletas!R399="Pudao / Guandao A",703,IF(Atletas!R399="Outra Arma Longa A",704,IF(Atletas!R399="Gun B",705,IF(Atletas!R399="Qiang B",706,IF(Atletas!R399="Pudao / Guandao B",707,IF(Atletas!R399="Outra Arma Longa B",708,IF(Atletas!R399="Gun C",709,IF(Atletas!R399="Qiang C",710,IF(Atletas!R399="Pudao / Guandao C",711,IF(Atletas!R399="Outra Arma Longa C",712,IF(Atletas!R399="Gun D",713,IF(Atletas!R399="Qiang D",714,IF(Atletas!R399="Pudao / Guandao D",715,IF(Atletas!R399="Outra Arma Longa D",716,IF(Atletas!R399="Gun E",717,IF(Atletas!R399="Qiang E",718,IF(Atletas!R399="Pudao / Guandao E",719,IF(Atletas!R399="Outra Arma Longa E",720,IF(Atletas!R399="Gun F",721,IF(Atletas!R399="Qiang F",722,IF(Atletas!R399="Pudao / Guandao F",723,IF(Atletas!R399="Outra Arma Longa F",724,"")))))))))))))))))))))))))</f>
        <v/>
      </c>
      <c r="BU403" s="52" t="str">
        <f>IF(Atletas!S399="","",IF(Atletas!W399&lt;&gt;"",10000,0)+IF(Atletas!B399="Feminino",1000,IF(Atletas!B399="Masculino",2000,""))+IF(Atletas!S399="Arma Dupla A",801,IF(Atletas!S399="Arma Maleável A",802,IF(Atletas!S399="Arma Dupla B",803,IF(Atletas!S399="Arma Maleável B",804,IF(Atletas!S399="Arma Dupla C",805,IF(Atletas!S399="Arma Maleável C",806,IF(Atletas!S399="Arma Dupla D",807,IF(Atletas!S399="Arma Maleável D",808,IF(Atletas!S399="Arma Dupla E",809,IF(Atletas!S399="Arma Maleável E",810,IF(Atletas!S399="Arma Dupla F",811,IF(Atletas!S399="Arma Maleável F",812, "")))))))))))))</f>
        <v/>
      </c>
      <c r="BV403" s="52" t="str">
        <f>IF(Atletas!T399="","",IF(Atletas!W399&lt;&gt;"",10000,0)+IF(Atletas!B399="Feminino",1000,IF(Atletas!B399="Masculino",2000,""))+IF(Atletas!T399="Taijijian Yang A",901,IF(Atletas!T399="Taijijian Chen A",902,IF(Atletas!T399="Taijijian Sun A",903,IF(Atletas!T399="Taijijian Wu A",904,IF(Atletas!T399="Taijijian Wu-Hao A",905,IF(Atletas!T399="Taijijian 32 A",906,IF(Atletas!T399="Taijijian 42 A",907,IF(Atletas!T399="Taijijian Yang B",908,IF(Atletas!T399="Taijijian Chen B",909,IF(Atletas!T399="Taijijian Sun B",910,IF(Atletas!T399="Taijijian Wu B",911,IF(Atletas!T399="Taijijian Wu-Hao B",912,IF(Atletas!T399="Taijijian 32 B",913,IF(Atletas!T399="Taijijian 42 B",914,IF(Atletas!T399="Taijijian Yang C",915,IF(Atletas!T399="Taijijian Chen C",916,IF(Atletas!T399="Taijijian Sun C",917,IF(Atletas!T399="Taijijian Wu C",918,IF(Atletas!T399="Taijijian Wu-Hao C",919,IF(Atletas!T399="Taijijian 32 C",920,IF(Atletas!T399="Taijijian 42 C",921,IF(Atletas!T399="Taijijian Yang D",922,IF(Atletas!T399="Taijijian Chen D",923,IF(Atletas!T399="Taijijian Sun D",924,IF(Atletas!T399="Taijijian Wu D",925,IF(Atletas!T399="Taijijian Wu-Hao D",926,IF(Atletas!T399="Taijijian 32 D",927,IF(Atletas!T399="Taijijian 42 D",928,IF(Atletas!T399="Taijijian Yang E",929,IF(Atletas!T399="Taijijian Chen E",930,IF(Atletas!T399="Taijijian Sun E",931,IF(Atletas!T399="Taijijian Wu E",932,IF(Atletas!T399="Taijijian Wu-Hao E",933,IF(Atletas!T399="Taijijian 32 E",934,IF(Atletas!T399="Taijijian 42 E",935,IF(Atletas!T399="Taijijian Yang F",936,IF(Atletas!T399="Taijijian Chen F",937,IF(Atletas!T399="Taijijian Sun F",938,IF(Atletas!T399="Taijijian Wu F",939,IF(Atletas!T399="Taijijian Wu-Hao F",940,IF(Atletas!T399="Taijijian 32 F",941,IF(Atletas!T399="Taijijian 42 F",942,"")))))))))))))))))))))))))))))))))))))))))))</f>
        <v/>
      </c>
      <c r="BW403" s="52" t="str">
        <f>IF(Atletas!U399="","",IF(Atletas!W399&lt;&gt;"",10000,0)+IF(Atletas!B399="Feminino",1000,IF(Atletas!B399="Masculino",2000,""))+IF(Atletas!T399="Taijijian 42 F",942,IF(Atletas!U399="Taijidao A",943,IF(Atletas!U399="Taijishan A",944,IF(Atletas!U399="Taijiqiang A",945,IF(Atletas!U399="Taijidao B",946,IF(Atletas!U399="Taijishan B",947,IF(Atletas!U399="Taijiqiang B",948,IF(Atletas!U399="Taijidao C",949,IF(Atletas!U399="Taijishan C",950,IF(Atletas!U399="Taijiqiang C",951,IF(Atletas!U399="Taijidao D",952,IF(Atletas!U399="Taijishan D",953,IF(Atletas!U399="Taijiqiang D",954,IF(Atletas!U399="Taijidao E",955,IF(Atletas!U399="Taijishan E",956,IF(Atletas!U399="Taijiqiang E",957,IF(Atletas!U399="Taijidao F",958,IF(Atletas!U399="Taijishan F",959,IF(Atletas!U399="Taijiqiang F",960))))))))))))))))))))</f>
        <v/>
      </c>
      <c r="CB403" s="64" t="str">
        <f>IF(CC403&lt;&gt;"","Taijidao E","")</f>
        <v/>
      </c>
      <c r="CC403" s="64" t="str">
        <f>IF(COUNTIF(BK:BW,11955)&gt;0,COUNTIF(BK:BW,11955),"")</f>
        <v/>
      </c>
      <c r="CD403" s="64" t="str">
        <f>IF(CE403&lt;&gt;"","Taijidao E","")</f>
        <v/>
      </c>
      <c r="CE403" s="64" t="str">
        <f>IF(COUNTIF(BK:BW,12955)&gt;0,COUNTIF(BK:BW,12955),"")</f>
        <v/>
      </c>
      <c r="CF403" s="52" t="str">
        <f xml:space="preserve"> IF(Atletas!V399="","",IF(Atletas!V399="Duilian de Mãos AB - Equipe 1",1,IF(Atletas!V399="Duilian de Mãos AB - Equipe 2",2,IF(Atletas!V399="Duilian de Armas AB - Equipe 1",3,IF(Atletas!V399="Duilian de Armas AB - Equipe 2",4,IF(Atletas!V399="Duilian de Tuishou - Equipe 1",5,IF(Atletas!V399="Duilian de Tuishou - Equipe 2",6,IF(Atletas!V399="Grupo Externo AB - Equipe 1",7,IF(Atletas!V399="Grupo Externo AB - Equipe 2",8,IF(Atletas!V399="Grupo Interno AB - Equipe 1",9,IF(Atletas!V399="Grupo Interno AB - Equipe 2",10,IF(Atletas!V399="Duilian de Mãos CD - Equipe 1",11,IF(Atletas!V399="Duilian de Mãos CD - Equipe 2",12,IF(Atletas!V399="Duilian de Armas CD - Equipe 1",13,IF(Atletas!V399="Duilian de Armas CD - Equipe 2",14,IF(Atletas!V399="Duilian de Tuishou - Equipe 1",15,IF(Atletas!V399="Duilian de Tuishou - Equipe 2",16,IF(Atletas!V399="Grupo Externo CDEF - Equipe 1",17,IF(Atletas!V399="Grupo Externo CDEF - Equipe 2",18,IF(Atletas!V399="Grupo Interno CDEF - Equipe 1",19,IF(Atletas!V399="Grupo Interno CDEF - Equipe 2",20,IF(Atletas!V399="Duilian de Mãos EF - Equipe 1",21,IF(Atletas!V399="Duilian de Mãos EF - Equipe 2",22,IF(Atletas!V399="Duilian de Armas EF - Equipe 1",23,IF(Atletas!V399="Duilian de Armas EF - Equipe 2",24,IF(Atletas!V399="Duilian de Tuishou - Equipe 1",25,IF(Atletas!V399="Duilian de Tuishou - Equipe 2",26,"")))))))))))))))))))))))))))</f>
        <v/>
      </c>
    </row>
    <row r="404" spans="36:84">
      <c r="AJ404" s="46" t="str">
        <f>IF(Atletas!D400="","",IF(Atletas!B400="Feminino",100,IF(Atletas!B400="Masculino",200,""))+(IF(Atletas!D400="Infantil 39kg",1,IF(Atletas!D400="Infantil 42kg",2,IF(Atletas!D400="Infantil 45kg",3,IF(Atletas!D400="Infantil 48kg",4,IF(Atletas!D400="Infantil 52kg",5,IF(Atletas!D400="Infantil 56kg",6,IF(Atletas!D400="Infantil 60kg",7,IF(Atletas!D400="Juvenil 48kg",8,IF(Atletas!D400="Juvenil 52kg",9,IF(Atletas!D400="Juvenil 56kg",10,IF(Atletas!D400="Juvenil 60kg",11,IF(Atletas!D400="Juvenil 65kg",12,IF(Atletas!D400="Juvenil 70kg",13,IF(Atletas!D400="Juvenil 75kg",14,IF(Atletas!D400="Juvenil 80kg",15,IF(Atletas!D400="Adulto 48kg",16,IF(Atletas!D400="Adulto 52kg",17,IF(Atletas!D400="Adulto 56kg",18,IF(Atletas!D400="Adulto 60kg",19,IF(Atletas!D400="Adulto 65kg",20,IF(Atletas!D400="Adulto 70kg",21,IF(Atletas!D400="Adulto 75kg",22,IF(Atletas!D400="Adulto 80kg",23,IF(Atletas!D400="Adulto 85kg",24,IF(Atletas!D400="Adulto 90kg",25,IF(Atletas!D400="Adulto +90kg",26,""))))))))))))))))))))))))))))</f>
        <v/>
      </c>
      <c r="AO404" s="10" t="str">
        <f>IF(Atletas!E400="","",IF(Atletas!B400="Feminino",100,IF(Atletas!B400="Masculino",200,""))+(IF(Atletas!E400="Juvenil 44kg",1,IF(Atletas!E400="Juvenil 48kg",2,IF(Atletas!E400="Juvenil 52kg",3,IF(Atletas!E400="Juvenil 56kg",4,IF(Atletas!E400="Juvenil 60kg",5,IF(Atletas!E400="Juvenil 65kg",6,IF(Atletas!E400="Juvenil 70kg",7,IF(Atletas!E400="Juvenil 75kg",8,IF(Atletas!E400="Juvenil 82kg",9,IF(Atletas!E400="Juvenil 90kg",10,IF(Atletas!E400="Juvenil 100kg",11,IF(Atletas!E400="Adulto 48kg",12,IF(Atletas!E400="Adulto 52kg",13,IF(Atletas!E400="Adulto 56kg",14,IF(Atletas!E400="Adulto 60kg",15,IF(Atletas!E400="Adulto 65kg",16,IF(Atletas!E400="Adulto 70kg",17,IF(Atletas!E400="Adulto 75kg",18,IF(Atletas!E400="Adulto 82kg",19,IF(Atletas!E400="Adulto 90kg",20,IF(Atletas!E400="Adulto 100kg",21,IF(Atletas!E400="Adulto +100kg",22,""))))))))))))))))))))))))</f>
        <v/>
      </c>
      <c r="AT404" s="10" t="str">
        <f>IF(Atletas!F400="","",IF(Atletas!B400="Feminino",100,IF(Atletas!B400="Masculino",200,""))+(IF(Atletas!F400="Adulto 48kg",1,IF(Atletas!F400="Adulto 56kg",2,IF(Atletas!F400="Adulto 65kg",3,IF(Atletas!F400="Adulto 75kg",4,IF(Atletas!F400="Adulto +75kg",5,IF(Atletas!F400="Adulto 52kg",6,IF(Atletas!F400="Adulto 60kg",7,IF(Atletas!F400="Adulto 70kg",8,IF(Atletas!F400="Adulto 80kg",9,IF(Atletas!F400="Adulto 90kg",10,IF(Atletas!F400="Adulto +90kg",11,"")))))))))))))</f>
        <v/>
      </c>
      <c r="AY404" s="46" t="str">
        <f>IF(Atletas!G400="","",IF(Atletas!B400="Feminino",100,IF(Atletas!B400="Masculino",200,""))+(IF(Atletas!G400="Changquan Mirim",1,IF(Atletas!G400="Nanquan Mirim",2,IF(Atletas!G400="Taijiquan Mirim",3,IF(Atletas!G400="Changquan Grupo C",4,IF(Atletas!G400="Nanquan Grupo C",5,IF(Atletas!G400="Taijiquan Grupo C",6,IF(Atletas!G400="Changquan Grupo B",7,IF(Atletas!G400="Nanquan Grupo B",8,IF(Atletas!G400="Taijiquan Grupo B",9,IF(Atletas!G400="Changquan Grupo A",10,IF(Atletas!G400="Nanquan Grupo A",11,IF(Atletas!G400="Taijiquan Grupo A",12,IF(Atletas!G400="Changquan Opcional",13,IF(Atletas!G400="Nanquan Opcional",14,IF(Atletas!G400="Taijiquan Opcional",15,IF(Atletas!G400="Changquan Adulto",16,IF(Atletas!G400="Nanquan Adulto",17,IF(Atletas!G400="Taijiquan Adulto",18,""))))))))))))))))))))</f>
        <v/>
      </c>
      <c r="AZ404" s="46" t="str">
        <f>IF(Atletas!H400="","",IF(Atletas!B400="Feminino",100,IF(Atletas!B400="Masculino",200,""))+(IF(Atletas!H400="Daoshu Mirim",19,IF(Atletas!H400="Jianshu Mirim",20,IF(Atletas!H400="Nandao Mirim",21,IF(Atletas!H400="Taijijian Mirim",22,IF(Atletas!H400="Daoshu Grupo C",23,IF(Atletas!H400="Jianshu Grupo C",24,IF(Atletas!H400="Nandao Grupo C",25,IF(Atletas!H400="Taijijian Grupo C",26,IF(Atletas!H400="Daoshu Grupo B",27,IF(Atletas!H400="Jianshu Grupo B",28,IF(Atletas!H400="Nandao Grupo B",29,IF(Atletas!H400="Taijijian Grupo B",30,IF(Atletas!H400="Daoshu Grupo A",31,IF(Atletas!H400="Jianshu Grupo A",32,IF(Atletas!H400="Nandao Grupo A",33,IF(Atletas!H400="Taijijian Grupo A",34,IF(Atletas!H400="Daoshu Opcional",35,IF(Atletas!H400="Jianshu Opcional",36,IF(Atletas!H400="Nandao Opcional",37,IF(Atletas!H400="Taijijian Opcional",38,IF(Atletas!H400="Daoshu Adulto",39,IF(Atletas!H400="Jianshu Adulto",40,IF(Atletas!H400="Nandao Adulto",41,IF(Atletas!H400="Taijijian Adulto",42,""))))))))))))))))))))))))))</f>
        <v/>
      </c>
      <c r="BA404" s="46" t="str">
        <f>IF(Atletas!I400="","",IF(Atletas!B400="Feminino",100,IF(Atletas!B400="Masculino",200,""))+(IF(Atletas!I400="Gunshu Mirim",43,IF(Atletas!I400="Qiangshu Mirim",44,IF(Atletas!I400="Nangun Mirim",45,IF(Atletas!I400="Gunshu Grupo C",46,IF(Atletas!I400="Qiangshu Grupo C",47,IF(Atletas!I400="Nangun Grupo C",48,IF(Atletas!I400="Gunshu Grupo B",49,IF(Atletas!I400="Qiangshu Grupo B",50,IF(Atletas!I400="Nangun Grupo B",51,IF(Atletas!I400="Gunshu Grupo A",52,IF(Atletas!I400="Qiangshu Grupo A",53,IF(Atletas!I400="Nangun Grupo A",54,IF(Atletas!I400="Gunshu Opcional",55,IF(Atletas!I400="Qiangshu Opcional",56,IF(Atletas!I400="Nangun Opcional",57,IF(Atletas!I400="Gunshu Adulto",58,IF(Atletas!I400="Qiangshu Adulto",59,IF(Atletas!I400="Nangun Adulto",60,""))))))))))))))))))))</f>
        <v/>
      </c>
      <c r="BF404" s="52" t="str">
        <f>IF(Atletas!J400="","",IF(Atletas!B400="Feminino",100,IF(Atletas!B400="Masculino",200,""))+(IF(Atletas!J400="Equipe 1 Grupo B",1,IF(Atletas!J400="Equipe 2 Grupo B",2,IF(Atletas!J400="Equipe 1 Grupo A",3,IF(Atletas!J400="Equipe 2 Grupo A",4,IF(Atletas!J400="Equipe 1 Adulto",5,IF(Atletas!J400="Equipe 2 Adulto",6,""))))))))</f>
        <v/>
      </c>
      <c r="BK404" s="52" t="str">
        <f>IF(Atletas!K400="","",IF(Atletas!W400&lt;&gt;"",10000,0)+(IF(Atletas!B400="Feminino",1000,IF(Atletas!B400="Masculino",2000,""))+IF(Atletas!K400="Choylayfut A",1,IF(Atletas!K400="Hunggar A",2,IF(Atletas!K400="Wuzuquan A",3,IF(Atletas!K400="Wingchun A",4,IF(Atletas!K400="Outra Mão de Sul A",5,IF(Atletas!K400="Choylayfut B",6,IF(Atletas!K400="Hunggar B",7,IF(Atletas!K400="Wuzuquan B",8,IF(Atletas!K400="Wingchun B",9,IF(Atletas!K400="Outra Mão de Sul B",10,IF(Atletas!K400="Choylayfut C",11,IF(Atletas!K400="Hunggar C",12,IF(Atletas!K400="Wuzuquan C",13,IF(Atletas!K400="Wingchun C",14,IF(Atletas!K400="Outra Mão de Sul C",15,IF(Atletas!K400="Choylayfut D",16,IF(Atletas!K400="Hunggar D",17,IF(Atletas!K400="Wuzuquan D",18,IF(Atletas!K400="Wingchun D",19,IF(Atletas!K400="Outra Mão de Sul D",20,IF(Atletas!K400="Choylayfut E",21,IF(Atletas!K400="Hunggar E",22,IF(Atletas!K400="Wuzuquan E",23,IF(Atletas!K400="Wingchun E",24,IF(Atletas!K400="Outra Mão de Sul E",25,IF(Atletas!K400="Choylayfut F",26,IF(Atletas!K400="Hunggar F",27,IF(Atletas!K400="Wuzuquan F",28,IF(Atletas!K400="Wingchun F",29,IF(Atletas!K400="Outra Mão de Sul F",30,""))))))))))))))))))))))))))))))))</f>
        <v/>
      </c>
      <c r="BL404" s="52" t="str">
        <f>IF(Atletas!L400="","",IF(Atletas!W400&lt;&gt;"",10000,0)+(IF(Atletas!B400="Feminino",1000,IF(Atletas!B400="Masculino",2000,""))+(IF(Atletas!L400="Chaquan A",101,IF(Atletas!L400="Emeiquan A",102,IF(Atletas!L400="Fanziquan A",103,IF(Atletas!L400="Huaquan A",104,IF(Atletas!L400="Hongquan A",105,IF(Atletas!L400="Paochui A",106,IF(Atletas!L400="Piguaquan A",107,IF(Atletas!L400="Shaolinquan A",108,IF(Atletas!L400="Tanglangquan A",109,IF(Atletas!L400="Yinzhaophai A",110,IF(Atletas!L400="Tongbeiquan A",111,IF(Atletas!L400="Wudangquan A",112,IF(Atletas!L400="Outros Estilos A",113,IF(Atletas!L400="Chaquan B",114,IF(Atletas!L400="Emeiquan B",115,IF(Atletas!L400="Fanziquan B",116,IF(Atletas!L400="Huaquan B",117,IF(Atletas!L400="Hongquan B",118,IF(Atletas!L400="Paochui B",119,IF(Atletas!L400="Piguaquan B",120,IF(Atletas!L400="Shaolinquan B",121,IF(Atletas!L400="Tanglangquan B",122,IF(Atletas!L400="Yinzhaophai B",123,IF(Atletas!L400="Tongbeiquan B",124,IF(Atletas!L400="Wudangquan B",125,IF(Atletas!L400="Outros Estilos B",126,IF(Atletas!L400="Chaquan C",127,IF(Atletas!L400="Emeiquan C",128,IF(Atletas!L400="Fanziquan C",129,IF(Atletas!L400="Huaquan C",130,IF(Atletas!L400="Hongquan C",131,IF(Atletas!L400="Paochui C",132,IF(Atletas!L400="Piguaquan C",133,IF(Atletas!L400="Shaolinquan C",134,IF(Atletas!L400="Tanglangquan C",135,IF(Atletas!L400="Yinzhaophai C",136,IF(Atletas!L400="Tongbeiquan C",137,IF(Atletas!L400="Wudangquan C",138,IF(Atletas!L400="Outros Estilos C",139,0))))))))))))))))))))))))))))))))))))))))))</f>
        <v/>
      </c>
      <c r="BM404" s="52" t="str">
        <f>IF(Atletas!L400="","",IF(Atletas!W400&lt;&gt;"",10000,0)+(IF(Atletas!B400="Feminino",1000,IF(Atletas!B400="Masculino",2000,""))+(IF(Atletas!L400="Chaquan D",140,IF(Atletas!L400="Emeiquan D",141,IF(Atletas!L400="Fanziquan D",142,IF(Atletas!L400="Huaquan D",143,IF(Atletas!L400="Hongquan D",144,IF(Atletas!L400="Paochui D",145,IF(Atletas!L400="Piguaquan D",146,IF(Atletas!L400="Shaolinquan D",147,IF(Atletas!L400="Tanglangquan D",148,IF(Atletas!L400="Yinzhaophai D",149,IF(Atletas!L400="Tongbeiquan D",150,IF(Atletas!L400="Wudangquan D",151,IF(Atletas!L400="Outros Estilos D",152,IF(Atletas!L400="Chaquan E",153,IF(Atletas!L400="Emeiquan E",154,IF(Atletas!L400="Fanziquan E",155,IF(Atletas!L400="Huaquan E",156,IF(Atletas!L400="Hongquan E",157,IF(Atletas!L400="Paochui E",158,IF(Atletas!L400="Piguaquan E",159,IF(Atletas!L400="Shaolinquan E",160,IF(Atletas!L400="Tanglangquan E",161,IF(Atletas!L400="Yinzhaophai E",162,IF(Atletas!L400="Tongbeiquan E",163,IF(Atletas!L400="Wudangquan E",164,IF(Atletas!L400="Outros Estilos E",165,IF(Atletas!L400="Chaquan F",166,IF(Atletas!L400="Emeiquan F",167,IF(Atletas!L400="Fanziquan F",168,IF(Atletas!L400="Huaquan F",169,IF(Atletas!L400="Hongquan F",170,IF(Atletas!L400="Paochui F",171,IF(Atletas!L400="Piguaquan F",172,IF(Atletas!L400="Shaolinquan F",173,IF(Atletas!L400="Tanglangquan F",174,IF(Atletas!L400="Yinzhaophai F",175,IF(Atletas!L400="Tongbeiquan F",176,IF(Atletas!L400="Wudangquan F",177,IF(Atletas!L400="Outros Estilos F",178,0))))))))))))))))))))))))))))))))))))))))))</f>
        <v/>
      </c>
      <c r="BN404" s="52" t="str">
        <f>IF(Atletas!M400="","",IF(Atletas!W400&lt;&gt;"",10000,0)+(IF(Atletas!B400="Feminino",1000,IF(Atletas!B400="Masculino",2000,""))+(IF(Atletas!M400="Ditangquan A",201,IF(Atletas!M400="Houquan A",202,IF(Atletas!M400="Zuiquan A",203,IF(Atletas!M400="Ditangquan B",204,IF(Atletas!M400="Houquan B",205,IF(Atletas!M400="Zuiquan B",206,IF(Atletas!M400="Ditangquan C",207,IF(Atletas!M400="Houquan C",208,IF(Atletas!M400="Zuiquan C",209,IF(Atletas!M400="Ditangquan D",210,IF(Atletas!M400="Houquan D",211,IF(Atletas!M400="Zuiquan D",212,IF(Atletas!M400="Ditangquan E",213,IF(Atletas!M400="Houquan E",214,IF(Atletas!M400="Zuiquan E",215,IF(Atletas!M400="Ditangquan F",216,IF(Atletas!M400="Houquan F",217,IF(Atletas!M400="Zuiquan F",218,"")))))))))))))))))))))</f>
        <v/>
      </c>
      <c r="BO404" s="52" t="str">
        <f>IF(Atletas!N400="","",IF(Atletas!W400&lt;&gt;"",10000,0)+IF(Atletas!B400="Feminino",1000,IF(Atletas!B400="Masculino",2000,""))+IF(Atletas!N400="Yang A",301,IF(Atletas!N400="Chen A",30,IF(Atletas!N400="Sun A",303,IF(Atletas!N400="Wu A",304,IF(Atletas!N400="Wu-Hao A",305,IF(Atletas!N400="Outro Taijiquan A",306,IF(Atletas!N400="Yang B",307,IF(Atletas!N400="Chen B",308,IF(Atletas!N400="Sun B",309,IF(Atletas!N400="Wu B",310,IF(Atletas!N400="Wu-Hao B",311,IF(Atletas!N400="Outro Taijiquan B",312,IF(Atletas!N400="Yang C",313,IF(Atletas!N400="Chen C",314,IF(Atletas!N400="Sun C",315,IF(Atletas!N400="Wu C",316,IF(Atletas!N400="Wu-Hao C",317,IF(Atletas!N400="Outro Taijiquan C",318,IF(Atletas!N400="Yang D",319,IF(Atletas!N400="Chen D",320,IF(Atletas!N400="Sun D",321,IF(Atletas!N400="Wu D",322,IF(Atletas!N400="Wu-Hao D",323,IF(Atletas!N400="Outro Taijiquan D",324,IF(Atletas!N400="Yang E",325,IF(Atletas!N400="Chen E",326,IF(Atletas!N400="Sun E",327,IF(Atletas!N400="Wu E",328,IF(Atletas!N400="Wu-Hao E",329,IF(Atletas!N400="Outro Taijiquan E",330,IF(Atletas!N400="Yang F",331,IF(Atletas!N400="Chen F",332,IF(Atletas!N400="Sun F",333,IF(Atletas!N400="Wu F",334,IF(Atletas!N400="Wu-Hao F",335,IF(Atletas!N400="Outro Taijiquan F",336,"")))))))))))))))))))))))))))))))))))))</f>
        <v/>
      </c>
      <c r="BP404" s="52" t="str">
        <f>IF(Atletas!O400="","",IF(Atletas!W400&lt;&gt;"",10000,0)+IF(Atletas!B400="Feminino",1000,IF(Atletas!B400="Masculino",2000,""))+IF(OR(Atletas!O400="Yang 26 A",Atletas!O400="Yang 40 A"),401,IF(OR(Atletas!O400="Chen 25 A",Atletas!O400="Chen 36 A",Atletas!O400="Chen 56 A"),402,IF(Atletas!O400="Sun 73 A",403,IF(Atletas!O400="Wu 45 A",404,IF(Atletas!O400="Wu-Hao 46 A",405,IF(OR(Atletas!O400="Taijiquan 16 A",Atletas!O400="Taijiquan 24 A",Atletas!O400="Taijiquan 32 A",Atletas!O400="Taijiquan 42 A"),406,IF(OR(Atletas!O400="Yang 26 B",Atletas!O400="Yang 40 B"),407,IF(OR(Atletas!O400="Chen 25 B",Atletas!O400="Chen 36 B",Atletas!O400="Chen 56 B"),408,IF(Atletas!O400="Sun 73 B",409,IF(Atletas!O400="Wu 45 B",410,IF(Atletas!O400="Wu-Hao 46 B",411,IF(OR(Atletas!O400="Taijiquan 16 B",Atletas!O400="Taijiquan 24 B",Atletas!O400="Taijiquan 32 B",Atletas!O400="Taijiquan 42 B"),412,IF(OR(Atletas!O400="Yang 26 C",Atletas!O400="Yang 40 C"),413,IF(OR(Atletas!O400="Chen 25 C",Atletas!O400="Chen 36 C",Atletas!O400="Chen 56 C"),414,IF(Atletas!O400="Sun 73 C",415,IF(Atletas!O400="Wu 45 C",416,IF(Atletas!O400="Wu-Hao 46 C",417,IF(OR(Atletas!O400="Taijiquan 16 C",Atletas!O400="Taijiquan 24 C",Atletas!O400="Taijiquan 32 C",Atletas!O400="Taijiquan 42 C"),418,0)))))))))))))))))))</f>
        <v/>
      </c>
      <c r="BQ404" s="52" t="str">
        <f>IF(Atletas!O400="","",IF(Atletas!W400&lt;&gt;"",10000,0)+IF(Atletas!B400="Feminino",1000,IF(Atletas!B400="Masculino",2000,""))+IF(OR(Atletas!O400="Yang 26 D",Atletas!O400="Yang 40 D"),419,IF(OR(Atletas!O400="Chen 25 D",Atletas!O400="Chen 36 D",Atletas!O400="Chen 56 D"),420,IF(Atletas!O400="Sun 73 D",421,IF(Atletas!O400="Wu 45 D",422,IF(Atletas!O400="Wu-Hao 46 D",423,IF(OR(Atletas!O400="Taijiquan 16 D",Atletas!O400="Taijiquan 24 D",Atletas!O400="Taijiquan 32 D",Atletas!O400="Taijiquan 42 D"),424,IF(OR(Atletas!O400="Yang 26 E",Atletas!O400="Yang 40 E"),425,IF(OR(Atletas!O400="Chen 25 E",Atletas!O400="Chen 36 E",Atletas!O400="Chen 56 E"),426,IF(Atletas!O400="Sun 73 E",427,IF(Atletas!O400="Wu 45 E",428,IF(Atletas!O400="Wu-Hao 46 E",429,IF(OR(Atletas!O400="Taijiquan 16 E",Atletas!O400="Taijiquan 24 E",Atletas!O400="Taijiquan 32 E",Atletas!O400="Taijiquan 42 E"),430,IF(OR(Atletas!O400="Yang 26 F",Atletas!O400="Yang 40 F"),431,IF(OR(Atletas!O400="Chen 25 F",Atletas!O400="Chen 36 F",Atletas!O400="Chen 56 F"),432,IF(Atletas!O400="Sun 73 F",433,IF(Atletas!O400="Wu 45 F",434,IF(Atletas!O400="Wu-Hao 46 F",435,IF(OR(Atletas!O400="Taijiquan 16 F",Atletas!O400="Taijiquan 24 F",Atletas!O400="Taijiquan 32 F",Atletas!O400="Taijiquan 42 F"),436,0)))))))))))))))))))</f>
        <v/>
      </c>
      <c r="BR404" s="52" t="str">
        <f>IF(Atletas!P400="","",IF(Atletas!W400&lt;&gt;"",10000,0)+IF(Atletas!B400="Feminino",1000,IF(Atletas!B400="Masculino",2000,""))+IF(Atletas!P400="Xingyiquan A",501,IF(Atletas!P400="Baguazhang A",502,IF(Atletas!P400="Outro Estilo Interno A",503,IF(Atletas!P400="Xingyiquan B",504,IF(Atletas!P400="Baguazhang B",505,IF(Atletas!P400="Outro Estilo Interno B",506,IF(Atletas!P400="Xingyiquan C",507,IF(Atletas!P400="Baguazhang C",508,IF(Atletas!P400="Outro Estilo Interno C",509,IF(Atletas!P400="Xingyiquan D",510,IF(Atletas!P400="Baguazhang D",511,IF(Atletas!P400="Outro Estilo Interno D",512,IF(Atletas!P400="Xingyiquan E",513,IF(Atletas!P400="Baguazhang E",514,IF(Atletas!P400="Outro Estilo Interno E",515,IF(Atletas!P400="Xingyiquan F",516,IF(Atletas!P400="Baguazhang F",517,IF(Atletas!P400="Outro Estilo Interno F",518, "")))))))))))))))))))</f>
        <v/>
      </c>
      <c r="BS404" s="52" t="str">
        <f>IF(Atletas!Q400="","",IF(Atletas!W400&lt;&gt;"",10000,0)+IF(Atletas!B400="Feminino",1000,IF(Atletas!B400="Masculino",2000,""))+IF(Atletas!Q400="Dao A",601,IF(Atletas!Q400="Jian A",602,IF(Atletas!Q400="Bishou A",603,IF(Atletas!Q400="Shan A",604,IF(Atletas!Q400="Outra Arma Curta A",605,IF(Atletas!Q400="Dao B",606,IF(Atletas!Q400="Jian B",607,IF(Atletas!Q400="Bishou B",608,IF(Atletas!Q400="Shan B",609,IF(Atletas!Q400="Outra Arma Curta B",610,IF(Atletas!Q400="Dao C",611,IF(Atletas!Q400="Jian C",612,IF(Atletas!Q400="Bishou C",613,IF(Atletas!Q400="Shan C",614,IF(Atletas!Q400="Outra Arma Curta C",615,IF(Atletas!Q400="Dao D",616,IF(Atletas!Q400="Jian D",617,IF(Atletas!Q400="Bishou D",618,IF(Atletas!Q400="Shan D",619,IF(Atletas!Q400="Outra Arma Curta D",620,IF(Atletas!Q400="Dao E",621,IF(Atletas!Q400="Jian E",622,IF(Atletas!Q400="Bishou E",623,IF(Atletas!Q400="Shan E",624,IF(Atletas!Q400="Outra Arma Curta E",625,IF(Atletas!Q400="Dao F",626,IF(Atletas!Q400="Jian F",627,IF(Atletas!Q400="Bishou F",628,IF(Atletas!Q400="Shan F",629,IF(Atletas!Q400="Outra Arma Curta F",630, "")))))))))))))))))))))))))))))))</f>
        <v/>
      </c>
      <c r="BT404" s="52" t="str">
        <f>IF(Atletas!R400="","",IF(Atletas!W400&lt;&gt;"",10000,0)+IF(Atletas!B400="Feminino",1000,IF(Atletas!B400="Masculino",2000,""))+IF(Atletas!R400="Gun A",701,IF(Atletas!R400="Qiang A",702,IF(Atletas!R400="Pudao / Guandao A",703,IF(Atletas!R400="Outra Arma Longa A",704,IF(Atletas!R400="Gun B",705,IF(Atletas!R400="Qiang B",706,IF(Atletas!R400="Pudao / Guandao B",707,IF(Atletas!R400="Outra Arma Longa B",708,IF(Atletas!R400="Gun C",709,IF(Atletas!R400="Qiang C",710,IF(Atletas!R400="Pudao / Guandao C",711,IF(Atletas!R400="Outra Arma Longa C",712,IF(Atletas!R400="Gun D",713,IF(Atletas!R400="Qiang D",714,IF(Atletas!R400="Pudao / Guandao D",715,IF(Atletas!R400="Outra Arma Longa D",716,IF(Atletas!R400="Gun E",717,IF(Atletas!R400="Qiang E",718,IF(Atletas!R400="Pudao / Guandao E",719,IF(Atletas!R400="Outra Arma Longa E",720,IF(Atletas!R400="Gun F",721,IF(Atletas!R400="Qiang F",722,IF(Atletas!R400="Pudao / Guandao F",723,IF(Atletas!R400="Outra Arma Longa F",724,"")))))))))))))))))))))))))</f>
        <v/>
      </c>
      <c r="BU404" s="52" t="str">
        <f>IF(Atletas!S400="","",IF(Atletas!W400&lt;&gt;"",10000,0)+IF(Atletas!B400="Feminino",1000,IF(Atletas!B400="Masculino",2000,""))+IF(Atletas!S400="Arma Dupla A",801,IF(Atletas!S400="Arma Maleável A",802,IF(Atletas!S400="Arma Dupla B",803,IF(Atletas!S400="Arma Maleável B",804,IF(Atletas!S400="Arma Dupla C",805,IF(Atletas!S400="Arma Maleável C",806,IF(Atletas!S400="Arma Dupla D",807,IF(Atletas!S400="Arma Maleável D",808,IF(Atletas!S400="Arma Dupla E",809,IF(Atletas!S400="Arma Maleável E",810,IF(Atletas!S400="Arma Dupla F",811,IF(Atletas!S400="Arma Maleável F",812, "")))))))))))))</f>
        <v/>
      </c>
      <c r="BV404" s="52" t="str">
        <f>IF(Atletas!T400="","",IF(Atletas!W400&lt;&gt;"",10000,0)+IF(Atletas!B400="Feminino",1000,IF(Atletas!B400="Masculino",2000,""))+IF(Atletas!T400="Taijijian Yang A",901,IF(Atletas!T400="Taijijian Chen A",902,IF(Atletas!T400="Taijijian Sun A",903,IF(Atletas!T400="Taijijian Wu A",904,IF(Atletas!T400="Taijijian Wu-Hao A",905,IF(Atletas!T400="Taijijian 32 A",906,IF(Atletas!T400="Taijijian 42 A",907,IF(Atletas!T400="Taijijian Yang B",908,IF(Atletas!T400="Taijijian Chen B",909,IF(Atletas!T400="Taijijian Sun B",910,IF(Atletas!T400="Taijijian Wu B",911,IF(Atletas!T400="Taijijian Wu-Hao B",912,IF(Atletas!T400="Taijijian 32 B",913,IF(Atletas!T400="Taijijian 42 B",914,IF(Atletas!T400="Taijijian Yang C",915,IF(Atletas!T400="Taijijian Chen C",916,IF(Atletas!T400="Taijijian Sun C",917,IF(Atletas!T400="Taijijian Wu C",918,IF(Atletas!T400="Taijijian Wu-Hao C",919,IF(Atletas!T400="Taijijian 32 C",920,IF(Atletas!T400="Taijijian 42 C",921,IF(Atletas!T400="Taijijian Yang D",922,IF(Atletas!T400="Taijijian Chen D",923,IF(Atletas!T400="Taijijian Sun D",924,IF(Atletas!T400="Taijijian Wu D",925,IF(Atletas!T400="Taijijian Wu-Hao D",926,IF(Atletas!T400="Taijijian 32 D",927,IF(Atletas!T400="Taijijian 42 D",928,IF(Atletas!T400="Taijijian Yang E",929,IF(Atletas!T400="Taijijian Chen E",930,IF(Atletas!T400="Taijijian Sun E",931,IF(Atletas!T400="Taijijian Wu E",932,IF(Atletas!T400="Taijijian Wu-Hao E",933,IF(Atletas!T400="Taijijian 32 E",934,IF(Atletas!T400="Taijijian 42 E",935,IF(Atletas!T400="Taijijian Yang F",936,IF(Atletas!T400="Taijijian Chen F",937,IF(Atletas!T400="Taijijian Sun F",938,IF(Atletas!T400="Taijijian Wu F",939,IF(Atletas!T400="Taijijian Wu-Hao F",940,IF(Atletas!T400="Taijijian 32 F",941,IF(Atletas!T400="Taijijian 42 F",942,"")))))))))))))))))))))))))))))))))))))))))))</f>
        <v/>
      </c>
      <c r="BW404" s="52" t="str">
        <f>IF(Atletas!U400="","",IF(Atletas!W400&lt;&gt;"",10000,0)+IF(Atletas!B400="Feminino",1000,IF(Atletas!B400="Masculino",2000,""))+IF(Atletas!T400="Taijijian 42 F",942,IF(Atletas!U400="Taijidao A",943,IF(Atletas!U400="Taijishan A",944,IF(Atletas!U400="Taijiqiang A",945,IF(Atletas!U400="Taijidao B",946,IF(Atletas!U400="Taijishan B",947,IF(Atletas!U400="Taijiqiang B",948,IF(Atletas!U400="Taijidao C",949,IF(Atletas!U400="Taijishan C",950,IF(Atletas!U400="Taijiqiang C",951,IF(Atletas!U400="Taijidao D",952,IF(Atletas!U400="Taijishan D",953,IF(Atletas!U400="Taijiqiang D",954,IF(Atletas!U400="Taijidao E",955,IF(Atletas!U400="Taijishan E",956,IF(Atletas!U400="Taijiqiang E",957,IF(Atletas!U400="Taijidao F",958,IF(Atletas!U400="Taijishan F",959,IF(Atletas!U400="Taijiqiang F",960))))))))))))))))))))</f>
        <v/>
      </c>
      <c r="CB404" s="64" t="str">
        <f>IF(CC404&lt;&gt;"","Taijishan E","")</f>
        <v/>
      </c>
      <c r="CC404" s="64" t="str">
        <f>IF(COUNTIF(BK:BW,11956)&gt;0,COUNTIF(BK:BW,11956),"")</f>
        <v/>
      </c>
      <c r="CD404" s="64" t="str">
        <f>IF(CE404&lt;&gt;"","Taijishan E","")</f>
        <v/>
      </c>
      <c r="CE404" s="64" t="str">
        <f>IF(COUNTIF(BK:BW,12956)&gt;0,COUNTIF(BK:BW,12956),"")</f>
        <v/>
      </c>
      <c r="CF404" s="52" t="str">
        <f xml:space="preserve"> IF(Atletas!V400="","",IF(Atletas!V400="Duilian de Mãos AB - Equipe 1",1,IF(Atletas!V400="Duilian de Mãos AB - Equipe 2",2,IF(Atletas!V400="Duilian de Armas AB - Equipe 1",3,IF(Atletas!V400="Duilian de Armas AB - Equipe 2",4,IF(Atletas!V400="Duilian de Tuishou - Equipe 1",5,IF(Atletas!V400="Duilian de Tuishou - Equipe 2",6,IF(Atletas!V400="Grupo Externo AB - Equipe 1",7,IF(Atletas!V400="Grupo Externo AB - Equipe 2",8,IF(Atletas!V400="Grupo Interno AB - Equipe 1",9,IF(Atletas!V400="Grupo Interno AB - Equipe 2",10,IF(Atletas!V400="Duilian de Mãos CD - Equipe 1",11,IF(Atletas!V400="Duilian de Mãos CD - Equipe 2",12,IF(Atletas!V400="Duilian de Armas CD - Equipe 1",13,IF(Atletas!V400="Duilian de Armas CD - Equipe 2",14,IF(Atletas!V400="Duilian de Tuishou - Equipe 1",15,IF(Atletas!V400="Duilian de Tuishou - Equipe 2",16,IF(Atletas!V400="Grupo Externo CDEF - Equipe 1",17,IF(Atletas!V400="Grupo Externo CDEF - Equipe 2",18,IF(Atletas!V400="Grupo Interno CDEF - Equipe 1",19,IF(Atletas!V400="Grupo Interno CDEF - Equipe 2",20,IF(Atletas!V400="Duilian de Mãos EF - Equipe 1",21,IF(Atletas!V400="Duilian de Mãos EF - Equipe 2",22,IF(Atletas!V400="Duilian de Armas EF - Equipe 1",23,IF(Atletas!V400="Duilian de Armas EF - Equipe 2",24,IF(Atletas!V400="Duilian de Tuishou - Equipe 1",25,IF(Atletas!V400="Duilian de Tuishou - Equipe 2",26,"")))))))))))))))))))))))))))</f>
        <v/>
      </c>
    </row>
    <row r="405" spans="36:84">
      <c r="AJ405" s="46" t="str">
        <f>IF(Atletas!D401="","",IF(Atletas!B401="Feminino",100,IF(Atletas!B401="Masculino",200,""))+(IF(Atletas!D401="Infantil 39kg",1,IF(Atletas!D401="Infantil 42kg",2,IF(Atletas!D401="Infantil 45kg",3,IF(Atletas!D401="Infantil 48kg",4,IF(Atletas!D401="Infantil 52kg",5,IF(Atletas!D401="Infantil 56kg",6,IF(Atletas!D401="Infantil 60kg",7,IF(Atletas!D401="Juvenil 48kg",8,IF(Atletas!D401="Juvenil 52kg",9,IF(Atletas!D401="Juvenil 56kg",10,IF(Atletas!D401="Juvenil 60kg",11,IF(Atletas!D401="Juvenil 65kg",12,IF(Atletas!D401="Juvenil 70kg",13,IF(Atletas!D401="Juvenil 75kg",14,IF(Atletas!D401="Juvenil 80kg",15,IF(Atletas!D401="Adulto 48kg",16,IF(Atletas!D401="Adulto 52kg",17,IF(Atletas!D401="Adulto 56kg",18,IF(Atletas!D401="Adulto 60kg",19,IF(Atletas!D401="Adulto 65kg",20,IF(Atletas!D401="Adulto 70kg",21,IF(Atletas!D401="Adulto 75kg",22,IF(Atletas!D401="Adulto 80kg",23,IF(Atletas!D401="Adulto 85kg",24,IF(Atletas!D401="Adulto 90kg",25,IF(Atletas!D401="Adulto +90kg",26,""))))))))))))))))))))))))))))</f>
        <v/>
      </c>
      <c r="AO405" s="10" t="str">
        <f>IF(Atletas!E401="","",IF(Atletas!B401="Feminino",100,IF(Atletas!B401="Masculino",200,""))+(IF(Atletas!E401="Juvenil 44kg",1,IF(Atletas!E401="Juvenil 48kg",2,IF(Atletas!E401="Juvenil 52kg",3,IF(Atletas!E401="Juvenil 56kg",4,IF(Atletas!E401="Juvenil 60kg",5,IF(Atletas!E401="Juvenil 65kg",6,IF(Atletas!E401="Juvenil 70kg",7,IF(Atletas!E401="Juvenil 75kg",8,IF(Atletas!E401="Juvenil 82kg",9,IF(Atletas!E401="Juvenil 90kg",10,IF(Atletas!E401="Juvenil 100kg",11,IF(Atletas!E401="Adulto 48kg",12,IF(Atletas!E401="Adulto 52kg",13,IF(Atletas!E401="Adulto 56kg",14,IF(Atletas!E401="Adulto 60kg",15,IF(Atletas!E401="Adulto 65kg",16,IF(Atletas!E401="Adulto 70kg",17,IF(Atletas!E401="Adulto 75kg",18,IF(Atletas!E401="Adulto 82kg",19,IF(Atletas!E401="Adulto 90kg",20,IF(Atletas!E401="Adulto 100kg",21,IF(Atletas!E401="Adulto +100kg",22,""))))))))))))))))))))))))</f>
        <v/>
      </c>
      <c r="AT405" s="10" t="str">
        <f>IF(Atletas!F401="","",IF(Atletas!B401="Feminino",100,IF(Atletas!B401="Masculino",200,""))+(IF(Atletas!F401="Adulto 48kg",1,IF(Atletas!F401="Adulto 56kg",2,IF(Atletas!F401="Adulto 65kg",3,IF(Atletas!F401="Adulto 75kg",4,IF(Atletas!F401="Adulto +75kg",5,IF(Atletas!F401="Adulto 52kg",6,IF(Atletas!F401="Adulto 60kg",7,IF(Atletas!F401="Adulto 70kg",8,IF(Atletas!F401="Adulto 80kg",9,IF(Atletas!F401="Adulto 90kg",10,IF(Atletas!F401="Adulto +90kg",11,"")))))))))))))</f>
        <v/>
      </c>
      <c r="AY405" s="46" t="str">
        <f>IF(Atletas!G401="","",IF(Atletas!B401="Feminino",100,IF(Atletas!B401="Masculino",200,""))+(IF(Atletas!G401="Changquan Mirim",1,IF(Atletas!G401="Nanquan Mirim",2,IF(Atletas!G401="Taijiquan Mirim",3,IF(Atletas!G401="Changquan Grupo C",4,IF(Atletas!G401="Nanquan Grupo C",5,IF(Atletas!G401="Taijiquan Grupo C",6,IF(Atletas!G401="Changquan Grupo B",7,IF(Atletas!G401="Nanquan Grupo B",8,IF(Atletas!G401="Taijiquan Grupo B",9,IF(Atletas!G401="Changquan Grupo A",10,IF(Atletas!G401="Nanquan Grupo A",11,IF(Atletas!G401="Taijiquan Grupo A",12,IF(Atletas!G401="Changquan Opcional",13,IF(Atletas!G401="Nanquan Opcional",14,IF(Atletas!G401="Taijiquan Opcional",15,IF(Atletas!G401="Changquan Adulto",16,IF(Atletas!G401="Nanquan Adulto",17,IF(Atletas!G401="Taijiquan Adulto",18,""))))))))))))))))))))</f>
        <v/>
      </c>
      <c r="AZ405" s="46" t="str">
        <f>IF(Atletas!H401="","",IF(Atletas!B401="Feminino",100,IF(Atletas!B401="Masculino",200,""))+(IF(Atletas!H401="Daoshu Mirim",19,IF(Atletas!H401="Jianshu Mirim",20,IF(Atletas!H401="Nandao Mirim",21,IF(Atletas!H401="Taijijian Mirim",22,IF(Atletas!H401="Daoshu Grupo C",23,IF(Atletas!H401="Jianshu Grupo C",24,IF(Atletas!H401="Nandao Grupo C",25,IF(Atletas!H401="Taijijian Grupo C",26,IF(Atletas!H401="Daoshu Grupo B",27,IF(Atletas!H401="Jianshu Grupo B",28,IF(Atletas!H401="Nandao Grupo B",29,IF(Atletas!H401="Taijijian Grupo B",30,IF(Atletas!H401="Daoshu Grupo A",31,IF(Atletas!H401="Jianshu Grupo A",32,IF(Atletas!H401="Nandao Grupo A",33,IF(Atletas!H401="Taijijian Grupo A",34,IF(Atletas!H401="Daoshu Opcional",35,IF(Atletas!H401="Jianshu Opcional",36,IF(Atletas!H401="Nandao Opcional",37,IF(Atletas!H401="Taijijian Opcional",38,IF(Atletas!H401="Daoshu Adulto",39,IF(Atletas!H401="Jianshu Adulto",40,IF(Atletas!H401="Nandao Adulto",41,IF(Atletas!H401="Taijijian Adulto",42,""))))))))))))))))))))))))))</f>
        <v/>
      </c>
      <c r="BA405" s="46" t="str">
        <f>IF(Atletas!I401="","",IF(Atletas!B401="Feminino",100,IF(Atletas!B401="Masculino",200,""))+(IF(Atletas!I401="Gunshu Mirim",43,IF(Atletas!I401="Qiangshu Mirim",44,IF(Atletas!I401="Nangun Mirim",45,IF(Atletas!I401="Gunshu Grupo C",46,IF(Atletas!I401="Qiangshu Grupo C",47,IF(Atletas!I401="Nangun Grupo C",48,IF(Atletas!I401="Gunshu Grupo B",49,IF(Atletas!I401="Qiangshu Grupo B",50,IF(Atletas!I401="Nangun Grupo B",51,IF(Atletas!I401="Gunshu Grupo A",52,IF(Atletas!I401="Qiangshu Grupo A",53,IF(Atletas!I401="Nangun Grupo A",54,IF(Atletas!I401="Gunshu Opcional",55,IF(Atletas!I401="Qiangshu Opcional",56,IF(Atletas!I401="Nangun Opcional",57,IF(Atletas!I401="Gunshu Adulto",58,IF(Atletas!I401="Qiangshu Adulto",59,IF(Atletas!I401="Nangun Adulto",60,""))))))))))))))))))))</f>
        <v/>
      </c>
      <c r="BF405" s="52" t="str">
        <f>IF(Atletas!J401="","",IF(Atletas!B401="Feminino",100,IF(Atletas!B401="Masculino",200,""))+(IF(Atletas!J401="Equipe 1 Grupo B",1,IF(Atletas!J401="Equipe 2 Grupo B",2,IF(Atletas!J401="Equipe 1 Grupo A",3,IF(Atletas!J401="Equipe 2 Grupo A",4,IF(Atletas!J401="Equipe 1 Adulto",5,IF(Atletas!J401="Equipe 2 Adulto",6,""))))))))</f>
        <v/>
      </c>
      <c r="BK405" s="52" t="str">
        <f>IF(Atletas!K401="","",IF(Atletas!W401&lt;&gt;"",10000,0)+(IF(Atletas!B401="Feminino",1000,IF(Atletas!B401="Masculino",2000,""))+IF(Atletas!K401="Choylayfut A",1,IF(Atletas!K401="Hunggar A",2,IF(Atletas!K401="Wuzuquan A",3,IF(Atletas!K401="Wingchun A",4,IF(Atletas!K401="Outra Mão de Sul A",5,IF(Atletas!K401="Choylayfut B",6,IF(Atletas!K401="Hunggar B",7,IF(Atletas!K401="Wuzuquan B",8,IF(Atletas!K401="Wingchun B",9,IF(Atletas!K401="Outra Mão de Sul B",10,IF(Atletas!K401="Choylayfut C",11,IF(Atletas!K401="Hunggar C",12,IF(Atletas!K401="Wuzuquan C",13,IF(Atletas!K401="Wingchun C",14,IF(Atletas!K401="Outra Mão de Sul C",15,IF(Atletas!K401="Choylayfut D",16,IF(Atletas!K401="Hunggar D",17,IF(Atletas!K401="Wuzuquan D",18,IF(Atletas!K401="Wingchun D",19,IF(Atletas!K401="Outra Mão de Sul D",20,IF(Atletas!K401="Choylayfut E",21,IF(Atletas!K401="Hunggar E",22,IF(Atletas!K401="Wuzuquan E",23,IF(Atletas!K401="Wingchun E",24,IF(Atletas!K401="Outra Mão de Sul E",25,IF(Atletas!K401="Choylayfut F",26,IF(Atletas!K401="Hunggar F",27,IF(Atletas!K401="Wuzuquan F",28,IF(Atletas!K401="Wingchun F",29,IF(Atletas!K401="Outra Mão de Sul F",30,""))))))))))))))))))))))))))))))))</f>
        <v/>
      </c>
      <c r="BL405" s="52" t="str">
        <f>IF(Atletas!L401="","",IF(Atletas!W401&lt;&gt;"",10000,0)+(IF(Atletas!B401="Feminino",1000,IF(Atletas!B401="Masculino",2000,""))+(IF(Atletas!L401="Chaquan A",101,IF(Atletas!L401="Emeiquan A",102,IF(Atletas!L401="Fanziquan A",103,IF(Atletas!L401="Huaquan A",104,IF(Atletas!L401="Hongquan A",105,IF(Atletas!L401="Paochui A",106,IF(Atletas!L401="Piguaquan A",107,IF(Atletas!L401="Shaolinquan A",108,IF(Atletas!L401="Tanglangquan A",109,IF(Atletas!L401="Yinzhaophai A",110,IF(Atletas!L401="Tongbeiquan A",111,IF(Atletas!L401="Wudangquan A",112,IF(Atletas!L401="Outros Estilos A",113,IF(Atletas!L401="Chaquan B",114,IF(Atletas!L401="Emeiquan B",115,IF(Atletas!L401="Fanziquan B",116,IF(Atletas!L401="Huaquan B",117,IF(Atletas!L401="Hongquan B",118,IF(Atletas!L401="Paochui B",119,IF(Atletas!L401="Piguaquan B",120,IF(Atletas!L401="Shaolinquan B",121,IF(Atletas!L401="Tanglangquan B",122,IF(Atletas!L401="Yinzhaophai B",123,IF(Atletas!L401="Tongbeiquan B",124,IF(Atletas!L401="Wudangquan B",125,IF(Atletas!L401="Outros Estilos B",126,IF(Atletas!L401="Chaquan C",127,IF(Atletas!L401="Emeiquan C",128,IF(Atletas!L401="Fanziquan C",129,IF(Atletas!L401="Huaquan C",130,IF(Atletas!L401="Hongquan C",131,IF(Atletas!L401="Paochui C",132,IF(Atletas!L401="Piguaquan C",133,IF(Atletas!L401="Shaolinquan C",134,IF(Atletas!L401="Tanglangquan C",135,IF(Atletas!L401="Yinzhaophai C",136,IF(Atletas!L401="Tongbeiquan C",137,IF(Atletas!L401="Wudangquan C",138,IF(Atletas!L401="Outros Estilos C",139,0))))))))))))))))))))))))))))))))))))))))))</f>
        <v/>
      </c>
      <c r="BM405" s="52" t="str">
        <f>IF(Atletas!L401="","",IF(Atletas!W401&lt;&gt;"",10000,0)+(IF(Atletas!B401="Feminino",1000,IF(Atletas!B401="Masculino",2000,""))+(IF(Atletas!L401="Chaquan D",140,IF(Atletas!L401="Emeiquan D",141,IF(Atletas!L401="Fanziquan D",142,IF(Atletas!L401="Huaquan D",143,IF(Atletas!L401="Hongquan D",144,IF(Atletas!L401="Paochui D",145,IF(Atletas!L401="Piguaquan D",146,IF(Atletas!L401="Shaolinquan D",147,IF(Atletas!L401="Tanglangquan D",148,IF(Atletas!L401="Yinzhaophai D",149,IF(Atletas!L401="Tongbeiquan D",150,IF(Atletas!L401="Wudangquan D",151,IF(Atletas!L401="Outros Estilos D",152,IF(Atletas!L401="Chaquan E",153,IF(Atletas!L401="Emeiquan E",154,IF(Atletas!L401="Fanziquan E",155,IF(Atletas!L401="Huaquan E",156,IF(Atletas!L401="Hongquan E",157,IF(Atletas!L401="Paochui E",158,IF(Atletas!L401="Piguaquan E",159,IF(Atletas!L401="Shaolinquan E",160,IF(Atletas!L401="Tanglangquan E",161,IF(Atletas!L401="Yinzhaophai E",162,IF(Atletas!L401="Tongbeiquan E",163,IF(Atletas!L401="Wudangquan E",164,IF(Atletas!L401="Outros Estilos E",165,IF(Atletas!L401="Chaquan F",166,IF(Atletas!L401="Emeiquan F",167,IF(Atletas!L401="Fanziquan F",168,IF(Atletas!L401="Huaquan F",169,IF(Atletas!L401="Hongquan F",170,IF(Atletas!L401="Paochui F",171,IF(Atletas!L401="Piguaquan F",172,IF(Atletas!L401="Shaolinquan F",173,IF(Atletas!L401="Tanglangquan F",174,IF(Atletas!L401="Yinzhaophai F",175,IF(Atletas!L401="Tongbeiquan F",176,IF(Atletas!L401="Wudangquan F",177,IF(Atletas!L401="Outros Estilos F",178,0))))))))))))))))))))))))))))))))))))))))))</f>
        <v/>
      </c>
      <c r="BN405" s="52" t="str">
        <f>IF(Atletas!M401="","",IF(Atletas!W401&lt;&gt;"",10000,0)+(IF(Atletas!B401="Feminino",1000,IF(Atletas!B401="Masculino",2000,""))+(IF(Atletas!M401="Ditangquan A",201,IF(Atletas!M401="Houquan A",202,IF(Atletas!M401="Zuiquan A",203,IF(Atletas!M401="Ditangquan B",204,IF(Atletas!M401="Houquan B",205,IF(Atletas!M401="Zuiquan B",206,IF(Atletas!M401="Ditangquan C",207,IF(Atletas!M401="Houquan C",208,IF(Atletas!M401="Zuiquan C",209,IF(Atletas!M401="Ditangquan D",210,IF(Atletas!M401="Houquan D",211,IF(Atletas!M401="Zuiquan D",212,IF(Atletas!M401="Ditangquan E",213,IF(Atletas!M401="Houquan E",214,IF(Atletas!M401="Zuiquan E",215,IF(Atletas!M401="Ditangquan F",216,IF(Atletas!M401="Houquan F",217,IF(Atletas!M401="Zuiquan F",218,"")))))))))))))))))))))</f>
        <v/>
      </c>
      <c r="BO405" s="52" t="str">
        <f>IF(Atletas!N401="","",IF(Atletas!W401&lt;&gt;"",10000,0)+IF(Atletas!B401="Feminino",1000,IF(Atletas!B401="Masculino",2000,""))+IF(Atletas!N401="Yang A",301,IF(Atletas!N401="Chen A",30,IF(Atletas!N401="Sun A",303,IF(Atletas!N401="Wu A",304,IF(Atletas!N401="Wu-Hao A",305,IF(Atletas!N401="Outro Taijiquan A",306,IF(Atletas!N401="Yang B",307,IF(Atletas!N401="Chen B",308,IF(Atletas!N401="Sun B",309,IF(Atletas!N401="Wu B",310,IF(Atletas!N401="Wu-Hao B",311,IF(Atletas!N401="Outro Taijiquan B",312,IF(Atletas!N401="Yang C",313,IF(Atletas!N401="Chen C",314,IF(Atletas!N401="Sun C",315,IF(Atletas!N401="Wu C",316,IF(Atletas!N401="Wu-Hao C",317,IF(Atletas!N401="Outro Taijiquan C",318,IF(Atletas!N401="Yang D",319,IF(Atletas!N401="Chen D",320,IF(Atletas!N401="Sun D",321,IF(Atletas!N401="Wu D",322,IF(Atletas!N401="Wu-Hao D",323,IF(Atletas!N401="Outro Taijiquan D",324,IF(Atletas!N401="Yang E",325,IF(Atletas!N401="Chen E",326,IF(Atletas!N401="Sun E",327,IF(Atletas!N401="Wu E",328,IF(Atletas!N401="Wu-Hao E",329,IF(Atletas!N401="Outro Taijiquan E",330,IF(Atletas!N401="Yang F",331,IF(Atletas!N401="Chen F",332,IF(Atletas!N401="Sun F",333,IF(Atletas!N401="Wu F",334,IF(Atletas!N401="Wu-Hao F",335,IF(Atletas!N401="Outro Taijiquan F",336,"")))))))))))))))))))))))))))))))))))))</f>
        <v/>
      </c>
      <c r="BP405" s="52" t="str">
        <f>IF(Atletas!O401="","",IF(Atletas!W401&lt;&gt;"",10000,0)+IF(Atletas!B401="Feminino",1000,IF(Atletas!B401="Masculino",2000,""))+IF(OR(Atletas!O401="Yang 26 A",Atletas!O401="Yang 40 A"),401,IF(OR(Atletas!O401="Chen 25 A",Atletas!O401="Chen 36 A",Atletas!O401="Chen 56 A"),402,IF(Atletas!O401="Sun 73 A",403,IF(Atletas!O401="Wu 45 A",404,IF(Atletas!O401="Wu-Hao 46 A",405,IF(OR(Atletas!O401="Taijiquan 16 A",Atletas!O401="Taijiquan 24 A",Atletas!O401="Taijiquan 32 A",Atletas!O401="Taijiquan 42 A"),406,IF(OR(Atletas!O401="Yang 26 B",Atletas!O401="Yang 40 B"),407,IF(OR(Atletas!O401="Chen 25 B",Atletas!O401="Chen 36 B",Atletas!O401="Chen 56 B"),408,IF(Atletas!O401="Sun 73 B",409,IF(Atletas!O401="Wu 45 B",410,IF(Atletas!O401="Wu-Hao 46 B",411,IF(OR(Atletas!O401="Taijiquan 16 B",Atletas!O401="Taijiquan 24 B",Atletas!O401="Taijiquan 32 B",Atletas!O401="Taijiquan 42 B"),412,IF(OR(Atletas!O401="Yang 26 C",Atletas!O401="Yang 40 C"),413,IF(OR(Atletas!O401="Chen 25 C",Atletas!O401="Chen 36 C",Atletas!O401="Chen 56 C"),414,IF(Atletas!O401="Sun 73 C",415,IF(Atletas!O401="Wu 45 C",416,IF(Atletas!O401="Wu-Hao 46 C",417,IF(OR(Atletas!O401="Taijiquan 16 C",Atletas!O401="Taijiquan 24 C",Atletas!O401="Taijiquan 32 C",Atletas!O401="Taijiquan 42 C"),418,0)))))))))))))))))))</f>
        <v/>
      </c>
      <c r="BQ405" s="52" t="str">
        <f>IF(Atletas!O401="","",IF(Atletas!W401&lt;&gt;"",10000,0)+IF(Atletas!B401="Feminino",1000,IF(Atletas!B401="Masculino",2000,""))+IF(OR(Atletas!O401="Yang 26 D",Atletas!O401="Yang 40 D"),419,IF(OR(Atletas!O401="Chen 25 D",Atletas!O401="Chen 36 D",Atletas!O401="Chen 56 D"),420,IF(Atletas!O401="Sun 73 D",421,IF(Atletas!O401="Wu 45 D",422,IF(Atletas!O401="Wu-Hao 46 D",423,IF(OR(Atletas!O401="Taijiquan 16 D",Atletas!O401="Taijiquan 24 D",Atletas!O401="Taijiquan 32 D",Atletas!O401="Taijiquan 42 D"),424,IF(OR(Atletas!O401="Yang 26 E",Atletas!O401="Yang 40 E"),425,IF(OR(Atletas!O401="Chen 25 E",Atletas!O401="Chen 36 E",Atletas!O401="Chen 56 E"),426,IF(Atletas!O401="Sun 73 E",427,IF(Atletas!O401="Wu 45 E",428,IF(Atletas!O401="Wu-Hao 46 E",429,IF(OR(Atletas!O401="Taijiquan 16 E",Atletas!O401="Taijiquan 24 E",Atletas!O401="Taijiquan 32 E",Atletas!O401="Taijiquan 42 E"),430,IF(OR(Atletas!O401="Yang 26 F",Atletas!O401="Yang 40 F"),431,IF(OR(Atletas!O401="Chen 25 F",Atletas!O401="Chen 36 F",Atletas!O401="Chen 56 F"),432,IF(Atletas!O401="Sun 73 F",433,IF(Atletas!O401="Wu 45 F",434,IF(Atletas!O401="Wu-Hao 46 F",435,IF(OR(Atletas!O401="Taijiquan 16 F",Atletas!O401="Taijiquan 24 F",Atletas!O401="Taijiquan 32 F",Atletas!O401="Taijiquan 42 F"),436,0)))))))))))))))))))</f>
        <v/>
      </c>
      <c r="BR405" s="52" t="str">
        <f>IF(Atletas!P401="","",IF(Atletas!W401&lt;&gt;"",10000,0)+IF(Atletas!B401="Feminino",1000,IF(Atletas!B401="Masculino",2000,""))+IF(Atletas!P401="Xingyiquan A",501,IF(Atletas!P401="Baguazhang A",502,IF(Atletas!P401="Outro Estilo Interno A",503,IF(Atletas!P401="Xingyiquan B",504,IF(Atletas!P401="Baguazhang B",505,IF(Atletas!P401="Outro Estilo Interno B",506,IF(Atletas!P401="Xingyiquan C",507,IF(Atletas!P401="Baguazhang C",508,IF(Atletas!P401="Outro Estilo Interno C",509,IF(Atletas!P401="Xingyiquan D",510,IF(Atletas!P401="Baguazhang D",511,IF(Atletas!P401="Outro Estilo Interno D",512,IF(Atletas!P401="Xingyiquan E",513,IF(Atletas!P401="Baguazhang E",514,IF(Atletas!P401="Outro Estilo Interno E",515,IF(Atletas!P401="Xingyiquan F",516,IF(Atletas!P401="Baguazhang F",517,IF(Atletas!P401="Outro Estilo Interno F",518, "")))))))))))))))))))</f>
        <v/>
      </c>
      <c r="BS405" s="52" t="str">
        <f>IF(Atletas!Q401="","",IF(Atletas!W401&lt;&gt;"",10000,0)+IF(Atletas!B401="Feminino",1000,IF(Atletas!B401="Masculino",2000,""))+IF(Atletas!Q401="Dao A",601,IF(Atletas!Q401="Jian A",602,IF(Atletas!Q401="Bishou A",603,IF(Atletas!Q401="Shan A",604,IF(Atletas!Q401="Outra Arma Curta A",605,IF(Atletas!Q401="Dao B",606,IF(Atletas!Q401="Jian B",607,IF(Atletas!Q401="Bishou B",608,IF(Atletas!Q401="Shan B",609,IF(Atletas!Q401="Outra Arma Curta B",610,IF(Atletas!Q401="Dao C",611,IF(Atletas!Q401="Jian C",612,IF(Atletas!Q401="Bishou C",613,IF(Atletas!Q401="Shan C",614,IF(Atletas!Q401="Outra Arma Curta C",615,IF(Atletas!Q401="Dao D",616,IF(Atletas!Q401="Jian D",617,IF(Atletas!Q401="Bishou D",618,IF(Atletas!Q401="Shan D",619,IF(Atletas!Q401="Outra Arma Curta D",620,IF(Atletas!Q401="Dao E",621,IF(Atletas!Q401="Jian E",622,IF(Atletas!Q401="Bishou E",623,IF(Atletas!Q401="Shan E",624,IF(Atletas!Q401="Outra Arma Curta E",625,IF(Atletas!Q401="Dao F",626,IF(Atletas!Q401="Jian F",627,IF(Atletas!Q401="Bishou F",628,IF(Atletas!Q401="Shan F",629,IF(Atletas!Q401="Outra Arma Curta F",630, "")))))))))))))))))))))))))))))))</f>
        <v/>
      </c>
      <c r="BT405" s="52" t="str">
        <f>IF(Atletas!R401="","",IF(Atletas!W401&lt;&gt;"",10000,0)+IF(Atletas!B401="Feminino",1000,IF(Atletas!B401="Masculino",2000,""))+IF(Atletas!R401="Gun A",701,IF(Atletas!R401="Qiang A",702,IF(Atletas!R401="Pudao / Guandao A",703,IF(Atletas!R401="Outra Arma Longa A",704,IF(Atletas!R401="Gun B",705,IF(Atletas!R401="Qiang B",706,IF(Atletas!R401="Pudao / Guandao B",707,IF(Atletas!R401="Outra Arma Longa B",708,IF(Atletas!R401="Gun C",709,IF(Atletas!R401="Qiang C",710,IF(Atletas!R401="Pudao / Guandao C",711,IF(Atletas!R401="Outra Arma Longa C",712,IF(Atletas!R401="Gun D",713,IF(Atletas!R401="Qiang D",714,IF(Atletas!R401="Pudao / Guandao D",715,IF(Atletas!R401="Outra Arma Longa D",716,IF(Atletas!R401="Gun E",717,IF(Atletas!R401="Qiang E",718,IF(Atletas!R401="Pudao / Guandao E",719,IF(Atletas!R401="Outra Arma Longa E",720,IF(Atletas!R401="Gun F",721,IF(Atletas!R401="Qiang F",722,IF(Atletas!R401="Pudao / Guandao F",723,IF(Atletas!R401="Outra Arma Longa F",724,"")))))))))))))))))))))))))</f>
        <v/>
      </c>
      <c r="BU405" s="52" t="str">
        <f>IF(Atletas!S401="","",IF(Atletas!W401&lt;&gt;"",10000,0)+IF(Atletas!B401="Feminino",1000,IF(Atletas!B401="Masculino",2000,""))+IF(Atletas!S401="Arma Dupla A",801,IF(Atletas!S401="Arma Maleável A",802,IF(Atletas!S401="Arma Dupla B",803,IF(Atletas!S401="Arma Maleável B",804,IF(Atletas!S401="Arma Dupla C",805,IF(Atletas!S401="Arma Maleável C",806,IF(Atletas!S401="Arma Dupla D",807,IF(Atletas!S401="Arma Maleável D",808,IF(Atletas!S401="Arma Dupla E",809,IF(Atletas!S401="Arma Maleável E",810,IF(Atletas!S401="Arma Dupla F",811,IF(Atletas!S401="Arma Maleável F",812, "")))))))))))))</f>
        <v/>
      </c>
      <c r="BV405" s="52" t="str">
        <f>IF(Atletas!T401="","",IF(Atletas!W401&lt;&gt;"",10000,0)+IF(Atletas!B401="Feminino",1000,IF(Atletas!B401="Masculino",2000,""))+IF(Atletas!T401="Taijijian Yang A",901,IF(Atletas!T401="Taijijian Chen A",902,IF(Atletas!T401="Taijijian Sun A",903,IF(Atletas!T401="Taijijian Wu A",904,IF(Atletas!T401="Taijijian Wu-Hao A",905,IF(Atletas!T401="Taijijian 32 A",906,IF(Atletas!T401="Taijijian 42 A",907,IF(Atletas!T401="Taijijian Yang B",908,IF(Atletas!T401="Taijijian Chen B",909,IF(Atletas!T401="Taijijian Sun B",910,IF(Atletas!T401="Taijijian Wu B",911,IF(Atletas!T401="Taijijian Wu-Hao B",912,IF(Atletas!T401="Taijijian 32 B",913,IF(Atletas!T401="Taijijian 42 B",914,IF(Atletas!T401="Taijijian Yang C",915,IF(Atletas!T401="Taijijian Chen C",916,IF(Atletas!T401="Taijijian Sun C",917,IF(Atletas!T401="Taijijian Wu C",918,IF(Atletas!T401="Taijijian Wu-Hao C",919,IF(Atletas!T401="Taijijian 32 C",920,IF(Atletas!T401="Taijijian 42 C",921,IF(Atletas!T401="Taijijian Yang D",922,IF(Atletas!T401="Taijijian Chen D",923,IF(Atletas!T401="Taijijian Sun D",924,IF(Atletas!T401="Taijijian Wu D",925,IF(Atletas!T401="Taijijian Wu-Hao D",926,IF(Atletas!T401="Taijijian 32 D",927,IF(Atletas!T401="Taijijian 42 D",928,IF(Atletas!T401="Taijijian Yang E",929,IF(Atletas!T401="Taijijian Chen E",930,IF(Atletas!T401="Taijijian Sun E",931,IF(Atletas!T401="Taijijian Wu E",932,IF(Atletas!T401="Taijijian Wu-Hao E",933,IF(Atletas!T401="Taijijian 32 E",934,IF(Atletas!T401="Taijijian 42 E",935,IF(Atletas!T401="Taijijian Yang F",936,IF(Atletas!T401="Taijijian Chen F",937,IF(Atletas!T401="Taijijian Sun F",938,IF(Atletas!T401="Taijijian Wu F",939,IF(Atletas!T401="Taijijian Wu-Hao F",940,IF(Atletas!T401="Taijijian 32 F",941,IF(Atletas!T401="Taijijian 42 F",942,"")))))))))))))))))))))))))))))))))))))))))))</f>
        <v/>
      </c>
      <c r="BW405" s="52" t="str">
        <f>IF(Atletas!U401="","",IF(Atletas!W401&lt;&gt;"",10000,0)+IF(Atletas!B401="Feminino",1000,IF(Atletas!B401="Masculino",2000,""))+IF(Atletas!T401="Taijijian 42 F",942,IF(Atletas!U401="Taijidao A",943,IF(Atletas!U401="Taijishan A",944,IF(Atletas!U401="Taijiqiang A",945,IF(Atletas!U401="Taijidao B",946,IF(Atletas!U401="Taijishan B",947,IF(Atletas!U401="Taijiqiang B",948,IF(Atletas!U401="Taijidao C",949,IF(Atletas!U401="Taijishan C",950,IF(Atletas!U401="Taijiqiang C",951,IF(Atletas!U401="Taijidao D",952,IF(Atletas!U401="Taijishan D",953,IF(Atletas!U401="Taijiqiang D",954,IF(Atletas!U401="Taijidao E",955,IF(Atletas!U401="Taijishan E",956,IF(Atletas!U401="Taijiqiang E",957,IF(Atletas!U401="Taijidao F",958,IF(Atletas!U401="Taijishan F",959,IF(Atletas!U401="Taijiqiang F",960))))))))))))))))))))</f>
        <v/>
      </c>
      <c r="CB405" s="64" t="str">
        <f>IF(CC405&lt;&gt;"","Taijiqiang E","")</f>
        <v/>
      </c>
      <c r="CC405" s="64" t="str">
        <f>IF(COUNTIF(BK:BW,11957)&gt;0,COUNTIF(BK:BW,11957),"")</f>
        <v/>
      </c>
      <c r="CD405" s="64" t="str">
        <f>IF(CE405&lt;&gt;"","Taijiqiang E","")</f>
        <v/>
      </c>
      <c r="CE405" s="64" t="str">
        <f>IF(COUNTIF(BK:BW,12957)&gt;0,COUNTIF(BK:BW,12957),"")</f>
        <v/>
      </c>
      <c r="CF405" s="52" t="str">
        <f xml:space="preserve"> IF(Atletas!V401="","",IF(Atletas!V401="Duilian de Mãos AB - Equipe 1",1,IF(Atletas!V401="Duilian de Mãos AB - Equipe 2",2,IF(Atletas!V401="Duilian de Armas AB - Equipe 1",3,IF(Atletas!V401="Duilian de Armas AB - Equipe 2",4,IF(Atletas!V401="Duilian de Tuishou - Equipe 1",5,IF(Atletas!V401="Duilian de Tuishou - Equipe 2",6,IF(Atletas!V401="Grupo Externo AB - Equipe 1",7,IF(Atletas!V401="Grupo Externo AB - Equipe 2",8,IF(Atletas!V401="Grupo Interno AB - Equipe 1",9,IF(Atletas!V401="Grupo Interno AB - Equipe 2",10,IF(Atletas!V401="Duilian de Mãos CD - Equipe 1",11,IF(Atletas!V401="Duilian de Mãos CD - Equipe 2",12,IF(Atletas!V401="Duilian de Armas CD - Equipe 1",13,IF(Atletas!V401="Duilian de Armas CD - Equipe 2",14,IF(Atletas!V401="Duilian de Tuishou - Equipe 1",15,IF(Atletas!V401="Duilian de Tuishou - Equipe 2",16,IF(Atletas!V401="Grupo Externo CDEF - Equipe 1",17,IF(Atletas!V401="Grupo Externo CDEF - Equipe 2",18,IF(Atletas!V401="Grupo Interno CDEF - Equipe 1",19,IF(Atletas!V401="Grupo Interno CDEF - Equipe 2",20,IF(Atletas!V401="Duilian de Mãos EF - Equipe 1",21,IF(Atletas!V401="Duilian de Mãos EF - Equipe 2",22,IF(Atletas!V401="Duilian de Armas EF - Equipe 1",23,IF(Atletas!V401="Duilian de Armas EF - Equipe 2",24,IF(Atletas!V401="Duilian de Tuishou - Equipe 1",25,IF(Atletas!V401="Duilian de Tuishou - Equipe 2",26,"")))))))))))))))))))))))))))</f>
        <v/>
      </c>
    </row>
    <row r="406" spans="36:84">
      <c r="AJ406" s="46" t="str">
        <f>IF(Atletas!D402="","",IF(Atletas!B402="Feminino",100,IF(Atletas!B402="Masculino",200,""))+(IF(Atletas!D402="Infantil 39kg",1,IF(Atletas!D402="Infantil 42kg",2,IF(Atletas!D402="Infantil 45kg",3,IF(Atletas!D402="Infantil 48kg",4,IF(Atletas!D402="Infantil 52kg",5,IF(Atletas!D402="Infantil 56kg",6,IF(Atletas!D402="Infantil 60kg",7,IF(Atletas!D402="Juvenil 48kg",8,IF(Atletas!D402="Juvenil 52kg",9,IF(Atletas!D402="Juvenil 56kg",10,IF(Atletas!D402="Juvenil 60kg",11,IF(Atletas!D402="Juvenil 65kg",12,IF(Atletas!D402="Juvenil 70kg",13,IF(Atletas!D402="Juvenil 75kg",14,IF(Atletas!D402="Juvenil 80kg",15,IF(Atletas!D402="Adulto 48kg",16,IF(Atletas!D402="Adulto 52kg",17,IF(Atletas!D402="Adulto 56kg",18,IF(Atletas!D402="Adulto 60kg",19,IF(Atletas!D402="Adulto 65kg",20,IF(Atletas!D402="Adulto 70kg",21,IF(Atletas!D402="Adulto 75kg",22,IF(Atletas!D402="Adulto 80kg",23,IF(Atletas!D402="Adulto 85kg",24,IF(Atletas!D402="Adulto 90kg",25,IF(Atletas!D402="Adulto +90kg",26,""))))))))))))))))))))))))))))</f>
        <v/>
      </c>
      <c r="AO406" s="10" t="str">
        <f>IF(Atletas!E402="","",IF(Atletas!B402="Feminino",100,IF(Atletas!B402="Masculino",200,""))+(IF(Atletas!E402="Juvenil 44kg",1,IF(Atletas!E402="Juvenil 48kg",2,IF(Atletas!E402="Juvenil 52kg",3,IF(Atletas!E402="Juvenil 56kg",4,IF(Atletas!E402="Juvenil 60kg",5,IF(Atletas!E402="Juvenil 65kg",6,IF(Atletas!E402="Juvenil 70kg",7,IF(Atletas!E402="Juvenil 75kg",8,IF(Atletas!E402="Juvenil 82kg",9,IF(Atletas!E402="Juvenil 90kg",10,IF(Atletas!E402="Juvenil 100kg",11,IF(Atletas!E402="Adulto 48kg",12,IF(Atletas!E402="Adulto 52kg",13,IF(Atletas!E402="Adulto 56kg",14,IF(Atletas!E402="Adulto 60kg",15,IF(Atletas!E402="Adulto 65kg",16,IF(Atletas!E402="Adulto 70kg",17,IF(Atletas!E402="Adulto 75kg",18,IF(Atletas!E402="Adulto 82kg",19,IF(Atletas!E402="Adulto 90kg",20,IF(Atletas!E402="Adulto 100kg",21,IF(Atletas!E402="Adulto +100kg",22,""))))))))))))))))))))))))</f>
        <v/>
      </c>
      <c r="AT406" s="10" t="str">
        <f>IF(Atletas!F402="","",IF(Atletas!B402="Feminino",100,IF(Atletas!B402="Masculino",200,""))+(IF(Atletas!F402="Adulto 48kg",1,IF(Atletas!F402="Adulto 56kg",2,IF(Atletas!F402="Adulto 65kg",3,IF(Atletas!F402="Adulto 75kg",4,IF(Atletas!F402="Adulto +75kg",5,IF(Atletas!F402="Adulto 52kg",6,IF(Atletas!F402="Adulto 60kg",7,IF(Atletas!F402="Adulto 70kg",8,IF(Atletas!F402="Adulto 80kg",9,IF(Atletas!F402="Adulto 90kg",10,IF(Atletas!F402="Adulto +90kg",11,"")))))))))))))</f>
        <v/>
      </c>
      <c r="AY406" s="46" t="str">
        <f>IF(Atletas!G402="","",IF(Atletas!B402="Feminino",100,IF(Atletas!B402="Masculino",200,""))+(IF(Atletas!G402="Changquan Mirim",1,IF(Atletas!G402="Nanquan Mirim",2,IF(Atletas!G402="Taijiquan Mirim",3,IF(Atletas!G402="Changquan Grupo C",4,IF(Atletas!G402="Nanquan Grupo C",5,IF(Atletas!G402="Taijiquan Grupo C",6,IF(Atletas!G402="Changquan Grupo B",7,IF(Atletas!G402="Nanquan Grupo B",8,IF(Atletas!G402="Taijiquan Grupo B",9,IF(Atletas!G402="Changquan Grupo A",10,IF(Atletas!G402="Nanquan Grupo A",11,IF(Atletas!G402="Taijiquan Grupo A",12,IF(Atletas!G402="Changquan Opcional",13,IF(Atletas!G402="Nanquan Opcional",14,IF(Atletas!G402="Taijiquan Opcional",15,IF(Atletas!G402="Changquan Adulto",16,IF(Atletas!G402="Nanquan Adulto",17,IF(Atletas!G402="Taijiquan Adulto",18,""))))))))))))))))))))</f>
        <v/>
      </c>
      <c r="AZ406" s="46" t="str">
        <f>IF(Atletas!H402="","",IF(Atletas!B402="Feminino",100,IF(Atletas!B402="Masculino",200,""))+(IF(Atletas!H402="Daoshu Mirim",19,IF(Atletas!H402="Jianshu Mirim",20,IF(Atletas!H402="Nandao Mirim",21,IF(Atletas!H402="Taijijian Mirim",22,IF(Atletas!H402="Daoshu Grupo C",23,IF(Atletas!H402="Jianshu Grupo C",24,IF(Atletas!H402="Nandao Grupo C",25,IF(Atletas!H402="Taijijian Grupo C",26,IF(Atletas!H402="Daoshu Grupo B",27,IF(Atletas!H402="Jianshu Grupo B",28,IF(Atletas!H402="Nandao Grupo B",29,IF(Atletas!H402="Taijijian Grupo B",30,IF(Atletas!H402="Daoshu Grupo A",31,IF(Atletas!H402="Jianshu Grupo A",32,IF(Atletas!H402="Nandao Grupo A",33,IF(Atletas!H402="Taijijian Grupo A",34,IF(Atletas!H402="Daoshu Opcional",35,IF(Atletas!H402="Jianshu Opcional",36,IF(Atletas!H402="Nandao Opcional",37,IF(Atletas!H402="Taijijian Opcional",38,IF(Atletas!H402="Daoshu Adulto",39,IF(Atletas!H402="Jianshu Adulto",40,IF(Atletas!H402="Nandao Adulto",41,IF(Atletas!H402="Taijijian Adulto",42,""))))))))))))))))))))))))))</f>
        <v/>
      </c>
      <c r="BA406" s="46" t="str">
        <f>IF(Atletas!I402="","",IF(Atletas!B402="Feminino",100,IF(Atletas!B402="Masculino",200,""))+(IF(Atletas!I402="Gunshu Mirim",43,IF(Atletas!I402="Qiangshu Mirim",44,IF(Atletas!I402="Nangun Mirim",45,IF(Atletas!I402="Gunshu Grupo C",46,IF(Atletas!I402="Qiangshu Grupo C",47,IF(Atletas!I402="Nangun Grupo C",48,IF(Atletas!I402="Gunshu Grupo B",49,IF(Atletas!I402="Qiangshu Grupo B",50,IF(Atletas!I402="Nangun Grupo B",51,IF(Atletas!I402="Gunshu Grupo A",52,IF(Atletas!I402="Qiangshu Grupo A",53,IF(Atletas!I402="Nangun Grupo A",54,IF(Atletas!I402="Gunshu Opcional",55,IF(Atletas!I402="Qiangshu Opcional",56,IF(Atletas!I402="Nangun Opcional",57,IF(Atletas!I402="Gunshu Adulto",58,IF(Atletas!I402="Qiangshu Adulto",59,IF(Atletas!I402="Nangun Adulto",60,""))))))))))))))))))))</f>
        <v/>
      </c>
      <c r="BF406" s="52" t="str">
        <f>IF(Atletas!J402="","",IF(Atletas!B402="Feminino",100,IF(Atletas!B402="Masculino",200,""))+(IF(Atletas!J402="Equipe 1 Grupo B",1,IF(Atletas!J402="Equipe 2 Grupo B",2,IF(Atletas!J402="Equipe 1 Grupo A",3,IF(Atletas!J402="Equipe 2 Grupo A",4,IF(Atletas!J402="Equipe 1 Adulto",5,IF(Atletas!J402="Equipe 2 Adulto",6,""))))))))</f>
        <v/>
      </c>
      <c r="BK406" s="52" t="str">
        <f>IF(Atletas!K402="","",IF(Atletas!W402&lt;&gt;"",10000,0)+(IF(Atletas!B402="Feminino",1000,IF(Atletas!B402="Masculino",2000,""))+IF(Atletas!K402="Choylayfut A",1,IF(Atletas!K402="Hunggar A",2,IF(Atletas!K402="Wuzuquan A",3,IF(Atletas!K402="Wingchun A",4,IF(Atletas!K402="Outra Mão de Sul A",5,IF(Atletas!K402="Choylayfut B",6,IF(Atletas!K402="Hunggar B",7,IF(Atletas!K402="Wuzuquan B",8,IF(Atletas!K402="Wingchun B",9,IF(Atletas!K402="Outra Mão de Sul B",10,IF(Atletas!K402="Choylayfut C",11,IF(Atletas!K402="Hunggar C",12,IF(Atletas!K402="Wuzuquan C",13,IF(Atletas!K402="Wingchun C",14,IF(Atletas!K402="Outra Mão de Sul C",15,IF(Atletas!K402="Choylayfut D",16,IF(Atletas!K402="Hunggar D",17,IF(Atletas!K402="Wuzuquan D",18,IF(Atletas!K402="Wingchun D",19,IF(Atletas!K402="Outra Mão de Sul D",20,IF(Atletas!K402="Choylayfut E",21,IF(Atletas!K402="Hunggar E",22,IF(Atletas!K402="Wuzuquan E",23,IF(Atletas!K402="Wingchun E",24,IF(Atletas!K402="Outra Mão de Sul E",25,IF(Atletas!K402="Choylayfut F",26,IF(Atletas!K402="Hunggar F",27,IF(Atletas!K402="Wuzuquan F",28,IF(Atletas!K402="Wingchun F",29,IF(Atletas!K402="Outra Mão de Sul F",30,""))))))))))))))))))))))))))))))))</f>
        <v/>
      </c>
      <c r="BL406" s="52" t="str">
        <f>IF(Atletas!L402="","",IF(Atletas!W402&lt;&gt;"",10000,0)+(IF(Atletas!B402="Feminino",1000,IF(Atletas!B402="Masculino",2000,""))+(IF(Atletas!L402="Chaquan A",101,IF(Atletas!L402="Emeiquan A",102,IF(Atletas!L402="Fanziquan A",103,IF(Atletas!L402="Huaquan A",104,IF(Atletas!L402="Hongquan A",105,IF(Atletas!L402="Paochui A",106,IF(Atletas!L402="Piguaquan A",107,IF(Atletas!L402="Shaolinquan A",108,IF(Atletas!L402="Tanglangquan A",109,IF(Atletas!L402="Yinzhaophai A",110,IF(Atletas!L402="Tongbeiquan A",111,IF(Atletas!L402="Wudangquan A",112,IF(Atletas!L402="Outros Estilos A",113,IF(Atletas!L402="Chaquan B",114,IF(Atletas!L402="Emeiquan B",115,IF(Atletas!L402="Fanziquan B",116,IF(Atletas!L402="Huaquan B",117,IF(Atletas!L402="Hongquan B",118,IF(Atletas!L402="Paochui B",119,IF(Atletas!L402="Piguaquan B",120,IF(Atletas!L402="Shaolinquan B",121,IF(Atletas!L402="Tanglangquan B",122,IF(Atletas!L402="Yinzhaophai B",123,IF(Atletas!L402="Tongbeiquan B",124,IF(Atletas!L402="Wudangquan B",125,IF(Atletas!L402="Outros Estilos B",126,IF(Atletas!L402="Chaquan C",127,IF(Atletas!L402="Emeiquan C",128,IF(Atletas!L402="Fanziquan C",129,IF(Atletas!L402="Huaquan C",130,IF(Atletas!L402="Hongquan C",131,IF(Atletas!L402="Paochui C",132,IF(Atletas!L402="Piguaquan C",133,IF(Atletas!L402="Shaolinquan C",134,IF(Atletas!L402="Tanglangquan C",135,IF(Atletas!L402="Yinzhaophai C",136,IF(Atletas!L402="Tongbeiquan C",137,IF(Atletas!L402="Wudangquan C",138,IF(Atletas!L402="Outros Estilos C",139,0))))))))))))))))))))))))))))))))))))))))))</f>
        <v/>
      </c>
      <c r="BM406" s="52" t="str">
        <f>IF(Atletas!L402="","",IF(Atletas!W402&lt;&gt;"",10000,0)+(IF(Atletas!B402="Feminino",1000,IF(Atletas!B402="Masculino",2000,""))+(IF(Atletas!L402="Chaquan D",140,IF(Atletas!L402="Emeiquan D",141,IF(Atletas!L402="Fanziquan D",142,IF(Atletas!L402="Huaquan D",143,IF(Atletas!L402="Hongquan D",144,IF(Atletas!L402="Paochui D",145,IF(Atletas!L402="Piguaquan D",146,IF(Atletas!L402="Shaolinquan D",147,IF(Atletas!L402="Tanglangquan D",148,IF(Atletas!L402="Yinzhaophai D",149,IF(Atletas!L402="Tongbeiquan D",150,IF(Atletas!L402="Wudangquan D",151,IF(Atletas!L402="Outros Estilos D",152,IF(Atletas!L402="Chaquan E",153,IF(Atletas!L402="Emeiquan E",154,IF(Atletas!L402="Fanziquan E",155,IF(Atletas!L402="Huaquan E",156,IF(Atletas!L402="Hongquan E",157,IF(Atletas!L402="Paochui E",158,IF(Atletas!L402="Piguaquan E",159,IF(Atletas!L402="Shaolinquan E",160,IF(Atletas!L402="Tanglangquan E",161,IF(Atletas!L402="Yinzhaophai E",162,IF(Atletas!L402="Tongbeiquan E",163,IF(Atletas!L402="Wudangquan E",164,IF(Atletas!L402="Outros Estilos E",165,IF(Atletas!L402="Chaquan F",166,IF(Atletas!L402="Emeiquan F",167,IF(Atletas!L402="Fanziquan F",168,IF(Atletas!L402="Huaquan F",169,IF(Atletas!L402="Hongquan F",170,IF(Atletas!L402="Paochui F",171,IF(Atletas!L402="Piguaquan F",172,IF(Atletas!L402="Shaolinquan F",173,IF(Atletas!L402="Tanglangquan F",174,IF(Atletas!L402="Yinzhaophai F",175,IF(Atletas!L402="Tongbeiquan F",176,IF(Atletas!L402="Wudangquan F",177,IF(Atletas!L402="Outros Estilos F",178,0))))))))))))))))))))))))))))))))))))))))))</f>
        <v/>
      </c>
      <c r="BN406" s="52" t="str">
        <f>IF(Atletas!M402="","",IF(Atletas!W402&lt;&gt;"",10000,0)+(IF(Atletas!B402="Feminino",1000,IF(Atletas!B402="Masculino",2000,""))+(IF(Atletas!M402="Ditangquan A",201,IF(Atletas!M402="Houquan A",202,IF(Atletas!M402="Zuiquan A",203,IF(Atletas!M402="Ditangquan B",204,IF(Atletas!M402="Houquan B",205,IF(Atletas!M402="Zuiquan B",206,IF(Atletas!M402="Ditangquan C",207,IF(Atletas!M402="Houquan C",208,IF(Atletas!M402="Zuiquan C",209,IF(Atletas!M402="Ditangquan D",210,IF(Atletas!M402="Houquan D",211,IF(Atletas!M402="Zuiquan D",212,IF(Atletas!M402="Ditangquan E",213,IF(Atletas!M402="Houquan E",214,IF(Atletas!M402="Zuiquan E",215,IF(Atletas!M402="Ditangquan F",216,IF(Atletas!M402="Houquan F",217,IF(Atletas!M402="Zuiquan F",218,"")))))))))))))))))))))</f>
        <v/>
      </c>
      <c r="BO406" s="52" t="str">
        <f>IF(Atletas!N402="","",IF(Atletas!W402&lt;&gt;"",10000,0)+IF(Atletas!B402="Feminino",1000,IF(Atletas!B402="Masculino",2000,""))+IF(Atletas!N402="Yang A",301,IF(Atletas!N402="Chen A",30,IF(Atletas!N402="Sun A",303,IF(Atletas!N402="Wu A",304,IF(Atletas!N402="Wu-Hao A",305,IF(Atletas!N402="Outro Taijiquan A",306,IF(Atletas!N402="Yang B",307,IF(Atletas!N402="Chen B",308,IF(Atletas!N402="Sun B",309,IF(Atletas!N402="Wu B",310,IF(Atletas!N402="Wu-Hao B",311,IF(Atletas!N402="Outro Taijiquan B",312,IF(Atletas!N402="Yang C",313,IF(Atletas!N402="Chen C",314,IF(Atletas!N402="Sun C",315,IF(Atletas!N402="Wu C",316,IF(Atletas!N402="Wu-Hao C",317,IF(Atletas!N402="Outro Taijiquan C",318,IF(Atletas!N402="Yang D",319,IF(Atletas!N402="Chen D",320,IF(Atletas!N402="Sun D",321,IF(Atletas!N402="Wu D",322,IF(Atletas!N402="Wu-Hao D",323,IF(Atletas!N402="Outro Taijiquan D",324,IF(Atletas!N402="Yang E",325,IF(Atletas!N402="Chen E",326,IF(Atletas!N402="Sun E",327,IF(Atletas!N402="Wu E",328,IF(Atletas!N402="Wu-Hao E",329,IF(Atletas!N402="Outro Taijiquan E",330,IF(Atletas!N402="Yang F",331,IF(Atletas!N402="Chen F",332,IF(Atletas!N402="Sun F",333,IF(Atletas!N402="Wu F",334,IF(Atletas!N402="Wu-Hao F",335,IF(Atletas!N402="Outro Taijiquan F",336,"")))))))))))))))))))))))))))))))))))))</f>
        <v/>
      </c>
      <c r="BP406" s="52" t="str">
        <f>IF(Atletas!O402="","",IF(Atletas!W402&lt;&gt;"",10000,0)+IF(Atletas!B402="Feminino",1000,IF(Atletas!B402="Masculino",2000,""))+IF(OR(Atletas!O402="Yang 26 A",Atletas!O402="Yang 40 A"),401,IF(OR(Atletas!O402="Chen 25 A",Atletas!O402="Chen 36 A",Atletas!O402="Chen 56 A"),402,IF(Atletas!O402="Sun 73 A",403,IF(Atletas!O402="Wu 45 A",404,IF(Atletas!O402="Wu-Hao 46 A",405,IF(OR(Atletas!O402="Taijiquan 16 A",Atletas!O402="Taijiquan 24 A",Atletas!O402="Taijiquan 32 A",Atletas!O402="Taijiquan 42 A"),406,IF(OR(Atletas!O402="Yang 26 B",Atletas!O402="Yang 40 B"),407,IF(OR(Atletas!O402="Chen 25 B",Atletas!O402="Chen 36 B",Atletas!O402="Chen 56 B"),408,IF(Atletas!O402="Sun 73 B",409,IF(Atletas!O402="Wu 45 B",410,IF(Atletas!O402="Wu-Hao 46 B",411,IF(OR(Atletas!O402="Taijiquan 16 B",Atletas!O402="Taijiquan 24 B",Atletas!O402="Taijiquan 32 B",Atletas!O402="Taijiquan 42 B"),412,IF(OR(Atletas!O402="Yang 26 C",Atletas!O402="Yang 40 C"),413,IF(OR(Atletas!O402="Chen 25 C",Atletas!O402="Chen 36 C",Atletas!O402="Chen 56 C"),414,IF(Atletas!O402="Sun 73 C",415,IF(Atletas!O402="Wu 45 C",416,IF(Atletas!O402="Wu-Hao 46 C",417,IF(OR(Atletas!O402="Taijiquan 16 C",Atletas!O402="Taijiquan 24 C",Atletas!O402="Taijiquan 32 C",Atletas!O402="Taijiquan 42 C"),418,0)))))))))))))))))))</f>
        <v/>
      </c>
      <c r="BQ406" s="52" t="str">
        <f>IF(Atletas!O402="","",IF(Atletas!W402&lt;&gt;"",10000,0)+IF(Atletas!B402="Feminino",1000,IF(Atletas!B402="Masculino",2000,""))+IF(OR(Atletas!O402="Yang 26 D",Atletas!O402="Yang 40 D"),419,IF(OR(Atletas!O402="Chen 25 D",Atletas!O402="Chen 36 D",Atletas!O402="Chen 56 D"),420,IF(Atletas!O402="Sun 73 D",421,IF(Atletas!O402="Wu 45 D",422,IF(Atletas!O402="Wu-Hao 46 D",423,IF(OR(Atletas!O402="Taijiquan 16 D",Atletas!O402="Taijiquan 24 D",Atletas!O402="Taijiquan 32 D",Atletas!O402="Taijiquan 42 D"),424,IF(OR(Atletas!O402="Yang 26 E",Atletas!O402="Yang 40 E"),425,IF(OR(Atletas!O402="Chen 25 E",Atletas!O402="Chen 36 E",Atletas!O402="Chen 56 E"),426,IF(Atletas!O402="Sun 73 E",427,IF(Atletas!O402="Wu 45 E",428,IF(Atletas!O402="Wu-Hao 46 E",429,IF(OR(Atletas!O402="Taijiquan 16 E",Atletas!O402="Taijiquan 24 E",Atletas!O402="Taijiquan 32 E",Atletas!O402="Taijiquan 42 E"),430,IF(OR(Atletas!O402="Yang 26 F",Atletas!O402="Yang 40 F"),431,IF(OR(Atletas!O402="Chen 25 F",Atletas!O402="Chen 36 F",Atletas!O402="Chen 56 F"),432,IF(Atletas!O402="Sun 73 F",433,IF(Atletas!O402="Wu 45 F",434,IF(Atletas!O402="Wu-Hao 46 F",435,IF(OR(Atletas!O402="Taijiquan 16 F",Atletas!O402="Taijiquan 24 F",Atletas!O402="Taijiquan 32 F",Atletas!O402="Taijiquan 42 F"),436,0)))))))))))))))))))</f>
        <v/>
      </c>
      <c r="BR406" s="52" t="str">
        <f>IF(Atletas!P402="","",IF(Atletas!W402&lt;&gt;"",10000,0)+IF(Atletas!B402="Feminino",1000,IF(Atletas!B402="Masculino",2000,""))+IF(Atletas!P402="Xingyiquan A",501,IF(Atletas!P402="Baguazhang A",502,IF(Atletas!P402="Outro Estilo Interno A",503,IF(Atletas!P402="Xingyiquan B",504,IF(Atletas!P402="Baguazhang B",505,IF(Atletas!P402="Outro Estilo Interno B",506,IF(Atletas!P402="Xingyiquan C",507,IF(Atletas!P402="Baguazhang C",508,IF(Atletas!P402="Outro Estilo Interno C",509,IF(Atletas!P402="Xingyiquan D",510,IF(Atletas!P402="Baguazhang D",511,IF(Atletas!P402="Outro Estilo Interno D",512,IF(Atletas!P402="Xingyiquan E",513,IF(Atletas!P402="Baguazhang E",514,IF(Atletas!P402="Outro Estilo Interno E",515,IF(Atletas!P402="Xingyiquan F",516,IF(Atletas!P402="Baguazhang F",517,IF(Atletas!P402="Outro Estilo Interno F",518, "")))))))))))))))))))</f>
        <v/>
      </c>
      <c r="BS406" s="52" t="str">
        <f>IF(Atletas!Q402="","",IF(Atletas!W402&lt;&gt;"",10000,0)+IF(Atletas!B402="Feminino",1000,IF(Atletas!B402="Masculino",2000,""))+IF(Atletas!Q402="Dao A",601,IF(Atletas!Q402="Jian A",602,IF(Atletas!Q402="Bishou A",603,IF(Atletas!Q402="Shan A",604,IF(Atletas!Q402="Outra Arma Curta A",605,IF(Atletas!Q402="Dao B",606,IF(Atletas!Q402="Jian B",607,IF(Atletas!Q402="Bishou B",608,IF(Atletas!Q402="Shan B",609,IF(Atletas!Q402="Outra Arma Curta B",610,IF(Atletas!Q402="Dao C",611,IF(Atletas!Q402="Jian C",612,IF(Atletas!Q402="Bishou C",613,IF(Atletas!Q402="Shan C",614,IF(Atletas!Q402="Outra Arma Curta C",615,IF(Atletas!Q402="Dao D",616,IF(Atletas!Q402="Jian D",617,IF(Atletas!Q402="Bishou D",618,IF(Atletas!Q402="Shan D",619,IF(Atletas!Q402="Outra Arma Curta D",620,IF(Atletas!Q402="Dao E",621,IF(Atletas!Q402="Jian E",622,IF(Atletas!Q402="Bishou E",623,IF(Atletas!Q402="Shan E",624,IF(Atletas!Q402="Outra Arma Curta E",625,IF(Atletas!Q402="Dao F",626,IF(Atletas!Q402="Jian F",627,IF(Atletas!Q402="Bishou F",628,IF(Atletas!Q402="Shan F",629,IF(Atletas!Q402="Outra Arma Curta F",630, "")))))))))))))))))))))))))))))))</f>
        <v/>
      </c>
      <c r="BT406" s="52" t="str">
        <f>IF(Atletas!R402="","",IF(Atletas!W402&lt;&gt;"",10000,0)+IF(Atletas!B402="Feminino",1000,IF(Atletas!B402="Masculino",2000,""))+IF(Atletas!R402="Gun A",701,IF(Atletas!R402="Qiang A",702,IF(Atletas!R402="Pudao / Guandao A",703,IF(Atletas!R402="Outra Arma Longa A",704,IF(Atletas!R402="Gun B",705,IF(Atletas!R402="Qiang B",706,IF(Atletas!R402="Pudao / Guandao B",707,IF(Atletas!R402="Outra Arma Longa B",708,IF(Atletas!R402="Gun C",709,IF(Atletas!R402="Qiang C",710,IF(Atletas!R402="Pudao / Guandao C",711,IF(Atletas!R402="Outra Arma Longa C",712,IF(Atletas!R402="Gun D",713,IF(Atletas!R402="Qiang D",714,IF(Atletas!R402="Pudao / Guandao D",715,IF(Atletas!R402="Outra Arma Longa D",716,IF(Atletas!R402="Gun E",717,IF(Atletas!R402="Qiang E",718,IF(Atletas!R402="Pudao / Guandao E",719,IF(Atletas!R402="Outra Arma Longa E",720,IF(Atletas!R402="Gun F",721,IF(Atletas!R402="Qiang F",722,IF(Atletas!R402="Pudao / Guandao F",723,IF(Atletas!R402="Outra Arma Longa F",724,"")))))))))))))))))))))))))</f>
        <v/>
      </c>
      <c r="BU406" s="52" t="str">
        <f>IF(Atletas!S402="","",IF(Atletas!W402&lt;&gt;"",10000,0)+IF(Atletas!B402="Feminino",1000,IF(Atletas!B402="Masculino",2000,""))+IF(Atletas!S402="Arma Dupla A",801,IF(Atletas!S402="Arma Maleável A",802,IF(Atletas!S402="Arma Dupla B",803,IF(Atletas!S402="Arma Maleável B",804,IF(Atletas!S402="Arma Dupla C",805,IF(Atletas!S402="Arma Maleável C",806,IF(Atletas!S402="Arma Dupla D",807,IF(Atletas!S402="Arma Maleável D",808,IF(Atletas!S402="Arma Dupla E",809,IF(Atletas!S402="Arma Maleável E",810,IF(Atletas!S402="Arma Dupla F",811,IF(Atletas!S402="Arma Maleável F",812, "")))))))))))))</f>
        <v/>
      </c>
      <c r="BV406" s="52" t="str">
        <f>IF(Atletas!T402="","",IF(Atletas!W402&lt;&gt;"",10000,0)+IF(Atletas!B402="Feminino",1000,IF(Atletas!B402="Masculino",2000,""))+IF(Atletas!T402="Taijijian Yang A",901,IF(Atletas!T402="Taijijian Chen A",902,IF(Atletas!T402="Taijijian Sun A",903,IF(Atletas!T402="Taijijian Wu A",904,IF(Atletas!T402="Taijijian Wu-Hao A",905,IF(Atletas!T402="Taijijian 32 A",906,IF(Atletas!T402="Taijijian 42 A",907,IF(Atletas!T402="Taijijian Yang B",908,IF(Atletas!T402="Taijijian Chen B",909,IF(Atletas!T402="Taijijian Sun B",910,IF(Atletas!T402="Taijijian Wu B",911,IF(Atletas!T402="Taijijian Wu-Hao B",912,IF(Atletas!T402="Taijijian 32 B",913,IF(Atletas!T402="Taijijian 42 B",914,IF(Atletas!T402="Taijijian Yang C",915,IF(Atletas!T402="Taijijian Chen C",916,IF(Atletas!T402="Taijijian Sun C",917,IF(Atletas!T402="Taijijian Wu C",918,IF(Atletas!T402="Taijijian Wu-Hao C",919,IF(Atletas!T402="Taijijian 32 C",920,IF(Atletas!T402="Taijijian 42 C",921,IF(Atletas!T402="Taijijian Yang D",922,IF(Atletas!T402="Taijijian Chen D",923,IF(Atletas!T402="Taijijian Sun D",924,IF(Atletas!T402="Taijijian Wu D",925,IF(Atletas!T402="Taijijian Wu-Hao D",926,IF(Atletas!T402="Taijijian 32 D",927,IF(Atletas!T402="Taijijian 42 D",928,IF(Atletas!T402="Taijijian Yang E",929,IF(Atletas!T402="Taijijian Chen E",930,IF(Atletas!T402="Taijijian Sun E",931,IF(Atletas!T402="Taijijian Wu E",932,IF(Atletas!T402="Taijijian Wu-Hao E",933,IF(Atletas!T402="Taijijian 32 E",934,IF(Atletas!T402="Taijijian 42 E",935,IF(Atletas!T402="Taijijian Yang F",936,IF(Atletas!T402="Taijijian Chen F",937,IF(Atletas!T402="Taijijian Sun F",938,IF(Atletas!T402="Taijijian Wu F",939,IF(Atletas!T402="Taijijian Wu-Hao F",940,IF(Atletas!T402="Taijijian 32 F",941,IF(Atletas!T402="Taijijian 42 F",942,"")))))))))))))))))))))))))))))))))))))))))))</f>
        <v/>
      </c>
      <c r="BW406" s="52" t="str">
        <f>IF(Atletas!U402="","",IF(Atletas!W402&lt;&gt;"",10000,0)+IF(Atletas!B402="Feminino",1000,IF(Atletas!B402="Masculino",2000,""))+IF(Atletas!T402="Taijijian 42 F",942,IF(Atletas!U402="Taijidao A",943,IF(Atletas!U402="Taijishan A",944,IF(Atletas!U402="Taijiqiang A",945,IF(Atletas!U402="Taijidao B",946,IF(Atletas!U402="Taijishan B",947,IF(Atletas!U402="Taijiqiang B",948,IF(Atletas!U402="Taijidao C",949,IF(Atletas!U402="Taijishan C",950,IF(Atletas!U402="Taijiqiang C",951,IF(Atletas!U402="Taijidao D",952,IF(Atletas!U402="Taijishan D",953,IF(Atletas!U402="Taijiqiang D",954,IF(Atletas!U402="Taijidao E",955,IF(Atletas!U402="Taijishan E",956,IF(Atletas!U402="Taijiqiang E",957,IF(Atletas!U402="Taijidao F",958,IF(Atletas!U402="Taijishan F",959,IF(Atletas!U402="Taijiqiang F",960))))))))))))))))))))</f>
        <v/>
      </c>
      <c r="CB406" s="64" t="str">
        <f>IF(CC406&lt;&gt;"","Taijidao F","")</f>
        <v/>
      </c>
      <c r="CC406" s="64" t="str">
        <f>IF(COUNTIF(BK:BW,11958)&gt;0,COUNTIF(BK:BW,11958),"")</f>
        <v/>
      </c>
      <c r="CD406" s="64" t="str">
        <f>IF(CE406&lt;&gt;"","Taijidao F","")</f>
        <v/>
      </c>
      <c r="CE406" s="64" t="str">
        <f>IF(COUNTIF(BK:BW,12958)&gt;0,COUNTIF(BK:BW,12958),"")</f>
        <v/>
      </c>
      <c r="CF406" s="52" t="str">
        <f xml:space="preserve"> IF(Atletas!V402="","",IF(Atletas!V402="Duilian de Mãos AB - Equipe 1",1,IF(Atletas!V402="Duilian de Mãos AB - Equipe 2",2,IF(Atletas!V402="Duilian de Armas AB - Equipe 1",3,IF(Atletas!V402="Duilian de Armas AB - Equipe 2",4,IF(Atletas!V402="Duilian de Tuishou - Equipe 1",5,IF(Atletas!V402="Duilian de Tuishou - Equipe 2",6,IF(Atletas!V402="Grupo Externo AB - Equipe 1",7,IF(Atletas!V402="Grupo Externo AB - Equipe 2",8,IF(Atletas!V402="Grupo Interno AB - Equipe 1",9,IF(Atletas!V402="Grupo Interno AB - Equipe 2",10,IF(Atletas!V402="Duilian de Mãos CD - Equipe 1",11,IF(Atletas!V402="Duilian de Mãos CD - Equipe 2",12,IF(Atletas!V402="Duilian de Armas CD - Equipe 1",13,IF(Atletas!V402="Duilian de Armas CD - Equipe 2",14,IF(Atletas!V402="Duilian de Tuishou - Equipe 1",15,IF(Atletas!V402="Duilian de Tuishou - Equipe 2",16,IF(Atletas!V402="Grupo Externo CDEF - Equipe 1",17,IF(Atletas!V402="Grupo Externo CDEF - Equipe 2",18,IF(Atletas!V402="Grupo Interno CDEF - Equipe 1",19,IF(Atletas!V402="Grupo Interno CDEF - Equipe 2",20,IF(Atletas!V402="Duilian de Mãos EF - Equipe 1",21,IF(Atletas!V402="Duilian de Mãos EF - Equipe 2",22,IF(Atletas!V402="Duilian de Armas EF - Equipe 1",23,IF(Atletas!V402="Duilian de Armas EF - Equipe 2",24,IF(Atletas!V402="Duilian de Tuishou - Equipe 1",25,IF(Atletas!V402="Duilian de Tuishou - Equipe 2",26,"")))))))))))))))))))))))))))</f>
        <v/>
      </c>
    </row>
    <row r="407" spans="36:84">
      <c r="AJ407" s="46" t="str">
        <f>IF(Atletas!D403="","",IF(Atletas!B403="Feminino",100,IF(Atletas!B403="Masculino",200,""))+(IF(Atletas!D403="Infantil 39kg",1,IF(Atletas!D403="Infantil 42kg",2,IF(Atletas!D403="Infantil 45kg",3,IF(Atletas!D403="Infantil 48kg",4,IF(Atletas!D403="Infantil 52kg",5,IF(Atletas!D403="Infantil 56kg",6,IF(Atletas!D403="Infantil 60kg",7,IF(Atletas!D403="Juvenil 48kg",8,IF(Atletas!D403="Juvenil 52kg",9,IF(Atletas!D403="Juvenil 56kg",10,IF(Atletas!D403="Juvenil 60kg",11,IF(Atletas!D403="Juvenil 65kg",12,IF(Atletas!D403="Juvenil 70kg",13,IF(Atletas!D403="Juvenil 75kg",14,IF(Atletas!D403="Juvenil 80kg",15,IF(Atletas!D403="Adulto 48kg",16,IF(Atletas!D403="Adulto 52kg",17,IF(Atletas!D403="Adulto 56kg",18,IF(Atletas!D403="Adulto 60kg",19,IF(Atletas!D403="Adulto 65kg",20,IF(Atletas!D403="Adulto 70kg",21,IF(Atletas!D403="Adulto 75kg",22,IF(Atletas!D403="Adulto 80kg",23,IF(Atletas!D403="Adulto 85kg",24,IF(Atletas!D403="Adulto 90kg",25,IF(Atletas!D403="Adulto +90kg",26,""))))))))))))))))))))))))))))</f>
        <v/>
      </c>
      <c r="AO407" s="10" t="str">
        <f>IF(Atletas!E403="","",IF(Atletas!B403="Feminino",100,IF(Atletas!B403="Masculino",200,""))+(IF(Atletas!E403="Juvenil 44kg",1,IF(Atletas!E403="Juvenil 48kg",2,IF(Atletas!E403="Juvenil 52kg",3,IF(Atletas!E403="Juvenil 56kg",4,IF(Atletas!E403="Juvenil 60kg",5,IF(Atletas!E403="Juvenil 65kg",6,IF(Atletas!E403="Juvenil 70kg",7,IF(Atletas!E403="Juvenil 75kg",8,IF(Atletas!E403="Juvenil 82kg",9,IF(Atletas!E403="Juvenil 90kg",10,IF(Atletas!E403="Juvenil 100kg",11,IF(Atletas!E403="Adulto 48kg",12,IF(Atletas!E403="Adulto 52kg",13,IF(Atletas!E403="Adulto 56kg",14,IF(Atletas!E403="Adulto 60kg",15,IF(Atletas!E403="Adulto 65kg",16,IF(Atletas!E403="Adulto 70kg",17,IF(Atletas!E403="Adulto 75kg",18,IF(Atletas!E403="Adulto 82kg",19,IF(Atletas!E403="Adulto 90kg",20,IF(Atletas!E403="Adulto 100kg",21,IF(Atletas!E403="Adulto +100kg",22,""))))))))))))))))))))))))</f>
        <v/>
      </c>
      <c r="AT407" s="10" t="str">
        <f>IF(Atletas!F403="","",IF(Atletas!B403="Feminino",100,IF(Atletas!B403="Masculino",200,""))+(IF(Atletas!F403="Adulto 48kg",1,IF(Atletas!F403="Adulto 56kg",2,IF(Atletas!F403="Adulto 65kg",3,IF(Atletas!F403="Adulto 75kg",4,IF(Atletas!F403="Adulto +75kg",5,IF(Atletas!F403="Adulto 52kg",6,IF(Atletas!F403="Adulto 60kg",7,IF(Atletas!F403="Adulto 70kg",8,IF(Atletas!F403="Adulto 80kg",9,IF(Atletas!F403="Adulto 90kg",10,IF(Atletas!F403="Adulto +90kg",11,"")))))))))))))</f>
        <v/>
      </c>
      <c r="AY407" s="46" t="str">
        <f>IF(Atletas!G403="","",IF(Atletas!B403="Feminino",100,IF(Atletas!B403="Masculino",200,""))+(IF(Atletas!G403="Changquan Mirim",1,IF(Atletas!G403="Nanquan Mirim",2,IF(Atletas!G403="Taijiquan Mirim",3,IF(Atletas!G403="Changquan Grupo C",4,IF(Atletas!G403="Nanquan Grupo C",5,IF(Atletas!G403="Taijiquan Grupo C",6,IF(Atletas!G403="Changquan Grupo B",7,IF(Atletas!G403="Nanquan Grupo B",8,IF(Atletas!G403="Taijiquan Grupo B",9,IF(Atletas!G403="Changquan Grupo A",10,IF(Atletas!G403="Nanquan Grupo A",11,IF(Atletas!G403="Taijiquan Grupo A",12,IF(Atletas!G403="Changquan Opcional",13,IF(Atletas!G403="Nanquan Opcional",14,IF(Atletas!G403="Taijiquan Opcional",15,IF(Atletas!G403="Changquan Adulto",16,IF(Atletas!G403="Nanquan Adulto",17,IF(Atletas!G403="Taijiquan Adulto",18,""))))))))))))))))))))</f>
        <v/>
      </c>
      <c r="AZ407" s="46" t="str">
        <f>IF(Atletas!H403="","",IF(Atletas!B403="Feminino",100,IF(Atletas!B403="Masculino",200,""))+(IF(Atletas!H403="Daoshu Mirim",19,IF(Atletas!H403="Jianshu Mirim",20,IF(Atletas!H403="Nandao Mirim",21,IF(Atletas!H403="Taijijian Mirim",22,IF(Atletas!H403="Daoshu Grupo C",23,IF(Atletas!H403="Jianshu Grupo C",24,IF(Atletas!H403="Nandao Grupo C",25,IF(Atletas!H403="Taijijian Grupo C",26,IF(Atletas!H403="Daoshu Grupo B",27,IF(Atletas!H403="Jianshu Grupo B",28,IF(Atletas!H403="Nandao Grupo B",29,IF(Atletas!H403="Taijijian Grupo B",30,IF(Atletas!H403="Daoshu Grupo A",31,IF(Atletas!H403="Jianshu Grupo A",32,IF(Atletas!H403="Nandao Grupo A",33,IF(Atletas!H403="Taijijian Grupo A",34,IF(Atletas!H403="Daoshu Opcional",35,IF(Atletas!H403="Jianshu Opcional",36,IF(Atletas!H403="Nandao Opcional",37,IF(Atletas!H403="Taijijian Opcional",38,IF(Atletas!H403="Daoshu Adulto",39,IF(Atletas!H403="Jianshu Adulto",40,IF(Atletas!H403="Nandao Adulto",41,IF(Atletas!H403="Taijijian Adulto",42,""))))))))))))))))))))))))))</f>
        <v/>
      </c>
      <c r="BA407" s="46" t="str">
        <f>IF(Atletas!I403="","",IF(Atletas!B403="Feminino",100,IF(Atletas!B403="Masculino",200,""))+(IF(Atletas!I403="Gunshu Mirim",43,IF(Atletas!I403="Qiangshu Mirim",44,IF(Atletas!I403="Nangun Mirim",45,IF(Atletas!I403="Gunshu Grupo C",46,IF(Atletas!I403="Qiangshu Grupo C",47,IF(Atletas!I403="Nangun Grupo C",48,IF(Atletas!I403="Gunshu Grupo B",49,IF(Atletas!I403="Qiangshu Grupo B",50,IF(Atletas!I403="Nangun Grupo B",51,IF(Atletas!I403="Gunshu Grupo A",52,IF(Atletas!I403="Qiangshu Grupo A",53,IF(Atletas!I403="Nangun Grupo A",54,IF(Atletas!I403="Gunshu Opcional",55,IF(Atletas!I403="Qiangshu Opcional",56,IF(Atletas!I403="Nangun Opcional",57,IF(Atletas!I403="Gunshu Adulto",58,IF(Atletas!I403="Qiangshu Adulto",59,IF(Atletas!I403="Nangun Adulto",60,""))))))))))))))))))))</f>
        <v/>
      </c>
      <c r="BF407" s="52" t="str">
        <f>IF(Atletas!J403="","",IF(Atletas!B403="Feminino",100,IF(Atletas!B403="Masculino",200,""))+(IF(Atletas!J403="Equipe 1 Grupo B",1,IF(Atletas!J403="Equipe 2 Grupo B",2,IF(Atletas!J403="Equipe 1 Grupo A",3,IF(Atletas!J403="Equipe 2 Grupo A",4,IF(Atletas!J403="Equipe 1 Adulto",5,IF(Atletas!J403="Equipe 2 Adulto",6,""))))))))</f>
        <v/>
      </c>
      <c r="BK407" s="52" t="str">
        <f>IF(Atletas!K403="","",IF(Atletas!W403&lt;&gt;"",10000,0)+(IF(Atletas!B403="Feminino",1000,IF(Atletas!B403="Masculino",2000,""))+IF(Atletas!K403="Choylayfut A",1,IF(Atletas!K403="Hunggar A",2,IF(Atletas!K403="Wuzuquan A",3,IF(Atletas!K403="Wingchun A",4,IF(Atletas!K403="Outra Mão de Sul A",5,IF(Atletas!K403="Choylayfut B",6,IF(Atletas!K403="Hunggar B",7,IF(Atletas!K403="Wuzuquan B",8,IF(Atletas!K403="Wingchun B",9,IF(Atletas!K403="Outra Mão de Sul B",10,IF(Atletas!K403="Choylayfut C",11,IF(Atletas!K403="Hunggar C",12,IF(Atletas!K403="Wuzuquan C",13,IF(Atletas!K403="Wingchun C",14,IF(Atletas!K403="Outra Mão de Sul C",15,IF(Atletas!K403="Choylayfut D",16,IF(Atletas!K403="Hunggar D",17,IF(Atletas!K403="Wuzuquan D",18,IF(Atletas!K403="Wingchun D",19,IF(Atletas!K403="Outra Mão de Sul D",20,IF(Atletas!K403="Choylayfut E",21,IF(Atletas!K403="Hunggar E",22,IF(Atletas!K403="Wuzuquan E",23,IF(Atletas!K403="Wingchun E",24,IF(Atletas!K403="Outra Mão de Sul E",25,IF(Atletas!K403="Choylayfut F",26,IF(Atletas!K403="Hunggar F",27,IF(Atletas!K403="Wuzuquan F",28,IF(Atletas!K403="Wingchun F",29,IF(Atletas!K403="Outra Mão de Sul F",30,""))))))))))))))))))))))))))))))))</f>
        <v/>
      </c>
      <c r="BL407" s="52" t="str">
        <f>IF(Atletas!L403="","",IF(Atletas!W403&lt;&gt;"",10000,0)+(IF(Atletas!B403="Feminino",1000,IF(Atletas!B403="Masculino",2000,""))+(IF(Atletas!L403="Chaquan A",101,IF(Atletas!L403="Emeiquan A",102,IF(Atletas!L403="Fanziquan A",103,IF(Atletas!L403="Huaquan A",104,IF(Atletas!L403="Hongquan A",105,IF(Atletas!L403="Paochui A",106,IF(Atletas!L403="Piguaquan A",107,IF(Atletas!L403="Shaolinquan A",108,IF(Atletas!L403="Tanglangquan A",109,IF(Atletas!L403="Yinzhaophai A",110,IF(Atletas!L403="Tongbeiquan A",111,IF(Atletas!L403="Wudangquan A",112,IF(Atletas!L403="Outros Estilos A",113,IF(Atletas!L403="Chaquan B",114,IF(Atletas!L403="Emeiquan B",115,IF(Atletas!L403="Fanziquan B",116,IF(Atletas!L403="Huaquan B",117,IF(Atletas!L403="Hongquan B",118,IF(Atletas!L403="Paochui B",119,IF(Atletas!L403="Piguaquan B",120,IF(Atletas!L403="Shaolinquan B",121,IF(Atletas!L403="Tanglangquan B",122,IF(Atletas!L403="Yinzhaophai B",123,IF(Atletas!L403="Tongbeiquan B",124,IF(Atletas!L403="Wudangquan B",125,IF(Atletas!L403="Outros Estilos B",126,IF(Atletas!L403="Chaquan C",127,IF(Atletas!L403="Emeiquan C",128,IF(Atletas!L403="Fanziquan C",129,IF(Atletas!L403="Huaquan C",130,IF(Atletas!L403="Hongquan C",131,IF(Atletas!L403="Paochui C",132,IF(Atletas!L403="Piguaquan C",133,IF(Atletas!L403="Shaolinquan C",134,IF(Atletas!L403="Tanglangquan C",135,IF(Atletas!L403="Yinzhaophai C",136,IF(Atletas!L403="Tongbeiquan C",137,IF(Atletas!L403="Wudangquan C",138,IF(Atletas!L403="Outros Estilos C",139,0))))))))))))))))))))))))))))))))))))))))))</f>
        <v/>
      </c>
      <c r="BM407" s="52" t="str">
        <f>IF(Atletas!L403="","",IF(Atletas!W403&lt;&gt;"",10000,0)+(IF(Atletas!B403="Feminino",1000,IF(Atletas!B403="Masculino",2000,""))+(IF(Atletas!L403="Chaquan D",140,IF(Atletas!L403="Emeiquan D",141,IF(Atletas!L403="Fanziquan D",142,IF(Atletas!L403="Huaquan D",143,IF(Atletas!L403="Hongquan D",144,IF(Atletas!L403="Paochui D",145,IF(Atletas!L403="Piguaquan D",146,IF(Atletas!L403="Shaolinquan D",147,IF(Atletas!L403="Tanglangquan D",148,IF(Atletas!L403="Yinzhaophai D",149,IF(Atletas!L403="Tongbeiquan D",150,IF(Atletas!L403="Wudangquan D",151,IF(Atletas!L403="Outros Estilos D",152,IF(Atletas!L403="Chaquan E",153,IF(Atletas!L403="Emeiquan E",154,IF(Atletas!L403="Fanziquan E",155,IF(Atletas!L403="Huaquan E",156,IF(Atletas!L403="Hongquan E",157,IF(Atletas!L403="Paochui E",158,IF(Atletas!L403="Piguaquan E",159,IF(Atletas!L403="Shaolinquan E",160,IF(Atletas!L403="Tanglangquan E",161,IF(Atletas!L403="Yinzhaophai E",162,IF(Atletas!L403="Tongbeiquan E",163,IF(Atletas!L403="Wudangquan E",164,IF(Atletas!L403="Outros Estilos E",165,IF(Atletas!L403="Chaquan F",166,IF(Atletas!L403="Emeiquan F",167,IF(Atletas!L403="Fanziquan F",168,IF(Atletas!L403="Huaquan F",169,IF(Atletas!L403="Hongquan F",170,IF(Atletas!L403="Paochui F",171,IF(Atletas!L403="Piguaquan F",172,IF(Atletas!L403="Shaolinquan F",173,IF(Atletas!L403="Tanglangquan F",174,IF(Atletas!L403="Yinzhaophai F",175,IF(Atletas!L403="Tongbeiquan F",176,IF(Atletas!L403="Wudangquan F",177,IF(Atletas!L403="Outros Estilos F",178,0))))))))))))))))))))))))))))))))))))))))))</f>
        <v/>
      </c>
      <c r="BN407" s="52" t="str">
        <f>IF(Atletas!M403="","",IF(Atletas!W403&lt;&gt;"",10000,0)+(IF(Atletas!B403="Feminino",1000,IF(Atletas!B403="Masculino",2000,""))+(IF(Atletas!M403="Ditangquan A",201,IF(Atletas!M403="Houquan A",202,IF(Atletas!M403="Zuiquan A",203,IF(Atletas!M403="Ditangquan B",204,IF(Atletas!M403="Houquan B",205,IF(Atletas!M403="Zuiquan B",206,IF(Atletas!M403="Ditangquan C",207,IF(Atletas!M403="Houquan C",208,IF(Atletas!M403="Zuiquan C",209,IF(Atletas!M403="Ditangquan D",210,IF(Atletas!M403="Houquan D",211,IF(Atletas!M403="Zuiquan D",212,IF(Atletas!M403="Ditangquan E",213,IF(Atletas!M403="Houquan E",214,IF(Atletas!M403="Zuiquan E",215,IF(Atletas!M403="Ditangquan F",216,IF(Atletas!M403="Houquan F",217,IF(Atletas!M403="Zuiquan F",218,"")))))))))))))))))))))</f>
        <v/>
      </c>
      <c r="BO407" s="52" t="str">
        <f>IF(Atletas!N403="","",IF(Atletas!W403&lt;&gt;"",10000,0)+IF(Atletas!B403="Feminino",1000,IF(Atletas!B403="Masculino",2000,""))+IF(Atletas!N403="Yang A",301,IF(Atletas!N403="Chen A",30,IF(Atletas!N403="Sun A",303,IF(Atletas!N403="Wu A",304,IF(Atletas!N403="Wu-Hao A",305,IF(Atletas!N403="Outro Taijiquan A",306,IF(Atletas!N403="Yang B",307,IF(Atletas!N403="Chen B",308,IF(Atletas!N403="Sun B",309,IF(Atletas!N403="Wu B",310,IF(Atletas!N403="Wu-Hao B",311,IF(Atletas!N403="Outro Taijiquan B",312,IF(Atletas!N403="Yang C",313,IF(Atletas!N403="Chen C",314,IF(Atletas!N403="Sun C",315,IF(Atletas!N403="Wu C",316,IF(Atletas!N403="Wu-Hao C",317,IF(Atletas!N403="Outro Taijiquan C",318,IF(Atletas!N403="Yang D",319,IF(Atletas!N403="Chen D",320,IF(Atletas!N403="Sun D",321,IF(Atletas!N403="Wu D",322,IF(Atletas!N403="Wu-Hao D",323,IF(Atletas!N403="Outro Taijiquan D",324,IF(Atletas!N403="Yang E",325,IF(Atletas!N403="Chen E",326,IF(Atletas!N403="Sun E",327,IF(Atletas!N403="Wu E",328,IF(Atletas!N403="Wu-Hao E",329,IF(Atletas!N403="Outro Taijiquan E",330,IF(Atletas!N403="Yang F",331,IF(Atletas!N403="Chen F",332,IF(Atletas!N403="Sun F",333,IF(Atletas!N403="Wu F",334,IF(Atletas!N403="Wu-Hao F",335,IF(Atletas!N403="Outro Taijiquan F",336,"")))))))))))))))))))))))))))))))))))))</f>
        <v/>
      </c>
      <c r="BP407" s="52" t="str">
        <f>IF(Atletas!O403="","",IF(Atletas!W403&lt;&gt;"",10000,0)+IF(Atletas!B403="Feminino",1000,IF(Atletas!B403="Masculino",2000,""))+IF(OR(Atletas!O403="Yang 26 A",Atletas!O403="Yang 40 A"),401,IF(OR(Atletas!O403="Chen 25 A",Atletas!O403="Chen 36 A",Atletas!O403="Chen 56 A"),402,IF(Atletas!O403="Sun 73 A",403,IF(Atletas!O403="Wu 45 A",404,IF(Atletas!O403="Wu-Hao 46 A",405,IF(OR(Atletas!O403="Taijiquan 16 A",Atletas!O403="Taijiquan 24 A",Atletas!O403="Taijiquan 32 A",Atletas!O403="Taijiquan 42 A"),406,IF(OR(Atletas!O403="Yang 26 B",Atletas!O403="Yang 40 B"),407,IF(OR(Atletas!O403="Chen 25 B",Atletas!O403="Chen 36 B",Atletas!O403="Chen 56 B"),408,IF(Atletas!O403="Sun 73 B",409,IF(Atletas!O403="Wu 45 B",410,IF(Atletas!O403="Wu-Hao 46 B",411,IF(OR(Atletas!O403="Taijiquan 16 B",Atletas!O403="Taijiquan 24 B",Atletas!O403="Taijiquan 32 B",Atletas!O403="Taijiquan 42 B"),412,IF(OR(Atletas!O403="Yang 26 C",Atletas!O403="Yang 40 C"),413,IF(OR(Atletas!O403="Chen 25 C",Atletas!O403="Chen 36 C",Atletas!O403="Chen 56 C"),414,IF(Atletas!O403="Sun 73 C",415,IF(Atletas!O403="Wu 45 C",416,IF(Atletas!O403="Wu-Hao 46 C",417,IF(OR(Atletas!O403="Taijiquan 16 C",Atletas!O403="Taijiquan 24 C",Atletas!O403="Taijiquan 32 C",Atletas!O403="Taijiquan 42 C"),418,0)))))))))))))))))))</f>
        <v/>
      </c>
      <c r="BQ407" s="52" t="str">
        <f>IF(Atletas!O403="","",IF(Atletas!W403&lt;&gt;"",10000,0)+IF(Atletas!B403="Feminino",1000,IF(Atletas!B403="Masculino",2000,""))+IF(OR(Atletas!O403="Yang 26 D",Atletas!O403="Yang 40 D"),419,IF(OR(Atletas!O403="Chen 25 D",Atletas!O403="Chen 36 D",Atletas!O403="Chen 56 D"),420,IF(Atletas!O403="Sun 73 D",421,IF(Atletas!O403="Wu 45 D",422,IF(Atletas!O403="Wu-Hao 46 D",423,IF(OR(Atletas!O403="Taijiquan 16 D",Atletas!O403="Taijiquan 24 D",Atletas!O403="Taijiquan 32 D",Atletas!O403="Taijiquan 42 D"),424,IF(OR(Atletas!O403="Yang 26 E",Atletas!O403="Yang 40 E"),425,IF(OR(Atletas!O403="Chen 25 E",Atletas!O403="Chen 36 E",Atletas!O403="Chen 56 E"),426,IF(Atletas!O403="Sun 73 E",427,IF(Atletas!O403="Wu 45 E",428,IF(Atletas!O403="Wu-Hao 46 E",429,IF(OR(Atletas!O403="Taijiquan 16 E",Atletas!O403="Taijiquan 24 E",Atletas!O403="Taijiquan 32 E",Atletas!O403="Taijiquan 42 E"),430,IF(OR(Atletas!O403="Yang 26 F",Atletas!O403="Yang 40 F"),431,IF(OR(Atletas!O403="Chen 25 F",Atletas!O403="Chen 36 F",Atletas!O403="Chen 56 F"),432,IF(Atletas!O403="Sun 73 F",433,IF(Atletas!O403="Wu 45 F",434,IF(Atletas!O403="Wu-Hao 46 F",435,IF(OR(Atletas!O403="Taijiquan 16 F",Atletas!O403="Taijiquan 24 F",Atletas!O403="Taijiquan 32 F",Atletas!O403="Taijiquan 42 F"),436,0)))))))))))))))))))</f>
        <v/>
      </c>
      <c r="BR407" s="52" t="str">
        <f>IF(Atletas!P403="","",IF(Atletas!W403&lt;&gt;"",10000,0)+IF(Atletas!B403="Feminino",1000,IF(Atletas!B403="Masculino",2000,""))+IF(Atletas!P403="Xingyiquan A",501,IF(Atletas!P403="Baguazhang A",502,IF(Atletas!P403="Outro Estilo Interno A",503,IF(Atletas!P403="Xingyiquan B",504,IF(Atletas!P403="Baguazhang B",505,IF(Atletas!P403="Outro Estilo Interno B",506,IF(Atletas!P403="Xingyiquan C",507,IF(Atletas!P403="Baguazhang C",508,IF(Atletas!P403="Outro Estilo Interno C",509,IF(Atletas!P403="Xingyiquan D",510,IF(Atletas!P403="Baguazhang D",511,IF(Atletas!P403="Outro Estilo Interno D",512,IF(Atletas!P403="Xingyiquan E",513,IF(Atletas!P403="Baguazhang E",514,IF(Atletas!P403="Outro Estilo Interno E",515,IF(Atletas!P403="Xingyiquan F",516,IF(Atletas!P403="Baguazhang F",517,IF(Atletas!P403="Outro Estilo Interno F",518, "")))))))))))))))))))</f>
        <v/>
      </c>
      <c r="BS407" s="52" t="str">
        <f>IF(Atletas!Q403="","",IF(Atletas!W403&lt;&gt;"",10000,0)+IF(Atletas!B403="Feminino",1000,IF(Atletas!B403="Masculino",2000,""))+IF(Atletas!Q403="Dao A",601,IF(Atletas!Q403="Jian A",602,IF(Atletas!Q403="Bishou A",603,IF(Atletas!Q403="Shan A",604,IF(Atletas!Q403="Outra Arma Curta A",605,IF(Atletas!Q403="Dao B",606,IF(Atletas!Q403="Jian B",607,IF(Atletas!Q403="Bishou B",608,IF(Atletas!Q403="Shan B",609,IF(Atletas!Q403="Outra Arma Curta B",610,IF(Atletas!Q403="Dao C",611,IF(Atletas!Q403="Jian C",612,IF(Atletas!Q403="Bishou C",613,IF(Atletas!Q403="Shan C",614,IF(Atletas!Q403="Outra Arma Curta C",615,IF(Atletas!Q403="Dao D",616,IF(Atletas!Q403="Jian D",617,IF(Atletas!Q403="Bishou D",618,IF(Atletas!Q403="Shan D",619,IF(Atletas!Q403="Outra Arma Curta D",620,IF(Atletas!Q403="Dao E",621,IF(Atletas!Q403="Jian E",622,IF(Atletas!Q403="Bishou E",623,IF(Atletas!Q403="Shan E",624,IF(Atletas!Q403="Outra Arma Curta E",625,IF(Atletas!Q403="Dao F",626,IF(Atletas!Q403="Jian F",627,IF(Atletas!Q403="Bishou F",628,IF(Atletas!Q403="Shan F",629,IF(Atletas!Q403="Outra Arma Curta F",630, "")))))))))))))))))))))))))))))))</f>
        <v/>
      </c>
      <c r="BT407" s="52" t="str">
        <f>IF(Atletas!R403="","",IF(Atletas!W403&lt;&gt;"",10000,0)+IF(Atletas!B403="Feminino",1000,IF(Atletas!B403="Masculino",2000,""))+IF(Atletas!R403="Gun A",701,IF(Atletas!R403="Qiang A",702,IF(Atletas!R403="Pudao / Guandao A",703,IF(Atletas!R403="Outra Arma Longa A",704,IF(Atletas!R403="Gun B",705,IF(Atletas!R403="Qiang B",706,IF(Atletas!R403="Pudao / Guandao B",707,IF(Atletas!R403="Outra Arma Longa B",708,IF(Atletas!R403="Gun C",709,IF(Atletas!R403="Qiang C",710,IF(Atletas!R403="Pudao / Guandao C",711,IF(Atletas!R403="Outra Arma Longa C",712,IF(Atletas!R403="Gun D",713,IF(Atletas!R403="Qiang D",714,IF(Atletas!R403="Pudao / Guandao D",715,IF(Atletas!R403="Outra Arma Longa D",716,IF(Atletas!R403="Gun E",717,IF(Atletas!R403="Qiang E",718,IF(Atletas!R403="Pudao / Guandao E",719,IF(Atletas!R403="Outra Arma Longa E",720,IF(Atletas!R403="Gun F",721,IF(Atletas!R403="Qiang F",722,IF(Atletas!R403="Pudao / Guandao F",723,IF(Atletas!R403="Outra Arma Longa F",724,"")))))))))))))))))))))))))</f>
        <v/>
      </c>
      <c r="BU407" s="52" t="str">
        <f>IF(Atletas!S403="","",IF(Atletas!W403&lt;&gt;"",10000,0)+IF(Atletas!B403="Feminino",1000,IF(Atletas!B403="Masculino",2000,""))+IF(Atletas!S403="Arma Dupla A",801,IF(Atletas!S403="Arma Maleável A",802,IF(Atletas!S403="Arma Dupla B",803,IF(Atletas!S403="Arma Maleável B",804,IF(Atletas!S403="Arma Dupla C",805,IF(Atletas!S403="Arma Maleável C",806,IF(Atletas!S403="Arma Dupla D",807,IF(Atletas!S403="Arma Maleável D",808,IF(Atletas!S403="Arma Dupla E",809,IF(Atletas!S403="Arma Maleável E",810,IF(Atletas!S403="Arma Dupla F",811,IF(Atletas!S403="Arma Maleável F",812, "")))))))))))))</f>
        <v/>
      </c>
      <c r="BV407" s="52" t="str">
        <f>IF(Atletas!T403="","",IF(Atletas!W403&lt;&gt;"",10000,0)+IF(Atletas!B403="Feminino",1000,IF(Atletas!B403="Masculino",2000,""))+IF(Atletas!T403="Taijijian Yang A",901,IF(Atletas!T403="Taijijian Chen A",902,IF(Atletas!T403="Taijijian Sun A",903,IF(Atletas!T403="Taijijian Wu A",904,IF(Atletas!T403="Taijijian Wu-Hao A",905,IF(Atletas!T403="Taijijian 32 A",906,IF(Atletas!T403="Taijijian 42 A",907,IF(Atletas!T403="Taijijian Yang B",908,IF(Atletas!T403="Taijijian Chen B",909,IF(Atletas!T403="Taijijian Sun B",910,IF(Atletas!T403="Taijijian Wu B",911,IF(Atletas!T403="Taijijian Wu-Hao B",912,IF(Atletas!T403="Taijijian 32 B",913,IF(Atletas!T403="Taijijian 42 B",914,IF(Atletas!T403="Taijijian Yang C",915,IF(Atletas!T403="Taijijian Chen C",916,IF(Atletas!T403="Taijijian Sun C",917,IF(Atletas!T403="Taijijian Wu C",918,IF(Atletas!T403="Taijijian Wu-Hao C",919,IF(Atletas!T403="Taijijian 32 C",920,IF(Atletas!T403="Taijijian 42 C",921,IF(Atletas!T403="Taijijian Yang D",922,IF(Atletas!T403="Taijijian Chen D",923,IF(Atletas!T403="Taijijian Sun D",924,IF(Atletas!T403="Taijijian Wu D",925,IF(Atletas!T403="Taijijian Wu-Hao D",926,IF(Atletas!T403="Taijijian 32 D",927,IF(Atletas!T403="Taijijian 42 D",928,IF(Atletas!T403="Taijijian Yang E",929,IF(Atletas!T403="Taijijian Chen E",930,IF(Atletas!T403="Taijijian Sun E",931,IF(Atletas!T403="Taijijian Wu E",932,IF(Atletas!T403="Taijijian Wu-Hao E",933,IF(Atletas!T403="Taijijian 32 E",934,IF(Atletas!T403="Taijijian 42 E",935,IF(Atletas!T403="Taijijian Yang F",936,IF(Atletas!T403="Taijijian Chen F",937,IF(Atletas!T403="Taijijian Sun F",938,IF(Atletas!T403="Taijijian Wu F",939,IF(Atletas!T403="Taijijian Wu-Hao F",940,IF(Atletas!T403="Taijijian 32 F",941,IF(Atletas!T403="Taijijian 42 F",942,"")))))))))))))))))))))))))))))))))))))))))))</f>
        <v/>
      </c>
      <c r="BW407" s="52" t="str">
        <f>IF(Atletas!U403="","",IF(Atletas!W403&lt;&gt;"",10000,0)+IF(Atletas!B403="Feminino",1000,IF(Atletas!B403="Masculino",2000,""))+IF(Atletas!T403="Taijijian 42 F",942,IF(Atletas!U403="Taijidao A",943,IF(Atletas!U403="Taijishan A",944,IF(Atletas!U403="Taijiqiang A",945,IF(Atletas!U403="Taijidao B",946,IF(Atletas!U403="Taijishan B",947,IF(Atletas!U403="Taijiqiang B",948,IF(Atletas!U403="Taijidao C",949,IF(Atletas!U403="Taijishan C",950,IF(Atletas!U403="Taijiqiang C",951,IF(Atletas!U403="Taijidao D",952,IF(Atletas!U403="Taijishan D",953,IF(Atletas!U403="Taijiqiang D",954,IF(Atletas!U403="Taijidao E",955,IF(Atletas!U403="Taijishan E",956,IF(Atletas!U403="Taijiqiang E",957,IF(Atletas!U403="Taijidao F",958,IF(Atletas!U403="Taijishan F",959,IF(Atletas!U403="Taijiqiang F",960))))))))))))))))))))</f>
        <v/>
      </c>
      <c r="CB407" s="64" t="str">
        <f>IF(CC407&lt;&gt;"","Taijishan F","")</f>
        <v/>
      </c>
      <c r="CC407" s="64" t="str">
        <f>IF(COUNTIF(BK:BW,11959)&gt;0,COUNTIF(BK:BW,11959),"")</f>
        <v/>
      </c>
      <c r="CD407" s="64" t="str">
        <f>IF(CE407&lt;&gt;"","Taijishan F","")</f>
        <v/>
      </c>
      <c r="CE407" s="64" t="str">
        <f>IF(COUNTIF(BK:BW,12959)&gt;0,COUNTIF(BK:BW,12959),"")</f>
        <v/>
      </c>
      <c r="CF407" s="52" t="str">
        <f xml:space="preserve"> IF(Atletas!V403="","",IF(Atletas!V403="Duilian de Mãos AB - Equipe 1",1,IF(Atletas!V403="Duilian de Mãos AB - Equipe 2",2,IF(Atletas!V403="Duilian de Armas AB - Equipe 1",3,IF(Atletas!V403="Duilian de Armas AB - Equipe 2",4,IF(Atletas!V403="Duilian de Tuishou - Equipe 1",5,IF(Atletas!V403="Duilian de Tuishou - Equipe 2",6,IF(Atletas!V403="Grupo Externo AB - Equipe 1",7,IF(Atletas!V403="Grupo Externo AB - Equipe 2",8,IF(Atletas!V403="Grupo Interno AB - Equipe 1",9,IF(Atletas!V403="Grupo Interno AB - Equipe 2",10,IF(Atletas!V403="Duilian de Mãos CD - Equipe 1",11,IF(Atletas!V403="Duilian de Mãos CD - Equipe 2",12,IF(Atletas!V403="Duilian de Armas CD - Equipe 1",13,IF(Atletas!V403="Duilian de Armas CD - Equipe 2",14,IF(Atletas!V403="Duilian de Tuishou - Equipe 1",15,IF(Atletas!V403="Duilian de Tuishou - Equipe 2",16,IF(Atletas!V403="Grupo Externo CDEF - Equipe 1",17,IF(Atletas!V403="Grupo Externo CDEF - Equipe 2",18,IF(Atletas!V403="Grupo Interno CDEF - Equipe 1",19,IF(Atletas!V403="Grupo Interno CDEF - Equipe 2",20,IF(Atletas!V403="Duilian de Mãos EF - Equipe 1",21,IF(Atletas!V403="Duilian de Mãos EF - Equipe 2",22,IF(Atletas!V403="Duilian de Armas EF - Equipe 1",23,IF(Atletas!V403="Duilian de Armas EF - Equipe 2",24,IF(Atletas!V403="Duilian de Tuishou - Equipe 1",25,IF(Atletas!V403="Duilian de Tuishou - Equipe 2",26,"")))))))))))))))))))))))))))</f>
        <v/>
      </c>
    </row>
    <row r="408" spans="36:84">
      <c r="AJ408" s="46" t="str">
        <f>IF(Atletas!D404="","",IF(Atletas!B404="Feminino",100,IF(Atletas!B404="Masculino",200,""))+(IF(Atletas!D404="Infantil 39kg",1,IF(Atletas!D404="Infantil 42kg",2,IF(Atletas!D404="Infantil 45kg",3,IF(Atletas!D404="Infantil 48kg",4,IF(Atletas!D404="Infantil 52kg",5,IF(Atletas!D404="Infantil 56kg",6,IF(Atletas!D404="Infantil 60kg",7,IF(Atletas!D404="Juvenil 48kg",8,IF(Atletas!D404="Juvenil 52kg",9,IF(Atletas!D404="Juvenil 56kg",10,IF(Atletas!D404="Juvenil 60kg",11,IF(Atletas!D404="Juvenil 65kg",12,IF(Atletas!D404="Juvenil 70kg",13,IF(Atletas!D404="Juvenil 75kg",14,IF(Atletas!D404="Juvenil 80kg",15,IF(Atletas!D404="Adulto 48kg",16,IF(Atletas!D404="Adulto 52kg",17,IF(Atletas!D404="Adulto 56kg",18,IF(Atletas!D404="Adulto 60kg",19,IF(Atletas!D404="Adulto 65kg",20,IF(Atletas!D404="Adulto 70kg",21,IF(Atletas!D404="Adulto 75kg",22,IF(Atletas!D404="Adulto 80kg",23,IF(Atletas!D404="Adulto 85kg",24,IF(Atletas!D404="Adulto 90kg",25,IF(Atletas!D404="Adulto +90kg",26,""))))))))))))))))))))))))))))</f>
        <v/>
      </c>
      <c r="AO408" s="10" t="str">
        <f>IF(Atletas!E404="","",IF(Atletas!B404="Feminino",100,IF(Atletas!B404="Masculino",200,""))+(IF(Atletas!E404="Juvenil 44kg",1,IF(Atletas!E404="Juvenil 48kg",2,IF(Atletas!E404="Juvenil 52kg",3,IF(Atletas!E404="Juvenil 56kg",4,IF(Atletas!E404="Juvenil 60kg",5,IF(Atletas!E404="Juvenil 65kg",6,IF(Atletas!E404="Juvenil 70kg",7,IF(Atletas!E404="Juvenil 75kg",8,IF(Atletas!E404="Juvenil 82kg",9,IF(Atletas!E404="Juvenil 90kg",10,IF(Atletas!E404="Juvenil 100kg",11,IF(Atletas!E404="Adulto 48kg",12,IF(Atletas!E404="Adulto 52kg",13,IF(Atletas!E404="Adulto 56kg",14,IF(Atletas!E404="Adulto 60kg",15,IF(Atletas!E404="Adulto 65kg",16,IF(Atletas!E404="Adulto 70kg",17,IF(Atletas!E404="Adulto 75kg",18,IF(Atletas!E404="Adulto 82kg",19,IF(Atletas!E404="Adulto 90kg",20,IF(Atletas!E404="Adulto 100kg",21,IF(Atletas!E404="Adulto +100kg",22,""))))))))))))))))))))))))</f>
        <v/>
      </c>
      <c r="AT408" s="10" t="str">
        <f>IF(Atletas!F404="","",IF(Atletas!B404="Feminino",100,IF(Atletas!B404="Masculino",200,""))+(IF(Atletas!F404="Adulto 48kg",1,IF(Atletas!F404="Adulto 56kg",2,IF(Atletas!F404="Adulto 65kg",3,IF(Atletas!F404="Adulto 75kg",4,IF(Atletas!F404="Adulto +75kg",5,IF(Atletas!F404="Adulto 52kg",6,IF(Atletas!F404="Adulto 60kg",7,IF(Atletas!F404="Adulto 70kg",8,IF(Atletas!F404="Adulto 80kg",9,IF(Atletas!F404="Adulto 90kg",10,IF(Atletas!F404="Adulto +90kg",11,"")))))))))))))</f>
        <v/>
      </c>
      <c r="AY408" s="46" t="str">
        <f>IF(Atletas!G404="","",IF(Atletas!B404="Feminino",100,IF(Atletas!B404="Masculino",200,""))+(IF(Atletas!G404="Changquan Mirim",1,IF(Atletas!G404="Nanquan Mirim",2,IF(Atletas!G404="Taijiquan Mirim",3,IF(Atletas!G404="Changquan Grupo C",4,IF(Atletas!G404="Nanquan Grupo C",5,IF(Atletas!G404="Taijiquan Grupo C",6,IF(Atletas!G404="Changquan Grupo B",7,IF(Atletas!G404="Nanquan Grupo B",8,IF(Atletas!G404="Taijiquan Grupo B",9,IF(Atletas!G404="Changquan Grupo A",10,IF(Atletas!G404="Nanquan Grupo A",11,IF(Atletas!G404="Taijiquan Grupo A",12,IF(Atletas!G404="Changquan Opcional",13,IF(Atletas!G404="Nanquan Opcional",14,IF(Atletas!G404="Taijiquan Opcional",15,IF(Atletas!G404="Changquan Adulto",16,IF(Atletas!G404="Nanquan Adulto",17,IF(Atletas!G404="Taijiquan Adulto",18,""))))))))))))))))))))</f>
        <v/>
      </c>
      <c r="AZ408" s="46" t="str">
        <f>IF(Atletas!H404="","",IF(Atletas!B404="Feminino",100,IF(Atletas!B404="Masculino",200,""))+(IF(Atletas!H404="Daoshu Mirim",19,IF(Atletas!H404="Jianshu Mirim",20,IF(Atletas!H404="Nandao Mirim",21,IF(Atletas!H404="Taijijian Mirim",22,IF(Atletas!H404="Daoshu Grupo C",23,IF(Atletas!H404="Jianshu Grupo C",24,IF(Atletas!H404="Nandao Grupo C",25,IF(Atletas!H404="Taijijian Grupo C",26,IF(Atletas!H404="Daoshu Grupo B",27,IF(Atletas!H404="Jianshu Grupo B",28,IF(Atletas!H404="Nandao Grupo B",29,IF(Atletas!H404="Taijijian Grupo B",30,IF(Atletas!H404="Daoshu Grupo A",31,IF(Atletas!H404="Jianshu Grupo A",32,IF(Atletas!H404="Nandao Grupo A",33,IF(Atletas!H404="Taijijian Grupo A",34,IF(Atletas!H404="Daoshu Opcional",35,IF(Atletas!H404="Jianshu Opcional",36,IF(Atletas!H404="Nandao Opcional",37,IF(Atletas!H404="Taijijian Opcional",38,IF(Atletas!H404="Daoshu Adulto",39,IF(Atletas!H404="Jianshu Adulto",40,IF(Atletas!H404="Nandao Adulto",41,IF(Atletas!H404="Taijijian Adulto",42,""))))))))))))))))))))))))))</f>
        <v/>
      </c>
      <c r="BA408" s="46" t="str">
        <f>IF(Atletas!I404="","",IF(Atletas!B404="Feminino",100,IF(Atletas!B404="Masculino",200,""))+(IF(Atletas!I404="Gunshu Mirim",43,IF(Atletas!I404="Qiangshu Mirim",44,IF(Atletas!I404="Nangun Mirim",45,IF(Atletas!I404="Gunshu Grupo C",46,IF(Atletas!I404="Qiangshu Grupo C",47,IF(Atletas!I404="Nangun Grupo C",48,IF(Atletas!I404="Gunshu Grupo B",49,IF(Atletas!I404="Qiangshu Grupo B",50,IF(Atletas!I404="Nangun Grupo B",51,IF(Atletas!I404="Gunshu Grupo A",52,IF(Atletas!I404="Qiangshu Grupo A",53,IF(Atletas!I404="Nangun Grupo A",54,IF(Atletas!I404="Gunshu Opcional",55,IF(Atletas!I404="Qiangshu Opcional",56,IF(Atletas!I404="Nangun Opcional",57,IF(Atletas!I404="Gunshu Adulto",58,IF(Atletas!I404="Qiangshu Adulto",59,IF(Atletas!I404="Nangun Adulto",60,""))))))))))))))))))))</f>
        <v/>
      </c>
      <c r="BF408" s="52" t="str">
        <f>IF(Atletas!J404="","",IF(Atletas!B404="Feminino",100,IF(Atletas!B404="Masculino",200,""))+(IF(Atletas!J404="Equipe 1 Grupo B",1,IF(Atletas!J404="Equipe 2 Grupo B",2,IF(Atletas!J404="Equipe 1 Grupo A",3,IF(Atletas!J404="Equipe 2 Grupo A",4,IF(Atletas!J404="Equipe 1 Adulto",5,IF(Atletas!J404="Equipe 2 Adulto",6,""))))))))</f>
        <v/>
      </c>
      <c r="BK408" s="52" t="str">
        <f>IF(Atletas!K404="","",IF(Atletas!W404&lt;&gt;"",10000,0)+(IF(Atletas!B404="Feminino",1000,IF(Atletas!B404="Masculino",2000,""))+IF(Atletas!K404="Choylayfut A",1,IF(Atletas!K404="Hunggar A",2,IF(Atletas!K404="Wuzuquan A",3,IF(Atletas!K404="Wingchun A",4,IF(Atletas!K404="Outra Mão de Sul A",5,IF(Atletas!K404="Choylayfut B",6,IF(Atletas!K404="Hunggar B",7,IF(Atletas!K404="Wuzuquan B",8,IF(Atletas!K404="Wingchun B",9,IF(Atletas!K404="Outra Mão de Sul B",10,IF(Atletas!K404="Choylayfut C",11,IF(Atletas!K404="Hunggar C",12,IF(Atletas!K404="Wuzuquan C",13,IF(Atletas!K404="Wingchun C",14,IF(Atletas!K404="Outra Mão de Sul C",15,IF(Atletas!K404="Choylayfut D",16,IF(Atletas!K404="Hunggar D",17,IF(Atletas!K404="Wuzuquan D",18,IF(Atletas!K404="Wingchun D",19,IF(Atletas!K404="Outra Mão de Sul D",20,IF(Atletas!K404="Choylayfut E",21,IF(Atletas!K404="Hunggar E",22,IF(Atletas!K404="Wuzuquan E",23,IF(Atletas!K404="Wingchun E",24,IF(Atletas!K404="Outra Mão de Sul E",25,IF(Atletas!K404="Choylayfut F",26,IF(Atletas!K404="Hunggar F",27,IF(Atletas!K404="Wuzuquan F",28,IF(Atletas!K404="Wingchun F",29,IF(Atletas!K404="Outra Mão de Sul F",30,""))))))))))))))))))))))))))))))))</f>
        <v/>
      </c>
      <c r="BL408" s="52" t="str">
        <f>IF(Atletas!L404="","",IF(Atletas!W404&lt;&gt;"",10000,0)+(IF(Atletas!B404="Feminino",1000,IF(Atletas!B404="Masculino",2000,""))+(IF(Atletas!L404="Chaquan A",101,IF(Atletas!L404="Emeiquan A",102,IF(Atletas!L404="Fanziquan A",103,IF(Atletas!L404="Huaquan A",104,IF(Atletas!L404="Hongquan A",105,IF(Atletas!L404="Paochui A",106,IF(Atletas!L404="Piguaquan A",107,IF(Atletas!L404="Shaolinquan A",108,IF(Atletas!L404="Tanglangquan A",109,IF(Atletas!L404="Yinzhaophai A",110,IF(Atletas!L404="Tongbeiquan A",111,IF(Atletas!L404="Wudangquan A",112,IF(Atletas!L404="Outros Estilos A",113,IF(Atletas!L404="Chaquan B",114,IF(Atletas!L404="Emeiquan B",115,IF(Atletas!L404="Fanziquan B",116,IF(Atletas!L404="Huaquan B",117,IF(Atletas!L404="Hongquan B",118,IF(Atletas!L404="Paochui B",119,IF(Atletas!L404="Piguaquan B",120,IF(Atletas!L404="Shaolinquan B",121,IF(Atletas!L404="Tanglangquan B",122,IF(Atletas!L404="Yinzhaophai B",123,IF(Atletas!L404="Tongbeiquan B",124,IF(Atletas!L404="Wudangquan B",125,IF(Atletas!L404="Outros Estilos B",126,IF(Atletas!L404="Chaquan C",127,IF(Atletas!L404="Emeiquan C",128,IF(Atletas!L404="Fanziquan C",129,IF(Atletas!L404="Huaquan C",130,IF(Atletas!L404="Hongquan C",131,IF(Atletas!L404="Paochui C",132,IF(Atletas!L404="Piguaquan C",133,IF(Atletas!L404="Shaolinquan C",134,IF(Atletas!L404="Tanglangquan C",135,IF(Atletas!L404="Yinzhaophai C",136,IF(Atletas!L404="Tongbeiquan C",137,IF(Atletas!L404="Wudangquan C",138,IF(Atletas!L404="Outros Estilos C",139,0))))))))))))))))))))))))))))))))))))))))))</f>
        <v/>
      </c>
      <c r="BM408" s="52" t="str">
        <f>IF(Atletas!L404="","",IF(Atletas!W404&lt;&gt;"",10000,0)+(IF(Atletas!B404="Feminino",1000,IF(Atletas!B404="Masculino",2000,""))+(IF(Atletas!L404="Chaquan D",140,IF(Atletas!L404="Emeiquan D",141,IF(Atletas!L404="Fanziquan D",142,IF(Atletas!L404="Huaquan D",143,IF(Atletas!L404="Hongquan D",144,IF(Atletas!L404="Paochui D",145,IF(Atletas!L404="Piguaquan D",146,IF(Atletas!L404="Shaolinquan D",147,IF(Atletas!L404="Tanglangquan D",148,IF(Atletas!L404="Yinzhaophai D",149,IF(Atletas!L404="Tongbeiquan D",150,IF(Atletas!L404="Wudangquan D",151,IF(Atletas!L404="Outros Estilos D",152,IF(Atletas!L404="Chaquan E",153,IF(Atletas!L404="Emeiquan E",154,IF(Atletas!L404="Fanziquan E",155,IF(Atletas!L404="Huaquan E",156,IF(Atletas!L404="Hongquan E",157,IF(Atletas!L404="Paochui E",158,IF(Atletas!L404="Piguaquan E",159,IF(Atletas!L404="Shaolinquan E",160,IF(Atletas!L404="Tanglangquan E",161,IF(Atletas!L404="Yinzhaophai E",162,IF(Atletas!L404="Tongbeiquan E",163,IF(Atletas!L404="Wudangquan E",164,IF(Atletas!L404="Outros Estilos E",165,IF(Atletas!L404="Chaquan F",166,IF(Atletas!L404="Emeiquan F",167,IF(Atletas!L404="Fanziquan F",168,IF(Atletas!L404="Huaquan F",169,IF(Atletas!L404="Hongquan F",170,IF(Atletas!L404="Paochui F",171,IF(Atletas!L404="Piguaquan F",172,IF(Atletas!L404="Shaolinquan F",173,IF(Atletas!L404="Tanglangquan F",174,IF(Atletas!L404="Yinzhaophai F",175,IF(Atletas!L404="Tongbeiquan F",176,IF(Atletas!L404="Wudangquan F",177,IF(Atletas!L404="Outros Estilos F",178,0))))))))))))))))))))))))))))))))))))))))))</f>
        <v/>
      </c>
      <c r="BN408" s="52" t="str">
        <f>IF(Atletas!M404="","",IF(Atletas!W404&lt;&gt;"",10000,0)+(IF(Atletas!B404="Feminino",1000,IF(Atletas!B404="Masculino",2000,""))+(IF(Atletas!M404="Ditangquan A",201,IF(Atletas!M404="Houquan A",202,IF(Atletas!M404="Zuiquan A",203,IF(Atletas!M404="Ditangquan B",204,IF(Atletas!M404="Houquan B",205,IF(Atletas!M404="Zuiquan B",206,IF(Atletas!M404="Ditangquan C",207,IF(Atletas!M404="Houquan C",208,IF(Atletas!M404="Zuiquan C",209,IF(Atletas!M404="Ditangquan D",210,IF(Atletas!M404="Houquan D",211,IF(Atletas!M404="Zuiquan D",212,IF(Atletas!M404="Ditangquan E",213,IF(Atletas!M404="Houquan E",214,IF(Atletas!M404="Zuiquan E",215,IF(Atletas!M404="Ditangquan F",216,IF(Atletas!M404="Houquan F",217,IF(Atletas!M404="Zuiquan F",218,"")))))))))))))))))))))</f>
        <v/>
      </c>
      <c r="BO408" s="52" t="str">
        <f>IF(Atletas!N404="","",IF(Atletas!W404&lt;&gt;"",10000,0)+IF(Atletas!B404="Feminino",1000,IF(Atletas!B404="Masculino",2000,""))+IF(Atletas!N404="Yang A",301,IF(Atletas!N404="Chen A",30,IF(Atletas!N404="Sun A",303,IF(Atletas!N404="Wu A",304,IF(Atletas!N404="Wu-Hao A",305,IF(Atletas!N404="Outro Taijiquan A",306,IF(Atletas!N404="Yang B",307,IF(Atletas!N404="Chen B",308,IF(Atletas!N404="Sun B",309,IF(Atletas!N404="Wu B",310,IF(Atletas!N404="Wu-Hao B",311,IF(Atletas!N404="Outro Taijiquan B",312,IF(Atletas!N404="Yang C",313,IF(Atletas!N404="Chen C",314,IF(Atletas!N404="Sun C",315,IF(Atletas!N404="Wu C",316,IF(Atletas!N404="Wu-Hao C",317,IF(Atletas!N404="Outro Taijiquan C",318,IF(Atletas!N404="Yang D",319,IF(Atletas!N404="Chen D",320,IF(Atletas!N404="Sun D",321,IF(Atletas!N404="Wu D",322,IF(Atletas!N404="Wu-Hao D",323,IF(Atletas!N404="Outro Taijiquan D",324,IF(Atletas!N404="Yang E",325,IF(Atletas!N404="Chen E",326,IF(Atletas!N404="Sun E",327,IF(Atletas!N404="Wu E",328,IF(Atletas!N404="Wu-Hao E",329,IF(Atletas!N404="Outro Taijiquan E",330,IF(Atletas!N404="Yang F",331,IF(Atletas!N404="Chen F",332,IF(Atletas!N404="Sun F",333,IF(Atletas!N404="Wu F",334,IF(Atletas!N404="Wu-Hao F",335,IF(Atletas!N404="Outro Taijiquan F",336,"")))))))))))))))))))))))))))))))))))))</f>
        <v/>
      </c>
      <c r="BP408" s="52" t="str">
        <f>IF(Atletas!O404="","",IF(Atletas!W404&lt;&gt;"",10000,0)+IF(Atletas!B404="Feminino",1000,IF(Atletas!B404="Masculino",2000,""))+IF(OR(Atletas!O404="Yang 26 A",Atletas!O404="Yang 40 A"),401,IF(OR(Atletas!O404="Chen 25 A",Atletas!O404="Chen 36 A",Atletas!O404="Chen 56 A"),402,IF(Atletas!O404="Sun 73 A",403,IF(Atletas!O404="Wu 45 A",404,IF(Atletas!O404="Wu-Hao 46 A",405,IF(OR(Atletas!O404="Taijiquan 16 A",Atletas!O404="Taijiquan 24 A",Atletas!O404="Taijiquan 32 A",Atletas!O404="Taijiquan 42 A"),406,IF(OR(Atletas!O404="Yang 26 B",Atletas!O404="Yang 40 B"),407,IF(OR(Atletas!O404="Chen 25 B",Atletas!O404="Chen 36 B",Atletas!O404="Chen 56 B"),408,IF(Atletas!O404="Sun 73 B",409,IF(Atletas!O404="Wu 45 B",410,IF(Atletas!O404="Wu-Hao 46 B",411,IF(OR(Atletas!O404="Taijiquan 16 B",Atletas!O404="Taijiquan 24 B",Atletas!O404="Taijiquan 32 B",Atletas!O404="Taijiquan 42 B"),412,IF(OR(Atletas!O404="Yang 26 C",Atletas!O404="Yang 40 C"),413,IF(OR(Atletas!O404="Chen 25 C",Atletas!O404="Chen 36 C",Atletas!O404="Chen 56 C"),414,IF(Atletas!O404="Sun 73 C",415,IF(Atletas!O404="Wu 45 C",416,IF(Atletas!O404="Wu-Hao 46 C",417,IF(OR(Atletas!O404="Taijiquan 16 C",Atletas!O404="Taijiquan 24 C",Atletas!O404="Taijiquan 32 C",Atletas!O404="Taijiquan 42 C"),418,0)))))))))))))))))))</f>
        <v/>
      </c>
      <c r="BQ408" s="52" t="str">
        <f>IF(Atletas!O404="","",IF(Atletas!W404&lt;&gt;"",10000,0)+IF(Atletas!B404="Feminino",1000,IF(Atletas!B404="Masculino",2000,""))+IF(OR(Atletas!O404="Yang 26 D",Atletas!O404="Yang 40 D"),419,IF(OR(Atletas!O404="Chen 25 D",Atletas!O404="Chen 36 D",Atletas!O404="Chen 56 D"),420,IF(Atletas!O404="Sun 73 D",421,IF(Atletas!O404="Wu 45 D",422,IF(Atletas!O404="Wu-Hao 46 D",423,IF(OR(Atletas!O404="Taijiquan 16 D",Atletas!O404="Taijiquan 24 D",Atletas!O404="Taijiquan 32 D",Atletas!O404="Taijiquan 42 D"),424,IF(OR(Atletas!O404="Yang 26 E",Atletas!O404="Yang 40 E"),425,IF(OR(Atletas!O404="Chen 25 E",Atletas!O404="Chen 36 E",Atletas!O404="Chen 56 E"),426,IF(Atletas!O404="Sun 73 E",427,IF(Atletas!O404="Wu 45 E",428,IF(Atletas!O404="Wu-Hao 46 E",429,IF(OR(Atletas!O404="Taijiquan 16 E",Atletas!O404="Taijiquan 24 E",Atletas!O404="Taijiquan 32 E",Atletas!O404="Taijiquan 42 E"),430,IF(OR(Atletas!O404="Yang 26 F",Atletas!O404="Yang 40 F"),431,IF(OR(Atletas!O404="Chen 25 F",Atletas!O404="Chen 36 F",Atletas!O404="Chen 56 F"),432,IF(Atletas!O404="Sun 73 F",433,IF(Atletas!O404="Wu 45 F",434,IF(Atletas!O404="Wu-Hao 46 F",435,IF(OR(Atletas!O404="Taijiquan 16 F",Atletas!O404="Taijiquan 24 F",Atletas!O404="Taijiquan 32 F",Atletas!O404="Taijiquan 42 F"),436,0)))))))))))))))))))</f>
        <v/>
      </c>
      <c r="BR408" s="52" t="str">
        <f>IF(Atletas!P404="","",IF(Atletas!W404&lt;&gt;"",10000,0)+IF(Atletas!B404="Feminino",1000,IF(Atletas!B404="Masculino",2000,""))+IF(Atletas!P404="Xingyiquan A",501,IF(Atletas!P404="Baguazhang A",502,IF(Atletas!P404="Outro Estilo Interno A",503,IF(Atletas!P404="Xingyiquan B",504,IF(Atletas!P404="Baguazhang B",505,IF(Atletas!P404="Outro Estilo Interno B",506,IF(Atletas!P404="Xingyiquan C",507,IF(Atletas!P404="Baguazhang C",508,IF(Atletas!P404="Outro Estilo Interno C",509,IF(Atletas!P404="Xingyiquan D",510,IF(Atletas!P404="Baguazhang D",511,IF(Atletas!P404="Outro Estilo Interno D",512,IF(Atletas!P404="Xingyiquan E",513,IF(Atletas!P404="Baguazhang E",514,IF(Atletas!P404="Outro Estilo Interno E",515,IF(Atletas!P404="Xingyiquan F",516,IF(Atletas!P404="Baguazhang F",517,IF(Atletas!P404="Outro Estilo Interno F",518, "")))))))))))))))))))</f>
        <v/>
      </c>
      <c r="BS408" s="52" t="str">
        <f>IF(Atletas!Q404="","",IF(Atletas!W404&lt;&gt;"",10000,0)+IF(Atletas!B404="Feminino",1000,IF(Atletas!B404="Masculino",2000,""))+IF(Atletas!Q404="Dao A",601,IF(Atletas!Q404="Jian A",602,IF(Atletas!Q404="Bishou A",603,IF(Atletas!Q404="Shan A",604,IF(Atletas!Q404="Outra Arma Curta A",605,IF(Atletas!Q404="Dao B",606,IF(Atletas!Q404="Jian B",607,IF(Atletas!Q404="Bishou B",608,IF(Atletas!Q404="Shan B",609,IF(Atletas!Q404="Outra Arma Curta B",610,IF(Atletas!Q404="Dao C",611,IF(Atletas!Q404="Jian C",612,IF(Atletas!Q404="Bishou C",613,IF(Atletas!Q404="Shan C",614,IF(Atletas!Q404="Outra Arma Curta C",615,IF(Atletas!Q404="Dao D",616,IF(Atletas!Q404="Jian D",617,IF(Atletas!Q404="Bishou D",618,IF(Atletas!Q404="Shan D",619,IF(Atletas!Q404="Outra Arma Curta D",620,IF(Atletas!Q404="Dao E",621,IF(Atletas!Q404="Jian E",622,IF(Atletas!Q404="Bishou E",623,IF(Atletas!Q404="Shan E",624,IF(Atletas!Q404="Outra Arma Curta E",625,IF(Atletas!Q404="Dao F",626,IF(Atletas!Q404="Jian F",627,IF(Atletas!Q404="Bishou F",628,IF(Atletas!Q404="Shan F",629,IF(Atletas!Q404="Outra Arma Curta F",630, "")))))))))))))))))))))))))))))))</f>
        <v/>
      </c>
      <c r="BT408" s="52" t="str">
        <f>IF(Atletas!R404="","",IF(Atletas!W404&lt;&gt;"",10000,0)+IF(Atletas!B404="Feminino",1000,IF(Atletas!B404="Masculino",2000,""))+IF(Atletas!R404="Gun A",701,IF(Atletas!R404="Qiang A",702,IF(Atletas!R404="Pudao / Guandao A",703,IF(Atletas!R404="Outra Arma Longa A",704,IF(Atletas!R404="Gun B",705,IF(Atletas!R404="Qiang B",706,IF(Atletas!R404="Pudao / Guandao B",707,IF(Atletas!R404="Outra Arma Longa B",708,IF(Atletas!R404="Gun C",709,IF(Atletas!R404="Qiang C",710,IF(Atletas!R404="Pudao / Guandao C",711,IF(Atletas!R404="Outra Arma Longa C",712,IF(Atletas!R404="Gun D",713,IF(Atletas!R404="Qiang D",714,IF(Atletas!R404="Pudao / Guandao D",715,IF(Atletas!R404="Outra Arma Longa D",716,IF(Atletas!R404="Gun E",717,IF(Atletas!R404="Qiang E",718,IF(Atletas!R404="Pudao / Guandao E",719,IF(Atletas!R404="Outra Arma Longa E",720,IF(Atletas!R404="Gun F",721,IF(Atletas!R404="Qiang F",722,IF(Atletas!R404="Pudao / Guandao F",723,IF(Atletas!R404="Outra Arma Longa F",724,"")))))))))))))))))))))))))</f>
        <v/>
      </c>
      <c r="BU408" s="52" t="str">
        <f>IF(Atletas!S404="","",IF(Atletas!W404&lt;&gt;"",10000,0)+IF(Atletas!B404="Feminino",1000,IF(Atletas!B404="Masculino",2000,""))+IF(Atletas!S404="Arma Dupla A",801,IF(Atletas!S404="Arma Maleável A",802,IF(Atletas!S404="Arma Dupla B",803,IF(Atletas!S404="Arma Maleável B",804,IF(Atletas!S404="Arma Dupla C",805,IF(Atletas!S404="Arma Maleável C",806,IF(Atletas!S404="Arma Dupla D",807,IF(Atletas!S404="Arma Maleável D",808,IF(Atletas!S404="Arma Dupla E",809,IF(Atletas!S404="Arma Maleável E",810,IF(Atletas!S404="Arma Dupla F",811,IF(Atletas!S404="Arma Maleável F",812, "")))))))))))))</f>
        <v/>
      </c>
      <c r="BV408" s="52" t="str">
        <f>IF(Atletas!T404="","",IF(Atletas!W404&lt;&gt;"",10000,0)+IF(Atletas!B404="Feminino",1000,IF(Atletas!B404="Masculino",2000,""))+IF(Atletas!T404="Taijijian Yang A",901,IF(Atletas!T404="Taijijian Chen A",902,IF(Atletas!T404="Taijijian Sun A",903,IF(Atletas!T404="Taijijian Wu A",904,IF(Atletas!T404="Taijijian Wu-Hao A",905,IF(Atletas!T404="Taijijian 32 A",906,IF(Atletas!T404="Taijijian 42 A",907,IF(Atletas!T404="Taijijian Yang B",908,IF(Atletas!T404="Taijijian Chen B",909,IF(Atletas!T404="Taijijian Sun B",910,IF(Atletas!T404="Taijijian Wu B",911,IF(Atletas!T404="Taijijian Wu-Hao B",912,IF(Atletas!T404="Taijijian 32 B",913,IF(Atletas!T404="Taijijian 42 B",914,IF(Atletas!T404="Taijijian Yang C",915,IF(Atletas!T404="Taijijian Chen C",916,IF(Atletas!T404="Taijijian Sun C",917,IF(Atletas!T404="Taijijian Wu C",918,IF(Atletas!T404="Taijijian Wu-Hao C",919,IF(Atletas!T404="Taijijian 32 C",920,IF(Atletas!T404="Taijijian 42 C",921,IF(Atletas!T404="Taijijian Yang D",922,IF(Atletas!T404="Taijijian Chen D",923,IF(Atletas!T404="Taijijian Sun D",924,IF(Atletas!T404="Taijijian Wu D",925,IF(Atletas!T404="Taijijian Wu-Hao D",926,IF(Atletas!T404="Taijijian 32 D",927,IF(Atletas!T404="Taijijian 42 D",928,IF(Atletas!T404="Taijijian Yang E",929,IF(Atletas!T404="Taijijian Chen E",930,IF(Atletas!T404="Taijijian Sun E",931,IF(Atletas!T404="Taijijian Wu E",932,IF(Atletas!T404="Taijijian Wu-Hao E",933,IF(Atletas!T404="Taijijian 32 E",934,IF(Atletas!T404="Taijijian 42 E",935,IF(Atletas!T404="Taijijian Yang F",936,IF(Atletas!T404="Taijijian Chen F",937,IF(Atletas!T404="Taijijian Sun F",938,IF(Atletas!T404="Taijijian Wu F",939,IF(Atletas!T404="Taijijian Wu-Hao F",940,IF(Atletas!T404="Taijijian 32 F",941,IF(Atletas!T404="Taijijian 42 F",942,"")))))))))))))))))))))))))))))))))))))))))))</f>
        <v/>
      </c>
      <c r="BW408" s="52" t="str">
        <f>IF(Atletas!U404="","",IF(Atletas!W404&lt;&gt;"",10000,0)+IF(Atletas!B404="Feminino",1000,IF(Atletas!B404="Masculino",2000,""))+IF(Atletas!T404="Taijijian 42 F",942,IF(Atletas!U404="Taijidao A",943,IF(Atletas!U404="Taijishan A",944,IF(Atletas!U404="Taijiqiang A",945,IF(Atletas!U404="Taijidao B",946,IF(Atletas!U404="Taijishan B",947,IF(Atletas!U404="Taijiqiang B",948,IF(Atletas!U404="Taijidao C",949,IF(Atletas!U404="Taijishan C",950,IF(Atletas!U404="Taijiqiang C",951,IF(Atletas!U404="Taijidao D",952,IF(Atletas!U404="Taijishan D",953,IF(Atletas!U404="Taijiqiang D",954,IF(Atletas!U404="Taijidao E",955,IF(Atletas!U404="Taijishan E",956,IF(Atletas!U404="Taijiqiang E",957,IF(Atletas!U404="Taijidao F",958,IF(Atletas!U404="Taijishan F",959,IF(Atletas!U404="Taijiqiang F",960))))))))))))))))))))</f>
        <v/>
      </c>
      <c r="CB408" s="64" t="str">
        <f>IF(CC408&lt;&gt;"","Taijiqiang F","")</f>
        <v/>
      </c>
      <c r="CC408" s="64" t="str">
        <f>IF(COUNTIF(BK:BW,11960)&gt;0,COUNTIF(BK:BW,11960),"")</f>
        <v/>
      </c>
      <c r="CD408" s="64" t="str">
        <f>IF(CE408&lt;&gt;"","Taijiqiang F","")</f>
        <v/>
      </c>
      <c r="CE408" s="64" t="str">
        <f>IF(COUNTIF(BK:BW,12960)&gt;0,COUNTIF(BK:BW,12960),"")</f>
        <v/>
      </c>
      <c r="CF408" s="52" t="str">
        <f xml:space="preserve"> IF(Atletas!V404="","",IF(Atletas!V404="Duilian de Mãos AB - Equipe 1",1,IF(Atletas!V404="Duilian de Mãos AB - Equipe 2",2,IF(Atletas!V404="Duilian de Armas AB - Equipe 1",3,IF(Atletas!V404="Duilian de Armas AB - Equipe 2",4,IF(Atletas!V404="Duilian de Tuishou - Equipe 1",5,IF(Atletas!V404="Duilian de Tuishou - Equipe 2",6,IF(Atletas!V404="Grupo Externo AB - Equipe 1",7,IF(Atletas!V404="Grupo Externo AB - Equipe 2",8,IF(Atletas!V404="Grupo Interno AB - Equipe 1",9,IF(Atletas!V404="Grupo Interno AB - Equipe 2",10,IF(Atletas!V404="Duilian de Mãos CD - Equipe 1",11,IF(Atletas!V404="Duilian de Mãos CD - Equipe 2",12,IF(Atletas!V404="Duilian de Armas CD - Equipe 1",13,IF(Atletas!V404="Duilian de Armas CD - Equipe 2",14,IF(Atletas!V404="Duilian de Tuishou - Equipe 1",15,IF(Atletas!V404="Duilian de Tuishou - Equipe 2",16,IF(Atletas!V404="Grupo Externo CDEF - Equipe 1",17,IF(Atletas!V404="Grupo Externo CDEF - Equipe 2",18,IF(Atletas!V404="Grupo Interno CDEF - Equipe 1",19,IF(Atletas!V404="Grupo Interno CDEF - Equipe 2",20,IF(Atletas!V404="Duilian de Mãos EF - Equipe 1",21,IF(Atletas!V404="Duilian de Mãos EF - Equipe 2",22,IF(Atletas!V404="Duilian de Armas EF - Equipe 1",23,IF(Atletas!V404="Duilian de Armas EF - Equipe 2",24,IF(Atletas!V404="Duilian de Tuishou - Equipe 1",25,IF(Atletas!V404="Duilian de Tuishou - Equipe 2",26,"")))))))))))))))))))))))))))</f>
        <v/>
      </c>
    </row>
    <row r="409" spans="36:84">
      <c r="AJ409" s="46" t="str">
        <f>IF(Atletas!D405="","",IF(Atletas!B405="Feminino",100,IF(Atletas!B405="Masculino",200,""))+(IF(Atletas!D405="Infantil 39kg",1,IF(Atletas!D405="Infantil 42kg",2,IF(Atletas!D405="Infantil 45kg",3,IF(Atletas!D405="Infantil 48kg",4,IF(Atletas!D405="Infantil 52kg",5,IF(Atletas!D405="Infantil 56kg",6,IF(Atletas!D405="Infantil 60kg",7,IF(Atletas!D405="Juvenil 48kg",8,IF(Atletas!D405="Juvenil 52kg",9,IF(Atletas!D405="Juvenil 56kg",10,IF(Atletas!D405="Juvenil 60kg",11,IF(Atletas!D405="Juvenil 65kg",12,IF(Atletas!D405="Juvenil 70kg",13,IF(Atletas!D405="Juvenil 75kg",14,IF(Atletas!D405="Juvenil 80kg",15,IF(Atletas!D405="Adulto 48kg",16,IF(Atletas!D405="Adulto 52kg",17,IF(Atletas!D405="Adulto 56kg",18,IF(Atletas!D405="Adulto 60kg",19,IF(Atletas!D405="Adulto 65kg",20,IF(Atletas!D405="Adulto 70kg",21,IF(Atletas!D405="Adulto 75kg",22,IF(Atletas!D405="Adulto 80kg",23,IF(Atletas!D405="Adulto 85kg",24,IF(Atletas!D405="Adulto 90kg",25,IF(Atletas!D405="Adulto +90kg",26,""))))))))))))))))))))))))))))</f>
        <v/>
      </c>
      <c r="AO409" s="10" t="str">
        <f>IF(Atletas!E405="","",IF(Atletas!B405="Feminino",100,IF(Atletas!B405="Masculino",200,""))+(IF(Atletas!E405="Juvenil 44kg",1,IF(Atletas!E405="Juvenil 48kg",2,IF(Atletas!E405="Juvenil 52kg",3,IF(Atletas!E405="Juvenil 56kg",4,IF(Atletas!E405="Juvenil 60kg",5,IF(Atletas!E405="Juvenil 65kg",6,IF(Atletas!E405="Juvenil 70kg",7,IF(Atletas!E405="Juvenil 75kg",8,IF(Atletas!E405="Juvenil 82kg",9,IF(Atletas!E405="Juvenil 90kg",10,IF(Atletas!E405="Juvenil 100kg",11,IF(Atletas!E405="Adulto 48kg",12,IF(Atletas!E405="Adulto 52kg",13,IF(Atletas!E405="Adulto 56kg",14,IF(Atletas!E405="Adulto 60kg",15,IF(Atletas!E405="Adulto 65kg",16,IF(Atletas!E405="Adulto 70kg",17,IF(Atletas!E405="Adulto 75kg",18,IF(Atletas!E405="Adulto 82kg",19,IF(Atletas!E405="Adulto 90kg",20,IF(Atletas!E405="Adulto 100kg",21,IF(Atletas!E405="Adulto +100kg",22,""))))))))))))))))))))))))</f>
        <v/>
      </c>
      <c r="AT409" s="10" t="str">
        <f>IF(Atletas!F405="","",IF(Atletas!B405="Feminino",100,IF(Atletas!B405="Masculino",200,""))+(IF(Atletas!F405="Adulto 48kg",1,IF(Atletas!F405="Adulto 56kg",2,IF(Atletas!F405="Adulto 65kg",3,IF(Atletas!F405="Adulto 75kg",4,IF(Atletas!F405="Adulto +75kg",5,IF(Atletas!F405="Adulto 52kg",6,IF(Atletas!F405="Adulto 60kg",7,IF(Atletas!F405="Adulto 70kg",8,IF(Atletas!F405="Adulto 80kg",9,IF(Atletas!F405="Adulto 90kg",10,IF(Atletas!F405="Adulto +90kg",11,"")))))))))))))</f>
        <v/>
      </c>
      <c r="AY409" s="46" t="str">
        <f>IF(Atletas!G405="","",IF(Atletas!B405="Feminino",100,IF(Atletas!B405="Masculino",200,""))+(IF(Atletas!G405="Changquan Mirim",1,IF(Atletas!G405="Nanquan Mirim",2,IF(Atletas!G405="Taijiquan Mirim",3,IF(Atletas!G405="Changquan Grupo C",4,IF(Atletas!G405="Nanquan Grupo C",5,IF(Atletas!G405="Taijiquan Grupo C",6,IF(Atletas!G405="Changquan Grupo B",7,IF(Atletas!G405="Nanquan Grupo B",8,IF(Atletas!G405="Taijiquan Grupo B",9,IF(Atletas!G405="Changquan Grupo A",10,IF(Atletas!G405="Nanquan Grupo A",11,IF(Atletas!G405="Taijiquan Grupo A",12,IF(Atletas!G405="Changquan Opcional",13,IF(Atletas!G405="Nanquan Opcional",14,IF(Atletas!G405="Taijiquan Opcional",15,IF(Atletas!G405="Changquan Adulto",16,IF(Atletas!G405="Nanquan Adulto",17,IF(Atletas!G405="Taijiquan Adulto",18,""))))))))))))))))))))</f>
        <v/>
      </c>
      <c r="AZ409" s="46" t="str">
        <f>IF(Atletas!H405="","",IF(Atletas!B405="Feminino",100,IF(Atletas!B405="Masculino",200,""))+(IF(Atletas!H405="Daoshu Mirim",19,IF(Atletas!H405="Jianshu Mirim",20,IF(Atletas!H405="Nandao Mirim",21,IF(Atletas!H405="Taijijian Mirim",22,IF(Atletas!H405="Daoshu Grupo C",23,IF(Atletas!H405="Jianshu Grupo C",24,IF(Atletas!H405="Nandao Grupo C",25,IF(Atletas!H405="Taijijian Grupo C",26,IF(Atletas!H405="Daoshu Grupo B",27,IF(Atletas!H405="Jianshu Grupo B",28,IF(Atletas!H405="Nandao Grupo B",29,IF(Atletas!H405="Taijijian Grupo B",30,IF(Atletas!H405="Daoshu Grupo A",31,IF(Atletas!H405="Jianshu Grupo A",32,IF(Atletas!H405="Nandao Grupo A",33,IF(Atletas!H405="Taijijian Grupo A",34,IF(Atletas!H405="Daoshu Opcional",35,IF(Atletas!H405="Jianshu Opcional",36,IF(Atletas!H405="Nandao Opcional",37,IF(Atletas!H405="Taijijian Opcional",38,IF(Atletas!H405="Daoshu Adulto",39,IF(Atletas!H405="Jianshu Adulto",40,IF(Atletas!H405="Nandao Adulto",41,IF(Atletas!H405="Taijijian Adulto",42,""))))))))))))))))))))))))))</f>
        <v/>
      </c>
      <c r="BA409" s="46" t="str">
        <f>IF(Atletas!I405="","",IF(Atletas!B405="Feminino",100,IF(Atletas!B405="Masculino",200,""))+(IF(Atletas!I405="Gunshu Mirim",43,IF(Atletas!I405="Qiangshu Mirim",44,IF(Atletas!I405="Nangun Mirim",45,IF(Atletas!I405="Gunshu Grupo C",46,IF(Atletas!I405="Qiangshu Grupo C",47,IF(Atletas!I405="Nangun Grupo C",48,IF(Atletas!I405="Gunshu Grupo B",49,IF(Atletas!I405="Qiangshu Grupo B",50,IF(Atletas!I405="Nangun Grupo B",51,IF(Atletas!I405="Gunshu Grupo A",52,IF(Atletas!I405="Qiangshu Grupo A",53,IF(Atletas!I405="Nangun Grupo A",54,IF(Atletas!I405="Gunshu Opcional",55,IF(Atletas!I405="Qiangshu Opcional",56,IF(Atletas!I405="Nangun Opcional",57,IF(Atletas!I405="Gunshu Adulto",58,IF(Atletas!I405="Qiangshu Adulto",59,IF(Atletas!I405="Nangun Adulto",60,""))))))))))))))))))))</f>
        <v/>
      </c>
      <c r="BF409" s="52" t="str">
        <f>IF(Atletas!J405="","",IF(Atletas!B405="Feminino",100,IF(Atletas!B405="Masculino",200,""))+(IF(Atletas!J405="Equipe 1 Grupo B",1,IF(Atletas!J405="Equipe 2 Grupo B",2,IF(Atletas!J405="Equipe 1 Grupo A",3,IF(Atletas!J405="Equipe 2 Grupo A",4,IF(Atletas!J405="Equipe 1 Adulto",5,IF(Atletas!J405="Equipe 2 Adulto",6,""))))))))</f>
        <v/>
      </c>
      <c r="BK409" s="52" t="str">
        <f>IF(Atletas!K405="","",IF(Atletas!W405&lt;&gt;"",10000,0)+(IF(Atletas!B405="Feminino",1000,IF(Atletas!B405="Masculino",2000,""))+IF(Atletas!K405="Choylayfut A",1,IF(Atletas!K405="Hunggar A",2,IF(Atletas!K405="Wuzuquan A",3,IF(Atletas!K405="Wingchun A",4,IF(Atletas!K405="Outra Mão de Sul A",5,IF(Atletas!K405="Choylayfut B",6,IF(Atletas!K405="Hunggar B",7,IF(Atletas!K405="Wuzuquan B",8,IF(Atletas!K405="Wingchun B",9,IF(Atletas!K405="Outra Mão de Sul B",10,IF(Atletas!K405="Choylayfut C",11,IF(Atletas!K405="Hunggar C",12,IF(Atletas!K405="Wuzuquan C",13,IF(Atletas!K405="Wingchun C",14,IF(Atletas!K405="Outra Mão de Sul C",15,IF(Atletas!K405="Choylayfut D",16,IF(Atletas!K405="Hunggar D",17,IF(Atletas!K405="Wuzuquan D",18,IF(Atletas!K405="Wingchun D",19,IF(Atletas!K405="Outra Mão de Sul D",20,IF(Atletas!K405="Choylayfut E",21,IF(Atletas!K405="Hunggar E",22,IF(Atletas!K405="Wuzuquan E",23,IF(Atletas!K405="Wingchun E",24,IF(Atletas!K405="Outra Mão de Sul E",25,IF(Atletas!K405="Choylayfut F",26,IF(Atletas!K405="Hunggar F",27,IF(Atletas!K405="Wuzuquan F",28,IF(Atletas!K405="Wingchun F",29,IF(Atletas!K405="Outra Mão de Sul F",30,""))))))))))))))))))))))))))))))))</f>
        <v/>
      </c>
      <c r="BL409" s="52" t="str">
        <f>IF(Atletas!L405="","",IF(Atletas!W405&lt;&gt;"",10000,0)+(IF(Atletas!B405="Feminino",1000,IF(Atletas!B405="Masculino",2000,""))+(IF(Atletas!L405="Chaquan A",101,IF(Atletas!L405="Emeiquan A",102,IF(Atletas!L405="Fanziquan A",103,IF(Atletas!L405="Huaquan A",104,IF(Atletas!L405="Hongquan A",105,IF(Atletas!L405="Paochui A",106,IF(Atletas!L405="Piguaquan A",107,IF(Atletas!L405="Shaolinquan A",108,IF(Atletas!L405="Tanglangquan A",109,IF(Atletas!L405="Yinzhaophai A",110,IF(Atletas!L405="Tongbeiquan A",111,IF(Atletas!L405="Wudangquan A",112,IF(Atletas!L405="Outros Estilos A",113,IF(Atletas!L405="Chaquan B",114,IF(Atletas!L405="Emeiquan B",115,IF(Atletas!L405="Fanziquan B",116,IF(Atletas!L405="Huaquan B",117,IF(Atletas!L405="Hongquan B",118,IF(Atletas!L405="Paochui B",119,IF(Atletas!L405="Piguaquan B",120,IF(Atletas!L405="Shaolinquan B",121,IF(Atletas!L405="Tanglangquan B",122,IF(Atletas!L405="Yinzhaophai B",123,IF(Atletas!L405="Tongbeiquan B",124,IF(Atletas!L405="Wudangquan B",125,IF(Atletas!L405="Outros Estilos B",126,IF(Atletas!L405="Chaquan C",127,IF(Atletas!L405="Emeiquan C",128,IF(Atletas!L405="Fanziquan C",129,IF(Atletas!L405="Huaquan C",130,IF(Atletas!L405="Hongquan C",131,IF(Atletas!L405="Paochui C",132,IF(Atletas!L405="Piguaquan C",133,IF(Atletas!L405="Shaolinquan C",134,IF(Atletas!L405="Tanglangquan C",135,IF(Atletas!L405="Yinzhaophai C",136,IF(Atletas!L405="Tongbeiquan C",137,IF(Atletas!L405="Wudangquan C",138,IF(Atletas!L405="Outros Estilos C",139,0))))))))))))))))))))))))))))))))))))))))))</f>
        <v/>
      </c>
      <c r="BM409" s="52" t="str">
        <f>IF(Atletas!L405="","",IF(Atletas!W405&lt;&gt;"",10000,0)+(IF(Atletas!B405="Feminino",1000,IF(Atletas!B405="Masculino",2000,""))+(IF(Atletas!L405="Chaquan D",140,IF(Atletas!L405="Emeiquan D",141,IF(Atletas!L405="Fanziquan D",142,IF(Atletas!L405="Huaquan D",143,IF(Atletas!L405="Hongquan D",144,IF(Atletas!L405="Paochui D",145,IF(Atletas!L405="Piguaquan D",146,IF(Atletas!L405="Shaolinquan D",147,IF(Atletas!L405="Tanglangquan D",148,IF(Atletas!L405="Yinzhaophai D",149,IF(Atletas!L405="Tongbeiquan D",150,IF(Atletas!L405="Wudangquan D",151,IF(Atletas!L405="Outros Estilos D",152,IF(Atletas!L405="Chaquan E",153,IF(Atletas!L405="Emeiquan E",154,IF(Atletas!L405="Fanziquan E",155,IF(Atletas!L405="Huaquan E",156,IF(Atletas!L405="Hongquan E",157,IF(Atletas!L405="Paochui E",158,IF(Atletas!L405="Piguaquan E",159,IF(Atletas!L405="Shaolinquan E",160,IF(Atletas!L405="Tanglangquan E",161,IF(Atletas!L405="Yinzhaophai E",162,IF(Atletas!L405="Tongbeiquan E",163,IF(Atletas!L405="Wudangquan E",164,IF(Atletas!L405="Outros Estilos E",165,IF(Atletas!L405="Chaquan F",166,IF(Atletas!L405="Emeiquan F",167,IF(Atletas!L405="Fanziquan F",168,IF(Atletas!L405="Huaquan F",169,IF(Atletas!L405="Hongquan F",170,IF(Atletas!L405="Paochui F",171,IF(Atletas!L405="Piguaquan F",172,IF(Atletas!L405="Shaolinquan F",173,IF(Atletas!L405="Tanglangquan F",174,IF(Atletas!L405="Yinzhaophai F",175,IF(Atletas!L405="Tongbeiquan F",176,IF(Atletas!L405="Wudangquan F",177,IF(Atletas!L405="Outros Estilos F",178,0))))))))))))))))))))))))))))))))))))))))))</f>
        <v/>
      </c>
      <c r="BN409" s="52" t="str">
        <f>IF(Atletas!M405="","",IF(Atletas!W405&lt;&gt;"",10000,0)+(IF(Atletas!B405="Feminino",1000,IF(Atletas!B405="Masculino",2000,""))+(IF(Atletas!M405="Ditangquan A",201,IF(Atletas!M405="Houquan A",202,IF(Atletas!M405="Zuiquan A",203,IF(Atletas!M405="Ditangquan B",204,IF(Atletas!M405="Houquan B",205,IF(Atletas!M405="Zuiquan B",206,IF(Atletas!M405="Ditangquan C",207,IF(Atletas!M405="Houquan C",208,IF(Atletas!M405="Zuiquan C",209,IF(Atletas!M405="Ditangquan D",210,IF(Atletas!M405="Houquan D",211,IF(Atletas!M405="Zuiquan D",212,IF(Atletas!M405="Ditangquan E",213,IF(Atletas!M405="Houquan E",214,IF(Atletas!M405="Zuiquan E",215,IF(Atletas!M405="Ditangquan F",216,IF(Atletas!M405="Houquan F",217,IF(Atletas!M405="Zuiquan F",218,"")))))))))))))))))))))</f>
        <v/>
      </c>
      <c r="BO409" s="52" t="str">
        <f>IF(Atletas!N405="","",IF(Atletas!W405&lt;&gt;"",10000,0)+IF(Atletas!B405="Feminino",1000,IF(Atletas!B405="Masculino",2000,""))+IF(Atletas!N405="Yang A",301,IF(Atletas!N405="Chen A",30,IF(Atletas!N405="Sun A",303,IF(Atletas!N405="Wu A",304,IF(Atletas!N405="Wu-Hao A",305,IF(Atletas!N405="Outro Taijiquan A",306,IF(Atletas!N405="Yang B",307,IF(Atletas!N405="Chen B",308,IF(Atletas!N405="Sun B",309,IF(Atletas!N405="Wu B",310,IF(Atletas!N405="Wu-Hao B",311,IF(Atletas!N405="Outro Taijiquan B",312,IF(Atletas!N405="Yang C",313,IF(Atletas!N405="Chen C",314,IF(Atletas!N405="Sun C",315,IF(Atletas!N405="Wu C",316,IF(Atletas!N405="Wu-Hao C",317,IF(Atletas!N405="Outro Taijiquan C",318,IF(Atletas!N405="Yang D",319,IF(Atletas!N405="Chen D",320,IF(Atletas!N405="Sun D",321,IF(Atletas!N405="Wu D",322,IF(Atletas!N405="Wu-Hao D",323,IF(Atletas!N405="Outro Taijiquan D",324,IF(Atletas!N405="Yang E",325,IF(Atletas!N405="Chen E",326,IF(Atletas!N405="Sun E",327,IF(Atletas!N405="Wu E",328,IF(Atletas!N405="Wu-Hao E",329,IF(Atletas!N405="Outro Taijiquan E",330,IF(Atletas!N405="Yang F",331,IF(Atletas!N405="Chen F",332,IF(Atletas!N405="Sun F",333,IF(Atletas!N405="Wu F",334,IF(Atletas!N405="Wu-Hao F",335,IF(Atletas!N405="Outro Taijiquan F",336,"")))))))))))))))))))))))))))))))))))))</f>
        <v/>
      </c>
      <c r="BP409" s="52" t="str">
        <f>IF(Atletas!O405="","",IF(Atletas!W405&lt;&gt;"",10000,0)+IF(Atletas!B405="Feminino",1000,IF(Atletas!B405="Masculino",2000,""))+IF(OR(Atletas!O405="Yang 26 A",Atletas!O405="Yang 40 A"),401,IF(OR(Atletas!O405="Chen 25 A",Atletas!O405="Chen 36 A",Atletas!O405="Chen 56 A"),402,IF(Atletas!O405="Sun 73 A",403,IF(Atletas!O405="Wu 45 A",404,IF(Atletas!O405="Wu-Hao 46 A",405,IF(OR(Atletas!O405="Taijiquan 16 A",Atletas!O405="Taijiquan 24 A",Atletas!O405="Taijiquan 32 A",Atletas!O405="Taijiquan 42 A"),406,IF(OR(Atletas!O405="Yang 26 B",Atletas!O405="Yang 40 B"),407,IF(OR(Atletas!O405="Chen 25 B",Atletas!O405="Chen 36 B",Atletas!O405="Chen 56 B"),408,IF(Atletas!O405="Sun 73 B",409,IF(Atletas!O405="Wu 45 B",410,IF(Atletas!O405="Wu-Hao 46 B",411,IF(OR(Atletas!O405="Taijiquan 16 B",Atletas!O405="Taijiquan 24 B",Atletas!O405="Taijiquan 32 B",Atletas!O405="Taijiquan 42 B"),412,IF(OR(Atletas!O405="Yang 26 C",Atletas!O405="Yang 40 C"),413,IF(OR(Atletas!O405="Chen 25 C",Atletas!O405="Chen 36 C",Atletas!O405="Chen 56 C"),414,IF(Atletas!O405="Sun 73 C",415,IF(Atletas!O405="Wu 45 C",416,IF(Atletas!O405="Wu-Hao 46 C",417,IF(OR(Atletas!O405="Taijiquan 16 C",Atletas!O405="Taijiquan 24 C",Atletas!O405="Taijiquan 32 C",Atletas!O405="Taijiquan 42 C"),418,0)))))))))))))))))))</f>
        <v/>
      </c>
      <c r="BQ409" s="52" t="str">
        <f>IF(Atletas!O405="","",IF(Atletas!W405&lt;&gt;"",10000,0)+IF(Atletas!B405="Feminino",1000,IF(Atletas!B405="Masculino",2000,""))+IF(OR(Atletas!O405="Yang 26 D",Atletas!O405="Yang 40 D"),419,IF(OR(Atletas!O405="Chen 25 D",Atletas!O405="Chen 36 D",Atletas!O405="Chen 56 D"),420,IF(Atletas!O405="Sun 73 D",421,IF(Atletas!O405="Wu 45 D",422,IF(Atletas!O405="Wu-Hao 46 D",423,IF(OR(Atletas!O405="Taijiquan 16 D",Atletas!O405="Taijiquan 24 D",Atletas!O405="Taijiquan 32 D",Atletas!O405="Taijiquan 42 D"),424,IF(OR(Atletas!O405="Yang 26 E",Atletas!O405="Yang 40 E"),425,IF(OR(Atletas!O405="Chen 25 E",Atletas!O405="Chen 36 E",Atletas!O405="Chen 56 E"),426,IF(Atletas!O405="Sun 73 E",427,IF(Atletas!O405="Wu 45 E",428,IF(Atletas!O405="Wu-Hao 46 E",429,IF(OR(Atletas!O405="Taijiquan 16 E",Atletas!O405="Taijiquan 24 E",Atletas!O405="Taijiquan 32 E",Atletas!O405="Taijiquan 42 E"),430,IF(OR(Atletas!O405="Yang 26 F",Atletas!O405="Yang 40 F"),431,IF(OR(Atletas!O405="Chen 25 F",Atletas!O405="Chen 36 F",Atletas!O405="Chen 56 F"),432,IF(Atletas!O405="Sun 73 F",433,IF(Atletas!O405="Wu 45 F",434,IF(Atletas!O405="Wu-Hao 46 F",435,IF(OR(Atletas!O405="Taijiquan 16 F",Atletas!O405="Taijiquan 24 F",Atletas!O405="Taijiquan 32 F",Atletas!O405="Taijiquan 42 F"),436,0)))))))))))))))))))</f>
        <v/>
      </c>
      <c r="BR409" s="52" t="str">
        <f>IF(Atletas!P405="","",IF(Atletas!W405&lt;&gt;"",10000,0)+IF(Atletas!B405="Feminino",1000,IF(Atletas!B405="Masculino",2000,""))+IF(Atletas!P405="Xingyiquan A",501,IF(Atletas!P405="Baguazhang A",502,IF(Atletas!P405="Outro Estilo Interno A",503,IF(Atletas!P405="Xingyiquan B",504,IF(Atletas!P405="Baguazhang B",505,IF(Atletas!P405="Outro Estilo Interno B",506,IF(Atletas!P405="Xingyiquan C",507,IF(Atletas!P405="Baguazhang C",508,IF(Atletas!P405="Outro Estilo Interno C",509,IF(Atletas!P405="Xingyiquan D",510,IF(Atletas!P405="Baguazhang D",511,IF(Atletas!P405="Outro Estilo Interno D",512,IF(Atletas!P405="Xingyiquan E",513,IF(Atletas!P405="Baguazhang E",514,IF(Atletas!P405="Outro Estilo Interno E",515,IF(Atletas!P405="Xingyiquan F",516,IF(Atletas!P405="Baguazhang F",517,IF(Atletas!P405="Outro Estilo Interno F",518, "")))))))))))))))))))</f>
        <v/>
      </c>
      <c r="BS409" s="52" t="str">
        <f>IF(Atletas!Q405="","",IF(Atletas!W405&lt;&gt;"",10000,0)+IF(Atletas!B405="Feminino",1000,IF(Atletas!B405="Masculino",2000,""))+IF(Atletas!Q405="Dao A",601,IF(Atletas!Q405="Jian A",602,IF(Atletas!Q405="Bishou A",603,IF(Atletas!Q405="Shan A",604,IF(Atletas!Q405="Outra Arma Curta A",605,IF(Atletas!Q405="Dao B",606,IF(Atletas!Q405="Jian B",607,IF(Atletas!Q405="Bishou B",608,IF(Atletas!Q405="Shan B",609,IF(Atletas!Q405="Outra Arma Curta B",610,IF(Atletas!Q405="Dao C",611,IF(Atletas!Q405="Jian C",612,IF(Atletas!Q405="Bishou C",613,IF(Atletas!Q405="Shan C",614,IF(Atletas!Q405="Outra Arma Curta C",615,IF(Atletas!Q405="Dao D",616,IF(Atletas!Q405="Jian D",617,IF(Atletas!Q405="Bishou D",618,IF(Atletas!Q405="Shan D",619,IF(Atletas!Q405="Outra Arma Curta D",620,IF(Atletas!Q405="Dao E",621,IF(Atletas!Q405="Jian E",622,IF(Atletas!Q405="Bishou E",623,IF(Atletas!Q405="Shan E",624,IF(Atletas!Q405="Outra Arma Curta E",625,IF(Atletas!Q405="Dao F",626,IF(Atletas!Q405="Jian F",627,IF(Atletas!Q405="Bishou F",628,IF(Atletas!Q405="Shan F",629,IF(Atletas!Q405="Outra Arma Curta F",630, "")))))))))))))))))))))))))))))))</f>
        <v/>
      </c>
      <c r="BT409" s="52" t="str">
        <f>IF(Atletas!R405="","",IF(Atletas!W405&lt;&gt;"",10000,0)+IF(Atletas!B405="Feminino",1000,IF(Atletas!B405="Masculino",2000,""))+IF(Atletas!R405="Gun A",701,IF(Atletas!R405="Qiang A",702,IF(Atletas!R405="Pudao / Guandao A",703,IF(Atletas!R405="Outra Arma Longa A",704,IF(Atletas!R405="Gun B",705,IF(Atletas!R405="Qiang B",706,IF(Atletas!R405="Pudao / Guandao B",707,IF(Atletas!R405="Outra Arma Longa B",708,IF(Atletas!R405="Gun C",709,IF(Atletas!R405="Qiang C",710,IF(Atletas!R405="Pudao / Guandao C",711,IF(Atletas!R405="Outra Arma Longa C",712,IF(Atletas!R405="Gun D",713,IF(Atletas!R405="Qiang D",714,IF(Atletas!R405="Pudao / Guandao D",715,IF(Atletas!R405="Outra Arma Longa D",716,IF(Atletas!R405="Gun E",717,IF(Atletas!R405="Qiang E",718,IF(Atletas!R405="Pudao / Guandao E",719,IF(Atletas!R405="Outra Arma Longa E",720,IF(Atletas!R405="Gun F",721,IF(Atletas!R405="Qiang F",722,IF(Atletas!R405="Pudao / Guandao F",723,IF(Atletas!R405="Outra Arma Longa F",724,"")))))))))))))))))))))))))</f>
        <v/>
      </c>
      <c r="BU409" s="52" t="str">
        <f>IF(Atletas!S405="","",IF(Atletas!W405&lt;&gt;"",10000,0)+IF(Atletas!B405="Feminino",1000,IF(Atletas!B405="Masculino",2000,""))+IF(Atletas!S405="Arma Dupla A",801,IF(Atletas!S405="Arma Maleável A",802,IF(Atletas!S405="Arma Dupla B",803,IF(Atletas!S405="Arma Maleável B",804,IF(Atletas!S405="Arma Dupla C",805,IF(Atletas!S405="Arma Maleável C",806,IF(Atletas!S405="Arma Dupla D",807,IF(Atletas!S405="Arma Maleável D",808,IF(Atletas!S405="Arma Dupla E",809,IF(Atletas!S405="Arma Maleável E",810,IF(Atletas!S405="Arma Dupla F",811,IF(Atletas!S405="Arma Maleável F",812, "")))))))))))))</f>
        <v/>
      </c>
      <c r="BV409" s="52" t="str">
        <f>IF(Atletas!T405="","",IF(Atletas!W405&lt;&gt;"",10000,0)+IF(Atletas!B405="Feminino",1000,IF(Atletas!B405="Masculino",2000,""))+IF(Atletas!T405="Taijijian Yang A",901,IF(Atletas!T405="Taijijian Chen A",902,IF(Atletas!T405="Taijijian Sun A",903,IF(Atletas!T405="Taijijian Wu A",904,IF(Atletas!T405="Taijijian Wu-Hao A",905,IF(Atletas!T405="Taijijian 32 A",906,IF(Atletas!T405="Taijijian 42 A",907,IF(Atletas!T405="Taijijian Yang B",908,IF(Atletas!T405="Taijijian Chen B",909,IF(Atletas!T405="Taijijian Sun B",910,IF(Atletas!T405="Taijijian Wu B",911,IF(Atletas!T405="Taijijian Wu-Hao B",912,IF(Atletas!T405="Taijijian 32 B",913,IF(Atletas!T405="Taijijian 42 B",914,IF(Atletas!T405="Taijijian Yang C",915,IF(Atletas!T405="Taijijian Chen C",916,IF(Atletas!T405="Taijijian Sun C",917,IF(Atletas!T405="Taijijian Wu C",918,IF(Atletas!T405="Taijijian Wu-Hao C",919,IF(Atletas!T405="Taijijian 32 C",920,IF(Atletas!T405="Taijijian 42 C",921,IF(Atletas!T405="Taijijian Yang D",922,IF(Atletas!T405="Taijijian Chen D",923,IF(Atletas!T405="Taijijian Sun D",924,IF(Atletas!T405="Taijijian Wu D",925,IF(Atletas!T405="Taijijian Wu-Hao D",926,IF(Atletas!T405="Taijijian 32 D",927,IF(Atletas!T405="Taijijian 42 D",928,IF(Atletas!T405="Taijijian Yang E",929,IF(Atletas!T405="Taijijian Chen E",930,IF(Atletas!T405="Taijijian Sun E",931,IF(Atletas!T405="Taijijian Wu E",932,IF(Atletas!T405="Taijijian Wu-Hao E",933,IF(Atletas!T405="Taijijian 32 E",934,IF(Atletas!T405="Taijijian 42 E",935,IF(Atletas!T405="Taijijian Yang F",936,IF(Atletas!T405="Taijijian Chen F",937,IF(Atletas!T405="Taijijian Sun F",938,IF(Atletas!T405="Taijijian Wu F",939,IF(Atletas!T405="Taijijian Wu-Hao F",940,IF(Atletas!T405="Taijijian 32 F",941,IF(Atletas!T405="Taijijian 42 F",942,"")))))))))))))))))))))))))))))))))))))))))))</f>
        <v/>
      </c>
      <c r="BW409" s="52" t="str">
        <f>IF(Atletas!U405="","",IF(Atletas!W405&lt;&gt;"",10000,0)+IF(Atletas!B405="Feminino",1000,IF(Atletas!B405="Masculino",2000,""))+IF(Atletas!T405="Taijijian 42 F",942,IF(Atletas!U405="Taijidao A",943,IF(Atletas!U405="Taijishan A",944,IF(Atletas!U405="Taijiqiang A",945,IF(Atletas!U405="Taijidao B",946,IF(Atletas!U405="Taijishan B",947,IF(Atletas!U405="Taijiqiang B",948,IF(Atletas!U405="Taijidao C",949,IF(Atletas!U405="Taijishan C",950,IF(Atletas!U405="Taijiqiang C",951,IF(Atletas!U405="Taijidao D",952,IF(Atletas!U405="Taijishan D",953,IF(Atletas!U405="Taijiqiang D",954,IF(Atletas!U405="Taijidao E",955,IF(Atletas!U405="Taijishan E",956,IF(Atletas!U405="Taijiqiang E",957,IF(Atletas!U405="Taijidao F",958,IF(Atletas!U405="Taijishan F",959,IF(Atletas!U405="Taijiqiang F",960))))))))))))))))))))</f>
        <v/>
      </c>
      <c r="CF409" s="52" t="str">
        <f xml:space="preserve"> IF(Atletas!V405="","",IF(Atletas!V405="Duilian de Mãos AB - Equipe 1",1,IF(Atletas!V405="Duilian de Mãos AB - Equipe 2",2,IF(Atletas!V405="Duilian de Armas AB - Equipe 1",3,IF(Atletas!V405="Duilian de Armas AB - Equipe 2",4,IF(Atletas!V405="Duilian de Tuishou - Equipe 1",5,IF(Atletas!V405="Duilian de Tuishou - Equipe 2",6,IF(Atletas!V405="Grupo Externo AB - Equipe 1",7,IF(Atletas!V405="Grupo Externo AB - Equipe 2",8,IF(Atletas!V405="Grupo Interno AB - Equipe 1",9,IF(Atletas!V405="Grupo Interno AB - Equipe 2",10,IF(Atletas!V405="Duilian de Mãos CD - Equipe 1",11,IF(Atletas!V405="Duilian de Mãos CD - Equipe 2",12,IF(Atletas!V405="Duilian de Armas CD - Equipe 1",13,IF(Atletas!V405="Duilian de Armas CD - Equipe 2",14,IF(Atletas!V405="Duilian de Tuishou - Equipe 1",15,IF(Atletas!V405="Duilian de Tuishou - Equipe 2",16,IF(Atletas!V405="Grupo Externo CDEF - Equipe 1",17,IF(Atletas!V405="Grupo Externo CDEF - Equipe 2",18,IF(Atletas!V405="Grupo Interno CDEF - Equipe 1",19,IF(Atletas!V405="Grupo Interno CDEF - Equipe 2",20,IF(Atletas!V405="Duilian de Mãos EF - Equipe 1",21,IF(Atletas!V405="Duilian de Mãos EF - Equipe 2",22,IF(Atletas!V405="Duilian de Armas EF - Equipe 1",23,IF(Atletas!V405="Duilian de Armas EF - Equipe 2",24,IF(Atletas!V405="Duilian de Tuishou - Equipe 1",25,IF(Atletas!V405="Duilian de Tuishou - Equipe 2",26,"")))))))))))))))))))))))))))</f>
        <v/>
      </c>
    </row>
    <row r="410" spans="36:84">
      <c r="AJ410" s="46" t="str">
        <f>IF(Atletas!D406="","",IF(Atletas!B406="Feminino",100,IF(Atletas!B406="Masculino",200,""))+(IF(Atletas!D406="Infantil 39kg",1,IF(Atletas!D406="Infantil 42kg",2,IF(Atletas!D406="Infantil 45kg",3,IF(Atletas!D406="Infantil 48kg",4,IF(Atletas!D406="Infantil 52kg",5,IF(Atletas!D406="Infantil 56kg",6,IF(Atletas!D406="Infantil 60kg",7,IF(Atletas!D406="Juvenil 48kg",8,IF(Atletas!D406="Juvenil 52kg",9,IF(Atletas!D406="Juvenil 56kg",10,IF(Atletas!D406="Juvenil 60kg",11,IF(Atletas!D406="Juvenil 65kg",12,IF(Atletas!D406="Juvenil 70kg",13,IF(Atletas!D406="Juvenil 75kg",14,IF(Atletas!D406="Juvenil 80kg",15,IF(Atletas!D406="Adulto 48kg",16,IF(Atletas!D406="Adulto 52kg",17,IF(Atletas!D406="Adulto 56kg",18,IF(Atletas!D406="Adulto 60kg",19,IF(Atletas!D406="Adulto 65kg",20,IF(Atletas!D406="Adulto 70kg",21,IF(Atletas!D406="Adulto 75kg",22,IF(Atletas!D406="Adulto 80kg",23,IF(Atletas!D406="Adulto 85kg",24,IF(Atletas!D406="Adulto 90kg",25,IF(Atletas!D406="Adulto +90kg",26,""))))))))))))))))))))))))))))</f>
        <v/>
      </c>
      <c r="AO410" s="10" t="str">
        <f>IF(Atletas!E406="","",IF(Atletas!B406="Feminino",100,IF(Atletas!B406="Masculino",200,""))+(IF(Atletas!E406="Juvenil 44kg",1,IF(Atletas!E406="Juvenil 48kg",2,IF(Atletas!E406="Juvenil 52kg",3,IF(Atletas!E406="Juvenil 56kg",4,IF(Atletas!E406="Juvenil 60kg",5,IF(Atletas!E406="Juvenil 65kg",6,IF(Atletas!E406="Juvenil 70kg",7,IF(Atletas!E406="Juvenil 75kg",8,IF(Atletas!E406="Juvenil 82kg",9,IF(Atletas!E406="Juvenil 90kg",10,IF(Atletas!E406="Juvenil 100kg",11,IF(Atletas!E406="Adulto 48kg",12,IF(Atletas!E406="Adulto 52kg",13,IF(Atletas!E406="Adulto 56kg",14,IF(Atletas!E406="Adulto 60kg",15,IF(Atletas!E406="Adulto 65kg",16,IF(Atletas!E406="Adulto 70kg",17,IF(Atletas!E406="Adulto 75kg",18,IF(Atletas!E406="Adulto 82kg",19,IF(Atletas!E406="Adulto 90kg",20,IF(Atletas!E406="Adulto 100kg",21,IF(Atletas!E406="Adulto +100kg",22,""))))))))))))))))))))))))</f>
        <v/>
      </c>
      <c r="AT410" s="10" t="str">
        <f>IF(Atletas!F406="","",IF(Atletas!B406="Feminino",100,IF(Atletas!B406="Masculino",200,""))+(IF(Atletas!F406="Adulto 48kg",1,IF(Atletas!F406="Adulto 56kg",2,IF(Atletas!F406="Adulto 65kg",3,IF(Atletas!F406="Adulto 75kg",4,IF(Atletas!F406="Adulto +75kg",5,IF(Atletas!F406="Adulto 52kg",6,IF(Atletas!F406="Adulto 60kg",7,IF(Atletas!F406="Adulto 70kg",8,IF(Atletas!F406="Adulto 80kg",9,IF(Atletas!F406="Adulto 90kg",10,IF(Atletas!F406="Adulto +90kg",11,"")))))))))))))</f>
        <v/>
      </c>
      <c r="AY410" s="46" t="str">
        <f>IF(Atletas!G406="","",IF(Atletas!B406="Feminino",100,IF(Atletas!B406="Masculino",200,""))+(IF(Atletas!G406="Changquan Mirim",1,IF(Atletas!G406="Nanquan Mirim",2,IF(Atletas!G406="Taijiquan Mirim",3,IF(Atletas!G406="Changquan Grupo C",4,IF(Atletas!G406="Nanquan Grupo C",5,IF(Atletas!G406="Taijiquan Grupo C",6,IF(Atletas!G406="Changquan Grupo B",7,IF(Atletas!G406="Nanquan Grupo B",8,IF(Atletas!G406="Taijiquan Grupo B",9,IF(Atletas!G406="Changquan Grupo A",10,IF(Atletas!G406="Nanquan Grupo A",11,IF(Atletas!G406="Taijiquan Grupo A",12,IF(Atletas!G406="Changquan Opcional",13,IF(Atletas!G406="Nanquan Opcional",14,IF(Atletas!G406="Taijiquan Opcional",15,IF(Atletas!G406="Changquan Adulto",16,IF(Atletas!G406="Nanquan Adulto",17,IF(Atletas!G406="Taijiquan Adulto",18,""))))))))))))))))))))</f>
        <v/>
      </c>
      <c r="AZ410" s="46" t="str">
        <f>IF(Atletas!H406="","",IF(Atletas!B406="Feminino",100,IF(Atletas!B406="Masculino",200,""))+(IF(Atletas!H406="Daoshu Mirim",19,IF(Atletas!H406="Jianshu Mirim",20,IF(Atletas!H406="Nandao Mirim",21,IF(Atletas!H406="Taijijian Mirim",22,IF(Atletas!H406="Daoshu Grupo C",23,IF(Atletas!H406="Jianshu Grupo C",24,IF(Atletas!H406="Nandao Grupo C",25,IF(Atletas!H406="Taijijian Grupo C",26,IF(Atletas!H406="Daoshu Grupo B",27,IF(Atletas!H406="Jianshu Grupo B",28,IF(Atletas!H406="Nandao Grupo B",29,IF(Atletas!H406="Taijijian Grupo B",30,IF(Atletas!H406="Daoshu Grupo A",31,IF(Atletas!H406="Jianshu Grupo A",32,IF(Atletas!H406="Nandao Grupo A",33,IF(Atletas!H406="Taijijian Grupo A",34,IF(Atletas!H406="Daoshu Opcional",35,IF(Atletas!H406="Jianshu Opcional",36,IF(Atletas!H406="Nandao Opcional",37,IF(Atletas!H406="Taijijian Opcional",38,IF(Atletas!H406="Daoshu Adulto",39,IF(Atletas!H406="Jianshu Adulto",40,IF(Atletas!H406="Nandao Adulto",41,IF(Atletas!H406="Taijijian Adulto",42,""))))))))))))))))))))))))))</f>
        <v/>
      </c>
      <c r="BA410" s="46" t="str">
        <f>IF(Atletas!I406="","",IF(Atletas!B406="Feminino",100,IF(Atletas!B406="Masculino",200,""))+(IF(Atletas!I406="Gunshu Mirim",43,IF(Atletas!I406="Qiangshu Mirim",44,IF(Atletas!I406="Nangun Mirim",45,IF(Atletas!I406="Gunshu Grupo C",46,IF(Atletas!I406="Qiangshu Grupo C",47,IF(Atletas!I406="Nangun Grupo C",48,IF(Atletas!I406="Gunshu Grupo B",49,IF(Atletas!I406="Qiangshu Grupo B",50,IF(Atletas!I406="Nangun Grupo B",51,IF(Atletas!I406="Gunshu Grupo A",52,IF(Atletas!I406="Qiangshu Grupo A",53,IF(Atletas!I406="Nangun Grupo A",54,IF(Atletas!I406="Gunshu Opcional",55,IF(Atletas!I406="Qiangshu Opcional",56,IF(Atletas!I406="Nangun Opcional",57,IF(Atletas!I406="Gunshu Adulto",58,IF(Atletas!I406="Qiangshu Adulto",59,IF(Atletas!I406="Nangun Adulto",60,""))))))))))))))))))))</f>
        <v/>
      </c>
      <c r="BF410" s="52" t="str">
        <f>IF(Atletas!J406="","",IF(Atletas!B406="Feminino",100,IF(Atletas!B406="Masculino",200,""))+(IF(Atletas!J406="Equipe 1 Grupo B",1,IF(Atletas!J406="Equipe 2 Grupo B",2,IF(Atletas!J406="Equipe 1 Grupo A",3,IF(Atletas!J406="Equipe 2 Grupo A",4,IF(Atletas!J406="Equipe 1 Adulto",5,IF(Atletas!J406="Equipe 2 Adulto",6,""))))))))</f>
        <v/>
      </c>
      <c r="BK410" s="52" t="str">
        <f>IF(Atletas!K406="","",IF(Atletas!W406&lt;&gt;"",10000,0)+(IF(Atletas!B406="Feminino",1000,IF(Atletas!B406="Masculino",2000,""))+IF(Atletas!K406="Choylayfut A",1,IF(Atletas!K406="Hunggar A",2,IF(Atletas!K406="Wuzuquan A",3,IF(Atletas!K406="Wingchun A",4,IF(Atletas!K406="Outra Mão de Sul A",5,IF(Atletas!K406="Choylayfut B",6,IF(Atletas!K406="Hunggar B",7,IF(Atletas!K406="Wuzuquan B",8,IF(Atletas!K406="Wingchun B",9,IF(Atletas!K406="Outra Mão de Sul B",10,IF(Atletas!K406="Choylayfut C",11,IF(Atletas!K406="Hunggar C",12,IF(Atletas!K406="Wuzuquan C",13,IF(Atletas!K406="Wingchun C",14,IF(Atletas!K406="Outra Mão de Sul C",15,IF(Atletas!K406="Choylayfut D",16,IF(Atletas!K406="Hunggar D",17,IF(Atletas!K406="Wuzuquan D",18,IF(Atletas!K406="Wingchun D",19,IF(Atletas!K406="Outra Mão de Sul D",20,IF(Atletas!K406="Choylayfut E",21,IF(Atletas!K406="Hunggar E",22,IF(Atletas!K406="Wuzuquan E",23,IF(Atletas!K406="Wingchun E",24,IF(Atletas!K406="Outra Mão de Sul E",25,IF(Atletas!K406="Choylayfut F",26,IF(Atletas!K406="Hunggar F",27,IF(Atletas!K406="Wuzuquan F",28,IF(Atletas!K406="Wingchun F",29,IF(Atletas!K406="Outra Mão de Sul F",30,""))))))))))))))))))))))))))))))))</f>
        <v/>
      </c>
      <c r="BL410" s="52" t="str">
        <f>IF(Atletas!L406="","",IF(Atletas!W406&lt;&gt;"",10000,0)+(IF(Atletas!B406="Feminino",1000,IF(Atletas!B406="Masculino",2000,""))+(IF(Atletas!L406="Chaquan A",101,IF(Atletas!L406="Emeiquan A",102,IF(Atletas!L406="Fanziquan A",103,IF(Atletas!L406="Huaquan A",104,IF(Atletas!L406="Hongquan A",105,IF(Atletas!L406="Paochui A",106,IF(Atletas!L406="Piguaquan A",107,IF(Atletas!L406="Shaolinquan A",108,IF(Atletas!L406="Tanglangquan A",109,IF(Atletas!L406="Yinzhaophai A",110,IF(Atletas!L406="Tongbeiquan A",111,IF(Atletas!L406="Wudangquan A",112,IF(Atletas!L406="Outros Estilos A",113,IF(Atletas!L406="Chaquan B",114,IF(Atletas!L406="Emeiquan B",115,IF(Atletas!L406="Fanziquan B",116,IF(Atletas!L406="Huaquan B",117,IF(Atletas!L406="Hongquan B",118,IF(Atletas!L406="Paochui B",119,IF(Atletas!L406="Piguaquan B",120,IF(Atletas!L406="Shaolinquan B",121,IF(Atletas!L406="Tanglangquan B",122,IF(Atletas!L406="Yinzhaophai B",123,IF(Atletas!L406="Tongbeiquan B",124,IF(Atletas!L406="Wudangquan B",125,IF(Atletas!L406="Outros Estilos B",126,IF(Atletas!L406="Chaquan C",127,IF(Atletas!L406="Emeiquan C",128,IF(Atletas!L406="Fanziquan C",129,IF(Atletas!L406="Huaquan C",130,IF(Atletas!L406="Hongquan C",131,IF(Atletas!L406="Paochui C",132,IF(Atletas!L406="Piguaquan C",133,IF(Atletas!L406="Shaolinquan C",134,IF(Atletas!L406="Tanglangquan C",135,IF(Atletas!L406="Yinzhaophai C",136,IF(Atletas!L406="Tongbeiquan C",137,IF(Atletas!L406="Wudangquan C",138,IF(Atletas!L406="Outros Estilos C",139,0))))))))))))))))))))))))))))))))))))))))))</f>
        <v/>
      </c>
      <c r="BM410" s="52" t="str">
        <f>IF(Atletas!L406="","",IF(Atletas!W406&lt;&gt;"",10000,0)+(IF(Atletas!B406="Feminino",1000,IF(Atletas!B406="Masculino",2000,""))+(IF(Atletas!L406="Chaquan D",140,IF(Atletas!L406="Emeiquan D",141,IF(Atletas!L406="Fanziquan D",142,IF(Atletas!L406="Huaquan D",143,IF(Atletas!L406="Hongquan D",144,IF(Atletas!L406="Paochui D",145,IF(Atletas!L406="Piguaquan D",146,IF(Atletas!L406="Shaolinquan D",147,IF(Atletas!L406="Tanglangquan D",148,IF(Atletas!L406="Yinzhaophai D",149,IF(Atletas!L406="Tongbeiquan D",150,IF(Atletas!L406="Wudangquan D",151,IF(Atletas!L406="Outros Estilos D",152,IF(Atletas!L406="Chaquan E",153,IF(Atletas!L406="Emeiquan E",154,IF(Atletas!L406="Fanziquan E",155,IF(Atletas!L406="Huaquan E",156,IF(Atletas!L406="Hongquan E",157,IF(Atletas!L406="Paochui E",158,IF(Atletas!L406="Piguaquan E",159,IF(Atletas!L406="Shaolinquan E",160,IF(Atletas!L406="Tanglangquan E",161,IF(Atletas!L406="Yinzhaophai E",162,IF(Atletas!L406="Tongbeiquan E",163,IF(Atletas!L406="Wudangquan E",164,IF(Atletas!L406="Outros Estilos E",165,IF(Atletas!L406="Chaquan F",166,IF(Atletas!L406="Emeiquan F",167,IF(Atletas!L406="Fanziquan F",168,IF(Atletas!L406="Huaquan F",169,IF(Atletas!L406="Hongquan F",170,IF(Atletas!L406="Paochui F",171,IF(Atletas!L406="Piguaquan F",172,IF(Atletas!L406="Shaolinquan F",173,IF(Atletas!L406="Tanglangquan F",174,IF(Atletas!L406="Yinzhaophai F",175,IF(Atletas!L406="Tongbeiquan F",176,IF(Atletas!L406="Wudangquan F",177,IF(Atletas!L406="Outros Estilos F",178,0))))))))))))))))))))))))))))))))))))))))))</f>
        <v/>
      </c>
      <c r="BN410" s="52" t="str">
        <f>IF(Atletas!M406="","",IF(Atletas!W406&lt;&gt;"",10000,0)+(IF(Atletas!B406="Feminino",1000,IF(Atletas!B406="Masculino",2000,""))+(IF(Atletas!M406="Ditangquan A",201,IF(Atletas!M406="Houquan A",202,IF(Atletas!M406="Zuiquan A",203,IF(Atletas!M406="Ditangquan B",204,IF(Atletas!M406="Houquan B",205,IF(Atletas!M406="Zuiquan B",206,IF(Atletas!M406="Ditangquan C",207,IF(Atletas!M406="Houquan C",208,IF(Atletas!M406="Zuiquan C",209,IF(Atletas!M406="Ditangquan D",210,IF(Atletas!M406="Houquan D",211,IF(Atletas!M406="Zuiquan D",212,IF(Atletas!M406="Ditangquan E",213,IF(Atletas!M406="Houquan E",214,IF(Atletas!M406="Zuiquan E",215,IF(Atletas!M406="Ditangquan F",216,IF(Atletas!M406="Houquan F",217,IF(Atletas!M406="Zuiquan F",218,"")))))))))))))))))))))</f>
        <v/>
      </c>
      <c r="BO410" s="52" t="str">
        <f>IF(Atletas!N406="","",IF(Atletas!W406&lt;&gt;"",10000,0)+IF(Atletas!B406="Feminino",1000,IF(Atletas!B406="Masculino",2000,""))+IF(Atletas!N406="Yang A",301,IF(Atletas!N406="Chen A",30,IF(Atletas!N406="Sun A",303,IF(Atletas!N406="Wu A",304,IF(Atletas!N406="Wu-Hao A",305,IF(Atletas!N406="Outro Taijiquan A",306,IF(Atletas!N406="Yang B",307,IF(Atletas!N406="Chen B",308,IF(Atletas!N406="Sun B",309,IF(Atletas!N406="Wu B",310,IF(Atletas!N406="Wu-Hao B",311,IF(Atletas!N406="Outro Taijiquan B",312,IF(Atletas!N406="Yang C",313,IF(Atletas!N406="Chen C",314,IF(Atletas!N406="Sun C",315,IF(Atletas!N406="Wu C",316,IF(Atletas!N406="Wu-Hao C",317,IF(Atletas!N406="Outro Taijiquan C",318,IF(Atletas!N406="Yang D",319,IF(Atletas!N406="Chen D",320,IF(Atletas!N406="Sun D",321,IF(Atletas!N406="Wu D",322,IF(Atletas!N406="Wu-Hao D",323,IF(Atletas!N406="Outro Taijiquan D",324,IF(Atletas!N406="Yang E",325,IF(Atletas!N406="Chen E",326,IF(Atletas!N406="Sun E",327,IF(Atletas!N406="Wu E",328,IF(Atletas!N406="Wu-Hao E",329,IF(Atletas!N406="Outro Taijiquan E",330,IF(Atletas!N406="Yang F",331,IF(Atletas!N406="Chen F",332,IF(Atletas!N406="Sun F",333,IF(Atletas!N406="Wu F",334,IF(Atletas!N406="Wu-Hao F",335,IF(Atletas!N406="Outro Taijiquan F",336,"")))))))))))))))))))))))))))))))))))))</f>
        <v/>
      </c>
      <c r="BP410" s="52" t="str">
        <f>IF(Atletas!O406="","",IF(Atletas!W406&lt;&gt;"",10000,0)+IF(Atletas!B406="Feminino",1000,IF(Atletas!B406="Masculino",2000,""))+IF(OR(Atletas!O406="Yang 26 A",Atletas!O406="Yang 40 A"),401,IF(OR(Atletas!O406="Chen 25 A",Atletas!O406="Chen 36 A",Atletas!O406="Chen 56 A"),402,IF(Atletas!O406="Sun 73 A",403,IF(Atletas!O406="Wu 45 A",404,IF(Atletas!O406="Wu-Hao 46 A",405,IF(OR(Atletas!O406="Taijiquan 16 A",Atletas!O406="Taijiquan 24 A",Atletas!O406="Taijiquan 32 A",Atletas!O406="Taijiquan 42 A"),406,IF(OR(Atletas!O406="Yang 26 B",Atletas!O406="Yang 40 B"),407,IF(OR(Atletas!O406="Chen 25 B",Atletas!O406="Chen 36 B",Atletas!O406="Chen 56 B"),408,IF(Atletas!O406="Sun 73 B",409,IF(Atletas!O406="Wu 45 B",410,IF(Atletas!O406="Wu-Hao 46 B",411,IF(OR(Atletas!O406="Taijiquan 16 B",Atletas!O406="Taijiquan 24 B",Atletas!O406="Taijiquan 32 B",Atletas!O406="Taijiquan 42 B"),412,IF(OR(Atletas!O406="Yang 26 C",Atletas!O406="Yang 40 C"),413,IF(OR(Atletas!O406="Chen 25 C",Atletas!O406="Chen 36 C",Atletas!O406="Chen 56 C"),414,IF(Atletas!O406="Sun 73 C",415,IF(Atletas!O406="Wu 45 C",416,IF(Atletas!O406="Wu-Hao 46 C",417,IF(OR(Atletas!O406="Taijiquan 16 C",Atletas!O406="Taijiquan 24 C",Atletas!O406="Taijiquan 32 C",Atletas!O406="Taijiquan 42 C"),418,0)))))))))))))))))))</f>
        <v/>
      </c>
      <c r="BQ410" s="52" t="str">
        <f>IF(Atletas!O406="","",IF(Atletas!W406&lt;&gt;"",10000,0)+IF(Atletas!B406="Feminino",1000,IF(Atletas!B406="Masculino",2000,""))+IF(OR(Atletas!O406="Yang 26 D",Atletas!O406="Yang 40 D"),419,IF(OR(Atletas!O406="Chen 25 D",Atletas!O406="Chen 36 D",Atletas!O406="Chen 56 D"),420,IF(Atletas!O406="Sun 73 D",421,IF(Atletas!O406="Wu 45 D",422,IF(Atletas!O406="Wu-Hao 46 D",423,IF(OR(Atletas!O406="Taijiquan 16 D",Atletas!O406="Taijiquan 24 D",Atletas!O406="Taijiquan 32 D",Atletas!O406="Taijiquan 42 D"),424,IF(OR(Atletas!O406="Yang 26 E",Atletas!O406="Yang 40 E"),425,IF(OR(Atletas!O406="Chen 25 E",Atletas!O406="Chen 36 E",Atletas!O406="Chen 56 E"),426,IF(Atletas!O406="Sun 73 E",427,IF(Atletas!O406="Wu 45 E",428,IF(Atletas!O406="Wu-Hao 46 E",429,IF(OR(Atletas!O406="Taijiquan 16 E",Atletas!O406="Taijiquan 24 E",Atletas!O406="Taijiquan 32 E",Atletas!O406="Taijiquan 42 E"),430,IF(OR(Atletas!O406="Yang 26 F",Atletas!O406="Yang 40 F"),431,IF(OR(Atletas!O406="Chen 25 F",Atletas!O406="Chen 36 F",Atletas!O406="Chen 56 F"),432,IF(Atletas!O406="Sun 73 F",433,IF(Atletas!O406="Wu 45 F",434,IF(Atletas!O406="Wu-Hao 46 F",435,IF(OR(Atletas!O406="Taijiquan 16 F",Atletas!O406="Taijiquan 24 F",Atletas!O406="Taijiquan 32 F",Atletas!O406="Taijiquan 42 F"),436,0)))))))))))))))))))</f>
        <v/>
      </c>
      <c r="BR410" s="52" t="str">
        <f>IF(Atletas!P406="","",IF(Atletas!W406&lt;&gt;"",10000,0)+IF(Atletas!B406="Feminino",1000,IF(Atletas!B406="Masculino",2000,""))+IF(Atletas!P406="Xingyiquan A",501,IF(Atletas!P406="Baguazhang A",502,IF(Atletas!P406="Outro Estilo Interno A",503,IF(Atletas!P406="Xingyiquan B",504,IF(Atletas!P406="Baguazhang B",505,IF(Atletas!P406="Outro Estilo Interno B",506,IF(Atletas!P406="Xingyiquan C",507,IF(Atletas!P406="Baguazhang C",508,IF(Atletas!P406="Outro Estilo Interno C",509,IF(Atletas!P406="Xingyiquan D",510,IF(Atletas!P406="Baguazhang D",511,IF(Atletas!P406="Outro Estilo Interno D",512,IF(Atletas!P406="Xingyiquan E",513,IF(Atletas!P406="Baguazhang E",514,IF(Atletas!P406="Outro Estilo Interno E",515,IF(Atletas!P406="Xingyiquan F",516,IF(Atletas!P406="Baguazhang F",517,IF(Atletas!P406="Outro Estilo Interno F",518, "")))))))))))))))))))</f>
        <v/>
      </c>
      <c r="BS410" s="52" t="str">
        <f>IF(Atletas!Q406="","",IF(Atletas!W406&lt;&gt;"",10000,0)+IF(Atletas!B406="Feminino",1000,IF(Atletas!B406="Masculino",2000,""))+IF(Atletas!Q406="Dao A",601,IF(Atletas!Q406="Jian A",602,IF(Atletas!Q406="Bishou A",603,IF(Atletas!Q406="Shan A",604,IF(Atletas!Q406="Outra Arma Curta A",605,IF(Atletas!Q406="Dao B",606,IF(Atletas!Q406="Jian B",607,IF(Atletas!Q406="Bishou B",608,IF(Atletas!Q406="Shan B",609,IF(Atletas!Q406="Outra Arma Curta B",610,IF(Atletas!Q406="Dao C",611,IF(Atletas!Q406="Jian C",612,IF(Atletas!Q406="Bishou C",613,IF(Atletas!Q406="Shan C",614,IF(Atletas!Q406="Outra Arma Curta C",615,IF(Atletas!Q406="Dao D",616,IF(Atletas!Q406="Jian D",617,IF(Atletas!Q406="Bishou D",618,IF(Atletas!Q406="Shan D",619,IF(Atletas!Q406="Outra Arma Curta D",620,IF(Atletas!Q406="Dao E",621,IF(Atletas!Q406="Jian E",622,IF(Atletas!Q406="Bishou E",623,IF(Atletas!Q406="Shan E",624,IF(Atletas!Q406="Outra Arma Curta E",625,IF(Atletas!Q406="Dao F",626,IF(Atletas!Q406="Jian F",627,IF(Atletas!Q406="Bishou F",628,IF(Atletas!Q406="Shan F",629,IF(Atletas!Q406="Outra Arma Curta F",630, "")))))))))))))))))))))))))))))))</f>
        <v/>
      </c>
      <c r="BT410" s="52" t="str">
        <f>IF(Atletas!R406="","",IF(Atletas!W406&lt;&gt;"",10000,0)+IF(Atletas!B406="Feminino",1000,IF(Atletas!B406="Masculino",2000,""))+IF(Atletas!R406="Gun A",701,IF(Atletas!R406="Qiang A",702,IF(Atletas!R406="Pudao / Guandao A",703,IF(Atletas!R406="Outra Arma Longa A",704,IF(Atletas!R406="Gun B",705,IF(Atletas!R406="Qiang B",706,IF(Atletas!R406="Pudao / Guandao B",707,IF(Atletas!R406="Outra Arma Longa B",708,IF(Atletas!R406="Gun C",709,IF(Atletas!R406="Qiang C",710,IF(Atletas!R406="Pudao / Guandao C",711,IF(Atletas!R406="Outra Arma Longa C",712,IF(Atletas!R406="Gun D",713,IF(Atletas!R406="Qiang D",714,IF(Atletas!R406="Pudao / Guandao D",715,IF(Atletas!R406="Outra Arma Longa D",716,IF(Atletas!R406="Gun E",717,IF(Atletas!R406="Qiang E",718,IF(Atletas!R406="Pudao / Guandao E",719,IF(Atletas!R406="Outra Arma Longa E",720,IF(Atletas!R406="Gun F",721,IF(Atletas!R406="Qiang F",722,IF(Atletas!R406="Pudao / Guandao F",723,IF(Atletas!R406="Outra Arma Longa F",724,"")))))))))))))))))))))))))</f>
        <v/>
      </c>
      <c r="BU410" s="52" t="str">
        <f>IF(Atletas!S406="","",IF(Atletas!W406&lt;&gt;"",10000,0)+IF(Atletas!B406="Feminino",1000,IF(Atletas!B406="Masculino",2000,""))+IF(Atletas!S406="Arma Dupla A",801,IF(Atletas!S406="Arma Maleável A",802,IF(Atletas!S406="Arma Dupla B",803,IF(Atletas!S406="Arma Maleável B",804,IF(Atletas!S406="Arma Dupla C",805,IF(Atletas!S406="Arma Maleável C",806,IF(Atletas!S406="Arma Dupla D",807,IF(Atletas!S406="Arma Maleável D",808,IF(Atletas!S406="Arma Dupla E",809,IF(Atletas!S406="Arma Maleável E",810,IF(Atletas!S406="Arma Dupla F",811,IF(Atletas!S406="Arma Maleável F",812, "")))))))))))))</f>
        <v/>
      </c>
      <c r="BV410" s="52" t="str">
        <f>IF(Atletas!T406="","",IF(Atletas!W406&lt;&gt;"",10000,0)+IF(Atletas!B406="Feminino",1000,IF(Atletas!B406="Masculino",2000,""))+IF(Atletas!T406="Taijijian Yang A",901,IF(Atletas!T406="Taijijian Chen A",902,IF(Atletas!T406="Taijijian Sun A",903,IF(Atletas!T406="Taijijian Wu A",904,IF(Atletas!T406="Taijijian Wu-Hao A",905,IF(Atletas!T406="Taijijian 32 A",906,IF(Atletas!T406="Taijijian 42 A",907,IF(Atletas!T406="Taijijian Yang B",908,IF(Atletas!T406="Taijijian Chen B",909,IF(Atletas!T406="Taijijian Sun B",910,IF(Atletas!T406="Taijijian Wu B",911,IF(Atletas!T406="Taijijian Wu-Hao B",912,IF(Atletas!T406="Taijijian 32 B",913,IF(Atletas!T406="Taijijian 42 B",914,IF(Atletas!T406="Taijijian Yang C",915,IF(Atletas!T406="Taijijian Chen C",916,IF(Atletas!T406="Taijijian Sun C",917,IF(Atletas!T406="Taijijian Wu C",918,IF(Atletas!T406="Taijijian Wu-Hao C",919,IF(Atletas!T406="Taijijian 32 C",920,IF(Atletas!T406="Taijijian 42 C",921,IF(Atletas!T406="Taijijian Yang D",922,IF(Atletas!T406="Taijijian Chen D",923,IF(Atletas!T406="Taijijian Sun D",924,IF(Atletas!T406="Taijijian Wu D",925,IF(Atletas!T406="Taijijian Wu-Hao D",926,IF(Atletas!T406="Taijijian 32 D",927,IF(Atletas!T406="Taijijian 42 D",928,IF(Atletas!T406="Taijijian Yang E",929,IF(Atletas!T406="Taijijian Chen E",930,IF(Atletas!T406="Taijijian Sun E",931,IF(Atletas!T406="Taijijian Wu E",932,IF(Atletas!T406="Taijijian Wu-Hao E",933,IF(Atletas!T406="Taijijian 32 E",934,IF(Atletas!T406="Taijijian 42 E",935,IF(Atletas!T406="Taijijian Yang F",936,IF(Atletas!T406="Taijijian Chen F",937,IF(Atletas!T406="Taijijian Sun F",938,IF(Atletas!T406="Taijijian Wu F",939,IF(Atletas!T406="Taijijian Wu-Hao F",940,IF(Atletas!T406="Taijijian 32 F",941,IF(Atletas!T406="Taijijian 42 F",942,"")))))))))))))))))))))))))))))))))))))))))))</f>
        <v/>
      </c>
      <c r="BW410" s="52" t="str">
        <f>IF(Atletas!U406="","",IF(Atletas!W406&lt;&gt;"",10000,0)+IF(Atletas!B406="Feminino",1000,IF(Atletas!B406="Masculino",2000,""))+IF(Atletas!T406="Taijijian 42 F",942,IF(Atletas!U406="Taijidao A",943,IF(Atletas!U406="Taijishan A",944,IF(Atletas!U406="Taijiqiang A",945,IF(Atletas!U406="Taijidao B",946,IF(Atletas!U406="Taijishan B",947,IF(Atletas!U406="Taijiqiang B",948,IF(Atletas!U406="Taijidao C",949,IF(Atletas!U406="Taijishan C",950,IF(Atletas!U406="Taijiqiang C",951,IF(Atletas!U406="Taijidao D",952,IF(Atletas!U406="Taijishan D",953,IF(Atletas!U406="Taijiqiang D",954,IF(Atletas!U406="Taijidao E",955,IF(Atletas!U406="Taijishan E",956,IF(Atletas!U406="Taijiqiang E",957,IF(Atletas!U406="Taijidao F",958,IF(Atletas!U406="Taijishan F",959,IF(Atletas!U406="Taijiqiang F",960))))))))))))))))))))</f>
        <v/>
      </c>
      <c r="CF410" s="52" t="str">
        <f xml:space="preserve"> IF(Atletas!V406="","",IF(Atletas!V406="Duilian de Mãos AB - Equipe 1",1,IF(Atletas!V406="Duilian de Mãos AB - Equipe 2",2,IF(Atletas!V406="Duilian de Armas AB - Equipe 1",3,IF(Atletas!V406="Duilian de Armas AB - Equipe 2",4,IF(Atletas!V406="Duilian de Tuishou - Equipe 1",5,IF(Atletas!V406="Duilian de Tuishou - Equipe 2",6,IF(Atletas!V406="Grupo Externo AB - Equipe 1",7,IF(Atletas!V406="Grupo Externo AB - Equipe 2",8,IF(Atletas!V406="Grupo Interno AB - Equipe 1",9,IF(Atletas!V406="Grupo Interno AB - Equipe 2",10,IF(Atletas!V406="Duilian de Mãos CD - Equipe 1",11,IF(Atletas!V406="Duilian de Mãos CD - Equipe 2",12,IF(Atletas!V406="Duilian de Armas CD - Equipe 1",13,IF(Atletas!V406="Duilian de Armas CD - Equipe 2",14,IF(Atletas!V406="Duilian de Tuishou - Equipe 1",15,IF(Atletas!V406="Duilian de Tuishou - Equipe 2",16,IF(Atletas!V406="Grupo Externo CDEF - Equipe 1",17,IF(Atletas!V406="Grupo Externo CDEF - Equipe 2",18,IF(Atletas!V406="Grupo Interno CDEF - Equipe 1",19,IF(Atletas!V406="Grupo Interno CDEF - Equipe 2",20,IF(Atletas!V406="Duilian de Mãos EF - Equipe 1",21,IF(Atletas!V406="Duilian de Mãos EF - Equipe 2",22,IF(Atletas!V406="Duilian de Armas EF - Equipe 1",23,IF(Atletas!V406="Duilian de Armas EF - Equipe 2",24,IF(Atletas!V406="Duilian de Tuishou - Equipe 1",25,IF(Atletas!V406="Duilian de Tuishou - Equipe 2",26,"")))))))))))))))))))))))))))</f>
        <v/>
      </c>
    </row>
    <row r="411" spans="36:84">
      <c r="AJ411" s="46" t="str">
        <f>IF(Atletas!D407="","",IF(Atletas!B407="Feminino",100,IF(Atletas!B407="Masculino",200,""))+(IF(Atletas!D407="Infantil 39kg",1,IF(Atletas!D407="Infantil 42kg",2,IF(Atletas!D407="Infantil 45kg",3,IF(Atletas!D407="Infantil 48kg",4,IF(Atletas!D407="Infantil 52kg",5,IF(Atletas!D407="Infantil 56kg",6,IF(Atletas!D407="Infantil 60kg",7,IF(Atletas!D407="Juvenil 48kg",8,IF(Atletas!D407="Juvenil 52kg",9,IF(Atletas!D407="Juvenil 56kg",10,IF(Atletas!D407="Juvenil 60kg",11,IF(Atletas!D407="Juvenil 65kg",12,IF(Atletas!D407="Juvenil 70kg",13,IF(Atletas!D407="Juvenil 75kg",14,IF(Atletas!D407="Juvenil 80kg",15,IF(Atletas!D407="Adulto 48kg",16,IF(Atletas!D407="Adulto 52kg",17,IF(Atletas!D407="Adulto 56kg",18,IF(Atletas!D407="Adulto 60kg",19,IF(Atletas!D407="Adulto 65kg",20,IF(Atletas!D407="Adulto 70kg",21,IF(Atletas!D407="Adulto 75kg",22,IF(Atletas!D407="Adulto 80kg",23,IF(Atletas!D407="Adulto 85kg",24,IF(Atletas!D407="Adulto 90kg",25,IF(Atletas!D407="Adulto +90kg",26,""))))))))))))))))))))))))))))</f>
        <v/>
      </c>
      <c r="AO411" s="10" t="str">
        <f>IF(Atletas!E407="","",IF(Atletas!B407="Feminino",100,IF(Atletas!B407="Masculino",200,""))+(IF(Atletas!E407="Juvenil 44kg",1,IF(Atletas!E407="Juvenil 48kg",2,IF(Atletas!E407="Juvenil 52kg",3,IF(Atletas!E407="Juvenil 56kg",4,IF(Atletas!E407="Juvenil 60kg",5,IF(Atletas!E407="Juvenil 65kg",6,IF(Atletas!E407="Juvenil 70kg",7,IF(Atletas!E407="Juvenil 75kg",8,IF(Atletas!E407="Juvenil 82kg",9,IF(Atletas!E407="Juvenil 90kg",10,IF(Atletas!E407="Juvenil 100kg",11,IF(Atletas!E407="Adulto 48kg",12,IF(Atletas!E407="Adulto 52kg",13,IF(Atletas!E407="Adulto 56kg",14,IF(Atletas!E407="Adulto 60kg",15,IF(Atletas!E407="Adulto 65kg",16,IF(Atletas!E407="Adulto 70kg",17,IF(Atletas!E407="Adulto 75kg",18,IF(Atletas!E407="Adulto 82kg",19,IF(Atletas!E407="Adulto 90kg",20,IF(Atletas!E407="Adulto 100kg",21,IF(Atletas!E407="Adulto +100kg",22,""))))))))))))))))))))))))</f>
        <v/>
      </c>
      <c r="AT411" s="10" t="str">
        <f>IF(Atletas!F407="","",IF(Atletas!B407="Feminino",100,IF(Atletas!B407="Masculino",200,""))+(IF(Atletas!F407="Adulto 48kg",1,IF(Atletas!F407="Adulto 56kg",2,IF(Atletas!F407="Adulto 65kg",3,IF(Atletas!F407="Adulto 75kg",4,IF(Atletas!F407="Adulto +75kg",5,IF(Atletas!F407="Adulto 52kg",6,IF(Atletas!F407="Adulto 60kg",7,IF(Atletas!F407="Adulto 70kg",8,IF(Atletas!F407="Adulto 80kg",9,IF(Atletas!F407="Adulto 90kg",10,IF(Atletas!F407="Adulto +90kg",11,"")))))))))))))</f>
        <v/>
      </c>
      <c r="AY411" s="46" t="str">
        <f>IF(Atletas!G407="","",IF(Atletas!B407="Feminino",100,IF(Atletas!B407="Masculino",200,""))+(IF(Atletas!G407="Changquan Mirim",1,IF(Atletas!G407="Nanquan Mirim",2,IF(Atletas!G407="Taijiquan Mirim",3,IF(Atletas!G407="Changquan Grupo C",4,IF(Atletas!G407="Nanquan Grupo C",5,IF(Atletas!G407="Taijiquan Grupo C",6,IF(Atletas!G407="Changquan Grupo B",7,IF(Atletas!G407="Nanquan Grupo B",8,IF(Atletas!G407="Taijiquan Grupo B",9,IF(Atletas!G407="Changquan Grupo A",10,IF(Atletas!G407="Nanquan Grupo A",11,IF(Atletas!G407="Taijiquan Grupo A",12,IF(Atletas!G407="Changquan Opcional",13,IF(Atletas!G407="Nanquan Opcional",14,IF(Atletas!G407="Taijiquan Opcional",15,IF(Atletas!G407="Changquan Adulto",16,IF(Atletas!G407="Nanquan Adulto",17,IF(Atletas!G407="Taijiquan Adulto",18,""))))))))))))))))))))</f>
        <v/>
      </c>
      <c r="AZ411" s="46" t="str">
        <f>IF(Atletas!H407="","",IF(Atletas!B407="Feminino",100,IF(Atletas!B407="Masculino",200,""))+(IF(Atletas!H407="Daoshu Mirim",19,IF(Atletas!H407="Jianshu Mirim",20,IF(Atletas!H407="Nandao Mirim",21,IF(Atletas!H407="Taijijian Mirim",22,IF(Atletas!H407="Daoshu Grupo C",23,IF(Atletas!H407="Jianshu Grupo C",24,IF(Atletas!H407="Nandao Grupo C",25,IF(Atletas!H407="Taijijian Grupo C",26,IF(Atletas!H407="Daoshu Grupo B",27,IF(Atletas!H407="Jianshu Grupo B",28,IF(Atletas!H407="Nandao Grupo B",29,IF(Atletas!H407="Taijijian Grupo B",30,IF(Atletas!H407="Daoshu Grupo A",31,IF(Atletas!H407="Jianshu Grupo A",32,IF(Atletas!H407="Nandao Grupo A",33,IF(Atletas!H407="Taijijian Grupo A",34,IF(Atletas!H407="Daoshu Opcional",35,IF(Atletas!H407="Jianshu Opcional",36,IF(Atletas!H407="Nandao Opcional",37,IF(Atletas!H407="Taijijian Opcional",38,IF(Atletas!H407="Daoshu Adulto",39,IF(Atletas!H407="Jianshu Adulto",40,IF(Atletas!H407="Nandao Adulto",41,IF(Atletas!H407="Taijijian Adulto",42,""))))))))))))))))))))))))))</f>
        <v/>
      </c>
      <c r="BA411" s="46" t="str">
        <f>IF(Atletas!I407="","",IF(Atletas!B407="Feminino",100,IF(Atletas!B407="Masculino",200,""))+(IF(Atletas!I407="Gunshu Mirim",43,IF(Atletas!I407="Qiangshu Mirim",44,IF(Atletas!I407="Nangun Mirim",45,IF(Atletas!I407="Gunshu Grupo C",46,IF(Atletas!I407="Qiangshu Grupo C",47,IF(Atletas!I407="Nangun Grupo C",48,IF(Atletas!I407="Gunshu Grupo B",49,IF(Atletas!I407="Qiangshu Grupo B",50,IF(Atletas!I407="Nangun Grupo B",51,IF(Atletas!I407="Gunshu Grupo A",52,IF(Atletas!I407="Qiangshu Grupo A",53,IF(Atletas!I407="Nangun Grupo A",54,IF(Atletas!I407="Gunshu Opcional",55,IF(Atletas!I407="Qiangshu Opcional",56,IF(Atletas!I407="Nangun Opcional",57,IF(Atletas!I407="Gunshu Adulto",58,IF(Atletas!I407="Qiangshu Adulto",59,IF(Atletas!I407="Nangun Adulto",60,""))))))))))))))))))))</f>
        <v/>
      </c>
      <c r="BF411" s="52" t="str">
        <f>IF(Atletas!J407="","",IF(Atletas!B407="Feminino",100,IF(Atletas!B407="Masculino",200,""))+(IF(Atletas!J407="Equipe 1 Grupo B",1,IF(Atletas!J407="Equipe 2 Grupo B",2,IF(Atletas!J407="Equipe 1 Grupo A",3,IF(Atletas!J407="Equipe 2 Grupo A",4,IF(Atletas!J407="Equipe 1 Adulto",5,IF(Atletas!J407="Equipe 2 Adulto",6,""))))))))</f>
        <v/>
      </c>
      <c r="BK411" s="52" t="str">
        <f>IF(Atletas!K407="","",IF(Atletas!W407&lt;&gt;"",10000,0)+(IF(Atletas!B407="Feminino",1000,IF(Atletas!B407="Masculino",2000,""))+IF(Atletas!K407="Choylayfut A",1,IF(Atletas!K407="Hunggar A",2,IF(Atletas!K407="Wuzuquan A",3,IF(Atletas!K407="Wingchun A",4,IF(Atletas!K407="Outra Mão de Sul A",5,IF(Atletas!K407="Choylayfut B",6,IF(Atletas!K407="Hunggar B",7,IF(Atletas!K407="Wuzuquan B",8,IF(Atletas!K407="Wingchun B",9,IF(Atletas!K407="Outra Mão de Sul B",10,IF(Atletas!K407="Choylayfut C",11,IF(Atletas!K407="Hunggar C",12,IF(Atletas!K407="Wuzuquan C",13,IF(Atletas!K407="Wingchun C",14,IF(Atletas!K407="Outra Mão de Sul C",15,IF(Atletas!K407="Choylayfut D",16,IF(Atletas!K407="Hunggar D",17,IF(Atletas!K407="Wuzuquan D",18,IF(Atletas!K407="Wingchun D",19,IF(Atletas!K407="Outra Mão de Sul D",20,IF(Atletas!K407="Choylayfut E",21,IF(Atletas!K407="Hunggar E",22,IF(Atletas!K407="Wuzuquan E",23,IF(Atletas!K407="Wingchun E",24,IF(Atletas!K407="Outra Mão de Sul E",25,IF(Atletas!K407="Choylayfut F",26,IF(Atletas!K407="Hunggar F",27,IF(Atletas!K407="Wuzuquan F",28,IF(Atletas!K407="Wingchun F",29,IF(Atletas!K407="Outra Mão de Sul F",30,""))))))))))))))))))))))))))))))))</f>
        <v/>
      </c>
      <c r="BL411" s="52" t="str">
        <f>IF(Atletas!L407="","",IF(Atletas!W407&lt;&gt;"",10000,0)+(IF(Atletas!B407="Feminino",1000,IF(Atletas!B407="Masculino",2000,""))+(IF(Atletas!L407="Chaquan A",101,IF(Atletas!L407="Emeiquan A",102,IF(Atletas!L407="Fanziquan A",103,IF(Atletas!L407="Huaquan A",104,IF(Atletas!L407="Hongquan A",105,IF(Atletas!L407="Paochui A",106,IF(Atletas!L407="Piguaquan A",107,IF(Atletas!L407="Shaolinquan A",108,IF(Atletas!L407="Tanglangquan A",109,IF(Atletas!L407="Yinzhaophai A",110,IF(Atletas!L407="Tongbeiquan A",111,IF(Atletas!L407="Wudangquan A",112,IF(Atletas!L407="Outros Estilos A",113,IF(Atletas!L407="Chaquan B",114,IF(Atletas!L407="Emeiquan B",115,IF(Atletas!L407="Fanziquan B",116,IF(Atletas!L407="Huaquan B",117,IF(Atletas!L407="Hongquan B",118,IF(Atletas!L407="Paochui B",119,IF(Atletas!L407="Piguaquan B",120,IF(Atletas!L407="Shaolinquan B",121,IF(Atletas!L407="Tanglangquan B",122,IF(Atletas!L407="Yinzhaophai B",123,IF(Atletas!L407="Tongbeiquan B",124,IF(Atletas!L407="Wudangquan B",125,IF(Atletas!L407="Outros Estilos B",126,IF(Atletas!L407="Chaquan C",127,IF(Atletas!L407="Emeiquan C",128,IF(Atletas!L407="Fanziquan C",129,IF(Atletas!L407="Huaquan C",130,IF(Atletas!L407="Hongquan C",131,IF(Atletas!L407="Paochui C",132,IF(Atletas!L407="Piguaquan C",133,IF(Atletas!L407="Shaolinquan C",134,IF(Atletas!L407="Tanglangquan C",135,IF(Atletas!L407="Yinzhaophai C",136,IF(Atletas!L407="Tongbeiquan C",137,IF(Atletas!L407="Wudangquan C",138,IF(Atletas!L407="Outros Estilos C",139,0))))))))))))))))))))))))))))))))))))))))))</f>
        <v/>
      </c>
      <c r="BM411" s="52" t="str">
        <f>IF(Atletas!L407="","",IF(Atletas!W407&lt;&gt;"",10000,0)+(IF(Atletas!B407="Feminino",1000,IF(Atletas!B407="Masculino",2000,""))+(IF(Atletas!L407="Chaquan D",140,IF(Atletas!L407="Emeiquan D",141,IF(Atletas!L407="Fanziquan D",142,IF(Atletas!L407="Huaquan D",143,IF(Atletas!L407="Hongquan D",144,IF(Atletas!L407="Paochui D",145,IF(Atletas!L407="Piguaquan D",146,IF(Atletas!L407="Shaolinquan D",147,IF(Atletas!L407="Tanglangquan D",148,IF(Atletas!L407="Yinzhaophai D",149,IF(Atletas!L407="Tongbeiquan D",150,IF(Atletas!L407="Wudangquan D",151,IF(Atletas!L407="Outros Estilos D",152,IF(Atletas!L407="Chaquan E",153,IF(Atletas!L407="Emeiquan E",154,IF(Atletas!L407="Fanziquan E",155,IF(Atletas!L407="Huaquan E",156,IF(Atletas!L407="Hongquan E",157,IF(Atletas!L407="Paochui E",158,IF(Atletas!L407="Piguaquan E",159,IF(Atletas!L407="Shaolinquan E",160,IF(Atletas!L407="Tanglangquan E",161,IF(Atletas!L407="Yinzhaophai E",162,IF(Atletas!L407="Tongbeiquan E",163,IF(Atletas!L407="Wudangquan E",164,IF(Atletas!L407="Outros Estilos E",165,IF(Atletas!L407="Chaquan F",166,IF(Atletas!L407="Emeiquan F",167,IF(Atletas!L407="Fanziquan F",168,IF(Atletas!L407="Huaquan F",169,IF(Atletas!L407="Hongquan F",170,IF(Atletas!L407="Paochui F",171,IF(Atletas!L407="Piguaquan F",172,IF(Atletas!L407="Shaolinquan F",173,IF(Atletas!L407="Tanglangquan F",174,IF(Atletas!L407="Yinzhaophai F",175,IF(Atletas!L407="Tongbeiquan F",176,IF(Atletas!L407="Wudangquan F",177,IF(Atletas!L407="Outros Estilos F",178,0))))))))))))))))))))))))))))))))))))))))))</f>
        <v/>
      </c>
      <c r="BN411" s="52" t="str">
        <f>IF(Atletas!M407="","",IF(Atletas!W407&lt;&gt;"",10000,0)+(IF(Atletas!B407="Feminino",1000,IF(Atletas!B407="Masculino",2000,""))+(IF(Atletas!M407="Ditangquan A",201,IF(Atletas!M407="Houquan A",202,IF(Atletas!M407="Zuiquan A",203,IF(Atletas!M407="Ditangquan B",204,IF(Atletas!M407="Houquan B",205,IF(Atletas!M407="Zuiquan B",206,IF(Atletas!M407="Ditangquan C",207,IF(Atletas!M407="Houquan C",208,IF(Atletas!M407="Zuiquan C",209,IF(Atletas!M407="Ditangquan D",210,IF(Atletas!M407="Houquan D",211,IF(Atletas!M407="Zuiquan D",212,IF(Atletas!M407="Ditangquan E",213,IF(Atletas!M407="Houquan E",214,IF(Atletas!M407="Zuiquan E",215,IF(Atletas!M407="Ditangquan F",216,IF(Atletas!M407="Houquan F",217,IF(Atletas!M407="Zuiquan F",218,"")))))))))))))))))))))</f>
        <v/>
      </c>
      <c r="BO411" s="52" t="str">
        <f>IF(Atletas!N407="","",IF(Atletas!W407&lt;&gt;"",10000,0)+IF(Atletas!B407="Feminino",1000,IF(Atletas!B407="Masculino",2000,""))+IF(Atletas!N407="Yang A",301,IF(Atletas!N407="Chen A",30,IF(Atletas!N407="Sun A",303,IF(Atletas!N407="Wu A",304,IF(Atletas!N407="Wu-Hao A",305,IF(Atletas!N407="Outro Taijiquan A",306,IF(Atletas!N407="Yang B",307,IF(Atletas!N407="Chen B",308,IF(Atletas!N407="Sun B",309,IF(Atletas!N407="Wu B",310,IF(Atletas!N407="Wu-Hao B",311,IF(Atletas!N407="Outro Taijiquan B",312,IF(Atletas!N407="Yang C",313,IF(Atletas!N407="Chen C",314,IF(Atletas!N407="Sun C",315,IF(Atletas!N407="Wu C",316,IF(Atletas!N407="Wu-Hao C",317,IF(Atletas!N407="Outro Taijiquan C",318,IF(Atletas!N407="Yang D",319,IF(Atletas!N407="Chen D",320,IF(Atletas!N407="Sun D",321,IF(Atletas!N407="Wu D",322,IF(Atletas!N407="Wu-Hao D",323,IF(Atletas!N407="Outro Taijiquan D",324,IF(Atletas!N407="Yang E",325,IF(Atletas!N407="Chen E",326,IF(Atletas!N407="Sun E",327,IF(Atletas!N407="Wu E",328,IF(Atletas!N407="Wu-Hao E",329,IF(Atletas!N407="Outro Taijiquan E",330,IF(Atletas!N407="Yang F",331,IF(Atletas!N407="Chen F",332,IF(Atletas!N407="Sun F",333,IF(Atletas!N407="Wu F",334,IF(Atletas!N407="Wu-Hao F",335,IF(Atletas!N407="Outro Taijiquan F",336,"")))))))))))))))))))))))))))))))))))))</f>
        <v/>
      </c>
      <c r="BP411" s="52" t="str">
        <f>IF(Atletas!O407="","",IF(Atletas!W407&lt;&gt;"",10000,0)+IF(Atletas!B407="Feminino",1000,IF(Atletas!B407="Masculino",2000,""))+IF(OR(Atletas!O407="Yang 26 A",Atletas!O407="Yang 40 A"),401,IF(OR(Atletas!O407="Chen 25 A",Atletas!O407="Chen 36 A",Atletas!O407="Chen 56 A"),402,IF(Atletas!O407="Sun 73 A",403,IF(Atletas!O407="Wu 45 A",404,IF(Atletas!O407="Wu-Hao 46 A",405,IF(OR(Atletas!O407="Taijiquan 16 A",Atletas!O407="Taijiquan 24 A",Atletas!O407="Taijiquan 32 A",Atletas!O407="Taijiquan 42 A"),406,IF(OR(Atletas!O407="Yang 26 B",Atletas!O407="Yang 40 B"),407,IF(OR(Atletas!O407="Chen 25 B",Atletas!O407="Chen 36 B",Atletas!O407="Chen 56 B"),408,IF(Atletas!O407="Sun 73 B",409,IF(Atletas!O407="Wu 45 B",410,IF(Atletas!O407="Wu-Hao 46 B",411,IF(OR(Atletas!O407="Taijiquan 16 B",Atletas!O407="Taijiquan 24 B",Atletas!O407="Taijiquan 32 B",Atletas!O407="Taijiquan 42 B"),412,IF(OR(Atletas!O407="Yang 26 C",Atletas!O407="Yang 40 C"),413,IF(OR(Atletas!O407="Chen 25 C",Atletas!O407="Chen 36 C",Atletas!O407="Chen 56 C"),414,IF(Atletas!O407="Sun 73 C",415,IF(Atletas!O407="Wu 45 C",416,IF(Atletas!O407="Wu-Hao 46 C",417,IF(OR(Atletas!O407="Taijiquan 16 C",Atletas!O407="Taijiquan 24 C",Atletas!O407="Taijiquan 32 C",Atletas!O407="Taijiquan 42 C"),418,0)))))))))))))))))))</f>
        <v/>
      </c>
      <c r="BQ411" s="52" t="str">
        <f>IF(Atletas!O407="","",IF(Atletas!W407&lt;&gt;"",10000,0)+IF(Atletas!B407="Feminino",1000,IF(Atletas!B407="Masculino",2000,""))+IF(OR(Atletas!O407="Yang 26 D",Atletas!O407="Yang 40 D"),419,IF(OR(Atletas!O407="Chen 25 D",Atletas!O407="Chen 36 D",Atletas!O407="Chen 56 D"),420,IF(Atletas!O407="Sun 73 D",421,IF(Atletas!O407="Wu 45 D",422,IF(Atletas!O407="Wu-Hao 46 D",423,IF(OR(Atletas!O407="Taijiquan 16 D",Atletas!O407="Taijiquan 24 D",Atletas!O407="Taijiquan 32 D",Atletas!O407="Taijiquan 42 D"),424,IF(OR(Atletas!O407="Yang 26 E",Atletas!O407="Yang 40 E"),425,IF(OR(Atletas!O407="Chen 25 E",Atletas!O407="Chen 36 E",Atletas!O407="Chen 56 E"),426,IF(Atletas!O407="Sun 73 E",427,IF(Atletas!O407="Wu 45 E",428,IF(Atletas!O407="Wu-Hao 46 E",429,IF(OR(Atletas!O407="Taijiquan 16 E",Atletas!O407="Taijiquan 24 E",Atletas!O407="Taijiquan 32 E",Atletas!O407="Taijiquan 42 E"),430,IF(OR(Atletas!O407="Yang 26 F",Atletas!O407="Yang 40 F"),431,IF(OR(Atletas!O407="Chen 25 F",Atletas!O407="Chen 36 F",Atletas!O407="Chen 56 F"),432,IF(Atletas!O407="Sun 73 F",433,IF(Atletas!O407="Wu 45 F",434,IF(Atletas!O407="Wu-Hao 46 F",435,IF(OR(Atletas!O407="Taijiquan 16 F",Atletas!O407="Taijiquan 24 F",Atletas!O407="Taijiquan 32 F",Atletas!O407="Taijiquan 42 F"),436,0)))))))))))))))))))</f>
        <v/>
      </c>
      <c r="BR411" s="52" t="str">
        <f>IF(Atletas!P407="","",IF(Atletas!W407&lt;&gt;"",10000,0)+IF(Atletas!B407="Feminino",1000,IF(Atletas!B407="Masculino",2000,""))+IF(Atletas!P407="Xingyiquan A",501,IF(Atletas!P407="Baguazhang A",502,IF(Atletas!P407="Outro Estilo Interno A",503,IF(Atletas!P407="Xingyiquan B",504,IF(Atletas!P407="Baguazhang B",505,IF(Atletas!P407="Outro Estilo Interno B",506,IF(Atletas!P407="Xingyiquan C",507,IF(Atletas!P407="Baguazhang C",508,IF(Atletas!P407="Outro Estilo Interno C",509,IF(Atletas!P407="Xingyiquan D",510,IF(Atletas!P407="Baguazhang D",511,IF(Atletas!P407="Outro Estilo Interno D",512,IF(Atletas!P407="Xingyiquan E",513,IF(Atletas!P407="Baguazhang E",514,IF(Atletas!P407="Outro Estilo Interno E",515,IF(Atletas!P407="Xingyiquan F",516,IF(Atletas!P407="Baguazhang F",517,IF(Atletas!P407="Outro Estilo Interno F",518, "")))))))))))))))))))</f>
        <v/>
      </c>
      <c r="BS411" s="52" t="str">
        <f>IF(Atletas!Q407="","",IF(Atletas!W407&lt;&gt;"",10000,0)+IF(Atletas!B407="Feminino",1000,IF(Atletas!B407="Masculino",2000,""))+IF(Atletas!Q407="Dao A",601,IF(Atletas!Q407="Jian A",602,IF(Atletas!Q407="Bishou A",603,IF(Atletas!Q407="Shan A",604,IF(Atletas!Q407="Outra Arma Curta A",605,IF(Atletas!Q407="Dao B",606,IF(Atletas!Q407="Jian B",607,IF(Atletas!Q407="Bishou B",608,IF(Atletas!Q407="Shan B",609,IF(Atletas!Q407="Outra Arma Curta B",610,IF(Atletas!Q407="Dao C",611,IF(Atletas!Q407="Jian C",612,IF(Atletas!Q407="Bishou C",613,IF(Atletas!Q407="Shan C",614,IF(Atletas!Q407="Outra Arma Curta C",615,IF(Atletas!Q407="Dao D",616,IF(Atletas!Q407="Jian D",617,IF(Atletas!Q407="Bishou D",618,IF(Atletas!Q407="Shan D",619,IF(Atletas!Q407="Outra Arma Curta D",620,IF(Atletas!Q407="Dao E",621,IF(Atletas!Q407="Jian E",622,IF(Atletas!Q407="Bishou E",623,IF(Atletas!Q407="Shan E",624,IF(Atletas!Q407="Outra Arma Curta E",625,IF(Atletas!Q407="Dao F",626,IF(Atletas!Q407="Jian F",627,IF(Atletas!Q407="Bishou F",628,IF(Atletas!Q407="Shan F",629,IF(Atletas!Q407="Outra Arma Curta F",630, "")))))))))))))))))))))))))))))))</f>
        <v/>
      </c>
      <c r="BT411" s="52" t="str">
        <f>IF(Atletas!R407="","",IF(Atletas!W407&lt;&gt;"",10000,0)+IF(Atletas!B407="Feminino",1000,IF(Atletas!B407="Masculino",2000,""))+IF(Atletas!R407="Gun A",701,IF(Atletas!R407="Qiang A",702,IF(Atletas!R407="Pudao / Guandao A",703,IF(Atletas!R407="Outra Arma Longa A",704,IF(Atletas!R407="Gun B",705,IF(Atletas!R407="Qiang B",706,IF(Atletas!R407="Pudao / Guandao B",707,IF(Atletas!R407="Outra Arma Longa B",708,IF(Atletas!R407="Gun C",709,IF(Atletas!R407="Qiang C",710,IF(Atletas!R407="Pudao / Guandao C",711,IF(Atletas!R407="Outra Arma Longa C",712,IF(Atletas!R407="Gun D",713,IF(Atletas!R407="Qiang D",714,IF(Atletas!R407="Pudao / Guandao D",715,IF(Atletas!R407="Outra Arma Longa D",716,IF(Atletas!R407="Gun E",717,IF(Atletas!R407="Qiang E",718,IF(Atletas!R407="Pudao / Guandao E",719,IF(Atletas!R407="Outra Arma Longa E",720,IF(Atletas!R407="Gun F",721,IF(Atletas!R407="Qiang F",722,IF(Atletas!R407="Pudao / Guandao F",723,IF(Atletas!R407="Outra Arma Longa F",724,"")))))))))))))))))))))))))</f>
        <v/>
      </c>
      <c r="BU411" s="52" t="str">
        <f>IF(Atletas!S407="","",IF(Atletas!W407&lt;&gt;"",10000,0)+IF(Atletas!B407="Feminino",1000,IF(Atletas!B407="Masculino",2000,""))+IF(Atletas!S407="Arma Dupla A",801,IF(Atletas!S407="Arma Maleável A",802,IF(Atletas!S407="Arma Dupla B",803,IF(Atletas!S407="Arma Maleável B",804,IF(Atletas!S407="Arma Dupla C",805,IF(Atletas!S407="Arma Maleável C",806,IF(Atletas!S407="Arma Dupla D",807,IF(Atletas!S407="Arma Maleável D",808,IF(Atletas!S407="Arma Dupla E",809,IF(Atletas!S407="Arma Maleável E",810,IF(Atletas!S407="Arma Dupla F",811,IF(Atletas!S407="Arma Maleável F",812, "")))))))))))))</f>
        <v/>
      </c>
      <c r="BV411" s="52" t="str">
        <f>IF(Atletas!T407="","",IF(Atletas!W407&lt;&gt;"",10000,0)+IF(Atletas!B407="Feminino",1000,IF(Atletas!B407="Masculino",2000,""))+IF(Atletas!T407="Taijijian Yang A",901,IF(Atletas!T407="Taijijian Chen A",902,IF(Atletas!T407="Taijijian Sun A",903,IF(Atletas!T407="Taijijian Wu A",904,IF(Atletas!T407="Taijijian Wu-Hao A",905,IF(Atletas!T407="Taijijian 32 A",906,IF(Atletas!T407="Taijijian 42 A",907,IF(Atletas!T407="Taijijian Yang B",908,IF(Atletas!T407="Taijijian Chen B",909,IF(Atletas!T407="Taijijian Sun B",910,IF(Atletas!T407="Taijijian Wu B",911,IF(Atletas!T407="Taijijian Wu-Hao B",912,IF(Atletas!T407="Taijijian 32 B",913,IF(Atletas!T407="Taijijian 42 B",914,IF(Atletas!T407="Taijijian Yang C",915,IF(Atletas!T407="Taijijian Chen C",916,IF(Atletas!T407="Taijijian Sun C",917,IF(Atletas!T407="Taijijian Wu C",918,IF(Atletas!T407="Taijijian Wu-Hao C",919,IF(Atletas!T407="Taijijian 32 C",920,IF(Atletas!T407="Taijijian 42 C",921,IF(Atletas!T407="Taijijian Yang D",922,IF(Atletas!T407="Taijijian Chen D",923,IF(Atletas!T407="Taijijian Sun D",924,IF(Atletas!T407="Taijijian Wu D",925,IF(Atletas!T407="Taijijian Wu-Hao D",926,IF(Atletas!T407="Taijijian 32 D",927,IF(Atletas!T407="Taijijian 42 D",928,IF(Atletas!T407="Taijijian Yang E",929,IF(Atletas!T407="Taijijian Chen E",930,IF(Atletas!T407="Taijijian Sun E",931,IF(Atletas!T407="Taijijian Wu E",932,IF(Atletas!T407="Taijijian Wu-Hao E",933,IF(Atletas!T407="Taijijian 32 E",934,IF(Atletas!T407="Taijijian 42 E",935,IF(Atletas!T407="Taijijian Yang F",936,IF(Atletas!T407="Taijijian Chen F",937,IF(Atletas!T407="Taijijian Sun F",938,IF(Atletas!T407="Taijijian Wu F",939,IF(Atletas!T407="Taijijian Wu-Hao F",940,IF(Atletas!T407="Taijijian 32 F",941,IF(Atletas!T407="Taijijian 42 F",942,"")))))))))))))))))))))))))))))))))))))))))))</f>
        <v/>
      </c>
      <c r="BW411" s="52" t="str">
        <f>IF(Atletas!U407="","",IF(Atletas!W407&lt;&gt;"",10000,0)+IF(Atletas!B407="Feminino",1000,IF(Atletas!B407="Masculino",2000,""))+IF(Atletas!T407="Taijijian 42 F",942,IF(Atletas!U407="Taijidao A",943,IF(Atletas!U407="Taijishan A",944,IF(Atletas!U407="Taijiqiang A",945,IF(Atletas!U407="Taijidao B",946,IF(Atletas!U407="Taijishan B",947,IF(Atletas!U407="Taijiqiang B",948,IF(Atletas!U407="Taijidao C",949,IF(Atletas!U407="Taijishan C",950,IF(Atletas!U407="Taijiqiang C",951,IF(Atletas!U407="Taijidao D",952,IF(Atletas!U407="Taijishan D",953,IF(Atletas!U407="Taijiqiang D",954,IF(Atletas!U407="Taijidao E",955,IF(Atletas!U407="Taijishan E",956,IF(Atletas!U407="Taijiqiang E",957,IF(Atletas!U407="Taijidao F",958,IF(Atletas!U407="Taijishan F",959,IF(Atletas!U407="Taijiqiang F",960))))))))))))))))))))</f>
        <v/>
      </c>
      <c r="CF411" s="52" t="str">
        <f xml:space="preserve"> IF(Atletas!V407="","",IF(Atletas!V407="Duilian de Mãos AB - Equipe 1",1,IF(Atletas!V407="Duilian de Mãos AB - Equipe 2",2,IF(Atletas!V407="Duilian de Armas AB - Equipe 1",3,IF(Atletas!V407="Duilian de Armas AB - Equipe 2",4,IF(Atletas!V407="Duilian de Tuishou - Equipe 1",5,IF(Atletas!V407="Duilian de Tuishou - Equipe 2",6,IF(Atletas!V407="Grupo Externo AB - Equipe 1",7,IF(Atletas!V407="Grupo Externo AB - Equipe 2",8,IF(Atletas!V407="Grupo Interno AB - Equipe 1",9,IF(Atletas!V407="Grupo Interno AB - Equipe 2",10,IF(Atletas!V407="Duilian de Mãos CD - Equipe 1",11,IF(Atletas!V407="Duilian de Mãos CD - Equipe 2",12,IF(Atletas!V407="Duilian de Armas CD - Equipe 1",13,IF(Atletas!V407="Duilian de Armas CD - Equipe 2",14,IF(Atletas!V407="Duilian de Tuishou - Equipe 1",15,IF(Atletas!V407="Duilian de Tuishou - Equipe 2",16,IF(Atletas!V407="Grupo Externo CDEF - Equipe 1",17,IF(Atletas!V407="Grupo Externo CDEF - Equipe 2",18,IF(Atletas!V407="Grupo Interno CDEF - Equipe 1",19,IF(Atletas!V407="Grupo Interno CDEF - Equipe 2",20,IF(Atletas!V407="Duilian de Mãos EF - Equipe 1",21,IF(Atletas!V407="Duilian de Mãos EF - Equipe 2",22,IF(Atletas!V407="Duilian de Armas EF - Equipe 1",23,IF(Atletas!V407="Duilian de Armas EF - Equipe 2",24,IF(Atletas!V407="Duilian de Tuishou - Equipe 1",25,IF(Atletas!V407="Duilian de Tuishou - Equipe 2",26,"")))))))))))))))))))))))))))</f>
        <v/>
      </c>
    </row>
    <row r="412" spans="36:84">
      <c r="AJ412" s="46" t="str">
        <f>IF(Atletas!D408="","",IF(Atletas!B408="Feminino",100,IF(Atletas!B408="Masculino",200,""))+(IF(Atletas!D408="Infantil 39kg",1,IF(Atletas!D408="Infantil 42kg",2,IF(Atletas!D408="Infantil 45kg",3,IF(Atletas!D408="Infantil 48kg",4,IF(Atletas!D408="Infantil 52kg",5,IF(Atletas!D408="Infantil 56kg",6,IF(Atletas!D408="Infantil 60kg",7,IF(Atletas!D408="Juvenil 48kg",8,IF(Atletas!D408="Juvenil 52kg",9,IF(Atletas!D408="Juvenil 56kg",10,IF(Atletas!D408="Juvenil 60kg",11,IF(Atletas!D408="Juvenil 65kg",12,IF(Atletas!D408="Juvenil 70kg",13,IF(Atletas!D408="Juvenil 75kg",14,IF(Atletas!D408="Juvenil 80kg",15,IF(Atletas!D408="Adulto 48kg",16,IF(Atletas!D408="Adulto 52kg",17,IF(Atletas!D408="Adulto 56kg",18,IF(Atletas!D408="Adulto 60kg",19,IF(Atletas!D408="Adulto 65kg",20,IF(Atletas!D408="Adulto 70kg",21,IF(Atletas!D408="Adulto 75kg",22,IF(Atletas!D408="Adulto 80kg",23,IF(Atletas!D408="Adulto 85kg",24,IF(Atletas!D408="Adulto 90kg",25,IF(Atletas!D408="Adulto +90kg",26,""))))))))))))))))))))))))))))</f>
        <v/>
      </c>
      <c r="AO412" s="10" t="str">
        <f>IF(Atletas!E408="","",IF(Atletas!B408="Feminino",100,IF(Atletas!B408="Masculino",200,""))+(IF(Atletas!E408="Juvenil 44kg",1,IF(Atletas!E408="Juvenil 48kg",2,IF(Atletas!E408="Juvenil 52kg",3,IF(Atletas!E408="Juvenil 56kg",4,IF(Atletas!E408="Juvenil 60kg",5,IF(Atletas!E408="Juvenil 65kg",6,IF(Atletas!E408="Juvenil 70kg",7,IF(Atletas!E408="Juvenil 75kg",8,IF(Atletas!E408="Juvenil 82kg",9,IF(Atletas!E408="Juvenil 90kg",10,IF(Atletas!E408="Juvenil 100kg",11,IF(Atletas!E408="Adulto 48kg",12,IF(Atletas!E408="Adulto 52kg",13,IF(Atletas!E408="Adulto 56kg",14,IF(Atletas!E408="Adulto 60kg",15,IF(Atletas!E408="Adulto 65kg",16,IF(Atletas!E408="Adulto 70kg",17,IF(Atletas!E408="Adulto 75kg",18,IF(Atletas!E408="Adulto 82kg",19,IF(Atletas!E408="Adulto 90kg",20,IF(Atletas!E408="Adulto 100kg",21,IF(Atletas!E408="Adulto +100kg",22,""))))))))))))))))))))))))</f>
        <v/>
      </c>
      <c r="AT412" s="10" t="str">
        <f>IF(Atletas!F408="","",IF(Atletas!B408="Feminino",100,IF(Atletas!B408="Masculino",200,""))+(IF(Atletas!F408="Adulto 48kg",1,IF(Atletas!F408="Adulto 56kg",2,IF(Atletas!F408="Adulto 65kg",3,IF(Atletas!F408="Adulto 75kg",4,IF(Atletas!F408="Adulto +75kg",5,IF(Atletas!F408="Adulto 52kg",6,IF(Atletas!F408="Adulto 60kg",7,IF(Atletas!F408="Adulto 70kg",8,IF(Atletas!F408="Adulto 80kg",9,IF(Atletas!F408="Adulto 90kg",10,IF(Atletas!F408="Adulto +90kg",11,"")))))))))))))</f>
        <v/>
      </c>
      <c r="AY412" s="46" t="str">
        <f>IF(Atletas!G408="","",IF(Atletas!B408="Feminino",100,IF(Atletas!B408="Masculino",200,""))+(IF(Atletas!G408="Changquan Mirim",1,IF(Atletas!G408="Nanquan Mirim",2,IF(Atletas!G408="Taijiquan Mirim",3,IF(Atletas!G408="Changquan Grupo C",4,IF(Atletas!G408="Nanquan Grupo C",5,IF(Atletas!G408="Taijiquan Grupo C",6,IF(Atletas!G408="Changquan Grupo B",7,IF(Atletas!G408="Nanquan Grupo B",8,IF(Atletas!G408="Taijiquan Grupo B",9,IF(Atletas!G408="Changquan Grupo A",10,IF(Atletas!G408="Nanquan Grupo A",11,IF(Atletas!G408="Taijiquan Grupo A",12,IF(Atletas!G408="Changquan Opcional",13,IF(Atletas!G408="Nanquan Opcional",14,IF(Atletas!G408="Taijiquan Opcional",15,IF(Atletas!G408="Changquan Adulto",16,IF(Atletas!G408="Nanquan Adulto",17,IF(Atletas!G408="Taijiquan Adulto",18,""))))))))))))))))))))</f>
        <v/>
      </c>
      <c r="AZ412" s="46" t="str">
        <f>IF(Atletas!H408="","",IF(Atletas!B408="Feminino",100,IF(Atletas!B408="Masculino",200,""))+(IF(Atletas!H408="Daoshu Mirim",19,IF(Atletas!H408="Jianshu Mirim",20,IF(Atletas!H408="Nandao Mirim",21,IF(Atletas!H408="Taijijian Mirim",22,IF(Atletas!H408="Daoshu Grupo C",23,IF(Atletas!H408="Jianshu Grupo C",24,IF(Atletas!H408="Nandao Grupo C",25,IF(Atletas!H408="Taijijian Grupo C",26,IF(Atletas!H408="Daoshu Grupo B",27,IF(Atletas!H408="Jianshu Grupo B",28,IF(Atletas!H408="Nandao Grupo B",29,IF(Atletas!H408="Taijijian Grupo B",30,IF(Atletas!H408="Daoshu Grupo A",31,IF(Atletas!H408="Jianshu Grupo A",32,IF(Atletas!H408="Nandao Grupo A",33,IF(Atletas!H408="Taijijian Grupo A",34,IF(Atletas!H408="Daoshu Opcional",35,IF(Atletas!H408="Jianshu Opcional",36,IF(Atletas!H408="Nandao Opcional",37,IF(Atletas!H408="Taijijian Opcional",38,IF(Atletas!H408="Daoshu Adulto",39,IF(Atletas!H408="Jianshu Adulto",40,IF(Atletas!H408="Nandao Adulto",41,IF(Atletas!H408="Taijijian Adulto",42,""))))))))))))))))))))))))))</f>
        <v/>
      </c>
      <c r="BA412" s="46" t="str">
        <f>IF(Atletas!I408="","",IF(Atletas!B408="Feminino",100,IF(Atletas!B408="Masculino",200,""))+(IF(Atletas!I408="Gunshu Mirim",43,IF(Atletas!I408="Qiangshu Mirim",44,IF(Atletas!I408="Nangun Mirim",45,IF(Atletas!I408="Gunshu Grupo C",46,IF(Atletas!I408="Qiangshu Grupo C",47,IF(Atletas!I408="Nangun Grupo C",48,IF(Atletas!I408="Gunshu Grupo B",49,IF(Atletas!I408="Qiangshu Grupo B",50,IF(Atletas!I408="Nangun Grupo B",51,IF(Atletas!I408="Gunshu Grupo A",52,IF(Atletas!I408="Qiangshu Grupo A",53,IF(Atletas!I408="Nangun Grupo A",54,IF(Atletas!I408="Gunshu Opcional",55,IF(Atletas!I408="Qiangshu Opcional",56,IF(Atletas!I408="Nangun Opcional",57,IF(Atletas!I408="Gunshu Adulto",58,IF(Atletas!I408="Qiangshu Adulto",59,IF(Atletas!I408="Nangun Adulto",60,""))))))))))))))))))))</f>
        <v/>
      </c>
      <c r="BF412" s="52" t="str">
        <f>IF(Atletas!J408="","",IF(Atletas!B408="Feminino",100,IF(Atletas!B408="Masculino",200,""))+(IF(Atletas!J408="Equipe 1 Grupo B",1,IF(Atletas!J408="Equipe 2 Grupo B",2,IF(Atletas!J408="Equipe 1 Grupo A",3,IF(Atletas!J408="Equipe 2 Grupo A",4,IF(Atletas!J408="Equipe 1 Adulto",5,IF(Atletas!J408="Equipe 2 Adulto",6,""))))))))</f>
        <v/>
      </c>
      <c r="BK412" s="52" t="str">
        <f>IF(Atletas!K408="","",IF(Atletas!W408&lt;&gt;"",10000,0)+(IF(Atletas!B408="Feminino",1000,IF(Atletas!B408="Masculino",2000,""))+IF(Atletas!K408="Choylayfut A",1,IF(Atletas!K408="Hunggar A",2,IF(Atletas!K408="Wuzuquan A",3,IF(Atletas!K408="Wingchun A",4,IF(Atletas!K408="Outra Mão de Sul A",5,IF(Atletas!K408="Choylayfut B",6,IF(Atletas!K408="Hunggar B",7,IF(Atletas!K408="Wuzuquan B",8,IF(Atletas!K408="Wingchun B",9,IF(Atletas!K408="Outra Mão de Sul B",10,IF(Atletas!K408="Choylayfut C",11,IF(Atletas!K408="Hunggar C",12,IF(Atletas!K408="Wuzuquan C",13,IF(Atletas!K408="Wingchun C",14,IF(Atletas!K408="Outra Mão de Sul C",15,IF(Atletas!K408="Choylayfut D",16,IF(Atletas!K408="Hunggar D",17,IF(Atletas!K408="Wuzuquan D",18,IF(Atletas!K408="Wingchun D",19,IF(Atletas!K408="Outra Mão de Sul D",20,IF(Atletas!K408="Choylayfut E",21,IF(Atletas!K408="Hunggar E",22,IF(Atletas!K408="Wuzuquan E",23,IF(Atletas!K408="Wingchun E",24,IF(Atletas!K408="Outra Mão de Sul E",25,IF(Atletas!K408="Choylayfut F",26,IF(Atletas!K408="Hunggar F",27,IF(Atletas!K408="Wuzuquan F",28,IF(Atletas!K408="Wingchun F",29,IF(Atletas!K408="Outra Mão de Sul F",30,""))))))))))))))))))))))))))))))))</f>
        <v/>
      </c>
      <c r="BL412" s="52" t="str">
        <f>IF(Atletas!L408="","",IF(Atletas!W408&lt;&gt;"",10000,0)+(IF(Atletas!B408="Feminino",1000,IF(Atletas!B408="Masculino",2000,""))+(IF(Atletas!L408="Chaquan A",101,IF(Atletas!L408="Emeiquan A",102,IF(Atletas!L408="Fanziquan A",103,IF(Atletas!L408="Huaquan A",104,IF(Atletas!L408="Hongquan A",105,IF(Atletas!L408="Paochui A",106,IF(Atletas!L408="Piguaquan A",107,IF(Atletas!L408="Shaolinquan A",108,IF(Atletas!L408="Tanglangquan A",109,IF(Atletas!L408="Yinzhaophai A",110,IF(Atletas!L408="Tongbeiquan A",111,IF(Atletas!L408="Wudangquan A",112,IF(Atletas!L408="Outros Estilos A",113,IF(Atletas!L408="Chaquan B",114,IF(Atletas!L408="Emeiquan B",115,IF(Atletas!L408="Fanziquan B",116,IF(Atletas!L408="Huaquan B",117,IF(Atletas!L408="Hongquan B",118,IF(Atletas!L408="Paochui B",119,IF(Atletas!L408="Piguaquan B",120,IF(Atletas!L408="Shaolinquan B",121,IF(Atletas!L408="Tanglangquan B",122,IF(Atletas!L408="Yinzhaophai B",123,IF(Atletas!L408="Tongbeiquan B",124,IF(Atletas!L408="Wudangquan B",125,IF(Atletas!L408="Outros Estilos B",126,IF(Atletas!L408="Chaquan C",127,IF(Atletas!L408="Emeiquan C",128,IF(Atletas!L408="Fanziquan C",129,IF(Atletas!L408="Huaquan C",130,IF(Atletas!L408="Hongquan C",131,IF(Atletas!L408="Paochui C",132,IF(Atletas!L408="Piguaquan C",133,IF(Atletas!L408="Shaolinquan C",134,IF(Atletas!L408="Tanglangquan C",135,IF(Atletas!L408="Yinzhaophai C",136,IF(Atletas!L408="Tongbeiquan C",137,IF(Atletas!L408="Wudangquan C",138,IF(Atletas!L408="Outros Estilos C",139,0))))))))))))))))))))))))))))))))))))))))))</f>
        <v/>
      </c>
      <c r="BM412" s="52" t="str">
        <f>IF(Atletas!L408="","",IF(Atletas!W408&lt;&gt;"",10000,0)+(IF(Atletas!B408="Feminino",1000,IF(Atletas!B408="Masculino",2000,""))+(IF(Atletas!L408="Chaquan D",140,IF(Atletas!L408="Emeiquan D",141,IF(Atletas!L408="Fanziquan D",142,IF(Atletas!L408="Huaquan D",143,IF(Atletas!L408="Hongquan D",144,IF(Atletas!L408="Paochui D",145,IF(Atletas!L408="Piguaquan D",146,IF(Atletas!L408="Shaolinquan D",147,IF(Atletas!L408="Tanglangquan D",148,IF(Atletas!L408="Yinzhaophai D",149,IF(Atletas!L408="Tongbeiquan D",150,IF(Atletas!L408="Wudangquan D",151,IF(Atletas!L408="Outros Estilos D",152,IF(Atletas!L408="Chaquan E",153,IF(Atletas!L408="Emeiquan E",154,IF(Atletas!L408="Fanziquan E",155,IF(Atletas!L408="Huaquan E",156,IF(Atletas!L408="Hongquan E",157,IF(Atletas!L408="Paochui E",158,IF(Atletas!L408="Piguaquan E",159,IF(Atletas!L408="Shaolinquan E",160,IF(Atletas!L408="Tanglangquan E",161,IF(Atletas!L408="Yinzhaophai E",162,IF(Atletas!L408="Tongbeiquan E",163,IF(Atletas!L408="Wudangquan E",164,IF(Atletas!L408="Outros Estilos E",165,IF(Atletas!L408="Chaquan F",166,IF(Atletas!L408="Emeiquan F",167,IF(Atletas!L408="Fanziquan F",168,IF(Atletas!L408="Huaquan F",169,IF(Atletas!L408="Hongquan F",170,IF(Atletas!L408="Paochui F",171,IF(Atletas!L408="Piguaquan F",172,IF(Atletas!L408="Shaolinquan F",173,IF(Atletas!L408="Tanglangquan F",174,IF(Atletas!L408="Yinzhaophai F",175,IF(Atletas!L408="Tongbeiquan F",176,IF(Atletas!L408="Wudangquan F",177,IF(Atletas!L408="Outros Estilos F",178,0))))))))))))))))))))))))))))))))))))))))))</f>
        <v/>
      </c>
      <c r="BN412" s="52" t="str">
        <f>IF(Atletas!M408="","",IF(Atletas!W408&lt;&gt;"",10000,0)+(IF(Atletas!B408="Feminino",1000,IF(Atletas!B408="Masculino",2000,""))+(IF(Atletas!M408="Ditangquan A",201,IF(Atletas!M408="Houquan A",202,IF(Atletas!M408="Zuiquan A",203,IF(Atletas!M408="Ditangquan B",204,IF(Atletas!M408="Houquan B",205,IF(Atletas!M408="Zuiquan B",206,IF(Atletas!M408="Ditangquan C",207,IF(Atletas!M408="Houquan C",208,IF(Atletas!M408="Zuiquan C",209,IF(Atletas!M408="Ditangquan D",210,IF(Atletas!M408="Houquan D",211,IF(Atletas!M408="Zuiquan D",212,IF(Atletas!M408="Ditangquan E",213,IF(Atletas!M408="Houquan E",214,IF(Atletas!M408="Zuiquan E",215,IF(Atletas!M408="Ditangquan F",216,IF(Atletas!M408="Houquan F",217,IF(Atletas!M408="Zuiquan F",218,"")))))))))))))))))))))</f>
        <v/>
      </c>
      <c r="BO412" s="52" t="str">
        <f>IF(Atletas!N408="","",IF(Atletas!W408&lt;&gt;"",10000,0)+IF(Atletas!B408="Feminino",1000,IF(Atletas!B408="Masculino",2000,""))+IF(Atletas!N408="Yang A",301,IF(Atletas!N408="Chen A",30,IF(Atletas!N408="Sun A",303,IF(Atletas!N408="Wu A",304,IF(Atletas!N408="Wu-Hao A",305,IF(Atletas!N408="Outro Taijiquan A",306,IF(Atletas!N408="Yang B",307,IF(Atletas!N408="Chen B",308,IF(Atletas!N408="Sun B",309,IF(Atletas!N408="Wu B",310,IF(Atletas!N408="Wu-Hao B",311,IF(Atletas!N408="Outro Taijiquan B",312,IF(Atletas!N408="Yang C",313,IF(Atletas!N408="Chen C",314,IF(Atletas!N408="Sun C",315,IF(Atletas!N408="Wu C",316,IF(Atletas!N408="Wu-Hao C",317,IF(Atletas!N408="Outro Taijiquan C",318,IF(Atletas!N408="Yang D",319,IF(Atletas!N408="Chen D",320,IF(Atletas!N408="Sun D",321,IF(Atletas!N408="Wu D",322,IF(Atletas!N408="Wu-Hao D",323,IF(Atletas!N408="Outro Taijiquan D",324,IF(Atletas!N408="Yang E",325,IF(Atletas!N408="Chen E",326,IF(Atletas!N408="Sun E",327,IF(Atletas!N408="Wu E",328,IF(Atletas!N408="Wu-Hao E",329,IF(Atletas!N408="Outro Taijiquan E",330,IF(Atletas!N408="Yang F",331,IF(Atletas!N408="Chen F",332,IF(Atletas!N408="Sun F",333,IF(Atletas!N408="Wu F",334,IF(Atletas!N408="Wu-Hao F",335,IF(Atletas!N408="Outro Taijiquan F",336,"")))))))))))))))))))))))))))))))))))))</f>
        <v/>
      </c>
      <c r="BP412" s="52" t="str">
        <f>IF(Atletas!O408="","",IF(Atletas!W408&lt;&gt;"",10000,0)+IF(Atletas!B408="Feminino",1000,IF(Atletas!B408="Masculino",2000,""))+IF(OR(Atletas!O408="Yang 26 A",Atletas!O408="Yang 40 A"),401,IF(OR(Atletas!O408="Chen 25 A",Atletas!O408="Chen 36 A",Atletas!O408="Chen 56 A"),402,IF(Atletas!O408="Sun 73 A",403,IF(Atletas!O408="Wu 45 A",404,IF(Atletas!O408="Wu-Hao 46 A",405,IF(OR(Atletas!O408="Taijiquan 16 A",Atletas!O408="Taijiquan 24 A",Atletas!O408="Taijiquan 32 A",Atletas!O408="Taijiquan 42 A"),406,IF(OR(Atletas!O408="Yang 26 B",Atletas!O408="Yang 40 B"),407,IF(OR(Atletas!O408="Chen 25 B",Atletas!O408="Chen 36 B",Atletas!O408="Chen 56 B"),408,IF(Atletas!O408="Sun 73 B",409,IF(Atletas!O408="Wu 45 B",410,IF(Atletas!O408="Wu-Hao 46 B",411,IF(OR(Atletas!O408="Taijiquan 16 B",Atletas!O408="Taijiquan 24 B",Atletas!O408="Taijiquan 32 B",Atletas!O408="Taijiquan 42 B"),412,IF(OR(Atletas!O408="Yang 26 C",Atletas!O408="Yang 40 C"),413,IF(OR(Atletas!O408="Chen 25 C",Atletas!O408="Chen 36 C",Atletas!O408="Chen 56 C"),414,IF(Atletas!O408="Sun 73 C",415,IF(Atletas!O408="Wu 45 C",416,IF(Atletas!O408="Wu-Hao 46 C",417,IF(OR(Atletas!O408="Taijiquan 16 C",Atletas!O408="Taijiquan 24 C",Atletas!O408="Taijiquan 32 C",Atletas!O408="Taijiquan 42 C"),418,0)))))))))))))))))))</f>
        <v/>
      </c>
      <c r="BQ412" s="52" t="str">
        <f>IF(Atletas!O408="","",IF(Atletas!W408&lt;&gt;"",10000,0)+IF(Atletas!B408="Feminino",1000,IF(Atletas!B408="Masculino",2000,""))+IF(OR(Atletas!O408="Yang 26 D",Atletas!O408="Yang 40 D"),419,IF(OR(Atletas!O408="Chen 25 D",Atletas!O408="Chen 36 D",Atletas!O408="Chen 56 D"),420,IF(Atletas!O408="Sun 73 D",421,IF(Atletas!O408="Wu 45 D",422,IF(Atletas!O408="Wu-Hao 46 D",423,IF(OR(Atletas!O408="Taijiquan 16 D",Atletas!O408="Taijiquan 24 D",Atletas!O408="Taijiquan 32 D",Atletas!O408="Taijiquan 42 D"),424,IF(OR(Atletas!O408="Yang 26 E",Atletas!O408="Yang 40 E"),425,IF(OR(Atletas!O408="Chen 25 E",Atletas!O408="Chen 36 E",Atletas!O408="Chen 56 E"),426,IF(Atletas!O408="Sun 73 E",427,IF(Atletas!O408="Wu 45 E",428,IF(Atletas!O408="Wu-Hao 46 E",429,IF(OR(Atletas!O408="Taijiquan 16 E",Atletas!O408="Taijiquan 24 E",Atletas!O408="Taijiquan 32 E",Atletas!O408="Taijiquan 42 E"),430,IF(OR(Atletas!O408="Yang 26 F",Atletas!O408="Yang 40 F"),431,IF(OR(Atletas!O408="Chen 25 F",Atletas!O408="Chen 36 F",Atletas!O408="Chen 56 F"),432,IF(Atletas!O408="Sun 73 F",433,IF(Atletas!O408="Wu 45 F",434,IF(Atletas!O408="Wu-Hao 46 F",435,IF(OR(Atletas!O408="Taijiquan 16 F",Atletas!O408="Taijiquan 24 F",Atletas!O408="Taijiquan 32 F",Atletas!O408="Taijiquan 42 F"),436,0)))))))))))))))))))</f>
        <v/>
      </c>
      <c r="BR412" s="52" t="str">
        <f>IF(Atletas!P408="","",IF(Atletas!W408&lt;&gt;"",10000,0)+IF(Atletas!B408="Feminino",1000,IF(Atletas!B408="Masculino",2000,""))+IF(Atletas!P408="Xingyiquan A",501,IF(Atletas!P408="Baguazhang A",502,IF(Atletas!P408="Outro Estilo Interno A",503,IF(Atletas!P408="Xingyiquan B",504,IF(Atletas!P408="Baguazhang B",505,IF(Atletas!P408="Outro Estilo Interno B",506,IF(Atletas!P408="Xingyiquan C",507,IF(Atletas!P408="Baguazhang C",508,IF(Atletas!P408="Outro Estilo Interno C",509,IF(Atletas!P408="Xingyiquan D",510,IF(Atletas!P408="Baguazhang D",511,IF(Atletas!P408="Outro Estilo Interno D",512,IF(Atletas!P408="Xingyiquan E",513,IF(Atletas!P408="Baguazhang E",514,IF(Atletas!P408="Outro Estilo Interno E",515,IF(Atletas!P408="Xingyiquan F",516,IF(Atletas!P408="Baguazhang F",517,IF(Atletas!P408="Outro Estilo Interno F",518, "")))))))))))))))))))</f>
        <v/>
      </c>
      <c r="BS412" s="52" t="str">
        <f>IF(Atletas!Q408="","",IF(Atletas!W408&lt;&gt;"",10000,0)+IF(Atletas!B408="Feminino",1000,IF(Atletas!B408="Masculino",2000,""))+IF(Atletas!Q408="Dao A",601,IF(Atletas!Q408="Jian A",602,IF(Atletas!Q408="Bishou A",603,IF(Atletas!Q408="Shan A",604,IF(Atletas!Q408="Outra Arma Curta A",605,IF(Atletas!Q408="Dao B",606,IF(Atletas!Q408="Jian B",607,IF(Atletas!Q408="Bishou B",608,IF(Atletas!Q408="Shan B",609,IF(Atletas!Q408="Outra Arma Curta B",610,IF(Atletas!Q408="Dao C",611,IF(Atletas!Q408="Jian C",612,IF(Atletas!Q408="Bishou C",613,IF(Atletas!Q408="Shan C",614,IF(Atletas!Q408="Outra Arma Curta C",615,IF(Atletas!Q408="Dao D",616,IF(Atletas!Q408="Jian D",617,IF(Atletas!Q408="Bishou D",618,IF(Atletas!Q408="Shan D",619,IF(Atletas!Q408="Outra Arma Curta D",620,IF(Atletas!Q408="Dao E",621,IF(Atletas!Q408="Jian E",622,IF(Atletas!Q408="Bishou E",623,IF(Atletas!Q408="Shan E",624,IF(Atletas!Q408="Outra Arma Curta E",625,IF(Atletas!Q408="Dao F",626,IF(Atletas!Q408="Jian F",627,IF(Atletas!Q408="Bishou F",628,IF(Atletas!Q408="Shan F",629,IF(Atletas!Q408="Outra Arma Curta F",630, "")))))))))))))))))))))))))))))))</f>
        <v/>
      </c>
      <c r="BT412" s="52" t="str">
        <f>IF(Atletas!R408="","",IF(Atletas!W408&lt;&gt;"",10000,0)+IF(Atletas!B408="Feminino",1000,IF(Atletas!B408="Masculino",2000,""))+IF(Atletas!R408="Gun A",701,IF(Atletas!R408="Qiang A",702,IF(Atletas!R408="Pudao / Guandao A",703,IF(Atletas!R408="Outra Arma Longa A",704,IF(Atletas!R408="Gun B",705,IF(Atletas!R408="Qiang B",706,IF(Atletas!R408="Pudao / Guandao B",707,IF(Atletas!R408="Outra Arma Longa B",708,IF(Atletas!R408="Gun C",709,IF(Atletas!R408="Qiang C",710,IF(Atletas!R408="Pudao / Guandao C",711,IF(Atletas!R408="Outra Arma Longa C",712,IF(Atletas!R408="Gun D",713,IF(Atletas!R408="Qiang D",714,IF(Atletas!R408="Pudao / Guandao D",715,IF(Atletas!R408="Outra Arma Longa D",716,IF(Atletas!R408="Gun E",717,IF(Atletas!R408="Qiang E",718,IF(Atletas!R408="Pudao / Guandao E",719,IF(Atletas!R408="Outra Arma Longa E",720,IF(Atletas!R408="Gun F",721,IF(Atletas!R408="Qiang F",722,IF(Atletas!R408="Pudao / Guandao F",723,IF(Atletas!R408="Outra Arma Longa F",724,"")))))))))))))))))))))))))</f>
        <v/>
      </c>
      <c r="BU412" s="52" t="str">
        <f>IF(Atletas!S408="","",IF(Atletas!W408&lt;&gt;"",10000,0)+IF(Atletas!B408="Feminino",1000,IF(Atletas!B408="Masculino",2000,""))+IF(Atletas!S408="Arma Dupla A",801,IF(Atletas!S408="Arma Maleável A",802,IF(Atletas!S408="Arma Dupla B",803,IF(Atletas!S408="Arma Maleável B",804,IF(Atletas!S408="Arma Dupla C",805,IF(Atletas!S408="Arma Maleável C",806,IF(Atletas!S408="Arma Dupla D",807,IF(Atletas!S408="Arma Maleável D",808,IF(Atletas!S408="Arma Dupla E",809,IF(Atletas!S408="Arma Maleável E",810,IF(Atletas!S408="Arma Dupla F",811,IF(Atletas!S408="Arma Maleável F",812, "")))))))))))))</f>
        <v/>
      </c>
      <c r="BV412" s="52" t="str">
        <f>IF(Atletas!T408="","",IF(Atletas!W408&lt;&gt;"",10000,0)+IF(Atletas!B408="Feminino",1000,IF(Atletas!B408="Masculino",2000,""))+IF(Atletas!T408="Taijijian Yang A",901,IF(Atletas!T408="Taijijian Chen A",902,IF(Atletas!T408="Taijijian Sun A",903,IF(Atletas!T408="Taijijian Wu A",904,IF(Atletas!T408="Taijijian Wu-Hao A",905,IF(Atletas!T408="Taijijian 32 A",906,IF(Atletas!T408="Taijijian 42 A",907,IF(Atletas!T408="Taijijian Yang B",908,IF(Atletas!T408="Taijijian Chen B",909,IF(Atletas!T408="Taijijian Sun B",910,IF(Atletas!T408="Taijijian Wu B",911,IF(Atletas!T408="Taijijian Wu-Hao B",912,IF(Atletas!T408="Taijijian 32 B",913,IF(Atletas!T408="Taijijian 42 B",914,IF(Atletas!T408="Taijijian Yang C",915,IF(Atletas!T408="Taijijian Chen C",916,IF(Atletas!T408="Taijijian Sun C",917,IF(Atletas!T408="Taijijian Wu C",918,IF(Atletas!T408="Taijijian Wu-Hao C",919,IF(Atletas!T408="Taijijian 32 C",920,IF(Atletas!T408="Taijijian 42 C",921,IF(Atletas!T408="Taijijian Yang D",922,IF(Atletas!T408="Taijijian Chen D",923,IF(Atletas!T408="Taijijian Sun D",924,IF(Atletas!T408="Taijijian Wu D",925,IF(Atletas!T408="Taijijian Wu-Hao D",926,IF(Atletas!T408="Taijijian 32 D",927,IF(Atletas!T408="Taijijian 42 D",928,IF(Atletas!T408="Taijijian Yang E",929,IF(Atletas!T408="Taijijian Chen E",930,IF(Atletas!T408="Taijijian Sun E",931,IF(Atletas!T408="Taijijian Wu E",932,IF(Atletas!T408="Taijijian Wu-Hao E",933,IF(Atletas!T408="Taijijian 32 E",934,IF(Atletas!T408="Taijijian 42 E",935,IF(Atletas!T408="Taijijian Yang F",936,IF(Atletas!T408="Taijijian Chen F",937,IF(Atletas!T408="Taijijian Sun F",938,IF(Atletas!T408="Taijijian Wu F",939,IF(Atletas!T408="Taijijian Wu-Hao F",940,IF(Atletas!T408="Taijijian 32 F",941,IF(Atletas!T408="Taijijian 42 F",942,"")))))))))))))))))))))))))))))))))))))))))))</f>
        <v/>
      </c>
      <c r="BW412" s="52" t="str">
        <f>IF(Atletas!U408="","",IF(Atletas!W408&lt;&gt;"",10000,0)+IF(Atletas!B408="Feminino",1000,IF(Atletas!B408="Masculino",2000,""))+IF(Atletas!T408="Taijijian 42 F",942,IF(Atletas!U408="Taijidao A",943,IF(Atletas!U408="Taijishan A",944,IF(Atletas!U408="Taijiqiang A",945,IF(Atletas!U408="Taijidao B",946,IF(Atletas!U408="Taijishan B",947,IF(Atletas!U408="Taijiqiang B",948,IF(Atletas!U408="Taijidao C",949,IF(Atletas!U408="Taijishan C",950,IF(Atletas!U408="Taijiqiang C",951,IF(Atletas!U408="Taijidao D",952,IF(Atletas!U408="Taijishan D",953,IF(Atletas!U408="Taijiqiang D",954,IF(Atletas!U408="Taijidao E",955,IF(Atletas!U408="Taijishan E",956,IF(Atletas!U408="Taijiqiang E",957,IF(Atletas!U408="Taijidao F",958,IF(Atletas!U408="Taijishan F",959,IF(Atletas!U408="Taijiqiang F",960))))))))))))))))))))</f>
        <v/>
      </c>
      <c r="CF412" s="52" t="str">
        <f xml:space="preserve"> IF(Atletas!V408="","",IF(Atletas!V408="Duilian de Mãos AB - Equipe 1",1,IF(Atletas!V408="Duilian de Mãos AB - Equipe 2",2,IF(Atletas!V408="Duilian de Armas AB - Equipe 1",3,IF(Atletas!V408="Duilian de Armas AB - Equipe 2",4,IF(Atletas!V408="Duilian de Tuishou - Equipe 1",5,IF(Atletas!V408="Duilian de Tuishou - Equipe 2",6,IF(Atletas!V408="Grupo Externo AB - Equipe 1",7,IF(Atletas!V408="Grupo Externo AB - Equipe 2",8,IF(Atletas!V408="Grupo Interno AB - Equipe 1",9,IF(Atletas!V408="Grupo Interno AB - Equipe 2",10,IF(Atletas!V408="Duilian de Mãos CD - Equipe 1",11,IF(Atletas!V408="Duilian de Mãos CD - Equipe 2",12,IF(Atletas!V408="Duilian de Armas CD - Equipe 1",13,IF(Atletas!V408="Duilian de Armas CD - Equipe 2",14,IF(Atletas!V408="Duilian de Tuishou - Equipe 1",15,IF(Atletas!V408="Duilian de Tuishou - Equipe 2",16,IF(Atletas!V408="Grupo Externo CDEF - Equipe 1",17,IF(Atletas!V408="Grupo Externo CDEF - Equipe 2",18,IF(Atletas!V408="Grupo Interno CDEF - Equipe 1",19,IF(Atletas!V408="Grupo Interno CDEF - Equipe 2",20,IF(Atletas!V408="Duilian de Mãos EF - Equipe 1",21,IF(Atletas!V408="Duilian de Mãos EF - Equipe 2",22,IF(Atletas!V408="Duilian de Armas EF - Equipe 1",23,IF(Atletas!V408="Duilian de Armas EF - Equipe 2",24,IF(Atletas!V408="Duilian de Tuishou - Equipe 1",25,IF(Atletas!V408="Duilian de Tuishou - Equipe 2",26,"")))))))))))))))))))))))))))</f>
        <v/>
      </c>
    </row>
    <row r="413" spans="36:84">
      <c r="AJ413" s="46" t="str">
        <f>IF(Atletas!D409="","",IF(Atletas!B409="Feminino",100,IF(Atletas!B409="Masculino",200,""))+(IF(Atletas!D409="Infantil 39kg",1,IF(Atletas!D409="Infantil 42kg",2,IF(Atletas!D409="Infantil 45kg",3,IF(Atletas!D409="Infantil 48kg",4,IF(Atletas!D409="Infantil 52kg",5,IF(Atletas!D409="Infantil 56kg",6,IF(Atletas!D409="Infantil 60kg",7,IF(Atletas!D409="Juvenil 48kg",8,IF(Atletas!D409="Juvenil 52kg",9,IF(Atletas!D409="Juvenil 56kg",10,IF(Atletas!D409="Juvenil 60kg",11,IF(Atletas!D409="Juvenil 65kg",12,IF(Atletas!D409="Juvenil 70kg",13,IF(Atletas!D409="Juvenil 75kg",14,IF(Atletas!D409="Juvenil 80kg",15,IF(Atletas!D409="Adulto 48kg",16,IF(Atletas!D409="Adulto 52kg",17,IF(Atletas!D409="Adulto 56kg",18,IF(Atletas!D409="Adulto 60kg",19,IF(Atletas!D409="Adulto 65kg",20,IF(Atletas!D409="Adulto 70kg",21,IF(Atletas!D409="Adulto 75kg",22,IF(Atletas!D409="Adulto 80kg",23,IF(Atletas!D409="Adulto 85kg",24,IF(Atletas!D409="Adulto 90kg",25,IF(Atletas!D409="Adulto +90kg",26,""))))))))))))))))))))))))))))</f>
        <v/>
      </c>
      <c r="AO413" s="10" t="str">
        <f>IF(Atletas!E409="","",IF(Atletas!B409="Feminino",100,IF(Atletas!B409="Masculino",200,""))+(IF(Atletas!E409="Juvenil 44kg",1,IF(Atletas!E409="Juvenil 48kg",2,IF(Atletas!E409="Juvenil 52kg",3,IF(Atletas!E409="Juvenil 56kg",4,IF(Atletas!E409="Juvenil 60kg",5,IF(Atletas!E409="Juvenil 65kg",6,IF(Atletas!E409="Juvenil 70kg",7,IF(Atletas!E409="Juvenil 75kg",8,IF(Atletas!E409="Juvenil 82kg",9,IF(Atletas!E409="Juvenil 90kg",10,IF(Atletas!E409="Juvenil 100kg",11,IF(Atletas!E409="Adulto 48kg",12,IF(Atletas!E409="Adulto 52kg",13,IF(Atletas!E409="Adulto 56kg",14,IF(Atletas!E409="Adulto 60kg",15,IF(Atletas!E409="Adulto 65kg",16,IF(Atletas!E409="Adulto 70kg",17,IF(Atletas!E409="Adulto 75kg",18,IF(Atletas!E409="Adulto 82kg",19,IF(Atletas!E409="Adulto 90kg",20,IF(Atletas!E409="Adulto 100kg",21,IF(Atletas!E409="Adulto +100kg",22,""))))))))))))))))))))))))</f>
        <v/>
      </c>
      <c r="AT413" s="10" t="str">
        <f>IF(Atletas!F409="","",IF(Atletas!B409="Feminino",100,IF(Atletas!B409="Masculino",200,""))+(IF(Atletas!F409="Adulto 48kg",1,IF(Atletas!F409="Adulto 56kg",2,IF(Atletas!F409="Adulto 65kg",3,IF(Atletas!F409="Adulto 75kg",4,IF(Atletas!F409="Adulto +75kg",5,IF(Atletas!F409="Adulto 52kg",6,IF(Atletas!F409="Adulto 60kg",7,IF(Atletas!F409="Adulto 70kg",8,IF(Atletas!F409="Adulto 80kg",9,IF(Atletas!F409="Adulto 90kg",10,IF(Atletas!F409="Adulto +90kg",11,"")))))))))))))</f>
        <v/>
      </c>
      <c r="AY413" s="46" t="str">
        <f>IF(Atletas!G409="","",IF(Atletas!B409="Feminino",100,IF(Atletas!B409="Masculino",200,""))+(IF(Atletas!G409="Changquan Mirim",1,IF(Atletas!G409="Nanquan Mirim",2,IF(Atletas!G409="Taijiquan Mirim",3,IF(Atletas!G409="Changquan Grupo C",4,IF(Atletas!G409="Nanquan Grupo C",5,IF(Atletas!G409="Taijiquan Grupo C",6,IF(Atletas!G409="Changquan Grupo B",7,IF(Atletas!G409="Nanquan Grupo B",8,IF(Atletas!G409="Taijiquan Grupo B",9,IF(Atletas!G409="Changquan Grupo A",10,IF(Atletas!G409="Nanquan Grupo A",11,IF(Atletas!G409="Taijiquan Grupo A",12,IF(Atletas!G409="Changquan Opcional",13,IF(Atletas!G409="Nanquan Opcional",14,IF(Atletas!G409="Taijiquan Opcional",15,IF(Atletas!G409="Changquan Adulto",16,IF(Atletas!G409="Nanquan Adulto",17,IF(Atletas!G409="Taijiquan Adulto",18,""))))))))))))))))))))</f>
        <v/>
      </c>
      <c r="AZ413" s="46" t="str">
        <f>IF(Atletas!H409="","",IF(Atletas!B409="Feminino",100,IF(Atletas!B409="Masculino",200,""))+(IF(Atletas!H409="Daoshu Mirim",19,IF(Atletas!H409="Jianshu Mirim",20,IF(Atletas!H409="Nandao Mirim",21,IF(Atletas!H409="Taijijian Mirim",22,IF(Atletas!H409="Daoshu Grupo C",23,IF(Atletas!H409="Jianshu Grupo C",24,IF(Atletas!H409="Nandao Grupo C",25,IF(Atletas!H409="Taijijian Grupo C",26,IF(Atletas!H409="Daoshu Grupo B",27,IF(Atletas!H409="Jianshu Grupo B",28,IF(Atletas!H409="Nandao Grupo B",29,IF(Atletas!H409="Taijijian Grupo B",30,IF(Atletas!H409="Daoshu Grupo A",31,IF(Atletas!H409="Jianshu Grupo A",32,IF(Atletas!H409="Nandao Grupo A",33,IF(Atletas!H409="Taijijian Grupo A",34,IF(Atletas!H409="Daoshu Opcional",35,IF(Atletas!H409="Jianshu Opcional",36,IF(Atletas!H409="Nandao Opcional",37,IF(Atletas!H409="Taijijian Opcional",38,IF(Atletas!H409="Daoshu Adulto",39,IF(Atletas!H409="Jianshu Adulto",40,IF(Atletas!H409="Nandao Adulto",41,IF(Atletas!H409="Taijijian Adulto",42,""))))))))))))))))))))))))))</f>
        <v/>
      </c>
      <c r="BA413" s="46" t="str">
        <f>IF(Atletas!I409="","",IF(Atletas!B409="Feminino",100,IF(Atletas!B409="Masculino",200,""))+(IF(Atletas!I409="Gunshu Mirim",43,IF(Atletas!I409="Qiangshu Mirim",44,IF(Atletas!I409="Nangun Mirim",45,IF(Atletas!I409="Gunshu Grupo C",46,IF(Atletas!I409="Qiangshu Grupo C",47,IF(Atletas!I409="Nangun Grupo C",48,IF(Atletas!I409="Gunshu Grupo B",49,IF(Atletas!I409="Qiangshu Grupo B",50,IF(Atletas!I409="Nangun Grupo B",51,IF(Atletas!I409="Gunshu Grupo A",52,IF(Atletas!I409="Qiangshu Grupo A",53,IF(Atletas!I409="Nangun Grupo A",54,IF(Atletas!I409="Gunshu Opcional",55,IF(Atletas!I409="Qiangshu Opcional",56,IF(Atletas!I409="Nangun Opcional",57,IF(Atletas!I409="Gunshu Adulto",58,IF(Atletas!I409="Qiangshu Adulto",59,IF(Atletas!I409="Nangun Adulto",60,""))))))))))))))))))))</f>
        <v/>
      </c>
      <c r="BF413" s="52" t="str">
        <f>IF(Atletas!J409="","",IF(Atletas!B409="Feminino",100,IF(Atletas!B409="Masculino",200,""))+(IF(Atletas!J409="Equipe 1 Grupo B",1,IF(Atletas!J409="Equipe 2 Grupo B",2,IF(Atletas!J409="Equipe 1 Grupo A",3,IF(Atletas!J409="Equipe 2 Grupo A",4,IF(Atletas!J409="Equipe 1 Adulto",5,IF(Atletas!J409="Equipe 2 Adulto",6,""))))))))</f>
        <v/>
      </c>
      <c r="BK413" s="52" t="str">
        <f>IF(Atletas!K409="","",IF(Atletas!W409&lt;&gt;"",10000,0)+(IF(Atletas!B409="Feminino",1000,IF(Atletas!B409="Masculino",2000,""))+IF(Atletas!K409="Choylayfut A",1,IF(Atletas!K409="Hunggar A",2,IF(Atletas!K409="Wuzuquan A",3,IF(Atletas!K409="Wingchun A",4,IF(Atletas!K409="Outra Mão de Sul A",5,IF(Atletas!K409="Choylayfut B",6,IF(Atletas!K409="Hunggar B",7,IF(Atletas!K409="Wuzuquan B",8,IF(Atletas!K409="Wingchun B",9,IF(Atletas!K409="Outra Mão de Sul B",10,IF(Atletas!K409="Choylayfut C",11,IF(Atletas!K409="Hunggar C",12,IF(Atletas!K409="Wuzuquan C",13,IF(Atletas!K409="Wingchun C",14,IF(Atletas!K409="Outra Mão de Sul C",15,IF(Atletas!K409="Choylayfut D",16,IF(Atletas!K409="Hunggar D",17,IF(Atletas!K409="Wuzuquan D",18,IF(Atletas!K409="Wingchun D",19,IF(Atletas!K409="Outra Mão de Sul D",20,IF(Atletas!K409="Choylayfut E",21,IF(Atletas!K409="Hunggar E",22,IF(Atletas!K409="Wuzuquan E",23,IF(Atletas!K409="Wingchun E",24,IF(Atletas!K409="Outra Mão de Sul E",25,IF(Atletas!K409="Choylayfut F",26,IF(Atletas!K409="Hunggar F",27,IF(Atletas!K409="Wuzuquan F",28,IF(Atletas!K409="Wingchun F",29,IF(Atletas!K409="Outra Mão de Sul F",30,""))))))))))))))))))))))))))))))))</f>
        <v/>
      </c>
      <c r="BL413" s="52" t="str">
        <f>IF(Atletas!L409="","",IF(Atletas!W409&lt;&gt;"",10000,0)+(IF(Atletas!B409="Feminino",1000,IF(Atletas!B409="Masculino",2000,""))+(IF(Atletas!L409="Chaquan A",101,IF(Atletas!L409="Emeiquan A",102,IF(Atletas!L409="Fanziquan A",103,IF(Atletas!L409="Huaquan A",104,IF(Atletas!L409="Hongquan A",105,IF(Atletas!L409="Paochui A",106,IF(Atletas!L409="Piguaquan A",107,IF(Atletas!L409="Shaolinquan A",108,IF(Atletas!L409="Tanglangquan A",109,IF(Atletas!L409="Yinzhaophai A",110,IF(Atletas!L409="Tongbeiquan A",111,IF(Atletas!L409="Wudangquan A",112,IF(Atletas!L409="Outros Estilos A",113,IF(Atletas!L409="Chaquan B",114,IF(Atletas!L409="Emeiquan B",115,IF(Atletas!L409="Fanziquan B",116,IF(Atletas!L409="Huaquan B",117,IF(Atletas!L409="Hongquan B",118,IF(Atletas!L409="Paochui B",119,IF(Atletas!L409="Piguaquan B",120,IF(Atletas!L409="Shaolinquan B",121,IF(Atletas!L409="Tanglangquan B",122,IF(Atletas!L409="Yinzhaophai B",123,IF(Atletas!L409="Tongbeiquan B",124,IF(Atletas!L409="Wudangquan B",125,IF(Atletas!L409="Outros Estilos B",126,IF(Atletas!L409="Chaquan C",127,IF(Atletas!L409="Emeiquan C",128,IF(Atletas!L409="Fanziquan C",129,IF(Atletas!L409="Huaquan C",130,IF(Atletas!L409="Hongquan C",131,IF(Atletas!L409="Paochui C",132,IF(Atletas!L409="Piguaquan C",133,IF(Atletas!L409="Shaolinquan C",134,IF(Atletas!L409="Tanglangquan C",135,IF(Atletas!L409="Yinzhaophai C",136,IF(Atletas!L409="Tongbeiquan C",137,IF(Atletas!L409="Wudangquan C",138,IF(Atletas!L409="Outros Estilos C",139,0))))))))))))))))))))))))))))))))))))))))))</f>
        <v/>
      </c>
      <c r="BM413" s="52" t="str">
        <f>IF(Atletas!L409="","",IF(Atletas!W409&lt;&gt;"",10000,0)+(IF(Atletas!B409="Feminino",1000,IF(Atletas!B409="Masculino",2000,""))+(IF(Atletas!L409="Chaquan D",140,IF(Atletas!L409="Emeiquan D",141,IF(Atletas!L409="Fanziquan D",142,IF(Atletas!L409="Huaquan D",143,IF(Atletas!L409="Hongquan D",144,IF(Atletas!L409="Paochui D",145,IF(Atletas!L409="Piguaquan D",146,IF(Atletas!L409="Shaolinquan D",147,IF(Atletas!L409="Tanglangquan D",148,IF(Atletas!L409="Yinzhaophai D",149,IF(Atletas!L409="Tongbeiquan D",150,IF(Atletas!L409="Wudangquan D",151,IF(Atletas!L409="Outros Estilos D",152,IF(Atletas!L409="Chaquan E",153,IF(Atletas!L409="Emeiquan E",154,IF(Atletas!L409="Fanziquan E",155,IF(Atletas!L409="Huaquan E",156,IF(Atletas!L409="Hongquan E",157,IF(Atletas!L409="Paochui E",158,IF(Atletas!L409="Piguaquan E",159,IF(Atletas!L409="Shaolinquan E",160,IF(Atletas!L409="Tanglangquan E",161,IF(Atletas!L409="Yinzhaophai E",162,IF(Atletas!L409="Tongbeiquan E",163,IF(Atletas!L409="Wudangquan E",164,IF(Atletas!L409="Outros Estilos E",165,IF(Atletas!L409="Chaquan F",166,IF(Atletas!L409="Emeiquan F",167,IF(Atletas!L409="Fanziquan F",168,IF(Atletas!L409="Huaquan F",169,IF(Atletas!L409="Hongquan F",170,IF(Atletas!L409="Paochui F",171,IF(Atletas!L409="Piguaquan F",172,IF(Atletas!L409="Shaolinquan F",173,IF(Atletas!L409="Tanglangquan F",174,IF(Atletas!L409="Yinzhaophai F",175,IF(Atletas!L409="Tongbeiquan F",176,IF(Atletas!L409="Wudangquan F",177,IF(Atletas!L409="Outros Estilos F",178,0))))))))))))))))))))))))))))))))))))))))))</f>
        <v/>
      </c>
      <c r="BN413" s="52" t="str">
        <f>IF(Atletas!M409="","",IF(Atletas!W409&lt;&gt;"",10000,0)+(IF(Atletas!B409="Feminino",1000,IF(Atletas!B409="Masculino",2000,""))+(IF(Atletas!M409="Ditangquan A",201,IF(Atletas!M409="Houquan A",202,IF(Atletas!M409="Zuiquan A",203,IF(Atletas!M409="Ditangquan B",204,IF(Atletas!M409="Houquan B",205,IF(Atletas!M409="Zuiquan B",206,IF(Atletas!M409="Ditangquan C",207,IF(Atletas!M409="Houquan C",208,IF(Atletas!M409="Zuiquan C",209,IF(Atletas!M409="Ditangquan D",210,IF(Atletas!M409="Houquan D",211,IF(Atletas!M409="Zuiquan D",212,IF(Atletas!M409="Ditangquan E",213,IF(Atletas!M409="Houquan E",214,IF(Atletas!M409="Zuiquan E",215,IF(Atletas!M409="Ditangquan F",216,IF(Atletas!M409="Houquan F",217,IF(Atletas!M409="Zuiquan F",218,"")))))))))))))))))))))</f>
        <v/>
      </c>
      <c r="BO413" s="52" t="str">
        <f>IF(Atletas!N409="","",IF(Atletas!W409&lt;&gt;"",10000,0)+IF(Atletas!B409="Feminino",1000,IF(Atletas!B409="Masculino",2000,""))+IF(Atletas!N409="Yang A",301,IF(Atletas!N409="Chen A",30,IF(Atletas!N409="Sun A",303,IF(Atletas!N409="Wu A",304,IF(Atletas!N409="Wu-Hao A",305,IF(Atletas!N409="Outro Taijiquan A",306,IF(Atletas!N409="Yang B",307,IF(Atletas!N409="Chen B",308,IF(Atletas!N409="Sun B",309,IF(Atletas!N409="Wu B",310,IF(Atletas!N409="Wu-Hao B",311,IF(Atletas!N409="Outro Taijiquan B",312,IF(Atletas!N409="Yang C",313,IF(Atletas!N409="Chen C",314,IF(Atletas!N409="Sun C",315,IF(Atletas!N409="Wu C",316,IF(Atletas!N409="Wu-Hao C",317,IF(Atletas!N409="Outro Taijiquan C",318,IF(Atletas!N409="Yang D",319,IF(Atletas!N409="Chen D",320,IF(Atletas!N409="Sun D",321,IF(Atletas!N409="Wu D",322,IF(Atletas!N409="Wu-Hao D",323,IF(Atletas!N409="Outro Taijiquan D",324,IF(Atletas!N409="Yang E",325,IF(Atletas!N409="Chen E",326,IF(Atletas!N409="Sun E",327,IF(Atletas!N409="Wu E",328,IF(Atletas!N409="Wu-Hao E",329,IF(Atletas!N409="Outro Taijiquan E",330,IF(Atletas!N409="Yang F",331,IF(Atletas!N409="Chen F",332,IF(Atletas!N409="Sun F",333,IF(Atletas!N409="Wu F",334,IF(Atletas!N409="Wu-Hao F",335,IF(Atletas!N409="Outro Taijiquan F",336,"")))))))))))))))))))))))))))))))))))))</f>
        <v/>
      </c>
      <c r="BP413" s="52" t="str">
        <f>IF(Atletas!O409="","",IF(Atletas!W409&lt;&gt;"",10000,0)+IF(Atletas!B409="Feminino",1000,IF(Atletas!B409="Masculino",2000,""))+IF(OR(Atletas!O409="Yang 26 A",Atletas!O409="Yang 40 A"),401,IF(OR(Atletas!O409="Chen 25 A",Atletas!O409="Chen 36 A",Atletas!O409="Chen 56 A"),402,IF(Atletas!O409="Sun 73 A",403,IF(Atletas!O409="Wu 45 A",404,IF(Atletas!O409="Wu-Hao 46 A",405,IF(OR(Atletas!O409="Taijiquan 16 A",Atletas!O409="Taijiquan 24 A",Atletas!O409="Taijiquan 32 A",Atletas!O409="Taijiquan 42 A"),406,IF(OR(Atletas!O409="Yang 26 B",Atletas!O409="Yang 40 B"),407,IF(OR(Atletas!O409="Chen 25 B",Atletas!O409="Chen 36 B",Atletas!O409="Chen 56 B"),408,IF(Atletas!O409="Sun 73 B",409,IF(Atletas!O409="Wu 45 B",410,IF(Atletas!O409="Wu-Hao 46 B",411,IF(OR(Atletas!O409="Taijiquan 16 B",Atletas!O409="Taijiquan 24 B",Atletas!O409="Taijiquan 32 B",Atletas!O409="Taijiquan 42 B"),412,IF(OR(Atletas!O409="Yang 26 C",Atletas!O409="Yang 40 C"),413,IF(OR(Atletas!O409="Chen 25 C",Atletas!O409="Chen 36 C",Atletas!O409="Chen 56 C"),414,IF(Atletas!O409="Sun 73 C",415,IF(Atletas!O409="Wu 45 C",416,IF(Atletas!O409="Wu-Hao 46 C",417,IF(OR(Atletas!O409="Taijiquan 16 C",Atletas!O409="Taijiquan 24 C",Atletas!O409="Taijiquan 32 C",Atletas!O409="Taijiquan 42 C"),418,0)))))))))))))))))))</f>
        <v/>
      </c>
      <c r="BQ413" s="52" t="str">
        <f>IF(Atletas!O409="","",IF(Atletas!W409&lt;&gt;"",10000,0)+IF(Atletas!B409="Feminino",1000,IF(Atletas!B409="Masculino",2000,""))+IF(OR(Atletas!O409="Yang 26 D",Atletas!O409="Yang 40 D"),419,IF(OR(Atletas!O409="Chen 25 D",Atletas!O409="Chen 36 D",Atletas!O409="Chen 56 D"),420,IF(Atletas!O409="Sun 73 D",421,IF(Atletas!O409="Wu 45 D",422,IF(Atletas!O409="Wu-Hao 46 D",423,IF(OR(Atletas!O409="Taijiquan 16 D",Atletas!O409="Taijiquan 24 D",Atletas!O409="Taijiquan 32 D",Atletas!O409="Taijiquan 42 D"),424,IF(OR(Atletas!O409="Yang 26 E",Atletas!O409="Yang 40 E"),425,IF(OR(Atletas!O409="Chen 25 E",Atletas!O409="Chen 36 E",Atletas!O409="Chen 56 E"),426,IF(Atletas!O409="Sun 73 E",427,IF(Atletas!O409="Wu 45 E",428,IF(Atletas!O409="Wu-Hao 46 E",429,IF(OR(Atletas!O409="Taijiquan 16 E",Atletas!O409="Taijiquan 24 E",Atletas!O409="Taijiquan 32 E",Atletas!O409="Taijiquan 42 E"),430,IF(OR(Atletas!O409="Yang 26 F",Atletas!O409="Yang 40 F"),431,IF(OR(Atletas!O409="Chen 25 F",Atletas!O409="Chen 36 F",Atletas!O409="Chen 56 F"),432,IF(Atletas!O409="Sun 73 F",433,IF(Atletas!O409="Wu 45 F",434,IF(Atletas!O409="Wu-Hao 46 F",435,IF(OR(Atletas!O409="Taijiquan 16 F",Atletas!O409="Taijiquan 24 F",Atletas!O409="Taijiquan 32 F",Atletas!O409="Taijiquan 42 F"),436,0)))))))))))))))))))</f>
        <v/>
      </c>
      <c r="BR413" s="52" t="str">
        <f>IF(Atletas!P409="","",IF(Atletas!W409&lt;&gt;"",10000,0)+IF(Atletas!B409="Feminino",1000,IF(Atletas!B409="Masculino",2000,""))+IF(Atletas!P409="Xingyiquan A",501,IF(Atletas!P409="Baguazhang A",502,IF(Atletas!P409="Outro Estilo Interno A",503,IF(Atletas!P409="Xingyiquan B",504,IF(Atletas!P409="Baguazhang B",505,IF(Atletas!P409="Outro Estilo Interno B",506,IF(Atletas!P409="Xingyiquan C",507,IF(Atletas!P409="Baguazhang C",508,IF(Atletas!P409="Outro Estilo Interno C",509,IF(Atletas!P409="Xingyiquan D",510,IF(Atletas!P409="Baguazhang D",511,IF(Atletas!P409="Outro Estilo Interno D",512,IF(Atletas!P409="Xingyiquan E",513,IF(Atletas!P409="Baguazhang E",514,IF(Atletas!P409="Outro Estilo Interno E",515,IF(Atletas!P409="Xingyiquan F",516,IF(Atletas!P409="Baguazhang F",517,IF(Atletas!P409="Outro Estilo Interno F",518, "")))))))))))))))))))</f>
        <v/>
      </c>
      <c r="BS413" s="52" t="str">
        <f>IF(Atletas!Q409="","",IF(Atletas!W409&lt;&gt;"",10000,0)+IF(Atletas!B409="Feminino",1000,IF(Atletas!B409="Masculino",2000,""))+IF(Atletas!Q409="Dao A",601,IF(Atletas!Q409="Jian A",602,IF(Atletas!Q409="Bishou A",603,IF(Atletas!Q409="Shan A",604,IF(Atletas!Q409="Outra Arma Curta A",605,IF(Atletas!Q409="Dao B",606,IF(Atletas!Q409="Jian B",607,IF(Atletas!Q409="Bishou B",608,IF(Atletas!Q409="Shan B",609,IF(Atletas!Q409="Outra Arma Curta B",610,IF(Atletas!Q409="Dao C",611,IF(Atletas!Q409="Jian C",612,IF(Atletas!Q409="Bishou C",613,IF(Atletas!Q409="Shan C",614,IF(Atletas!Q409="Outra Arma Curta C",615,IF(Atletas!Q409="Dao D",616,IF(Atletas!Q409="Jian D",617,IF(Atletas!Q409="Bishou D",618,IF(Atletas!Q409="Shan D",619,IF(Atletas!Q409="Outra Arma Curta D",620,IF(Atletas!Q409="Dao E",621,IF(Atletas!Q409="Jian E",622,IF(Atletas!Q409="Bishou E",623,IF(Atletas!Q409="Shan E",624,IF(Atletas!Q409="Outra Arma Curta E",625,IF(Atletas!Q409="Dao F",626,IF(Atletas!Q409="Jian F",627,IF(Atletas!Q409="Bishou F",628,IF(Atletas!Q409="Shan F",629,IF(Atletas!Q409="Outra Arma Curta F",630, "")))))))))))))))))))))))))))))))</f>
        <v/>
      </c>
      <c r="BT413" s="52" t="str">
        <f>IF(Atletas!R409="","",IF(Atletas!W409&lt;&gt;"",10000,0)+IF(Atletas!B409="Feminino",1000,IF(Atletas!B409="Masculino",2000,""))+IF(Atletas!R409="Gun A",701,IF(Atletas!R409="Qiang A",702,IF(Atletas!R409="Pudao / Guandao A",703,IF(Atletas!R409="Outra Arma Longa A",704,IF(Atletas!R409="Gun B",705,IF(Atletas!R409="Qiang B",706,IF(Atletas!R409="Pudao / Guandao B",707,IF(Atletas!R409="Outra Arma Longa B",708,IF(Atletas!R409="Gun C",709,IF(Atletas!R409="Qiang C",710,IF(Atletas!R409="Pudao / Guandao C",711,IF(Atletas!R409="Outra Arma Longa C",712,IF(Atletas!R409="Gun D",713,IF(Atletas!R409="Qiang D",714,IF(Atletas!R409="Pudao / Guandao D",715,IF(Atletas!R409="Outra Arma Longa D",716,IF(Atletas!R409="Gun E",717,IF(Atletas!R409="Qiang E",718,IF(Atletas!R409="Pudao / Guandao E",719,IF(Atletas!R409="Outra Arma Longa E",720,IF(Atletas!R409="Gun F",721,IF(Atletas!R409="Qiang F",722,IF(Atletas!R409="Pudao / Guandao F",723,IF(Atletas!R409="Outra Arma Longa F",724,"")))))))))))))))))))))))))</f>
        <v/>
      </c>
      <c r="BU413" s="52" t="str">
        <f>IF(Atletas!S409="","",IF(Atletas!W409&lt;&gt;"",10000,0)+IF(Atletas!B409="Feminino",1000,IF(Atletas!B409="Masculino",2000,""))+IF(Atletas!S409="Arma Dupla A",801,IF(Atletas!S409="Arma Maleável A",802,IF(Atletas!S409="Arma Dupla B",803,IF(Atletas!S409="Arma Maleável B",804,IF(Atletas!S409="Arma Dupla C",805,IF(Atletas!S409="Arma Maleável C",806,IF(Atletas!S409="Arma Dupla D",807,IF(Atletas!S409="Arma Maleável D",808,IF(Atletas!S409="Arma Dupla E",809,IF(Atletas!S409="Arma Maleável E",810,IF(Atletas!S409="Arma Dupla F",811,IF(Atletas!S409="Arma Maleável F",812, "")))))))))))))</f>
        <v/>
      </c>
      <c r="BV413" s="52" t="str">
        <f>IF(Atletas!T409="","",IF(Atletas!W409&lt;&gt;"",10000,0)+IF(Atletas!B409="Feminino",1000,IF(Atletas!B409="Masculino",2000,""))+IF(Atletas!T409="Taijijian Yang A",901,IF(Atletas!T409="Taijijian Chen A",902,IF(Atletas!T409="Taijijian Sun A",903,IF(Atletas!T409="Taijijian Wu A",904,IF(Atletas!T409="Taijijian Wu-Hao A",905,IF(Atletas!T409="Taijijian 32 A",906,IF(Atletas!T409="Taijijian 42 A",907,IF(Atletas!T409="Taijijian Yang B",908,IF(Atletas!T409="Taijijian Chen B",909,IF(Atletas!T409="Taijijian Sun B",910,IF(Atletas!T409="Taijijian Wu B",911,IF(Atletas!T409="Taijijian Wu-Hao B",912,IF(Atletas!T409="Taijijian 32 B",913,IF(Atletas!T409="Taijijian 42 B",914,IF(Atletas!T409="Taijijian Yang C",915,IF(Atletas!T409="Taijijian Chen C",916,IF(Atletas!T409="Taijijian Sun C",917,IF(Atletas!T409="Taijijian Wu C",918,IF(Atletas!T409="Taijijian Wu-Hao C",919,IF(Atletas!T409="Taijijian 32 C",920,IF(Atletas!T409="Taijijian 42 C",921,IF(Atletas!T409="Taijijian Yang D",922,IF(Atletas!T409="Taijijian Chen D",923,IF(Atletas!T409="Taijijian Sun D",924,IF(Atletas!T409="Taijijian Wu D",925,IF(Atletas!T409="Taijijian Wu-Hao D",926,IF(Atletas!T409="Taijijian 32 D",927,IF(Atletas!T409="Taijijian 42 D",928,IF(Atletas!T409="Taijijian Yang E",929,IF(Atletas!T409="Taijijian Chen E",930,IF(Atletas!T409="Taijijian Sun E",931,IF(Atletas!T409="Taijijian Wu E",932,IF(Atletas!T409="Taijijian Wu-Hao E",933,IF(Atletas!T409="Taijijian 32 E",934,IF(Atletas!T409="Taijijian 42 E",935,IF(Atletas!T409="Taijijian Yang F",936,IF(Atletas!T409="Taijijian Chen F",937,IF(Atletas!T409="Taijijian Sun F",938,IF(Atletas!T409="Taijijian Wu F",939,IF(Atletas!T409="Taijijian Wu-Hao F",940,IF(Atletas!T409="Taijijian 32 F",941,IF(Atletas!T409="Taijijian 42 F",942,"")))))))))))))))))))))))))))))))))))))))))))</f>
        <v/>
      </c>
      <c r="BW413" s="52" t="str">
        <f>IF(Atletas!U409="","",IF(Atletas!W409&lt;&gt;"",10000,0)+IF(Atletas!B409="Feminino",1000,IF(Atletas!B409="Masculino",2000,""))+IF(Atletas!T409="Taijijian 42 F",942,IF(Atletas!U409="Taijidao A",943,IF(Atletas!U409="Taijishan A",944,IF(Atletas!U409="Taijiqiang A",945,IF(Atletas!U409="Taijidao B",946,IF(Atletas!U409="Taijishan B",947,IF(Atletas!U409="Taijiqiang B",948,IF(Atletas!U409="Taijidao C",949,IF(Atletas!U409="Taijishan C",950,IF(Atletas!U409="Taijiqiang C",951,IF(Atletas!U409="Taijidao D",952,IF(Atletas!U409="Taijishan D",953,IF(Atletas!U409="Taijiqiang D",954,IF(Atletas!U409="Taijidao E",955,IF(Atletas!U409="Taijishan E",956,IF(Atletas!U409="Taijiqiang E",957,IF(Atletas!U409="Taijidao F",958,IF(Atletas!U409="Taijishan F",959,IF(Atletas!U409="Taijiqiang F",960))))))))))))))))))))</f>
        <v/>
      </c>
      <c r="CF413" s="52" t="str">
        <f xml:space="preserve"> IF(Atletas!V409="","",IF(Atletas!V409="Duilian de Mãos AB - Equipe 1",1,IF(Atletas!V409="Duilian de Mãos AB - Equipe 2",2,IF(Atletas!V409="Duilian de Armas AB - Equipe 1",3,IF(Atletas!V409="Duilian de Armas AB - Equipe 2",4,IF(Atletas!V409="Duilian de Tuishou - Equipe 1",5,IF(Atletas!V409="Duilian de Tuishou - Equipe 2",6,IF(Atletas!V409="Grupo Externo AB - Equipe 1",7,IF(Atletas!V409="Grupo Externo AB - Equipe 2",8,IF(Atletas!V409="Grupo Interno AB - Equipe 1",9,IF(Atletas!V409="Grupo Interno AB - Equipe 2",10,IF(Atletas!V409="Duilian de Mãos CD - Equipe 1",11,IF(Atletas!V409="Duilian de Mãos CD - Equipe 2",12,IF(Atletas!V409="Duilian de Armas CD - Equipe 1",13,IF(Atletas!V409="Duilian de Armas CD - Equipe 2",14,IF(Atletas!V409="Duilian de Tuishou - Equipe 1",15,IF(Atletas!V409="Duilian de Tuishou - Equipe 2",16,IF(Atletas!V409="Grupo Externo CDEF - Equipe 1",17,IF(Atletas!V409="Grupo Externo CDEF - Equipe 2",18,IF(Atletas!V409="Grupo Interno CDEF - Equipe 1",19,IF(Atletas!V409="Grupo Interno CDEF - Equipe 2",20,IF(Atletas!V409="Duilian de Mãos EF - Equipe 1",21,IF(Atletas!V409="Duilian de Mãos EF - Equipe 2",22,IF(Atletas!V409="Duilian de Armas EF - Equipe 1",23,IF(Atletas!V409="Duilian de Armas EF - Equipe 2",24,IF(Atletas!V409="Duilian de Tuishou - Equipe 1",25,IF(Atletas!V409="Duilian de Tuishou - Equipe 2",26,"")))))))))))))))))))))))))))</f>
        <v/>
      </c>
    </row>
    <row r="414" spans="36:84">
      <c r="AJ414" s="46" t="str">
        <f>IF(Atletas!D410="","",IF(Atletas!B410="Feminino",100,IF(Atletas!B410="Masculino",200,""))+(IF(Atletas!D410="Infantil 39kg",1,IF(Atletas!D410="Infantil 42kg",2,IF(Atletas!D410="Infantil 45kg",3,IF(Atletas!D410="Infantil 48kg",4,IF(Atletas!D410="Infantil 52kg",5,IF(Atletas!D410="Infantil 56kg",6,IF(Atletas!D410="Infantil 60kg",7,IF(Atletas!D410="Juvenil 48kg",8,IF(Atletas!D410="Juvenil 52kg",9,IF(Atletas!D410="Juvenil 56kg",10,IF(Atletas!D410="Juvenil 60kg",11,IF(Atletas!D410="Juvenil 65kg",12,IF(Atletas!D410="Juvenil 70kg",13,IF(Atletas!D410="Juvenil 75kg",14,IF(Atletas!D410="Juvenil 80kg",15,IF(Atletas!D410="Adulto 48kg",16,IF(Atletas!D410="Adulto 52kg",17,IF(Atletas!D410="Adulto 56kg",18,IF(Atletas!D410="Adulto 60kg",19,IF(Atletas!D410="Adulto 65kg",20,IF(Atletas!D410="Adulto 70kg",21,IF(Atletas!D410="Adulto 75kg",22,IF(Atletas!D410="Adulto 80kg",23,IF(Atletas!D410="Adulto 85kg",24,IF(Atletas!D410="Adulto 90kg",25,IF(Atletas!D410="Adulto +90kg",26,""))))))))))))))))))))))))))))</f>
        <v/>
      </c>
      <c r="AO414" s="10" t="str">
        <f>IF(Atletas!E410="","",IF(Atletas!B410="Feminino",100,IF(Atletas!B410="Masculino",200,""))+(IF(Atletas!E410="Juvenil 44kg",1,IF(Atletas!E410="Juvenil 48kg",2,IF(Atletas!E410="Juvenil 52kg",3,IF(Atletas!E410="Juvenil 56kg",4,IF(Atletas!E410="Juvenil 60kg",5,IF(Atletas!E410="Juvenil 65kg",6,IF(Atletas!E410="Juvenil 70kg",7,IF(Atletas!E410="Juvenil 75kg",8,IF(Atletas!E410="Juvenil 82kg",9,IF(Atletas!E410="Juvenil 90kg",10,IF(Atletas!E410="Juvenil 100kg",11,IF(Atletas!E410="Adulto 48kg",12,IF(Atletas!E410="Adulto 52kg",13,IF(Atletas!E410="Adulto 56kg",14,IF(Atletas!E410="Adulto 60kg",15,IF(Atletas!E410="Adulto 65kg",16,IF(Atletas!E410="Adulto 70kg",17,IF(Atletas!E410="Adulto 75kg",18,IF(Atletas!E410="Adulto 82kg",19,IF(Atletas!E410="Adulto 90kg",20,IF(Atletas!E410="Adulto 100kg",21,IF(Atletas!E410="Adulto +100kg",22,""))))))))))))))))))))))))</f>
        <v/>
      </c>
      <c r="AT414" s="10" t="str">
        <f>IF(Atletas!F410="","",IF(Atletas!B410="Feminino",100,IF(Atletas!B410="Masculino",200,""))+(IF(Atletas!F410="Adulto 48kg",1,IF(Atletas!F410="Adulto 56kg",2,IF(Atletas!F410="Adulto 65kg",3,IF(Atletas!F410="Adulto 75kg",4,IF(Atletas!F410="Adulto +75kg",5,IF(Atletas!F410="Adulto 52kg",6,IF(Atletas!F410="Adulto 60kg",7,IF(Atletas!F410="Adulto 70kg",8,IF(Atletas!F410="Adulto 80kg",9,IF(Atletas!F410="Adulto 90kg",10,IF(Atletas!F410="Adulto +90kg",11,"")))))))))))))</f>
        <v/>
      </c>
      <c r="AY414" s="46" t="str">
        <f>IF(Atletas!G410="","",IF(Atletas!B410="Feminino",100,IF(Atletas!B410="Masculino",200,""))+(IF(Atletas!G410="Changquan Mirim",1,IF(Atletas!G410="Nanquan Mirim",2,IF(Atletas!G410="Taijiquan Mirim",3,IF(Atletas!G410="Changquan Grupo C",4,IF(Atletas!G410="Nanquan Grupo C",5,IF(Atletas!G410="Taijiquan Grupo C",6,IF(Atletas!G410="Changquan Grupo B",7,IF(Atletas!G410="Nanquan Grupo B",8,IF(Atletas!G410="Taijiquan Grupo B",9,IF(Atletas!G410="Changquan Grupo A",10,IF(Atletas!G410="Nanquan Grupo A",11,IF(Atletas!G410="Taijiquan Grupo A",12,IF(Atletas!G410="Changquan Opcional",13,IF(Atletas!G410="Nanquan Opcional",14,IF(Atletas!G410="Taijiquan Opcional",15,IF(Atletas!G410="Changquan Adulto",16,IF(Atletas!G410="Nanquan Adulto",17,IF(Atletas!G410="Taijiquan Adulto",18,""))))))))))))))))))))</f>
        <v/>
      </c>
      <c r="AZ414" s="46" t="str">
        <f>IF(Atletas!H410="","",IF(Atletas!B410="Feminino",100,IF(Atletas!B410="Masculino",200,""))+(IF(Atletas!H410="Daoshu Mirim",19,IF(Atletas!H410="Jianshu Mirim",20,IF(Atletas!H410="Nandao Mirim",21,IF(Atletas!H410="Taijijian Mirim",22,IF(Atletas!H410="Daoshu Grupo C",23,IF(Atletas!H410="Jianshu Grupo C",24,IF(Atletas!H410="Nandao Grupo C",25,IF(Atletas!H410="Taijijian Grupo C",26,IF(Atletas!H410="Daoshu Grupo B",27,IF(Atletas!H410="Jianshu Grupo B",28,IF(Atletas!H410="Nandao Grupo B",29,IF(Atletas!H410="Taijijian Grupo B",30,IF(Atletas!H410="Daoshu Grupo A",31,IF(Atletas!H410="Jianshu Grupo A",32,IF(Atletas!H410="Nandao Grupo A",33,IF(Atletas!H410="Taijijian Grupo A",34,IF(Atletas!H410="Daoshu Opcional",35,IF(Atletas!H410="Jianshu Opcional",36,IF(Atletas!H410="Nandao Opcional",37,IF(Atletas!H410="Taijijian Opcional",38,IF(Atletas!H410="Daoshu Adulto",39,IF(Atletas!H410="Jianshu Adulto",40,IF(Atletas!H410="Nandao Adulto",41,IF(Atletas!H410="Taijijian Adulto",42,""))))))))))))))))))))))))))</f>
        <v/>
      </c>
      <c r="BA414" s="46" t="str">
        <f>IF(Atletas!I410="","",IF(Atletas!B410="Feminino",100,IF(Atletas!B410="Masculino",200,""))+(IF(Atletas!I410="Gunshu Mirim",43,IF(Atletas!I410="Qiangshu Mirim",44,IF(Atletas!I410="Nangun Mirim",45,IF(Atletas!I410="Gunshu Grupo C",46,IF(Atletas!I410="Qiangshu Grupo C",47,IF(Atletas!I410="Nangun Grupo C",48,IF(Atletas!I410="Gunshu Grupo B",49,IF(Atletas!I410="Qiangshu Grupo B",50,IF(Atletas!I410="Nangun Grupo B",51,IF(Atletas!I410="Gunshu Grupo A",52,IF(Atletas!I410="Qiangshu Grupo A",53,IF(Atletas!I410="Nangun Grupo A",54,IF(Atletas!I410="Gunshu Opcional",55,IF(Atletas!I410="Qiangshu Opcional",56,IF(Atletas!I410="Nangun Opcional",57,IF(Atletas!I410="Gunshu Adulto",58,IF(Atletas!I410="Qiangshu Adulto",59,IF(Atletas!I410="Nangun Adulto",60,""))))))))))))))))))))</f>
        <v/>
      </c>
      <c r="BF414" s="52" t="str">
        <f>IF(Atletas!J410="","",IF(Atletas!B410="Feminino",100,IF(Atletas!B410="Masculino",200,""))+(IF(Atletas!J410="Equipe 1 Grupo B",1,IF(Atletas!J410="Equipe 2 Grupo B",2,IF(Atletas!J410="Equipe 1 Grupo A",3,IF(Atletas!J410="Equipe 2 Grupo A",4,IF(Atletas!J410="Equipe 1 Adulto",5,IF(Atletas!J410="Equipe 2 Adulto",6,""))))))))</f>
        <v/>
      </c>
      <c r="BK414" s="52" t="str">
        <f>IF(Atletas!K410="","",IF(Atletas!W410&lt;&gt;"",10000,0)+(IF(Atletas!B410="Feminino",1000,IF(Atletas!B410="Masculino",2000,""))+IF(Atletas!K410="Choylayfut A",1,IF(Atletas!K410="Hunggar A",2,IF(Atletas!K410="Wuzuquan A",3,IF(Atletas!K410="Wingchun A",4,IF(Atletas!K410="Outra Mão de Sul A",5,IF(Atletas!K410="Choylayfut B",6,IF(Atletas!K410="Hunggar B",7,IF(Atletas!K410="Wuzuquan B",8,IF(Atletas!K410="Wingchun B",9,IF(Atletas!K410="Outra Mão de Sul B",10,IF(Atletas!K410="Choylayfut C",11,IF(Atletas!K410="Hunggar C",12,IF(Atletas!K410="Wuzuquan C",13,IF(Atletas!K410="Wingchun C",14,IF(Atletas!K410="Outra Mão de Sul C",15,IF(Atletas!K410="Choylayfut D",16,IF(Atletas!K410="Hunggar D",17,IF(Atletas!K410="Wuzuquan D",18,IF(Atletas!K410="Wingchun D",19,IF(Atletas!K410="Outra Mão de Sul D",20,IF(Atletas!K410="Choylayfut E",21,IF(Atletas!K410="Hunggar E",22,IF(Atletas!K410="Wuzuquan E",23,IF(Atletas!K410="Wingchun E",24,IF(Atletas!K410="Outra Mão de Sul E",25,IF(Atletas!K410="Choylayfut F",26,IF(Atletas!K410="Hunggar F",27,IF(Atletas!K410="Wuzuquan F",28,IF(Atletas!K410="Wingchun F",29,IF(Atletas!K410="Outra Mão de Sul F",30,""))))))))))))))))))))))))))))))))</f>
        <v/>
      </c>
      <c r="BL414" s="52" t="str">
        <f>IF(Atletas!L410="","",IF(Atletas!W410&lt;&gt;"",10000,0)+(IF(Atletas!B410="Feminino",1000,IF(Atletas!B410="Masculino",2000,""))+(IF(Atletas!L410="Chaquan A",101,IF(Atletas!L410="Emeiquan A",102,IF(Atletas!L410="Fanziquan A",103,IF(Atletas!L410="Huaquan A",104,IF(Atletas!L410="Hongquan A",105,IF(Atletas!L410="Paochui A",106,IF(Atletas!L410="Piguaquan A",107,IF(Atletas!L410="Shaolinquan A",108,IF(Atletas!L410="Tanglangquan A",109,IF(Atletas!L410="Yinzhaophai A",110,IF(Atletas!L410="Tongbeiquan A",111,IF(Atletas!L410="Wudangquan A",112,IF(Atletas!L410="Outros Estilos A",113,IF(Atletas!L410="Chaquan B",114,IF(Atletas!L410="Emeiquan B",115,IF(Atletas!L410="Fanziquan B",116,IF(Atletas!L410="Huaquan B",117,IF(Atletas!L410="Hongquan B",118,IF(Atletas!L410="Paochui B",119,IF(Atletas!L410="Piguaquan B",120,IF(Atletas!L410="Shaolinquan B",121,IF(Atletas!L410="Tanglangquan B",122,IF(Atletas!L410="Yinzhaophai B",123,IF(Atletas!L410="Tongbeiquan B",124,IF(Atletas!L410="Wudangquan B",125,IF(Atletas!L410="Outros Estilos B",126,IF(Atletas!L410="Chaquan C",127,IF(Atletas!L410="Emeiquan C",128,IF(Atletas!L410="Fanziquan C",129,IF(Atletas!L410="Huaquan C",130,IF(Atletas!L410="Hongquan C",131,IF(Atletas!L410="Paochui C",132,IF(Atletas!L410="Piguaquan C",133,IF(Atletas!L410="Shaolinquan C",134,IF(Atletas!L410="Tanglangquan C",135,IF(Atletas!L410="Yinzhaophai C",136,IF(Atletas!L410="Tongbeiquan C",137,IF(Atletas!L410="Wudangquan C",138,IF(Atletas!L410="Outros Estilos C",139,0))))))))))))))))))))))))))))))))))))))))))</f>
        <v/>
      </c>
      <c r="BM414" s="52" t="str">
        <f>IF(Atletas!L410="","",IF(Atletas!W410&lt;&gt;"",10000,0)+(IF(Atletas!B410="Feminino",1000,IF(Atletas!B410="Masculino",2000,""))+(IF(Atletas!L410="Chaquan D",140,IF(Atletas!L410="Emeiquan D",141,IF(Atletas!L410="Fanziquan D",142,IF(Atletas!L410="Huaquan D",143,IF(Atletas!L410="Hongquan D",144,IF(Atletas!L410="Paochui D",145,IF(Atletas!L410="Piguaquan D",146,IF(Atletas!L410="Shaolinquan D",147,IF(Atletas!L410="Tanglangquan D",148,IF(Atletas!L410="Yinzhaophai D",149,IF(Atletas!L410="Tongbeiquan D",150,IF(Atletas!L410="Wudangquan D",151,IF(Atletas!L410="Outros Estilos D",152,IF(Atletas!L410="Chaquan E",153,IF(Atletas!L410="Emeiquan E",154,IF(Atletas!L410="Fanziquan E",155,IF(Atletas!L410="Huaquan E",156,IF(Atletas!L410="Hongquan E",157,IF(Atletas!L410="Paochui E",158,IF(Atletas!L410="Piguaquan E",159,IF(Atletas!L410="Shaolinquan E",160,IF(Atletas!L410="Tanglangquan E",161,IF(Atletas!L410="Yinzhaophai E",162,IF(Atletas!L410="Tongbeiquan E",163,IF(Atletas!L410="Wudangquan E",164,IF(Atletas!L410="Outros Estilos E",165,IF(Atletas!L410="Chaquan F",166,IF(Atletas!L410="Emeiquan F",167,IF(Atletas!L410="Fanziquan F",168,IF(Atletas!L410="Huaquan F",169,IF(Atletas!L410="Hongquan F",170,IF(Atletas!L410="Paochui F",171,IF(Atletas!L410="Piguaquan F",172,IF(Atletas!L410="Shaolinquan F",173,IF(Atletas!L410="Tanglangquan F",174,IF(Atletas!L410="Yinzhaophai F",175,IF(Atletas!L410="Tongbeiquan F",176,IF(Atletas!L410="Wudangquan F",177,IF(Atletas!L410="Outros Estilos F",178,0))))))))))))))))))))))))))))))))))))))))))</f>
        <v/>
      </c>
      <c r="BN414" s="52" t="str">
        <f>IF(Atletas!M410="","",IF(Atletas!W410&lt;&gt;"",10000,0)+(IF(Atletas!B410="Feminino",1000,IF(Atletas!B410="Masculino",2000,""))+(IF(Atletas!M410="Ditangquan A",201,IF(Atletas!M410="Houquan A",202,IF(Atletas!M410="Zuiquan A",203,IF(Atletas!M410="Ditangquan B",204,IF(Atletas!M410="Houquan B",205,IF(Atletas!M410="Zuiquan B",206,IF(Atletas!M410="Ditangquan C",207,IF(Atletas!M410="Houquan C",208,IF(Atletas!M410="Zuiquan C",209,IF(Atletas!M410="Ditangquan D",210,IF(Atletas!M410="Houquan D",211,IF(Atletas!M410="Zuiquan D",212,IF(Atletas!M410="Ditangquan E",213,IF(Atletas!M410="Houquan E",214,IF(Atletas!M410="Zuiquan E",215,IF(Atletas!M410="Ditangquan F",216,IF(Atletas!M410="Houquan F",217,IF(Atletas!M410="Zuiquan F",218,"")))))))))))))))))))))</f>
        <v/>
      </c>
      <c r="BO414" s="52" t="str">
        <f>IF(Atletas!N410="","",IF(Atletas!W410&lt;&gt;"",10000,0)+IF(Atletas!B410="Feminino",1000,IF(Atletas!B410="Masculino",2000,""))+IF(Atletas!N410="Yang A",301,IF(Atletas!N410="Chen A",30,IF(Atletas!N410="Sun A",303,IF(Atletas!N410="Wu A",304,IF(Atletas!N410="Wu-Hao A",305,IF(Atletas!N410="Outro Taijiquan A",306,IF(Atletas!N410="Yang B",307,IF(Atletas!N410="Chen B",308,IF(Atletas!N410="Sun B",309,IF(Atletas!N410="Wu B",310,IF(Atletas!N410="Wu-Hao B",311,IF(Atletas!N410="Outro Taijiquan B",312,IF(Atletas!N410="Yang C",313,IF(Atletas!N410="Chen C",314,IF(Atletas!N410="Sun C",315,IF(Atletas!N410="Wu C",316,IF(Atletas!N410="Wu-Hao C",317,IF(Atletas!N410="Outro Taijiquan C",318,IF(Atletas!N410="Yang D",319,IF(Atletas!N410="Chen D",320,IF(Atletas!N410="Sun D",321,IF(Atletas!N410="Wu D",322,IF(Atletas!N410="Wu-Hao D",323,IF(Atletas!N410="Outro Taijiquan D",324,IF(Atletas!N410="Yang E",325,IF(Atletas!N410="Chen E",326,IF(Atletas!N410="Sun E",327,IF(Atletas!N410="Wu E",328,IF(Atletas!N410="Wu-Hao E",329,IF(Atletas!N410="Outro Taijiquan E",330,IF(Atletas!N410="Yang F",331,IF(Atletas!N410="Chen F",332,IF(Atletas!N410="Sun F",333,IF(Atletas!N410="Wu F",334,IF(Atletas!N410="Wu-Hao F",335,IF(Atletas!N410="Outro Taijiquan F",336,"")))))))))))))))))))))))))))))))))))))</f>
        <v/>
      </c>
      <c r="BP414" s="52" t="str">
        <f>IF(Atletas!O410="","",IF(Atletas!W410&lt;&gt;"",10000,0)+IF(Atletas!B410="Feminino",1000,IF(Atletas!B410="Masculino",2000,""))+IF(OR(Atletas!O410="Yang 26 A",Atletas!O410="Yang 40 A"),401,IF(OR(Atletas!O410="Chen 25 A",Atletas!O410="Chen 36 A",Atletas!O410="Chen 56 A"),402,IF(Atletas!O410="Sun 73 A",403,IF(Atletas!O410="Wu 45 A",404,IF(Atletas!O410="Wu-Hao 46 A",405,IF(OR(Atletas!O410="Taijiquan 16 A",Atletas!O410="Taijiquan 24 A",Atletas!O410="Taijiquan 32 A",Atletas!O410="Taijiquan 42 A"),406,IF(OR(Atletas!O410="Yang 26 B",Atletas!O410="Yang 40 B"),407,IF(OR(Atletas!O410="Chen 25 B",Atletas!O410="Chen 36 B",Atletas!O410="Chen 56 B"),408,IF(Atletas!O410="Sun 73 B",409,IF(Atletas!O410="Wu 45 B",410,IF(Atletas!O410="Wu-Hao 46 B",411,IF(OR(Atletas!O410="Taijiquan 16 B",Atletas!O410="Taijiquan 24 B",Atletas!O410="Taijiquan 32 B",Atletas!O410="Taijiquan 42 B"),412,IF(OR(Atletas!O410="Yang 26 C",Atletas!O410="Yang 40 C"),413,IF(OR(Atletas!O410="Chen 25 C",Atletas!O410="Chen 36 C",Atletas!O410="Chen 56 C"),414,IF(Atletas!O410="Sun 73 C",415,IF(Atletas!O410="Wu 45 C",416,IF(Atletas!O410="Wu-Hao 46 C",417,IF(OR(Atletas!O410="Taijiquan 16 C",Atletas!O410="Taijiquan 24 C",Atletas!O410="Taijiquan 32 C",Atletas!O410="Taijiquan 42 C"),418,0)))))))))))))))))))</f>
        <v/>
      </c>
      <c r="BQ414" s="52" t="str">
        <f>IF(Atletas!O410="","",IF(Atletas!W410&lt;&gt;"",10000,0)+IF(Atletas!B410="Feminino",1000,IF(Atletas!B410="Masculino",2000,""))+IF(OR(Atletas!O410="Yang 26 D",Atletas!O410="Yang 40 D"),419,IF(OR(Atletas!O410="Chen 25 D",Atletas!O410="Chen 36 D",Atletas!O410="Chen 56 D"),420,IF(Atletas!O410="Sun 73 D",421,IF(Atletas!O410="Wu 45 D",422,IF(Atletas!O410="Wu-Hao 46 D",423,IF(OR(Atletas!O410="Taijiquan 16 D",Atletas!O410="Taijiquan 24 D",Atletas!O410="Taijiquan 32 D",Atletas!O410="Taijiquan 42 D"),424,IF(OR(Atletas!O410="Yang 26 E",Atletas!O410="Yang 40 E"),425,IF(OR(Atletas!O410="Chen 25 E",Atletas!O410="Chen 36 E",Atletas!O410="Chen 56 E"),426,IF(Atletas!O410="Sun 73 E",427,IF(Atletas!O410="Wu 45 E",428,IF(Atletas!O410="Wu-Hao 46 E",429,IF(OR(Atletas!O410="Taijiquan 16 E",Atletas!O410="Taijiquan 24 E",Atletas!O410="Taijiquan 32 E",Atletas!O410="Taijiquan 42 E"),430,IF(OR(Atletas!O410="Yang 26 F",Atletas!O410="Yang 40 F"),431,IF(OR(Atletas!O410="Chen 25 F",Atletas!O410="Chen 36 F",Atletas!O410="Chen 56 F"),432,IF(Atletas!O410="Sun 73 F",433,IF(Atletas!O410="Wu 45 F",434,IF(Atletas!O410="Wu-Hao 46 F",435,IF(OR(Atletas!O410="Taijiquan 16 F",Atletas!O410="Taijiquan 24 F",Atletas!O410="Taijiquan 32 F",Atletas!O410="Taijiquan 42 F"),436,0)))))))))))))))))))</f>
        <v/>
      </c>
      <c r="BR414" s="52" t="str">
        <f>IF(Atletas!P410="","",IF(Atletas!W410&lt;&gt;"",10000,0)+IF(Atletas!B410="Feminino",1000,IF(Atletas!B410="Masculino",2000,""))+IF(Atletas!P410="Xingyiquan A",501,IF(Atletas!P410="Baguazhang A",502,IF(Atletas!P410="Outro Estilo Interno A",503,IF(Atletas!P410="Xingyiquan B",504,IF(Atletas!P410="Baguazhang B",505,IF(Atletas!P410="Outro Estilo Interno B",506,IF(Atletas!P410="Xingyiquan C",507,IF(Atletas!P410="Baguazhang C",508,IF(Atletas!P410="Outro Estilo Interno C",509,IF(Atletas!P410="Xingyiquan D",510,IF(Atletas!P410="Baguazhang D",511,IF(Atletas!P410="Outro Estilo Interno D",512,IF(Atletas!P410="Xingyiquan E",513,IF(Atletas!P410="Baguazhang E",514,IF(Atletas!P410="Outro Estilo Interno E",515,IF(Atletas!P410="Xingyiquan F",516,IF(Atletas!P410="Baguazhang F",517,IF(Atletas!P410="Outro Estilo Interno F",518, "")))))))))))))))))))</f>
        <v/>
      </c>
      <c r="BS414" s="52" t="str">
        <f>IF(Atletas!Q410="","",IF(Atletas!W410&lt;&gt;"",10000,0)+IF(Atletas!B410="Feminino",1000,IF(Atletas!B410="Masculino",2000,""))+IF(Atletas!Q410="Dao A",601,IF(Atletas!Q410="Jian A",602,IF(Atletas!Q410="Bishou A",603,IF(Atletas!Q410="Shan A",604,IF(Atletas!Q410="Outra Arma Curta A",605,IF(Atletas!Q410="Dao B",606,IF(Atletas!Q410="Jian B",607,IF(Atletas!Q410="Bishou B",608,IF(Atletas!Q410="Shan B",609,IF(Atletas!Q410="Outra Arma Curta B",610,IF(Atletas!Q410="Dao C",611,IF(Atletas!Q410="Jian C",612,IF(Atletas!Q410="Bishou C",613,IF(Atletas!Q410="Shan C",614,IF(Atletas!Q410="Outra Arma Curta C",615,IF(Atletas!Q410="Dao D",616,IF(Atletas!Q410="Jian D",617,IF(Atletas!Q410="Bishou D",618,IF(Atletas!Q410="Shan D",619,IF(Atletas!Q410="Outra Arma Curta D",620,IF(Atletas!Q410="Dao E",621,IF(Atletas!Q410="Jian E",622,IF(Atletas!Q410="Bishou E",623,IF(Atletas!Q410="Shan E",624,IF(Atletas!Q410="Outra Arma Curta E",625,IF(Atletas!Q410="Dao F",626,IF(Atletas!Q410="Jian F",627,IF(Atletas!Q410="Bishou F",628,IF(Atletas!Q410="Shan F",629,IF(Atletas!Q410="Outra Arma Curta F",630, "")))))))))))))))))))))))))))))))</f>
        <v/>
      </c>
      <c r="BT414" s="52" t="str">
        <f>IF(Atletas!R410="","",IF(Atletas!W410&lt;&gt;"",10000,0)+IF(Atletas!B410="Feminino",1000,IF(Atletas!B410="Masculino",2000,""))+IF(Atletas!R410="Gun A",701,IF(Atletas!R410="Qiang A",702,IF(Atletas!R410="Pudao / Guandao A",703,IF(Atletas!R410="Outra Arma Longa A",704,IF(Atletas!R410="Gun B",705,IF(Atletas!R410="Qiang B",706,IF(Atletas!R410="Pudao / Guandao B",707,IF(Atletas!R410="Outra Arma Longa B",708,IF(Atletas!R410="Gun C",709,IF(Atletas!R410="Qiang C",710,IF(Atletas!R410="Pudao / Guandao C",711,IF(Atletas!R410="Outra Arma Longa C",712,IF(Atletas!R410="Gun D",713,IF(Atletas!R410="Qiang D",714,IF(Atletas!R410="Pudao / Guandao D",715,IF(Atletas!R410="Outra Arma Longa D",716,IF(Atletas!R410="Gun E",717,IF(Atletas!R410="Qiang E",718,IF(Atletas!R410="Pudao / Guandao E",719,IF(Atletas!R410="Outra Arma Longa E",720,IF(Atletas!R410="Gun F",721,IF(Atletas!R410="Qiang F",722,IF(Atletas!R410="Pudao / Guandao F",723,IF(Atletas!R410="Outra Arma Longa F",724,"")))))))))))))))))))))))))</f>
        <v/>
      </c>
      <c r="BU414" s="52" t="str">
        <f>IF(Atletas!S410="","",IF(Atletas!W410&lt;&gt;"",10000,0)+IF(Atletas!B410="Feminino",1000,IF(Atletas!B410="Masculino",2000,""))+IF(Atletas!S410="Arma Dupla A",801,IF(Atletas!S410="Arma Maleável A",802,IF(Atletas!S410="Arma Dupla B",803,IF(Atletas!S410="Arma Maleável B",804,IF(Atletas!S410="Arma Dupla C",805,IF(Atletas!S410="Arma Maleável C",806,IF(Atletas!S410="Arma Dupla D",807,IF(Atletas!S410="Arma Maleável D",808,IF(Atletas!S410="Arma Dupla E",809,IF(Atletas!S410="Arma Maleável E",810,IF(Atletas!S410="Arma Dupla F",811,IF(Atletas!S410="Arma Maleável F",812, "")))))))))))))</f>
        <v/>
      </c>
      <c r="BV414" s="52" t="str">
        <f>IF(Atletas!T410="","",IF(Atletas!W410&lt;&gt;"",10000,0)+IF(Atletas!B410="Feminino",1000,IF(Atletas!B410="Masculino",2000,""))+IF(Atletas!T410="Taijijian Yang A",901,IF(Atletas!T410="Taijijian Chen A",902,IF(Atletas!T410="Taijijian Sun A",903,IF(Atletas!T410="Taijijian Wu A",904,IF(Atletas!T410="Taijijian Wu-Hao A",905,IF(Atletas!T410="Taijijian 32 A",906,IF(Atletas!T410="Taijijian 42 A",907,IF(Atletas!T410="Taijijian Yang B",908,IF(Atletas!T410="Taijijian Chen B",909,IF(Atletas!T410="Taijijian Sun B",910,IF(Atletas!T410="Taijijian Wu B",911,IF(Atletas!T410="Taijijian Wu-Hao B",912,IF(Atletas!T410="Taijijian 32 B",913,IF(Atletas!T410="Taijijian 42 B",914,IF(Atletas!T410="Taijijian Yang C",915,IF(Atletas!T410="Taijijian Chen C",916,IF(Atletas!T410="Taijijian Sun C",917,IF(Atletas!T410="Taijijian Wu C",918,IF(Atletas!T410="Taijijian Wu-Hao C",919,IF(Atletas!T410="Taijijian 32 C",920,IF(Atletas!T410="Taijijian 42 C",921,IF(Atletas!T410="Taijijian Yang D",922,IF(Atletas!T410="Taijijian Chen D",923,IF(Atletas!T410="Taijijian Sun D",924,IF(Atletas!T410="Taijijian Wu D",925,IF(Atletas!T410="Taijijian Wu-Hao D",926,IF(Atletas!T410="Taijijian 32 D",927,IF(Atletas!T410="Taijijian 42 D",928,IF(Atletas!T410="Taijijian Yang E",929,IF(Atletas!T410="Taijijian Chen E",930,IF(Atletas!T410="Taijijian Sun E",931,IF(Atletas!T410="Taijijian Wu E",932,IF(Atletas!T410="Taijijian Wu-Hao E",933,IF(Atletas!T410="Taijijian 32 E",934,IF(Atletas!T410="Taijijian 42 E",935,IF(Atletas!T410="Taijijian Yang F",936,IF(Atletas!T410="Taijijian Chen F",937,IF(Atletas!T410="Taijijian Sun F",938,IF(Atletas!T410="Taijijian Wu F",939,IF(Atletas!T410="Taijijian Wu-Hao F",940,IF(Atletas!T410="Taijijian 32 F",941,IF(Atletas!T410="Taijijian 42 F",942,"")))))))))))))))))))))))))))))))))))))))))))</f>
        <v/>
      </c>
      <c r="BW414" s="52" t="str">
        <f>IF(Atletas!U410="","",IF(Atletas!W410&lt;&gt;"",10000,0)+IF(Atletas!B410="Feminino",1000,IF(Atletas!B410="Masculino",2000,""))+IF(Atletas!T410="Taijijian 42 F",942,IF(Atletas!U410="Taijidao A",943,IF(Atletas!U410="Taijishan A",944,IF(Atletas!U410="Taijiqiang A",945,IF(Atletas!U410="Taijidao B",946,IF(Atletas!U410="Taijishan B",947,IF(Atletas!U410="Taijiqiang B",948,IF(Atletas!U410="Taijidao C",949,IF(Atletas!U410="Taijishan C",950,IF(Atletas!U410="Taijiqiang C",951,IF(Atletas!U410="Taijidao D",952,IF(Atletas!U410="Taijishan D",953,IF(Atletas!U410="Taijiqiang D",954,IF(Atletas!U410="Taijidao E",955,IF(Atletas!U410="Taijishan E",956,IF(Atletas!U410="Taijiqiang E",957,IF(Atletas!U410="Taijidao F",958,IF(Atletas!U410="Taijishan F",959,IF(Atletas!U410="Taijiqiang F",960))))))))))))))))))))</f>
        <v/>
      </c>
      <c r="CF414" s="52" t="str">
        <f xml:space="preserve"> IF(Atletas!V410="","",IF(Atletas!V410="Duilian de Mãos AB - Equipe 1",1,IF(Atletas!V410="Duilian de Mãos AB - Equipe 2",2,IF(Atletas!V410="Duilian de Armas AB - Equipe 1",3,IF(Atletas!V410="Duilian de Armas AB - Equipe 2",4,IF(Atletas!V410="Duilian de Tuishou - Equipe 1",5,IF(Atletas!V410="Duilian de Tuishou - Equipe 2",6,IF(Atletas!V410="Grupo Externo AB - Equipe 1",7,IF(Atletas!V410="Grupo Externo AB - Equipe 2",8,IF(Atletas!V410="Grupo Interno AB - Equipe 1",9,IF(Atletas!V410="Grupo Interno AB - Equipe 2",10,IF(Atletas!V410="Duilian de Mãos CD - Equipe 1",11,IF(Atletas!V410="Duilian de Mãos CD - Equipe 2",12,IF(Atletas!V410="Duilian de Armas CD - Equipe 1",13,IF(Atletas!V410="Duilian de Armas CD - Equipe 2",14,IF(Atletas!V410="Duilian de Tuishou - Equipe 1",15,IF(Atletas!V410="Duilian de Tuishou - Equipe 2",16,IF(Atletas!V410="Grupo Externo CDEF - Equipe 1",17,IF(Atletas!V410="Grupo Externo CDEF - Equipe 2",18,IF(Atletas!V410="Grupo Interno CDEF - Equipe 1",19,IF(Atletas!V410="Grupo Interno CDEF - Equipe 2",20,IF(Atletas!V410="Duilian de Mãos EF - Equipe 1",21,IF(Atletas!V410="Duilian de Mãos EF - Equipe 2",22,IF(Atletas!V410="Duilian de Armas EF - Equipe 1",23,IF(Atletas!V410="Duilian de Armas EF - Equipe 2",24,IF(Atletas!V410="Duilian de Tuishou - Equipe 1",25,IF(Atletas!V410="Duilian de Tuishou - Equipe 2",26,"")))))))))))))))))))))))))))</f>
        <v/>
      </c>
    </row>
    <row r="415" spans="36:84">
      <c r="AJ415" s="46" t="str">
        <f>IF(Atletas!D411="","",IF(Atletas!B411="Feminino",100,IF(Atletas!B411="Masculino",200,""))+(IF(Atletas!D411="Infantil 39kg",1,IF(Atletas!D411="Infantil 42kg",2,IF(Atletas!D411="Infantil 45kg",3,IF(Atletas!D411="Infantil 48kg",4,IF(Atletas!D411="Infantil 52kg",5,IF(Atletas!D411="Infantil 56kg",6,IF(Atletas!D411="Infantil 60kg",7,IF(Atletas!D411="Juvenil 48kg",8,IF(Atletas!D411="Juvenil 52kg",9,IF(Atletas!D411="Juvenil 56kg",10,IF(Atletas!D411="Juvenil 60kg",11,IF(Atletas!D411="Juvenil 65kg",12,IF(Atletas!D411="Juvenil 70kg",13,IF(Atletas!D411="Juvenil 75kg",14,IF(Atletas!D411="Juvenil 80kg",15,IF(Atletas!D411="Adulto 48kg",16,IF(Atletas!D411="Adulto 52kg",17,IF(Atletas!D411="Adulto 56kg",18,IF(Atletas!D411="Adulto 60kg",19,IF(Atletas!D411="Adulto 65kg",20,IF(Atletas!D411="Adulto 70kg",21,IF(Atletas!D411="Adulto 75kg",22,IF(Atletas!D411="Adulto 80kg",23,IF(Atletas!D411="Adulto 85kg",24,IF(Atletas!D411="Adulto 90kg",25,IF(Atletas!D411="Adulto +90kg",26,""))))))))))))))))))))))))))))</f>
        <v/>
      </c>
      <c r="AO415" s="10" t="str">
        <f>IF(Atletas!E411="","",IF(Atletas!B411="Feminino",100,IF(Atletas!B411="Masculino",200,""))+(IF(Atletas!E411="Juvenil 44kg",1,IF(Atletas!E411="Juvenil 48kg",2,IF(Atletas!E411="Juvenil 52kg",3,IF(Atletas!E411="Juvenil 56kg",4,IF(Atletas!E411="Juvenil 60kg",5,IF(Atletas!E411="Juvenil 65kg",6,IF(Atletas!E411="Juvenil 70kg",7,IF(Atletas!E411="Juvenil 75kg",8,IF(Atletas!E411="Juvenil 82kg",9,IF(Atletas!E411="Juvenil 90kg",10,IF(Atletas!E411="Juvenil 100kg",11,IF(Atletas!E411="Adulto 48kg",12,IF(Atletas!E411="Adulto 52kg",13,IF(Atletas!E411="Adulto 56kg",14,IF(Atletas!E411="Adulto 60kg",15,IF(Atletas!E411="Adulto 65kg",16,IF(Atletas!E411="Adulto 70kg",17,IF(Atletas!E411="Adulto 75kg",18,IF(Atletas!E411="Adulto 82kg",19,IF(Atletas!E411="Adulto 90kg",20,IF(Atletas!E411="Adulto 100kg",21,IF(Atletas!E411="Adulto +100kg",22,""))))))))))))))))))))))))</f>
        <v/>
      </c>
      <c r="AT415" s="10" t="str">
        <f>IF(Atletas!F411="","",IF(Atletas!B411="Feminino",100,IF(Atletas!B411="Masculino",200,""))+(IF(Atletas!F411="Adulto 48kg",1,IF(Atletas!F411="Adulto 56kg",2,IF(Atletas!F411="Adulto 65kg",3,IF(Atletas!F411="Adulto 75kg",4,IF(Atletas!F411="Adulto +75kg",5,IF(Atletas!F411="Adulto 52kg",6,IF(Atletas!F411="Adulto 60kg",7,IF(Atletas!F411="Adulto 70kg",8,IF(Atletas!F411="Adulto 80kg",9,IF(Atletas!F411="Adulto 90kg",10,IF(Atletas!F411="Adulto +90kg",11,"")))))))))))))</f>
        <v/>
      </c>
      <c r="AY415" s="46" t="str">
        <f>IF(Atletas!G411="","",IF(Atletas!B411="Feminino",100,IF(Atletas!B411="Masculino",200,""))+(IF(Atletas!G411="Changquan Mirim",1,IF(Atletas!G411="Nanquan Mirim",2,IF(Atletas!G411="Taijiquan Mirim",3,IF(Atletas!G411="Changquan Grupo C",4,IF(Atletas!G411="Nanquan Grupo C",5,IF(Atletas!G411="Taijiquan Grupo C",6,IF(Atletas!G411="Changquan Grupo B",7,IF(Atletas!G411="Nanquan Grupo B",8,IF(Atletas!G411="Taijiquan Grupo B",9,IF(Atletas!G411="Changquan Grupo A",10,IF(Atletas!G411="Nanquan Grupo A",11,IF(Atletas!G411="Taijiquan Grupo A",12,IF(Atletas!G411="Changquan Opcional",13,IF(Atletas!G411="Nanquan Opcional",14,IF(Atletas!G411="Taijiquan Opcional",15,IF(Atletas!G411="Changquan Adulto",16,IF(Atletas!G411="Nanquan Adulto",17,IF(Atletas!G411="Taijiquan Adulto",18,""))))))))))))))))))))</f>
        <v/>
      </c>
      <c r="AZ415" s="46" t="str">
        <f>IF(Atletas!H411="","",IF(Atletas!B411="Feminino",100,IF(Atletas!B411="Masculino",200,""))+(IF(Atletas!H411="Daoshu Mirim",19,IF(Atletas!H411="Jianshu Mirim",20,IF(Atletas!H411="Nandao Mirim",21,IF(Atletas!H411="Taijijian Mirim",22,IF(Atletas!H411="Daoshu Grupo C",23,IF(Atletas!H411="Jianshu Grupo C",24,IF(Atletas!H411="Nandao Grupo C",25,IF(Atletas!H411="Taijijian Grupo C",26,IF(Atletas!H411="Daoshu Grupo B",27,IF(Atletas!H411="Jianshu Grupo B",28,IF(Atletas!H411="Nandao Grupo B",29,IF(Atletas!H411="Taijijian Grupo B",30,IF(Atletas!H411="Daoshu Grupo A",31,IF(Atletas!H411="Jianshu Grupo A",32,IF(Atletas!H411="Nandao Grupo A",33,IF(Atletas!H411="Taijijian Grupo A",34,IF(Atletas!H411="Daoshu Opcional",35,IF(Atletas!H411="Jianshu Opcional",36,IF(Atletas!H411="Nandao Opcional",37,IF(Atletas!H411="Taijijian Opcional",38,IF(Atletas!H411="Daoshu Adulto",39,IF(Atletas!H411="Jianshu Adulto",40,IF(Atletas!H411="Nandao Adulto",41,IF(Atletas!H411="Taijijian Adulto",42,""))))))))))))))))))))))))))</f>
        <v/>
      </c>
      <c r="BA415" s="46" t="str">
        <f>IF(Atletas!I411="","",IF(Atletas!B411="Feminino",100,IF(Atletas!B411="Masculino",200,""))+(IF(Atletas!I411="Gunshu Mirim",43,IF(Atletas!I411="Qiangshu Mirim",44,IF(Atletas!I411="Nangun Mirim",45,IF(Atletas!I411="Gunshu Grupo C",46,IF(Atletas!I411="Qiangshu Grupo C",47,IF(Atletas!I411="Nangun Grupo C",48,IF(Atletas!I411="Gunshu Grupo B",49,IF(Atletas!I411="Qiangshu Grupo B",50,IF(Atletas!I411="Nangun Grupo B",51,IF(Atletas!I411="Gunshu Grupo A",52,IF(Atletas!I411="Qiangshu Grupo A",53,IF(Atletas!I411="Nangun Grupo A",54,IF(Atletas!I411="Gunshu Opcional",55,IF(Atletas!I411="Qiangshu Opcional",56,IF(Atletas!I411="Nangun Opcional",57,IF(Atletas!I411="Gunshu Adulto",58,IF(Atletas!I411="Qiangshu Adulto",59,IF(Atletas!I411="Nangun Adulto",60,""))))))))))))))))))))</f>
        <v/>
      </c>
      <c r="BF415" s="52" t="str">
        <f>IF(Atletas!J411="","",IF(Atletas!B411="Feminino",100,IF(Atletas!B411="Masculino",200,""))+(IF(Atletas!J411="Equipe 1 Grupo B",1,IF(Atletas!J411="Equipe 2 Grupo B",2,IF(Atletas!J411="Equipe 1 Grupo A",3,IF(Atletas!J411="Equipe 2 Grupo A",4,IF(Atletas!J411="Equipe 1 Adulto",5,IF(Atletas!J411="Equipe 2 Adulto",6,""))))))))</f>
        <v/>
      </c>
      <c r="BK415" s="52" t="str">
        <f>IF(Atletas!K411="","",IF(Atletas!W411&lt;&gt;"",10000,0)+(IF(Atletas!B411="Feminino",1000,IF(Atletas!B411="Masculino",2000,""))+IF(Atletas!K411="Choylayfut A",1,IF(Atletas!K411="Hunggar A",2,IF(Atletas!K411="Wuzuquan A",3,IF(Atletas!K411="Wingchun A",4,IF(Atletas!K411="Outra Mão de Sul A",5,IF(Atletas!K411="Choylayfut B",6,IF(Atletas!K411="Hunggar B",7,IF(Atletas!K411="Wuzuquan B",8,IF(Atletas!K411="Wingchun B",9,IF(Atletas!K411="Outra Mão de Sul B",10,IF(Atletas!K411="Choylayfut C",11,IF(Atletas!K411="Hunggar C",12,IF(Atletas!K411="Wuzuquan C",13,IF(Atletas!K411="Wingchun C",14,IF(Atletas!K411="Outra Mão de Sul C",15,IF(Atletas!K411="Choylayfut D",16,IF(Atletas!K411="Hunggar D",17,IF(Atletas!K411="Wuzuquan D",18,IF(Atletas!K411="Wingchun D",19,IF(Atletas!K411="Outra Mão de Sul D",20,IF(Atletas!K411="Choylayfut E",21,IF(Atletas!K411="Hunggar E",22,IF(Atletas!K411="Wuzuquan E",23,IF(Atletas!K411="Wingchun E",24,IF(Atletas!K411="Outra Mão de Sul E",25,IF(Atletas!K411="Choylayfut F",26,IF(Atletas!K411="Hunggar F",27,IF(Atletas!K411="Wuzuquan F",28,IF(Atletas!K411="Wingchun F",29,IF(Atletas!K411="Outra Mão de Sul F",30,""))))))))))))))))))))))))))))))))</f>
        <v/>
      </c>
      <c r="BL415" s="52" t="str">
        <f>IF(Atletas!L411="","",IF(Atletas!W411&lt;&gt;"",10000,0)+(IF(Atletas!B411="Feminino",1000,IF(Atletas!B411="Masculino",2000,""))+(IF(Atletas!L411="Chaquan A",101,IF(Atletas!L411="Emeiquan A",102,IF(Atletas!L411="Fanziquan A",103,IF(Atletas!L411="Huaquan A",104,IF(Atletas!L411="Hongquan A",105,IF(Atletas!L411="Paochui A",106,IF(Atletas!L411="Piguaquan A",107,IF(Atletas!L411="Shaolinquan A",108,IF(Atletas!L411="Tanglangquan A",109,IF(Atletas!L411="Yinzhaophai A",110,IF(Atletas!L411="Tongbeiquan A",111,IF(Atletas!L411="Wudangquan A",112,IF(Atletas!L411="Outros Estilos A",113,IF(Atletas!L411="Chaquan B",114,IF(Atletas!L411="Emeiquan B",115,IF(Atletas!L411="Fanziquan B",116,IF(Atletas!L411="Huaquan B",117,IF(Atletas!L411="Hongquan B",118,IF(Atletas!L411="Paochui B",119,IF(Atletas!L411="Piguaquan B",120,IF(Atletas!L411="Shaolinquan B",121,IF(Atletas!L411="Tanglangquan B",122,IF(Atletas!L411="Yinzhaophai B",123,IF(Atletas!L411="Tongbeiquan B",124,IF(Atletas!L411="Wudangquan B",125,IF(Atletas!L411="Outros Estilos B",126,IF(Atletas!L411="Chaquan C",127,IF(Atletas!L411="Emeiquan C",128,IF(Atletas!L411="Fanziquan C",129,IF(Atletas!L411="Huaquan C",130,IF(Atletas!L411="Hongquan C",131,IF(Atletas!L411="Paochui C",132,IF(Atletas!L411="Piguaquan C",133,IF(Atletas!L411="Shaolinquan C",134,IF(Atletas!L411="Tanglangquan C",135,IF(Atletas!L411="Yinzhaophai C",136,IF(Atletas!L411="Tongbeiquan C",137,IF(Atletas!L411="Wudangquan C",138,IF(Atletas!L411="Outros Estilos C",139,0))))))))))))))))))))))))))))))))))))))))))</f>
        <v/>
      </c>
      <c r="BM415" s="52" t="str">
        <f>IF(Atletas!L411="","",IF(Atletas!W411&lt;&gt;"",10000,0)+(IF(Atletas!B411="Feminino",1000,IF(Atletas!B411="Masculino",2000,""))+(IF(Atletas!L411="Chaquan D",140,IF(Atletas!L411="Emeiquan D",141,IF(Atletas!L411="Fanziquan D",142,IF(Atletas!L411="Huaquan D",143,IF(Atletas!L411="Hongquan D",144,IF(Atletas!L411="Paochui D",145,IF(Atletas!L411="Piguaquan D",146,IF(Atletas!L411="Shaolinquan D",147,IF(Atletas!L411="Tanglangquan D",148,IF(Atletas!L411="Yinzhaophai D",149,IF(Atletas!L411="Tongbeiquan D",150,IF(Atletas!L411="Wudangquan D",151,IF(Atletas!L411="Outros Estilos D",152,IF(Atletas!L411="Chaquan E",153,IF(Atletas!L411="Emeiquan E",154,IF(Atletas!L411="Fanziquan E",155,IF(Atletas!L411="Huaquan E",156,IF(Atletas!L411="Hongquan E",157,IF(Atletas!L411="Paochui E",158,IF(Atletas!L411="Piguaquan E",159,IF(Atletas!L411="Shaolinquan E",160,IF(Atletas!L411="Tanglangquan E",161,IF(Atletas!L411="Yinzhaophai E",162,IF(Atletas!L411="Tongbeiquan E",163,IF(Atletas!L411="Wudangquan E",164,IF(Atletas!L411="Outros Estilos E",165,IF(Atletas!L411="Chaquan F",166,IF(Atletas!L411="Emeiquan F",167,IF(Atletas!L411="Fanziquan F",168,IF(Atletas!L411="Huaquan F",169,IF(Atletas!L411="Hongquan F",170,IF(Atletas!L411="Paochui F",171,IF(Atletas!L411="Piguaquan F",172,IF(Atletas!L411="Shaolinquan F",173,IF(Atletas!L411="Tanglangquan F",174,IF(Atletas!L411="Yinzhaophai F",175,IF(Atletas!L411="Tongbeiquan F",176,IF(Atletas!L411="Wudangquan F",177,IF(Atletas!L411="Outros Estilos F",178,0))))))))))))))))))))))))))))))))))))))))))</f>
        <v/>
      </c>
      <c r="BN415" s="52" t="str">
        <f>IF(Atletas!M411="","",IF(Atletas!W411&lt;&gt;"",10000,0)+(IF(Atletas!B411="Feminino",1000,IF(Atletas!B411="Masculino",2000,""))+(IF(Atletas!M411="Ditangquan A",201,IF(Atletas!M411="Houquan A",202,IF(Atletas!M411="Zuiquan A",203,IF(Atletas!M411="Ditangquan B",204,IF(Atletas!M411="Houquan B",205,IF(Atletas!M411="Zuiquan B",206,IF(Atletas!M411="Ditangquan C",207,IF(Atletas!M411="Houquan C",208,IF(Atletas!M411="Zuiquan C",209,IF(Atletas!M411="Ditangquan D",210,IF(Atletas!M411="Houquan D",211,IF(Atletas!M411="Zuiquan D",212,IF(Atletas!M411="Ditangquan E",213,IF(Atletas!M411="Houquan E",214,IF(Atletas!M411="Zuiquan E",215,IF(Atletas!M411="Ditangquan F",216,IF(Atletas!M411="Houquan F",217,IF(Atletas!M411="Zuiquan F",218,"")))))))))))))))))))))</f>
        <v/>
      </c>
      <c r="BO415" s="52" t="str">
        <f>IF(Atletas!N411="","",IF(Atletas!W411&lt;&gt;"",10000,0)+IF(Atletas!B411="Feminino",1000,IF(Atletas!B411="Masculino",2000,""))+IF(Atletas!N411="Yang A",301,IF(Atletas!N411="Chen A",30,IF(Atletas!N411="Sun A",303,IF(Atletas!N411="Wu A",304,IF(Atletas!N411="Wu-Hao A",305,IF(Atletas!N411="Outro Taijiquan A",306,IF(Atletas!N411="Yang B",307,IF(Atletas!N411="Chen B",308,IF(Atletas!N411="Sun B",309,IF(Atletas!N411="Wu B",310,IF(Atletas!N411="Wu-Hao B",311,IF(Atletas!N411="Outro Taijiquan B",312,IF(Atletas!N411="Yang C",313,IF(Atletas!N411="Chen C",314,IF(Atletas!N411="Sun C",315,IF(Atletas!N411="Wu C",316,IF(Atletas!N411="Wu-Hao C",317,IF(Atletas!N411="Outro Taijiquan C",318,IF(Atletas!N411="Yang D",319,IF(Atletas!N411="Chen D",320,IF(Atletas!N411="Sun D",321,IF(Atletas!N411="Wu D",322,IF(Atletas!N411="Wu-Hao D",323,IF(Atletas!N411="Outro Taijiquan D",324,IF(Atletas!N411="Yang E",325,IF(Atletas!N411="Chen E",326,IF(Atletas!N411="Sun E",327,IF(Atletas!N411="Wu E",328,IF(Atletas!N411="Wu-Hao E",329,IF(Atletas!N411="Outro Taijiquan E",330,IF(Atletas!N411="Yang F",331,IF(Atletas!N411="Chen F",332,IF(Atletas!N411="Sun F",333,IF(Atletas!N411="Wu F",334,IF(Atletas!N411="Wu-Hao F",335,IF(Atletas!N411="Outro Taijiquan F",336,"")))))))))))))))))))))))))))))))))))))</f>
        <v/>
      </c>
      <c r="BP415" s="52" t="str">
        <f>IF(Atletas!O411="","",IF(Atletas!W411&lt;&gt;"",10000,0)+IF(Atletas!B411="Feminino",1000,IF(Atletas!B411="Masculino",2000,""))+IF(OR(Atletas!O411="Yang 26 A",Atletas!O411="Yang 40 A"),401,IF(OR(Atletas!O411="Chen 25 A",Atletas!O411="Chen 36 A",Atletas!O411="Chen 56 A"),402,IF(Atletas!O411="Sun 73 A",403,IF(Atletas!O411="Wu 45 A",404,IF(Atletas!O411="Wu-Hao 46 A",405,IF(OR(Atletas!O411="Taijiquan 16 A",Atletas!O411="Taijiquan 24 A",Atletas!O411="Taijiquan 32 A",Atletas!O411="Taijiquan 42 A"),406,IF(OR(Atletas!O411="Yang 26 B",Atletas!O411="Yang 40 B"),407,IF(OR(Atletas!O411="Chen 25 B",Atletas!O411="Chen 36 B",Atletas!O411="Chen 56 B"),408,IF(Atletas!O411="Sun 73 B",409,IF(Atletas!O411="Wu 45 B",410,IF(Atletas!O411="Wu-Hao 46 B",411,IF(OR(Atletas!O411="Taijiquan 16 B",Atletas!O411="Taijiquan 24 B",Atletas!O411="Taijiquan 32 B",Atletas!O411="Taijiquan 42 B"),412,IF(OR(Atletas!O411="Yang 26 C",Atletas!O411="Yang 40 C"),413,IF(OR(Atletas!O411="Chen 25 C",Atletas!O411="Chen 36 C",Atletas!O411="Chen 56 C"),414,IF(Atletas!O411="Sun 73 C",415,IF(Atletas!O411="Wu 45 C",416,IF(Atletas!O411="Wu-Hao 46 C",417,IF(OR(Atletas!O411="Taijiquan 16 C",Atletas!O411="Taijiquan 24 C",Atletas!O411="Taijiquan 32 C",Atletas!O411="Taijiquan 42 C"),418,0)))))))))))))))))))</f>
        <v/>
      </c>
      <c r="BQ415" s="52" t="str">
        <f>IF(Atletas!O411="","",IF(Atletas!W411&lt;&gt;"",10000,0)+IF(Atletas!B411="Feminino",1000,IF(Atletas!B411="Masculino",2000,""))+IF(OR(Atletas!O411="Yang 26 D",Atletas!O411="Yang 40 D"),419,IF(OR(Atletas!O411="Chen 25 D",Atletas!O411="Chen 36 D",Atletas!O411="Chen 56 D"),420,IF(Atletas!O411="Sun 73 D",421,IF(Atletas!O411="Wu 45 D",422,IF(Atletas!O411="Wu-Hao 46 D",423,IF(OR(Atletas!O411="Taijiquan 16 D",Atletas!O411="Taijiquan 24 D",Atletas!O411="Taijiquan 32 D",Atletas!O411="Taijiquan 42 D"),424,IF(OR(Atletas!O411="Yang 26 E",Atletas!O411="Yang 40 E"),425,IF(OR(Atletas!O411="Chen 25 E",Atletas!O411="Chen 36 E",Atletas!O411="Chen 56 E"),426,IF(Atletas!O411="Sun 73 E",427,IF(Atletas!O411="Wu 45 E",428,IF(Atletas!O411="Wu-Hao 46 E",429,IF(OR(Atletas!O411="Taijiquan 16 E",Atletas!O411="Taijiquan 24 E",Atletas!O411="Taijiquan 32 E",Atletas!O411="Taijiquan 42 E"),430,IF(OR(Atletas!O411="Yang 26 F",Atletas!O411="Yang 40 F"),431,IF(OR(Atletas!O411="Chen 25 F",Atletas!O411="Chen 36 F",Atletas!O411="Chen 56 F"),432,IF(Atletas!O411="Sun 73 F",433,IF(Atletas!O411="Wu 45 F",434,IF(Atletas!O411="Wu-Hao 46 F",435,IF(OR(Atletas!O411="Taijiquan 16 F",Atletas!O411="Taijiquan 24 F",Atletas!O411="Taijiquan 32 F",Atletas!O411="Taijiquan 42 F"),436,0)))))))))))))))))))</f>
        <v/>
      </c>
      <c r="BR415" s="52" t="str">
        <f>IF(Atletas!P411="","",IF(Atletas!W411&lt;&gt;"",10000,0)+IF(Atletas!B411="Feminino",1000,IF(Atletas!B411="Masculino",2000,""))+IF(Atletas!P411="Xingyiquan A",501,IF(Atletas!P411="Baguazhang A",502,IF(Atletas!P411="Outro Estilo Interno A",503,IF(Atletas!P411="Xingyiquan B",504,IF(Atletas!P411="Baguazhang B",505,IF(Atletas!P411="Outro Estilo Interno B",506,IF(Atletas!P411="Xingyiquan C",507,IF(Atletas!P411="Baguazhang C",508,IF(Atletas!P411="Outro Estilo Interno C",509,IF(Atletas!P411="Xingyiquan D",510,IF(Atletas!P411="Baguazhang D",511,IF(Atletas!P411="Outro Estilo Interno D",512,IF(Atletas!P411="Xingyiquan E",513,IF(Atletas!P411="Baguazhang E",514,IF(Atletas!P411="Outro Estilo Interno E",515,IF(Atletas!P411="Xingyiquan F",516,IF(Atletas!P411="Baguazhang F",517,IF(Atletas!P411="Outro Estilo Interno F",518, "")))))))))))))))))))</f>
        <v/>
      </c>
      <c r="BS415" s="52" t="str">
        <f>IF(Atletas!Q411="","",IF(Atletas!W411&lt;&gt;"",10000,0)+IF(Atletas!B411="Feminino",1000,IF(Atletas!B411="Masculino",2000,""))+IF(Atletas!Q411="Dao A",601,IF(Atletas!Q411="Jian A",602,IF(Atletas!Q411="Bishou A",603,IF(Atletas!Q411="Shan A",604,IF(Atletas!Q411="Outra Arma Curta A",605,IF(Atletas!Q411="Dao B",606,IF(Atletas!Q411="Jian B",607,IF(Atletas!Q411="Bishou B",608,IF(Atletas!Q411="Shan B",609,IF(Atletas!Q411="Outra Arma Curta B",610,IF(Atletas!Q411="Dao C",611,IF(Atletas!Q411="Jian C",612,IF(Atletas!Q411="Bishou C",613,IF(Atletas!Q411="Shan C",614,IF(Atletas!Q411="Outra Arma Curta C",615,IF(Atletas!Q411="Dao D",616,IF(Atletas!Q411="Jian D",617,IF(Atletas!Q411="Bishou D",618,IF(Atletas!Q411="Shan D",619,IF(Atletas!Q411="Outra Arma Curta D",620,IF(Atletas!Q411="Dao E",621,IF(Atletas!Q411="Jian E",622,IF(Atletas!Q411="Bishou E",623,IF(Atletas!Q411="Shan E",624,IF(Atletas!Q411="Outra Arma Curta E",625,IF(Atletas!Q411="Dao F",626,IF(Atletas!Q411="Jian F",627,IF(Atletas!Q411="Bishou F",628,IF(Atletas!Q411="Shan F",629,IF(Atletas!Q411="Outra Arma Curta F",630, "")))))))))))))))))))))))))))))))</f>
        <v/>
      </c>
      <c r="BT415" s="52" t="str">
        <f>IF(Atletas!R411="","",IF(Atletas!W411&lt;&gt;"",10000,0)+IF(Atletas!B411="Feminino",1000,IF(Atletas!B411="Masculino",2000,""))+IF(Atletas!R411="Gun A",701,IF(Atletas!R411="Qiang A",702,IF(Atletas!R411="Pudao / Guandao A",703,IF(Atletas!R411="Outra Arma Longa A",704,IF(Atletas!R411="Gun B",705,IF(Atletas!R411="Qiang B",706,IF(Atletas!R411="Pudao / Guandao B",707,IF(Atletas!R411="Outra Arma Longa B",708,IF(Atletas!R411="Gun C",709,IF(Atletas!R411="Qiang C",710,IF(Atletas!R411="Pudao / Guandao C",711,IF(Atletas!R411="Outra Arma Longa C",712,IF(Atletas!R411="Gun D",713,IF(Atletas!R411="Qiang D",714,IF(Atletas!R411="Pudao / Guandao D",715,IF(Atletas!R411="Outra Arma Longa D",716,IF(Atletas!R411="Gun E",717,IF(Atletas!R411="Qiang E",718,IF(Atletas!R411="Pudao / Guandao E",719,IF(Atletas!R411="Outra Arma Longa E",720,IF(Atletas!R411="Gun F",721,IF(Atletas!R411="Qiang F",722,IF(Atletas!R411="Pudao / Guandao F",723,IF(Atletas!R411="Outra Arma Longa F",724,"")))))))))))))))))))))))))</f>
        <v/>
      </c>
      <c r="BU415" s="52" t="str">
        <f>IF(Atletas!S411="","",IF(Atletas!W411&lt;&gt;"",10000,0)+IF(Atletas!B411="Feminino",1000,IF(Atletas!B411="Masculino",2000,""))+IF(Atletas!S411="Arma Dupla A",801,IF(Atletas!S411="Arma Maleável A",802,IF(Atletas!S411="Arma Dupla B",803,IF(Atletas!S411="Arma Maleável B",804,IF(Atletas!S411="Arma Dupla C",805,IF(Atletas!S411="Arma Maleável C",806,IF(Atletas!S411="Arma Dupla D",807,IF(Atletas!S411="Arma Maleável D",808,IF(Atletas!S411="Arma Dupla E",809,IF(Atletas!S411="Arma Maleável E",810,IF(Atletas!S411="Arma Dupla F",811,IF(Atletas!S411="Arma Maleável F",812, "")))))))))))))</f>
        <v/>
      </c>
      <c r="BV415" s="52" t="str">
        <f>IF(Atletas!T411="","",IF(Atletas!W411&lt;&gt;"",10000,0)+IF(Atletas!B411="Feminino",1000,IF(Atletas!B411="Masculino",2000,""))+IF(Atletas!T411="Taijijian Yang A",901,IF(Atletas!T411="Taijijian Chen A",902,IF(Atletas!T411="Taijijian Sun A",903,IF(Atletas!T411="Taijijian Wu A",904,IF(Atletas!T411="Taijijian Wu-Hao A",905,IF(Atletas!T411="Taijijian 32 A",906,IF(Atletas!T411="Taijijian 42 A",907,IF(Atletas!T411="Taijijian Yang B",908,IF(Atletas!T411="Taijijian Chen B",909,IF(Atletas!T411="Taijijian Sun B",910,IF(Atletas!T411="Taijijian Wu B",911,IF(Atletas!T411="Taijijian Wu-Hao B",912,IF(Atletas!T411="Taijijian 32 B",913,IF(Atletas!T411="Taijijian 42 B",914,IF(Atletas!T411="Taijijian Yang C",915,IF(Atletas!T411="Taijijian Chen C",916,IF(Atletas!T411="Taijijian Sun C",917,IF(Atletas!T411="Taijijian Wu C",918,IF(Atletas!T411="Taijijian Wu-Hao C",919,IF(Atletas!T411="Taijijian 32 C",920,IF(Atletas!T411="Taijijian 42 C",921,IF(Atletas!T411="Taijijian Yang D",922,IF(Atletas!T411="Taijijian Chen D",923,IF(Atletas!T411="Taijijian Sun D",924,IF(Atletas!T411="Taijijian Wu D",925,IF(Atletas!T411="Taijijian Wu-Hao D",926,IF(Atletas!T411="Taijijian 32 D",927,IF(Atletas!T411="Taijijian 42 D",928,IF(Atletas!T411="Taijijian Yang E",929,IF(Atletas!T411="Taijijian Chen E",930,IF(Atletas!T411="Taijijian Sun E",931,IF(Atletas!T411="Taijijian Wu E",932,IF(Atletas!T411="Taijijian Wu-Hao E",933,IF(Atletas!T411="Taijijian 32 E",934,IF(Atletas!T411="Taijijian 42 E",935,IF(Atletas!T411="Taijijian Yang F",936,IF(Atletas!T411="Taijijian Chen F",937,IF(Atletas!T411="Taijijian Sun F",938,IF(Atletas!T411="Taijijian Wu F",939,IF(Atletas!T411="Taijijian Wu-Hao F",940,IF(Atletas!T411="Taijijian 32 F",941,IF(Atletas!T411="Taijijian 42 F",942,"")))))))))))))))))))))))))))))))))))))))))))</f>
        <v/>
      </c>
      <c r="BW415" s="52" t="str">
        <f>IF(Atletas!U411="","",IF(Atletas!W411&lt;&gt;"",10000,0)+IF(Atletas!B411="Feminino",1000,IF(Atletas!B411="Masculino",2000,""))+IF(Atletas!T411="Taijijian 42 F",942,IF(Atletas!U411="Taijidao A",943,IF(Atletas!U411="Taijishan A",944,IF(Atletas!U411="Taijiqiang A",945,IF(Atletas!U411="Taijidao B",946,IF(Atletas!U411="Taijishan B",947,IF(Atletas!U411="Taijiqiang B",948,IF(Atletas!U411="Taijidao C",949,IF(Atletas!U411="Taijishan C",950,IF(Atletas!U411="Taijiqiang C",951,IF(Atletas!U411="Taijidao D",952,IF(Atletas!U411="Taijishan D",953,IF(Atletas!U411="Taijiqiang D",954,IF(Atletas!U411="Taijidao E",955,IF(Atletas!U411="Taijishan E",956,IF(Atletas!U411="Taijiqiang E",957,IF(Atletas!U411="Taijidao F",958,IF(Atletas!U411="Taijishan F",959,IF(Atletas!U411="Taijiqiang F",960))))))))))))))))))))</f>
        <v/>
      </c>
      <c r="CF415" s="52" t="str">
        <f xml:space="preserve"> IF(Atletas!V411="","",IF(Atletas!V411="Duilian de Mãos AB - Equipe 1",1,IF(Atletas!V411="Duilian de Mãos AB - Equipe 2",2,IF(Atletas!V411="Duilian de Armas AB - Equipe 1",3,IF(Atletas!V411="Duilian de Armas AB - Equipe 2",4,IF(Atletas!V411="Duilian de Tuishou - Equipe 1",5,IF(Atletas!V411="Duilian de Tuishou - Equipe 2",6,IF(Atletas!V411="Grupo Externo AB - Equipe 1",7,IF(Atletas!V411="Grupo Externo AB - Equipe 2",8,IF(Atletas!V411="Grupo Interno AB - Equipe 1",9,IF(Atletas!V411="Grupo Interno AB - Equipe 2",10,IF(Atletas!V411="Duilian de Mãos CD - Equipe 1",11,IF(Atletas!V411="Duilian de Mãos CD - Equipe 2",12,IF(Atletas!V411="Duilian de Armas CD - Equipe 1",13,IF(Atletas!V411="Duilian de Armas CD - Equipe 2",14,IF(Atletas!V411="Duilian de Tuishou - Equipe 1",15,IF(Atletas!V411="Duilian de Tuishou - Equipe 2",16,IF(Atletas!V411="Grupo Externo CDEF - Equipe 1",17,IF(Atletas!V411="Grupo Externo CDEF - Equipe 2",18,IF(Atletas!V411="Grupo Interno CDEF - Equipe 1",19,IF(Atletas!V411="Grupo Interno CDEF - Equipe 2",20,IF(Atletas!V411="Duilian de Mãos EF - Equipe 1",21,IF(Atletas!V411="Duilian de Mãos EF - Equipe 2",22,IF(Atletas!V411="Duilian de Armas EF - Equipe 1",23,IF(Atletas!V411="Duilian de Armas EF - Equipe 2",24,IF(Atletas!V411="Duilian de Tuishou - Equipe 1",25,IF(Atletas!V411="Duilian de Tuishou - Equipe 2",26,"")))))))))))))))))))))))))))</f>
        <v/>
      </c>
    </row>
    <row r="416" spans="36:84">
      <c r="AJ416" s="46" t="str">
        <f>IF(Atletas!D412="","",IF(Atletas!B412="Feminino",100,IF(Atletas!B412="Masculino",200,""))+(IF(Atletas!D412="Infantil 39kg",1,IF(Atletas!D412="Infantil 42kg",2,IF(Atletas!D412="Infantil 45kg",3,IF(Atletas!D412="Infantil 48kg",4,IF(Atletas!D412="Infantil 52kg",5,IF(Atletas!D412="Infantil 56kg",6,IF(Atletas!D412="Infantil 60kg",7,IF(Atletas!D412="Juvenil 48kg",8,IF(Atletas!D412="Juvenil 52kg",9,IF(Atletas!D412="Juvenil 56kg",10,IF(Atletas!D412="Juvenil 60kg",11,IF(Atletas!D412="Juvenil 65kg",12,IF(Atletas!D412="Juvenil 70kg",13,IF(Atletas!D412="Juvenil 75kg",14,IF(Atletas!D412="Juvenil 80kg",15,IF(Atletas!D412="Adulto 48kg",16,IF(Atletas!D412="Adulto 52kg",17,IF(Atletas!D412="Adulto 56kg",18,IF(Atletas!D412="Adulto 60kg",19,IF(Atletas!D412="Adulto 65kg",20,IF(Atletas!D412="Adulto 70kg",21,IF(Atletas!D412="Adulto 75kg",22,IF(Atletas!D412="Adulto 80kg",23,IF(Atletas!D412="Adulto 85kg",24,IF(Atletas!D412="Adulto 90kg",25,IF(Atletas!D412="Adulto +90kg",26,""))))))))))))))))))))))))))))</f>
        <v/>
      </c>
      <c r="AO416" s="10" t="str">
        <f>IF(Atletas!E412="","",IF(Atletas!B412="Feminino",100,IF(Atletas!B412="Masculino",200,""))+(IF(Atletas!E412="Juvenil 44kg",1,IF(Atletas!E412="Juvenil 48kg",2,IF(Atletas!E412="Juvenil 52kg",3,IF(Atletas!E412="Juvenil 56kg",4,IF(Atletas!E412="Juvenil 60kg",5,IF(Atletas!E412="Juvenil 65kg",6,IF(Atletas!E412="Juvenil 70kg",7,IF(Atletas!E412="Juvenil 75kg",8,IF(Atletas!E412="Juvenil 82kg",9,IF(Atletas!E412="Juvenil 90kg",10,IF(Atletas!E412="Juvenil 100kg",11,IF(Atletas!E412="Adulto 48kg",12,IF(Atletas!E412="Adulto 52kg",13,IF(Atletas!E412="Adulto 56kg",14,IF(Atletas!E412="Adulto 60kg",15,IF(Atletas!E412="Adulto 65kg",16,IF(Atletas!E412="Adulto 70kg",17,IF(Atletas!E412="Adulto 75kg",18,IF(Atletas!E412="Adulto 82kg",19,IF(Atletas!E412="Adulto 90kg",20,IF(Atletas!E412="Adulto 100kg",21,IF(Atletas!E412="Adulto +100kg",22,""))))))))))))))))))))))))</f>
        <v/>
      </c>
      <c r="AT416" s="10" t="str">
        <f>IF(Atletas!F412="","",IF(Atletas!B412="Feminino",100,IF(Atletas!B412="Masculino",200,""))+(IF(Atletas!F412="Adulto 48kg",1,IF(Atletas!F412="Adulto 56kg",2,IF(Atletas!F412="Adulto 65kg",3,IF(Atletas!F412="Adulto 75kg",4,IF(Atletas!F412="Adulto +75kg",5,IF(Atletas!F412="Adulto 52kg",6,IF(Atletas!F412="Adulto 60kg",7,IF(Atletas!F412="Adulto 70kg",8,IF(Atletas!F412="Adulto 80kg",9,IF(Atletas!F412="Adulto 90kg",10,IF(Atletas!F412="Adulto +90kg",11,"")))))))))))))</f>
        <v/>
      </c>
      <c r="AY416" s="46" t="str">
        <f>IF(Atletas!G412="","",IF(Atletas!B412="Feminino",100,IF(Atletas!B412="Masculino",200,""))+(IF(Atletas!G412="Changquan Mirim",1,IF(Atletas!G412="Nanquan Mirim",2,IF(Atletas!G412="Taijiquan Mirim",3,IF(Atletas!G412="Changquan Grupo C",4,IF(Atletas!G412="Nanquan Grupo C",5,IF(Atletas!G412="Taijiquan Grupo C",6,IF(Atletas!G412="Changquan Grupo B",7,IF(Atletas!G412="Nanquan Grupo B",8,IF(Atletas!G412="Taijiquan Grupo B",9,IF(Atletas!G412="Changquan Grupo A",10,IF(Atletas!G412="Nanquan Grupo A",11,IF(Atletas!G412="Taijiquan Grupo A",12,IF(Atletas!G412="Changquan Opcional",13,IF(Atletas!G412="Nanquan Opcional",14,IF(Atletas!G412="Taijiquan Opcional",15,IF(Atletas!G412="Changquan Adulto",16,IF(Atletas!G412="Nanquan Adulto",17,IF(Atletas!G412="Taijiquan Adulto",18,""))))))))))))))))))))</f>
        <v/>
      </c>
      <c r="AZ416" s="46" t="str">
        <f>IF(Atletas!H412="","",IF(Atletas!B412="Feminino",100,IF(Atletas!B412="Masculino",200,""))+(IF(Atletas!H412="Daoshu Mirim",19,IF(Atletas!H412="Jianshu Mirim",20,IF(Atletas!H412="Nandao Mirim",21,IF(Atletas!H412="Taijijian Mirim",22,IF(Atletas!H412="Daoshu Grupo C",23,IF(Atletas!H412="Jianshu Grupo C",24,IF(Atletas!H412="Nandao Grupo C",25,IF(Atletas!H412="Taijijian Grupo C",26,IF(Atletas!H412="Daoshu Grupo B",27,IF(Atletas!H412="Jianshu Grupo B",28,IF(Atletas!H412="Nandao Grupo B",29,IF(Atletas!H412="Taijijian Grupo B",30,IF(Atletas!H412="Daoshu Grupo A",31,IF(Atletas!H412="Jianshu Grupo A",32,IF(Atletas!H412="Nandao Grupo A",33,IF(Atletas!H412="Taijijian Grupo A",34,IF(Atletas!H412="Daoshu Opcional",35,IF(Atletas!H412="Jianshu Opcional",36,IF(Atletas!H412="Nandao Opcional",37,IF(Atletas!H412="Taijijian Opcional",38,IF(Atletas!H412="Daoshu Adulto",39,IF(Atletas!H412="Jianshu Adulto",40,IF(Atletas!H412="Nandao Adulto",41,IF(Atletas!H412="Taijijian Adulto",42,""))))))))))))))))))))))))))</f>
        <v/>
      </c>
      <c r="BA416" s="46" t="str">
        <f>IF(Atletas!I412="","",IF(Atletas!B412="Feminino",100,IF(Atletas!B412="Masculino",200,""))+(IF(Atletas!I412="Gunshu Mirim",43,IF(Atletas!I412="Qiangshu Mirim",44,IF(Atletas!I412="Nangun Mirim",45,IF(Atletas!I412="Gunshu Grupo C",46,IF(Atletas!I412="Qiangshu Grupo C",47,IF(Atletas!I412="Nangun Grupo C",48,IF(Atletas!I412="Gunshu Grupo B",49,IF(Atletas!I412="Qiangshu Grupo B",50,IF(Atletas!I412="Nangun Grupo B",51,IF(Atletas!I412="Gunshu Grupo A",52,IF(Atletas!I412="Qiangshu Grupo A",53,IF(Atletas!I412="Nangun Grupo A",54,IF(Atletas!I412="Gunshu Opcional",55,IF(Atletas!I412="Qiangshu Opcional",56,IF(Atletas!I412="Nangun Opcional",57,IF(Atletas!I412="Gunshu Adulto",58,IF(Atletas!I412="Qiangshu Adulto",59,IF(Atletas!I412="Nangun Adulto",60,""))))))))))))))))))))</f>
        <v/>
      </c>
      <c r="BF416" s="52" t="str">
        <f>IF(Atletas!J412="","",IF(Atletas!B412="Feminino",100,IF(Atletas!B412="Masculino",200,""))+(IF(Atletas!J412="Equipe 1 Grupo B",1,IF(Atletas!J412="Equipe 2 Grupo B",2,IF(Atletas!J412="Equipe 1 Grupo A",3,IF(Atletas!J412="Equipe 2 Grupo A",4,IF(Atletas!J412="Equipe 1 Adulto",5,IF(Atletas!J412="Equipe 2 Adulto",6,""))))))))</f>
        <v/>
      </c>
      <c r="BK416" s="52" t="str">
        <f>IF(Atletas!K412="","",IF(Atletas!W412&lt;&gt;"",10000,0)+(IF(Atletas!B412="Feminino",1000,IF(Atletas!B412="Masculino",2000,""))+IF(Atletas!K412="Choylayfut A",1,IF(Atletas!K412="Hunggar A",2,IF(Atletas!K412="Wuzuquan A",3,IF(Atletas!K412="Wingchun A",4,IF(Atletas!K412="Outra Mão de Sul A",5,IF(Atletas!K412="Choylayfut B",6,IF(Atletas!K412="Hunggar B",7,IF(Atletas!K412="Wuzuquan B",8,IF(Atletas!K412="Wingchun B",9,IF(Atletas!K412="Outra Mão de Sul B",10,IF(Atletas!K412="Choylayfut C",11,IF(Atletas!K412="Hunggar C",12,IF(Atletas!K412="Wuzuquan C",13,IF(Atletas!K412="Wingchun C",14,IF(Atletas!K412="Outra Mão de Sul C",15,IF(Atletas!K412="Choylayfut D",16,IF(Atletas!K412="Hunggar D",17,IF(Atletas!K412="Wuzuquan D",18,IF(Atletas!K412="Wingchun D",19,IF(Atletas!K412="Outra Mão de Sul D",20,IF(Atletas!K412="Choylayfut E",21,IF(Atletas!K412="Hunggar E",22,IF(Atletas!K412="Wuzuquan E",23,IF(Atletas!K412="Wingchun E",24,IF(Atletas!K412="Outra Mão de Sul E",25,IF(Atletas!K412="Choylayfut F",26,IF(Atletas!K412="Hunggar F",27,IF(Atletas!K412="Wuzuquan F",28,IF(Atletas!K412="Wingchun F",29,IF(Atletas!K412="Outra Mão de Sul F",30,""))))))))))))))))))))))))))))))))</f>
        <v/>
      </c>
      <c r="BL416" s="52" t="str">
        <f>IF(Atletas!L412="","",IF(Atletas!W412&lt;&gt;"",10000,0)+(IF(Atletas!B412="Feminino",1000,IF(Atletas!B412="Masculino",2000,""))+(IF(Atletas!L412="Chaquan A",101,IF(Atletas!L412="Emeiquan A",102,IF(Atletas!L412="Fanziquan A",103,IF(Atletas!L412="Huaquan A",104,IF(Atletas!L412="Hongquan A",105,IF(Atletas!L412="Paochui A",106,IF(Atletas!L412="Piguaquan A",107,IF(Atletas!L412="Shaolinquan A",108,IF(Atletas!L412="Tanglangquan A",109,IF(Atletas!L412="Yinzhaophai A",110,IF(Atletas!L412="Tongbeiquan A",111,IF(Atletas!L412="Wudangquan A",112,IF(Atletas!L412="Outros Estilos A",113,IF(Atletas!L412="Chaquan B",114,IF(Atletas!L412="Emeiquan B",115,IF(Atletas!L412="Fanziquan B",116,IF(Atletas!L412="Huaquan B",117,IF(Atletas!L412="Hongquan B",118,IF(Atletas!L412="Paochui B",119,IF(Atletas!L412="Piguaquan B",120,IF(Atletas!L412="Shaolinquan B",121,IF(Atletas!L412="Tanglangquan B",122,IF(Atletas!L412="Yinzhaophai B",123,IF(Atletas!L412="Tongbeiquan B",124,IF(Atletas!L412="Wudangquan B",125,IF(Atletas!L412="Outros Estilos B",126,IF(Atletas!L412="Chaquan C",127,IF(Atletas!L412="Emeiquan C",128,IF(Atletas!L412="Fanziquan C",129,IF(Atletas!L412="Huaquan C",130,IF(Atletas!L412="Hongquan C",131,IF(Atletas!L412="Paochui C",132,IF(Atletas!L412="Piguaquan C",133,IF(Atletas!L412="Shaolinquan C",134,IF(Atletas!L412="Tanglangquan C",135,IF(Atletas!L412="Yinzhaophai C",136,IF(Atletas!L412="Tongbeiquan C",137,IF(Atletas!L412="Wudangquan C",138,IF(Atletas!L412="Outros Estilos C",139,0))))))))))))))))))))))))))))))))))))))))))</f>
        <v/>
      </c>
      <c r="BM416" s="52" t="str">
        <f>IF(Atletas!L412="","",IF(Atletas!W412&lt;&gt;"",10000,0)+(IF(Atletas!B412="Feminino",1000,IF(Atletas!B412="Masculino",2000,""))+(IF(Atletas!L412="Chaquan D",140,IF(Atletas!L412="Emeiquan D",141,IF(Atletas!L412="Fanziquan D",142,IF(Atletas!L412="Huaquan D",143,IF(Atletas!L412="Hongquan D",144,IF(Atletas!L412="Paochui D",145,IF(Atletas!L412="Piguaquan D",146,IF(Atletas!L412="Shaolinquan D",147,IF(Atletas!L412="Tanglangquan D",148,IF(Atletas!L412="Yinzhaophai D",149,IF(Atletas!L412="Tongbeiquan D",150,IF(Atletas!L412="Wudangquan D",151,IF(Atletas!L412="Outros Estilos D",152,IF(Atletas!L412="Chaquan E",153,IF(Atletas!L412="Emeiquan E",154,IF(Atletas!L412="Fanziquan E",155,IF(Atletas!L412="Huaquan E",156,IF(Atletas!L412="Hongquan E",157,IF(Atletas!L412="Paochui E",158,IF(Atletas!L412="Piguaquan E",159,IF(Atletas!L412="Shaolinquan E",160,IF(Atletas!L412="Tanglangquan E",161,IF(Atletas!L412="Yinzhaophai E",162,IF(Atletas!L412="Tongbeiquan E",163,IF(Atletas!L412="Wudangquan E",164,IF(Atletas!L412="Outros Estilos E",165,IF(Atletas!L412="Chaquan F",166,IF(Atletas!L412="Emeiquan F",167,IF(Atletas!L412="Fanziquan F",168,IF(Atletas!L412="Huaquan F",169,IF(Atletas!L412="Hongquan F",170,IF(Atletas!L412="Paochui F",171,IF(Atletas!L412="Piguaquan F",172,IF(Atletas!L412="Shaolinquan F",173,IF(Atletas!L412="Tanglangquan F",174,IF(Atletas!L412="Yinzhaophai F",175,IF(Atletas!L412="Tongbeiquan F",176,IF(Atletas!L412="Wudangquan F",177,IF(Atletas!L412="Outros Estilos F",178,0))))))))))))))))))))))))))))))))))))))))))</f>
        <v/>
      </c>
      <c r="BN416" s="52" t="str">
        <f>IF(Atletas!M412="","",IF(Atletas!W412&lt;&gt;"",10000,0)+(IF(Atletas!B412="Feminino",1000,IF(Atletas!B412="Masculino",2000,""))+(IF(Atletas!M412="Ditangquan A",201,IF(Atletas!M412="Houquan A",202,IF(Atletas!M412="Zuiquan A",203,IF(Atletas!M412="Ditangquan B",204,IF(Atletas!M412="Houquan B",205,IF(Atletas!M412="Zuiquan B",206,IF(Atletas!M412="Ditangquan C",207,IF(Atletas!M412="Houquan C",208,IF(Atletas!M412="Zuiquan C",209,IF(Atletas!M412="Ditangquan D",210,IF(Atletas!M412="Houquan D",211,IF(Atletas!M412="Zuiquan D",212,IF(Atletas!M412="Ditangquan E",213,IF(Atletas!M412="Houquan E",214,IF(Atletas!M412="Zuiquan E",215,IF(Atletas!M412="Ditangquan F",216,IF(Atletas!M412="Houquan F",217,IF(Atletas!M412="Zuiquan F",218,"")))))))))))))))))))))</f>
        <v/>
      </c>
      <c r="BO416" s="52" t="str">
        <f>IF(Atletas!N412="","",IF(Atletas!W412&lt;&gt;"",10000,0)+IF(Atletas!B412="Feminino",1000,IF(Atletas!B412="Masculino",2000,""))+IF(Atletas!N412="Yang A",301,IF(Atletas!N412="Chen A",30,IF(Atletas!N412="Sun A",303,IF(Atletas!N412="Wu A",304,IF(Atletas!N412="Wu-Hao A",305,IF(Atletas!N412="Outro Taijiquan A",306,IF(Atletas!N412="Yang B",307,IF(Atletas!N412="Chen B",308,IF(Atletas!N412="Sun B",309,IF(Atletas!N412="Wu B",310,IF(Atletas!N412="Wu-Hao B",311,IF(Atletas!N412="Outro Taijiquan B",312,IF(Atletas!N412="Yang C",313,IF(Atletas!N412="Chen C",314,IF(Atletas!N412="Sun C",315,IF(Atletas!N412="Wu C",316,IF(Atletas!N412="Wu-Hao C",317,IF(Atletas!N412="Outro Taijiquan C",318,IF(Atletas!N412="Yang D",319,IF(Atletas!N412="Chen D",320,IF(Atletas!N412="Sun D",321,IF(Atletas!N412="Wu D",322,IF(Atletas!N412="Wu-Hao D",323,IF(Atletas!N412="Outro Taijiquan D",324,IF(Atletas!N412="Yang E",325,IF(Atletas!N412="Chen E",326,IF(Atletas!N412="Sun E",327,IF(Atletas!N412="Wu E",328,IF(Atletas!N412="Wu-Hao E",329,IF(Atletas!N412="Outro Taijiquan E",330,IF(Atletas!N412="Yang F",331,IF(Atletas!N412="Chen F",332,IF(Atletas!N412="Sun F",333,IF(Atletas!N412="Wu F",334,IF(Atletas!N412="Wu-Hao F",335,IF(Atletas!N412="Outro Taijiquan F",336,"")))))))))))))))))))))))))))))))))))))</f>
        <v/>
      </c>
      <c r="BP416" s="52" t="str">
        <f>IF(Atletas!O412="","",IF(Atletas!W412&lt;&gt;"",10000,0)+IF(Atletas!B412="Feminino",1000,IF(Atletas!B412="Masculino",2000,""))+IF(OR(Atletas!O412="Yang 26 A",Atletas!O412="Yang 40 A"),401,IF(OR(Atletas!O412="Chen 25 A",Atletas!O412="Chen 36 A",Atletas!O412="Chen 56 A"),402,IF(Atletas!O412="Sun 73 A",403,IF(Atletas!O412="Wu 45 A",404,IF(Atletas!O412="Wu-Hao 46 A",405,IF(OR(Atletas!O412="Taijiquan 16 A",Atletas!O412="Taijiquan 24 A",Atletas!O412="Taijiquan 32 A",Atletas!O412="Taijiquan 42 A"),406,IF(OR(Atletas!O412="Yang 26 B",Atletas!O412="Yang 40 B"),407,IF(OR(Atletas!O412="Chen 25 B",Atletas!O412="Chen 36 B",Atletas!O412="Chen 56 B"),408,IF(Atletas!O412="Sun 73 B",409,IF(Atletas!O412="Wu 45 B",410,IF(Atletas!O412="Wu-Hao 46 B",411,IF(OR(Atletas!O412="Taijiquan 16 B",Atletas!O412="Taijiquan 24 B",Atletas!O412="Taijiquan 32 B",Atletas!O412="Taijiquan 42 B"),412,IF(OR(Atletas!O412="Yang 26 C",Atletas!O412="Yang 40 C"),413,IF(OR(Atletas!O412="Chen 25 C",Atletas!O412="Chen 36 C",Atletas!O412="Chen 56 C"),414,IF(Atletas!O412="Sun 73 C",415,IF(Atletas!O412="Wu 45 C",416,IF(Atletas!O412="Wu-Hao 46 C",417,IF(OR(Atletas!O412="Taijiquan 16 C",Atletas!O412="Taijiquan 24 C",Atletas!O412="Taijiquan 32 C",Atletas!O412="Taijiquan 42 C"),418,0)))))))))))))))))))</f>
        <v/>
      </c>
      <c r="BQ416" s="52" t="str">
        <f>IF(Atletas!O412="","",IF(Atletas!W412&lt;&gt;"",10000,0)+IF(Atletas!B412="Feminino",1000,IF(Atletas!B412="Masculino",2000,""))+IF(OR(Atletas!O412="Yang 26 D",Atletas!O412="Yang 40 D"),419,IF(OR(Atletas!O412="Chen 25 D",Atletas!O412="Chen 36 D",Atletas!O412="Chen 56 D"),420,IF(Atletas!O412="Sun 73 D",421,IF(Atletas!O412="Wu 45 D",422,IF(Atletas!O412="Wu-Hao 46 D",423,IF(OR(Atletas!O412="Taijiquan 16 D",Atletas!O412="Taijiquan 24 D",Atletas!O412="Taijiquan 32 D",Atletas!O412="Taijiquan 42 D"),424,IF(OR(Atletas!O412="Yang 26 E",Atletas!O412="Yang 40 E"),425,IF(OR(Atletas!O412="Chen 25 E",Atletas!O412="Chen 36 E",Atletas!O412="Chen 56 E"),426,IF(Atletas!O412="Sun 73 E",427,IF(Atletas!O412="Wu 45 E",428,IF(Atletas!O412="Wu-Hao 46 E",429,IF(OR(Atletas!O412="Taijiquan 16 E",Atletas!O412="Taijiquan 24 E",Atletas!O412="Taijiquan 32 E",Atletas!O412="Taijiquan 42 E"),430,IF(OR(Atletas!O412="Yang 26 F",Atletas!O412="Yang 40 F"),431,IF(OR(Atletas!O412="Chen 25 F",Atletas!O412="Chen 36 F",Atletas!O412="Chen 56 F"),432,IF(Atletas!O412="Sun 73 F",433,IF(Atletas!O412="Wu 45 F",434,IF(Atletas!O412="Wu-Hao 46 F",435,IF(OR(Atletas!O412="Taijiquan 16 F",Atletas!O412="Taijiquan 24 F",Atletas!O412="Taijiquan 32 F",Atletas!O412="Taijiquan 42 F"),436,0)))))))))))))))))))</f>
        <v/>
      </c>
      <c r="BR416" s="52" t="str">
        <f>IF(Atletas!P412="","",IF(Atletas!W412&lt;&gt;"",10000,0)+IF(Atletas!B412="Feminino",1000,IF(Atletas!B412="Masculino",2000,""))+IF(Atletas!P412="Xingyiquan A",501,IF(Atletas!P412="Baguazhang A",502,IF(Atletas!P412="Outro Estilo Interno A",503,IF(Atletas!P412="Xingyiquan B",504,IF(Atletas!P412="Baguazhang B",505,IF(Atletas!P412="Outro Estilo Interno B",506,IF(Atletas!P412="Xingyiquan C",507,IF(Atletas!P412="Baguazhang C",508,IF(Atletas!P412="Outro Estilo Interno C",509,IF(Atletas!P412="Xingyiquan D",510,IF(Atletas!P412="Baguazhang D",511,IF(Atletas!P412="Outro Estilo Interno D",512,IF(Atletas!P412="Xingyiquan E",513,IF(Atletas!P412="Baguazhang E",514,IF(Atletas!P412="Outro Estilo Interno E",515,IF(Atletas!P412="Xingyiquan F",516,IF(Atletas!P412="Baguazhang F",517,IF(Atletas!P412="Outro Estilo Interno F",518, "")))))))))))))))))))</f>
        <v/>
      </c>
      <c r="BS416" s="52" t="str">
        <f>IF(Atletas!Q412="","",IF(Atletas!W412&lt;&gt;"",10000,0)+IF(Atletas!B412="Feminino",1000,IF(Atletas!B412="Masculino",2000,""))+IF(Atletas!Q412="Dao A",601,IF(Atletas!Q412="Jian A",602,IF(Atletas!Q412="Bishou A",603,IF(Atletas!Q412="Shan A",604,IF(Atletas!Q412="Outra Arma Curta A",605,IF(Atletas!Q412="Dao B",606,IF(Atletas!Q412="Jian B",607,IF(Atletas!Q412="Bishou B",608,IF(Atletas!Q412="Shan B",609,IF(Atletas!Q412="Outra Arma Curta B",610,IF(Atletas!Q412="Dao C",611,IF(Atletas!Q412="Jian C",612,IF(Atletas!Q412="Bishou C",613,IF(Atletas!Q412="Shan C",614,IF(Atletas!Q412="Outra Arma Curta C",615,IF(Atletas!Q412="Dao D",616,IF(Atletas!Q412="Jian D",617,IF(Atletas!Q412="Bishou D",618,IF(Atletas!Q412="Shan D",619,IF(Atletas!Q412="Outra Arma Curta D",620,IF(Atletas!Q412="Dao E",621,IF(Atletas!Q412="Jian E",622,IF(Atletas!Q412="Bishou E",623,IF(Atletas!Q412="Shan E",624,IF(Atletas!Q412="Outra Arma Curta E",625,IF(Atletas!Q412="Dao F",626,IF(Atletas!Q412="Jian F",627,IF(Atletas!Q412="Bishou F",628,IF(Atletas!Q412="Shan F",629,IF(Atletas!Q412="Outra Arma Curta F",630, "")))))))))))))))))))))))))))))))</f>
        <v/>
      </c>
      <c r="BT416" s="52" t="str">
        <f>IF(Atletas!R412="","",IF(Atletas!W412&lt;&gt;"",10000,0)+IF(Atletas!B412="Feminino",1000,IF(Atletas!B412="Masculino",2000,""))+IF(Atletas!R412="Gun A",701,IF(Atletas!R412="Qiang A",702,IF(Atletas!R412="Pudao / Guandao A",703,IF(Atletas!R412="Outra Arma Longa A",704,IF(Atletas!R412="Gun B",705,IF(Atletas!R412="Qiang B",706,IF(Atletas!R412="Pudao / Guandao B",707,IF(Atletas!R412="Outra Arma Longa B",708,IF(Atletas!R412="Gun C",709,IF(Atletas!R412="Qiang C",710,IF(Atletas!R412="Pudao / Guandao C",711,IF(Atletas!R412="Outra Arma Longa C",712,IF(Atletas!R412="Gun D",713,IF(Atletas!R412="Qiang D",714,IF(Atletas!R412="Pudao / Guandao D",715,IF(Atletas!R412="Outra Arma Longa D",716,IF(Atletas!R412="Gun E",717,IF(Atletas!R412="Qiang E",718,IF(Atletas!R412="Pudao / Guandao E",719,IF(Atletas!R412="Outra Arma Longa E",720,IF(Atletas!R412="Gun F",721,IF(Atletas!R412="Qiang F",722,IF(Atletas!R412="Pudao / Guandao F",723,IF(Atletas!R412="Outra Arma Longa F",724,"")))))))))))))))))))))))))</f>
        <v/>
      </c>
      <c r="BU416" s="52" t="str">
        <f>IF(Atletas!S412="","",IF(Atletas!W412&lt;&gt;"",10000,0)+IF(Atletas!B412="Feminino",1000,IF(Atletas!B412="Masculino",2000,""))+IF(Atletas!S412="Arma Dupla A",801,IF(Atletas!S412="Arma Maleável A",802,IF(Atletas!S412="Arma Dupla B",803,IF(Atletas!S412="Arma Maleável B",804,IF(Atletas!S412="Arma Dupla C",805,IF(Atletas!S412="Arma Maleável C",806,IF(Atletas!S412="Arma Dupla D",807,IF(Atletas!S412="Arma Maleável D",808,IF(Atletas!S412="Arma Dupla E",809,IF(Atletas!S412="Arma Maleável E",810,IF(Atletas!S412="Arma Dupla F",811,IF(Atletas!S412="Arma Maleável F",812, "")))))))))))))</f>
        <v/>
      </c>
      <c r="BV416" s="52" t="str">
        <f>IF(Atletas!T412="","",IF(Atletas!W412&lt;&gt;"",10000,0)+IF(Atletas!B412="Feminino",1000,IF(Atletas!B412="Masculino",2000,""))+IF(Atletas!T412="Taijijian Yang A",901,IF(Atletas!T412="Taijijian Chen A",902,IF(Atletas!T412="Taijijian Sun A",903,IF(Atletas!T412="Taijijian Wu A",904,IF(Atletas!T412="Taijijian Wu-Hao A",905,IF(Atletas!T412="Taijijian 32 A",906,IF(Atletas!T412="Taijijian 42 A",907,IF(Atletas!T412="Taijijian Yang B",908,IF(Atletas!T412="Taijijian Chen B",909,IF(Atletas!T412="Taijijian Sun B",910,IF(Atletas!T412="Taijijian Wu B",911,IF(Atletas!T412="Taijijian Wu-Hao B",912,IF(Atletas!T412="Taijijian 32 B",913,IF(Atletas!T412="Taijijian 42 B",914,IF(Atletas!T412="Taijijian Yang C",915,IF(Atletas!T412="Taijijian Chen C",916,IF(Atletas!T412="Taijijian Sun C",917,IF(Atletas!T412="Taijijian Wu C",918,IF(Atletas!T412="Taijijian Wu-Hao C",919,IF(Atletas!T412="Taijijian 32 C",920,IF(Atletas!T412="Taijijian 42 C",921,IF(Atletas!T412="Taijijian Yang D",922,IF(Atletas!T412="Taijijian Chen D",923,IF(Atletas!T412="Taijijian Sun D",924,IF(Atletas!T412="Taijijian Wu D",925,IF(Atletas!T412="Taijijian Wu-Hao D",926,IF(Atletas!T412="Taijijian 32 D",927,IF(Atletas!T412="Taijijian 42 D",928,IF(Atletas!T412="Taijijian Yang E",929,IF(Atletas!T412="Taijijian Chen E",930,IF(Atletas!T412="Taijijian Sun E",931,IF(Atletas!T412="Taijijian Wu E",932,IF(Atletas!T412="Taijijian Wu-Hao E",933,IF(Atletas!T412="Taijijian 32 E",934,IF(Atletas!T412="Taijijian 42 E",935,IF(Atletas!T412="Taijijian Yang F",936,IF(Atletas!T412="Taijijian Chen F",937,IF(Atletas!T412="Taijijian Sun F",938,IF(Atletas!T412="Taijijian Wu F",939,IF(Atletas!T412="Taijijian Wu-Hao F",940,IF(Atletas!T412="Taijijian 32 F",941,IF(Atletas!T412="Taijijian 42 F",942,"")))))))))))))))))))))))))))))))))))))))))))</f>
        <v/>
      </c>
      <c r="BW416" s="52" t="str">
        <f>IF(Atletas!U412="","",IF(Atletas!W412&lt;&gt;"",10000,0)+IF(Atletas!B412="Feminino",1000,IF(Atletas!B412="Masculino",2000,""))+IF(Atletas!T412="Taijijian 42 F",942,IF(Atletas!U412="Taijidao A",943,IF(Atletas!U412="Taijishan A",944,IF(Atletas!U412="Taijiqiang A",945,IF(Atletas!U412="Taijidao B",946,IF(Atletas!U412="Taijishan B",947,IF(Atletas!U412="Taijiqiang B",948,IF(Atletas!U412="Taijidao C",949,IF(Atletas!U412="Taijishan C",950,IF(Atletas!U412="Taijiqiang C",951,IF(Atletas!U412="Taijidao D",952,IF(Atletas!U412="Taijishan D",953,IF(Atletas!U412="Taijiqiang D",954,IF(Atletas!U412="Taijidao E",955,IF(Atletas!U412="Taijishan E",956,IF(Atletas!U412="Taijiqiang E",957,IF(Atletas!U412="Taijidao F",958,IF(Atletas!U412="Taijishan F",959,IF(Atletas!U412="Taijiqiang F",960))))))))))))))))))))</f>
        <v/>
      </c>
      <c r="CF416" s="52" t="str">
        <f xml:space="preserve"> IF(Atletas!V412="","",IF(Atletas!V412="Duilian de Mãos AB - Equipe 1",1,IF(Atletas!V412="Duilian de Mãos AB - Equipe 2",2,IF(Atletas!V412="Duilian de Armas AB - Equipe 1",3,IF(Atletas!V412="Duilian de Armas AB - Equipe 2",4,IF(Atletas!V412="Duilian de Tuishou - Equipe 1",5,IF(Atletas!V412="Duilian de Tuishou - Equipe 2",6,IF(Atletas!V412="Grupo Externo AB - Equipe 1",7,IF(Atletas!V412="Grupo Externo AB - Equipe 2",8,IF(Atletas!V412="Grupo Interno AB - Equipe 1",9,IF(Atletas!V412="Grupo Interno AB - Equipe 2",10,IF(Atletas!V412="Duilian de Mãos CD - Equipe 1",11,IF(Atletas!V412="Duilian de Mãos CD - Equipe 2",12,IF(Atletas!V412="Duilian de Armas CD - Equipe 1",13,IF(Atletas!V412="Duilian de Armas CD - Equipe 2",14,IF(Atletas!V412="Duilian de Tuishou - Equipe 1",15,IF(Atletas!V412="Duilian de Tuishou - Equipe 2",16,IF(Atletas!V412="Grupo Externo CDEF - Equipe 1",17,IF(Atletas!V412="Grupo Externo CDEF - Equipe 2",18,IF(Atletas!V412="Grupo Interno CDEF - Equipe 1",19,IF(Atletas!V412="Grupo Interno CDEF - Equipe 2",20,IF(Atletas!V412="Duilian de Mãos EF - Equipe 1",21,IF(Atletas!V412="Duilian de Mãos EF - Equipe 2",22,IF(Atletas!V412="Duilian de Armas EF - Equipe 1",23,IF(Atletas!V412="Duilian de Armas EF - Equipe 2",24,IF(Atletas!V412="Duilian de Tuishou - Equipe 1",25,IF(Atletas!V412="Duilian de Tuishou - Equipe 2",26,"")))))))))))))))))))))))))))</f>
        <v/>
      </c>
    </row>
    <row r="417" spans="36:84">
      <c r="AJ417" s="46" t="str">
        <f>IF(Atletas!D413="","",IF(Atletas!B413="Feminino",100,IF(Atletas!B413="Masculino",200,""))+(IF(Atletas!D413="Infantil 39kg",1,IF(Atletas!D413="Infantil 42kg",2,IF(Atletas!D413="Infantil 45kg",3,IF(Atletas!D413="Infantil 48kg",4,IF(Atletas!D413="Infantil 52kg",5,IF(Atletas!D413="Infantil 56kg",6,IF(Atletas!D413="Infantil 60kg",7,IF(Atletas!D413="Juvenil 48kg",8,IF(Atletas!D413="Juvenil 52kg",9,IF(Atletas!D413="Juvenil 56kg",10,IF(Atletas!D413="Juvenil 60kg",11,IF(Atletas!D413="Juvenil 65kg",12,IF(Atletas!D413="Juvenil 70kg",13,IF(Atletas!D413="Juvenil 75kg",14,IF(Atletas!D413="Juvenil 80kg",15,IF(Atletas!D413="Adulto 48kg",16,IF(Atletas!D413="Adulto 52kg",17,IF(Atletas!D413="Adulto 56kg",18,IF(Atletas!D413="Adulto 60kg",19,IF(Atletas!D413="Adulto 65kg",20,IF(Atletas!D413="Adulto 70kg",21,IF(Atletas!D413="Adulto 75kg",22,IF(Atletas!D413="Adulto 80kg",23,IF(Atletas!D413="Adulto 85kg",24,IF(Atletas!D413="Adulto 90kg",25,IF(Atletas!D413="Adulto +90kg",26,""))))))))))))))))))))))))))))</f>
        <v/>
      </c>
      <c r="AO417" s="10" t="str">
        <f>IF(Atletas!E413="","",IF(Atletas!B413="Feminino",100,IF(Atletas!B413="Masculino",200,""))+(IF(Atletas!E413="Juvenil 44kg",1,IF(Atletas!E413="Juvenil 48kg",2,IF(Atletas!E413="Juvenil 52kg",3,IF(Atletas!E413="Juvenil 56kg",4,IF(Atletas!E413="Juvenil 60kg",5,IF(Atletas!E413="Juvenil 65kg",6,IF(Atletas!E413="Juvenil 70kg",7,IF(Atletas!E413="Juvenil 75kg",8,IF(Atletas!E413="Juvenil 82kg",9,IF(Atletas!E413="Juvenil 90kg",10,IF(Atletas!E413="Juvenil 100kg",11,IF(Atletas!E413="Adulto 48kg",12,IF(Atletas!E413="Adulto 52kg",13,IF(Atletas!E413="Adulto 56kg",14,IF(Atletas!E413="Adulto 60kg",15,IF(Atletas!E413="Adulto 65kg",16,IF(Atletas!E413="Adulto 70kg",17,IF(Atletas!E413="Adulto 75kg",18,IF(Atletas!E413="Adulto 82kg",19,IF(Atletas!E413="Adulto 90kg",20,IF(Atletas!E413="Adulto 100kg",21,IF(Atletas!E413="Adulto +100kg",22,""))))))))))))))))))))))))</f>
        <v/>
      </c>
      <c r="AT417" s="10" t="str">
        <f>IF(Atletas!F413="","",IF(Atletas!B413="Feminino",100,IF(Atletas!B413="Masculino",200,""))+(IF(Atletas!F413="Adulto 48kg",1,IF(Atletas!F413="Adulto 56kg",2,IF(Atletas!F413="Adulto 65kg",3,IF(Atletas!F413="Adulto 75kg",4,IF(Atletas!F413="Adulto +75kg",5,IF(Atletas!F413="Adulto 52kg",6,IF(Atletas!F413="Adulto 60kg",7,IF(Atletas!F413="Adulto 70kg",8,IF(Atletas!F413="Adulto 80kg",9,IF(Atletas!F413="Adulto 90kg",10,IF(Atletas!F413="Adulto +90kg",11,"")))))))))))))</f>
        <v/>
      </c>
      <c r="AY417" s="46" t="str">
        <f>IF(Atletas!G413="","",IF(Atletas!B413="Feminino",100,IF(Atletas!B413="Masculino",200,""))+(IF(Atletas!G413="Changquan Mirim",1,IF(Atletas!G413="Nanquan Mirim",2,IF(Atletas!G413="Taijiquan Mirim",3,IF(Atletas!G413="Changquan Grupo C",4,IF(Atletas!G413="Nanquan Grupo C",5,IF(Atletas!G413="Taijiquan Grupo C",6,IF(Atletas!G413="Changquan Grupo B",7,IF(Atletas!G413="Nanquan Grupo B",8,IF(Atletas!G413="Taijiquan Grupo B",9,IF(Atletas!G413="Changquan Grupo A",10,IF(Atletas!G413="Nanquan Grupo A",11,IF(Atletas!G413="Taijiquan Grupo A",12,IF(Atletas!G413="Changquan Opcional",13,IF(Atletas!G413="Nanquan Opcional",14,IF(Atletas!G413="Taijiquan Opcional",15,IF(Atletas!G413="Changquan Adulto",16,IF(Atletas!G413="Nanquan Adulto",17,IF(Atletas!G413="Taijiquan Adulto",18,""))))))))))))))))))))</f>
        <v/>
      </c>
      <c r="AZ417" s="46" t="str">
        <f>IF(Atletas!H413="","",IF(Atletas!B413="Feminino",100,IF(Atletas!B413="Masculino",200,""))+(IF(Atletas!H413="Daoshu Mirim",19,IF(Atletas!H413="Jianshu Mirim",20,IF(Atletas!H413="Nandao Mirim",21,IF(Atletas!H413="Taijijian Mirim",22,IF(Atletas!H413="Daoshu Grupo C",23,IF(Atletas!H413="Jianshu Grupo C",24,IF(Atletas!H413="Nandao Grupo C",25,IF(Atletas!H413="Taijijian Grupo C",26,IF(Atletas!H413="Daoshu Grupo B",27,IF(Atletas!H413="Jianshu Grupo B",28,IF(Atletas!H413="Nandao Grupo B",29,IF(Atletas!H413="Taijijian Grupo B",30,IF(Atletas!H413="Daoshu Grupo A",31,IF(Atletas!H413="Jianshu Grupo A",32,IF(Atletas!H413="Nandao Grupo A",33,IF(Atletas!H413="Taijijian Grupo A",34,IF(Atletas!H413="Daoshu Opcional",35,IF(Atletas!H413="Jianshu Opcional",36,IF(Atletas!H413="Nandao Opcional",37,IF(Atletas!H413="Taijijian Opcional",38,IF(Atletas!H413="Daoshu Adulto",39,IF(Atletas!H413="Jianshu Adulto",40,IF(Atletas!H413="Nandao Adulto",41,IF(Atletas!H413="Taijijian Adulto",42,""))))))))))))))))))))))))))</f>
        <v/>
      </c>
      <c r="BA417" s="46" t="str">
        <f>IF(Atletas!I413="","",IF(Atletas!B413="Feminino",100,IF(Atletas!B413="Masculino",200,""))+(IF(Atletas!I413="Gunshu Mirim",43,IF(Atletas!I413="Qiangshu Mirim",44,IF(Atletas!I413="Nangun Mirim",45,IF(Atletas!I413="Gunshu Grupo C",46,IF(Atletas!I413="Qiangshu Grupo C",47,IF(Atletas!I413="Nangun Grupo C",48,IF(Atletas!I413="Gunshu Grupo B",49,IF(Atletas!I413="Qiangshu Grupo B",50,IF(Atletas!I413="Nangun Grupo B",51,IF(Atletas!I413="Gunshu Grupo A",52,IF(Atletas!I413="Qiangshu Grupo A",53,IF(Atletas!I413="Nangun Grupo A",54,IF(Atletas!I413="Gunshu Opcional",55,IF(Atletas!I413="Qiangshu Opcional",56,IF(Atletas!I413="Nangun Opcional",57,IF(Atletas!I413="Gunshu Adulto",58,IF(Atletas!I413="Qiangshu Adulto",59,IF(Atletas!I413="Nangun Adulto",60,""))))))))))))))))))))</f>
        <v/>
      </c>
      <c r="BF417" s="52" t="str">
        <f>IF(Atletas!J413="","",IF(Atletas!B413="Feminino",100,IF(Atletas!B413="Masculino",200,""))+(IF(Atletas!J413="Equipe 1 Grupo B",1,IF(Atletas!J413="Equipe 2 Grupo B",2,IF(Atletas!J413="Equipe 1 Grupo A",3,IF(Atletas!J413="Equipe 2 Grupo A",4,IF(Atletas!J413="Equipe 1 Adulto",5,IF(Atletas!J413="Equipe 2 Adulto",6,""))))))))</f>
        <v/>
      </c>
      <c r="BK417" s="52" t="str">
        <f>IF(Atletas!K413="","",IF(Atletas!W413&lt;&gt;"",10000,0)+(IF(Atletas!B413="Feminino",1000,IF(Atletas!B413="Masculino",2000,""))+IF(Atletas!K413="Choylayfut A",1,IF(Atletas!K413="Hunggar A",2,IF(Atletas!K413="Wuzuquan A",3,IF(Atletas!K413="Wingchun A",4,IF(Atletas!K413="Outra Mão de Sul A",5,IF(Atletas!K413="Choylayfut B",6,IF(Atletas!K413="Hunggar B",7,IF(Atletas!K413="Wuzuquan B",8,IF(Atletas!K413="Wingchun B",9,IF(Atletas!K413="Outra Mão de Sul B",10,IF(Atletas!K413="Choylayfut C",11,IF(Atletas!K413="Hunggar C",12,IF(Atletas!K413="Wuzuquan C",13,IF(Atletas!K413="Wingchun C",14,IF(Atletas!K413="Outra Mão de Sul C",15,IF(Atletas!K413="Choylayfut D",16,IF(Atletas!K413="Hunggar D",17,IF(Atletas!K413="Wuzuquan D",18,IF(Atletas!K413="Wingchun D",19,IF(Atletas!K413="Outra Mão de Sul D",20,IF(Atletas!K413="Choylayfut E",21,IF(Atletas!K413="Hunggar E",22,IF(Atletas!K413="Wuzuquan E",23,IF(Atletas!K413="Wingchun E",24,IF(Atletas!K413="Outra Mão de Sul E",25,IF(Atletas!K413="Choylayfut F",26,IF(Atletas!K413="Hunggar F",27,IF(Atletas!K413="Wuzuquan F",28,IF(Atletas!K413="Wingchun F",29,IF(Atletas!K413="Outra Mão de Sul F",30,""))))))))))))))))))))))))))))))))</f>
        <v/>
      </c>
      <c r="BL417" s="52" t="str">
        <f>IF(Atletas!L413="","",IF(Atletas!W413&lt;&gt;"",10000,0)+(IF(Atletas!B413="Feminino",1000,IF(Atletas!B413="Masculino",2000,""))+(IF(Atletas!L413="Chaquan A",101,IF(Atletas!L413="Emeiquan A",102,IF(Atletas!L413="Fanziquan A",103,IF(Atletas!L413="Huaquan A",104,IF(Atletas!L413="Hongquan A",105,IF(Atletas!L413="Paochui A",106,IF(Atletas!L413="Piguaquan A",107,IF(Atletas!L413="Shaolinquan A",108,IF(Atletas!L413="Tanglangquan A",109,IF(Atletas!L413="Yinzhaophai A",110,IF(Atletas!L413="Tongbeiquan A",111,IF(Atletas!L413="Wudangquan A",112,IF(Atletas!L413="Outros Estilos A",113,IF(Atletas!L413="Chaquan B",114,IF(Atletas!L413="Emeiquan B",115,IF(Atletas!L413="Fanziquan B",116,IF(Atletas!L413="Huaquan B",117,IF(Atletas!L413="Hongquan B",118,IF(Atletas!L413="Paochui B",119,IF(Atletas!L413="Piguaquan B",120,IF(Atletas!L413="Shaolinquan B",121,IF(Atletas!L413="Tanglangquan B",122,IF(Atletas!L413="Yinzhaophai B",123,IF(Atletas!L413="Tongbeiquan B",124,IF(Atletas!L413="Wudangquan B",125,IF(Atletas!L413="Outros Estilos B",126,IF(Atletas!L413="Chaquan C",127,IF(Atletas!L413="Emeiquan C",128,IF(Atletas!L413="Fanziquan C",129,IF(Atletas!L413="Huaquan C",130,IF(Atletas!L413="Hongquan C",131,IF(Atletas!L413="Paochui C",132,IF(Atletas!L413="Piguaquan C",133,IF(Atletas!L413="Shaolinquan C",134,IF(Atletas!L413="Tanglangquan C",135,IF(Atletas!L413="Yinzhaophai C",136,IF(Atletas!L413="Tongbeiquan C",137,IF(Atletas!L413="Wudangquan C",138,IF(Atletas!L413="Outros Estilos C",139,0))))))))))))))))))))))))))))))))))))))))))</f>
        <v/>
      </c>
      <c r="BM417" s="52" t="str">
        <f>IF(Atletas!L413="","",IF(Atletas!W413&lt;&gt;"",10000,0)+(IF(Atletas!B413="Feminino",1000,IF(Atletas!B413="Masculino",2000,""))+(IF(Atletas!L413="Chaquan D",140,IF(Atletas!L413="Emeiquan D",141,IF(Atletas!L413="Fanziquan D",142,IF(Atletas!L413="Huaquan D",143,IF(Atletas!L413="Hongquan D",144,IF(Atletas!L413="Paochui D",145,IF(Atletas!L413="Piguaquan D",146,IF(Atletas!L413="Shaolinquan D",147,IF(Atletas!L413="Tanglangquan D",148,IF(Atletas!L413="Yinzhaophai D",149,IF(Atletas!L413="Tongbeiquan D",150,IF(Atletas!L413="Wudangquan D",151,IF(Atletas!L413="Outros Estilos D",152,IF(Atletas!L413="Chaquan E",153,IF(Atletas!L413="Emeiquan E",154,IF(Atletas!L413="Fanziquan E",155,IF(Atletas!L413="Huaquan E",156,IF(Atletas!L413="Hongquan E",157,IF(Atletas!L413="Paochui E",158,IF(Atletas!L413="Piguaquan E",159,IF(Atletas!L413="Shaolinquan E",160,IF(Atletas!L413="Tanglangquan E",161,IF(Atletas!L413="Yinzhaophai E",162,IF(Atletas!L413="Tongbeiquan E",163,IF(Atletas!L413="Wudangquan E",164,IF(Atletas!L413="Outros Estilos E",165,IF(Atletas!L413="Chaquan F",166,IF(Atletas!L413="Emeiquan F",167,IF(Atletas!L413="Fanziquan F",168,IF(Atletas!L413="Huaquan F",169,IF(Atletas!L413="Hongquan F",170,IF(Atletas!L413="Paochui F",171,IF(Atletas!L413="Piguaquan F",172,IF(Atletas!L413="Shaolinquan F",173,IF(Atletas!L413="Tanglangquan F",174,IF(Atletas!L413="Yinzhaophai F",175,IF(Atletas!L413="Tongbeiquan F",176,IF(Atletas!L413="Wudangquan F",177,IF(Atletas!L413="Outros Estilos F",178,0))))))))))))))))))))))))))))))))))))))))))</f>
        <v/>
      </c>
      <c r="BN417" s="52" t="str">
        <f>IF(Atletas!M413="","",IF(Atletas!W413&lt;&gt;"",10000,0)+(IF(Atletas!B413="Feminino",1000,IF(Atletas!B413="Masculino",2000,""))+(IF(Atletas!M413="Ditangquan A",201,IF(Atletas!M413="Houquan A",202,IF(Atletas!M413="Zuiquan A",203,IF(Atletas!M413="Ditangquan B",204,IF(Atletas!M413="Houquan B",205,IF(Atletas!M413="Zuiquan B",206,IF(Atletas!M413="Ditangquan C",207,IF(Atletas!M413="Houquan C",208,IF(Atletas!M413="Zuiquan C",209,IF(Atletas!M413="Ditangquan D",210,IF(Atletas!M413="Houquan D",211,IF(Atletas!M413="Zuiquan D",212,IF(Atletas!M413="Ditangquan E",213,IF(Atletas!M413="Houquan E",214,IF(Atletas!M413="Zuiquan E",215,IF(Atletas!M413="Ditangquan F",216,IF(Atletas!M413="Houquan F",217,IF(Atletas!M413="Zuiquan F",218,"")))))))))))))))))))))</f>
        <v/>
      </c>
      <c r="BO417" s="52" t="str">
        <f>IF(Atletas!N413="","",IF(Atletas!W413&lt;&gt;"",10000,0)+IF(Atletas!B413="Feminino",1000,IF(Atletas!B413="Masculino",2000,""))+IF(Atletas!N413="Yang A",301,IF(Atletas!N413="Chen A",30,IF(Atletas!N413="Sun A",303,IF(Atletas!N413="Wu A",304,IF(Atletas!N413="Wu-Hao A",305,IF(Atletas!N413="Outro Taijiquan A",306,IF(Atletas!N413="Yang B",307,IF(Atletas!N413="Chen B",308,IF(Atletas!N413="Sun B",309,IF(Atletas!N413="Wu B",310,IF(Atletas!N413="Wu-Hao B",311,IF(Atletas!N413="Outro Taijiquan B",312,IF(Atletas!N413="Yang C",313,IF(Atletas!N413="Chen C",314,IF(Atletas!N413="Sun C",315,IF(Atletas!N413="Wu C",316,IF(Atletas!N413="Wu-Hao C",317,IF(Atletas!N413="Outro Taijiquan C",318,IF(Atletas!N413="Yang D",319,IF(Atletas!N413="Chen D",320,IF(Atletas!N413="Sun D",321,IF(Atletas!N413="Wu D",322,IF(Atletas!N413="Wu-Hao D",323,IF(Atletas!N413="Outro Taijiquan D",324,IF(Atletas!N413="Yang E",325,IF(Atletas!N413="Chen E",326,IF(Atletas!N413="Sun E",327,IF(Atletas!N413="Wu E",328,IF(Atletas!N413="Wu-Hao E",329,IF(Atletas!N413="Outro Taijiquan E",330,IF(Atletas!N413="Yang F",331,IF(Atletas!N413="Chen F",332,IF(Atletas!N413="Sun F",333,IF(Atletas!N413="Wu F",334,IF(Atletas!N413="Wu-Hao F",335,IF(Atletas!N413="Outro Taijiquan F",336,"")))))))))))))))))))))))))))))))))))))</f>
        <v/>
      </c>
      <c r="BP417" s="52" t="str">
        <f>IF(Atletas!O413="","",IF(Atletas!W413&lt;&gt;"",10000,0)+IF(Atletas!B413="Feminino",1000,IF(Atletas!B413="Masculino",2000,""))+IF(OR(Atletas!O413="Yang 26 A",Atletas!O413="Yang 40 A"),401,IF(OR(Atletas!O413="Chen 25 A",Atletas!O413="Chen 36 A",Atletas!O413="Chen 56 A"),402,IF(Atletas!O413="Sun 73 A",403,IF(Atletas!O413="Wu 45 A",404,IF(Atletas!O413="Wu-Hao 46 A",405,IF(OR(Atletas!O413="Taijiquan 16 A",Atletas!O413="Taijiquan 24 A",Atletas!O413="Taijiquan 32 A",Atletas!O413="Taijiquan 42 A"),406,IF(OR(Atletas!O413="Yang 26 B",Atletas!O413="Yang 40 B"),407,IF(OR(Atletas!O413="Chen 25 B",Atletas!O413="Chen 36 B",Atletas!O413="Chen 56 B"),408,IF(Atletas!O413="Sun 73 B",409,IF(Atletas!O413="Wu 45 B",410,IF(Atletas!O413="Wu-Hao 46 B",411,IF(OR(Atletas!O413="Taijiquan 16 B",Atletas!O413="Taijiquan 24 B",Atletas!O413="Taijiquan 32 B",Atletas!O413="Taijiquan 42 B"),412,IF(OR(Atletas!O413="Yang 26 C",Atletas!O413="Yang 40 C"),413,IF(OR(Atletas!O413="Chen 25 C",Atletas!O413="Chen 36 C",Atletas!O413="Chen 56 C"),414,IF(Atletas!O413="Sun 73 C",415,IF(Atletas!O413="Wu 45 C",416,IF(Atletas!O413="Wu-Hao 46 C",417,IF(OR(Atletas!O413="Taijiquan 16 C",Atletas!O413="Taijiquan 24 C",Atletas!O413="Taijiquan 32 C",Atletas!O413="Taijiquan 42 C"),418,0)))))))))))))))))))</f>
        <v/>
      </c>
      <c r="BQ417" s="52" t="str">
        <f>IF(Atletas!O413="","",IF(Atletas!W413&lt;&gt;"",10000,0)+IF(Atletas!B413="Feminino",1000,IF(Atletas!B413="Masculino",2000,""))+IF(OR(Atletas!O413="Yang 26 D",Atletas!O413="Yang 40 D"),419,IF(OR(Atletas!O413="Chen 25 D",Atletas!O413="Chen 36 D",Atletas!O413="Chen 56 D"),420,IF(Atletas!O413="Sun 73 D",421,IF(Atletas!O413="Wu 45 D",422,IF(Atletas!O413="Wu-Hao 46 D",423,IF(OR(Atletas!O413="Taijiquan 16 D",Atletas!O413="Taijiquan 24 D",Atletas!O413="Taijiquan 32 D",Atletas!O413="Taijiquan 42 D"),424,IF(OR(Atletas!O413="Yang 26 E",Atletas!O413="Yang 40 E"),425,IF(OR(Atletas!O413="Chen 25 E",Atletas!O413="Chen 36 E",Atletas!O413="Chen 56 E"),426,IF(Atletas!O413="Sun 73 E",427,IF(Atletas!O413="Wu 45 E",428,IF(Atletas!O413="Wu-Hao 46 E",429,IF(OR(Atletas!O413="Taijiquan 16 E",Atletas!O413="Taijiquan 24 E",Atletas!O413="Taijiquan 32 E",Atletas!O413="Taijiquan 42 E"),430,IF(OR(Atletas!O413="Yang 26 F",Atletas!O413="Yang 40 F"),431,IF(OR(Atletas!O413="Chen 25 F",Atletas!O413="Chen 36 F",Atletas!O413="Chen 56 F"),432,IF(Atletas!O413="Sun 73 F",433,IF(Atletas!O413="Wu 45 F",434,IF(Atletas!O413="Wu-Hao 46 F",435,IF(OR(Atletas!O413="Taijiquan 16 F",Atletas!O413="Taijiquan 24 F",Atletas!O413="Taijiquan 32 F",Atletas!O413="Taijiquan 42 F"),436,0)))))))))))))))))))</f>
        <v/>
      </c>
      <c r="BR417" s="52" t="str">
        <f>IF(Atletas!P413="","",IF(Atletas!W413&lt;&gt;"",10000,0)+IF(Atletas!B413="Feminino",1000,IF(Atletas!B413="Masculino",2000,""))+IF(Atletas!P413="Xingyiquan A",501,IF(Atletas!P413="Baguazhang A",502,IF(Atletas!P413="Outro Estilo Interno A",503,IF(Atletas!P413="Xingyiquan B",504,IF(Atletas!P413="Baguazhang B",505,IF(Atletas!P413="Outro Estilo Interno B",506,IF(Atletas!P413="Xingyiquan C",507,IF(Atletas!P413="Baguazhang C",508,IF(Atletas!P413="Outro Estilo Interno C",509,IF(Atletas!P413="Xingyiquan D",510,IF(Atletas!P413="Baguazhang D",511,IF(Atletas!P413="Outro Estilo Interno D",512,IF(Atletas!P413="Xingyiquan E",513,IF(Atletas!P413="Baguazhang E",514,IF(Atletas!P413="Outro Estilo Interno E",515,IF(Atletas!P413="Xingyiquan F",516,IF(Atletas!P413="Baguazhang F",517,IF(Atletas!P413="Outro Estilo Interno F",518, "")))))))))))))))))))</f>
        <v/>
      </c>
      <c r="BS417" s="52" t="str">
        <f>IF(Atletas!Q413="","",IF(Atletas!W413&lt;&gt;"",10000,0)+IF(Atletas!B413="Feminino",1000,IF(Atletas!B413="Masculino",2000,""))+IF(Atletas!Q413="Dao A",601,IF(Atletas!Q413="Jian A",602,IF(Atletas!Q413="Bishou A",603,IF(Atletas!Q413="Shan A",604,IF(Atletas!Q413="Outra Arma Curta A",605,IF(Atletas!Q413="Dao B",606,IF(Atletas!Q413="Jian B",607,IF(Atletas!Q413="Bishou B",608,IF(Atletas!Q413="Shan B",609,IF(Atletas!Q413="Outra Arma Curta B",610,IF(Atletas!Q413="Dao C",611,IF(Atletas!Q413="Jian C",612,IF(Atletas!Q413="Bishou C",613,IF(Atletas!Q413="Shan C",614,IF(Atletas!Q413="Outra Arma Curta C",615,IF(Atletas!Q413="Dao D",616,IF(Atletas!Q413="Jian D",617,IF(Atletas!Q413="Bishou D",618,IF(Atletas!Q413="Shan D",619,IF(Atletas!Q413="Outra Arma Curta D",620,IF(Atletas!Q413="Dao E",621,IF(Atletas!Q413="Jian E",622,IF(Atletas!Q413="Bishou E",623,IF(Atletas!Q413="Shan E",624,IF(Atletas!Q413="Outra Arma Curta E",625,IF(Atletas!Q413="Dao F",626,IF(Atletas!Q413="Jian F",627,IF(Atletas!Q413="Bishou F",628,IF(Atletas!Q413="Shan F",629,IF(Atletas!Q413="Outra Arma Curta F",630, "")))))))))))))))))))))))))))))))</f>
        <v/>
      </c>
      <c r="BT417" s="52" t="str">
        <f>IF(Atletas!R413="","",IF(Atletas!W413&lt;&gt;"",10000,0)+IF(Atletas!B413="Feminino",1000,IF(Atletas!B413="Masculino",2000,""))+IF(Atletas!R413="Gun A",701,IF(Atletas!R413="Qiang A",702,IF(Atletas!R413="Pudao / Guandao A",703,IF(Atletas!R413="Outra Arma Longa A",704,IF(Atletas!R413="Gun B",705,IF(Atletas!R413="Qiang B",706,IF(Atletas!R413="Pudao / Guandao B",707,IF(Atletas!R413="Outra Arma Longa B",708,IF(Atletas!R413="Gun C",709,IF(Atletas!R413="Qiang C",710,IF(Atletas!R413="Pudao / Guandao C",711,IF(Atletas!R413="Outra Arma Longa C",712,IF(Atletas!R413="Gun D",713,IF(Atletas!R413="Qiang D",714,IF(Atletas!R413="Pudao / Guandao D",715,IF(Atletas!R413="Outra Arma Longa D",716,IF(Atletas!R413="Gun E",717,IF(Atletas!R413="Qiang E",718,IF(Atletas!R413="Pudao / Guandao E",719,IF(Atletas!R413="Outra Arma Longa E",720,IF(Atletas!R413="Gun F",721,IF(Atletas!R413="Qiang F",722,IF(Atletas!R413="Pudao / Guandao F",723,IF(Atletas!R413="Outra Arma Longa F",724,"")))))))))))))))))))))))))</f>
        <v/>
      </c>
      <c r="BU417" s="52" t="str">
        <f>IF(Atletas!S413="","",IF(Atletas!W413&lt;&gt;"",10000,0)+IF(Atletas!B413="Feminino",1000,IF(Atletas!B413="Masculino",2000,""))+IF(Atletas!S413="Arma Dupla A",801,IF(Atletas!S413="Arma Maleável A",802,IF(Atletas!S413="Arma Dupla B",803,IF(Atletas!S413="Arma Maleável B",804,IF(Atletas!S413="Arma Dupla C",805,IF(Atletas!S413="Arma Maleável C",806,IF(Atletas!S413="Arma Dupla D",807,IF(Atletas!S413="Arma Maleável D",808,IF(Atletas!S413="Arma Dupla E",809,IF(Atletas!S413="Arma Maleável E",810,IF(Atletas!S413="Arma Dupla F",811,IF(Atletas!S413="Arma Maleável F",812, "")))))))))))))</f>
        <v/>
      </c>
      <c r="BV417" s="52" t="str">
        <f>IF(Atletas!T413="","",IF(Atletas!W413&lt;&gt;"",10000,0)+IF(Atletas!B413="Feminino",1000,IF(Atletas!B413="Masculino",2000,""))+IF(Atletas!T413="Taijijian Yang A",901,IF(Atletas!T413="Taijijian Chen A",902,IF(Atletas!T413="Taijijian Sun A",903,IF(Atletas!T413="Taijijian Wu A",904,IF(Atletas!T413="Taijijian Wu-Hao A",905,IF(Atletas!T413="Taijijian 32 A",906,IF(Atletas!T413="Taijijian 42 A",907,IF(Atletas!T413="Taijijian Yang B",908,IF(Atletas!T413="Taijijian Chen B",909,IF(Atletas!T413="Taijijian Sun B",910,IF(Atletas!T413="Taijijian Wu B",911,IF(Atletas!T413="Taijijian Wu-Hao B",912,IF(Atletas!T413="Taijijian 32 B",913,IF(Atletas!T413="Taijijian 42 B",914,IF(Atletas!T413="Taijijian Yang C",915,IF(Atletas!T413="Taijijian Chen C",916,IF(Atletas!T413="Taijijian Sun C",917,IF(Atletas!T413="Taijijian Wu C",918,IF(Atletas!T413="Taijijian Wu-Hao C",919,IF(Atletas!T413="Taijijian 32 C",920,IF(Atletas!T413="Taijijian 42 C",921,IF(Atletas!T413="Taijijian Yang D",922,IF(Atletas!T413="Taijijian Chen D",923,IF(Atletas!T413="Taijijian Sun D",924,IF(Atletas!T413="Taijijian Wu D",925,IF(Atletas!T413="Taijijian Wu-Hao D",926,IF(Atletas!T413="Taijijian 32 D",927,IF(Atletas!T413="Taijijian 42 D",928,IF(Atletas!T413="Taijijian Yang E",929,IF(Atletas!T413="Taijijian Chen E",930,IF(Atletas!T413="Taijijian Sun E",931,IF(Atletas!T413="Taijijian Wu E",932,IF(Atletas!T413="Taijijian Wu-Hao E",933,IF(Atletas!T413="Taijijian 32 E",934,IF(Atletas!T413="Taijijian 42 E",935,IF(Atletas!T413="Taijijian Yang F",936,IF(Atletas!T413="Taijijian Chen F",937,IF(Atletas!T413="Taijijian Sun F",938,IF(Atletas!T413="Taijijian Wu F",939,IF(Atletas!T413="Taijijian Wu-Hao F",940,IF(Atletas!T413="Taijijian 32 F",941,IF(Atletas!T413="Taijijian 42 F",942,"")))))))))))))))))))))))))))))))))))))))))))</f>
        <v/>
      </c>
      <c r="BW417" s="52" t="str">
        <f>IF(Atletas!U413="","",IF(Atletas!W413&lt;&gt;"",10000,0)+IF(Atletas!B413="Feminino",1000,IF(Atletas!B413="Masculino",2000,""))+IF(Atletas!T413="Taijijian 42 F",942,IF(Atletas!U413="Taijidao A",943,IF(Atletas!U413="Taijishan A",944,IF(Atletas!U413="Taijiqiang A",945,IF(Atletas!U413="Taijidao B",946,IF(Atletas!U413="Taijishan B",947,IF(Atletas!U413="Taijiqiang B",948,IF(Atletas!U413="Taijidao C",949,IF(Atletas!U413="Taijishan C",950,IF(Atletas!U413="Taijiqiang C",951,IF(Atletas!U413="Taijidao D",952,IF(Atletas!U413="Taijishan D",953,IF(Atletas!U413="Taijiqiang D",954,IF(Atletas!U413="Taijidao E",955,IF(Atletas!U413="Taijishan E",956,IF(Atletas!U413="Taijiqiang E",957,IF(Atletas!U413="Taijidao F",958,IF(Atletas!U413="Taijishan F",959,IF(Atletas!U413="Taijiqiang F",960))))))))))))))))))))</f>
        <v/>
      </c>
      <c r="CF417" s="52" t="str">
        <f xml:space="preserve"> IF(Atletas!V413="","",IF(Atletas!V413="Duilian de Mãos AB - Equipe 1",1,IF(Atletas!V413="Duilian de Mãos AB - Equipe 2",2,IF(Atletas!V413="Duilian de Armas AB - Equipe 1",3,IF(Atletas!V413="Duilian de Armas AB - Equipe 2",4,IF(Atletas!V413="Duilian de Tuishou - Equipe 1",5,IF(Atletas!V413="Duilian de Tuishou - Equipe 2",6,IF(Atletas!V413="Grupo Externo AB - Equipe 1",7,IF(Atletas!V413="Grupo Externo AB - Equipe 2",8,IF(Atletas!V413="Grupo Interno AB - Equipe 1",9,IF(Atletas!V413="Grupo Interno AB - Equipe 2",10,IF(Atletas!V413="Duilian de Mãos CD - Equipe 1",11,IF(Atletas!V413="Duilian de Mãos CD - Equipe 2",12,IF(Atletas!V413="Duilian de Armas CD - Equipe 1",13,IF(Atletas!V413="Duilian de Armas CD - Equipe 2",14,IF(Atletas!V413="Duilian de Tuishou - Equipe 1",15,IF(Atletas!V413="Duilian de Tuishou - Equipe 2",16,IF(Atletas!V413="Grupo Externo CDEF - Equipe 1",17,IF(Atletas!V413="Grupo Externo CDEF - Equipe 2",18,IF(Atletas!V413="Grupo Interno CDEF - Equipe 1",19,IF(Atletas!V413="Grupo Interno CDEF - Equipe 2",20,IF(Atletas!V413="Duilian de Mãos EF - Equipe 1",21,IF(Atletas!V413="Duilian de Mãos EF - Equipe 2",22,IF(Atletas!V413="Duilian de Armas EF - Equipe 1",23,IF(Atletas!V413="Duilian de Armas EF - Equipe 2",24,IF(Atletas!V413="Duilian de Tuishou - Equipe 1",25,IF(Atletas!V413="Duilian de Tuishou - Equipe 2",26,"")))))))))))))))))))))))))))</f>
        <v/>
      </c>
    </row>
    <row r="418" spans="36:84">
      <c r="AJ418" s="46" t="str">
        <f>IF(Atletas!D414="","",IF(Atletas!B414="Feminino",100,IF(Atletas!B414="Masculino",200,""))+(IF(Atletas!D414="Infantil 39kg",1,IF(Atletas!D414="Infantil 42kg",2,IF(Atletas!D414="Infantil 45kg",3,IF(Atletas!D414="Infantil 48kg",4,IF(Atletas!D414="Infantil 52kg",5,IF(Atletas!D414="Infantil 56kg",6,IF(Atletas!D414="Infantil 60kg",7,IF(Atletas!D414="Juvenil 48kg",8,IF(Atletas!D414="Juvenil 52kg",9,IF(Atletas!D414="Juvenil 56kg",10,IF(Atletas!D414="Juvenil 60kg",11,IF(Atletas!D414="Juvenil 65kg",12,IF(Atletas!D414="Juvenil 70kg",13,IF(Atletas!D414="Juvenil 75kg",14,IF(Atletas!D414="Juvenil 80kg",15,IF(Atletas!D414="Adulto 48kg",16,IF(Atletas!D414="Adulto 52kg",17,IF(Atletas!D414="Adulto 56kg",18,IF(Atletas!D414="Adulto 60kg",19,IF(Atletas!D414="Adulto 65kg",20,IF(Atletas!D414="Adulto 70kg",21,IF(Atletas!D414="Adulto 75kg",22,IF(Atletas!D414="Adulto 80kg",23,IF(Atletas!D414="Adulto 85kg",24,IF(Atletas!D414="Adulto 90kg",25,IF(Atletas!D414="Adulto +90kg",26,""))))))))))))))))))))))))))))</f>
        <v/>
      </c>
      <c r="AO418" s="10" t="str">
        <f>IF(Atletas!E414="","",IF(Atletas!B414="Feminino",100,IF(Atletas!B414="Masculino",200,""))+(IF(Atletas!E414="Juvenil 44kg",1,IF(Atletas!E414="Juvenil 48kg",2,IF(Atletas!E414="Juvenil 52kg",3,IF(Atletas!E414="Juvenil 56kg",4,IF(Atletas!E414="Juvenil 60kg",5,IF(Atletas!E414="Juvenil 65kg",6,IF(Atletas!E414="Juvenil 70kg",7,IF(Atletas!E414="Juvenil 75kg",8,IF(Atletas!E414="Juvenil 82kg",9,IF(Atletas!E414="Juvenil 90kg",10,IF(Atletas!E414="Juvenil 100kg",11,IF(Atletas!E414="Adulto 48kg",12,IF(Atletas!E414="Adulto 52kg",13,IF(Atletas!E414="Adulto 56kg",14,IF(Atletas!E414="Adulto 60kg",15,IF(Atletas!E414="Adulto 65kg",16,IF(Atletas!E414="Adulto 70kg",17,IF(Atletas!E414="Adulto 75kg",18,IF(Atletas!E414="Adulto 82kg",19,IF(Atletas!E414="Adulto 90kg",20,IF(Atletas!E414="Adulto 100kg",21,IF(Atletas!E414="Adulto +100kg",22,""))))))))))))))))))))))))</f>
        <v/>
      </c>
      <c r="AT418" s="10" t="str">
        <f>IF(Atletas!F414="","",IF(Atletas!B414="Feminino",100,IF(Atletas!B414="Masculino",200,""))+(IF(Atletas!F414="Adulto 48kg",1,IF(Atletas!F414="Adulto 56kg",2,IF(Atletas!F414="Adulto 65kg",3,IF(Atletas!F414="Adulto 75kg",4,IF(Atletas!F414="Adulto +75kg",5,IF(Atletas!F414="Adulto 52kg",6,IF(Atletas!F414="Adulto 60kg",7,IF(Atletas!F414="Adulto 70kg",8,IF(Atletas!F414="Adulto 80kg",9,IF(Atletas!F414="Adulto 90kg",10,IF(Atletas!F414="Adulto +90kg",11,"")))))))))))))</f>
        <v/>
      </c>
      <c r="AY418" s="46" t="str">
        <f>IF(Atletas!G414="","",IF(Atletas!B414="Feminino",100,IF(Atletas!B414="Masculino",200,""))+(IF(Atletas!G414="Changquan Mirim",1,IF(Atletas!G414="Nanquan Mirim",2,IF(Atletas!G414="Taijiquan Mirim",3,IF(Atletas!G414="Changquan Grupo C",4,IF(Atletas!G414="Nanquan Grupo C",5,IF(Atletas!G414="Taijiquan Grupo C",6,IF(Atletas!G414="Changquan Grupo B",7,IF(Atletas!G414="Nanquan Grupo B",8,IF(Atletas!G414="Taijiquan Grupo B",9,IF(Atletas!G414="Changquan Grupo A",10,IF(Atletas!G414="Nanquan Grupo A",11,IF(Atletas!G414="Taijiquan Grupo A",12,IF(Atletas!G414="Changquan Opcional",13,IF(Atletas!G414="Nanquan Opcional",14,IF(Atletas!G414="Taijiquan Opcional",15,IF(Atletas!G414="Changquan Adulto",16,IF(Atletas!G414="Nanquan Adulto",17,IF(Atletas!G414="Taijiquan Adulto",18,""))))))))))))))))))))</f>
        <v/>
      </c>
      <c r="AZ418" s="46" t="str">
        <f>IF(Atletas!H414="","",IF(Atletas!B414="Feminino",100,IF(Atletas!B414="Masculino",200,""))+(IF(Atletas!H414="Daoshu Mirim",19,IF(Atletas!H414="Jianshu Mirim",20,IF(Atletas!H414="Nandao Mirim",21,IF(Atletas!H414="Taijijian Mirim",22,IF(Atletas!H414="Daoshu Grupo C",23,IF(Atletas!H414="Jianshu Grupo C",24,IF(Atletas!H414="Nandao Grupo C",25,IF(Atletas!H414="Taijijian Grupo C",26,IF(Atletas!H414="Daoshu Grupo B",27,IF(Atletas!H414="Jianshu Grupo B",28,IF(Atletas!H414="Nandao Grupo B",29,IF(Atletas!H414="Taijijian Grupo B",30,IF(Atletas!H414="Daoshu Grupo A",31,IF(Atletas!H414="Jianshu Grupo A",32,IF(Atletas!H414="Nandao Grupo A",33,IF(Atletas!H414="Taijijian Grupo A",34,IF(Atletas!H414="Daoshu Opcional",35,IF(Atletas!H414="Jianshu Opcional",36,IF(Atletas!H414="Nandao Opcional",37,IF(Atletas!H414="Taijijian Opcional",38,IF(Atletas!H414="Daoshu Adulto",39,IF(Atletas!H414="Jianshu Adulto",40,IF(Atletas!H414="Nandao Adulto",41,IF(Atletas!H414="Taijijian Adulto",42,""))))))))))))))))))))))))))</f>
        <v/>
      </c>
      <c r="BA418" s="46" t="str">
        <f>IF(Atletas!I414="","",IF(Atletas!B414="Feminino",100,IF(Atletas!B414="Masculino",200,""))+(IF(Atletas!I414="Gunshu Mirim",43,IF(Atletas!I414="Qiangshu Mirim",44,IF(Atletas!I414="Nangun Mirim",45,IF(Atletas!I414="Gunshu Grupo C",46,IF(Atletas!I414="Qiangshu Grupo C",47,IF(Atletas!I414="Nangun Grupo C",48,IF(Atletas!I414="Gunshu Grupo B",49,IF(Atletas!I414="Qiangshu Grupo B",50,IF(Atletas!I414="Nangun Grupo B",51,IF(Atletas!I414="Gunshu Grupo A",52,IF(Atletas!I414="Qiangshu Grupo A",53,IF(Atletas!I414="Nangun Grupo A",54,IF(Atletas!I414="Gunshu Opcional",55,IF(Atletas!I414="Qiangshu Opcional",56,IF(Atletas!I414="Nangun Opcional",57,IF(Atletas!I414="Gunshu Adulto",58,IF(Atletas!I414="Qiangshu Adulto",59,IF(Atletas!I414="Nangun Adulto",60,""))))))))))))))))))))</f>
        <v/>
      </c>
      <c r="BF418" s="52" t="str">
        <f>IF(Atletas!J414="","",IF(Atletas!B414="Feminino",100,IF(Atletas!B414="Masculino",200,""))+(IF(Atletas!J414="Equipe 1 Grupo B",1,IF(Atletas!J414="Equipe 2 Grupo B",2,IF(Atletas!J414="Equipe 1 Grupo A",3,IF(Atletas!J414="Equipe 2 Grupo A",4,IF(Atletas!J414="Equipe 1 Adulto",5,IF(Atletas!J414="Equipe 2 Adulto",6,""))))))))</f>
        <v/>
      </c>
      <c r="BK418" s="52" t="str">
        <f>IF(Atletas!K414="","",IF(Atletas!W414&lt;&gt;"",10000,0)+(IF(Atletas!B414="Feminino",1000,IF(Atletas!B414="Masculino",2000,""))+IF(Atletas!K414="Choylayfut A",1,IF(Atletas!K414="Hunggar A",2,IF(Atletas!K414="Wuzuquan A",3,IF(Atletas!K414="Wingchun A",4,IF(Atletas!K414="Outra Mão de Sul A",5,IF(Atletas!K414="Choylayfut B",6,IF(Atletas!K414="Hunggar B",7,IF(Atletas!K414="Wuzuquan B",8,IF(Atletas!K414="Wingchun B",9,IF(Atletas!K414="Outra Mão de Sul B",10,IF(Atletas!K414="Choylayfut C",11,IF(Atletas!K414="Hunggar C",12,IF(Atletas!K414="Wuzuquan C",13,IF(Atletas!K414="Wingchun C",14,IF(Atletas!K414="Outra Mão de Sul C",15,IF(Atletas!K414="Choylayfut D",16,IF(Atletas!K414="Hunggar D",17,IF(Atletas!K414="Wuzuquan D",18,IF(Atletas!K414="Wingchun D",19,IF(Atletas!K414="Outra Mão de Sul D",20,IF(Atletas!K414="Choylayfut E",21,IF(Atletas!K414="Hunggar E",22,IF(Atletas!K414="Wuzuquan E",23,IF(Atletas!K414="Wingchun E",24,IF(Atletas!K414="Outra Mão de Sul E",25,IF(Atletas!K414="Choylayfut F",26,IF(Atletas!K414="Hunggar F",27,IF(Atletas!K414="Wuzuquan F",28,IF(Atletas!K414="Wingchun F",29,IF(Atletas!K414="Outra Mão de Sul F",30,""))))))))))))))))))))))))))))))))</f>
        <v/>
      </c>
      <c r="BL418" s="52" t="str">
        <f>IF(Atletas!L414="","",IF(Atletas!W414&lt;&gt;"",10000,0)+(IF(Atletas!B414="Feminino",1000,IF(Atletas!B414="Masculino",2000,""))+(IF(Atletas!L414="Chaquan A",101,IF(Atletas!L414="Emeiquan A",102,IF(Atletas!L414="Fanziquan A",103,IF(Atletas!L414="Huaquan A",104,IF(Atletas!L414="Hongquan A",105,IF(Atletas!L414="Paochui A",106,IF(Atletas!L414="Piguaquan A",107,IF(Atletas!L414="Shaolinquan A",108,IF(Atletas!L414="Tanglangquan A",109,IF(Atletas!L414="Yinzhaophai A",110,IF(Atletas!L414="Tongbeiquan A",111,IF(Atletas!L414="Wudangquan A",112,IF(Atletas!L414="Outros Estilos A",113,IF(Atletas!L414="Chaquan B",114,IF(Atletas!L414="Emeiquan B",115,IF(Atletas!L414="Fanziquan B",116,IF(Atletas!L414="Huaquan B",117,IF(Atletas!L414="Hongquan B",118,IF(Atletas!L414="Paochui B",119,IF(Atletas!L414="Piguaquan B",120,IF(Atletas!L414="Shaolinquan B",121,IF(Atletas!L414="Tanglangquan B",122,IF(Atletas!L414="Yinzhaophai B",123,IF(Atletas!L414="Tongbeiquan B",124,IF(Atletas!L414="Wudangquan B",125,IF(Atletas!L414="Outros Estilos B",126,IF(Atletas!L414="Chaquan C",127,IF(Atletas!L414="Emeiquan C",128,IF(Atletas!L414="Fanziquan C",129,IF(Atletas!L414="Huaquan C",130,IF(Atletas!L414="Hongquan C",131,IF(Atletas!L414="Paochui C",132,IF(Atletas!L414="Piguaquan C",133,IF(Atletas!L414="Shaolinquan C",134,IF(Atletas!L414="Tanglangquan C",135,IF(Atletas!L414="Yinzhaophai C",136,IF(Atletas!L414="Tongbeiquan C",137,IF(Atletas!L414="Wudangquan C",138,IF(Atletas!L414="Outros Estilos C",139,0))))))))))))))))))))))))))))))))))))))))))</f>
        <v/>
      </c>
      <c r="BM418" s="52" t="str">
        <f>IF(Atletas!L414="","",IF(Atletas!W414&lt;&gt;"",10000,0)+(IF(Atletas!B414="Feminino",1000,IF(Atletas!B414="Masculino",2000,""))+(IF(Atletas!L414="Chaquan D",140,IF(Atletas!L414="Emeiquan D",141,IF(Atletas!L414="Fanziquan D",142,IF(Atletas!L414="Huaquan D",143,IF(Atletas!L414="Hongquan D",144,IF(Atletas!L414="Paochui D",145,IF(Atletas!L414="Piguaquan D",146,IF(Atletas!L414="Shaolinquan D",147,IF(Atletas!L414="Tanglangquan D",148,IF(Atletas!L414="Yinzhaophai D",149,IF(Atletas!L414="Tongbeiquan D",150,IF(Atletas!L414="Wudangquan D",151,IF(Atletas!L414="Outros Estilos D",152,IF(Atletas!L414="Chaquan E",153,IF(Atletas!L414="Emeiquan E",154,IF(Atletas!L414="Fanziquan E",155,IF(Atletas!L414="Huaquan E",156,IF(Atletas!L414="Hongquan E",157,IF(Atletas!L414="Paochui E",158,IF(Atletas!L414="Piguaquan E",159,IF(Atletas!L414="Shaolinquan E",160,IF(Atletas!L414="Tanglangquan E",161,IF(Atletas!L414="Yinzhaophai E",162,IF(Atletas!L414="Tongbeiquan E",163,IF(Atletas!L414="Wudangquan E",164,IF(Atletas!L414="Outros Estilos E",165,IF(Atletas!L414="Chaquan F",166,IF(Atletas!L414="Emeiquan F",167,IF(Atletas!L414="Fanziquan F",168,IF(Atletas!L414="Huaquan F",169,IF(Atletas!L414="Hongquan F",170,IF(Atletas!L414="Paochui F",171,IF(Atletas!L414="Piguaquan F",172,IF(Atletas!L414="Shaolinquan F",173,IF(Atletas!L414="Tanglangquan F",174,IF(Atletas!L414="Yinzhaophai F",175,IF(Atletas!L414="Tongbeiquan F",176,IF(Atletas!L414="Wudangquan F",177,IF(Atletas!L414="Outros Estilos F",178,0))))))))))))))))))))))))))))))))))))))))))</f>
        <v/>
      </c>
      <c r="BN418" s="52" t="str">
        <f>IF(Atletas!M414="","",IF(Atletas!W414&lt;&gt;"",10000,0)+(IF(Atletas!B414="Feminino",1000,IF(Atletas!B414="Masculino",2000,""))+(IF(Atletas!M414="Ditangquan A",201,IF(Atletas!M414="Houquan A",202,IF(Atletas!M414="Zuiquan A",203,IF(Atletas!M414="Ditangquan B",204,IF(Atletas!M414="Houquan B",205,IF(Atletas!M414="Zuiquan B",206,IF(Atletas!M414="Ditangquan C",207,IF(Atletas!M414="Houquan C",208,IF(Atletas!M414="Zuiquan C",209,IF(Atletas!M414="Ditangquan D",210,IF(Atletas!M414="Houquan D",211,IF(Atletas!M414="Zuiquan D",212,IF(Atletas!M414="Ditangquan E",213,IF(Atletas!M414="Houquan E",214,IF(Atletas!M414="Zuiquan E",215,IF(Atletas!M414="Ditangquan F",216,IF(Atletas!M414="Houquan F",217,IF(Atletas!M414="Zuiquan F",218,"")))))))))))))))))))))</f>
        <v/>
      </c>
      <c r="BO418" s="52" t="str">
        <f>IF(Atletas!N414="","",IF(Atletas!W414&lt;&gt;"",10000,0)+IF(Atletas!B414="Feminino",1000,IF(Atletas!B414="Masculino",2000,""))+IF(Atletas!N414="Yang A",301,IF(Atletas!N414="Chen A",30,IF(Atletas!N414="Sun A",303,IF(Atletas!N414="Wu A",304,IF(Atletas!N414="Wu-Hao A",305,IF(Atletas!N414="Outro Taijiquan A",306,IF(Atletas!N414="Yang B",307,IF(Atletas!N414="Chen B",308,IF(Atletas!N414="Sun B",309,IF(Atletas!N414="Wu B",310,IF(Atletas!N414="Wu-Hao B",311,IF(Atletas!N414="Outro Taijiquan B",312,IF(Atletas!N414="Yang C",313,IF(Atletas!N414="Chen C",314,IF(Atletas!N414="Sun C",315,IF(Atletas!N414="Wu C",316,IF(Atletas!N414="Wu-Hao C",317,IF(Atletas!N414="Outro Taijiquan C",318,IF(Atletas!N414="Yang D",319,IF(Atletas!N414="Chen D",320,IF(Atletas!N414="Sun D",321,IF(Atletas!N414="Wu D",322,IF(Atletas!N414="Wu-Hao D",323,IF(Atletas!N414="Outro Taijiquan D",324,IF(Atletas!N414="Yang E",325,IF(Atletas!N414="Chen E",326,IF(Atletas!N414="Sun E",327,IF(Atletas!N414="Wu E",328,IF(Atletas!N414="Wu-Hao E",329,IF(Atletas!N414="Outro Taijiquan E",330,IF(Atletas!N414="Yang F",331,IF(Atletas!N414="Chen F",332,IF(Atletas!N414="Sun F",333,IF(Atletas!N414="Wu F",334,IF(Atletas!N414="Wu-Hao F",335,IF(Atletas!N414="Outro Taijiquan F",336,"")))))))))))))))))))))))))))))))))))))</f>
        <v/>
      </c>
      <c r="BP418" s="52" t="str">
        <f>IF(Atletas!O414="","",IF(Atletas!W414&lt;&gt;"",10000,0)+IF(Atletas!B414="Feminino",1000,IF(Atletas!B414="Masculino",2000,""))+IF(OR(Atletas!O414="Yang 26 A",Atletas!O414="Yang 40 A"),401,IF(OR(Atletas!O414="Chen 25 A",Atletas!O414="Chen 36 A",Atletas!O414="Chen 56 A"),402,IF(Atletas!O414="Sun 73 A",403,IF(Atletas!O414="Wu 45 A",404,IF(Atletas!O414="Wu-Hao 46 A",405,IF(OR(Atletas!O414="Taijiquan 16 A",Atletas!O414="Taijiquan 24 A",Atletas!O414="Taijiquan 32 A",Atletas!O414="Taijiquan 42 A"),406,IF(OR(Atletas!O414="Yang 26 B",Atletas!O414="Yang 40 B"),407,IF(OR(Atletas!O414="Chen 25 B",Atletas!O414="Chen 36 B",Atletas!O414="Chen 56 B"),408,IF(Atletas!O414="Sun 73 B",409,IF(Atletas!O414="Wu 45 B",410,IF(Atletas!O414="Wu-Hao 46 B",411,IF(OR(Atletas!O414="Taijiquan 16 B",Atletas!O414="Taijiquan 24 B",Atletas!O414="Taijiquan 32 B",Atletas!O414="Taijiquan 42 B"),412,IF(OR(Atletas!O414="Yang 26 C",Atletas!O414="Yang 40 C"),413,IF(OR(Atletas!O414="Chen 25 C",Atletas!O414="Chen 36 C",Atletas!O414="Chen 56 C"),414,IF(Atletas!O414="Sun 73 C",415,IF(Atletas!O414="Wu 45 C",416,IF(Atletas!O414="Wu-Hao 46 C",417,IF(OR(Atletas!O414="Taijiquan 16 C",Atletas!O414="Taijiquan 24 C",Atletas!O414="Taijiquan 32 C",Atletas!O414="Taijiquan 42 C"),418,0)))))))))))))))))))</f>
        <v/>
      </c>
      <c r="BQ418" s="52" t="str">
        <f>IF(Atletas!O414="","",IF(Atletas!W414&lt;&gt;"",10000,0)+IF(Atletas!B414="Feminino",1000,IF(Atletas!B414="Masculino",2000,""))+IF(OR(Atletas!O414="Yang 26 D",Atletas!O414="Yang 40 D"),419,IF(OR(Atletas!O414="Chen 25 D",Atletas!O414="Chen 36 D",Atletas!O414="Chen 56 D"),420,IF(Atletas!O414="Sun 73 D",421,IF(Atletas!O414="Wu 45 D",422,IF(Atletas!O414="Wu-Hao 46 D",423,IF(OR(Atletas!O414="Taijiquan 16 D",Atletas!O414="Taijiquan 24 D",Atletas!O414="Taijiquan 32 D",Atletas!O414="Taijiquan 42 D"),424,IF(OR(Atletas!O414="Yang 26 E",Atletas!O414="Yang 40 E"),425,IF(OR(Atletas!O414="Chen 25 E",Atletas!O414="Chen 36 E",Atletas!O414="Chen 56 E"),426,IF(Atletas!O414="Sun 73 E",427,IF(Atletas!O414="Wu 45 E",428,IF(Atletas!O414="Wu-Hao 46 E",429,IF(OR(Atletas!O414="Taijiquan 16 E",Atletas!O414="Taijiquan 24 E",Atletas!O414="Taijiquan 32 E",Atletas!O414="Taijiquan 42 E"),430,IF(OR(Atletas!O414="Yang 26 F",Atletas!O414="Yang 40 F"),431,IF(OR(Atletas!O414="Chen 25 F",Atletas!O414="Chen 36 F",Atletas!O414="Chen 56 F"),432,IF(Atletas!O414="Sun 73 F",433,IF(Atletas!O414="Wu 45 F",434,IF(Atletas!O414="Wu-Hao 46 F",435,IF(OR(Atletas!O414="Taijiquan 16 F",Atletas!O414="Taijiquan 24 F",Atletas!O414="Taijiquan 32 F",Atletas!O414="Taijiquan 42 F"),436,0)))))))))))))))))))</f>
        <v/>
      </c>
      <c r="BR418" s="52" t="str">
        <f>IF(Atletas!P414="","",IF(Atletas!W414&lt;&gt;"",10000,0)+IF(Atletas!B414="Feminino",1000,IF(Atletas!B414="Masculino",2000,""))+IF(Atletas!P414="Xingyiquan A",501,IF(Atletas!P414="Baguazhang A",502,IF(Atletas!P414="Outro Estilo Interno A",503,IF(Atletas!P414="Xingyiquan B",504,IF(Atletas!P414="Baguazhang B",505,IF(Atletas!P414="Outro Estilo Interno B",506,IF(Atletas!P414="Xingyiquan C",507,IF(Atletas!P414="Baguazhang C",508,IF(Atletas!P414="Outro Estilo Interno C",509,IF(Atletas!P414="Xingyiquan D",510,IF(Atletas!P414="Baguazhang D",511,IF(Atletas!P414="Outro Estilo Interno D",512,IF(Atletas!P414="Xingyiquan E",513,IF(Atletas!P414="Baguazhang E",514,IF(Atletas!P414="Outro Estilo Interno E",515,IF(Atletas!P414="Xingyiquan F",516,IF(Atletas!P414="Baguazhang F",517,IF(Atletas!P414="Outro Estilo Interno F",518, "")))))))))))))))))))</f>
        <v/>
      </c>
      <c r="BS418" s="52" t="str">
        <f>IF(Atletas!Q414="","",IF(Atletas!W414&lt;&gt;"",10000,0)+IF(Atletas!B414="Feminino",1000,IF(Atletas!B414="Masculino",2000,""))+IF(Atletas!Q414="Dao A",601,IF(Atletas!Q414="Jian A",602,IF(Atletas!Q414="Bishou A",603,IF(Atletas!Q414="Shan A",604,IF(Atletas!Q414="Outra Arma Curta A",605,IF(Atletas!Q414="Dao B",606,IF(Atletas!Q414="Jian B",607,IF(Atletas!Q414="Bishou B",608,IF(Atletas!Q414="Shan B",609,IF(Atletas!Q414="Outra Arma Curta B",610,IF(Atletas!Q414="Dao C",611,IF(Atletas!Q414="Jian C",612,IF(Atletas!Q414="Bishou C",613,IF(Atletas!Q414="Shan C",614,IF(Atletas!Q414="Outra Arma Curta C",615,IF(Atletas!Q414="Dao D",616,IF(Atletas!Q414="Jian D",617,IF(Atletas!Q414="Bishou D",618,IF(Atletas!Q414="Shan D",619,IF(Atletas!Q414="Outra Arma Curta D",620,IF(Atletas!Q414="Dao E",621,IF(Atletas!Q414="Jian E",622,IF(Atletas!Q414="Bishou E",623,IF(Atletas!Q414="Shan E",624,IF(Atletas!Q414="Outra Arma Curta E",625,IF(Atletas!Q414="Dao F",626,IF(Atletas!Q414="Jian F",627,IF(Atletas!Q414="Bishou F",628,IF(Atletas!Q414="Shan F",629,IF(Atletas!Q414="Outra Arma Curta F",630, "")))))))))))))))))))))))))))))))</f>
        <v/>
      </c>
      <c r="BT418" s="52" t="str">
        <f>IF(Atletas!R414="","",IF(Atletas!W414&lt;&gt;"",10000,0)+IF(Atletas!B414="Feminino",1000,IF(Atletas!B414="Masculino",2000,""))+IF(Atletas!R414="Gun A",701,IF(Atletas!R414="Qiang A",702,IF(Atletas!R414="Pudao / Guandao A",703,IF(Atletas!R414="Outra Arma Longa A",704,IF(Atletas!R414="Gun B",705,IF(Atletas!R414="Qiang B",706,IF(Atletas!R414="Pudao / Guandao B",707,IF(Atletas!R414="Outra Arma Longa B",708,IF(Atletas!R414="Gun C",709,IF(Atletas!R414="Qiang C",710,IF(Atletas!R414="Pudao / Guandao C",711,IF(Atletas!R414="Outra Arma Longa C",712,IF(Atletas!R414="Gun D",713,IF(Atletas!R414="Qiang D",714,IF(Atletas!R414="Pudao / Guandao D",715,IF(Atletas!R414="Outra Arma Longa D",716,IF(Atletas!R414="Gun E",717,IF(Atletas!R414="Qiang E",718,IF(Atletas!R414="Pudao / Guandao E",719,IF(Atletas!R414="Outra Arma Longa E",720,IF(Atletas!R414="Gun F",721,IF(Atletas!R414="Qiang F",722,IF(Atletas!R414="Pudao / Guandao F",723,IF(Atletas!R414="Outra Arma Longa F",724,"")))))))))))))))))))))))))</f>
        <v/>
      </c>
      <c r="BU418" s="52" t="str">
        <f>IF(Atletas!S414="","",IF(Atletas!W414&lt;&gt;"",10000,0)+IF(Atletas!B414="Feminino",1000,IF(Atletas!B414="Masculino",2000,""))+IF(Atletas!S414="Arma Dupla A",801,IF(Atletas!S414="Arma Maleável A",802,IF(Atletas!S414="Arma Dupla B",803,IF(Atletas!S414="Arma Maleável B",804,IF(Atletas!S414="Arma Dupla C",805,IF(Atletas!S414="Arma Maleável C",806,IF(Atletas!S414="Arma Dupla D",807,IF(Atletas!S414="Arma Maleável D",808,IF(Atletas!S414="Arma Dupla E",809,IF(Atletas!S414="Arma Maleável E",810,IF(Atletas!S414="Arma Dupla F",811,IF(Atletas!S414="Arma Maleável F",812, "")))))))))))))</f>
        <v/>
      </c>
      <c r="BV418" s="52" t="str">
        <f>IF(Atletas!T414="","",IF(Atletas!W414&lt;&gt;"",10000,0)+IF(Atletas!B414="Feminino",1000,IF(Atletas!B414="Masculino",2000,""))+IF(Atletas!T414="Taijijian Yang A",901,IF(Atletas!T414="Taijijian Chen A",902,IF(Atletas!T414="Taijijian Sun A",903,IF(Atletas!T414="Taijijian Wu A",904,IF(Atletas!T414="Taijijian Wu-Hao A",905,IF(Atletas!T414="Taijijian 32 A",906,IF(Atletas!T414="Taijijian 42 A",907,IF(Atletas!T414="Taijijian Yang B",908,IF(Atletas!T414="Taijijian Chen B",909,IF(Atletas!T414="Taijijian Sun B",910,IF(Atletas!T414="Taijijian Wu B",911,IF(Atletas!T414="Taijijian Wu-Hao B",912,IF(Atletas!T414="Taijijian 32 B",913,IF(Atletas!T414="Taijijian 42 B",914,IF(Atletas!T414="Taijijian Yang C",915,IF(Atletas!T414="Taijijian Chen C",916,IF(Atletas!T414="Taijijian Sun C",917,IF(Atletas!T414="Taijijian Wu C",918,IF(Atletas!T414="Taijijian Wu-Hao C",919,IF(Atletas!T414="Taijijian 32 C",920,IF(Atletas!T414="Taijijian 42 C",921,IF(Atletas!T414="Taijijian Yang D",922,IF(Atletas!T414="Taijijian Chen D",923,IF(Atletas!T414="Taijijian Sun D",924,IF(Atletas!T414="Taijijian Wu D",925,IF(Atletas!T414="Taijijian Wu-Hao D",926,IF(Atletas!T414="Taijijian 32 D",927,IF(Atletas!T414="Taijijian 42 D",928,IF(Atletas!T414="Taijijian Yang E",929,IF(Atletas!T414="Taijijian Chen E",930,IF(Atletas!T414="Taijijian Sun E",931,IF(Atletas!T414="Taijijian Wu E",932,IF(Atletas!T414="Taijijian Wu-Hao E",933,IF(Atletas!T414="Taijijian 32 E",934,IF(Atletas!T414="Taijijian 42 E",935,IF(Atletas!T414="Taijijian Yang F",936,IF(Atletas!T414="Taijijian Chen F",937,IF(Atletas!T414="Taijijian Sun F",938,IF(Atletas!T414="Taijijian Wu F",939,IF(Atletas!T414="Taijijian Wu-Hao F",940,IF(Atletas!T414="Taijijian 32 F",941,IF(Atletas!T414="Taijijian 42 F",942,"")))))))))))))))))))))))))))))))))))))))))))</f>
        <v/>
      </c>
      <c r="BW418" s="52" t="str">
        <f>IF(Atletas!U414="","",IF(Atletas!W414&lt;&gt;"",10000,0)+IF(Atletas!B414="Feminino",1000,IF(Atletas!B414="Masculino",2000,""))+IF(Atletas!T414="Taijijian 42 F",942,IF(Atletas!U414="Taijidao A",943,IF(Atletas!U414="Taijishan A",944,IF(Atletas!U414="Taijiqiang A",945,IF(Atletas!U414="Taijidao B",946,IF(Atletas!U414="Taijishan B",947,IF(Atletas!U414="Taijiqiang B",948,IF(Atletas!U414="Taijidao C",949,IF(Atletas!U414="Taijishan C",950,IF(Atletas!U414="Taijiqiang C",951,IF(Atletas!U414="Taijidao D",952,IF(Atletas!U414="Taijishan D",953,IF(Atletas!U414="Taijiqiang D",954,IF(Atletas!U414="Taijidao E",955,IF(Atletas!U414="Taijishan E",956,IF(Atletas!U414="Taijiqiang E",957,IF(Atletas!U414="Taijidao F",958,IF(Atletas!U414="Taijishan F",959,IF(Atletas!U414="Taijiqiang F",960))))))))))))))))))))</f>
        <v/>
      </c>
      <c r="CF418" s="52" t="str">
        <f xml:space="preserve"> IF(Atletas!V414="","",IF(Atletas!V414="Duilian de Mãos AB - Equipe 1",1,IF(Atletas!V414="Duilian de Mãos AB - Equipe 2",2,IF(Atletas!V414="Duilian de Armas AB - Equipe 1",3,IF(Atletas!V414="Duilian de Armas AB - Equipe 2",4,IF(Atletas!V414="Duilian de Tuishou - Equipe 1",5,IF(Atletas!V414="Duilian de Tuishou - Equipe 2",6,IF(Atletas!V414="Grupo Externo AB - Equipe 1",7,IF(Atletas!V414="Grupo Externo AB - Equipe 2",8,IF(Atletas!V414="Grupo Interno AB - Equipe 1",9,IF(Atletas!V414="Grupo Interno AB - Equipe 2",10,IF(Atletas!V414="Duilian de Mãos CD - Equipe 1",11,IF(Atletas!V414="Duilian de Mãos CD - Equipe 2",12,IF(Atletas!V414="Duilian de Armas CD - Equipe 1",13,IF(Atletas!V414="Duilian de Armas CD - Equipe 2",14,IF(Atletas!V414="Duilian de Tuishou - Equipe 1",15,IF(Atletas!V414="Duilian de Tuishou - Equipe 2",16,IF(Atletas!V414="Grupo Externo CDEF - Equipe 1",17,IF(Atletas!V414="Grupo Externo CDEF - Equipe 2",18,IF(Atletas!V414="Grupo Interno CDEF - Equipe 1",19,IF(Atletas!V414="Grupo Interno CDEF - Equipe 2",20,IF(Atletas!V414="Duilian de Mãos EF - Equipe 1",21,IF(Atletas!V414="Duilian de Mãos EF - Equipe 2",22,IF(Atletas!V414="Duilian de Armas EF - Equipe 1",23,IF(Atletas!V414="Duilian de Armas EF - Equipe 2",24,IF(Atletas!V414="Duilian de Tuishou - Equipe 1",25,IF(Atletas!V414="Duilian de Tuishou - Equipe 2",26,"")))))))))))))))))))))))))))</f>
        <v/>
      </c>
    </row>
    <row r="419" spans="36:84">
      <c r="AJ419" s="46" t="str">
        <f>IF(Atletas!D415="","",IF(Atletas!B415="Feminino",100,IF(Atletas!B415="Masculino",200,""))+(IF(Atletas!D415="Infantil 39kg",1,IF(Atletas!D415="Infantil 42kg",2,IF(Atletas!D415="Infantil 45kg",3,IF(Atletas!D415="Infantil 48kg",4,IF(Atletas!D415="Infantil 52kg",5,IF(Atletas!D415="Infantil 56kg",6,IF(Atletas!D415="Infantil 60kg",7,IF(Atletas!D415="Juvenil 48kg",8,IF(Atletas!D415="Juvenil 52kg",9,IF(Atletas!D415="Juvenil 56kg",10,IF(Atletas!D415="Juvenil 60kg",11,IF(Atletas!D415="Juvenil 65kg",12,IF(Atletas!D415="Juvenil 70kg",13,IF(Atletas!D415="Juvenil 75kg",14,IF(Atletas!D415="Juvenil 80kg",15,IF(Atletas!D415="Adulto 48kg",16,IF(Atletas!D415="Adulto 52kg",17,IF(Atletas!D415="Adulto 56kg",18,IF(Atletas!D415="Adulto 60kg",19,IF(Atletas!D415="Adulto 65kg",20,IF(Atletas!D415="Adulto 70kg",21,IF(Atletas!D415="Adulto 75kg",22,IF(Atletas!D415="Adulto 80kg",23,IF(Atletas!D415="Adulto 85kg",24,IF(Atletas!D415="Adulto 90kg",25,IF(Atletas!D415="Adulto +90kg",26,""))))))))))))))))))))))))))))</f>
        <v/>
      </c>
      <c r="AO419" s="10" t="str">
        <f>IF(Atletas!E415="","",IF(Atletas!B415="Feminino",100,IF(Atletas!B415="Masculino",200,""))+(IF(Atletas!E415="Juvenil 44kg",1,IF(Atletas!E415="Juvenil 48kg",2,IF(Atletas!E415="Juvenil 52kg",3,IF(Atletas!E415="Juvenil 56kg",4,IF(Atletas!E415="Juvenil 60kg",5,IF(Atletas!E415="Juvenil 65kg",6,IF(Atletas!E415="Juvenil 70kg",7,IF(Atletas!E415="Juvenil 75kg",8,IF(Atletas!E415="Juvenil 82kg",9,IF(Atletas!E415="Juvenil 90kg",10,IF(Atletas!E415="Juvenil 100kg",11,IF(Atletas!E415="Adulto 48kg",12,IF(Atletas!E415="Adulto 52kg",13,IF(Atletas!E415="Adulto 56kg",14,IF(Atletas!E415="Adulto 60kg",15,IF(Atletas!E415="Adulto 65kg",16,IF(Atletas!E415="Adulto 70kg",17,IF(Atletas!E415="Adulto 75kg",18,IF(Atletas!E415="Adulto 82kg",19,IF(Atletas!E415="Adulto 90kg",20,IF(Atletas!E415="Adulto 100kg",21,IF(Atletas!E415="Adulto +100kg",22,""))))))))))))))))))))))))</f>
        <v/>
      </c>
      <c r="AT419" s="10" t="str">
        <f>IF(Atletas!F415="","",IF(Atletas!B415="Feminino",100,IF(Atletas!B415="Masculino",200,""))+(IF(Atletas!F415="Adulto 48kg",1,IF(Atletas!F415="Adulto 56kg",2,IF(Atletas!F415="Adulto 65kg",3,IF(Atletas!F415="Adulto 75kg",4,IF(Atletas!F415="Adulto +75kg",5,IF(Atletas!F415="Adulto 52kg",6,IF(Atletas!F415="Adulto 60kg",7,IF(Atletas!F415="Adulto 70kg",8,IF(Atletas!F415="Adulto 80kg",9,IF(Atletas!F415="Adulto 90kg",10,IF(Atletas!F415="Adulto +90kg",11,"")))))))))))))</f>
        <v/>
      </c>
      <c r="AY419" s="46" t="str">
        <f>IF(Atletas!G415="","",IF(Atletas!B415="Feminino",100,IF(Atletas!B415="Masculino",200,""))+(IF(Atletas!G415="Changquan Mirim",1,IF(Atletas!G415="Nanquan Mirim",2,IF(Atletas!G415="Taijiquan Mirim",3,IF(Atletas!G415="Changquan Grupo C",4,IF(Atletas!G415="Nanquan Grupo C",5,IF(Atletas!G415="Taijiquan Grupo C",6,IF(Atletas!G415="Changquan Grupo B",7,IF(Atletas!G415="Nanquan Grupo B",8,IF(Atletas!G415="Taijiquan Grupo B",9,IF(Atletas!G415="Changquan Grupo A",10,IF(Atletas!G415="Nanquan Grupo A",11,IF(Atletas!G415="Taijiquan Grupo A",12,IF(Atletas!G415="Changquan Opcional",13,IF(Atletas!G415="Nanquan Opcional",14,IF(Atletas!G415="Taijiquan Opcional",15,IF(Atletas!G415="Changquan Adulto",16,IF(Atletas!G415="Nanquan Adulto",17,IF(Atletas!G415="Taijiquan Adulto",18,""))))))))))))))))))))</f>
        <v/>
      </c>
      <c r="AZ419" s="46" t="str">
        <f>IF(Atletas!H415="","",IF(Atletas!B415="Feminino",100,IF(Atletas!B415="Masculino",200,""))+(IF(Atletas!H415="Daoshu Mirim",19,IF(Atletas!H415="Jianshu Mirim",20,IF(Atletas!H415="Nandao Mirim",21,IF(Atletas!H415="Taijijian Mirim",22,IF(Atletas!H415="Daoshu Grupo C",23,IF(Atletas!H415="Jianshu Grupo C",24,IF(Atletas!H415="Nandao Grupo C",25,IF(Atletas!H415="Taijijian Grupo C",26,IF(Atletas!H415="Daoshu Grupo B",27,IF(Atletas!H415="Jianshu Grupo B",28,IF(Atletas!H415="Nandao Grupo B",29,IF(Atletas!H415="Taijijian Grupo B",30,IF(Atletas!H415="Daoshu Grupo A",31,IF(Atletas!H415="Jianshu Grupo A",32,IF(Atletas!H415="Nandao Grupo A",33,IF(Atletas!H415="Taijijian Grupo A",34,IF(Atletas!H415="Daoshu Opcional",35,IF(Atletas!H415="Jianshu Opcional",36,IF(Atletas!H415="Nandao Opcional",37,IF(Atletas!H415="Taijijian Opcional",38,IF(Atletas!H415="Daoshu Adulto",39,IF(Atletas!H415="Jianshu Adulto",40,IF(Atletas!H415="Nandao Adulto",41,IF(Atletas!H415="Taijijian Adulto",42,""))))))))))))))))))))))))))</f>
        <v/>
      </c>
      <c r="BA419" s="46" t="str">
        <f>IF(Atletas!I415="","",IF(Atletas!B415="Feminino",100,IF(Atletas!B415="Masculino",200,""))+(IF(Atletas!I415="Gunshu Mirim",43,IF(Atletas!I415="Qiangshu Mirim",44,IF(Atletas!I415="Nangun Mirim",45,IF(Atletas!I415="Gunshu Grupo C",46,IF(Atletas!I415="Qiangshu Grupo C",47,IF(Atletas!I415="Nangun Grupo C",48,IF(Atletas!I415="Gunshu Grupo B",49,IF(Atletas!I415="Qiangshu Grupo B",50,IF(Atletas!I415="Nangun Grupo B",51,IF(Atletas!I415="Gunshu Grupo A",52,IF(Atletas!I415="Qiangshu Grupo A",53,IF(Atletas!I415="Nangun Grupo A",54,IF(Atletas!I415="Gunshu Opcional",55,IF(Atletas!I415="Qiangshu Opcional",56,IF(Atletas!I415="Nangun Opcional",57,IF(Atletas!I415="Gunshu Adulto",58,IF(Atletas!I415="Qiangshu Adulto",59,IF(Atletas!I415="Nangun Adulto",60,""))))))))))))))))))))</f>
        <v/>
      </c>
      <c r="BF419" s="52" t="str">
        <f>IF(Atletas!J415="","",IF(Atletas!B415="Feminino",100,IF(Atletas!B415="Masculino",200,""))+(IF(Atletas!J415="Equipe 1 Grupo B",1,IF(Atletas!J415="Equipe 2 Grupo B",2,IF(Atletas!J415="Equipe 1 Grupo A",3,IF(Atletas!J415="Equipe 2 Grupo A",4,IF(Atletas!J415="Equipe 1 Adulto",5,IF(Atletas!J415="Equipe 2 Adulto",6,""))))))))</f>
        <v/>
      </c>
      <c r="BK419" s="52" t="str">
        <f>IF(Atletas!K415="","",IF(Atletas!W415&lt;&gt;"",10000,0)+(IF(Atletas!B415="Feminino",1000,IF(Atletas!B415="Masculino",2000,""))+IF(Atletas!K415="Choylayfut A",1,IF(Atletas!K415="Hunggar A",2,IF(Atletas!K415="Wuzuquan A",3,IF(Atletas!K415="Wingchun A",4,IF(Atletas!K415="Outra Mão de Sul A",5,IF(Atletas!K415="Choylayfut B",6,IF(Atletas!K415="Hunggar B",7,IF(Atletas!K415="Wuzuquan B",8,IF(Atletas!K415="Wingchun B",9,IF(Atletas!K415="Outra Mão de Sul B",10,IF(Atletas!K415="Choylayfut C",11,IF(Atletas!K415="Hunggar C",12,IF(Atletas!K415="Wuzuquan C",13,IF(Atletas!K415="Wingchun C",14,IF(Atletas!K415="Outra Mão de Sul C",15,IF(Atletas!K415="Choylayfut D",16,IF(Atletas!K415="Hunggar D",17,IF(Atletas!K415="Wuzuquan D",18,IF(Atletas!K415="Wingchun D",19,IF(Atletas!K415="Outra Mão de Sul D",20,IF(Atletas!K415="Choylayfut E",21,IF(Atletas!K415="Hunggar E",22,IF(Atletas!K415="Wuzuquan E",23,IF(Atletas!K415="Wingchun E",24,IF(Atletas!K415="Outra Mão de Sul E",25,IF(Atletas!K415="Choylayfut F",26,IF(Atletas!K415="Hunggar F",27,IF(Atletas!K415="Wuzuquan F",28,IF(Atletas!K415="Wingchun F",29,IF(Atletas!K415="Outra Mão de Sul F",30,""))))))))))))))))))))))))))))))))</f>
        <v/>
      </c>
      <c r="BL419" s="52" t="str">
        <f>IF(Atletas!L415="","",IF(Atletas!W415&lt;&gt;"",10000,0)+(IF(Atletas!B415="Feminino",1000,IF(Atletas!B415="Masculino",2000,""))+(IF(Atletas!L415="Chaquan A",101,IF(Atletas!L415="Emeiquan A",102,IF(Atletas!L415="Fanziquan A",103,IF(Atletas!L415="Huaquan A",104,IF(Atletas!L415="Hongquan A",105,IF(Atletas!L415="Paochui A",106,IF(Atletas!L415="Piguaquan A",107,IF(Atletas!L415="Shaolinquan A",108,IF(Atletas!L415="Tanglangquan A",109,IF(Atletas!L415="Yinzhaophai A",110,IF(Atletas!L415="Tongbeiquan A",111,IF(Atletas!L415="Wudangquan A",112,IF(Atletas!L415="Outros Estilos A",113,IF(Atletas!L415="Chaquan B",114,IF(Atletas!L415="Emeiquan B",115,IF(Atletas!L415="Fanziquan B",116,IF(Atletas!L415="Huaquan B",117,IF(Atletas!L415="Hongquan B",118,IF(Atletas!L415="Paochui B",119,IF(Atletas!L415="Piguaquan B",120,IF(Atletas!L415="Shaolinquan B",121,IF(Atletas!L415="Tanglangquan B",122,IF(Atletas!L415="Yinzhaophai B",123,IF(Atletas!L415="Tongbeiquan B",124,IF(Atletas!L415="Wudangquan B",125,IF(Atletas!L415="Outros Estilos B",126,IF(Atletas!L415="Chaquan C",127,IF(Atletas!L415="Emeiquan C",128,IF(Atletas!L415="Fanziquan C",129,IF(Atletas!L415="Huaquan C",130,IF(Atletas!L415="Hongquan C",131,IF(Atletas!L415="Paochui C",132,IF(Atletas!L415="Piguaquan C",133,IF(Atletas!L415="Shaolinquan C",134,IF(Atletas!L415="Tanglangquan C",135,IF(Atletas!L415="Yinzhaophai C",136,IF(Atletas!L415="Tongbeiquan C",137,IF(Atletas!L415="Wudangquan C",138,IF(Atletas!L415="Outros Estilos C",139,0))))))))))))))))))))))))))))))))))))))))))</f>
        <v/>
      </c>
      <c r="BM419" s="52" t="str">
        <f>IF(Atletas!L415="","",IF(Atletas!W415&lt;&gt;"",10000,0)+(IF(Atletas!B415="Feminino",1000,IF(Atletas!B415="Masculino",2000,""))+(IF(Atletas!L415="Chaquan D",140,IF(Atletas!L415="Emeiquan D",141,IF(Atletas!L415="Fanziquan D",142,IF(Atletas!L415="Huaquan D",143,IF(Atletas!L415="Hongquan D",144,IF(Atletas!L415="Paochui D",145,IF(Atletas!L415="Piguaquan D",146,IF(Atletas!L415="Shaolinquan D",147,IF(Atletas!L415="Tanglangquan D",148,IF(Atletas!L415="Yinzhaophai D",149,IF(Atletas!L415="Tongbeiquan D",150,IF(Atletas!L415="Wudangquan D",151,IF(Atletas!L415="Outros Estilos D",152,IF(Atletas!L415="Chaquan E",153,IF(Atletas!L415="Emeiquan E",154,IF(Atletas!L415="Fanziquan E",155,IF(Atletas!L415="Huaquan E",156,IF(Atletas!L415="Hongquan E",157,IF(Atletas!L415="Paochui E",158,IF(Atletas!L415="Piguaquan E",159,IF(Atletas!L415="Shaolinquan E",160,IF(Atletas!L415="Tanglangquan E",161,IF(Atletas!L415="Yinzhaophai E",162,IF(Atletas!L415="Tongbeiquan E",163,IF(Atletas!L415="Wudangquan E",164,IF(Atletas!L415="Outros Estilos E",165,IF(Atletas!L415="Chaquan F",166,IF(Atletas!L415="Emeiquan F",167,IF(Atletas!L415="Fanziquan F",168,IF(Atletas!L415="Huaquan F",169,IF(Atletas!L415="Hongquan F",170,IF(Atletas!L415="Paochui F",171,IF(Atletas!L415="Piguaquan F",172,IF(Atletas!L415="Shaolinquan F",173,IF(Atletas!L415="Tanglangquan F",174,IF(Atletas!L415="Yinzhaophai F",175,IF(Atletas!L415="Tongbeiquan F",176,IF(Atletas!L415="Wudangquan F",177,IF(Atletas!L415="Outros Estilos F",178,0))))))))))))))))))))))))))))))))))))))))))</f>
        <v/>
      </c>
      <c r="BN419" s="52" t="str">
        <f>IF(Atletas!M415="","",IF(Atletas!W415&lt;&gt;"",10000,0)+(IF(Atletas!B415="Feminino",1000,IF(Atletas!B415="Masculino",2000,""))+(IF(Atletas!M415="Ditangquan A",201,IF(Atletas!M415="Houquan A",202,IF(Atletas!M415="Zuiquan A",203,IF(Atletas!M415="Ditangquan B",204,IF(Atletas!M415="Houquan B",205,IF(Atletas!M415="Zuiquan B",206,IF(Atletas!M415="Ditangquan C",207,IF(Atletas!M415="Houquan C",208,IF(Atletas!M415="Zuiquan C",209,IF(Atletas!M415="Ditangquan D",210,IF(Atletas!M415="Houquan D",211,IF(Atletas!M415="Zuiquan D",212,IF(Atletas!M415="Ditangquan E",213,IF(Atletas!M415="Houquan E",214,IF(Atletas!M415="Zuiquan E",215,IF(Atletas!M415="Ditangquan F",216,IF(Atletas!M415="Houquan F",217,IF(Atletas!M415="Zuiquan F",218,"")))))))))))))))))))))</f>
        <v/>
      </c>
      <c r="BO419" s="52" t="str">
        <f>IF(Atletas!N415="","",IF(Atletas!W415&lt;&gt;"",10000,0)+IF(Atletas!B415="Feminino",1000,IF(Atletas!B415="Masculino",2000,""))+IF(Atletas!N415="Yang A",301,IF(Atletas!N415="Chen A",30,IF(Atletas!N415="Sun A",303,IF(Atletas!N415="Wu A",304,IF(Atletas!N415="Wu-Hao A",305,IF(Atletas!N415="Outro Taijiquan A",306,IF(Atletas!N415="Yang B",307,IF(Atletas!N415="Chen B",308,IF(Atletas!N415="Sun B",309,IF(Atletas!N415="Wu B",310,IF(Atletas!N415="Wu-Hao B",311,IF(Atletas!N415="Outro Taijiquan B",312,IF(Atletas!N415="Yang C",313,IF(Atletas!N415="Chen C",314,IF(Atletas!N415="Sun C",315,IF(Atletas!N415="Wu C",316,IF(Atletas!N415="Wu-Hao C",317,IF(Atletas!N415="Outro Taijiquan C",318,IF(Atletas!N415="Yang D",319,IF(Atletas!N415="Chen D",320,IF(Atletas!N415="Sun D",321,IF(Atletas!N415="Wu D",322,IF(Atletas!N415="Wu-Hao D",323,IF(Atletas!N415="Outro Taijiquan D",324,IF(Atletas!N415="Yang E",325,IF(Atletas!N415="Chen E",326,IF(Atletas!N415="Sun E",327,IF(Atletas!N415="Wu E",328,IF(Atletas!N415="Wu-Hao E",329,IF(Atletas!N415="Outro Taijiquan E",330,IF(Atletas!N415="Yang F",331,IF(Atletas!N415="Chen F",332,IF(Atletas!N415="Sun F",333,IF(Atletas!N415="Wu F",334,IF(Atletas!N415="Wu-Hao F",335,IF(Atletas!N415="Outro Taijiquan F",336,"")))))))))))))))))))))))))))))))))))))</f>
        <v/>
      </c>
      <c r="BP419" s="52" t="str">
        <f>IF(Atletas!O415="","",IF(Atletas!W415&lt;&gt;"",10000,0)+IF(Atletas!B415="Feminino",1000,IF(Atletas!B415="Masculino",2000,""))+IF(OR(Atletas!O415="Yang 26 A",Atletas!O415="Yang 40 A"),401,IF(OR(Atletas!O415="Chen 25 A",Atletas!O415="Chen 36 A",Atletas!O415="Chen 56 A"),402,IF(Atletas!O415="Sun 73 A",403,IF(Atletas!O415="Wu 45 A",404,IF(Atletas!O415="Wu-Hao 46 A",405,IF(OR(Atletas!O415="Taijiquan 16 A",Atletas!O415="Taijiquan 24 A",Atletas!O415="Taijiquan 32 A",Atletas!O415="Taijiquan 42 A"),406,IF(OR(Atletas!O415="Yang 26 B",Atletas!O415="Yang 40 B"),407,IF(OR(Atletas!O415="Chen 25 B",Atletas!O415="Chen 36 B",Atletas!O415="Chen 56 B"),408,IF(Atletas!O415="Sun 73 B",409,IF(Atletas!O415="Wu 45 B",410,IF(Atletas!O415="Wu-Hao 46 B",411,IF(OR(Atletas!O415="Taijiquan 16 B",Atletas!O415="Taijiquan 24 B",Atletas!O415="Taijiquan 32 B",Atletas!O415="Taijiquan 42 B"),412,IF(OR(Atletas!O415="Yang 26 C",Atletas!O415="Yang 40 C"),413,IF(OR(Atletas!O415="Chen 25 C",Atletas!O415="Chen 36 C",Atletas!O415="Chen 56 C"),414,IF(Atletas!O415="Sun 73 C",415,IF(Atletas!O415="Wu 45 C",416,IF(Atletas!O415="Wu-Hao 46 C",417,IF(OR(Atletas!O415="Taijiquan 16 C",Atletas!O415="Taijiquan 24 C",Atletas!O415="Taijiquan 32 C",Atletas!O415="Taijiquan 42 C"),418,0)))))))))))))))))))</f>
        <v/>
      </c>
      <c r="BQ419" s="52" t="str">
        <f>IF(Atletas!O415="","",IF(Atletas!W415&lt;&gt;"",10000,0)+IF(Atletas!B415="Feminino",1000,IF(Atletas!B415="Masculino",2000,""))+IF(OR(Atletas!O415="Yang 26 D",Atletas!O415="Yang 40 D"),419,IF(OR(Atletas!O415="Chen 25 D",Atletas!O415="Chen 36 D",Atletas!O415="Chen 56 D"),420,IF(Atletas!O415="Sun 73 D",421,IF(Atletas!O415="Wu 45 D",422,IF(Atletas!O415="Wu-Hao 46 D",423,IF(OR(Atletas!O415="Taijiquan 16 D",Atletas!O415="Taijiquan 24 D",Atletas!O415="Taijiquan 32 D",Atletas!O415="Taijiquan 42 D"),424,IF(OR(Atletas!O415="Yang 26 E",Atletas!O415="Yang 40 E"),425,IF(OR(Atletas!O415="Chen 25 E",Atletas!O415="Chen 36 E",Atletas!O415="Chen 56 E"),426,IF(Atletas!O415="Sun 73 E",427,IF(Atletas!O415="Wu 45 E",428,IF(Atletas!O415="Wu-Hao 46 E",429,IF(OR(Atletas!O415="Taijiquan 16 E",Atletas!O415="Taijiquan 24 E",Atletas!O415="Taijiquan 32 E",Atletas!O415="Taijiquan 42 E"),430,IF(OR(Atletas!O415="Yang 26 F",Atletas!O415="Yang 40 F"),431,IF(OR(Atletas!O415="Chen 25 F",Atletas!O415="Chen 36 F",Atletas!O415="Chen 56 F"),432,IF(Atletas!O415="Sun 73 F",433,IF(Atletas!O415="Wu 45 F",434,IF(Atletas!O415="Wu-Hao 46 F",435,IF(OR(Atletas!O415="Taijiquan 16 F",Atletas!O415="Taijiquan 24 F",Atletas!O415="Taijiquan 32 F",Atletas!O415="Taijiquan 42 F"),436,0)))))))))))))))))))</f>
        <v/>
      </c>
      <c r="BR419" s="52" t="str">
        <f>IF(Atletas!P415="","",IF(Atletas!W415&lt;&gt;"",10000,0)+IF(Atletas!B415="Feminino",1000,IF(Atletas!B415="Masculino",2000,""))+IF(Atletas!P415="Xingyiquan A",501,IF(Atletas!P415="Baguazhang A",502,IF(Atletas!P415="Outro Estilo Interno A",503,IF(Atletas!P415="Xingyiquan B",504,IF(Atletas!P415="Baguazhang B",505,IF(Atletas!P415="Outro Estilo Interno B",506,IF(Atletas!P415="Xingyiquan C",507,IF(Atletas!P415="Baguazhang C",508,IF(Atletas!P415="Outro Estilo Interno C",509,IF(Atletas!P415="Xingyiquan D",510,IF(Atletas!P415="Baguazhang D",511,IF(Atletas!P415="Outro Estilo Interno D",512,IF(Atletas!P415="Xingyiquan E",513,IF(Atletas!P415="Baguazhang E",514,IF(Atletas!P415="Outro Estilo Interno E",515,IF(Atletas!P415="Xingyiquan F",516,IF(Atletas!P415="Baguazhang F",517,IF(Atletas!P415="Outro Estilo Interno F",518, "")))))))))))))))))))</f>
        <v/>
      </c>
      <c r="BS419" s="52" t="str">
        <f>IF(Atletas!Q415="","",IF(Atletas!W415&lt;&gt;"",10000,0)+IF(Atletas!B415="Feminino",1000,IF(Atletas!B415="Masculino",2000,""))+IF(Atletas!Q415="Dao A",601,IF(Atletas!Q415="Jian A",602,IF(Atletas!Q415="Bishou A",603,IF(Atletas!Q415="Shan A",604,IF(Atletas!Q415="Outra Arma Curta A",605,IF(Atletas!Q415="Dao B",606,IF(Atletas!Q415="Jian B",607,IF(Atletas!Q415="Bishou B",608,IF(Atletas!Q415="Shan B",609,IF(Atletas!Q415="Outra Arma Curta B",610,IF(Atletas!Q415="Dao C",611,IF(Atletas!Q415="Jian C",612,IF(Atletas!Q415="Bishou C",613,IF(Atletas!Q415="Shan C",614,IF(Atletas!Q415="Outra Arma Curta C",615,IF(Atletas!Q415="Dao D",616,IF(Atletas!Q415="Jian D",617,IF(Atletas!Q415="Bishou D",618,IF(Atletas!Q415="Shan D",619,IF(Atletas!Q415="Outra Arma Curta D",620,IF(Atletas!Q415="Dao E",621,IF(Atletas!Q415="Jian E",622,IF(Atletas!Q415="Bishou E",623,IF(Atletas!Q415="Shan E",624,IF(Atletas!Q415="Outra Arma Curta E",625,IF(Atletas!Q415="Dao F",626,IF(Atletas!Q415="Jian F",627,IF(Atletas!Q415="Bishou F",628,IF(Atletas!Q415="Shan F",629,IF(Atletas!Q415="Outra Arma Curta F",630, "")))))))))))))))))))))))))))))))</f>
        <v/>
      </c>
      <c r="BT419" s="52" t="str">
        <f>IF(Atletas!R415="","",IF(Atletas!W415&lt;&gt;"",10000,0)+IF(Atletas!B415="Feminino",1000,IF(Atletas!B415="Masculino",2000,""))+IF(Atletas!R415="Gun A",701,IF(Atletas!R415="Qiang A",702,IF(Atletas!R415="Pudao / Guandao A",703,IF(Atletas!R415="Outra Arma Longa A",704,IF(Atletas!R415="Gun B",705,IF(Atletas!R415="Qiang B",706,IF(Atletas!R415="Pudao / Guandao B",707,IF(Atletas!R415="Outra Arma Longa B",708,IF(Atletas!R415="Gun C",709,IF(Atletas!R415="Qiang C",710,IF(Atletas!R415="Pudao / Guandao C",711,IF(Atletas!R415="Outra Arma Longa C",712,IF(Atletas!R415="Gun D",713,IF(Atletas!R415="Qiang D",714,IF(Atletas!R415="Pudao / Guandao D",715,IF(Atletas!R415="Outra Arma Longa D",716,IF(Atletas!R415="Gun E",717,IF(Atletas!R415="Qiang E",718,IF(Atletas!R415="Pudao / Guandao E",719,IF(Atletas!R415="Outra Arma Longa E",720,IF(Atletas!R415="Gun F",721,IF(Atletas!R415="Qiang F",722,IF(Atletas!R415="Pudao / Guandao F",723,IF(Atletas!R415="Outra Arma Longa F",724,"")))))))))))))))))))))))))</f>
        <v/>
      </c>
      <c r="BU419" s="52" t="str">
        <f>IF(Atletas!S415="","",IF(Atletas!W415&lt;&gt;"",10000,0)+IF(Atletas!B415="Feminino",1000,IF(Atletas!B415="Masculino",2000,""))+IF(Atletas!S415="Arma Dupla A",801,IF(Atletas!S415="Arma Maleável A",802,IF(Atletas!S415="Arma Dupla B",803,IF(Atletas!S415="Arma Maleável B",804,IF(Atletas!S415="Arma Dupla C",805,IF(Atletas!S415="Arma Maleável C",806,IF(Atletas!S415="Arma Dupla D",807,IF(Atletas!S415="Arma Maleável D",808,IF(Atletas!S415="Arma Dupla E",809,IF(Atletas!S415="Arma Maleável E",810,IF(Atletas!S415="Arma Dupla F",811,IF(Atletas!S415="Arma Maleável F",812, "")))))))))))))</f>
        <v/>
      </c>
      <c r="BV419" s="52" t="str">
        <f>IF(Atletas!T415="","",IF(Atletas!W415&lt;&gt;"",10000,0)+IF(Atletas!B415="Feminino",1000,IF(Atletas!B415="Masculino",2000,""))+IF(Atletas!T415="Taijijian Yang A",901,IF(Atletas!T415="Taijijian Chen A",902,IF(Atletas!T415="Taijijian Sun A",903,IF(Atletas!T415="Taijijian Wu A",904,IF(Atletas!T415="Taijijian Wu-Hao A",905,IF(Atletas!T415="Taijijian 32 A",906,IF(Atletas!T415="Taijijian 42 A",907,IF(Atletas!T415="Taijijian Yang B",908,IF(Atletas!T415="Taijijian Chen B",909,IF(Atletas!T415="Taijijian Sun B",910,IF(Atletas!T415="Taijijian Wu B",911,IF(Atletas!T415="Taijijian Wu-Hao B",912,IF(Atletas!T415="Taijijian 32 B",913,IF(Atletas!T415="Taijijian 42 B",914,IF(Atletas!T415="Taijijian Yang C",915,IF(Atletas!T415="Taijijian Chen C",916,IF(Atletas!T415="Taijijian Sun C",917,IF(Atletas!T415="Taijijian Wu C",918,IF(Atletas!T415="Taijijian Wu-Hao C",919,IF(Atletas!T415="Taijijian 32 C",920,IF(Atletas!T415="Taijijian 42 C",921,IF(Atletas!T415="Taijijian Yang D",922,IF(Atletas!T415="Taijijian Chen D",923,IF(Atletas!T415="Taijijian Sun D",924,IF(Atletas!T415="Taijijian Wu D",925,IF(Atletas!T415="Taijijian Wu-Hao D",926,IF(Atletas!T415="Taijijian 32 D",927,IF(Atletas!T415="Taijijian 42 D",928,IF(Atletas!T415="Taijijian Yang E",929,IF(Atletas!T415="Taijijian Chen E",930,IF(Atletas!T415="Taijijian Sun E",931,IF(Atletas!T415="Taijijian Wu E",932,IF(Atletas!T415="Taijijian Wu-Hao E",933,IF(Atletas!T415="Taijijian 32 E",934,IF(Atletas!T415="Taijijian 42 E",935,IF(Atletas!T415="Taijijian Yang F",936,IF(Atletas!T415="Taijijian Chen F",937,IF(Atletas!T415="Taijijian Sun F",938,IF(Atletas!T415="Taijijian Wu F",939,IF(Atletas!T415="Taijijian Wu-Hao F",940,IF(Atletas!T415="Taijijian 32 F",941,IF(Atletas!T415="Taijijian 42 F",942,"")))))))))))))))))))))))))))))))))))))))))))</f>
        <v/>
      </c>
      <c r="BW419" s="52" t="str">
        <f>IF(Atletas!U415="","",IF(Atletas!W415&lt;&gt;"",10000,0)+IF(Atletas!B415="Feminino",1000,IF(Atletas!B415="Masculino",2000,""))+IF(Atletas!T415="Taijijian 42 F",942,IF(Atletas!U415="Taijidao A",943,IF(Atletas!U415="Taijishan A",944,IF(Atletas!U415="Taijiqiang A",945,IF(Atletas!U415="Taijidao B",946,IF(Atletas!U415="Taijishan B",947,IF(Atletas!U415="Taijiqiang B",948,IF(Atletas!U415="Taijidao C",949,IF(Atletas!U415="Taijishan C",950,IF(Atletas!U415="Taijiqiang C",951,IF(Atletas!U415="Taijidao D",952,IF(Atletas!U415="Taijishan D",953,IF(Atletas!U415="Taijiqiang D",954,IF(Atletas!U415="Taijidao E",955,IF(Atletas!U415="Taijishan E",956,IF(Atletas!U415="Taijiqiang E",957,IF(Atletas!U415="Taijidao F",958,IF(Atletas!U415="Taijishan F",959,IF(Atletas!U415="Taijiqiang F",960))))))))))))))))))))</f>
        <v/>
      </c>
      <c r="CF419" s="52" t="str">
        <f xml:space="preserve"> IF(Atletas!V415="","",IF(Atletas!V415="Duilian de Mãos AB - Equipe 1",1,IF(Atletas!V415="Duilian de Mãos AB - Equipe 2",2,IF(Atletas!V415="Duilian de Armas AB - Equipe 1",3,IF(Atletas!V415="Duilian de Armas AB - Equipe 2",4,IF(Atletas!V415="Duilian de Tuishou - Equipe 1",5,IF(Atletas!V415="Duilian de Tuishou - Equipe 2",6,IF(Atletas!V415="Grupo Externo AB - Equipe 1",7,IF(Atletas!V415="Grupo Externo AB - Equipe 2",8,IF(Atletas!V415="Grupo Interno AB - Equipe 1",9,IF(Atletas!V415="Grupo Interno AB - Equipe 2",10,IF(Atletas!V415="Duilian de Mãos CD - Equipe 1",11,IF(Atletas!V415="Duilian de Mãos CD - Equipe 2",12,IF(Atletas!V415="Duilian de Armas CD - Equipe 1",13,IF(Atletas!V415="Duilian de Armas CD - Equipe 2",14,IF(Atletas!V415="Duilian de Tuishou - Equipe 1",15,IF(Atletas!V415="Duilian de Tuishou - Equipe 2",16,IF(Atletas!V415="Grupo Externo CDEF - Equipe 1",17,IF(Atletas!V415="Grupo Externo CDEF - Equipe 2",18,IF(Atletas!V415="Grupo Interno CDEF - Equipe 1",19,IF(Atletas!V415="Grupo Interno CDEF - Equipe 2",20,IF(Atletas!V415="Duilian de Mãos EF - Equipe 1",21,IF(Atletas!V415="Duilian de Mãos EF - Equipe 2",22,IF(Atletas!V415="Duilian de Armas EF - Equipe 1",23,IF(Atletas!V415="Duilian de Armas EF - Equipe 2",24,IF(Atletas!V415="Duilian de Tuishou - Equipe 1",25,IF(Atletas!V415="Duilian de Tuishou - Equipe 2",26,"")))))))))))))))))))))))))))</f>
        <v/>
      </c>
    </row>
    <row r="420" spans="36:84">
      <c r="AJ420" s="46" t="str">
        <f>IF(Atletas!D416="","",IF(Atletas!B416="Feminino",100,IF(Atletas!B416="Masculino",200,""))+(IF(Atletas!D416="Infantil 39kg",1,IF(Atletas!D416="Infantil 42kg",2,IF(Atletas!D416="Infantil 45kg",3,IF(Atletas!D416="Infantil 48kg",4,IF(Atletas!D416="Infantil 52kg",5,IF(Atletas!D416="Infantil 56kg",6,IF(Atletas!D416="Infantil 60kg",7,IF(Atletas!D416="Juvenil 48kg",8,IF(Atletas!D416="Juvenil 52kg",9,IF(Atletas!D416="Juvenil 56kg",10,IF(Atletas!D416="Juvenil 60kg",11,IF(Atletas!D416="Juvenil 65kg",12,IF(Atletas!D416="Juvenil 70kg",13,IF(Atletas!D416="Juvenil 75kg",14,IF(Atletas!D416="Juvenil 80kg",15,IF(Atletas!D416="Adulto 48kg",16,IF(Atletas!D416="Adulto 52kg",17,IF(Atletas!D416="Adulto 56kg",18,IF(Atletas!D416="Adulto 60kg",19,IF(Atletas!D416="Adulto 65kg",20,IF(Atletas!D416="Adulto 70kg",21,IF(Atletas!D416="Adulto 75kg",22,IF(Atletas!D416="Adulto 80kg",23,IF(Atletas!D416="Adulto 85kg",24,IF(Atletas!D416="Adulto 90kg",25,IF(Atletas!D416="Adulto +90kg",26,""))))))))))))))))))))))))))))</f>
        <v/>
      </c>
      <c r="AO420" s="10" t="str">
        <f>IF(Atletas!E416="","",IF(Atletas!B416="Feminino",100,IF(Atletas!B416="Masculino",200,""))+(IF(Atletas!E416="Juvenil 44kg",1,IF(Atletas!E416="Juvenil 48kg",2,IF(Atletas!E416="Juvenil 52kg",3,IF(Atletas!E416="Juvenil 56kg",4,IF(Atletas!E416="Juvenil 60kg",5,IF(Atletas!E416="Juvenil 65kg",6,IF(Atletas!E416="Juvenil 70kg",7,IF(Atletas!E416="Juvenil 75kg",8,IF(Atletas!E416="Juvenil 82kg",9,IF(Atletas!E416="Juvenil 90kg",10,IF(Atletas!E416="Juvenil 100kg",11,IF(Atletas!E416="Adulto 48kg",12,IF(Atletas!E416="Adulto 52kg",13,IF(Atletas!E416="Adulto 56kg",14,IF(Atletas!E416="Adulto 60kg",15,IF(Atletas!E416="Adulto 65kg",16,IF(Atletas!E416="Adulto 70kg",17,IF(Atletas!E416="Adulto 75kg",18,IF(Atletas!E416="Adulto 82kg",19,IF(Atletas!E416="Adulto 90kg",20,IF(Atletas!E416="Adulto 100kg",21,IF(Atletas!E416="Adulto +100kg",22,""))))))))))))))))))))))))</f>
        <v/>
      </c>
      <c r="AT420" s="10" t="str">
        <f>IF(Atletas!F416="","",IF(Atletas!B416="Feminino",100,IF(Atletas!B416="Masculino",200,""))+(IF(Atletas!F416="Adulto 48kg",1,IF(Atletas!F416="Adulto 56kg",2,IF(Atletas!F416="Adulto 65kg",3,IF(Atletas!F416="Adulto 75kg",4,IF(Atletas!F416="Adulto +75kg",5,IF(Atletas!F416="Adulto 52kg",6,IF(Atletas!F416="Adulto 60kg",7,IF(Atletas!F416="Adulto 70kg",8,IF(Atletas!F416="Adulto 80kg",9,IF(Atletas!F416="Adulto 90kg",10,IF(Atletas!F416="Adulto +90kg",11,"")))))))))))))</f>
        <v/>
      </c>
      <c r="AY420" s="46" t="str">
        <f>IF(Atletas!G416="","",IF(Atletas!B416="Feminino",100,IF(Atletas!B416="Masculino",200,""))+(IF(Atletas!G416="Changquan Mirim",1,IF(Atletas!G416="Nanquan Mirim",2,IF(Atletas!G416="Taijiquan Mirim",3,IF(Atletas!G416="Changquan Grupo C",4,IF(Atletas!G416="Nanquan Grupo C",5,IF(Atletas!G416="Taijiquan Grupo C",6,IF(Atletas!G416="Changquan Grupo B",7,IF(Atletas!G416="Nanquan Grupo B",8,IF(Atletas!G416="Taijiquan Grupo B",9,IF(Atletas!G416="Changquan Grupo A",10,IF(Atletas!G416="Nanquan Grupo A",11,IF(Atletas!G416="Taijiquan Grupo A",12,IF(Atletas!G416="Changquan Opcional",13,IF(Atletas!G416="Nanquan Opcional",14,IF(Atletas!G416="Taijiquan Opcional",15,IF(Atletas!G416="Changquan Adulto",16,IF(Atletas!G416="Nanquan Adulto",17,IF(Atletas!G416="Taijiquan Adulto",18,""))))))))))))))))))))</f>
        <v/>
      </c>
      <c r="AZ420" s="46" t="str">
        <f>IF(Atletas!H416="","",IF(Atletas!B416="Feminino",100,IF(Atletas!B416="Masculino",200,""))+(IF(Atletas!H416="Daoshu Mirim",19,IF(Atletas!H416="Jianshu Mirim",20,IF(Atletas!H416="Nandao Mirim",21,IF(Atletas!H416="Taijijian Mirim",22,IF(Atletas!H416="Daoshu Grupo C",23,IF(Atletas!H416="Jianshu Grupo C",24,IF(Atletas!H416="Nandao Grupo C",25,IF(Atletas!H416="Taijijian Grupo C",26,IF(Atletas!H416="Daoshu Grupo B",27,IF(Atletas!H416="Jianshu Grupo B",28,IF(Atletas!H416="Nandao Grupo B",29,IF(Atletas!H416="Taijijian Grupo B",30,IF(Atletas!H416="Daoshu Grupo A",31,IF(Atletas!H416="Jianshu Grupo A",32,IF(Atletas!H416="Nandao Grupo A",33,IF(Atletas!H416="Taijijian Grupo A",34,IF(Atletas!H416="Daoshu Opcional",35,IF(Atletas!H416="Jianshu Opcional",36,IF(Atletas!H416="Nandao Opcional",37,IF(Atletas!H416="Taijijian Opcional",38,IF(Atletas!H416="Daoshu Adulto",39,IF(Atletas!H416="Jianshu Adulto",40,IF(Atletas!H416="Nandao Adulto",41,IF(Atletas!H416="Taijijian Adulto",42,""))))))))))))))))))))))))))</f>
        <v/>
      </c>
      <c r="BA420" s="46" t="str">
        <f>IF(Atletas!I416="","",IF(Atletas!B416="Feminino",100,IF(Atletas!B416="Masculino",200,""))+(IF(Atletas!I416="Gunshu Mirim",43,IF(Atletas!I416="Qiangshu Mirim",44,IF(Atletas!I416="Nangun Mirim",45,IF(Atletas!I416="Gunshu Grupo C",46,IF(Atletas!I416="Qiangshu Grupo C",47,IF(Atletas!I416="Nangun Grupo C",48,IF(Atletas!I416="Gunshu Grupo B",49,IF(Atletas!I416="Qiangshu Grupo B",50,IF(Atletas!I416="Nangun Grupo B",51,IF(Atletas!I416="Gunshu Grupo A",52,IF(Atletas!I416="Qiangshu Grupo A",53,IF(Atletas!I416="Nangun Grupo A",54,IF(Atletas!I416="Gunshu Opcional",55,IF(Atletas!I416="Qiangshu Opcional",56,IF(Atletas!I416="Nangun Opcional",57,IF(Atletas!I416="Gunshu Adulto",58,IF(Atletas!I416="Qiangshu Adulto",59,IF(Atletas!I416="Nangun Adulto",60,""))))))))))))))))))))</f>
        <v/>
      </c>
      <c r="BF420" s="52" t="str">
        <f>IF(Atletas!J416="","",IF(Atletas!B416="Feminino",100,IF(Atletas!B416="Masculino",200,""))+(IF(Atletas!J416="Equipe 1 Grupo B",1,IF(Atletas!J416="Equipe 2 Grupo B",2,IF(Atletas!J416="Equipe 1 Grupo A",3,IF(Atletas!J416="Equipe 2 Grupo A",4,IF(Atletas!J416="Equipe 1 Adulto",5,IF(Atletas!J416="Equipe 2 Adulto",6,""))))))))</f>
        <v/>
      </c>
      <c r="BK420" s="52" t="str">
        <f>IF(Atletas!K416="","",IF(Atletas!W416&lt;&gt;"",10000,0)+(IF(Atletas!B416="Feminino",1000,IF(Atletas!B416="Masculino",2000,""))+IF(Atletas!K416="Choylayfut A",1,IF(Atletas!K416="Hunggar A",2,IF(Atletas!K416="Wuzuquan A",3,IF(Atletas!K416="Wingchun A",4,IF(Atletas!K416="Outra Mão de Sul A",5,IF(Atletas!K416="Choylayfut B",6,IF(Atletas!K416="Hunggar B",7,IF(Atletas!K416="Wuzuquan B",8,IF(Atletas!K416="Wingchun B",9,IF(Atletas!K416="Outra Mão de Sul B",10,IF(Atletas!K416="Choylayfut C",11,IF(Atletas!K416="Hunggar C",12,IF(Atletas!K416="Wuzuquan C",13,IF(Atletas!K416="Wingchun C",14,IF(Atletas!K416="Outra Mão de Sul C",15,IF(Atletas!K416="Choylayfut D",16,IF(Atletas!K416="Hunggar D",17,IF(Atletas!K416="Wuzuquan D",18,IF(Atletas!K416="Wingchun D",19,IF(Atletas!K416="Outra Mão de Sul D",20,IF(Atletas!K416="Choylayfut E",21,IF(Atletas!K416="Hunggar E",22,IF(Atletas!K416="Wuzuquan E",23,IF(Atletas!K416="Wingchun E",24,IF(Atletas!K416="Outra Mão de Sul E",25,IF(Atletas!K416="Choylayfut F",26,IF(Atletas!K416="Hunggar F",27,IF(Atletas!K416="Wuzuquan F",28,IF(Atletas!K416="Wingchun F",29,IF(Atletas!K416="Outra Mão de Sul F",30,""))))))))))))))))))))))))))))))))</f>
        <v/>
      </c>
      <c r="BL420" s="52" t="str">
        <f>IF(Atletas!L416="","",IF(Atletas!W416&lt;&gt;"",10000,0)+(IF(Atletas!B416="Feminino",1000,IF(Atletas!B416="Masculino",2000,""))+(IF(Atletas!L416="Chaquan A",101,IF(Atletas!L416="Emeiquan A",102,IF(Atletas!L416="Fanziquan A",103,IF(Atletas!L416="Huaquan A",104,IF(Atletas!L416="Hongquan A",105,IF(Atletas!L416="Paochui A",106,IF(Atletas!L416="Piguaquan A",107,IF(Atletas!L416="Shaolinquan A",108,IF(Atletas!L416="Tanglangquan A",109,IF(Atletas!L416="Yinzhaophai A",110,IF(Atletas!L416="Tongbeiquan A",111,IF(Atletas!L416="Wudangquan A",112,IF(Atletas!L416="Outros Estilos A",113,IF(Atletas!L416="Chaquan B",114,IF(Atletas!L416="Emeiquan B",115,IF(Atletas!L416="Fanziquan B",116,IF(Atletas!L416="Huaquan B",117,IF(Atletas!L416="Hongquan B",118,IF(Atletas!L416="Paochui B",119,IF(Atletas!L416="Piguaquan B",120,IF(Atletas!L416="Shaolinquan B",121,IF(Atletas!L416="Tanglangquan B",122,IF(Atletas!L416="Yinzhaophai B",123,IF(Atletas!L416="Tongbeiquan B",124,IF(Atletas!L416="Wudangquan B",125,IF(Atletas!L416="Outros Estilos B",126,IF(Atletas!L416="Chaquan C",127,IF(Atletas!L416="Emeiquan C",128,IF(Atletas!L416="Fanziquan C",129,IF(Atletas!L416="Huaquan C",130,IF(Atletas!L416="Hongquan C",131,IF(Atletas!L416="Paochui C",132,IF(Atletas!L416="Piguaquan C",133,IF(Atletas!L416="Shaolinquan C",134,IF(Atletas!L416="Tanglangquan C",135,IF(Atletas!L416="Yinzhaophai C",136,IF(Atletas!L416="Tongbeiquan C",137,IF(Atletas!L416="Wudangquan C",138,IF(Atletas!L416="Outros Estilos C",139,0))))))))))))))))))))))))))))))))))))))))))</f>
        <v/>
      </c>
      <c r="BM420" s="52" t="str">
        <f>IF(Atletas!L416="","",IF(Atletas!W416&lt;&gt;"",10000,0)+(IF(Atletas!B416="Feminino",1000,IF(Atletas!B416="Masculino",2000,""))+(IF(Atletas!L416="Chaquan D",140,IF(Atletas!L416="Emeiquan D",141,IF(Atletas!L416="Fanziquan D",142,IF(Atletas!L416="Huaquan D",143,IF(Atletas!L416="Hongquan D",144,IF(Atletas!L416="Paochui D",145,IF(Atletas!L416="Piguaquan D",146,IF(Atletas!L416="Shaolinquan D",147,IF(Atletas!L416="Tanglangquan D",148,IF(Atletas!L416="Yinzhaophai D",149,IF(Atletas!L416="Tongbeiquan D",150,IF(Atletas!L416="Wudangquan D",151,IF(Atletas!L416="Outros Estilos D",152,IF(Atletas!L416="Chaquan E",153,IF(Atletas!L416="Emeiquan E",154,IF(Atletas!L416="Fanziquan E",155,IF(Atletas!L416="Huaquan E",156,IF(Atletas!L416="Hongquan E",157,IF(Atletas!L416="Paochui E",158,IF(Atletas!L416="Piguaquan E",159,IF(Atletas!L416="Shaolinquan E",160,IF(Atletas!L416="Tanglangquan E",161,IF(Atletas!L416="Yinzhaophai E",162,IF(Atletas!L416="Tongbeiquan E",163,IF(Atletas!L416="Wudangquan E",164,IF(Atletas!L416="Outros Estilos E",165,IF(Atletas!L416="Chaquan F",166,IF(Atletas!L416="Emeiquan F",167,IF(Atletas!L416="Fanziquan F",168,IF(Atletas!L416="Huaquan F",169,IF(Atletas!L416="Hongquan F",170,IF(Atletas!L416="Paochui F",171,IF(Atletas!L416="Piguaquan F",172,IF(Atletas!L416="Shaolinquan F",173,IF(Atletas!L416="Tanglangquan F",174,IF(Atletas!L416="Yinzhaophai F",175,IF(Atletas!L416="Tongbeiquan F",176,IF(Atletas!L416="Wudangquan F",177,IF(Atletas!L416="Outros Estilos F",178,0))))))))))))))))))))))))))))))))))))))))))</f>
        <v/>
      </c>
      <c r="BN420" s="52" t="str">
        <f>IF(Atletas!M416="","",IF(Atletas!W416&lt;&gt;"",10000,0)+(IF(Atletas!B416="Feminino",1000,IF(Atletas!B416="Masculino",2000,""))+(IF(Atletas!M416="Ditangquan A",201,IF(Atletas!M416="Houquan A",202,IF(Atletas!M416="Zuiquan A",203,IF(Atletas!M416="Ditangquan B",204,IF(Atletas!M416="Houquan B",205,IF(Atletas!M416="Zuiquan B",206,IF(Atletas!M416="Ditangquan C",207,IF(Atletas!M416="Houquan C",208,IF(Atletas!M416="Zuiquan C",209,IF(Atletas!M416="Ditangquan D",210,IF(Atletas!M416="Houquan D",211,IF(Atletas!M416="Zuiquan D",212,IF(Atletas!M416="Ditangquan E",213,IF(Atletas!M416="Houquan E",214,IF(Atletas!M416="Zuiquan E",215,IF(Atletas!M416="Ditangquan F",216,IF(Atletas!M416="Houquan F",217,IF(Atletas!M416="Zuiquan F",218,"")))))))))))))))))))))</f>
        <v/>
      </c>
      <c r="BO420" s="52" t="str">
        <f>IF(Atletas!N416="","",IF(Atletas!W416&lt;&gt;"",10000,0)+IF(Atletas!B416="Feminino",1000,IF(Atletas!B416="Masculino",2000,""))+IF(Atletas!N416="Yang A",301,IF(Atletas!N416="Chen A",30,IF(Atletas!N416="Sun A",303,IF(Atletas!N416="Wu A",304,IF(Atletas!N416="Wu-Hao A",305,IF(Atletas!N416="Outro Taijiquan A",306,IF(Atletas!N416="Yang B",307,IF(Atletas!N416="Chen B",308,IF(Atletas!N416="Sun B",309,IF(Atletas!N416="Wu B",310,IF(Atletas!N416="Wu-Hao B",311,IF(Atletas!N416="Outro Taijiquan B",312,IF(Atletas!N416="Yang C",313,IF(Atletas!N416="Chen C",314,IF(Atletas!N416="Sun C",315,IF(Atletas!N416="Wu C",316,IF(Atletas!N416="Wu-Hao C",317,IF(Atletas!N416="Outro Taijiquan C",318,IF(Atletas!N416="Yang D",319,IF(Atletas!N416="Chen D",320,IF(Atletas!N416="Sun D",321,IF(Atletas!N416="Wu D",322,IF(Atletas!N416="Wu-Hao D",323,IF(Atletas!N416="Outro Taijiquan D",324,IF(Atletas!N416="Yang E",325,IF(Atletas!N416="Chen E",326,IF(Atletas!N416="Sun E",327,IF(Atletas!N416="Wu E",328,IF(Atletas!N416="Wu-Hao E",329,IF(Atletas!N416="Outro Taijiquan E",330,IF(Atletas!N416="Yang F",331,IF(Atletas!N416="Chen F",332,IF(Atletas!N416="Sun F",333,IF(Atletas!N416="Wu F",334,IF(Atletas!N416="Wu-Hao F",335,IF(Atletas!N416="Outro Taijiquan F",336,"")))))))))))))))))))))))))))))))))))))</f>
        <v/>
      </c>
      <c r="BP420" s="52" t="str">
        <f>IF(Atletas!O416="","",IF(Atletas!W416&lt;&gt;"",10000,0)+IF(Atletas!B416="Feminino",1000,IF(Atletas!B416="Masculino",2000,""))+IF(OR(Atletas!O416="Yang 26 A",Atletas!O416="Yang 40 A"),401,IF(OR(Atletas!O416="Chen 25 A",Atletas!O416="Chen 36 A",Atletas!O416="Chen 56 A"),402,IF(Atletas!O416="Sun 73 A",403,IF(Atletas!O416="Wu 45 A",404,IF(Atletas!O416="Wu-Hao 46 A",405,IF(OR(Atletas!O416="Taijiquan 16 A",Atletas!O416="Taijiquan 24 A",Atletas!O416="Taijiquan 32 A",Atletas!O416="Taijiquan 42 A"),406,IF(OR(Atletas!O416="Yang 26 B",Atletas!O416="Yang 40 B"),407,IF(OR(Atletas!O416="Chen 25 B",Atletas!O416="Chen 36 B",Atletas!O416="Chen 56 B"),408,IF(Atletas!O416="Sun 73 B",409,IF(Atletas!O416="Wu 45 B",410,IF(Atletas!O416="Wu-Hao 46 B",411,IF(OR(Atletas!O416="Taijiquan 16 B",Atletas!O416="Taijiquan 24 B",Atletas!O416="Taijiquan 32 B",Atletas!O416="Taijiquan 42 B"),412,IF(OR(Atletas!O416="Yang 26 C",Atletas!O416="Yang 40 C"),413,IF(OR(Atletas!O416="Chen 25 C",Atletas!O416="Chen 36 C",Atletas!O416="Chen 56 C"),414,IF(Atletas!O416="Sun 73 C",415,IF(Atletas!O416="Wu 45 C",416,IF(Atletas!O416="Wu-Hao 46 C",417,IF(OR(Atletas!O416="Taijiquan 16 C",Atletas!O416="Taijiquan 24 C",Atletas!O416="Taijiquan 32 C",Atletas!O416="Taijiquan 42 C"),418,0)))))))))))))))))))</f>
        <v/>
      </c>
      <c r="BQ420" s="52" t="str">
        <f>IF(Atletas!O416="","",IF(Atletas!W416&lt;&gt;"",10000,0)+IF(Atletas!B416="Feminino",1000,IF(Atletas!B416="Masculino",2000,""))+IF(OR(Atletas!O416="Yang 26 D",Atletas!O416="Yang 40 D"),419,IF(OR(Atletas!O416="Chen 25 D",Atletas!O416="Chen 36 D",Atletas!O416="Chen 56 D"),420,IF(Atletas!O416="Sun 73 D",421,IF(Atletas!O416="Wu 45 D",422,IF(Atletas!O416="Wu-Hao 46 D",423,IF(OR(Atletas!O416="Taijiquan 16 D",Atletas!O416="Taijiquan 24 D",Atletas!O416="Taijiquan 32 D",Atletas!O416="Taijiquan 42 D"),424,IF(OR(Atletas!O416="Yang 26 E",Atletas!O416="Yang 40 E"),425,IF(OR(Atletas!O416="Chen 25 E",Atletas!O416="Chen 36 E",Atletas!O416="Chen 56 E"),426,IF(Atletas!O416="Sun 73 E",427,IF(Atletas!O416="Wu 45 E",428,IF(Atletas!O416="Wu-Hao 46 E",429,IF(OR(Atletas!O416="Taijiquan 16 E",Atletas!O416="Taijiquan 24 E",Atletas!O416="Taijiquan 32 E",Atletas!O416="Taijiquan 42 E"),430,IF(OR(Atletas!O416="Yang 26 F",Atletas!O416="Yang 40 F"),431,IF(OR(Atletas!O416="Chen 25 F",Atletas!O416="Chen 36 F",Atletas!O416="Chen 56 F"),432,IF(Atletas!O416="Sun 73 F",433,IF(Atletas!O416="Wu 45 F",434,IF(Atletas!O416="Wu-Hao 46 F",435,IF(OR(Atletas!O416="Taijiquan 16 F",Atletas!O416="Taijiquan 24 F",Atletas!O416="Taijiquan 32 F",Atletas!O416="Taijiquan 42 F"),436,0)))))))))))))))))))</f>
        <v/>
      </c>
      <c r="BR420" s="52" t="str">
        <f>IF(Atletas!P416="","",IF(Atletas!W416&lt;&gt;"",10000,0)+IF(Atletas!B416="Feminino",1000,IF(Atletas!B416="Masculino",2000,""))+IF(Atletas!P416="Xingyiquan A",501,IF(Atletas!P416="Baguazhang A",502,IF(Atletas!P416="Outro Estilo Interno A",503,IF(Atletas!P416="Xingyiquan B",504,IF(Atletas!P416="Baguazhang B",505,IF(Atletas!P416="Outro Estilo Interno B",506,IF(Atletas!P416="Xingyiquan C",507,IF(Atletas!P416="Baguazhang C",508,IF(Atletas!P416="Outro Estilo Interno C",509,IF(Atletas!P416="Xingyiquan D",510,IF(Atletas!P416="Baguazhang D",511,IF(Atletas!P416="Outro Estilo Interno D",512,IF(Atletas!P416="Xingyiquan E",513,IF(Atletas!P416="Baguazhang E",514,IF(Atletas!P416="Outro Estilo Interno E",515,IF(Atletas!P416="Xingyiquan F",516,IF(Atletas!P416="Baguazhang F",517,IF(Atletas!P416="Outro Estilo Interno F",518, "")))))))))))))))))))</f>
        <v/>
      </c>
      <c r="BS420" s="52" t="str">
        <f>IF(Atletas!Q416="","",IF(Atletas!W416&lt;&gt;"",10000,0)+IF(Atletas!B416="Feminino",1000,IF(Atletas!B416="Masculino",2000,""))+IF(Atletas!Q416="Dao A",601,IF(Atletas!Q416="Jian A",602,IF(Atletas!Q416="Bishou A",603,IF(Atletas!Q416="Shan A",604,IF(Atletas!Q416="Outra Arma Curta A",605,IF(Atletas!Q416="Dao B",606,IF(Atletas!Q416="Jian B",607,IF(Atletas!Q416="Bishou B",608,IF(Atletas!Q416="Shan B",609,IF(Atletas!Q416="Outra Arma Curta B",610,IF(Atletas!Q416="Dao C",611,IF(Atletas!Q416="Jian C",612,IF(Atletas!Q416="Bishou C",613,IF(Atletas!Q416="Shan C",614,IF(Atletas!Q416="Outra Arma Curta C",615,IF(Atletas!Q416="Dao D",616,IF(Atletas!Q416="Jian D",617,IF(Atletas!Q416="Bishou D",618,IF(Atletas!Q416="Shan D",619,IF(Atletas!Q416="Outra Arma Curta D",620,IF(Atletas!Q416="Dao E",621,IF(Atletas!Q416="Jian E",622,IF(Atletas!Q416="Bishou E",623,IF(Atletas!Q416="Shan E",624,IF(Atletas!Q416="Outra Arma Curta E",625,IF(Atletas!Q416="Dao F",626,IF(Atletas!Q416="Jian F",627,IF(Atletas!Q416="Bishou F",628,IF(Atletas!Q416="Shan F",629,IF(Atletas!Q416="Outra Arma Curta F",630, "")))))))))))))))))))))))))))))))</f>
        <v/>
      </c>
      <c r="BT420" s="52" t="str">
        <f>IF(Atletas!R416="","",IF(Atletas!W416&lt;&gt;"",10000,0)+IF(Atletas!B416="Feminino",1000,IF(Atletas!B416="Masculino",2000,""))+IF(Atletas!R416="Gun A",701,IF(Atletas!R416="Qiang A",702,IF(Atletas!R416="Pudao / Guandao A",703,IF(Atletas!R416="Outra Arma Longa A",704,IF(Atletas!R416="Gun B",705,IF(Atletas!R416="Qiang B",706,IF(Atletas!R416="Pudao / Guandao B",707,IF(Atletas!R416="Outra Arma Longa B",708,IF(Atletas!R416="Gun C",709,IF(Atletas!R416="Qiang C",710,IF(Atletas!R416="Pudao / Guandao C",711,IF(Atletas!R416="Outra Arma Longa C",712,IF(Atletas!R416="Gun D",713,IF(Atletas!R416="Qiang D",714,IF(Atletas!R416="Pudao / Guandao D",715,IF(Atletas!R416="Outra Arma Longa D",716,IF(Atletas!R416="Gun E",717,IF(Atletas!R416="Qiang E",718,IF(Atletas!R416="Pudao / Guandao E",719,IF(Atletas!R416="Outra Arma Longa E",720,IF(Atletas!R416="Gun F",721,IF(Atletas!R416="Qiang F",722,IF(Atletas!R416="Pudao / Guandao F",723,IF(Atletas!R416="Outra Arma Longa F",724,"")))))))))))))))))))))))))</f>
        <v/>
      </c>
      <c r="BU420" s="52" t="str">
        <f>IF(Atletas!S416="","",IF(Atletas!W416&lt;&gt;"",10000,0)+IF(Atletas!B416="Feminino",1000,IF(Atletas!B416="Masculino",2000,""))+IF(Atletas!S416="Arma Dupla A",801,IF(Atletas!S416="Arma Maleável A",802,IF(Atletas!S416="Arma Dupla B",803,IF(Atletas!S416="Arma Maleável B",804,IF(Atletas!S416="Arma Dupla C",805,IF(Atletas!S416="Arma Maleável C",806,IF(Atletas!S416="Arma Dupla D",807,IF(Atletas!S416="Arma Maleável D",808,IF(Atletas!S416="Arma Dupla E",809,IF(Atletas!S416="Arma Maleável E",810,IF(Atletas!S416="Arma Dupla F",811,IF(Atletas!S416="Arma Maleável F",812, "")))))))))))))</f>
        <v/>
      </c>
      <c r="BV420" s="52" t="str">
        <f>IF(Atletas!T416="","",IF(Atletas!W416&lt;&gt;"",10000,0)+IF(Atletas!B416="Feminino",1000,IF(Atletas!B416="Masculino",2000,""))+IF(Atletas!T416="Taijijian Yang A",901,IF(Atletas!T416="Taijijian Chen A",902,IF(Atletas!T416="Taijijian Sun A",903,IF(Atletas!T416="Taijijian Wu A",904,IF(Atletas!T416="Taijijian Wu-Hao A",905,IF(Atletas!T416="Taijijian 32 A",906,IF(Atletas!T416="Taijijian 42 A",907,IF(Atletas!T416="Taijijian Yang B",908,IF(Atletas!T416="Taijijian Chen B",909,IF(Atletas!T416="Taijijian Sun B",910,IF(Atletas!T416="Taijijian Wu B",911,IF(Atletas!T416="Taijijian Wu-Hao B",912,IF(Atletas!T416="Taijijian 32 B",913,IF(Atletas!T416="Taijijian 42 B",914,IF(Atletas!T416="Taijijian Yang C",915,IF(Atletas!T416="Taijijian Chen C",916,IF(Atletas!T416="Taijijian Sun C",917,IF(Atletas!T416="Taijijian Wu C",918,IF(Atletas!T416="Taijijian Wu-Hao C",919,IF(Atletas!T416="Taijijian 32 C",920,IF(Atletas!T416="Taijijian 42 C",921,IF(Atletas!T416="Taijijian Yang D",922,IF(Atletas!T416="Taijijian Chen D",923,IF(Atletas!T416="Taijijian Sun D",924,IF(Atletas!T416="Taijijian Wu D",925,IF(Atletas!T416="Taijijian Wu-Hao D",926,IF(Atletas!T416="Taijijian 32 D",927,IF(Atletas!T416="Taijijian 42 D",928,IF(Atletas!T416="Taijijian Yang E",929,IF(Atletas!T416="Taijijian Chen E",930,IF(Atletas!T416="Taijijian Sun E",931,IF(Atletas!T416="Taijijian Wu E",932,IF(Atletas!T416="Taijijian Wu-Hao E",933,IF(Atletas!T416="Taijijian 32 E",934,IF(Atletas!T416="Taijijian 42 E",935,IF(Atletas!T416="Taijijian Yang F",936,IF(Atletas!T416="Taijijian Chen F",937,IF(Atletas!T416="Taijijian Sun F",938,IF(Atletas!T416="Taijijian Wu F",939,IF(Atletas!T416="Taijijian Wu-Hao F",940,IF(Atletas!T416="Taijijian 32 F",941,IF(Atletas!T416="Taijijian 42 F",942,"")))))))))))))))))))))))))))))))))))))))))))</f>
        <v/>
      </c>
      <c r="BW420" s="52" t="str">
        <f>IF(Atletas!U416="","",IF(Atletas!W416&lt;&gt;"",10000,0)+IF(Atletas!B416="Feminino",1000,IF(Atletas!B416="Masculino",2000,""))+IF(Atletas!T416="Taijijian 42 F",942,IF(Atletas!U416="Taijidao A",943,IF(Atletas!U416="Taijishan A",944,IF(Atletas!U416="Taijiqiang A",945,IF(Atletas!U416="Taijidao B",946,IF(Atletas!U416="Taijishan B",947,IF(Atletas!U416="Taijiqiang B",948,IF(Atletas!U416="Taijidao C",949,IF(Atletas!U416="Taijishan C",950,IF(Atletas!U416="Taijiqiang C",951,IF(Atletas!U416="Taijidao D",952,IF(Atletas!U416="Taijishan D",953,IF(Atletas!U416="Taijiqiang D",954,IF(Atletas!U416="Taijidao E",955,IF(Atletas!U416="Taijishan E",956,IF(Atletas!U416="Taijiqiang E",957,IF(Atletas!U416="Taijidao F",958,IF(Atletas!U416="Taijishan F",959,IF(Atletas!U416="Taijiqiang F",960))))))))))))))))))))</f>
        <v/>
      </c>
      <c r="CF420" s="52" t="str">
        <f xml:space="preserve"> IF(Atletas!V416="","",IF(Atletas!V416="Duilian de Mãos AB - Equipe 1",1,IF(Atletas!V416="Duilian de Mãos AB - Equipe 2",2,IF(Atletas!V416="Duilian de Armas AB - Equipe 1",3,IF(Atletas!V416="Duilian de Armas AB - Equipe 2",4,IF(Atletas!V416="Duilian de Tuishou - Equipe 1",5,IF(Atletas!V416="Duilian de Tuishou - Equipe 2",6,IF(Atletas!V416="Grupo Externo AB - Equipe 1",7,IF(Atletas!V416="Grupo Externo AB - Equipe 2",8,IF(Atletas!V416="Grupo Interno AB - Equipe 1",9,IF(Atletas!V416="Grupo Interno AB - Equipe 2",10,IF(Atletas!V416="Duilian de Mãos CD - Equipe 1",11,IF(Atletas!V416="Duilian de Mãos CD - Equipe 2",12,IF(Atletas!V416="Duilian de Armas CD - Equipe 1",13,IF(Atletas!V416="Duilian de Armas CD - Equipe 2",14,IF(Atletas!V416="Duilian de Tuishou - Equipe 1",15,IF(Atletas!V416="Duilian de Tuishou - Equipe 2",16,IF(Atletas!V416="Grupo Externo CDEF - Equipe 1",17,IF(Atletas!V416="Grupo Externo CDEF - Equipe 2",18,IF(Atletas!V416="Grupo Interno CDEF - Equipe 1",19,IF(Atletas!V416="Grupo Interno CDEF - Equipe 2",20,IF(Atletas!V416="Duilian de Mãos EF - Equipe 1",21,IF(Atletas!V416="Duilian de Mãos EF - Equipe 2",22,IF(Atletas!V416="Duilian de Armas EF - Equipe 1",23,IF(Atletas!V416="Duilian de Armas EF - Equipe 2",24,IF(Atletas!V416="Duilian de Tuishou - Equipe 1",25,IF(Atletas!V416="Duilian de Tuishou - Equipe 2",26,"")))))))))))))))))))))))))))</f>
        <v/>
      </c>
    </row>
    <row r="421" spans="36:84">
      <c r="AJ421" s="46" t="str">
        <f>IF(Atletas!D417="","",IF(Atletas!B417="Feminino",100,IF(Atletas!B417="Masculino",200,""))+(IF(Atletas!D417="Infantil 39kg",1,IF(Atletas!D417="Infantil 42kg",2,IF(Atletas!D417="Infantil 45kg",3,IF(Atletas!D417="Infantil 48kg",4,IF(Atletas!D417="Infantil 52kg",5,IF(Atletas!D417="Infantil 56kg",6,IF(Atletas!D417="Infantil 60kg",7,IF(Atletas!D417="Juvenil 48kg",8,IF(Atletas!D417="Juvenil 52kg",9,IF(Atletas!D417="Juvenil 56kg",10,IF(Atletas!D417="Juvenil 60kg",11,IF(Atletas!D417="Juvenil 65kg",12,IF(Atletas!D417="Juvenil 70kg",13,IF(Atletas!D417="Juvenil 75kg",14,IF(Atletas!D417="Juvenil 80kg",15,IF(Atletas!D417="Adulto 48kg",16,IF(Atletas!D417="Adulto 52kg",17,IF(Atletas!D417="Adulto 56kg",18,IF(Atletas!D417="Adulto 60kg",19,IF(Atletas!D417="Adulto 65kg",20,IF(Atletas!D417="Adulto 70kg",21,IF(Atletas!D417="Adulto 75kg",22,IF(Atletas!D417="Adulto 80kg",23,IF(Atletas!D417="Adulto 85kg",24,IF(Atletas!D417="Adulto 90kg",25,IF(Atletas!D417="Adulto +90kg",26,""))))))))))))))))))))))))))))</f>
        <v/>
      </c>
      <c r="AO421" s="10" t="str">
        <f>IF(Atletas!E417="","",IF(Atletas!B417="Feminino",100,IF(Atletas!B417="Masculino",200,""))+(IF(Atletas!E417="Juvenil 44kg",1,IF(Atletas!E417="Juvenil 48kg",2,IF(Atletas!E417="Juvenil 52kg",3,IF(Atletas!E417="Juvenil 56kg",4,IF(Atletas!E417="Juvenil 60kg",5,IF(Atletas!E417="Juvenil 65kg",6,IF(Atletas!E417="Juvenil 70kg",7,IF(Atletas!E417="Juvenil 75kg",8,IF(Atletas!E417="Juvenil 82kg",9,IF(Atletas!E417="Juvenil 90kg",10,IF(Atletas!E417="Juvenil 100kg",11,IF(Atletas!E417="Adulto 48kg",12,IF(Atletas!E417="Adulto 52kg",13,IF(Atletas!E417="Adulto 56kg",14,IF(Atletas!E417="Adulto 60kg",15,IF(Atletas!E417="Adulto 65kg",16,IF(Atletas!E417="Adulto 70kg",17,IF(Atletas!E417="Adulto 75kg",18,IF(Atletas!E417="Adulto 82kg",19,IF(Atletas!E417="Adulto 90kg",20,IF(Atletas!E417="Adulto 100kg",21,IF(Atletas!E417="Adulto +100kg",22,""))))))))))))))))))))))))</f>
        <v/>
      </c>
      <c r="AT421" s="10" t="str">
        <f>IF(Atletas!F417="","",IF(Atletas!B417="Feminino",100,IF(Atletas!B417="Masculino",200,""))+(IF(Atletas!F417="Adulto 48kg",1,IF(Atletas!F417="Adulto 56kg",2,IF(Atletas!F417="Adulto 65kg",3,IF(Atletas!F417="Adulto 75kg",4,IF(Atletas!F417="Adulto +75kg",5,IF(Atletas!F417="Adulto 52kg",6,IF(Atletas!F417="Adulto 60kg",7,IF(Atletas!F417="Adulto 70kg",8,IF(Atletas!F417="Adulto 80kg",9,IF(Atletas!F417="Adulto 90kg",10,IF(Atletas!F417="Adulto +90kg",11,"")))))))))))))</f>
        <v/>
      </c>
      <c r="AY421" s="46" t="str">
        <f>IF(Atletas!G417="","",IF(Atletas!B417="Feminino",100,IF(Atletas!B417="Masculino",200,""))+(IF(Atletas!G417="Changquan Mirim",1,IF(Atletas!G417="Nanquan Mirim",2,IF(Atletas!G417="Taijiquan Mirim",3,IF(Atletas!G417="Changquan Grupo C",4,IF(Atletas!G417="Nanquan Grupo C",5,IF(Atletas!G417="Taijiquan Grupo C",6,IF(Atletas!G417="Changquan Grupo B",7,IF(Atletas!G417="Nanquan Grupo B",8,IF(Atletas!G417="Taijiquan Grupo B",9,IF(Atletas!G417="Changquan Grupo A",10,IF(Atletas!G417="Nanquan Grupo A",11,IF(Atletas!G417="Taijiquan Grupo A",12,IF(Atletas!G417="Changquan Opcional",13,IF(Atletas!G417="Nanquan Opcional",14,IF(Atletas!G417="Taijiquan Opcional",15,IF(Atletas!G417="Changquan Adulto",16,IF(Atletas!G417="Nanquan Adulto",17,IF(Atletas!G417="Taijiquan Adulto",18,""))))))))))))))))))))</f>
        <v/>
      </c>
      <c r="AZ421" s="46" t="str">
        <f>IF(Atletas!H417="","",IF(Atletas!B417="Feminino",100,IF(Atletas!B417="Masculino",200,""))+(IF(Atletas!H417="Daoshu Mirim",19,IF(Atletas!H417="Jianshu Mirim",20,IF(Atletas!H417="Nandao Mirim",21,IF(Atletas!H417="Taijijian Mirim",22,IF(Atletas!H417="Daoshu Grupo C",23,IF(Atletas!H417="Jianshu Grupo C",24,IF(Atletas!H417="Nandao Grupo C",25,IF(Atletas!H417="Taijijian Grupo C",26,IF(Atletas!H417="Daoshu Grupo B",27,IF(Atletas!H417="Jianshu Grupo B",28,IF(Atletas!H417="Nandao Grupo B",29,IF(Atletas!H417="Taijijian Grupo B",30,IF(Atletas!H417="Daoshu Grupo A",31,IF(Atletas!H417="Jianshu Grupo A",32,IF(Atletas!H417="Nandao Grupo A",33,IF(Atletas!H417="Taijijian Grupo A",34,IF(Atletas!H417="Daoshu Opcional",35,IF(Atletas!H417="Jianshu Opcional",36,IF(Atletas!H417="Nandao Opcional",37,IF(Atletas!H417="Taijijian Opcional",38,IF(Atletas!H417="Daoshu Adulto",39,IF(Atletas!H417="Jianshu Adulto",40,IF(Atletas!H417="Nandao Adulto",41,IF(Atletas!H417="Taijijian Adulto",42,""))))))))))))))))))))))))))</f>
        <v/>
      </c>
      <c r="BA421" s="46" t="str">
        <f>IF(Atletas!I417="","",IF(Atletas!B417="Feminino",100,IF(Atletas!B417="Masculino",200,""))+(IF(Atletas!I417="Gunshu Mirim",43,IF(Atletas!I417="Qiangshu Mirim",44,IF(Atletas!I417="Nangun Mirim",45,IF(Atletas!I417="Gunshu Grupo C",46,IF(Atletas!I417="Qiangshu Grupo C",47,IF(Atletas!I417="Nangun Grupo C",48,IF(Atletas!I417="Gunshu Grupo B",49,IF(Atletas!I417="Qiangshu Grupo B",50,IF(Atletas!I417="Nangun Grupo B",51,IF(Atletas!I417="Gunshu Grupo A",52,IF(Atletas!I417="Qiangshu Grupo A",53,IF(Atletas!I417="Nangun Grupo A",54,IF(Atletas!I417="Gunshu Opcional",55,IF(Atletas!I417="Qiangshu Opcional",56,IF(Atletas!I417="Nangun Opcional",57,IF(Atletas!I417="Gunshu Adulto",58,IF(Atletas!I417="Qiangshu Adulto",59,IF(Atletas!I417="Nangun Adulto",60,""))))))))))))))))))))</f>
        <v/>
      </c>
      <c r="BF421" s="52" t="str">
        <f>IF(Atletas!J417="","",IF(Atletas!B417="Feminino",100,IF(Atletas!B417="Masculino",200,""))+(IF(Atletas!J417="Equipe 1 Grupo B",1,IF(Atletas!J417="Equipe 2 Grupo B",2,IF(Atletas!J417="Equipe 1 Grupo A",3,IF(Atletas!J417="Equipe 2 Grupo A",4,IF(Atletas!J417="Equipe 1 Adulto",5,IF(Atletas!J417="Equipe 2 Adulto",6,""))))))))</f>
        <v/>
      </c>
      <c r="BK421" s="52" t="str">
        <f>IF(Atletas!K417="","",IF(Atletas!W417&lt;&gt;"",10000,0)+(IF(Atletas!B417="Feminino",1000,IF(Atletas!B417="Masculino",2000,""))+IF(Atletas!K417="Choylayfut A",1,IF(Atletas!K417="Hunggar A",2,IF(Atletas!K417="Wuzuquan A",3,IF(Atletas!K417="Wingchun A",4,IF(Atletas!K417="Outra Mão de Sul A",5,IF(Atletas!K417="Choylayfut B",6,IF(Atletas!K417="Hunggar B",7,IF(Atletas!K417="Wuzuquan B",8,IF(Atletas!K417="Wingchun B",9,IF(Atletas!K417="Outra Mão de Sul B",10,IF(Atletas!K417="Choylayfut C",11,IF(Atletas!K417="Hunggar C",12,IF(Atletas!K417="Wuzuquan C",13,IF(Atletas!K417="Wingchun C",14,IF(Atletas!K417="Outra Mão de Sul C",15,IF(Atletas!K417="Choylayfut D",16,IF(Atletas!K417="Hunggar D",17,IF(Atletas!K417="Wuzuquan D",18,IF(Atletas!K417="Wingchun D",19,IF(Atletas!K417="Outra Mão de Sul D",20,IF(Atletas!K417="Choylayfut E",21,IF(Atletas!K417="Hunggar E",22,IF(Atletas!K417="Wuzuquan E",23,IF(Atletas!K417="Wingchun E",24,IF(Atletas!K417="Outra Mão de Sul E",25,IF(Atletas!K417="Choylayfut F",26,IF(Atletas!K417="Hunggar F",27,IF(Atletas!K417="Wuzuquan F",28,IF(Atletas!K417="Wingchun F",29,IF(Atletas!K417="Outra Mão de Sul F",30,""))))))))))))))))))))))))))))))))</f>
        <v/>
      </c>
      <c r="BL421" s="52" t="str">
        <f>IF(Atletas!L417="","",IF(Atletas!W417&lt;&gt;"",10000,0)+(IF(Atletas!B417="Feminino",1000,IF(Atletas!B417="Masculino",2000,""))+(IF(Atletas!L417="Chaquan A",101,IF(Atletas!L417="Emeiquan A",102,IF(Atletas!L417="Fanziquan A",103,IF(Atletas!L417="Huaquan A",104,IF(Atletas!L417="Hongquan A",105,IF(Atletas!L417="Paochui A",106,IF(Atletas!L417="Piguaquan A",107,IF(Atletas!L417="Shaolinquan A",108,IF(Atletas!L417="Tanglangquan A",109,IF(Atletas!L417="Yinzhaophai A",110,IF(Atletas!L417="Tongbeiquan A",111,IF(Atletas!L417="Wudangquan A",112,IF(Atletas!L417="Outros Estilos A",113,IF(Atletas!L417="Chaquan B",114,IF(Atletas!L417="Emeiquan B",115,IF(Atletas!L417="Fanziquan B",116,IF(Atletas!L417="Huaquan B",117,IF(Atletas!L417="Hongquan B",118,IF(Atletas!L417="Paochui B",119,IF(Atletas!L417="Piguaquan B",120,IF(Atletas!L417="Shaolinquan B",121,IF(Atletas!L417="Tanglangquan B",122,IF(Atletas!L417="Yinzhaophai B",123,IF(Atletas!L417="Tongbeiquan B",124,IF(Atletas!L417="Wudangquan B",125,IF(Atletas!L417="Outros Estilos B",126,IF(Atletas!L417="Chaquan C",127,IF(Atletas!L417="Emeiquan C",128,IF(Atletas!L417="Fanziquan C",129,IF(Atletas!L417="Huaquan C",130,IF(Atletas!L417="Hongquan C",131,IF(Atletas!L417="Paochui C",132,IF(Atletas!L417="Piguaquan C",133,IF(Atletas!L417="Shaolinquan C",134,IF(Atletas!L417="Tanglangquan C",135,IF(Atletas!L417="Yinzhaophai C",136,IF(Atletas!L417="Tongbeiquan C",137,IF(Atletas!L417="Wudangquan C",138,IF(Atletas!L417="Outros Estilos C",139,0))))))))))))))))))))))))))))))))))))))))))</f>
        <v/>
      </c>
      <c r="BM421" s="52" t="str">
        <f>IF(Atletas!L417="","",IF(Atletas!W417&lt;&gt;"",10000,0)+(IF(Atletas!B417="Feminino",1000,IF(Atletas!B417="Masculino",2000,""))+(IF(Atletas!L417="Chaquan D",140,IF(Atletas!L417="Emeiquan D",141,IF(Atletas!L417="Fanziquan D",142,IF(Atletas!L417="Huaquan D",143,IF(Atletas!L417="Hongquan D",144,IF(Atletas!L417="Paochui D",145,IF(Atletas!L417="Piguaquan D",146,IF(Atletas!L417="Shaolinquan D",147,IF(Atletas!L417="Tanglangquan D",148,IF(Atletas!L417="Yinzhaophai D",149,IF(Atletas!L417="Tongbeiquan D",150,IF(Atletas!L417="Wudangquan D",151,IF(Atletas!L417="Outros Estilos D",152,IF(Atletas!L417="Chaquan E",153,IF(Atletas!L417="Emeiquan E",154,IF(Atletas!L417="Fanziquan E",155,IF(Atletas!L417="Huaquan E",156,IF(Atletas!L417="Hongquan E",157,IF(Atletas!L417="Paochui E",158,IF(Atletas!L417="Piguaquan E",159,IF(Atletas!L417="Shaolinquan E",160,IF(Atletas!L417="Tanglangquan E",161,IF(Atletas!L417="Yinzhaophai E",162,IF(Atletas!L417="Tongbeiquan E",163,IF(Atletas!L417="Wudangquan E",164,IF(Atletas!L417="Outros Estilos E",165,IF(Atletas!L417="Chaquan F",166,IF(Atletas!L417="Emeiquan F",167,IF(Atletas!L417="Fanziquan F",168,IF(Atletas!L417="Huaquan F",169,IF(Atletas!L417="Hongquan F",170,IF(Atletas!L417="Paochui F",171,IF(Atletas!L417="Piguaquan F",172,IF(Atletas!L417="Shaolinquan F",173,IF(Atletas!L417="Tanglangquan F",174,IF(Atletas!L417="Yinzhaophai F",175,IF(Atletas!L417="Tongbeiquan F",176,IF(Atletas!L417="Wudangquan F",177,IF(Atletas!L417="Outros Estilos F",178,0))))))))))))))))))))))))))))))))))))))))))</f>
        <v/>
      </c>
      <c r="BN421" s="52" t="str">
        <f>IF(Atletas!M417="","",IF(Atletas!W417&lt;&gt;"",10000,0)+(IF(Atletas!B417="Feminino",1000,IF(Atletas!B417="Masculino",2000,""))+(IF(Atletas!M417="Ditangquan A",201,IF(Atletas!M417="Houquan A",202,IF(Atletas!M417="Zuiquan A",203,IF(Atletas!M417="Ditangquan B",204,IF(Atletas!M417="Houquan B",205,IF(Atletas!M417="Zuiquan B",206,IF(Atletas!M417="Ditangquan C",207,IF(Atletas!M417="Houquan C",208,IF(Atletas!M417="Zuiquan C",209,IF(Atletas!M417="Ditangquan D",210,IF(Atletas!M417="Houquan D",211,IF(Atletas!M417="Zuiquan D",212,IF(Atletas!M417="Ditangquan E",213,IF(Atletas!M417="Houquan E",214,IF(Atletas!M417="Zuiquan E",215,IF(Atletas!M417="Ditangquan F",216,IF(Atletas!M417="Houquan F",217,IF(Atletas!M417="Zuiquan F",218,"")))))))))))))))))))))</f>
        <v/>
      </c>
      <c r="BO421" s="52" t="str">
        <f>IF(Atletas!N417="","",IF(Atletas!W417&lt;&gt;"",10000,0)+IF(Atletas!B417="Feminino",1000,IF(Atletas!B417="Masculino",2000,""))+IF(Atletas!N417="Yang A",301,IF(Atletas!N417="Chen A",30,IF(Atletas!N417="Sun A",303,IF(Atletas!N417="Wu A",304,IF(Atletas!N417="Wu-Hao A",305,IF(Atletas!N417="Outro Taijiquan A",306,IF(Atletas!N417="Yang B",307,IF(Atletas!N417="Chen B",308,IF(Atletas!N417="Sun B",309,IF(Atletas!N417="Wu B",310,IF(Atletas!N417="Wu-Hao B",311,IF(Atletas!N417="Outro Taijiquan B",312,IF(Atletas!N417="Yang C",313,IF(Atletas!N417="Chen C",314,IF(Atletas!N417="Sun C",315,IF(Atletas!N417="Wu C",316,IF(Atletas!N417="Wu-Hao C",317,IF(Atletas!N417="Outro Taijiquan C",318,IF(Atletas!N417="Yang D",319,IF(Atletas!N417="Chen D",320,IF(Atletas!N417="Sun D",321,IF(Atletas!N417="Wu D",322,IF(Atletas!N417="Wu-Hao D",323,IF(Atletas!N417="Outro Taijiquan D",324,IF(Atletas!N417="Yang E",325,IF(Atletas!N417="Chen E",326,IF(Atletas!N417="Sun E",327,IF(Atletas!N417="Wu E",328,IF(Atletas!N417="Wu-Hao E",329,IF(Atletas!N417="Outro Taijiquan E",330,IF(Atletas!N417="Yang F",331,IF(Atletas!N417="Chen F",332,IF(Atletas!N417="Sun F",333,IF(Atletas!N417="Wu F",334,IF(Atletas!N417="Wu-Hao F",335,IF(Atletas!N417="Outro Taijiquan F",336,"")))))))))))))))))))))))))))))))))))))</f>
        <v/>
      </c>
      <c r="BP421" s="52" t="str">
        <f>IF(Atletas!O417="","",IF(Atletas!W417&lt;&gt;"",10000,0)+IF(Atletas!B417="Feminino",1000,IF(Atletas!B417="Masculino",2000,""))+IF(OR(Atletas!O417="Yang 26 A",Atletas!O417="Yang 40 A"),401,IF(OR(Atletas!O417="Chen 25 A",Atletas!O417="Chen 36 A",Atletas!O417="Chen 56 A"),402,IF(Atletas!O417="Sun 73 A",403,IF(Atletas!O417="Wu 45 A",404,IF(Atletas!O417="Wu-Hao 46 A",405,IF(OR(Atletas!O417="Taijiquan 16 A",Atletas!O417="Taijiquan 24 A",Atletas!O417="Taijiquan 32 A",Atletas!O417="Taijiquan 42 A"),406,IF(OR(Atletas!O417="Yang 26 B",Atletas!O417="Yang 40 B"),407,IF(OR(Atletas!O417="Chen 25 B",Atletas!O417="Chen 36 B",Atletas!O417="Chen 56 B"),408,IF(Atletas!O417="Sun 73 B",409,IF(Atletas!O417="Wu 45 B",410,IF(Atletas!O417="Wu-Hao 46 B",411,IF(OR(Atletas!O417="Taijiquan 16 B",Atletas!O417="Taijiquan 24 B",Atletas!O417="Taijiquan 32 B",Atletas!O417="Taijiquan 42 B"),412,IF(OR(Atletas!O417="Yang 26 C",Atletas!O417="Yang 40 C"),413,IF(OR(Atletas!O417="Chen 25 C",Atletas!O417="Chen 36 C",Atletas!O417="Chen 56 C"),414,IF(Atletas!O417="Sun 73 C",415,IF(Atletas!O417="Wu 45 C",416,IF(Atletas!O417="Wu-Hao 46 C",417,IF(OR(Atletas!O417="Taijiquan 16 C",Atletas!O417="Taijiquan 24 C",Atletas!O417="Taijiquan 32 C",Atletas!O417="Taijiquan 42 C"),418,0)))))))))))))))))))</f>
        <v/>
      </c>
      <c r="BQ421" s="52" t="str">
        <f>IF(Atletas!O417="","",IF(Atletas!W417&lt;&gt;"",10000,0)+IF(Atletas!B417="Feminino",1000,IF(Atletas!B417="Masculino",2000,""))+IF(OR(Atletas!O417="Yang 26 D",Atletas!O417="Yang 40 D"),419,IF(OR(Atletas!O417="Chen 25 D",Atletas!O417="Chen 36 D",Atletas!O417="Chen 56 D"),420,IF(Atletas!O417="Sun 73 D",421,IF(Atletas!O417="Wu 45 D",422,IF(Atletas!O417="Wu-Hao 46 D",423,IF(OR(Atletas!O417="Taijiquan 16 D",Atletas!O417="Taijiquan 24 D",Atletas!O417="Taijiquan 32 D",Atletas!O417="Taijiquan 42 D"),424,IF(OR(Atletas!O417="Yang 26 E",Atletas!O417="Yang 40 E"),425,IF(OR(Atletas!O417="Chen 25 E",Atletas!O417="Chen 36 E",Atletas!O417="Chen 56 E"),426,IF(Atletas!O417="Sun 73 E",427,IF(Atletas!O417="Wu 45 E",428,IF(Atletas!O417="Wu-Hao 46 E",429,IF(OR(Atletas!O417="Taijiquan 16 E",Atletas!O417="Taijiquan 24 E",Atletas!O417="Taijiquan 32 E",Atletas!O417="Taijiquan 42 E"),430,IF(OR(Atletas!O417="Yang 26 F",Atletas!O417="Yang 40 F"),431,IF(OR(Atletas!O417="Chen 25 F",Atletas!O417="Chen 36 F",Atletas!O417="Chen 56 F"),432,IF(Atletas!O417="Sun 73 F",433,IF(Atletas!O417="Wu 45 F",434,IF(Atletas!O417="Wu-Hao 46 F",435,IF(OR(Atletas!O417="Taijiquan 16 F",Atletas!O417="Taijiquan 24 F",Atletas!O417="Taijiquan 32 F",Atletas!O417="Taijiquan 42 F"),436,0)))))))))))))))))))</f>
        <v/>
      </c>
      <c r="BR421" s="52" t="str">
        <f>IF(Atletas!P417="","",IF(Atletas!W417&lt;&gt;"",10000,0)+IF(Atletas!B417="Feminino",1000,IF(Atletas!B417="Masculino",2000,""))+IF(Atletas!P417="Xingyiquan A",501,IF(Atletas!P417="Baguazhang A",502,IF(Atletas!P417="Outro Estilo Interno A",503,IF(Atletas!P417="Xingyiquan B",504,IF(Atletas!P417="Baguazhang B",505,IF(Atletas!P417="Outro Estilo Interno B",506,IF(Atletas!P417="Xingyiquan C",507,IF(Atletas!P417="Baguazhang C",508,IF(Atletas!P417="Outro Estilo Interno C",509,IF(Atletas!P417="Xingyiquan D",510,IF(Atletas!P417="Baguazhang D",511,IF(Atletas!P417="Outro Estilo Interno D",512,IF(Atletas!P417="Xingyiquan E",513,IF(Atletas!P417="Baguazhang E",514,IF(Atletas!P417="Outro Estilo Interno E",515,IF(Atletas!P417="Xingyiquan F",516,IF(Atletas!P417="Baguazhang F",517,IF(Atletas!P417="Outro Estilo Interno F",518, "")))))))))))))))))))</f>
        <v/>
      </c>
      <c r="BS421" s="52" t="str">
        <f>IF(Atletas!Q417="","",IF(Atletas!W417&lt;&gt;"",10000,0)+IF(Atletas!B417="Feminino",1000,IF(Atletas!B417="Masculino",2000,""))+IF(Atletas!Q417="Dao A",601,IF(Atletas!Q417="Jian A",602,IF(Atletas!Q417="Bishou A",603,IF(Atletas!Q417="Shan A",604,IF(Atletas!Q417="Outra Arma Curta A",605,IF(Atletas!Q417="Dao B",606,IF(Atletas!Q417="Jian B",607,IF(Atletas!Q417="Bishou B",608,IF(Atletas!Q417="Shan B",609,IF(Atletas!Q417="Outra Arma Curta B",610,IF(Atletas!Q417="Dao C",611,IF(Atletas!Q417="Jian C",612,IF(Atletas!Q417="Bishou C",613,IF(Atletas!Q417="Shan C",614,IF(Atletas!Q417="Outra Arma Curta C",615,IF(Atletas!Q417="Dao D",616,IF(Atletas!Q417="Jian D",617,IF(Atletas!Q417="Bishou D",618,IF(Atletas!Q417="Shan D",619,IF(Atletas!Q417="Outra Arma Curta D",620,IF(Atletas!Q417="Dao E",621,IF(Atletas!Q417="Jian E",622,IF(Atletas!Q417="Bishou E",623,IF(Atletas!Q417="Shan E",624,IF(Atletas!Q417="Outra Arma Curta E",625,IF(Atletas!Q417="Dao F",626,IF(Atletas!Q417="Jian F",627,IF(Atletas!Q417="Bishou F",628,IF(Atletas!Q417="Shan F",629,IF(Atletas!Q417="Outra Arma Curta F",630, "")))))))))))))))))))))))))))))))</f>
        <v/>
      </c>
      <c r="BT421" s="52" t="str">
        <f>IF(Atletas!R417="","",IF(Atletas!W417&lt;&gt;"",10000,0)+IF(Atletas!B417="Feminino",1000,IF(Atletas!B417="Masculino",2000,""))+IF(Atletas!R417="Gun A",701,IF(Atletas!R417="Qiang A",702,IF(Atletas!R417="Pudao / Guandao A",703,IF(Atletas!R417="Outra Arma Longa A",704,IF(Atletas!R417="Gun B",705,IF(Atletas!R417="Qiang B",706,IF(Atletas!R417="Pudao / Guandao B",707,IF(Atletas!R417="Outra Arma Longa B",708,IF(Atletas!R417="Gun C",709,IF(Atletas!R417="Qiang C",710,IF(Atletas!R417="Pudao / Guandao C",711,IF(Atletas!R417="Outra Arma Longa C",712,IF(Atletas!R417="Gun D",713,IF(Atletas!R417="Qiang D",714,IF(Atletas!R417="Pudao / Guandao D",715,IF(Atletas!R417="Outra Arma Longa D",716,IF(Atletas!R417="Gun E",717,IF(Atletas!R417="Qiang E",718,IF(Atletas!R417="Pudao / Guandao E",719,IF(Atletas!R417="Outra Arma Longa E",720,IF(Atletas!R417="Gun F",721,IF(Atletas!R417="Qiang F",722,IF(Atletas!R417="Pudao / Guandao F",723,IF(Atletas!R417="Outra Arma Longa F",724,"")))))))))))))))))))))))))</f>
        <v/>
      </c>
      <c r="BU421" s="52" t="str">
        <f>IF(Atletas!S417="","",IF(Atletas!W417&lt;&gt;"",10000,0)+IF(Atletas!B417="Feminino",1000,IF(Atletas!B417="Masculino",2000,""))+IF(Atletas!S417="Arma Dupla A",801,IF(Atletas!S417="Arma Maleável A",802,IF(Atletas!S417="Arma Dupla B",803,IF(Atletas!S417="Arma Maleável B",804,IF(Atletas!S417="Arma Dupla C",805,IF(Atletas!S417="Arma Maleável C",806,IF(Atletas!S417="Arma Dupla D",807,IF(Atletas!S417="Arma Maleável D",808,IF(Atletas!S417="Arma Dupla E",809,IF(Atletas!S417="Arma Maleável E",810,IF(Atletas!S417="Arma Dupla F",811,IF(Atletas!S417="Arma Maleável F",812, "")))))))))))))</f>
        <v/>
      </c>
      <c r="BV421" s="52" t="str">
        <f>IF(Atletas!T417="","",IF(Atletas!W417&lt;&gt;"",10000,0)+IF(Atletas!B417="Feminino",1000,IF(Atletas!B417="Masculino",2000,""))+IF(Atletas!T417="Taijijian Yang A",901,IF(Atletas!T417="Taijijian Chen A",902,IF(Atletas!T417="Taijijian Sun A",903,IF(Atletas!T417="Taijijian Wu A",904,IF(Atletas!T417="Taijijian Wu-Hao A",905,IF(Atletas!T417="Taijijian 32 A",906,IF(Atletas!T417="Taijijian 42 A",907,IF(Atletas!T417="Taijijian Yang B",908,IF(Atletas!T417="Taijijian Chen B",909,IF(Atletas!T417="Taijijian Sun B",910,IF(Atletas!T417="Taijijian Wu B",911,IF(Atletas!T417="Taijijian Wu-Hao B",912,IF(Atletas!T417="Taijijian 32 B",913,IF(Atletas!T417="Taijijian 42 B",914,IF(Atletas!T417="Taijijian Yang C",915,IF(Atletas!T417="Taijijian Chen C",916,IF(Atletas!T417="Taijijian Sun C",917,IF(Atletas!T417="Taijijian Wu C",918,IF(Atletas!T417="Taijijian Wu-Hao C",919,IF(Atletas!T417="Taijijian 32 C",920,IF(Atletas!T417="Taijijian 42 C",921,IF(Atletas!T417="Taijijian Yang D",922,IF(Atletas!T417="Taijijian Chen D",923,IF(Atletas!T417="Taijijian Sun D",924,IF(Atletas!T417="Taijijian Wu D",925,IF(Atletas!T417="Taijijian Wu-Hao D",926,IF(Atletas!T417="Taijijian 32 D",927,IF(Atletas!T417="Taijijian 42 D",928,IF(Atletas!T417="Taijijian Yang E",929,IF(Atletas!T417="Taijijian Chen E",930,IF(Atletas!T417="Taijijian Sun E",931,IF(Atletas!T417="Taijijian Wu E",932,IF(Atletas!T417="Taijijian Wu-Hao E",933,IF(Atletas!T417="Taijijian 32 E",934,IF(Atletas!T417="Taijijian 42 E",935,IF(Atletas!T417="Taijijian Yang F",936,IF(Atletas!T417="Taijijian Chen F",937,IF(Atletas!T417="Taijijian Sun F",938,IF(Atletas!T417="Taijijian Wu F",939,IF(Atletas!T417="Taijijian Wu-Hao F",940,IF(Atletas!T417="Taijijian 32 F",941,IF(Atletas!T417="Taijijian 42 F",942,"")))))))))))))))))))))))))))))))))))))))))))</f>
        <v/>
      </c>
      <c r="BW421" s="52" t="str">
        <f>IF(Atletas!U417="","",IF(Atletas!W417&lt;&gt;"",10000,0)+IF(Atletas!B417="Feminino",1000,IF(Atletas!B417="Masculino",2000,""))+IF(Atletas!T417="Taijijian 42 F",942,IF(Atletas!U417="Taijidao A",943,IF(Atletas!U417="Taijishan A",944,IF(Atletas!U417="Taijiqiang A",945,IF(Atletas!U417="Taijidao B",946,IF(Atletas!U417="Taijishan B",947,IF(Atletas!U417="Taijiqiang B",948,IF(Atletas!U417="Taijidao C",949,IF(Atletas!U417="Taijishan C",950,IF(Atletas!U417="Taijiqiang C",951,IF(Atletas!U417="Taijidao D",952,IF(Atletas!U417="Taijishan D",953,IF(Atletas!U417="Taijiqiang D",954,IF(Atletas!U417="Taijidao E",955,IF(Atletas!U417="Taijishan E",956,IF(Atletas!U417="Taijiqiang E",957,IF(Atletas!U417="Taijidao F",958,IF(Atletas!U417="Taijishan F",959,IF(Atletas!U417="Taijiqiang F",960))))))))))))))))))))</f>
        <v/>
      </c>
      <c r="CF421" s="52" t="str">
        <f xml:space="preserve"> IF(Atletas!V417="","",IF(Atletas!V417="Duilian de Mãos AB - Equipe 1",1,IF(Atletas!V417="Duilian de Mãos AB - Equipe 2",2,IF(Atletas!V417="Duilian de Armas AB - Equipe 1",3,IF(Atletas!V417="Duilian de Armas AB - Equipe 2",4,IF(Atletas!V417="Duilian de Tuishou - Equipe 1",5,IF(Atletas!V417="Duilian de Tuishou - Equipe 2",6,IF(Atletas!V417="Grupo Externo AB - Equipe 1",7,IF(Atletas!V417="Grupo Externo AB - Equipe 2",8,IF(Atletas!V417="Grupo Interno AB - Equipe 1",9,IF(Atletas!V417="Grupo Interno AB - Equipe 2",10,IF(Atletas!V417="Duilian de Mãos CD - Equipe 1",11,IF(Atletas!V417="Duilian de Mãos CD - Equipe 2",12,IF(Atletas!V417="Duilian de Armas CD - Equipe 1",13,IF(Atletas!V417="Duilian de Armas CD - Equipe 2",14,IF(Atletas!V417="Duilian de Tuishou - Equipe 1",15,IF(Atletas!V417="Duilian de Tuishou - Equipe 2",16,IF(Atletas!V417="Grupo Externo CDEF - Equipe 1",17,IF(Atletas!V417="Grupo Externo CDEF - Equipe 2",18,IF(Atletas!V417="Grupo Interno CDEF - Equipe 1",19,IF(Atletas!V417="Grupo Interno CDEF - Equipe 2",20,IF(Atletas!V417="Duilian de Mãos EF - Equipe 1",21,IF(Atletas!V417="Duilian de Mãos EF - Equipe 2",22,IF(Atletas!V417="Duilian de Armas EF - Equipe 1",23,IF(Atletas!V417="Duilian de Armas EF - Equipe 2",24,IF(Atletas!V417="Duilian de Tuishou - Equipe 1",25,IF(Atletas!V417="Duilian de Tuishou - Equipe 2",26,"")))))))))))))))))))))))))))</f>
        <v/>
      </c>
    </row>
    <row r="422" spans="36:84">
      <c r="AJ422" s="46" t="str">
        <f>IF(Atletas!D418="","",IF(Atletas!B418="Feminino",100,IF(Atletas!B418="Masculino",200,""))+(IF(Atletas!D418="Infantil 39kg",1,IF(Atletas!D418="Infantil 42kg",2,IF(Atletas!D418="Infantil 45kg",3,IF(Atletas!D418="Infantil 48kg",4,IF(Atletas!D418="Infantil 52kg",5,IF(Atletas!D418="Infantil 56kg",6,IF(Atletas!D418="Infantil 60kg",7,IF(Atletas!D418="Juvenil 48kg",8,IF(Atletas!D418="Juvenil 52kg",9,IF(Atletas!D418="Juvenil 56kg",10,IF(Atletas!D418="Juvenil 60kg",11,IF(Atletas!D418="Juvenil 65kg",12,IF(Atletas!D418="Juvenil 70kg",13,IF(Atletas!D418="Juvenil 75kg",14,IF(Atletas!D418="Juvenil 80kg",15,IF(Atletas!D418="Adulto 48kg",16,IF(Atletas!D418="Adulto 52kg",17,IF(Atletas!D418="Adulto 56kg",18,IF(Atletas!D418="Adulto 60kg",19,IF(Atletas!D418="Adulto 65kg",20,IF(Atletas!D418="Adulto 70kg",21,IF(Atletas!D418="Adulto 75kg",22,IF(Atletas!D418="Adulto 80kg",23,IF(Atletas!D418="Adulto 85kg",24,IF(Atletas!D418="Adulto 90kg",25,IF(Atletas!D418="Adulto +90kg",26,""))))))))))))))))))))))))))))</f>
        <v/>
      </c>
      <c r="AO422" s="10" t="str">
        <f>IF(Atletas!E418="","",IF(Atletas!B418="Feminino",100,IF(Atletas!B418="Masculino",200,""))+(IF(Atletas!E418="Juvenil 44kg",1,IF(Atletas!E418="Juvenil 48kg",2,IF(Atletas!E418="Juvenil 52kg",3,IF(Atletas!E418="Juvenil 56kg",4,IF(Atletas!E418="Juvenil 60kg",5,IF(Atletas!E418="Juvenil 65kg",6,IF(Atletas!E418="Juvenil 70kg",7,IF(Atletas!E418="Juvenil 75kg",8,IF(Atletas!E418="Juvenil 82kg",9,IF(Atletas!E418="Juvenil 90kg",10,IF(Atletas!E418="Juvenil 100kg",11,IF(Atletas!E418="Adulto 48kg",12,IF(Atletas!E418="Adulto 52kg",13,IF(Atletas!E418="Adulto 56kg",14,IF(Atletas!E418="Adulto 60kg",15,IF(Atletas!E418="Adulto 65kg",16,IF(Atletas!E418="Adulto 70kg",17,IF(Atletas!E418="Adulto 75kg",18,IF(Atletas!E418="Adulto 82kg",19,IF(Atletas!E418="Adulto 90kg",20,IF(Atletas!E418="Adulto 100kg",21,IF(Atletas!E418="Adulto +100kg",22,""))))))))))))))))))))))))</f>
        <v/>
      </c>
      <c r="AT422" s="10" t="str">
        <f>IF(Atletas!F418="","",IF(Atletas!B418="Feminino",100,IF(Atletas!B418="Masculino",200,""))+(IF(Atletas!F418="Adulto 48kg",1,IF(Atletas!F418="Adulto 56kg",2,IF(Atletas!F418="Adulto 65kg",3,IF(Atletas!F418="Adulto 75kg",4,IF(Atletas!F418="Adulto +75kg",5,IF(Atletas!F418="Adulto 52kg",6,IF(Atletas!F418="Adulto 60kg",7,IF(Atletas!F418="Adulto 70kg",8,IF(Atletas!F418="Adulto 80kg",9,IF(Atletas!F418="Adulto 90kg",10,IF(Atletas!F418="Adulto +90kg",11,"")))))))))))))</f>
        <v/>
      </c>
      <c r="AY422" s="46" t="str">
        <f>IF(Atletas!G418="","",IF(Atletas!B418="Feminino",100,IF(Atletas!B418="Masculino",200,""))+(IF(Atletas!G418="Changquan Mirim",1,IF(Atletas!G418="Nanquan Mirim",2,IF(Atletas!G418="Taijiquan Mirim",3,IF(Atletas!G418="Changquan Grupo C",4,IF(Atletas!G418="Nanquan Grupo C",5,IF(Atletas!G418="Taijiquan Grupo C",6,IF(Atletas!G418="Changquan Grupo B",7,IF(Atletas!G418="Nanquan Grupo B",8,IF(Atletas!G418="Taijiquan Grupo B",9,IF(Atletas!G418="Changquan Grupo A",10,IF(Atletas!G418="Nanquan Grupo A",11,IF(Atletas!G418="Taijiquan Grupo A",12,IF(Atletas!G418="Changquan Opcional",13,IF(Atletas!G418="Nanquan Opcional",14,IF(Atletas!G418="Taijiquan Opcional",15,IF(Atletas!G418="Changquan Adulto",16,IF(Atletas!G418="Nanquan Adulto",17,IF(Atletas!G418="Taijiquan Adulto",18,""))))))))))))))))))))</f>
        <v/>
      </c>
      <c r="AZ422" s="46" t="str">
        <f>IF(Atletas!H418="","",IF(Atletas!B418="Feminino",100,IF(Atletas!B418="Masculino",200,""))+(IF(Atletas!H418="Daoshu Mirim",19,IF(Atletas!H418="Jianshu Mirim",20,IF(Atletas!H418="Nandao Mirim",21,IF(Atletas!H418="Taijijian Mirim",22,IF(Atletas!H418="Daoshu Grupo C",23,IF(Atletas!H418="Jianshu Grupo C",24,IF(Atletas!H418="Nandao Grupo C",25,IF(Atletas!H418="Taijijian Grupo C",26,IF(Atletas!H418="Daoshu Grupo B",27,IF(Atletas!H418="Jianshu Grupo B",28,IF(Atletas!H418="Nandao Grupo B",29,IF(Atletas!H418="Taijijian Grupo B",30,IF(Atletas!H418="Daoshu Grupo A",31,IF(Atletas!H418="Jianshu Grupo A",32,IF(Atletas!H418="Nandao Grupo A",33,IF(Atletas!H418="Taijijian Grupo A",34,IF(Atletas!H418="Daoshu Opcional",35,IF(Atletas!H418="Jianshu Opcional",36,IF(Atletas!H418="Nandao Opcional",37,IF(Atletas!H418="Taijijian Opcional",38,IF(Atletas!H418="Daoshu Adulto",39,IF(Atletas!H418="Jianshu Adulto",40,IF(Atletas!H418="Nandao Adulto",41,IF(Atletas!H418="Taijijian Adulto",42,""))))))))))))))))))))))))))</f>
        <v/>
      </c>
      <c r="BA422" s="46" t="str">
        <f>IF(Atletas!I418="","",IF(Atletas!B418="Feminino",100,IF(Atletas!B418="Masculino",200,""))+(IF(Atletas!I418="Gunshu Mirim",43,IF(Atletas!I418="Qiangshu Mirim",44,IF(Atletas!I418="Nangun Mirim",45,IF(Atletas!I418="Gunshu Grupo C",46,IF(Atletas!I418="Qiangshu Grupo C",47,IF(Atletas!I418="Nangun Grupo C",48,IF(Atletas!I418="Gunshu Grupo B",49,IF(Atletas!I418="Qiangshu Grupo B",50,IF(Atletas!I418="Nangun Grupo B",51,IF(Atletas!I418="Gunshu Grupo A",52,IF(Atletas!I418="Qiangshu Grupo A",53,IF(Atletas!I418="Nangun Grupo A",54,IF(Atletas!I418="Gunshu Opcional",55,IF(Atletas!I418="Qiangshu Opcional",56,IF(Atletas!I418="Nangun Opcional",57,IF(Atletas!I418="Gunshu Adulto",58,IF(Atletas!I418="Qiangshu Adulto",59,IF(Atletas!I418="Nangun Adulto",60,""))))))))))))))))))))</f>
        <v/>
      </c>
      <c r="BF422" s="52" t="str">
        <f>IF(Atletas!J418="","",IF(Atletas!B418="Feminino",100,IF(Atletas!B418="Masculino",200,""))+(IF(Atletas!J418="Equipe 1 Grupo B",1,IF(Atletas!J418="Equipe 2 Grupo B",2,IF(Atletas!J418="Equipe 1 Grupo A",3,IF(Atletas!J418="Equipe 2 Grupo A",4,IF(Atletas!J418="Equipe 1 Adulto",5,IF(Atletas!J418="Equipe 2 Adulto",6,""))))))))</f>
        <v/>
      </c>
      <c r="BK422" s="52" t="str">
        <f>IF(Atletas!K418="","",IF(Atletas!W418&lt;&gt;"",10000,0)+(IF(Atletas!B418="Feminino",1000,IF(Atletas!B418="Masculino",2000,""))+IF(Atletas!K418="Choylayfut A",1,IF(Atletas!K418="Hunggar A",2,IF(Atletas!K418="Wuzuquan A",3,IF(Atletas!K418="Wingchun A",4,IF(Atletas!K418="Outra Mão de Sul A",5,IF(Atletas!K418="Choylayfut B",6,IF(Atletas!K418="Hunggar B",7,IF(Atletas!K418="Wuzuquan B",8,IF(Atletas!K418="Wingchun B",9,IF(Atletas!K418="Outra Mão de Sul B",10,IF(Atletas!K418="Choylayfut C",11,IF(Atletas!K418="Hunggar C",12,IF(Atletas!K418="Wuzuquan C",13,IF(Atletas!K418="Wingchun C",14,IF(Atletas!K418="Outra Mão de Sul C",15,IF(Atletas!K418="Choylayfut D",16,IF(Atletas!K418="Hunggar D",17,IF(Atletas!K418="Wuzuquan D",18,IF(Atletas!K418="Wingchun D",19,IF(Atletas!K418="Outra Mão de Sul D",20,IF(Atletas!K418="Choylayfut E",21,IF(Atletas!K418="Hunggar E",22,IF(Atletas!K418="Wuzuquan E",23,IF(Atletas!K418="Wingchun E",24,IF(Atletas!K418="Outra Mão de Sul E",25,IF(Atletas!K418="Choylayfut F",26,IF(Atletas!K418="Hunggar F",27,IF(Atletas!K418="Wuzuquan F",28,IF(Atletas!K418="Wingchun F",29,IF(Atletas!K418="Outra Mão de Sul F",30,""))))))))))))))))))))))))))))))))</f>
        <v/>
      </c>
      <c r="BL422" s="52" t="str">
        <f>IF(Atletas!L418="","",IF(Atletas!W418&lt;&gt;"",10000,0)+(IF(Atletas!B418="Feminino",1000,IF(Atletas!B418="Masculino",2000,""))+(IF(Atletas!L418="Chaquan A",101,IF(Atletas!L418="Emeiquan A",102,IF(Atletas!L418="Fanziquan A",103,IF(Atletas!L418="Huaquan A",104,IF(Atletas!L418="Hongquan A",105,IF(Atletas!L418="Paochui A",106,IF(Atletas!L418="Piguaquan A",107,IF(Atletas!L418="Shaolinquan A",108,IF(Atletas!L418="Tanglangquan A",109,IF(Atletas!L418="Yinzhaophai A",110,IF(Atletas!L418="Tongbeiquan A",111,IF(Atletas!L418="Wudangquan A",112,IF(Atletas!L418="Outros Estilos A",113,IF(Atletas!L418="Chaquan B",114,IF(Atletas!L418="Emeiquan B",115,IF(Atletas!L418="Fanziquan B",116,IF(Atletas!L418="Huaquan B",117,IF(Atletas!L418="Hongquan B",118,IF(Atletas!L418="Paochui B",119,IF(Atletas!L418="Piguaquan B",120,IF(Atletas!L418="Shaolinquan B",121,IF(Atletas!L418="Tanglangquan B",122,IF(Atletas!L418="Yinzhaophai B",123,IF(Atletas!L418="Tongbeiquan B",124,IF(Atletas!L418="Wudangquan B",125,IF(Atletas!L418="Outros Estilos B",126,IF(Atletas!L418="Chaquan C",127,IF(Atletas!L418="Emeiquan C",128,IF(Atletas!L418="Fanziquan C",129,IF(Atletas!L418="Huaquan C",130,IF(Atletas!L418="Hongquan C",131,IF(Atletas!L418="Paochui C",132,IF(Atletas!L418="Piguaquan C",133,IF(Atletas!L418="Shaolinquan C",134,IF(Atletas!L418="Tanglangquan C",135,IF(Atletas!L418="Yinzhaophai C",136,IF(Atletas!L418="Tongbeiquan C",137,IF(Atletas!L418="Wudangquan C",138,IF(Atletas!L418="Outros Estilos C",139,0))))))))))))))))))))))))))))))))))))))))))</f>
        <v/>
      </c>
      <c r="BM422" s="52" t="str">
        <f>IF(Atletas!L418="","",IF(Atletas!W418&lt;&gt;"",10000,0)+(IF(Atletas!B418="Feminino",1000,IF(Atletas!B418="Masculino",2000,""))+(IF(Atletas!L418="Chaquan D",140,IF(Atletas!L418="Emeiquan D",141,IF(Atletas!L418="Fanziquan D",142,IF(Atletas!L418="Huaquan D",143,IF(Atletas!L418="Hongquan D",144,IF(Atletas!L418="Paochui D",145,IF(Atletas!L418="Piguaquan D",146,IF(Atletas!L418="Shaolinquan D",147,IF(Atletas!L418="Tanglangquan D",148,IF(Atletas!L418="Yinzhaophai D",149,IF(Atletas!L418="Tongbeiquan D",150,IF(Atletas!L418="Wudangquan D",151,IF(Atletas!L418="Outros Estilos D",152,IF(Atletas!L418="Chaquan E",153,IF(Atletas!L418="Emeiquan E",154,IF(Atletas!L418="Fanziquan E",155,IF(Atletas!L418="Huaquan E",156,IF(Atletas!L418="Hongquan E",157,IF(Atletas!L418="Paochui E",158,IF(Atletas!L418="Piguaquan E",159,IF(Atletas!L418="Shaolinquan E",160,IF(Atletas!L418="Tanglangquan E",161,IF(Atletas!L418="Yinzhaophai E",162,IF(Atletas!L418="Tongbeiquan E",163,IF(Atletas!L418="Wudangquan E",164,IF(Atletas!L418="Outros Estilos E",165,IF(Atletas!L418="Chaquan F",166,IF(Atletas!L418="Emeiquan F",167,IF(Atletas!L418="Fanziquan F",168,IF(Atletas!L418="Huaquan F",169,IF(Atletas!L418="Hongquan F",170,IF(Atletas!L418="Paochui F",171,IF(Atletas!L418="Piguaquan F",172,IF(Atletas!L418="Shaolinquan F",173,IF(Atletas!L418="Tanglangquan F",174,IF(Atletas!L418="Yinzhaophai F",175,IF(Atletas!L418="Tongbeiquan F",176,IF(Atletas!L418="Wudangquan F",177,IF(Atletas!L418="Outros Estilos F",178,0))))))))))))))))))))))))))))))))))))))))))</f>
        <v/>
      </c>
      <c r="BN422" s="52" t="str">
        <f>IF(Atletas!M418="","",IF(Atletas!W418&lt;&gt;"",10000,0)+(IF(Atletas!B418="Feminino",1000,IF(Atletas!B418="Masculino",2000,""))+(IF(Atletas!M418="Ditangquan A",201,IF(Atletas!M418="Houquan A",202,IF(Atletas!M418="Zuiquan A",203,IF(Atletas!M418="Ditangquan B",204,IF(Atletas!M418="Houquan B",205,IF(Atletas!M418="Zuiquan B",206,IF(Atletas!M418="Ditangquan C",207,IF(Atletas!M418="Houquan C",208,IF(Atletas!M418="Zuiquan C",209,IF(Atletas!M418="Ditangquan D",210,IF(Atletas!M418="Houquan D",211,IF(Atletas!M418="Zuiquan D",212,IF(Atletas!M418="Ditangquan E",213,IF(Atletas!M418="Houquan E",214,IF(Atletas!M418="Zuiquan E",215,IF(Atletas!M418="Ditangquan F",216,IF(Atletas!M418="Houquan F",217,IF(Atletas!M418="Zuiquan F",218,"")))))))))))))))))))))</f>
        <v/>
      </c>
      <c r="BO422" s="52" t="str">
        <f>IF(Atletas!N418="","",IF(Atletas!W418&lt;&gt;"",10000,0)+IF(Atletas!B418="Feminino",1000,IF(Atletas!B418="Masculino",2000,""))+IF(Atletas!N418="Yang A",301,IF(Atletas!N418="Chen A",30,IF(Atletas!N418="Sun A",303,IF(Atletas!N418="Wu A",304,IF(Atletas!N418="Wu-Hao A",305,IF(Atletas!N418="Outro Taijiquan A",306,IF(Atletas!N418="Yang B",307,IF(Atletas!N418="Chen B",308,IF(Atletas!N418="Sun B",309,IF(Atletas!N418="Wu B",310,IF(Atletas!N418="Wu-Hao B",311,IF(Atletas!N418="Outro Taijiquan B",312,IF(Atletas!N418="Yang C",313,IF(Atletas!N418="Chen C",314,IF(Atletas!N418="Sun C",315,IF(Atletas!N418="Wu C",316,IF(Atletas!N418="Wu-Hao C",317,IF(Atletas!N418="Outro Taijiquan C",318,IF(Atletas!N418="Yang D",319,IF(Atletas!N418="Chen D",320,IF(Atletas!N418="Sun D",321,IF(Atletas!N418="Wu D",322,IF(Atletas!N418="Wu-Hao D",323,IF(Atletas!N418="Outro Taijiquan D",324,IF(Atletas!N418="Yang E",325,IF(Atletas!N418="Chen E",326,IF(Atletas!N418="Sun E",327,IF(Atletas!N418="Wu E",328,IF(Atletas!N418="Wu-Hao E",329,IF(Atletas!N418="Outro Taijiquan E",330,IF(Atletas!N418="Yang F",331,IF(Atletas!N418="Chen F",332,IF(Atletas!N418="Sun F",333,IF(Atletas!N418="Wu F",334,IF(Atletas!N418="Wu-Hao F",335,IF(Atletas!N418="Outro Taijiquan F",336,"")))))))))))))))))))))))))))))))))))))</f>
        <v/>
      </c>
      <c r="BP422" s="52" t="str">
        <f>IF(Atletas!O418="","",IF(Atletas!W418&lt;&gt;"",10000,0)+IF(Atletas!B418="Feminino",1000,IF(Atletas!B418="Masculino",2000,""))+IF(OR(Atletas!O418="Yang 26 A",Atletas!O418="Yang 40 A"),401,IF(OR(Atletas!O418="Chen 25 A",Atletas!O418="Chen 36 A",Atletas!O418="Chen 56 A"),402,IF(Atletas!O418="Sun 73 A",403,IF(Atletas!O418="Wu 45 A",404,IF(Atletas!O418="Wu-Hao 46 A",405,IF(OR(Atletas!O418="Taijiquan 16 A",Atletas!O418="Taijiquan 24 A",Atletas!O418="Taijiquan 32 A",Atletas!O418="Taijiquan 42 A"),406,IF(OR(Atletas!O418="Yang 26 B",Atletas!O418="Yang 40 B"),407,IF(OR(Atletas!O418="Chen 25 B",Atletas!O418="Chen 36 B",Atletas!O418="Chen 56 B"),408,IF(Atletas!O418="Sun 73 B",409,IF(Atletas!O418="Wu 45 B",410,IF(Atletas!O418="Wu-Hao 46 B",411,IF(OR(Atletas!O418="Taijiquan 16 B",Atletas!O418="Taijiquan 24 B",Atletas!O418="Taijiquan 32 B",Atletas!O418="Taijiquan 42 B"),412,IF(OR(Atletas!O418="Yang 26 C",Atletas!O418="Yang 40 C"),413,IF(OR(Atletas!O418="Chen 25 C",Atletas!O418="Chen 36 C",Atletas!O418="Chen 56 C"),414,IF(Atletas!O418="Sun 73 C",415,IF(Atletas!O418="Wu 45 C",416,IF(Atletas!O418="Wu-Hao 46 C",417,IF(OR(Atletas!O418="Taijiquan 16 C",Atletas!O418="Taijiquan 24 C",Atletas!O418="Taijiquan 32 C",Atletas!O418="Taijiquan 42 C"),418,0)))))))))))))))))))</f>
        <v/>
      </c>
      <c r="BQ422" s="52" t="str">
        <f>IF(Atletas!O418="","",IF(Atletas!W418&lt;&gt;"",10000,0)+IF(Atletas!B418="Feminino",1000,IF(Atletas!B418="Masculino",2000,""))+IF(OR(Atletas!O418="Yang 26 D",Atletas!O418="Yang 40 D"),419,IF(OR(Atletas!O418="Chen 25 D",Atletas!O418="Chen 36 D",Atletas!O418="Chen 56 D"),420,IF(Atletas!O418="Sun 73 D",421,IF(Atletas!O418="Wu 45 D",422,IF(Atletas!O418="Wu-Hao 46 D",423,IF(OR(Atletas!O418="Taijiquan 16 D",Atletas!O418="Taijiquan 24 D",Atletas!O418="Taijiquan 32 D",Atletas!O418="Taijiquan 42 D"),424,IF(OR(Atletas!O418="Yang 26 E",Atletas!O418="Yang 40 E"),425,IF(OR(Atletas!O418="Chen 25 E",Atletas!O418="Chen 36 E",Atletas!O418="Chen 56 E"),426,IF(Atletas!O418="Sun 73 E",427,IF(Atletas!O418="Wu 45 E",428,IF(Atletas!O418="Wu-Hao 46 E",429,IF(OR(Atletas!O418="Taijiquan 16 E",Atletas!O418="Taijiquan 24 E",Atletas!O418="Taijiquan 32 E",Atletas!O418="Taijiquan 42 E"),430,IF(OR(Atletas!O418="Yang 26 F",Atletas!O418="Yang 40 F"),431,IF(OR(Atletas!O418="Chen 25 F",Atletas!O418="Chen 36 F",Atletas!O418="Chen 56 F"),432,IF(Atletas!O418="Sun 73 F",433,IF(Atletas!O418="Wu 45 F",434,IF(Atletas!O418="Wu-Hao 46 F",435,IF(OR(Atletas!O418="Taijiquan 16 F",Atletas!O418="Taijiquan 24 F",Atletas!O418="Taijiquan 32 F",Atletas!O418="Taijiquan 42 F"),436,0)))))))))))))))))))</f>
        <v/>
      </c>
      <c r="BR422" s="52" t="str">
        <f>IF(Atletas!P418="","",IF(Atletas!W418&lt;&gt;"",10000,0)+IF(Atletas!B418="Feminino",1000,IF(Atletas!B418="Masculino",2000,""))+IF(Atletas!P418="Xingyiquan A",501,IF(Atletas!P418="Baguazhang A",502,IF(Atletas!P418="Outro Estilo Interno A",503,IF(Atletas!P418="Xingyiquan B",504,IF(Atletas!P418="Baguazhang B",505,IF(Atletas!P418="Outro Estilo Interno B",506,IF(Atletas!P418="Xingyiquan C",507,IF(Atletas!P418="Baguazhang C",508,IF(Atletas!P418="Outro Estilo Interno C",509,IF(Atletas!P418="Xingyiquan D",510,IF(Atletas!P418="Baguazhang D",511,IF(Atletas!P418="Outro Estilo Interno D",512,IF(Atletas!P418="Xingyiquan E",513,IF(Atletas!P418="Baguazhang E",514,IF(Atletas!P418="Outro Estilo Interno E",515,IF(Atletas!P418="Xingyiquan F",516,IF(Atletas!P418="Baguazhang F",517,IF(Atletas!P418="Outro Estilo Interno F",518, "")))))))))))))))))))</f>
        <v/>
      </c>
      <c r="BS422" s="52" t="str">
        <f>IF(Atletas!Q418="","",IF(Atletas!W418&lt;&gt;"",10000,0)+IF(Atletas!B418="Feminino",1000,IF(Atletas!B418="Masculino",2000,""))+IF(Atletas!Q418="Dao A",601,IF(Atletas!Q418="Jian A",602,IF(Atletas!Q418="Bishou A",603,IF(Atletas!Q418="Shan A",604,IF(Atletas!Q418="Outra Arma Curta A",605,IF(Atletas!Q418="Dao B",606,IF(Atletas!Q418="Jian B",607,IF(Atletas!Q418="Bishou B",608,IF(Atletas!Q418="Shan B",609,IF(Atletas!Q418="Outra Arma Curta B",610,IF(Atletas!Q418="Dao C",611,IF(Atletas!Q418="Jian C",612,IF(Atletas!Q418="Bishou C",613,IF(Atletas!Q418="Shan C",614,IF(Atletas!Q418="Outra Arma Curta C",615,IF(Atletas!Q418="Dao D",616,IF(Atletas!Q418="Jian D",617,IF(Atletas!Q418="Bishou D",618,IF(Atletas!Q418="Shan D",619,IF(Atletas!Q418="Outra Arma Curta D",620,IF(Atletas!Q418="Dao E",621,IF(Atletas!Q418="Jian E",622,IF(Atletas!Q418="Bishou E",623,IF(Atletas!Q418="Shan E",624,IF(Atletas!Q418="Outra Arma Curta E",625,IF(Atletas!Q418="Dao F",626,IF(Atletas!Q418="Jian F",627,IF(Atletas!Q418="Bishou F",628,IF(Atletas!Q418="Shan F",629,IF(Atletas!Q418="Outra Arma Curta F",630, "")))))))))))))))))))))))))))))))</f>
        <v/>
      </c>
      <c r="BT422" s="52" t="str">
        <f>IF(Atletas!R418="","",IF(Atletas!W418&lt;&gt;"",10000,0)+IF(Atletas!B418="Feminino",1000,IF(Atletas!B418="Masculino",2000,""))+IF(Atletas!R418="Gun A",701,IF(Atletas!R418="Qiang A",702,IF(Atletas!R418="Pudao / Guandao A",703,IF(Atletas!R418="Outra Arma Longa A",704,IF(Atletas!R418="Gun B",705,IF(Atletas!R418="Qiang B",706,IF(Atletas!R418="Pudao / Guandao B",707,IF(Atletas!R418="Outra Arma Longa B",708,IF(Atletas!R418="Gun C",709,IF(Atletas!R418="Qiang C",710,IF(Atletas!R418="Pudao / Guandao C",711,IF(Atletas!R418="Outra Arma Longa C",712,IF(Atletas!R418="Gun D",713,IF(Atletas!R418="Qiang D",714,IF(Atletas!R418="Pudao / Guandao D",715,IF(Atletas!R418="Outra Arma Longa D",716,IF(Atletas!R418="Gun E",717,IF(Atletas!R418="Qiang E",718,IF(Atletas!R418="Pudao / Guandao E",719,IF(Atletas!R418="Outra Arma Longa E",720,IF(Atletas!R418="Gun F",721,IF(Atletas!R418="Qiang F",722,IF(Atletas!R418="Pudao / Guandao F",723,IF(Atletas!R418="Outra Arma Longa F",724,"")))))))))))))))))))))))))</f>
        <v/>
      </c>
      <c r="BU422" s="52" t="str">
        <f>IF(Atletas!S418="","",IF(Atletas!W418&lt;&gt;"",10000,0)+IF(Atletas!B418="Feminino",1000,IF(Atletas!B418="Masculino",2000,""))+IF(Atletas!S418="Arma Dupla A",801,IF(Atletas!S418="Arma Maleável A",802,IF(Atletas!S418="Arma Dupla B",803,IF(Atletas!S418="Arma Maleável B",804,IF(Atletas!S418="Arma Dupla C",805,IF(Atletas!S418="Arma Maleável C",806,IF(Atletas!S418="Arma Dupla D",807,IF(Atletas!S418="Arma Maleável D",808,IF(Atletas!S418="Arma Dupla E",809,IF(Atletas!S418="Arma Maleável E",810,IF(Atletas!S418="Arma Dupla F",811,IF(Atletas!S418="Arma Maleável F",812, "")))))))))))))</f>
        <v/>
      </c>
      <c r="BV422" s="52" t="str">
        <f>IF(Atletas!T418="","",IF(Atletas!W418&lt;&gt;"",10000,0)+IF(Atletas!B418="Feminino",1000,IF(Atletas!B418="Masculino",2000,""))+IF(Atletas!T418="Taijijian Yang A",901,IF(Atletas!T418="Taijijian Chen A",902,IF(Atletas!T418="Taijijian Sun A",903,IF(Atletas!T418="Taijijian Wu A",904,IF(Atletas!T418="Taijijian Wu-Hao A",905,IF(Atletas!T418="Taijijian 32 A",906,IF(Atletas!T418="Taijijian 42 A",907,IF(Atletas!T418="Taijijian Yang B",908,IF(Atletas!T418="Taijijian Chen B",909,IF(Atletas!T418="Taijijian Sun B",910,IF(Atletas!T418="Taijijian Wu B",911,IF(Atletas!T418="Taijijian Wu-Hao B",912,IF(Atletas!T418="Taijijian 32 B",913,IF(Atletas!T418="Taijijian 42 B",914,IF(Atletas!T418="Taijijian Yang C",915,IF(Atletas!T418="Taijijian Chen C",916,IF(Atletas!T418="Taijijian Sun C",917,IF(Atletas!T418="Taijijian Wu C",918,IF(Atletas!T418="Taijijian Wu-Hao C",919,IF(Atletas!T418="Taijijian 32 C",920,IF(Atletas!T418="Taijijian 42 C",921,IF(Atletas!T418="Taijijian Yang D",922,IF(Atletas!T418="Taijijian Chen D",923,IF(Atletas!T418="Taijijian Sun D",924,IF(Atletas!T418="Taijijian Wu D",925,IF(Atletas!T418="Taijijian Wu-Hao D",926,IF(Atletas!T418="Taijijian 32 D",927,IF(Atletas!T418="Taijijian 42 D",928,IF(Atletas!T418="Taijijian Yang E",929,IF(Atletas!T418="Taijijian Chen E",930,IF(Atletas!T418="Taijijian Sun E",931,IF(Atletas!T418="Taijijian Wu E",932,IF(Atletas!T418="Taijijian Wu-Hao E",933,IF(Atletas!T418="Taijijian 32 E",934,IF(Atletas!T418="Taijijian 42 E",935,IF(Atletas!T418="Taijijian Yang F",936,IF(Atletas!T418="Taijijian Chen F",937,IF(Atletas!T418="Taijijian Sun F",938,IF(Atletas!T418="Taijijian Wu F",939,IF(Atletas!T418="Taijijian Wu-Hao F",940,IF(Atletas!T418="Taijijian 32 F",941,IF(Atletas!T418="Taijijian 42 F",942,"")))))))))))))))))))))))))))))))))))))))))))</f>
        <v/>
      </c>
      <c r="BW422" s="52" t="str">
        <f>IF(Atletas!U418="","",IF(Atletas!W418&lt;&gt;"",10000,0)+IF(Atletas!B418="Feminino",1000,IF(Atletas!B418="Masculino",2000,""))+IF(Atletas!T418="Taijijian 42 F",942,IF(Atletas!U418="Taijidao A",943,IF(Atletas!U418="Taijishan A",944,IF(Atletas!U418="Taijiqiang A",945,IF(Atletas!U418="Taijidao B",946,IF(Atletas!U418="Taijishan B",947,IF(Atletas!U418="Taijiqiang B",948,IF(Atletas!U418="Taijidao C",949,IF(Atletas!U418="Taijishan C",950,IF(Atletas!U418="Taijiqiang C",951,IF(Atletas!U418="Taijidao D",952,IF(Atletas!U418="Taijishan D",953,IF(Atletas!U418="Taijiqiang D",954,IF(Atletas!U418="Taijidao E",955,IF(Atletas!U418="Taijishan E",956,IF(Atletas!U418="Taijiqiang E",957,IF(Atletas!U418="Taijidao F",958,IF(Atletas!U418="Taijishan F",959,IF(Atletas!U418="Taijiqiang F",960))))))))))))))))))))</f>
        <v/>
      </c>
      <c r="CF422" s="52" t="str">
        <f xml:space="preserve"> IF(Atletas!V418="","",IF(Atletas!V418="Duilian de Mãos AB - Equipe 1",1,IF(Atletas!V418="Duilian de Mãos AB - Equipe 2",2,IF(Atletas!V418="Duilian de Armas AB - Equipe 1",3,IF(Atletas!V418="Duilian de Armas AB - Equipe 2",4,IF(Atletas!V418="Duilian de Tuishou - Equipe 1",5,IF(Atletas!V418="Duilian de Tuishou - Equipe 2",6,IF(Atletas!V418="Grupo Externo AB - Equipe 1",7,IF(Atletas!V418="Grupo Externo AB - Equipe 2",8,IF(Atletas!V418="Grupo Interno AB - Equipe 1",9,IF(Atletas!V418="Grupo Interno AB - Equipe 2",10,IF(Atletas!V418="Duilian de Mãos CD - Equipe 1",11,IF(Atletas!V418="Duilian de Mãos CD - Equipe 2",12,IF(Atletas!V418="Duilian de Armas CD - Equipe 1",13,IF(Atletas!V418="Duilian de Armas CD - Equipe 2",14,IF(Atletas!V418="Duilian de Tuishou - Equipe 1",15,IF(Atletas!V418="Duilian de Tuishou - Equipe 2",16,IF(Atletas!V418="Grupo Externo CDEF - Equipe 1",17,IF(Atletas!V418="Grupo Externo CDEF - Equipe 2",18,IF(Atletas!V418="Grupo Interno CDEF - Equipe 1",19,IF(Atletas!V418="Grupo Interno CDEF - Equipe 2",20,IF(Atletas!V418="Duilian de Mãos EF - Equipe 1",21,IF(Atletas!V418="Duilian de Mãos EF - Equipe 2",22,IF(Atletas!V418="Duilian de Armas EF - Equipe 1",23,IF(Atletas!V418="Duilian de Armas EF - Equipe 2",24,IF(Atletas!V418="Duilian de Tuishou - Equipe 1",25,IF(Atletas!V418="Duilian de Tuishou - Equipe 2",26,"")))))))))))))))))))))))))))</f>
        <v/>
      </c>
    </row>
    <row r="423" spans="36:84">
      <c r="AJ423" s="46" t="str">
        <f>IF(Atletas!D419="","",IF(Atletas!B419="Feminino",100,IF(Atletas!B419="Masculino",200,""))+(IF(Atletas!D419="Infantil 39kg",1,IF(Atletas!D419="Infantil 42kg",2,IF(Atletas!D419="Infantil 45kg",3,IF(Atletas!D419="Infantil 48kg",4,IF(Atletas!D419="Infantil 52kg",5,IF(Atletas!D419="Infantil 56kg",6,IF(Atletas!D419="Infantil 60kg",7,IF(Atletas!D419="Juvenil 48kg",8,IF(Atletas!D419="Juvenil 52kg",9,IF(Atletas!D419="Juvenil 56kg",10,IF(Atletas!D419="Juvenil 60kg",11,IF(Atletas!D419="Juvenil 65kg",12,IF(Atletas!D419="Juvenil 70kg",13,IF(Atletas!D419="Juvenil 75kg",14,IF(Atletas!D419="Juvenil 80kg",15,IF(Atletas!D419="Adulto 48kg",16,IF(Atletas!D419="Adulto 52kg",17,IF(Atletas!D419="Adulto 56kg",18,IF(Atletas!D419="Adulto 60kg",19,IF(Atletas!D419="Adulto 65kg",20,IF(Atletas!D419="Adulto 70kg",21,IF(Atletas!D419="Adulto 75kg",22,IF(Atletas!D419="Adulto 80kg",23,IF(Atletas!D419="Adulto 85kg",24,IF(Atletas!D419="Adulto 90kg",25,IF(Atletas!D419="Adulto +90kg",26,""))))))))))))))))))))))))))))</f>
        <v/>
      </c>
      <c r="AO423" s="10" t="str">
        <f>IF(Atletas!E419="","",IF(Atletas!B419="Feminino",100,IF(Atletas!B419="Masculino",200,""))+(IF(Atletas!E419="Juvenil 44kg",1,IF(Atletas!E419="Juvenil 48kg",2,IF(Atletas!E419="Juvenil 52kg",3,IF(Atletas!E419="Juvenil 56kg",4,IF(Atletas!E419="Juvenil 60kg",5,IF(Atletas!E419="Juvenil 65kg",6,IF(Atletas!E419="Juvenil 70kg",7,IF(Atletas!E419="Juvenil 75kg",8,IF(Atletas!E419="Juvenil 82kg",9,IF(Atletas!E419="Juvenil 90kg",10,IF(Atletas!E419="Juvenil 100kg",11,IF(Atletas!E419="Adulto 48kg",12,IF(Atletas!E419="Adulto 52kg",13,IF(Atletas!E419="Adulto 56kg",14,IF(Atletas!E419="Adulto 60kg",15,IF(Atletas!E419="Adulto 65kg",16,IF(Atletas!E419="Adulto 70kg",17,IF(Atletas!E419="Adulto 75kg",18,IF(Atletas!E419="Adulto 82kg",19,IF(Atletas!E419="Adulto 90kg",20,IF(Atletas!E419="Adulto 100kg",21,IF(Atletas!E419="Adulto +100kg",22,""))))))))))))))))))))))))</f>
        <v/>
      </c>
      <c r="AT423" s="10" t="str">
        <f>IF(Atletas!F419="","",IF(Atletas!B419="Feminino",100,IF(Atletas!B419="Masculino",200,""))+(IF(Atletas!F419="Adulto 48kg",1,IF(Atletas!F419="Adulto 56kg",2,IF(Atletas!F419="Adulto 65kg",3,IF(Atletas!F419="Adulto 75kg",4,IF(Atletas!F419="Adulto +75kg",5,IF(Atletas!F419="Adulto 52kg",6,IF(Atletas!F419="Adulto 60kg",7,IF(Atletas!F419="Adulto 70kg",8,IF(Atletas!F419="Adulto 80kg",9,IF(Atletas!F419="Adulto 90kg",10,IF(Atletas!F419="Adulto +90kg",11,"")))))))))))))</f>
        <v/>
      </c>
      <c r="AY423" s="46" t="str">
        <f>IF(Atletas!G419="","",IF(Atletas!B419="Feminino",100,IF(Atletas!B419="Masculino",200,""))+(IF(Atletas!G419="Changquan Mirim",1,IF(Atletas!G419="Nanquan Mirim",2,IF(Atletas!G419="Taijiquan Mirim",3,IF(Atletas!G419="Changquan Grupo C",4,IF(Atletas!G419="Nanquan Grupo C",5,IF(Atletas!G419="Taijiquan Grupo C",6,IF(Atletas!G419="Changquan Grupo B",7,IF(Atletas!G419="Nanquan Grupo B",8,IF(Atletas!G419="Taijiquan Grupo B",9,IF(Atletas!G419="Changquan Grupo A",10,IF(Atletas!G419="Nanquan Grupo A",11,IF(Atletas!G419="Taijiquan Grupo A",12,IF(Atletas!G419="Changquan Opcional",13,IF(Atletas!G419="Nanquan Opcional",14,IF(Atletas!G419="Taijiquan Opcional",15,IF(Atletas!G419="Changquan Adulto",16,IF(Atletas!G419="Nanquan Adulto",17,IF(Atletas!G419="Taijiquan Adulto",18,""))))))))))))))))))))</f>
        <v/>
      </c>
      <c r="AZ423" s="46" t="str">
        <f>IF(Atletas!H419="","",IF(Atletas!B419="Feminino",100,IF(Atletas!B419="Masculino",200,""))+(IF(Atletas!H419="Daoshu Mirim",19,IF(Atletas!H419="Jianshu Mirim",20,IF(Atletas!H419="Nandao Mirim",21,IF(Atletas!H419="Taijijian Mirim",22,IF(Atletas!H419="Daoshu Grupo C",23,IF(Atletas!H419="Jianshu Grupo C",24,IF(Atletas!H419="Nandao Grupo C",25,IF(Atletas!H419="Taijijian Grupo C",26,IF(Atletas!H419="Daoshu Grupo B",27,IF(Atletas!H419="Jianshu Grupo B",28,IF(Atletas!H419="Nandao Grupo B",29,IF(Atletas!H419="Taijijian Grupo B",30,IF(Atletas!H419="Daoshu Grupo A",31,IF(Atletas!H419="Jianshu Grupo A",32,IF(Atletas!H419="Nandao Grupo A",33,IF(Atletas!H419="Taijijian Grupo A",34,IF(Atletas!H419="Daoshu Opcional",35,IF(Atletas!H419="Jianshu Opcional",36,IF(Atletas!H419="Nandao Opcional",37,IF(Atletas!H419="Taijijian Opcional",38,IF(Atletas!H419="Daoshu Adulto",39,IF(Atletas!H419="Jianshu Adulto",40,IF(Atletas!H419="Nandao Adulto",41,IF(Atletas!H419="Taijijian Adulto",42,""))))))))))))))))))))))))))</f>
        <v/>
      </c>
      <c r="BA423" s="46" t="str">
        <f>IF(Atletas!I419="","",IF(Atletas!B419="Feminino",100,IF(Atletas!B419="Masculino",200,""))+(IF(Atletas!I419="Gunshu Mirim",43,IF(Atletas!I419="Qiangshu Mirim",44,IF(Atletas!I419="Nangun Mirim",45,IF(Atletas!I419="Gunshu Grupo C",46,IF(Atletas!I419="Qiangshu Grupo C",47,IF(Atletas!I419="Nangun Grupo C",48,IF(Atletas!I419="Gunshu Grupo B",49,IF(Atletas!I419="Qiangshu Grupo B",50,IF(Atletas!I419="Nangun Grupo B",51,IF(Atletas!I419="Gunshu Grupo A",52,IF(Atletas!I419="Qiangshu Grupo A",53,IF(Atletas!I419="Nangun Grupo A",54,IF(Atletas!I419="Gunshu Opcional",55,IF(Atletas!I419="Qiangshu Opcional",56,IF(Atletas!I419="Nangun Opcional",57,IF(Atletas!I419="Gunshu Adulto",58,IF(Atletas!I419="Qiangshu Adulto",59,IF(Atletas!I419="Nangun Adulto",60,""))))))))))))))))))))</f>
        <v/>
      </c>
      <c r="BF423" s="52" t="str">
        <f>IF(Atletas!J419="","",IF(Atletas!B419="Feminino",100,IF(Atletas!B419="Masculino",200,""))+(IF(Atletas!J419="Equipe 1 Grupo B",1,IF(Atletas!J419="Equipe 2 Grupo B",2,IF(Atletas!J419="Equipe 1 Grupo A",3,IF(Atletas!J419="Equipe 2 Grupo A",4,IF(Atletas!J419="Equipe 1 Adulto",5,IF(Atletas!J419="Equipe 2 Adulto",6,""))))))))</f>
        <v/>
      </c>
      <c r="BK423" s="52" t="str">
        <f>IF(Atletas!K419="","",IF(Atletas!W419&lt;&gt;"",10000,0)+(IF(Atletas!B419="Feminino",1000,IF(Atletas!B419="Masculino",2000,""))+IF(Atletas!K419="Choylayfut A",1,IF(Atletas!K419="Hunggar A",2,IF(Atletas!K419="Wuzuquan A",3,IF(Atletas!K419="Wingchun A",4,IF(Atletas!K419="Outra Mão de Sul A",5,IF(Atletas!K419="Choylayfut B",6,IF(Atletas!K419="Hunggar B",7,IF(Atletas!K419="Wuzuquan B",8,IF(Atletas!K419="Wingchun B",9,IF(Atletas!K419="Outra Mão de Sul B",10,IF(Atletas!K419="Choylayfut C",11,IF(Atletas!K419="Hunggar C",12,IF(Atletas!K419="Wuzuquan C",13,IF(Atletas!K419="Wingchun C",14,IF(Atletas!K419="Outra Mão de Sul C",15,IF(Atletas!K419="Choylayfut D",16,IF(Atletas!K419="Hunggar D",17,IF(Atletas!K419="Wuzuquan D",18,IF(Atletas!K419="Wingchun D",19,IF(Atletas!K419="Outra Mão de Sul D",20,IF(Atletas!K419="Choylayfut E",21,IF(Atletas!K419="Hunggar E",22,IF(Atletas!K419="Wuzuquan E",23,IF(Atletas!K419="Wingchun E",24,IF(Atletas!K419="Outra Mão de Sul E",25,IF(Atletas!K419="Choylayfut F",26,IF(Atletas!K419="Hunggar F",27,IF(Atletas!K419="Wuzuquan F",28,IF(Atletas!K419="Wingchun F",29,IF(Atletas!K419="Outra Mão de Sul F",30,""))))))))))))))))))))))))))))))))</f>
        <v/>
      </c>
      <c r="BL423" s="52" t="str">
        <f>IF(Atletas!L419="","",IF(Atletas!W419&lt;&gt;"",10000,0)+(IF(Atletas!B419="Feminino",1000,IF(Atletas!B419="Masculino",2000,""))+(IF(Atletas!L419="Chaquan A",101,IF(Atletas!L419="Emeiquan A",102,IF(Atletas!L419="Fanziquan A",103,IF(Atletas!L419="Huaquan A",104,IF(Atletas!L419="Hongquan A",105,IF(Atletas!L419="Paochui A",106,IF(Atletas!L419="Piguaquan A",107,IF(Atletas!L419="Shaolinquan A",108,IF(Atletas!L419="Tanglangquan A",109,IF(Atletas!L419="Yinzhaophai A",110,IF(Atletas!L419="Tongbeiquan A",111,IF(Atletas!L419="Wudangquan A",112,IF(Atletas!L419="Outros Estilos A",113,IF(Atletas!L419="Chaquan B",114,IF(Atletas!L419="Emeiquan B",115,IF(Atletas!L419="Fanziquan B",116,IF(Atletas!L419="Huaquan B",117,IF(Atletas!L419="Hongquan B",118,IF(Atletas!L419="Paochui B",119,IF(Atletas!L419="Piguaquan B",120,IF(Atletas!L419="Shaolinquan B",121,IF(Atletas!L419="Tanglangquan B",122,IF(Atletas!L419="Yinzhaophai B",123,IF(Atletas!L419="Tongbeiquan B",124,IF(Atletas!L419="Wudangquan B",125,IF(Atletas!L419="Outros Estilos B",126,IF(Atletas!L419="Chaquan C",127,IF(Atletas!L419="Emeiquan C",128,IF(Atletas!L419="Fanziquan C",129,IF(Atletas!L419="Huaquan C",130,IF(Atletas!L419="Hongquan C",131,IF(Atletas!L419="Paochui C",132,IF(Atletas!L419="Piguaquan C",133,IF(Atletas!L419="Shaolinquan C",134,IF(Atletas!L419="Tanglangquan C",135,IF(Atletas!L419="Yinzhaophai C",136,IF(Atletas!L419="Tongbeiquan C",137,IF(Atletas!L419="Wudangquan C",138,IF(Atletas!L419="Outros Estilos C",139,0))))))))))))))))))))))))))))))))))))))))))</f>
        <v/>
      </c>
      <c r="BM423" s="52" t="str">
        <f>IF(Atletas!L419="","",IF(Atletas!W419&lt;&gt;"",10000,0)+(IF(Atletas!B419="Feminino",1000,IF(Atletas!B419="Masculino",2000,""))+(IF(Atletas!L419="Chaquan D",140,IF(Atletas!L419="Emeiquan D",141,IF(Atletas!L419="Fanziquan D",142,IF(Atletas!L419="Huaquan D",143,IF(Atletas!L419="Hongquan D",144,IF(Atletas!L419="Paochui D",145,IF(Atletas!L419="Piguaquan D",146,IF(Atletas!L419="Shaolinquan D",147,IF(Atletas!L419="Tanglangquan D",148,IF(Atletas!L419="Yinzhaophai D",149,IF(Atletas!L419="Tongbeiquan D",150,IF(Atletas!L419="Wudangquan D",151,IF(Atletas!L419="Outros Estilos D",152,IF(Atletas!L419="Chaquan E",153,IF(Atletas!L419="Emeiquan E",154,IF(Atletas!L419="Fanziquan E",155,IF(Atletas!L419="Huaquan E",156,IF(Atletas!L419="Hongquan E",157,IF(Atletas!L419="Paochui E",158,IF(Atletas!L419="Piguaquan E",159,IF(Atletas!L419="Shaolinquan E",160,IF(Atletas!L419="Tanglangquan E",161,IF(Atletas!L419="Yinzhaophai E",162,IF(Atletas!L419="Tongbeiquan E",163,IF(Atletas!L419="Wudangquan E",164,IF(Atletas!L419="Outros Estilos E",165,IF(Atletas!L419="Chaquan F",166,IF(Atletas!L419="Emeiquan F",167,IF(Atletas!L419="Fanziquan F",168,IF(Atletas!L419="Huaquan F",169,IF(Atletas!L419="Hongquan F",170,IF(Atletas!L419="Paochui F",171,IF(Atletas!L419="Piguaquan F",172,IF(Atletas!L419="Shaolinquan F",173,IF(Atletas!L419="Tanglangquan F",174,IF(Atletas!L419="Yinzhaophai F",175,IF(Atletas!L419="Tongbeiquan F",176,IF(Atletas!L419="Wudangquan F",177,IF(Atletas!L419="Outros Estilos F",178,0))))))))))))))))))))))))))))))))))))))))))</f>
        <v/>
      </c>
      <c r="BN423" s="52" t="str">
        <f>IF(Atletas!M419="","",IF(Atletas!W419&lt;&gt;"",10000,0)+(IF(Atletas!B419="Feminino",1000,IF(Atletas!B419="Masculino",2000,""))+(IF(Atletas!M419="Ditangquan A",201,IF(Atletas!M419="Houquan A",202,IF(Atletas!M419="Zuiquan A",203,IF(Atletas!M419="Ditangquan B",204,IF(Atletas!M419="Houquan B",205,IF(Atletas!M419="Zuiquan B",206,IF(Atletas!M419="Ditangquan C",207,IF(Atletas!M419="Houquan C",208,IF(Atletas!M419="Zuiquan C",209,IF(Atletas!M419="Ditangquan D",210,IF(Atletas!M419="Houquan D",211,IF(Atletas!M419="Zuiquan D",212,IF(Atletas!M419="Ditangquan E",213,IF(Atletas!M419="Houquan E",214,IF(Atletas!M419="Zuiquan E",215,IF(Atletas!M419="Ditangquan F",216,IF(Atletas!M419="Houquan F",217,IF(Atletas!M419="Zuiquan F",218,"")))))))))))))))))))))</f>
        <v/>
      </c>
      <c r="BO423" s="52" t="str">
        <f>IF(Atletas!N419="","",IF(Atletas!W419&lt;&gt;"",10000,0)+IF(Atletas!B419="Feminino",1000,IF(Atletas!B419="Masculino",2000,""))+IF(Atletas!N419="Yang A",301,IF(Atletas!N419="Chen A",30,IF(Atletas!N419="Sun A",303,IF(Atletas!N419="Wu A",304,IF(Atletas!N419="Wu-Hao A",305,IF(Atletas!N419="Outro Taijiquan A",306,IF(Atletas!N419="Yang B",307,IF(Atletas!N419="Chen B",308,IF(Atletas!N419="Sun B",309,IF(Atletas!N419="Wu B",310,IF(Atletas!N419="Wu-Hao B",311,IF(Atletas!N419="Outro Taijiquan B",312,IF(Atletas!N419="Yang C",313,IF(Atletas!N419="Chen C",314,IF(Atletas!N419="Sun C",315,IF(Atletas!N419="Wu C",316,IF(Atletas!N419="Wu-Hao C",317,IF(Atletas!N419="Outro Taijiquan C",318,IF(Atletas!N419="Yang D",319,IF(Atletas!N419="Chen D",320,IF(Atletas!N419="Sun D",321,IF(Atletas!N419="Wu D",322,IF(Atletas!N419="Wu-Hao D",323,IF(Atletas!N419="Outro Taijiquan D",324,IF(Atletas!N419="Yang E",325,IF(Atletas!N419="Chen E",326,IF(Atletas!N419="Sun E",327,IF(Atletas!N419="Wu E",328,IF(Atletas!N419="Wu-Hao E",329,IF(Atletas!N419="Outro Taijiquan E",330,IF(Atletas!N419="Yang F",331,IF(Atletas!N419="Chen F",332,IF(Atletas!N419="Sun F",333,IF(Atletas!N419="Wu F",334,IF(Atletas!N419="Wu-Hao F",335,IF(Atletas!N419="Outro Taijiquan F",336,"")))))))))))))))))))))))))))))))))))))</f>
        <v/>
      </c>
      <c r="BP423" s="52" t="str">
        <f>IF(Atletas!O419="","",IF(Atletas!W419&lt;&gt;"",10000,0)+IF(Atletas!B419="Feminino",1000,IF(Atletas!B419="Masculino",2000,""))+IF(OR(Atletas!O419="Yang 26 A",Atletas!O419="Yang 40 A"),401,IF(OR(Atletas!O419="Chen 25 A",Atletas!O419="Chen 36 A",Atletas!O419="Chen 56 A"),402,IF(Atletas!O419="Sun 73 A",403,IF(Atletas!O419="Wu 45 A",404,IF(Atletas!O419="Wu-Hao 46 A",405,IF(OR(Atletas!O419="Taijiquan 16 A",Atletas!O419="Taijiquan 24 A",Atletas!O419="Taijiquan 32 A",Atletas!O419="Taijiquan 42 A"),406,IF(OR(Atletas!O419="Yang 26 B",Atletas!O419="Yang 40 B"),407,IF(OR(Atletas!O419="Chen 25 B",Atletas!O419="Chen 36 B",Atletas!O419="Chen 56 B"),408,IF(Atletas!O419="Sun 73 B",409,IF(Atletas!O419="Wu 45 B",410,IF(Atletas!O419="Wu-Hao 46 B",411,IF(OR(Atletas!O419="Taijiquan 16 B",Atletas!O419="Taijiquan 24 B",Atletas!O419="Taijiquan 32 B",Atletas!O419="Taijiquan 42 B"),412,IF(OR(Atletas!O419="Yang 26 C",Atletas!O419="Yang 40 C"),413,IF(OR(Atletas!O419="Chen 25 C",Atletas!O419="Chen 36 C",Atletas!O419="Chen 56 C"),414,IF(Atletas!O419="Sun 73 C",415,IF(Atletas!O419="Wu 45 C",416,IF(Atletas!O419="Wu-Hao 46 C",417,IF(OR(Atletas!O419="Taijiquan 16 C",Atletas!O419="Taijiquan 24 C",Atletas!O419="Taijiquan 32 C",Atletas!O419="Taijiquan 42 C"),418,0)))))))))))))))))))</f>
        <v/>
      </c>
      <c r="BQ423" s="52" t="str">
        <f>IF(Atletas!O419="","",IF(Atletas!W419&lt;&gt;"",10000,0)+IF(Atletas!B419="Feminino",1000,IF(Atletas!B419="Masculino",2000,""))+IF(OR(Atletas!O419="Yang 26 D",Atletas!O419="Yang 40 D"),419,IF(OR(Atletas!O419="Chen 25 D",Atletas!O419="Chen 36 D",Atletas!O419="Chen 56 D"),420,IF(Atletas!O419="Sun 73 D",421,IF(Atletas!O419="Wu 45 D",422,IF(Atletas!O419="Wu-Hao 46 D",423,IF(OR(Atletas!O419="Taijiquan 16 D",Atletas!O419="Taijiquan 24 D",Atletas!O419="Taijiquan 32 D",Atletas!O419="Taijiquan 42 D"),424,IF(OR(Atletas!O419="Yang 26 E",Atletas!O419="Yang 40 E"),425,IF(OR(Atletas!O419="Chen 25 E",Atletas!O419="Chen 36 E",Atletas!O419="Chen 56 E"),426,IF(Atletas!O419="Sun 73 E",427,IF(Atletas!O419="Wu 45 E",428,IF(Atletas!O419="Wu-Hao 46 E",429,IF(OR(Atletas!O419="Taijiquan 16 E",Atletas!O419="Taijiquan 24 E",Atletas!O419="Taijiquan 32 E",Atletas!O419="Taijiquan 42 E"),430,IF(OR(Atletas!O419="Yang 26 F",Atletas!O419="Yang 40 F"),431,IF(OR(Atletas!O419="Chen 25 F",Atletas!O419="Chen 36 F",Atletas!O419="Chen 56 F"),432,IF(Atletas!O419="Sun 73 F",433,IF(Atletas!O419="Wu 45 F",434,IF(Atletas!O419="Wu-Hao 46 F",435,IF(OR(Atletas!O419="Taijiquan 16 F",Atletas!O419="Taijiquan 24 F",Atletas!O419="Taijiquan 32 F",Atletas!O419="Taijiquan 42 F"),436,0)))))))))))))))))))</f>
        <v/>
      </c>
      <c r="BR423" s="52" t="str">
        <f>IF(Atletas!P419="","",IF(Atletas!W419&lt;&gt;"",10000,0)+IF(Atletas!B419="Feminino",1000,IF(Atletas!B419="Masculino",2000,""))+IF(Atletas!P419="Xingyiquan A",501,IF(Atletas!P419="Baguazhang A",502,IF(Atletas!P419="Outro Estilo Interno A",503,IF(Atletas!P419="Xingyiquan B",504,IF(Atletas!P419="Baguazhang B",505,IF(Atletas!P419="Outro Estilo Interno B",506,IF(Atletas!P419="Xingyiquan C",507,IF(Atletas!P419="Baguazhang C",508,IF(Atletas!P419="Outro Estilo Interno C",509,IF(Atletas!P419="Xingyiquan D",510,IF(Atletas!P419="Baguazhang D",511,IF(Atletas!P419="Outro Estilo Interno D",512,IF(Atletas!P419="Xingyiquan E",513,IF(Atletas!P419="Baguazhang E",514,IF(Atletas!P419="Outro Estilo Interno E",515,IF(Atletas!P419="Xingyiquan F",516,IF(Atletas!P419="Baguazhang F",517,IF(Atletas!P419="Outro Estilo Interno F",518, "")))))))))))))))))))</f>
        <v/>
      </c>
      <c r="BS423" s="52" t="str">
        <f>IF(Atletas!Q419="","",IF(Atletas!W419&lt;&gt;"",10000,0)+IF(Atletas!B419="Feminino",1000,IF(Atletas!B419="Masculino",2000,""))+IF(Atletas!Q419="Dao A",601,IF(Atletas!Q419="Jian A",602,IF(Atletas!Q419="Bishou A",603,IF(Atletas!Q419="Shan A",604,IF(Atletas!Q419="Outra Arma Curta A",605,IF(Atletas!Q419="Dao B",606,IF(Atletas!Q419="Jian B",607,IF(Atletas!Q419="Bishou B",608,IF(Atletas!Q419="Shan B",609,IF(Atletas!Q419="Outra Arma Curta B",610,IF(Atletas!Q419="Dao C",611,IF(Atletas!Q419="Jian C",612,IF(Atletas!Q419="Bishou C",613,IF(Atletas!Q419="Shan C",614,IF(Atletas!Q419="Outra Arma Curta C",615,IF(Atletas!Q419="Dao D",616,IF(Atletas!Q419="Jian D",617,IF(Atletas!Q419="Bishou D",618,IF(Atletas!Q419="Shan D",619,IF(Atletas!Q419="Outra Arma Curta D",620,IF(Atletas!Q419="Dao E",621,IF(Atletas!Q419="Jian E",622,IF(Atletas!Q419="Bishou E",623,IF(Atletas!Q419="Shan E",624,IF(Atletas!Q419="Outra Arma Curta E",625,IF(Atletas!Q419="Dao F",626,IF(Atletas!Q419="Jian F",627,IF(Atletas!Q419="Bishou F",628,IF(Atletas!Q419="Shan F",629,IF(Atletas!Q419="Outra Arma Curta F",630, "")))))))))))))))))))))))))))))))</f>
        <v/>
      </c>
      <c r="BT423" s="52" t="str">
        <f>IF(Atletas!R419="","",IF(Atletas!W419&lt;&gt;"",10000,0)+IF(Atletas!B419="Feminino",1000,IF(Atletas!B419="Masculino",2000,""))+IF(Atletas!R419="Gun A",701,IF(Atletas!R419="Qiang A",702,IF(Atletas!R419="Pudao / Guandao A",703,IF(Atletas!R419="Outra Arma Longa A",704,IF(Atletas!R419="Gun B",705,IF(Atletas!R419="Qiang B",706,IF(Atletas!R419="Pudao / Guandao B",707,IF(Atletas!R419="Outra Arma Longa B",708,IF(Atletas!R419="Gun C",709,IF(Atletas!R419="Qiang C",710,IF(Atletas!R419="Pudao / Guandao C",711,IF(Atletas!R419="Outra Arma Longa C",712,IF(Atletas!R419="Gun D",713,IF(Atletas!R419="Qiang D",714,IF(Atletas!R419="Pudao / Guandao D",715,IF(Atletas!R419="Outra Arma Longa D",716,IF(Atletas!R419="Gun E",717,IF(Atletas!R419="Qiang E",718,IF(Atletas!R419="Pudao / Guandao E",719,IF(Atletas!R419="Outra Arma Longa E",720,IF(Atletas!R419="Gun F",721,IF(Atletas!R419="Qiang F",722,IF(Atletas!R419="Pudao / Guandao F",723,IF(Atletas!R419="Outra Arma Longa F",724,"")))))))))))))))))))))))))</f>
        <v/>
      </c>
      <c r="BU423" s="52" t="str">
        <f>IF(Atletas!S419="","",IF(Atletas!W419&lt;&gt;"",10000,0)+IF(Atletas!B419="Feminino",1000,IF(Atletas!B419="Masculino",2000,""))+IF(Atletas!S419="Arma Dupla A",801,IF(Atletas!S419="Arma Maleável A",802,IF(Atletas!S419="Arma Dupla B",803,IF(Atletas!S419="Arma Maleável B",804,IF(Atletas!S419="Arma Dupla C",805,IF(Atletas!S419="Arma Maleável C",806,IF(Atletas!S419="Arma Dupla D",807,IF(Atletas!S419="Arma Maleável D",808,IF(Atletas!S419="Arma Dupla E",809,IF(Atletas!S419="Arma Maleável E",810,IF(Atletas!S419="Arma Dupla F",811,IF(Atletas!S419="Arma Maleável F",812, "")))))))))))))</f>
        <v/>
      </c>
      <c r="BV423" s="52" t="str">
        <f>IF(Atletas!T419="","",IF(Atletas!W419&lt;&gt;"",10000,0)+IF(Atletas!B419="Feminino",1000,IF(Atletas!B419="Masculino",2000,""))+IF(Atletas!T419="Taijijian Yang A",901,IF(Atletas!T419="Taijijian Chen A",902,IF(Atletas!T419="Taijijian Sun A",903,IF(Atletas!T419="Taijijian Wu A",904,IF(Atletas!T419="Taijijian Wu-Hao A",905,IF(Atletas!T419="Taijijian 32 A",906,IF(Atletas!T419="Taijijian 42 A",907,IF(Atletas!T419="Taijijian Yang B",908,IF(Atletas!T419="Taijijian Chen B",909,IF(Atletas!T419="Taijijian Sun B",910,IF(Atletas!T419="Taijijian Wu B",911,IF(Atletas!T419="Taijijian Wu-Hao B",912,IF(Atletas!T419="Taijijian 32 B",913,IF(Atletas!T419="Taijijian 42 B",914,IF(Atletas!T419="Taijijian Yang C",915,IF(Atletas!T419="Taijijian Chen C",916,IF(Atletas!T419="Taijijian Sun C",917,IF(Atletas!T419="Taijijian Wu C",918,IF(Atletas!T419="Taijijian Wu-Hao C",919,IF(Atletas!T419="Taijijian 32 C",920,IF(Atletas!T419="Taijijian 42 C",921,IF(Atletas!T419="Taijijian Yang D",922,IF(Atletas!T419="Taijijian Chen D",923,IF(Atletas!T419="Taijijian Sun D",924,IF(Atletas!T419="Taijijian Wu D",925,IF(Atletas!T419="Taijijian Wu-Hao D",926,IF(Atletas!T419="Taijijian 32 D",927,IF(Atletas!T419="Taijijian 42 D",928,IF(Atletas!T419="Taijijian Yang E",929,IF(Atletas!T419="Taijijian Chen E",930,IF(Atletas!T419="Taijijian Sun E",931,IF(Atletas!T419="Taijijian Wu E",932,IF(Atletas!T419="Taijijian Wu-Hao E",933,IF(Atletas!T419="Taijijian 32 E",934,IF(Atletas!T419="Taijijian 42 E",935,IF(Atletas!T419="Taijijian Yang F",936,IF(Atletas!T419="Taijijian Chen F",937,IF(Atletas!T419="Taijijian Sun F",938,IF(Atletas!T419="Taijijian Wu F",939,IF(Atletas!T419="Taijijian Wu-Hao F",940,IF(Atletas!T419="Taijijian 32 F",941,IF(Atletas!T419="Taijijian 42 F",942,"")))))))))))))))))))))))))))))))))))))))))))</f>
        <v/>
      </c>
      <c r="BW423" s="52" t="str">
        <f>IF(Atletas!U419="","",IF(Atletas!W419&lt;&gt;"",10000,0)+IF(Atletas!B419="Feminino",1000,IF(Atletas!B419="Masculino",2000,""))+IF(Atletas!T419="Taijijian 42 F",942,IF(Atletas!U419="Taijidao A",943,IF(Atletas!U419="Taijishan A",944,IF(Atletas!U419="Taijiqiang A",945,IF(Atletas!U419="Taijidao B",946,IF(Atletas!U419="Taijishan B",947,IF(Atletas!U419="Taijiqiang B",948,IF(Atletas!U419="Taijidao C",949,IF(Atletas!U419="Taijishan C",950,IF(Atletas!U419="Taijiqiang C",951,IF(Atletas!U419="Taijidao D",952,IF(Atletas!U419="Taijishan D",953,IF(Atletas!U419="Taijiqiang D",954,IF(Atletas!U419="Taijidao E",955,IF(Atletas!U419="Taijishan E",956,IF(Atletas!U419="Taijiqiang E",957,IF(Atletas!U419="Taijidao F",958,IF(Atletas!U419="Taijishan F",959,IF(Atletas!U419="Taijiqiang F",960))))))))))))))))))))</f>
        <v/>
      </c>
      <c r="CF423" s="52" t="str">
        <f xml:space="preserve"> IF(Atletas!V419="","",IF(Atletas!V419="Duilian de Mãos AB - Equipe 1",1,IF(Atletas!V419="Duilian de Mãos AB - Equipe 2",2,IF(Atletas!V419="Duilian de Armas AB - Equipe 1",3,IF(Atletas!V419="Duilian de Armas AB - Equipe 2",4,IF(Atletas!V419="Duilian de Tuishou - Equipe 1",5,IF(Atletas!V419="Duilian de Tuishou - Equipe 2",6,IF(Atletas!V419="Grupo Externo AB - Equipe 1",7,IF(Atletas!V419="Grupo Externo AB - Equipe 2",8,IF(Atletas!V419="Grupo Interno AB - Equipe 1",9,IF(Atletas!V419="Grupo Interno AB - Equipe 2",10,IF(Atletas!V419="Duilian de Mãos CD - Equipe 1",11,IF(Atletas!V419="Duilian de Mãos CD - Equipe 2",12,IF(Atletas!V419="Duilian de Armas CD - Equipe 1",13,IF(Atletas!V419="Duilian de Armas CD - Equipe 2",14,IF(Atletas!V419="Duilian de Tuishou - Equipe 1",15,IF(Atletas!V419="Duilian de Tuishou - Equipe 2",16,IF(Atletas!V419="Grupo Externo CDEF - Equipe 1",17,IF(Atletas!V419="Grupo Externo CDEF - Equipe 2",18,IF(Atletas!V419="Grupo Interno CDEF - Equipe 1",19,IF(Atletas!V419="Grupo Interno CDEF - Equipe 2",20,IF(Atletas!V419="Duilian de Mãos EF - Equipe 1",21,IF(Atletas!V419="Duilian de Mãos EF - Equipe 2",22,IF(Atletas!V419="Duilian de Armas EF - Equipe 1",23,IF(Atletas!V419="Duilian de Armas EF - Equipe 2",24,IF(Atletas!V419="Duilian de Tuishou - Equipe 1",25,IF(Atletas!V419="Duilian de Tuishou - Equipe 2",26,"")))))))))))))))))))))))))))</f>
        <v/>
      </c>
    </row>
    <row r="424" spans="36:84">
      <c r="AJ424" s="46" t="str">
        <f>IF(Atletas!D420="","",IF(Atletas!B420="Feminino",100,IF(Atletas!B420="Masculino",200,""))+(IF(Atletas!D420="Infantil 39kg",1,IF(Atletas!D420="Infantil 42kg",2,IF(Atletas!D420="Infantil 45kg",3,IF(Atletas!D420="Infantil 48kg",4,IF(Atletas!D420="Infantil 52kg",5,IF(Atletas!D420="Infantil 56kg",6,IF(Atletas!D420="Infantil 60kg",7,IF(Atletas!D420="Juvenil 48kg",8,IF(Atletas!D420="Juvenil 52kg",9,IF(Atletas!D420="Juvenil 56kg",10,IF(Atletas!D420="Juvenil 60kg",11,IF(Atletas!D420="Juvenil 65kg",12,IF(Atletas!D420="Juvenil 70kg",13,IF(Atletas!D420="Juvenil 75kg",14,IF(Atletas!D420="Juvenil 80kg",15,IF(Atletas!D420="Adulto 48kg",16,IF(Atletas!D420="Adulto 52kg",17,IF(Atletas!D420="Adulto 56kg",18,IF(Atletas!D420="Adulto 60kg",19,IF(Atletas!D420="Adulto 65kg",20,IF(Atletas!D420="Adulto 70kg",21,IF(Atletas!D420="Adulto 75kg",22,IF(Atletas!D420="Adulto 80kg",23,IF(Atletas!D420="Adulto 85kg",24,IF(Atletas!D420="Adulto 90kg",25,IF(Atletas!D420="Adulto +90kg",26,""))))))))))))))))))))))))))))</f>
        <v/>
      </c>
      <c r="AO424" s="10" t="str">
        <f>IF(Atletas!E420="","",IF(Atletas!B420="Feminino",100,IF(Atletas!B420="Masculino",200,""))+(IF(Atletas!E420="Juvenil 44kg",1,IF(Atletas!E420="Juvenil 48kg",2,IF(Atletas!E420="Juvenil 52kg",3,IF(Atletas!E420="Juvenil 56kg",4,IF(Atletas!E420="Juvenil 60kg",5,IF(Atletas!E420="Juvenil 65kg",6,IF(Atletas!E420="Juvenil 70kg",7,IF(Atletas!E420="Juvenil 75kg",8,IF(Atletas!E420="Juvenil 82kg",9,IF(Atletas!E420="Juvenil 90kg",10,IF(Atletas!E420="Juvenil 100kg",11,IF(Atletas!E420="Adulto 48kg",12,IF(Atletas!E420="Adulto 52kg",13,IF(Atletas!E420="Adulto 56kg",14,IF(Atletas!E420="Adulto 60kg",15,IF(Atletas!E420="Adulto 65kg",16,IF(Atletas!E420="Adulto 70kg",17,IF(Atletas!E420="Adulto 75kg",18,IF(Atletas!E420="Adulto 82kg",19,IF(Atletas!E420="Adulto 90kg",20,IF(Atletas!E420="Adulto 100kg",21,IF(Atletas!E420="Adulto +100kg",22,""))))))))))))))))))))))))</f>
        <v/>
      </c>
      <c r="AT424" s="10" t="str">
        <f>IF(Atletas!F420="","",IF(Atletas!B420="Feminino",100,IF(Atletas!B420="Masculino",200,""))+(IF(Atletas!F420="Adulto 48kg",1,IF(Atletas!F420="Adulto 56kg",2,IF(Atletas!F420="Adulto 65kg",3,IF(Atletas!F420="Adulto 75kg",4,IF(Atletas!F420="Adulto +75kg",5,IF(Atletas!F420="Adulto 52kg",6,IF(Atletas!F420="Adulto 60kg",7,IF(Atletas!F420="Adulto 70kg",8,IF(Atletas!F420="Adulto 80kg",9,IF(Atletas!F420="Adulto 90kg",10,IF(Atletas!F420="Adulto +90kg",11,"")))))))))))))</f>
        <v/>
      </c>
      <c r="AY424" s="46" t="str">
        <f>IF(Atletas!G420="","",IF(Atletas!B420="Feminino",100,IF(Atletas!B420="Masculino",200,""))+(IF(Atletas!G420="Changquan Mirim",1,IF(Atletas!G420="Nanquan Mirim",2,IF(Atletas!G420="Taijiquan Mirim",3,IF(Atletas!G420="Changquan Grupo C",4,IF(Atletas!G420="Nanquan Grupo C",5,IF(Atletas!G420="Taijiquan Grupo C",6,IF(Atletas!G420="Changquan Grupo B",7,IF(Atletas!G420="Nanquan Grupo B",8,IF(Atletas!G420="Taijiquan Grupo B",9,IF(Atletas!G420="Changquan Grupo A",10,IF(Atletas!G420="Nanquan Grupo A",11,IF(Atletas!G420="Taijiquan Grupo A",12,IF(Atletas!G420="Changquan Opcional",13,IF(Atletas!G420="Nanquan Opcional",14,IF(Atletas!G420="Taijiquan Opcional",15,IF(Atletas!G420="Changquan Adulto",16,IF(Atletas!G420="Nanquan Adulto",17,IF(Atletas!G420="Taijiquan Adulto",18,""))))))))))))))))))))</f>
        <v/>
      </c>
      <c r="AZ424" s="46" t="str">
        <f>IF(Atletas!H420="","",IF(Atletas!B420="Feminino",100,IF(Atletas!B420="Masculino",200,""))+(IF(Atletas!H420="Daoshu Mirim",19,IF(Atletas!H420="Jianshu Mirim",20,IF(Atletas!H420="Nandao Mirim",21,IF(Atletas!H420="Taijijian Mirim",22,IF(Atletas!H420="Daoshu Grupo C",23,IF(Atletas!H420="Jianshu Grupo C",24,IF(Atletas!H420="Nandao Grupo C",25,IF(Atletas!H420="Taijijian Grupo C",26,IF(Atletas!H420="Daoshu Grupo B",27,IF(Atletas!H420="Jianshu Grupo B",28,IF(Atletas!H420="Nandao Grupo B",29,IF(Atletas!H420="Taijijian Grupo B",30,IF(Atletas!H420="Daoshu Grupo A",31,IF(Atletas!H420="Jianshu Grupo A",32,IF(Atletas!H420="Nandao Grupo A",33,IF(Atletas!H420="Taijijian Grupo A",34,IF(Atletas!H420="Daoshu Opcional",35,IF(Atletas!H420="Jianshu Opcional",36,IF(Atletas!H420="Nandao Opcional",37,IF(Atletas!H420="Taijijian Opcional",38,IF(Atletas!H420="Daoshu Adulto",39,IF(Atletas!H420="Jianshu Adulto",40,IF(Atletas!H420="Nandao Adulto",41,IF(Atletas!H420="Taijijian Adulto",42,""))))))))))))))))))))))))))</f>
        <v/>
      </c>
      <c r="BA424" s="46" t="str">
        <f>IF(Atletas!I420="","",IF(Atletas!B420="Feminino",100,IF(Atletas!B420="Masculino",200,""))+(IF(Atletas!I420="Gunshu Mirim",43,IF(Atletas!I420="Qiangshu Mirim",44,IF(Atletas!I420="Nangun Mirim",45,IF(Atletas!I420="Gunshu Grupo C",46,IF(Atletas!I420="Qiangshu Grupo C",47,IF(Atletas!I420="Nangun Grupo C",48,IF(Atletas!I420="Gunshu Grupo B",49,IF(Atletas!I420="Qiangshu Grupo B",50,IF(Atletas!I420="Nangun Grupo B",51,IF(Atletas!I420="Gunshu Grupo A",52,IF(Atletas!I420="Qiangshu Grupo A",53,IF(Atletas!I420="Nangun Grupo A",54,IF(Atletas!I420="Gunshu Opcional",55,IF(Atletas!I420="Qiangshu Opcional",56,IF(Atletas!I420="Nangun Opcional",57,IF(Atletas!I420="Gunshu Adulto",58,IF(Atletas!I420="Qiangshu Adulto",59,IF(Atletas!I420="Nangun Adulto",60,""))))))))))))))))))))</f>
        <v/>
      </c>
      <c r="BF424" s="52" t="str">
        <f>IF(Atletas!J420="","",IF(Atletas!B420="Feminino",100,IF(Atletas!B420="Masculino",200,""))+(IF(Atletas!J420="Equipe 1 Grupo B",1,IF(Atletas!J420="Equipe 2 Grupo B",2,IF(Atletas!J420="Equipe 1 Grupo A",3,IF(Atletas!J420="Equipe 2 Grupo A",4,IF(Atletas!J420="Equipe 1 Adulto",5,IF(Atletas!J420="Equipe 2 Adulto",6,""))))))))</f>
        <v/>
      </c>
      <c r="BK424" s="52" t="str">
        <f>IF(Atletas!K420="","",IF(Atletas!W420&lt;&gt;"",10000,0)+(IF(Atletas!B420="Feminino",1000,IF(Atletas!B420="Masculino",2000,""))+IF(Atletas!K420="Choylayfut A",1,IF(Atletas!K420="Hunggar A",2,IF(Atletas!K420="Wuzuquan A",3,IF(Atletas!K420="Wingchun A",4,IF(Atletas!K420="Outra Mão de Sul A",5,IF(Atletas!K420="Choylayfut B",6,IF(Atletas!K420="Hunggar B",7,IF(Atletas!K420="Wuzuquan B",8,IF(Atletas!K420="Wingchun B",9,IF(Atletas!K420="Outra Mão de Sul B",10,IF(Atletas!K420="Choylayfut C",11,IF(Atletas!K420="Hunggar C",12,IF(Atletas!K420="Wuzuquan C",13,IF(Atletas!K420="Wingchun C",14,IF(Atletas!K420="Outra Mão de Sul C",15,IF(Atletas!K420="Choylayfut D",16,IF(Atletas!K420="Hunggar D",17,IF(Atletas!K420="Wuzuquan D",18,IF(Atletas!K420="Wingchun D",19,IF(Atletas!K420="Outra Mão de Sul D",20,IF(Atletas!K420="Choylayfut E",21,IF(Atletas!K420="Hunggar E",22,IF(Atletas!K420="Wuzuquan E",23,IF(Atletas!K420="Wingchun E",24,IF(Atletas!K420="Outra Mão de Sul E",25,IF(Atletas!K420="Choylayfut F",26,IF(Atletas!K420="Hunggar F",27,IF(Atletas!K420="Wuzuquan F",28,IF(Atletas!K420="Wingchun F",29,IF(Atletas!K420="Outra Mão de Sul F",30,""))))))))))))))))))))))))))))))))</f>
        <v/>
      </c>
      <c r="BL424" s="52" t="str">
        <f>IF(Atletas!L420="","",IF(Atletas!W420&lt;&gt;"",10000,0)+(IF(Atletas!B420="Feminino",1000,IF(Atletas!B420="Masculino",2000,""))+(IF(Atletas!L420="Chaquan A",101,IF(Atletas!L420="Emeiquan A",102,IF(Atletas!L420="Fanziquan A",103,IF(Atletas!L420="Huaquan A",104,IF(Atletas!L420="Hongquan A",105,IF(Atletas!L420="Paochui A",106,IF(Atletas!L420="Piguaquan A",107,IF(Atletas!L420="Shaolinquan A",108,IF(Atletas!L420="Tanglangquan A",109,IF(Atletas!L420="Yinzhaophai A",110,IF(Atletas!L420="Tongbeiquan A",111,IF(Atletas!L420="Wudangquan A",112,IF(Atletas!L420="Outros Estilos A",113,IF(Atletas!L420="Chaquan B",114,IF(Atletas!L420="Emeiquan B",115,IF(Atletas!L420="Fanziquan B",116,IF(Atletas!L420="Huaquan B",117,IF(Atletas!L420="Hongquan B",118,IF(Atletas!L420="Paochui B",119,IF(Atletas!L420="Piguaquan B",120,IF(Atletas!L420="Shaolinquan B",121,IF(Atletas!L420="Tanglangquan B",122,IF(Atletas!L420="Yinzhaophai B",123,IF(Atletas!L420="Tongbeiquan B",124,IF(Atletas!L420="Wudangquan B",125,IF(Atletas!L420="Outros Estilos B",126,IF(Atletas!L420="Chaquan C",127,IF(Atletas!L420="Emeiquan C",128,IF(Atletas!L420="Fanziquan C",129,IF(Atletas!L420="Huaquan C",130,IF(Atletas!L420="Hongquan C",131,IF(Atletas!L420="Paochui C",132,IF(Atletas!L420="Piguaquan C",133,IF(Atletas!L420="Shaolinquan C",134,IF(Atletas!L420="Tanglangquan C",135,IF(Atletas!L420="Yinzhaophai C",136,IF(Atletas!L420="Tongbeiquan C",137,IF(Atletas!L420="Wudangquan C",138,IF(Atletas!L420="Outros Estilos C",139,0))))))))))))))))))))))))))))))))))))))))))</f>
        <v/>
      </c>
      <c r="BM424" s="52" t="str">
        <f>IF(Atletas!L420="","",IF(Atletas!W420&lt;&gt;"",10000,0)+(IF(Atletas!B420="Feminino",1000,IF(Atletas!B420="Masculino",2000,""))+(IF(Atletas!L420="Chaquan D",140,IF(Atletas!L420="Emeiquan D",141,IF(Atletas!L420="Fanziquan D",142,IF(Atletas!L420="Huaquan D",143,IF(Atletas!L420="Hongquan D",144,IF(Atletas!L420="Paochui D",145,IF(Atletas!L420="Piguaquan D",146,IF(Atletas!L420="Shaolinquan D",147,IF(Atletas!L420="Tanglangquan D",148,IF(Atletas!L420="Yinzhaophai D",149,IF(Atletas!L420="Tongbeiquan D",150,IF(Atletas!L420="Wudangquan D",151,IF(Atletas!L420="Outros Estilos D",152,IF(Atletas!L420="Chaquan E",153,IF(Atletas!L420="Emeiquan E",154,IF(Atletas!L420="Fanziquan E",155,IF(Atletas!L420="Huaquan E",156,IF(Atletas!L420="Hongquan E",157,IF(Atletas!L420="Paochui E",158,IF(Atletas!L420="Piguaquan E",159,IF(Atletas!L420="Shaolinquan E",160,IF(Atletas!L420="Tanglangquan E",161,IF(Atletas!L420="Yinzhaophai E",162,IF(Atletas!L420="Tongbeiquan E",163,IF(Atletas!L420="Wudangquan E",164,IF(Atletas!L420="Outros Estilos E",165,IF(Atletas!L420="Chaquan F",166,IF(Atletas!L420="Emeiquan F",167,IF(Atletas!L420="Fanziquan F",168,IF(Atletas!L420="Huaquan F",169,IF(Atletas!L420="Hongquan F",170,IF(Atletas!L420="Paochui F",171,IF(Atletas!L420="Piguaquan F",172,IF(Atletas!L420="Shaolinquan F",173,IF(Atletas!L420="Tanglangquan F",174,IF(Atletas!L420="Yinzhaophai F",175,IF(Atletas!L420="Tongbeiquan F",176,IF(Atletas!L420="Wudangquan F",177,IF(Atletas!L420="Outros Estilos F",178,0))))))))))))))))))))))))))))))))))))))))))</f>
        <v/>
      </c>
      <c r="BN424" s="52" t="str">
        <f>IF(Atletas!M420="","",IF(Atletas!W420&lt;&gt;"",10000,0)+(IF(Atletas!B420="Feminino",1000,IF(Atletas!B420="Masculino",2000,""))+(IF(Atletas!M420="Ditangquan A",201,IF(Atletas!M420="Houquan A",202,IF(Atletas!M420="Zuiquan A",203,IF(Atletas!M420="Ditangquan B",204,IF(Atletas!M420="Houquan B",205,IF(Atletas!M420="Zuiquan B",206,IF(Atletas!M420="Ditangquan C",207,IF(Atletas!M420="Houquan C",208,IF(Atletas!M420="Zuiquan C",209,IF(Atletas!M420="Ditangquan D",210,IF(Atletas!M420="Houquan D",211,IF(Atletas!M420="Zuiquan D",212,IF(Atletas!M420="Ditangquan E",213,IF(Atletas!M420="Houquan E",214,IF(Atletas!M420="Zuiquan E",215,IF(Atletas!M420="Ditangquan F",216,IF(Atletas!M420="Houquan F",217,IF(Atletas!M420="Zuiquan F",218,"")))))))))))))))))))))</f>
        <v/>
      </c>
      <c r="BO424" s="52" t="str">
        <f>IF(Atletas!N420="","",IF(Atletas!W420&lt;&gt;"",10000,0)+IF(Atletas!B420="Feminino",1000,IF(Atletas!B420="Masculino",2000,""))+IF(Atletas!N420="Yang A",301,IF(Atletas!N420="Chen A",30,IF(Atletas!N420="Sun A",303,IF(Atletas!N420="Wu A",304,IF(Atletas!N420="Wu-Hao A",305,IF(Atletas!N420="Outro Taijiquan A",306,IF(Atletas!N420="Yang B",307,IF(Atletas!N420="Chen B",308,IF(Atletas!N420="Sun B",309,IF(Atletas!N420="Wu B",310,IF(Atletas!N420="Wu-Hao B",311,IF(Atletas!N420="Outro Taijiquan B",312,IF(Atletas!N420="Yang C",313,IF(Atletas!N420="Chen C",314,IF(Atletas!N420="Sun C",315,IF(Atletas!N420="Wu C",316,IF(Atletas!N420="Wu-Hao C",317,IF(Atletas!N420="Outro Taijiquan C",318,IF(Atletas!N420="Yang D",319,IF(Atletas!N420="Chen D",320,IF(Atletas!N420="Sun D",321,IF(Atletas!N420="Wu D",322,IF(Atletas!N420="Wu-Hao D",323,IF(Atletas!N420="Outro Taijiquan D",324,IF(Atletas!N420="Yang E",325,IF(Atletas!N420="Chen E",326,IF(Atletas!N420="Sun E",327,IF(Atletas!N420="Wu E",328,IF(Atletas!N420="Wu-Hao E",329,IF(Atletas!N420="Outro Taijiquan E",330,IF(Atletas!N420="Yang F",331,IF(Atletas!N420="Chen F",332,IF(Atletas!N420="Sun F",333,IF(Atletas!N420="Wu F",334,IF(Atletas!N420="Wu-Hao F",335,IF(Atletas!N420="Outro Taijiquan F",336,"")))))))))))))))))))))))))))))))))))))</f>
        <v/>
      </c>
      <c r="BP424" s="52" t="str">
        <f>IF(Atletas!O420="","",IF(Atletas!W420&lt;&gt;"",10000,0)+IF(Atletas!B420="Feminino",1000,IF(Atletas!B420="Masculino",2000,""))+IF(OR(Atletas!O420="Yang 26 A",Atletas!O420="Yang 40 A"),401,IF(OR(Atletas!O420="Chen 25 A",Atletas!O420="Chen 36 A",Atletas!O420="Chen 56 A"),402,IF(Atletas!O420="Sun 73 A",403,IF(Atletas!O420="Wu 45 A",404,IF(Atletas!O420="Wu-Hao 46 A",405,IF(OR(Atletas!O420="Taijiquan 16 A",Atletas!O420="Taijiquan 24 A",Atletas!O420="Taijiquan 32 A",Atletas!O420="Taijiquan 42 A"),406,IF(OR(Atletas!O420="Yang 26 B",Atletas!O420="Yang 40 B"),407,IF(OR(Atletas!O420="Chen 25 B",Atletas!O420="Chen 36 B",Atletas!O420="Chen 56 B"),408,IF(Atletas!O420="Sun 73 B",409,IF(Atletas!O420="Wu 45 B",410,IF(Atletas!O420="Wu-Hao 46 B",411,IF(OR(Atletas!O420="Taijiquan 16 B",Atletas!O420="Taijiquan 24 B",Atletas!O420="Taijiquan 32 B",Atletas!O420="Taijiquan 42 B"),412,IF(OR(Atletas!O420="Yang 26 C",Atletas!O420="Yang 40 C"),413,IF(OR(Atletas!O420="Chen 25 C",Atletas!O420="Chen 36 C",Atletas!O420="Chen 56 C"),414,IF(Atletas!O420="Sun 73 C",415,IF(Atletas!O420="Wu 45 C",416,IF(Atletas!O420="Wu-Hao 46 C",417,IF(OR(Atletas!O420="Taijiquan 16 C",Atletas!O420="Taijiquan 24 C",Atletas!O420="Taijiquan 32 C",Atletas!O420="Taijiquan 42 C"),418,0)))))))))))))))))))</f>
        <v/>
      </c>
      <c r="BQ424" s="52" t="str">
        <f>IF(Atletas!O420="","",IF(Atletas!W420&lt;&gt;"",10000,0)+IF(Atletas!B420="Feminino",1000,IF(Atletas!B420="Masculino",2000,""))+IF(OR(Atletas!O420="Yang 26 D",Atletas!O420="Yang 40 D"),419,IF(OR(Atletas!O420="Chen 25 D",Atletas!O420="Chen 36 D",Atletas!O420="Chen 56 D"),420,IF(Atletas!O420="Sun 73 D",421,IF(Atletas!O420="Wu 45 D",422,IF(Atletas!O420="Wu-Hao 46 D",423,IF(OR(Atletas!O420="Taijiquan 16 D",Atletas!O420="Taijiquan 24 D",Atletas!O420="Taijiquan 32 D",Atletas!O420="Taijiquan 42 D"),424,IF(OR(Atletas!O420="Yang 26 E",Atletas!O420="Yang 40 E"),425,IF(OR(Atletas!O420="Chen 25 E",Atletas!O420="Chen 36 E",Atletas!O420="Chen 56 E"),426,IF(Atletas!O420="Sun 73 E",427,IF(Atletas!O420="Wu 45 E",428,IF(Atletas!O420="Wu-Hao 46 E",429,IF(OR(Atletas!O420="Taijiquan 16 E",Atletas!O420="Taijiquan 24 E",Atletas!O420="Taijiquan 32 E",Atletas!O420="Taijiquan 42 E"),430,IF(OR(Atletas!O420="Yang 26 F",Atletas!O420="Yang 40 F"),431,IF(OR(Atletas!O420="Chen 25 F",Atletas!O420="Chen 36 F",Atletas!O420="Chen 56 F"),432,IF(Atletas!O420="Sun 73 F",433,IF(Atletas!O420="Wu 45 F",434,IF(Atletas!O420="Wu-Hao 46 F",435,IF(OR(Atletas!O420="Taijiquan 16 F",Atletas!O420="Taijiquan 24 F",Atletas!O420="Taijiquan 32 F",Atletas!O420="Taijiquan 42 F"),436,0)))))))))))))))))))</f>
        <v/>
      </c>
      <c r="BR424" s="52" t="str">
        <f>IF(Atletas!P420="","",IF(Atletas!W420&lt;&gt;"",10000,0)+IF(Atletas!B420="Feminino",1000,IF(Atletas!B420="Masculino",2000,""))+IF(Atletas!P420="Xingyiquan A",501,IF(Atletas!P420="Baguazhang A",502,IF(Atletas!P420="Outro Estilo Interno A",503,IF(Atletas!P420="Xingyiquan B",504,IF(Atletas!P420="Baguazhang B",505,IF(Atletas!P420="Outro Estilo Interno B",506,IF(Atletas!P420="Xingyiquan C",507,IF(Atletas!P420="Baguazhang C",508,IF(Atletas!P420="Outro Estilo Interno C",509,IF(Atletas!P420="Xingyiquan D",510,IF(Atletas!P420="Baguazhang D",511,IF(Atletas!P420="Outro Estilo Interno D",512,IF(Atletas!P420="Xingyiquan E",513,IF(Atletas!P420="Baguazhang E",514,IF(Atletas!P420="Outro Estilo Interno E",515,IF(Atletas!P420="Xingyiquan F",516,IF(Atletas!P420="Baguazhang F",517,IF(Atletas!P420="Outro Estilo Interno F",518, "")))))))))))))))))))</f>
        <v/>
      </c>
      <c r="BS424" s="52" t="str">
        <f>IF(Atletas!Q420="","",IF(Atletas!W420&lt;&gt;"",10000,0)+IF(Atletas!B420="Feminino",1000,IF(Atletas!B420="Masculino",2000,""))+IF(Atletas!Q420="Dao A",601,IF(Atletas!Q420="Jian A",602,IF(Atletas!Q420="Bishou A",603,IF(Atletas!Q420="Shan A",604,IF(Atletas!Q420="Outra Arma Curta A",605,IF(Atletas!Q420="Dao B",606,IF(Atletas!Q420="Jian B",607,IF(Atletas!Q420="Bishou B",608,IF(Atletas!Q420="Shan B",609,IF(Atletas!Q420="Outra Arma Curta B",610,IF(Atletas!Q420="Dao C",611,IF(Atletas!Q420="Jian C",612,IF(Atletas!Q420="Bishou C",613,IF(Atletas!Q420="Shan C",614,IF(Atletas!Q420="Outra Arma Curta C",615,IF(Atletas!Q420="Dao D",616,IF(Atletas!Q420="Jian D",617,IF(Atletas!Q420="Bishou D",618,IF(Atletas!Q420="Shan D",619,IF(Atletas!Q420="Outra Arma Curta D",620,IF(Atletas!Q420="Dao E",621,IF(Atletas!Q420="Jian E",622,IF(Atletas!Q420="Bishou E",623,IF(Atletas!Q420="Shan E",624,IF(Atletas!Q420="Outra Arma Curta E",625,IF(Atletas!Q420="Dao F",626,IF(Atletas!Q420="Jian F",627,IF(Atletas!Q420="Bishou F",628,IF(Atletas!Q420="Shan F",629,IF(Atletas!Q420="Outra Arma Curta F",630, "")))))))))))))))))))))))))))))))</f>
        <v/>
      </c>
      <c r="BT424" s="52" t="str">
        <f>IF(Atletas!R420="","",IF(Atletas!W420&lt;&gt;"",10000,0)+IF(Atletas!B420="Feminino",1000,IF(Atletas!B420="Masculino",2000,""))+IF(Atletas!R420="Gun A",701,IF(Atletas!R420="Qiang A",702,IF(Atletas!R420="Pudao / Guandao A",703,IF(Atletas!R420="Outra Arma Longa A",704,IF(Atletas!R420="Gun B",705,IF(Atletas!R420="Qiang B",706,IF(Atletas!R420="Pudao / Guandao B",707,IF(Atletas!R420="Outra Arma Longa B",708,IF(Atletas!R420="Gun C",709,IF(Atletas!R420="Qiang C",710,IF(Atletas!R420="Pudao / Guandao C",711,IF(Atletas!R420="Outra Arma Longa C",712,IF(Atletas!R420="Gun D",713,IF(Atletas!R420="Qiang D",714,IF(Atletas!R420="Pudao / Guandao D",715,IF(Atletas!R420="Outra Arma Longa D",716,IF(Atletas!R420="Gun E",717,IF(Atletas!R420="Qiang E",718,IF(Atletas!R420="Pudao / Guandao E",719,IF(Atletas!R420="Outra Arma Longa E",720,IF(Atletas!R420="Gun F",721,IF(Atletas!R420="Qiang F",722,IF(Atletas!R420="Pudao / Guandao F",723,IF(Atletas!R420="Outra Arma Longa F",724,"")))))))))))))))))))))))))</f>
        <v/>
      </c>
      <c r="BU424" s="52" t="str">
        <f>IF(Atletas!S420="","",IF(Atletas!W420&lt;&gt;"",10000,0)+IF(Atletas!B420="Feminino",1000,IF(Atletas!B420="Masculino",2000,""))+IF(Atletas!S420="Arma Dupla A",801,IF(Atletas!S420="Arma Maleável A",802,IF(Atletas!S420="Arma Dupla B",803,IF(Atletas!S420="Arma Maleável B",804,IF(Atletas!S420="Arma Dupla C",805,IF(Atletas!S420="Arma Maleável C",806,IF(Atletas!S420="Arma Dupla D",807,IF(Atletas!S420="Arma Maleável D",808,IF(Atletas!S420="Arma Dupla E",809,IF(Atletas!S420="Arma Maleável E",810,IF(Atletas!S420="Arma Dupla F",811,IF(Atletas!S420="Arma Maleável F",812, "")))))))))))))</f>
        <v/>
      </c>
      <c r="BV424" s="52" t="str">
        <f>IF(Atletas!T420="","",IF(Atletas!W420&lt;&gt;"",10000,0)+IF(Atletas!B420="Feminino",1000,IF(Atletas!B420="Masculino",2000,""))+IF(Atletas!T420="Taijijian Yang A",901,IF(Atletas!T420="Taijijian Chen A",902,IF(Atletas!T420="Taijijian Sun A",903,IF(Atletas!T420="Taijijian Wu A",904,IF(Atletas!T420="Taijijian Wu-Hao A",905,IF(Atletas!T420="Taijijian 32 A",906,IF(Atletas!T420="Taijijian 42 A",907,IF(Atletas!T420="Taijijian Yang B",908,IF(Atletas!T420="Taijijian Chen B",909,IF(Atletas!T420="Taijijian Sun B",910,IF(Atletas!T420="Taijijian Wu B",911,IF(Atletas!T420="Taijijian Wu-Hao B",912,IF(Atletas!T420="Taijijian 32 B",913,IF(Atletas!T420="Taijijian 42 B",914,IF(Atletas!T420="Taijijian Yang C",915,IF(Atletas!T420="Taijijian Chen C",916,IF(Atletas!T420="Taijijian Sun C",917,IF(Atletas!T420="Taijijian Wu C",918,IF(Atletas!T420="Taijijian Wu-Hao C",919,IF(Atletas!T420="Taijijian 32 C",920,IF(Atletas!T420="Taijijian 42 C",921,IF(Atletas!T420="Taijijian Yang D",922,IF(Atletas!T420="Taijijian Chen D",923,IF(Atletas!T420="Taijijian Sun D",924,IF(Atletas!T420="Taijijian Wu D",925,IF(Atletas!T420="Taijijian Wu-Hao D",926,IF(Atletas!T420="Taijijian 32 D",927,IF(Atletas!T420="Taijijian 42 D",928,IF(Atletas!T420="Taijijian Yang E",929,IF(Atletas!T420="Taijijian Chen E",930,IF(Atletas!T420="Taijijian Sun E",931,IF(Atletas!T420="Taijijian Wu E",932,IF(Atletas!T420="Taijijian Wu-Hao E",933,IF(Atletas!T420="Taijijian 32 E",934,IF(Atletas!T420="Taijijian 42 E",935,IF(Atletas!T420="Taijijian Yang F",936,IF(Atletas!T420="Taijijian Chen F",937,IF(Atletas!T420="Taijijian Sun F",938,IF(Atletas!T420="Taijijian Wu F",939,IF(Atletas!T420="Taijijian Wu-Hao F",940,IF(Atletas!T420="Taijijian 32 F",941,IF(Atletas!T420="Taijijian 42 F",942,"")))))))))))))))))))))))))))))))))))))))))))</f>
        <v/>
      </c>
      <c r="BW424" s="52" t="str">
        <f>IF(Atletas!U420="","",IF(Atletas!W420&lt;&gt;"",10000,0)+IF(Atletas!B420="Feminino",1000,IF(Atletas!B420="Masculino",2000,""))+IF(Atletas!T420="Taijijian 42 F",942,IF(Atletas!U420="Taijidao A",943,IF(Atletas!U420="Taijishan A",944,IF(Atletas!U420="Taijiqiang A",945,IF(Atletas!U420="Taijidao B",946,IF(Atletas!U420="Taijishan B",947,IF(Atletas!U420="Taijiqiang B",948,IF(Atletas!U420="Taijidao C",949,IF(Atletas!U420="Taijishan C",950,IF(Atletas!U420="Taijiqiang C",951,IF(Atletas!U420="Taijidao D",952,IF(Atletas!U420="Taijishan D",953,IF(Atletas!U420="Taijiqiang D",954,IF(Atletas!U420="Taijidao E",955,IF(Atletas!U420="Taijishan E",956,IF(Atletas!U420="Taijiqiang E",957,IF(Atletas!U420="Taijidao F",958,IF(Atletas!U420="Taijishan F",959,IF(Atletas!U420="Taijiqiang F",960))))))))))))))))))))</f>
        <v/>
      </c>
      <c r="CF424" s="52" t="str">
        <f xml:space="preserve"> IF(Atletas!V420="","",IF(Atletas!V420="Duilian de Mãos AB - Equipe 1",1,IF(Atletas!V420="Duilian de Mãos AB - Equipe 2",2,IF(Atletas!V420="Duilian de Armas AB - Equipe 1",3,IF(Atletas!V420="Duilian de Armas AB - Equipe 2",4,IF(Atletas!V420="Duilian de Tuishou - Equipe 1",5,IF(Atletas!V420="Duilian de Tuishou - Equipe 2",6,IF(Atletas!V420="Grupo Externo AB - Equipe 1",7,IF(Atletas!V420="Grupo Externo AB - Equipe 2",8,IF(Atletas!V420="Grupo Interno AB - Equipe 1",9,IF(Atletas!V420="Grupo Interno AB - Equipe 2",10,IF(Atletas!V420="Duilian de Mãos CD - Equipe 1",11,IF(Atletas!V420="Duilian de Mãos CD - Equipe 2",12,IF(Atletas!V420="Duilian de Armas CD - Equipe 1",13,IF(Atletas!V420="Duilian de Armas CD - Equipe 2",14,IF(Atletas!V420="Duilian de Tuishou - Equipe 1",15,IF(Atletas!V420="Duilian de Tuishou - Equipe 2",16,IF(Atletas!V420="Grupo Externo CDEF - Equipe 1",17,IF(Atletas!V420="Grupo Externo CDEF - Equipe 2",18,IF(Atletas!V420="Grupo Interno CDEF - Equipe 1",19,IF(Atletas!V420="Grupo Interno CDEF - Equipe 2",20,IF(Atletas!V420="Duilian de Mãos EF - Equipe 1",21,IF(Atletas!V420="Duilian de Mãos EF - Equipe 2",22,IF(Atletas!V420="Duilian de Armas EF - Equipe 1",23,IF(Atletas!V420="Duilian de Armas EF - Equipe 2",24,IF(Atletas!V420="Duilian de Tuishou - Equipe 1",25,IF(Atletas!V420="Duilian de Tuishou - Equipe 2",26,"")))))))))))))))))))))))))))</f>
        <v/>
      </c>
    </row>
    <row r="425" spans="36:84">
      <c r="AJ425" s="46" t="str">
        <f>IF(Atletas!D421="","",IF(Atletas!B421="Feminino",100,IF(Atletas!B421="Masculino",200,""))+(IF(Atletas!D421="Infantil 39kg",1,IF(Atletas!D421="Infantil 42kg",2,IF(Atletas!D421="Infantil 45kg",3,IF(Atletas!D421="Infantil 48kg",4,IF(Atletas!D421="Infantil 52kg",5,IF(Atletas!D421="Infantil 56kg",6,IF(Atletas!D421="Infantil 60kg",7,IF(Atletas!D421="Juvenil 48kg",8,IF(Atletas!D421="Juvenil 52kg",9,IF(Atletas!D421="Juvenil 56kg",10,IF(Atletas!D421="Juvenil 60kg",11,IF(Atletas!D421="Juvenil 65kg",12,IF(Atletas!D421="Juvenil 70kg",13,IF(Atletas!D421="Juvenil 75kg",14,IF(Atletas!D421="Juvenil 80kg",15,IF(Atletas!D421="Adulto 48kg",16,IF(Atletas!D421="Adulto 52kg",17,IF(Atletas!D421="Adulto 56kg",18,IF(Atletas!D421="Adulto 60kg",19,IF(Atletas!D421="Adulto 65kg",20,IF(Atletas!D421="Adulto 70kg",21,IF(Atletas!D421="Adulto 75kg",22,IF(Atletas!D421="Adulto 80kg",23,IF(Atletas!D421="Adulto 85kg",24,IF(Atletas!D421="Adulto 90kg",25,IF(Atletas!D421="Adulto +90kg",26,""))))))))))))))))))))))))))))</f>
        <v/>
      </c>
      <c r="AO425" s="10" t="str">
        <f>IF(Atletas!E421="","",IF(Atletas!B421="Feminino",100,IF(Atletas!B421="Masculino",200,""))+(IF(Atletas!E421="Juvenil 44kg",1,IF(Atletas!E421="Juvenil 48kg",2,IF(Atletas!E421="Juvenil 52kg",3,IF(Atletas!E421="Juvenil 56kg",4,IF(Atletas!E421="Juvenil 60kg",5,IF(Atletas!E421="Juvenil 65kg",6,IF(Atletas!E421="Juvenil 70kg",7,IF(Atletas!E421="Juvenil 75kg",8,IF(Atletas!E421="Juvenil 82kg",9,IF(Atletas!E421="Juvenil 90kg",10,IF(Atletas!E421="Juvenil 100kg",11,IF(Atletas!E421="Adulto 48kg",12,IF(Atletas!E421="Adulto 52kg",13,IF(Atletas!E421="Adulto 56kg",14,IF(Atletas!E421="Adulto 60kg",15,IF(Atletas!E421="Adulto 65kg",16,IF(Atletas!E421="Adulto 70kg",17,IF(Atletas!E421="Adulto 75kg",18,IF(Atletas!E421="Adulto 82kg",19,IF(Atletas!E421="Adulto 90kg",20,IF(Atletas!E421="Adulto 100kg",21,IF(Atletas!E421="Adulto +100kg",22,""))))))))))))))))))))))))</f>
        <v/>
      </c>
      <c r="AT425" s="10" t="str">
        <f>IF(Atletas!F421="","",IF(Atletas!B421="Feminino",100,IF(Atletas!B421="Masculino",200,""))+(IF(Atletas!F421="Adulto 48kg",1,IF(Atletas!F421="Adulto 56kg",2,IF(Atletas!F421="Adulto 65kg",3,IF(Atletas!F421="Adulto 75kg",4,IF(Atletas!F421="Adulto +75kg",5,IF(Atletas!F421="Adulto 52kg",6,IF(Atletas!F421="Adulto 60kg",7,IF(Atletas!F421="Adulto 70kg",8,IF(Atletas!F421="Adulto 80kg",9,IF(Atletas!F421="Adulto 90kg",10,IF(Atletas!F421="Adulto +90kg",11,"")))))))))))))</f>
        <v/>
      </c>
      <c r="AY425" s="46" t="str">
        <f>IF(Atletas!G421="","",IF(Atletas!B421="Feminino",100,IF(Atletas!B421="Masculino",200,""))+(IF(Atletas!G421="Changquan Mirim",1,IF(Atletas!G421="Nanquan Mirim",2,IF(Atletas!G421="Taijiquan Mirim",3,IF(Atletas!G421="Changquan Grupo C",4,IF(Atletas!G421="Nanquan Grupo C",5,IF(Atletas!G421="Taijiquan Grupo C",6,IF(Atletas!G421="Changquan Grupo B",7,IF(Atletas!G421="Nanquan Grupo B",8,IF(Atletas!G421="Taijiquan Grupo B",9,IF(Atletas!G421="Changquan Grupo A",10,IF(Atletas!G421="Nanquan Grupo A",11,IF(Atletas!G421="Taijiquan Grupo A",12,IF(Atletas!G421="Changquan Opcional",13,IF(Atletas!G421="Nanquan Opcional",14,IF(Atletas!G421="Taijiquan Opcional",15,IF(Atletas!G421="Changquan Adulto",16,IF(Atletas!G421="Nanquan Adulto",17,IF(Atletas!G421="Taijiquan Adulto",18,""))))))))))))))))))))</f>
        <v/>
      </c>
      <c r="AZ425" s="46" t="str">
        <f>IF(Atletas!H421="","",IF(Atletas!B421="Feminino",100,IF(Atletas!B421="Masculino",200,""))+(IF(Atletas!H421="Daoshu Mirim",19,IF(Atletas!H421="Jianshu Mirim",20,IF(Atletas!H421="Nandao Mirim",21,IF(Atletas!H421="Taijijian Mirim",22,IF(Atletas!H421="Daoshu Grupo C",23,IF(Atletas!H421="Jianshu Grupo C",24,IF(Atletas!H421="Nandao Grupo C",25,IF(Atletas!H421="Taijijian Grupo C",26,IF(Atletas!H421="Daoshu Grupo B",27,IF(Atletas!H421="Jianshu Grupo B",28,IF(Atletas!H421="Nandao Grupo B",29,IF(Atletas!H421="Taijijian Grupo B",30,IF(Atletas!H421="Daoshu Grupo A",31,IF(Atletas!H421="Jianshu Grupo A",32,IF(Atletas!H421="Nandao Grupo A",33,IF(Atletas!H421="Taijijian Grupo A",34,IF(Atletas!H421="Daoshu Opcional",35,IF(Atletas!H421="Jianshu Opcional",36,IF(Atletas!H421="Nandao Opcional",37,IF(Atletas!H421="Taijijian Opcional",38,IF(Atletas!H421="Daoshu Adulto",39,IF(Atletas!H421="Jianshu Adulto",40,IF(Atletas!H421="Nandao Adulto",41,IF(Atletas!H421="Taijijian Adulto",42,""))))))))))))))))))))))))))</f>
        <v/>
      </c>
      <c r="BA425" s="46" t="str">
        <f>IF(Atletas!I421="","",IF(Atletas!B421="Feminino",100,IF(Atletas!B421="Masculino",200,""))+(IF(Atletas!I421="Gunshu Mirim",43,IF(Atletas!I421="Qiangshu Mirim",44,IF(Atletas!I421="Nangun Mirim",45,IF(Atletas!I421="Gunshu Grupo C",46,IF(Atletas!I421="Qiangshu Grupo C",47,IF(Atletas!I421="Nangun Grupo C",48,IF(Atletas!I421="Gunshu Grupo B",49,IF(Atletas!I421="Qiangshu Grupo B",50,IF(Atletas!I421="Nangun Grupo B",51,IF(Atletas!I421="Gunshu Grupo A",52,IF(Atletas!I421="Qiangshu Grupo A",53,IF(Atletas!I421="Nangun Grupo A",54,IF(Atletas!I421="Gunshu Opcional",55,IF(Atletas!I421="Qiangshu Opcional",56,IF(Atletas!I421="Nangun Opcional",57,IF(Atletas!I421="Gunshu Adulto",58,IF(Atletas!I421="Qiangshu Adulto",59,IF(Atletas!I421="Nangun Adulto",60,""))))))))))))))))))))</f>
        <v/>
      </c>
      <c r="BF425" s="52" t="str">
        <f>IF(Atletas!J421="","",IF(Atletas!B421="Feminino",100,IF(Atletas!B421="Masculino",200,""))+(IF(Atletas!J421="Equipe 1 Grupo B",1,IF(Atletas!J421="Equipe 2 Grupo B",2,IF(Atletas!J421="Equipe 1 Grupo A",3,IF(Atletas!J421="Equipe 2 Grupo A",4,IF(Atletas!J421="Equipe 1 Adulto",5,IF(Atletas!J421="Equipe 2 Adulto",6,""))))))))</f>
        <v/>
      </c>
      <c r="BK425" s="52" t="str">
        <f>IF(Atletas!K421="","",IF(Atletas!W421&lt;&gt;"",10000,0)+(IF(Atletas!B421="Feminino",1000,IF(Atletas!B421="Masculino",2000,""))+IF(Atletas!K421="Choylayfut A",1,IF(Atletas!K421="Hunggar A",2,IF(Atletas!K421="Wuzuquan A",3,IF(Atletas!K421="Wingchun A",4,IF(Atletas!K421="Outra Mão de Sul A",5,IF(Atletas!K421="Choylayfut B",6,IF(Atletas!K421="Hunggar B",7,IF(Atletas!K421="Wuzuquan B",8,IF(Atletas!K421="Wingchun B",9,IF(Atletas!K421="Outra Mão de Sul B",10,IF(Atletas!K421="Choylayfut C",11,IF(Atletas!K421="Hunggar C",12,IF(Atletas!K421="Wuzuquan C",13,IF(Atletas!K421="Wingchun C",14,IF(Atletas!K421="Outra Mão de Sul C",15,IF(Atletas!K421="Choylayfut D",16,IF(Atletas!K421="Hunggar D",17,IF(Atletas!K421="Wuzuquan D",18,IF(Atletas!K421="Wingchun D",19,IF(Atletas!K421="Outra Mão de Sul D",20,IF(Atletas!K421="Choylayfut E",21,IF(Atletas!K421="Hunggar E",22,IF(Atletas!K421="Wuzuquan E",23,IF(Atletas!K421="Wingchun E",24,IF(Atletas!K421="Outra Mão de Sul E",25,IF(Atletas!K421="Choylayfut F",26,IF(Atletas!K421="Hunggar F",27,IF(Atletas!K421="Wuzuquan F",28,IF(Atletas!K421="Wingchun F",29,IF(Atletas!K421="Outra Mão de Sul F",30,""))))))))))))))))))))))))))))))))</f>
        <v/>
      </c>
      <c r="BL425" s="52" t="str">
        <f>IF(Atletas!L421="","",IF(Atletas!W421&lt;&gt;"",10000,0)+(IF(Atletas!B421="Feminino",1000,IF(Atletas!B421="Masculino",2000,""))+(IF(Atletas!L421="Chaquan A",101,IF(Atletas!L421="Emeiquan A",102,IF(Atletas!L421="Fanziquan A",103,IF(Atletas!L421="Huaquan A",104,IF(Atletas!L421="Hongquan A",105,IF(Atletas!L421="Paochui A",106,IF(Atletas!L421="Piguaquan A",107,IF(Atletas!L421="Shaolinquan A",108,IF(Atletas!L421="Tanglangquan A",109,IF(Atletas!L421="Yinzhaophai A",110,IF(Atletas!L421="Tongbeiquan A",111,IF(Atletas!L421="Wudangquan A",112,IF(Atletas!L421="Outros Estilos A",113,IF(Atletas!L421="Chaquan B",114,IF(Atletas!L421="Emeiquan B",115,IF(Atletas!L421="Fanziquan B",116,IF(Atletas!L421="Huaquan B",117,IF(Atletas!L421="Hongquan B",118,IF(Atletas!L421="Paochui B",119,IF(Atletas!L421="Piguaquan B",120,IF(Atletas!L421="Shaolinquan B",121,IF(Atletas!L421="Tanglangquan B",122,IF(Atletas!L421="Yinzhaophai B",123,IF(Atletas!L421="Tongbeiquan B",124,IF(Atletas!L421="Wudangquan B",125,IF(Atletas!L421="Outros Estilos B",126,IF(Atletas!L421="Chaquan C",127,IF(Atletas!L421="Emeiquan C",128,IF(Atletas!L421="Fanziquan C",129,IF(Atletas!L421="Huaquan C",130,IF(Atletas!L421="Hongquan C",131,IF(Atletas!L421="Paochui C",132,IF(Atletas!L421="Piguaquan C",133,IF(Atletas!L421="Shaolinquan C",134,IF(Atletas!L421="Tanglangquan C",135,IF(Atletas!L421="Yinzhaophai C",136,IF(Atletas!L421="Tongbeiquan C",137,IF(Atletas!L421="Wudangquan C",138,IF(Atletas!L421="Outros Estilos C",139,0))))))))))))))))))))))))))))))))))))))))))</f>
        <v/>
      </c>
      <c r="BM425" s="52" t="str">
        <f>IF(Atletas!L421="","",IF(Atletas!W421&lt;&gt;"",10000,0)+(IF(Atletas!B421="Feminino",1000,IF(Atletas!B421="Masculino",2000,""))+(IF(Atletas!L421="Chaquan D",140,IF(Atletas!L421="Emeiquan D",141,IF(Atletas!L421="Fanziquan D",142,IF(Atletas!L421="Huaquan D",143,IF(Atletas!L421="Hongquan D",144,IF(Atletas!L421="Paochui D",145,IF(Atletas!L421="Piguaquan D",146,IF(Atletas!L421="Shaolinquan D",147,IF(Atletas!L421="Tanglangquan D",148,IF(Atletas!L421="Yinzhaophai D",149,IF(Atletas!L421="Tongbeiquan D",150,IF(Atletas!L421="Wudangquan D",151,IF(Atletas!L421="Outros Estilos D",152,IF(Atletas!L421="Chaquan E",153,IF(Atletas!L421="Emeiquan E",154,IF(Atletas!L421="Fanziquan E",155,IF(Atletas!L421="Huaquan E",156,IF(Atletas!L421="Hongquan E",157,IF(Atletas!L421="Paochui E",158,IF(Atletas!L421="Piguaquan E",159,IF(Atletas!L421="Shaolinquan E",160,IF(Atletas!L421="Tanglangquan E",161,IF(Atletas!L421="Yinzhaophai E",162,IF(Atletas!L421="Tongbeiquan E",163,IF(Atletas!L421="Wudangquan E",164,IF(Atletas!L421="Outros Estilos E",165,IF(Atletas!L421="Chaquan F",166,IF(Atletas!L421="Emeiquan F",167,IF(Atletas!L421="Fanziquan F",168,IF(Atletas!L421="Huaquan F",169,IF(Atletas!L421="Hongquan F",170,IF(Atletas!L421="Paochui F",171,IF(Atletas!L421="Piguaquan F",172,IF(Atletas!L421="Shaolinquan F",173,IF(Atletas!L421="Tanglangquan F",174,IF(Atletas!L421="Yinzhaophai F",175,IF(Atletas!L421="Tongbeiquan F",176,IF(Atletas!L421="Wudangquan F",177,IF(Atletas!L421="Outros Estilos F",178,0))))))))))))))))))))))))))))))))))))))))))</f>
        <v/>
      </c>
      <c r="BN425" s="52" t="str">
        <f>IF(Atletas!M421="","",IF(Atletas!W421&lt;&gt;"",10000,0)+(IF(Atletas!B421="Feminino",1000,IF(Atletas!B421="Masculino",2000,""))+(IF(Atletas!M421="Ditangquan A",201,IF(Atletas!M421="Houquan A",202,IF(Atletas!M421="Zuiquan A",203,IF(Atletas!M421="Ditangquan B",204,IF(Atletas!M421="Houquan B",205,IF(Atletas!M421="Zuiquan B",206,IF(Atletas!M421="Ditangquan C",207,IF(Atletas!M421="Houquan C",208,IF(Atletas!M421="Zuiquan C",209,IF(Atletas!M421="Ditangquan D",210,IF(Atletas!M421="Houquan D",211,IF(Atletas!M421="Zuiquan D",212,IF(Atletas!M421="Ditangquan E",213,IF(Atletas!M421="Houquan E",214,IF(Atletas!M421="Zuiquan E",215,IF(Atletas!M421="Ditangquan F",216,IF(Atletas!M421="Houquan F",217,IF(Atletas!M421="Zuiquan F",218,"")))))))))))))))))))))</f>
        <v/>
      </c>
      <c r="BO425" s="52" t="str">
        <f>IF(Atletas!N421="","",IF(Atletas!W421&lt;&gt;"",10000,0)+IF(Atletas!B421="Feminino",1000,IF(Atletas!B421="Masculino",2000,""))+IF(Atletas!N421="Yang A",301,IF(Atletas!N421="Chen A",30,IF(Atletas!N421="Sun A",303,IF(Atletas!N421="Wu A",304,IF(Atletas!N421="Wu-Hao A",305,IF(Atletas!N421="Outro Taijiquan A",306,IF(Atletas!N421="Yang B",307,IF(Atletas!N421="Chen B",308,IF(Atletas!N421="Sun B",309,IF(Atletas!N421="Wu B",310,IF(Atletas!N421="Wu-Hao B",311,IF(Atletas!N421="Outro Taijiquan B",312,IF(Atletas!N421="Yang C",313,IF(Atletas!N421="Chen C",314,IF(Atletas!N421="Sun C",315,IF(Atletas!N421="Wu C",316,IF(Atletas!N421="Wu-Hao C",317,IF(Atletas!N421="Outro Taijiquan C",318,IF(Atletas!N421="Yang D",319,IF(Atletas!N421="Chen D",320,IF(Atletas!N421="Sun D",321,IF(Atletas!N421="Wu D",322,IF(Atletas!N421="Wu-Hao D",323,IF(Atletas!N421="Outro Taijiquan D",324,IF(Atletas!N421="Yang E",325,IF(Atletas!N421="Chen E",326,IF(Atletas!N421="Sun E",327,IF(Atletas!N421="Wu E",328,IF(Atletas!N421="Wu-Hao E",329,IF(Atletas!N421="Outro Taijiquan E",330,IF(Atletas!N421="Yang F",331,IF(Atletas!N421="Chen F",332,IF(Atletas!N421="Sun F",333,IF(Atletas!N421="Wu F",334,IF(Atletas!N421="Wu-Hao F",335,IF(Atletas!N421="Outro Taijiquan F",336,"")))))))))))))))))))))))))))))))))))))</f>
        <v/>
      </c>
      <c r="BP425" s="52" t="str">
        <f>IF(Atletas!O421="","",IF(Atletas!W421&lt;&gt;"",10000,0)+IF(Atletas!B421="Feminino",1000,IF(Atletas!B421="Masculino",2000,""))+IF(OR(Atletas!O421="Yang 26 A",Atletas!O421="Yang 40 A"),401,IF(OR(Atletas!O421="Chen 25 A",Atletas!O421="Chen 36 A",Atletas!O421="Chen 56 A"),402,IF(Atletas!O421="Sun 73 A",403,IF(Atletas!O421="Wu 45 A",404,IF(Atletas!O421="Wu-Hao 46 A",405,IF(OR(Atletas!O421="Taijiquan 16 A",Atletas!O421="Taijiquan 24 A",Atletas!O421="Taijiquan 32 A",Atletas!O421="Taijiquan 42 A"),406,IF(OR(Atletas!O421="Yang 26 B",Atletas!O421="Yang 40 B"),407,IF(OR(Atletas!O421="Chen 25 B",Atletas!O421="Chen 36 B",Atletas!O421="Chen 56 B"),408,IF(Atletas!O421="Sun 73 B",409,IF(Atletas!O421="Wu 45 B",410,IF(Atletas!O421="Wu-Hao 46 B",411,IF(OR(Atletas!O421="Taijiquan 16 B",Atletas!O421="Taijiquan 24 B",Atletas!O421="Taijiquan 32 B",Atletas!O421="Taijiquan 42 B"),412,IF(OR(Atletas!O421="Yang 26 C",Atletas!O421="Yang 40 C"),413,IF(OR(Atletas!O421="Chen 25 C",Atletas!O421="Chen 36 C",Atletas!O421="Chen 56 C"),414,IF(Atletas!O421="Sun 73 C",415,IF(Atletas!O421="Wu 45 C",416,IF(Atletas!O421="Wu-Hao 46 C",417,IF(OR(Atletas!O421="Taijiquan 16 C",Atletas!O421="Taijiquan 24 C",Atletas!O421="Taijiquan 32 C",Atletas!O421="Taijiquan 42 C"),418,0)))))))))))))))))))</f>
        <v/>
      </c>
      <c r="BQ425" s="52" t="str">
        <f>IF(Atletas!O421="","",IF(Atletas!W421&lt;&gt;"",10000,0)+IF(Atletas!B421="Feminino",1000,IF(Atletas!B421="Masculino",2000,""))+IF(OR(Atletas!O421="Yang 26 D",Atletas!O421="Yang 40 D"),419,IF(OR(Atletas!O421="Chen 25 D",Atletas!O421="Chen 36 D",Atletas!O421="Chen 56 D"),420,IF(Atletas!O421="Sun 73 D",421,IF(Atletas!O421="Wu 45 D",422,IF(Atletas!O421="Wu-Hao 46 D",423,IF(OR(Atletas!O421="Taijiquan 16 D",Atletas!O421="Taijiquan 24 D",Atletas!O421="Taijiquan 32 D",Atletas!O421="Taijiquan 42 D"),424,IF(OR(Atletas!O421="Yang 26 E",Atletas!O421="Yang 40 E"),425,IF(OR(Atletas!O421="Chen 25 E",Atletas!O421="Chen 36 E",Atletas!O421="Chen 56 E"),426,IF(Atletas!O421="Sun 73 E",427,IF(Atletas!O421="Wu 45 E",428,IF(Atletas!O421="Wu-Hao 46 E",429,IF(OR(Atletas!O421="Taijiquan 16 E",Atletas!O421="Taijiquan 24 E",Atletas!O421="Taijiquan 32 E",Atletas!O421="Taijiquan 42 E"),430,IF(OR(Atletas!O421="Yang 26 F",Atletas!O421="Yang 40 F"),431,IF(OR(Atletas!O421="Chen 25 F",Atletas!O421="Chen 36 F",Atletas!O421="Chen 56 F"),432,IF(Atletas!O421="Sun 73 F",433,IF(Atletas!O421="Wu 45 F",434,IF(Atletas!O421="Wu-Hao 46 F",435,IF(OR(Atletas!O421="Taijiquan 16 F",Atletas!O421="Taijiquan 24 F",Atletas!O421="Taijiquan 32 F",Atletas!O421="Taijiquan 42 F"),436,0)))))))))))))))))))</f>
        <v/>
      </c>
      <c r="BR425" s="52" t="str">
        <f>IF(Atletas!P421="","",IF(Atletas!W421&lt;&gt;"",10000,0)+IF(Atletas!B421="Feminino",1000,IF(Atletas!B421="Masculino",2000,""))+IF(Atletas!P421="Xingyiquan A",501,IF(Atletas!P421="Baguazhang A",502,IF(Atletas!P421="Outro Estilo Interno A",503,IF(Atletas!P421="Xingyiquan B",504,IF(Atletas!P421="Baguazhang B",505,IF(Atletas!P421="Outro Estilo Interno B",506,IF(Atletas!P421="Xingyiquan C",507,IF(Atletas!P421="Baguazhang C",508,IF(Atletas!P421="Outro Estilo Interno C",509,IF(Atletas!P421="Xingyiquan D",510,IF(Atletas!P421="Baguazhang D",511,IF(Atletas!P421="Outro Estilo Interno D",512,IF(Atletas!P421="Xingyiquan E",513,IF(Atletas!P421="Baguazhang E",514,IF(Atletas!P421="Outro Estilo Interno E",515,IF(Atletas!P421="Xingyiquan F",516,IF(Atletas!P421="Baguazhang F",517,IF(Atletas!P421="Outro Estilo Interno F",518, "")))))))))))))))))))</f>
        <v/>
      </c>
      <c r="BS425" s="52" t="str">
        <f>IF(Atletas!Q421="","",IF(Atletas!W421&lt;&gt;"",10000,0)+IF(Atletas!B421="Feminino",1000,IF(Atletas!B421="Masculino",2000,""))+IF(Atletas!Q421="Dao A",601,IF(Atletas!Q421="Jian A",602,IF(Atletas!Q421="Bishou A",603,IF(Atletas!Q421="Shan A",604,IF(Atletas!Q421="Outra Arma Curta A",605,IF(Atletas!Q421="Dao B",606,IF(Atletas!Q421="Jian B",607,IF(Atletas!Q421="Bishou B",608,IF(Atletas!Q421="Shan B",609,IF(Atletas!Q421="Outra Arma Curta B",610,IF(Atletas!Q421="Dao C",611,IF(Atletas!Q421="Jian C",612,IF(Atletas!Q421="Bishou C",613,IF(Atletas!Q421="Shan C",614,IF(Atletas!Q421="Outra Arma Curta C",615,IF(Atletas!Q421="Dao D",616,IF(Atletas!Q421="Jian D",617,IF(Atletas!Q421="Bishou D",618,IF(Atletas!Q421="Shan D",619,IF(Atletas!Q421="Outra Arma Curta D",620,IF(Atletas!Q421="Dao E",621,IF(Atletas!Q421="Jian E",622,IF(Atletas!Q421="Bishou E",623,IF(Atletas!Q421="Shan E",624,IF(Atletas!Q421="Outra Arma Curta E",625,IF(Atletas!Q421="Dao F",626,IF(Atletas!Q421="Jian F",627,IF(Atletas!Q421="Bishou F",628,IF(Atletas!Q421="Shan F",629,IF(Atletas!Q421="Outra Arma Curta F",630, "")))))))))))))))))))))))))))))))</f>
        <v/>
      </c>
      <c r="BT425" s="52" t="str">
        <f>IF(Atletas!R421="","",IF(Atletas!W421&lt;&gt;"",10000,0)+IF(Atletas!B421="Feminino",1000,IF(Atletas!B421="Masculino",2000,""))+IF(Atletas!R421="Gun A",701,IF(Atletas!R421="Qiang A",702,IF(Atletas!R421="Pudao / Guandao A",703,IF(Atletas!R421="Outra Arma Longa A",704,IF(Atletas!R421="Gun B",705,IF(Atletas!R421="Qiang B",706,IF(Atletas!R421="Pudao / Guandao B",707,IF(Atletas!R421="Outra Arma Longa B",708,IF(Atletas!R421="Gun C",709,IF(Atletas!R421="Qiang C",710,IF(Atletas!R421="Pudao / Guandao C",711,IF(Atletas!R421="Outra Arma Longa C",712,IF(Atletas!R421="Gun D",713,IF(Atletas!R421="Qiang D",714,IF(Atletas!R421="Pudao / Guandao D",715,IF(Atletas!R421="Outra Arma Longa D",716,IF(Atletas!R421="Gun E",717,IF(Atletas!R421="Qiang E",718,IF(Atletas!R421="Pudao / Guandao E",719,IF(Atletas!R421="Outra Arma Longa E",720,IF(Atletas!R421="Gun F",721,IF(Atletas!R421="Qiang F",722,IF(Atletas!R421="Pudao / Guandao F",723,IF(Atletas!R421="Outra Arma Longa F",724,"")))))))))))))))))))))))))</f>
        <v/>
      </c>
      <c r="BU425" s="52" t="str">
        <f>IF(Atletas!S421="","",IF(Atletas!W421&lt;&gt;"",10000,0)+IF(Atletas!B421="Feminino",1000,IF(Atletas!B421="Masculino",2000,""))+IF(Atletas!S421="Arma Dupla A",801,IF(Atletas!S421="Arma Maleável A",802,IF(Atletas!S421="Arma Dupla B",803,IF(Atletas!S421="Arma Maleável B",804,IF(Atletas!S421="Arma Dupla C",805,IF(Atletas!S421="Arma Maleável C",806,IF(Atletas!S421="Arma Dupla D",807,IF(Atletas!S421="Arma Maleável D",808,IF(Atletas!S421="Arma Dupla E",809,IF(Atletas!S421="Arma Maleável E",810,IF(Atletas!S421="Arma Dupla F",811,IF(Atletas!S421="Arma Maleável F",812, "")))))))))))))</f>
        <v/>
      </c>
      <c r="BV425" s="52" t="str">
        <f>IF(Atletas!T421="","",IF(Atletas!W421&lt;&gt;"",10000,0)+IF(Atletas!B421="Feminino",1000,IF(Atletas!B421="Masculino",2000,""))+IF(Atletas!T421="Taijijian Yang A",901,IF(Atletas!T421="Taijijian Chen A",902,IF(Atletas!T421="Taijijian Sun A",903,IF(Atletas!T421="Taijijian Wu A",904,IF(Atletas!T421="Taijijian Wu-Hao A",905,IF(Atletas!T421="Taijijian 32 A",906,IF(Atletas!T421="Taijijian 42 A",907,IF(Atletas!T421="Taijijian Yang B",908,IF(Atletas!T421="Taijijian Chen B",909,IF(Atletas!T421="Taijijian Sun B",910,IF(Atletas!T421="Taijijian Wu B",911,IF(Atletas!T421="Taijijian Wu-Hao B",912,IF(Atletas!T421="Taijijian 32 B",913,IF(Atletas!T421="Taijijian 42 B",914,IF(Atletas!T421="Taijijian Yang C",915,IF(Atletas!T421="Taijijian Chen C",916,IF(Atletas!T421="Taijijian Sun C",917,IF(Atletas!T421="Taijijian Wu C",918,IF(Atletas!T421="Taijijian Wu-Hao C",919,IF(Atletas!T421="Taijijian 32 C",920,IF(Atletas!T421="Taijijian 42 C",921,IF(Atletas!T421="Taijijian Yang D",922,IF(Atletas!T421="Taijijian Chen D",923,IF(Atletas!T421="Taijijian Sun D",924,IF(Atletas!T421="Taijijian Wu D",925,IF(Atletas!T421="Taijijian Wu-Hao D",926,IF(Atletas!T421="Taijijian 32 D",927,IF(Atletas!T421="Taijijian 42 D",928,IF(Atletas!T421="Taijijian Yang E",929,IF(Atletas!T421="Taijijian Chen E",930,IF(Atletas!T421="Taijijian Sun E",931,IF(Atletas!T421="Taijijian Wu E",932,IF(Atletas!T421="Taijijian Wu-Hao E",933,IF(Atletas!T421="Taijijian 32 E",934,IF(Atletas!T421="Taijijian 42 E",935,IF(Atletas!T421="Taijijian Yang F",936,IF(Atletas!T421="Taijijian Chen F",937,IF(Atletas!T421="Taijijian Sun F",938,IF(Atletas!T421="Taijijian Wu F",939,IF(Atletas!T421="Taijijian Wu-Hao F",940,IF(Atletas!T421="Taijijian 32 F",941,IF(Atletas!T421="Taijijian 42 F",942,"")))))))))))))))))))))))))))))))))))))))))))</f>
        <v/>
      </c>
      <c r="BW425" s="52" t="str">
        <f>IF(Atletas!U421="","",IF(Atletas!W421&lt;&gt;"",10000,0)+IF(Atletas!B421="Feminino",1000,IF(Atletas!B421="Masculino",2000,""))+IF(Atletas!T421="Taijijian 42 F",942,IF(Atletas!U421="Taijidao A",943,IF(Atletas!U421="Taijishan A",944,IF(Atletas!U421="Taijiqiang A",945,IF(Atletas!U421="Taijidao B",946,IF(Atletas!U421="Taijishan B",947,IF(Atletas!U421="Taijiqiang B",948,IF(Atletas!U421="Taijidao C",949,IF(Atletas!U421="Taijishan C",950,IF(Atletas!U421="Taijiqiang C",951,IF(Atletas!U421="Taijidao D",952,IF(Atletas!U421="Taijishan D",953,IF(Atletas!U421="Taijiqiang D",954,IF(Atletas!U421="Taijidao E",955,IF(Atletas!U421="Taijishan E",956,IF(Atletas!U421="Taijiqiang E",957,IF(Atletas!U421="Taijidao F",958,IF(Atletas!U421="Taijishan F",959,IF(Atletas!U421="Taijiqiang F",960))))))))))))))))))))</f>
        <v/>
      </c>
      <c r="CF425" s="52" t="str">
        <f xml:space="preserve"> IF(Atletas!V421="","",IF(Atletas!V421="Duilian de Mãos AB - Equipe 1",1,IF(Atletas!V421="Duilian de Mãos AB - Equipe 2",2,IF(Atletas!V421="Duilian de Armas AB - Equipe 1",3,IF(Atletas!V421="Duilian de Armas AB - Equipe 2",4,IF(Atletas!V421="Duilian de Tuishou - Equipe 1",5,IF(Atletas!V421="Duilian de Tuishou - Equipe 2",6,IF(Atletas!V421="Grupo Externo AB - Equipe 1",7,IF(Atletas!V421="Grupo Externo AB - Equipe 2",8,IF(Atletas!V421="Grupo Interno AB - Equipe 1",9,IF(Atletas!V421="Grupo Interno AB - Equipe 2",10,IF(Atletas!V421="Duilian de Mãos CD - Equipe 1",11,IF(Atletas!V421="Duilian de Mãos CD - Equipe 2",12,IF(Atletas!V421="Duilian de Armas CD - Equipe 1",13,IF(Atletas!V421="Duilian de Armas CD - Equipe 2",14,IF(Atletas!V421="Duilian de Tuishou - Equipe 1",15,IF(Atletas!V421="Duilian de Tuishou - Equipe 2",16,IF(Atletas!V421="Grupo Externo CDEF - Equipe 1",17,IF(Atletas!V421="Grupo Externo CDEF - Equipe 2",18,IF(Atletas!V421="Grupo Interno CDEF - Equipe 1",19,IF(Atletas!V421="Grupo Interno CDEF - Equipe 2",20,IF(Atletas!V421="Duilian de Mãos EF - Equipe 1",21,IF(Atletas!V421="Duilian de Mãos EF - Equipe 2",22,IF(Atletas!V421="Duilian de Armas EF - Equipe 1",23,IF(Atletas!V421="Duilian de Armas EF - Equipe 2",24,IF(Atletas!V421="Duilian de Tuishou - Equipe 1",25,IF(Atletas!V421="Duilian de Tuishou - Equipe 2",26,"")))))))))))))))))))))))))))</f>
        <v/>
      </c>
    </row>
    <row r="426" spans="36:84">
      <c r="AJ426" s="46" t="str">
        <f>IF(Atletas!D422="","",IF(Atletas!B422="Feminino",100,IF(Atletas!B422="Masculino",200,""))+(IF(Atletas!D422="Infantil 39kg",1,IF(Atletas!D422="Infantil 42kg",2,IF(Atletas!D422="Infantil 45kg",3,IF(Atletas!D422="Infantil 48kg",4,IF(Atletas!D422="Infantil 52kg",5,IF(Atletas!D422="Infantil 56kg",6,IF(Atletas!D422="Infantil 60kg",7,IF(Atletas!D422="Juvenil 48kg",8,IF(Atletas!D422="Juvenil 52kg",9,IF(Atletas!D422="Juvenil 56kg",10,IF(Atletas!D422="Juvenil 60kg",11,IF(Atletas!D422="Juvenil 65kg",12,IF(Atletas!D422="Juvenil 70kg",13,IF(Atletas!D422="Juvenil 75kg",14,IF(Atletas!D422="Juvenil 80kg",15,IF(Atletas!D422="Adulto 48kg",16,IF(Atletas!D422="Adulto 52kg",17,IF(Atletas!D422="Adulto 56kg",18,IF(Atletas!D422="Adulto 60kg",19,IF(Atletas!D422="Adulto 65kg",20,IF(Atletas!D422="Adulto 70kg",21,IF(Atletas!D422="Adulto 75kg",22,IF(Atletas!D422="Adulto 80kg",23,IF(Atletas!D422="Adulto 85kg",24,IF(Atletas!D422="Adulto 90kg",25,IF(Atletas!D422="Adulto +90kg",26,""))))))))))))))))))))))))))))</f>
        <v/>
      </c>
      <c r="AO426" s="10" t="str">
        <f>IF(Atletas!E422="","",IF(Atletas!B422="Feminino",100,IF(Atletas!B422="Masculino",200,""))+(IF(Atletas!E422="Juvenil 44kg",1,IF(Atletas!E422="Juvenil 48kg",2,IF(Atletas!E422="Juvenil 52kg",3,IF(Atletas!E422="Juvenil 56kg",4,IF(Atletas!E422="Juvenil 60kg",5,IF(Atletas!E422="Juvenil 65kg",6,IF(Atletas!E422="Juvenil 70kg",7,IF(Atletas!E422="Juvenil 75kg",8,IF(Atletas!E422="Juvenil 82kg",9,IF(Atletas!E422="Juvenil 90kg",10,IF(Atletas!E422="Juvenil 100kg",11,IF(Atletas!E422="Adulto 48kg",12,IF(Atletas!E422="Adulto 52kg",13,IF(Atletas!E422="Adulto 56kg",14,IF(Atletas!E422="Adulto 60kg",15,IF(Atletas!E422="Adulto 65kg",16,IF(Atletas!E422="Adulto 70kg",17,IF(Atletas!E422="Adulto 75kg",18,IF(Atletas!E422="Adulto 82kg",19,IF(Atletas!E422="Adulto 90kg",20,IF(Atletas!E422="Adulto 100kg",21,IF(Atletas!E422="Adulto +100kg",22,""))))))))))))))))))))))))</f>
        <v/>
      </c>
      <c r="AT426" s="10" t="str">
        <f>IF(Atletas!F422="","",IF(Atletas!B422="Feminino",100,IF(Atletas!B422="Masculino",200,""))+(IF(Atletas!F422="Adulto 48kg",1,IF(Atletas!F422="Adulto 56kg",2,IF(Atletas!F422="Adulto 65kg",3,IF(Atletas!F422="Adulto 75kg",4,IF(Atletas!F422="Adulto +75kg",5,IF(Atletas!F422="Adulto 52kg",6,IF(Atletas!F422="Adulto 60kg",7,IF(Atletas!F422="Adulto 70kg",8,IF(Atletas!F422="Adulto 80kg",9,IF(Atletas!F422="Adulto 90kg",10,IF(Atletas!F422="Adulto +90kg",11,"")))))))))))))</f>
        <v/>
      </c>
      <c r="AY426" s="46" t="str">
        <f>IF(Atletas!G422="","",IF(Atletas!B422="Feminino",100,IF(Atletas!B422="Masculino",200,""))+(IF(Atletas!G422="Changquan Mirim",1,IF(Atletas!G422="Nanquan Mirim",2,IF(Atletas!G422="Taijiquan Mirim",3,IF(Atletas!G422="Changquan Grupo C",4,IF(Atletas!G422="Nanquan Grupo C",5,IF(Atletas!G422="Taijiquan Grupo C",6,IF(Atletas!G422="Changquan Grupo B",7,IF(Atletas!G422="Nanquan Grupo B",8,IF(Atletas!G422="Taijiquan Grupo B",9,IF(Atletas!G422="Changquan Grupo A",10,IF(Atletas!G422="Nanquan Grupo A",11,IF(Atletas!G422="Taijiquan Grupo A",12,IF(Atletas!G422="Changquan Opcional",13,IF(Atletas!G422="Nanquan Opcional",14,IF(Atletas!G422="Taijiquan Opcional",15,IF(Atletas!G422="Changquan Adulto",16,IF(Atletas!G422="Nanquan Adulto",17,IF(Atletas!G422="Taijiquan Adulto",18,""))))))))))))))))))))</f>
        <v/>
      </c>
      <c r="AZ426" s="46" t="str">
        <f>IF(Atletas!H422="","",IF(Atletas!B422="Feminino",100,IF(Atletas!B422="Masculino",200,""))+(IF(Atletas!H422="Daoshu Mirim",19,IF(Atletas!H422="Jianshu Mirim",20,IF(Atletas!H422="Nandao Mirim",21,IF(Atletas!H422="Taijijian Mirim",22,IF(Atletas!H422="Daoshu Grupo C",23,IF(Atletas!H422="Jianshu Grupo C",24,IF(Atletas!H422="Nandao Grupo C",25,IF(Atletas!H422="Taijijian Grupo C",26,IF(Atletas!H422="Daoshu Grupo B",27,IF(Atletas!H422="Jianshu Grupo B",28,IF(Atletas!H422="Nandao Grupo B",29,IF(Atletas!H422="Taijijian Grupo B",30,IF(Atletas!H422="Daoshu Grupo A",31,IF(Atletas!H422="Jianshu Grupo A",32,IF(Atletas!H422="Nandao Grupo A",33,IF(Atletas!H422="Taijijian Grupo A",34,IF(Atletas!H422="Daoshu Opcional",35,IF(Atletas!H422="Jianshu Opcional",36,IF(Atletas!H422="Nandao Opcional",37,IF(Atletas!H422="Taijijian Opcional",38,IF(Atletas!H422="Daoshu Adulto",39,IF(Atletas!H422="Jianshu Adulto",40,IF(Atletas!H422="Nandao Adulto",41,IF(Atletas!H422="Taijijian Adulto",42,""))))))))))))))))))))))))))</f>
        <v/>
      </c>
      <c r="BA426" s="46" t="str">
        <f>IF(Atletas!I422="","",IF(Atletas!B422="Feminino",100,IF(Atletas!B422="Masculino",200,""))+(IF(Atletas!I422="Gunshu Mirim",43,IF(Atletas!I422="Qiangshu Mirim",44,IF(Atletas!I422="Nangun Mirim",45,IF(Atletas!I422="Gunshu Grupo C",46,IF(Atletas!I422="Qiangshu Grupo C",47,IF(Atletas!I422="Nangun Grupo C",48,IF(Atletas!I422="Gunshu Grupo B",49,IF(Atletas!I422="Qiangshu Grupo B",50,IF(Atletas!I422="Nangun Grupo B",51,IF(Atletas!I422="Gunshu Grupo A",52,IF(Atletas!I422="Qiangshu Grupo A",53,IF(Atletas!I422="Nangun Grupo A",54,IF(Atletas!I422="Gunshu Opcional",55,IF(Atletas!I422="Qiangshu Opcional",56,IF(Atletas!I422="Nangun Opcional",57,IF(Atletas!I422="Gunshu Adulto",58,IF(Atletas!I422="Qiangshu Adulto",59,IF(Atletas!I422="Nangun Adulto",60,""))))))))))))))))))))</f>
        <v/>
      </c>
      <c r="BF426" s="52" t="str">
        <f>IF(Atletas!J422="","",IF(Atletas!B422="Feminino",100,IF(Atletas!B422="Masculino",200,""))+(IF(Atletas!J422="Equipe 1 Grupo B",1,IF(Atletas!J422="Equipe 2 Grupo B",2,IF(Atletas!J422="Equipe 1 Grupo A",3,IF(Atletas!J422="Equipe 2 Grupo A",4,IF(Atletas!J422="Equipe 1 Adulto",5,IF(Atletas!J422="Equipe 2 Adulto",6,""))))))))</f>
        <v/>
      </c>
      <c r="BK426" s="52" t="str">
        <f>IF(Atletas!K422="","",IF(Atletas!W422&lt;&gt;"",10000,0)+(IF(Atletas!B422="Feminino",1000,IF(Atletas!B422="Masculino",2000,""))+IF(Atletas!K422="Choylayfut A",1,IF(Atletas!K422="Hunggar A",2,IF(Atletas!K422="Wuzuquan A",3,IF(Atletas!K422="Wingchun A",4,IF(Atletas!K422="Outra Mão de Sul A",5,IF(Atletas!K422="Choylayfut B",6,IF(Atletas!K422="Hunggar B",7,IF(Atletas!K422="Wuzuquan B",8,IF(Atletas!K422="Wingchun B",9,IF(Atletas!K422="Outra Mão de Sul B",10,IF(Atletas!K422="Choylayfut C",11,IF(Atletas!K422="Hunggar C",12,IF(Atletas!K422="Wuzuquan C",13,IF(Atletas!K422="Wingchun C",14,IF(Atletas!K422="Outra Mão de Sul C",15,IF(Atletas!K422="Choylayfut D",16,IF(Atletas!K422="Hunggar D",17,IF(Atletas!K422="Wuzuquan D",18,IF(Atletas!K422="Wingchun D",19,IF(Atletas!K422="Outra Mão de Sul D",20,IF(Atletas!K422="Choylayfut E",21,IF(Atletas!K422="Hunggar E",22,IF(Atletas!K422="Wuzuquan E",23,IF(Atletas!K422="Wingchun E",24,IF(Atletas!K422="Outra Mão de Sul E",25,IF(Atletas!K422="Choylayfut F",26,IF(Atletas!K422="Hunggar F",27,IF(Atletas!K422="Wuzuquan F",28,IF(Atletas!K422="Wingchun F",29,IF(Atletas!K422="Outra Mão de Sul F",30,""))))))))))))))))))))))))))))))))</f>
        <v/>
      </c>
      <c r="BL426" s="52" t="str">
        <f>IF(Atletas!L422="","",IF(Atletas!W422&lt;&gt;"",10000,0)+(IF(Atletas!B422="Feminino",1000,IF(Atletas!B422="Masculino",2000,""))+(IF(Atletas!L422="Chaquan A",101,IF(Atletas!L422="Emeiquan A",102,IF(Atletas!L422="Fanziquan A",103,IF(Atletas!L422="Huaquan A",104,IF(Atletas!L422="Hongquan A",105,IF(Atletas!L422="Paochui A",106,IF(Atletas!L422="Piguaquan A",107,IF(Atletas!L422="Shaolinquan A",108,IF(Atletas!L422="Tanglangquan A",109,IF(Atletas!L422="Yinzhaophai A",110,IF(Atletas!L422="Tongbeiquan A",111,IF(Atletas!L422="Wudangquan A",112,IF(Atletas!L422="Outros Estilos A",113,IF(Atletas!L422="Chaquan B",114,IF(Atletas!L422="Emeiquan B",115,IF(Atletas!L422="Fanziquan B",116,IF(Atletas!L422="Huaquan B",117,IF(Atletas!L422="Hongquan B",118,IF(Atletas!L422="Paochui B",119,IF(Atletas!L422="Piguaquan B",120,IF(Atletas!L422="Shaolinquan B",121,IF(Atletas!L422="Tanglangquan B",122,IF(Atletas!L422="Yinzhaophai B",123,IF(Atletas!L422="Tongbeiquan B",124,IF(Atletas!L422="Wudangquan B",125,IF(Atletas!L422="Outros Estilos B",126,IF(Atletas!L422="Chaquan C",127,IF(Atletas!L422="Emeiquan C",128,IF(Atletas!L422="Fanziquan C",129,IF(Atletas!L422="Huaquan C",130,IF(Atletas!L422="Hongquan C",131,IF(Atletas!L422="Paochui C",132,IF(Atletas!L422="Piguaquan C",133,IF(Atletas!L422="Shaolinquan C",134,IF(Atletas!L422="Tanglangquan C",135,IF(Atletas!L422="Yinzhaophai C",136,IF(Atletas!L422="Tongbeiquan C",137,IF(Atletas!L422="Wudangquan C",138,IF(Atletas!L422="Outros Estilos C",139,0))))))))))))))))))))))))))))))))))))))))))</f>
        <v/>
      </c>
      <c r="BM426" s="52" t="str">
        <f>IF(Atletas!L422="","",IF(Atletas!W422&lt;&gt;"",10000,0)+(IF(Atletas!B422="Feminino",1000,IF(Atletas!B422="Masculino",2000,""))+(IF(Atletas!L422="Chaquan D",140,IF(Atletas!L422="Emeiquan D",141,IF(Atletas!L422="Fanziquan D",142,IF(Atletas!L422="Huaquan D",143,IF(Atletas!L422="Hongquan D",144,IF(Atletas!L422="Paochui D",145,IF(Atletas!L422="Piguaquan D",146,IF(Atletas!L422="Shaolinquan D",147,IF(Atletas!L422="Tanglangquan D",148,IF(Atletas!L422="Yinzhaophai D",149,IF(Atletas!L422="Tongbeiquan D",150,IF(Atletas!L422="Wudangquan D",151,IF(Atletas!L422="Outros Estilos D",152,IF(Atletas!L422="Chaquan E",153,IF(Atletas!L422="Emeiquan E",154,IF(Atletas!L422="Fanziquan E",155,IF(Atletas!L422="Huaquan E",156,IF(Atletas!L422="Hongquan E",157,IF(Atletas!L422="Paochui E",158,IF(Atletas!L422="Piguaquan E",159,IF(Atletas!L422="Shaolinquan E",160,IF(Atletas!L422="Tanglangquan E",161,IF(Atletas!L422="Yinzhaophai E",162,IF(Atletas!L422="Tongbeiquan E",163,IF(Atletas!L422="Wudangquan E",164,IF(Atletas!L422="Outros Estilos E",165,IF(Atletas!L422="Chaquan F",166,IF(Atletas!L422="Emeiquan F",167,IF(Atletas!L422="Fanziquan F",168,IF(Atletas!L422="Huaquan F",169,IF(Atletas!L422="Hongquan F",170,IF(Atletas!L422="Paochui F",171,IF(Atletas!L422="Piguaquan F",172,IF(Atletas!L422="Shaolinquan F",173,IF(Atletas!L422="Tanglangquan F",174,IF(Atletas!L422="Yinzhaophai F",175,IF(Atletas!L422="Tongbeiquan F",176,IF(Atletas!L422="Wudangquan F",177,IF(Atletas!L422="Outros Estilos F",178,0))))))))))))))))))))))))))))))))))))))))))</f>
        <v/>
      </c>
      <c r="BN426" s="52" t="str">
        <f>IF(Atletas!M422="","",IF(Atletas!W422&lt;&gt;"",10000,0)+(IF(Atletas!B422="Feminino",1000,IF(Atletas!B422="Masculino",2000,""))+(IF(Atletas!M422="Ditangquan A",201,IF(Atletas!M422="Houquan A",202,IF(Atletas!M422="Zuiquan A",203,IF(Atletas!M422="Ditangquan B",204,IF(Atletas!M422="Houquan B",205,IF(Atletas!M422="Zuiquan B",206,IF(Atletas!M422="Ditangquan C",207,IF(Atletas!M422="Houquan C",208,IF(Atletas!M422="Zuiquan C",209,IF(Atletas!M422="Ditangquan D",210,IF(Atletas!M422="Houquan D",211,IF(Atletas!M422="Zuiquan D",212,IF(Atletas!M422="Ditangquan E",213,IF(Atletas!M422="Houquan E",214,IF(Atletas!M422="Zuiquan E",215,IF(Atletas!M422="Ditangquan F",216,IF(Atletas!M422="Houquan F",217,IF(Atletas!M422="Zuiquan F",218,"")))))))))))))))))))))</f>
        <v/>
      </c>
      <c r="BO426" s="52" t="str">
        <f>IF(Atletas!N422="","",IF(Atletas!W422&lt;&gt;"",10000,0)+IF(Atletas!B422="Feminino",1000,IF(Atletas!B422="Masculino",2000,""))+IF(Atletas!N422="Yang A",301,IF(Atletas!N422="Chen A",30,IF(Atletas!N422="Sun A",303,IF(Atletas!N422="Wu A",304,IF(Atletas!N422="Wu-Hao A",305,IF(Atletas!N422="Outro Taijiquan A",306,IF(Atletas!N422="Yang B",307,IF(Atletas!N422="Chen B",308,IF(Atletas!N422="Sun B",309,IF(Atletas!N422="Wu B",310,IF(Atletas!N422="Wu-Hao B",311,IF(Atletas!N422="Outro Taijiquan B",312,IF(Atletas!N422="Yang C",313,IF(Atletas!N422="Chen C",314,IF(Atletas!N422="Sun C",315,IF(Atletas!N422="Wu C",316,IF(Atletas!N422="Wu-Hao C",317,IF(Atletas!N422="Outro Taijiquan C",318,IF(Atletas!N422="Yang D",319,IF(Atletas!N422="Chen D",320,IF(Atletas!N422="Sun D",321,IF(Atletas!N422="Wu D",322,IF(Atletas!N422="Wu-Hao D",323,IF(Atletas!N422="Outro Taijiquan D",324,IF(Atletas!N422="Yang E",325,IF(Atletas!N422="Chen E",326,IF(Atletas!N422="Sun E",327,IF(Atletas!N422="Wu E",328,IF(Atletas!N422="Wu-Hao E",329,IF(Atletas!N422="Outro Taijiquan E",330,IF(Atletas!N422="Yang F",331,IF(Atletas!N422="Chen F",332,IF(Atletas!N422="Sun F",333,IF(Atletas!N422="Wu F",334,IF(Atletas!N422="Wu-Hao F",335,IF(Atletas!N422="Outro Taijiquan F",336,"")))))))))))))))))))))))))))))))))))))</f>
        <v/>
      </c>
      <c r="BP426" s="52" t="str">
        <f>IF(Atletas!O422="","",IF(Atletas!W422&lt;&gt;"",10000,0)+IF(Atletas!B422="Feminino",1000,IF(Atletas!B422="Masculino",2000,""))+IF(OR(Atletas!O422="Yang 26 A",Atletas!O422="Yang 40 A"),401,IF(OR(Atletas!O422="Chen 25 A",Atletas!O422="Chen 36 A",Atletas!O422="Chen 56 A"),402,IF(Atletas!O422="Sun 73 A",403,IF(Atletas!O422="Wu 45 A",404,IF(Atletas!O422="Wu-Hao 46 A",405,IF(OR(Atletas!O422="Taijiquan 16 A",Atletas!O422="Taijiquan 24 A",Atletas!O422="Taijiquan 32 A",Atletas!O422="Taijiquan 42 A"),406,IF(OR(Atletas!O422="Yang 26 B",Atletas!O422="Yang 40 B"),407,IF(OR(Atletas!O422="Chen 25 B",Atletas!O422="Chen 36 B",Atletas!O422="Chen 56 B"),408,IF(Atletas!O422="Sun 73 B",409,IF(Atletas!O422="Wu 45 B",410,IF(Atletas!O422="Wu-Hao 46 B",411,IF(OR(Atletas!O422="Taijiquan 16 B",Atletas!O422="Taijiquan 24 B",Atletas!O422="Taijiquan 32 B",Atletas!O422="Taijiquan 42 B"),412,IF(OR(Atletas!O422="Yang 26 C",Atletas!O422="Yang 40 C"),413,IF(OR(Atletas!O422="Chen 25 C",Atletas!O422="Chen 36 C",Atletas!O422="Chen 56 C"),414,IF(Atletas!O422="Sun 73 C",415,IF(Atletas!O422="Wu 45 C",416,IF(Atletas!O422="Wu-Hao 46 C",417,IF(OR(Atletas!O422="Taijiquan 16 C",Atletas!O422="Taijiquan 24 C",Atletas!O422="Taijiquan 32 C",Atletas!O422="Taijiquan 42 C"),418,0)))))))))))))))))))</f>
        <v/>
      </c>
      <c r="BQ426" s="52" t="str">
        <f>IF(Atletas!O422="","",IF(Atletas!W422&lt;&gt;"",10000,0)+IF(Atletas!B422="Feminino",1000,IF(Atletas!B422="Masculino",2000,""))+IF(OR(Atletas!O422="Yang 26 D",Atletas!O422="Yang 40 D"),419,IF(OR(Atletas!O422="Chen 25 D",Atletas!O422="Chen 36 D",Atletas!O422="Chen 56 D"),420,IF(Atletas!O422="Sun 73 D",421,IF(Atletas!O422="Wu 45 D",422,IF(Atletas!O422="Wu-Hao 46 D",423,IF(OR(Atletas!O422="Taijiquan 16 D",Atletas!O422="Taijiquan 24 D",Atletas!O422="Taijiquan 32 D",Atletas!O422="Taijiquan 42 D"),424,IF(OR(Atletas!O422="Yang 26 E",Atletas!O422="Yang 40 E"),425,IF(OR(Atletas!O422="Chen 25 E",Atletas!O422="Chen 36 E",Atletas!O422="Chen 56 E"),426,IF(Atletas!O422="Sun 73 E",427,IF(Atletas!O422="Wu 45 E",428,IF(Atletas!O422="Wu-Hao 46 E",429,IF(OR(Atletas!O422="Taijiquan 16 E",Atletas!O422="Taijiquan 24 E",Atletas!O422="Taijiquan 32 E",Atletas!O422="Taijiquan 42 E"),430,IF(OR(Atletas!O422="Yang 26 F",Atletas!O422="Yang 40 F"),431,IF(OR(Atletas!O422="Chen 25 F",Atletas!O422="Chen 36 F",Atletas!O422="Chen 56 F"),432,IF(Atletas!O422="Sun 73 F",433,IF(Atletas!O422="Wu 45 F",434,IF(Atletas!O422="Wu-Hao 46 F",435,IF(OR(Atletas!O422="Taijiquan 16 F",Atletas!O422="Taijiquan 24 F",Atletas!O422="Taijiquan 32 F",Atletas!O422="Taijiquan 42 F"),436,0)))))))))))))))))))</f>
        <v/>
      </c>
      <c r="BR426" s="52" t="str">
        <f>IF(Atletas!P422="","",IF(Atletas!W422&lt;&gt;"",10000,0)+IF(Atletas!B422="Feminino",1000,IF(Atletas!B422="Masculino",2000,""))+IF(Atletas!P422="Xingyiquan A",501,IF(Atletas!P422="Baguazhang A",502,IF(Atletas!P422="Outro Estilo Interno A",503,IF(Atletas!P422="Xingyiquan B",504,IF(Atletas!P422="Baguazhang B",505,IF(Atletas!P422="Outro Estilo Interno B",506,IF(Atletas!P422="Xingyiquan C",507,IF(Atletas!P422="Baguazhang C",508,IF(Atletas!P422="Outro Estilo Interno C",509,IF(Atletas!P422="Xingyiquan D",510,IF(Atletas!P422="Baguazhang D",511,IF(Atletas!P422="Outro Estilo Interno D",512,IF(Atletas!P422="Xingyiquan E",513,IF(Atletas!P422="Baguazhang E",514,IF(Atletas!P422="Outro Estilo Interno E",515,IF(Atletas!P422="Xingyiquan F",516,IF(Atletas!P422="Baguazhang F",517,IF(Atletas!P422="Outro Estilo Interno F",518, "")))))))))))))))))))</f>
        <v/>
      </c>
      <c r="BS426" s="52" t="str">
        <f>IF(Atletas!Q422="","",IF(Atletas!W422&lt;&gt;"",10000,0)+IF(Atletas!B422="Feminino",1000,IF(Atletas!B422="Masculino",2000,""))+IF(Atletas!Q422="Dao A",601,IF(Atletas!Q422="Jian A",602,IF(Atletas!Q422="Bishou A",603,IF(Atletas!Q422="Shan A",604,IF(Atletas!Q422="Outra Arma Curta A",605,IF(Atletas!Q422="Dao B",606,IF(Atletas!Q422="Jian B",607,IF(Atletas!Q422="Bishou B",608,IF(Atletas!Q422="Shan B",609,IF(Atletas!Q422="Outra Arma Curta B",610,IF(Atletas!Q422="Dao C",611,IF(Atletas!Q422="Jian C",612,IF(Atletas!Q422="Bishou C",613,IF(Atletas!Q422="Shan C",614,IF(Atletas!Q422="Outra Arma Curta C",615,IF(Atletas!Q422="Dao D",616,IF(Atletas!Q422="Jian D",617,IF(Atletas!Q422="Bishou D",618,IF(Atletas!Q422="Shan D",619,IF(Atletas!Q422="Outra Arma Curta D",620,IF(Atletas!Q422="Dao E",621,IF(Atletas!Q422="Jian E",622,IF(Atletas!Q422="Bishou E",623,IF(Atletas!Q422="Shan E",624,IF(Atletas!Q422="Outra Arma Curta E",625,IF(Atletas!Q422="Dao F",626,IF(Atletas!Q422="Jian F",627,IF(Atletas!Q422="Bishou F",628,IF(Atletas!Q422="Shan F",629,IF(Atletas!Q422="Outra Arma Curta F",630, "")))))))))))))))))))))))))))))))</f>
        <v/>
      </c>
      <c r="BT426" s="52" t="str">
        <f>IF(Atletas!R422="","",IF(Atletas!W422&lt;&gt;"",10000,0)+IF(Atletas!B422="Feminino",1000,IF(Atletas!B422="Masculino",2000,""))+IF(Atletas!R422="Gun A",701,IF(Atletas!R422="Qiang A",702,IF(Atletas!R422="Pudao / Guandao A",703,IF(Atletas!R422="Outra Arma Longa A",704,IF(Atletas!R422="Gun B",705,IF(Atletas!R422="Qiang B",706,IF(Atletas!R422="Pudao / Guandao B",707,IF(Atletas!R422="Outra Arma Longa B",708,IF(Atletas!R422="Gun C",709,IF(Atletas!R422="Qiang C",710,IF(Atletas!R422="Pudao / Guandao C",711,IF(Atletas!R422="Outra Arma Longa C",712,IF(Atletas!R422="Gun D",713,IF(Atletas!R422="Qiang D",714,IF(Atletas!R422="Pudao / Guandao D",715,IF(Atletas!R422="Outra Arma Longa D",716,IF(Atletas!R422="Gun E",717,IF(Atletas!R422="Qiang E",718,IF(Atletas!R422="Pudao / Guandao E",719,IF(Atletas!R422="Outra Arma Longa E",720,IF(Atletas!R422="Gun F",721,IF(Atletas!R422="Qiang F",722,IF(Atletas!R422="Pudao / Guandao F",723,IF(Atletas!R422="Outra Arma Longa F",724,"")))))))))))))))))))))))))</f>
        <v/>
      </c>
      <c r="BU426" s="52" t="str">
        <f>IF(Atletas!S422="","",IF(Atletas!W422&lt;&gt;"",10000,0)+IF(Atletas!B422="Feminino",1000,IF(Atletas!B422="Masculino",2000,""))+IF(Atletas!S422="Arma Dupla A",801,IF(Atletas!S422="Arma Maleável A",802,IF(Atletas!S422="Arma Dupla B",803,IF(Atletas!S422="Arma Maleável B",804,IF(Atletas!S422="Arma Dupla C",805,IF(Atletas!S422="Arma Maleável C",806,IF(Atletas!S422="Arma Dupla D",807,IF(Atletas!S422="Arma Maleável D",808,IF(Atletas!S422="Arma Dupla E",809,IF(Atletas!S422="Arma Maleável E",810,IF(Atletas!S422="Arma Dupla F",811,IF(Atletas!S422="Arma Maleável F",812, "")))))))))))))</f>
        <v/>
      </c>
      <c r="BV426" s="52" t="str">
        <f>IF(Atletas!T422="","",IF(Atletas!W422&lt;&gt;"",10000,0)+IF(Atletas!B422="Feminino",1000,IF(Atletas!B422="Masculino",2000,""))+IF(Atletas!T422="Taijijian Yang A",901,IF(Atletas!T422="Taijijian Chen A",902,IF(Atletas!T422="Taijijian Sun A",903,IF(Atletas!T422="Taijijian Wu A",904,IF(Atletas!T422="Taijijian Wu-Hao A",905,IF(Atletas!T422="Taijijian 32 A",906,IF(Atletas!T422="Taijijian 42 A",907,IF(Atletas!T422="Taijijian Yang B",908,IF(Atletas!T422="Taijijian Chen B",909,IF(Atletas!T422="Taijijian Sun B",910,IF(Atletas!T422="Taijijian Wu B",911,IF(Atletas!T422="Taijijian Wu-Hao B",912,IF(Atletas!T422="Taijijian 32 B",913,IF(Atletas!T422="Taijijian 42 B",914,IF(Atletas!T422="Taijijian Yang C",915,IF(Atletas!T422="Taijijian Chen C",916,IF(Atletas!T422="Taijijian Sun C",917,IF(Atletas!T422="Taijijian Wu C",918,IF(Atletas!T422="Taijijian Wu-Hao C",919,IF(Atletas!T422="Taijijian 32 C",920,IF(Atletas!T422="Taijijian 42 C",921,IF(Atletas!T422="Taijijian Yang D",922,IF(Atletas!T422="Taijijian Chen D",923,IF(Atletas!T422="Taijijian Sun D",924,IF(Atletas!T422="Taijijian Wu D",925,IF(Atletas!T422="Taijijian Wu-Hao D",926,IF(Atletas!T422="Taijijian 32 D",927,IF(Atletas!T422="Taijijian 42 D",928,IF(Atletas!T422="Taijijian Yang E",929,IF(Atletas!T422="Taijijian Chen E",930,IF(Atletas!T422="Taijijian Sun E",931,IF(Atletas!T422="Taijijian Wu E",932,IF(Atletas!T422="Taijijian Wu-Hao E",933,IF(Atletas!T422="Taijijian 32 E",934,IF(Atletas!T422="Taijijian 42 E",935,IF(Atletas!T422="Taijijian Yang F",936,IF(Atletas!T422="Taijijian Chen F",937,IF(Atletas!T422="Taijijian Sun F",938,IF(Atletas!T422="Taijijian Wu F",939,IF(Atletas!T422="Taijijian Wu-Hao F",940,IF(Atletas!T422="Taijijian 32 F",941,IF(Atletas!T422="Taijijian 42 F",942,"")))))))))))))))))))))))))))))))))))))))))))</f>
        <v/>
      </c>
      <c r="BW426" s="52" t="str">
        <f>IF(Atletas!U422="","",IF(Atletas!W422&lt;&gt;"",10000,0)+IF(Atletas!B422="Feminino",1000,IF(Atletas!B422="Masculino",2000,""))+IF(Atletas!T422="Taijijian 42 F",942,IF(Atletas!U422="Taijidao A",943,IF(Atletas!U422="Taijishan A",944,IF(Atletas!U422="Taijiqiang A",945,IF(Atletas!U422="Taijidao B",946,IF(Atletas!U422="Taijishan B",947,IF(Atletas!U422="Taijiqiang B",948,IF(Atletas!U422="Taijidao C",949,IF(Atletas!U422="Taijishan C",950,IF(Atletas!U422="Taijiqiang C",951,IF(Atletas!U422="Taijidao D",952,IF(Atletas!U422="Taijishan D",953,IF(Atletas!U422="Taijiqiang D",954,IF(Atletas!U422="Taijidao E",955,IF(Atletas!U422="Taijishan E",956,IF(Atletas!U422="Taijiqiang E",957,IF(Atletas!U422="Taijidao F",958,IF(Atletas!U422="Taijishan F",959,IF(Atletas!U422="Taijiqiang F",960))))))))))))))))))))</f>
        <v/>
      </c>
      <c r="CF426" s="52" t="str">
        <f xml:space="preserve"> IF(Atletas!V422="","",IF(Atletas!V422="Duilian de Mãos AB - Equipe 1",1,IF(Atletas!V422="Duilian de Mãos AB - Equipe 2",2,IF(Atletas!V422="Duilian de Armas AB - Equipe 1",3,IF(Atletas!V422="Duilian de Armas AB - Equipe 2",4,IF(Atletas!V422="Duilian de Tuishou - Equipe 1",5,IF(Atletas!V422="Duilian de Tuishou - Equipe 2",6,IF(Atletas!V422="Grupo Externo AB - Equipe 1",7,IF(Atletas!V422="Grupo Externo AB - Equipe 2",8,IF(Atletas!V422="Grupo Interno AB - Equipe 1",9,IF(Atletas!V422="Grupo Interno AB - Equipe 2",10,IF(Atletas!V422="Duilian de Mãos CD - Equipe 1",11,IF(Atletas!V422="Duilian de Mãos CD - Equipe 2",12,IF(Atletas!V422="Duilian de Armas CD - Equipe 1",13,IF(Atletas!V422="Duilian de Armas CD - Equipe 2",14,IF(Atletas!V422="Duilian de Tuishou - Equipe 1",15,IF(Atletas!V422="Duilian de Tuishou - Equipe 2",16,IF(Atletas!V422="Grupo Externo CDEF - Equipe 1",17,IF(Atletas!V422="Grupo Externo CDEF - Equipe 2",18,IF(Atletas!V422="Grupo Interno CDEF - Equipe 1",19,IF(Atletas!V422="Grupo Interno CDEF - Equipe 2",20,IF(Atletas!V422="Duilian de Mãos EF - Equipe 1",21,IF(Atletas!V422="Duilian de Mãos EF - Equipe 2",22,IF(Atletas!V422="Duilian de Armas EF - Equipe 1",23,IF(Atletas!V422="Duilian de Armas EF - Equipe 2",24,IF(Atletas!V422="Duilian de Tuishou - Equipe 1",25,IF(Atletas!V422="Duilian de Tuishou - Equipe 2",26,"")))))))))))))))))))))))))))</f>
        <v/>
      </c>
    </row>
    <row r="427" spans="36:84">
      <c r="AJ427" s="46" t="str">
        <f>IF(Atletas!D423="","",IF(Atletas!B423="Feminino",100,IF(Atletas!B423="Masculino",200,""))+(IF(Atletas!D423="Infantil 39kg",1,IF(Atletas!D423="Infantil 42kg",2,IF(Atletas!D423="Infantil 45kg",3,IF(Atletas!D423="Infantil 48kg",4,IF(Atletas!D423="Infantil 52kg",5,IF(Atletas!D423="Infantil 56kg",6,IF(Atletas!D423="Infantil 60kg",7,IF(Atletas!D423="Juvenil 48kg",8,IF(Atletas!D423="Juvenil 52kg",9,IF(Atletas!D423="Juvenil 56kg",10,IF(Atletas!D423="Juvenil 60kg",11,IF(Atletas!D423="Juvenil 65kg",12,IF(Atletas!D423="Juvenil 70kg",13,IF(Atletas!D423="Juvenil 75kg",14,IF(Atletas!D423="Juvenil 80kg",15,IF(Atletas!D423="Adulto 48kg",16,IF(Atletas!D423="Adulto 52kg",17,IF(Atletas!D423="Adulto 56kg",18,IF(Atletas!D423="Adulto 60kg",19,IF(Atletas!D423="Adulto 65kg",20,IF(Atletas!D423="Adulto 70kg",21,IF(Atletas!D423="Adulto 75kg",22,IF(Atletas!D423="Adulto 80kg",23,IF(Atletas!D423="Adulto 85kg",24,IF(Atletas!D423="Adulto 90kg",25,IF(Atletas!D423="Adulto +90kg",26,""))))))))))))))))))))))))))))</f>
        <v/>
      </c>
      <c r="AO427" s="10" t="str">
        <f>IF(Atletas!E423="","",IF(Atletas!B423="Feminino",100,IF(Atletas!B423="Masculino",200,""))+(IF(Atletas!E423="Juvenil 44kg",1,IF(Atletas!E423="Juvenil 48kg",2,IF(Atletas!E423="Juvenil 52kg",3,IF(Atletas!E423="Juvenil 56kg",4,IF(Atletas!E423="Juvenil 60kg",5,IF(Atletas!E423="Juvenil 65kg",6,IF(Atletas!E423="Juvenil 70kg",7,IF(Atletas!E423="Juvenil 75kg",8,IF(Atletas!E423="Juvenil 82kg",9,IF(Atletas!E423="Juvenil 90kg",10,IF(Atletas!E423="Juvenil 100kg",11,IF(Atletas!E423="Adulto 48kg",12,IF(Atletas!E423="Adulto 52kg",13,IF(Atletas!E423="Adulto 56kg",14,IF(Atletas!E423="Adulto 60kg",15,IF(Atletas!E423="Adulto 65kg",16,IF(Atletas!E423="Adulto 70kg",17,IF(Atletas!E423="Adulto 75kg",18,IF(Atletas!E423="Adulto 82kg",19,IF(Atletas!E423="Adulto 90kg",20,IF(Atletas!E423="Adulto 100kg",21,IF(Atletas!E423="Adulto +100kg",22,""))))))))))))))))))))))))</f>
        <v/>
      </c>
      <c r="AT427" s="10" t="str">
        <f>IF(Atletas!F423="","",IF(Atletas!B423="Feminino",100,IF(Atletas!B423="Masculino",200,""))+(IF(Atletas!F423="Adulto 48kg",1,IF(Atletas!F423="Adulto 56kg",2,IF(Atletas!F423="Adulto 65kg",3,IF(Atletas!F423="Adulto 75kg",4,IF(Atletas!F423="Adulto +75kg",5,IF(Atletas!F423="Adulto 52kg",6,IF(Atletas!F423="Adulto 60kg",7,IF(Atletas!F423="Adulto 70kg",8,IF(Atletas!F423="Adulto 80kg",9,IF(Atletas!F423="Adulto 90kg",10,IF(Atletas!F423="Adulto +90kg",11,"")))))))))))))</f>
        <v/>
      </c>
      <c r="AY427" s="46" t="str">
        <f>IF(Atletas!G423="","",IF(Atletas!B423="Feminino",100,IF(Atletas!B423="Masculino",200,""))+(IF(Atletas!G423="Changquan Mirim",1,IF(Atletas!G423="Nanquan Mirim",2,IF(Atletas!G423="Taijiquan Mirim",3,IF(Atletas!G423="Changquan Grupo C",4,IF(Atletas!G423="Nanquan Grupo C",5,IF(Atletas!G423="Taijiquan Grupo C",6,IF(Atletas!G423="Changquan Grupo B",7,IF(Atletas!G423="Nanquan Grupo B",8,IF(Atletas!G423="Taijiquan Grupo B",9,IF(Atletas!G423="Changquan Grupo A",10,IF(Atletas!G423="Nanquan Grupo A",11,IF(Atletas!G423="Taijiquan Grupo A",12,IF(Atletas!G423="Changquan Opcional",13,IF(Atletas!G423="Nanquan Opcional",14,IF(Atletas!G423="Taijiquan Opcional",15,IF(Atletas!G423="Changquan Adulto",16,IF(Atletas!G423="Nanquan Adulto",17,IF(Atletas!G423="Taijiquan Adulto",18,""))))))))))))))))))))</f>
        <v/>
      </c>
      <c r="AZ427" s="46" t="str">
        <f>IF(Atletas!H423="","",IF(Atletas!B423="Feminino",100,IF(Atletas!B423="Masculino",200,""))+(IF(Atletas!H423="Daoshu Mirim",19,IF(Atletas!H423="Jianshu Mirim",20,IF(Atletas!H423="Nandao Mirim",21,IF(Atletas!H423="Taijijian Mirim",22,IF(Atletas!H423="Daoshu Grupo C",23,IF(Atletas!H423="Jianshu Grupo C",24,IF(Atletas!H423="Nandao Grupo C",25,IF(Atletas!H423="Taijijian Grupo C",26,IF(Atletas!H423="Daoshu Grupo B",27,IF(Atletas!H423="Jianshu Grupo B",28,IF(Atletas!H423="Nandao Grupo B",29,IF(Atletas!H423="Taijijian Grupo B",30,IF(Atletas!H423="Daoshu Grupo A",31,IF(Atletas!H423="Jianshu Grupo A",32,IF(Atletas!H423="Nandao Grupo A",33,IF(Atletas!H423="Taijijian Grupo A",34,IF(Atletas!H423="Daoshu Opcional",35,IF(Atletas!H423="Jianshu Opcional",36,IF(Atletas!H423="Nandao Opcional",37,IF(Atletas!H423="Taijijian Opcional",38,IF(Atletas!H423="Daoshu Adulto",39,IF(Atletas!H423="Jianshu Adulto",40,IF(Atletas!H423="Nandao Adulto",41,IF(Atletas!H423="Taijijian Adulto",42,""))))))))))))))))))))))))))</f>
        <v/>
      </c>
      <c r="BA427" s="46" t="str">
        <f>IF(Atletas!I423="","",IF(Atletas!B423="Feminino",100,IF(Atletas!B423="Masculino",200,""))+(IF(Atletas!I423="Gunshu Mirim",43,IF(Atletas!I423="Qiangshu Mirim",44,IF(Atletas!I423="Nangun Mirim",45,IF(Atletas!I423="Gunshu Grupo C",46,IF(Atletas!I423="Qiangshu Grupo C",47,IF(Atletas!I423="Nangun Grupo C",48,IF(Atletas!I423="Gunshu Grupo B",49,IF(Atletas!I423="Qiangshu Grupo B",50,IF(Atletas!I423="Nangun Grupo B",51,IF(Atletas!I423="Gunshu Grupo A",52,IF(Atletas!I423="Qiangshu Grupo A",53,IF(Atletas!I423="Nangun Grupo A",54,IF(Atletas!I423="Gunshu Opcional",55,IF(Atletas!I423="Qiangshu Opcional",56,IF(Atletas!I423="Nangun Opcional",57,IF(Atletas!I423="Gunshu Adulto",58,IF(Atletas!I423="Qiangshu Adulto",59,IF(Atletas!I423="Nangun Adulto",60,""))))))))))))))))))))</f>
        <v/>
      </c>
      <c r="BF427" s="52" t="str">
        <f>IF(Atletas!J423="","",IF(Atletas!B423="Feminino",100,IF(Atletas!B423="Masculino",200,""))+(IF(Atletas!J423="Equipe 1 Grupo B",1,IF(Atletas!J423="Equipe 2 Grupo B",2,IF(Atletas!J423="Equipe 1 Grupo A",3,IF(Atletas!J423="Equipe 2 Grupo A",4,IF(Atletas!J423="Equipe 1 Adulto",5,IF(Atletas!J423="Equipe 2 Adulto",6,""))))))))</f>
        <v/>
      </c>
      <c r="BK427" s="52" t="str">
        <f>IF(Atletas!K423="","",IF(Atletas!W423&lt;&gt;"",10000,0)+(IF(Atletas!B423="Feminino",1000,IF(Atletas!B423="Masculino",2000,""))+IF(Atletas!K423="Choylayfut A",1,IF(Atletas!K423="Hunggar A",2,IF(Atletas!K423="Wuzuquan A",3,IF(Atletas!K423="Wingchun A",4,IF(Atletas!K423="Outra Mão de Sul A",5,IF(Atletas!K423="Choylayfut B",6,IF(Atletas!K423="Hunggar B",7,IF(Atletas!K423="Wuzuquan B",8,IF(Atletas!K423="Wingchun B",9,IF(Atletas!K423="Outra Mão de Sul B",10,IF(Atletas!K423="Choylayfut C",11,IF(Atletas!K423="Hunggar C",12,IF(Atletas!K423="Wuzuquan C",13,IF(Atletas!K423="Wingchun C",14,IF(Atletas!K423="Outra Mão de Sul C",15,IF(Atletas!K423="Choylayfut D",16,IF(Atletas!K423="Hunggar D",17,IF(Atletas!K423="Wuzuquan D",18,IF(Atletas!K423="Wingchun D",19,IF(Atletas!K423="Outra Mão de Sul D",20,IF(Atletas!K423="Choylayfut E",21,IF(Atletas!K423="Hunggar E",22,IF(Atletas!K423="Wuzuquan E",23,IF(Atletas!K423="Wingchun E",24,IF(Atletas!K423="Outra Mão de Sul E",25,IF(Atletas!K423="Choylayfut F",26,IF(Atletas!K423="Hunggar F",27,IF(Atletas!K423="Wuzuquan F",28,IF(Atletas!K423="Wingchun F",29,IF(Atletas!K423="Outra Mão de Sul F",30,""))))))))))))))))))))))))))))))))</f>
        <v/>
      </c>
      <c r="BL427" s="52" t="str">
        <f>IF(Atletas!L423="","",IF(Atletas!W423&lt;&gt;"",10000,0)+(IF(Atletas!B423="Feminino",1000,IF(Atletas!B423="Masculino",2000,""))+(IF(Atletas!L423="Chaquan A",101,IF(Atletas!L423="Emeiquan A",102,IF(Atletas!L423="Fanziquan A",103,IF(Atletas!L423="Huaquan A",104,IF(Atletas!L423="Hongquan A",105,IF(Atletas!L423="Paochui A",106,IF(Atletas!L423="Piguaquan A",107,IF(Atletas!L423="Shaolinquan A",108,IF(Atletas!L423="Tanglangquan A",109,IF(Atletas!L423="Yinzhaophai A",110,IF(Atletas!L423="Tongbeiquan A",111,IF(Atletas!L423="Wudangquan A",112,IF(Atletas!L423="Outros Estilos A",113,IF(Atletas!L423="Chaquan B",114,IF(Atletas!L423="Emeiquan B",115,IF(Atletas!L423="Fanziquan B",116,IF(Atletas!L423="Huaquan B",117,IF(Atletas!L423="Hongquan B",118,IF(Atletas!L423="Paochui B",119,IF(Atletas!L423="Piguaquan B",120,IF(Atletas!L423="Shaolinquan B",121,IF(Atletas!L423="Tanglangquan B",122,IF(Atletas!L423="Yinzhaophai B",123,IF(Atletas!L423="Tongbeiquan B",124,IF(Atletas!L423="Wudangquan B",125,IF(Atletas!L423="Outros Estilos B",126,IF(Atletas!L423="Chaquan C",127,IF(Atletas!L423="Emeiquan C",128,IF(Atletas!L423="Fanziquan C",129,IF(Atletas!L423="Huaquan C",130,IF(Atletas!L423="Hongquan C",131,IF(Atletas!L423="Paochui C",132,IF(Atletas!L423="Piguaquan C",133,IF(Atletas!L423="Shaolinquan C",134,IF(Atletas!L423="Tanglangquan C",135,IF(Atletas!L423="Yinzhaophai C",136,IF(Atletas!L423="Tongbeiquan C",137,IF(Atletas!L423="Wudangquan C",138,IF(Atletas!L423="Outros Estilos C",139,0))))))))))))))))))))))))))))))))))))))))))</f>
        <v/>
      </c>
      <c r="BM427" s="52" t="str">
        <f>IF(Atletas!L423="","",IF(Atletas!W423&lt;&gt;"",10000,0)+(IF(Atletas!B423="Feminino",1000,IF(Atletas!B423="Masculino",2000,""))+(IF(Atletas!L423="Chaquan D",140,IF(Atletas!L423="Emeiquan D",141,IF(Atletas!L423="Fanziquan D",142,IF(Atletas!L423="Huaquan D",143,IF(Atletas!L423="Hongquan D",144,IF(Atletas!L423="Paochui D",145,IF(Atletas!L423="Piguaquan D",146,IF(Atletas!L423="Shaolinquan D",147,IF(Atletas!L423="Tanglangquan D",148,IF(Atletas!L423="Yinzhaophai D",149,IF(Atletas!L423="Tongbeiquan D",150,IF(Atletas!L423="Wudangquan D",151,IF(Atletas!L423="Outros Estilos D",152,IF(Atletas!L423="Chaquan E",153,IF(Atletas!L423="Emeiquan E",154,IF(Atletas!L423="Fanziquan E",155,IF(Atletas!L423="Huaquan E",156,IF(Atletas!L423="Hongquan E",157,IF(Atletas!L423="Paochui E",158,IF(Atletas!L423="Piguaquan E",159,IF(Atletas!L423="Shaolinquan E",160,IF(Atletas!L423="Tanglangquan E",161,IF(Atletas!L423="Yinzhaophai E",162,IF(Atletas!L423="Tongbeiquan E",163,IF(Atletas!L423="Wudangquan E",164,IF(Atletas!L423="Outros Estilos E",165,IF(Atletas!L423="Chaquan F",166,IF(Atletas!L423="Emeiquan F",167,IF(Atletas!L423="Fanziquan F",168,IF(Atletas!L423="Huaquan F",169,IF(Atletas!L423="Hongquan F",170,IF(Atletas!L423="Paochui F",171,IF(Atletas!L423="Piguaquan F",172,IF(Atletas!L423="Shaolinquan F",173,IF(Atletas!L423="Tanglangquan F",174,IF(Atletas!L423="Yinzhaophai F",175,IF(Atletas!L423="Tongbeiquan F",176,IF(Atletas!L423="Wudangquan F",177,IF(Atletas!L423="Outros Estilos F",178,0))))))))))))))))))))))))))))))))))))))))))</f>
        <v/>
      </c>
      <c r="BN427" s="52" t="str">
        <f>IF(Atletas!M423="","",IF(Atletas!W423&lt;&gt;"",10000,0)+(IF(Atletas!B423="Feminino",1000,IF(Atletas!B423="Masculino",2000,""))+(IF(Atletas!M423="Ditangquan A",201,IF(Atletas!M423="Houquan A",202,IF(Atletas!M423="Zuiquan A",203,IF(Atletas!M423="Ditangquan B",204,IF(Atletas!M423="Houquan B",205,IF(Atletas!M423="Zuiquan B",206,IF(Atletas!M423="Ditangquan C",207,IF(Atletas!M423="Houquan C",208,IF(Atletas!M423="Zuiquan C",209,IF(Atletas!M423="Ditangquan D",210,IF(Atletas!M423="Houquan D",211,IF(Atletas!M423="Zuiquan D",212,IF(Atletas!M423="Ditangquan E",213,IF(Atletas!M423="Houquan E",214,IF(Atletas!M423="Zuiquan E",215,IF(Atletas!M423="Ditangquan F",216,IF(Atletas!M423="Houquan F",217,IF(Atletas!M423="Zuiquan F",218,"")))))))))))))))))))))</f>
        <v/>
      </c>
      <c r="BO427" s="52" t="str">
        <f>IF(Atletas!N423="","",IF(Atletas!W423&lt;&gt;"",10000,0)+IF(Atletas!B423="Feminino",1000,IF(Atletas!B423="Masculino",2000,""))+IF(Atletas!N423="Yang A",301,IF(Atletas!N423="Chen A",30,IF(Atletas!N423="Sun A",303,IF(Atletas!N423="Wu A",304,IF(Atletas!N423="Wu-Hao A",305,IF(Atletas!N423="Outro Taijiquan A",306,IF(Atletas!N423="Yang B",307,IF(Atletas!N423="Chen B",308,IF(Atletas!N423="Sun B",309,IF(Atletas!N423="Wu B",310,IF(Atletas!N423="Wu-Hao B",311,IF(Atletas!N423="Outro Taijiquan B",312,IF(Atletas!N423="Yang C",313,IF(Atletas!N423="Chen C",314,IF(Atletas!N423="Sun C",315,IF(Atletas!N423="Wu C",316,IF(Atletas!N423="Wu-Hao C",317,IF(Atletas!N423="Outro Taijiquan C",318,IF(Atletas!N423="Yang D",319,IF(Atletas!N423="Chen D",320,IF(Atletas!N423="Sun D",321,IF(Atletas!N423="Wu D",322,IF(Atletas!N423="Wu-Hao D",323,IF(Atletas!N423="Outro Taijiquan D",324,IF(Atletas!N423="Yang E",325,IF(Atletas!N423="Chen E",326,IF(Atletas!N423="Sun E",327,IF(Atletas!N423="Wu E",328,IF(Atletas!N423="Wu-Hao E",329,IF(Atletas!N423="Outro Taijiquan E",330,IF(Atletas!N423="Yang F",331,IF(Atletas!N423="Chen F",332,IF(Atletas!N423="Sun F",333,IF(Atletas!N423="Wu F",334,IF(Atletas!N423="Wu-Hao F",335,IF(Atletas!N423="Outro Taijiquan F",336,"")))))))))))))))))))))))))))))))))))))</f>
        <v/>
      </c>
      <c r="BP427" s="52" t="str">
        <f>IF(Atletas!O423="","",IF(Atletas!W423&lt;&gt;"",10000,0)+IF(Atletas!B423="Feminino",1000,IF(Atletas!B423="Masculino",2000,""))+IF(OR(Atletas!O423="Yang 26 A",Atletas!O423="Yang 40 A"),401,IF(OR(Atletas!O423="Chen 25 A",Atletas!O423="Chen 36 A",Atletas!O423="Chen 56 A"),402,IF(Atletas!O423="Sun 73 A",403,IF(Atletas!O423="Wu 45 A",404,IF(Atletas!O423="Wu-Hao 46 A",405,IF(OR(Atletas!O423="Taijiquan 16 A",Atletas!O423="Taijiquan 24 A",Atletas!O423="Taijiquan 32 A",Atletas!O423="Taijiquan 42 A"),406,IF(OR(Atletas!O423="Yang 26 B",Atletas!O423="Yang 40 B"),407,IF(OR(Atletas!O423="Chen 25 B",Atletas!O423="Chen 36 B",Atletas!O423="Chen 56 B"),408,IF(Atletas!O423="Sun 73 B",409,IF(Atletas!O423="Wu 45 B",410,IF(Atletas!O423="Wu-Hao 46 B",411,IF(OR(Atletas!O423="Taijiquan 16 B",Atletas!O423="Taijiquan 24 B",Atletas!O423="Taijiquan 32 B",Atletas!O423="Taijiquan 42 B"),412,IF(OR(Atletas!O423="Yang 26 C",Atletas!O423="Yang 40 C"),413,IF(OR(Atletas!O423="Chen 25 C",Atletas!O423="Chen 36 C",Atletas!O423="Chen 56 C"),414,IF(Atletas!O423="Sun 73 C",415,IF(Atletas!O423="Wu 45 C",416,IF(Atletas!O423="Wu-Hao 46 C",417,IF(OR(Atletas!O423="Taijiquan 16 C",Atletas!O423="Taijiquan 24 C",Atletas!O423="Taijiquan 32 C",Atletas!O423="Taijiquan 42 C"),418,0)))))))))))))))))))</f>
        <v/>
      </c>
      <c r="BQ427" s="52" t="str">
        <f>IF(Atletas!O423="","",IF(Atletas!W423&lt;&gt;"",10000,0)+IF(Atletas!B423="Feminino",1000,IF(Atletas!B423="Masculino",2000,""))+IF(OR(Atletas!O423="Yang 26 D",Atletas!O423="Yang 40 D"),419,IF(OR(Atletas!O423="Chen 25 D",Atletas!O423="Chen 36 D",Atletas!O423="Chen 56 D"),420,IF(Atletas!O423="Sun 73 D",421,IF(Atletas!O423="Wu 45 D",422,IF(Atletas!O423="Wu-Hao 46 D",423,IF(OR(Atletas!O423="Taijiquan 16 D",Atletas!O423="Taijiquan 24 D",Atletas!O423="Taijiquan 32 D",Atletas!O423="Taijiquan 42 D"),424,IF(OR(Atletas!O423="Yang 26 E",Atletas!O423="Yang 40 E"),425,IF(OR(Atletas!O423="Chen 25 E",Atletas!O423="Chen 36 E",Atletas!O423="Chen 56 E"),426,IF(Atletas!O423="Sun 73 E",427,IF(Atletas!O423="Wu 45 E",428,IF(Atletas!O423="Wu-Hao 46 E",429,IF(OR(Atletas!O423="Taijiquan 16 E",Atletas!O423="Taijiquan 24 E",Atletas!O423="Taijiquan 32 E",Atletas!O423="Taijiquan 42 E"),430,IF(OR(Atletas!O423="Yang 26 F",Atletas!O423="Yang 40 F"),431,IF(OR(Atletas!O423="Chen 25 F",Atletas!O423="Chen 36 F",Atletas!O423="Chen 56 F"),432,IF(Atletas!O423="Sun 73 F",433,IF(Atletas!O423="Wu 45 F",434,IF(Atletas!O423="Wu-Hao 46 F",435,IF(OR(Atletas!O423="Taijiquan 16 F",Atletas!O423="Taijiquan 24 F",Atletas!O423="Taijiquan 32 F",Atletas!O423="Taijiquan 42 F"),436,0)))))))))))))))))))</f>
        <v/>
      </c>
      <c r="BR427" s="52" t="str">
        <f>IF(Atletas!P423="","",IF(Atletas!W423&lt;&gt;"",10000,0)+IF(Atletas!B423="Feminino",1000,IF(Atletas!B423="Masculino",2000,""))+IF(Atletas!P423="Xingyiquan A",501,IF(Atletas!P423="Baguazhang A",502,IF(Atletas!P423="Outro Estilo Interno A",503,IF(Atletas!P423="Xingyiquan B",504,IF(Atletas!P423="Baguazhang B",505,IF(Atletas!P423="Outro Estilo Interno B",506,IF(Atletas!P423="Xingyiquan C",507,IF(Atletas!P423="Baguazhang C",508,IF(Atletas!P423="Outro Estilo Interno C",509,IF(Atletas!P423="Xingyiquan D",510,IF(Atletas!P423="Baguazhang D",511,IF(Atletas!P423="Outro Estilo Interno D",512,IF(Atletas!P423="Xingyiquan E",513,IF(Atletas!P423="Baguazhang E",514,IF(Atletas!P423="Outro Estilo Interno E",515,IF(Atletas!P423="Xingyiquan F",516,IF(Atletas!P423="Baguazhang F",517,IF(Atletas!P423="Outro Estilo Interno F",518, "")))))))))))))))))))</f>
        <v/>
      </c>
      <c r="BS427" s="52" t="str">
        <f>IF(Atletas!Q423="","",IF(Atletas!W423&lt;&gt;"",10000,0)+IF(Atletas!B423="Feminino",1000,IF(Atletas!B423="Masculino",2000,""))+IF(Atletas!Q423="Dao A",601,IF(Atletas!Q423="Jian A",602,IF(Atletas!Q423="Bishou A",603,IF(Atletas!Q423="Shan A",604,IF(Atletas!Q423="Outra Arma Curta A",605,IF(Atletas!Q423="Dao B",606,IF(Atletas!Q423="Jian B",607,IF(Atletas!Q423="Bishou B",608,IF(Atletas!Q423="Shan B",609,IF(Atletas!Q423="Outra Arma Curta B",610,IF(Atletas!Q423="Dao C",611,IF(Atletas!Q423="Jian C",612,IF(Atletas!Q423="Bishou C",613,IF(Atletas!Q423="Shan C",614,IF(Atletas!Q423="Outra Arma Curta C",615,IF(Atletas!Q423="Dao D",616,IF(Atletas!Q423="Jian D",617,IF(Atletas!Q423="Bishou D",618,IF(Atletas!Q423="Shan D",619,IF(Atletas!Q423="Outra Arma Curta D",620,IF(Atletas!Q423="Dao E",621,IF(Atletas!Q423="Jian E",622,IF(Atletas!Q423="Bishou E",623,IF(Atletas!Q423="Shan E",624,IF(Atletas!Q423="Outra Arma Curta E",625,IF(Atletas!Q423="Dao F",626,IF(Atletas!Q423="Jian F",627,IF(Atletas!Q423="Bishou F",628,IF(Atletas!Q423="Shan F",629,IF(Atletas!Q423="Outra Arma Curta F",630, "")))))))))))))))))))))))))))))))</f>
        <v/>
      </c>
      <c r="BT427" s="52" t="str">
        <f>IF(Atletas!R423="","",IF(Atletas!W423&lt;&gt;"",10000,0)+IF(Atletas!B423="Feminino",1000,IF(Atletas!B423="Masculino",2000,""))+IF(Atletas!R423="Gun A",701,IF(Atletas!R423="Qiang A",702,IF(Atletas!R423="Pudao / Guandao A",703,IF(Atletas!R423="Outra Arma Longa A",704,IF(Atletas!R423="Gun B",705,IF(Atletas!R423="Qiang B",706,IF(Atletas!R423="Pudao / Guandao B",707,IF(Atletas!R423="Outra Arma Longa B",708,IF(Atletas!R423="Gun C",709,IF(Atletas!R423="Qiang C",710,IF(Atletas!R423="Pudao / Guandao C",711,IF(Atletas!R423="Outra Arma Longa C",712,IF(Atletas!R423="Gun D",713,IF(Atletas!R423="Qiang D",714,IF(Atletas!R423="Pudao / Guandao D",715,IF(Atletas!R423="Outra Arma Longa D",716,IF(Atletas!R423="Gun E",717,IF(Atletas!R423="Qiang E",718,IF(Atletas!R423="Pudao / Guandao E",719,IF(Atletas!R423="Outra Arma Longa E",720,IF(Atletas!R423="Gun F",721,IF(Atletas!R423="Qiang F",722,IF(Atletas!R423="Pudao / Guandao F",723,IF(Atletas!R423="Outra Arma Longa F",724,"")))))))))))))))))))))))))</f>
        <v/>
      </c>
      <c r="BU427" s="52" t="str">
        <f>IF(Atletas!S423="","",IF(Atletas!W423&lt;&gt;"",10000,0)+IF(Atletas!B423="Feminino",1000,IF(Atletas!B423="Masculino",2000,""))+IF(Atletas!S423="Arma Dupla A",801,IF(Atletas!S423="Arma Maleável A",802,IF(Atletas!S423="Arma Dupla B",803,IF(Atletas!S423="Arma Maleável B",804,IF(Atletas!S423="Arma Dupla C",805,IF(Atletas!S423="Arma Maleável C",806,IF(Atletas!S423="Arma Dupla D",807,IF(Atletas!S423="Arma Maleável D",808,IF(Atletas!S423="Arma Dupla E",809,IF(Atletas!S423="Arma Maleável E",810,IF(Atletas!S423="Arma Dupla F",811,IF(Atletas!S423="Arma Maleável F",812, "")))))))))))))</f>
        <v/>
      </c>
      <c r="BV427" s="52" t="str">
        <f>IF(Atletas!T423="","",IF(Atletas!W423&lt;&gt;"",10000,0)+IF(Atletas!B423="Feminino",1000,IF(Atletas!B423="Masculino",2000,""))+IF(Atletas!T423="Taijijian Yang A",901,IF(Atletas!T423="Taijijian Chen A",902,IF(Atletas!T423="Taijijian Sun A",903,IF(Atletas!T423="Taijijian Wu A",904,IF(Atletas!T423="Taijijian Wu-Hao A",905,IF(Atletas!T423="Taijijian 32 A",906,IF(Atletas!T423="Taijijian 42 A",907,IF(Atletas!T423="Taijijian Yang B",908,IF(Atletas!T423="Taijijian Chen B",909,IF(Atletas!T423="Taijijian Sun B",910,IF(Atletas!T423="Taijijian Wu B",911,IF(Atletas!T423="Taijijian Wu-Hao B",912,IF(Atletas!T423="Taijijian 32 B",913,IF(Atletas!T423="Taijijian 42 B",914,IF(Atletas!T423="Taijijian Yang C",915,IF(Atletas!T423="Taijijian Chen C",916,IF(Atletas!T423="Taijijian Sun C",917,IF(Atletas!T423="Taijijian Wu C",918,IF(Atletas!T423="Taijijian Wu-Hao C",919,IF(Atletas!T423="Taijijian 32 C",920,IF(Atletas!T423="Taijijian 42 C",921,IF(Atletas!T423="Taijijian Yang D",922,IF(Atletas!T423="Taijijian Chen D",923,IF(Atletas!T423="Taijijian Sun D",924,IF(Atletas!T423="Taijijian Wu D",925,IF(Atletas!T423="Taijijian Wu-Hao D",926,IF(Atletas!T423="Taijijian 32 D",927,IF(Atletas!T423="Taijijian 42 D",928,IF(Atletas!T423="Taijijian Yang E",929,IF(Atletas!T423="Taijijian Chen E",930,IF(Atletas!T423="Taijijian Sun E",931,IF(Atletas!T423="Taijijian Wu E",932,IF(Atletas!T423="Taijijian Wu-Hao E",933,IF(Atletas!T423="Taijijian 32 E",934,IF(Atletas!T423="Taijijian 42 E",935,IF(Atletas!T423="Taijijian Yang F",936,IF(Atletas!T423="Taijijian Chen F",937,IF(Atletas!T423="Taijijian Sun F",938,IF(Atletas!T423="Taijijian Wu F",939,IF(Atletas!T423="Taijijian Wu-Hao F",940,IF(Atletas!T423="Taijijian 32 F",941,IF(Atletas!T423="Taijijian 42 F",942,"")))))))))))))))))))))))))))))))))))))))))))</f>
        <v/>
      </c>
      <c r="BW427" s="52" t="str">
        <f>IF(Atletas!U423="","",IF(Atletas!W423&lt;&gt;"",10000,0)+IF(Atletas!B423="Feminino",1000,IF(Atletas!B423="Masculino",2000,""))+IF(Atletas!T423="Taijijian 42 F",942,IF(Atletas!U423="Taijidao A",943,IF(Atletas!U423="Taijishan A",944,IF(Atletas!U423="Taijiqiang A",945,IF(Atletas!U423="Taijidao B",946,IF(Atletas!U423="Taijishan B",947,IF(Atletas!U423="Taijiqiang B",948,IF(Atletas!U423="Taijidao C",949,IF(Atletas!U423="Taijishan C",950,IF(Atletas!U423="Taijiqiang C",951,IF(Atletas!U423="Taijidao D",952,IF(Atletas!U423="Taijishan D",953,IF(Atletas!U423="Taijiqiang D",954,IF(Atletas!U423="Taijidao E",955,IF(Atletas!U423="Taijishan E",956,IF(Atletas!U423="Taijiqiang E",957,IF(Atletas!U423="Taijidao F",958,IF(Atletas!U423="Taijishan F",959,IF(Atletas!U423="Taijiqiang F",960))))))))))))))))))))</f>
        <v/>
      </c>
      <c r="CF427" s="52" t="str">
        <f xml:space="preserve"> IF(Atletas!V423="","",IF(Atletas!V423="Duilian de Mãos AB - Equipe 1",1,IF(Atletas!V423="Duilian de Mãos AB - Equipe 2",2,IF(Atletas!V423="Duilian de Armas AB - Equipe 1",3,IF(Atletas!V423="Duilian de Armas AB - Equipe 2",4,IF(Atletas!V423="Duilian de Tuishou - Equipe 1",5,IF(Atletas!V423="Duilian de Tuishou - Equipe 2",6,IF(Atletas!V423="Grupo Externo AB - Equipe 1",7,IF(Atletas!V423="Grupo Externo AB - Equipe 2",8,IF(Atletas!V423="Grupo Interno AB - Equipe 1",9,IF(Atletas!V423="Grupo Interno AB - Equipe 2",10,IF(Atletas!V423="Duilian de Mãos CD - Equipe 1",11,IF(Atletas!V423="Duilian de Mãos CD - Equipe 2",12,IF(Atletas!V423="Duilian de Armas CD - Equipe 1",13,IF(Atletas!V423="Duilian de Armas CD - Equipe 2",14,IF(Atletas!V423="Duilian de Tuishou - Equipe 1",15,IF(Atletas!V423="Duilian de Tuishou - Equipe 2",16,IF(Atletas!V423="Grupo Externo CDEF - Equipe 1",17,IF(Atletas!V423="Grupo Externo CDEF - Equipe 2",18,IF(Atletas!V423="Grupo Interno CDEF - Equipe 1",19,IF(Atletas!V423="Grupo Interno CDEF - Equipe 2",20,IF(Atletas!V423="Duilian de Mãos EF - Equipe 1",21,IF(Atletas!V423="Duilian de Mãos EF - Equipe 2",22,IF(Atletas!V423="Duilian de Armas EF - Equipe 1",23,IF(Atletas!V423="Duilian de Armas EF - Equipe 2",24,IF(Atletas!V423="Duilian de Tuishou - Equipe 1",25,IF(Atletas!V423="Duilian de Tuishou - Equipe 2",26,"")))))))))))))))))))))))))))</f>
        <v/>
      </c>
    </row>
    <row r="428" spans="36:84">
      <c r="AJ428" s="46" t="str">
        <f>IF(Atletas!D424="","",IF(Atletas!B424="Feminino",100,IF(Atletas!B424="Masculino",200,""))+(IF(Atletas!D424="Infantil 39kg",1,IF(Atletas!D424="Infantil 42kg",2,IF(Atletas!D424="Infantil 45kg",3,IF(Atletas!D424="Infantil 48kg",4,IF(Atletas!D424="Infantil 52kg",5,IF(Atletas!D424="Infantil 56kg",6,IF(Atletas!D424="Infantil 60kg",7,IF(Atletas!D424="Juvenil 48kg",8,IF(Atletas!D424="Juvenil 52kg",9,IF(Atletas!D424="Juvenil 56kg",10,IF(Atletas!D424="Juvenil 60kg",11,IF(Atletas!D424="Juvenil 65kg",12,IF(Atletas!D424="Juvenil 70kg",13,IF(Atletas!D424="Juvenil 75kg",14,IF(Atletas!D424="Juvenil 80kg",15,IF(Atletas!D424="Adulto 48kg",16,IF(Atletas!D424="Adulto 52kg",17,IF(Atletas!D424="Adulto 56kg",18,IF(Atletas!D424="Adulto 60kg",19,IF(Atletas!D424="Adulto 65kg",20,IF(Atletas!D424="Adulto 70kg",21,IF(Atletas!D424="Adulto 75kg",22,IF(Atletas!D424="Adulto 80kg",23,IF(Atletas!D424="Adulto 85kg",24,IF(Atletas!D424="Adulto 90kg",25,IF(Atletas!D424="Adulto +90kg",26,""))))))))))))))))))))))))))))</f>
        <v/>
      </c>
      <c r="AO428" s="10" t="str">
        <f>IF(Atletas!E424="","",IF(Atletas!B424="Feminino",100,IF(Atletas!B424="Masculino",200,""))+(IF(Atletas!E424="Juvenil 44kg",1,IF(Atletas!E424="Juvenil 48kg",2,IF(Atletas!E424="Juvenil 52kg",3,IF(Atletas!E424="Juvenil 56kg",4,IF(Atletas!E424="Juvenil 60kg",5,IF(Atletas!E424="Juvenil 65kg",6,IF(Atletas!E424="Juvenil 70kg",7,IF(Atletas!E424="Juvenil 75kg",8,IF(Atletas!E424="Juvenil 82kg",9,IF(Atletas!E424="Juvenil 90kg",10,IF(Atletas!E424="Juvenil 100kg",11,IF(Atletas!E424="Adulto 48kg",12,IF(Atletas!E424="Adulto 52kg",13,IF(Atletas!E424="Adulto 56kg",14,IF(Atletas!E424="Adulto 60kg",15,IF(Atletas!E424="Adulto 65kg",16,IF(Atletas!E424="Adulto 70kg",17,IF(Atletas!E424="Adulto 75kg",18,IF(Atletas!E424="Adulto 82kg",19,IF(Atletas!E424="Adulto 90kg",20,IF(Atletas!E424="Adulto 100kg",21,IF(Atletas!E424="Adulto +100kg",22,""))))))))))))))))))))))))</f>
        <v/>
      </c>
      <c r="AT428" s="10" t="str">
        <f>IF(Atletas!F424="","",IF(Atletas!B424="Feminino",100,IF(Atletas!B424="Masculino",200,""))+(IF(Atletas!F424="Adulto 48kg",1,IF(Atletas!F424="Adulto 56kg",2,IF(Atletas!F424="Adulto 65kg",3,IF(Atletas!F424="Adulto 75kg",4,IF(Atletas!F424="Adulto +75kg",5,IF(Atletas!F424="Adulto 52kg",6,IF(Atletas!F424="Adulto 60kg",7,IF(Atletas!F424="Adulto 70kg",8,IF(Atletas!F424="Adulto 80kg",9,IF(Atletas!F424="Adulto 90kg",10,IF(Atletas!F424="Adulto +90kg",11,"")))))))))))))</f>
        <v/>
      </c>
      <c r="AY428" s="46" t="str">
        <f>IF(Atletas!G424="","",IF(Atletas!B424="Feminino",100,IF(Atletas!B424="Masculino",200,""))+(IF(Atletas!G424="Changquan Mirim",1,IF(Atletas!G424="Nanquan Mirim",2,IF(Atletas!G424="Taijiquan Mirim",3,IF(Atletas!G424="Changquan Grupo C",4,IF(Atletas!G424="Nanquan Grupo C",5,IF(Atletas!G424="Taijiquan Grupo C",6,IF(Atletas!G424="Changquan Grupo B",7,IF(Atletas!G424="Nanquan Grupo B",8,IF(Atletas!G424="Taijiquan Grupo B",9,IF(Atletas!G424="Changquan Grupo A",10,IF(Atletas!G424="Nanquan Grupo A",11,IF(Atletas!G424="Taijiquan Grupo A",12,IF(Atletas!G424="Changquan Opcional",13,IF(Atletas!G424="Nanquan Opcional",14,IF(Atletas!G424="Taijiquan Opcional",15,IF(Atletas!G424="Changquan Adulto",16,IF(Atletas!G424="Nanquan Adulto",17,IF(Atletas!G424="Taijiquan Adulto",18,""))))))))))))))))))))</f>
        <v/>
      </c>
      <c r="AZ428" s="46" t="str">
        <f>IF(Atletas!H424="","",IF(Atletas!B424="Feminino",100,IF(Atletas!B424="Masculino",200,""))+(IF(Atletas!H424="Daoshu Mirim",19,IF(Atletas!H424="Jianshu Mirim",20,IF(Atletas!H424="Nandao Mirim",21,IF(Atletas!H424="Taijijian Mirim",22,IF(Atletas!H424="Daoshu Grupo C",23,IF(Atletas!H424="Jianshu Grupo C",24,IF(Atletas!H424="Nandao Grupo C",25,IF(Atletas!H424="Taijijian Grupo C",26,IF(Atletas!H424="Daoshu Grupo B",27,IF(Atletas!H424="Jianshu Grupo B",28,IF(Atletas!H424="Nandao Grupo B",29,IF(Atletas!H424="Taijijian Grupo B",30,IF(Atletas!H424="Daoshu Grupo A",31,IF(Atletas!H424="Jianshu Grupo A",32,IF(Atletas!H424="Nandao Grupo A",33,IF(Atletas!H424="Taijijian Grupo A",34,IF(Atletas!H424="Daoshu Opcional",35,IF(Atletas!H424="Jianshu Opcional",36,IF(Atletas!H424="Nandao Opcional",37,IF(Atletas!H424="Taijijian Opcional",38,IF(Atletas!H424="Daoshu Adulto",39,IF(Atletas!H424="Jianshu Adulto",40,IF(Atletas!H424="Nandao Adulto",41,IF(Atletas!H424="Taijijian Adulto",42,""))))))))))))))))))))))))))</f>
        <v/>
      </c>
      <c r="BA428" s="46" t="str">
        <f>IF(Atletas!I424="","",IF(Atletas!B424="Feminino",100,IF(Atletas!B424="Masculino",200,""))+(IF(Atletas!I424="Gunshu Mirim",43,IF(Atletas!I424="Qiangshu Mirim",44,IF(Atletas!I424="Nangun Mirim",45,IF(Atletas!I424="Gunshu Grupo C",46,IF(Atletas!I424="Qiangshu Grupo C",47,IF(Atletas!I424="Nangun Grupo C",48,IF(Atletas!I424="Gunshu Grupo B",49,IF(Atletas!I424="Qiangshu Grupo B",50,IF(Atletas!I424="Nangun Grupo B",51,IF(Atletas!I424="Gunshu Grupo A",52,IF(Atletas!I424="Qiangshu Grupo A",53,IF(Atletas!I424="Nangun Grupo A",54,IF(Atletas!I424="Gunshu Opcional",55,IF(Atletas!I424="Qiangshu Opcional",56,IF(Atletas!I424="Nangun Opcional",57,IF(Atletas!I424="Gunshu Adulto",58,IF(Atletas!I424="Qiangshu Adulto",59,IF(Atletas!I424="Nangun Adulto",60,""))))))))))))))))))))</f>
        <v/>
      </c>
      <c r="BF428" s="52" t="str">
        <f>IF(Atletas!J424="","",IF(Atletas!B424="Feminino",100,IF(Atletas!B424="Masculino",200,""))+(IF(Atletas!J424="Equipe 1 Grupo B",1,IF(Atletas!J424="Equipe 2 Grupo B",2,IF(Atletas!J424="Equipe 1 Grupo A",3,IF(Atletas!J424="Equipe 2 Grupo A",4,IF(Atletas!J424="Equipe 1 Adulto",5,IF(Atletas!J424="Equipe 2 Adulto",6,""))))))))</f>
        <v/>
      </c>
      <c r="BK428" s="52" t="str">
        <f>IF(Atletas!K424="","",IF(Atletas!W424&lt;&gt;"",10000,0)+(IF(Atletas!B424="Feminino",1000,IF(Atletas!B424="Masculino",2000,""))+IF(Atletas!K424="Choylayfut A",1,IF(Atletas!K424="Hunggar A",2,IF(Atletas!K424="Wuzuquan A",3,IF(Atletas!K424="Wingchun A",4,IF(Atletas!K424="Outra Mão de Sul A",5,IF(Atletas!K424="Choylayfut B",6,IF(Atletas!K424="Hunggar B",7,IF(Atletas!K424="Wuzuquan B",8,IF(Atletas!K424="Wingchun B",9,IF(Atletas!K424="Outra Mão de Sul B",10,IF(Atletas!K424="Choylayfut C",11,IF(Atletas!K424="Hunggar C",12,IF(Atletas!K424="Wuzuquan C",13,IF(Atletas!K424="Wingchun C",14,IF(Atletas!K424="Outra Mão de Sul C",15,IF(Atletas!K424="Choylayfut D",16,IF(Atletas!K424="Hunggar D",17,IF(Atletas!K424="Wuzuquan D",18,IF(Atletas!K424="Wingchun D",19,IF(Atletas!K424="Outra Mão de Sul D",20,IF(Atletas!K424="Choylayfut E",21,IF(Atletas!K424="Hunggar E",22,IF(Atletas!K424="Wuzuquan E",23,IF(Atletas!K424="Wingchun E",24,IF(Atletas!K424="Outra Mão de Sul E",25,IF(Atletas!K424="Choylayfut F",26,IF(Atletas!K424="Hunggar F",27,IF(Atletas!K424="Wuzuquan F",28,IF(Atletas!K424="Wingchun F",29,IF(Atletas!K424="Outra Mão de Sul F",30,""))))))))))))))))))))))))))))))))</f>
        <v/>
      </c>
      <c r="BL428" s="52" t="str">
        <f>IF(Atletas!L424="","",IF(Atletas!W424&lt;&gt;"",10000,0)+(IF(Atletas!B424="Feminino",1000,IF(Atletas!B424="Masculino",2000,""))+(IF(Atletas!L424="Chaquan A",101,IF(Atletas!L424="Emeiquan A",102,IF(Atletas!L424="Fanziquan A",103,IF(Atletas!L424="Huaquan A",104,IF(Atletas!L424="Hongquan A",105,IF(Atletas!L424="Paochui A",106,IF(Atletas!L424="Piguaquan A",107,IF(Atletas!L424="Shaolinquan A",108,IF(Atletas!L424="Tanglangquan A",109,IF(Atletas!L424="Yinzhaophai A",110,IF(Atletas!L424="Tongbeiquan A",111,IF(Atletas!L424="Wudangquan A",112,IF(Atletas!L424="Outros Estilos A",113,IF(Atletas!L424="Chaquan B",114,IF(Atletas!L424="Emeiquan B",115,IF(Atletas!L424="Fanziquan B",116,IF(Atletas!L424="Huaquan B",117,IF(Atletas!L424="Hongquan B",118,IF(Atletas!L424="Paochui B",119,IF(Atletas!L424="Piguaquan B",120,IF(Atletas!L424="Shaolinquan B",121,IF(Atletas!L424="Tanglangquan B",122,IF(Atletas!L424="Yinzhaophai B",123,IF(Atletas!L424="Tongbeiquan B",124,IF(Atletas!L424="Wudangquan B",125,IF(Atletas!L424="Outros Estilos B",126,IF(Atletas!L424="Chaquan C",127,IF(Atletas!L424="Emeiquan C",128,IF(Atletas!L424="Fanziquan C",129,IF(Atletas!L424="Huaquan C",130,IF(Atletas!L424="Hongquan C",131,IF(Atletas!L424="Paochui C",132,IF(Atletas!L424="Piguaquan C",133,IF(Atletas!L424="Shaolinquan C",134,IF(Atletas!L424="Tanglangquan C",135,IF(Atletas!L424="Yinzhaophai C",136,IF(Atletas!L424="Tongbeiquan C",137,IF(Atletas!L424="Wudangquan C",138,IF(Atletas!L424="Outros Estilos C",139,0))))))))))))))))))))))))))))))))))))))))))</f>
        <v/>
      </c>
      <c r="BM428" s="52" t="str">
        <f>IF(Atletas!L424="","",IF(Atletas!W424&lt;&gt;"",10000,0)+(IF(Atletas!B424="Feminino",1000,IF(Atletas!B424="Masculino",2000,""))+(IF(Atletas!L424="Chaquan D",140,IF(Atletas!L424="Emeiquan D",141,IF(Atletas!L424="Fanziquan D",142,IF(Atletas!L424="Huaquan D",143,IF(Atletas!L424="Hongquan D",144,IF(Atletas!L424="Paochui D",145,IF(Atletas!L424="Piguaquan D",146,IF(Atletas!L424="Shaolinquan D",147,IF(Atletas!L424="Tanglangquan D",148,IF(Atletas!L424="Yinzhaophai D",149,IF(Atletas!L424="Tongbeiquan D",150,IF(Atletas!L424="Wudangquan D",151,IF(Atletas!L424="Outros Estilos D",152,IF(Atletas!L424="Chaquan E",153,IF(Atletas!L424="Emeiquan E",154,IF(Atletas!L424="Fanziquan E",155,IF(Atletas!L424="Huaquan E",156,IF(Atletas!L424="Hongquan E",157,IF(Atletas!L424="Paochui E",158,IF(Atletas!L424="Piguaquan E",159,IF(Atletas!L424="Shaolinquan E",160,IF(Atletas!L424="Tanglangquan E",161,IF(Atletas!L424="Yinzhaophai E",162,IF(Atletas!L424="Tongbeiquan E",163,IF(Atletas!L424="Wudangquan E",164,IF(Atletas!L424="Outros Estilos E",165,IF(Atletas!L424="Chaquan F",166,IF(Atletas!L424="Emeiquan F",167,IF(Atletas!L424="Fanziquan F",168,IF(Atletas!L424="Huaquan F",169,IF(Atletas!L424="Hongquan F",170,IF(Atletas!L424="Paochui F",171,IF(Atletas!L424="Piguaquan F",172,IF(Atletas!L424="Shaolinquan F",173,IF(Atletas!L424="Tanglangquan F",174,IF(Atletas!L424="Yinzhaophai F",175,IF(Atletas!L424="Tongbeiquan F",176,IF(Atletas!L424="Wudangquan F",177,IF(Atletas!L424="Outros Estilos F",178,0))))))))))))))))))))))))))))))))))))))))))</f>
        <v/>
      </c>
      <c r="BN428" s="52" t="str">
        <f>IF(Atletas!M424="","",IF(Atletas!W424&lt;&gt;"",10000,0)+(IF(Atletas!B424="Feminino",1000,IF(Atletas!B424="Masculino",2000,""))+(IF(Atletas!M424="Ditangquan A",201,IF(Atletas!M424="Houquan A",202,IF(Atletas!M424="Zuiquan A",203,IF(Atletas!M424="Ditangquan B",204,IF(Atletas!M424="Houquan B",205,IF(Atletas!M424="Zuiquan B",206,IF(Atletas!M424="Ditangquan C",207,IF(Atletas!M424="Houquan C",208,IF(Atletas!M424="Zuiquan C",209,IF(Atletas!M424="Ditangquan D",210,IF(Atletas!M424="Houquan D",211,IF(Atletas!M424="Zuiquan D",212,IF(Atletas!M424="Ditangquan E",213,IF(Atletas!M424="Houquan E",214,IF(Atletas!M424="Zuiquan E",215,IF(Atletas!M424="Ditangquan F",216,IF(Atletas!M424="Houquan F",217,IF(Atletas!M424="Zuiquan F",218,"")))))))))))))))))))))</f>
        <v/>
      </c>
      <c r="BO428" s="52" t="str">
        <f>IF(Atletas!N424="","",IF(Atletas!W424&lt;&gt;"",10000,0)+IF(Atletas!B424="Feminino",1000,IF(Atletas!B424="Masculino",2000,""))+IF(Atletas!N424="Yang A",301,IF(Atletas!N424="Chen A",30,IF(Atletas!N424="Sun A",303,IF(Atletas!N424="Wu A",304,IF(Atletas!N424="Wu-Hao A",305,IF(Atletas!N424="Outro Taijiquan A",306,IF(Atletas!N424="Yang B",307,IF(Atletas!N424="Chen B",308,IF(Atletas!N424="Sun B",309,IF(Atletas!N424="Wu B",310,IF(Atletas!N424="Wu-Hao B",311,IF(Atletas!N424="Outro Taijiquan B",312,IF(Atletas!N424="Yang C",313,IF(Atletas!N424="Chen C",314,IF(Atletas!N424="Sun C",315,IF(Atletas!N424="Wu C",316,IF(Atletas!N424="Wu-Hao C",317,IF(Atletas!N424="Outro Taijiquan C",318,IF(Atletas!N424="Yang D",319,IF(Atletas!N424="Chen D",320,IF(Atletas!N424="Sun D",321,IF(Atletas!N424="Wu D",322,IF(Atletas!N424="Wu-Hao D",323,IF(Atletas!N424="Outro Taijiquan D",324,IF(Atletas!N424="Yang E",325,IF(Atletas!N424="Chen E",326,IF(Atletas!N424="Sun E",327,IF(Atletas!N424="Wu E",328,IF(Atletas!N424="Wu-Hao E",329,IF(Atletas!N424="Outro Taijiquan E",330,IF(Atletas!N424="Yang F",331,IF(Atletas!N424="Chen F",332,IF(Atletas!N424="Sun F",333,IF(Atletas!N424="Wu F",334,IF(Atletas!N424="Wu-Hao F",335,IF(Atletas!N424="Outro Taijiquan F",336,"")))))))))))))))))))))))))))))))))))))</f>
        <v/>
      </c>
      <c r="BP428" s="52" t="str">
        <f>IF(Atletas!O424="","",IF(Atletas!W424&lt;&gt;"",10000,0)+IF(Atletas!B424="Feminino",1000,IF(Atletas!B424="Masculino",2000,""))+IF(OR(Atletas!O424="Yang 26 A",Atletas!O424="Yang 40 A"),401,IF(OR(Atletas!O424="Chen 25 A",Atletas!O424="Chen 36 A",Atletas!O424="Chen 56 A"),402,IF(Atletas!O424="Sun 73 A",403,IF(Atletas!O424="Wu 45 A",404,IF(Atletas!O424="Wu-Hao 46 A",405,IF(OR(Atletas!O424="Taijiquan 16 A",Atletas!O424="Taijiquan 24 A",Atletas!O424="Taijiquan 32 A",Atletas!O424="Taijiquan 42 A"),406,IF(OR(Atletas!O424="Yang 26 B",Atletas!O424="Yang 40 B"),407,IF(OR(Atletas!O424="Chen 25 B",Atletas!O424="Chen 36 B",Atletas!O424="Chen 56 B"),408,IF(Atletas!O424="Sun 73 B",409,IF(Atletas!O424="Wu 45 B",410,IF(Atletas!O424="Wu-Hao 46 B",411,IF(OR(Atletas!O424="Taijiquan 16 B",Atletas!O424="Taijiquan 24 B",Atletas!O424="Taijiquan 32 B",Atletas!O424="Taijiquan 42 B"),412,IF(OR(Atletas!O424="Yang 26 C",Atletas!O424="Yang 40 C"),413,IF(OR(Atletas!O424="Chen 25 C",Atletas!O424="Chen 36 C",Atletas!O424="Chen 56 C"),414,IF(Atletas!O424="Sun 73 C",415,IF(Atletas!O424="Wu 45 C",416,IF(Atletas!O424="Wu-Hao 46 C",417,IF(OR(Atletas!O424="Taijiquan 16 C",Atletas!O424="Taijiquan 24 C",Atletas!O424="Taijiquan 32 C",Atletas!O424="Taijiquan 42 C"),418,0)))))))))))))))))))</f>
        <v/>
      </c>
      <c r="BQ428" s="52" t="str">
        <f>IF(Atletas!O424="","",IF(Atletas!W424&lt;&gt;"",10000,0)+IF(Atletas!B424="Feminino",1000,IF(Atletas!B424="Masculino",2000,""))+IF(OR(Atletas!O424="Yang 26 D",Atletas!O424="Yang 40 D"),419,IF(OR(Atletas!O424="Chen 25 D",Atletas!O424="Chen 36 D",Atletas!O424="Chen 56 D"),420,IF(Atletas!O424="Sun 73 D",421,IF(Atletas!O424="Wu 45 D",422,IF(Atletas!O424="Wu-Hao 46 D",423,IF(OR(Atletas!O424="Taijiquan 16 D",Atletas!O424="Taijiquan 24 D",Atletas!O424="Taijiquan 32 D",Atletas!O424="Taijiquan 42 D"),424,IF(OR(Atletas!O424="Yang 26 E",Atletas!O424="Yang 40 E"),425,IF(OR(Atletas!O424="Chen 25 E",Atletas!O424="Chen 36 E",Atletas!O424="Chen 56 E"),426,IF(Atletas!O424="Sun 73 E",427,IF(Atletas!O424="Wu 45 E",428,IF(Atletas!O424="Wu-Hao 46 E",429,IF(OR(Atletas!O424="Taijiquan 16 E",Atletas!O424="Taijiquan 24 E",Atletas!O424="Taijiquan 32 E",Atletas!O424="Taijiquan 42 E"),430,IF(OR(Atletas!O424="Yang 26 F",Atletas!O424="Yang 40 F"),431,IF(OR(Atletas!O424="Chen 25 F",Atletas!O424="Chen 36 F",Atletas!O424="Chen 56 F"),432,IF(Atletas!O424="Sun 73 F",433,IF(Atletas!O424="Wu 45 F",434,IF(Atletas!O424="Wu-Hao 46 F",435,IF(OR(Atletas!O424="Taijiquan 16 F",Atletas!O424="Taijiquan 24 F",Atletas!O424="Taijiquan 32 F",Atletas!O424="Taijiquan 42 F"),436,0)))))))))))))))))))</f>
        <v/>
      </c>
      <c r="BR428" s="52" t="str">
        <f>IF(Atletas!P424="","",IF(Atletas!W424&lt;&gt;"",10000,0)+IF(Atletas!B424="Feminino",1000,IF(Atletas!B424="Masculino",2000,""))+IF(Atletas!P424="Xingyiquan A",501,IF(Atletas!P424="Baguazhang A",502,IF(Atletas!P424="Outro Estilo Interno A",503,IF(Atletas!P424="Xingyiquan B",504,IF(Atletas!P424="Baguazhang B",505,IF(Atletas!P424="Outro Estilo Interno B",506,IF(Atletas!P424="Xingyiquan C",507,IF(Atletas!P424="Baguazhang C",508,IF(Atletas!P424="Outro Estilo Interno C",509,IF(Atletas!P424="Xingyiquan D",510,IF(Atletas!P424="Baguazhang D",511,IF(Atletas!P424="Outro Estilo Interno D",512,IF(Atletas!P424="Xingyiquan E",513,IF(Atletas!P424="Baguazhang E",514,IF(Atletas!P424="Outro Estilo Interno E",515,IF(Atletas!P424="Xingyiquan F",516,IF(Atletas!P424="Baguazhang F",517,IF(Atletas!P424="Outro Estilo Interno F",518, "")))))))))))))))))))</f>
        <v/>
      </c>
      <c r="BS428" s="52" t="str">
        <f>IF(Atletas!Q424="","",IF(Atletas!W424&lt;&gt;"",10000,0)+IF(Atletas!B424="Feminino",1000,IF(Atletas!B424="Masculino",2000,""))+IF(Atletas!Q424="Dao A",601,IF(Atletas!Q424="Jian A",602,IF(Atletas!Q424="Bishou A",603,IF(Atletas!Q424="Shan A",604,IF(Atletas!Q424="Outra Arma Curta A",605,IF(Atletas!Q424="Dao B",606,IF(Atletas!Q424="Jian B",607,IF(Atletas!Q424="Bishou B",608,IF(Atletas!Q424="Shan B",609,IF(Atletas!Q424="Outra Arma Curta B",610,IF(Atletas!Q424="Dao C",611,IF(Atletas!Q424="Jian C",612,IF(Atletas!Q424="Bishou C",613,IF(Atletas!Q424="Shan C",614,IF(Atletas!Q424="Outra Arma Curta C",615,IF(Atletas!Q424="Dao D",616,IF(Atletas!Q424="Jian D",617,IF(Atletas!Q424="Bishou D",618,IF(Atletas!Q424="Shan D",619,IF(Atletas!Q424="Outra Arma Curta D",620,IF(Atletas!Q424="Dao E",621,IF(Atletas!Q424="Jian E",622,IF(Atletas!Q424="Bishou E",623,IF(Atletas!Q424="Shan E",624,IF(Atletas!Q424="Outra Arma Curta E",625,IF(Atletas!Q424="Dao F",626,IF(Atletas!Q424="Jian F",627,IF(Atletas!Q424="Bishou F",628,IF(Atletas!Q424="Shan F",629,IF(Atletas!Q424="Outra Arma Curta F",630, "")))))))))))))))))))))))))))))))</f>
        <v/>
      </c>
      <c r="BT428" s="52" t="str">
        <f>IF(Atletas!R424="","",IF(Atletas!W424&lt;&gt;"",10000,0)+IF(Atletas!B424="Feminino",1000,IF(Atletas!B424="Masculino",2000,""))+IF(Atletas!R424="Gun A",701,IF(Atletas!R424="Qiang A",702,IF(Atletas!R424="Pudao / Guandao A",703,IF(Atletas!R424="Outra Arma Longa A",704,IF(Atletas!R424="Gun B",705,IF(Atletas!R424="Qiang B",706,IF(Atletas!R424="Pudao / Guandao B",707,IF(Atletas!R424="Outra Arma Longa B",708,IF(Atletas!R424="Gun C",709,IF(Atletas!R424="Qiang C",710,IF(Atletas!R424="Pudao / Guandao C",711,IF(Atletas!R424="Outra Arma Longa C",712,IF(Atletas!R424="Gun D",713,IF(Atletas!R424="Qiang D",714,IF(Atletas!R424="Pudao / Guandao D",715,IF(Atletas!R424="Outra Arma Longa D",716,IF(Atletas!R424="Gun E",717,IF(Atletas!R424="Qiang E",718,IF(Atletas!R424="Pudao / Guandao E",719,IF(Atletas!R424="Outra Arma Longa E",720,IF(Atletas!R424="Gun F",721,IF(Atletas!R424="Qiang F",722,IF(Atletas!R424="Pudao / Guandao F",723,IF(Atletas!R424="Outra Arma Longa F",724,"")))))))))))))))))))))))))</f>
        <v/>
      </c>
      <c r="BU428" s="52" t="str">
        <f>IF(Atletas!S424="","",IF(Atletas!W424&lt;&gt;"",10000,0)+IF(Atletas!B424="Feminino",1000,IF(Atletas!B424="Masculino",2000,""))+IF(Atletas!S424="Arma Dupla A",801,IF(Atletas!S424="Arma Maleável A",802,IF(Atletas!S424="Arma Dupla B",803,IF(Atletas!S424="Arma Maleável B",804,IF(Atletas!S424="Arma Dupla C",805,IF(Atletas!S424="Arma Maleável C",806,IF(Atletas!S424="Arma Dupla D",807,IF(Atletas!S424="Arma Maleável D",808,IF(Atletas!S424="Arma Dupla E",809,IF(Atletas!S424="Arma Maleável E",810,IF(Atletas!S424="Arma Dupla F",811,IF(Atletas!S424="Arma Maleável F",812, "")))))))))))))</f>
        <v/>
      </c>
      <c r="BV428" s="52" t="str">
        <f>IF(Atletas!T424="","",IF(Atletas!W424&lt;&gt;"",10000,0)+IF(Atletas!B424="Feminino",1000,IF(Atletas!B424="Masculino",2000,""))+IF(Atletas!T424="Taijijian Yang A",901,IF(Atletas!T424="Taijijian Chen A",902,IF(Atletas!T424="Taijijian Sun A",903,IF(Atletas!T424="Taijijian Wu A",904,IF(Atletas!T424="Taijijian Wu-Hao A",905,IF(Atletas!T424="Taijijian 32 A",906,IF(Atletas!T424="Taijijian 42 A",907,IF(Atletas!T424="Taijijian Yang B",908,IF(Atletas!T424="Taijijian Chen B",909,IF(Atletas!T424="Taijijian Sun B",910,IF(Atletas!T424="Taijijian Wu B",911,IF(Atletas!T424="Taijijian Wu-Hao B",912,IF(Atletas!T424="Taijijian 32 B",913,IF(Atletas!T424="Taijijian 42 B",914,IF(Atletas!T424="Taijijian Yang C",915,IF(Atletas!T424="Taijijian Chen C",916,IF(Atletas!T424="Taijijian Sun C",917,IF(Atletas!T424="Taijijian Wu C",918,IF(Atletas!T424="Taijijian Wu-Hao C",919,IF(Atletas!T424="Taijijian 32 C",920,IF(Atletas!T424="Taijijian 42 C",921,IF(Atletas!T424="Taijijian Yang D",922,IF(Atletas!T424="Taijijian Chen D",923,IF(Atletas!T424="Taijijian Sun D",924,IF(Atletas!T424="Taijijian Wu D",925,IF(Atletas!T424="Taijijian Wu-Hao D",926,IF(Atletas!T424="Taijijian 32 D",927,IF(Atletas!T424="Taijijian 42 D",928,IF(Atletas!T424="Taijijian Yang E",929,IF(Atletas!T424="Taijijian Chen E",930,IF(Atletas!T424="Taijijian Sun E",931,IF(Atletas!T424="Taijijian Wu E",932,IF(Atletas!T424="Taijijian Wu-Hao E",933,IF(Atletas!T424="Taijijian 32 E",934,IF(Atletas!T424="Taijijian 42 E",935,IF(Atletas!T424="Taijijian Yang F",936,IF(Atletas!T424="Taijijian Chen F",937,IF(Atletas!T424="Taijijian Sun F",938,IF(Atletas!T424="Taijijian Wu F",939,IF(Atletas!T424="Taijijian Wu-Hao F",940,IF(Atletas!T424="Taijijian 32 F",941,IF(Atletas!T424="Taijijian 42 F",942,"")))))))))))))))))))))))))))))))))))))))))))</f>
        <v/>
      </c>
      <c r="BW428" s="52" t="str">
        <f>IF(Atletas!U424="","",IF(Atletas!W424&lt;&gt;"",10000,0)+IF(Atletas!B424="Feminino",1000,IF(Atletas!B424="Masculino",2000,""))+IF(Atletas!T424="Taijijian 42 F",942,IF(Atletas!U424="Taijidao A",943,IF(Atletas!U424="Taijishan A",944,IF(Atletas!U424="Taijiqiang A",945,IF(Atletas!U424="Taijidao B",946,IF(Atletas!U424="Taijishan B",947,IF(Atletas!U424="Taijiqiang B",948,IF(Atletas!U424="Taijidao C",949,IF(Atletas!U424="Taijishan C",950,IF(Atletas!U424="Taijiqiang C",951,IF(Atletas!U424="Taijidao D",952,IF(Atletas!U424="Taijishan D",953,IF(Atletas!U424="Taijiqiang D",954,IF(Atletas!U424="Taijidao E",955,IF(Atletas!U424="Taijishan E",956,IF(Atletas!U424="Taijiqiang E",957,IF(Atletas!U424="Taijidao F",958,IF(Atletas!U424="Taijishan F",959,IF(Atletas!U424="Taijiqiang F",960))))))))))))))))))))</f>
        <v/>
      </c>
      <c r="CF428" s="52" t="str">
        <f xml:space="preserve"> IF(Atletas!V424="","",IF(Atletas!V424="Duilian de Mãos AB - Equipe 1",1,IF(Atletas!V424="Duilian de Mãos AB - Equipe 2",2,IF(Atletas!V424="Duilian de Armas AB - Equipe 1",3,IF(Atletas!V424="Duilian de Armas AB - Equipe 2",4,IF(Atletas!V424="Duilian de Tuishou - Equipe 1",5,IF(Atletas!V424="Duilian de Tuishou - Equipe 2",6,IF(Atletas!V424="Grupo Externo AB - Equipe 1",7,IF(Atletas!V424="Grupo Externo AB - Equipe 2",8,IF(Atletas!V424="Grupo Interno AB - Equipe 1",9,IF(Atletas!V424="Grupo Interno AB - Equipe 2",10,IF(Atletas!V424="Duilian de Mãos CD - Equipe 1",11,IF(Atletas!V424="Duilian de Mãos CD - Equipe 2",12,IF(Atletas!V424="Duilian de Armas CD - Equipe 1",13,IF(Atletas!V424="Duilian de Armas CD - Equipe 2",14,IF(Atletas!V424="Duilian de Tuishou - Equipe 1",15,IF(Atletas!V424="Duilian de Tuishou - Equipe 2",16,IF(Atletas!V424="Grupo Externo CDEF - Equipe 1",17,IF(Atletas!V424="Grupo Externo CDEF - Equipe 2",18,IF(Atletas!V424="Grupo Interno CDEF - Equipe 1",19,IF(Atletas!V424="Grupo Interno CDEF - Equipe 2",20,IF(Atletas!V424="Duilian de Mãos EF - Equipe 1",21,IF(Atletas!V424="Duilian de Mãos EF - Equipe 2",22,IF(Atletas!V424="Duilian de Armas EF - Equipe 1",23,IF(Atletas!V424="Duilian de Armas EF - Equipe 2",24,IF(Atletas!V424="Duilian de Tuishou - Equipe 1",25,IF(Atletas!V424="Duilian de Tuishou - Equipe 2",26,"")))))))))))))))))))))))))))</f>
        <v/>
      </c>
    </row>
    <row r="429" spans="36:84">
      <c r="AJ429" s="46" t="str">
        <f>IF(Atletas!D425="","",IF(Atletas!B425="Feminino",100,IF(Atletas!B425="Masculino",200,""))+(IF(Atletas!D425="Infantil 39kg",1,IF(Atletas!D425="Infantil 42kg",2,IF(Atletas!D425="Infantil 45kg",3,IF(Atletas!D425="Infantil 48kg",4,IF(Atletas!D425="Infantil 52kg",5,IF(Atletas!D425="Infantil 56kg",6,IF(Atletas!D425="Infantil 60kg",7,IF(Atletas!D425="Juvenil 48kg",8,IF(Atletas!D425="Juvenil 52kg",9,IF(Atletas!D425="Juvenil 56kg",10,IF(Atletas!D425="Juvenil 60kg",11,IF(Atletas!D425="Juvenil 65kg",12,IF(Atletas!D425="Juvenil 70kg",13,IF(Atletas!D425="Juvenil 75kg",14,IF(Atletas!D425="Juvenil 80kg",15,IF(Atletas!D425="Adulto 48kg",16,IF(Atletas!D425="Adulto 52kg",17,IF(Atletas!D425="Adulto 56kg",18,IF(Atletas!D425="Adulto 60kg",19,IF(Atletas!D425="Adulto 65kg",20,IF(Atletas!D425="Adulto 70kg",21,IF(Atletas!D425="Adulto 75kg",22,IF(Atletas!D425="Adulto 80kg",23,IF(Atletas!D425="Adulto 85kg",24,IF(Atletas!D425="Adulto 90kg",25,IF(Atletas!D425="Adulto +90kg",26,""))))))))))))))))))))))))))))</f>
        <v/>
      </c>
      <c r="AO429" s="10" t="str">
        <f>IF(Atletas!E425="","",IF(Atletas!B425="Feminino",100,IF(Atletas!B425="Masculino",200,""))+(IF(Atletas!E425="Juvenil 44kg",1,IF(Atletas!E425="Juvenil 48kg",2,IF(Atletas!E425="Juvenil 52kg",3,IF(Atletas!E425="Juvenil 56kg",4,IF(Atletas!E425="Juvenil 60kg",5,IF(Atletas!E425="Juvenil 65kg",6,IF(Atletas!E425="Juvenil 70kg",7,IF(Atletas!E425="Juvenil 75kg",8,IF(Atletas!E425="Juvenil 82kg",9,IF(Atletas!E425="Juvenil 90kg",10,IF(Atletas!E425="Juvenil 100kg",11,IF(Atletas!E425="Adulto 48kg",12,IF(Atletas!E425="Adulto 52kg",13,IF(Atletas!E425="Adulto 56kg",14,IF(Atletas!E425="Adulto 60kg",15,IF(Atletas!E425="Adulto 65kg",16,IF(Atletas!E425="Adulto 70kg",17,IF(Atletas!E425="Adulto 75kg",18,IF(Atletas!E425="Adulto 82kg",19,IF(Atletas!E425="Adulto 90kg",20,IF(Atletas!E425="Adulto 100kg",21,IF(Atletas!E425="Adulto +100kg",22,""))))))))))))))))))))))))</f>
        <v/>
      </c>
      <c r="AT429" s="10" t="str">
        <f>IF(Atletas!F425="","",IF(Atletas!B425="Feminino",100,IF(Atletas!B425="Masculino",200,""))+(IF(Atletas!F425="Adulto 48kg",1,IF(Atletas!F425="Adulto 56kg",2,IF(Atletas!F425="Adulto 65kg",3,IF(Atletas!F425="Adulto 75kg",4,IF(Atletas!F425="Adulto +75kg",5,IF(Atletas!F425="Adulto 52kg",6,IF(Atletas!F425="Adulto 60kg",7,IF(Atletas!F425="Adulto 70kg",8,IF(Atletas!F425="Adulto 80kg",9,IF(Atletas!F425="Adulto 90kg",10,IF(Atletas!F425="Adulto +90kg",11,"")))))))))))))</f>
        <v/>
      </c>
      <c r="AY429" s="46" t="str">
        <f>IF(Atletas!G425="","",IF(Atletas!B425="Feminino",100,IF(Atletas!B425="Masculino",200,""))+(IF(Atletas!G425="Changquan Mirim",1,IF(Atletas!G425="Nanquan Mirim",2,IF(Atletas!G425="Taijiquan Mirim",3,IF(Atletas!G425="Changquan Grupo C",4,IF(Atletas!G425="Nanquan Grupo C",5,IF(Atletas!G425="Taijiquan Grupo C",6,IF(Atletas!G425="Changquan Grupo B",7,IF(Atletas!G425="Nanquan Grupo B",8,IF(Atletas!G425="Taijiquan Grupo B",9,IF(Atletas!G425="Changquan Grupo A",10,IF(Atletas!G425="Nanquan Grupo A",11,IF(Atletas!G425="Taijiquan Grupo A",12,IF(Atletas!G425="Changquan Opcional",13,IF(Atletas!G425="Nanquan Opcional",14,IF(Atletas!G425="Taijiquan Opcional",15,IF(Atletas!G425="Changquan Adulto",16,IF(Atletas!G425="Nanquan Adulto",17,IF(Atletas!G425="Taijiquan Adulto",18,""))))))))))))))))))))</f>
        <v/>
      </c>
      <c r="AZ429" s="46" t="str">
        <f>IF(Atletas!H425="","",IF(Atletas!B425="Feminino",100,IF(Atletas!B425="Masculino",200,""))+(IF(Atletas!H425="Daoshu Mirim",19,IF(Atletas!H425="Jianshu Mirim",20,IF(Atletas!H425="Nandao Mirim",21,IF(Atletas!H425="Taijijian Mirim",22,IF(Atletas!H425="Daoshu Grupo C",23,IF(Atletas!H425="Jianshu Grupo C",24,IF(Atletas!H425="Nandao Grupo C",25,IF(Atletas!H425="Taijijian Grupo C",26,IF(Atletas!H425="Daoshu Grupo B",27,IF(Atletas!H425="Jianshu Grupo B",28,IF(Atletas!H425="Nandao Grupo B",29,IF(Atletas!H425="Taijijian Grupo B",30,IF(Atletas!H425="Daoshu Grupo A",31,IF(Atletas!H425="Jianshu Grupo A",32,IF(Atletas!H425="Nandao Grupo A",33,IF(Atletas!H425="Taijijian Grupo A",34,IF(Atletas!H425="Daoshu Opcional",35,IF(Atletas!H425="Jianshu Opcional",36,IF(Atletas!H425="Nandao Opcional",37,IF(Atletas!H425="Taijijian Opcional",38,IF(Atletas!H425="Daoshu Adulto",39,IF(Atletas!H425="Jianshu Adulto",40,IF(Atletas!H425="Nandao Adulto",41,IF(Atletas!H425="Taijijian Adulto",42,""))))))))))))))))))))))))))</f>
        <v/>
      </c>
      <c r="BA429" s="46" t="str">
        <f>IF(Atletas!I425="","",IF(Atletas!B425="Feminino",100,IF(Atletas!B425="Masculino",200,""))+(IF(Atletas!I425="Gunshu Mirim",43,IF(Atletas!I425="Qiangshu Mirim",44,IF(Atletas!I425="Nangun Mirim",45,IF(Atletas!I425="Gunshu Grupo C",46,IF(Atletas!I425="Qiangshu Grupo C",47,IF(Atletas!I425="Nangun Grupo C",48,IF(Atletas!I425="Gunshu Grupo B",49,IF(Atletas!I425="Qiangshu Grupo B",50,IF(Atletas!I425="Nangun Grupo B",51,IF(Atletas!I425="Gunshu Grupo A",52,IF(Atletas!I425="Qiangshu Grupo A",53,IF(Atletas!I425="Nangun Grupo A",54,IF(Atletas!I425="Gunshu Opcional",55,IF(Atletas!I425="Qiangshu Opcional",56,IF(Atletas!I425="Nangun Opcional",57,IF(Atletas!I425="Gunshu Adulto",58,IF(Atletas!I425="Qiangshu Adulto",59,IF(Atletas!I425="Nangun Adulto",60,""))))))))))))))))))))</f>
        <v/>
      </c>
      <c r="BF429" s="52" t="str">
        <f>IF(Atletas!J425="","",IF(Atletas!B425="Feminino",100,IF(Atletas!B425="Masculino",200,""))+(IF(Atletas!J425="Equipe 1 Grupo B",1,IF(Atletas!J425="Equipe 2 Grupo B",2,IF(Atletas!J425="Equipe 1 Grupo A",3,IF(Atletas!J425="Equipe 2 Grupo A",4,IF(Atletas!J425="Equipe 1 Adulto",5,IF(Atletas!J425="Equipe 2 Adulto",6,""))))))))</f>
        <v/>
      </c>
      <c r="BK429" s="52" t="str">
        <f>IF(Atletas!K425="","",IF(Atletas!W425&lt;&gt;"",10000,0)+(IF(Atletas!B425="Feminino",1000,IF(Atletas!B425="Masculino",2000,""))+IF(Atletas!K425="Choylayfut A",1,IF(Atletas!K425="Hunggar A",2,IF(Atletas!K425="Wuzuquan A",3,IF(Atletas!K425="Wingchun A",4,IF(Atletas!K425="Outra Mão de Sul A",5,IF(Atletas!K425="Choylayfut B",6,IF(Atletas!K425="Hunggar B",7,IF(Atletas!K425="Wuzuquan B",8,IF(Atletas!K425="Wingchun B",9,IF(Atletas!K425="Outra Mão de Sul B",10,IF(Atletas!K425="Choylayfut C",11,IF(Atletas!K425="Hunggar C",12,IF(Atletas!K425="Wuzuquan C",13,IF(Atletas!K425="Wingchun C",14,IF(Atletas!K425="Outra Mão de Sul C",15,IF(Atletas!K425="Choylayfut D",16,IF(Atletas!K425="Hunggar D",17,IF(Atletas!K425="Wuzuquan D",18,IF(Atletas!K425="Wingchun D",19,IF(Atletas!K425="Outra Mão de Sul D",20,IF(Atletas!K425="Choylayfut E",21,IF(Atletas!K425="Hunggar E",22,IF(Atletas!K425="Wuzuquan E",23,IF(Atletas!K425="Wingchun E",24,IF(Atletas!K425="Outra Mão de Sul E",25,IF(Atletas!K425="Choylayfut F",26,IF(Atletas!K425="Hunggar F",27,IF(Atletas!K425="Wuzuquan F",28,IF(Atletas!K425="Wingchun F",29,IF(Atletas!K425="Outra Mão de Sul F",30,""))))))))))))))))))))))))))))))))</f>
        <v/>
      </c>
      <c r="BL429" s="52" t="str">
        <f>IF(Atletas!L425="","",IF(Atletas!W425&lt;&gt;"",10000,0)+(IF(Atletas!B425="Feminino",1000,IF(Atletas!B425="Masculino",2000,""))+(IF(Atletas!L425="Chaquan A",101,IF(Atletas!L425="Emeiquan A",102,IF(Atletas!L425="Fanziquan A",103,IF(Atletas!L425="Huaquan A",104,IF(Atletas!L425="Hongquan A",105,IF(Atletas!L425="Paochui A",106,IF(Atletas!L425="Piguaquan A",107,IF(Atletas!L425="Shaolinquan A",108,IF(Atletas!L425="Tanglangquan A",109,IF(Atletas!L425="Yinzhaophai A",110,IF(Atletas!L425="Tongbeiquan A",111,IF(Atletas!L425="Wudangquan A",112,IF(Atletas!L425="Outros Estilos A",113,IF(Atletas!L425="Chaquan B",114,IF(Atletas!L425="Emeiquan B",115,IF(Atletas!L425="Fanziquan B",116,IF(Atletas!L425="Huaquan B",117,IF(Atletas!L425="Hongquan B",118,IF(Atletas!L425="Paochui B",119,IF(Atletas!L425="Piguaquan B",120,IF(Atletas!L425="Shaolinquan B",121,IF(Atletas!L425="Tanglangquan B",122,IF(Atletas!L425="Yinzhaophai B",123,IF(Atletas!L425="Tongbeiquan B",124,IF(Atletas!L425="Wudangquan B",125,IF(Atletas!L425="Outros Estilos B",126,IF(Atletas!L425="Chaquan C",127,IF(Atletas!L425="Emeiquan C",128,IF(Atletas!L425="Fanziquan C",129,IF(Atletas!L425="Huaquan C",130,IF(Atletas!L425="Hongquan C",131,IF(Atletas!L425="Paochui C",132,IF(Atletas!L425="Piguaquan C",133,IF(Atletas!L425="Shaolinquan C",134,IF(Atletas!L425="Tanglangquan C",135,IF(Atletas!L425="Yinzhaophai C",136,IF(Atletas!L425="Tongbeiquan C",137,IF(Atletas!L425="Wudangquan C",138,IF(Atletas!L425="Outros Estilos C",139,0))))))))))))))))))))))))))))))))))))))))))</f>
        <v/>
      </c>
      <c r="BM429" s="52" t="str">
        <f>IF(Atletas!L425="","",IF(Atletas!W425&lt;&gt;"",10000,0)+(IF(Atletas!B425="Feminino",1000,IF(Atletas!B425="Masculino",2000,""))+(IF(Atletas!L425="Chaquan D",140,IF(Atletas!L425="Emeiquan D",141,IF(Atletas!L425="Fanziquan D",142,IF(Atletas!L425="Huaquan D",143,IF(Atletas!L425="Hongquan D",144,IF(Atletas!L425="Paochui D",145,IF(Atletas!L425="Piguaquan D",146,IF(Atletas!L425="Shaolinquan D",147,IF(Atletas!L425="Tanglangquan D",148,IF(Atletas!L425="Yinzhaophai D",149,IF(Atletas!L425="Tongbeiquan D",150,IF(Atletas!L425="Wudangquan D",151,IF(Atletas!L425="Outros Estilos D",152,IF(Atletas!L425="Chaquan E",153,IF(Atletas!L425="Emeiquan E",154,IF(Atletas!L425="Fanziquan E",155,IF(Atletas!L425="Huaquan E",156,IF(Atletas!L425="Hongquan E",157,IF(Atletas!L425="Paochui E",158,IF(Atletas!L425="Piguaquan E",159,IF(Atletas!L425="Shaolinquan E",160,IF(Atletas!L425="Tanglangquan E",161,IF(Atletas!L425="Yinzhaophai E",162,IF(Atletas!L425="Tongbeiquan E",163,IF(Atletas!L425="Wudangquan E",164,IF(Atletas!L425="Outros Estilos E",165,IF(Atletas!L425="Chaquan F",166,IF(Atletas!L425="Emeiquan F",167,IF(Atletas!L425="Fanziquan F",168,IF(Atletas!L425="Huaquan F",169,IF(Atletas!L425="Hongquan F",170,IF(Atletas!L425="Paochui F",171,IF(Atletas!L425="Piguaquan F",172,IF(Atletas!L425="Shaolinquan F",173,IF(Atletas!L425="Tanglangquan F",174,IF(Atletas!L425="Yinzhaophai F",175,IF(Atletas!L425="Tongbeiquan F",176,IF(Atletas!L425="Wudangquan F",177,IF(Atletas!L425="Outros Estilos F",178,0))))))))))))))))))))))))))))))))))))))))))</f>
        <v/>
      </c>
      <c r="BN429" s="52" t="str">
        <f>IF(Atletas!M425="","",IF(Atletas!W425&lt;&gt;"",10000,0)+(IF(Atletas!B425="Feminino",1000,IF(Atletas!B425="Masculino",2000,""))+(IF(Atletas!M425="Ditangquan A",201,IF(Atletas!M425="Houquan A",202,IF(Atletas!M425="Zuiquan A",203,IF(Atletas!M425="Ditangquan B",204,IF(Atletas!M425="Houquan B",205,IF(Atletas!M425="Zuiquan B",206,IF(Atletas!M425="Ditangquan C",207,IF(Atletas!M425="Houquan C",208,IF(Atletas!M425="Zuiquan C",209,IF(Atletas!M425="Ditangquan D",210,IF(Atletas!M425="Houquan D",211,IF(Atletas!M425="Zuiquan D",212,IF(Atletas!M425="Ditangquan E",213,IF(Atletas!M425="Houquan E",214,IF(Atletas!M425="Zuiquan E",215,IF(Atletas!M425="Ditangquan F",216,IF(Atletas!M425="Houquan F",217,IF(Atletas!M425="Zuiquan F",218,"")))))))))))))))))))))</f>
        <v/>
      </c>
      <c r="BO429" s="52" t="str">
        <f>IF(Atletas!N425="","",IF(Atletas!W425&lt;&gt;"",10000,0)+IF(Atletas!B425="Feminino",1000,IF(Atletas!B425="Masculino",2000,""))+IF(Atletas!N425="Yang A",301,IF(Atletas!N425="Chen A",30,IF(Atletas!N425="Sun A",303,IF(Atletas!N425="Wu A",304,IF(Atletas!N425="Wu-Hao A",305,IF(Atletas!N425="Outro Taijiquan A",306,IF(Atletas!N425="Yang B",307,IF(Atletas!N425="Chen B",308,IF(Atletas!N425="Sun B",309,IF(Atletas!N425="Wu B",310,IF(Atletas!N425="Wu-Hao B",311,IF(Atletas!N425="Outro Taijiquan B",312,IF(Atletas!N425="Yang C",313,IF(Atletas!N425="Chen C",314,IF(Atletas!N425="Sun C",315,IF(Atletas!N425="Wu C",316,IF(Atletas!N425="Wu-Hao C",317,IF(Atletas!N425="Outro Taijiquan C",318,IF(Atletas!N425="Yang D",319,IF(Atletas!N425="Chen D",320,IF(Atletas!N425="Sun D",321,IF(Atletas!N425="Wu D",322,IF(Atletas!N425="Wu-Hao D",323,IF(Atletas!N425="Outro Taijiquan D",324,IF(Atletas!N425="Yang E",325,IF(Atletas!N425="Chen E",326,IF(Atletas!N425="Sun E",327,IF(Atletas!N425="Wu E",328,IF(Atletas!N425="Wu-Hao E",329,IF(Atletas!N425="Outro Taijiquan E",330,IF(Atletas!N425="Yang F",331,IF(Atletas!N425="Chen F",332,IF(Atletas!N425="Sun F",333,IF(Atletas!N425="Wu F",334,IF(Atletas!N425="Wu-Hao F",335,IF(Atletas!N425="Outro Taijiquan F",336,"")))))))))))))))))))))))))))))))))))))</f>
        <v/>
      </c>
      <c r="BP429" s="52" t="str">
        <f>IF(Atletas!O425="","",IF(Atletas!W425&lt;&gt;"",10000,0)+IF(Atletas!B425="Feminino",1000,IF(Atletas!B425="Masculino",2000,""))+IF(OR(Atletas!O425="Yang 26 A",Atletas!O425="Yang 40 A"),401,IF(OR(Atletas!O425="Chen 25 A",Atletas!O425="Chen 36 A",Atletas!O425="Chen 56 A"),402,IF(Atletas!O425="Sun 73 A",403,IF(Atletas!O425="Wu 45 A",404,IF(Atletas!O425="Wu-Hao 46 A",405,IF(OR(Atletas!O425="Taijiquan 16 A",Atletas!O425="Taijiquan 24 A",Atletas!O425="Taijiquan 32 A",Atletas!O425="Taijiquan 42 A"),406,IF(OR(Atletas!O425="Yang 26 B",Atletas!O425="Yang 40 B"),407,IF(OR(Atletas!O425="Chen 25 B",Atletas!O425="Chen 36 B",Atletas!O425="Chen 56 B"),408,IF(Atletas!O425="Sun 73 B",409,IF(Atletas!O425="Wu 45 B",410,IF(Atletas!O425="Wu-Hao 46 B",411,IF(OR(Atletas!O425="Taijiquan 16 B",Atletas!O425="Taijiquan 24 B",Atletas!O425="Taijiquan 32 B",Atletas!O425="Taijiquan 42 B"),412,IF(OR(Atletas!O425="Yang 26 C",Atletas!O425="Yang 40 C"),413,IF(OR(Atletas!O425="Chen 25 C",Atletas!O425="Chen 36 C",Atletas!O425="Chen 56 C"),414,IF(Atletas!O425="Sun 73 C",415,IF(Atletas!O425="Wu 45 C",416,IF(Atletas!O425="Wu-Hao 46 C",417,IF(OR(Atletas!O425="Taijiquan 16 C",Atletas!O425="Taijiquan 24 C",Atletas!O425="Taijiquan 32 C",Atletas!O425="Taijiquan 42 C"),418,0)))))))))))))))))))</f>
        <v/>
      </c>
      <c r="BQ429" s="52" t="str">
        <f>IF(Atletas!O425="","",IF(Atletas!W425&lt;&gt;"",10000,0)+IF(Atletas!B425="Feminino",1000,IF(Atletas!B425="Masculino",2000,""))+IF(OR(Atletas!O425="Yang 26 D",Atletas!O425="Yang 40 D"),419,IF(OR(Atletas!O425="Chen 25 D",Atletas!O425="Chen 36 D",Atletas!O425="Chen 56 D"),420,IF(Atletas!O425="Sun 73 D",421,IF(Atletas!O425="Wu 45 D",422,IF(Atletas!O425="Wu-Hao 46 D",423,IF(OR(Atletas!O425="Taijiquan 16 D",Atletas!O425="Taijiquan 24 D",Atletas!O425="Taijiquan 32 D",Atletas!O425="Taijiquan 42 D"),424,IF(OR(Atletas!O425="Yang 26 E",Atletas!O425="Yang 40 E"),425,IF(OR(Atletas!O425="Chen 25 E",Atletas!O425="Chen 36 E",Atletas!O425="Chen 56 E"),426,IF(Atletas!O425="Sun 73 E",427,IF(Atletas!O425="Wu 45 E",428,IF(Atletas!O425="Wu-Hao 46 E",429,IF(OR(Atletas!O425="Taijiquan 16 E",Atletas!O425="Taijiquan 24 E",Atletas!O425="Taijiquan 32 E",Atletas!O425="Taijiquan 42 E"),430,IF(OR(Atletas!O425="Yang 26 F",Atletas!O425="Yang 40 F"),431,IF(OR(Atletas!O425="Chen 25 F",Atletas!O425="Chen 36 F",Atletas!O425="Chen 56 F"),432,IF(Atletas!O425="Sun 73 F",433,IF(Atletas!O425="Wu 45 F",434,IF(Atletas!O425="Wu-Hao 46 F",435,IF(OR(Atletas!O425="Taijiquan 16 F",Atletas!O425="Taijiquan 24 F",Atletas!O425="Taijiquan 32 F",Atletas!O425="Taijiquan 42 F"),436,0)))))))))))))))))))</f>
        <v/>
      </c>
      <c r="BR429" s="52" t="str">
        <f>IF(Atletas!P425="","",IF(Atletas!W425&lt;&gt;"",10000,0)+IF(Atletas!B425="Feminino",1000,IF(Atletas!B425="Masculino",2000,""))+IF(Atletas!P425="Xingyiquan A",501,IF(Atletas!P425="Baguazhang A",502,IF(Atletas!P425="Outro Estilo Interno A",503,IF(Atletas!P425="Xingyiquan B",504,IF(Atletas!P425="Baguazhang B",505,IF(Atletas!P425="Outro Estilo Interno B",506,IF(Atletas!P425="Xingyiquan C",507,IF(Atletas!P425="Baguazhang C",508,IF(Atletas!P425="Outro Estilo Interno C",509,IF(Atletas!P425="Xingyiquan D",510,IF(Atletas!P425="Baguazhang D",511,IF(Atletas!P425="Outro Estilo Interno D",512,IF(Atletas!P425="Xingyiquan E",513,IF(Atletas!P425="Baguazhang E",514,IF(Atletas!P425="Outro Estilo Interno E",515,IF(Atletas!P425="Xingyiquan F",516,IF(Atletas!P425="Baguazhang F",517,IF(Atletas!P425="Outro Estilo Interno F",518, "")))))))))))))))))))</f>
        <v/>
      </c>
      <c r="BS429" s="52" t="str">
        <f>IF(Atletas!Q425="","",IF(Atletas!W425&lt;&gt;"",10000,0)+IF(Atletas!B425="Feminino",1000,IF(Atletas!B425="Masculino",2000,""))+IF(Atletas!Q425="Dao A",601,IF(Atletas!Q425="Jian A",602,IF(Atletas!Q425="Bishou A",603,IF(Atletas!Q425="Shan A",604,IF(Atletas!Q425="Outra Arma Curta A",605,IF(Atletas!Q425="Dao B",606,IF(Atletas!Q425="Jian B",607,IF(Atletas!Q425="Bishou B",608,IF(Atletas!Q425="Shan B",609,IF(Atletas!Q425="Outra Arma Curta B",610,IF(Atletas!Q425="Dao C",611,IF(Atletas!Q425="Jian C",612,IF(Atletas!Q425="Bishou C",613,IF(Atletas!Q425="Shan C",614,IF(Atletas!Q425="Outra Arma Curta C",615,IF(Atletas!Q425="Dao D",616,IF(Atletas!Q425="Jian D",617,IF(Atletas!Q425="Bishou D",618,IF(Atletas!Q425="Shan D",619,IF(Atletas!Q425="Outra Arma Curta D",620,IF(Atletas!Q425="Dao E",621,IF(Atletas!Q425="Jian E",622,IF(Atletas!Q425="Bishou E",623,IF(Atletas!Q425="Shan E",624,IF(Atletas!Q425="Outra Arma Curta E",625,IF(Atletas!Q425="Dao F",626,IF(Atletas!Q425="Jian F",627,IF(Atletas!Q425="Bishou F",628,IF(Atletas!Q425="Shan F",629,IF(Atletas!Q425="Outra Arma Curta F",630, "")))))))))))))))))))))))))))))))</f>
        <v/>
      </c>
      <c r="BT429" s="52" t="str">
        <f>IF(Atletas!R425="","",IF(Atletas!W425&lt;&gt;"",10000,0)+IF(Atletas!B425="Feminino",1000,IF(Atletas!B425="Masculino",2000,""))+IF(Atletas!R425="Gun A",701,IF(Atletas!R425="Qiang A",702,IF(Atletas!R425="Pudao / Guandao A",703,IF(Atletas!R425="Outra Arma Longa A",704,IF(Atletas!R425="Gun B",705,IF(Atletas!R425="Qiang B",706,IF(Atletas!R425="Pudao / Guandao B",707,IF(Atletas!R425="Outra Arma Longa B",708,IF(Atletas!R425="Gun C",709,IF(Atletas!R425="Qiang C",710,IF(Atletas!R425="Pudao / Guandao C",711,IF(Atletas!R425="Outra Arma Longa C",712,IF(Atletas!R425="Gun D",713,IF(Atletas!R425="Qiang D",714,IF(Atletas!R425="Pudao / Guandao D",715,IF(Atletas!R425="Outra Arma Longa D",716,IF(Atletas!R425="Gun E",717,IF(Atletas!R425="Qiang E",718,IF(Atletas!R425="Pudao / Guandao E",719,IF(Atletas!R425="Outra Arma Longa E",720,IF(Atletas!R425="Gun F",721,IF(Atletas!R425="Qiang F",722,IF(Atletas!R425="Pudao / Guandao F",723,IF(Atletas!R425="Outra Arma Longa F",724,"")))))))))))))))))))))))))</f>
        <v/>
      </c>
      <c r="BU429" s="52" t="str">
        <f>IF(Atletas!S425="","",IF(Atletas!W425&lt;&gt;"",10000,0)+IF(Atletas!B425="Feminino",1000,IF(Atletas!B425="Masculino",2000,""))+IF(Atletas!S425="Arma Dupla A",801,IF(Atletas!S425="Arma Maleável A",802,IF(Atletas!S425="Arma Dupla B",803,IF(Atletas!S425="Arma Maleável B",804,IF(Atletas!S425="Arma Dupla C",805,IF(Atletas!S425="Arma Maleável C",806,IF(Atletas!S425="Arma Dupla D",807,IF(Atletas!S425="Arma Maleável D",808,IF(Atletas!S425="Arma Dupla E",809,IF(Atletas!S425="Arma Maleável E",810,IF(Atletas!S425="Arma Dupla F",811,IF(Atletas!S425="Arma Maleável F",812, "")))))))))))))</f>
        <v/>
      </c>
      <c r="BV429" s="52" t="str">
        <f>IF(Atletas!T425="","",IF(Atletas!W425&lt;&gt;"",10000,0)+IF(Atletas!B425="Feminino",1000,IF(Atletas!B425="Masculino",2000,""))+IF(Atletas!T425="Taijijian Yang A",901,IF(Atletas!T425="Taijijian Chen A",902,IF(Atletas!T425="Taijijian Sun A",903,IF(Atletas!T425="Taijijian Wu A",904,IF(Atletas!T425="Taijijian Wu-Hao A",905,IF(Atletas!T425="Taijijian 32 A",906,IF(Atletas!T425="Taijijian 42 A",907,IF(Atletas!T425="Taijijian Yang B",908,IF(Atletas!T425="Taijijian Chen B",909,IF(Atletas!T425="Taijijian Sun B",910,IF(Atletas!T425="Taijijian Wu B",911,IF(Atletas!T425="Taijijian Wu-Hao B",912,IF(Atletas!T425="Taijijian 32 B",913,IF(Atletas!T425="Taijijian 42 B",914,IF(Atletas!T425="Taijijian Yang C",915,IF(Atletas!T425="Taijijian Chen C",916,IF(Atletas!T425="Taijijian Sun C",917,IF(Atletas!T425="Taijijian Wu C",918,IF(Atletas!T425="Taijijian Wu-Hao C",919,IF(Atletas!T425="Taijijian 32 C",920,IF(Atletas!T425="Taijijian 42 C",921,IF(Atletas!T425="Taijijian Yang D",922,IF(Atletas!T425="Taijijian Chen D",923,IF(Atletas!T425="Taijijian Sun D",924,IF(Atletas!T425="Taijijian Wu D",925,IF(Atletas!T425="Taijijian Wu-Hao D",926,IF(Atletas!T425="Taijijian 32 D",927,IF(Atletas!T425="Taijijian 42 D",928,IF(Atletas!T425="Taijijian Yang E",929,IF(Atletas!T425="Taijijian Chen E",930,IF(Atletas!T425="Taijijian Sun E",931,IF(Atletas!T425="Taijijian Wu E",932,IF(Atletas!T425="Taijijian Wu-Hao E",933,IF(Atletas!T425="Taijijian 32 E",934,IF(Atletas!T425="Taijijian 42 E",935,IF(Atletas!T425="Taijijian Yang F",936,IF(Atletas!T425="Taijijian Chen F",937,IF(Atletas!T425="Taijijian Sun F",938,IF(Atletas!T425="Taijijian Wu F",939,IF(Atletas!T425="Taijijian Wu-Hao F",940,IF(Atletas!T425="Taijijian 32 F",941,IF(Atletas!T425="Taijijian 42 F",942,"")))))))))))))))))))))))))))))))))))))))))))</f>
        <v/>
      </c>
      <c r="BW429" s="52" t="str">
        <f>IF(Atletas!U425="","",IF(Atletas!W425&lt;&gt;"",10000,0)+IF(Atletas!B425="Feminino",1000,IF(Atletas!B425="Masculino",2000,""))+IF(Atletas!T425="Taijijian 42 F",942,IF(Atletas!U425="Taijidao A",943,IF(Atletas!U425="Taijishan A",944,IF(Atletas!U425="Taijiqiang A",945,IF(Atletas!U425="Taijidao B",946,IF(Atletas!U425="Taijishan B",947,IF(Atletas!U425="Taijiqiang B",948,IF(Atletas!U425="Taijidao C",949,IF(Atletas!U425="Taijishan C",950,IF(Atletas!U425="Taijiqiang C",951,IF(Atletas!U425="Taijidao D",952,IF(Atletas!U425="Taijishan D",953,IF(Atletas!U425="Taijiqiang D",954,IF(Atletas!U425="Taijidao E",955,IF(Atletas!U425="Taijishan E",956,IF(Atletas!U425="Taijiqiang E",957,IF(Atletas!U425="Taijidao F",958,IF(Atletas!U425="Taijishan F",959,IF(Atletas!U425="Taijiqiang F",960))))))))))))))))))))</f>
        <v/>
      </c>
      <c r="CF429" s="52" t="str">
        <f xml:space="preserve"> IF(Atletas!V425="","",IF(Atletas!V425="Duilian de Mãos AB - Equipe 1",1,IF(Atletas!V425="Duilian de Mãos AB - Equipe 2",2,IF(Atletas!V425="Duilian de Armas AB - Equipe 1",3,IF(Atletas!V425="Duilian de Armas AB - Equipe 2",4,IF(Atletas!V425="Duilian de Tuishou - Equipe 1",5,IF(Atletas!V425="Duilian de Tuishou - Equipe 2",6,IF(Atletas!V425="Grupo Externo AB - Equipe 1",7,IF(Atletas!V425="Grupo Externo AB - Equipe 2",8,IF(Atletas!V425="Grupo Interno AB - Equipe 1",9,IF(Atletas!V425="Grupo Interno AB - Equipe 2",10,IF(Atletas!V425="Duilian de Mãos CD - Equipe 1",11,IF(Atletas!V425="Duilian de Mãos CD - Equipe 2",12,IF(Atletas!V425="Duilian de Armas CD - Equipe 1",13,IF(Atletas!V425="Duilian de Armas CD - Equipe 2",14,IF(Atletas!V425="Duilian de Tuishou - Equipe 1",15,IF(Atletas!V425="Duilian de Tuishou - Equipe 2",16,IF(Atletas!V425="Grupo Externo CDEF - Equipe 1",17,IF(Atletas!V425="Grupo Externo CDEF - Equipe 2",18,IF(Atletas!V425="Grupo Interno CDEF - Equipe 1",19,IF(Atletas!V425="Grupo Interno CDEF - Equipe 2",20,IF(Atletas!V425="Duilian de Mãos EF - Equipe 1",21,IF(Atletas!V425="Duilian de Mãos EF - Equipe 2",22,IF(Atletas!V425="Duilian de Armas EF - Equipe 1",23,IF(Atletas!V425="Duilian de Armas EF - Equipe 2",24,IF(Atletas!V425="Duilian de Tuishou - Equipe 1",25,IF(Atletas!V425="Duilian de Tuishou - Equipe 2",26,"")))))))))))))))))))))))))))</f>
        <v/>
      </c>
    </row>
    <row r="430" spans="36:84">
      <c r="AJ430" s="46" t="str">
        <f>IF(Atletas!D426="","",IF(Atletas!B426="Feminino",100,IF(Atletas!B426="Masculino",200,""))+(IF(Atletas!D426="Infantil 39kg",1,IF(Atletas!D426="Infantil 42kg",2,IF(Atletas!D426="Infantil 45kg",3,IF(Atletas!D426="Infantil 48kg",4,IF(Atletas!D426="Infantil 52kg",5,IF(Atletas!D426="Infantil 56kg",6,IF(Atletas!D426="Infantil 60kg",7,IF(Atletas!D426="Juvenil 48kg",8,IF(Atletas!D426="Juvenil 52kg",9,IF(Atletas!D426="Juvenil 56kg",10,IF(Atletas!D426="Juvenil 60kg",11,IF(Atletas!D426="Juvenil 65kg",12,IF(Atletas!D426="Juvenil 70kg",13,IF(Atletas!D426="Juvenil 75kg",14,IF(Atletas!D426="Juvenil 80kg",15,IF(Atletas!D426="Adulto 48kg",16,IF(Atletas!D426="Adulto 52kg",17,IF(Atletas!D426="Adulto 56kg",18,IF(Atletas!D426="Adulto 60kg",19,IF(Atletas!D426="Adulto 65kg",20,IF(Atletas!D426="Adulto 70kg",21,IF(Atletas!D426="Adulto 75kg",22,IF(Atletas!D426="Adulto 80kg",23,IF(Atletas!D426="Adulto 85kg",24,IF(Atletas!D426="Adulto 90kg",25,IF(Atletas!D426="Adulto +90kg",26,""))))))))))))))))))))))))))))</f>
        <v/>
      </c>
      <c r="AO430" s="10" t="str">
        <f>IF(Atletas!E426="","",IF(Atletas!B426="Feminino",100,IF(Atletas!B426="Masculino",200,""))+(IF(Atletas!E426="Juvenil 44kg",1,IF(Atletas!E426="Juvenil 48kg",2,IF(Atletas!E426="Juvenil 52kg",3,IF(Atletas!E426="Juvenil 56kg",4,IF(Atletas!E426="Juvenil 60kg",5,IF(Atletas!E426="Juvenil 65kg",6,IF(Atletas!E426="Juvenil 70kg",7,IF(Atletas!E426="Juvenil 75kg",8,IF(Atletas!E426="Juvenil 82kg",9,IF(Atletas!E426="Juvenil 90kg",10,IF(Atletas!E426="Juvenil 100kg",11,IF(Atletas!E426="Adulto 48kg",12,IF(Atletas!E426="Adulto 52kg",13,IF(Atletas!E426="Adulto 56kg",14,IF(Atletas!E426="Adulto 60kg",15,IF(Atletas!E426="Adulto 65kg",16,IF(Atletas!E426="Adulto 70kg",17,IF(Atletas!E426="Adulto 75kg",18,IF(Atletas!E426="Adulto 82kg",19,IF(Atletas!E426="Adulto 90kg",20,IF(Atletas!E426="Adulto 100kg",21,IF(Atletas!E426="Adulto +100kg",22,""))))))))))))))))))))))))</f>
        <v/>
      </c>
      <c r="AT430" s="10" t="str">
        <f>IF(Atletas!F426="","",IF(Atletas!B426="Feminino",100,IF(Atletas!B426="Masculino",200,""))+(IF(Atletas!F426="Adulto 48kg",1,IF(Atletas!F426="Adulto 56kg",2,IF(Atletas!F426="Adulto 65kg",3,IF(Atletas!F426="Adulto 75kg",4,IF(Atletas!F426="Adulto +75kg",5,IF(Atletas!F426="Adulto 52kg",6,IF(Atletas!F426="Adulto 60kg",7,IF(Atletas!F426="Adulto 70kg",8,IF(Atletas!F426="Adulto 80kg",9,IF(Atletas!F426="Adulto 90kg",10,IF(Atletas!F426="Adulto +90kg",11,"")))))))))))))</f>
        <v/>
      </c>
      <c r="AY430" s="46" t="str">
        <f>IF(Atletas!G426="","",IF(Atletas!B426="Feminino",100,IF(Atletas!B426="Masculino",200,""))+(IF(Atletas!G426="Changquan Mirim",1,IF(Atletas!G426="Nanquan Mirim",2,IF(Atletas!G426="Taijiquan Mirim",3,IF(Atletas!G426="Changquan Grupo C",4,IF(Atletas!G426="Nanquan Grupo C",5,IF(Atletas!G426="Taijiquan Grupo C",6,IF(Atletas!G426="Changquan Grupo B",7,IF(Atletas!G426="Nanquan Grupo B",8,IF(Atletas!G426="Taijiquan Grupo B",9,IF(Atletas!G426="Changquan Grupo A",10,IF(Atletas!G426="Nanquan Grupo A",11,IF(Atletas!G426="Taijiquan Grupo A",12,IF(Atletas!G426="Changquan Opcional",13,IF(Atletas!G426="Nanquan Opcional",14,IF(Atletas!G426="Taijiquan Opcional",15,IF(Atletas!G426="Changquan Adulto",16,IF(Atletas!G426="Nanquan Adulto",17,IF(Atletas!G426="Taijiquan Adulto",18,""))))))))))))))))))))</f>
        <v/>
      </c>
      <c r="AZ430" s="46" t="str">
        <f>IF(Atletas!H426="","",IF(Atletas!B426="Feminino",100,IF(Atletas!B426="Masculino",200,""))+(IF(Atletas!H426="Daoshu Mirim",19,IF(Atletas!H426="Jianshu Mirim",20,IF(Atletas!H426="Nandao Mirim",21,IF(Atletas!H426="Taijijian Mirim",22,IF(Atletas!H426="Daoshu Grupo C",23,IF(Atletas!H426="Jianshu Grupo C",24,IF(Atletas!H426="Nandao Grupo C",25,IF(Atletas!H426="Taijijian Grupo C",26,IF(Atletas!H426="Daoshu Grupo B",27,IF(Atletas!H426="Jianshu Grupo B",28,IF(Atletas!H426="Nandao Grupo B",29,IF(Atletas!H426="Taijijian Grupo B",30,IF(Atletas!H426="Daoshu Grupo A",31,IF(Atletas!H426="Jianshu Grupo A",32,IF(Atletas!H426="Nandao Grupo A",33,IF(Atletas!H426="Taijijian Grupo A",34,IF(Atletas!H426="Daoshu Opcional",35,IF(Atletas!H426="Jianshu Opcional",36,IF(Atletas!H426="Nandao Opcional",37,IF(Atletas!H426="Taijijian Opcional",38,IF(Atletas!H426="Daoshu Adulto",39,IF(Atletas!H426="Jianshu Adulto",40,IF(Atletas!H426="Nandao Adulto",41,IF(Atletas!H426="Taijijian Adulto",42,""))))))))))))))))))))))))))</f>
        <v/>
      </c>
      <c r="BA430" s="46" t="str">
        <f>IF(Atletas!I426="","",IF(Atletas!B426="Feminino",100,IF(Atletas!B426="Masculino",200,""))+(IF(Atletas!I426="Gunshu Mirim",43,IF(Atletas!I426="Qiangshu Mirim",44,IF(Atletas!I426="Nangun Mirim",45,IF(Atletas!I426="Gunshu Grupo C",46,IF(Atletas!I426="Qiangshu Grupo C",47,IF(Atletas!I426="Nangun Grupo C",48,IF(Atletas!I426="Gunshu Grupo B",49,IF(Atletas!I426="Qiangshu Grupo B",50,IF(Atletas!I426="Nangun Grupo B",51,IF(Atletas!I426="Gunshu Grupo A",52,IF(Atletas!I426="Qiangshu Grupo A",53,IF(Atletas!I426="Nangun Grupo A",54,IF(Atletas!I426="Gunshu Opcional",55,IF(Atletas!I426="Qiangshu Opcional",56,IF(Atletas!I426="Nangun Opcional",57,IF(Atletas!I426="Gunshu Adulto",58,IF(Atletas!I426="Qiangshu Adulto",59,IF(Atletas!I426="Nangun Adulto",60,""))))))))))))))))))))</f>
        <v/>
      </c>
      <c r="BF430" s="52" t="str">
        <f>IF(Atletas!J426="","",IF(Atletas!B426="Feminino",100,IF(Atletas!B426="Masculino",200,""))+(IF(Atletas!J426="Equipe 1 Grupo B",1,IF(Atletas!J426="Equipe 2 Grupo B",2,IF(Atletas!J426="Equipe 1 Grupo A",3,IF(Atletas!J426="Equipe 2 Grupo A",4,IF(Atletas!J426="Equipe 1 Adulto",5,IF(Atletas!J426="Equipe 2 Adulto",6,""))))))))</f>
        <v/>
      </c>
      <c r="BK430" s="52" t="str">
        <f>IF(Atletas!K426="","",IF(Atletas!W426&lt;&gt;"",10000,0)+(IF(Atletas!B426="Feminino",1000,IF(Atletas!B426="Masculino",2000,""))+IF(Atletas!K426="Choylayfut A",1,IF(Atletas!K426="Hunggar A",2,IF(Atletas!K426="Wuzuquan A",3,IF(Atletas!K426="Wingchun A",4,IF(Atletas!K426="Outra Mão de Sul A",5,IF(Atletas!K426="Choylayfut B",6,IF(Atletas!K426="Hunggar B",7,IF(Atletas!K426="Wuzuquan B",8,IF(Atletas!K426="Wingchun B",9,IF(Atletas!K426="Outra Mão de Sul B",10,IF(Atletas!K426="Choylayfut C",11,IF(Atletas!K426="Hunggar C",12,IF(Atletas!K426="Wuzuquan C",13,IF(Atletas!K426="Wingchun C",14,IF(Atletas!K426="Outra Mão de Sul C",15,IF(Atletas!K426="Choylayfut D",16,IF(Atletas!K426="Hunggar D",17,IF(Atletas!K426="Wuzuquan D",18,IF(Atletas!K426="Wingchun D",19,IF(Atletas!K426="Outra Mão de Sul D",20,IF(Atletas!K426="Choylayfut E",21,IF(Atletas!K426="Hunggar E",22,IF(Atletas!K426="Wuzuquan E",23,IF(Atletas!K426="Wingchun E",24,IF(Atletas!K426="Outra Mão de Sul E",25,IF(Atletas!K426="Choylayfut F",26,IF(Atletas!K426="Hunggar F",27,IF(Atletas!K426="Wuzuquan F",28,IF(Atletas!K426="Wingchun F",29,IF(Atletas!K426="Outra Mão de Sul F",30,""))))))))))))))))))))))))))))))))</f>
        <v/>
      </c>
      <c r="BL430" s="52" t="str">
        <f>IF(Atletas!L426="","",IF(Atletas!W426&lt;&gt;"",10000,0)+(IF(Atletas!B426="Feminino",1000,IF(Atletas!B426="Masculino",2000,""))+(IF(Atletas!L426="Chaquan A",101,IF(Atletas!L426="Emeiquan A",102,IF(Atletas!L426="Fanziquan A",103,IF(Atletas!L426="Huaquan A",104,IF(Atletas!L426="Hongquan A",105,IF(Atletas!L426="Paochui A",106,IF(Atletas!L426="Piguaquan A",107,IF(Atletas!L426="Shaolinquan A",108,IF(Atletas!L426="Tanglangquan A",109,IF(Atletas!L426="Yinzhaophai A",110,IF(Atletas!L426="Tongbeiquan A",111,IF(Atletas!L426="Wudangquan A",112,IF(Atletas!L426="Outros Estilos A",113,IF(Atletas!L426="Chaquan B",114,IF(Atletas!L426="Emeiquan B",115,IF(Atletas!L426="Fanziquan B",116,IF(Atletas!L426="Huaquan B",117,IF(Atletas!L426="Hongquan B",118,IF(Atletas!L426="Paochui B",119,IF(Atletas!L426="Piguaquan B",120,IF(Atletas!L426="Shaolinquan B",121,IF(Atletas!L426="Tanglangquan B",122,IF(Atletas!L426="Yinzhaophai B",123,IF(Atletas!L426="Tongbeiquan B",124,IF(Atletas!L426="Wudangquan B",125,IF(Atletas!L426="Outros Estilos B",126,IF(Atletas!L426="Chaquan C",127,IF(Atletas!L426="Emeiquan C",128,IF(Atletas!L426="Fanziquan C",129,IF(Atletas!L426="Huaquan C",130,IF(Atletas!L426="Hongquan C",131,IF(Atletas!L426="Paochui C",132,IF(Atletas!L426="Piguaquan C",133,IF(Atletas!L426="Shaolinquan C",134,IF(Atletas!L426="Tanglangquan C",135,IF(Atletas!L426="Yinzhaophai C",136,IF(Atletas!L426="Tongbeiquan C",137,IF(Atletas!L426="Wudangquan C",138,IF(Atletas!L426="Outros Estilos C",139,0))))))))))))))))))))))))))))))))))))))))))</f>
        <v/>
      </c>
      <c r="BM430" s="52" t="str">
        <f>IF(Atletas!L426="","",IF(Atletas!W426&lt;&gt;"",10000,0)+(IF(Atletas!B426="Feminino",1000,IF(Atletas!B426="Masculino",2000,""))+(IF(Atletas!L426="Chaquan D",140,IF(Atletas!L426="Emeiquan D",141,IF(Atletas!L426="Fanziquan D",142,IF(Atletas!L426="Huaquan D",143,IF(Atletas!L426="Hongquan D",144,IF(Atletas!L426="Paochui D",145,IF(Atletas!L426="Piguaquan D",146,IF(Atletas!L426="Shaolinquan D",147,IF(Atletas!L426="Tanglangquan D",148,IF(Atletas!L426="Yinzhaophai D",149,IF(Atletas!L426="Tongbeiquan D",150,IF(Atletas!L426="Wudangquan D",151,IF(Atletas!L426="Outros Estilos D",152,IF(Atletas!L426="Chaquan E",153,IF(Atletas!L426="Emeiquan E",154,IF(Atletas!L426="Fanziquan E",155,IF(Atletas!L426="Huaquan E",156,IF(Atletas!L426="Hongquan E",157,IF(Atletas!L426="Paochui E",158,IF(Atletas!L426="Piguaquan E",159,IF(Atletas!L426="Shaolinquan E",160,IF(Atletas!L426="Tanglangquan E",161,IF(Atletas!L426="Yinzhaophai E",162,IF(Atletas!L426="Tongbeiquan E",163,IF(Atletas!L426="Wudangquan E",164,IF(Atletas!L426="Outros Estilos E",165,IF(Atletas!L426="Chaquan F",166,IF(Atletas!L426="Emeiquan F",167,IF(Atletas!L426="Fanziquan F",168,IF(Atletas!L426="Huaquan F",169,IF(Atletas!L426="Hongquan F",170,IF(Atletas!L426="Paochui F",171,IF(Atletas!L426="Piguaquan F",172,IF(Atletas!L426="Shaolinquan F",173,IF(Atletas!L426="Tanglangquan F",174,IF(Atletas!L426="Yinzhaophai F",175,IF(Atletas!L426="Tongbeiquan F",176,IF(Atletas!L426="Wudangquan F",177,IF(Atletas!L426="Outros Estilos F",178,0))))))))))))))))))))))))))))))))))))))))))</f>
        <v/>
      </c>
      <c r="BN430" s="52" t="str">
        <f>IF(Atletas!M426="","",IF(Atletas!W426&lt;&gt;"",10000,0)+(IF(Atletas!B426="Feminino",1000,IF(Atletas!B426="Masculino",2000,""))+(IF(Atletas!M426="Ditangquan A",201,IF(Atletas!M426="Houquan A",202,IF(Atletas!M426="Zuiquan A",203,IF(Atletas!M426="Ditangquan B",204,IF(Atletas!M426="Houquan B",205,IF(Atletas!M426="Zuiquan B",206,IF(Atletas!M426="Ditangquan C",207,IF(Atletas!M426="Houquan C",208,IF(Atletas!M426="Zuiquan C",209,IF(Atletas!M426="Ditangquan D",210,IF(Atletas!M426="Houquan D",211,IF(Atletas!M426="Zuiquan D",212,IF(Atletas!M426="Ditangquan E",213,IF(Atletas!M426="Houquan E",214,IF(Atletas!M426="Zuiquan E",215,IF(Atletas!M426="Ditangquan F",216,IF(Atletas!M426="Houquan F",217,IF(Atletas!M426="Zuiquan F",218,"")))))))))))))))))))))</f>
        <v/>
      </c>
      <c r="BO430" s="52" t="str">
        <f>IF(Atletas!N426="","",IF(Atletas!W426&lt;&gt;"",10000,0)+IF(Atletas!B426="Feminino",1000,IF(Atletas!B426="Masculino",2000,""))+IF(Atletas!N426="Yang A",301,IF(Atletas!N426="Chen A",30,IF(Atletas!N426="Sun A",303,IF(Atletas!N426="Wu A",304,IF(Atletas!N426="Wu-Hao A",305,IF(Atletas!N426="Outro Taijiquan A",306,IF(Atletas!N426="Yang B",307,IF(Atletas!N426="Chen B",308,IF(Atletas!N426="Sun B",309,IF(Atletas!N426="Wu B",310,IF(Atletas!N426="Wu-Hao B",311,IF(Atletas!N426="Outro Taijiquan B",312,IF(Atletas!N426="Yang C",313,IF(Atletas!N426="Chen C",314,IF(Atletas!N426="Sun C",315,IF(Atletas!N426="Wu C",316,IF(Atletas!N426="Wu-Hao C",317,IF(Atletas!N426="Outro Taijiquan C",318,IF(Atletas!N426="Yang D",319,IF(Atletas!N426="Chen D",320,IF(Atletas!N426="Sun D",321,IF(Atletas!N426="Wu D",322,IF(Atletas!N426="Wu-Hao D",323,IF(Atletas!N426="Outro Taijiquan D",324,IF(Atletas!N426="Yang E",325,IF(Atletas!N426="Chen E",326,IF(Atletas!N426="Sun E",327,IF(Atletas!N426="Wu E",328,IF(Atletas!N426="Wu-Hao E",329,IF(Atletas!N426="Outro Taijiquan E",330,IF(Atletas!N426="Yang F",331,IF(Atletas!N426="Chen F",332,IF(Atletas!N426="Sun F",333,IF(Atletas!N426="Wu F",334,IF(Atletas!N426="Wu-Hao F",335,IF(Atletas!N426="Outro Taijiquan F",336,"")))))))))))))))))))))))))))))))))))))</f>
        <v/>
      </c>
      <c r="BP430" s="52" t="str">
        <f>IF(Atletas!O426="","",IF(Atletas!W426&lt;&gt;"",10000,0)+IF(Atletas!B426="Feminino",1000,IF(Atletas!B426="Masculino",2000,""))+IF(OR(Atletas!O426="Yang 26 A",Atletas!O426="Yang 40 A"),401,IF(OR(Atletas!O426="Chen 25 A",Atletas!O426="Chen 36 A",Atletas!O426="Chen 56 A"),402,IF(Atletas!O426="Sun 73 A",403,IF(Atletas!O426="Wu 45 A",404,IF(Atletas!O426="Wu-Hao 46 A",405,IF(OR(Atletas!O426="Taijiquan 16 A",Atletas!O426="Taijiquan 24 A",Atletas!O426="Taijiquan 32 A",Atletas!O426="Taijiquan 42 A"),406,IF(OR(Atletas!O426="Yang 26 B",Atletas!O426="Yang 40 B"),407,IF(OR(Atletas!O426="Chen 25 B",Atletas!O426="Chen 36 B",Atletas!O426="Chen 56 B"),408,IF(Atletas!O426="Sun 73 B",409,IF(Atletas!O426="Wu 45 B",410,IF(Atletas!O426="Wu-Hao 46 B",411,IF(OR(Atletas!O426="Taijiquan 16 B",Atletas!O426="Taijiquan 24 B",Atletas!O426="Taijiquan 32 B",Atletas!O426="Taijiquan 42 B"),412,IF(OR(Atletas!O426="Yang 26 C",Atletas!O426="Yang 40 C"),413,IF(OR(Atletas!O426="Chen 25 C",Atletas!O426="Chen 36 C",Atletas!O426="Chen 56 C"),414,IF(Atletas!O426="Sun 73 C",415,IF(Atletas!O426="Wu 45 C",416,IF(Atletas!O426="Wu-Hao 46 C",417,IF(OR(Atletas!O426="Taijiquan 16 C",Atletas!O426="Taijiquan 24 C",Atletas!O426="Taijiquan 32 C",Atletas!O426="Taijiquan 42 C"),418,0)))))))))))))))))))</f>
        <v/>
      </c>
      <c r="BQ430" s="52" t="str">
        <f>IF(Atletas!O426="","",IF(Atletas!W426&lt;&gt;"",10000,0)+IF(Atletas!B426="Feminino",1000,IF(Atletas!B426="Masculino",2000,""))+IF(OR(Atletas!O426="Yang 26 D",Atletas!O426="Yang 40 D"),419,IF(OR(Atletas!O426="Chen 25 D",Atletas!O426="Chen 36 D",Atletas!O426="Chen 56 D"),420,IF(Atletas!O426="Sun 73 D",421,IF(Atletas!O426="Wu 45 D",422,IF(Atletas!O426="Wu-Hao 46 D",423,IF(OR(Atletas!O426="Taijiquan 16 D",Atletas!O426="Taijiquan 24 D",Atletas!O426="Taijiquan 32 D",Atletas!O426="Taijiquan 42 D"),424,IF(OR(Atletas!O426="Yang 26 E",Atletas!O426="Yang 40 E"),425,IF(OR(Atletas!O426="Chen 25 E",Atletas!O426="Chen 36 E",Atletas!O426="Chen 56 E"),426,IF(Atletas!O426="Sun 73 E",427,IF(Atletas!O426="Wu 45 E",428,IF(Atletas!O426="Wu-Hao 46 E",429,IF(OR(Atletas!O426="Taijiquan 16 E",Atletas!O426="Taijiquan 24 E",Atletas!O426="Taijiquan 32 E",Atletas!O426="Taijiquan 42 E"),430,IF(OR(Atletas!O426="Yang 26 F",Atletas!O426="Yang 40 F"),431,IF(OR(Atletas!O426="Chen 25 F",Atletas!O426="Chen 36 F",Atletas!O426="Chen 56 F"),432,IF(Atletas!O426="Sun 73 F",433,IF(Atletas!O426="Wu 45 F",434,IF(Atletas!O426="Wu-Hao 46 F",435,IF(OR(Atletas!O426="Taijiquan 16 F",Atletas!O426="Taijiquan 24 F",Atletas!O426="Taijiquan 32 F",Atletas!O426="Taijiquan 42 F"),436,0)))))))))))))))))))</f>
        <v/>
      </c>
      <c r="BR430" s="52" t="str">
        <f>IF(Atletas!P426="","",IF(Atletas!W426&lt;&gt;"",10000,0)+IF(Atletas!B426="Feminino",1000,IF(Atletas!B426="Masculino",2000,""))+IF(Atletas!P426="Xingyiquan A",501,IF(Atletas!P426="Baguazhang A",502,IF(Atletas!P426="Outro Estilo Interno A",503,IF(Atletas!P426="Xingyiquan B",504,IF(Atletas!P426="Baguazhang B",505,IF(Atletas!P426="Outro Estilo Interno B",506,IF(Atletas!P426="Xingyiquan C",507,IF(Atletas!P426="Baguazhang C",508,IF(Atletas!P426="Outro Estilo Interno C",509,IF(Atletas!P426="Xingyiquan D",510,IF(Atletas!P426="Baguazhang D",511,IF(Atletas!P426="Outro Estilo Interno D",512,IF(Atletas!P426="Xingyiquan E",513,IF(Atletas!P426="Baguazhang E",514,IF(Atletas!P426="Outro Estilo Interno E",515,IF(Atletas!P426="Xingyiquan F",516,IF(Atletas!P426="Baguazhang F",517,IF(Atletas!P426="Outro Estilo Interno F",518, "")))))))))))))))))))</f>
        <v/>
      </c>
      <c r="BS430" s="52" t="str">
        <f>IF(Atletas!Q426="","",IF(Atletas!W426&lt;&gt;"",10000,0)+IF(Atletas!B426="Feminino",1000,IF(Atletas!B426="Masculino",2000,""))+IF(Atletas!Q426="Dao A",601,IF(Atletas!Q426="Jian A",602,IF(Atletas!Q426="Bishou A",603,IF(Atletas!Q426="Shan A",604,IF(Atletas!Q426="Outra Arma Curta A",605,IF(Atletas!Q426="Dao B",606,IF(Atletas!Q426="Jian B",607,IF(Atletas!Q426="Bishou B",608,IF(Atletas!Q426="Shan B",609,IF(Atletas!Q426="Outra Arma Curta B",610,IF(Atletas!Q426="Dao C",611,IF(Atletas!Q426="Jian C",612,IF(Atletas!Q426="Bishou C",613,IF(Atletas!Q426="Shan C",614,IF(Atletas!Q426="Outra Arma Curta C",615,IF(Atletas!Q426="Dao D",616,IF(Atletas!Q426="Jian D",617,IF(Atletas!Q426="Bishou D",618,IF(Atletas!Q426="Shan D",619,IF(Atletas!Q426="Outra Arma Curta D",620,IF(Atletas!Q426="Dao E",621,IF(Atletas!Q426="Jian E",622,IF(Atletas!Q426="Bishou E",623,IF(Atletas!Q426="Shan E",624,IF(Atletas!Q426="Outra Arma Curta E",625,IF(Atletas!Q426="Dao F",626,IF(Atletas!Q426="Jian F",627,IF(Atletas!Q426="Bishou F",628,IF(Atletas!Q426="Shan F",629,IF(Atletas!Q426="Outra Arma Curta F",630, "")))))))))))))))))))))))))))))))</f>
        <v/>
      </c>
      <c r="BT430" s="52" t="str">
        <f>IF(Atletas!R426="","",IF(Atletas!W426&lt;&gt;"",10000,0)+IF(Atletas!B426="Feminino",1000,IF(Atletas!B426="Masculino",2000,""))+IF(Atletas!R426="Gun A",701,IF(Atletas!R426="Qiang A",702,IF(Atletas!R426="Pudao / Guandao A",703,IF(Atletas!R426="Outra Arma Longa A",704,IF(Atletas!R426="Gun B",705,IF(Atletas!R426="Qiang B",706,IF(Atletas!R426="Pudao / Guandao B",707,IF(Atletas!R426="Outra Arma Longa B",708,IF(Atletas!R426="Gun C",709,IF(Atletas!R426="Qiang C",710,IF(Atletas!R426="Pudao / Guandao C",711,IF(Atletas!R426="Outra Arma Longa C",712,IF(Atletas!R426="Gun D",713,IF(Atletas!R426="Qiang D",714,IF(Atletas!R426="Pudao / Guandao D",715,IF(Atletas!R426="Outra Arma Longa D",716,IF(Atletas!R426="Gun E",717,IF(Atletas!R426="Qiang E",718,IF(Atletas!R426="Pudao / Guandao E",719,IF(Atletas!R426="Outra Arma Longa E",720,IF(Atletas!R426="Gun F",721,IF(Atletas!R426="Qiang F",722,IF(Atletas!R426="Pudao / Guandao F",723,IF(Atletas!R426="Outra Arma Longa F",724,"")))))))))))))))))))))))))</f>
        <v/>
      </c>
      <c r="BU430" s="52" t="str">
        <f>IF(Atletas!S426="","",IF(Atletas!W426&lt;&gt;"",10000,0)+IF(Atletas!B426="Feminino",1000,IF(Atletas!B426="Masculino",2000,""))+IF(Atletas!S426="Arma Dupla A",801,IF(Atletas!S426="Arma Maleável A",802,IF(Atletas!S426="Arma Dupla B",803,IF(Atletas!S426="Arma Maleável B",804,IF(Atletas!S426="Arma Dupla C",805,IF(Atletas!S426="Arma Maleável C",806,IF(Atletas!S426="Arma Dupla D",807,IF(Atletas!S426="Arma Maleável D",808,IF(Atletas!S426="Arma Dupla E",809,IF(Atletas!S426="Arma Maleável E",810,IF(Atletas!S426="Arma Dupla F",811,IF(Atletas!S426="Arma Maleável F",812, "")))))))))))))</f>
        <v/>
      </c>
      <c r="BV430" s="52" t="str">
        <f>IF(Atletas!T426="","",IF(Atletas!W426&lt;&gt;"",10000,0)+IF(Atletas!B426="Feminino",1000,IF(Atletas!B426="Masculino",2000,""))+IF(Atletas!T426="Taijijian Yang A",901,IF(Atletas!T426="Taijijian Chen A",902,IF(Atletas!T426="Taijijian Sun A",903,IF(Atletas!T426="Taijijian Wu A",904,IF(Atletas!T426="Taijijian Wu-Hao A",905,IF(Atletas!T426="Taijijian 32 A",906,IF(Atletas!T426="Taijijian 42 A",907,IF(Atletas!T426="Taijijian Yang B",908,IF(Atletas!T426="Taijijian Chen B",909,IF(Atletas!T426="Taijijian Sun B",910,IF(Atletas!T426="Taijijian Wu B",911,IF(Atletas!T426="Taijijian Wu-Hao B",912,IF(Atletas!T426="Taijijian 32 B",913,IF(Atletas!T426="Taijijian 42 B",914,IF(Atletas!T426="Taijijian Yang C",915,IF(Atletas!T426="Taijijian Chen C",916,IF(Atletas!T426="Taijijian Sun C",917,IF(Atletas!T426="Taijijian Wu C",918,IF(Atletas!T426="Taijijian Wu-Hao C",919,IF(Atletas!T426="Taijijian 32 C",920,IF(Atletas!T426="Taijijian 42 C",921,IF(Atletas!T426="Taijijian Yang D",922,IF(Atletas!T426="Taijijian Chen D",923,IF(Atletas!T426="Taijijian Sun D",924,IF(Atletas!T426="Taijijian Wu D",925,IF(Atletas!T426="Taijijian Wu-Hao D",926,IF(Atletas!T426="Taijijian 32 D",927,IF(Atletas!T426="Taijijian 42 D",928,IF(Atletas!T426="Taijijian Yang E",929,IF(Atletas!T426="Taijijian Chen E",930,IF(Atletas!T426="Taijijian Sun E",931,IF(Atletas!T426="Taijijian Wu E",932,IF(Atletas!T426="Taijijian Wu-Hao E",933,IF(Atletas!T426="Taijijian 32 E",934,IF(Atletas!T426="Taijijian 42 E",935,IF(Atletas!T426="Taijijian Yang F",936,IF(Atletas!T426="Taijijian Chen F",937,IF(Atletas!T426="Taijijian Sun F",938,IF(Atletas!T426="Taijijian Wu F",939,IF(Atletas!T426="Taijijian Wu-Hao F",940,IF(Atletas!T426="Taijijian 32 F",941,IF(Atletas!T426="Taijijian 42 F",942,"")))))))))))))))))))))))))))))))))))))))))))</f>
        <v/>
      </c>
      <c r="BW430" s="52" t="str">
        <f>IF(Atletas!U426="","",IF(Atletas!W426&lt;&gt;"",10000,0)+IF(Atletas!B426="Feminino",1000,IF(Atletas!B426="Masculino",2000,""))+IF(Atletas!T426="Taijijian 42 F",942,IF(Atletas!U426="Taijidao A",943,IF(Atletas!U426="Taijishan A",944,IF(Atletas!U426="Taijiqiang A",945,IF(Atletas!U426="Taijidao B",946,IF(Atletas!U426="Taijishan B",947,IF(Atletas!U426="Taijiqiang B",948,IF(Atletas!U426="Taijidao C",949,IF(Atletas!U426="Taijishan C",950,IF(Atletas!U426="Taijiqiang C",951,IF(Atletas!U426="Taijidao D",952,IF(Atletas!U426="Taijishan D",953,IF(Atletas!U426="Taijiqiang D",954,IF(Atletas!U426="Taijidao E",955,IF(Atletas!U426="Taijishan E",956,IF(Atletas!U426="Taijiqiang E",957,IF(Atletas!U426="Taijidao F",958,IF(Atletas!U426="Taijishan F",959,IF(Atletas!U426="Taijiqiang F",960))))))))))))))))))))</f>
        <v/>
      </c>
      <c r="CF430" s="52" t="str">
        <f xml:space="preserve"> IF(Atletas!V426="","",IF(Atletas!V426="Duilian de Mãos AB - Equipe 1",1,IF(Atletas!V426="Duilian de Mãos AB - Equipe 2",2,IF(Atletas!V426="Duilian de Armas AB - Equipe 1",3,IF(Atletas!V426="Duilian de Armas AB - Equipe 2",4,IF(Atletas!V426="Duilian de Tuishou - Equipe 1",5,IF(Atletas!V426="Duilian de Tuishou - Equipe 2",6,IF(Atletas!V426="Grupo Externo AB - Equipe 1",7,IF(Atletas!V426="Grupo Externo AB - Equipe 2",8,IF(Atletas!V426="Grupo Interno AB - Equipe 1",9,IF(Atletas!V426="Grupo Interno AB - Equipe 2",10,IF(Atletas!V426="Duilian de Mãos CD - Equipe 1",11,IF(Atletas!V426="Duilian de Mãos CD - Equipe 2",12,IF(Atletas!V426="Duilian de Armas CD - Equipe 1",13,IF(Atletas!V426="Duilian de Armas CD - Equipe 2",14,IF(Atletas!V426="Duilian de Tuishou - Equipe 1",15,IF(Atletas!V426="Duilian de Tuishou - Equipe 2",16,IF(Atletas!V426="Grupo Externo CDEF - Equipe 1",17,IF(Atletas!V426="Grupo Externo CDEF - Equipe 2",18,IF(Atletas!V426="Grupo Interno CDEF - Equipe 1",19,IF(Atletas!V426="Grupo Interno CDEF - Equipe 2",20,IF(Atletas!V426="Duilian de Mãos EF - Equipe 1",21,IF(Atletas!V426="Duilian de Mãos EF - Equipe 2",22,IF(Atletas!V426="Duilian de Armas EF - Equipe 1",23,IF(Atletas!V426="Duilian de Armas EF - Equipe 2",24,IF(Atletas!V426="Duilian de Tuishou - Equipe 1",25,IF(Atletas!V426="Duilian de Tuishou - Equipe 2",26,"")))))))))))))))))))))))))))</f>
        <v/>
      </c>
    </row>
    <row r="431" spans="36:84">
      <c r="AJ431" s="46" t="str">
        <f>IF(Atletas!D427="","",IF(Atletas!B427="Feminino",100,IF(Atletas!B427="Masculino",200,""))+(IF(Atletas!D427="Infantil 39kg",1,IF(Atletas!D427="Infantil 42kg",2,IF(Atletas!D427="Infantil 45kg",3,IF(Atletas!D427="Infantil 48kg",4,IF(Atletas!D427="Infantil 52kg",5,IF(Atletas!D427="Infantil 56kg",6,IF(Atletas!D427="Infantil 60kg",7,IF(Atletas!D427="Juvenil 48kg",8,IF(Atletas!D427="Juvenil 52kg",9,IF(Atletas!D427="Juvenil 56kg",10,IF(Atletas!D427="Juvenil 60kg",11,IF(Atletas!D427="Juvenil 65kg",12,IF(Atletas!D427="Juvenil 70kg",13,IF(Atletas!D427="Juvenil 75kg",14,IF(Atletas!D427="Juvenil 80kg",15,IF(Atletas!D427="Adulto 48kg",16,IF(Atletas!D427="Adulto 52kg",17,IF(Atletas!D427="Adulto 56kg",18,IF(Atletas!D427="Adulto 60kg",19,IF(Atletas!D427="Adulto 65kg",20,IF(Atletas!D427="Adulto 70kg",21,IF(Atletas!D427="Adulto 75kg",22,IF(Atletas!D427="Adulto 80kg",23,IF(Atletas!D427="Adulto 85kg",24,IF(Atletas!D427="Adulto 90kg",25,IF(Atletas!D427="Adulto +90kg",26,""))))))))))))))))))))))))))))</f>
        <v/>
      </c>
      <c r="AO431" s="10" t="str">
        <f>IF(Atletas!E427="","",IF(Atletas!B427="Feminino",100,IF(Atletas!B427="Masculino",200,""))+(IF(Atletas!E427="Juvenil 44kg",1,IF(Atletas!E427="Juvenil 48kg",2,IF(Atletas!E427="Juvenil 52kg",3,IF(Atletas!E427="Juvenil 56kg",4,IF(Atletas!E427="Juvenil 60kg",5,IF(Atletas!E427="Juvenil 65kg",6,IF(Atletas!E427="Juvenil 70kg",7,IF(Atletas!E427="Juvenil 75kg",8,IF(Atletas!E427="Juvenil 82kg",9,IF(Atletas!E427="Juvenil 90kg",10,IF(Atletas!E427="Juvenil 100kg",11,IF(Atletas!E427="Adulto 48kg",12,IF(Atletas!E427="Adulto 52kg",13,IF(Atletas!E427="Adulto 56kg",14,IF(Atletas!E427="Adulto 60kg",15,IF(Atletas!E427="Adulto 65kg",16,IF(Atletas!E427="Adulto 70kg",17,IF(Atletas!E427="Adulto 75kg",18,IF(Atletas!E427="Adulto 82kg",19,IF(Atletas!E427="Adulto 90kg",20,IF(Atletas!E427="Adulto 100kg",21,IF(Atletas!E427="Adulto +100kg",22,""))))))))))))))))))))))))</f>
        <v/>
      </c>
      <c r="AT431" s="10" t="str">
        <f>IF(Atletas!F427="","",IF(Atletas!B427="Feminino",100,IF(Atletas!B427="Masculino",200,""))+(IF(Atletas!F427="Adulto 48kg",1,IF(Atletas!F427="Adulto 56kg",2,IF(Atletas!F427="Adulto 65kg",3,IF(Atletas!F427="Adulto 75kg",4,IF(Atletas!F427="Adulto +75kg",5,IF(Atletas!F427="Adulto 52kg",6,IF(Atletas!F427="Adulto 60kg",7,IF(Atletas!F427="Adulto 70kg",8,IF(Atletas!F427="Adulto 80kg",9,IF(Atletas!F427="Adulto 90kg",10,IF(Atletas!F427="Adulto +90kg",11,"")))))))))))))</f>
        <v/>
      </c>
      <c r="AY431" s="46" t="str">
        <f>IF(Atletas!G427="","",IF(Atletas!B427="Feminino",100,IF(Atletas!B427="Masculino",200,""))+(IF(Atletas!G427="Changquan Mirim",1,IF(Atletas!G427="Nanquan Mirim",2,IF(Atletas!G427="Taijiquan Mirim",3,IF(Atletas!G427="Changquan Grupo C",4,IF(Atletas!G427="Nanquan Grupo C",5,IF(Atletas!G427="Taijiquan Grupo C",6,IF(Atletas!G427="Changquan Grupo B",7,IF(Atletas!G427="Nanquan Grupo B",8,IF(Atletas!G427="Taijiquan Grupo B",9,IF(Atletas!G427="Changquan Grupo A",10,IF(Atletas!G427="Nanquan Grupo A",11,IF(Atletas!G427="Taijiquan Grupo A",12,IF(Atletas!G427="Changquan Opcional",13,IF(Atletas!G427="Nanquan Opcional",14,IF(Atletas!G427="Taijiquan Opcional",15,IF(Atletas!G427="Changquan Adulto",16,IF(Atletas!G427="Nanquan Adulto",17,IF(Atletas!G427="Taijiquan Adulto",18,""))))))))))))))))))))</f>
        <v/>
      </c>
      <c r="AZ431" s="46" t="str">
        <f>IF(Atletas!H427="","",IF(Atletas!B427="Feminino",100,IF(Atletas!B427="Masculino",200,""))+(IF(Atletas!H427="Daoshu Mirim",19,IF(Atletas!H427="Jianshu Mirim",20,IF(Atletas!H427="Nandao Mirim",21,IF(Atletas!H427="Taijijian Mirim",22,IF(Atletas!H427="Daoshu Grupo C",23,IF(Atletas!H427="Jianshu Grupo C",24,IF(Atletas!H427="Nandao Grupo C",25,IF(Atletas!H427="Taijijian Grupo C",26,IF(Atletas!H427="Daoshu Grupo B",27,IF(Atletas!H427="Jianshu Grupo B",28,IF(Atletas!H427="Nandao Grupo B",29,IF(Atletas!H427="Taijijian Grupo B",30,IF(Atletas!H427="Daoshu Grupo A",31,IF(Atletas!H427="Jianshu Grupo A",32,IF(Atletas!H427="Nandao Grupo A",33,IF(Atletas!H427="Taijijian Grupo A",34,IF(Atletas!H427="Daoshu Opcional",35,IF(Atletas!H427="Jianshu Opcional",36,IF(Atletas!H427="Nandao Opcional",37,IF(Atletas!H427="Taijijian Opcional",38,IF(Atletas!H427="Daoshu Adulto",39,IF(Atletas!H427="Jianshu Adulto",40,IF(Atletas!H427="Nandao Adulto",41,IF(Atletas!H427="Taijijian Adulto",42,""))))))))))))))))))))))))))</f>
        <v/>
      </c>
      <c r="BA431" s="46" t="str">
        <f>IF(Atletas!I427="","",IF(Atletas!B427="Feminino",100,IF(Atletas!B427="Masculino",200,""))+(IF(Atletas!I427="Gunshu Mirim",43,IF(Atletas!I427="Qiangshu Mirim",44,IF(Atletas!I427="Nangun Mirim",45,IF(Atletas!I427="Gunshu Grupo C",46,IF(Atletas!I427="Qiangshu Grupo C",47,IF(Atletas!I427="Nangun Grupo C",48,IF(Atletas!I427="Gunshu Grupo B",49,IF(Atletas!I427="Qiangshu Grupo B",50,IF(Atletas!I427="Nangun Grupo B",51,IF(Atletas!I427="Gunshu Grupo A",52,IF(Atletas!I427="Qiangshu Grupo A",53,IF(Atletas!I427="Nangun Grupo A",54,IF(Atletas!I427="Gunshu Opcional",55,IF(Atletas!I427="Qiangshu Opcional",56,IF(Atletas!I427="Nangun Opcional",57,IF(Atletas!I427="Gunshu Adulto",58,IF(Atletas!I427="Qiangshu Adulto",59,IF(Atletas!I427="Nangun Adulto",60,""))))))))))))))))))))</f>
        <v/>
      </c>
      <c r="BF431" s="52" t="str">
        <f>IF(Atletas!J427="","",IF(Atletas!B427="Feminino",100,IF(Atletas!B427="Masculino",200,""))+(IF(Atletas!J427="Equipe 1 Grupo B",1,IF(Atletas!J427="Equipe 2 Grupo B",2,IF(Atletas!J427="Equipe 1 Grupo A",3,IF(Atletas!J427="Equipe 2 Grupo A",4,IF(Atletas!J427="Equipe 1 Adulto",5,IF(Atletas!J427="Equipe 2 Adulto",6,""))))))))</f>
        <v/>
      </c>
      <c r="BK431" s="52" t="str">
        <f>IF(Atletas!K427="","",IF(Atletas!W427&lt;&gt;"",10000,0)+(IF(Atletas!B427="Feminino",1000,IF(Atletas!B427="Masculino",2000,""))+IF(Atletas!K427="Choylayfut A",1,IF(Atletas!K427="Hunggar A",2,IF(Atletas!K427="Wuzuquan A",3,IF(Atletas!K427="Wingchun A",4,IF(Atletas!K427="Outra Mão de Sul A",5,IF(Atletas!K427="Choylayfut B",6,IF(Atletas!K427="Hunggar B",7,IF(Atletas!K427="Wuzuquan B",8,IF(Atletas!K427="Wingchun B",9,IF(Atletas!K427="Outra Mão de Sul B",10,IF(Atletas!K427="Choylayfut C",11,IF(Atletas!K427="Hunggar C",12,IF(Atletas!K427="Wuzuquan C",13,IF(Atletas!K427="Wingchun C",14,IF(Atletas!K427="Outra Mão de Sul C",15,IF(Atletas!K427="Choylayfut D",16,IF(Atletas!K427="Hunggar D",17,IF(Atletas!K427="Wuzuquan D",18,IF(Atletas!K427="Wingchun D",19,IF(Atletas!K427="Outra Mão de Sul D",20,IF(Atletas!K427="Choylayfut E",21,IF(Atletas!K427="Hunggar E",22,IF(Atletas!K427="Wuzuquan E",23,IF(Atletas!K427="Wingchun E",24,IF(Atletas!K427="Outra Mão de Sul E",25,IF(Atletas!K427="Choylayfut F",26,IF(Atletas!K427="Hunggar F",27,IF(Atletas!K427="Wuzuquan F",28,IF(Atletas!K427="Wingchun F",29,IF(Atletas!K427="Outra Mão de Sul F",30,""))))))))))))))))))))))))))))))))</f>
        <v/>
      </c>
      <c r="BL431" s="52" t="str">
        <f>IF(Atletas!L427="","",IF(Atletas!W427&lt;&gt;"",10000,0)+(IF(Atletas!B427="Feminino",1000,IF(Atletas!B427="Masculino",2000,""))+(IF(Atletas!L427="Chaquan A",101,IF(Atletas!L427="Emeiquan A",102,IF(Atletas!L427="Fanziquan A",103,IF(Atletas!L427="Huaquan A",104,IF(Atletas!L427="Hongquan A",105,IF(Atletas!L427="Paochui A",106,IF(Atletas!L427="Piguaquan A",107,IF(Atletas!L427="Shaolinquan A",108,IF(Atletas!L427="Tanglangquan A",109,IF(Atletas!L427="Yinzhaophai A",110,IF(Atletas!L427="Tongbeiquan A",111,IF(Atletas!L427="Wudangquan A",112,IF(Atletas!L427="Outros Estilos A",113,IF(Atletas!L427="Chaquan B",114,IF(Atletas!L427="Emeiquan B",115,IF(Atletas!L427="Fanziquan B",116,IF(Atletas!L427="Huaquan B",117,IF(Atletas!L427="Hongquan B",118,IF(Atletas!L427="Paochui B",119,IF(Atletas!L427="Piguaquan B",120,IF(Atletas!L427="Shaolinquan B",121,IF(Atletas!L427="Tanglangquan B",122,IF(Atletas!L427="Yinzhaophai B",123,IF(Atletas!L427="Tongbeiquan B",124,IF(Atletas!L427="Wudangquan B",125,IF(Atletas!L427="Outros Estilos B",126,IF(Atletas!L427="Chaquan C",127,IF(Atletas!L427="Emeiquan C",128,IF(Atletas!L427="Fanziquan C",129,IF(Atletas!L427="Huaquan C",130,IF(Atletas!L427="Hongquan C",131,IF(Atletas!L427="Paochui C",132,IF(Atletas!L427="Piguaquan C",133,IF(Atletas!L427="Shaolinquan C",134,IF(Atletas!L427="Tanglangquan C",135,IF(Atletas!L427="Yinzhaophai C",136,IF(Atletas!L427="Tongbeiquan C",137,IF(Atletas!L427="Wudangquan C",138,IF(Atletas!L427="Outros Estilos C",139,0))))))))))))))))))))))))))))))))))))))))))</f>
        <v/>
      </c>
      <c r="BM431" s="52" t="str">
        <f>IF(Atletas!L427="","",IF(Atletas!W427&lt;&gt;"",10000,0)+(IF(Atletas!B427="Feminino",1000,IF(Atletas!B427="Masculino",2000,""))+(IF(Atletas!L427="Chaquan D",140,IF(Atletas!L427="Emeiquan D",141,IF(Atletas!L427="Fanziquan D",142,IF(Atletas!L427="Huaquan D",143,IF(Atletas!L427="Hongquan D",144,IF(Atletas!L427="Paochui D",145,IF(Atletas!L427="Piguaquan D",146,IF(Atletas!L427="Shaolinquan D",147,IF(Atletas!L427="Tanglangquan D",148,IF(Atletas!L427="Yinzhaophai D",149,IF(Atletas!L427="Tongbeiquan D",150,IF(Atletas!L427="Wudangquan D",151,IF(Atletas!L427="Outros Estilos D",152,IF(Atletas!L427="Chaquan E",153,IF(Atletas!L427="Emeiquan E",154,IF(Atletas!L427="Fanziquan E",155,IF(Atletas!L427="Huaquan E",156,IF(Atletas!L427="Hongquan E",157,IF(Atletas!L427="Paochui E",158,IF(Atletas!L427="Piguaquan E",159,IF(Atletas!L427="Shaolinquan E",160,IF(Atletas!L427="Tanglangquan E",161,IF(Atletas!L427="Yinzhaophai E",162,IF(Atletas!L427="Tongbeiquan E",163,IF(Atletas!L427="Wudangquan E",164,IF(Atletas!L427="Outros Estilos E",165,IF(Atletas!L427="Chaquan F",166,IF(Atletas!L427="Emeiquan F",167,IF(Atletas!L427="Fanziquan F",168,IF(Atletas!L427="Huaquan F",169,IF(Atletas!L427="Hongquan F",170,IF(Atletas!L427="Paochui F",171,IF(Atletas!L427="Piguaquan F",172,IF(Atletas!L427="Shaolinquan F",173,IF(Atletas!L427="Tanglangquan F",174,IF(Atletas!L427="Yinzhaophai F",175,IF(Atletas!L427="Tongbeiquan F",176,IF(Atletas!L427="Wudangquan F",177,IF(Atletas!L427="Outros Estilos F",178,0))))))))))))))))))))))))))))))))))))))))))</f>
        <v/>
      </c>
      <c r="BN431" s="52" t="str">
        <f>IF(Atletas!M427="","",IF(Atletas!W427&lt;&gt;"",10000,0)+(IF(Atletas!B427="Feminino",1000,IF(Atletas!B427="Masculino",2000,""))+(IF(Atletas!M427="Ditangquan A",201,IF(Atletas!M427="Houquan A",202,IF(Atletas!M427="Zuiquan A",203,IF(Atletas!M427="Ditangquan B",204,IF(Atletas!M427="Houquan B",205,IF(Atletas!M427="Zuiquan B",206,IF(Atletas!M427="Ditangquan C",207,IF(Atletas!M427="Houquan C",208,IF(Atletas!M427="Zuiquan C",209,IF(Atletas!M427="Ditangquan D",210,IF(Atletas!M427="Houquan D",211,IF(Atletas!M427="Zuiquan D",212,IF(Atletas!M427="Ditangquan E",213,IF(Atletas!M427="Houquan E",214,IF(Atletas!M427="Zuiquan E",215,IF(Atletas!M427="Ditangquan F",216,IF(Atletas!M427="Houquan F",217,IF(Atletas!M427="Zuiquan F",218,"")))))))))))))))))))))</f>
        <v/>
      </c>
      <c r="BO431" s="52" t="str">
        <f>IF(Atletas!N427="","",IF(Atletas!W427&lt;&gt;"",10000,0)+IF(Atletas!B427="Feminino",1000,IF(Atletas!B427="Masculino",2000,""))+IF(Atletas!N427="Yang A",301,IF(Atletas!N427="Chen A",30,IF(Atletas!N427="Sun A",303,IF(Atletas!N427="Wu A",304,IF(Atletas!N427="Wu-Hao A",305,IF(Atletas!N427="Outro Taijiquan A",306,IF(Atletas!N427="Yang B",307,IF(Atletas!N427="Chen B",308,IF(Atletas!N427="Sun B",309,IF(Atletas!N427="Wu B",310,IF(Atletas!N427="Wu-Hao B",311,IF(Atletas!N427="Outro Taijiquan B",312,IF(Atletas!N427="Yang C",313,IF(Atletas!N427="Chen C",314,IF(Atletas!N427="Sun C",315,IF(Atletas!N427="Wu C",316,IF(Atletas!N427="Wu-Hao C",317,IF(Atletas!N427="Outro Taijiquan C",318,IF(Atletas!N427="Yang D",319,IF(Atletas!N427="Chen D",320,IF(Atletas!N427="Sun D",321,IF(Atletas!N427="Wu D",322,IF(Atletas!N427="Wu-Hao D",323,IF(Atletas!N427="Outro Taijiquan D",324,IF(Atletas!N427="Yang E",325,IF(Atletas!N427="Chen E",326,IF(Atletas!N427="Sun E",327,IF(Atletas!N427="Wu E",328,IF(Atletas!N427="Wu-Hao E",329,IF(Atletas!N427="Outro Taijiquan E",330,IF(Atletas!N427="Yang F",331,IF(Atletas!N427="Chen F",332,IF(Atletas!N427="Sun F",333,IF(Atletas!N427="Wu F",334,IF(Atletas!N427="Wu-Hao F",335,IF(Atletas!N427="Outro Taijiquan F",336,"")))))))))))))))))))))))))))))))))))))</f>
        <v/>
      </c>
      <c r="BP431" s="52" t="str">
        <f>IF(Atletas!O427="","",IF(Atletas!W427&lt;&gt;"",10000,0)+IF(Atletas!B427="Feminino",1000,IF(Atletas!B427="Masculino",2000,""))+IF(OR(Atletas!O427="Yang 26 A",Atletas!O427="Yang 40 A"),401,IF(OR(Atletas!O427="Chen 25 A",Atletas!O427="Chen 36 A",Atletas!O427="Chen 56 A"),402,IF(Atletas!O427="Sun 73 A",403,IF(Atletas!O427="Wu 45 A",404,IF(Atletas!O427="Wu-Hao 46 A",405,IF(OR(Atletas!O427="Taijiquan 16 A",Atletas!O427="Taijiquan 24 A",Atletas!O427="Taijiquan 32 A",Atletas!O427="Taijiquan 42 A"),406,IF(OR(Atletas!O427="Yang 26 B",Atletas!O427="Yang 40 B"),407,IF(OR(Atletas!O427="Chen 25 B",Atletas!O427="Chen 36 B",Atletas!O427="Chen 56 B"),408,IF(Atletas!O427="Sun 73 B",409,IF(Atletas!O427="Wu 45 B",410,IF(Atletas!O427="Wu-Hao 46 B",411,IF(OR(Atletas!O427="Taijiquan 16 B",Atletas!O427="Taijiquan 24 B",Atletas!O427="Taijiquan 32 B",Atletas!O427="Taijiquan 42 B"),412,IF(OR(Atletas!O427="Yang 26 C",Atletas!O427="Yang 40 C"),413,IF(OR(Atletas!O427="Chen 25 C",Atletas!O427="Chen 36 C",Atletas!O427="Chen 56 C"),414,IF(Atletas!O427="Sun 73 C",415,IF(Atletas!O427="Wu 45 C",416,IF(Atletas!O427="Wu-Hao 46 C",417,IF(OR(Atletas!O427="Taijiquan 16 C",Atletas!O427="Taijiquan 24 C",Atletas!O427="Taijiquan 32 C",Atletas!O427="Taijiquan 42 C"),418,0)))))))))))))))))))</f>
        <v/>
      </c>
      <c r="BQ431" s="52" t="str">
        <f>IF(Atletas!O427="","",IF(Atletas!W427&lt;&gt;"",10000,0)+IF(Atletas!B427="Feminino",1000,IF(Atletas!B427="Masculino",2000,""))+IF(OR(Atletas!O427="Yang 26 D",Atletas!O427="Yang 40 D"),419,IF(OR(Atletas!O427="Chen 25 D",Atletas!O427="Chen 36 D",Atletas!O427="Chen 56 D"),420,IF(Atletas!O427="Sun 73 D",421,IF(Atletas!O427="Wu 45 D",422,IF(Atletas!O427="Wu-Hao 46 D",423,IF(OR(Atletas!O427="Taijiquan 16 D",Atletas!O427="Taijiquan 24 D",Atletas!O427="Taijiquan 32 D",Atletas!O427="Taijiquan 42 D"),424,IF(OR(Atletas!O427="Yang 26 E",Atletas!O427="Yang 40 E"),425,IF(OR(Atletas!O427="Chen 25 E",Atletas!O427="Chen 36 E",Atletas!O427="Chen 56 E"),426,IF(Atletas!O427="Sun 73 E",427,IF(Atletas!O427="Wu 45 E",428,IF(Atletas!O427="Wu-Hao 46 E",429,IF(OR(Atletas!O427="Taijiquan 16 E",Atletas!O427="Taijiquan 24 E",Atletas!O427="Taijiquan 32 E",Atletas!O427="Taijiquan 42 E"),430,IF(OR(Atletas!O427="Yang 26 F",Atletas!O427="Yang 40 F"),431,IF(OR(Atletas!O427="Chen 25 F",Atletas!O427="Chen 36 F",Atletas!O427="Chen 56 F"),432,IF(Atletas!O427="Sun 73 F",433,IF(Atletas!O427="Wu 45 F",434,IF(Atletas!O427="Wu-Hao 46 F",435,IF(OR(Atletas!O427="Taijiquan 16 F",Atletas!O427="Taijiquan 24 F",Atletas!O427="Taijiquan 32 F",Atletas!O427="Taijiquan 42 F"),436,0)))))))))))))))))))</f>
        <v/>
      </c>
      <c r="BR431" s="52" t="str">
        <f>IF(Atletas!P427="","",IF(Atletas!W427&lt;&gt;"",10000,0)+IF(Atletas!B427="Feminino",1000,IF(Atletas!B427="Masculino",2000,""))+IF(Atletas!P427="Xingyiquan A",501,IF(Atletas!P427="Baguazhang A",502,IF(Atletas!P427="Outro Estilo Interno A",503,IF(Atletas!P427="Xingyiquan B",504,IF(Atletas!P427="Baguazhang B",505,IF(Atletas!P427="Outro Estilo Interno B",506,IF(Atletas!P427="Xingyiquan C",507,IF(Atletas!P427="Baguazhang C",508,IF(Atletas!P427="Outro Estilo Interno C",509,IF(Atletas!P427="Xingyiquan D",510,IF(Atletas!P427="Baguazhang D",511,IF(Atletas!P427="Outro Estilo Interno D",512,IF(Atletas!P427="Xingyiquan E",513,IF(Atletas!P427="Baguazhang E",514,IF(Atletas!P427="Outro Estilo Interno E",515,IF(Atletas!P427="Xingyiquan F",516,IF(Atletas!P427="Baguazhang F",517,IF(Atletas!P427="Outro Estilo Interno F",518, "")))))))))))))))))))</f>
        <v/>
      </c>
      <c r="BS431" s="52" t="str">
        <f>IF(Atletas!Q427="","",IF(Atletas!W427&lt;&gt;"",10000,0)+IF(Atletas!B427="Feminino",1000,IF(Atletas!B427="Masculino",2000,""))+IF(Atletas!Q427="Dao A",601,IF(Atletas!Q427="Jian A",602,IF(Atletas!Q427="Bishou A",603,IF(Atletas!Q427="Shan A",604,IF(Atletas!Q427="Outra Arma Curta A",605,IF(Atletas!Q427="Dao B",606,IF(Atletas!Q427="Jian B",607,IF(Atletas!Q427="Bishou B",608,IF(Atletas!Q427="Shan B",609,IF(Atletas!Q427="Outra Arma Curta B",610,IF(Atletas!Q427="Dao C",611,IF(Atletas!Q427="Jian C",612,IF(Atletas!Q427="Bishou C",613,IF(Atletas!Q427="Shan C",614,IF(Atletas!Q427="Outra Arma Curta C",615,IF(Atletas!Q427="Dao D",616,IF(Atletas!Q427="Jian D",617,IF(Atletas!Q427="Bishou D",618,IF(Atletas!Q427="Shan D",619,IF(Atletas!Q427="Outra Arma Curta D",620,IF(Atletas!Q427="Dao E",621,IF(Atletas!Q427="Jian E",622,IF(Atletas!Q427="Bishou E",623,IF(Atletas!Q427="Shan E",624,IF(Atletas!Q427="Outra Arma Curta E",625,IF(Atletas!Q427="Dao F",626,IF(Atletas!Q427="Jian F",627,IF(Atletas!Q427="Bishou F",628,IF(Atletas!Q427="Shan F",629,IF(Atletas!Q427="Outra Arma Curta F",630, "")))))))))))))))))))))))))))))))</f>
        <v/>
      </c>
      <c r="BT431" s="52" t="str">
        <f>IF(Atletas!R427="","",IF(Atletas!W427&lt;&gt;"",10000,0)+IF(Atletas!B427="Feminino",1000,IF(Atletas!B427="Masculino",2000,""))+IF(Atletas!R427="Gun A",701,IF(Atletas!R427="Qiang A",702,IF(Atletas!R427="Pudao / Guandao A",703,IF(Atletas!R427="Outra Arma Longa A",704,IF(Atletas!R427="Gun B",705,IF(Atletas!R427="Qiang B",706,IF(Atletas!R427="Pudao / Guandao B",707,IF(Atletas!R427="Outra Arma Longa B",708,IF(Atletas!R427="Gun C",709,IF(Atletas!R427="Qiang C",710,IF(Atletas!R427="Pudao / Guandao C",711,IF(Atletas!R427="Outra Arma Longa C",712,IF(Atletas!R427="Gun D",713,IF(Atletas!R427="Qiang D",714,IF(Atletas!R427="Pudao / Guandao D",715,IF(Atletas!R427="Outra Arma Longa D",716,IF(Atletas!R427="Gun E",717,IF(Atletas!R427="Qiang E",718,IF(Atletas!R427="Pudao / Guandao E",719,IF(Atletas!R427="Outra Arma Longa E",720,IF(Atletas!R427="Gun F",721,IF(Atletas!R427="Qiang F",722,IF(Atletas!R427="Pudao / Guandao F",723,IF(Atletas!R427="Outra Arma Longa F",724,"")))))))))))))))))))))))))</f>
        <v/>
      </c>
      <c r="BU431" s="52" t="str">
        <f>IF(Atletas!S427="","",IF(Atletas!W427&lt;&gt;"",10000,0)+IF(Atletas!B427="Feminino",1000,IF(Atletas!B427="Masculino",2000,""))+IF(Atletas!S427="Arma Dupla A",801,IF(Atletas!S427="Arma Maleável A",802,IF(Atletas!S427="Arma Dupla B",803,IF(Atletas!S427="Arma Maleável B",804,IF(Atletas!S427="Arma Dupla C",805,IF(Atletas!S427="Arma Maleável C",806,IF(Atletas!S427="Arma Dupla D",807,IF(Atletas!S427="Arma Maleável D",808,IF(Atletas!S427="Arma Dupla E",809,IF(Atletas!S427="Arma Maleável E",810,IF(Atletas!S427="Arma Dupla F",811,IF(Atletas!S427="Arma Maleável F",812, "")))))))))))))</f>
        <v/>
      </c>
      <c r="BV431" s="52" t="str">
        <f>IF(Atletas!T427="","",IF(Atletas!W427&lt;&gt;"",10000,0)+IF(Atletas!B427="Feminino",1000,IF(Atletas!B427="Masculino",2000,""))+IF(Atletas!T427="Taijijian Yang A",901,IF(Atletas!T427="Taijijian Chen A",902,IF(Atletas!T427="Taijijian Sun A",903,IF(Atletas!T427="Taijijian Wu A",904,IF(Atletas!T427="Taijijian Wu-Hao A",905,IF(Atletas!T427="Taijijian 32 A",906,IF(Atletas!T427="Taijijian 42 A",907,IF(Atletas!T427="Taijijian Yang B",908,IF(Atletas!T427="Taijijian Chen B",909,IF(Atletas!T427="Taijijian Sun B",910,IF(Atletas!T427="Taijijian Wu B",911,IF(Atletas!T427="Taijijian Wu-Hao B",912,IF(Atletas!T427="Taijijian 32 B",913,IF(Atletas!T427="Taijijian 42 B",914,IF(Atletas!T427="Taijijian Yang C",915,IF(Atletas!T427="Taijijian Chen C",916,IF(Atletas!T427="Taijijian Sun C",917,IF(Atletas!T427="Taijijian Wu C",918,IF(Atletas!T427="Taijijian Wu-Hao C",919,IF(Atletas!T427="Taijijian 32 C",920,IF(Atletas!T427="Taijijian 42 C",921,IF(Atletas!T427="Taijijian Yang D",922,IF(Atletas!T427="Taijijian Chen D",923,IF(Atletas!T427="Taijijian Sun D",924,IF(Atletas!T427="Taijijian Wu D",925,IF(Atletas!T427="Taijijian Wu-Hao D",926,IF(Atletas!T427="Taijijian 32 D",927,IF(Atletas!T427="Taijijian 42 D",928,IF(Atletas!T427="Taijijian Yang E",929,IF(Atletas!T427="Taijijian Chen E",930,IF(Atletas!T427="Taijijian Sun E",931,IF(Atletas!T427="Taijijian Wu E",932,IF(Atletas!T427="Taijijian Wu-Hao E",933,IF(Atletas!T427="Taijijian 32 E",934,IF(Atletas!T427="Taijijian 42 E",935,IF(Atletas!T427="Taijijian Yang F",936,IF(Atletas!T427="Taijijian Chen F",937,IF(Atletas!T427="Taijijian Sun F",938,IF(Atletas!T427="Taijijian Wu F",939,IF(Atletas!T427="Taijijian Wu-Hao F",940,IF(Atletas!T427="Taijijian 32 F",941,IF(Atletas!T427="Taijijian 42 F",942,"")))))))))))))))))))))))))))))))))))))))))))</f>
        <v/>
      </c>
      <c r="BW431" s="52" t="str">
        <f>IF(Atletas!U427="","",IF(Atletas!W427&lt;&gt;"",10000,0)+IF(Atletas!B427="Feminino",1000,IF(Atletas!B427="Masculino",2000,""))+IF(Atletas!T427="Taijijian 42 F",942,IF(Atletas!U427="Taijidao A",943,IF(Atletas!U427="Taijishan A",944,IF(Atletas!U427="Taijiqiang A",945,IF(Atletas!U427="Taijidao B",946,IF(Atletas!U427="Taijishan B",947,IF(Atletas!U427="Taijiqiang B",948,IF(Atletas!U427="Taijidao C",949,IF(Atletas!U427="Taijishan C",950,IF(Atletas!U427="Taijiqiang C",951,IF(Atletas!U427="Taijidao D",952,IF(Atletas!U427="Taijishan D",953,IF(Atletas!U427="Taijiqiang D",954,IF(Atletas!U427="Taijidao E",955,IF(Atletas!U427="Taijishan E",956,IF(Atletas!U427="Taijiqiang E",957,IF(Atletas!U427="Taijidao F",958,IF(Atletas!U427="Taijishan F",959,IF(Atletas!U427="Taijiqiang F",960))))))))))))))))))))</f>
        <v/>
      </c>
      <c r="CF431" s="52" t="str">
        <f xml:space="preserve"> IF(Atletas!V427="","",IF(Atletas!V427="Duilian de Mãos AB - Equipe 1",1,IF(Atletas!V427="Duilian de Mãos AB - Equipe 2",2,IF(Atletas!V427="Duilian de Armas AB - Equipe 1",3,IF(Atletas!V427="Duilian de Armas AB - Equipe 2",4,IF(Atletas!V427="Duilian de Tuishou - Equipe 1",5,IF(Atletas!V427="Duilian de Tuishou - Equipe 2",6,IF(Atletas!V427="Grupo Externo AB - Equipe 1",7,IF(Atletas!V427="Grupo Externo AB - Equipe 2",8,IF(Atletas!V427="Grupo Interno AB - Equipe 1",9,IF(Atletas!V427="Grupo Interno AB - Equipe 2",10,IF(Atletas!V427="Duilian de Mãos CD - Equipe 1",11,IF(Atletas!V427="Duilian de Mãos CD - Equipe 2",12,IF(Atletas!V427="Duilian de Armas CD - Equipe 1",13,IF(Atletas!V427="Duilian de Armas CD - Equipe 2",14,IF(Atletas!V427="Duilian de Tuishou - Equipe 1",15,IF(Atletas!V427="Duilian de Tuishou - Equipe 2",16,IF(Atletas!V427="Grupo Externo CDEF - Equipe 1",17,IF(Atletas!V427="Grupo Externo CDEF - Equipe 2",18,IF(Atletas!V427="Grupo Interno CDEF - Equipe 1",19,IF(Atletas!V427="Grupo Interno CDEF - Equipe 2",20,IF(Atletas!V427="Duilian de Mãos EF - Equipe 1",21,IF(Atletas!V427="Duilian de Mãos EF - Equipe 2",22,IF(Atletas!V427="Duilian de Armas EF - Equipe 1",23,IF(Atletas!V427="Duilian de Armas EF - Equipe 2",24,IF(Atletas!V427="Duilian de Tuishou - Equipe 1",25,IF(Atletas!V427="Duilian de Tuishou - Equipe 2",26,"")))))))))))))))))))))))))))</f>
        <v/>
      </c>
    </row>
    <row r="432" spans="36:84">
      <c r="AJ432" s="46" t="str">
        <f>IF(Atletas!D428="","",IF(Atletas!B428="Feminino",100,IF(Atletas!B428="Masculino",200,""))+(IF(Atletas!D428="Infantil 39kg",1,IF(Atletas!D428="Infantil 42kg",2,IF(Atletas!D428="Infantil 45kg",3,IF(Atletas!D428="Infantil 48kg",4,IF(Atletas!D428="Infantil 52kg",5,IF(Atletas!D428="Infantil 56kg",6,IF(Atletas!D428="Infantil 60kg",7,IF(Atletas!D428="Juvenil 48kg",8,IF(Atletas!D428="Juvenil 52kg",9,IF(Atletas!D428="Juvenil 56kg",10,IF(Atletas!D428="Juvenil 60kg",11,IF(Atletas!D428="Juvenil 65kg",12,IF(Atletas!D428="Juvenil 70kg",13,IF(Atletas!D428="Juvenil 75kg",14,IF(Atletas!D428="Juvenil 80kg",15,IF(Atletas!D428="Adulto 48kg",16,IF(Atletas!D428="Adulto 52kg",17,IF(Atletas!D428="Adulto 56kg",18,IF(Atletas!D428="Adulto 60kg",19,IF(Atletas!D428="Adulto 65kg",20,IF(Atletas!D428="Adulto 70kg",21,IF(Atletas!D428="Adulto 75kg",22,IF(Atletas!D428="Adulto 80kg",23,IF(Atletas!D428="Adulto 85kg",24,IF(Atletas!D428="Adulto 90kg",25,IF(Atletas!D428="Adulto +90kg",26,""))))))))))))))))))))))))))))</f>
        <v/>
      </c>
      <c r="AO432" s="10" t="str">
        <f>IF(Atletas!E428="","",IF(Atletas!B428="Feminino",100,IF(Atletas!B428="Masculino",200,""))+(IF(Atletas!E428="Juvenil 44kg",1,IF(Atletas!E428="Juvenil 48kg",2,IF(Atletas!E428="Juvenil 52kg",3,IF(Atletas!E428="Juvenil 56kg",4,IF(Atletas!E428="Juvenil 60kg",5,IF(Atletas!E428="Juvenil 65kg",6,IF(Atletas!E428="Juvenil 70kg",7,IF(Atletas!E428="Juvenil 75kg",8,IF(Atletas!E428="Juvenil 82kg",9,IF(Atletas!E428="Juvenil 90kg",10,IF(Atletas!E428="Juvenil 100kg",11,IF(Atletas!E428="Adulto 48kg",12,IF(Atletas!E428="Adulto 52kg",13,IF(Atletas!E428="Adulto 56kg",14,IF(Atletas!E428="Adulto 60kg",15,IF(Atletas!E428="Adulto 65kg",16,IF(Atletas!E428="Adulto 70kg",17,IF(Atletas!E428="Adulto 75kg",18,IF(Atletas!E428="Adulto 82kg",19,IF(Atletas!E428="Adulto 90kg",20,IF(Atletas!E428="Adulto 100kg",21,IF(Atletas!E428="Adulto +100kg",22,""))))))))))))))))))))))))</f>
        <v/>
      </c>
      <c r="AT432" s="10" t="str">
        <f>IF(Atletas!F428="","",IF(Atletas!B428="Feminino",100,IF(Atletas!B428="Masculino",200,""))+(IF(Atletas!F428="Adulto 48kg",1,IF(Atletas!F428="Adulto 56kg",2,IF(Atletas!F428="Adulto 65kg",3,IF(Atletas!F428="Adulto 75kg",4,IF(Atletas!F428="Adulto +75kg",5,IF(Atletas!F428="Adulto 52kg",6,IF(Atletas!F428="Adulto 60kg",7,IF(Atletas!F428="Adulto 70kg",8,IF(Atletas!F428="Adulto 80kg",9,IF(Atletas!F428="Adulto 90kg",10,IF(Atletas!F428="Adulto +90kg",11,"")))))))))))))</f>
        <v/>
      </c>
      <c r="AY432" s="46" t="str">
        <f>IF(Atletas!G428="","",IF(Atletas!B428="Feminino",100,IF(Atletas!B428="Masculino",200,""))+(IF(Atletas!G428="Changquan Mirim",1,IF(Atletas!G428="Nanquan Mirim",2,IF(Atletas!G428="Taijiquan Mirim",3,IF(Atletas!G428="Changquan Grupo C",4,IF(Atletas!G428="Nanquan Grupo C",5,IF(Atletas!G428="Taijiquan Grupo C",6,IF(Atletas!G428="Changquan Grupo B",7,IF(Atletas!G428="Nanquan Grupo B",8,IF(Atletas!G428="Taijiquan Grupo B",9,IF(Atletas!G428="Changquan Grupo A",10,IF(Atletas!G428="Nanquan Grupo A",11,IF(Atletas!G428="Taijiquan Grupo A",12,IF(Atletas!G428="Changquan Opcional",13,IF(Atletas!G428="Nanquan Opcional",14,IF(Atletas!G428="Taijiquan Opcional",15,IF(Atletas!G428="Changquan Adulto",16,IF(Atletas!G428="Nanquan Adulto",17,IF(Atletas!G428="Taijiquan Adulto",18,""))))))))))))))))))))</f>
        <v/>
      </c>
      <c r="AZ432" s="46" t="str">
        <f>IF(Atletas!H428="","",IF(Atletas!B428="Feminino",100,IF(Atletas!B428="Masculino",200,""))+(IF(Atletas!H428="Daoshu Mirim",19,IF(Atletas!H428="Jianshu Mirim",20,IF(Atletas!H428="Nandao Mirim",21,IF(Atletas!H428="Taijijian Mirim",22,IF(Atletas!H428="Daoshu Grupo C",23,IF(Atletas!H428="Jianshu Grupo C",24,IF(Atletas!H428="Nandao Grupo C",25,IF(Atletas!H428="Taijijian Grupo C",26,IF(Atletas!H428="Daoshu Grupo B",27,IF(Atletas!H428="Jianshu Grupo B",28,IF(Atletas!H428="Nandao Grupo B",29,IF(Atletas!H428="Taijijian Grupo B",30,IF(Atletas!H428="Daoshu Grupo A",31,IF(Atletas!H428="Jianshu Grupo A",32,IF(Atletas!H428="Nandao Grupo A",33,IF(Atletas!H428="Taijijian Grupo A",34,IF(Atletas!H428="Daoshu Opcional",35,IF(Atletas!H428="Jianshu Opcional",36,IF(Atletas!H428="Nandao Opcional",37,IF(Atletas!H428="Taijijian Opcional",38,IF(Atletas!H428="Daoshu Adulto",39,IF(Atletas!H428="Jianshu Adulto",40,IF(Atletas!H428="Nandao Adulto",41,IF(Atletas!H428="Taijijian Adulto",42,""))))))))))))))))))))))))))</f>
        <v/>
      </c>
      <c r="BA432" s="46" t="str">
        <f>IF(Atletas!I428="","",IF(Atletas!B428="Feminino",100,IF(Atletas!B428="Masculino",200,""))+(IF(Atletas!I428="Gunshu Mirim",43,IF(Atletas!I428="Qiangshu Mirim",44,IF(Atletas!I428="Nangun Mirim",45,IF(Atletas!I428="Gunshu Grupo C",46,IF(Atletas!I428="Qiangshu Grupo C",47,IF(Atletas!I428="Nangun Grupo C",48,IF(Atletas!I428="Gunshu Grupo B",49,IF(Atletas!I428="Qiangshu Grupo B",50,IF(Atletas!I428="Nangun Grupo B",51,IF(Atletas!I428="Gunshu Grupo A",52,IF(Atletas!I428="Qiangshu Grupo A",53,IF(Atletas!I428="Nangun Grupo A",54,IF(Atletas!I428="Gunshu Opcional",55,IF(Atletas!I428="Qiangshu Opcional",56,IF(Atletas!I428="Nangun Opcional",57,IF(Atletas!I428="Gunshu Adulto",58,IF(Atletas!I428="Qiangshu Adulto",59,IF(Atletas!I428="Nangun Adulto",60,""))))))))))))))))))))</f>
        <v/>
      </c>
      <c r="BF432" s="52" t="str">
        <f>IF(Atletas!J428="","",IF(Atletas!B428="Feminino",100,IF(Atletas!B428="Masculino",200,""))+(IF(Atletas!J428="Equipe 1 Grupo B",1,IF(Atletas!J428="Equipe 2 Grupo B",2,IF(Atletas!J428="Equipe 1 Grupo A",3,IF(Atletas!J428="Equipe 2 Grupo A",4,IF(Atletas!J428="Equipe 1 Adulto",5,IF(Atletas!J428="Equipe 2 Adulto",6,""))))))))</f>
        <v/>
      </c>
      <c r="BK432" s="52" t="str">
        <f>IF(Atletas!K428="","",IF(Atletas!W428&lt;&gt;"",10000,0)+(IF(Atletas!B428="Feminino",1000,IF(Atletas!B428="Masculino",2000,""))+IF(Atletas!K428="Choylayfut A",1,IF(Atletas!K428="Hunggar A",2,IF(Atletas!K428="Wuzuquan A",3,IF(Atletas!K428="Wingchun A",4,IF(Atletas!K428="Outra Mão de Sul A",5,IF(Atletas!K428="Choylayfut B",6,IF(Atletas!K428="Hunggar B",7,IF(Atletas!K428="Wuzuquan B",8,IF(Atletas!K428="Wingchun B",9,IF(Atletas!K428="Outra Mão de Sul B",10,IF(Atletas!K428="Choylayfut C",11,IF(Atletas!K428="Hunggar C",12,IF(Atletas!K428="Wuzuquan C",13,IF(Atletas!K428="Wingchun C",14,IF(Atletas!K428="Outra Mão de Sul C",15,IF(Atletas!K428="Choylayfut D",16,IF(Atletas!K428="Hunggar D",17,IF(Atletas!K428="Wuzuquan D",18,IF(Atletas!K428="Wingchun D",19,IF(Atletas!K428="Outra Mão de Sul D",20,IF(Atletas!K428="Choylayfut E",21,IF(Atletas!K428="Hunggar E",22,IF(Atletas!K428="Wuzuquan E",23,IF(Atletas!K428="Wingchun E",24,IF(Atletas!K428="Outra Mão de Sul E",25,IF(Atletas!K428="Choylayfut F",26,IF(Atletas!K428="Hunggar F",27,IF(Atletas!K428="Wuzuquan F",28,IF(Atletas!K428="Wingchun F",29,IF(Atletas!K428="Outra Mão de Sul F",30,""))))))))))))))))))))))))))))))))</f>
        <v/>
      </c>
      <c r="BL432" s="52" t="str">
        <f>IF(Atletas!L428="","",IF(Atletas!W428&lt;&gt;"",10000,0)+(IF(Atletas!B428="Feminino",1000,IF(Atletas!B428="Masculino",2000,""))+(IF(Atletas!L428="Chaquan A",101,IF(Atletas!L428="Emeiquan A",102,IF(Atletas!L428="Fanziquan A",103,IF(Atletas!L428="Huaquan A",104,IF(Atletas!L428="Hongquan A",105,IF(Atletas!L428="Paochui A",106,IF(Atletas!L428="Piguaquan A",107,IF(Atletas!L428="Shaolinquan A",108,IF(Atletas!L428="Tanglangquan A",109,IF(Atletas!L428="Yinzhaophai A",110,IF(Atletas!L428="Tongbeiquan A",111,IF(Atletas!L428="Wudangquan A",112,IF(Atletas!L428="Outros Estilos A",113,IF(Atletas!L428="Chaquan B",114,IF(Atletas!L428="Emeiquan B",115,IF(Atletas!L428="Fanziquan B",116,IF(Atletas!L428="Huaquan B",117,IF(Atletas!L428="Hongquan B",118,IF(Atletas!L428="Paochui B",119,IF(Atletas!L428="Piguaquan B",120,IF(Atletas!L428="Shaolinquan B",121,IF(Atletas!L428="Tanglangquan B",122,IF(Atletas!L428="Yinzhaophai B",123,IF(Atletas!L428="Tongbeiquan B",124,IF(Atletas!L428="Wudangquan B",125,IF(Atletas!L428="Outros Estilos B",126,IF(Atletas!L428="Chaquan C",127,IF(Atletas!L428="Emeiquan C",128,IF(Atletas!L428="Fanziquan C",129,IF(Atletas!L428="Huaquan C",130,IF(Atletas!L428="Hongquan C",131,IF(Atletas!L428="Paochui C",132,IF(Atletas!L428="Piguaquan C",133,IF(Atletas!L428="Shaolinquan C",134,IF(Atletas!L428="Tanglangquan C",135,IF(Atletas!L428="Yinzhaophai C",136,IF(Atletas!L428="Tongbeiquan C",137,IF(Atletas!L428="Wudangquan C",138,IF(Atletas!L428="Outros Estilos C",139,0))))))))))))))))))))))))))))))))))))))))))</f>
        <v/>
      </c>
      <c r="BM432" s="52" t="str">
        <f>IF(Atletas!L428="","",IF(Atletas!W428&lt;&gt;"",10000,0)+(IF(Atletas!B428="Feminino",1000,IF(Atletas!B428="Masculino",2000,""))+(IF(Atletas!L428="Chaquan D",140,IF(Atletas!L428="Emeiquan D",141,IF(Atletas!L428="Fanziquan D",142,IF(Atletas!L428="Huaquan D",143,IF(Atletas!L428="Hongquan D",144,IF(Atletas!L428="Paochui D",145,IF(Atletas!L428="Piguaquan D",146,IF(Atletas!L428="Shaolinquan D",147,IF(Atletas!L428="Tanglangquan D",148,IF(Atletas!L428="Yinzhaophai D",149,IF(Atletas!L428="Tongbeiquan D",150,IF(Atletas!L428="Wudangquan D",151,IF(Atletas!L428="Outros Estilos D",152,IF(Atletas!L428="Chaquan E",153,IF(Atletas!L428="Emeiquan E",154,IF(Atletas!L428="Fanziquan E",155,IF(Atletas!L428="Huaquan E",156,IF(Atletas!L428="Hongquan E",157,IF(Atletas!L428="Paochui E",158,IF(Atletas!L428="Piguaquan E",159,IF(Atletas!L428="Shaolinquan E",160,IF(Atletas!L428="Tanglangquan E",161,IF(Atletas!L428="Yinzhaophai E",162,IF(Atletas!L428="Tongbeiquan E",163,IF(Atletas!L428="Wudangquan E",164,IF(Atletas!L428="Outros Estilos E",165,IF(Atletas!L428="Chaquan F",166,IF(Atletas!L428="Emeiquan F",167,IF(Atletas!L428="Fanziquan F",168,IF(Atletas!L428="Huaquan F",169,IF(Atletas!L428="Hongquan F",170,IF(Atletas!L428="Paochui F",171,IF(Atletas!L428="Piguaquan F",172,IF(Atletas!L428="Shaolinquan F",173,IF(Atletas!L428="Tanglangquan F",174,IF(Atletas!L428="Yinzhaophai F",175,IF(Atletas!L428="Tongbeiquan F",176,IF(Atletas!L428="Wudangquan F",177,IF(Atletas!L428="Outros Estilos F",178,0))))))))))))))))))))))))))))))))))))))))))</f>
        <v/>
      </c>
      <c r="BN432" s="52" t="str">
        <f>IF(Atletas!M428="","",IF(Atletas!W428&lt;&gt;"",10000,0)+(IF(Atletas!B428="Feminino",1000,IF(Atletas!B428="Masculino",2000,""))+(IF(Atletas!M428="Ditangquan A",201,IF(Atletas!M428="Houquan A",202,IF(Atletas!M428="Zuiquan A",203,IF(Atletas!M428="Ditangquan B",204,IF(Atletas!M428="Houquan B",205,IF(Atletas!M428="Zuiquan B",206,IF(Atletas!M428="Ditangquan C",207,IF(Atletas!M428="Houquan C",208,IF(Atletas!M428="Zuiquan C",209,IF(Atletas!M428="Ditangquan D",210,IF(Atletas!M428="Houquan D",211,IF(Atletas!M428="Zuiquan D",212,IF(Atletas!M428="Ditangquan E",213,IF(Atletas!M428="Houquan E",214,IF(Atletas!M428="Zuiquan E",215,IF(Atletas!M428="Ditangquan F",216,IF(Atletas!M428="Houquan F",217,IF(Atletas!M428="Zuiquan F",218,"")))))))))))))))))))))</f>
        <v/>
      </c>
      <c r="BO432" s="52" t="str">
        <f>IF(Atletas!N428="","",IF(Atletas!W428&lt;&gt;"",10000,0)+IF(Atletas!B428="Feminino",1000,IF(Atletas!B428="Masculino",2000,""))+IF(Atletas!N428="Yang A",301,IF(Atletas!N428="Chen A",30,IF(Atletas!N428="Sun A",303,IF(Atletas!N428="Wu A",304,IF(Atletas!N428="Wu-Hao A",305,IF(Atletas!N428="Outro Taijiquan A",306,IF(Atletas!N428="Yang B",307,IF(Atletas!N428="Chen B",308,IF(Atletas!N428="Sun B",309,IF(Atletas!N428="Wu B",310,IF(Atletas!N428="Wu-Hao B",311,IF(Atletas!N428="Outro Taijiquan B",312,IF(Atletas!N428="Yang C",313,IF(Atletas!N428="Chen C",314,IF(Atletas!N428="Sun C",315,IF(Atletas!N428="Wu C",316,IF(Atletas!N428="Wu-Hao C",317,IF(Atletas!N428="Outro Taijiquan C",318,IF(Atletas!N428="Yang D",319,IF(Atletas!N428="Chen D",320,IF(Atletas!N428="Sun D",321,IF(Atletas!N428="Wu D",322,IF(Atletas!N428="Wu-Hao D",323,IF(Atletas!N428="Outro Taijiquan D",324,IF(Atletas!N428="Yang E",325,IF(Atletas!N428="Chen E",326,IF(Atletas!N428="Sun E",327,IF(Atletas!N428="Wu E",328,IF(Atletas!N428="Wu-Hao E",329,IF(Atletas!N428="Outro Taijiquan E",330,IF(Atletas!N428="Yang F",331,IF(Atletas!N428="Chen F",332,IF(Atletas!N428="Sun F",333,IF(Atletas!N428="Wu F",334,IF(Atletas!N428="Wu-Hao F",335,IF(Atletas!N428="Outro Taijiquan F",336,"")))))))))))))))))))))))))))))))))))))</f>
        <v/>
      </c>
      <c r="BP432" s="52" t="str">
        <f>IF(Atletas!O428="","",IF(Atletas!W428&lt;&gt;"",10000,0)+IF(Atletas!B428="Feminino",1000,IF(Atletas!B428="Masculino",2000,""))+IF(OR(Atletas!O428="Yang 26 A",Atletas!O428="Yang 40 A"),401,IF(OR(Atletas!O428="Chen 25 A",Atletas!O428="Chen 36 A",Atletas!O428="Chen 56 A"),402,IF(Atletas!O428="Sun 73 A",403,IF(Atletas!O428="Wu 45 A",404,IF(Atletas!O428="Wu-Hao 46 A",405,IF(OR(Atletas!O428="Taijiquan 16 A",Atletas!O428="Taijiquan 24 A",Atletas!O428="Taijiquan 32 A",Atletas!O428="Taijiquan 42 A"),406,IF(OR(Atletas!O428="Yang 26 B",Atletas!O428="Yang 40 B"),407,IF(OR(Atletas!O428="Chen 25 B",Atletas!O428="Chen 36 B",Atletas!O428="Chen 56 B"),408,IF(Atletas!O428="Sun 73 B",409,IF(Atletas!O428="Wu 45 B",410,IF(Atletas!O428="Wu-Hao 46 B",411,IF(OR(Atletas!O428="Taijiquan 16 B",Atletas!O428="Taijiquan 24 B",Atletas!O428="Taijiquan 32 B",Atletas!O428="Taijiquan 42 B"),412,IF(OR(Atletas!O428="Yang 26 C",Atletas!O428="Yang 40 C"),413,IF(OR(Atletas!O428="Chen 25 C",Atletas!O428="Chen 36 C",Atletas!O428="Chen 56 C"),414,IF(Atletas!O428="Sun 73 C",415,IF(Atletas!O428="Wu 45 C",416,IF(Atletas!O428="Wu-Hao 46 C",417,IF(OR(Atletas!O428="Taijiquan 16 C",Atletas!O428="Taijiquan 24 C",Atletas!O428="Taijiquan 32 C",Atletas!O428="Taijiquan 42 C"),418,0)))))))))))))))))))</f>
        <v/>
      </c>
      <c r="BQ432" s="52" t="str">
        <f>IF(Atletas!O428="","",IF(Atletas!W428&lt;&gt;"",10000,0)+IF(Atletas!B428="Feminino",1000,IF(Atletas!B428="Masculino",2000,""))+IF(OR(Atletas!O428="Yang 26 D",Atletas!O428="Yang 40 D"),419,IF(OR(Atletas!O428="Chen 25 D",Atletas!O428="Chen 36 D",Atletas!O428="Chen 56 D"),420,IF(Atletas!O428="Sun 73 D",421,IF(Atletas!O428="Wu 45 D",422,IF(Atletas!O428="Wu-Hao 46 D",423,IF(OR(Atletas!O428="Taijiquan 16 D",Atletas!O428="Taijiquan 24 D",Atletas!O428="Taijiquan 32 D",Atletas!O428="Taijiquan 42 D"),424,IF(OR(Atletas!O428="Yang 26 E",Atletas!O428="Yang 40 E"),425,IF(OR(Atletas!O428="Chen 25 E",Atletas!O428="Chen 36 E",Atletas!O428="Chen 56 E"),426,IF(Atletas!O428="Sun 73 E",427,IF(Atletas!O428="Wu 45 E",428,IF(Atletas!O428="Wu-Hao 46 E",429,IF(OR(Atletas!O428="Taijiquan 16 E",Atletas!O428="Taijiquan 24 E",Atletas!O428="Taijiquan 32 E",Atletas!O428="Taijiquan 42 E"),430,IF(OR(Atletas!O428="Yang 26 F",Atletas!O428="Yang 40 F"),431,IF(OR(Atletas!O428="Chen 25 F",Atletas!O428="Chen 36 F",Atletas!O428="Chen 56 F"),432,IF(Atletas!O428="Sun 73 F",433,IF(Atletas!O428="Wu 45 F",434,IF(Atletas!O428="Wu-Hao 46 F",435,IF(OR(Atletas!O428="Taijiquan 16 F",Atletas!O428="Taijiquan 24 F",Atletas!O428="Taijiquan 32 F",Atletas!O428="Taijiquan 42 F"),436,0)))))))))))))))))))</f>
        <v/>
      </c>
      <c r="BR432" s="52" t="str">
        <f>IF(Atletas!P428="","",IF(Atletas!W428&lt;&gt;"",10000,0)+IF(Atletas!B428="Feminino",1000,IF(Atletas!B428="Masculino",2000,""))+IF(Atletas!P428="Xingyiquan A",501,IF(Atletas!P428="Baguazhang A",502,IF(Atletas!P428="Outro Estilo Interno A",503,IF(Atletas!P428="Xingyiquan B",504,IF(Atletas!P428="Baguazhang B",505,IF(Atletas!P428="Outro Estilo Interno B",506,IF(Atletas!P428="Xingyiquan C",507,IF(Atletas!P428="Baguazhang C",508,IF(Atletas!P428="Outro Estilo Interno C",509,IF(Atletas!P428="Xingyiquan D",510,IF(Atletas!P428="Baguazhang D",511,IF(Atletas!P428="Outro Estilo Interno D",512,IF(Atletas!P428="Xingyiquan E",513,IF(Atletas!P428="Baguazhang E",514,IF(Atletas!P428="Outro Estilo Interno E",515,IF(Atletas!P428="Xingyiquan F",516,IF(Atletas!P428="Baguazhang F",517,IF(Atletas!P428="Outro Estilo Interno F",518, "")))))))))))))))))))</f>
        <v/>
      </c>
      <c r="BS432" s="52" t="str">
        <f>IF(Atletas!Q428="","",IF(Atletas!W428&lt;&gt;"",10000,0)+IF(Atletas!B428="Feminino",1000,IF(Atletas!B428="Masculino",2000,""))+IF(Atletas!Q428="Dao A",601,IF(Atletas!Q428="Jian A",602,IF(Atletas!Q428="Bishou A",603,IF(Atletas!Q428="Shan A",604,IF(Atletas!Q428="Outra Arma Curta A",605,IF(Atletas!Q428="Dao B",606,IF(Atletas!Q428="Jian B",607,IF(Atletas!Q428="Bishou B",608,IF(Atletas!Q428="Shan B",609,IF(Atletas!Q428="Outra Arma Curta B",610,IF(Atletas!Q428="Dao C",611,IF(Atletas!Q428="Jian C",612,IF(Atletas!Q428="Bishou C",613,IF(Atletas!Q428="Shan C",614,IF(Atletas!Q428="Outra Arma Curta C",615,IF(Atletas!Q428="Dao D",616,IF(Atletas!Q428="Jian D",617,IF(Atletas!Q428="Bishou D",618,IF(Atletas!Q428="Shan D",619,IF(Atletas!Q428="Outra Arma Curta D",620,IF(Atletas!Q428="Dao E",621,IF(Atletas!Q428="Jian E",622,IF(Atletas!Q428="Bishou E",623,IF(Atletas!Q428="Shan E",624,IF(Atletas!Q428="Outra Arma Curta E",625,IF(Atletas!Q428="Dao F",626,IF(Atletas!Q428="Jian F",627,IF(Atletas!Q428="Bishou F",628,IF(Atletas!Q428="Shan F",629,IF(Atletas!Q428="Outra Arma Curta F",630, "")))))))))))))))))))))))))))))))</f>
        <v/>
      </c>
      <c r="BT432" s="52" t="str">
        <f>IF(Atletas!R428="","",IF(Atletas!W428&lt;&gt;"",10000,0)+IF(Atletas!B428="Feminino",1000,IF(Atletas!B428="Masculino",2000,""))+IF(Atletas!R428="Gun A",701,IF(Atletas!R428="Qiang A",702,IF(Atletas!R428="Pudao / Guandao A",703,IF(Atletas!R428="Outra Arma Longa A",704,IF(Atletas!R428="Gun B",705,IF(Atletas!R428="Qiang B",706,IF(Atletas!R428="Pudao / Guandao B",707,IF(Atletas!R428="Outra Arma Longa B",708,IF(Atletas!R428="Gun C",709,IF(Atletas!R428="Qiang C",710,IF(Atletas!R428="Pudao / Guandao C",711,IF(Atletas!R428="Outra Arma Longa C",712,IF(Atletas!R428="Gun D",713,IF(Atletas!R428="Qiang D",714,IF(Atletas!R428="Pudao / Guandao D",715,IF(Atletas!R428="Outra Arma Longa D",716,IF(Atletas!R428="Gun E",717,IF(Atletas!R428="Qiang E",718,IF(Atletas!R428="Pudao / Guandao E",719,IF(Atletas!R428="Outra Arma Longa E",720,IF(Atletas!R428="Gun F",721,IF(Atletas!R428="Qiang F",722,IF(Atletas!R428="Pudao / Guandao F",723,IF(Atletas!R428="Outra Arma Longa F",724,"")))))))))))))))))))))))))</f>
        <v/>
      </c>
      <c r="BU432" s="52" t="str">
        <f>IF(Atletas!S428="","",IF(Atletas!W428&lt;&gt;"",10000,0)+IF(Atletas!B428="Feminino",1000,IF(Atletas!B428="Masculino",2000,""))+IF(Atletas!S428="Arma Dupla A",801,IF(Atletas!S428="Arma Maleável A",802,IF(Atletas!S428="Arma Dupla B",803,IF(Atletas!S428="Arma Maleável B",804,IF(Atletas!S428="Arma Dupla C",805,IF(Atletas!S428="Arma Maleável C",806,IF(Atletas!S428="Arma Dupla D",807,IF(Atletas!S428="Arma Maleável D",808,IF(Atletas!S428="Arma Dupla E",809,IF(Atletas!S428="Arma Maleável E",810,IF(Atletas!S428="Arma Dupla F",811,IF(Atletas!S428="Arma Maleável F",812, "")))))))))))))</f>
        <v/>
      </c>
      <c r="BV432" s="52" t="str">
        <f>IF(Atletas!T428="","",IF(Atletas!W428&lt;&gt;"",10000,0)+IF(Atletas!B428="Feminino",1000,IF(Atletas!B428="Masculino",2000,""))+IF(Atletas!T428="Taijijian Yang A",901,IF(Atletas!T428="Taijijian Chen A",902,IF(Atletas!T428="Taijijian Sun A",903,IF(Atletas!T428="Taijijian Wu A",904,IF(Atletas!T428="Taijijian Wu-Hao A",905,IF(Atletas!T428="Taijijian 32 A",906,IF(Atletas!T428="Taijijian 42 A",907,IF(Atletas!T428="Taijijian Yang B",908,IF(Atletas!T428="Taijijian Chen B",909,IF(Atletas!T428="Taijijian Sun B",910,IF(Atletas!T428="Taijijian Wu B",911,IF(Atletas!T428="Taijijian Wu-Hao B",912,IF(Atletas!T428="Taijijian 32 B",913,IF(Atletas!T428="Taijijian 42 B",914,IF(Atletas!T428="Taijijian Yang C",915,IF(Atletas!T428="Taijijian Chen C",916,IF(Atletas!T428="Taijijian Sun C",917,IF(Atletas!T428="Taijijian Wu C",918,IF(Atletas!T428="Taijijian Wu-Hao C",919,IF(Atletas!T428="Taijijian 32 C",920,IF(Atletas!T428="Taijijian 42 C",921,IF(Atletas!T428="Taijijian Yang D",922,IF(Atletas!T428="Taijijian Chen D",923,IF(Atletas!T428="Taijijian Sun D",924,IF(Atletas!T428="Taijijian Wu D",925,IF(Atletas!T428="Taijijian Wu-Hao D",926,IF(Atletas!T428="Taijijian 32 D",927,IF(Atletas!T428="Taijijian 42 D",928,IF(Atletas!T428="Taijijian Yang E",929,IF(Atletas!T428="Taijijian Chen E",930,IF(Atletas!T428="Taijijian Sun E",931,IF(Atletas!T428="Taijijian Wu E",932,IF(Atletas!T428="Taijijian Wu-Hao E",933,IF(Atletas!T428="Taijijian 32 E",934,IF(Atletas!T428="Taijijian 42 E",935,IF(Atletas!T428="Taijijian Yang F",936,IF(Atletas!T428="Taijijian Chen F",937,IF(Atletas!T428="Taijijian Sun F",938,IF(Atletas!T428="Taijijian Wu F",939,IF(Atletas!T428="Taijijian Wu-Hao F",940,IF(Atletas!T428="Taijijian 32 F",941,IF(Atletas!T428="Taijijian 42 F",942,"")))))))))))))))))))))))))))))))))))))))))))</f>
        <v/>
      </c>
      <c r="BW432" s="52" t="str">
        <f>IF(Atletas!U428="","",IF(Atletas!W428&lt;&gt;"",10000,0)+IF(Atletas!B428="Feminino",1000,IF(Atletas!B428="Masculino",2000,""))+IF(Atletas!T428="Taijijian 42 F",942,IF(Atletas!U428="Taijidao A",943,IF(Atletas!U428="Taijishan A",944,IF(Atletas!U428="Taijiqiang A",945,IF(Atletas!U428="Taijidao B",946,IF(Atletas!U428="Taijishan B",947,IF(Atletas!U428="Taijiqiang B",948,IF(Atletas!U428="Taijidao C",949,IF(Atletas!U428="Taijishan C",950,IF(Atletas!U428="Taijiqiang C",951,IF(Atletas!U428="Taijidao D",952,IF(Atletas!U428="Taijishan D",953,IF(Atletas!U428="Taijiqiang D",954,IF(Atletas!U428="Taijidao E",955,IF(Atletas!U428="Taijishan E",956,IF(Atletas!U428="Taijiqiang E",957,IF(Atletas!U428="Taijidao F",958,IF(Atletas!U428="Taijishan F",959,IF(Atletas!U428="Taijiqiang F",960))))))))))))))))))))</f>
        <v/>
      </c>
      <c r="CF432" s="52" t="str">
        <f xml:space="preserve"> IF(Atletas!V428="","",IF(Atletas!V428="Duilian de Mãos AB - Equipe 1",1,IF(Atletas!V428="Duilian de Mãos AB - Equipe 2",2,IF(Atletas!V428="Duilian de Armas AB - Equipe 1",3,IF(Atletas!V428="Duilian de Armas AB - Equipe 2",4,IF(Atletas!V428="Duilian de Tuishou - Equipe 1",5,IF(Atletas!V428="Duilian de Tuishou - Equipe 2",6,IF(Atletas!V428="Grupo Externo AB - Equipe 1",7,IF(Atletas!V428="Grupo Externo AB - Equipe 2",8,IF(Atletas!V428="Grupo Interno AB - Equipe 1",9,IF(Atletas!V428="Grupo Interno AB - Equipe 2",10,IF(Atletas!V428="Duilian de Mãos CD - Equipe 1",11,IF(Atletas!V428="Duilian de Mãos CD - Equipe 2",12,IF(Atletas!V428="Duilian de Armas CD - Equipe 1",13,IF(Atletas!V428="Duilian de Armas CD - Equipe 2",14,IF(Atletas!V428="Duilian de Tuishou - Equipe 1",15,IF(Atletas!V428="Duilian de Tuishou - Equipe 2",16,IF(Atletas!V428="Grupo Externo CDEF - Equipe 1",17,IF(Atletas!V428="Grupo Externo CDEF - Equipe 2",18,IF(Atletas!V428="Grupo Interno CDEF - Equipe 1",19,IF(Atletas!V428="Grupo Interno CDEF - Equipe 2",20,IF(Atletas!V428="Duilian de Mãos EF - Equipe 1",21,IF(Atletas!V428="Duilian de Mãos EF - Equipe 2",22,IF(Atletas!V428="Duilian de Armas EF - Equipe 1",23,IF(Atletas!V428="Duilian de Armas EF - Equipe 2",24,IF(Atletas!V428="Duilian de Tuishou - Equipe 1",25,IF(Atletas!V428="Duilian de Tuishou - Equipe 2",26,"")))))))))))))))))))))))))))</f>
        <v/>
      </c>
    </row>
    <row r="433" spans="36:84">
      <c r="AJ433" s="46" t="str">
        <f>IF(Atletas!D429="","",IF(Atletas!B429="Feminino",100,IF(Atletas!B429="Masculino",200,""))+(IF(Atletas!D429="Infantil 39kg",1,IF(Atletas!D429="Infantil 42kg",2,IF(Atletas!D429="Infantil 45kg",3,IF(Atletas!D429="Infantil 48kg",4,IF(Atletas!D429="Infantil 52kg",5,IF(Atletas!D429="Infantil 56kg",6,IF(Atletas!D429="Infantil 60kg",7,IF(Atletas!D429="Juvenil 48kg",8,IF(Atletas!D429="Juvenil 52kg",9,IF(Atletas!D429="Juvenil 56kg",10,IF(Atletas!D429="Juvenil 60kg",11,IF(Atletas!D429="Juvenil 65kg",12,IF(Atletas!D429="Juvenil 70kg",13,IF(Atletas!D429="Juvenil 75kg",14,IF(Atletas!D429="Juvenil 80kg",15,IF(Atletas!D429="Adulto 48kg",16,IF(Atletas!D429="Adulto 52kg",17,IF(Atletas!D429="Adulto 56kg",18,IF(Atletas!D429="Adulto 60kg",19,IF(Atletas!D429="Adulto 65kg",20,IF(Atletas!D429="Adulto 70kg",21,IF(Atletas!D429="Adulto 75kg",22,IF(Atletas!D429="Adulto 80kg",23,IF(Atletas!D429="Adulto 85kg",24,IF(Atletas!D429="Adulto 90kg",25,IF(Atletas!D429="Adulto +90kg",26,""))))))))))))))))))))))))))))</f>
        <v/>
      </c>
      <c r="AO433" s="10" t="str">
        <f>IF(Atletas!E429="","",IF(Atletas!B429="Feminino",100,IF(Atletas!B429="Masculino",200,""))+(IF(Atletas!E429="Juvenil 44kg",1,IF(Atletas!E429="Juvenil 48kg",2,IF(Atletas!E429="Juvenil 52kg",3,IF(Atletas!E429="Juvenil 56kg",4,IF(Atletas!E429="Juvenil 60kg",5,IF(Atletas!E429="Juvenil 65kg",6,IF(Atletas!E429="Juvenil 70kg",7,IF(Atletas!E429="Juvenil 75kg",8,IF(Atletas!E429="Juvenil 82kg",9,IF(Atletas!E429="Juvenil 90kg",10,IF(Atletas!E429="Juvenil 100kg",11,IF(Atletas!E429="Adulto 48kg",12,IF(Atletas!E429="Adulto 52kg",13,IF(Atletas!E429="Adulto 56kg",14,IF(Atletas!E429="Adulto 60kg",15,IF(Atletas!E429="Adulto 65kg",16,IF(Atletas!E429="Adulto 70kg",17,IF(Atletas!E429="Adulto 75kg",18,IF(Atletas!E429="Adulto 82kg",19,IF(Atletas!E429="Adulto 90kg",20,IF(Atletas!E429="Adulto 100kg",21,IF(Atletas!E429="Adulto +100kg",22,""))))))))))))))))))))))))</f>
        <v/>
      </c>
      <c r="AT433" s="10" t="str">
        <f>IF(Atletas!F429="","",IF(Atletas!B429="Feminino",100,IF(Atletas!B429="Masculino",200,""))+(IF(Atletas!F429="Adulto 48kg",1,IF(Atletas!F429="Adulto 56kg",2,IF(Atletas!F429="Adulto 65kg",3,IF(Atletas!F429="Adulto 75kg",4,IF(Atletas!F429="Adulto +75kg",5,IF(Atletas!F429="Adulto 52kg",6,IF(Atletas!F429="Adulto 60kg",7,IF(Atletas!F429="Adulto 70kg",8,IF(Atletas!F429="Adulto 80kg",9,IF(Atletas!F429="Adulto 90kg",10,IF(Atletas!F429="Adulto +90kg",11,"")))))))))))))</f>
        <v/>
      </c>
      <c r="AY433" s="46" t="str">
        <f>IF(Atletas!G429="","",IF(Atletas!B429="Feminino",100,IF(Atletas!B429="Masculino",200,""))+(IF(Atletas!G429="Changquan Mirim",1,IF(Atletas!G429="Nanquan Mirim",2,IF(Atletas!G429="Taijiquan Mirim",3,IF(Atletas!G429="Changquan Grupo C",4,IF(Atletas!G429="Nanquan Grupo C",5,IF(Atletas!G429="Taijiquan Grupo C",6,IF(Atletas!G429="Changquan Grupo B",7,IF(Atletas!G429="Nanquan Grupo B",8,IF(Atletas!G429="Taijiquan Grupo B",9,IF(Atletas!G429="Changquan Grupo A",10,IF(Atletas!G429="Nanquan Grupo A",11,IF(Atletas!G429="Taijiquan Grupo A",12,IF(Atletas!G429="Changquan Opcional",13,IF(Atletas!G429="Nanquan Opcional",14,IF(Atletas!G429="Taijiquan Opcional",15,IF(Atletas!G429="Changquan Adulto",16,IF(Atletas!G429="Nanquan Adulto",17,IF(Atletas!G429="Taijiquan Adulto",18,""))))))))))))))))))))</f>
        <v/>
      </c>
      <c r="AZ433" s="46" t="str">
        <f>IF(Atletas!H429="","",IF(Atletas!B429="Feminino",100,IF(Atletas!B429="Masculino",200,""))+(IF(Atletas!H429="Daoshu Mirim",19,IF(Atletas!H429="Jianshu Mirim",20,IF(Atletas!H429="Nandao Mirim",21,IF(Atletas!H429="Taijijian Mirim",22,IF(Atletas!H429="Daoshu Grupo C",23,IF(Atletas!H429="Jianshu Grupo C",24,IF(Atletas!H429="Nandao Grupo C",25,IF(Atletas!H429="Taijijian Grupo C",26,IF(Atletas!H429="Daoshu Grupo B",27,IF(Atletas!H429="Jianshu Grupo B",28,IF(Atletas!H429="Nandao Grupo B",29,IF(Atletas!H429="Taijijian Grupo B",30,IF(Atletas!H429="Daoshu Grupo A",31,IF(Atletas!H429="Jianshu Grupo A",32,IF(Atletas!H429="Nandao Grupo A",33,IF(Atletas!H429="Taijijian Grupo A",34,IF(Atletas!H429="Daoshu Opcional",35,IF(Atletas!H429="Jianshu Opcional",36,IF(Atletas!H429="Nandao Opcional",37,IF(Atletas!H429="Taijijian Opcional",38,IF(Atletas!H429="Daoshu Adulto",39,IF(Atletas!H429="Jianshu Adulto",40,IF(Atletas!H429="Nandao Adulto",41,IF(Atletas!H429="Taijijian Adulto",42,""))))))))))))))))))))))))))</f>
        <v/>
      </c>
      <c r="BA433" s="46" t="str">
        <f>IF(Atletas!I429="","",IF(Atletas!B429="Feminino",100,IF(Atletas!B429="Masculino",200,""))+(IF(Atletas!I429="Gunshu Mirim",43,IF(Atletas!I429="Qiangshu Mirim",44,IF(Atletas!I429="Nangun Mirim",45,IF(Atletas!I429="Gunshu Grupo C",46,IF(Atletas!I429="Qiangshu Grupo C",47,IF(Atletas!I429="Nangun Grupo C",48,IF(Atletas!I429="Gunshu Grupo B",49,IF(Atletas!I429="Qiangshu Grupo B",50,IF(Atletas!I429="Nangun Grupo B",51,IF(Atletas!I429="Gunshu Grupo A",52,IF(Atletas!I429="Qiangshu Grupo A",53,IF(Atletas!I429="Nangun Grupo A",54,IF(Atletas!I429="Gunshu Opcional",55,IF(Atletas!I429="Qiangshu Opcional",56,IF(Atletas!I429="Nangun Opcional",57,IF(Atletas!I429="Gunshu Adulto",58,IF(Atletas!I429="Qiangshu Adulto",59,IF(Atletas!I429="Nangun Adulto",60,""))))))))))))))))))))</f>
        <v/>
      </c>
      <c r="BF433" s="52" t="str">
        <f>IF(Atletas!J429="","",IF(Atletas!B429="Feminino",100,IF(Atletas!B429="Masculino",200,""))+(IF(Atletas!J429="Equipe 1 Grupo B",1,IF(Atletas!J429="Equipe 2 Grupo B",2,IF(Atletas!J429="Equipe 1 Grupo A",3,IF(Atletas!J429="Equipe 2 Grupo A",4,IF(Atletas!J429="Equipe 1 Adulto",5,IF(Atletas!J429="Equipe 2 Adulto",6,""))))))))</f>
        <v/>
      </c>
      <c r="BK433" s="52" t="str">
        <f>IF(Atletas!K429="","",IF(Atletas!W429&lt;&gt;"",10000,0)+(IF(Atletas!B429="Feminino",1000,IF(Atletas!B429="Masculino",2000,""))+IF(Atletas!K429="Choylayfut A",1,IF(Atletas!K429="Hunggar A",2,IF(Atletas!K429="Wuzuquan A",3,IF(Atletas!K429="Wingchun A",4,IF(Atletas!K429="Outra Mão de Sul A",5,IF(Atletas!K429="Choylayfut B",6,IF(Atletas!K429="Hunggar B",7,IF(Atletas!K429="Wuzuquan B",8,IF(Atletas!K429="Wingchun B",9,IF(Atletas!K429="Outra Mão de Sul B",10,IF(Atletas!K429="Choylayfut C",11,IF(Atletas!K429="Hunggar C",12,IF(Atletas!K429="Wuzuquan C",13,IF(Atletas!K429="Wingchun C",14,IF(Atletas!K429="Outra Mão de Sul C",15,IF(Atletas!K429="Choylayfut D",16,IF(Atletas!K429="Hunggar D",17,IF(Atletas!K429="Wuzuquan D",18,IF(Atletas!K429="Wingchun D",19,IF(Atletas!K429="Outra Mão de Sul D",20,IF(Atletas!K429="Choylayfut E",21,IF(Atletas!K429="Hunggar E",22,IF(Atletas!K429="Wuzuquan E",23,IF(Atletas!K429="Wingchun E",24,IF(Atletas!K429="Outra Mão de Sul E",25,IF(Atletas!K429="Choylayfut F",26,IF(Atletas!K429="Hunggar F",27,IF(Atletas!K429="Wuzuquan F",28,IF(Atletas!K429="Wingchun F",29,IF(Atletas!K429="Outra Mão de Sul F",30,""))))))))))))))))))))))))))))))))</f>
        <v/>
      </c>
      <c r="BL433" s="52" t="str">
        <f>IF(Atletas!L429="","",IF(Atletas!W429&lt;&gt;"",10000,0)+(IF(Atletas!B429="Feminino",1000,IF(Atletas!B429="Masculino",2000,""))+(IF(Atletas!L429="Chaquan A",101,IF(Atletas!L429="Emeiquan A",102,IF(Atletas!L429="Fanziquan A",103,IF(Atletas!L429="Huaquan A",104,IF(Atletas!L429="Hongquan A",105,IF(Atletas!L429="Paochui A",106,IF(Atletas!L429="Piguaquan A",107,IF(Atletas!L429="Shaolinquan A",108,IF(Atletas!L429="Tanglangquan A",109,IF(Atletas!L429="Yinzhaophai A",110,IF(Atletas!L429="Tongbeiquan A",111,IF(Atletas!L429="Wudangquan A",112,IF(Atletas!L429="Outros Estilos A",113,IF(Atletas!L429="Chaquan B",114,IF(Atletas!L429="Emeiquan B",115,IF(Atletas!L429="Fanziquan B",116,IF(Atletas!L429="Huaquan B",117,IF(Atletas!L429="Hongquan B",118,IF(Atletas!L429="Paochui B",119,IF(Atletas!L429="Piguaquan B",120,IF(Atletas!L429="Shaolinquan B",121,IF(Atletas!L429="Tanglangquan B",122,IF(Atletas!L429="Yinzhaophai B",123,IF(Atletas!L429="Tongbeiquan B",124,IF(Atletas!L429="Wudangquan B",125,IF(Atletas!L429="Outros Estilos B",126,IF(Atletas!L429="Chaquan C",127,IF(Atletas!L429="Emeiquan C",128,IF(Atletas!L429="Fanziquan C",129,IF(Atletas!L429="Huaquan C",130,IF(Atletas!L429="Hongquan C",131,IF(Atletas!L429="Paochui C",132,IF(Atletas!L429="Piguaquan C",133,IF(Atletas!L429="Shaolinquan C",134,IF(Atletas!L429="Tanglangquan C",135,IF(Atletas!L429="Yinzhaophai C",136,IF(Atletas!L429="Tongbeiquan C",137,IF(Atletas!L429="Wudangquan C",138,IF(Atletas!L429="Outros Estilos C",139,0))))))))))))))))))))))))))))))))))))))))))</f>
        <v/>
      </c>
      <c r="BM433" s="52" t="str">
        <f>IF(Atletas!L429="","",IF(Atletas!W429&lt;&gt;"",10000,0)+(IF(Atletas!B429="Feminino",1000,IF(Atletas!B429="Masculino",2000,""))+(IF(Atletas!L429="Chaquan D",140,IF(Atletas!L429="Emeiquan D",141,IF(Atletas!L429="Fanziquan D",142,IF(Atletas!L429="Huaquan D",143,IF(Atletas!L429="Hongquan D",144,IF(Atletas!L429="Paochui D",145,IF(Atletas!L429="Piguaquan D",146,IF(Atletas!L429="Shaolinquan D",147,IF(Atletas!L429="Tanglangquan D",148,IF(Atletas!L429="Yinzhaophai D",149,IF(Atletas!L429="Tongbeiquan D",150,IF(Atletas!L429="Wudangquan D",151,IF(Atletas!L429="Outros Estilos D",152,IF(Atletas!L429="Chaquan E",153,IF(Atletas!L429="Emeiquan E",154,IF(Atletas!L429="Fanziquan E",155,IF(Atletas!L429="Huaquan E",156,IF(Atletas!L429="Hongquan E",157,IF(Atletas!L429="Paochui E",158,IF(Atletas!L429="Piguaquan E",159,IF(Atletas!L429="Shaolinquan E",160,IF(Atletas!L429="Tanglangquan E",161,IF(Atletas!L429="Yinzhaophai E",162,IF(Atletas!L429="Tongbeiquan E",163,IF(Atletas!L429="Wudangquan E",164,IF(Atletas!L429="Outros Estilos E",165,IF(Atletas!L429="Chaquan F",166,IF(Atletas!L429="Emeiquan F",167,IF(Atletas!L429="Fanziquan F",168,IF(Atletas!L429="Huaquan F",169,IF(Atletas!L429="Hongquan F",170,IF(Atletas!L429="Paochui F",171,IF(Atletas!L429="Piguaquan F",172,IF(Atletas!L429="Shaolinquan F",173,IF(Atletas!L429="Tanglangquan F",174,IF(Atletas!L429="Yinzhaophai F",175,IF(Atletas!L429="Tongbeiquan F",176,IF(Atletas!L429="Wudangquan F",177,IF(Atletas!L429="Outros Estilos F",178,0))))))))))))))))))))))))))))))))))))))))))</f>
        <v/>
      </c>
      <c r="BN433" s="52" t="str">
        <f>IF(Atletas!M429="","",IF(Atletas!W429&lt;&gt;"",10000,0)+(IF(Atletas!B429="Feminino",1000,IF(Atletas!B429="Masculino",2000,""))+(IF(Atletas!M429="Ditangquan A",201,IF(Atletas!M429="Houquan A",202,IF(Atletas!M429="Zuiquan A",203,IF(Atletas!M429="Ditangquan B",204,IF(Atletas!M429="Houquan B",205,IF(Atletas!M429="Zuiquan B",206,IF(Atletas!M429="Ditangquan C",207,IF(Atletas!M429="Houquan C",208,IF(Atletas!M429="Zuiquan C",209,IF(Atletas!M429="Ditangquan D",210,IF(Atletas!M429="Houquan D",211,IF(Atletas!M429="Zuiquan D",212,IF(Atletas!M429="Ditangquan E",213,IF(Atletas!M429="Houquan E",214,IF(Atletas!M429="Zuiquan E",215,IF(Atletas!M429="Ditangquan F",216,IF(Atletas!M429="Houquan F",217,IF(Atletas!M429="Zuiquan F",218,"")))))))))))))))))))))</f>
        <v/>
      </c>
      <c r="BO433" s="52" t="str">
        <f>IF(Atletas!N429="","",IF(Atletas!W429&lt;&gt;"",10000,0)+IF(Atletas!B429="Feminino",1000,IF(Atletas!B429="Masculino",2000,""))+IF(Atletas!N429="Yang A",301,IF(Atletas!N429="Chen A",30,IF(Atletas!N429="Sun A",303,IF(Atletas!N429="Wu A",304,IF(Atletas!N429="Wu-Hao A",305,IF(Atletas!N429="Outro Taijiquan A",306,IF(Atletas!N429="Yang B",307,IF(Atletas!N429="Chen B",308,IF(Atletas!N429="Sun B",309,IF(Atletas!N429="Wu B",310,IF(Atletas!N429="Wu-Hao B",311,IF(Atletas!N429="Outro Taijiquan B",312,IF(Atletas!N429="Yang C",313,IF(Atletas!N429="Chen C",314,IF(Atletas!N429="Sun C",315,IF(Atletas!N429="Wu C",316,IF(Atletas!N429="Wu-Hao C",317,IF(Atletas!N429="Outro Taijiquan C",318,IF(Atletas!N429="Yang D",319,IF(Atletas!N429="Chen D",320,IF(Atletas!N429="Sun D",321,IF(Atletas!N429="Wu D",322,IF(Atletas!N429="Wu-Hao D",323,IF(Atletas!N429="Outro Taijiquan D",324,IF(Atletas!N429="Yang E",325,IF(Atletas!N429="Chen E",326,IF(Atletas!N429="Sun E",327,IF(Atletas!N429="Wu E",328,IF(Atletas!N429="Wu-Hao E",329,IF(Atletas!N429="Outro Taijiquan E",330,IF(Atletas!N429="Yang F",331,IF(Atletas!N429="Chen F",332,IF(Atletas!N429="Sun F",333,IF(Atletas!N429="Wu F",334,IF(Atletas!N429="Wu-Hao F",335,IF(Atletas!N429="Outro Taijiquan F",336,"")))))))))))))))))))))))))))))))))))))</f>
        <v/>
      </c>
      <c r="BP433" s="52" t="str">
        <f>IF(Atletas!O429="","",IF(Atletas!W429&lt;&gt;"",10000,0)+IF(Atletas!B429="Feminino",1000,IF(Atletas!B429="Masculino",2000,""))+IF(OR(Atletas!O429="Yang 26 A",Atletas!O429="Yang 40 A"),401,IF(OR(Atletas!O429="Chen 25 A",Atletas!O429="Chen 36 A",Atletas!O429="Chen 56 A"),402,IF(Atletas!O429="Sun 73 A",403,IF(Atletas!O429="Wu 45 A",404,IF(Atletas!O429="Wu-Hao 46 A",405,IF(OR(Atletas!O429="Taijiquan 16 A",Atletas!O429="Taijiquan 24 A",Atletas!O429="Taijiquan 32 A",Atletas!O429="Taijiquan 42 A"),406,IF(OR(Atletas!O429="Yang 26 B",Atletas!O429="Yang 40 B"),407,IF(OR(Atletas!O429="Chen 25 B",Atletas!O429="Chen 36 B",Atletas!O429="Chen 56 B"),408,IF(Atletas!O429="Sun 73 B",409,IF(Atletas!O429="Wu 45 B",410,IF(Atletas!O429="Wu-Hao 46 B",411,IF(OR(Atletas!O429="Taijiquan 16 B",Atletas!O429="Taijiquan 24 B",Atletas!O429="Taijiquan 32 B",Atletas!O429="Taijiquan 42 B"),412,IF(OR(Atletas!O429="Yang 26 C",Atletas!O429="Yang 40 C"),413,IF(OR(Atletas!O429="Chen 25 C",Atletas!O429="Chen 36 C",Atletas!O429="Chen 56 C"),414,IF(Atletas!O429="Sun 73 C",415,IF(Atletas!O429="Wu 45 C",416,IF(Atletas!O429="Wu-Hao 46 C",417,IF(OR(Atletas!O429="Taijiquan 16 C",Atletas!O429="Taijiquan 24 C",Atletas!O429="Taijiquan 32 C",Atletas!O429="Taijiquan 42 C"),418,0)))))))))))))))))))</f>
        <v/>
      </c>
      <c r="BQ433" s="52" t="str">
        <f>IF(Atletas!O429="","",IF(Atletas!W429&lt;&gt;"",10000,0)+IF(Atletas!B429="Feminino",1000,IF(Atletas!B429="Masculino",2000,""))+IF(OR(Atletas!O429="Yang 26 D",Atletas!O429="Yang 40 D"),419,IF(OR(Atletas!O429="Chen 25 D",Atletas!O429="Chen 36 D",Atletas!O429="Chen 56 D"),420,IF(Atletas!O429="Sun 73 D",421,IF(Atletas!O429="Wu 45 D",422,IF(Atletas!O429="Wu-Hao 46 D",423,IF(OR(Atletas!O429="Taijiquan 16 D",Atletas!O429="Taijiquan 24 D",Atletas!O429="Taijiquan 32 D",Atletas!O429="Taijiquan 42 D"),424,IF(OR(Atletas!O429="Yang 26 E",Atletas!O429="Yang 40 E"),425,IF(OR(Atletas!O429="Chen 25 E",Atletas!O429="Chen 36 E",Atletas!O429="Chen 56 E"),426,IF(Atletas!O429="Sun 73 E",427,IF(Atletas!O429="Wu 45 E",428,IF(Atletas!O429="Wu-Hao 46 E",429,IF(OR(Atletas!O429="Taijiquan 16 E",Atletas!O429="Taijiquan 24 E",Atletas!O429="Taijiquan 32 E",Atletas!O429="Taijiquan 42 E"),430,IF(OR(Atletas!O429="Yang 26 F",Atletas!O429="Yang 40 F"),431,IF(OR(Atletas!O429="Chen 25 F",Atletas!O429="Chen 36 F",Atletas!O429="Chen 56 F"),432,IF(Atletas!O429="Sun 73 F",433,IF(Atletas!O429="Wu 45 F",434,IF(Atletas!O429="Wu-Hao 46 F",435,IF(OR(Atletas!O429="Taijiquan 16 F",Atletas!O429="Taijiquan 24 F",Atletas!O429="Taijiquan 32 F",Atletas!O429="Taijiquan 42 F"),436,0)))))))))))))))))))</f>
        <v/>
      </c>
      <c r="BR433" s="52" t="str">
        <f>IF(Atletas!P429="","",IF(Atletas!W429&lt;&gt;"",10000,0)+IF(Atletas!B429="Feminino",1000,IF(Atletas!B429="Masculino",2000,""))+IF(Atletas!P429="Xingyiquan A",501,IF(Atletas!P429="Baguazhang A",502,IF(Atletas!P429="Outro Estilo Interno A",503,IF(Atletas!P429="Xingyiquan B",504,IF(Atletas!P429="Baguazhang B",505,IF(Atletas!P429="Outro Estilo Interno B",506,IF(Atletas!P429="Xingyiquan C",507,IF(Atletas!P429="Baguazhang C",508,IF(Atletas!P429="Outro Estilo Interno C",509,IF(Atletas!P429="Xingyiquan D",510,IF(Atletas!P429="Baguazhang D",511,IF(Atletas!P429="Outro Estilo Interno D",512,IF(Atletas!P429="Xingyiquan E",513,IF(Atletas!P429="Baguazhang E",514,IF(Atletas!P429="Outro Estilo Interno E",515,IF(Atletas!P429="Xingyiquan F",516,IF(Atletas!P429="Baguazhang F",517,IF(Atletas!P429="Outro Estilo Interno F",518, "")))))))))))))))))))</f>
        <v/>
      </c>
      <c r="BS433" s="52" t="str">
        <f>IF(Atletas!Q429="","",IF(Atletas!W429&lt;&gt;"",10000,0)+IF(Atletas!B429="Feminino",1000,IF(Atletas!B429="Masculino",2000,""))+IF(Atletas!Q429="Dao A",601,IF(Atletas!Q429="Jian A",602,IF(Atletas!Q429="Bishou A",603,IF(Atletas!Q429="Shan A",604,IF(Atletas!Q429="Outra Arma Curta A",605,IF(Atletas!Q429="Dao B",606,IF(Atletas!Q429="Jian B",607,IF(Atletas!Q429="Bishou B",608,IF(Atletas!Q429="Shan B",609,IF(Atletas!Q429="Outra Arma Curta B",610,IF(Atletas!Q429="Dao C",611,IF(Atletas!Q429="Jian C",612,IF(Atletas!Q429="Bishou C",613,IF(Atletas!Q429="Shan C",614,IF(Atletas!Q429="Outra Arma Curta C",615,IF(Atletas!Q429="Dao D",616,IF(Atletas!Q429="Jian D",617,IF(Atletas!Q429="Bishou D",618,IF(Atletas!Q429="Shan D",619,IF(Atletas!Q429="Outra Arma Curta D",620,IF(Atletas!Q429="Dao E",621,IF(Atletas!Q429="Jian E",622,IF(Atletas!Q429="Bishou E",623,IF(Atletas!Q429="Shan E",624,IF(Atletas!Q429="Outra Arma Curta E",625,IF(Atletas!Q429="Dao F",626,IF(Atletas!Q429="Jian F",627,IF(Atletas!Q429="Bishou F",628,IF(Atletas!Q429="Shan F",629,IF(Atletas!Q429="Outra Arma Curta F",630, "")))))))))))))))))))))))))))))))</f>
        <v/>
      </c>
      <c r="BT433" s="52" t="str">
        <f>IF(Atletas!R429="","",IF(Atletas!W429&lt;&gt;"",10000,0)+IF(Atletas!B429="Feminino",1000,IF(Atletas!B429="Masculino",2000,""))+IF(Atletas!R429="Gun A",701,IF(Atletas!R429="Qiang A",702,IF(Atletas!R429="Pudao / Guandao A",703,IF(Atletas!R429="Outra Arma Longa A",704,IF(Atletas!R429="Gun B",705,IF(Atletas!R429="Qiang B",706,IF(Atletas!R429="Pudao / Guandao B",707,IF(Atletas!R429="Outra Arma Longa B",708,IF(Atletas!R429="Gun C",709,IF(Atletas!R429="Qiang C",710,IF(Atletas!R429="Pudao / Guandao C",711,IF(Atletas!R429="Outra Arma Longa C",712,IF(Atletas!R429="Gun D",713,IF(Atletas!R429="Qiang D",714,IF(Atletas!R429="Pudao / Guandao D",715,IF(Atletas!R429="Outra Arma Longa D",716,IF(Atletas!R429="Gun E",717,IF(Atletas!R429="Qiang E",718,IF(Atletas!R429="Pudao / Guandao E",719,IF(Atletas!R429="Outra Arma Longa E",720,IF(Atletas!R429="Gun F",721,IF(Atletas!R429="Qiang F",722,IF(Atletas!R429="Pudao / Guandao F",723,IF(Atletas!R429="Outra Arma Longa F",724,"")))))))))))))))))))))))))</f>
        <v/>
      </c>
      <c r="BU433" s="52" t="str">
        <f>IF(Atletas!S429="","",IF(Atletas!W429&lt;&gt;"",10000,0)+IF(Atletas!B429="Feminino",1000,IF(Atletas!B429="Masculino",2000,""))+IF(Atletas!S429="Arma Dupla A",801,IF(Atletas!S429="Arma Maleável A",802,IF(Atletas!S429="Arma Dupla B",803,IF(Atletas!S429="Arma Maleável B",804,IF(Atletas!S429="Arma Dupla C",805,IF(Atletas!S429="Arma Maleável C",806,IF(Atletas!S429="Arma Dupla D",807,IF(Atletas!S429="Arma Maleável D",808,IF(Atletas!S429="Arma Dupla E",809,IF(Atletas!S429="Arma Maleável E",810,IF(Atletas!S429="Arma Dupla F",811,IF(Atletas!S429="Arma Maleável F",812, "")))))))))))))</f>
        <v/>
      </c>
      <c r="BV433" s="52" t="str">
        <f>IF(Atletas!T429="","",IF(Atletas!W429&lt;&gt;"",10000,0)+IF(Atletas!B429="Feminino",1000,IF(Atletas!B429="Masculino",2000,""))+IF(Atletas!T429="Taijijian Yang A",901,IF(Atletas!T429="Taijijian Chen A",902,IF(Atletas!T429="Taijijian Sun A",903,IF(Atletas!T429="Taijijian Wu A",904,IF(Atletas!T429="Taijijian Wu-Hao A",905,IF(Atletas!T429="Taijijian 32 A",906,IF(Atletas!T429="Taijijian 42 A",907,IF(Atletas!T429="Taijijian Yang B",908,IF(Atletas!T429="Taijijian Chen B",909,IF(Atletas!T429="Taijijian Sun B",910,IF(Atletas!T429="Taijijian Wu B",911,IF(Atletas!T429="Taijijian Wu-Hao B",912,IF(Atletas!T429="Taijijian 32 B",913,IF(Atletas!T429="Taijijian 42 B",914,IF(Atletas!T429="Taijijian Yang C",915,IF(Atletas!T429="Taijijian Chen C",916,IF(Atletas!T429="Taijijian Sun C",917,IF(Atletas!T429="Taijijian Wu C",918,IF(Atletas!T429="Taijijian Wu-Hao C",919,IF(Atletas!T429="Taijijian 32 C",920,IF(Atletas!T429="Taijijian 42 C",921,IF(Atletas!T429="Taijijian Yang D",922,IF(Atletas!T429="Taijijian Chen D",923,IF(Atletas!T429="Taijijian Sun D",924,IF(Atletas!T429="Taijijian Wu D",925,IF(Atletas!T429="Taijijian Wu-Hao D",926,IF(Atletas!T429="Taijijian 32 D",927,IF(Atletas!T429="Taijijian 42 D",928,IF(Atletas!T429="Taijijian Yang E",929,IF(Atletas!T429="Taijijian Chen E",930,IF(Atletas!T429="Taijijian Sun E",931,IF(Atletas!T429="Taijijian Wu E",932,IF(Atletas!T429="Taijijian Wu-Hao E",933,IF(Atletas!T429="Taijijian 32 E",934,IF(Atletas!T429="Taijijian 42 E",935,IF(Atletas!T429="Taijijian Yang F",936,IF(Atletas!T429="Taijijian Chen F",937,IF(Atletas!T429="Taijijian Sun F",938,IF(Atletas!T429="Taijijian Wu F",939,IF(Atletas!T429="Taijijian Wu-Hao F",940,IF(Atletas!T429="Taijijian 32 F",941,IF(Atletas!T429="Taijijian 42 F",942,"")))))))))))))))))))))))))))))))))))))))))))</f>
        <v/>
      </c>
      <c r="BW433" s="52" t="str">
        <f>IF(Atletas!U429="","",IF(Atletas!W429&lt;&gt;"",10000,0)+IF(Atletas!B429="Feminino",1000,IF(Atletas!B429="Masculino",2000,""))+IF(Atletas!T429="Taijijian 42 F",942,IF(Atletas!U429="Taijidao A",943,IF(Atletas!U429="Taijishan A",944,IF(Atletas!U429="Taijiqiang A",945,IF(Atletas!U429="Taijidao B",946,IF(Atletas!U429="Taijishan B",947,IF(Atletas!U429="Taijiqiang B",948,IF(Atletas!U429="Taijidao C",949,IF(Atletas!U429="Taijishan C",950,IF(Atletas!U429="Taijiqiang C",951,IF(Atletas!U429="Taijidao D",952,IF(Atletas!U429="Taijishan D",953,IF(Atletas!U429="Taijiqiang D",954,IF(Atletas!U429="Taijidao E",955,IF(Atletas!U429="Taijishan E",956,IF(Atletas!U429="Taijiqiang E",957,IF(Atletas!U429="Taijidao F",958,IF(Atletas!U429="Taijishan F",959,IF(Atletas!U429="Taijiqiang F",960))))))))))))))))))))</f>
        <v/>
      </c>
      <c r="CF433" s="52" t="str">
        <f xml:space="preserve"> IF(Atletas!V429="","",IF(Atletas!V429="Duilian de Mãos AB - Equipe 1",1,IF(Atletas!V429="Duilian de Mãos AB - Equipe 2",2,IF(Atletas!V429="Duilian de Armas AB - Equipe 1",3,IF(Atletas!V429="Duilian de Armas AB - Equipe 2",4,IF(Atletas!V429="Duilian de Tuishou - Equipe 1",5,IF(Atletas!V429="Duilian de Tuishou - Equipe 2",6,IF(Atletas!V429="Grupo Externo AB - Equipe 1",7,IF(Atletas!V429="Grupo Externo AB - Equipe 2",8,IF(Atletas!V429="Grupo Interno AB - Equipe 1",9,IF(Atletas!V429="Grupo Interno AB - Equipe 2",10,IF(Atletas!V429="Duilian de Mãos CD - Equipe 1",11,IF(Atletas!V429="Duilian de Mãos CD - Equipe 2",12,IF(Atletas!V429="Duilian de Armas CD - Equipe 1",13,IF(Atletas!V429="Duilian de Armas CD - Equipe 2",14,IF(Atletas!V429="Duilian de Tuishou - Equipe 1",15,IF(Atletas!V429="Duilian de Tuishou - Equipe 2",16,IF(Atletas!V429="Grupo Externo CDEF - Equipe 1",17,IF(Atletas!V429="Grupo Externo CDEF - Equipe 2",18,IF(Atletas!V429="Grupo Interno CDEF - Equipe 1",19,IF(Atletas!V429="Grupo Interno CDEF - Equipe 2",20,IF(Atletas!V429="Duilian de Mãos EF - Equipe 1",21,IF(Atletas!V429="Duilian de Mãos EF - Equipe 2",22,IF(Atletas!V429="Duilian de Armas EF - Equipe 1",23,IF(Atletas!V429="Duilian de Armas EF - Equipe 2",24,IF(Atletas!V429="Duilian de Tuishou - Equipe 1",25,IF(Atletas!V429="Duilian de Tuishou - Equipe 2",26,"")))))))))))))))))))))))))))</f>
        <v/>
      </c>
    </row>
    <row r="434" spans="36:84">
      <c r="AJ434" s="46" t="str">
        <f>IF(Atletas!D430="","",IF(Atletas!B430="Feminino",100,IF(Atletas!B430="Masculino",200,""))+(IF(Atletas!D430="Infantil 39kg",1,IF(Atletas!D430="Infantil 42kg",2,IF(Atletas!D430="Infantil 45kg",3,IF(Atletas!D430="Infantil 48kg",4,IF(Atletas!D430="Infantil 52kg",5,IF(Atletas!D430="Infantil 56kg",6,IF(Atletas!D430="Infantil 60kg",7,IF(Atletas!D430="Juvenil 48kg",8,IF(Atletas!D430="Juvenil 52kg",9,IF(Atletas!D430="Juvenil 56kg",10,IF(Atletas!D430="Juvenil 60kg",11,IF(Atletas!D430="Juvenil 65kg",12,IF(Atletas!D430="Juvenil 70kg",13,IF(Atletas!D430="Juvenil 75kg",14,IF(Atletas!D430="Juvenil 80kg",15,IF(Atletas!D430="Adulto 48kg",16,IF(Atletas!D430="Adulto 52kg",17,IF(Atletas!D430="Adulto 56kg",18,IF(Atletas!D430="Adulto 60kg",19,IF(Atletas!D430="Adulto 65kg",20,IF(Atletas!D430="Adulto 70kg",21,IF(Atletas!D430="Adulto 75kg",22,IF(Atletas!D430="Adulto 80kg",23,IF(Atletas!D430="Adulto 85kg",24,IF(Atletas!D430="Adulto 90kg",25,IF(Atletas!D430="Adulto +90kg",26,""))))))))))))))))))))))))))))</f>
        <v/>
      </c>
      <c r="AO434" s="10" t="str">
        <f>IF(Atletas!E430="","",IF(Atletas!B430="Feminino",100,IF(Atletas!B430="Masculino",200,""))+(IF(Atletas!E430="Juvenil 44kg",1,IF(Atletas!E430="Juvenil 48kg",2,IF(Atletas!E430="Juvenil 52kg",3,IF(Atletas!E430="Juvenil 56kg",4,IF(Atletas!E430="Juvenil 60kg",5,IF(Atletas!E430="Juvenil 65kg",6,IF(Atletas!E430="Juvenil 70kg",7,IF(Atletas!E430="Juvenil 75kg",8,IF(Atletas!E430="Juvenil 82kg",9,IF(Atletas!E430="Juvenil 90kg",10,IF(Atletas!E430="Juvenil 100kg",11,IF(Atletas!E430="Adulto 48kg",12,IF(Atletas!E430="Adulto 52kg",13,IF(Atletas!E430="Adulto 56kg",14,IF(Atletas!E430="Adulto 60kg",15,IF(Atletas!E430="Adulto 65kg",16,IF(Atletas!E430="Adulto 70kg",17,IF(Atletas!E430="Adulto 75kg",18,IF(Atletas!E430="Adulto 82kg",19,IF(Atletas!E430="Adulto 90kg",20,IF(Atletas!E430="Adulto 100kg",21,IF(Atletas!E430="Adulto +100kg",22,""))))))))))))))))))))))))</f>
        <v/>
      </c>
      <c r="AT434" s="10" t="str">
        <f>IF(Atletas!F430="","",IF(Atletas!B430="Feminino",100,IF(Atletas!B430="Masculino",200,""))+(IF(Atletas!F430="Adulto 48kg",1,IF(Atletas!F430="Adulto 56kg",2,IF(Atletas!F430="Adulto 65kg",3,IF(Atletas!F430="Adulto 75kg",4,IF(Atletas!F430="Adulto +75kg",5,IF(Atletas!F430="Adulto 52kg",6,IF(Atletas!F430="Adulto 60kg",7,IF(Atletas!F430="Adulto 70kg",8,IF(Atletas!F430="Adulto 80kg",9,IF(Atletas!F430="Adulto 90kg",10,IF(Atletas!F430="Adulto +90kg",11,"")))))))))))))</f>
        <v/>
      </c>
      <c r="AY434" s="46" t="str">
        <f>IF(Atletas!G430="","",IF(Atletas!B430="Feminino",100,IF(Atletas!B430="Masculino",200,""))+(IF(Atletas!G430="Changquan Mirim",1,IF(Atletas!G430="Nanquan Mirim",2,IF(Atletas!G430="Taijiquan Mirim",3,IF(Atletas!G430="Changquan Grupo C",4,IF(Atletas!G430="Nanquan Grupo C",5,IF(Atletas!G430="Taijiquan Grupo C",6,IF(Atletas!G430="Changquan Grupo B",7,IF(Atletas!G430="Nanquan Grupo B",8,IF(Atletas!G430="Taijiquan Grupo B",9,IF(Atletas!G430="Changquan Grupo A",10,IF(Atletas!G430="Nanquan Grupo A",11,IF(Atletas!G430="Taijiquan Grupo A",12,IF(Atletas!G430="Changquan Opcional",13,IF(Atletas!G430="Nanquan Opcional",14,IF(Atletas!G430="Taijiquan Opcional",15,IF(Atletas!G430="Changquan Adulto",16,IF(Atletas!G430="Nanquan Adulto",17,IF(Atletas!G430="Taijiquan Adulto",18,""))))))))))))))))))))</f>
        <v/>
      </c>
      <c r="AZ434" s="46" t="str">
        <f>IF(Atletas!H430="","",IF(Atletas!B430="Feminino",100,IF(Atletas!B430="Masculino",200,""))+(IF(Atletas!H430="Daoshu Mirim",19,IF(Atletas!H430="Jianshu Mirim",20,IF(Atletas!H430="Nandao Mirim",21,IF(Atletas!H430="Taijijian Mirim",22,IF(Atletas!H430="Daoshu Grupo C",23,IF(Atletas!H430="Jianshu Grupo C",24,IF(Atletas!H430="Nandao Grupo C",25,IF(Atletas!H430="Taijijian Grupo C",26,IF(Atletas!H430="Daoshu Grupo B",27,IF(Atletas!H430="Jianshu Grupo B",28,IF(Atletas!H430="Nandao Grupo B",29,IF(Atletas!H430="Taijijian Grupo B",30,IF(Atletas!H430="Daoshu Grupo A",31,IF(Atletas!H430="Jianshu Grupo A",32,IF(Atletas!H430="Nandao Grupo A",33,IF(Atletas!H430="Taijijian Grupo A",34,IF(Atletas!H430="Daoshu Opcional",35,IF(Atletas!H430="Jianshu Opcional",36,IF(Atletas!H430="Nandao Opcional",37,IF(Atletas!H430="Taijijian Opcional",38,IF(Atletas!H430="Daoshu Adulto",39,IF(Atletas!H430="Jianshu Adulto",40,IF(Atletas!H430="Nandao Adulto",41,IF(Atletas!H430="Taijijian Adulto",42,""))))))))))))))))))))))))))</f>
        <v/>
      </c>
      <c r="BA434" s="46" t="str">
        <f>IF(Atletas!I430="","",IF(Atletas!B430="Feminino",100,IF(Atletas!B430="Masculino",200,""))+(IF(Atletas!I430="Gunshu Mirim",43,IF(Atletas!I430="Qiangshu Mirim",44,IF(Atletas!I430="Nangun Mirim",45,IF(Atletas!I430="Gunshu Grupo C",46,IF(Atletas!I430="Qiangshu Grupo C",47,IF(Atletas!I430="Nangun Grupo C",48,IF(Atletas!I430="Gunshu Grupo B",49,IF(Atletas!I430="Qiangshu Grupo B",50,IF(Atletas!I430="Nangun Grupo B",51,IF(Atletas!I430="Gunshu Grupo A",52,IF(Atletas!I430="Qiangshu Grupo A",53,IF(Atletas!I430="Nangun Grupo A",54,IF(Atletas!I430="Gunshu Opcional",55,IF(Atletas!I430="Qiangshu Opcional",56,IF(Atletas!I430="Nangun Opcional",57,IF(Atletas!I430="Gunshu Adulto",58,IF(Atletas!I430="Qiangshu Adulto",59,IF(Atletas!I430="Nangun Adulto",60,""))))))))))))))))))))</f>
        <v/>
      </c>
      <c r="BF434" s="52" t="str">
        <f>IF(Atletas!J430="","",IF(Atletas!B430="Feminino",100,IF(Atletas!B430="Masculino",200,""))+(IF(Atletas!J430="Equipe 1 Grupo B",1,IF(Atletas!J430="Equipe 2 Grupo B",2,IF(Atletas!J430="Equipe 1 Grupo A",3,IF(Atletas!J430="Equipe 2 Grupo A",4,IF(Atletas!J430="Equipe 1 Adulto",5,IF(Atletas!J430="Equipe 2 Adulto",6,""))))))))</f>
        <v/>
      </c>
      <c r="BK434" s="52" t="str">
        <f>IF(Atletas!K430="","",IF(Atletas!W430&lt;&gt;"",10000,0)+(IF(Atletas!B430="Feminino",1000,IF(Atletas!B430="Masculino",2000,""))+IF(Atletas!K430="Choylayfut A",1,IF(Atletas!K430="Hunggar A",2,IF(Atletas!K430="Wuzuquan A",3,IF(Atletas!K430="Wingchun A",4,IF(Atletas!K430="Outra Mão de Sul A",5,IF(Atletas!K430="Choylayfut B",6,IF(Atletas!K430="Hunggar B",7,IF(Atletas!K430="Wuzuquan B",8,IF(Atletas!K430="Wingchun B",9,IF(Atletas!K430="Outra Mão de Sul B",10,IF(Atletas!K430="Choylayfut C",11,IF(Atletas!K430="Hunggar C",12,IF(Atletas!K430="Wuzuquan C",13,IF(Atletas!K430="Wingchun C",14,IF(Atletas!K430="Outra Mão de Sul C",15,IF(Atletas!K430="Choylayfut D",16,IF(Atletas!K430="Hunggar D",17,IF(Atletas!K430="Wuzuquan D",18,IF(Atletas!K430="Wingchun D",19,IF(Atletas!K430="Outra Mão de Sul D",20,IF(Atletas!K430="Choylayfut E",21,IF(Atletas!K430="Hunggar E",22,IF(Atletas!K430="Wuzuquan E",23,IF(Atletas!K430="Wingchun E",24,IF(Atletas!K430="Outra Mão de Sul E",25,IF(Atletas!K430="Choylayfut F",26,IF(Atletas!K430="Hunggar F",27,IF(Atletas!K430="Wuzuquan F",28,IF(Atletas!K430="Wingchun F",29,IF(Atletas!K430="Outra Mão de Sul F",30,""))))))))))))))))))))))))))))))))</f>
        <v/>
      </c>
      <c r="BL434" s="52" t="str">
        <f>IF(Atletas!L430="","",IF(Atletas!W430&lt;&gt;"",10000,0)+(IF(Atletas!B430="Feminino",1000,IF(Atletas!B430="Masculino",2000,""))+(IF(Atletas!L430="Chaquan A",101,IF(Atletas!L430="Emeiquan A",102,IF(Atletas!L430="Fanziquan A",103,IF(Atletas!L430="Huaquan A",104,IF(Atletas!L430="Hongquan A",105,IF(Atletas!L430="Paochui A",106,IF(Atletas!L430="Piguaquan A",107,IF(Atletas!L430="Shaolinquan A",108,IF(Atletas!L430="Tanglangquan A",109,IF(Atletas!L430="Yinzhaophai A",110,IF(Atletas!L430="Tongbeiquan A",111,IF(Atletas!L430="Wudangquan A",112,IF(Atletas!L430="Outros Estilos A",113,IF(Atletas!L430="Chaquan B",114,IF(Atletas!L430="Emeiquan B",115,IF(Atletas!L430="Fanziquan B",116,IF(Atletas!L430="Huaquan B",117,IF(Atletas!L430="Hongquan B",118,IF(Atletas!L430="Paochui B",119,IF(Atletas!L430="Piguaquan B",120,IF(Atletas!L430="Shaolinquan B",121,IF(Atletas!L430="Tanglangquan B",122,IF(Atletas!L430="Yinzhaophai B",123,IF(Atletas!L430="Tongbeiquan B",124,IF(Atletas!L430="Wudangquan B",125,IF(Atletas!L430="Outros Estilos B",126,IF(Atletas!L430="Chaquan C",127,IF(Atletas!L430="Emeiquan C",128,IF(Atletas!L430="Fanziquan C",129,IF(Atletas!L430="Huaquan C",130,IF(Atletas!L430="Hongquan C",131,IF(Atletas!L430="Paochui C",132,IF(Atletas!L430="Piguaquan C",133,IF(Atletas!L430="Shaolinquan C",134,IF(Atletas!L430="Tanglangquan C",135,IF(Atletas!L430="Yinzhaophai C",136,IF(Atletas!L430="Tongbeiquan C",137,IF(Atletas!L430="Wudangquan C",138,IF(Atletas!L430="Outros Estilos C",139,0))))))))))))))))))))))))))))))))))))))))))</f>
        <v/>
      </c>
      <c r="BM434" s="52" t="str">
        <f>IF(Atletas!L430="","",IF(Atletas!W430&lt;&gt;"",10000,0)+(IF(Atletas!B430="Feminino",1000,IF(Atletas!B430="Masculino",2000,""))+(IF(Atletas!L430="Chaquan D",140,IF(Atletas!L430="Emeiquan D",141,IF(Atletas!L430="Fanziquan D",142,IF(Atletas!L430="Huaquan D",143,IF(Atletas!L430="Hongquan D",144,IF(Atletas!L430="Paochui D",145,IF(Atletas!L430="Piguaquan D",146,IF(Atletas!L430="Shaolinquan D",147,IF(Atletas!L430="Tanglangquan D",148,IF(Atletas!L430="Yinzhaophai D",149,IF(Atletas!L430="Tongbeiquan D",150,IF(Atletas!L430="Wudangquan D",151,IF(Atletas!L430="Outros Estilos D",152,IF(Atletas!L430="Chaquan E",153,IF(Atletas!L430="Emeiquan E",154,IF(Atletas!L430="Fanziquan E",155,IF(Atletas!L430="Huaquan E",156,IF(Atletas!L430="Hongquan E",157,IF(Atletas!L430="Paochui E",158,IF(Atletas!L430="Piguaquan E",159,IF(Atletas!L430="Shaolinquan E",160,IF(Atletas!L430="Tanglangquan E",161,IF(Atletas!L430="Yinzhaophai E",162,IF(Atletas!L430="Tongbeiquan E",163,IF(Atletas!L430="Wudangquan E",164,IF(Atletas!L430="Outros Estilos E",165,IF(Atletas!L430="Chaquan F",166,IF(Atletas!L430="Emeiquan F",167,IF(Atletas!L430="Fanziquan F",168,IF(Atletas!L430="Huaquan F",169,IF(Atletas!L430="Hongquan F",170,IF(Atletas!L430="Paochui F",171,IF(Atletas!L430="Piguaquan F",172,IF(Atletas!L430="Shaolinquan F",173,IF(Atletas!L430="Tanglangquan F",174,IF(Atletas!L430="Yinzhaophai F",175,IF(Atletas!L430="Tongbeiquan F",176,IF(Atletas!L430="Wudangquan F",177,IF(Atletas!L430="Outros Estilos F",178,0))))))))))))))))))))))))))))))))))))))))))</f>
        <v/>
      </c>
      <c r="BN434" s="52" t="str">
        <f>IF(Atletas!M430="","",IF(Atletas!W430&lt;&gt;"",10000,0)+(IF(Atletas!B430="Feminino",1000,IF(Atletas!B430="Masculino",2000,""))+(IF(Atletas!M430="Ditangquan A",201,IF(Atletas!M430="Houquan A",202,IF(Atletas!M430="Zuiquan A",203,IF(Atletas!M430="Ditangquan B",204,IF(Atletas!M430="Houquan B",205,IF(Atletas!M430="Zuiquan B",206,IF(Atletas!M430="Ditangquan C",207,IF(Atletas!M430="Houquan C",208,IF(Atletas!M430="Zuiquan C",209,IF(Atletas!M430="Ditangquan D",210,IF(Atletas!M430="Houquan D",211,IF(Atletas!M430="Zuiquan D",212,IF(Atletas!M430="Ditangquan E",213,IF(Atletas!M430="Houquan E",214,IF(Atletas!M430="Zuiquan E",215,IF(Atletas!M430="Ditangquan F",216,IF(Atletas!M430="Houquan F",217,IF(Atletas!M430="Zuiquan F",218,"")))))))))))))))))))))</f>
        <v/>
      </c>
      <c r="BO434" s="52" t="str">
        <f>IF(Atletas!N430="","",IF(Atletas!W430&lt;&gt;"",10000,0)+IF(Atletas!B430="Feminino",1000,IF(Atletas!B430="Masculino",2000,""))+IF(Atletas!N430="Yang A",301,IF(Atletas!N430="Chen A",30,IF(Atletas!N430="Sun A",303,IF(Atletas!N430="Wu A",304,IF(Atletas!N430="Wu-Hao A",305,IF(Atletas!N430="Outro Taijiquan A",306,IF(Atletas!N430="Yang B",307,IF(Atletas!N430="Chen B",308,IF(Atletas!N430="Sun B",309,IF(Atletas!N430="Wu B",310,IF(Atletas!N430="Wu-Hao B",311,IF(Atletas!N430="Outro Taijiquan B",312,IF(Atletas!N430="Yang C",313,IF(Atletas!N430="Chen C",314,IF(Atletas!N430="Sun C",315,IF(Atletas!N430="Wu C",316,IF(Atletas!N430="Wu-Hao C",317,IF(Atletas!N430="Outro Taijiquan C",318,IF(Atletas!N430="Yang D",319,IF(Atletas!N430="Chen D",320,IF(Atletas!N430="Sun D",321,IF(Atletas!N430="Wu D",322,IF(Atletas!N430="Wu-Hao D",323,IF(Atletas!N430="Outro Taijiquan D",324,IF(Atletas!N430="Yang E",325,IF(Atletas!N430="Chen E",326,IF(Atletas!N430="Sun E",327,IF(Atletas!N430="Wu E",328,IF(Atletas!N430="Wu-Hao E",329,IF(Atletas!N430="Outro Taijiquan E",330,IF(Atletas!N430="Yang F",331,IF(Atletas!N430="Chen F",332,IF(Atletas!N430="Sun F",333,IF(Atletas!N430="Wu F",334,IF(Atletas!N430="Wu-Hao F",335,IF(Atletas!N430="Outro Taijiquan F",336,"")))))))))))))))))))))))))))))))))))))</f>
        <v/>
      </c>
      <c r="BP434" s="52" t="str">
        <f>IF(Atletas!O430="","",IF(Atletas!W430&lt;&gt;"",10000,0)+IF(Atletas!B430="Feminino",1000,IF(Atletas!B430="Masculino",2000,""))+IF(OR(Atletas!O430="Yang 26 A",Atletas!O430="Yang 40 A"),401,IF(OR(Atletas!O430="Chen 25 A",Atletas!O430="Chen 36 A",Atletas!O430="Chen 56 A"),402,IF(Atletas!O430="Sun 73 A",403,IF(Atletas!O430="Wu 45 A",404,IF(Atletas!O430="Wu-Hao 46 A",405,IF(OR(Atletas!O430="Taijiquan 16 A",Atletas!O430="Taijiquan 24 A",Atletas!O430="Taijiquan 32 A",Atletas!O430="Taijiquan 42 A"),406,IF(OR(Atletas!O430="Yang 26 B",Atletas!O430="Yang 40 B"),407,IF(OR(Atletas!O430="Chen 25 B",Atletas!O430="Chen 36 B",Atletas!O430="Chen 56 B"),408,IF(Atletas!O430="Sun 73 B",409,IF(Atletas!O430="Wu 45 B",410,IF(Atletas!O430="Wu-Hao 46 B",411,IF(OR(Atletas!O430="Taijiquan 16 B",Atletas!O430="Taijiquan 24 B",Atletas!O430="Taijiquan 32 B",Atletas!O430="Taijiquan 42 B"),412,IF(OR(Atletas!O430="Yang 26 C",Atletas!O430="Yang 40 C"),413,IF(OR(Atletas!O430="Chen 25 C",Atletas!O430="Chen 36 C",Atletas!O430="Chen 56 C"),414,IF(Atletas!O430="Sun 73 C",415,IF(Atletas!O430="Wu 45 C",416,IF(Atletas!O430="Wu-Hao 46 C",417,IF(OR(Atletas!O430="Taijiquan 16 C",Atletas!O430="Taijiquan 24 C",Atletas!O430="Taijiquan 32 C",Atletas!O430="Taijiquan 42 C"),418,0)))))))))))))))))))</f>
        <v/>
      </c>
      <c r="BQ434" s="52" t="str">
        <f>IF(Atletas!O430="","",IF(Atletas!W430&lt;&gt;"",10000,0)+IF(Atletas!B430="Feminino",1000,IF(Atletas!B430="Masculino",2000,""))+IF(OR(Atletas!O430="Yang 26 D",Atletas!O430="Yang 40 D"),419,IF(OR(Atletas!O430="Chen 25 D",Atletas!O430="Chen 36 D",Atletas!O430="Chen 56 D"),420,IF(Atletas!O430="Sun 73 D",421,IF(Atletas!O430="Wu 45 D",422,IF(Atletas!O430="Wu-Hao 46 D",423,IF(OR(Atletas!O430="Taijiquan 16 D",Atletas!O430="Taijiquan 24 D",Atletas!O430="Taijiquan 32 D",Atletas!O430="Taijiquan 42 D"),424,IF(OR(Atletas!O430="Yang 26 E",Atletas!O430="Yang 40 E"),425,IF(OR(Atletas!O430="Chen 25 E",Atletas!O430="Chen 36 E",Atletas!O430="Chen 56 E"),426,IF(Atletas!O430="Sun 73 E",427,IF(Atletas!O430="Wu 45 E",428,IF(Atletas!O430="Wu-Hao 46 E",429,IF(OR(Atletas!O430="Taijiquan 16 E",Atletas!O430="Taijiquan 24 E",Atletas!O430="Taijiquan 32 E",Atletas!O430="Taijiquan 42 E"),430,IF(OR(Atletas!O430="Yang 26 F",Atletas!O430="Yang 40 F"),431,IF(OR(Atletas!O430="Chen 25 F",Atletas!O430="Chen 36 F",Atletas!O430="Chen 56 F"),432,IF(Atletas!O430="Sun 73 F",433,IF(Atletas!O430="Wu 45 F",434,IF(Atletas!O430="Wu-Hao 46 F",435,IF(OR(Atletas!O430="Taijiquan 16 F",Atletas!O430="Taijiquan 24 F",Atletas!O430="Taijiquan 32 F",Atletas!O430="Taijiquan 42 F"),436,0)))))))))))))))))))</f>
        <v/>
      </c>
      <c r="BR434" s="52" t="str">
        <f>IF(Atletas!P430="","",IF(Atletas!W430&lt;&gt;"",10000,0)+IF(Atletas!B430="Feminino",1000,IF(Atletas!B430="Masculino",2000,""))+IF(Atletas!P430="Xingyiquan A",501,IF(Atletas!P430="Baguazhang A",502,IF(Atletas!P430="Outro Estilo Interno A",503,IF(Atletas!P430="Xingyiquan B",504,IF(Atletas!P430="Baguazhang B",505,IF(Atletas!P430="Outro Estilo Interno B",506,IF(Atletas!P430="Xingyiquan C",507,IF(Atletas!P430="Baguazhang C",508,IF(Atletas!P430="Outro Estilo Interno C",509,IF(Atletas!P430="Xingyiquan D",510,IF(Atletas!P430="Baguazhang D",511,IF(Atletas!P430="Outro Estilo Interno D",512,IF(Atletas!P430="Xingyiquan E",513,IF(Atletas!P430="Baguazhang E",514,IF(Atletas!P430="Outro Estilo Interno E",515,IF(Atletas!P430="Xingyiquan F",516,IF(Atletas!P430="Baguazhang F",517,IF(Atletas!P430="Outro Estilo Interno F",518, "")))))))))))))))))))</f>
        <v/>
      </c>
      <c r="BS434" s="52" t="str">
        <f>IF(Atletas!Q430="","",IF(Atletas!W430&lt;&gt;"",10000,0)+IF(Atletas!B430="Feminino",1000,IF(Atletas!B430="Masculino",2000,""))+IF(Atletas!Q430="Dao A",601,IF(Atletas!Q430="Jian A",602,IF(Atletas!Q430="Bishou A",603,IF(Atletas!Q430="Shan A",604,IF(Atletas!Q430="Outra Arma Curta A",605,IF(Atletas!Q430="Dao B",606,IF(Atletas!Q430="Jian B",607,IF(Atletas!Q430="Bishou B",608,IF(Atletas!Q430="Shan B",609,IF(Atletas!Q430="Outra Arma Curta B",610,IF(Atletas!Q430="Dao C",611,IF(Atletas!Q430="Jian C",612,IF(Atletas!Q430="Bishou C",613,IF(Atletas!Q430="Shan C",614,IF(Atletas!Q430="Outra Arma Curta C",615,IF(Atletas!Q430="Dao D",616,IF(Atletas!Q430="Jian D",617,IF(Atletas!Q430="Bishou D",618,IF(Atletas!Q430="Shan D",619,IF(Atletas!Q430="Outra Arma Curta D",620,IF(Atletas!Q430="Dao E",621,IF(Atletas!Q430="Jian E",622,IF(Atletas!Q430="Bishou E",623,IF(Atletas!Q430="Shan E",624,IF(Atletas!Q430="Outra Arma Curta E",625,IF(Atletas!Q430="Dao F",626,IF(Atletas!Q430="Jian F",627,IF(Atletas!Q430="Bishou F",628,IF(Atletas!Q430="Shan F",629,IF(Atletas!Q430="Outra Arma Curta F",630, "")))))))))))))))))))))))))))))))</f>
        <v/>
      </c>
      <c r="BT434" s="52" t="str">
        <f>IF(Atletas!R430="","",IF(Atletas!W430&lt;&gt;"",10000,0)+IF(Atletas!B430="Feminino",1000,IF(Atletas!B430="Masculino",2000,""))+IF(Atletas!R430="Gun A",701,IF(Atletas!R430="Qiang A",702,IF(Atletas!R430="Pudao / Guandao A",703,IF(Atletas!R430="Outra Arma Longa A",704,IF(Atletas!R430="Gun B",705,IF(Atletas!R430="Qiang B",706,IF(Atletas!R430="Pudao / Guandao B",707,IF(Atletas!R430="Outra Arma Longa B",708,IF(Atletas!R430="Gun C",709,IF(Atletas!R430="Qiang C",710,IF(Atletas!R430="Pudao / Guandao C",711,IF(Atletas!R430="Outra Arma Longa C",712,IF(Atletas!R430="Gun D",713,IF(Atletas!R430="Qiang D",714,IF(Atletas!R430="Pudao / Guandao D",715,IF(Atletas!R430="Outra Arma Longa D",716,IF(Atletas!R430="Gun E",717,IF(Atletas!R430="Qiang E",718,IF(Atletas!R430="Pudao / Guandao E",719,IF(Atletas!R430="Outra Arma Longa E",720,IF(Atletas!R430="Gun F",721,IF(Atletas!R430="Qiang F",722,IF(Atletas!R430="Pudao / Guandao F",723,IF(Atletas!R430="Outra Arma Longa F",724,"")))))))))))))))))))))))))</f>
        <v/>
      </c>
      <c r="BU434" s="52" t="str">
        <f>IF(Atletas!S430="","",IF(Atletas!W430&lt;&gt;"",10000,0)+IF(Atletas!B430="Feminino",1000,IF(Atletas!B430="Masculino",2000,""))+IF(Atletas!S430="Arma Dupla A",801,IF(Atletas!S430="Arma Maleável A",802,IF(Atletas!S430="Arma Dupla B",803,IF(Atletas!S430="Arma Maleável B",804,IF(Atletas!S430="Arma Dupla C",805,IF(Atletas!S430="Arma Maleável C",806,IF(Atletas!S430="Arma Dupla D",807,IF(Atletas!S430="Arma Maleável D",808,IF(Atletas!S430="Arma Dupla E",809,IF(Atletas!S430="Arma Maleável E",810,IF(Atletas!S430="Arma Dupla F",811,IF(Atletas!S430="Arma Maleável F",812, "")))))))))))))</f>
        <v/>
      </c>
      <c r="BV434" s="52" t="str">
        <f>IF(Atletas!T430="","",IF(Atletas!W430&lt;&gt;"",10000,0)+IF(Atletas!B430="Feminino",1000,IF(Atletas!B430="Masculino",2000,""))+IF(Atletas!T430="Taijijian Yang A",901,IF(Atletas!T430="Taijijian Chen A",902,IF(Atletas!T430="Taijijian Sun A",903,IF(Atletas!T430="Taijijian Wu A",904,IF(Atletas!T430="Taijijian Wu-Hao A",905,IF(Atletas!T430="Taijijian 32 A",906,IF(Atletas!T430="Taijijian 42 A",907,IF(Atletas!T430="Taijijian Yang B",908,IF(Atletas!T430="Taijijian Chen B",909,IF(Atletas!T430="Taijijian Sun B",910,IF(Atletas!T430="Taijijian Wu B",911,IF(Atletas!T430="Taijijian Wu-Hao B",912,IF(Atletas!T430="Taijijian 32 B",913,IF(Atletas!T430="Taijijian 42 B",914,IF(Atletas!T430="Taijijian Yang C",915,IF(Atletas!T430="Taijijian Chen C",916,IF(Atletas!T430="Taijijian Sun C",917,IF(Atletas!T430="Taijijian Wu C",918,IF(Atletas!T430="Taijijian Wu-Hao C",919,IF(Atletas!T430="Taijijian 32 C",920,IF(Atletas!T430="Taijijian 42 C",921,IF(Atletas!T430="Taijijian Yang D",922,IF(Atletas!T430="Taijijian Chen D",923,IF(Atletas!T430="Taijijian Sun D",924,IF(Atletas!T430="Taijijian Wu D",925,IF(Atletas!T430="Taijijian Wu-Hao D",926,IF(Atletas!T430="Taijijian 32 D",927,IF(Atletas!T430="Taijijian 42 D",928,IF(Atletas!T430="Taijijian Yang E",929,IF(Atletas!T430="Taijijian Chen E",930,IF(Atletas!T430="Taijijian Sun E",931,IF(Atletas!T430="Taijijian Wu E",932,IF(Atletas!T430="Taijijian Wu-Hao E",933,IF(Atletas!T430="Taijijian 32 E",934,IF(Atletas!T430="Taijijian 42 E",935,IF(Atletas!T430="Taijijian Yang F",936,IF(Atletas!T430="Taijijian Chen F",937,IF(Atletas!T430="Taijijian Sun F",938,IF(Atletas!T430="Taijijian Wu F",939,IF(Atletas!T430="Taijijian Wu-Hao F",940,IF(Atletas!T430="Taijijian 32 F",941,IF(Atletas!T430="Taijijian 42 F",942,"")))))))))))))))))))))))))))))))))))))))))))</f>
        <v/>
      </c>
      <c r="BW434" s="52" t="str">
        <f>IF(Atletas!U430="","",IF(Atletas!W430&lt;&gt;"",10000,0)+IF(Atletas!B430="Feminino",1000,IF(Atletas!B430="Masculino",2000,""))+IF(Atletas!T430="Taijijian 42 F",942,IF(Atletas!U430="Taijidao A",943,IF(Atletas!U430="Taijishan A",944,IF(Atletas!U430="Taijiqiang A",945,IF(Atletas!U430="Taijidao B",946,IF(Atletas!U430="Taijishan B",947,IF(Atletas!U430="Taijiqiang B",948,IF(Atletas!U430="Taijidao C",949,IF(Atletas!U430="Taijishan C",950,IF(Atletas!U430="Taijiqiang C",951,IF(Atletas!U430="Taijidao D",952,IF(Atletas!U430="Taijishan D",953,IF(Atletas!U430="Taijiqiang D",954,IF(Atletas!U430="Taijidao E",955,IF(Atletas!U430="Taijishan E",956,IF(Atletas!U430="Taijiqiang E",957,IF(Atletas!U430="Taijidao F",958,IF(Atletas!U430="Taijishan F",959,IF(Atletas!U430="Taijiqiang F",960))))))))))))))))))))</f>
        <v/>
      </c>
      <c r="CF434" s="52" t="str">
        <f xml:space="preserve"> IF(Atletas!V430="","",IF(Atletas!V430="Duilian de Mãos AB - Equipe 1",1,IF(Atletas!V430="Duilian de Mãos AB - Equipe 2",2,IF(Atletas!V430="Duilian de Armas AB - Equipe 1",3,IF(Atletas!V430="Duilian de Armas AB - Equipe 2",4,IF(Atletas!V430="Duilian de Tuishou - Equipe 1",5,IF(Atletas!V430="Duilian de Tuishou - Equipe 2",6,IF(Atletas!V430="Grupo Externo AB - Equipe 1",7,IF(Atletas!V430="Grupo Externo AB - Equipe 2",8,IF(Atletas!V430="Grupo Interno AB - Equipe 1",9,IF(Atletas!V430="Grupo Interno AB - Equipe 2",10,IF(Atletas!V430="Duilian de Mãos CD - Equipe 1",11,IF(Atletas!V430="Duilian de Mãos CD - Equipe 2",12,IF(Atletas!V430="Duilian de Armas CD - Equipe 1",13,IF(Atletas!V430="Duilian de Armas CD - Equipe 2",14,IF(Atletas!V430="Duilian de Tuishou - Equipe 1",15,IF(Atletas!V430="Duilian de Tuishou - Equipe 2",16,IF(Atletas!V430="Grupo Externo CDEF - Equipe 1",17,IF(Atletas!V430="Grupo Externo CDEF - Equipe 2",18,IF(Atletas!V430="Grupo Interno CDEF - Equipe 1",19,IF(Atletas!V430="Grupo Interno CDEF - Equipe 2",20,IF(Atletas!V430="Duilian de Mãos EF - Equipe 1",21,IF(Atletas!V430="Duilian de Mãos EF - Equipe 2",22,IF(Atletas!V430="Duilian de Armas EF - Equipe 1",23,IF(Atletas!V430="Duilian de Armas EF - Equipe 2",24,IF(Atletas!V430="Duilian de Tuishou - Equipe 1",25,IF(Atletas!V430="Duilian de Tuishou - Equipe 2",26,"")))))))))))))))))))))))))))</f>
        <v/>
      </c>
    </row>
    <row r="435" spans="36:84">
      <c r="AJ435" s="46" t="str">
        <f>IF(Atletas!D431="","",IF(Atletas!B431="Feminino",100,IF(Atletas!B431="Masculino",200,""))+(IF(Atletas!D431="Infantil 39kg",1,IF(Atletas!D431="Infantil 42kg",2,IF(Atletas!D431="Infantil 45kg",3,IF(Atletas!D431="Infantil 48kg",4,IF(Atletas!D431="Infantil 52kg",5,IF(Atletas!D431="Infantil 56kg",6,IF(Atletas!D431="Infantil 60kg",7,IF(Atletas!D431="Juvenil 48kg",8,IF(Atletas!D431="Juvenil 52kg",9,IF(Atletas!D431="Juvenil 56kg",10,IF(Atletas!D431="Juvenil 60kg",11,IF(Atletas!D431="Juvenil 65kg",12,IF(Atletas!D431="Juvenil 70kg",13,IF(Atletas!D431="Juvenil 75kg",14,IF(Atletas!D431="Juvenil 80kg",15,IF(Atletas!D431="Adulto 48kg",16,IF(Atletas!D431="Adulto 52kg",17,IF(Atletas!D431="Adulto 56kg",18,IF(Atletas!D431="Adulto 60kg",19,IF(Atletas!D431="Adulto 65kg",20,IF(Atletas!D431="Adulto 70kg",21,IF(Atletas!D431="Adulto 75kg",22,IF(Atletas!D431="Adulto 80kg",23,IF(Atletas!D431="Adulto 85kg",24,IF(Atletas!D431="Adulto 90kg",25,IF(Atletas!D431="Adulto +90kg",26,""))))))))))))))))))))))))))))</f>
        <v/>
      </c>
      <c r="AO435" s="10" t="str">
        <f>IF(Atletas!E431="","",IF(Atletas!B431="Feminino",100,IF(Atletas!B431="Masculino",200,""))+(IF(Atletas!E431="Juvenil 44kg",1,IF(Atletas!E431="Juvenil 48kg",2,IF(Atletas!E431="Juvenil 52kg",3,IF(Atletas!E431="Juvenil 56kg",4,IF(Atletas!E431="Juvenil 60kg",5,IF(Atletas!E431="Juvenil 65kg",6,IF(Atletas!E431="Juvenil 70kg",7,IF(Atletas!E431="Juvenil 75kg",8,IF(Atletas!E431="Juvenil 82kg",9,IF(Atletas!E431="Juvenil 90kg",10,IF(Atletas!E431="Juvenil 100kg",11,IF(Atletas!E431="Adulto 48kg",12,IF(Atletas!E431="Adulto 52kg",13,IF(Atletas!E431="Adulto 56kg",14,IF(Atletas!E431="Adulto 60kg",15,IF(Atletas!E431="Adulto 65kg",16,IF(Atletas!E431="Adulto 70kg",17,IF(Atletas!E431="Adulto 75kg",18,IF(Atletas!E431="Adulto 82kg",19,IF(Atletas!E431="Adulto 90kg",20,IF(Atletas!E431="Adulto 100kg",21,IF(Atletas!E431="Adulto +100kg",22,""))))))))))))))))))))))))</f>
        <v/>
      </c>
      <c r="AT435" s="10" t="str">
        <f>IF(Atletas!F431="","",IF(Atletas!B431="Feminino",100,IF(Atletas!B431="Masculino",200,""))+(IF(Atletas!F431="Adulto 48kg",1,IF(Atletas!F431="Adulto 56kg",2,IF(Atletas!F431="Adulto 65kg",3,IF(Atletas!F431="Adulto 75kg",4,IF(Atletas!F431="Adulto +75kg",5,IF(Atletas!F431="Adulto 52kg",6,IF(Atletas!F431="Adulto 60kg",7,IF(Atletas!F431="Adulto 70kg",8,IF(Atletas!F431="Adulto 80kg",9,IF(Atletas!F431="Adulto 90kg",10,IF(Atletas!F431="Adulto +90kg",11,"")))))))))))))</f>
        <v/>
      </c>
      <c r="AY435" s="46" t="str">
        <f>IF(Atletas!G431="","",IF(Atletas!B431="Feminino",100,IF(Atletas!B431="Masculino",200,""))+(IF(Atletas!G431="Changquan Mirim",1,IF(Atletas!G431="Nanquan Mirim",2,IF(Atletas!G431="Taijiquan Mirim",3,IF(Atletas!G431="Changquan Grupo C",4,IF(Atletas!G431="Nanquan Grupo C",5,IF(Atletas!G431="Taijiquan Grupo C",6,IF(Atletas!G431="Changquan Grupo B",7,IF(Atletas!G431="Nanquan Grupo B",8,IF(Atletas!G431="Taijiquan Grupo B",9,IF(Atletas!G431="Changquan Grupo A",10,IF(Atletas!G431="Nanquan Grupo A",11,IF(Atletas!G431="Taijiquan Grupo A",12,IF(Atletas!G431="Changquan Opcional",13,IF(Atletas!G431="Nanquan Opcional",14,IF(Atletas!G431="Taijiquan Opcional",15,IF(Atletas!G431="Changquan Adulto",16,IF(Atletas!G431="Nanquan Adulto",17,IF(Atletas!G431="Taijiquan Adulto",18,""))))))))))))))))))))</f>
        <v/>
      </c>
      <c r="AZ435" s="46" t="str">
        <f>IF(Atletas!H431="","",IF(Atletas!B431="Feminino",100,IF(Atletas!B431="Masculino",200,""))+(IF(Atletas!H431="Daoshu Mirim",19,IF(Atletas!H431="Jianshu Mirim",20,IF(Atletas!H431="Nandao Mirim",21,IF(Atletas!H431="Taijijian Mirim",22,IF(Atletas!H431="Daoshu Grupo C",23,IF(Atletas!H431="Jianshu Grupo C",24,IF(Atletas!H431="Nandao Grupo C",25,IF(Atletas!H431="Taijijian Grupo C",26,IF(Atletas!H431="Daoshu Grupo B",27,IF(Atletas!H431="Jianshu Grupo B",28,IF(Atletas!H431="Nandao Grupo B",29,IF(Atletas!H431="Taijijian Grupo B",30,IF(Atletas!H431="Daoshu Grupo A",31,IF(Atletas!H431="Jianshu Grupo A",32,IF(Atletas!H431="Nandao Grupo A",33,IF(Atletas!H431="Taijijian Grupo A",34,IF(Atletas!H431="Daoshu Opcional",35,IF(Atletas!H431="Jianshu Opcional",36,IF(Atletas!H431="Nandao Opcional",37,IF(Atletas!H431="Taijijian Opcional",38,IF(Atletas!H431="Daoshu Adulto",39,IF(Atletas!H431="Jianshu Adulto",40,IF(Atletas!H431="Nandao Adulto",41,IF(Atletas!H431="Taijijian Adulto",42,""))))))))))))))))))))))))))</f>
        <v/>
      </c>
      <c r="BA435" s="46" t="str">
        <f>IF(Atletas!I431="","",IF(Atletas!B431="Feminino",100,IF(Atletas!B431="Masculino",200,""))+(IF(Atletas!I431="Gunshu Mirim",43,IF(Atletas!I431="Qiangshu Mirim",44,IF(Atletas!I431="Nangun Mirim",45,IF(Atletas!I431="Gunshu Grupo C",46,IF(Atletas!I431="Qiangshu Grupo C",47,IF(Atletas!I431="Nangun Grupo C",48,IF(Atletas!I431="Gunshu Grupo B",49,IF(Atletas!I431="Qiangshu Grupo B",50,IF(Atletas!I431="Nangun Grupo B",51,IF(Atletas!I431="Gunshu Grupo A",52,IF(Atletas!I431="Qiangshu Grupo A",53,IF(Atletas!I431="Nangun Grupo A",54,IF(Atletas!I431="Gunshu Opcional",55,IF(Atletas!I431="Qiangshu Opcional",56,IF(Atletas!I431="Nangun Opcional",57,IF(Atletas!I431="Gunshu Adulto",58,IF(Atletas!I431="Qiangshu Adulto",59,IF(Atletas!I431="Nangun Adulto",60,""))))))))))))))))))))</f>
        <v/>
      </c>
      <c r="BF435" s="52" t="str">
        <f>IF(Atletas!J431="","",IF(Atletas!B431="Feminino",100,IF(Atletas!B431="Masculino",200,""))+(IF(Atletas!J431="Equipe 1 Grupo B",1,IF(Atletas!J431="Equipe 2 Grupo B",2,IF(Atletas!J431="Equipe 1 Grupo A",3,IF(Atletas!J431="Equipe 2 Grupo A",4,IF(Atletas!J431="Equipe 1 Adulto",5,IF(Atletas!J431="Equipe 2 Adulto",6,""))))))))</f>
        <v/>
      </c>
      <c r="BK435" s="52" t="str">
        <f>IF(Atletas!K431="","",IF(Atletas!W431&lt;&gt;"",10000,0)+(IF(Atletas!B431="Feminino",1000,IF(Atletas!B431="Masculino",2000,""))+IF(Atletas!K431="Choylayfut A",1,IF(Atletas!K431="Hunggar A",2,IF(Atletas!K431="Wuzuquan A",3,IF(Atletas!K431="Wingchun A",4,IF(Atletas!K431="Outra Mão de Sul A",5,IF(Atletas!K431="Choylayfut B",6,IF(Atletas!K431="Hunggar B",7,IF(Atletas!K431="Wuzuquan B",8,IF(Atletas!K431="Wingchun B",9,IF(Atletas!K431="Outra Mão de Sul B",10,IF(Atletas!K431="Choylayfut C",11,IF(Atletas!K431="Hunggar C",12,IF(Atletas!K431="Wuzuquan C",13,IF(Atletas!K431="Wingchun C",14,IF(Atletas!K431="Outra Mão de Sul C",15,IF(Atletas!K431="Choylayfut D",16,IF(Atletas!K431="Hunggar D",17,IF(Atletas!K431="Wuzuquan D",18,IF(Atletas!K431="Wingchun D",19,IF(Atletas!K431="Outra Mão de Sul D",20,IF(Atletas!K431="Choylayfut E",21,IF(Atletas!K431="Hunggar E",22,IF(Atletas!K431="Wuzuquan E",23,IF(Atletas!K431="Wingchun E",24,IF(Atletas!K431="Outra Mão de Sul E",25,IF(Atletas!K431="Choylayfut F",26,IF(Atletas!K431="Hunggar F",27,IF(Atletas!K431="Wuzuquan F",28,IF(Atletas!K431="Wingchun F",29,IF(Atletas!K431="Outra Mão de Sul F",30,""))))))))))))))))))))))))))))))))</f>
        <v/>
      </c>
      <c r="BL435" s="52" t="str">
        <f>IF(Atletas!L431="","",IF(Atletas!W431&lt;&gt;"",10000,0)+(IF(Atletas!B431="Feminino",1000,IF(Atletas!B431="Masculino",2000,""))+(IF(Atletas!L431="Chaquan A",101,IF(Atletas!L431="Emeiquan A",102,IF(Atletas!L431="Fanziquan A",103,IF(Atletas!L431="Huaquan A",104,IF(Atletas!L431="Hongquan A",105,IF(Atletas!L431="Paochui A",106,IF(Atletas!L431="Piguaquan A",107,IF(Atletas!L431="Shaolinquan A",108,IF(Atletas!L431="Tanglangquan A",109,IF(Atletas!L431="Yinzhaophai A",110,IF(Atletas!L431="Tongbeiquan A",111,IF(Atletas!L431="Wudangquan A",112,IF(Atletas!L431="Outros Estilos A",113,IF(Atletas!L431="Chaquan B",114,IF(Atletas!L431="Emeiquan B",115,IF(Atletas!L431="Fanziquan B",116,IF(Atletas!L431="Huaquan B",117,IF(Atletas!L431="Hongquan B",118,IF(Atletas!L431="Paochui B",119,IF(Atletas!L431="Piguaquan B",120,IF(Atletas!L431="Shaolinquan B",121,IF(Atletas!L431="Tanglangquan B",122,IF(Atletas!L431="Yinzhaophai B",123,IF(Atletas!L431="Tongbeiquan B",124,IF(Atletas!L431="Wudangquan B",125,IF(Atletas!L431="Outros Estilos B",126,IF(Atletas!L431="Chaquan C",127,IF(Atletas!L431="Emeiquan C",128,IF(Atletas!L431="Fanziquan C",129,IF(Atletas!L431="Huaquan C",130,IF(Atletas!L431="Hongquan C",131,IF(Atletas!L431="Paochui C",132,IF(Atletas!L431="Piguaquan C",133,IF(Atletas!L431="Shaolinquan C",134,IF(Atletas!L431="Tanglangquan C",135,IF(Atletas!L431="Yinzhaophai C",136,IF(Atletas!L431="Tongbeiquan C",137,IF(Atletas!L431="Wudangquan C",138,IF(Atletas!L431="Outros Estilos C",139,0))))))))))))))))))))))))))))))))))))))))))</f>
        <v/>
      </c>
      <c r="BM435" s="52" t="str">
        <f>IF(Atletas!L431="","",IF(Atletas!W431&lt;&gt;"",10000,0)+(IF(Atletas!B431="Feminino",1000,IF(Atletas!B431="Masculino",2000,""))+(IF(Atletas!L431="Chaquan D",140,IF(Atletas!L431="Emeiquan D",141,IF(Atletas!L431="Fanziquan D",142,IF(Atletas!L431="Huaquan D",143,IF(Atletas!L431="Hongquan D",144,IF(Atletas!L431="Paochui D",145,IF(Atletas!L431="Piguaquan D",146,IF(Atletas!L431="Shaolinquan D",147,IF(Atletas!L431="Tanglangquan D",148,IF(Atletas!L431="Yinzhaophai D",149,IF(Atletas!L431="Tongbeiquan D",150,IF(Atletas!L431="Wudangquan D",151,IF(Atletas!L431="Outros Estilos D",152,IF(Atletas!L431="Chaquan E",153,IF(Atletas!L431="Emeiquan E",154,IF(Atletas!L431="Fanziquan E",155,IF(Atletas!L431="Huaquan E",156,IF(Atletas!L431="Hongquan E",157,IF(Atletas!L431="Paochui E",158,IF(Atletas!L431="Piguaquan E",159,IF(Atletas!L431="Shaolinquan E",160,IF(Atletas!L431="Tanglangquan E",161,IF(Atletas!L431="Yinzhaophai E",162,IF(Atletas!L431="Tongbeiquan E",163,IF(Atletas!L431="Wudangquan E",164,IF(Atletas!L431="Outros Estilos E",165,IF(Atletas!L431="Chaquan F",166,IF(Atletas!L431="Emeiquan F",167,IF(Atletas!L431="Fanziquan F",168,IF(Atletas!L431="Huaquan F",169,IF(Atletas!L431="Hongquan F",170,IF(Atletas!L431="Paochui F",171,IF(Atletas!L431="Piguaquan F",172,IF(Atletas!L431="Shaolinquan F",173,IF(Atletas!L431="Tanglangquan F",174,IF(Atletas!L431="Yinzhaophai F",175,IF(Atletas!L431="Tongbeiquan F",176,IF(Atletas!L431="Wudangquan F",177,IF(Atletas!L431="Outros Estilos F",178,0))))))))))))))))))))))))))))))))))))))))))</f>
        <v/>
      </c>
      <c r="BN435" s="52" t="str">
        <f>IF(Atletas!M431="","",IF(Atletas!W431&lt;&gt;"",10000,0)+(IF(Atletas!B431="Feminino",1000,IF(Atletas!B431="Masculino",2000,""))+(IF(Atletas!M431="Ditangquan A",201,IF(Atletas!M431="Houquan A",202,IF(Atletas!M431="Zuiquan A",203,IF(Atletas!M431="Ditangquan B",204,IF(Atletas!M431="Houquan B",205,IF(Atletas!M431="Zuiquan B",206,IF(Atletas!M431="Ditangquan C",207,IF(Atletas!M431="Houquan C",208,IF(Atletas!M431="Zuiquan C",209,IF(Atletas!M431="Ditangquan D",210,IF(Atletas!M431="Houquan D",211,IF(Atletas!M431="Zuiquan D",212,IF(Atletas!M431="Ditangquan E",213,IF(Atletas!M431="Houquan E",214,IF(Atletas!M431="Zuiquan E",215,IF(Atletas!M431="Ditangquan F",216,IF(Atletas!M431="Houquan F",217,IF(Atletas!M431="Zuiquan F",218,"")))))))))))))))))))))</f>
        <v/>
      </c>
      <c r="BO435" s="52" t="str">
        <f>IF(Atletas!N431="","",IF(Atletas!W431&lt;&gt;"",10000,0)+IF(Atletas!B431="Feminino",1000,IF(Atletas!B431="Masculino",2000,""))+IF(Atletas!N431="Yang A",301,IF(Atletas!N431="Chen A",30,IF(Atletas!N431="Sun A",303,IF(Atletas!N431="Wu A",304,IF(Atletas!N431="Wu-Hao A",305,IF(Atletas!N431="Outro Taijiquan A",306,IF(Atletas!N431="Yang B",307,IF(Atletas!N431="Chen B",308,IF(Atletas!N431="Sun B",309,IF(Atletas!N431="Wu B",310,IF(Atletas!N431="Wu-Hao B",311,IF(Atletas!N431="Outro Taijiquan B",312,IF(Atletas!N431="Yang C",313,IF(Atletas!N431="Chen C",314,IF(Atletas!N431="Sun C",315,IF(Atletas!N431="Wu C",316,IF(Atletas!N431="Wu-Hao C",317,IF(Atletas!N431="Outro Taijiquan C",318,IF(Atletas!N431="Yang D",319,IF(Atletas!N431="Chen D",320,IF(Atletas!N431="Sun D",321,IF(Atletas!N431="Wu D",322,IF(Atletas!N431="Wu-Hao D",323,IF(Atletas!N431="Outro Taijiquan D",324,IF(Atletas!N431="Yang E",325,IF(Atletas!N431="Chen E",326,IF(Atletas!N431="Sun E",327,IF(Atletas!N431="Wu E",328,IF(Atletas!N431="Wu-Hao E",329,IF(Atletas!N431="Outro Taijiquan E",330,IF(Atletas!N431="Yang F",331,IF(Atletas!N431="Chen F",332,IF(Atletas!N431="Sun F",333,IF(Atletas!N431="Wu F",334,IF(Atletas!N431="Wu-Hao F",335,IF(Atletas!N431="Outro Taijiquan F",336,"")))))))))))))))))))))))))))))))))))))</f>
        <v/>
      </c>
      <c r="BP435" s="52" t="str">
        <f>IF(Atletas!O431="","",IF(Atletas!W431&lt;&gt;"",10000,0)+IF(Atletas!B431="Feminino",1000,IF(Atletas!B431="Masculino",2000,""))+IF(OR(Atletas!O431="Yang 26 A",Atletas!O431="Yang 40 A"),401,IF(OR(Atletas!O431="Chen 25 A",Atletas!O431="Chen 36 A",Atletas!O431="Chen 56 A"),402,IF(Atletas!O431="Sun 73 A",403,IF(Atletas!O431="Wu 45 A",404,IF(Atletas!O431="Wu-Hao 46 A",405,IF(OR(Atletas!O431="Taijiquan 16 A",Atletas!O431="Taijiquan 24 A",Atletas!O431="Taijiquan 32 A",Atletas!O431="Taijiquan 42 A"),406,IF(OR(Atletas!O431="Yang 26 B",Atletas!O431="Yang 40 B"),407,IF(OR(Atletas!O431="Chen 25 B",Atletas!O431="Chen 36 B",Atletas!O431="Chen 56 B"),408,IF(Atletas!O431="Sun 73 B",409,IF(Atletas!O431="Wu 45 B",410,IF(Atletas!O431="Wu-Hao 46 B",411,IF(OR(Atletas!O431="Taijiquan 16 B",Atletas!O431="Taijiquan 24 B",Atletas!O431="Taijiquan 32 B",Atletas!O431="Taijiquan 42 B"),412,IF(OR(Atletas!O431="Yang 26 C",Atletas!O431="Yang 40 C"),413,IF(OR(Atletas!O431="Chen 25 C",Atletas!O431="Chen 36 C",Atletas!O431="Chen 56 C"),414,IF(Atletas!O431="Sun 73 C",415,IF(Atletas!O431="Wu 45 C",416,IF(Atletas!O431="Wu-Hao 46 C",417,IF(OR(Atletas!O431="Taijiquan 16 C",Atletas!O431="Taijiquan 24 C",Atletas!O431="Taijiquan 32 C",Atletas!O431="Taijiquan 42 C"),418,0)))))))))))))))))))</f>
        <v/>
      </c>
      <c r="BQ435" s="52" t="str">
        <f>IF(Atletas!O431="","",IF(Atletas!W431&lt;&gt;"",10000,0)+IF(Atletas!B431="Feminino",1000,IF(Atletas!B431="Masculino",2000,""))+IF(OR(Atletas!O431="Yang 26 D",Atletas!O431="Yang 40 D"),419,IF(OR(Atletas!O431="Chen 25 D",Atletas!O431="Chen 36 D",Atletas!O431="Chen 56 D"),420,IF(Atletas!O431="Sun 73 D",421,IF(Atletas!O431="Wu 45 D",422,IF(Atletas!O431="Wu-Hao 46 D",423,IF(OR(Atletas!O431="Taijiquan 16 D",Atletas!O431="Taijiquan 24 D",Atletas!O431="Taijiquan 32 D",Atletas!O431="Taijiquan 42 D"),424,IF(OR(Atletas!O431="Yang 26 E",Atletas!O431="Yang 40 E"),425,IF(OR(Atletas!O431="Chen 25 E",Atletas!O431="Chen 36 E",Atletas!O431="Chen 56 E"),426,IF(Atletas!O431="Sun 73 E",427,IF(Atletas!O431="Wu 45 E",428,IF(Atletas!O431="Wu-Hao 46 E",429,IF(OR(Atletas!O431="Taijiquan 16 E",Atletas!O431="Taijiquan 24 E",Atletas!O431="Taijiquan 32 E",Atletas!O431="Taijiquan 42 E"),430,IF(OR(Atletas!O431="Yang 26 F",Atletas!O431="Yang 40 F"),431,IF(OR(Atletas!O431="Chen 25 F",Atletas!O431="Chen 36 F",Atletas!O431="Chen 56 F"),432,IF(Atletas!O431="Sun 73 F",433,IF(Atletas!O431="Wu 45 F",434,IF(Atletas!O431="Wu-Hao 46 F",435,IF(OR(Atletas!O431="Taijiquan 16 F",Atletas!O431="Taijiquan 24 F",Atletas!O431="Taijiquan 32 F",Atletas!O431="Taijiquan 42 F"),436,0)))))))))))))))))))</f>
        <v/>
      </c>
      <c r="BR435" s="52" t="str">
        <f>IF(Atletas!P431="","",IF(Atletas!W431&lt;&gt;"",10000,0)+IF(Atletas!B431="Feminino",1000,IF(Atletas!B431="Masculino",2000,""))+IF(Atletas!P431="Xingyiquan A",501,IF(Atletas!P431="Baguazhang A",502,IF(Atletas!P431="Outro Estilo Interno A",503,IF(Atletas!P431="Xingyiquan B",504,IF(Atletas!P431="Baguazhang B",505,IF(Atletas!P431="Outro Estilo Interno B",506,IF(Atletas!P431="Xingyiquan C",507,IF(Atletas!P431="Baguazhang C",508,IF(Atletas!P431="Outro Estilo Interno C",509,IF(Atletas!P431="Xingyiquan D",510,IF(Atletas!P431="Baguazhang D",511,IF(Atletas!P431="Outro Estilo Interno D",512,IF(Atletas!P431="Xingyiquan E",513,IF(Atletas!P431="Baguazhang E",514,IF(Atletas!P431="Outro Estilo Interno E",515,IF(Atletas!P431="Xingyiquan F",516,IF(Atletas!P431="Baguazhang F",517,IF(Atletas!P431="Outro Estilo Interno F",518, "")))))))))))))))))))</f>
        <v/>
      </c>
      <c r="BS435" s="52" t="str">
        <f>IF(Atletas!Q431="","",IF(Atletas!W431&lt;&gt;"",10000,0)+IF(Atletas!B431="Feminino",1000,IF(Atletas!B431="Masculino",2000,""))+IF(Atletas!Q431="Dao A",601,IF(Atletas!Q431="Jian A",602,IF(Atletas!Q431="Bishou A",603,IF(Atletas!Q431="Shan A",604,IF(Atletas!Q431="Outra Arma Curta A",605,IF(Atletas!Q431="Dao B",606,IF(Atletas!Q431="Jian B",607,IF(Atletas!Q431="Bishou B",608,IF(Atletas!Q431="Shan B",609,IF(Atletas!Q431="Outra Arma Curta B",610,IF(Atletas!Q431="Dao C",611,IF(Atletas!Q431="Jian C",612,IF(Atletas!Q431="Bishou C",613,IF(Atletas!Q431="Shan C",614,IF(Atletas!Q431="Outra Arma Curta C",615,IF(Atletas!Q431="Dao D",616,IF(Atletas!Q431="Jian D",617,IF(Atletas!Q431="Bishou D",618,IF(Atletas!Q431="Shan D",619,IF(Atletas!Q431="Outra Arma Curta D",620,IF(Atletas!Q431="Dao E",621,IF(Atletas!Q431="Jian E",622,IF(Atletas!Q431="Bishou E",623,IF(Atletas!Q431="Shan E",624,IF(Atletas!Q431="Outra Arma Curta E",625,IF(Atletas!Q431="Dao F",626,IF(Atletas!Q431="Jian F",627,IF(Atletas!Q431="Bishou F",628,IF(Atletas!Q431="Shan F",629,IF(Atletas!Q431="Outra Arma Curta F",630, "")))))))))))))))))))))))))))))))</f>
        <v/>
      </c>
      <c r="BT435" s="52" t="str">
        <f>IF(Atletas!R431="","",IF(Atletas!W431&lt;&gt;"",10000,0)+IF(Atletas!B431="Feminino",1000,IF(Atletas!B431="Masculino",2000,""))+IF(Atletas!R431="Gun A",701,IF(Atletas!R431="Qiang A",702,IF(Atletas!R431="Pudao / Guandao A",703,IF(Atletas!R431="Outra Arma Longa A",704,IF(Atletas!R431="Gun B",705,IF(Atletas!R431="Qiang B",706,IF(Atletas!R431="Pudao / Guandao B",707,IF(Atletas!R431="Outra Arma Longa B",708,IF(Atletas!R431="Gun C",709,IF(Atletas!R431="Qiang C",710,IF(Atletas!R431="Pudao / Guandao C",711,IF(Atletas!R431="Outra Arma Longa C",712,IF(Atletas!R431="Gun D",713,IF(Atletas!R431="Qiang D",714,IF(Atletas!R431="Pudao / Guandao D",715,IF(Atletas!R431="Outra Arma Longa D",716,IF(Atletas!R431="Gun E",717,IF(Atletas!R431="Qiang E",718,IF(Atletas!R431="Pudao / Guandao E",719,IF(Atletas!R431="Outra Arma Longa E",720,IF(Atletas!R431="Gun F",721,IF(Atletas!R431="Qiang F",722,IF(Atletas!R431="Pudao / Guandao F",723,IF(Atletas!R431="Outra Arma Longa F",724,"")))))))))))))))))))))))))</f>
        <v/>
      </c>
      <c r="BU435" s="52" t="str">
        <f>IF(Atletas!S431="","",IF(Atletas!W431&lt;&gt;"",10000,0)+IF(Atletas!B431="Feminino",1000,IF(Atletas!B431="Masculino",2000,""))+IF(Atletas!S431="Arma Dupla A",801,IF(Atletas!S431="Arma Maleável A",802,IF(Atletas!S431="Arma Dupla B",803,IF(Atletas!S431="Arma Maleável B",804,IF(Atletas!S431="Arma Dupla C",805,IF(Atletas!S431="Arma Maleável C",806,IF(Atletas!S431="Arma Dupla D",807,IF(Atletas!S431="Arma Maleável D",808,IF(Atletas!S431="Arma Dupla E",809,IF(Atletas!S431="Arma Maleável E",810,IF(Atletas!S431="Arma Dupla F",811,IF(Atletas!S431="Arma Maleável F",812, "")))))))))))))</f>
        <v/>
      </c>
      <c r="BV435" s="52" t="str">
        <f>IF(Atletas!T431="","",IF(Atletas!W431&lt;&gt;"",10000,0)+IF(Atletas!B431="Feminino",1000,IF(Atletas!B431="Masculino",2000,""))+IF(Atletas!T431="Taijijian Yang A",901,IF(Atletas!T431="Taijijian Chen A",902,IF(Atletas!T431="Taijijian Sun A",903,IF(Atletas!T431="Taijijian Wu A",904,IF(Atletas!T431="Taijijian Wu-Hao A",905,IF(Atletas!T431="Taijijian 32 A",906,IF(Atletas!T431="Taijijian 42 A",907,IF(Atletas!T431="Taijijian Yang B",908,IF(Atletas!T431="Taijijian Chen B",909,IF(Atletas!T431="Taijijian Sun B",910,IF(Atletas!T431="Taijijian Wu B",911,IF(Atletas!T431="Taijijian Wu-Hao B",912,IF(Atletas!T431="Taijijian 32 B",913,IF(Atletas!T431="Taijijian 42 B",914,IF(Atletas!T431="Taijijian Yang C",915,IF(Atletas!T431="Taijijian Chen C",916,IF(Atletas!T431="Taijijian Sun C",917,IF(Atletas!T431="Taijijian Wu C",918,IF(Atletas!T431="Taijijian Wu-Hao C",919,IF(Atletas!T431="Taijijian 32 C",920,IF(Atletas!T431="Taijijian 42 C",921,IF(Atletas!T431="Taijijian Yang D",922,IF(Atletas!T431="Taijijian Chen D",923,IF(Atletas!T431="Taijijian Sun D",924,IF(Atletas!T431="Taijijian Wu D",925,IF(Atletas!T431="Taijijian Wu-Hao D",926,IF(Atletas!T431="Taijijian 32 D",927,IF(Atletas!T431="Taijijian 42 D",928,IF(Atletas!T431="Taijijian Yang E",929,IF(Atletas!T431="Taijijian Chen E",930,IF(Atletas!T431="Taijijian Sun E",931,IF(Atletas!T431="Taijijian Wu E",932,IF(Atletas!T431="Taijijian Wu-Hao E",933,IF(Atletas!T431="Taijijian 32 E",934,IF(Atletas!T431="Taijijian 42 E",935,IF(Atletas!T431="Taijijian Yang F",936,IF(Atletas!T431="Taijijian Chen F",937,IF(Atletas!T431="Taijijian Sun F",938,IF(Atletas!T431="Taijijian Wu F",939,IF(Atletas!T431="Taijijian Wu-Hao F",940,IF(Atletas!T431="Taijijian 32 F",941,IF(Atletas!T431="Taijijian 42 F",942,"")))))))))))))))))))))))))))))))))))))))))))</f>
        <v/>
      </c>
      <c r="BW435" s="52" t="str">
        <f>IF(Atletas!U431="","",IF(Atletas!W431&lt;&gt;"",10000,0)+IF(Atletas!B431="Feminino",1000,IF(Atletas!B431="Masculino",2000,""))+IF(Atletas!T431="Taijijian 42 F",942,IF(Atletas!U431="Taijidao A",943,IF(Atletas!U431="Taijishan A",944,IF(Atletas!U431="Taijiqiang A",945,IF(Atletas!U431="Taijidao B",946,IF(Atletas!U431="Taijishan B",947,IF(Atletas!U431="Taijiqiang B",948,IF(Atletas!U431="Taijidao C",949,IF(Atletas!U431="Taijishan C",950,IF(Atletas!U431="Taijiqiang C",951,IF(Atletas!U431="Taijidao D",952,IF(Atletas!U431="Taijishan D",953,IF(Atletas!U431="Taijiqiang D",954,IF(Atletas!U431="Taijidao E",955,IF(Atletas!U431="Taijishan E",956,IF(Atletas!U431="Taijiqiang E",957,IF(Atletas!U431="Taijidao F",958,IF(Atletas!U431="Taijishan F",959,IF(Atletas!U431="Taijiqiang F",960))))))))))))))))))))</f>
        <v/>
      </c>
      <c r="CF435" s="52" t="str">
        <f xml:space="preserve"> IF(Atletas!V431="","",IF(Atletas!V431="Duilian de Mãos AB - Equipe 1",1,IF(Atletas!V431="Duilian de Mãos AB - Equipe 2",2,IF(Atletas!V431="Duilian de Armas AB - Equipe 1",3,IF(Atletas!V431="Duilian de Armas AB - Equipe 2",4,IF(Atletas!V431="Duilian de Tuishou - Equipe 1",5,IF(Atletas!V431="Duilian de Tuishou - Equipe 2",6,IF(Atletas!V431="Grupo Externo AB - Equipe 1",7,IF(Atletas!V431="Grupo Externo AB - Equipe 2",8,IF(Atletas!V431="Grupo Interno AB - Equipe 1",9,IF(Atletas!V431="Grupo Interno AB - Equipe 2",10,IF(Atletas!V431="Duilian de Mãos CD - Equipe 1",11,IF(Atletas!V431="Duilian de Mãos CD - Equipe 2",12,IF(Atletas!V431="Duilian de Armas CD - Equipe 1",13,IF(Atletas!V431="Duilian de Armas CD - Equipe 2",14,IF(Atletas!V431="Duilian de Tuishou - Equipe 1",15,IF(Atletas!V431="Duilian de Tuishou - Equipe 2",16,IF(Atletas!V431="Grupo Externo CDEF - Equipe 1",17,IF(Atletas!V431="Grupo Externo CDEF - Equipe 2",18,IF(Atletas!V431="Grupo Interno CDEF - Equipe 1",19,IF(Atletas!V431="Grupo Interno CDEF - Equipe 2",20,IF(Atletas!V431="Duilian de Mãos EF - Equipe 1",21,IF(Atletas!V431="Duilian de Mãos EF - Equipe 2",22,IF(Atletas!V431="Duilian de Armas EF - Equipe 1",23,IF(Atletas!V431="Duilian de Armas EF - Equipe 2",24,IF(Atletas!V431="Duilian de Tuishou - Equipe 1",25,IF(Atletas!V431="Duilian de Tuishou - Equipe 2",26,"")))))))))))))))))))))))))))</f>
        <v/>
      </c>
    </row>
    <row r="436" spans="36:84">
      <c r="AJ436" s="46" t="str">
        <f>IF(Atletas!D432="","",IF(Atletas!B432="Feminino",100,IF(Atletas!B432="Masculino",200,""))+(IF(Atletas!D432="Infantil 39kg",1,IF(Atletas!D432="Infantil 42kg",2,IF(Atletas!D432="Infantil 45kg",3,IF(Atletas!D432="Infantil 48kg",4,IF(Atletas!D432="Infantil 52kg",5,IF(Atletas!D432="Infantil 56kg",6,IF(Atletas!D432="Infantil 60kg",7,IF(Atletas!D432="Juvenil 48kg",8,IF(Atletas!D432="Juvenil 52kg",9,IF(Atletas!D432="Juvenil 56kg",10,IF(Atletas!D432="Juvenil 60kg",11,IF(Atletas!D432="Juvenil 65kg",12,IF(Atletas!D432="Juvenil 70kg",13,IF(Atletas!D432="Juvenil 75kg",14,IF(Atletas!D432="Juvenil 80kg",15,IF(Atletas!D432="Adulto 48kg",16,IF(Atletas!D432="Adulto 52kg",17,IF(Atletas!D432="Adulto 56kg",18,IF(Atletas!D432="Adulto 60kg",19,IF(Atletas!D432="Adulto 65kg",20,IF(Atletas!D432="Adulto 70kg",21,IF(Atletas!D432="Adulto 75kg",22,IF(Atletas!D432="Adulto 80kg",23,IF(Atletas!D432="Adulto 85kg",24,IF(Atletas!D432="Adulto 90kg",25,IF(Atletas!D432="Adulto +90kg",26,""))))))))))))))))))))))))))))</f>
        <v/>
      </c>
      <c r="AO436" s="10" t="str">
        <f>IF(Atletas!E432="","",IF(Atletas!B432="Feminino",100,IF(Atletas!B432="Masculino",200,""))+(IF(Atletas!E432="Juvenil 44kg",1,IF(Atletas!E432="Juvenil 48kg",2,IF(Atletas!E432="Juvenil 52kg",3,IF(Atletas!E432="Juvenil 56kg",4,IF(Atletas!E432="Juvenil 60kg",5,IF(Atletas!E432="Juvenil 65kg",6,IF(Atletas!E432="Juvenil 70kg",7,IF(Atletas!E432="Juvenil 75kg",8,IF(Atletas!E432="Juvenil 82kg",9,IF(Atletas!E432="Juvenil 90kg",10,IF(Atletas!E432="Juvenil 100kg",11,IF(Atletas!E432="Adulto 48kg",12,IF(Atletas!E432="Adulto 52kg",13,IF(Atletas!E432="Adulto 56kg",14,IF(Atletas!E432="Adulto 60kg",15,IF(Atletas!E432="Adulto 65kg",16,IF(Atletas!E432="Adulto 70kg",17,IF(Atletas!E432="Adulto 75kg",18,IF(Atletas!E432="Adulto 82kg",19,IF(Atletas!E432="Adulto 90kg",20,IF(Atletas!E432="Adulto 100kg",21,IF(Atletas!E432="Adulto +100kg",22,""))))))))))))))))))))))))</f>
        <v/>
      </c>
      <c r="AT436" s="10" t="str">
        <f>IF(Atletas!F432="","",IF(Atletas!B432="Feminino",100,IF(Atletas!B432="Masculino",200,""))+(IF(Atletas!F432="Adulto 48kg",1,IF(Atletas!F432="Adulto 56kg",2,IF(Atletas!F432="Adulto 65kg",3,IF(Atletas!F432="Adulto 75kg",4,IF(Atletas!F432="Adulto +75kg",5,IF(Atletas!F432="Adulto 52kg",6,IF(Atletas!F432="Adulto 60kg",7,IF(Atletas!F432="Adulto 70kg",8,IF(Atletas!F432="Adulto 80kg",9,IF(Atletas!F432="Adulto 90kg",10,IF(Atletas!F432="Adulto +90kg",11,"")))))))))))))</f>
        <v/>
      </c>
      <c r="AY436" s="46" t="str">
        <f>IF(Atletas!G432="","",IF(Atletas!B432="Feminino",100,IF(Atletas!B432="Masculino",200,""))+(IF(Atletas!G432="Changquan Mirim",1,IF(Atletas!G432="Nanquan Mirim",2,IF(Atletas!G432="Taijiquan Mirim",3,IF(Atletas!G432="Changquan Grupo C",4,IF(Atletas!G432="Nanquan Grupo C",5,IF(Atletas!G432="Taijiquan Grupo C",6,IF(Atletas!G432="Changquan Grupo B",7,IF(Atletas!G432="Nanquan Grupo B",8,IF(Atletas!G432="Taijiquan Grupo B",9,IF(Atletas!G432="Changquan Grupo A",10,IF(Atletas!G432="Nanquan Grupo A",11,IF(Atletas!G432="Taijiquan Grupo A",12,IF(Atletas!G432="Changquan Opcional",13,IF(Atletas!G432="Nanquan Opcional",14,IF(Atletas!G432="Taijiquan Opcional",15,IF(Atletas!G432="Changquan Adulto",16,IF(Atletas!G432="Nanquan Adulto",17,IF(Atletas!G432="Taijiquan Adulto",18,""))))))))))))))))))))</f>
        <v/>
      </c>
      <c r="AZ436" s="46" t="str">
        <f>IF(Atletas!H432="","",IF(Atletas!B432="Feminino",100,IF(Atletas!B432="Masculino",200,""))+(IF(Atletas!H432="Daoshu Mirim",19,IF(Atletas!H432="Jianshu Mirim",20,IF(Atletas!H432="Nandao Mirim",21,IF(Atletas!H432="Taijijian Mirim",22,IF(Atletas!H432="Daoshu Grupo C",23,IF(Atletas!H432="Jianshu Grupo C",24,IF(Atletas!H432="Nandao Grupo C",25,IF(Atletas!H432="Taijijian Grupo C",26,IF(Atletas!H432="Daoshu Grupo B",27,IF(Atletas!H432="Jianshu Grupo B",28,IF(Atletas!H432="Nandao Grupo B",29,IF(Atletas!H432="Taijijian Grupo B",30,IF(Atletas!H432="Daoshu Grupo A",31,IF(Atletas!H432="Jianshu Grupo A",32,IF(Atletas!H432="Nandao Grupo A",33,IF(Atletas!H432="Taijijian Grupo A",34,IF(Atletas!H432="Daoshu Opcional",35,IF(Atletas!H432="Jianshu Opcional",36,IF(Atletas!H432="Nandao Opcional",37,IF(Atletas!H432="Taijijian Opcional",38,IF(Atletas!H432="Daoshu Adulto",39,IF(Atletas!H432="Jianshu Adulto",40,IF(Atletas!H432="Nandao Adulto",41,IF(Atletas!H432="Taijijian Adulto",42,""))))))))))))))))))))))))))</f>
        <v/>
      </c>
      <c r="BA436" s="46" t="str">
        <f>IF(Atletas!I432="","",IF(Atletas!B432="Feminino",100,IF(Atletas!B432="Masculino",200,""))+(IF(Atletas!I432="Gunshu Mirim",43,IF(Atletas!I432="Qiangshu Mirim",44,IF(Atletas!I432="Nangun Mirim",45,IF(Atletas!I432="Gunshu Grupo C",46,IF(Atletas!I432="Qiangshu Grupo C",47,IF(Atletas!I432="Nangun Grupo C",48,IF(Atletas!I432="Gunshu Grupo B",49,IF(Atletas!I432="Qiangshu Grupo B",50,IF(Atletas!I432="Nangun Grupo B",51,IF(Atletas!I432="Gunshu Grupo A",52,IF(Atletas!I432="Qiangshu Grupo A",53,IF(Atletas!I432="Nangun Grupo A",54,IF(Atletas!I432="Gunshu Opcional",55,IF(Atletas!I432="Qiangshu Opcional",56,IF(Atletas!I432="Nangun Opcional",57,IF(Atletas!I432="Gunshu Adulto",58,IF(Atletas!I432="Qiangshu Adulto",59,IF(Atletas!I432="Nangun Adulto",60,""))))))))))))))))))))</f>
        <v/>
      </c>
      <c r="BF436" s="52" t="str">
        <f>IF(Atletas!J432="","",IF(Atletas!B432="Feminino",100,IF(Atletas!B432="Masculino",200,""))+(IF(Atletas!J432="Equipe 1 Grupo B",1,IF(Atletas!J432="Equipe 2 Grupo B",2,IF(Atletas!J432="Equipe 1 Grupo A",3,IF(Atletas!J432="Equipe 2 Grupo A",4,IF(Atletas!J432="Equipe 1 Adulto",5,IF(Atletas!J432="Equipe 2 Adulto",6,""))))))))</f>
        <v/>
      </c>
      <c r="BK436" s="52" t="str">
        <f>IF(Atletas!K432="","",IF(Atletas!W432&lt;&gt;"",10000,0)+(IF(Atletas!B432="Feminino",1000,IF(Atletas!B432="Masculino",2000,""))+IF(Atletas!K432="Choylayfut A",1,IF(Atletas!K432="Hunggar A",2,IF(Atletas!K432="Wuzuquan A",3,IF(Atletas!K432="Wingchun A",4,IF(Atletas!K432="Outra Mão de Sul A",5,IF(Atletas!K432="Choylayfut B",6,IF(Atletas!K432="Hunggar B",7,IF(Atletas!K432="Wuzuquan B",8,IF(Atletas!K432="Wingchun B",9,IF(Atletas!K432="Outra Mão de Sul B",10,IF(Atletas!K432="Choylayfut C",11,IF(Atletas!K432="Hunggar C",12,IF(Atletas!K432="Wuzuquan C",13,IF(Atletas!K432="Wingchun C",14,IF(Atletas!K432="Outra Mão de Sul C",15,IF(Atletas!K432="Choylayfut D",16,IF(Atletas!K432="Hunggar D",17,IF(Atletas!K432="Wuzuquan D",18,IF(Atletas!K432="Wingchun D",19,IF(Atletas!K432="Outra Mão de Sul D",20,IF(Atletas!K432="Choylayfut E",21,IF(Atletas!K432="Hunggar E",22,IF(Atletas!K432="Wuzuquan E",23,IF(Atletas!K432="Wingchun E",24,IF(Atletas!K432="Outra Mão de Sul E",25,IF(Atletas!K432="Choylayfut F",26,IF(Atletas!K432="Hunggar F",27,IF(Atletas!K432="Wuzuquan F",28,IF(Atletas!K432="Wingchun F",29,IF(Atletas!K432="Outra Mão de Sul F",30,""))))))))))))))))))))))))))))))))</f>
        <v/>
      </c>
      <c r="BL436" s="52" t="str">
        <f>IF(Atletas!L432="","",IF(Atletas!W432&lt;&gt;"",10000,0)+(IF(Atletas!B432="Feminino",1000,IF(Atletas!B432="Masculino",2000,""))+(IF(Atletas!L432="Chaquan A",101,IF(Atletas!L432="Emeiquan A",102,IF(Atletas!L432="Fanziquan A",103,IF(Atletas!L432="Huaquan A",104,IF(Atletas!L432="Hongquan A",105,IF(Atletas!L432="Paochui A",106,IF(Atletas!L432="Piguaquan A",107,IF(Atletas!L432="Shaolinquan A",108,IF(Atletas!L432="Tanglangquan A",109,IF(Atletas!L432="Yinzhaophai A",110,IF(Atletas!L432="Tongbeiquan A",111,IF(Atletas!L432="Wudangquan A",112,IF(Atletas!L432="Outros Estilos A",113,IF(Atletas!L432="Chaquan B",114,IF(Atletas!L432="Emeiquan B",115,IF(Atletas!L432="Fanziquan B",116,IF(Atletas!L432="Huaquan B",117,IF(Atletas!L432="Hongquan B",118,IF(Atletas!L432="Paochui B",119,IF(Atletas!L432="Piguaquan B",120,IF(Atletas!L432="Shaolinquan B",121,IF(Atletas!L432="Tanglangquan B",122,IF(Atletas!L432="Yinzhaophai B",123,IF(Atletas!L432="Tongbeiquan B",124,IF(Atletas!L432="Wudangquan B",125,IF(Atletas!L432="Outros Estilos B",126,IF(Atletas!L432="Chaquan C",127,IF(Atletas!L432="Emeiquan C",128,IF(Atletas!L432="Fanziquan C",129,IF(Atletas!L432="Huaquan C",130,IF(Atletas!L432="Hongquan C",131,IF(Atletas!L432="Paochui C",132,IF(Atletas!L432="Piguaquan C",133,IF(Atletas!L432="Shaolinquan C",134,IF(Atletas!L432="Tanglangquan C",135,IF(Atletas!L432="Yinzhaophai C",136,IF(Atletas!L432="Tongbeiquan C",137,IF(Atletas!L432="Wudangquan C",138,IF(Atletas!L432="Outros Estilos C",139,0))))))))))))))))))))))))))))))))))))))))))</f>
        <v/>
      </c>
      <c r="BM436" s="52" t="str">
        <f>IF(Atletas!L432="","",IF(Atletas!W432&lt;&gt;"",10000,0)+(IF(Atletas!B432="Feminino",1000,IF(Atletas!B432="Masculino",2000,""))+(IF(Atletas!L432="Chaquan D",140,IF(Atletas!L432="Emeiquan D",141,IF(Atletas!L432="Fanziquan D",142,IF(Atletas!L432="Huaquan D",143,IF(Atletas!L432="Hongquan D",144,IF(Atletas!L432="Paochui D",145,IF(Atletas!L432="Piguaquan D",146,IF(Atletas!L432="Shaolinquan D",147,IF(Atletas!L432="Tanglangquan D",148,IF(Atletas!L432="Yinzhaophai D",149,IF(Atletas!L432="Tongbeiquan D",150,IF(Atletas!L432="Wudangquan D",151,IF(Atletas!L432="Outros Estilos D",152,IF(Atletas!L432="Chaquan E",153,IF(Atletas!L432="Emeiquan E",154,IF(Atletas!L432="Fanziquan E",155,IF(Atletas!L432="Huaquan E",156,IF(Atletas!L432="Hongquan E",157,IF(Atletas!L432="Paochui E",158,IF(Atletas!L432="Piguaquan E",159,IF(Atletas!L432="Shaolinquan E",160,IF(Atletas!L432="Tanglangquan E",161,IF(Atletas!L432="Yinzhaophai E",162,IF(Atletas!L432="Tongbeiquan E",163,IF(Atletas!L432="Wudangquan E",164,IF(Atletas!L432="Outros Estilos E",165,IF(Atletas!L432="Chaquan F",166,IF(Atletas!L432="Emeiquan F",167,IF(Atletas!L432="Fanziquan F",168,IF(Atletas!L432="Huaquan F",169,IF(Atletas!L432="Hongquan F",170,IF(Atletas!L432="Paochui F",171,IF(Atletas!L432="Piguaquan F",172,IF(Atletas!L432="Shaolinquan F",173,IF(Atletas!L432="Tanglangquan F",174,IF(Atletas!L432="Yinzhaophai F",175,IF(Atletas!L432="Tongbeiquan F",176,IF(Atletas!L432="Wudangquan F",177,IF(Atletas!L432="Outros Estilos F",178,0))))))))))))))))))))))))))))))))))))))))))</f>
        <v/>
      </c>
      <c r="BN436" s="52" t="str">
        <f>IF(Atletas!M432="","",IF(Atletas!W432&lt;&gt;"",10000,0)+(IF(Atletas!B432="Feminino",1000,IF(Atletas!B432="Masculino",2000,""))+(IF(Atletas!M432="Ditangquan A",201,IF(Atletas!M432="Houquan A",202,IF(Atletas!M432="Zuiquan A",203,IF(Atletas!M432="Ditangquan B",204,IF(Atletas!M432="Houquan B",205,IF(Atletas!M432="Zuiquan B",206,IF(Atletas!M432="Ditangquan C",207,IF(Atletas!M432="Houquan C",208,IF(Atletas!M432="Zuiquan C",209,IF(Atletas!M432="Ditangquan D",210,IF(Atletas!M432="Houquan D",211,IF(Atletas!M432="Zuiquan D",212,IF(Atletas!M432="Ditangquan E",213,IF(Atletas!M432="Houquan E",214,IF(Atletas!M432="Zuiquan E",215,IF(Atletas!M432="Ditangquan F",216,IF(Atletas!M432="Houquan F",217,IF(Atletas!M432="Zuiquan F",218,"")))))))))))))))))))))</f>
        <v/>
      </c>
      <c r="BO436" s="52" t="str">
        <f>IF(Atletas!N432="","",IF(Atletas!W432&lt;&gt;"",10000,0)+IF(Atletas!B432="Feminino",1000,IF(Atletas!B432="Masculino",2000,""))+IF(Atletas!N432="Yang A",301,IF(Atletas!N432="Chen A",30,IF(Atletas!N432="Sun A",303,IF(Atletas!N432="Wu A",304,IF(Atletas!N432="Wu-Hao A",305,IF(Atletas!N432="Outro Taijiquan A",306,IF(Atletas!N432="Yang B",307,IF(Atletas!N432="Chen B",308,IF(Atletas!N432="Sun B",309,IF(Atletas!N432="Wu B",310,IF(Atletas!N432="Wu-Hao B",311,IF(Atletas!N432="Outro Taijiquan B",312,IF(Atletas!N432="Yang C",313,IF(Atletas!N432="Chen C",314,IF(Atletas!N432="Sun C",315,IF(Atletas!N432="Wu C",316,IF(Atletas!N432="Wu-Hao C",317,IF(Atletas!N432="Outro Taijiquan C",318,IF(Atletas!N432="Yang D",319,IF(Atletas!N432="Chen D",320,IF(Atletas!N432="Sun D",321,IF(Atletas!N432="Wu D",322,IF(Atletas!N432="Wu-Hao D",323,IF(Atletas!N432="Outro Taijiquan D",324,IF(Atletas!N432="Yang E",325,IF(Atletas!N432="Chen E",326,IF(Atletas!N432="Sun E",327,IF(Atletas!N432="Wu E",328,IF(Atletas!N432="Wu-Hao E",329,IF(Atletas!N432="Outro Taijiquan E",330,IF(Atletas!N432="Yang F",331,IF(Atletas!N432="Chen F",332,IF(Atletas!N432="Sun F",333,IF(Atletas!N432="Wu F",334,IF(Atletas!N432="Wu-Hao F",335,IF(Atletas!N432="Outro Taijiquan F",336,"")))))))))))))))))))))))))))))))))))))</f>
        <v/>
      </c>
      <c r="BP436" s="52" t="str">
        <f>IF(Atletas!O432="","",IF(Atletas!W432&lt;&gt;"",10000,0)+IF(Atletas!B432="Feminino",1000,IF(Atletas!B432="Masculino",2000,""))+IF(OR(Atletas!O432="Yang 26 A",Atletas!O432="Yang 40 A"),401,IF(OR(Atletas!O432="Chen 25 A",Atletas!O432="Chen 36 A",Atletas!O432="Chen 56 A"),402,IF(Atletas!O432="Sun 73 A",403,IF(Atletas!O432="Wu 45 A",404,IF(Atletas!O432="Wu-Hao 46 A",405,IF(OR(Atletas!O432="Taijiquan 16 A",Atletas!O432="Taijiquan 24 A",Atletas!O432="Taijiquan 32 A",Atletas!O432="Taijiquan 42 A"),406,IF(OR(Atletas!O432="Yang 26 B",Atletas!O432="Yang 40 B"),407,IF(OR(Atletas!O432="Chen 25 B",Atletas!O432="Chen 36 B",Atletas!O432="Chen 56 B"),408,IF(Atletas!O432="Sun 73 B",409,IF(Atletas!O432="Wu 45 B",410,IF(Atletas!O432="Wu-Hao 46 B",411,IF(OR(Atletas!O432="Taijiquan 16 B",Atletas!O432="Taijiquan 24 B",Atletas!O432="Taijiquan 32 B",Atletas!O432="Taijiquan 42 B"),412,IF(OR(Atletas!O432="Yang 26 C",Atletas!O432="Yang 40 C"),413,IF(OR(Atletas!O432="Chen 25 C",Atletas!O432="Chen 36 C",Atletas!O432="Chen 56 C"),414,IF(Atletas!O432="Sun 73 C",415,IF(Atletas!O432="Wu 45 C",416,IF(Atletas!O432="Wu-Hao 46 C",417,IF(OR(Atletas!O432="Taijiquan 16 C",Atletas!O432="Taijiquan 24 C",Atletas!O432="Taijiquan 32 C",Atletas!O432="Taijiquan 42 C"),418,0)))))))))))))))))))</f>
        <v/>
      </c>
      <c r="BQ436" s="52" t="str">
        <f>IF(Atletas!O432="","",IF(Atletas!W432&lt;&gt;"",10000,0)+IF(Atletas!B432="Feminino",1000,IF(Atletas!B432="Masculino",2000,""))+IF(OR(Atletas!O432="Yang 26 D",Atletas!O432="Yang 40 D"),419,IF(OR(Atletas!O432="Chen 25 D",Atletas!O432="Chen 36 D",Atletas!O432="Chen 56 D"),420,IF(Atletas!O432="Sun 73 D",421,IF(Atletas!O432="Wu 45 D",422,IF(Atletas!O432="Wu-Hao 46 D",423,IF(OR(Atletas!O432="Taijiquan 16 D",Atletas!O432="Taijiquan 24 D",Atletas!O432="Taijiquan 32 D",Atletas!O432="Taijiquan 42 D"),424,IF(OR(Atletas!O432="Yang 26 E",Atletas!O432="Yang 40 E"),425,IF(OR(Atletas!O432="Chen 25 E",Atletas!O432="Chen 36 E",Atletas!O432="Chen 56 E"),426,IF(Atletas!O432="Sun 73 E",427,IF(Atletas!O432="Wu 45 E",428,IF(Atletas!O432="Wu-Hao 46 E",429,IF(OR(Atletas!O432="Taijiquan 16 E",Atletas!O432="Taijiquan 24 E",Atletas!O432="Taijiquan 32 E",Atletas!O432="Taijiquan 42 E"),430,IF(OR(Atletas!O432="Yang 26 F",Atletas!O432="Yang 40 F"),431,IF(OR(Atletas!O432="Chen 25 F",Atletas!O432="Chen 36 F",Atletas!O432="Chen 56 F"),432,IF(Atletas!O432="Sun 73 F",433,IF(Atletas!O432="Wu 45 F",434,IF(Atletas!O432="Wu-Hao 46 F",435,IF(OR(Atletas!O432="Taijiquan 16 F",Atletas!O432="Taijiquan 24 F",Atletas!O432="Taijiquan 32 F",Atletas!O432="Taijiquan 42 F"),436,0)))))))))))))))))))</f>
        <v/>
      </c>
      <c r="BR436" s="52" t="str">
        <f>IF(Atletas!P432="","",IF(Atletas!W432&lt;&gt;"",10000,0)+IF(Atletas!B432="Feminino",1000,IF(Atletas!B432="Masculino",2000,""))+IF(Atletas!P432="Xingyiquan A",501,IF(Atletas!P432="Baguazhang A",502,IF(Atletas!P432="Outro Estilo Interno A",503,IF(Atletas!P432="Xingyiquan B",504,IF(Atletas!P432="Baguazhang B",505,IF(Atletas!P432="Outro Estilo Interno B",506,IF(Atletas!P432="Xingyiquan C",507,IF(Atletas!P432="Baguazhang C",508,IF(Atletas!P432="Outro Estilo Interno C",509,IF(Atletas!P432="Xingyiquan D",510,IF(Atletas!P432="Baguazhang D",511,IF(Atletas!P432="Outro Estilo Interno D",512,IF(Atletas!P432="Xingyiquan E",513,IF(Atletas!P432="Baguazhang E",514,IF(Atletas!P432="Outro Estilo Interno E",515,IF(Atletas!P432="Xingyiquan F",516,IF(Atletas!P432="Baguazhang F",517,IF(Atletas!P432="Outro Estilo Interno F",518, "")))))))))))))))))))</f>
        <v/>
      </c>
      <c r="BS436" s="52" t="str">
        <f>IF(Atletas!Q432="","",IF(Atletas!W432&lt;&gt;"",10000,0)+IF(Atletas!B432="Feminino",1000,IF(Atletas!B432="Masculino",2000,""))+IF(Atletas!Q432="Dao A",601,IF(Atletas!Q432="Jian A",602,IF(Atletas!Q432="Bishou A",603,IF(Atletas!Q432="Shan A",604,IF(Atletas!Q432="Outra Arma Curta A",605,IF(Atletas!Q432="Dao B",606,IF(Atletas!Q432="Jian B",607,IF(Atletas!Q432="Bishou B",608,IF(Atletas!Q432="Shan B",609,IF(Atletas!Q432="Outra Arma Curta B",610,IF(Atletas!Q432="Dao C",611,IF(Atletas!Q432="Jian C",612,IF(Atletas!Q432="Bishou C",613,IF(Atletas!Q432="Shan C",614,IF(Atletas!Q432="Outra Arma Curta C",615,IF(Atletas!Q432="Dao D",616,IF(Atletas!Q432="Jian D",617,IF(Atletas!Q432="Bishou D",618,IF(Atletas!Q432="Shan D",619,IF(Atletas!Q432="Outra Arma Curta D",620,IF(Atletas!Q432="Dao E",621,IF(Atletas!Q432="Jian E",622,IF(Atletas!Q432="Bishou E",623,IF(Atletas!Q432="Shan E",624,IF(Atletas!Q432="Outra Arma Curta E",625,IF(Atletas!Q432="Dao F",626,IF(Atletas!Q432="Jian F",627,IF(Atletas!Q432="Bishou F",628,IF(Atletas!Q432="Shan F",629,IF(Atletas!Q432="Outra Arma Curta F",630, "")))))))))))))))))))))))))))))))</f>
        <v/>
      </c>
      <c r="BT436" s="52" t="str">
        <f>IF(Atletas!R432="","",IF(Atletas!W432&lt;&gt;"",10000,0)+IF(Atletas!B432="Feminino",1000,IF(Atletas!B432="Masculino",2000,""))+IF(Atletas!R432="Gun A",701,IF(Atletas!R432="Qiang A",702,IF(Atletas!R432="Pudao / Guandao A",703,IF(Atletas!R432="Outra Arma Longa A",704,IF(Atletas!R432="Gun B",705,IF(Atletas!R432="Qiang B",706,IF(Atletas!R432="Pudao / Guandao B",707,IF(Atletas!R432="Outra Arma Longa B",708,IF(Atletas!R432="Gun C",709,IF(Atletas!R432="Qiang C",710,IF(Atletas!R432="Pudao / Guandao C",711,IF(Atletas!R432="Outra Arma Longa C",712,IF(Atletas!R432="Gun D",713,IF(Atletas!R432="Qiang D",714,IF(Atletas!R432="Pudao / Guandao D",715,IF(Atletas!R432="Outra Arma Longa D",716,IF(Atletas!R432="Gun E",717,IF(Atletas!R432="Qiang E",718,IF(Atletas!R432="Pudao / Guandao E",719,IF(Atletas!R432="Outra Arma Longa E",720,IF(Atletas!R432="Gun F",721,IF(Atletas!R432="Qiang F",722,IF(Atletas!R432="Pudao / Guandao F",723,IF(Atletas!R432="Outra Arma Longa F",724,"")))))))))))))))))))))))))</f>
        <v/>
      </c>
      <c r="BU436" s="52" t="str">
        <f>IF(Atletas!S432="","",IF(Atletas!W432&lt;&gt;"",10000,0)+IF(Atletas!B432="Feminino",1000,IF(Atletas!B432="Masculino",2000,""))+IF(Atletas!S432="Arma Dupla A",801,IF(Atletas!S432="Arma Maleável A",802,IF(Atletas!S432="Arma Dupla B",803,IF(Atletas!S432="Arma Maleável B",804,IF(Atletas!S432="Arma Dupla C",805,IF(Atletas!S432="Arma Maleável C",806,IF(Atletas!S432="Arma Dupla D",807,IF(Atletas!S432="Arma Maleável D",808,IF(Atletas!S432="Arma Dupla E",809,IF(Atletas!S432="Arma Maleável E",810,IF(Atletas!S432="Arma Dupla F",811,IF(Atletas!S432="Arma Maleável F",812, "")))))))))))))</f>
        <v/>
      </c>
      <c r="BV436" s="52" t="str">
        <f>IF(Atletas!T432="","",IF(Atletas!W432&lt;&gt;"",10000,0)+IF(Atletas!B432="Feminino",1000,IF(Atletas!B432="Masculino",2000,""))+IF(Atletas!T432="Taijijian Yang A",901,IF(Atletas!T432="Taijijian Chen A",902,IF(Atletas!T432="Taijijian Sun A",903,IF(Atletas!T432="Taijijian Wu A",904,IF(Atletas!T432="Taijijian Wu-Hao A",905,IF(Atletas!T432="Taijijian 32 A",906,IF(Atletas!T432="Taijijian 42 A",907,IF(Atletas!T432="Taijijian Yang B",908,IF(Atletas!T432="Taijijian Chen B",909,IF(Atletas!T432="Taijijian Sun B",910,IF(Atletas!T432="Taijijian Wu B",911,IF(Atletas!T432="Taijijian Wu-Hao B",912,IF(Atletas!T432="Taijijian 32 B",913,IF(Atletas!T432="Taijijian 42 B",914,IF(Atletas!T432="Taijijian Yang C",915,IF(Atletas!T432="Taijijian Chen C",916,IF(Atletas!T432="Taijijian Sun C",917,IF(Atletas!T432="Taijijian Wu C",918,IF(Atletas!T432="Taijijian Wu-Hao C",919,IF(Atletas!T432="Taijijian 32 C",920,IF(Atletas!T432="Taijijian 42 C",921,IF(Atletas!T432="Taijijian Yang D",922,IF(Atletas!T432="Taijijian Chen D",923,IF(Atletas!T432="Taijijian Sun D",924,IF(Atletas!T432="Taijijian Wu D",925,IF(Atletas!T432="Taijijian Wu-Hao D",926,IF(Atletas!T432="Taijijian 32 D",927,IF(Atletas!T432="Taijijian 42 D",928,IF(Atletas!T432="Taijijian Yang E",929,IF(Atletas!T432="Taijijian Chen E",930,IF(Atletas!T432="Taijijian Sun E",931,IF(Atletas!T432="Taijijian Wu E",932,IF(Atletas!T432="Taijijian Wu-Hao E",933,IF(Atletas!T432="Taijijian 32 E",934,IF(Atletas!T432="Taijijian 42 E",935,IF(Atletas!T432="Taijijian Yang F",936,IF(Atletas!T432="Taijijian Chen F",937,IF(Atletas!T432="Taijijian Sun F",938,IF(Atletas!T432="Taijijian Wu F",939,IF(Atletas!T432="Taijijian Wu-Hao F",940,IF(Atletas!T432="Taijijian 32 F",941,IF(Atletas!T432="Taijijian 42 F",942,"")))))))))))))))))))))))))))))))))))))))))))</f>
        <v/>
      </c>
      <c r="BW436" s="52" t="str">
        <f>IF(Atletas!U432="","",IF(Atletas!W432&lt;&gt;"",10000,0)+IF(Atletas!B432="Feminino",1000,IF(Atletas!B432="Masculino",2000,""))+IF(Atletas!T432="Taijijian 42 F",942,IF(Atletas!U432="Taijidao A",943,IF(Atletas!U432="Taijishan A",944,IF(Atletas!U432="Taijiqiang A",945,IF(Atletas!U432="Taijidao B",946,IF(Atletas!U432="Taijishan B",947,IF(Atletas!U432="Taijiqiang B",948,IF(Atletas!U432="Taijidao C",949,IF(Atletas!U432="Taijishan C",950,IF(Atletas!U432="Taijiqiang C",951,IF(Atletas!U432="Taijidao D",952,IF(Atletas!U432="Taijishan D",953,IF(Atletas!U432="Taijiqiang D",954,IF(Atletas!U432="Taijidao E",955,IF(Atletas!U432="Taijishan E",956,IF(Atletas!U432="Taijiqiang E",957,IF(Atletas!U432="Taijidao F",958,IF(Atletas!U432="Taijishan F",959,IF(Atletas!U432="Taijiqiang F",960))))))))))))))))))))</f>
        <v/>
      </c>
      <c r="CF436" s="52" t="str">
        <f xml:space="preserve"> IF(Atletas!V432="","",IF(Atletas!V432="Duilian de Mãos AB - Equipe 1",1,IF(Atletas!V432="Duilian de Mãos AB - Equipe 2",2,IF(Atletas!V432="Duilian de Armas AB - Equipe 1",3,IF(Atletas!V432="Duilian de Armas AB - Equipe 2",4,IF(Atletas!V432="Duilian de Tuishou - Equipe 1",5,IF(Atletas!V432="Duilian de Tuishou - Equipe 2",6,IF(Atletas!V432="Grupo Externo AB - Equipe 1",7,IF(Atletas!V432="Grupo Externo AB - Equipe 2",8,IF(Atletas!V432="Grupo Interno AB - Equipe 1",9,IF(Atletas!V432="Grupo Interno AB - Equipe 2",10,IF(Atletas!V432="Duilian de Mãos CD - Equipe 1",11,IF(Atletas!V432="Duilian de Mãos CD - Equipe 2",12,IF(Atletas!V432="Duilian de Armas CD - Equipe 1",13,IF(Atletas!V432="Duilian de Armas CD - Equipe 2",14,IF(Atletas!V432="Duilian de Tuishou - Equipe 1",15,IF(Atletas!V432="Duilian de Tuishou - Equipe 2",16,IF(Atletas!V432="Grupo Externo CDEF - Equipe 1",17,IF(Atletas!V432="Grupo Externo CDEF - Equipe 2",18,IF(Atletas!V432="Grupo Interno CDEF - Equipe 1",19,IF(Atletas!V432="Grupo Interno CDEF - Equipe 2",20,IF(Atletas!V432="Duilian de Mãos EF - Equipe 1",21,IF(Atletas!V432="Duilian de Mãos EF - Equipe 2",22,IF(Atletas!V432="Duilian de Armas EF - Equipe 1",23,IF(Atletas!V432="Duilian de Armas EF - Equipe 2",24,IF(Atletas!V432="Duilian de Tuishou - Equipe 1",25,IF(Atletas!V432="Duilian de Tuishou - Equipe 2",26,"")))))))))))))))))))))))))))</f>
        <v/>
      </c>
    </row>
    <row r="437" spans="36:84">
      <c r="AJ437" s="46" t="str">
        <f>IF(Atletas!D433="","",IF(Atletas!B433="Feminino",100,IF(Atletas!B433="Masculino",200,""))+(IF(Atletas!D433="Infantil 39kg",1,IF(Atletas!D433="Infantil 42kg",2,IF(Atletas!D433="Infantil 45kg",3,IF(Atletas!D433="Infantil 48kg",4,IF(Atletas!D433="Infantil 52kg",5,IF(Atletas!D433="Infantil 56kg",6,IF(Atletas!D433="Infantil 60kg",7,IF(Atletas!D433="Juvenil 48kg",8,IF(Atletas!D433="Juvenil 52kg",9,IF(Atletas!D433="Juvenil 56kg",10,IF(Atletas!D433="Juvenil 60kg",11,IF(Atletas!D433="Juvenil 65kg",12,IF(Atletas!D433="Juvenil 70kg",13,IF(Atletas!D433="Juvenil 75kg",14,IF(Atletas!D433="Juvenil 80kg",15,IF(Atletas!D433="Adulto 48kg",16,IF(Atletas!D433="Adulto 52kg",17,IF(Atletas!D433="Adulto 56kg",18,IF(Atletas!D433="Adulto 60kg",19,IF(Atletas!D433="Adulto 65kg",20,IF(Atletas!D433="Adulto 70kg",21,IF(Atletas!D433="Adulto 75kg",22,IF(Atletas!D433="Adulto 80kg",23,IF(Atletas!D433="Adulto 85kg",24,IF(Atletas!D433="Adulto 90kg",25,IF(Atletas!D433="Adulto +90kg",26,""))))))))))))))))))))))))))))</f>
        <v/>
      </c>
      <c r="AO437" s="10" t="str">
        <f>IF(Atletas!E433="","",IF(Atletas!B433="Feminino",100,IF(Atletas!B433="Masculino",200,""))+(IF(Atletas!E433="Juvenil 44kg",1,IF(Atletas!E433="Juvenil 48kg",2,IF(Atletas!E433="Juvenil 52kg",3,IF(Atletas!E433="Juvenil 56kg",4,IF(Atletas!E433="Juvenil 60kg",5,IF(Atletas!E433="Juvenil 65kg",6,IF(Atletas!E433="Juvenil 70kg",7,IF(Atletas!E433="Juvenil 75kg",8,IF(Atletas!E433="Juvenil 82kg",9,IF(Atletas!E433="Juvenil 90kg",10,IF(Atletas!E433="Juvenil 100kg",11,IF(Atletas!E433="Adulto 48kg",12,IF(Atletas!E433="Adulto 52kg",13,IF(Atletas!E433="Adulto 56kg",14,IF(Atletas!E433="Adulto 60kg",15,IF(Atletas!E433="Adulto 65kg",16,IF(Atletas!E433="Adulto 70kg",17,IF(Atletas!E433="Adulto 75kg",18,IF(Atletas!E433="Adulto 82kg",19,IF(Atletas!E433="Adulto 90kg",20,IF(Atletas!E433="Adulto 100kg",21,IF(Atletas!E433="Adulto +100kg",22,""))))))))))))))))))))))))</f>
        <v/>
      </c>
      <c r="AT437" s="10" t="str">
        <f>IF(Atletas!F433="","",IF(Atletas!B433="Feminino",100,IF(Atletas!B433="Masculino",200,""))+(IF(Atletas!F433="Adulto 48kg",1,IF(Atletas!F433="Adulto 56kg",2,IF(Atletas!F433="Adulto 65kg",3,IF(Atletas!F433="Adulto 75kg",4,IF(Atletas!F433="Adulto +75kg",5,IF(Atletas!F433="Adulto 52kg",6,IF(Atletas!F433="Adulto 60kg",7,IF(Atletas!F433="Adulto 70kg",8,IF(Atletas!F433="Adulto 80kg",9,IF(Atletas!F433="Adulto 90kg",10,IF(Atletas!F433="Adulto +90kg",11,"")))))))))))))</f>
        <v/>
      </c>
      <c r="AY437" s="46" t="str">
        <f>IF(Atletas!G433="","",IF(Atletas!B433="Feminino",100,IF(Atletas!B433="Masculino",200,""))+(IF(Atletas!G433="Changquan Mirim",1,IF(Atletas!G433="Nanquan Mirim",2,IF(Atletas!G433="Taijiquan Mirim",3,IF(Atletas!G433="Changquan Grupo C",4,IF(Atletas!G433="Nanquan Grupo C",5,IF(Atletas!G433="Taijiquan Grupo C",6,IF(Atletas!G433="Changquan Grupo B",7,IF(Atletas!G433="Nanquan Grupo B",8,IF(Atletas!G433="Taijiquan Grupo B",9,IF(Atletas!G433="Changquan Grupo A",10,IF(Atletas!G433="Nanquan Grupo A",11,IF(Atletas!G433="Taijiquan Grupo A",12,IF(Atletas!G433="Changquan Opcional",13,IF(Atletas!G433="Nanquan Opcional",14,IF(Atletas!G433="Taijiquan Opcional",15,IF(Atletas!G433="Changquan Adulto",16,IF(Atletas!G433="Nanquan Adulto",17,IF(Atletas!G433="Taijiquan Adulto",18,""))))))))))))))))))))</f>
        <v/>
      </c>
      <c r="AZ437" s="46" t="str">
        <f>IF(Atletas!H433="","",IF(Atletas!B433="Feminino",100,IF(Atletas!B433="Masculino",200,""))+(IF(Atletas!H433="Daoshu Mirim",19,IF(Atletas!H433="Jianshu Mirim",20,IF(Atletas!H433="Nandao Mirim",21,IF(Atletas!H433="Taijijian Mirim",22,IF(Atletas!H433="Daoshu Grupo C",23,IF(Atletas!H433="Jianshu Grupo C",24,IF(Atletas!H433="Nandao Grupo C",25,IF(Atletas!H433="Taijijian Grupo C",26,IF(Atletas!H433="Daoshu Grupo B",27,IF(Atletas!H433="Jianshu Grupo B",28,IF(Atletas!H433="Nandao Grupo B",29,IF(Atletas!H433="Taijijian Grupo B",30,IF(Atletas!H433="Daoshu Grupo A",31,IF(Atletas!H433="Jianshu Grupo A",32,IF(Atletas!H433="Nandao Grupo A",33,IF(Atletas!H433="Taijijian Grupo A",34,IF(Atletas!H433="Daoshu Opcional",35,IF(Atletas!H433="Jianshu Opcional",36,IF(Atletas!H433="Nandao Opcional",37,IF(Atletas!H433="Taijijian Opcional",38,IF(Atletas!H433="Daoshu Adulto",39,IF(Atletas!H433="Jianshu Adulto",40,IF(Atletas!H433="Nandao Adulto",41,IF(Atletas!H433="Taijijian Adulto",42,""))))))))))))))))))))))))))</f>
        <v/>
      </c>
      <c r="BA437" s="46" t="str">
        <f>IF(Atletas!I433="","",IF(Atletas!B433="Feminino",100,IF(Atletas!B433="Masculino",200,""))+(IF(Atletas!I433="Gunshu Mirim",43,IF(Atletas!I433="Qiangshu Mirim",44,IF(Atletas!I433="Nangun Mirim",45,IF(Atletas!I433="Gunshu Grupo C",46,IF(Atletas!I433="Qiangshu Grupo C",47,IF(Atletas!I433="Nangun Grupo C",48,IF(Atletas!I433="Gunshu Grupo B",49,IF(Atletas!I433="Qiangshu Grupo B",50,IF(Atletas!I433="Nangun Grupo B",51,IF(Atletas!I433="Gunshu Grupo A",52,IF(Atletas!I433="Qiangshu Grupo A",53,IF(Atletas!I433="Nangun Grupo A",54,IF(Atletas!I433="Gunshu Opcional",55,IF(Atletas!I433="Qiangshu Opcional",56,IF(Atletas!I433="Nangun Opcional",57,IF(Atletas!I433="Gunshu Adulto",58,IF(Atletas!I433="Qiangshu Adulto",59,IF(Atletas!I433="Nangun Adulto",60,""))))))))))))))))))))</f>
        <v/>
      </c>
      <c r="BF437" s="52" t="str">
        <f>IF(Atletas!J433="","",IF(Atletas!B433="Feminino",100,IF(Atletas!B433="Masculino",200,""))+(IF(Atletas!J433="Equipe 1 Grupo B",1,IF(Atletas!J433="Equipe 2 Grupo B",2,IF(Atletas!J433="Equipe 1 Grupo A",3,IF(Atletas!J433="Equipe 2 Grupo A",4,IF(Atletas!J433="Equipe 1 Adulto",5,IF(Atletas!J433="Equipe 2 Adulto",6,""))))))))</f>
        <v/>
      </c>
      <c r="BK437" s="52" t="str">
        <f>IF(Atletas!K433="","",IF(Atletas!W433&lt;&gt;"",10000,0)+(IF(Atletas!B433="Feminino",1000,IF(Atletas!B433="Masculino",2000,""))+IF(Atletas!K433="Choylayfut A",1,IF(Atletas!K433="Hunggar A",2,IF(Atletas!K433="Wuzuquan A",3,IF(Atletas!K433="Wingchun A",4,IF(Atletas!K433="Outra Mão de Sul A",5,IF(Atletas!K433="Choylayfut B",6,IF(Atletas!K433="Hunggar B",7,IF(Atletas!K433="Wuzuquan B",8,IF(Atletas!K433="Wingchun B",9,IF(Atletas!K433="Outra Mão de Sul B",10,IF(Atletas!K433="Choylayfut C",11,IF(Atletas!K433="Hunggar C",12,IF(Atletas!K433="Wuzuquan C",13,IF(Atletas!K433="Wingchun C",14,IF(Atletas!K433="Outra Mão de Sul C",15,IF(Atletas!K433="Choylayfut D",16,IF(Atletas!K433="Hunggar D",17,IF(Atletas!K433="Wuzuquan D",18,IF(Atletas!K433="Wingchun D",19,IF(Atletas!K433="Outra Mão de Sul D",20,IF(Atletas!K433="Choylayfut E",21,IF(Atletas!K433="Hunggar E",22,IF(Atletas!K433="Wuzuquan E",23,IF(Atletas!K433="Wingchun E",24,IF(Atletas!K433="Outra Mão de Sul E",25,IF(Atletas!K433="Choylayfut F",26,IF(Atletas!K433="Hunggar F",27,IF(Atletas!K433="Wuzuquan F",28,IF(Atletas!K433="Wingchun F",29,IF(Atletas!K433="Outra Mão de Sul F",30,""))))))))))))))))))))))))))))))))</f>
        <v/>
      </c>
      <c r="BL437" s="52" t="str">
        <f>IF(Atletas!L433="","",IF(Atletas!W433&lt;&gt;"",10000,0)+(IF(Atletas!B433="Feminino",1000,IF(Atletas!B433="Masculino",2000,""))+(IF(Atletas!L433="Chaquan A",101,IF(Atletas!L433="Emeiquan A",102,IF(Atletas!L433="Fanziquan A",103,IF(Atletas!L433="Huaquan A",104,IF(Atletas!L433="Hongquan A",105,IF(Atletas!L433="Paochui A",106,IF(Atletas!L433="Piguaquan A",107,IF(Atletas!L433="Shaolinquan A",108,IF(Atletas!L433="Tanglangquan A",109,IF(Atletas!L433="Yinzhaophai A",110,IF(Atletas!L433="Tongbeiquan A",111,IF(Atletas!L433="Wudangquan A",112,IF(Atletas!L433="Outros Estilos A",113,IF(Atletas!L433="Chaquan B",114,IF(Atletas!L433="Emeiquan B",115,IF(Atletas!L433="Fanziquan B",116,IF(Atletas!L433="Huaquan B",117,IF(Atletas!L433="Hongquan B",118,IF(Atletas!L433="Paochui B",119,IF(Atletas!L433="Piguaquan B",120,IF(Atletas!L433="Shaolinquan B",121,IF(Atletas!L433="Tanglangquan B",122,IF(Atletas!L433="Yinzhaophai B",123,IF(Atletas!L433="Tongbeiquan B",124,IF(Atletas!L433="Wudangquan B",125,IF(Atletas!L433="Outros Estilos B",126,IF(Atletas!L433="Chaquan C",127,IF(Atletas!L433="Emeiquan C",128,IF(Atletas!L433="Fanziquan C",129,IF(Atletas!L433="Huaquan C",130,IF(Atletas!L433="Hongquan C",131,IF(Atletas!L433="Paochui C",132,IF(Atletas!L433="Piguaquan C",133,IF(Atletas!L433="Shaolinquan C",134,IF(Atletas!L433="Tanglangquan C",135,IF(Atletas!L433="Yinzhaophai C",136,IF(Atletas!L433="Tongbeiquan C",137,IF(Atletas!L433="Wudangquan C",138,IF(Atletas!L433="Outros Estilos C",139,0))))))))))))))))))))))))))))))))))))))))))</f>
        <v/>
      </c>
      <c r="BM437" s="52" t="str">
        <f>IF(Atletas!L433="","",IF(Atletas!W433&lt;&gt;"",10000,0)+(IF(Atletas!B433="Feminino",1000,IF(Atletas!B433="Masculino",2000,""))+(IF(Atletas!L433="Chaquan D",140,IF(Atletas!L433="Emeiquan D",141,IF(Atletas!L433="Fanziquan D",142,IF(Atletas!L433="Huaquan D",143,IF(Atletas!L433="Hongquan D",144,IF(Atletas!L433="Paochui D",145,IF(Atletas!L433="Piguaquan D",146,IF(Atletas!L433="Shaolinquan D",147,IF(Atletas!L433="Tanglangquan D",148,IF(Atletas!L433="Yinzhaophai D",149,IF(Atletas!L433="Tongbeiquan D",150,IF(Atletas!L433="Wudangquan D",151,IF(Atletas!L433="Outros Estilos D",152,IF(Atletas!L433="Chaquan E",153,IF(Atletas!L433="Emeiquan E",154,IF(Atletas!L433="Fanziquan E",155,IF(Atletas!L433="Huaquan E",156,IF(Atletas!L433="Hongquan E",157,IF(Atletas!L433="Paochui E",158,IF(Atletas!L433="Piguaquan E",159,IF(Atletas!L433="Shaolinquan E",160,IF(Atletas!L433="Tanglangquan E",161,IF(Atletas!L433="Yinzhaophai E",162,IF(Atletas!L433="Tongbeiquan E",163,IF(Atletas!L433="Wudangquan E",164,IF(Atletas!L433="Outros Estilos E",165,IF(Atletas!L433="Chaquan F",166,IF(Atletas!L433="Emeiquan F",167,IF(Atletas!L433="Fanziquan F",168,IF(Atletas!L433="Huaquan F",169,IF(Atletas!L433="Hongquan F",170,IF(Atletas!L433="Paochui F",171,IF(Atletas!L433="Piguaquan F",172,IF(Atletas!L433="Shaolinquan F",173,IF(Atletas!L433="Tanglangquan F",174,IF(Atletas!L433="Yinzhaophai F",175,IF(Atletas!L433="Tongbeiquan F",176,IF(Atletas!L433="Wudangquan F",177,IF(Atletas!L433="Outros Estilos F",178,0))))))))))))))))))))))))))))))))))))))))))</f>
        <v/>
      </c>
      <c r="BN437" s="52" t="str">
        <f>IF(Atletas!M433="","",IF(Atletas!W433&lt;&gt;"",10000,0)+(IF(Atletas!B433="Feminino",1000,IF(Atletas!B433="Masculino",2000,""))+(IF(Atletas!M433="Ditangquan A",201,IF(Atletas!M433="Houquan A",202,IF(Atletas!M433="Zuiquan A",203,IF(Atletas!M433="Ditangquan B",204,IF(Atletas!M433="Houquan B",205,IF(Atletas!M433="Zuiquan B",206,IF(Atletas!M433="Ditangquan C",207,IF(Atletas!M433="Houquan C",208,IF(Atletas!M433="Zuiquan C",209,IF(Atletas!M433="Ditangquan D",210,IF(Atletas!M433="Houquan D",211,IF(Atletas!M433="Zuiquan D",212,IF(Atletas!M433="Ditangquan E",213,IF(Atletas!M433="Houquan E",214,IF(Atletas!M433="Zuiquan E",215,IF(Atletas!M433="Ditangquan F",216,IF(Atletas!M433="Houquan F",217,IF(Atletas!M433="Zuiquan F",218,"")))))))))))))))))))))</f>
        <v/>
      </c>
      <c r="BO437" s="52" t="str">
        <f>IF(Atletas!N433="","",IF(Atletas!W433&lt;&gt;"",10000,0)+IF(Atletas!B433="Feminino",1000,IF(Atletas!B433="Masculino",2000,""))+IF(Atletas!N433="Yang A",301,IF(Atletas!N433="Chen A",30,IF(Atletas!N433="Sun A",303,IF(Atletas!N433="Wu A",304,IF(Atletas!N433="Wu-Hao A",305,IF(Atletas!N433="Outro Taijiquan A",306,IF(Atletas!N433="Yang B",307,IF(Atletas!N433="Chen B",308,IF(Atletas!N433="Sun B",309,IF(Atletas!N433="Wu B",310,IF(Atletas!N433="Wu-Hao B",311,IF(Atletas!N433="Outro Taijiquan B",312,IF(Atletas!N433="Yang C",313,IF(Atletas!N433="Chen C",314,IF(Atletas!N433="Sun C",315,IF(Atletas!N433="Wu C",316,IF(Atletas!N433="Wu-Hao C",317,IF(Atletas!N433="Outro Taijiquan C",318,IF(Atletas!N433="Yang D",319,IF(Atletas!N433="Chen D",320,IF(Atletas!N433="Sun D",321,IF(Atletas!N433="Wu D",322,IF(Atletas!N433="Wu-Hao D",323,IF(Atletas!N433="Outro Taijiquan D",324,IF(Atletas!N433="Yang E",325,IF(Atletas!N433="Chen E",326,IF(Atletas!N433="Sun E",327,IF(Atletas!N433="Wu E",328,IF(Atletas!N433="Wu-Hao E",329,IF(Atletas!N433="Outro Taijiquan E",330,IF(Atletas!N433="Yang F",331,IF(Atletas!N433="Chen F",332,IF(Atletas!N433="Sun F",333,IF(Atletas!N433="Wu F",334,IF(Atletas!N433="Wu-Hao F",335,IF(Atletas!N433="Outro Taijiquan F",336,"")))))))))))))))))))))))))))))))))))))</f>
        <v/>
      </c>
      <c r="BP437" s="52" t="str">
        <f>IF(Atletas!O433="","",IF(Atletas!W433&lt;&gt;"",10000,0)+IF(Atletas!B433="Feminino",1000,IF(Atletas!B433="Masculino",2000,""))+IF(OR(Atletas!O433="Yang 26 A",Atletas!O433="Yang 40 A"),401,IF(OR(Atletas!O433="Chen 25 A",Atletas!O433="Chen 36 A",Atletas!O433="Chen 56 A"),402,IF(Atletas!O433="Sun 73 A",403,IF(Atletas!O433="Wu 45 A",404,IF(Atletas!O433="Wu-Hao 46 A",405,IF(OR(Atletas!O433="Taijiquan 16 A",Atletas!O433="Taijiquan 24 A",Atletas!O433="Taijiquan 32 A",Atletas!O433="Taijiquan 42 A"),406,IF(OR(Atletas!O433="Yang 26 B",Atletas!O433="Yang 40 B"),407,IF(OR(Atletas!O433="Chen 25 B",Atletas!O433="Chen 36 B",Atletas!O433="Chen 56 B"),408,IF(Atletas!O433="Sun 73 B",409,IF(Atletas!O433="Wu 45 B",410,IF(Atletas!O433="Wu-Hao 46 B",411,IF(OR(Atletas!O433="Taijiquan 16 B",Atletas!O433="Taijiquan 24 B",Atletas!O433="Taijiquan 32 B",Atletas!O433="Taijiquan 42 B"),412,IF(OR(Atletas!O433="Yang 26 C",Atletas!O433="Yang 40 C"),413,IF(OR(Atletas!O433="Chen 25 C",Atletas!O433="Chen 36 C",Atletas!O433="Chen 56 C"),414,IF(Atletas!O433="Sun 73 C",415,IF(Atletas!O433="Wu 45 C",416,IF(Atletas!O433="Wu-Hao 46 C",417,IF(OR(Atletas!O433="Taijiquan 16 C",Atletas!O433="Taijiquan 24 C",Atletas!O433="Taijiquan 32 C",Atletas!O433="Taijiquan 42 C"),418,0)))))))))))))))))))</f>
        <v/>
      </c>
      <c r="BQ437" s="52" t="str">
        <f>IF(Atletas!O433="","",IF(Atletas!W433&lt;&gt;"",10000,0)+IF(Atletas!B433="Feminino",1000,IF(Atletas!B433="Masculino",2000,""))+IF(OR(Atletas!O433="Yang 26 D",Atletas!O433="Yang 40 D"),419,IF(OR(Atletas!O433="Chen 25 D",Atletas!O433="Chen 36 D",Atletas!O433="Chen 56 D"),420,IF(Atletas!O433="Sun 73 D",421,IF(Atletas!O433="Wu 45 D",422,IF(Atletas!O433="Wu-Hao 46 D",423,IF(OR(Atletas!O433="Taijiquan 16 D",Atletas!O433="Taijiquan 24 D",Atletas!O433="Taijiquan 32 D",Atletas!O433="Taijiquan 42 D"),424,IF(OR(Atletas!O433="Yang 26 E",Atletas!O433="Yang 40 E"),425,IF(OR(Atletas!O433="Chen 25 E",Atletas!O433="Chen 36 E",Atletas!O433="Chen 56 E"),426,IF(Atletas!O433="Sun 73 E",427,IF(Atletas!O433="Wu 45 E",428,IF(Atletas!O433="Wu-Hao 46 E",429,IF(OR(Atletas!O433="Taijiquan 16 E",Atletas!O433="Taijiquan 24 E",Atletas!O433="Taijiquan 32 E",Atletas!O433="Taijiquan 42 E"),430,IF(OR(Atletas!O433="Yang 26 F",Atletas!O433="Yang 40 F"),431,IF(OR(Atletas!O433="Chen 25 F",Atletas!O433="Chen 36 F",Atletas!O433="Chen 56 F"),432,IF(Atletas!O433="Sun 73 F",433,IF(Atletas!O433="Wu 45 F",434,IF(Atletas!O433="Wu-Hao 46 F",435,IF(OR(Atletas!O433="Taijiquan 16 F",Atletas!O433="Taijiquan 24 F",Atletas!O433="Taijiquan 32 F",Atletas!O433="Taijiquan 42 F"),436,0)))))))))))))))))))</f>
        <v/>
      </c>
      <c r="BR437" s="52" t="str">
        <f>IF(Atletas!P433="","",IF(Atletas!W433&lt;&gt;"",10000,0)+IF(Atletas!B433="Feminino",1000,IF(Atletas!B433="Masculino",2000,""))+IF(Atletas!P433="Xingyiquan A",501,IF(Atletas!P433="Baguazhang A",502,IF(Atletas!P433="Outro Estilo Interno A",503,IF(Atletas!P433="Xingyiquan B",504,IF(Atletas!P433="Baguazhang B",505,IF(Atletas!P433="Outro Estilo Interno B",506,IF(Atletas!P433="Xingyiquan C",507,IF(Atletas!P433="Baguazhang C",508,IF(Atletas!P433="Outro Estilo Interno C",509,IF(Atletas!P433="Xingyiquan D",510,IF(Atletas!P433="Baguazhang D",511,IF(Atletas!P433="Outro Estilo Interno D",512,IF(Atletas!P433="Xingyiquan E",513,IF(Atletas!P433="Baguazhang E",514,IF(Atletas!P433="Outro Estilo Interno E",515,IF(Atletas!P433="Xingyiquan F",516,IF(Atletas!P433="Baguazhang F",517,IF(Atletas!P433="Outro Estilo Interno F",518, "")))))))))))))))))))</f>
        <v/>
      </c>
      <c r="BS437" s="52" t="str">
        <f>IF(Atletas!Q433="","",IF(Atletas!W433&lt;&gt;"",10000,0)+IF(Atletas!B433="Feminino",1000,IF(Atletas!B433="Masculino",2000,""))+IF(Atletas!Q433="Dao A",601,IF(Atletas!Q433="Jian A",602,IF(Atletas!Q433="Bishou A",603,IF(Atletas!Q433="Shan A",604,IF(Atletas!Q433="Outra Arma Curta A",605,IF(Atletas!Q433="Dao B",606,IF(Atletas!Q433="Jian B",607,IF(Atletas!Q433="Bishou B",608,IF(Atletas!Q433="Shan B",609,IF(Atletas!Q433="Outra Arma Curta B",610,IF(Atletas!Q433="Dao C",611,IF(Atletas!Q433="Jian C",612,IF(Atletas!Q433="Bishou C",613,IF(Atletas!Q433="Shan C",614,IF(Atletas!Q433="Outra Arma Curta C",615,IF(Atletas!Q433="Dao D",616,IF(Atletas!Q433="Jian D",617,IF(Atletas!Q433="Bishou D",618,IF(Atletas!Q433="Shan D",619,IF(Atletas!Q433="Outra Arma Curta D",620,IF(Atletas!Q433="Dao E",621,IF(Atletas!Q433="Jian E",622,IF(Atletas!Q433="Bishou E",623,IF(Atletas!Q433="Shan E",624,IF(Atletas!Q433="Outra Arma Curta E",625,IF(Atletas!Q433="Dao F",626,IF(Atletas!Q433="Jian F",627,IF(Atletas!Q433="Bishou F",628,IF(Atletas!Q433="Shan F",629,IF(Atletas!Q433="Outra Arma Curta F",630, "")))))))))))))))))))))))))))))))</f>
        <v/>
      </c>
      <c r="BT437" s="52" t="str">
        <f>IF(Atletas!R433="","",IF(Atletas!W433&lt;&gt;"",10000,0)+IF(Atletas!B433="Feminino",1000,IF(Atletas!B433="Masculino",2000,""))+IF(Atletas!R433="Gun A",701,IF(Atletas!R433="Qiang A",702,IF(Atletas!R433="Pudao / Guandao A",703,IF(Atletas!R433="Outra Arma Longa A",704,IF(Atletas!R433="Gun B",705,IF(Atletas!R433="Qiang B",706,IF(Atletas!R433="Pudao / Guandao B",707,IF(Atletas!R433="Outra Arma Longa B",708,IF(Atletas!R433="Gun C",709,IF(Atletas!R433="Qiang C",710,IF(Atletas!R433="Pudao / Guandao C",711,IF(Atletas!R433="Outra Arma Longa C",712,IF(Atletas!R433="Gun D",713,IF(Atletas!R433="Qiang D",714,IF(Atletas!R433="Pudao / Guandao D",715,IF(Atletas!R433="Outra Arma Longa D",716,IF(Atletas!R433="Gun E",717,IF(Atletas!R433="Qiang E",718,IF(Atletas!R433="Pudao / Guandao E",719,IF(Atletas!R433="Outra Arma Longa E",720,IF(Atletas!R433="Gun F",721,IF(Atletas!R433="Qiang F",722,IF(Atletas!R433="Pudao / Guandao F",723,IF(Atletas!R433="Outra Arma Longa F",724,"")))))))))))))))))))))))))</f>
        <v/>
      </c>
      <c r="BU437" s="52" t="str">
        <f>IF(Atletas!S433="","",IF(Atletas!W433&lt;&gt;"",10000,0)+IF(Atletas!B433="Feminino",1000,IF(Atletas!B433="Masculino",2000,""))+IF(Atletas!S433="Arma Dupla A",801,IF(Atletas!S433="Arma Maleável A",802,IF(Atletas!S433="Arma Dupla B",803,IF(Atletas!S433="Arma Maleável B",804,IF(Atletas!S433="Arma Dupla C",805,IF(Atletas!S433="Arma Maleável C",806,IF(Atletas!S433="Arma Dupla D",807,IF(Atletas!S433="Arma Maleável D",808,IF(Atletas!S433="Arma Dupla E",809,IF(Atletas!S433="Arma Maleável E",810,IF(Atletas!S433="Arma Dupla F",811,IF(Atletas!S433="Arma Maleável F",812, "")))))))))))))</f>
        <v/>
      </c>
      <c r="BV437" s="52" t="str">
        <f>IF(Atletas!T433="","",IF(Atletas!W433&lt;&gt;"",10000,0)+IF(Atletas!B433="Feminino",1000,IF(Atletas!B433="Masculino",2000,""))+IF(Atletas!T433="Taijijian Yang A",901,IF(Atletas!T433="Taijijian Chen A",902,IF(Atletas!T433="Taijijian Sun A",903,IF(Atletas!T433="Taijijian Wu A",904,IF(Atletas!T433="Taijijian Wu-Hao A",905,IF(Atletas!T433="Taijijian 32 A",906,IF(Atletas!T433="Taijijian 42 A",907,IF(Atletas!T433="Taijijian Yang B",908,IF(Atletas!T433="Taijijian Chen B",909,IF(Atletas!T433="Taijijian Sun B",910,IF(Atletas!T433="Taijijian Wu B",911,IF(Atletas!T433="Taijijian Wu-Hao B",912,IF(Atletas!T433="Taijijian 32 B",913,IF(Atletas!T433="Taijijian 42 B",914,IF(Atletas!T433="Taijijian Yang C",915,IF(Atletas!T433="Taijijian Chen C",916,IF(Atletas!T433="Taijijian Sun C",917,IF(Atletas!T433="Taijijian Wu C",918,IF(Atletas!T433="Taijijian Wu-Hao C",919,IF(Atletas!T433="Taijijian 32 C",920,IF(Atletas!T433="Taijijian 42 C",921,IF(Atletas!T433="Taijijian Yang D",922,IF(Atletas!T433="Taijijian Chen D",923,IF(Atletas!T433="Taijijian Sun D",924,IF(Atletas!T433="Taijijian Wu D",925,IF(Atletas!T433="Taijijian Wu-Hao D",926,IF(Atletas!T433="Taijijian 32 D",927,IF(Atletas!T433="Taijijian 42 D",928,IF(Atletas!T433="Taijijian Yang E",929,IF(Atletas!T433="Taijijian Chen E",930,IF(Atletas!T433="Taijijian Sun E",931,IF(Atletas!T433="Taijijian Wu E",932,IF(Atletas!T433="Taijijian Wu-Hao E",933,IF(Atletas!T433="Taijijian 32 E",934,IF(Atletas!T433="Taijijian 42 E",935,IF(Atletas!T433="Taijijian Yang F",936,IF(Atletas!T433="Taijijian Chen F",937,IF(Atletas!T433="Taijijian Sun F",938,IF(Atletas!T433="Taijijian Wu F",939,IF(Atletas!T433="Taijijian Wu-Hao F",940,IF(Atletas!T433="Taijijian 32 F",941,IF(Atletas!T433="Taijijian 42 F",942,"")))))))))))))))))))))))))))))))))))))))))))</f>
        <v/>
      </c>
      <c r="BW437" s="52" t="str">
        <f>IF(Atletas!U433="","",IF(Atletas!W433&lt;&gt;"",10000,0)+IF(Atletas!B433="Feminino",1000,IF(Atletas!B433="Masculino",2000,""))+IF(Atletas!T433="Taijijian 42 F",942,IF(Atletas!U433="Taijidao A",943,IF(Atletas!U433="Taijishan A",944,IF(Atletas!U433="Taijiqiang A",945,IF(Atletas!U433="Taijidao B",946,IF(Atletas!U433="Taijishan B",947,IF(Atletas!U433="Taijiqiang B",948,IF(Atletas!U433="Taijidao C",949,IF(Atletas!U433="Taijishan C",950,IF(Atletas!U433="Taijiqiang C",951,IF(Atletas!U433="Taijidao D",952,IF(Atletas!U433="Taijishan D",953,IF(Atletas!U433="Taijiqiang D",954,IF(Atletas!U433="Taijidao E",955,IF(Atletas!U433="Taijishan E",956,IF(Atletas!U433="Taijiqiang E",957,IF(Atletas!U433="Taijidao F",958,IF(Atletas!U433="Taijishan F",959,IF(Atletas!U433="Taijiqiang F",960))))))))))))))))))))</f>
        <v/>
      </c>
      <c r="CF437" s="52" t="str">
        <f xml:space="preserve"> IF(Atletas!V433="","",IF(Atletas!V433="Duilian de Mãos AB - Equipe 1",1,IF(Atletas!V433="Duilian de Mãos AB - Equipe 2",2,IF(Atletas!V433="Duilian de Armas AB - Equipe 1",3,IF(Atletas!V433="Duilian de Armas AB - Equipe 2",4,IF(Atletas!V433="Duilian de Tuishou - Equipe 1",5,IF(Atletas!V433="Duilian de Tuishou - Equipe 2",6,IF(Atletas!V433="Grupo Externo AB - Equipe 1",7,IF(Atletas!V433="Grupo Externo AB - Equipe 2",8,IF(Atletas!V433="Grupo Interno AB - Equipe 1",9,IF(Atletas!V433="Grupo Interno AB - Equipe 2",10,IF(Atletas!V433="Duilian de Mãos CD - Equipe 1",11,IF(Atletas!V433="Duilian de Mãos CD - Equipe 2",12,IF(Atletas!V433="Duilian de Armas CD - Equipe 1",13,IF(Atletas!V433="Duilian de Armas CD - Equipe 2",14,IF(Atletas!V433="Duilian de Tuishou - Equipe 1",15,IF(Atletas!V433="Duilian de Tuishou - Equipe 2",16,IF(Atletas!V433="Grupo Externo CDEF - Equipe 1",17,IF(Atletas!V433="Grupo Externo CDEF - Equipe 2",18,IF(Atletas!V433="Grupo Interno CDEF - Equipe 1",19,IF(Atletas!V433="Grupo Interno CDEF - Equipe 2",20,IF(Atletas!V433="Duilian de Mãos EF - Equipe 1",21,IF(Atletas!V433="Duilian de Mãos EF - Equipe 2",22,IF(Atletas!V433="Duilian de Armas EF - Equipe 1",23,IF(Atletas!V433="Duilian de Armas EF - Equipe 2",24,IF(Atletas!V433="Duilian de Tuishou - Equipe 1",25,IF(Atletas!V433="Duilian de Tuishou - Equipe 2",26,"")))))))))))))))))))))))))))</f>
        <v/>
      </c>
    </row>
    <row r="438" spans="36:84">
      <c r="AJ438" s="46" t="str">
        <f>IF(Atletas!D434="","",IF(Atletas!B434="Feminino",100,IF(Atletas!B434="Masculino",200,""))+(IF(Atletas!D434="Infantil 39kg",1,IF(Atletas!D434="Infantil 42kg",2,IF(Atletas!D434="Infantil 45kg",3,IF(Atletas!D434="Infantil 48kg",4,IF(Atletas!D434="Infantil 52kg",5,IF(Atletas!D434="Infantil 56kg",6,IF(Atletas!D434="Infantil 60kg",7,IF(Atletas!D434="Juvenil 48kg",8,IF(Atletas!D434="Juvenil 52kg",9,IF(Atletas!D434="Juvenil 56kg",10,IF(Atletas!D434="Juvenil 60kg",11,IF(Atletas!D434="Juvenil 65kg",12,IF(Atletas!D434="Juvenil 70kg",13,IF(Atletas!D434="Juvenil 75kg",14,IF(Atletas!D434="Juvenil 80kg",15,IF(Atletas!D434="Adulto 48kg",16,IF(Atletas!D434="Adulto 52kg",17,IF(Atletas!D434="Adulto 56kg",18,IF(Atletas!D434="Adulto 60kg",19,IF(Atletas!D434="Adulto 65kg",20,IF(Atletas!D434="Adulto 70kg",21,IF(Atletas!D434="Adulto 75kg",22,IF(Atletas!D434="Adulto 80kg",23,IF(Atletas!D434="Adulto 85kg",24,IF(Atletas!D434="Adulto 90kg",25,IF(Atletas!D434="Adulto +90kg",26,""))))))))))))))))))))))))))))</f>
        <v/>
      </c>
      <c r="AO438" s="10" t="str">
        <f>IF(Atletas!E434="","",IF(Atletas!B434="Feminino",100,IF(Atletas!B434="Masculino",200,""))+(IF(Atletas!E434="Juvenil 44kg",1,IF(Atletas!E434="Juvenil 48kg",2,IF(Atletas!E434="Juvenil 52kg",3,IF(Atletas!E434="Juvenil 56kg",4,IF(Atletas!E434="Juvenil 60kg",5,IF(Atletas!E434="Juvenil 65kg",6,IF(Atletas!E434="Juvenil 70kg",7,IF(Atletas!E434="Juvenil 75kg",8,IF(Atletas!E434="Juvenil 82kg",9,IF(Atletas!E434="Juvenil 90kg",10,IF(Atletas!E434="Juvenil 100kg",11,IF(Atletas!E434="Adulto 48kg",12,IF(Atletas!E434="Adulto 52kg",13,IF(Atletas!E434="Adulto 56kg",14,IF(Atletas!E434="Adulto 60kg",15,IF(Atletas!E434="Adulto 65kg",16,IF(Atletas!E434="Adulto 70kg",17,IF(Atletas!E434="Adulto 75kg",18,IF(Atletas!E434="Adulto 82kg",19,IF(Atletas!E434="Adulto 90kg",20,IF(Atletas!E434="Adulto 100kg",21,IF(Atletas!E434="Adulto +100kg",22,""))))))))))))))))))))))))</f>
        <v/>
      </c>
      <c r="AT438" s="10" t="str">
        <f>IF(Atletas!F434="","",IF(Atletas!B434="Feminino",100,IF(Atletas!B434="Masculino",200,""))+(IF(Atletas!F434="Adulto 48kg",1,IF(Atletas!F434="Adulto 56kg",2,IF(Atletas!F434="Adulto 65kg",3,IF(Atletas!F434="Adulto 75kg",4,IF(Atletas!F434="Adulto +75kg",5,IF(Atletas!F434="Adulto 52kg",6,IF(Atletas!F434="Adulto 60kg",7,IF(Atletas!F434="Adulto 70kg",8,IF(Atletas!F434="Adulto 80kg",9,IF(Atletas!F434="Adulto 90kg",10,IF(Atletas!F434="Adulto +90kg",11,"")))))))))))))</f>
        <v/>
      </c>
      <c r="AY438" s="46" t="str">
        <f>IF(Atletas!G434="","",IF(Atletas!B434="Feminino",100,IF(Atletas!B434="Masculino",200,""))+(IF(Atletas!G434="Changquan Mirim",1,IF(Atletas!G434="Nanquan Mirim",2,IF(Atletas!G434="Taijiquan Mirim",3,IF(Atletas!G434="Changquan Grupo C",4,IF(Atletas!G434="Nanquan Grupo C",5,IF(Atletas!G434="Taijiquan Grupo C",6,IF(Atletas!G434="Changquan Grupo B",7,IF(Atletas!G434="Nanquan Grupo B",8,IF(Atletas!G434="Taijiquan Grupo B",9,IF(Atletas!G434="Changquan Grupo A",10,IF(Atletas!G434="Nanquan Grupo A",11,IF(Atletas!G434="Taijiquan Grupo A",12,IF(Atletas!G434="Changquan Opcional",13,IF(Atletas!G434="Nanquan Opcional",14,IF(Atletas!G434="Taijiquan Opcional",15,IF(Atletas!G434="Changquan Adulto",16,IF(Atletas!G434="Nanquan Adulto",17,IF(Atletas!G434="Taijiquan Adulto",18,""))))))))))))))))))))</f>
        <v/>
      </c>
      <c r="AZ438" s="46" t="str">
        <f>IF(Atletas!H434="","",IF(Atletas!B434="Feminino",100,IF(Atletas!B434="Masculino",200,""))+(IF(Atletas!H434="Daoshu Mirim",19,IF(Atletas!H434="Jianshu Mirim",20,IF(Atletas!H434="Nandao Mirim",21,IF(Atletas!H434="Taijijian Mirim",22,IF(Atletas!H434="Daoshu Grupo C",23,IF(Atletas!H434="Jianshu Grupo C",24,IF(Atletas!H434="Nandao Grupo C",25,IF(Atletas!H434="Taijijian Grupo C",26,IF(Atletas!H434="Daoshu Grupo B",27,IF(Atletas!H434="Jianshu Grupo B",28,IF(Atletas!H434="Nandao Grupo B",29,IF(Atletas!H434="Taijijian Grupo B",30,IF(Atletas!H434="Daoshu Grupo A",31,IF(Atletas!H434="Jianshu Grupo A",32,IF(Atletas!H434="Nandao Grupo A",33,IF(Atletas!H434="Taijijian Grupo A",34,IF(Atletas!H434="Daoshu Opcional",35,IF(Atletas!H434="Jianshu Opcional",36,IF(Atletas!H434="Nandao Opcional",37,IF(Atletas!H434="Taijijian Opcional",38,IF(Atletas!H434="Daoshu Adulto",39,IF(Atletas!H434="Jianshu Adulto",40,IF(Atletas!H434="Nandao Adulto",41,IF(Atletas!H434="Taijijian Adulto",42,""))))))))))))))))))))))))))</f>
        <v/>
      </c>
      <c r="BA438" s="46" t="str">
        <f>IF(Atletas!I434="","",IF(Atletas!B434="Feminino",100,IF(Atletas!B434="Masculino",200,""))+(IF(Atletas!I434="Gunshu Mirim",43,IF(Atletas!I434="Qiangshu Mirim",44,IF(Atletas!I434="Nangun Mirim",45,IF(Atletas!I434="Gunshu Grupo C",46,IF(Atletas!I434="Qiangshu Grupo C",47,IF(Atletas!I434="Nangun Grupo C",48,IF(Atletas!I434="Gunshu Grupo B",49,IF(Atletas!I434="Qiangshu Grupo B",50,IF(Atletas!I434="Nangun Grupo B",51,IF(Atletas!I434="Gunshu Grupo A",52,IF(Atletas!I434="Qiangshu Grupo A",53,IF(Atletas!I434="Nangun Grupo A",54,IF(Atletas!I434="Gunshu Opcional",55,IF(Atletas!I434="Qiangshu Opcional",56,IF(Atletas!I434="Nangun Opcional",57,IF(Atletas!I434="Gunshu Adulto",58,IF(Atletas!I434="Qiangshu Adulto",59,IF(Atletas!I434="Nangun Adulto",60,""))))))))))))))))))))</f>
        <v/>
      </c>
      <c r="BF438" s="52" t="str">
        <f>IF(Atletas!J434="","",IF(Atletas!B434="Feminino",100,IF(Atletas!B434="Masculino",200,""))+(IF(Atletas!J434="Equipe 1 Grupo B",1,IF(Atletas!J434="Equipe 2 Grupo B",2,IF(Atletas!J434="Equipe 1 Grupo A",3,IF(Atletas!J434="Equipe 2 Grupo A",4,IF(Atletas!J434="Equipe 1 Adulto",5,IF(Atletas!J434="Equipe 2 Adulto",6,""))))))))</f>
        <v/>
      </c>
      <c r="BK438" s="52" t="str">
        <f>IF(Atletas!K434="","",IF(Atletas!W434&lt;&gt;"",10000,0)+(IF(Atletas!B434="Feminino",1000,IF(Atletas!B434="Masculino",2000,""))+IF(Atletas!K434="Choylayfut A",1,IF(Atletas!K434="Hunggar A",2,IF(Atletas!K434="Wuzuquan A",3,IF(Atletas!K434="Wingchun A",4,IF(Atletas!K434="Outra Mão de Sul A",5,IF(Atletas!K434="Choylayfut B",6,IF(Atletas!K434="Hunggar B",7,IF(Atletas!K434="Wuzuquan B",8,IF(Atletas!K434="Wingchun B",9,IF(Atletas!K434="Outra Mão de Sul B",10,IF(Atletas!K434="Choylayfut C",11,IF(Atletas!K434="Hunggar C",12,IF(Atletas!K434="Wuzuquan C",13,IF(Atletas!K434="Wingchun C",14,IF(Atletas!K434="Outra Mão de Sul C",15,IF(Atletas!K434="Choylayfut D",16,IF(Atletas!K434="Hunggar D",17,IF(Atletas!K434="Wuzuquan D",18,IF(Atletas!K434="Wingchun D",19,IF(Atletas!K434="Outra Mão de Sul D",20,IF(Atletas!K434="Choylayfut E",21,IF(Atletas!K434="Hunggar E",22,IF(Atletas!K434="Wuzuquan E",23,IF(Atletas!K434="Wingchun E",24,IF(Atletas!K434="Outra Mão de Sul E",25,IF(Atletas!K434="Choylayfut F",26,IF(Atletas!K434="Hunggar F",27,IF(Atletas!K434="Wuzuquan F",28,IF(Atletas!K434="Wingchun F",29,IF(Atletas!K434="Outra Mão de Sul F",30,""))))))))))))))))))))))))))))))))</f>
        <v/>
      </c>
      <c r="BL438" s="52" t="str">
        <f>IF(Atletas!L434="","",IF(Atletas!W434&lt;&gt;"",10000,0)+(IF(Atletas!B434="Feminino",1000,IF(Atletas!B434="Masculino",2000,""))+(IF(Atletas!L434="Chaquan A",101,IF(Atletas!L434="Emeiquan A",102,IF(Atletas!L434="Fanziquan A",103,IF(Atletas!L434="Huaquan A",104,IF(Atletas!L434="Hongquan A",105,IF(Atletas!L434="Paochui A",106,IF(Atletas!L434="Piguaquan A",107,IF(Atletas!L434="Shaolinquan A",108,IF(Atletas!L434="Tanglangquan A",109,IF(Atletas!L434="Yinzhaophai A",110,IF(Atletas!L434="Tongbeiquan A",111,IF(Atletas!L434="Wudangquan A",112,IF(Atletas!L434="Outros Estilos A",113,IF(Atletas!L434="Chaquan B",114,IF(Atletas!L434="Emeiquan B",115,IF(Atletas!L434="Fanziquan B",116,IF(Atletas!L434="Huaquan B",117,IF(Atletas!L434="Hongquan B",118,IF(Atletas!L434="Paochui B",119,IF(Atletas!L434="Piguaquan B",120,IF(Atletas!L434="Shaolinquan B",121,IF(Atletas!L434="Tanglangquan B",122,IF(Atletas!L434="Yinzhaophai B",123,IF(Atletas!L434="Tongbeiquan B",124,IF(Atletas!L434="Wudangquan B",125,IF(Atletas!L434="Outros Estilos B",126,IF(Atletas!L434="Chaquan C",127,IF(Atletas!L434="Emeiquan C",128,IF(Atletas!L434="Fanziquan C",129,IF(Atletas!L434="Huaquan C",130,IF(Atletas!L434="Hongquan C",131,IF(Atletas!L434="Paochui C",132,IF(Atletas!L434="Piguaquan C",133,IF(Atletas!L434="Shaolinquan C",134,IF(Atletas!L434="Tanglangquan C",135,IF(Atletas!L434="Yinzhaophai C",136,IF(Atletas!L434="Tongbeiquan C",137,IF(Atletas!L434="Wudangquan C",138,IF(Atletas!L434="Outros Estilos C",139,0))))))))))))))))))))))))))))))))))))))))))</f>
        <v/>
      </c>
      <c r="BM438" s="52" t="str">
        <f>IF(Atletas!L434="","",IF(Atletas!W434&lt;&gt;"",10000,0)+(IF(Atletas!B434="Feminino",1000,IF(Atletas!B434="Masculino",2000,""))+(IF(Atletas!L434="Chaquan D",140,IF(Atletas!L434="Emeiquan D",141,IF(Atletas!L434="Fanziquan D",142,IF(Atletas!L434="Huaquan D",143,IF(Atletas!L434="Hongquan D",144,IF(Atletas!L434="Paochui D",145,IF(Atletas!L434="Piguaquan D",146,IF(Atletas!L434="Shaolinquan D",147,IF(Atletas!L434="Tanglangquan D",148,IF(Atletas!L434="Yinzhaophai D",149,IF(Atletas!L434="Tongbeiquan D",150,IF(Atletas!L434="Wudangquan D",151,IF(Atletas!L434="Outros Estilos D",152,IF(Atletas!L434="Chaquan E",153,IF(Atletas!L434="Emeiquan E",154,IF(Atletas!L434="Fanziquan E",155,IF(Atletas!L434="Huaquan E",156,IF(Atletas!L434="Hongquan E",157,IF(Atletas!L434="Paochui E",158,IF(Atletas!L434="Piguaquan E",159,IF(Atletas!L434="Shaolinquan E",160,IF(Atletas!L434="Tanglangquan E",161,IF(Atletas!L434="Yinzhaophai E",162,IF(Atletas!L434="Tongbeiquan E",163,IF(Atletas!L434="Wudangquan E",164,IF(Atletas!L434="Outros Estilos E",165,IF(Atletas!L434="Chaquan F",166,IF(Atletas!L434="Emeiquan F",167,IF(Atletas!L434="Fanziquan F",168,IF(Atletas!L434="Huaquan F",169,IF(Atletas!L434="Hongquan F",170,IF(Atletas!L434="Paochui F",171,IF(Atletas!L434="Piguaquan F",172,IF(Atletas!L434="Shaolinquan F",173,IF(Atletas!L434="Tanglangquan F",174,IF(Atletas!L434="Yinzhaophai F",175,IF(Atletas!L434="Tongbeiquan F",176,IF(Atletas!L434="Wudangquan F",177,IF(Atletas!L434="Outros Estilos F",178,0))))))))))))))))))))))))))))))))))))))))))</f>
        <v/>
      </c>
      <c r="BN438" s="52" t="str">
        <f>IF(Atletas!M434="","",IF(Atletas!W434&lt;&gt;"",10000,0)+(IF(Atletas!B434="Feminino",1000,IF(Atletas!B434="Masculino",2000,""))+(IF(Atletas!M434="Ditangquan A",201,IF(Atletas!M434="Houquan A",202,IF(Atletas!M434="Zuiquan A",203,IF(Atletas!M434="Ditangquan B",204,IF(Atletas!M434="Houquan B",205,IF(Atletas!M434="Zuiquan B",206,IF(Atletas!M434="Ditangquan C",207,IF(Atletas!M434="Houquan C",208,IF(Atletas!M434="Zuiquan C",209,IF(Atletas!M434="Ditangquan D",210,IF(Atletas!M434="Houquan D",211,IF(Atletas!M434="Zuiquan D",212,IF(Atletas!M434="Ditangquan E",213,IF(Atletas!M434="Houquan E",214,IF(Atletas!M434="Zuiquan E",215,IF(Atletas!M434="Ditangquan F",216,IF(Atletas!M434="Houquan F",217,IF(Atletas!M434="Zuiquan F",218,"")))))))))))))))))))))</f>
        <v/>
      </c>
      <c r="BO438" s="52" t="str">
        <f>IF(Atletas!N434="","",IF(Atletas!W434&lt;&gt;"",10000,0)+IF(Atletas!B434="Feminino",1000,IF(Atletas!B434="Masculino",2000,""))+IF(Atletas!N434="Yang A",301,IF(Atletas!N434="Chen A",30,IF(Atletas!N434="Sun A",303,IF(Atletas!N434="Wu A",304,IF(Atletas!N434="Wu-Hao A",305,IF(Atletas!N434="Outro Taijiquan A",306,IF(Atletas!N434="Yang B",307,IF(Atletas!N434="Chen B",308,IF(Atletas!N434="Sun B",309,IF(Atletas!N434="Wu B",310,IF(Atletas!N434="Wu-Hao B",311,IF(Atletas!N434="Outro Taijiquan B",312,IF(Atletas!N434="Yang C",313,IF(Atletas!N434="Chen C",314,IF(Atletas!N434="Sun C",315,IF(Atletas!N434="Wu C",316,IF(Atletas!N434="Wu-Hao C",317,IF(Atletas!N434="Outro Taijiquan C",318,IF(Atletas!N434="Yang D",319,IF(Atletas!N434="Chen D",320,IF(Atletas!N434="Sun D",321,IF(Atletas!N434="Wu D",322,IF(Atletas!N434="Wu-Hao D",323,IF(Atletas!N434="Outro Taijiquan D",324,IF(Atletas!N434="Yang E",325,IF(Atletas!N434="Chen E",326,IF(Atletas!N434="Sun E",327,IF(Atletas!N434="Wu E",328,IF(Atletas!N434="Wu-Hao E",329,IF(Atletas!N434="Outro Taijiquan E",330,IF(Atletas!N434="Yang F",331,IF(Atletas!N434="Chen F",332,IF(Atletas!N434="Sun F",333,IF(Atletas!N434="Wu F",334,IF(Atletas!N434="Wu-Hao F",335,IF(Atletas!N434="Outro Taijiquan F",336,"")))))))))))))))))))))))))))))))))))))</f>
        <v/>
      </c>
      <c r="BP438" s="52" t="str">
        <f>IF(Atletas!O434="","",IF(Atletas!W434&lt;&gt;"",10000,0)+IF(Atletas!B434="Feminino",1000,IF(Atletas!B434="Masculino",2000,""))+IF(OR(Atletas!O434="Yang 26 A",Atletas!O434="Yang 40 A"),401,IF(OR(Atletas!O434="Chen 25 A",Atletas!O434="Chen 36 A",Atletas!O434="Chen 56 A"),402,IF(Atletas!O434="Sun 73 A",403,IF(Atletas!O434="Wu 45 A",404,IF(Atletas!O434="Wu-Hao 46 A",405,IF(OR(Atletas!O434="Taijiquan 16 A",Atletas!O434="Taijiquan 24 A",Atletas!O434="Taijiquan 32 A",Atletas!O434="Taijiquan 42 A"),406,IF(OR(Atletas!O434="Yang 26 B",Atletas!O434="Yang 40 B"),407,IF(OR(Atletas!O434="Chen 25 B",Atletas!O434="Chen 36 B",Atletas!O434="Chen 56 B"),408,IF(Atletas!O434="Sun 73 B",409,IF(Atletas!O434="Wu 45 B",410,IF(Atletas!O434="Wu-Hao 46 B",411,IF(OR(Atletas!O434="Taijiquan 16 B",Atletas!O434="Taijiquan 24 B",Atletas!O434="Taijiquan 32 B",Atletas!O434="Taijiquan 42 B"),412,IF(OR(Atletas!O434="Yang 26 C",Atletas!O434="Yang 40 C"),413,IF(OR(Atletas!O434="Chen 25 C",Atletas!O434="Chen 36 C",Atletas!O434="Chen 56 C"),414,IF(Atletas!O434="Sun 73 C",415,IF(Atletas!O434="Wu 45 C",416,IF(Atletas!O434="Wu-Hao 46 C",417,IF(OR(Atletas!O434="Taijiquan 16 C",Atletas!O434="Taijiquan 24 C",Atletas!O434="Taijiquan 32 C",Atletas!O434="Taijiquan 42 C"),418,0)))))))))))))))))))</f>
        <v/>
      </c>
      <c r="BQ438" s="52" t="str">
        <f>IF(Atletas!O434="","",IF(Atletas!W434&lt;&gt;"",10000,0)+IF(Atletas!B434="Feminino",1000,IF(Atletas!B434="Masculino",2000,""))+IF(OR(Atletas!O434="Yang 26 D",Atletas!O434="Yang 40 D"),419,IF(OR(Atletas!O434="Chen 25 D",Atletas!O434="Chen 36 D",Atletas!O434="Chen 56 D"),420,IF(Atletas!O434="Sun 73 D",421,IF(Atletas!O434="Wu 45 D",422,IF(Atletas!O434="Wu-Hao 46 D",423,IF(OR(Atletas!O434="Taijiquan 16 D",Atletas!O434="Taijiquan 24 D",Atletas!O434="Taijiquan 32 D",Atletas!O434="Taijiquan 42 D"),424,IF(OR(Atletas!O434="Yang 26 E",Atletas!O434="Yang 40 E"),425,IF(OR(Atletas!O434="Chen 25 E",Atletas!O434="Chen 36 E",Atletas!O434="Chen 56 E"),426,IF(Atletas!O434="Sun 73 E",427,IF(Atletas!O434="Wu 45 E",428,IF(Atletas!O434="Wu-Hao 46 E",429,IF(OR(Atletas!O434="Taijiquan 16 E",Atletas!O434="Taijiquan 24 E",Atletas!O434="Taijiquan 32 E",Atletas!O434="Taijiquan 42 E"),430,IF(OR(Atletas!O434="Yang 26 F",Atletas!O434="Yang 40 F"),431,IF(OR(Atletas!O434="Chen 25 F",Atletas!O434="Chen 36 F",Atletas!O434="Chen 56 F"),432,IF(Atletas!O434="Sun 73 F",433,IF(Atletas!O434="Wu 45 F",434,IF(Atletas!O434="Wu-Hao 46 F",435,IF(OR(Atletas!O434="Taijiquan 16 F",Atletas!O434="Taijiquan 24 F",Atletas!O434="Taijiquan 32 F",Atletas!O434="Taijiquan 42 F"),436,0)))))))))))))))))))</f>
        <v/>
      </c>
      <c r="BR438" s="52" t="str">
        <f>IF(Atletas!P434="","",IF(Atletas!W434&lt;&gt;"",10000,0)+IF(Atletas!B434="Feminino",1000,IF(Atletas!B434="Masculino",2000,""))+IF(Atletas!P434="Xingyiquan A",501,IF(Atletas!P434="Baguazhang A",502,IF(Atletas!P434="Outro Estilo Interno A",503,IF(Atletas!P434="Xingyiquan B",504,IF(Atletas!P434="Baguazhang B",505,IF(Atletas!P434="Outro Estilo Interno B",506,IF(Atletas!P434="Xingyiquan C",507,IF(Atletas!P434="Baguazhang C",508,IF(Atletas!P434="Outro Estilo Interno C",509,IF(Atletas!P434="Xingyiquan D",510,IF(Atletas!P434="Baguazhang D",511,IF(Atletas!P434="Outro Estilo Interno D",512,IF(Atletas!P434="Xingyiquan E",513,IF(Atletas!P434="Baguazhang E",514,IF(Atletas!P434="Outro Estilo Interno E",515,IF(Atletas!P434="Xingyiquan F",516,IF(Atletas!P434="Baguazhang F",517,IF(Atletas!P434="Outro Estilo Interno F",518, "")))))))))))))))))))</f>
        <v/>
      </c>
      <c r="BS438" s="52" t="str">
        <f>IF(Atletas!Q434="","",IF(Atletas!W434&lt;&gt;"",10000,0)+IF(Atletas!B434="Feminino",1000,IF(Atletas!B434="Masculino",2000,""))+IF(Atletas!Q434="Dao A",601,IF(Atletas!Q434="Jian A",602,IF(Atletas!Q434="Bishou A",603,IF(Atletas!Q434="Shan A",604,IF(Atletas!Q434="Outra Arma Curta A",605,IF(Atletas!Q434="Dao B",606,IF(Atletas!Q434="Jian B",607,IF(Atletas!Q434="Bishou B",608,IF(Atletas!Q434="Shan B",609,IF(Atletas!Q434="Outra Arma Curta B",610,IF(Atletas!Q434="Dao C",611,IF(Atletas!Q434="Jian C",612,IF(Atletas!Q434="Bishou C",613,IF(Atletas!Q434="Shan C",614,IF(Atletas!Q434="Outra Arma Curta C",615,IF(Atletas!Q434="Dao D",616,IF(Atletas!Q434="Jian D",617,IF(Atletas!Q434="Bishou D",618,IF(Atletas!Q434="Shan D",619,IF(Atletas!Q434="Outra Arma Curta D",620,IF(Atletas!Q434="Dao E",621,IF(Atletas!Q434="Jian E",622,IF(Atletas!Q434="Bishou E",623,IF(Atletas!Q434="Shan E",624,IF(Atletas!Q434="Outra Arma Curta E",625,IF(Atletas!Q434="Dao F",626,IF(Atletas!Q434="Jian F",627,IF(Atletas!Q434="Bishou F",628,IF(Atletas!Q434="Shan F",629,IF(Atletas!Q434="Outra Arma Curta F",630, "")))))))))))))))))))))))))))))))</f>
        <v/>
      </c>
      <c r="BT438" s="52" t="str">
        <f>IF(Atletas!R434="","",IF(Atletas!W434&lt;&gt;"",10000,0)+IF(Atletas!B434="Feminino",1000,IF(Atletas!B434="Masculino",2000,""))+IF(Atletas!R434="Gun A",701,IF(Atletas!R434="Qiang A",702,IF(Atletas!R434="Pudao / Guandao A",703,IF(Atletas!R434="Outra Arma Longa A",704,IF(Atletas!R434="Gun B",705,IF(Atletas!R434="Qiang B",706,IF(Atletas!R434="Pudao / Guandao B",707,IF(Atletas!R434="Outra Arma Longa B",708,IF(Atletas!R434="Gun C",709,IF(Atletas!R434="Qiang C",710,IF(Atletas!R434="Pudao / Guandao C",711,IF(Atletas!R434="Outra Arma Longa C",712,IF(Atletas!R434="Gun D",713,IF(Atletas!R434="Qiang D",714,IF(Atletas!R434="Pudao / Guandao D",715,IF(Atletas!R434="Outra Arma Longa D",716,IF(Atletas!R434="Gun E",717,IF(Atletas!R434="Qiang E",718,IF(Atletas!R434="Pudao / Guandao E",719,IF(Atletas!R434="Outra Arma Longa E",720,IF(Atletas!R434="Gun F",721,IF(Atletas!R434="Qiang F",722,IF(Atletas!R434="Pudao / Guandao F",723,IF(Atletas!R434="Outra Arma Longa F",724,"")))))))))))))))))))))))))</f>
        <v/>
      </c>
      <c r="BU438" s="52" t="str">
        <f>IF(Atletas!S434="","",IF(Atletas!W434&lt;&gt;"",10000,0)+IF(Atletas!B434="Feminino",1000,IF(Atletas!B434="Masculino",2000,""))+IF(Atletas!S434="Arma Dupla A",801,IF(Atletas!S434="Arma Maleável A",802,IF(Atletas!S434="Arma Dupla B",803,IF(Atletas!S434="Arma Maleável B",804,IF(Atletas!S434="Arma Dupla C",805,IF(Atletas!S434="Arma Maleável C",806,IF(Atletas!S434="Arma Dupla D",807,IF(Atletas!S434="Arma Maleável D",808,IF(Atletas!S434="Arma Dupla E",809,IF(Atletas!S434="Arma Maleável E",810,IF(Atletas!S434="Arma Dupla F",811,IF(Atletas!S434="Arma Maleável F",812, "")))))))))))))</f>
        <v/>
      </c>
      <c r="BV438" s="52" t="str">
        <f>IF(Atletas!T434="","",IF(Atletas!W434&lt;&gt;"",10000,0)+IF(Atletas!B434="Feminino",1000,IF(Atletas!B434="Masculino",2000,""))+IF(Atletas!T434="Taijijian Yang A",901,IF(Atletas!T434="Taijijian Chen A",902,IF(Atletas!T434="Taijijian Sun A",903,IF(Atletas!T434="Taijijian Wu A",904,IF(Atletas!T434="Taijijian Wu-Hao A",905,IF(Atletas!T434="Taijijian 32 A",906,IF(Atletas!T434="Taijijian 42 A",907,IF(Atletas!T434="Taijijian Yang B",908,IF(Atletas!T434="Taijijian Chen B",909,IF(Atletas!T434="Taijijian Sun B",910,IF(Atletas!T434="Taijijian Wu B",911,IF(Atletas!T434="Taijijian Wu-Hao B",912,IF(Atletas!T434="Taijijian 32 B",913,IF(Atletas!T434="Taijijian 42 B",914,IF(Atletas!T434="Taijijian Yang C",915,IF(Atletas!T434="Taijijian Chen C",916,IF(Atletas!T434="Taijijian Sun C",917,IF(Atletas!T434="Taijijian Wu C",918,IF(Atletas!T434="Taijijian Wu-Hao C",919,IF(Atletas!T434="Taijijian 32 C",920,IF(Atletas!T434="Taijijian 42 C",921,IF(Atletas!T434="Taijijian Yang D",922,IF(Atletas!T434="Taijijian Chen D",923,IF(Atletas!T434="Taijijian Sun D",924,IF(Atletas!T434="Taijijian Wu D",925,IF(Atletas!T434="Taijijian Wu-Hao D",926,IF(Atletas!T434="Taijijian 32 D",927,IF(Atletas!T434="Taijijian 42 D",928,IF(Atletas!T434="Taijijian Yang E",929,IF(Atletas!T434="Taijijian Chen E",930,IF(Atletas!T434="Taijijian Sun E",931,IF(Atletas!T434="Taijijian Wu E",932,IF(Atletas!T434="Taijijian Wu-Hao E",933,IF(Atletas!T434="Taijijian 32 E",934,IF(Atletas!T434="Taijijian 42 E",935,IF(Atletas!T434="Taijijian Yang F",936,IF(Atletas!T434="Taijijian Chen F",937,IF(Atletas!T434="Taijijian Sun F",938,IF(Atletas!T434="Taijijian Wu F",939,IF(Atletas!T434="Taijijian Wu-Hao F",940,IF(Atletas!T434="Taijijian 32 F",941,IF(Atletas!T434="Taijijian 42 F",942,"")))))))))))))))))))))))))))))))))))))))))))</f>
        <v/>
      </c>
      <c r="BW438" s="52" t="str">
        <f>IF(Atletas!U434="","",IF(Atletas!W434&lt;&gt;"",10000,0)+IF(Atletas!B434="Feminino",1000,IF(Atletas!B434="Masculino",2000,""))+IF(Atletas!T434="Taijijian 42 F",942,IF(Atletas!U434="Taijidao A",943,IF(Atletas!U434="Taijishan A",944,IF(Atletas!U434="Taijiqiang A",945,IF(Atletas!U434="Taijidao B",946,IF(Atletas!U434="Taijishan B",947,IF(Atletas!U434="Taijiqiang B",948,IF(Atletas!U434="Taijidao C",949,IF(Atletas!U434="Taijishan C",950,IF(Atletas!U434="Taijiqiang C",951,IF(Atletas!U434="Taijidao D",952,IF(Atletas!U434="Taijishan D",953,IF(Atletas!U434="Taijiqiang D",954,IF(Atletas!U434="Taijidao E",955,IF(Atletas!U434="Taijishan E",956,IF(Atletas!U434="Taijiqiang E",957,IF(Atletas!U434="Taijidao F",958,IF(Atletas!U434="Taijishan F",959,IF(Atletas!U434="Taijiqiang F",960))))))))))))))))))))</f>
        <v/>
      </c>
      <c r="CF438" s="52" t="str">
        <f xml:space="preserve"> IF(Atletas!V434="","",IF(Atletas!V434="Duilian de Mãos AB - Equipe 1",1,IF(Atletas!V434="Duilian de Mãos AB - Equipe 2",2,IF(Atletas!V434="Duilian de Armas AB - Equipe 1",3,IF(Atletas!V434="Duilian de Armas AB - Equipe 2",4,IF(Atletas!V434="Duilian de Tuishou - Equipe 1",5,IF(Atletas!V434="Duilian de Tuishou - Equipe 2",6,IF(Atletas!V434="Grupo Externo AB - Equipe 1",7,IF(Atletas!V434="Grupo Externo AB - Equipe 2",8,IF(Atletas!V434="Grupo Interno AB - Equipe 1",9,IF(Atletas!V434="Grupo Interno AB - Equipe 2",10,IF(Atletas!V434="Duilian de Mãos CD - Equipe 1",11,IF(Atletas!V434="Duilian de Mãos CD - Equipe 2",12,IF(Atletas!V434="Duilian de Armas CD - Equipe 1",13,IF(Atletas!V434="Duilian de Armas CD - Equipe 2",14,IF(Atletas!V434="Duilian de Tuishou - Equipe 1",15,IF(Atletas!V434="Duilian de Tuishou - Equipe 2",16,IF(Atletas!V434="Grupo Externo CDEF - Equipe 1",17,IF(Atletas!V434="Grupo Externo CDEF - Equipe 2",18,IF(Atletas!V434="Grupo Interno CDEF - Equipe 1",19,IF(Atletas!V434="Grupo Interno CDEF - Equipe 2",20,IF(Atletas!V434="Duilian de Mãos EF - Equipe 1",21,IF(Atletas!V434="Duilian de Mãos EF - Equipe 2",22,IF(Atletas!V434="Duilian de Armas EF - Equipe 1",23,IF(Atletas!V434="Duilian de Armas EF - Equipe 2",24,IF(Atletas!V434="Duilian de Tuishou - Equipe 1",25,IF(Atletas!V434="Duilian de Tuishou - Equipe 2",26,"")))))))))))))))))))))))))))</f>
        <v/>
      </c>
    </row>
    <row r="439" spans="36:84">
      <c r="AJ439" s="46" t="str">
        <f>IF(Atletas!D435="","",IF(Atletas!B435="Feminino",100,IF(Atletas!B435="Masculino",200,""))+(IF(Atletas!D435="Infantil 39kg",1,IF(Atletas!D435="Infantil 42kg",2,IF(Atletas!D435="Infantil 45kg",3,IF(Atletas!D435="Infantil 48kg",4,IF(Atletas!D435="Infantil 52kg",5,IF(Atletas!D435="Infantil 56kg",6,IF(Atletas!D435="Infantil 60kg",7,IF(Atletas!D435="Juvenil 48kg",8,IF(Atletas!D435="Juvenil 52kg",9,IF(Atletas!D435="Juvenil 56kg",10,IF(Atletas!D435="Juvenil 60kg",11,IF(Atletas!D435="Juvenil 65kg",12,IF(Atletas!D435="Juvenil 70kg",13,IF(Atletas!D435="Juvenil 75kg",14,IF(Atletas!D435="Juvenil 80kg",15,IF(Atletas!D435="Adulto 48kg",16,IF(Atletas!D435="Adulto 52kg",17,IF(Atletas!D435="Adulto 56kg",18,IF(Atletas!D435="Adulto 60kg",19,IF(Atletas!D435="Adulto 65kg",20,IF(Atletas!D435="Adulto 70kg",21,IF(Atletas!D435="Adulto 75kg",22,IF(Atletas!D435="Adulto 80kg",23,IF(Atletas!D435="Adulto 85kg",24,IF(Atletas!D435="Adulto 90kg",25,IF(Atletas!D435="Adulto +90kg",26,""))))))))))))))))))))))))))))</f>
        <v/>
      </c>
      <c r="AO439" s="10" t="str">
        <f>IF(Atletas!E435="","",IF(Atletas!B435="Feminino",100,IF(Atletas!B435="Masculino",200,""))+(IF(Atletas!E435="Juvenil 44kg",1,IF(Atletas!E435="Juvenil 48kg",2,IF(Atletas!E435="Juvenil 52kg",3,IF(Atletas!E435="Juvenil 56kg",4,IF(Atletas!E435="Juvenil 60kg",5,IF(Atletas!E435="Juvenil 65kg",6,IF(Atletas!E435="Juvenil 70kg",7,IF(Atletas!E435="Juvenil 75kg",8,IF(Atletas!E435="Juvenil 82kg",9,IF(Atletas!E435="Juvenil 90kg",10,IF(Atletas!E435="Juvenil 100kg",11,IF(Atletas!E435="Adulto 48kg",12,IF(Atletas!E435="Adulto 52kg",13,IF(Atletas!E435="Adulto 56kg",14,IF(Atletas!E435="Adulto 60kg",15,IF(Atletas!E435="Adulto 65kg",16,IF(Atletas!E435="Adulto 70kg",17,IF(Atletas!E435="Adulto 75kg",18,IF(Atletas!E435="Adulto 82kg",19,IF(Atletas!E435="Adulto 90kg",20,IF(Atletas!E435="Adulto 100kg",21,IF(Atletas!E435="Adulto +100kg",22,""))))))))))))))))))))))))</f>
        <v/>
      </c>
      <c r="AT439" s="10" t="str">
        <f>IF(Atletas!F435="","",IF(Atletas!B435="Feminino",100,IF(Atletas!B435="Masculino",200,""))+(IF(Atletas!F435="Adulto 48kg",1,IF(Atletas!F435="Adulto 56kg",2,IF(Atletas!F435="Adulto 65kg",3,IF(Atletas!F435="Adulto 75kg",4,IF(Atletas!F435="Adulto +75kg",5,IF(Atletas!F435="Adulto 52kg",6,IF(Atletas!F435="Adulto 60kg",7,IF(Atletas!F435="Adulto 70kg",8,IF(Atletas!F435="Adulto 80kg",9,IF(Atletas!F435="Adulto 90kg",10,IF(Atletas!F435="Adulto +90kg",11,"")))))))))))))</f>
        <v/>
      </c>
      <c r="AY439" s="46" t="str">
        <f>IF(Atletas!G435="","",IF(Atletas!B435="Feminino",100,IF(Atletas!B435="Masculino",200,""))+(IF(Atletas!G435="Changquan Mirim",1,IF(Atletas!G435="Nanquan Mirim",2,IF(Atletas!G435="Taijiquan Mirim",3,IF(Atletas!G435="Changquan Grupo C",4,IF(Atletas!G435="Nanquan Grupo C",5,IF(Atletas!G435="Taijiquan Grupo C",6,IF(Atletas!G435="Changquan Grupo B",7,IF(Atletas!G435="Nanquan Grupo B",8,IF(Atletas!G435="Taijiquan Grupo B",9,IF(Atletas!G435="Changquan Grupo A",10,IF(Atletas!G435="Nanquan Grupo A",11,IF(Atletas!G435="Taijiquan Grupo A",12,IF(Atletas!G435="Changquan Opcional",13,IF(Atletas!G435="Nanquan Opcional",14,IF(Atletas!G435="Taijiquan Opcional",15,IF(Atletas!G435="Changquan Adulto",16,IF(Atletas!G435="Nanquan Adulto",17,IF(Atletas!G435="Taijiquan Adulto",18,""))))))))))))))))))))</f>
        <v/>
      </c>
      <c r="AZ439" s="46" t="str">
        <f>IF(Atletas!H435="","",IF(Atletas!B435="Feminino",100,IF(Atletas!B435="Masculino",200,""))+(IF(Atletas!H435="Daoshu Mirim",19,IF(Atletas!H435="Jianshu Mirim",20,IF(Atletas!H435="Nandao Mirim",21,IF(Atletas!H435="Taijijian Mirim",22,IF(Atletas!H435="Daoshu Grupo C",23,IF(Atletas!H435="Jianshu Grupo C",24,IF(Atletas!H435="Nandao Grupo C",25,IF(Atletas!H435="Taijijian Grupo C",26,IF(Atletas!H435="Daoshu Grupo B",27,IF(Atletas!H435="Jianshu Grupo B",28,IF(Atletas!H435="Nandao Grupo B",29,IF(Atletas!H435="Taijijian Grupo B",30,IF(Atletas!H435="Daoshu Grupo A",31,IF(Atletas!H435="Jianshu Grupo A",32,IF(Atletas!H435="Nandao Grupo A",33,IF(Atletas!H435="Taijijian Grupo A",34,IF(Atletas!H435="Daoshu Opcional",35,IF(Atletas!H435="Jianshu Opcional",36,IF(Atletas!H435="Nandao Opcional",37,IF(Atletas!H435="Taijijian Opcional",38,IF(Atletas!H435="Daoshu Adulto",39,IF(Atletas!H435="Jianshu Adulto",40,IF(Atletas!H435="Nandao Adulto",41,IF(Atletas!H435="Taijijian Adulto",42,""))))))))))))))))))))))))))</f>
        <v/>
      </c>
      <c r="BA439" s="46" t="str">
        <f>IF(Atletas!I435="","",IF(Atletas!B435="Feminino",100,IF(Atletas!B435="Masculino",200,""))+(IF(Atletas!I435="Gunshu Mirim",43,IF(Atletas!I435="Qiangshu Mirim",44,IF(Atletas!I435="Nangun Mirim",45,IF(Atletas!I435="Gunshu Grupo C",46,IF(Atletas!I435="Qiangshu Grupo C",47,IF(Atletas!I435="Nangun Grupo C",48,IF(Atletas!I435="Gunshu Grupo B",49,IF(Atletas!I435="Qiangshu Grupo B",50,IF(Atletas!I435="Nangun Grupo B",51,IF(Atletas!I435="Gunshu Grupo A",52,IF(Atletas!I435="Qiangshu Grupo A",53,IF(Atletas!I435="Nangun Grupo A",54,IF(Atletas!I435="Gunshu Opcional",55,IF(Atletas!I435="Qiangshu Opcional",56,IF(Atletas!I435="Nangun Opcional",57,IF(Atletas!I435="Gunshu Adulto",58,IF(Atletas!I435="Qiangshu Adulto",59,IF(Atletas!I435="Nangun Adulto",60,""))))))))))))))))))))</f>
        <v/>
      </c>
      <c r="BF439" s="52" t="str">
        <f>IF(Atletas!J435="","",IF(Atletas!B435="Feminino",100,IF(Atletas!B435="Masculino",200,""))+(IF(Atletas!J435="Equipe 1 Grupo B",1,IF(Atletas!J435="Equipe 2 Grupo B",2,IF(Atletas!J435="Equipe 1 Grupo A",3,IF(Atletas!J435="Equipe 2 Grupo A",4,IF(Atletas!J435="Equipe 1 Adulto",5,IF(Atletas!J435="Equipe 2 Adulto",6,""))))))))</f>
        <v/>
      </c>
      <c r="BK439" s="52" t="str">
        <f>IF(Atletas!K435="","",IF(Atletas!W435&lt;&gt;"",10000,0)+(IF(Atletas!B435="Feminino",1000,IF(Atletas!B435="Masculino",2000,""))+IF(Atletas!K435="Choylayfut A",1,IF(Atletas!K435="Hunggar A",2,IF(Atletas!K435="Wuzuquan A",3,IF(Atletas!K435="Wingchun A",4,IF(Atletas!K435="Outra Mão de Sul A",5,IF(Atletas!K435="Choylayfut B",6,IF(Atletas!K435="Hunggar B",7,IF(Atletas!K435="Wuzuquan B",8,IF(Atletas!K435="Wingchun B",9,IF(Atletas!K435="Outra Mão de Sul B",10,IF(Atletas!K435="Choylayfut C",11,IF(Atletas!K435="Hunggar C",12,IF(Atletas!K435="Wuzuquan C",13,IF(Atletas!K435="Wingchun C",14,IF(Atletas!K435="Outra Mão de Sul C",15,IF(Atletas!K435="Choylayfut D",16,IF(Atletas!K435="Hunggar D",17,IF(Atletas!K435="Wuzuquan D",18,IF(Atletas!K435="Wingchun D",19,IF(Atletas!K435="Outra Mão de Sul D",20,IF(Atletas!K435="Choylayfut E",21,IF(Atletas!K435="Hunggar E",22,IF(Atletas!K435="Wuzuquan E",23,IF(Atletas!K435="Wingchun E",24,IF(Atletas!K435="Outra Mão de Sul E",25,IF(Atletas!K435="Choylayfut F",26,IF(Atletas!K435="Hunggar F",27,IF(Atletas!K435="Wuzuquan F",28,IF(Atletas!K435="Wingchun F",29,IF(Atletas!K435="Outra Mão de Sul F",30,""))))))))))))))))))))))))))))))))</f>
        <v/>
      </c>
      <c r="BL439" s="52" t="str">
        <f>IF(Atletas!L435="","",IF(Atletas!W435&lt;&gt;"",10000,0)+(IF(Atletas!B435="Feminino",1000,IF(Atletas!B435="Masculino",2000,""))+(IF(Atletas!L435="Chaquan A",101,IF(Atletas!L435="Emeiquan A",102,IF(Atletas!L435="Fanziquan A",103,IF(Atletas!L435="Huaquan A",104,IF(Atletas!L435="Hongquan A",105,IF(Atletas!L435="Paochui A",106,IF(Atletas!L435="Piguaquan A",107,IF(Atletas!L435="Shaolinquan A",108,IF(Atletas!L435="Tanglangquan A",109,IF(Atletas!L435="Yinzhaophai A",110,IF(Atletas!L435="Tongbeiquan A",111,IF(Atletas!L435="Wudangquan A",112,IF(Atletas!L435="Outros Estilos A",113,IF(Atletas!L435="Chaquan B",114,IF(Atletas!L435="Emeiquan B",115,IF(Atletas!L435="Fanziquan B",116,IF(Atletas!L435="Huaquan B",117,IF(Atletas!L435="Hongquan B",118,IF(Atletas!L435="Paochui B",119,IF(Atletas!L435="Piguaquan B",120,IF(Atletas!L435="Shaolinquan B",121,IF(Atletas!L435="Tanglangquan B",122,IF(Atletas!L435="Yinzhaophai B",123,IF(Atletas!L435="Tongbeiquan B",124,IF(Atletas!L435="Wudangquan B",125,IF(Atletas!L435="Outros Estilos B",126,IF(Atletas!L435="Chaquan C",127,IF(Atletas!L435="Emeiquan C",128,IF(Atletas!L435="Fanziquan C",129,IF(Atletas!L435="Huaquan C",130,IF(Atletas!L435="Hongquan C",131,IF(Atletas!L435="Paochui C",132,IF(Atletas!L435="Piguaquan C",133,IF(Atletas!L435="Shaolinquan C",134,IF(Atletas!L435="Tanglangquan C",135,IF(Atletas!L435="Yinzhaophai C",136,IF(Atletas!L435="Tongbeiquan C",137,IF(Atletas!L435="Wudangquan C",138,IF(Atletas!L435="Outros Estilos C",139,0))))))))))))))))))))))))))))))))))))))))))</f>
        <v/>
      </c>
      <c r="BM439" s="52" t="str">
        <f>IF(Atletas!L435="","",IF(Atletas!W435&lt;&gt;"",10000,0)+(IF(Atletas!B435="Feminino",1000,IF(Atletas!B435="Masculino",2000,""))+(IF(Atletas!L435="Chaquan D",140,IF(Atletas!L435="Emeiquan D",141,IF(Atletas!L435="Fanziquan D",142,IF(Atletas!L435="Huaquan D",143,IF(Atletas!L435="Hongquan D",144,IF(Atletas!L435="Paochui D",145,IF(Atletas!L435="Piguaquan D",146,IF(Atletas!L435="Shaolinquan D",147,IF(Atletas!L435="Tanglangquan D",148,IF(Atletas!L435="Yinzhaophai D",149,IF(Atletas!L435="Tongbeiquan D",150,IF(Atletas!L435="Wudangquan D",151,IF(Atletas!L435="Outros Estilos D",152,IF(Atletas!L435="Chaquan E",153,IF(Atletas!L435="Emeiquan E",154,IF(Atletas!L435="Fanziquan E",155,IF(Atletas!L435="Huaquan E",156,IF(Atletas!L435="Hongquan E",157,IF(Atletas!L435="Paochui E",158,IF(Atletas!L435="Piguaquan E",159,IF(Atletas!L435="Shaolinquan E",160,IF(Atletas!L435="Tanglangquan E",161,IF(Atletas!L435="Yinzhaophai E",162,IF(Atletas!L435="Tongbeiquan E",163,IF(Atletas!L435="Wudangquan E",164,IF(Atletas!L435="Outros Estilos E",165,IF(Atletas!L435="Chaquan F",166,IF(Atletas!L435="Emeiquan F",167,IF(Atletas!L435="Fanziquan F",168,IF(Atletas!L435="Huaquan F",169,IF(Atletas!L435="Hongquan F",170,IF(Atletas!L435="Paochui F",171,IF(Atletas!L435="Piguaquan F",172,IF(Atletas!L435="Shaolinquan F",173,IF(Atletas!L435="Tanglangquan F",174,IF(Atletas!L435="Yinzhaophai F",175,IF(Atletas!L435="Tongbeiquan F",176,IF(Atletas!L435="Wudangquan F",177,IF(Atletas!L435="Outros Estilos F",178,0))))))))))))))))))))))))))))))))))))))))))</f>
        <v/>
      </c>
      <c r="BN439" s="52" t="str">
        <f>IF(Atletas!M435="","",IF(Atletas!W435&lt;&gt;"",10000,0)+(IF(Atletas!B435="Feminino",1000,IF(Atletas!B435="Masculino",2000,""))+(IF(Atletas!M435="Ditangquan A",201,IF(Atletas!M435="Houquan A",202,IF(Atletas!M435="Zuiquan A",203,IF(Atletas!M435="Ditangquan B",204,IF(Atletas!M435="Houquan B",205,IF(Atletas!M435="Zuiquan B",206,IF(Atletas!M435="Ditangquan C",207,IF(Atletas!M435="Houquan C",208,IF(Atletas!M435="Zuiquan C",209,IF(Atletas!M435="Ditangquan D",210,IF(Atletas!M435="Houquan D",211,IF(Atletas!M435="Zuiquan D",212,IF(Atletas!M435="Ditangquan E",213,IF(Atletas!M435="Houquan E",214,IF(Atletas!M435="Zuiquan E",215,IF(Atletas!M435="Ditangquan F",216,IF(Atletas!M435="Houquan F",217,IF(Atletas!M435="Zuiquan F",218,"")))))))))))))))))))))</f>
        <v/>
      </c>
      <c r="BO439" s="52" t="str">
        <f>IF(Atletas!N435="","",IF(Atletas!W435&lt;&gt;"",10000,0)+IF(Atletas!B435="Feminino",1000,IF(Atletas!B435="Masculino",2000,""))+IF(Atletas!N435="Yang A",301,IF(Atletas!N435="Chen A",30,IF(Atletas!N435="Sun A",303,IF(Atletas!N435="Wu A",304,IF(Atletas!N435="Wu-Hao A",305,IF(Atletas!N435="Outro Taijiquan A",306,IF(Atletas!N435="Yang B",307,IF(Atletas!N435="Chen B",308,IF(Atletas!N435="Sun B",309,IF(Atletas!N435="Wu B",310,IF(Atletas!N435="Wu-Hao B",311,IF(Atletas!N435="Outro Taijiquan B",312,IF(Atletas!N435="Yang C",313,IF(Atletas!N435="Chen C",314,IF(Atletas!N435="Sun C",315,IF(Atletas!N435="Wu C",316,IF(Atletas!N435="Wu-Hao C",317,IF(Atletas!N435="Outro Taijiquan C",318,IF(Atletas!N435="Yang D",319,IF(Atletas!N435="Chen D",320,IF(Atletas!N435="Sun D",321,IF(Atletas!N435="Wu D",322,IF(Atletas!N435="Wu-Hao D",323,IF(Atletas!N435="Outro Taijiquan D",324,IF(Atletas!N435="Yang E",325,IF(Atletas!N435="Chen E",326,IF(Atletas!N435="Sun E",327,IF(Atletas!N435="Wu E",328,IF(Atletas!N435="Wu-Hao E",329,IF(Atletas!N435="Outro Taijiquan E",330,IF(Atletas!N435="Yang F",331,IF(Atletas!N435="Chen F",332,IF(Atletas!N435="Sun F",333,IF(Atletas!N435="Wu F",334,IF(Atletas!N435="Wu-Hao F",335,IF(Atletas!N435="Outro Taijiquan F",336,"")))))))))))))))))))))))))))))))))))))</f>
        <v/>
      </c>
      <c r="BP439" s="52" t="str">
        <f>IF(Atletas!O435="","",IF(Atletas!W435&lt;&gt;"",10000,0)+IF(Atletas!B435="Feminino",1000,IF(Atletas!B435="Masculino",2000,""))+IF(OR(Atletas!O435="Yang 26 A",Atletas!O435="Yang 40 A"),401,IF(OR(Atletas!O435="Chen 25 A",Atletas!O435="Chen 36 A",Atletas!O435="Chen 56 A"),402,IF(Atletas!O435="Sun 73 A",403,IF(Atletas!O435="Wu 45 A",404,IF(Atletas!O435="Wu-Hao 46 A",405,IF(OR(Atletas!O435="Taijiquan 16 A",Atletas!O435="Taijiquan 24 A",Atletas!O435="Taijiquan 32 A",Atletas!O435="Taijiquan 42 A"),406,IF(OR(Atletas!O435="Yang 26 B",Atletas!O435="Yang 40 B"),407,IF(OR(Atletas!O435="Chen 25 B",Atletas!O435="Chen 36 B",Atletas!O435="Chen 56 B"),408,IF(Atletas!O435="Sun 73 B",409,IF(Atletas!O435="Wu 45 B",410,IF(Atletas!O435="Wu-Hao 46 B",411,IF(OR(Atletas!O435="Taijiquan 16 B",Atletas!O435="Taijiquan 24 B",Atletas!O435="Taijiquan 32 B",Atletas!O435="Taijiquan 42 B"),412,IF(OR(Atletas!O435="Yang 26 C",Atletas!O435="Yang 40 C"),413,IF(OR(Atletas!O435="Chen 25 C",Atletas!O435="Chen 36 C",Atletas!O435="Chen 56 C"),414,IF(Atletas!O435="Sun 73 C",415,IF(Atletas!O435="Wu 45 C",416,IF(Atletas!O435="Wu-Hao 46 C",417,IF(OR(Atletas!O435="Taijiquan 16 C",Atletas!O435="Taijiquan 24 C",Atletas!O435="Taijiquan 32 C",Atletas!O435="Taijiquan 42 C"),418,0)))))))))))))))))))</f>
        <v/>
      </c>
      <c r="BQ439" s="52" t="str">
        <f>IF(Atletas!O435="","",IF(Atletas!W435&lt;&gt;"",10000,0)+IF(Atletas!B435="Feminino",1000,IF(Atletas!B435="Masculino",2000,""))+IF(OR(Atletas!O435="Yang 26 D",Atletas!O435="Yang 40 D"),419,IF(OR(Atletas!O435="Chen 25 D",Atletas!O435="Chen 36 D",Atletas!O435="Chen 56 D"),420,IF(Atletas!O435="Sun 73 D",421,IF(Atletas!O435="Wu 45 D",422,IF(Atletas!O435="Wu-Hao 46 D",423,IF(OR(Atletas!O435="Taijiquan 16 D",Atletas!O435="Taijiquan 24 D",Atletas!O435="Taijiquan 32 D",Atletas!O435="Taijiquan 42 D"),424,IF(OR(Atletas!O435="Yang 26 E",Atletas!O435="Yang 40 E"),425,IF(OR(Atletas!O435="Chen 25 E",Atletas!O435="Chen 36 E",Atletas!O435="Chen 56 E"),426,IF(Atletas!O435="Sun 73 E",427,IF(Atletas!O435="Wu 45 E",428,IF(Atletas!O435="Wu-Hao 46 E",429,IF(OR(Atletas!O435="Taijiquan 16 E",Atletas!O435="Taijiquan 24 E",Atletas!O435="Taijiquan 32 E",Atletas!O435="Taijiquan 42 E"),430,IF(OR(Atletas!O435="Yang 26 F",Atletas!O435="Yang 40 F"),431,IF(OR(Atletas!O435="Chen 25 F",Atletas!O435="Chen 36 F",Atletas!O435="Chen 56 F"),432,IF(Atletas!O435="Sun 73 F",433,IF(Atletas!O435="Wu 45 F",434,IF(Atletas!O435="Wu-Hao 46 F",435,IF(OR(Atletas!O435="Taijiquan 16 F",Atletas!O435="Taijiquan 24 F",Atletas!O435="Taijiquan 32 F",Atletas!O435="Taijiquan 42 F"),436,0)))))))))))))))))))</f>
        <v/>
      </c>
      <c r="BR439" s="52" t="str">
        <f>IF(Atletas!P435="","",IF(Atletas!W435&lt;&gt;"",10000,0)+IF(Atletas!B435="Feminino",1000,IF(Atletas!B435="Masculino",2000,""))+IF(Atletas!P435="Xingyiquan A",501,IF(Atletas!P435="Baguazhang A",502,IF(Atletas!P435="Outro Estilo Interno A",503,IF(Atletas!P435="Xingyiquan B",504,IF(Atletas!P435="Baguazhang B",505,IF(Atletas!P435="Outro Estilo Interno B",506,IF(Atletas!P435="Xingyiquan C",507,IF(Atletas!P435="Baguazhang C",508,IF(Atletas!P435="Outro Estilo Interno C",509,IF(Atletas!P435="Xingyiquan D",510,IF(Atletas!P435="Baguazhang D",511,IF(Atletas!P435="Outro Estilo Interno D",512,IF(Atletas!P435="Xingyiquan E",513,IF(Atletas!P435="Baguazhang E",514,IF(Atletas!P435="Outro Estilo Interno E",515,IF(Atletas!P435="Xingyiquan F",516,IF(Atletas!P435="Baguazhang F",517,IF(Atletas!P435="Outro Estilo Interno F",518, "")))))))))))))))))))</f>
        <v/>
      </c>
      <c r="BS439" s="52" t="str">
        <f>IF(Atletas!Q435="","",IF(Atletas!W435&lt;&gt;"",10000,0)+IF(Atletas!B435="Feminino",1000,IF(Atletas!B435="Masculino",2000,""))+IF(Atletas!Q435="Dao A",601,IF(Atletas!Q435="Jian A",602,IF(Atletas!Q435="Bishou A",603,IF(Atletas!Q435="Shan A",604,IF(Atletas!Q435="Outra Arma Curta A",605,IF(Atletas!Q435="Dao B",606,IF(Atletas!Q435="Jian B",607,IF(Atletas!Q435="Bishou B",608,IF(Atletas!Q435="Shan B",609,IF(Atletas!Q435="Outra Arma Curta B",610,IF(Atletas!Q435="Dao C",611,IF(Atletas!Q435="Jian C",612,IF(Atletas!Q435="Bishou C",613,IF(Atletas!Q435="Shan C",614,IF(Atletas!Q435="Outra Arma Curta C",615,IF(Atletas!Q435="Dao D",616,IF(Atletas!Q435="Jian D",617,IF(Atletas!Q435="Bishou D",618,IF(Atletas!Q435="Shan D",619,IF(Atletas!Q435="Outra Arma Curta D",620,IF(Atletas!Q435="Dao E",621,IF(Atletas!Q435="Jian E",622,IF(Atletas!Q435="Bishou E",623,IF(Atletas!Q435="Shan E",624,IF(Atletas!Q435="Outra Arma Curta E",625,IF(Atletas!Q435="Dao F",626,IF(Atletas!Q435="Jian F",627,IF(Atletas!Q435="Bishou F",628,IF(Atletas!Q435="Shan F",629,IF(Atletas!Q435="Outra Arma Curta F",630, "")))))))))))))))))))))))))))))))</f>
        <v/>
      </c>
      <c r="BT439" s="52" t="str">
        <f>IF(Atletas!R435="","",IF(Atletas!W435&lt;&gt;"",10000,0)+IF(Atletas!B435="Feminino",1000,IF(Atletas!B435="Masculino",2000,""))+IF(Atletas!R435="Gun A",701,IF(Atletas!R435="Qiang A",702,IF(Atletas!R435="Pudao / Guandao A",703,IF(Atletas!R435="Outra Arma Longa A",704,IF(Atletas!R435="Gun B",705,IF(Atletas!R435="Qiang B",706,IF(Atletas!R435="Pudao / Guandao B",707,IF(Atletas!R435="Outra Arma Longa B",708,IF(Atletas!R435="Gun C",709,IF(Atletas!R435="Qiang C",710,IF(Atletas!R435="Pudao / Guandao C",711,IF(Atletas!R435="Outra Arma Longa C",712,IF(Atletas!R435="Gun D",713,IF(Atletas!R435="Qiang D",714,IF(Atletas!R435="Pudao / Guandao D",715,IF(Atletas!R435="Outra Arma Longa D",716,IF(Atletas!R435="Gun E",717,IF(Atletas!R435="Qiang E",718,IF(Atletas!R435="Pudao / Guandao E",719,IF(Atletas!R435="Outra Arma Longa E",720,IF(Atletas!R435="Gun F",721,IF(Atletas!R435="Qiang F",722,IF(Atletas!R435="Pudao / Guandao F",723,IF(Atletas!R435="Outra Arma Longa F",724,"")))))))))))))))))))))))))</f>
        <v/>
      </c>
      <c r="BU439" s="52" t="str">
        <f>IF(Atletas!S435="","",IF(Atletas!W435&lt;&gt;"",10000,0)+IF(Atletas!B435="Feminino",1000,IF(Atletas!B435="Masculino",2000,""))+IF(Atletas!S435="Arma Dupla A",801,IF(Atletas!S435="Arma Maleável A",802,IF(Atletas!S435="Arma Dupla B",803,IF(Atletas!S435="Arma Maleável B",804,IF(Atletas!S435="Arma Dupla C",805,IF(Atletas!S435="Arma Maleável C",806,IF(Atletas!S435="Arma Dupla D",807,IF(Atletas!S435="Arma Maleável D",808,IF(Atletas!S435="Arma Dupla E",809,IF(Atletas!S435="Arma Maleável E",810,IF(Atletas!S435="Arma Dupla F",811,IF(Atletas!S435="Arma Maleável F",812, "")))))))))))))</f>
        <v/>
      </c>
      <c r="BV439" s="52" t="str">
        <f>IF(Atletas!T435="","",IF(Atletas!W435&lt;&gt;"",10000,0)+IF(Atletas!B435="Feminino",1000,IF(Atletas!B435="Masculino",2000,""))+IF(Atletas!T435="Taijijian Yang A",901,IF(Atletas!T435="Taijijian Chen A",902,IF(Atletas!T435="Taijijian Sun A",903,IF(Atletas!T435="Taijijian Wu A",904,IF(Atletas!T435="Taijijian Wu-Hao A",905,IF(Atletas!T435="Taijijian 32 A",906,IF(Atletas!T435="Taijijian 42 A",907,IF(Atletas!T435="Taijijian Yang B",908,IF(Atletas!T435="Taijijian Chen B",909,IF(Atletas!T435="Taijijian Sun B",910,IF(Atletas!T435="Taijijian Wu B",911,IF(Atletas!T435="Taijijian Wu-Hao B",912,IF(Atletas!T435="Taijijian 32 B",913,IF(Atletas!T435="Taijijian 42 B",914,IF(Atletas!T435="Taijijian Yang C",915,IF(Atletas!T435="Taijijian Chen C",916,IF(Atletas!T435="Taijijian Sun C",917,IF(Atletas!T435="Taijijian Wu C",918,IF(Atletas!T435="Taijijian Wu-Hao C",919,IF(Atletas!T435="Taijijian 32 C",920,IF(Atletas!T435="Taijijian 42 C",921,IF(Atletas!T435="Taijijian Yang D",922,IF(Atletas!T435="Taijijian Chen D",923,IF(Atletas!T435="Taijijian Sun D",924,IF(Atletas!T435="Taijijian Wu D",925,IF(Atletas!T435="Taijijian Wu-Hao D",926,IF(Atletas!T435="Taijijian 32 D",927,IF(Atletas!T435="Taijijian 42 D",928,IF(Atletas!T435="Taijijian Yang E",929,IF(Atletas!T435="Taijijian Chen E",930,IF(Atletas!T435="Taijijian Sun E",931,IF(Atletas!T435="Taijijian Wu E",932,IF(Atletas!T435="Taijijian Wu-Hao E",933,IF(Atletas!T435="Taijijian 32 E",934,IF(Atletas!T435="Taijijian 42 E",935,IF(Atletas!T435="Taijijian Yang F",936,IF(Atletas!T435="Taijijian Chen F",937,IF(Atletas!T435="Taijijian Sun F",938,IF(Atletas!T435="Taijijian Wu F",939,IF(Atletas!T435="Taijijian Wu-Hao F",940,IF(Atletas!T435="Taijijian 32 F",941,IF(Atletas!T435="Taijijian 42 F",942,"")))))))))))))))))))))))))))))))))))))))))))</f>
        <v/>
      </c>
      <c r="BW439" s="52" t="str">
        <f>IF(Atletas!U435="","",IF(Atletas!W435&lt;&gt;"",10000,0)+IF(Atletas!B435="Feminino",1000,IF(Atletas!B435="Masculino",2000,""))+IF(Atletas!T435="Taijijian 42 F",942,IF(Atletas!U435="Taijidao A",943,IF(Atletas!U435="Taijishan A",944,IF(Atletas!U435="Taijiqiang A",945,IF(Atletas!U435="Taijidao B",946,IF(Atletas!U435="Taijishan B",947,IF(Atletas!U435="Taijiqiang B",948,IF(Atletas!U435="Taijidao C",949,IF(Atletas!U435="Taijishan C",950,IF(Atletas!U435="Taijiqiang C",951,IF(Atletas!U435="Taijidao D",952,IF(Atletas!U435="Taijishan D",953,IF(Atletas!U435="Taijiqiang D",954,IF(Atletas!U435="Taijidao E",955,IF(Atletas!U435="Taijishan E",956,IF(Atletas!U435="Taijiqiang E",957,IF(Atletas!U435="Taijidao F",958,IF(Atletas!U435="Taijishan F",959,IF(Atletas!U435="Taijiqiang F",960))))))))))))))))))))</f>
        <v/>
      </c>
      <c r="CF439" s="52" t="str">
        <f xml:space="preserve"> IF(Atletas!V435="","",IF(Atletas!V435="Duilian de Mãos AB - Equipe 1",1,IF(Atletas!V435="Duilian de Mãos AB - Equipe 2",2,IF(Atletas!V435="Duilian de Armas AB - Equipe 1",3,IF(Atletas!V435="Duilian de Armas AB - Equipe 2",4,IF(Atletas!V435="Duilian de Tuishou - Equipe 1",5,IF(Atletas!V435="Duilian de Tuishou - Equipe 2",6,IF(Atletas!V435="Grupo Externo AB - Equipe 1",7,IF(Atletas!V435="Grupo Externo AB - Equipe 2",8,IF(Atletas!V435="Grupo Interno AB - Equipe 1",9,IF(Atletas!V435="Grupo Interno AB - Equipe 2",10,IF(Atletas!V435="Duilian de Mãos CD - Equipe 1",11,IF(Atletas!V435="Duilian de Mãos CD - Equipe 2",12,IF(Atletas!V435="Duilian de Armas CD - Equipe 1",13,IF(Atletas!V435="Duilian de Armas CD - Equipe 2",14,IF(Atletas!V435="Duilian de Tuishou - Equipe 1",15,IF(Atletas!V435="Duilian de Tuishou - Equipe 2",16,IF(Atletas!V435="Grupo Externo CDEF - Equipe 1",17,IF(Atletas!V435="Grupo Externo CDEF - Equipe 2",18,IF(Atletas!V435="Grupo Interno CDEF - Equipe 1",19,IF(Atletas!V435="Grupo Interno CDEF - Equipe 2",20,IF(Atletas!V435="Duilian de Mãos EF - Equipe 1",21,IF(Atletas!V435="Duilian de Mãos EF - Equipe 2",22,IF(Atletas!V435="Duilian de Armas EF - Equipe 1",23,IF(Atletas!V435="Duilian de Armas EF - Equipe 2",24,IF(Atletas!V435="Duilian de Tuishou - Equipe 1",25,IF(Atletas!V435="Duilian de Tuishou - Equipe 2",26,"")))))))))))))))))))))))))))</f>
        <v/>
      </c>
    </row>
    <row r="440" spans="36:84">
      <c r="AJ440" s="46" t="str">
        <f>IF(Atletas!D436="","",IF(Atletas!B436="Feminino",100,IF(Atletas!B436="Masculino",200,""))+(IF(Atletas!D436="Infantil 39kg",1,IF(Atletas!D436="Infantil 42kg",2,IF(Atletas!D436="Infantil 45kg",3,IF(Atletas!D436="Infantil 48kg",4,IF(Atletas!D436="Infantil 52kg",5,IF(Atletas!D436="Infantil 56kg",6,IF(Atletas!D436="Infantil 60kg",7,IF(Atletas!D436="Juvenil 48kg",8,IF(Atletas!D436="Juvenil 52kg",9,IF(Atletas!D436="Juvenil 56kg",10,IF(Atletas!D436="Juvenil 60kg",11,IF(Atletas!D436="Juvenil 65kg",12,IF(Atletas!D436="Juvenil 70kg",13,IF(Atletas!D436="Juvenil 75kg",14,IF(Atletas!D436="Juvenil 80kg",15,IF(Atletas!D436="Adulto 48kg",16,IF(Atletas!D436="Adulto 52kg",17,IF(Atletas!D436="Adulto 56kg",18,IF(Atletas!D436="Adulto 60kg",19,IF(Atletas!D436="Adulto 65kg",20,IF(Atletas!D436="Adulto 70kg",21,IF(Atletas!D436="Adulto 75kg",22,IF(Atletas!D436="Adulto 80kg",23,IF(Atletas!D436="Adulto 85kg",24,IF(Atletas!D436="Adulto 90kg",25,IF(Atletas!D436="Adulto +90kg",26,""))))))))))))))))))))))))))))</f>
        <v/>
      </c>
      <c r="AO440" s="10" t="str">
        <f>IF(Atletas!E436="","",IF(Atletas!B436="Feminino",100,IF(Atletas!B436="Masculino",200,""))+(IF(Atletas!E436="Juvenil 44kg",1,IF(Atletas!E436="Juvenil 48kg",2,IF(Atletas!E436="Juvenil 52kg",3,IF(Atletas!E436="Juvenil 56kg",4,IF(Atletas!E436="Juvenil 60kg",5,IF(Atletas!E436="Juvenil 65kg",6,IF(Atletas!E436="Juvenil 70kg",7,IF(Atletas!E436="Juvenil 75kg",8,IF(Atletas!E436="Juvenil 82kg",9,IF(Atletas!E436="Juvenil 90kg",10,IF(Atletas!E436="Juvenil 100kg",11,IF(Atletas!E436="Adulto 48kg",12,IF(Atletas!E436="Adulto 52kg",13,IF(Atletas!E436="Adulto 56kg",14,IF(Atletas!E436="Adulto 60kg",15,IF(Atletas!E436="Adulto 65kg",16,IF(Atletas!E436="Adulto 70kg",17,IF(Atletas!E436="Adulto 75kg",18,IF(Atletas!E436="Adulto 82kg",19,IF(Atletas!E436="Adulto 90kg",20,IF(Atletas!E436="Adulto 100kg",21,IF(Atletas!E436="Adulto +100kg",22,""))))))))))))))))))))))))</f>
        <v/>
      </c>
      <c r="AT440" s="10" t="str">
        <f>IF(Atletas!F436="","",IF(Atletas!B436="Feminino",100,IF(Atletas!B436="Masculino",200,""))+(IF(Atletas!F436="Adulto 48kg",1,IF(Atletas!F436="Adulto 56kg",2,IF(Atletas!F436="Adulto 65kg",3,IF(Atletas!F436="Adulto 75kg",4,IF(Atletas!F436="Adulto +75kg",5,IF(Atletas!F436="Adulto 52kg",6,IF(Atletas!F436="Adulto 60kg",7,IF(Atletas!F436="Adulto 70kg",8,IF(Atletas!F436="Adulto 80kg",9,IF(Atletas!F436="Adulto 90kg",10,IF(Atletas!F436="Adulto +90kg",11,"")))))))))))))</f>
        <v/>
      </c>
      <c r="AY440" s="46" t="str">
        <f>IF(Atletas!G436="","",IF(Atletas!B436="Feminino",100,IF(Atletas!B436="Masculino",200,""))+(IF(Atletas!G436="Changquan Mirim",1,IF(Atletas!G436="Nanquan Mirim",2,IF(Atletas!G436="Taijiquan Mirim",3,IF(Atletas!G436="Changquan Grupo C",4,IF(Atletas!G436="Nanquan Grupo C",5,IF(Atletas!G436="Taijiquan Grupo C",6,IF(Atletas!G436="Changquan Grupo B",7,IF(Atletas!G436="Nanquan Grupo B",8,IF(Atletas!G436="Taijiquan Grupo B",9,IF(Atletas!G436="Changquan Grupo A",10,IF(Atletas!G436="Nanquan Grupo A",11,IF(Atletas!G436="Taijiquan Grupo A",12,IF(Atletas!G436="Changquan Opcional",13,IF(Atletas!G436="Nanquan Opcional",14,IF(Atletas!G436="Taijiquan Opcional",15,IF(Atletas!G436="Changquan Adulto",16,IF(Atletas!G436="Nanquan Adulto",17,IF(Atletas!G436="Taijiquan Adulto",18,""))))))))))))))))))))</f>
        <v/>
      </c>
      <c r="AZ440" s="46" t="str">
        <f>IF(Atletas!H436="","",IF(Atletas!B436="Feminino",100,IF(Atletas!B436="Masculino",200,""))+(IF(Atletas!H436="Daoshu Mirim",19,IF(Atletas!H436="Jianshu Mirim",20,IF(Atletas!H436="Nandao Mirim",21,IF(Atletas!H436="Taijijian Mirim",22,IF(Atletas!H436="Daoshu Grupo C",23,IF(Atletas!H436="Jianshu Grupo C",24,IF(Atletas!H436="Nandao Grupo C",25,IF(Atletas!H436="Taijijian Grupo C",26,IF(Atletas!H436="Daoshu Grupo B",27,IF(Atletas!H436="Jianshu Grupo B",28,IF(Atletas!H436="Nandao Grupo B",29,IF(Atletas!H436="Taijijian Grupo B",30,IF(Atletas!H436="Daoshu Grupo A",31,IF(Atletas!H436="Jianshu Grupo A",32,IF(Atletas!H436="Nandao Grupo A",33,IF(Atletas!H436="Taijijian Grupo A",34,IF(Atletas!H436="Daoshu Opcional",35,IF(Atletas!H436="Jianshu Opcional",36,IF(Atletas!H436="Nandao Opcional",37,IF(Atletas!H436="Taijijian Opcional",38,IF(Atletas!H436="Daoshu Adulto",39,IF(Atletas!H436="Jianshu Adulto",40,IF(Atletas!H436="Nandao Adulto",41,IF(Atletas!H436="Taijijian Adulto",42,""))))))))))))))))))))))))))</f>
        <v/>
      </c>
      <c r="BA440" s="46" t="str">
        <f>IF(Atletas!I436="","",IF(Atletas!B436="Feminino",100,IF(Atletas!B436="Masculino",200,""))+(IF(Atletas!I436="Gunshu Mirim",43,IF(Atletas!I436="Qiangshu Mirim",44,IF(Atletas!I436="Nangun Mirim",45,IF(Atletas!I436="Gunshu Grupo C",46,IF(Atletas!I436="Qiangshu Grupo C",47,IF(Atletas!I436="Nangun Grupo C",48,IF(Atletas!I436="Gunshu Grupo B",49,IF(Atletas!I436="Qiangshu Grupo B",50,IF(Atletas!I436="Nangun Grupo B",51,IF(Atletas!I436="Gunshu Grupo A",52,IF(Atletas!I436="Qiangshu Grupo A",53,IF(Atletas!I436="Nangun Grupo A",54,IF(Atletas!I436="Gunshu Opcional",55,IF(Atletas!I436="Qiangshu Opcional",56,IF(Atletas!I436="Nangun Opcional",57,IF(Atletas!I436="Gunshu Adulto",58,IF(Atletas!I436="Qiangshu Adulto",59,IF(Atletas!I436="Nangun Adulto",60,""))))))))))))))))))))</f>
        <v/>
      </c>
      <c r="BF440" s="52" t="str">
        <f>IF(Atletas!J436="","",IF(Atletas!B436="Feminino",100,IF(Atletas!B436="Masculino",200,""))+(IF(Atletas!J436="Equipe 1 Grupo B",1,IF(Atletas!J436="Equipe 2 Grupo B",2,IF(Atletas!J436="Equipe 1 Grupo A",3,IF(Atletas!J436="Equipe 2 Grupo A",4,IF(Atletas!J436="Equipe 1 Adulto",5,IF(Atletas!J436="Equipe 2 Adulto",6,""))))))))</f>
        <v/>
      </c>
      <c r="BK440" s="52" t="str">
        <f>IF(Atletas!K436="","",IF(Atletas!W436&lt;&gt;"",10000,0)+(IF(Atletas!B436="Feminino",1000,IF(Atletas!B436="Masculino",2000,""))+IF(Atletas!K436="Choylayfut A",1,IF(Atletas!K436="Hunggar A",2,IF(Atletas!K436="Wuzuquan A",3,IF(Atletas!K436="Wingchun A",4,IF(Atletas!K436="Outra Mão de Sul A",5,IF(Atletas!K436="Choylayfut B",6,IF(Atletas!K436="Hunggar B",7,IF(Atletas!K436="Wuzuquan B",8,IF(Atletas!K436="Wingchun B",9,IF(Atletas!K436="Outra Mão de Sul B",10,IF(Atletas!K436="Choylayfut C",11,IF(Atletas!K436="Hunggar C",12,IF(Atletas!K436="Wuzuquan C",13,IF(Atletas!K436="Wingchun C",14,IF(Atletas!K436="Outra Mão de Sul C",15,IF(Atletas!K436="Choylayfut D",16,IF(Atletas!K436="Hunggar D",17,IF(Atletas!K436="Wuzuquan D",18,IF(Atletas!K436="Wingchun D",19,IF(Atletas!K436="Outra Mão de Sul D",20,IF(Atletas!K436="Choylayfut E",21,IF(Atletas!K436="Hunggar E",22,IF(Atletas!K436="Wuzuquan E",23,IF(Atletas!K436="Wingchun E",24,IF(Atletas!K436="Outra Mão de Sul E",25,IF(Atletas!K436="Choylayfut F",26,IF(Atletas!K436="Hunggar F",27,IF(Atletas!K436="Wuzuquan F",28,IF(Atletas!K436="Wingchun F",29,IF(Atletas!K436="Outra Mão de Sul F",30,""))))))))))))))))))))))))))))))))</f>
        <v/>
      </c>
      <c r="BL440" s="52" t="str">
        <f>IF(Atletas!L436="","",IF(Atletas!W436&lt;&gt;"",10000,0)+(IF(Atletas!B436="Feminino",1000,IF(Atletas!B436="Masculino",2000,""))+(IF(Atletas!L436="Chaquan A",101,IF(Atletas!L436="Emeiquan A",102,IF(Atletas!L436="Fanziquan A",103,IF(Atletas!L436="Huaquan A",104,IF(Atletas!L436="Hongquan A",105,IF(Atletas!L436="Paochui A",106,IF(Atletas!L436="Piguaquan A",107,IF(Atletas!L436="Shaolinquan A",108,IF(Atletas!L436="Tanglangquan A",109,IF(Atletas!L436="Yinzhaophai A",110,IF(Atletas!L436="Tongbeiquan A",111,IF(Atletas!L436="Wudangquan A",112,IF(Atletas!L436="Outros Estilos A",113,IF(Atletas!L436="Chaquan B",114,IF(Atletas!L436="Emeiquan B",115,IF(Atletas!L436="Fanziquan B",116,IF(Atletas!L436="Huaquan B",117,IF(Atletas!L436="Hongquan B",118,IF(Atletas!L436="Paochui B",119,IF(Atletas!L436="Piguaquan B",120,IF(Atletas!L436="Shaolinquan B",121,IF(Atletas!L436="Tanglangquan B",122,IF(Atletas!L436="Yinzhaophai B",123,IF(Atletas!L436="Tongbeiquan B",124,IF(Atletas!L436="Wudangquan B",125,IF(Atletas!L436="Outros Estilos B",126,IF(Atletas!L436="Chaquan C",127,IF(Atletas!L436="Emeiquan C",128,IF(Atletas!L436="Fanziquan C",129,IF(Atletas!L436="Huaquan C",130,IF(Atletas!L436="Hongquan C",131,IF(Atletas!L436="Paochui C",132,IF(Atletas!L436="Piguaquan C",133,IF(Atletas!L436="Shaolinquan C",134,IF(Atletas!L436="Tanglangquan C",135,IF(Atletas!L436="Yinzhaophai C",136,IF(Atletas!L436="Tongbeiquan C",137,IF(Atletas!L436="Wudangquan C",138,IF(Atletas!L436="Outros Estilos C",139,0))))))))))))))))))))))))))))))))))))))))))</f>
        <v/>
      </c>
      <c r="BM440" s="52" t="str">
        <f>IF(Atletas!L436="","",IF(Atletas!W436&lt;&gt;"",10000,0)+(IF(Atletas!B436="Feminino",1000,IF(Atletas!B436="Masculino",2000,""))+(IF(Atletas!L436="Chaquan D",140,IF(Atletas!L436="Emeiquan D",141,IF(Atletas!L436="Fanziquan D",142,IF(Atletas!L436="Huaquan D",143,IF(Atletas!L436="Hongquan D",144,IF(Atletas!L436="Paochui D",145,IF(Atletas!L436="Piguaquan D",146,IF(Atletas!L436="Shaolinquan D",147,IF(Atletas!L436="Tanglangquan D",148,IF(Atletas!L436="Yinzhaophai D",149,IF(Atletas!L436="Tongbeiquan D",150,IF(Atletas!L436="Wudangquan D",151,IF(Atletas!L436="Outros Estilos D",152,IF(Atletas!L436="Chaquan E",153,IF(Atletas!L436="Emeiquan E",154,IF(Atletas!L436="Fanziquan E",155,IF(Atletas!L436="Huaquan E",156,IF(Atletas!L436="Hongquan E",157,IF(Atletas!L436="Paochui E",158,IF(Atletas!L436="Piguaquan E",159,IF(Atletas!L436="Shaolinquan E",160,IF(Atletas!L436="Tanglangquan E",161,IF(Atletas!L436="Yinzhaophai E",162,IF(Atletas!L436="Tongbeiquan E",163,IF(Atletas!L436="Wudangquan E",164,IF(Atletas!L436="Outros Estilos E",165,IF(Atletas!L436="Chaquan F",166,IF(Atletas!L436="Emeiquan F",167,IF(Atletas!L436="Fanziquan F",168,IF(Atletas!L436="Huaquan F",169,IF(Atletas!L436="Hongquan F",170,IF(Atletas!L436="Paochui F",171,IF(Atletas!L436="Piguaquan F",172,IF(Atletas!L436="Shaolinquan F",173,IF(Atletas!L436="Tanglangquan F",174,IF(Atletas!L436="Yinzhaophai F",175,IF(Atletas!L436="Tongbeiquan F",176,IF(Atletas!L436="Wudangquan F",177,IF(Atletas!L436="Outros Estilos F",178,0))))))))))))))))))))))))))))))))))))))))))</f>
        <v/>
      </c>
      <c r="BN440" s="52" t="str">
        <f>IF(Atletas!M436="","",IF(Atletas!W436&lt;&gt;"",10000,0)+(IF(Atletas!B436="Feminino",1000,IF(Atletas!B436="Masculino",2000,""))+(IF(Atletas!M436="Ditangquan A",201,IF(Atletas!M436="Houquan A",202,IF(Atletas!M436="Zuiquan A",203,IF(Atletas!M436="Ditangquan B",204,IF(Atletas!M436="Houquan B",205,IF(Atletas!M436="Zuiquan B",206,IF(Atletas!M436="Ditangquan C",207,IF(Atletas!M436="Houquan C",208,IF(Atletas!M436="Zuiquan C",209,IF(Atletas!M436="Ditangquan D",210,IF(Atletas!M436="Houquan D",211,IF(Atletas!M436="Zuiquan D",212,IF(Atletas!M436="Ditangquan E",213,IF(Atletas!M436="Houquan E",214,IF(Atletas!M436="Zuiquan E",215,IF(Atletas!M436="Ditangquan F",216,IF(Atletas!M436="Houquan F",217,IF(Atletas!M436="Zuiquan F",218,"")))))))))))))))))))))</f>
        <v/>
      </c>
      <c r="BO440" s="52" t="str">
        <f>IF(Atletas!N436="","",IF(Atletas!W436&lt;&gt;"",10000,0)+IF(Atletas!B436="Feminino",1000,IF(Atletas!B436="Masculino",2000,""))+IF(Atletas!N436="Yang A",301,IF(Atletas!N436="Chen A",30,IF(Atletas!N436="Sun A",303,IF(Atletas!N436="Wu A",304,IF(Atletas!N436="Wu-Hao A",305,IF(Atletas!N436="Outro Taijiquan A",306,IF(Atletas!N436="Yang B",307,IF(Atletas!N436="Chen B",308,IF(Atletas!N436="Sun B",309,IF(Atletas!N436="Wu B",310,IF(Atletas!N436="Wu-Hao B",311,IF(Atletas!N436="Outro Taijiquan B",312,IF(Atletas!N436="Yang C",313,IF(Atletas!N436="Chen C",314,IF(Atletas!N436="Sun C",315,IF(Atletas!N436="Wu C",316,IF(Atletas!N436="Wu-Hao C",317,IF(Atletas!N436="Outro Taijiquan C",318,IF(Atletas!N436="Yang D",319,IF(Atletas!N436="Chen D",320,IF(Atletas!N436="Sun D",321,IF(Atletas!N436="Wu D",322,IF(Atletas!N436="Wu-Hao D",323,IF(Atletas!N436="Outro Taijiquan D",324,IF(Atletas!N436="Yang E",325,IF(Atletas!N436="Chen E",326,IF(Atletas!N436="Sun E",327,IF(Atletas!N436="Wu E",328,IF(Atletas!N436="Wu-Hao E",329,IF(Atletas!N436="Outro Taijiquan E",330,IF(Atletas!N436="Yang F",331,IF(Atletas!N436="Chen F",332,IF(Atletas!N436="Sun F",333,IF(Atletas!N436="Wu F",334,IF(Atletas!N436="Wu-Hao F",335,IF(Atletas!N436="Outro Taijiquan F",336,"")))))))))))))))))))))))))))))))))))))</f>
        <v/>
      </c>
      <c r="BP440" s="52" t="str">
        <f>IF(Atletas!O436="","",IF(Atletas!W436&lt;&gt;"",10000,0)+IF(Atletas!B436="Feminino",1000,IF(Atletas!B436="Masculino",2000,""))+IF(OR(Atletas!O436="Yang 26 A",Atletas!O436="Yang 40 A"),401,IF(OR(Atletas!O436="Chen 25 A",Atletas!O436="Chen 36 A",Atletas!O436="Chen 56 A"),402,IF(Atletas!O436="Sun 73 A",403,IF(Atletas!O436="Wu 45 A",404,IF(Atletas!O436="Wu-Hao 46 A",405,IF(OR(Atletas!O436="Taijiquan 16 A",Atletas!O436="Taijiquan 24 A",Atletas!O436="Taijiquan 32 A",Atletas!O436="Taijiquan 42 A"),406,IF(OR(Atletas!O436="Yang 26 B",Atletas!O436="Yang 40 B"),407,IF(OR(Atletas!O436="Chen 25 B",Atletas!O436="Chen 36 B",Atletas!O436="Chen 56 B"),408,IF(Atletas!O436="Sun 73 B",409,IF(Atletas!O436="Wu 45 B",410,IF(Atletas!O436="Wu-Hao 46 B",411,IF(OR(Atletas!O436="Taijiquan 16 B",Atletas!O436="Taijiquan 24 B",Atletas!O436="Taijiquan 32 B",Atletas!O436="Taijiquan 42 B"),412,IF(OR(Atletas!O436="Yang 26 C",Atletas!O436="Yang 40 C"),413,IF(OR(Atletas!O436="Chen 25 C",Atletas!O436="Chen 36 C",Atletas!O436="Chen 56 C"),414,IF(Atletas!O436="Sun 73 C",415,IF(Atletas!O436="Wu 45 C",416,IF(Atletas!O436="Wu-Hao 46 C",417,IF(OR(Atletas!O436="Taijiquan 16 C",Atletas!O436="Taijiquan 24 C",Atletas!O436="Taijiquan 32 C",Atletas!O436="Taijiquan 42 C"),418,0)))))))))))))))))))</f>
        <v/>
      </c>
      <c r="BQ440" s="52" t="str">
        <f>IF(Atletas!O436="","",IF(Atletas!W436&lt;&gt;"",10000,0)+IF(Atletas!B436="Feminino",1000,IF(Atletas!B436="Masculino",2000,""))+IF(OR(Atletas!O436="Yang 26 D",Atletas!O436="Yang 40 D"),419,IF(OR(Atletas!O436="Chen 25 D",Atletas!O436="Chen 36 D",Atletas!O436="Chen 56 D"),420,IF(Atletas!O436="Sun 73 D",421,IF(Atletas!O436="Wu 45 D",422,IF(Atletas!O436="Wu-Hao 46 D",423,IF(OR(Atletas!O436="Taijiquan 16 D",Atletas!O436="Taijiquan 24 D",Atletas!O436="Taijiquan 32 D",Atletas!O436="Taijiquan 42 D"),424,IF(OR(Atletas!O436="Yang 26 E",Atletas!O436="Yang 40 E"),425,IF(OR(Atletas!O436="Chen 25 E",Atletas!O436="Chen 36 E",Atletas!O436="Chen 56 E"),426,IF(Atletas!O436="Sun 73 E",427,IF(Atletas!O436="Wu 45 E",428,IF(Atletas!O436="Wu-Hao 46 E",429,IF(OR(Atletas!O436="Taijiquan 16 E",Atletas!O436="Taijiquan 24 E",Atletas!O436="Taijiquan 32 E",Atletas!O436="Taijiquan 42 E"),430,IF(OR(Atletas!O436="Yang 26 F",Atletas!O436="Yang 40 F"),431,IF(OR(Atletas!O436="Chen 25 F",Atletas!O436="Chen 36 F",Atletas!O436="Chen 56 F"),432,IF(Atletas!O436="Sun 73 F",433,IF(Atletas!O436="Wu 45 F",434,IF(Atletas!O436="Wu-Hao 46 F",435,IF(OR(Atletas!O436="Taijiquan 16 F",Atletas!O436="Taijiquan 24 F",Atletas!O436="Taijiquan 32 F",Atletas!O436="Taijiquan 42 F"),436,0)))))))))))))))))))</f>
        <v/>
      </c>
      <c r="BR440" s="52" t="str">
        <f>IF(Atletas!P436="","",IF(Atletas!W436&lt;&gt;"",10000,0)+IF(Atletas!B436="Feminino",1000,IF(Atletas!B436="Masculino",2000,""))+IF(Atletas!P436="Xingyiquan A",501,IF(Atletas!P436="Baguazhang A",502,IF(Atletas!P436="Outro Estilo Interno A",503,IF(Atletas!P436="Xingyiquan B",504,IF(Atletas!P436="Baguazhang B",505,IF(Atletas!P436="Outro Estilo Interno B",506,IF(Atletas!P436="Xingyiquan C",507,IF(Atletas!P436="Baguazhang C",508,IF(Atletas!P436="Outro Estilo Interno C",509,IF(Atletas!P436="Xingyiquan D",510,IF(Atletas!P436="Baguazhang D",511,IF(Atletas!P436="Outro Estilo Interno D",512,IF(Atletas!P436="Xingyiquan E",513,IF(Atletas!P436="Baguazhang E",514,IF(Atletas!P436="Outro Estilo Interno E",515,IF(Atletas!P436="Xingyiquan F",516,IF(Atletas!P436="Baguazhang F",517,IF(Atletas!P436="Outro Estilo Interno F",518, "")))))))))))))))))))</f>
        <v/>
      </c>
      <c r="BS440" s="52" t="str">
        <f>IF(Atletas!Q436="","",IF(Atletas!W436&lt;&gt;"",10000,0)+IF(Atletas!B436="Feminino",1000,IF(Atletas!B436="Masculino",2000,""))+IF(Atletas!Q436="Dao A",601,IF(Atletas!Q436="Jian A",602,IF(Atletas!Q436="Bishou A",603,IF(Atletas!Q436="Shan A",604,IF(Atletas!Q436="Outra Arma Curta A",605,IF(Atletas!Q436="Dao B",606,IF(Atletas!Q436="Jian B",607,IF(Atletas!Q436="Bishou B",608,IF(Atletas!Q436="Shan B",609,IF(Atletas!Q436="Outra Arma Curta B",610,IF(Atletas!Q436="Dao C",611,IF(Atletas!Q436="Jian C",612,IF(Atletas!Q436="Bishou C",613,IF(Atletas!Q436="Shan C",614,IF(Atletas!Q436="Outra Arma Curta C",615,IF(Atletas!Q436="Dao D",616,IF(Atletas!Q436="Jian D",617,IF(Atletas!Q436="Bishou D",618,IF(Atletas!Q436="Shan D",619,IF(Atletas!Q436="Outra Arma Curta D",620,IF(Atletas!Q436="Dao E",621,IF(Atletas!Q436="Jian E",622,IF(Atletas!Q436="Bishou E",623,IF(Atletas!Q436="Shan E",624,IF(Atletas!Q436="Outra Arma Curta E",625,IF(Atletas!Q436="Dao F",626,IF(Atletas!Q436="Jian F",627,IF(Atletas!Q436="Bishou F",628,IF(Atletas!Q436="Shan F",629,IF(Atletas!Q436="Outra Arma Curta F",630, "")))))))))))))))))))))))))))))))</f>
        <v/>
      </c>
      <c r="BT440" s="52" t="str">
        <f>IF(Atletas!R436="","",IF(Atletas!W436&lt;&gt;"",10000,0)+IF(Atletas!B436="Feminino",1000,IF(Atletas!B436="Masculino",2000,""))+IF(Atletas!R436="Gun A",701,IF(Atletas!R436="Qiang A",702,IF(Atletas!R436="Pudao / Guandao A",703,IF(Atletas!R436="Outra Arma Longa A",704,IF(Atletas!R436="Gun B",705,IF(Atletas!R436="Qiang B",706,IF(Atletas!R436="Pudao / Guandao B",707,IF(Atletas!R436="Outra Arma Longa B",708,IF(Atletas!R436="Gun C",709,IF(Atletas!R436="Qiang C",710,IF(Atletas!R436="Pudao / Guandao C",711,IF(Atletas!R436="Outra Arma Longa C",712,IF(Atletas!R436="Gun D",713,IF(Atletas!R436="Qiang D",714,IF(Atletas!R436="Pudao / Guandao D",715,IF(Atletas!R436="Outra Arma Longa D",716,IF(Atletas!R436="Gun E",717,IF(Atletas!R436="Qiang E",718,IF(Atletas!R436="Pudao / Guandao E",719,IF(Atletas!R436="Outra Arma Longa E",720,IF(Atletas!R436="Gun F",721,IF(Atletas!R436="Qiang F",722,IF(Atletas!R436="Pudao / Guandao F",723,IF(Atletas!R436="Outra Arma Longa F",724,"")))))))))))))))))))))))))</f>
        <v/>
      </c>
      <c r="BU440" s="52" t="str">
        <f>IF(Atletas!S436="","",IF(Atletas!W436&lt;&gt;"",10000,0)+IF(Atletas!B436="Feminino",1000,IF(Atletas!B436="Masculino",2000,""))+IF(Atletas!S436="Arma Dupla A",801,IF(Atletas!S436="Arma Maleável A",802,IF(Atletas!S436="Arma Dupla B",803,IF(Atletas!S436="Arma Maleável B",804,IF(Atletas!S436="Arma Dupla C",805,IF(Atletas!S436="Arma Maleável C",806,IF(Atletas!S436="Arma Dupla D",807,IF(Atletas!S436="Arma Maleável D",808,IF(Atletas!S436="Arma Dupla E",809,IF(Atletas!S436="Arma Maleável E",810,IF(Atletas!S436="Arma Dupla F",811,IF(Atletas!S436="Arma Maleável F",812, "")))))))))))))</f>
        <v/>
      </c>
      <c r="BV440" s="52" t="str">
        <f>IF(Atletas!T436="","",IF(Atletas!W436&lt;&gt;"",10000,0)+IF(Atletas!B436="Feminino",1000,IF(Atletas!B436="Masculino",2000,""))+IF(Atletas!T436="Taijijian Yang A",901,IF(Atletas!T436="Taijijian Chen A",902,IF(Atletas!T436="Taijijian Sun A",903,IF(Atletas!T436="Taijijian Wu A",904,IF(Atletas!T436="Taijijian Wu-Hao A",905,IF(Atletas!T436="Taijijian 32 A",906,IF(Atletas!T436="Taijijian 42 A",907,IF(Atletas!T436="Taijijian Yang B",908,IF(Atletas!T436="Taijijian Chen B",909,IF(Atletas!T436="Taijijian Sun B",910,IF(Atletas!T436="Taijijian Wu B",911,IF(Atletas!T436="Taijijian Wu-Hao B",912,IF(Atletas!T436="Taijijian 32 B",913,IF(Atletas!T436="Taijijian 42 B",914,IF(Atletas!T436="Taijijian Yang C",915,IF(Atletas!T436="Taijijian Chen C",916,IF(Atletas!T436="Taijijian Sun C",917,IF(Atletas!T436="Taijijian Wu C",918,IF(Atletas!T436="Taijijian Wu-Hao C",919,IF(Atletas!T436="Taijijian 32 C",920,IF(Atletas!T436="Taijijian 42 C",921,IF(Atletas!T436="Taijijian Yang D",922,IF(Atletas!T436="Taijijian Chen D",923,IF(Atletas!T436="Taijijian Sun D",924,IF(Atletas!T436="Taijijian Wu D",925,IF(Atletas!T436="Taijijian Wu-Hao D",926,IF(Atletas!T436="Taijijian 32 D",927,IF(Atletas!T436="Taijijian 42 D",928,IF(Atletas!T436="Taijijian Yang E",929,IF(Atletas!T436="Taijijian Chen E",930,IF(Atletas!T436="Taijijian Sun E",931,IF(Atletas!T436="Taijijian Wu E",932,IF(Atletas!T436="Taijijian Wu-Hao E",933,IF(Atletas!T436="Taijijian 32 E",934,IF(Atletas!T436="Taijijian 42 E",935,IF(Atletas!T436="Taijijian Yang F",936,IF(Atletas!T436="Taijijian Chen F",937,IF(Atletas!T436="Taijijian Sun F",938,IF(Atletas!T436="Taijijian Wu F",939,IF(Atletas!T436="Taijijian Wu-Hao F",940,IF(Atletas!T436="Taijijian 32 F",941,IF(Atletas!T436="Taijijian 42 F",942,"")))))))))))))))))))))))))))))))))))))))))))</f>
        <v/>
      </c>
      <c r="BW440" s="52" t="str">
        <f>IF(Atletas!U436="","",IF(Atletas!W436&lt;&gt;"",10000,0)+IF(Atletas!B436="Feminino",1000,IF(Atletas!B436="Masculino",2000,""))+IF(Atletas!T436="Taijijian 42 F",942,IF(Atletas!U436="Taijidao A",943,IF(Atletas!U436="Taijishan A",944,IF(Atletas!U436="Taijiqiang A",945,IF(Atletas!U436="Taijidao B",946,IF(Atletas!U436="Taijishan B",947,IF(Atletas!U436="Taijiqiang B",948,IF(Atletas!U436="Taijidao C",949,IF(Atletas!U436="Taijishan C",950,IF(Atletas!U436="Taijiqiang C",951,IF(Atletas!U436="Taijidao D",952,IF(Atletas!U436="Taijishan D",953,IF(Atletas!U436="Taijiqiang D",954,IF(Atletas!U436="Taijidao E",955,IF(Atletas!U436="Taijishan E",956,IF(Atletas!U436="Taijiqiang E",957,IF(Atletas!U436="Taijidao F",958,IF(Atletas!U436="Taijishan F",959,IF(Atletas!U436="Taijiqiang F",960))))))))))))))))))))</f>
        <v/>
      </c>
      <c r="CF440" s="52" t="str">
        <f xml:space="preserve"> IF(Atletas!V436="","",IF(Atletas!V436="Duilian de Mãos AB - Equipe 1",1,IF(Atletas!V436="Duilian de Mãos AB - Equipe 2",2,IF(Atletas!V436="Duilian de Armas AB - Equipe 1",3,IF(Atletas!V436="Duilian de Armas AB - Equipe 2",4,IF(Atletas!V436="Duilian de Tuishou - Equipe 1",5,IF(Atletas!V436="Duilian de Tuishou - Equipe 2",6,IF(Atletas!V436="Grupo Externo AB - Equipe 1",7,IF(Atletas!V436="Grupo Externo AB - Equipe 2",8,IF(Atletas!V436="Grupo Interno AB - Equipe 1",9,IF(Atletas!V436="Grupo Interno AB - Equipe 2",10,IF(Atletas!V436="Duilian de Mãos CD - Equipe 1",11,IF(Atletas!V436="Duilian de Mãos CD - Equipe 2",12,IF(Atletas!V436="Duilian de Armas CD - Equipe 1",13,IF(Atletas!V436="Duilian de Armas CD - Equipe 2",14,IF(Atletas!V436="Duilian de Tuishou - Equipe 1",15,IF(Atletas!V436="Duilian de Tuishou - Equipe 2",16,IF(Atletas!V436="Grupo Externo CDEF - Equipe 1",17,IF(Atletas!V436="Grupo Externo CDEF - Equipe 2",18,IF(Atletas!V436="Grupo Interno CDEF - Equipe 1",19,IF(Atletas!V436="Grupo Interno CDEF - Equipe 2",20,IF(Atletas!V436="Duilian de Mãos EF - Equipe 1",21,IF(Atletas!V436="Duilian de Mãos EF - Equipe 2",22,IF(Atletas!V436="Duilian de Armas EF - Equipe 1",23,IF(Atletas!V436="Duilian de Armas EF - Equipe 2",24,IF(Atletas!V436="Duilian de Tuishou - Equipe 1",25,IF(Atletas!V436="Duilian de Tuishou - Equipe 2",26,"")))))))))))))))))))))))))))</f>
        <v/>
      </c>
    </row>
    <row r="441" spans="36:84">
      <c r="AJ441" s="46" t="str">
        <f>IF(Atletas!D437="","",IF(Atletas!B437="Feminino",100,IF(Atletas!B437="Masculino",200,""))+(IF(Atletas!D437="Infantil 39kg",1,IF(Atletas!D437="Infantil 42kg",2,IF(Atletas!D437="Infantil 45kg",3,IF(Atletas!D437="Infantil 48kg",4,IF(Atletas!D437="Infantil 52kg",5,IF(Atletas!D437="Infantil 56kg",6,IF(Atletas!D437="Infantil 60kg",7,IF(Atletas!D437="Juvenil 48kg",8,IF(Atletas!D437="Juvenil 52kg",9,IF(Atletas!D437="Juvenil 56kg",10,IF(Atletas!D437="Juvenil 60kg",11,IF(Atletas!D437="Juvenil 65kg",12,IF(Atletas!D437="Juvenil 70kg",13,IF(Atletas!D437="Juvenil 75kg",14,IF(Atletas!D437="Juvenil 80kg",15,IF(Atletas!D437="Adulto 48kg",16,IF(Atletas!D437="Adulto 52kg",17,IF(Atletas!D437="Adulto 56kg",18,IF(Atletas!D437="Adulto 60kg",19,IF(Atletas!D437="Adulto 65kg",20,IF(Atletas!D437="Adulto 70kg",21,IF(Atletas!D437="Adulto 75kg",22,IF(Atletas!D437="Adulto 80kg",23,IF(Atletas!D437="Adulto 85kg",24,IF(Atletas!D437="Adulto 90kg",25,IF(Atletas!D437="Adulto +90kg",26,""))))))))))))))))))))))))))))</f>
        <v/>
      </c>
      <c r="AO441" s="10" t="str">
        <f>IF(Atletas!E437="","",IF(Atletas!B437="Feminino",100,IF(Atletas!B437="Masculino",200,""))+(IF(Atletas!E437="Juvenil 44kg",1,IF(Atletas!E437="Juvenil 48kg",2,IF(Atletas!E437="Juvenil 52kg",3,IF(Atletas!E437="Juvenil 56kg",4,IF(Atletas!E437="Juvenil 60kg",5,IF(Atletas!E437="Juvenil 65kg",6,IF(Atletas!E437="Juvenil 70kg",7,IF(Atletas!E437="Juvenil 75kg",8,IF(Atletas!E437="Juvenil 82kg",9,IF(Atletas!E437="Juvenil 90kg",10,IF(Atletas!E437="Juvenil 100kg",11,IF(Atletas!E437="Adulto 48kg",12,IF(Atletas!E437="Adulto 52kg",13,IF(Atletas!E437="Adulto 56kg",14,IF(Atletas!E437="Adulto 60kg",15,IF(Atletas!E437="Adulto 65kg",16,IF(Atletas!E437="Adulto 70kg",17,IF(Atletas!E437="Adulto 75kg",18,IF(Atletas!E437="Adulto 82kg",19,IF(Atletas!E437="Adulto 90kg",20,IF(Atletas!E437="Adulto 100kg",21,IF(Atletas!E437="Adulto +100kg",22,""))))))))))))))))))))))))</f>
        <v/>
      </c>
      <c r="AT441" s="10" t="str">
        <f>IF(Atletas!F437="","",IF(Atletas!B437="Feminino",100,IF(Atletas!B437="Masculino",200,""))+(IF(Atletas!F437="Adulto 48kg",1,IF(Atletas!F437="Adulto 56kg",2,IF(Atletas!F437="Adulto 65kg",3,IF(Atletas!F437="Adulto 75kg",4,IF(Atletas!F437="Adulto +75kg",5,IF(Atletas!F437="Adulto 52kg",6,IF(Atletas!F437="Adulto 60kg",7,IF(Atletas!F437="Adulto 70kg",8,IF(Atletas!F437="Adulto 80kg",9,IF(Atletas!F437="Adulto 90kg",10,IF(Atletas!F437="Adulto +90kg",11,"")))))))))))))</f>
        <v/>
      </c>
      <c r="AY441" s="46" t="str">
        <f>IF(Atletas!G437="","",IF(Atletas!B437="Feminino",100,IF(Atletas!B437="Masculino",200,""))+(IF(Atletas!G437="Changquan Mirim",1,IF(Atletas!G437="Nanquan Mirim",2,IF(Atletas!G437="Taijiquan Mirim",3,IF(Atletas!G437="Changquan Grupo C",4,IF(Atletas!G437="Nanquan Grupo C",5,IF(Atletas!G437="Taijiquan Grupo C",6,IF(Atletas!G437="Changquan Grupo B",7,IF(Atletas!G437="Nanquan Grupo B",8,IF(Atletas!G437="Taijiquan Grupo B",9,IF(Atletas!G437="Changquan Grupo A",10,IF(Atletas!G437="Nanquan Grupo A",11,IF(Atletas!G437="Taijiquan Grupo A",12,IF(Atletas!G437="Changquan Opcional",13,IF(Atletas!G437="Nanquan Opcional",14,IF(Atletas!G437="Taijiquan Opcional",15,IF(Atletas!G437="Changquan Adulto",16,IF(Atletas!G437="Nanquan Adulto",17,IF(Atletas!G437="Taijiquan Adulto",18,""))))))))))))))))))))</f>
        <v/>
      </c>
      <c r="AZ441" s="46" t="str">
        <f>IF(Atletas!H437="","",IF(Atletas!B437="Feminino",100,IF(Atletas!B437="Masculino",200,""))+(IF(Atletas!H437="Daoshu Mirim",19,IF(Atletas!H437="Jianshu Mirim",20,IF(Atletas!H437="Nandao Mirim",21,IF(Atletas!H437="Taijijian Mirim",22,IF(Atletas!H437="Daoshu Grupo C",23,IF(Atletas!H437="Jianshu Grupo C",24,IF(Atletas!H437="Nandao Grupo C",25,IF(Atletas!H437="Taijijian Grupo C",26,IF(Atletas!H437="Daoshu Grupo B",27,IF(Atletas!H437="Jianshu Grupo B",28,IF(Atletas!H437="Nandao Grupo B",29,IF(Atletas!H437="Taijijian Grupo B",30,IF(Atletas!H437="Daoshu Grupo A",31,IF(Atletas!H437="Jianshu Grupo A",32,IF(Atletas!H437="Nandao Grupo A",33,IF(Atletas!H437="Taijijian Grupo A",34,IF(Atletas!H437="Daoshu Opcional",35,IF(Atletas!H437="Jianshu Opcional",36,IF(Atletas!H437="Nandao Opcional",37,IF(Atletas!H437="Taijijian Opcional",38,IF(Atletas!H437="Daoshu Adulto",39,IF(Atletas!H437="Jianshu Adulto",40,IF(Atletas!H437="Nandao Adulto",41,IF(Atletas!H437="Taijijian Adulto",42,""))))))))))))))))))))))))))</f>
        <v/>
      </c>
      <c r="BA441" s="46" t="str">
        <f>IF(Atletas!I437="","",IF(Atletas!B437="Feminino",100,IF(Atletas!B437="Masculino",200,""))+(IF(Atletas!I437="Gunshu Mirim",43,IF(Atletas!I437="Qiangshu Mirim",44,IF(Atletas!I437="Nangun Mirim",45,IF(Atletas!I437="Gunshu Grupo C",46,IF(Atletas!I437="Qiangshu Grupo C",47,IF(Atletas!I437="Nangun Grupo C",48,IF(Atletas!I437="Gunshu Grupo B",49,IF(Atletas!I437="Qiangshu Grupo B",50,IF(Atletas!I437="Nangun Grupo B",51,IF(Atletas!I437="Gunshu Grupo A",52,IF(Atletas!I437="Qiangshu Grupo A",53,IF(Atletas!I437="Nangun Grupo A",54,IF(Atletas!I437="Gunshu Opcional",55,IF(Atletas!I437="Qiangshu Opcional",56,IF(Atletas!I437="Nangun Opcional",57,IF(Atletas!I437="Gunshu Adulto",58,IF(Atletas!I437="Qiangshu Adulto",59,IF(Atletas!I437="Nangun Adulto",60,""))))))))))))))))))))</f>
        <v/>
      </c>
      <c r="BF441" s="52" t="str">
        <f>IF(Atletas!J437="","",IF(Atletas!B437="Feminino",100,IF(Atletas!B437="Masculino",200,""))+(IF(Atletas!J437="Equipe 1 Grupo B",1,IF(Atletas!J437="Equipe 2 Grupo B",2,IF(Atletas!J437="Equipe 1 Grupo A",3,IF(Atletas!J437="Equipe 2 Grupo A",4,IF(Atletas!J437="Equipe 1 Adulto",5,IF(Atletas!J437="Equipe 2 Adulto",6,""))))))))</f>
        <v/>
      </c>
      <c r="BK441" s="52" t="str">
        <f>IF(Atletas!K437="","",IF(Atletas!W437&lt;&gt;"",10000,0)+(IF(Atletas!B437="Feminino",1000,IF(Atletas!B437="Masculino",2000,""))+IF(Atletas!K437="Choylayfut A",1,IF(Atletas!K437="Hunggar A",2,IF(Atletas!K437="Wuzuquan A",3,IF(Atletas!K437="Wingchun A",4,IF(Atletas!K437="Outra Mão de Sul A",5,IF(Atletas!K437="Choylayfut B",6,IF(Atletas!K437="Hunggar B",7,IF(Atletas!K437="Wuzuquan B",8,IF(Atletas!K437="Wingchun B",9,IF(Atletas!K437="Outra Mão de Sul B",10,IF(Atletas!K437="Choylayfut C",11,IF(Atletas!K437="Hunggar C",12,IF(Atletas!K437="Wuzuquan C",13,IF(Atletas!K437="Wingchun C",14,IF(Atletas!K437="Outra Mão de Sul C",15,IF(Atletas!K437="Choylayfut D",16,IF(Atletas!K437="Hunggar D",17,IF(Atletas!K437="Wuzuquan D",18,IF(Atletas!K437="Wingchun D",19,IF(Atletas!K437="Outra Mão de Sul D",20,IF(Atletas!K437="Choylayfut E",21,IF(Atletas!K437="Hunggar E",22,IF(Atletas!K437="Wuzuquan E",23,IF(Atletas!K437="Wingchun E",24,IF(Atletas!K437="Outra Mão de Sul E",25,IF(Atletas!K437="Choylayfut F",26,IF(Atletas!K437="Hunggar F",27,IF(Atletas!K437="Wuzuquan F",28,IF(Atletas!K437="Wingchun F",29,IF(Atletas!K437="Outra Mão de Sul F",30,""))))))))))))))))))))))))))))))))</f>
        <v/>
      </c>
      <c r="BL441" s="52" t="str">
        <f>IF(Atletas!L437="","",IF(Atletas!W437&lt;&gt;"",10000,0)+(IF(Atletas!B437="Feminino",1000,IF(Atletas!B437="Masculino",2000,""))+(IF(Atletas!L437="Chaquan A",101,IF(Atletas!L437="Emeiquan A",102,IF(Atletas!L437="Fanziquan A",103,IF(Atletas!L437="Huaquan A",104,IF(Atletas!L437="Hongquan A",105,IF(Atletas!L437="Paochui A",106,IF(Atletas!L437="Piguaquan A",107,IF(Atletas!L437="Shaolinquan A",108,IF(Atletas!L437="Tanglangquan A",109,IF(Atletas!L437="Yinzhaophai A",110,IF(Atletas!L437="Tongbeiquan A",111,IF(Atletas!L437="Wudangquan A",112,IF(Atletas!L437="Outros Estilos A",113,IF(Atletas!L437="Chaquan B",114,IF(Atletas!L437="Emeiquan B",115,IF(Atletas!L437="Fanziquan B",116,IF(Atletas!L437="Huaquan B",117,IF(Atletas!L437="Hongquan B",118,IF(Atletas!L437="Paochui B",119,IF(Atletas!L437="Piguaquan B",120,IF(Atletas!L437="Shaolinquan B",121,IF(Atletas!L437="Tanglangquan B",122,IF(Atletas!L437="Yinzhaophai B",123,IF(Atletas!L437="Tongbeiquan B",124,IF(Atletas!L437="Wudangquan B",125,IF(Atletas!L437="Outros Estilos B",126,IF(Atletas!L437="Chaquan C",127,IF(Atletas!L437="Emeiquan C",128,IF(Atletas!L437="Fanziquan C",129,IF(Atletas!L437="Huaquan C",130,IF(Atletas!L437="Hongquan C",131,IF(Atletas!L437="Paochui C",132,IF(Atletas!L437="Piguaquan C",133,IF(Atletas!L437="Shaolinquan C",134,IF(Atletas!L437="Tanglangquan C",135,IF(Atletas!L437="Yinzhaophai C",136,IF(Atletas!L437="Tongbeiquan C",137,IF(Atletas!L437="Wudangquan C",138,IF(Atletas!L437="Outros Estilos C",139,0))))))))))))))))))))))))))))))))))))))))))</f>
        <v/>
      </c>
      <c r="BM441" s="52" t="str">
        <f>IF(Atletas!L437="","",IF(Atletas!W437&lt;&gt;"",10000,0)+(IF(Atletas!B437="Feminino",1000,IF(Atletas!B437="Masculino",2000,""))+(IF(Atletas!L437="Chaquan D",140,IF(Atletas!L437="Emeiquan D",141,IF(Atletas!L437="Fanziquan D",142,IF(Atletas!L437="Huaquan D",143,IF(Atletas!L437="Hongquan D",144,IF(Atletas!L437="Paochui D",145,IF(Atletas!L437="Piguaquan D",146,IF(Atletas!L437="Shaolinquan D",147,IF(Atletas!L437="Tanglangquan D",148,IF(Atletas!L437="Yinzhaophai D",149,IF(Atletas!L437="Tongbeiquan D",150,IF(Atletas!L437="Wudangquan D",151,IF(Atletas!L437="Outros Estilos D",152,IF(Atletas!L437="Chaquan E",153,IF(Atletas!L437="Emeiquan E",154,IF(Atletas!L437="Fanziquan E",155,IF(Atletas!L437="Huaquan E",156,IF(Atletas!L437="Hongquan E",157,IF(Atletas!L437="Paochui E",158,IF(Atletas!L437="Piguaquan E",159,IF(Atletas!L437="Shaolinquan E",160,IF(Atletas!L437="Tanglangquan E",161,IF(Atletas!L437="Yinzhaophai E",162,IF(Atletas!L437="Tongbeiquan E",163,IF(Atletas!L437="Wudangquan E",164,IF(Atletas!L437="Outros Estilos E",165,IF(Atletas!L437="Chaquan F",166,IF(Atletas!L437="Emeiquan F",167,IF(Atletas!L437="Fanziquan F",168,IF(Atletas!L437="Huaquan F",169,IF(Atletas!L437="Hongquan F",170,IF(Atletas!L437="Paochui F",171,IF(Atletas!L437="Piguaquan F",172,IF(Atletas!L437="Shaolinquan F",173,IF(Atletas!L437="Tanglangquan F",174,IF(Atletas!L437="Yinzhaophai F",175,IF(Atletas!L437="Tongbeiquan F",176,IF(Atletas!L437="Wudangquan F",177,IF(Atletas!L437="Outros Estilos F",178,0))))))))))))))))))))))))))))))))))))))))))</f>
        <v/>
      </c>
      <c r="BN441" s="52" t="str">
        <f>IF(Atletas!M437="","",IF(Atletas!W437&lt;&gt;"",10000,0)+(IF(Atletas!B437="Feminino",1000,IF(Atletas!B437="Masculino",2000,""))+(IF(Atletas!M437="Ditangquan A",201,IF(Atletas!M437="Houquan A",202,IF(Atletas!M437="Zuiquan A",203,IF(Atletas!M437="Ditangquan B",204,IF(Atletas!M437="Houquan B",205,IF(Atletas!M437="Zuiquan B",206,IF(Atletas!M437="Ditangquan C",207,IF(Atletas!M437="Houquan C",208,IF(Atletas!M437="Zuiquan C",209,IF(Atletas!M437="Ditangquan D",210,IF(Atletas!M437="Houquan D",211,IF(Atletas!M437="Zuiquan D",212,IF(Atletas!M437="Ditangquan E",213,IF(Atletas!M437="Houquan E",214,IF(Atletas!M437="Zuiquan E",215,IF(Atletas!M437="Ditangquan F",216,IF(Atletas!M437="Houquan F",217,IF(Atletas!M437="Zuiquan F",218,"")))))))))))))))))))))</f>
        <v/>
      </c>
      <c r="BO441" s="52" t="str">
        <f>IF(Atletas!N437="","",IF(Atletas!W437&lt;&gt;"",10000,0)+IF(Atletas!B437="Feminino",1000,IF(Atletas!B437="Masculino",2000,""))+IF(Atletas!N437="Yang A",301,IF(Atletas!N437="Chen A",30,IF(Atletas!N437="Sun A",303,IF(Atletas!N437="Wu A",304,IF(Atletas!N437="Wu-Hao A",305,IF(Atletas!N437="Outro Taijiquan A",306,IF(Atletas!N437="Yang B",307,IF(Atletas!N437="Chen B",308,IF(Atletas!N437="Sun B",309,IF(Atletas!N437="Wu B",310,IF(Atletas!N437="Wu-Hao B",311,IF(Atletas!N437="Outro Taijiquan B",312,IF(Atletas!N437="Yang C",313,IF(Atletas!N437="Chen C",314,IF(Atletas!N437="Sun C",315,IF(Atletas!N437="Wu C",316,IF(Atletas!N437="Wu-Hao C",317,IF(Atletas!N437="Outro Taijiquan C",318,IF(Atletas!N437="Yang D",319,IF(Atletas!N437="Chen D",320,IF(Atletas!N437="Sun D",321,IF(Atletas!N437="Wu D",322,IF(Atletas!N437="Wu-Hao D",323,IF(Atletas!N437="Outro Taijiquan D",324,IF(Atletas!N437="Yang E",325,IF(Atletas!N437="Chen E",326,IF(Atletas!N437="Sun E",327,IF(Atletas!N437="Wu E",328,IF(Atletas!N437="Wu-Hao E",329,IF(Atletas!N437="Outro Taijiquan E",330,IF(Atletas!N437="Yang F",331,IF(Atletas!N437="Chen F",332,IF(Atletas!N437="Sun F",333,IF(Atletas!N437="Wu F",334,IF(Atletas!N437="Wu-Hao F",335,IF(Atletas!N437="Outro Taijiquan F",336,"")))))))))))))))))))))))))))))))))))))</f>
        <v/>
      </c>
      <c r="BP441" s="52" t="str">
        <f>IF(Atletas!O437="","",IF(Atletas!W437&lt;&gt;"",10000,0)+IF(Atletas!B437="Feminino",1000,IF(Atletas!B437="Masculino",2000,""))+IF(OR(Atletas!O437="Yang 26 A",Atletas!O437="Yang 40 A"),401,IF(OR(Atletas!O437="Chen 25 A",Atletas!O437="Chen 36 A",Atletas!O437="Chen 56 A"),402,IF(Atletas!O437="Sun 73 A",403,IF(Atletas!O437="Wu 45 A",404,IF(Atletas!O437="Wu-Hao 46 A",405,IF(OR(Atletas!O437="Taijiquan 16 A",Atletas!O437="Taijiquan 24 A",Atletas!O437="Taijiquan 32 A",Atletas!O437="Taijiquan 42 A"),406,IF(OR(Atletas!O437="Yang 26 B",Atletas!O437="Yang 40 B"),407,IF(OR(Atletas!O437="Chen 25 B",Atletas!O437="Chen 36 B",Atletas!O437="Chen 56 B"),408,IF(Atletas!O437="Sun 73 B",409,IF(Atletas!O437="Wu 45 B",410,IF(Atletas!O437="Wu-Hao 46 B",411,IF(OR(Atletas!O437="Taijiquan 16 B",Atletas!O437="Taijiquan 24 B",Atletas!O437="Taijiquan 32 B",Atletas!O437="Taijiquan 42 B"),412,IF(OR(Atletas!O437="Yang 26 C",Atletas!O437="Yang 40 C"),413,IF(OR(Atletas!O437="Chen 25 C",Atletas!O437="Chen 36 C",Atletas!O437="Chen 56 C"),414,IF(Atletas!O437="Sun 73 C",415,IF(Atletas!O437="Wu 45 C",416,IF(Atletas!O437="Wu-Hao 46 C",417,IF(OR(Atletas!O437="Taijiquan 16 C",Atletas!O437="Taijiquan 24 C",Atletas!O437="Taijiquan 32 C",Atletas!O437="Taijiquan 42 C"),418,0)))))))))))))))))))</f>
        <v/>
      </c>
      <c r="BQ441" s="52" t="str">
        <f>IF(Atletas!O437="","",IF(Atletas!W437&lt;&gt;"",10000,0)+IF(Atletas!B437="Feminino",1000,IF(Atletas!B437="Masculino",2000,""))+IF(OR(Atletas!O437="Yang 26 D",Atletas!O437="Yang 40 D"),419,IF(OR(Atletas!O437="Chen 25 D",Atletas!O437="Chen 36 D",Atletas!O437="Chen 56 D"),420,IF(Atletas!O437="Sun 73 D",421,IF(Atletas!O437="Wu 45 D",422,IF(Atletas!O437="Wu-Hao 46 D",423,IF(OR(Atletas!O437="Taijiquan 16 D",Atletas!O437="Taijiquan 24 D",Atletas!O437="Taijiquan 32 D",Atletas!O437="Taijiquan 42 D"),424,IF(OR(Atletas!O437="Yang 26 E",Atletas!O437="Yang 40 E"),425,IF(OR(Atletas!O437="Chen 25 E",Atletas!O437="Chen 36 E",Atletas!O437="Chen 56 E"),426,IF(Atletas!O437="Sun 73 E",427,IF(Atletas!O437="Wu 45 E",428,IF(Atletas!O437="Wu-Hao 46 E",429,IF(OR(Atletas!O437="Taijiquan 16 E",Atletas!O437="Taijiquan 24 E",Atletas!O437="Taijiquan 32 E",Atletas!O437="Taijiquan 42 E"),430,IF(OR(Atletas!O437="Yang 26 F",Atletas!O437="Yang 40 F"),431,IF(OR(Atletas!O437="Chen 25 F",Atletas!O437="Chen 36 F",Atletas!O437="Chen 56 F"),432,IF(Atletas!O437="Sun 73 F",433,IF(Atletas!O437="Wu 45 F",434,IF(Atletas!O437="Wu-Hao 46 F",435,IF(OR(Atletas!O437="Taijiquan 16 F",Atletas!O437="Taijiquan 24 F",Atletas!O437="Taijiquan 32 F",Atletas!O437="Taijiquan 42 F"),436,0)))))))))))))))))))</f>
        <v/>
      </c>
      <c r="BR441" s="52" t="str">
        <f>IF(Atletas!P437="","",IF(Atletas!W437&lt;&gt;"",10000,0)+IF(Atletas!B437="Feminino",1000,IF(Atletas!B437="Masculino",2000,""))+IF(Atletas!P437="Xingyiquan A",501,IF(Atletas!P437="Baguazhang A",502,IF(Atletas!P437="Outro Estilo Interno A",503,IF(Atletas!P437="Xingyiquan B",504,IF(Atletas!P437="Baguazhang B",505,IF(Atletas!P437="Outro Estilo Interno B",506,IF(Atletas!P437="Xingyiquan C",507,IF(Atletas!P437="Baguazhang C",508,IF(Atletas!P437="Outro Estilo Interno C",509,IF(Atletas!P437="Xingyiquan D",510,IF(Atletas!P437="Baguazhang D",511,IF(Atletas!P437="Outro Estilo Interno D",512,IF(Atletas!P437="Xingyiquan E",513,IF(Atletas!P437="Baguazhang E",514,IF(Atletas!P437="Outro Estilo Interno E",515,IF(Atletas!P437="Xingyiquan F",516,IF(Atletas!P437="Baguazhang F",517,IF(Atletas!P437="Outro Estilo Interno F",518, "")))))))))))))))))))</f>
        <v/>
      </c>
      <c r="BS441" s="52" t="str">
        <f>IF(Atletas!Q437="","",IF(Atletas!W437&lt;&gt;"",10000,0)+IF(Atletas!B437="Feminino",1000,IF(Atletas!B437="Masculino",2000,""))+IF(Atletas!Q437="Dao A",601,IF(Atletas!Q437="Jian A",602,IF(Atletas!Q437="Bishou A",603,IF(Atletas!Q437="Shan A",604,IF(Atletas!Q437="Outra Arma Curta A",605,IF(Atletas!Q437="Dao B",606,IF(Atletas!Q437="Jian B",607,IF(Atletas!Q437="Bishou B",608,IF(Atletas!Q437="Shan B",609,IF(Atletas!Q437="Outra Arma Curta B",610,IF(Atletas!Q437="Dao C",611,IF(Atletas!Q437="Jian C",612,IF(Atletas!Q437="Bishou C",613,IF(Atletas!Q437="Shan C",614,IF(Atletas!Q437="Outra Arma Curta C",615,IF(Atletas!Q437="Dao D",616,IF(Atletas!Q437="Jian D",617,IF(Atletas!Q437="Bishou D",618,IF(Atletas!Q437="Shan D",619,IF(Atletas!Q437="Outra Arma Curta D",620,IF(Atletas!Q437="Dao E",621,IF(Atletas!Q437="Jian E",622,IF(Atletas!Q437="Bishou E",623,IF(Atletas!Q437="Shan E",624,IF(Atletas!Q437="Outra Arma Curta E",625,IF(Atletas!Q437="Dao F",626,IF(Atletas!Q437="Jian F",627,IF(Atletas!Q437="Bishou F",628,IF(Atletas!Q437="Shan F",629,IF(Atletas!Q437="Outra Arma Curta F",630, "")))))))))))))))))))))))))))))))</f>
        <v/>
      </c>
      <c r="BT441" s="52" t="str">
        <f>IF(Atletas!R437="","",IF(Atletas!W437&lt;&gt;"",10000,0)+IF(Atletas!B437="Feminino",1000,IF(Atletas!B437="Masculino",2000,""))+IF(Atletas!R437="Gun A",701,IF(Atletas!R437="Qiang A",702,IF(Atletas!R437="Pudao / Guandao A",703,IF(Atletas!R437="Outra Arma Longa A",704,IF(Atletas!R437="Gun B",705,IF(Atletas!R437="Qiang B",706,IF(Atletas!R437="Pudao / Guandao B",707,IF(Atletas!R437="Outra Arma Longa B",708,IF(Atletas!R437="Gun C",709,IF(Atletas!R437="Qiang C",710,IF(Atletas!R437="Pudao / Guandao C",711,IF(Atletas!R437="Outra Arma Longa C",712,IF(Atletas!R437="Gun D",713,IF(Atletas!R437="Qiang D",714,IF(Atletas!R437="Pudao / Guandao D",715,IF(Atletas!R437="Outra Arma Longa D",716,IF(Atletas!R437="Gun E",717,IF(Atletas!R437="Qiang E",718,IF(Atletas!R437="Pudao / Guandao E",719,IF(Atletas!R437="Outra Arma Longa E",720,IF(Atletas!R437="Gun F",721,IF(Atletas!R437="Qiang F",722,IF(Atletas!R437="Pudao / Guandao F",723,IF(Atletas!R437="Outra Arma Longa F",724,"")))))))))))))))))))))))))</f>
        <v/>
      </c>
      <c r="BU441" s="52" t="str">
        <f>IF(Atletas!S437="","",IF(Atletas!W437&lt;&gt;"",10000,0)+IF(Atletas!B437="Feminino",1000,IF(Atletas!B437="Masculino",2000,""))+IF(Atletas!S437="Arma Dupla A",801,IF(Atletas!S437="Arma Maleável A",802,IF(Atletas!S437="Arma Dupla B",803,IF(Atletas!S437="Arma Maleável B",804,IF(Atletas!S437="Arma Dupla C",805,IF(Atletas!S437="Arma Maleável C",806,IF(Atletas!S437="Arma Dupla D",807,IF(Atletas!S437="Arma Maleável D",808,IF(Atletas!S437="Arma Dupla E",809,IF(Atletas!S437="Arma Maleável E",810,IF(Atletas!S437="Arma Dupla F",811,IF(Atletas!S437="Arma Maleável F",812, "")))))))))))))</f>
        <v/>
      </c>
      <c r="BV441" s="52" t="str">
        <f>IF(Atletas!T437="","",IF(Atletas!W437&lt;&gt;"",10000,0)+IF(Atletas!B437="Feminino",1000,IF(Atletas!B437="Masculino",2000,""))+IF(Atletas!T437="Taijijian Yang A",901,IF(Atletas!T437="Taijijian Chen A",902,IF(Atletas!T437="Taijijian Sun A",903,IF(Atletas!T437="Taijijian Wu A",904,IF(Atletas!T437="Taijijian Wu-Hao A",905,IF(Atletas!T437="Taijijian 32 A",906,IF(Atletas!T437="Taijijian 42 A",907,IF(Atletas!T437="Taijijian Yang B",908,IF(Atletas!T437="Taijijian Chen B",909,IF(Atletas!T437="Taijijian Sun B",910,IF(Atletas!T437="Taijijian Wu B",911,IF(Atletas!T437="Taijijian Wu-Hao B",912,IF(Atletas!T437="Taijijian 32 B",913,IF(Atletas!T437="Taijijian 42 B",914,IF(Atletas!T437="Taijijian Yang C",915,IF(Atletas!T437="Taijijian Chen C",916,IF(Atletas!T437="Taijijian Sun C",917,IF(Atletas!T437="Taijijian Wu C",918,IF(Atletas!T437="Taijijian Wu-Hao C",919,IF(Atletas!T437="Taijijian 32 C",920,IF(Atletas!T437="Taijijian 42 C",921,IF(Atletas!T437="Taijijian Yang D",922,IF(Atletas!T437="Taijijian Chen D",923,IF(Atletas!T437="Taijijian Sun D",924,IF(Atletas!T437="Taijijian Wu D",925,IF(Atletas!T437="Taijijian Wu-Hao D",926,IF(Atletas!T437="Taijijian 32 D",927,IF(Atletas!T437="Taijijian 42 D",928,IF(Atletas!T437="Taijijian Yang E",929,IF(Atletas!T437="Taijijian Chen E",930,IF(Atletas!T437="Taijijian Sun E",931,IF(Atletas!T437="Taijijian Wu E",932,IF(Atletas!T437="Taijijian Wu-Hao E",933,IF(Atletas!T437="Taijijian 32 E",934,IF(Atletas!T437="Taijijian 42 E",935,IF(Atletas!T437="Taijijian Yang F",936,IF(Atletas!T437="Taijijian Chen F",937,IF(Atletas!T437="Taijijian Sun F",938,IF(Atletas!T437="Taijijian Wu F",939,IF(Atletas!T437="Taijijian Wu-Hao F",940,IF(Atletas!T437="Taijijian 32 F",941,IF(Atletas!T437="Taijijian 42 F",942,"")))))))))))))))))))))))))))))))))))))))))))</f>
        <v/>
      </c>
      <c r="BW441" s="52" t="str">
        <f>IF(Atletas!U437="","",IF(Atletas!W437&lt;&gt;"",10000,0)+IF(Atletas!B437="Feminino",1000,IF(Atletas!B437="Masculino",2000,""))+IF(Atletas!T437="Taijijian 42 F",942,IF(Atletas!U437="Taijidao A",943,IF(Atletas!U437="Taijishan A",944,IF(Atletas!U437="Taijiqiang A",945,IF(Atletas!U437="Taijidao B",946,IF(Atletas!U437="Taijishan B",947,IF(Atletas!U437="Taijiqiang B",948,IF(Atletas!U437="Taijidao C",949,IF(Atletas!U437="Taijishan C",950,IF(Atletas!U437="Taijiqiang C",951,IF(Atletas!U437="Taijidao D",952,IF(Atletas!U437="Taijishan D",953,IF(Atletas!U437="Taijiqiang D",954,IF(Atletas!U437="Taijidao E",955,IF(Atletas!U437="Taijishan E",956,IF(Atletas!U437="Taijiqiang E",957,IF(Atletas!U437="Taijidao F",958,IF(Atletas!U437="Taijishan F",959,IF(Atletas!U437="Taijiqiang F",960))))))))))))))))))))</f>
        <v/>
      </c>
      <c r="CF441" s="52" t="str">
        <f xml:space="preserve"> IF(Atletas!V437="","",IF(Atletas!V437="Duilian de Mãos AB - Equipe 1",1,IF(Atletas!V437="Duilian de Mãos AB - Equipe 2",2,IF(Atletas!V437="Duilian de Armas AB - Equipe 1",3,IF(Atletas!V437="Duilian de Armas AB - Equipe 2",4,IF(Atletas!V437="Duilian de Tuishou - Equipe 1",5,IF(Atletas!V437="Duilian de Tuishou - Equipe 2",6,IF(Atletas!V437="Grupo Externo AB - Equipe 1",7,IF(Atletas!V437="Grupo Externo AB - Equipe 2",8,IF(Atletas!V437="Grupo Interno AB - Equipe 1",9,IF(Atletas!V437="Grupo Interno AB - Equipe 2",10,IF(Atletas!V437="Duilian de Mãos CD - Equipe 1",11,IF(Atletas!V437="Duilian de Mãos CD - Equipe 2",12,IF(Atletas!V437="Duilian de Armas CD - Equipe 1",13,IF(Atletas!V437="Duilian de Armas CD - Equipe 2",14,IF(Atletas!V437="Duilian de Tuishou - Equipe 1",15,IF(Atletas!V437="Duilian de Tuishou - Equipe 2",16,IF(Atletas!V437="Grupo Externo CDEF - Equipe 1",17,IF(Atletas!V437="Grupo Externo CDEF - Equipe 2",18,IF(Atletas!V437="Grupo Interno CDEF - Equipe 1",19,IF(Atletas!V437="Grupo Interno CDEF - Equipe 2",20,IF(Atletas!V437="Duilian de Mãos EF - Equipe 1",21,IF(Atletas!V437="Duilian de Mãos EF - Equipe 2",22,IF(Atletas!V437="Duilian de Armas EF - Equipe 1",23,IF(Atletas!V437="Duilian de Armas EF - Equipe 2",24,IF(Atletas!V437="Duilian de Tuishou - Equipe 1",25,IF(Atletas!V437="Duilian de Tuishou - Equipe 2",26,"")))))))))))))))))))))))))))</f>
        <v/>
      </c>
    </row>
    <row r="442" spans="36:84">
      <c r="AJ442" s="46" t="str">
        <f>IF(Atletas!D438="","",IF(Atletas!B438="Feminino",100,IF(Atletas!B438="Masculino",200,""))+(IF(Atletas!D438="Infantil 39kg",1,IF(Atletas!D438="Infantil 42kg",2,IF(Atletas!D438="Infantil 45kg",3,IF(Atletas!D438="Infantil 48kg",4,IF(Atletas!D438="Infantil 52kg",5,IF(Atletas!D438="Infantil 56kg",6,IF(Atletas!D438="Infantil 60kg",7,IF(Atletas!D438="Juvenil 48kg",8,IF(Atletas!D438="Juvenil 52kg",9,IF(Atletas!D438="Juvenil 56kg",10,IF(Atletas!D438="Juvenil 60kg",11,IF(Atletas!D438="Juvenil 65kg",12,IF(Atletas!D438="Juvenil 70kg",13,IF(Atletas!D438="Juvenil 75kg",14,IF(Atletas!D438="Juvenil 80kg",15,IF(Atletas!D438="Adulto 48kg",16,IF(Atletas!D438="Adulto 52kg",17,IF(Atletas!D438="Adulto 56kg",18,IF(Atletas!D438="Adulto 60kg",19,IF(Atletas!D438="Adulto 65kg",20,IF(Atletas!D438="Adulto 70kg",21,IF(Atletas!D438="Adulto 75kg",22,IF(Atletas!D438="Adulto 80kg",23,IF(Atletas!D438="Adulto 85kg",24,IF(Atletas!D438="Adulto 90kg",25,IF(Atletas!D438="Adulto +90kg",26,""))))))))))))))))))))))))))))</f>
        <v/>
      </c>
      <c r="AO442" s="10" t="str">
        <f>IF(Atletas!E438="","",IF(Atletas!B438="Feminino",100,IF(Atletas!B438="Masculino",200,""))+(IF(Atletas!E438="Juvenil 44kg",1,IF(Atletas!E438="Juvenil 48kg",2,IF(Atletas!E438="Juvenil 52kg",3,IF(Atletas!E438="Juvenil 56kg",4,IF(Atletas!E438="Juvenil 60kg",5,IF(Atletas!E438="Juvenil 65kg",6,IF(Atletas!E438="Juvenil 70kg",7,IF(Atletas!E438="Juvenil 75kg",8,IF(Atletas!E438="Juvenil 82kg",9,IF(Atletas!E438="Juvenil 90kg",10,IF(Atletas!E438="Juvenil 100kg",11,IF(Atletas!E438="Adulto 48kg",12,IF(Atletas!E438="Adulto 52kg",13,IF(Atletas!E438="Adulto 56kg",14,IF(Atletas!E438="Adulto 60kg",15,IF(Atletas!E438="Adulto 65kg",16,IF(Atletas!E438="Adulto 70kg",17,IF(Atletas!E438="Adulto 75kg",18,IF(Atletas!E438="Adulto 82kg",19,IF(Atletas!E438="Adulto 90kg",20,IF(Atletas!E438="Adulto 100kg",21,IF(Atletas!E438="Adulto +100kg",22,""))))))))))))))))))))))))</f>
        <v/>
      </c>
      <c r="AT442" s="10" t="str">
        <f>IF(Atletas!F438="","",IF(Atletas!B438="Feminino",100,IF(Atletas!B438="Masculino",200,""))+(IF(Atletas!F438="Adulto 48kg",1,IF(Atletas!F438="Adulto 56kg",2,IF(Atletas!F438="Adulto 65kg",3,IF(Atletas!F438="Adulto 75kg",4,IF(Atletas!F438="Adulto +75kg",5,IF(Atletas!F438="Adulto 52kg",6,IF(Atletas!F438="Adulto 60kg",7,IF(Atletas!F438="Adulto 70kg",8,IF(Atletas!F438="Adulto 80kg",9,IF(Atletas!F438="Adulto 90kg",10,IF(Atletas!F438="Adulto +90kg",11,"")))))))))))))</f>
        <v/>
      </c>
      <c r="AY442" s="46" t="str">
        <f>IF(Atletas!G438="","",IF(Atletas!B438="Feminino",100,IF(Atletas!B438="Masculino",200,""))+(IF(Atletas!G438="Changquan Mirim",1,IF(Atletas!G438="Nanquan Mirim",2,IF(Atletas!G438="Taijiquan Mirim",3,IF(Atletas!G438="Changquan Grupo C",4,IF(Atletas!G438="Nanquan Grupo C",5,IF(Atletas!G438="Taijiquan Grupo C",6,IF(Atletas!G438="Changquan Grupo B",7,IF(Atletas!G438="Nanquan Grupo B",8,IF(Atletas!G438="Taijiquan Grupo B",9,IF(Atletas!G438="Changquan Grupo A",10,IF(Atletas!G438="Nanquan Grupo A",11,IF(Atletas!G438="Taijiquan Grupo A",12,IF(Atletas!G438="Changquan Opcional",13,IF(Atletas!G438="Nanquan Opcional",14,IF(Atletas!G438="Taijiquan Opcional",15,IF(Atletas!G438="Changquan Adulto",16,IF(Atletas!G438="Nanquan Adulto",17,IF(Atletas!G438="Taijiquan Adulto",18,""))))))))))))))))))))</f>
        <v/>
      </c>
      <c r="AZ442" s="46" t="str">
        <f>IF(Atletas!H438="","",IF(Atletas!B438="Feminino",100,IF(Atletas!B438="Masculino",200,""))+(IF(Atletas!H438="Daoshu Mirim",19,IF(Atletas!H438="Jianshu Mirim",20,IF(Atletas!H438="Nandao Mirim",21,IF(Atletas!H438="Taijijian Mirim",22,IF(Atletas!H438="Daoshu Grupo C",23,IF(Atletas!H438="Jianshu Grupo C",24,IF(Atletas!H438="Nandao Grupo C",25,IF(Atletas!H438="Taijijian Grupo C",26,IF(Atletas!H438="Daoshu Grupo B",27,IF(Atletas!H438="Jianshu Grupo B",28,IF(Atletas!H438="Nandao Grupo B",29,IF(Atletas!H438="Taijijian Grupo B",30,IF(Atletas!H438="Daoshu Grupo A",31,IF(Atletas!H438="Jianshu Grupo A",32,IF(Atletas!H438="Nandao Grupo A",33,IF(Atletas!H438="Taijijian Grupo A",34,IF(Atletas!H438="Daoshu Opcional",35,IF(Atletas!H438="Jianshu Opcional",36,IF(Atletas!H438="Nandao Opcional",37,IF(Atletas!H438="Taijijian Opcional",38,IF(Atletas!H438="Daoshu Adulto",39,IF(Atletas!H438="Jianshu Adulto",40,IF(Atletas!H438="Nandao Adulto",41,IF(Atletas!H438="Taijijian Adulto",42,""))))))))))))))))))))))))))</f>
        <v/>
      </c>
      <c r="BA442" s="46" t="str">
        <f>IF(Atletas!I438="","",IF(Atletas!B438="Feminino",100,IF(Atletas!B438="Masculino",200,""))+(IF(Atletas!I438="Gunshu Mirim",43,IF(Atletas!I438="Qiangshu Mirim",44,IF(Atletas!I438="Nangun Mirim",45,IF(Atletas!I438="Gunshu Grupo C",46,IF(Atletas!I438="Qiangshu Grupo C",47,IF(Atletas!I438="Nangun Grupo C",48,IF(Atletas!I438="Gunshu Grupo B",49,IF(Atletas!I438="Qiangshu Grupo B",50,IF(Atletas!I438="Nangun Grupo B",51,IF(Atletas!I438="Gunshu Grupo A",52,IF(Atletas!I438="Qiangshu Grupo A",53,IF(Atletas!I438="Nangun Grupo A",54,IF(Atletas!I438="Gunshu Opcional",55,IF(Atletas!I438="Qiangshu Opcional",56,IF(Atletas!I438="Nangun Opcional",57,IF(Atletas!I438="Gunshu Adulto",58,IF(Atletas!I438="Qiangshu Adulto",59,IF(Atletas!I438="Nangun Adulto",60,""))))))))))))))))))))</f>
        <v/>
      </c>
      <c r="BF442" s="52" t="str">
        <f>IF(Atletas!J438="","",IF(Atletas!B438="Feminino",100,IF(Atletas!B438="Masculino",200,""))+(IF(Atletas!J438="Equipe 1 Grupo B",1,IF(Atletas!J438="Equipe 2 Grupo B",2,IF(Atletas!J438="Equipe 1 Grupo A",3,IF(Atletas!J438="Equipe 2 Grupo A",4,IF(Atletas!J438="Equipe 1 Adulto",5,IF(Atletas!J438="Equipe 2 Adulto",6,""))))))))</f>
        <v/>
      </c>
      <c r="BK442" s="52" t="str">
        <f>IF(Atletas!K438="","",IF(Atletas!W438&lt;&gt;"",10000,0)+(IF(Atletas!B438="Feminino",1000,IF(Atletas!B438="Masculino",2000,""))+IF(Atletas!K438="Choylayfut A",1,IF(Atletas!K438="Hunggar A",2,IF(Atletas!K438="Wuzuquan A",3,IF(Atletas!K438="Wingchun A",4,IF(Atletas!K438="Outra Mão de Sul A",5,IF(Atletas!K438="Choylayfut B",6,IF(Atletas!K438="Hunggar B",7,IF(Atletas!K438="Wuzuquan B",8,IF(Atletas!K438="Wingchun B",9,IF(Atletas!K438="Outra Mão de Sul B",10,IF(Atletas!K438="Choylayfut C",11,IF(Atletas!K438="Hunggar C",12,IF(Atletas!K438="Wuzuquan C",13,IF(Atletas!K438="Wingchun C",14,IF(Atletas!K438="Outra Mão de Sul C",15,IF(Atletas!K438="Choylayfut D",16,IF(Atletas!K438="Hunggar D",17,IF(Atletas!K438="Wuzuquan D",18,IF(Atletas!K438="Wingchun D",19,IF(Atletas!K438="Outra Mão de Sul D",20,IF(Atletas!K438="Choylayfut E",21,IF(Atletas!K438="Hunggar E",22,IF(Atletas!K438="Wuzuquan E",23,IF(Atletas!K438="Wingchun E",24,IF(Atletas!K438="Outra Mão de Sul E",25,IF(Atletas!K438="Choylayfut F",26,IF(Atletas!K438="Hunggar F",27,IF(Atletas!K438="Wuzuquan F",28,IF(Atletas!K438="Wingchun F",29,IF(Atletas!K438="Outra Mão de Sul F",30,""))))))))))))))))))))))))))))))))</f>
        <v/>
      </c>
      <c r="BL442" s="52" t="str">
        <f>IF(Atletas!L438="","",IF(Atletas!W438&lt;&gt;"",10000,0)+(IF(Atletas!B438="Feminino",1000,IF(Atletas!B438="Masculino",2000,""))+(IF(Atletas!L438="Chaquan A",101,IF(Atletas!L438="Emeiquan A",102,IF(Atletas!L438="Fanziquan A",103,IF(Atletas!L438="Huaquan A",104,IF(Atletas!L438="Hongquan A",105,IF(Atletas!L438="Paochui A",106,IF(Atletas!L438="Piguaquan A",107,IF(Atletas!L438="Shaolinquan A",108,IF(Atletas!L438="Tanglangquan A",109,IF(Atletas!L438="Yinzhaophai A",110,IF(Atletas!L438="Tongbeiquan A",111,IF(Atletas!L438="Wudangquan A",112,IF(Atletas!L438="Outros Estilos A",113,IF(Atletas!L438="Chaquan B",114,IF(Atletas!L438="Emeiquan B",115,IF(Atletas!L438="Fanziquan B",116,IF(Atletas!L438="Huaquan B",117,IF(Atletas!L438="Hongquan B",118,IF(Atletas!L438="Paochui B",119,IF(Atletas!L438="Piguaquan B",120,IF(Atletas!L438="Shaolinquan B",121,IF(Atletas!L438="Tanglangquan B",122,IF(Atletas!L438="Yinzhaophai B",123,IF(Atletas!L438="Tongbeiquan B",124,IF(Atletas!L438="Wudangquan B",125,IF(Atletas!L438="Outros Estilos B",126,IF(Atletas!L438="Chaquan C",127,IF(Atletas!L438="Emeiquan C",128,IF(Atletas!L438="Fanziquan C",129,IF(Atletas!L438="Huaquan C",130,IF(Atletas!L438="Hongquan C",131,IF(Atletas!L438="Paochui C",132,IF(Atletas!L438="Piguaquan C",133,IF(Atletas!L438="Shaolinquan C",134,IF(Atletas!L438="Tanglangquan C",135,IF(Atletas!L438="Yinzhaophai C",136,IF(Atletas!L438="Tongbeiquan C",137,IF(Atletas!L438="Wudangquan C",138,IF(Atletas!L438="Outros Estilos C",139,0))))))))))))))))))))))))))))))))))))))))))</f>
        <v/>
      </c>
      <c r="BM442" s="52" t="str">
        <f>IF(Atletas!L438="","",IF(Atletas!W438&lt;&gt;"",10000,0)+(IF(Atletas!B438="Feminino",1000,IF(Atletas!B438="Masculino",2000,""))+(IF(Atletas!L438="Chaquan D",140,IF(Atletas!L438="Emeiquan D",141,IF(Atletas!L438="Fanziquan D",142,IF(Atletas!L438="Huaquan D",143,IF(Atletas!L438="Hongquan D",144,IF(Atletas!L438="Paochui D",145,IF(Atletas!L438="Piguaquan D",146,IF(Atletas!L438="Shaolinquan D",147,IF(Atletas!L438="Tanglangquan D",148,IF(Atletas!L438="Yinzhaophai D",149,IF(Atletas!L438="Tongbeiquan D",150,IF(Atletas!L438="Wudangquan D",151,IF(Atletas!L438="Outros Estilos D",152,IF(Atletas!L438="Chaquan E",153,IF(Atletas!L438="Emeiquan E",154,IF(Atletas!L438="Fanziquan E",155,IF(Atletas!L438="Huaquan E",156,IF(Atletas!L438="Hongquan E",157,IF(Atletas!L438="Paochui E",158,IF(Atletas!L438="Piguaquan E",159,IF(Atletas!L438="Shaolinquan E",160,IF(Atletas!L438="Tanglangquan E",161,IF(Atletas!L438="Yinzhaophai E",162,IF(Atletas!L438="Tongbeiquan E",163,IF(Atletas!L438="Wudangquan E",164,IF(Atletas!L438="Outros Estilos E",165,IF(Atletas!L438="Chaquan F",166,IF(Atletas!L438="Emeiquan F",167,IF(Atletas!L438="Fanziquan F",168,IF(Atletas!L438="Huaquan F",169,IF(Atletas!L438="Hongquan F",170,IF(Atletas!L438="Paochui F",171,IF(Atletas!L438="Piguaquan F",172,IF(Atletas!L438="Shaolinquan F",173,IF(Atletas!L438="Tanglangquan F",174,IF(Atletas!L438="Yinzhaophai F",175,IF(Atletas!L438="Tongbeiquan F",176,IF(Atletas!L438="Wudangquan F",177,IF(Atletas!L438="Outros Estilos F",178,0))))))))))))))))))))))))))))))))))))))))))</f>
        <v/>
      </c>
      <c r="BN442" s="52" t="str">
        <f>IF(Atletas!M438="","",IF(Atletas!W438&lt;&gt;"",10000,0)+(IF(Atletas!B438="Feminino",1000,IF(Atletas!B438="Masculino",2000,""))+(IF(Atletas!M438="Ditangquan A",201,IF(Atletas!M438="Houquan A",202,IF(Atletas!M438="Zuiquan A",203,IF(Atletas!M438="Ditangquan B",204,IF(Atletas!M438="Houquan B",205,IF(Atletas!M438="Zuiquan B",206,IF(Atletas!M438="Ditangquan C",207,IF(Atletas!M438="Houquan C",208,IF(Atletas!M438="Zuiquan C",209,IF(Atletas!M438="Ditangquan D",210,IF(Atletas!M438="Houquan D",211,IF(Atletas!M438="Zuiquan D",212,IF(Atletas!M438="Ditangquan E",213,IF(Atletas!M438="Houquan E",214,IF(Atletas!M438="Zuiquan E",215,IF(Atletas!M438="Ditangquan F",216,IF(Atletas!M438="Houquan F",217,IF(Atletas!M438="Zuiquan F",218,"")))))))))))))))))))))</f>
        <v/>
      </c>
      <c r="BO442" s="52" t="str">
        <f>IF(Atletas!N438="","",IF(Atletas!W438&lt;&gt;"",10000,0)+IF(Atletas!B438="Feminino",1000,IF(Atletas!B438="Masculino",2000,""))+IF(Atletas!N438="Yang A",301,IF(Atletas!N438="Chen A",30,IF(Atletas!N438="Sun A",303,IF(Atletas!N438="Wu A",304,IF(Atletas!N438="Wu-Hao A",305,IF(Atletas!N438="Outro Taijiquan A",306,IF(Atletas!N438="Yang B",307,IF(Atletas!N438="Chen B",308,IF(Atletas!N438="Sun B",309,IF(Atletas!N438="Wu B",310,IF(Atletas!N438="Wu-Hao B",311,IF(Atletas!N438="Outro Taijiquan B",312,IF(Atletas!N438="Yang C",313,IF(Atletas!N438="Chen C",314,IF(Atletas!N438="Sun C",315,IF(Atletas!N438="Wu C",316,IF(Atletas!N438="Wu-Hao C",317,IF(Atletas!N438="Outro Taijiquan C",318,IF(Atletas!N438="Yang D",319,IF(Atletas!N438="Chen D",320,IF(Atletas!N438="Sun D",321,IF(Atletas!N438="Wu D",322,IF(Atletas!N438="Wu-Hao D",323,IF(Atletas!N438="Outro Taijiquan D",324,IF(Atletas!N438="Yang E",325,IF(Atletas!N438="Chen E",326,IF(Atletas!N438="Sun E",327,IF(Atletas!N438="Wu E",328,IF(Atletas!N438="Wu-Hao E",329,IF(Atletas!N438="Outro Taijiquan E",330,IF(Atletas!N438="Yang F",331,IF(Atletas!N438="Chen F",332,IF(Atletas!N438="Sun F",333,IF(Atletas!N438="Wu F",334,IF(Atletas!N438="Wu-Hao F",335,IF(Atletas!N438="Outro Taijiquan F",336,"")))))))))))))))))))))))))))))))))))))</f>
        <v/>
      </c>
      <c r="BP442" s="52" t="str">
        <f>IF(Atletas!O438="","",IF(Atletas!W438&lt;&gt;"",10000,0)+IF(Atletas!B438="Feminino",1000,IF(Atletas!B438="Masculino",2000,""))+IF(OR(Atletas!O438="Yang 26 A",Atletas!O438="Yang 40 A"),401,IF(OR(Atletas!O438="Chen 25 A",Atletas!O438="Chen 36 A",Atletas!O438="Chen 56 A"),402,IF(Atletas!O438="Sun 73 A",403,IF(Atletas!O438="Wu 45 A",404,IF(Atletas!O438="Wu-Hao 46 A",405,IF(OR(Atletas!O438="Taijiquan 16 A",Atletas!O438="Taijiquan 24 A",Atletas!O438="Taijiquan 32 A",Atletas!O438="Taijiquan 42 A"),406,IF(OR(Atletas!O438="Yang 26 B",Atletas!O438="Yang 40 B"),407,IF(OR(Atletas!O438="Chen 25 B",Atletas!O438="Chen 36 B",Atletas!O438="Chen 56 B"),408,IF(Atletas!O438="Sun 73 B",409,IF(Atletas!O438="Wu 45 B",410,IF(Atletas!O438="Wu-Hao 46 B",411,IF(OR(Atletas!O438="Taijiquan 16 B",Atletas!O438="Taijiquan 24 B",Atletas!O438="Taijiquan 32 B",Atletas!O438="Taijiquan 42 B"),412,IF(OR(Atletas!O438="Yang 26 C",Atletas!O438="Yang 40 C"),413,IF(OR(Atletas!O438="Chen 25 C",Atletas!O438="Chen 36 C",Atletas!O438="Chen 56 C"),414,IF(Atletas!O438="Sun 73 C",415,IF(Atletas!O438="Wu 45 C",416,IF(Atletas!O438="Wu-Hao 46 C",417,IF(OR(Atletas!O438="Taijiquan 16 C",Atletas!O438="Taijiquan 24 C",Atletas!O438="Taijiquan 32 C",Atletas!O438="Taijiquan 42 C"),418,0)))))))))))))))))))</f>
        <v/>
      </c>
      <c r="BQ442" s="52" t="str">
        <f>IF(Atletas!O438="","",IF(Atletas!W438&lt;&gt;"",10000,0)+IF(Atletas!B438="Feminino",1000,IF(Atletas!B438="Masculino",2000,""))+IF(OR(Atletas!O438="Yang 26 D",Atletas!O438="Yang 40 D"),419,IF(OR(Atletas!O438="Chen 25 D",Atletas!O438="Chen 36 D",Atletas!O438="Chen 56 D"),420,IF(Atletas!O438="Sun 73 D",421,IF(Atletas!O438="Wu 45 D",422,IF(Atletas!O438="Wu-Hao 46 D",423,IF(OR(Atletas!O438="Taijiquan 16 D",Atletas!O438="Taijiquan 24 D",Atletas!O438="Taijiquan 32 D",Atletas!O438="Taijiquan 42 D"),424,IF(OR(Atletas!O438="Yang 26 E",Atletas!O438="Yang 40 E"),425,IF(OR(Atletas!O438="Chen 25 E",Atletas!O438="Chen 36 E",Atletas!O438="Chen 56 E"),426,IF(Atletas!O438="Sun 73 E",427,IF(Atletas!O438="Wu 45 E",428,IF(Atletas!O438="Wu-Hao 46 E",429,IF(OR(Atletas!O438="Taijiquan 16 E",Atletas!O438="Taijiquan 24 E",Atletas!O438="Taijiquan 32 E",Atletas!O438="Taijiquan 42 E"),430,IF(OR(Atletas!O438="Yang 26 F",Atletas!O438="Yang 40 F"),431,IF(OR(Atletas!O438="Chen 25 F",Atletas!O438="Chen 36 F",Atletas!O438="Chen 56 F"),432,IF(Atletas!O438="Sun 73 F",433,IF(Atletas!O438="Wu 45 F",434,IF(Atletas!O438="Wu-Hao 46 F",435,IF(OR(Atletas!O438="Taijiquan 16 F",Atletas!O438="Taijiquan 24 F",Atletas!O438="Taijiquan 32 F",Atletas!O438="Taijiquan 42 F"),436,0)))))))))))))))))))</f>
        <v/>
      </c>
      <c r="BR442" s="52" t="str">
        <f>IF(Atletas!P438="","",IF(Atletas!W438&lt;&gt;"",10000,0)+IF(Atletas!B438="Feminino",1000,IF(Atletas!B438="Masculino",2000,""))+IF(Atletas!P438="Xingyiquan A",501,IF(Atletas!P438="Baguazhang A",502,IF(Atletas!P438="Outro Estilo Interno A",503,IF(Atletas!P438="Xingyiquan B",504,IF(Atletas!P438="Baguazhang B",505,IF(Atletas!P438="Outro Estilo Interno B",506,IF(Atletas!P438="Xingyiquan C",507,IF(Atletas!P438="Baguazhang C",508,IF(Atletas!P438="Outro Estilo Interno C",509,IF(Atletas!P438="Xingyiquan D",510,IF(Atletas!P438="Baguazhang D",511,IF(Atletas!P438="Outro Estilo Interno D",512,IF(Atletas!P438="Xingyiquan E",513,IF(Atletas!P438="Baguazhang E",514,IF(Atletas!P438="Outro Estilo Interno E",515,IF(Atletas!P438="Xingyiquan F",516,IF(Atletas!P438="Baguazhang F",517,IF(Atletas!P438="Outro Estilo Interno F",518, "")))))))))))))))))))</f>
        <v/>
      </c>
      <c r="BS442" s="52" t="str">
        <f>IF(Atletas!Q438="","",IF(Atletas!W438&lt;&gt;"",10000,0)+IF(Atletas!B438="Feminino",1000,IF(Atletas!B438="Masculino",2000,""))+IF(Atletas!Q438="Dao A",601,IF(Atletas!Q438="Jian A",602,IF(Atletas!Q438="Bishou A",603,IF(Atletas!Q438="Shan A",604,IF(Atletas!Q438="Outra Arma Curta A",605,IF(Atletas!Q438="Dao B",606,IF(Atletas!Q438="Jian B",607,IF(Atletas!Q438="Bishou B",608,IF(Atletas!Q438="Shan B",609,IF(Atletas!Q438="Outra Arma Curta B",610,IF(Atletas!Q438="Dao C",611,IF(Atletas!Q438="Jian C",612,IF(Atletas!Q438="Bishou C",613,IF(Atletas!Q438="Shan C",614,IF(Atletas!Q438="Outra Arma Curta C",615,IF(Atletas!Q438="Dao D",616,IF(Atletas!Q438="Jian D",617,IF(Atletas!Q438="Bishou D",618,IF(Atletas!Q438="Shan D",619,IF(Atletas!Q438="Outra Arma Curta D",620,IF(Atletas!Q438="Dao E",621,IF(Atletas!Q438="Jian E",622,IF(Atletas!Q438="Bishou E",623,IF(Atletas!Q438="Shan E",624,IF(Atletas!Q438="Outra Arma Curta E",625,IF(Atletas!Q438="Dao F",626,IF(Atletas!Q438="Jian F",627,IF(Atletas!Q438="Bishou F",628,IF(Atletas!Q438="Shan F",629,IF(Atletas!Q438="Outra Arma Curta F",630, "")))))))))))))))))))))))))))))))</f>
        <v/>
      </c>
      <c r="BT442" s="52" t="str">
        <f>IF(Atletas!R438="","",IF(Atletas!W438&lt;&gt;"",10000,0)+IF(Atletas!B438="Feminino",1000,IF(Atletas!B438="Masculino",2000,""))+IF(Atletas!R438="Gun A",701,IF(Atletas!R438="Qiang A",702,IF(Atletas!R438="Pudao / Guandao A",703,IF(Atletas!R438="Outra Arma Longa A",704,IF(Atletas!R438="Gun B",705,IF(Atletas!R438="Qiang B",706,IF(Atletas!R438="Pudao / Guandao B",707,IF(Atletas!R438="Outra Arma Longa B",708,IF(Atletas!R438="Gun C",709,IF(Atletas!R438="Qiang C",710,IF(Atletas!R438="Pudao / Guandao C",711,IF(Atletas!R438="Outra Arma Longa C",712,IF(Atletas!R438="Gun D",713,IF(Atletas!R438="Qiang D",714,IF(Atletas!R438="Pudao / Guandao D",715,IF(Atletas!R438="Outra Arma Longa D",716,IF(Atletas!R438="Gun E",717,IF(Atletas!R438="Qiang E",718,IF(Atletas!R438="Pudao / Guandao E",719,IF(Atletas!R438="Outra Arma Longa E",720,IF(Atletas!R438="Gun F",721,IF(Atletas!R438="Qiang F",722,IF(Atletas!R438="Pudao / Guandao F",723,IF(Atletas!R438="Outra Arma Longa F",724,"")))))))))))))))))))))))))</f>
        <v/>
      </c>
      <c r="BU442" s="52" t="str">
        <f>IF(Atletas!S438="","",IF(Atletas!W438&lt;&gt;"",10000,0)+IF(Atletas!B438="Feminino",1000,IF(Atletas!B438="Masculino",2000,""))+IF(Atletas!S438="Arma Dupla A",801,IF(Atletas!S438="Arma Maleável A",802,IF(Atletas!S438="Arma Dupla B",803,IF(Atletas!S438="Arma Maleável B",804,IF(Atletas!S438="Arma Dupla C",805,IF(Atletas!S438="Arma Maleável C",806,IF(Atletas!S438="Arma Dupla D",807,IF(Atletas!S438="Arma Maleável D",808,IF(Atletas!S438="Arma Dupla E",809,IF(Atletas!S438="Arma Maleável E",810,IF(Atletas!S438="Arma Dupla F",811,IF(Atletas!S438="Arma Maleável F",812, "")))))))))))))</f>
        <v/>
      </c>
      <c r="BV442" s="52" t="str">
        <f>IF(Atletas!T438="","",IF(Atletas!W438&lt;&gt;"",10000,0)+IF(Atletas!B438="Feminino",1000,IF(Atletas!B438="Masculino",2000,""))+IF(Atletas!T438="Taijijian Yang A",901,IF(Atletas!T438="Taijijian Chen A",902,IF(Atletas!T438="Taijijian Sun A",903,IF(Atletas!T438="Taijijian Wu A",904,IF(Atletas!T438="Taijijian Wu-Hao A",905,IF(Atletas!T438="Taijijian 32 A",906,IF(Atletas!T438="Taijijian 42 A",907,IF(Atletas!T438="Taijijian Yang B",908,IF(Atletas!T438="Taijijian Chen B",909,IF(Atletas!T438="Taijijian Sun B",910,IF(Atletas!T438="Taijijian Wu B",911,IF(Atletas!T438="Taijijian Wu-Hao B",912,IF(Atletas!T438="Taijijian 32 B",913,IF(Atletas!T438="Taijijian 42 B",914,IF(Atletas!T438="Taijijian Yang C",915,IF(Atletas!T438="Taijijian Chen C",916,IF(Atletas!T438="Taijijian Sun C",917,IF(Atletas!T438="Taijijian Wu C",918,IF(Atletas!T438="Taijijian Wu-Hao C",919,IF(Atletas!T438="Taijijian 32 C",920,IF(Atletas!T438="Taijijian 42 C",921,IF(Atletas!T438="Taijijian Yang D",922,IF(Atletas!T438="Taijijian Chen D",923,IF(Atletas!T438="Taijijian Sun D",924,IF(Atletas!T438="Taijijian Wu D",925,IF(Atletas!T438="Taijijian Wu-Hao D",926,IF(Atletas!T438="Taijijian 32 D",927,IF(Atletas!T438="Taijijian 42 D",928,IF(Atletas!T438="Taijijian Yang E",929,IF(Atletas!T438="Taijijian Chen E",930,IF(Atletas!T438="Taijijian Sun E",931,IF(Atletas!T438="Taijijian Wu E",932,IF(Atletas!T438="Taijijian Wu-Hao E",933,IF(Atletas!T438="Taijijian 32 E",934,IF(Atletas!T438="Taijijian 42 E",935,IF(Atletas!T438="Taijijian Yang F",936,IF(Atletas!T438="Taijijian Chen F",937,IF(Atletas!T438="Taijijian Sun F",938,IF(Atletas!T438="Taijijian Wu F",939,IF(Atletas!T438="Taijijian Wu-Hao F",940,IF(Atletas!T438="Taijijian 32 F",941,IF(Atletas!T438="Taijijian 42 F",942,"")))))))))))))))))))))))))))))))))))))))))))</f>
        <v/>
      </c>
      <c r="BW442" s="52" t="str">
        <f>IF(Atletas!U438="","",IF(Atletas!W438&lt;&gt;"",10000,0)+IF(Atletas!B438="Feminino",1000,IF(Atletas!B438="Masculino",2000,""))+IF(Atletas!T438="Taijijian 42 F",942,IF(Atletas!U438="Taijidao A",943,IF(Atletas!U438="Taijishan A",944,IF(Atletas!U438="Taijiqiang A",945,IF(Atletas!U438="Taijidao B",946,IF(Atletas!U438="Taijishan B",947,IF(Atletas!U438="Taijiqiang B",948,IF(Atletas!U438="Taijidao C",949,IF(Atletas!U438="Taijishan C",950,IF(Atletas!U438="Taijiqiang C",951,IF(Atletas!U438="Taijidao D",952,IF(Atletas!U438="Taijishan D",953,IF(Atletas!U438="Taijiqiang D",954,IF(Atletas!U438="Taijidao E",955,IF(Atletas!U438="Taijishan E",956,IF(Atletas!U438="Taijiqiang E",957,IF(Atletas!U438="Taijidao F",958,IF(Atletas!U438="Taijishan F",959,IF(Atletas!U438="Taijiqiang F",960))))))))))))))))))))</f>
        <v/>
      </c>
      <c r="CF442" s="52" t="str">
        <f xml:space="preserve"> IF(Atletas!V438="","",IF(Atletas!V438="Duilian de Mãos AB - Equipe 1",1,IF(Atletas!V438="Duilian de Mãos AB - Equipe 2",2,IF(Atletas!V438="Duilian de Armas AB - Equipe 1",3,IF(Atletas!V438="Duilian de Armas AB - Equipe 2",4,IF(Atletas!V438="Duilian de Tuishou - Equipe 1",5,IF(Atletas!V438="Duilian de Tuishou - Equipe 2",6,IF(Atletas!V438="Grupo Externo AB - Equipe 1",7,IF(Atletas!V438="Grupo Externo AB - Equipe 2",8,IF(Atletas!V438="Grupo Interno AB - Equipe 1",9,IF(Atletas!V438="Grupo Interno AB - Equipe 2",10,IF(Atletas!V438="Duilian de Mãos CD - Equipe 1",11,IF(Atletas!V438="Duilian de Mãos CD - Equipe 2",12,IF(Atletas!V438="Duilian de Armas CD - Equipe 1",13,IF(Atletas!V438="Duilian de Armas CD - Equipe 2",14,IF(Atletas!V438="Duilian de Tuishou - Equipe 1",15,IF(Atletas!V438="Duilian de Tuishou - Equipe 2",16,IF(Atletas!V438="Grupo Externo CDEF - Equipe 1",17,IF(Atletas!V438="Grupo Externo CDEF - Equipe 2",18,IF(Atletas!V438="Grupo Interno CDEF - Equipe 1",19,IF(Atletas!V438="Grupo Interno CDEF - Equipe 2",20,IF(Atletas!V438="Duilian de Mãos EF - Equipe 1",21,IF(Atletas!V438="Duilian de Mãos EF - Equipe 2",22,IF(Atletas!V438="Duilian de Armas EF - Equipe 1",23,IF(Atletas!V438="Duilian de Armas EF - Equipe 2",24,IF(Atletas!V438="Duilian de Tuishou - Equipe 1",25,IF(Atletas!V438="Duilian de Tuishou - Equipe 2",26,"")))))))))))))))))))))))))))</f>
        <v/>
      </c>
    </row>
    <row r="443" spans="36:84">
      <c r="AJ443" s="46" t="str">
        <f>IF(Atletas!D439="","",IF(Atletas!B439="Feminino",100,IF(Atletas!B439="Masculino",200,""))+(IF(Atletas!D439="Infantil 39kg",1,IF(Atletas!D439="Infantil 42kg",2,IF(Atletas!D439="Infantil 45kg",3,IF(Atletas!D439="Infantil 48kg",4,IF(Atletas!D439="Infantil 52kg",5,IF(Atletas!D439="Infantil 56kg",6,IF(Atletas!D439="Infantil 60kg",7,IF(Atletas!D439="Juvenil 48kg",8,IF(Atletas!D439="Juvenil 52kg",9,IF(Atletas!D439="Juvenil 56kg",10,IF(Atletas!D439="Juvenil 60kg",11,IF(Atletas!D439="Juvenil 65kg",12,IF(Atletas!D439="Juvenil 70kg",13,IF(Atletas!D439="Juvenil 75kg",14,IF(Atletas!D439="Juvenil 80kg",15,IF(Atletas!D439="Adulto 48kg",16,IF(Atletas!D439="Adulto 52kg",17,IF(Atletas!D439="Adulto 56kg",18,IF(Atletas!D439="Adulto 60kg",19,IF(Atletas!D439="Adulto 65kg",20,IF(Atletas!D439="Adulto 70kg",21,IF(Atletas!D439="Adulto 75kg",22,IF(Atletas!D439="Adulto 80kg",23,IF(Atletas!D439="Adulto 85kg",24,IF(Atletas!D439="Adulto 90kg",25,IF(Atletas!D439="Adulto +90kg",26,""))))))))))))))))))))))))))))</f>
        <v/>
      </c>
      <c r="AO443" s="10" t="str">
        <f>IF(Atletas!E439="","",IF(Atletas!B439="Feminino",100,IF(Atletas!B439="Masculino",200,""))+(IF(Atletas!E439="Juvenil 44kg",1,IF(Atletas!E439="Juvenil 48kg",2,IF(Atletas!E439="Juvenil 52kg",3,IF(Atletas!E439="Juvenil 56kg",4,IF(Atletas!E439="Juvenil 60kg",5,IF(Atletas!E439="Juvenil 65kg",6,IF(Atletas!E439="Juvenil 70kg",7,IF(Atletas!E439="Juvenil 75kg",8,IF(Atletas!E439="Juvenil 82kg",9,IF(Atletas!E439="Juvenil 90kg",10,IF(Atletas!E439="Juvenil 100kg",11,IF(Atletas!E439="Adulto 48kg",12,IF(Atletas!E439="Adulto 52kg",13,IF(Atletas!E439="Adulto 56kg",14,IF(Atletas!E439="Adulto 60kg",15,IF(Atletas!E439="Adulto 65kg",16,IF(Atletas!E439="Adulto 70kg",17,IF(Atletas!E439="Adulto 75kg",18,IF(Atletas!E439="Adulto 82kg",19,IF(Atletas!E439="Adulto 90kg",20,IF(Atletas!E439="Adulto 100kg",21,IF(Atletas!E439="Adulto +100kg",22,""))))))))))))))))))))))))</f>
        <v/>
      </c>
      <c r="AT443" s="10" t="str">
        <f>IF(Atletas!F439="","",IF(Atletas!B439="Feminino",100,IF(Atletas!B439="Masculino",200,""))+(IF(Atletas!F439="Adulto 48kg",1,IF(Atletas!F439="Adulto 56kg",2,IF(Atletas!F439="Adulto 65kg",3,IF(Atletas!F439="Adulto 75kg",4,IF(Atletas!F439="Adulto +75kg",5,IF(Atletas!F439="Adulto 52kg",6,IF(Atletas!F439="Adulto 60kg",7,IF(Atletas!F439="Adulto 70kg",8,IF(Atletas!F439="Adulto 80kg",9,IF(Atletas!F439="Adulto 90kg",10,IF(Atletas!F439="Adulto +90kg",11,"")))))))))))))</f>
        <v/>
      </c>
      <c r="AY443" s="46" t="str">
        <f>IF(Atletas!G439="","",IF(Atletas!B439="Feminino",100,IF(Atletas!B439="Masculino",200,""))+(IF(Atletas!G439="Changquan Mirim",1,IF(Atletas!G439="Nanquan Mirim",2,IF(Atletas!G439="Taijiquan Mirim",3,IF(Atletas!G439="Changquan Grupo C",4,IF(Atletas!G439="Nanquan Grupo C",5,IF(Atletas!G439="Taijiquan Grupo C",6,IF(Atletas!G439="Changquan Grupo B",7,IF(Atletas!G439="Nanquan Grupo B",8,IF(Atletas!G439="Taijiquan Grupo B",9,IF(Atletas!G439="Changquan Grupo A",10,IF(Atletas!G439="Nanquan Grupo A",11,IF(Atletas!G439="Taijiquan Grupo A",12,IF(Atletas!G439="Changquan Opcional",13,IF(Atletas!G439="Nanquan Opcional",14,IF(Atletas!G439="Taijiquan Opcional",15,IF(Atletas!G439="Changquan Adulto",16,IF(Atletas!G439="Nanquan Adulto",17,IF(Atletas!G439="Taijiquan Adulto",18,""))))))))))))))))))))</f>
        <v/>
      </c>
      <c r="AZ443" s="46" t="str">
        <f>IF(Atletas!H439="","",IF(Atletas!B439="Feminino",100,IF(Atletas!B439="Masculino",200,""))+(IF(Atletas!H439="Daoshu Mirim",19,IF(Atletas!H439="Jianshu Mirim",20,IF(Atletas!H439="Nandao Mirim",21,IF(Atletas!H439="Taijijian Mirim",22,IF(Atletas!H439="Daoshu Grupo C",23,IF(Atletas!H439="Jianshu Grupo C",24,IF(Atletas!H439="Nandao Grupo C",25,IF(Atletas!H439="Taijijian Grupo C",26,IF(Atletas!H439="Daoshu Grupo B",27,IF(Atletas!H439="Jianshu Grupo B",28,IF(Atletas!H439="Nandao Grupo B",29,IF(Atletas!H439="Taijijian Grupo B",30,IF(Atletas!H439="Daoshu Grupo A",31,IF(Atletas!H439="Jianshu Grupo A",32,IF(Atletas!H439="Nandao Grupo A",33,IF(Atletas!H439="Taijijian Grupo A",34,IF(Atletas!H439="Daoshu Opcional",35,IF(Atletas!H439="Jianshu Opcional",36,IF(Atletas!H439="Nandao Opcional",37,IF(Atletas!H439="Taijijian Opcional",38,IF(Atletas!H439="Daoshu Adulto",39,IF(Atletas!H439="Jianshu Adulto",40,IF(Atletas!H439="Nandao Adulto",41,IF(Atletas!H439="Taijijian Adulto",42,""))))))))))))))))))))))))))</f>
        <v/>
      </c>
      <c r="BA443" s="46" t="str">
        <f>IF(Atletas!I439="","",IF(Atletas!B439="Feminino",100,IF(Atletas!B439="Masculino",200,""))+(IF(Atletas!I439="Gunshu Mirim",43,IF(Atletas!I439="Qiangshu Mirim",44,IF(Atletas!I439="Nangun Mirim",45,IF(Atletas!I439="Gunshu Grupo C",46,IF(Atletas!I439="Qiangshu Grupo C",47,IF(Atletas!I439="Nangun Grupo C",48,IF(Atletas!I439="Gunshu Grupo B",49,IF(Atletas!I439="Qiangshu Grupo B",50,IF(Atletas!I439="Nangun Grupo B",51,IF(Atletas!I439="Gunshu Grupo A",52,IF(Atletas!I439="Qiangshu Grupo A",53,IF(Atletas!I439="Nangun Grupo A",54,IF(Atletas!I439="Gunshu Opcional",55,IF(Atletas!I439="Qiangshu Opcional",56,IF(Atletas!I439="Nangun Opcional",57,IF(Atletas!I439="Gunshu Adulto",58,IF(Atletas!I439="Qiangshu Adulto",59,IF(Atletas!I439="Nangun Adulto",60,""))))))))))))))))))))</f>
        <v/>
      </c>
      <c r="BF443" s="52" t="str">
        <f>IF(Atletas!J439="","",IF(Atletas!B439="Feminino",100,IF(Atletas!B439="Masculino",200,""))+(IF(Atletas!J439="Equipe 1 Grupo B",1,IF(Atletas!J439="Equipe 2 Grupo B",2,IF(Atletas!J439="Equipe 1 Grupo A",3,IF(Atletas!J439="Equipe 2 Grupo A",4,IF(Atletas!J439="Equipe 1 Adulto",5,IF(Atletas!J439="Equipe 2 Adulto",6,""))))))))</f>
        <v/>
      </c>
      <c r="BK443" s="52" t="str">
        <f>IF(Atletas!K439="","",IF(Atletas!W439&lt;&gt;"",10000,0)+(IF(Atletas!B439="Feminino",1000,IF(Atletas!B439="Masculino",2000,""))+IF(Atletas!K439="Choylayfut A",1,IF(Atletas!K439="Hunggar A",2,IF(Atletas!K439="Wuzuquan A",3,IF(Atletas!K439="Wingchun A",4,IF(Atletas!K439="Outra Mão de Sul A",5,IF(Atletas!K439="Choylayfut B",6,IF(Atletas!K439="Hunggar B",7,IF(Atletas!K439="Wuzuquan B",8,IF(Atletas!K439="Wingchun B",9,IF(Atletas!K439="Outra Mão de Sul B",10,IF(Atletas!K439="Choylayfut C",11,IF(Atletas!K439="Hunggar C",12,IF(Atletas!K439="Wuzuquan C",13,IF(Atletas!K439="Wingchun C",14,IF(Atletas!K439="Outra Mão de Sul C",15,IF(Atletas!K439="Choylayfut D",16,IF(Atletas!K439="Hunggar D",17,IF(Atletas!K439="Wuzuquan D",18,IF(Atletas!K439="Wingchun D",19,IF(Atletas!K439="Outra Mão de Sul D",20,IF(Atletas!K439="Choylayfut E",21,IF(Atletas!K439="Hunggar E",22,IF(Atletas!K439="Wuzuquan E",23,IF(Atletas!K439="Wingchun E",24,IF(Atletas!K439="Outra Mão de Sul E",25,IF(Atletas!K439="Choylayfut F",26,IF(Atletas!K439="Hunggar F",27,IF(Atletas!K439="Wuzuquan F",28,IF(Atletas!K439="Wingchun F",29,IF(Atletas!K439="Outra Mão de Sul F",30,""))))))))))))))))))))))))))))))))</f>
        <v/>
      </c>
      <c r="BL443" s="52" t="str">
        <f>IF(Atletas!L439="","",IF(Atletas!W439&lt;&gt;"",10000,0)+(IF(Atletas!B439="Feminino",1000,IF(Atletas!B439="Masculino",2000,""))+(IF(Atletas!L439="Chaquan A",101,IF(Atletas!L439="Emeiquan A",102,IF(Atletas!L439="Fanziquan A",103,IF(Atletas!L439="Huaquan A",104,IF(Atletas!L439="Hongquan A",105,IF(Atletas!L439="Paochui A",106,IF(Atletas!L439="Piguaquan A",107,IF(Atletas!L439="Shaolinquan A",108,IF(Atletas!L439="Tanglangquan A",109,IF(Atletas!L439="Yinzhaophai A",110,IF(Atletas!L439="Tongbeiquan A",111,IF(Atletas!L439="Wudangquan A",112,IF(Atletas!L439="Outros Estilos A",113,IF(Atletas!L439="Chaquan B",114,IF(Atletas!L439="Emeiquan B",115,IF(Atletas!L439="Fanziquan B",116,IF(Atletas!L439="Huaquan B",117,IF(Atletas!L439="Hongquan B",118,IF(Atletas!L439="Paochui B",119,IF(Atletas!L439="Piguaquan B",120,IF(Atletas!L439="Shaolinquan B",121,IF(Atletas!L439="Tanglangquan B",122,IF(Atletas!L439="Yinzhaophai B",123,IF(Atletas!L439="Tongbeiquan B",124,IF(Atletas!L439="Wudangquan B",125,IF(Atletas!L439="Outros Estilos B",126,IF(Atletas!L439="Chaquan C",127,IF(Atletas!L439="Emeiquan C",128,IF(Atletas!L439="Fanziquan C",129,IF(Atletas!L439="Huaquan C",130,IF(Atletas!L439="Hongquan C",131,IF(Atletas!L439="Paochui C",132,IF(Atletas!L439="Piguaquan C",133,IF(Atletas!L439="Shaolinquan C",134,IF(Atletas!L439="Tanglangquan C",135,IF(Atletas!L439="Yinzhaophai C",136,IF(Atletas!L439="Tongbeiquan C",137,IF(Atletas!L439="Wudangquan C",138,IF(Atletas!L439="Outros Estilos C",139,0))))))))))))))))))))))))))))))))))))))))))</f>
        <v/>
      </c>
      <c r="BM443" s="52" t="str">
        <f>IF(Atletas!L439="","",IF(Atletas!W439&lt;&gt;"",10000,0)+(IF(Atletas!B439="Feminino",1000,IF(Atletas!B439="Masculino",2000,""))+(IF(Atletas!L439="Chaquan D",140,IF(Atletas!L439="Emeiquan D",141,IF(Atletas!L439="Fanziquan D",142,IF(Atletas!L439="Huaquan D",143,IF(Atletas!L439="Hongquan D",144,IF(Atletas!L439="Paochui D",145,IF(Atletas!L439="Piguaquan D",146,IF(Atletas!L439="Shaolinquan D",147,IF(Atletas!L439="Tanglangquan D",148,IF(Atletas!L439="Yinzhaophai D",149,IF(Atletas!L439="Tongbeiquan D",150,IF(Atletas!L439="Wudangquan D",151,IF(Atletas!L439="Outros Estilos D",152,IF(Atletas!L439="Chaquan E",153,IF(Atletas!L439="Emeiquan E",154,IF(Atletas!L439="Fanziquan E",155,IF(Atletas!L439="Huaquan E",156,IF(Atletas!L439="Hongquan E",157,IF(Atletas!L439="Paochui E",158,IF(Atletas!L439="Piguaquan E",159,IF(Atletas!L439="Shaolinquan E",160,IF(Atletas!L439="Tanglangquan E",161,IF(Atletas!L439="Yinzhaophai E",162,IF(Atletas!L439="Tongbeiquan E",163,IF(Atletas!L439="Wudangquan E",164,IF(Atletas!L439="Outros Estilos E",165,IF(Atletas!L439="Chaquan F",166,IF(Atletas!L439="Emeiquan F",167,IF(Atletas!L439="Fanziquan F",168,IF(Atletas!L439="Huaquan F",169,IF(Atletas!L439="Hongquan F",170,IF(Atletas!L439="Paochui F",171,IF(Atletas!L439="Piguaquan F",172,IF(Atletas!L439="Shaolinquan F",173,IF(Atletas!L439="Tanglangquan F",174,IF(Atletas!L439="Yinzhaophai F",175,IF(Atletas!L439="Tongbeiquan F",176,IF(Atletas!L439="Wudangquan F",177,IF(Atletas!L439="Outros Estilos F",178,0))))))))))))))))))))))))))))))))))))))))))</f>
        <v/>
      </c>
      <c r="BN443" s="52" t="str">
        <f>IF(Atletas!M439="","",IF(Atletas!W439&lt;&gt;"",10000,0)+(IF(Atletas!B439="Feminino",1000,IF(Atletas!B439="Masculino",2000,""))+(IF(Atletas!M439="Ditangquan A",201,IF(Atletas!M439="Houquan A",202,IF(Atletas!M439="Zuiquan A",203,IF(Atletas!M439="Ditangquan B",204,IF(Atletas!M439="Houquan B",205,IF(Atletas!M439="Zuiquan B",206,IF(Atletas!M439="Ditangquan C",207,IF(Atletas!M439="Houquan C",208,IF(Atletas!M439="Zuiquan C",209,IF(Atletas!M439="Ditangquan D",210,IF(Atletas!M439="Houquan D",211,IF(Atletas!M439="Zuiquan D",212,IF(Atletas!M439="Ditangquan E",213,IF(Atletas!M439="Houquan E",214,IF(Atletas!M439="Zuiquan E",215,IF(Atletas!M439="Ditangquan F",216,IF(Atletas!M439="Houquan F",217,IF(Atletas!M439="Zuiquan F",218,"")))))))))))))))))))))</f>
        <v/>
      </c>
      <c r="BO443" s="52" t="str">
        <f>IF(Atletas!N439="","",IF(Atletas!W439&lt;&gt;"",10000,0)+IF(Atletas!B439="Feminino",1000,IF(Atletas!B439="Masculino",2000,""))+IF(Atletas!N439="Yang A",301,IF(Atletas!N439="Chen A",30,IF(Atletas!N439="Sun A",303,IF(Atletas!N439="Wu A",304,IF(Atletas!N439="Wu-Hao A",305,IF(Atletas!N439="Outro Taijiquan A",306,IF(Atletas!N439="Yang B",307,IF(Atletas!N439="Chen B",308,IF(Atletas!N439="Sun B",309,IF(Atletas!N439="Wu B",310,IF(Atletas!N439="Wu-Hao B",311,IF(Atletas!N439="Outro Taijiquan B",312,IF(Atletas!N439="Yang C",313,IF(Atletas!N439="Chen C",314,IF(Atletas!N439="Sun C",315,IF(Atletas!N439="Wu C",316,IF(Atletas!N439="Wu-Hao C",317,IF(Atletas!N439="Outro Taijiquan C",318,IF(Atletas!N439="Yang D",319,IF(Atletas!N439="Chen D",320,IF(Atletas!N439="Sun D",321,IF(Atletas!N439="Wu D",322,IF(Atletas!N439="Wu-Hao D",323,IF(Atletas!N439="Outro Taijiquan D",324,IF(Atletas!N439="Yang E",325,IF(Atletas!N439="Chen E",326,IF(Atletas!N439="Sun E",327,IF(Atletas!N439="Wu E",328,IF(Atletas!N439="Wu-Hao E",329,IF(Atletas!N439="Outro Taijiquan E",330,IF(Atletas!N439="Yang F",331,IF(Atletas!N439="Chen F",332,IF(Atletas!N439="Sun F",333,IF(Atletas!N439="Wu F",334,IF(Atletas!N439="Wu-Hao F",335,IF(Atletas!N439="Outro Taijiquan F",336,"")))))))))))))))))))))))))))))))))))))</f>
        <v/>
      </c>
      <c r="BP443" s="52" t="str">
        <f>IF(Atletas!O439="","",IF(Atletas!W439&lt;&gt;"",10000,0)+IF(Atletas!B439="Feminino",1000,IF(Atletas!B439="Masculino",2000,""))+IF(OR(Atletas!O439="Yang 26 A",Atletas!O439="Yang 40 A"),401,IF(OR(Atletas!O439="Chen 25 A",Atletas!O439="Chen 36 A",Atletas!O439="Chen 56 A"),402,IF(Atletas!O439="Sun 73 A",403,IF(Atletas!O439="Wu 45 A",404,IF(Atletas!O439="Wu-Hao 46 A",405,IF(OR(Atletas!O439="Taijiquan 16 A",Atletas!O439="Taijiquan 24 A",Atletas!O439="Taijiquan 32 A",Atletas!O439="Taijiquan 42 A"),406,IF(OR(Atletas!O439="Yang 26 B",Atletas!O439="Yang 40 B"),407,IF(OR(Atletas!O439="Chen 25 B",Atletas!O439="Chen 36 B",Atletas!O439="Chen 56 B"),408,IF(Atletas!O439="Sun 73 B",409,IF(Atletas!O439="Wu 45 B",410,IF(Atletas!O439="Wu-Hao 46 B",411,IF(OR(Atletas!O439="Taijiquan 16 B",Atletas!O439="Taijiquan 24 B",Atletas!O439="Taijiquan 32 B",Atletas!O439="Taijiquan 42 B"),412,IF(OR(Atletas!O439="Yang 26 C",Atletas!O439="Yang 40 C"),413,IF(OR(Atletas!O439="Chen 25 C",Atletas!O439="Chen 36 C",Atletas!O439="Chen 56 C"),414,IF(Atletas!O439="Sun 73 C",415,IF(Atletas!O439="Wu 45 C",416,IF(Atletas!O439="Wu-Hao 46 C",417,IF(OR(Atletas!O439="Taijiquan 16 C",Atletas!O439="Taijiquan 24 C",Atletas!O439="Taijiquan 32 C",Atletas!O439="Taijiquan 42 C"),418,0)))))))))))))))))))</f>
        <v/>
      </c>
      <c r="BQ443" s="52" t="str">
        <f>IF(Atletas!O439="","",IF(Atletas!W439&lt;&gt;"",10000,0)+IF(Atletas!B439="Feminino",1000,IF(Atletas!B439="Masculino",2000,""))+IF(OR(Atletas!O439="Yang 26 D",Atletas!O439="Yang 40 D"),419,IF(OR(Atletas!O439="Chen 25 D",Atletas!O439="Chen 36 D",Atletas!O439="Chen 56 D"),420,IF(Atletas!O439="Sun 73 D",421,IF(Atletas!O439="Wu 45 D",422,IF(Atletas!O439="Wu-Hao 46 D",423,IF(OR(Atletas!O439="Taijiquan 16 D",Atletas!O439="Taijiquan 24 D",Atletas!O439="Taijiquan 32 D",Atletas!O439="Taijiquan 42 D"),424,IF(OR(Atletas!O439="Yang 26 E",Atletas!O439="Yang 40 E"),425,IF(OR(Atletas!O439="Chen 25 E",Atletas!O439="Chen 36 E",Atletas!O439="Chen 56 E"),426,IF(Atletas!O439="Sun 73 E",427,IF(Atletas!O439="Wu 45 E",428,IF(Atletas!O439="Wu-Hao 46 E",429,IF(OR(Atletas!O439="Taijiquan 16 E",Atletas!O439="Taijiquan 24 E",Atletas!O439="Taijiquan 32 E",Atletas!O439="Taijiquan 42 E"),430,IF(OR(Atletas!O439="Yang 26 F",Atletas!O439="Yang 40 F"),431,IF(OR(Atletas!O439="Chen 25 F",Atletas!O439="Chen 36 F",Atletas!O439="Chen 56 F"),432,IF(Atletas!O439="Sun 73 F",433,IF(Atletas!O439="Wu 45 F",434,IF(Atletas!O439="Wu-Hao 46 F",435,IF(OR(Atletas!O439="Taijiquan 16 F",Atletas!O439="Taijiquan 24 F",Atletas!O439="Taijiquan 32 F",Atletas!O439="Taijiquan 42 F"),436,0)))))))))))))))))))</f>
        <v/>
      </c>
      <c r="BR443" s="52" t="str">
        <f>IF(Atletas!P439="","",IF(Atletas!W439&lt;&gt;"",10000,0)+IF(Atletas!B439="Feminino",1000,IF(Atletas!B439="Masculino",2000,""))+IF(Atletas!P439="Xingyiquan A",501,IF(Atletas!P439="Baguazhang A",502,IF(Atletas!P439="Outro Estilo Interno A",503,IF(Atletas!P439="Xingyiquan B",504,IF(Atletas!P439="Baguazhang B",505,IF(Atletas!P439="Outro Estilo Interno B",506,IF(Atletas!P439="Xingyiquan C",507,IF(Atletas!P439="Baguazhang C",508,IF(Atletas!P439="Outro Estilo Interno C",509,IF(Atletas!P439="Xingyiquan D",510,IF(Atletas!P439="Baguazhang D",511,IF(Atletas!P439="Outro Estilo Interno D",512,IF(Atletas!P439="Xingyiquan E",513,IF(Atletas!P439="Baguazhang E",514,IF(Atletas!P439="Outro Estilo Interno E",515,IF(Atletas!P439="Xingyiquan F",516,IF(Atletas!P439="Baguazhang F",517,IF(Atletas!P439="Outro Estilo Interno F",518, "")))))))))))))))))))</f>
        <v/>
      </c>
      <c r="BS443" s="52" t="str">
        <f>IF(Atletas!Q439="","",IF(Atletas!W439&lt;&gt;"",10000,0)+IF(Atletas!B439="Feminino",1000,IF(Atletas!B439="Masculino",2000,""))+IF(Atletas!Q439="Dao A",601,IF(Atletas!Q439="Jian A",602,IF(Atletas!Q439="Bishou A",603,IF(Atletas!Q439="Shan A",604,IF(Atletas!Q439="Outra Arma Curta A",605,IF(Atletas!Q439="Dao B",606,IF(Atletas!Q439="Jian B",607,IF(Atletas!Q439="Bishou B",608,IF(Atletas!Q439="Shan B",609,IF(Atletas!Q439="Outra Arma Curta B",610,IF(Atletas!Q439="Dao C",611,IF(Atletas!Q439="Jian C",612,IF(Atletas!Q439="Bishou C",613,IF(Atletas!Q439="Shan C",614,IF(Atletas!Q439="Outra Arma Curta C",615,IF(Atletas!Q439="Dao D",616,IF(Atletas!Q439="Jian D",617,IF(Atletas!Q439="Bishou D",618,IF(Atletas!Q439="Shan D",619,IF(Atletas!Q439="Outra Arma Curta D",620,IF(Atletas!Q439="Dao E",621,IF(Atletas!Q439="Jian E",622,IF(Atletas!Q439="Bishou E",623,IF(Atletas!Q439="Shan E",624,IF(Atletas!Q439="Outra Arma Curta E",625,IF(Atletas!Q439="Dao F",626,IF(Atletas!Q439="Jian F",627,IF(Atletas!Q439="Bishou F",628,IF(Atletas!Q439="Shan F",629,IF(Atletas!Q439="Outra Arma Curta F",630, "")))))))))))))))))))))))))))))))</f>
        <v/>
      </c>
      <c r="BT443" s="52" t="str">
        <f>IF(Atletas!R439="","",IF(Atletas!W439&lt;&gt;"",10000,0)+IF(Atletas!B439="Feminino",1000,IF(Atletas!B439="Masculino",2000,""))+IF(Atletas!R439="Gun A",701,IF(Atletas!R439="Qiang A",702,IF(Atletas!R439="Pudao / Guandao A",703,IF(Atletas!R439="Outra Arma Longa A",704,IF(Atletas!R439="Gun B",705,IF(Atletas!R439="Qiang B",706,IF(Atletas!R439="Pudao / Guandao B",707,IF(Atletas!R439="Outra Arma Longa B",708,IF(Atletas!R439="Gun C",709,IF(Atletas!R439="Qiang C",710,IF(Atletas!R439="Pudao / Guandao C",711,IF(Atletas!R439="Outra Arma Longa C",712,IF(Atletas!R439="Gun D",713,IF(Atletas!R439="Qiang D",714,IF(Atletas!R439="Pudao / Guandao D",715,IF(Atletas!R439="Outra Arma Longa D",716,IF(Atletas!R439="Gun E",717,IF(Atletas!R439="Qiang E",718,IF(Atletas!R439="Pudao / Guandao E",719,IF(Atletas!R439="Outra Arma Longa E",720,IF(Atletas!R439="Gun F",721,IF(Atletas!R439="Qiang F",722,IF(Atletas!R439="Pudao / Guandao F",723,IF(Atletas!R439="Outra Arma Longa F",724,"")))))))))))))))))))))))))</f>
        <v/>
      </c>
      <c r="BU443" s="52" t="str">
        <f>IF(Atletas!S439="","",IF(Atletas!W439&lt;&gt;"",10000,0)+IF(Atletas!B439="Feminino",1000,IF(Atletas!B439="Masculino",2000,""))+IF(Atletas!S439="Arma Dupla A",801,IF(Atletas!S439="Arma Maleável A",802,IF(Atletas!S439="Arma Dupla B",803,IF(Atletas!S439="Arma Maleável B",804,IF(Atletas!S439="Arma Dupla C",805,IF(Atletas!S439="Arma Maleável C",806,IF(Atletas!S439="Arma Dupla D",807,IF(Atletas!S439="Arma Maleável D",808,IF(Atletas!S439="Arma Dupla E",809,IF(Atletas!S439="Arma Maleável E",810,IF(Atletas!S439="Arma Dupla F",811,IF(Atletas!S439="Arma Maleável F",812, "")))))))))))))</f>
        <v/>
      </c>
      <c r="BV443" s="52" t="str">
        <f>IF(Atletas!T439="","",IF(Atletas!W439&lt;&gt;"",10000,0)+IF(Atletas!B439="Feminino",1000,IF(Atletas!B439="Masculino",2000,""))+IF(Atletas!T439="Taijijian Yang A",901,IF(Atletas!T439="Taijijian Chen A",902,IF(Atletas!T439="Taijijian Sun A",903,IF(Atletas!T439="Taijijian Wu A",904,IF(Atletas!T439="Taijijian Wu-Hao A",905,IF(Atletas!T439="Taijijian 32 A",906,IF(Atletas!T439="Taijijian 42 A",907,IF(Atletas!T439="Taijijian Yang B",908,IF(Atletas!T439="Taijijian Chen B",909,IF(Atletas!T439="Taijijian Sun B",910,IF(Atletas!T439="Taijijian Wu B",911,IF(Atletas!T439="Taijijian Wu-Hao B",912,IF(Atletas!T439="Taijijian 32 B",913,IF(Atletas!T439="Taijijian 42 B",914,IF(Atletas!T439="Taijijian Yang C",915,IF(Atletas!T439="Taijijian Chen C",916,IF(Atletas!T439="Taijijian Sun C",917,IF(Atletas!T439="Taijijian Wu C",918,IF(Atletas!T439="Taijijian Wu-Hao C",919,IF(Atletas!T439="Taijijian 32 C",920,IF(Atletas!T439="Taijijian 42 C",921,IF(Atletas!T439="Taijijian Yang D",922,IF(Atletas!T439="Taijijian Chen D",923,IF(Atletas!T439="Taijijian Sun D",924,IF(Atletas!T439="Taijijian Wu D",925,IF(Atletas!T439="Taijijian Wu-Hao D",926,IF(Atletas!T439="Taijijian 32 D",927,IF(Atletas!T439="Taijijian 42 D",928,IF(Atletas!T439="Taijijian Yang E",929,IF(Atletas!T439="Taijijian Chen E",930,IF(Atletas!T439="Taijijian Sun E",931,IF(Atletas!T439="Taijijian Wu E",932,IF(Atletas!T439="Taijijian Wu-Hao E",933,IF(Atletas!T439="Taijijian 32 E",934,IF(Atletas!T439="Taijijian 42 E",935,IF(Atletas!T439="Taijijian Yang F",936,IF(Atletas!T439="Taijijian Chen F",937,IF(Atletas!T439="Taijijian Sun F",938,IF(Atletas!T439="Taijijian Wu F",939,IF(Atletas!T439="Taijijian Wu-Hao F",940,IF(Atletas!T439="Taijijian 32 F",941,IF(Atletas!T439="Taijijian 42 F",942,"")))))))))))))))))))))))))))))))))))))))))))</f>
        <v/>
      </c>
      <c r="BW443" s="52" t="str">
        <f>IF(Atletas!U439="","",IF(Atletas!W439&lt;&gt;"",10000,0)+IF(Atletas!B439="Feminino",1000,IF(Atletas!B439="Masculino",2000,""))+IF(Atletas!T439="Taijijian 42 F",942,IF(Atletas!U439="Taijidao A",943,IF(Atletas!U439="Taijishan A",944,IF(Atletas!U439="Taijiqiang A",945,IF(Atletas!U439="Taijidao B",946,IF(Atletas!U439="Taijishan B",947,IF(Atletas!U439="Taijiqiang B",948,IF(Atletas!U439="Taijidao C",949,IF(Atletas!U439="Taijishan C",950,IF(Atletas!U439="Taijiqiang C",951,IF(Atletas!U439="Taijidao D",952,IF(Atletas!U439="Taijishan D",953,IF(Atletas!U439="Taijiqiang D",954,IF(Atletas!U439="Taijidao E",955,IF(Atletas!U439="Taijishan E",956,IF(Atletas!U439="Taijiqiang E",957,IF(Atletas!U439="Taijidao F",958,IF(Atletas!U439="Taijishan F",959,IF(Atletas!U439="Taijiqiang F",960))))))))))))))))))))</f>
        <v/>
      </c>
      <c r="CF443" s="52" t="str">
        <f xml:space="preserve"> IF(Atletas!V439="","",IF(Atletas!V439="Duilian de Mãos AB - Equipe 1",1,IF(Atletas!V439="Duilian de Mãos AB - Equipe 2",2,IF(Atletas!V439="Duilian de Armas AB - Equipe 1",3,IF(Atletas!V439="Duilian de Armas AB - Equipe 2",4,IF(Atletas!V439="Duilian de Tuishou - Equipe 1",5,IF(Atletas!V439="Duilian de Tuishou - Equipe 2",6,IF(Atletas!V439="Grupo Externo AB - Equipe 1",7,IF(Atletas!V439="Grupo Externo AB - Equipe 2",8,IF(Atletas!V439="Grupo Interno AB - Equipe 1",9,IF(Atletas!V439="Grupo Interno AB - Equipe 2",10,IF(Atletas!V439="Duilian de Mãos CD - Equipe 1",11,IF(Atletas!V439="Duilian de Mãos CD - Equipe 2",12,IF(Atletas!V439="Duilian de Armas CD - Equipe 1",13,IF(Atletas!V439="Duilian de Armas CD - Equipe 2",14,IF(Atletas!V439="Duilian de Tuishou - Equipe 1",15,IF(Atletas!V439="Duilian de Tuishou - Equipe 2",16,IF(Atletas!V439="Grupo Externo CDEF - Equipe 1",17,IF(Atletas!V439="Grupo Externo CDEF - Equipe 2",18,IF(Atletas!V439="Grupo Interno CDEF - Equipe 1",19,IF(Atletas!V439="Grupo Interno CDEF - Equipe 2",20,IF(Atletas!V439="Duilian de Mãos EF - Equipe 1",21,IF(Atletas!V439="Duilian de Mãos EF - Equipe 2",22,IF(Atletas!V439="Duilian de Armas EF - Equipe 1",23,IF(Atletas!V439="Duilian de Armas EF - Equipe 2",24,IF(Atletas!V439="Duilian de Tuishou - Equipe 1",25,IF(Atletas!V439="Duilian de Tuishou - Equipe 2",26,"")))))))))))))))))))))))))))</f>
        <v/>
      </c>
    </row>
    <row r="444" spans="36:84">
      <c r="AJ444" s="46" t="str">
        <f>IF(Atletas!D440="","",IF(Atletas!B440="Feminino",100,IF(Atletas!B440="Masculino",200,""))+(IF(Atletas!D440="Infantil 39kg",1,IF(Atletas!D440="Infantil 42kg",2,IF(Atletas!D440="Infantil 45kg",3,IF(Atletas!D440="Infantil 48kg",4,IF(Atletas!D440="Infantil 52kg",5,IF(Atletas!D440="Infantil 56kg",6,IF(Atletas!D440="Infantil 60kg",7,IF(Atletas!D440="Juvenil 48kg",8,IF(Atletas!D440="Juvenil 52kg",9,IF(Atletas!D440="Juvenil 56kg",10,IF(Atletas!D440="Juvenil 60kg",11,IF(Atletas!D440="Juvenil 65kg",12,IF(Atletas!D440="Juvenil 70kg",13,IF(Atletas!D440="Juvenil 75kg",14,IF(Atletas!D440="Juvenil 80kg",15,IF(Atletas!D440="Adulto 48kg",16,IF(Atletas!D440="Adulto 52kg",17,IF(Atletas!D440="Adulto 56kg",18,IF(Atletas!D440="Adulto 60kg",19,IF(Atletas!D440="Adulto 65kg",20,IF(Atletas!D440="Adulto 70kg",21,IF(Atletas!D440="Adulto 75kg",22,IF(Atletas!D440="Adulto 80kg",23,IF(Atletas!D440="Adulto 85kg",24,IF(Atletas!D440="Adulto 90kg",25,IF(Atletas!D440="Adulto +90kg",26,""))))))))))))))))))))))))))))</f>
        <v/>
      </c>
      <c r="AO444" s="10" t="str">
        <f>IF(Atletas!E440="","",IF(Atletas!B440="Feminino",100,IF(Atletas!B440="Masculino",200,""))+(IF(Atletas!E440="Juvenil 44kg",1,IF(Atletas!E440="Juvenil 48kg",2,IF(Atletas!E440="Juvenil 52kg",3,IF(Atletas!E440="Juvenil 56kg",4,IF(Atletas!E440="Juvenil 60kg",5,IF(Atletas!E440="Juvenil 65kg",6,IF(Atletas!E440="Juvenil 70kg",7,IF(Atletas!E440="Juvenil 75kg",8,IF(Atletas!E440="Juvenil 82kg",9,IF(Atletas!E440="Juvenil 90kg",10,IF(Atletas!E440="Juvenil 100kg",11,IF(Atletas!E440="Adulto 48kg",12,IF(Atletas!E440="Adulto 52kg",13,IF(Atletas!E440="Adulto 56kg",14,IF(Atletas!E440="Adulto 60kg",15,IF(Atletas!E440="Adulto 65kg",16,IF(Atletas!E440="Adulto 70kg",17,IF(Atletas!E440="Adulto 75kg",18,IF(Atletas!E440="Adulto 82kg",19,IF(Atletas!E440="Adulto 90kg",20,IF(Atletas!E440="Adulto 100kg",21,IF(Atletas!E440="Adulto +100kg",22,""))))))))))))))))))))))))</f>
        <v/>
      </c>
      <c r="AT444" s="10" t="str">
        <f>IF(Atletas!F440="","",IF(Atletas!B440="Feminino",100,IF(Atletas!B440="Masculino",200,""))+(IF(Atletas!F440="Adulto 48kg",1,IF(Atletas!F440="Adulto 56kg",2,IF(Atletas!F440="Adulto 65kg",3,IF(Atletas!F440="Adulto 75kg",4,IF(Atletas!F440="Adulto +75kg",5,IF(Atletas!F440="Adulto 52kg",6,IF(Atletas!F440="Adulto 60kg",7,IF(Atletas!F440="Adulto 70kg",8,IF(Atletas!F440="Adulto 80kg",9,IF(Atletas!F440="Adulto 90kg",10,IF(Atletas!F440="Adulto +90kg",11,"")))))))))))))</f>
        <v/>
      </c>
      <c r="AY444" s="46" t="str">
        <f>IF(Atletas!G440="","",IF(Atletas!B440="Feminino",100,IF(Atletas!B440="Masculino",200,""))+(IF(Atletas!G440="Changquan Mirim",1,IF(Atletas!G440="Nanquan Mirim",2,IF(Atletas!G440="Taijiquan Mirim",3,IF(Atletas!G440="Changquan Grupo C",4,IF(Atletas!G440="Nanquan Grupo C",5,IF(Atletas!G440="Taijiquan Grupo C",6,IF(Atletas!G440="Changquan Grupo B",7,IF(Atletas!G440="Nanquan Grupo B",8,IF(Atletas!G440="Taijiquan Grupo B",9,IF(Atletas!G440="Changquan Grupo A",10,IF(Atletas!G440="Nanquan Grupo A",11,IF(Atletas!G440="Taijiquan Grupo A",12,IF(Atletas!G440="Changquan Opcional",13,IF(Atletas!G440="Nanquan Opcional",14,IF(Atletas!G440="Taijiquan Opcional",15,IF(Atletas!G440="Changquan Adulto",16,IF(Atletas!G440="Nanquan Adulto",17,IF(Atletas!G440="Taijiquan Adulto",18,""))))))))))))))))))))</f>
        <v/>
      </c>
      <c r="AZ444" s="46" t="str">
        <f>IF(Atletas!H440="","",IF(Atletas!B440="Feminino",100,IF(Atletas!B440="Masculino",200,""))+(IF(Atletas!H440="Daoshu Mirim",19,IF(Atletas!H440="Jianshu Mirim",20,IF(Atletas!H440="Nandao Mirim",21,IF(Atletas!H440="Taijijian Mirim",22,IF(Atletas!H440="Daoshu Grupo C",23,IF(Atletas!H440="Jianshu Grupo C",24,IF(Atletas!H440="Nandao Grupo C",25,IF(Atletas!H440="Taijijian Grupo C",26,IF(Atletas!H440="Daoshu Grupo B",27,IF(Atletas!H440="Jianshu Grupo B",28,IF(Atletas!H440="Nandao Grupo B",29,IF(Atletas!H440="Taijijian Grupo B",30,IF(Atletas!H440="Daoshu Grupo A",31,IF(Atletas!H440="Jianshu Grupo A",32,IF(Atletas!H440="Nandao Grupo A",33,IF(Atletas!H440="Taijijian Grupo A",34,IF(Atletas!H440="Daoshu Opcional",35,IF(Atletas!H440="Jianshu Opcional",36,IF(Atletas!H440="Nandao Opcional",37,IF(Atletas!H440="Taijijian Opcional",38,IF(Atletas!H440="Daoshu Adulto",39,IF(Atletas!H440="Jianshu Adulto",40,IF(Atletas!H440="Nandao Adulto",41,IF(Atletas!H440="Taijijian Adulto",42,""))))))))))))))))))))))))))</f>
        <v/>
      </c>
      <c r="BA444" s="46" t="str">
        <f>IF(Atletas!I440="","",IF(Atletas!B440="Feminino",100,IF(Atletas!B440="Masculino",200,""))+(IF(Atletas!I440="Gunshu Mirim",43,IF(Atletas!I440="Qiangshu Mirim",44,IF(Atletas!I440="Nangun Mirim",45,IF(Atletas!I440="Gunshu Grupo C",46,IF(Atletas!I440="Qiangshu Grupo C",47,IF(Atletas!I440="Nangun Grupo C",48,IF(Atletas!I440="Gunshu Grupo B",49,IF(Atletas!I440="Qiangshu Grupo B",50,IF(Atletas!I440="Nangun Grupo B",51,IF(Atletas!I440="Gunshu Grupo A",52,IF(Atletas!I440="Qiangshu Grupo A",53,IF(Atletas!I440="Nangun Grupo A",54,IF(Atletas!I440="Gunshu Opcional",55,IF(Atletas!I440="Qiangshu Opcional",56,IF(Atletas!I440="Nangun Opcional",57,IF(Atletas!I440="Gunshu Adulto",58,IF(Atletas!I440="Qiangshu Adulto",59,IF(Atletas!I440="Nangun Adulto",60,""))))))))))))))))))))</f>
        <v/>
      </c>
      <c r="BF444" s="52" t="str">
        <f>IF(Atletas!J440="","",IF(Atletas!B440="Feminino",100,IF(Atletas!B440="Masculino",200,""))+(IF(Atletas!J440="Equipe 1 Grupo B",1,IF(Atletas!J440="Equipe 2 Grupo B",2,IF(Atletas!J440="Equipe 1 Grupo A",3,IF(Atletas!J440="Equipe 2 Grupo A",4,IF(Atletas!J440="Equipe 1 Adulto",5,IF(Atletas!J440="Equipe 2 Adulto",6,""))))))))</f>
        <v/>
      </c>
      <c r="BK444" s="52" t="str">
        <f>IF(Atletas!K440="","",IF(Atletas!W440&lt;&gt;"",10000,0)+(IF(Atletas!B440="Feminino",1000,IF(Atletas!B440="Masculino",2000,""))+IF(Atletas!K440="Choylayfut A",1,IF(Atletas!K440="Hunggar A",2,IF(Atletas!K440="Wuzuquan A",3,IF(Atletas!K440="Wingchun A",4,IF(Atletas!K440="Outra Mão de Sul A",5,IF(Atletas!K440="Choylayfut B",6,IF(Atletas!K440="Hunggar B",7,IF(Atletas!K440="Wuzuquan B",8,IF(Atletas!K440="Wingchun B",9,IF(Atletas!K440="Outra Mão de Sul B",10,IF(Atletas!K440="Choylayfut C",11,IF(Atletas!K440="Hunggar C",12,IF(Atletas!K440="Wuzuquan C",13,IF(Atletas!K440="Wingchun C",14,IF(Atletas!K440="Outra Mão de Sul C",15,IF(Atletas!K440="Choylayfut D",16,IF(Atletas!K440="Hunggar D",17,IF(Atletas!K440="Wuzuquan D",18,IF(Atletas!K440="Wingchun D",19,IF(Atletas!K440="Outra Mão de Sul D",20,IF(Atletas!K440="Choylayfut E",21,IF(Atletas!K440="Hunggar E",22,IF(Atletas!K440="Wuzuquan E",23,IF(Atletas!K440="Wingchun E",24,IF(Atletas!K440="Outra Mão de Sul E",25,IF(Atletas!K440="Choylayfut F",26,IF(Atletas!K440="Hunggar F",27,IF(Atletas!K440="Wuzuquan F",28,IF(Atletas!K440="Wingchun F",29,IF(Atletas!K440="Outra Mão de Sul F",30,""))))))))))))))))))))))))))))))))</f>
        <v/>
      </c>
      <c r="BL444" s="52" t="str">
        <f>IF(Atletas!L440="","",IF(Atletas!W440&lt;&gt;"",10000,0)+(IF(Atletas!B440="Feminino",1000,IF(Atletas!B440="Masculino",2000,""))+(IF(Atletas!L440="Chaquan A",101,IF(Atletas!L440="Emeiquan A",102,IF(Atletas!L440="Fanziquan A",103,IF(Atletas!L440="Huaquan A",104,IF(Atletas!L440="Hongquan A",105,IF(Atletas!L440="Paochui A",106,IF(Atletas!L440="Piguaquan A",107,IF(Atletas!L440="Shaolinquan A",108,IF(Atletas!L440="Tanglangquan A",109,IF(Atletas!L440="Yinzhaophai A",110,IF(Atletas!L440="Tongbeiquan A",111,IF(Atletas!L440="Wudangquan A",112,IF(Atletas!L440="Outros Estilos A",113,IF(Atletas!L440="Chaquan B",114,IF(Atletas!L440="Emeiquan B",115,IF(Atletas!L440="Fanziquan B",116,IF(Atletas!L440="Huaquan B",117,IF(Atletas!L440="Hongquan B",118,IF(Atletas!L440="Paochui B",119,IF(Atletas!L440="Piguaquan B",120,IF(Atletas!L440="Shaolinquan B",121,IF(Atletas!L440="Tanglangquan B",122,IF(Atletas!L440="Yinzhaophai B",123,IF(Atletas!L440="Tongbeiquan B",124,IF(Atletas!L440="Wudangquan B",125,IF(Atletas!L440="Outros Estilos B",126,IF(Atletas!L440="Chaquan C",127,IF(Atletas!L440="Emeiquan C",128,IF(Atletas!L440="Fanziquan C",129,IF(Atletas!L440="Huaquan C",130,IF(Atletas!L440="Hongquan C",131,IF(Atletas!L440="Paochui C",132,IF(Atletas!L440="Piguaquan C",133,IF(Atletas!L440="Shaolinquan C",134,IF(Atletas!L440="Tanglangquan C",135,IF(Atletas!L440="Yinzhaophai C",136,IF(Atletas!L440="Tongbeiquan C",137,IF(Atletas!L440="Wudangquan C",138,IF(Atletas!L440="Outros Estilos C",139,0))))))))))))))))))))))))))))))))))))))))))</f>
        <v/>
      </c>
      <c r="BM444" s="52" t="str">
        <f>IF(Atletas!L440="","",IF(Atletas!W440&lt;&gt;"",10000,0)+(IF(Atletas!B440="Feminino",1000,IF(Atletas!B440="Masculino",2000,""))+(IF(Atletas!L440="Chaquan D",140,IF(Atletas!L440="Emeiquan D",141,IF(Atletas!L440="Fanziquan D",142,IF(Atletas!L440="Huaquan D",143,IF(Atletas!L440="Hongquan D",144,IF(Atletas!L440="Paochui D",145,IF(Atletas!L440="Piguaquan D",146,IF(Atletas!L440="Shaolinquan D",147,IF(Atletas!L440="Tanglangquan D",148,IF(Atletas!L440="Yinzhaophai D",149,IF(Atletas!L440="Tongbeiquan D",150,IF(Atletas!L440="Wudangquan D",151,IF(Atletas!L440="Outros Estilos D",152,IF(Atletas!L440="Chaquan E",153,IF(Atletas!L440="Emeiquan E",154,IF(Atletas!L440="Fanziquan E",155,IF(Atletas!L440="Huaquan E",156,IF(Atletas!L440="Hongquan E",157,IF(Atletas!L440="Paochui E",158,IF(Atletas!L440="Piguaquan E",159,IF(Atletas!L440="Shaolinquan E",160,IF(Atletas!L440="Tanglangquan E",161,IF(Atletas!L440="Yinzhaophai E",162,IF(Atletas!L440="Tongbeiquan E",163,IF(Atletas!L440="Wudangquan E",164,IF(Atletas!L440="Outros Estilos E",165,IF(Atletas!L440="Chaquan F",166,IF(Atletas!L440="Emeiquan F",167,IF(Atletas!L440="Fanziquan F",168,IF(Atletas!L440="Huaquan F",169,IF(Atletas!L440="Hongquan F",170,IF(Atletas!L440="Paochui F",171,IF(Atletas!L440="Piguaquan F",172,IF(Atletas!L440="Shaolinquan F",173,IF(Atletas!L440="Tanglangquan F",174,IF(Atletas!L440="Yinzhaophai F",175,IF(Atletas!L440="Tongbeiquan F",176,IF(Atletas!L440="Wudangquan F",177,IF(Atletas!L440="Outros Estilos F",178,0))))))))))))))))))))))))))))))))))))))))))</f>
        <v/>
      </c>
      <c r="BN444" s="52" t="str">
        <f>IF(Atletas!M440="","",IF(Atletas!W440&lt;&gt;"",10000,0)+(IF(Atletas!B440="Feminino",1000,IF(Atletas!B440="Masculino",2000,""))+(IF(Atletas!M440="Ditangquan A",201,IF(Atletas!M440="Houquan A",202,IF(Atletas!M440="Zuiquan A",203,IF(Atletas!M440="Ditangquan B",204,IF(Atletas!M440="Houquan B",205,IF(Atletas!M440="Zuiquan B",206,IF(Atletas!M440="Ditangquan C",207,IF(Atletas!M440="Houquan C",208,IF(Atletas!M440="Zuiquan C",209,IF(Atletas!M440="Ditangquan D",210,IF(Atletas!M440="Houquan D",211,IF(Atletas!M440="Zuiquan D",212,IF(Atletas!M440="Ditangquan E",213,IF(Atletas!M440="Houquan E",214,IF(Atletas!M440="Zuiquan E",215,IF(Atletas!M440="Ditangquan F",216,IF(Atletas!M440="Houquan F",217,IF(Atletas!M440="Zuiquan F",218,"")))))))))))))))))))))</f>
        <v/>
      </c>
      <c r="BO444" s="52" t="str">
        <f>IF(Atletas!N440="","",IF(Atletas!W440&lt;&gt;"",10000,0)+IF(Atletas!B440="Feminino",1000,IF(Atletas!B440="Masculino",2000,""))+IF(Atletas!N440="Yang A",301,IF(Atletas!N440="Chen A",30,IF(Atletas!N440="Sun A",303,IF(Atletas!N440="Wu A",304,IF(Atletas!N440="Wu-Hao A",305,IF(Atletas!N440="Outro Taijiquan A",306,IF(Atletas!N440="Yang B",307,IF(Atletas!N440="Chen B",308,IF(Atletas!N440="Sun B",309,IF(Atletas!N440="Wu B",310,IF(Atletas!N440="Wu-Hao B",311,IF(Atletas!N440="Outro Taijiquan B",312,IF(Atletas!N440="Yang C",313,IF(Atletas!N440="Chen C",314,IF(Atletas!N440="Sun C",315,IF(Atletas!N440="Wu C",316,IF(Atletas!N440="Wu-Hao C",317,IF(Atletas!N440="Outro Taijiquan C",318,IF(Atletas!N440="Yang D",319,IF(Atletas!N440="Chen D",320,IF(Atletas!N440="Sun D",321,IF(Atletas!N440="Wu D",322,IF(Atletas!N440="Wu-Hao D",323,IF(Atletas!N440="Outro Taijiquan D",324,IF(Atletas!N440="Yang E",325,IF(Atletas!N440="Chen E",326,IF(Atletas!N440="Sun E",327,IF(Atletas!N440="Wu E",328,IF(Atletas!N440="Wu-Hao E",329,IF(Atletas!N440="Outro Taijiquan E",330,IF(Atletas!N440="Yang F",331,IF(Atletas!N440="Chen F",332,IF(Atletas!N440="Sun F",333,IF(Atletas!N440="Wu F",334,IF(Atletas!N440="Wu-Hao F",335,IF(Atletas!N440="Outro Taijiquan F",336,"")))))))))))))))))))))))))))))))))))))</f>
        <v/>
      </c>
      <c r="BP444" s="52" t="str">
        <f>IF(Atletas!O440="","",IF(Atletas!W440&lt;&gt;"",10000,0)+IF(Atletas!B440="Feminino",1000,IF(Atletas!B440="Masculino",2000,""))+IF(OR(Atletas!O440="Yang 26 A",Atletas!O440="Yang 40 A"),401,IF(OR(Atletas!O440="Chen 25 A",Atletas!O440="Chen 36 A",Atletas!O440="Chen 56 A"),402,IF(Atletas!O440="Sun 73 A",403,IF(Atletas!O440="Wu 45 A",404,IF(Atletas!O440="Wu-Hao 46 A",405,IF(OR(Atletas!O440="Taijiquan 16 A",Atletas!O440="Taijiquan 24 A",Atletas!O440="Taijiquan 32 A",Atletas!O440="Taijiquan 42 A"),406,IF(OR(Atletas!O440="Yang 26 B",Atletas!O440="Yang 40 B"),407,IF(OR(Atletas!O440="Chen 25 B",Atletas!O440="Chen 36 B",Atletas!O440="Chen 56 B"),408,IF(Atletas!O440="Sun 73 B",409,IF(Atletas!O440="Wu 45 B",410,IF(Atletas!O440="Wu-Hao 46 B",411,IF(OR(Atletas!O440="Taijiquan 16 B",Atletas!O440="Taijiquan 24 B",Atletas!O440="Taijiquan 32 B",Atletas!O440="Taijiquan 42 B"),412,IF(OR(Atletas!O440="Yang 26 C",Atletas!O440="Yang 40 C"),413,IF(OR(Atletas!O440="Chen 25 C",Atletas!O440="Chen 36 C",Atletas!O440="Chen 56 C"),414,IF(Atletas!O440="Sun 73 C",415,IF(Atletas!O440="Wu 45 C",416,IF(Atletas!O440="Wu-Hao 46 C",417,IF(OR(Atletas!O440="Taijiquan 16 C",Atletas!O440="Taijiquan 24 C",Atletas!O440="Taijiquan 32 C",Atletas!O440="Taijiquan 42 C"),418,0)))))))))))))))))))</f>
        <v/>
      </c>
      <c r="BQ444" s="52" t="str">
        <f>IF(Atletas!O440="","",IF(Atletas!W440&lt;&gt;"",10000,0)+IF(Atletas!B440="Feminino",1000,IF(Atletas!B440="Masculino",2000,""))+IF(OR(Atletas!O440="Yang 26 D",Atletas!O440="Yang 40 D"),419,IF(OR(Atletas!O440="Chen 25 D",Atletas!O440="Chen 36 D",Atletas!O440="Chen 56 D"),420,IF(Atletas!O440="Sun 73 D",421,IF(Atletas!O440="Wu 45 D",422,IF(Atletas!O440="Wu-Hao 46 D",423,IF(OR(Atletas!O440="Taijiquan 16 D",Atletas!O440="Taijiquan 24 D",Atletas!O440="Taijiquan 32 D",Atletas!O440="Taijiquan 42 D"),424,IF(OR(Atletas!O440="Yang 26 E",Atletas!O440="Yang 40 E"),425,IF(OR(Atletas!O440="Chen 25 E",Atletas!O440="Chen 36 E",Atletas!O440="Chen 56 E"),426,IF(Atletas!O440="Sun 73 E",427,IF(Atletas!O440="Wu 45 E",428,IF(Atletas!O440="Wu-Hao 46 E",429,IF(OR(Atletas!O440="Taijiquan 16 E",Atletas!O440="Taijiquan 24 E",Atletas!O440="Taijiquan 32 E",Atletas!O440="Taijiquan 42 E"),430,IF(OR(Atletas!O440="Yang 26 F",Atletas!O440="Yang 40 F"),431,IF(OR(Atletas!O440="Chen 25 F",Atletas!O440="Chen 36 F",Atletas!O440="Chen 56 F"),432,IF(Atletas!O440="Sun 73 F",433,IF(Atletas!O440="Wu 45 F",434,IF(Atletas!O440="Wu-Hao 46 F",435,IF(OR(Atletas!O440="Taijiquan 16 F",Atletas!O440="Taijiquan 24 F",Atletas!O440="Taijiquan 32 F",Atletas!O440="Taijiquan 42 F"),436,0)))))))))))))))))))</f>
        <v/>
      </c>
      <c r="BR444" s="52" t="str">
        <f>IF(Atletas!P440="","",IF(Atletas!W440&lt;&gt;"",10000,0)+IF(Atletas!B440="Feminino",1000,IF(Atletas!B440="Masculino",2000,""))+IF(Atletas!P440="Xingyiquan A",501,IF(Atletas!P440="Baguazhang A",502,IF(Atletas!P440="Outro Estilo Interno A",503,IF(Atletas!P440="Xingyiquan B",504,IF(Atletas!P440="Baguazhang B",505,IF(Atletas!P440="Outro Estilo Interno B",506,IF(Atletas!P440="Xingyiquan C",507,IF(Atletas!P440="Baguazhang C",508,IF(Atletas!P440="Outro Estilo Interno C",509,IF(Atletas!P440="Xingyiquan D",510,IF(Atletas!P440="Baguazhang D",511,IF(Atletas!P440="Outro Estilo Interno D",512,IF(Atletas!P440="Xingyiquan E",513,IF(Atletas!P440="Baguazhang E",514,IF(Atletas!P440="Outro Estilo Interno E",515,IF(Atletas!P440="Xingyiquan F",516,IF(Atletas!P440="Baguazhang F",517,IF(Atletas!P440="Outro Estilo Interno F",518, "")))))))))))))))))))</f>
        <v/>
      </c>
      <c r="BS444" s="52" t="str">
        <f>IF(Atletas!Q440="","",IF(Atletas!W440&lt;&gt;"",10000,0)+IF(Atletas!B440="Feminino",1000,IF(Atletas!B440="Masculino",2000,""))+IF(Atletas!Q440="Dao A",601,IF(Atletas!Q440="Jian A",602,IF(Atletas!Q440="Bishou A",603,IF(Atletas!Q440="Shan A",604,IF(Atletas!Q440="Outra Arma Curta A",605,IF(Atletas!Q440="Dao B",606,IF(Atletas!Q440="Jian B",607,IF(Atletas!Q440="Bishou B",608,IF(Atletas!Q440="Shan B",609,IF(Atletas!Q440="Outra Arma Curta B",610,IF(Atletas!Q440="Dao C",611,IF(Atletas!Q440="Jian C",612,IF(Atletas!Q440="Bishou C",613,IF(Atletas!Q440="Shan C",614,IF(Atletas!Q440="Outra Arma Curta C",615,IF(Atletas!Q440="Dao D",616,IF(Atletas!Q440="Jian D",617,IF(Atletas!Q440="Bishou D",618,IF(Atletas!Q440="Shan D",619,IF(Atletas!Q440="Outra Arma Curta D",620,IF(Atletas!Q440="Dao E",621,IF(Atletas!Q440="Jian E",622,IF(Atletas!Q440="Bishou E",623,IF(Atletas!Q440="Shan E",624,IF(Atletas!Q440="Outra Arma Curta E",625,IF(Atletas!Q440="Dao F",626,IF(Atletas!Q440="Jian F",627,IF(Atletas!Q440="Bishou F",628,IF(Atletas!Q440="Shan F",629,IF(Atletas!Q440="Outra Arma Curta F",630, "")))))))))))))))))))))))))))))))</f>
        <v/>
      </c>
      <c r="BT444" s="52" t="str">
        <f>IF(Atletas!R440="","",IF(Atletas!W440&lt;&gt;"",10000,0)+IF(Atletas!B440="Feminino",1000,IF(Atletas!B440="Masculino",2000,""))+IF(Atletas!R440="Gun A",701,IF(Atletas!R440="Qiang A",702,IF(Atletas!R440="Pudao / Guandao A",703,IF(Atletas!R440="Outra Arma Longa A",704,IF(Atletas!R440="Gun B",705,IF(Atletas!R440="Qiang B",706,IF(Atletas!R440="Pudao / Guandao B",707,IF(Atletas!R440="Outra Arma Longa B",708,IF(Atletas!R440="Gun C",709,IF(Atletas!R440="Qiang C",710,IF(Atletas!R440="Pudao / Guandao C",711,IF(Atletas!R440="Outra Arma Longa C",712,IF(Atletas!R440="Gun D",713,IF(Atletas!R440="Qiang D",714,IF(Atletas!R440="Pudao / Guandao D",715,IF(Atletas!R440="Outra Arma Longa D",716,IF(Atletas!R440="Gun E",717,IF(Atletas!R440="Qiang E",718,IF(Atletas!R440="Pudao / Guandao E",719,IF(Atletas!R440="Outra Arma Longa E",720,IF(Atletas!R440="Gun F",721,IF(Atletas!R440="Qiang F",722,IF(Atletas!R440="Pudao / Guandao F",723,IF(Atletas!R440="Outra Arma Longa F",724,"")))))))))))))))))))))))))</f>
        <v/>
      </c>
      <c r="BU444" s="52" t="str">
        <f>IF(Atletas!S440="","",IF(Atletas!W440&lt;&gt;"",10000,0)+IF(Atletas!B440="Feminino",1000,IF(Atletas!B440="Masculino",2000,""))+IF(Atletas!S440="Arma Dupla A",801,IF(Atletas!S440="Arma Maleável A",802,IF(Atletas!S440="Arma Dupla B",803,IF(Atletas!S440="Arma Maleável B",804,IF(Atletas!S440="Arma Dupla C",805,IF(Atletas!S440="Arma Maleável C",806,IF(Atletas!S440="Arma Dupla D",807,IF(Atletas!S440="Arma Maleável D",808,IF(Atletas!S440="Arma Dupla E",809,IF(Atletas!S440="Arma Maleável E",810,IF(Atletas!S440="Arma Dupla F",811,IF(Atletas!S440="Arma Maleável F",812, "")))))))))))))</f>
        <v/>
      </c>
      <c r="BV444" s="52" t="str">
        <f>IF(Atletas!T440="","",IF(Atletas!W440&lt;&gt;"",10000,0)+IF(Atletas!B440="Feminino",1000,IF(Atletas!B440="Masculino",2000,""))+IF(Atletas!T440="Taijijian Yang A",901,IF(Atletas!T440="Taijijian Chen A",902,IF(Atletas!T440="Taijijian Sun A",903,IF(Atletas!T440="Taijijian Wu A",904,IF(Atletas!T440="Taijijian Wu-Hao A",905,IF(Atletas!T440="Taijijian 32 A",906,IF(Atletas!T440="Taijijian 42 A",907,IF(Atletas!T440="Taijijian Yang B",908,IF(Atletas!T440="Taijijian Chen B",909,IF(Atletas!T440="Taijijian Sun B",910,IF(Atletas!T440="Taijijian Wu B",911,IF(Atletas!T440="Taijijian Wu-Hao B",912,IF(Atletas!T440="Taijijian 32 B",913,IF(Atletas!T440="Taijijian 42 B",914,IF(Atletas!T440="Taijijian Yang C",915,IF(Atletas!T440="Taijijian Chen C",916,IF(Atletas!T440="Taijijian Sun C",917,IF(Atletas!T440="Taijijian Wu C",918,IF(Atletas!T440="Taijijian Wu-Hao C",919,IF(Atletas!T440="Taijijian 32 C",920,IF(Atletas!T440="Taijijian 42 C",921,IF(Atletas!T440="Taijijian Yang D",922,IF(Atletas!T440="Taijijian Chen D",923,IF(Atletas!T440="Taijijian Sun D",924,IF(Atletas!T440="Taijijian Wu D",925,IF(Atletas!T440="Taijijian Wu-Hao D",926,IF(Atletas!T440="Taijijian 32 D",927,IF(Atletas!T440="Taijijian 42 D",928,IF(Atletas!T440="Taijijian Yang E",929,IF(Atletas!T440="Taijijian Chen E",930,IF(Atletas!T440="Taijijian Sun E",931,IF(Atletas!T440="Taijijian Wu E",932,IF(Atletas!T440="Taijijian Wu-Hao E",933,IF(Atletas!T440="Taijijian 32 E",934,IF(Atletas!T440="Taijijian 42 E",935,IF(Atletas!T440="Taijijian Yang F",936,IF(Atletas!T440="Taijijian Chen F",937,IF(Atletas!T440="Taijijian Sun F",938,IF(Atletas!T440="Taijijian Wu F",939,IF(Atletas!T440="Taijijian Wu-Hao F",940,IF(Atletas!T440="Taijijian 32 F",941,IF(Atletas!T440="Taijijian 42 F",942,"")))))))))))))))))))))))))))))))))))))))))))</f>
        <v/>
      </c>
      <c r="BW444" s="52" t="str">
        <f>IF(Atletas!U440="","",IF(Atletas!W440&lt;&gt;"",10000,0)+IF(Atletas!B440="Feminino",1000,IF(Atletas!B440="Masculino",2000,""))+IF(Atletas!T440="Taijijian 42 F",942,IF(Atletas!U440="Taijidao A",943,IF(Atletas!U440="Taijishan A",944,IF(Atletas!U440="Taijiqiang A",945,IF(Atletas!U440="Taijidao B",946,IF(Atletas!U440="Taijishan B",947,IF(Atletas!U440="Taijiqiang B",948,IF(Atletas!U440="Taijidao C",949,IF(Atletas!U440="Taijishan C",950,IF(Atletas!U440="Taijiqiang C",951,IF(Atletas!U440="Taijidao D",952,IF(Atletas!U440="Taijishan D",953,IF(Atletas!U440="Taijiqiang D",954,IF(Atletas!U440="Taijidao E",955,IF(Atletas!U440="Taijishan E",956,IF(Atletas!U440="Taijiqiang E",957,IF(Atletas!U440="Taijidao F",958,IF(Atletas!U440="Taijishan F",959,IF(Atletas!U440="Taijiqiang F",960))))))))))))))))))))</f>
        <v/>
      </c>
      <c r="CF444" s="52" t="str">
        <f xml:space="preserve"> IF(Atletas!V440="","",IF(Atletas!V440="Duilian de Mãos AB - Equipe 1",1,IF(Atletas!V440="Duilian de Mãos AB - Equipe 2",2,IF(Atletas!V440="Duilian de Armas AB - Equipe 1",3,IF(Atletas!V440="Duilian de Armas AB - Equipe 2",4,IF(Atletas!V440="Duilian de Tuishou - Equipe 1",5,IF(Atletas!V440="Duilian de Tuishou - Equipe 2",6,IF(Atletas!V440="Grupo Externo AB - Equipe 1",7,IF(Atletas!V440="Grupo Externo AB - Equipe 2",8,IF(Atletas!V440="Grupo Interno AB - Equipe 1",9,IF(Atletas!V440="Grupo Interno AB - Equipe 2",10,IF(Atletas!V440="Duilian de Mãos CD - Equipe 1",11,IF(Atletas!V440="Duilian de Mãos CD - Equipe 2",12,IF(Atletas!V440="Duilian de Armas CD - Equipe 1",13,IF(Atletas!V440="Duilian de Armas CD - Equipe 2",14,IF(Atletas!V440="Duilian de Tuishou - Equipe 1",15,IF(Atletas!V440="Duilian de Tuishou - Equipe 2",16,IF(Atletas!V440="Grupo Externo CDEF - Equipe 1",17,IF(Atletas!V440="Grupo Externo CDEF - Equipe 2",18,IF(Atletas!V440="Grupo Interno CDEF - Equipe 1",19,IF(Atletas!V440="Grupo Interno CDEF - Equipe 2",20,IF(Atletas!V440="Duilian de Mãos EF - Equipe 1",21,IF(Atletas!V440="Duilian de Mãos EF - Equipe 2",22,IF(Atletas!V440="Duilian de Armas EF - Equipe 1",23,IF(Atletas!V440="Duilian de Armas EF - Equipe 2",24,IF(Atletas!V440="Duilian de Tuishou - Equipe 1",25,IF(Atletas!V440="Duilian de Tuishou - Equipe 2",26,"")))))))))))))))))))))))))))</f>
        <v/>
      </c>
    </row>
    <row r="445" spans="36:84">
      <c r="AJ445" s="46" t="str">
        <f>IF(Atletas!D441="","",IF(Atletas!B441="Feminino",100,IF(Atletas!B441="Masculino",200,""))+(IF(Atletas!D441="Infantil 39kg",1,IF(Atletas!D441="Infantil 42kg",2,IF(Atletas!D441="Infantil 45kg",3,IF(Atletas!D441="Infantil 48kg",4,IF(Atletas!D441="Infantil 52kg",5,IF(Atletas!D441="Infantil 56kg",6,IF(Atletas!D441="Infantil 60kg",7,IF(Atletas!D441="Juvenil 48kg",8,IF(Atletas!D441="Juvenil 52kg",9,IF(Atletas!D441="Juvenil 56kg",10,IF(Atletas!D441="Juvenil 60kg",11,IF(Atletas!D441="Juvenil 65kg",12,IF(Atletas!D441="Juvenil 70kg",13,IF(Atletas!D441="Juvenil 75kg",14,IF(Atletas!D441="Juvenil 80kg",15,IF(Atletas!D441="Adulto 48kg",16,IF(Atletas!D441="Adulto 52kg",17,IF(Atletas!D441="Adulto 56kg",18,IF(Atletas!D441="Adulto 60kg",19,IF(Atletas!D441="Adulto 65kg",20,IF(Atletas!D441="Adulto 70kg",21,IF(Atletas!D441="Adulto 75kg",22,IF(Atletas!D441="Adulto 80kg",23,IF(Atletas!D441="Adulto 85kg",24,IF(Atletas!D441="Adulto 90kg",25,IF(Atletas!D441="Adulto +90kg",26,""))))))))))))))))))))))))))))</f>
        <v/>
      </c>
      <c r="AO445" s="10" t="str">
        <f>IF(Atletas!E441="","",IF(Atletas!B441="Feminino",100,IF(Atletas!B441="Masculino",200,""))+(IF(Atletas!E441="Juvenil 44kg",1,IF(Atletas!E441="Juvenil 48kg",2,IF(Atletas!E441="Juvenil 52kg",3,IF(Atletas!E441="Juvenil 56kg",4,IF(Atletas!E441="Juvenil 60kg",5,IF(Atletas!E441="Juvenil 65kg",6,IF(Atletas!E441="Juvenil 70kg",7,IF(Atletas!E441="Juvenil 75kg",8,IF(Atletas!E441="Juvenil 82kg",9,IF(Atletas!E441="Juvenil 90kg",10,IF(Atletas!E441="Juvenil 100kg",11,IF(Atletas!E441="Adulto 48kg",12,IF(Atletas!E441="Adulto 52kg",13,IF(Atletas!E441="Adulto 56kg",14,IF(Atletas!E441="Adulto 60kg",15,IF(Atletas!E441="Adulto 65kg",16,IF(Atletas!E441="Adulto 70kg",17,IF(Atletas!E441="Adulto 75kg",18,IF(Atletas!E441="Adulto 82kg",19,IF(Atletas!E441="Adulto 90kg",20,IF(Atletas!E441="Adulto 100kg",21,IF(Atletas!E441="Adulto +100kg",22,""))))))))))))))))))))))))</f>
        <v/>
      </c>
      <c r="AT445" s="10" t="str">
        <f>IF(Atletas!F441="","",IF(Atletas!B441="Feminino",100,IF(Atletas!B441="Masculino",200,""))+(IF(Atletas!F441="Adulto 48kg",1,IF(Atletas!F441="Adulto 56kg",2,IF(Atletas!F441="Adulto 65kg",3,IF(Atletas!F441="Adulto 75kg",4,IF(Atletas!F441="Adulto +75kg",5,IF(Atletas!F441="Adulto 52kg",6,IF(Atletas!F441="Adulto 60kg",7,IF(Atletas!F441="Adulto 70kg",8,IF(Atletas!F441="Adulto 80kg",9,IF(Atletas!F441="Adulto 90kg",10,IF(Atletas!F441="Adulto +90kg",11,"")))))))))))))</f>
        <v/>
      </c>
      <c r="AY445" s="46" t="str">
        <f>IF(Atletas!G441="","",IF(Atletas!B441="Feminino",100,IF(Atletas!B441="Masculino",200,""))+(IF(Atletas!G441="Changquan Mirim",1,IF(Atletas!G441="Nanquan Mirim",2,IF(Atletas!G441="Taijiquan Mirim",3,IF(Atletas!G441="Changquan Grupo C",4,IF(Atletas!G441="Nanquan Grupo C",5,IF(Atletas!G441="Taijiquan Grupo C",6,IF(Atletas!G441="Changquan Grupo B",7,IF(Atletas!G441="Nanquan Grupo B",8,IF(Atletas!G441="Taijiquan Grupo B",9,IF(Atletas!G441="Changquan Grupo A",10,IF(Atletas!G441="Nanquan Grupo A",11,IF(Atletas!G441="Taijiquan Grupo A",12,IF(Atletas!G441="Changquan Opcional",13,IF(Atletas!G441="Nanquan Opcional",14,IF(Atletas!G441="Taijiquan Opcional",15,IF(Atletas!G441="Changquan Adulto",16,IF(Atletas!G441="Nanquan Adulto",17,IF(Atletas!G441="Taijiquan Adulto",18,""))))))))))))))))))))</f>
        <v/>
      </c>
      <c r="AZ445" s="46" t="str">
        <f>IF(Atletas!H441="","",IF(Atletas!B441="Feminino",100,IF(Atletas!B441="Masculino",200,""))+(IF(Atletas!H441="Daoshu Mirim",19,IF(Atletas!H441="Jianshu Mirim",20,IF(Atletas!H441="Nandao Mirim",21,IF(Atletas!H441="Taijijian Mirim",22,IF(Atletas!H441="Daoshu Grupo C",23,IF(Atletas!H441="Jianshu Grupo C",24,IF(Atletas!H441="Nandao Grupo C",25,IF(Atletas!H441="Taijijian Grupo C",26,IF(Atletas!H441="Daoshu Grupo B",27,IF(Atletas!H441="Jianshu Grupo B",28,IF(Atletas!H441="Nandao Grupo B",29,IF(Atletas!H441="Taijijian Grupo B",30,IF(Atletas!H441="Daoshu Grupo A",31,IF(Atletas!H441="Jianshu Grupo A",32,IF(Atletas!H441="Nandao Grupo A",33,IF(Atletas!H441="Taijijian Grupo A",34,IF(Atletas!H441="Daoshu Opcional",35,IF(Atletas!H441="Jianshu Opcional",36,IF(Atletas!H441="Nandao Opcional",37,IF(Atletas!H441="Taijijian Opcional",38,IF(Atletas!H441="Daoshu Adulto",39,IF(Atletas!H441="Jianshu Adulto",40,IF(Atletas!H441="Nandao Adulto",41,IF(Atletas!H441="Taijijian Adulto",42,""))))))))))))))))))))))))))</f>
        <v/>
      </c>
      <c r="BA445" s="46" t="str">
        <f>IF(Atletas!I441="","",IF(Atletas!B441="Feminino",100,IF(Atletas!B441="Masculino",200,""))+(IF(Atletas!I441="Gunshu Mirim",43,IF(Atletas!I441="Qiangshu Mirim",44,IF(Atletas!I441="Nangun Mirim",45,IF(Atletas!I441="Gunshu Grupo C",46,IF(Atletas!I441="Qiangshu Grupo C",47,IF(Atletas!I441="Nangun Grupo C",48,IF(Atletas!I441="Gunshu Grupo B",49,IF(Atletas!I441="Qiangshu Grupo B",50,IF(Atletas!I441="Nangun Grupo B",51,IF(Atletas!I441="Gunshu Grupo A",52,IF(Atletas!I441="Qiangshu Grupo A",53,IF(Atletas!I441="Nangun Grupo A",54,IF(Atletas!I441="Gunshu Opcional",55,IF(Atletas!I441="Qiangshu Opcional",56,IF(Atletas!I441="Nangun Opcional",57,IF(Atletas!I441="Gunshu Adulto",58,IF(Atletas!I441="Qiangshu Adulto",59,IF(Atletas!I441="Nangun Adulto",60,""))))))))))))))))))))</f>
        <v/>
      </c>
      <c r="BF445" s="52" t="str">
        <f>IF(Atletas!J441="","",IF(Atletas!B441="Feminino",100,IF(Atletas!B441="Masculino",200,""))+(IF(Atletas!J441="Equipe 1 Grupo B",1,IF(Atletas!J441="Equipe 2 Grupo B",2,IF(Atletas!J441="Equipe 1 Grupo A",3,IF(Atletas!J441="Equipe 2 Grupo A",4,IF(Atletas!J441="Equipe 1 Adulto",5,IF(Atletas!J441="Equipe 2 Adulto",6,""))))))))</f>
        <v/>
      </c>
      <c r="BK445" s="52" t="str">
        <f>IF(Atletas!K441="","",IF(Atletas!W441&lt;&gt;"",10000,0)+(IF(Atletas!B441="Feminino",1000,IF(Atletas!B441="Masculino",2000,""))+IF(Atletas!K441="Choylayfut A",1,IF(Atletas!K441="Hunggar A",2,IF(Atletas!K441="Wuzuquan A",3,IF(Atletas!K441="Wingchun A",4,IF(Atletas!K441="Outra Mão de Sul A",5,IF(Atletas!K441="Choylayfut B",6,IF(Atletas!K441="Hunggar B",7,IF(Atletas!K441="Wuzuquan B",8,IF(Atletas!K441="Wingchun B",9,IF(Atletas!K441="Outra Mão de Sul B",10,IF(Atletas!K441="Choylayfut C",11,IF(Atletas!K441="Hunggar C",12,IF(Atletas!K441="Wuzuquan C",13,IF(Atletas!K441="Wingchun C",14,IF(Atletas!K441="Outra Mão de Sul C",15,IF(Atletas!K441="Choylayfut D",16,IF(Atletas!K441="Hunggar D",17,IF(Atletas!K441="Wuzuquan D",18,IF(Atletas!K441="Wingchun D",19,IF(Atletas!K441="Outra Mão de Sul D",20,IF(Atletas!K441="Choylayfut E",21,IF(Atletas!K441="Hunggar E",22,IF(Atletas!K441="Wuzuquan E",23,IF(Atletas!K441="Wingchun E",24,IF(Atletas!K441="Outra Mão de Sul E",25,IF(Atletas!K441="Choylayfut F",26,IF(Atletas!K441="Hunggar F",27,IF(Atletas!K441="Wuzuquan F",28,IF(Atletas!K441="Wingchun F",29,IF(Atletas!K441="Outra Mão de Sul F",30,""))))))))))))))))))))))))))))))))</f>
        <v/>
      </c>
      <c r="BL445" s="52" t="str">
        <f>IF(Atletas!L441="","",IF(Atletas!W441&lt;&gt;"",10000,0)+(IF(Atletas!B441="Feminino",1000,IF(Atletas!B441="Masculino",2000,""))+(IF(Atletas!L441="Chaquan A",101,IF(Atletas!L441="Emeiquan A",102,IF(Atletas!L441="Fanziquan A",103,IF(Atletas!L441="Huaquan A",104,IF(Atletas!L441="Hongquan A",105,IF(Atletas!L441="Paochui A",106,IF(Atletas!L441="Piguaquan A",107,IF(Atletas!L441="Shaolinquan A",108,IF(Atletas!L441="Tanglangquan A",109,IF(Atletas!L441="Yinzhaophai A",110,IF(Atletas!L441="Tongbeiquan A",111,IF(Atletas!L441="Wudangquan A",112,IF(Atletas!L441="Outros Estilos A",113,IF(Atletas!L441="Chaquan B",114,IF(Atletas!L441="Emeiquan B",115,IF(Atletas!L441="Fanziquan B",116,IF(Atletas!L441="Huaquan B",117,IF(Atletas!L441="Hongquan B",118,IF(Atletas!L441="Paochui B",119,IF(Atletas!L441="Piguaquan B",120,IF(Atletas!L441="Shaolinquan B",121,IF(Atletas!L441="Tanglangquan B",122,IF(Atletas!L441="Yinzhaophai B",123,IF(Atletas!L441="Tongbeiquan B",124,IF(Atletas!L441="Wudangquan B",125,IF(Atletas!L441="Outros Estilos B",126,IF(Atletas!L441="Chaquan C",127,IF(Atletas!L441="Emeiquan C",128,IF(Atletas!L441="Fanziquan C",129,IF(Atletas!L441="Huaquan C",130,IF(Atletas!L441="Hongquan C",131,IF(Atletas!L441="Paochui C",132,IF(Atletas!L441="Piguaquan C",133,IF(Atletas!L441="Shaolinquan C",134,IF(Atletas!L441="Tanglangquan C",135,IF(Atletas!L441="Yinzhaophai C",136,IF(Atletas!L441="Tongbeiquan C",137,IF(Atletas!L441="Wudangquan C",138,IF(Atletas!L441="Outros Estilos C",139,0))))))))))))))))))))))))))))))))))))))))))</f>
        <v/>
      </c>
      <c r="BM445" s="52" t="str">
        <f>IF(Atletas!L441="","",IF(Atletas!W441&lt;&gt;"",10000,0)+(IF(Atletas!B441="Feminino",1000,IF(Atletas!B441="Masculino",2000,""))+(IF(Atletas!L441="Chaquan D",140,IF(Atletas!L441="Emeiquan D",141,IF(Atletas!L441="Fanziquan D",142,IF(Atletas!L441="Huaquan D",143,IF(Atletas!L441="Hongquan D",144,IF(Atletas!L441="Paochui D",145,IF(Atletas!L441="Piguaquan D",146,IF(Atletas!L441="Shaolinquan D",147,IF(Atletas!L441="Tanglangquan D",148,IF(Atletas!L441="Yinzhaophai D",149,IF(Atletas!L441="Tongbeiquan D",150,IF(Atletas!L441="Wudangquan D",151,IF(Atletas!L441="Outros Estilos D",152,IF(Atletas!L441="Chaquan E",153,IF(Atletas!L441="Emeiquan E",154,IF(Atletas!L441="Fanziquan E",155,IF(Atletas!L441="Huaquan E",156,IF(Atletas!L441="Hongquan E",157,IF(Atletas!L441="Paochui E",158,IF(Atletas!L441="Piguaquan E",159,IF(Atletas!L441="Shaolinquan E",160,IF(Atletas!L441="Tanglangquan E",161,IF(Atletas!L441="Yinzhaophai E",162,IF(Atletas!L441="Tongbeiquan E",163,IF(Atletas!L441="Wudangquan E",164,IF(Atletas!L441="Outros Estilos E",165,IF(Atletas!L441="Chaquan F",166,IF(Atletas!L441="Emeiquan F",167,IF(Atletas!L441="Fanziquan F",168,IF(Atletas!L441="Huaquan F",169,IF(Atletas!L441="Hongquan F",170,IF(Atletas!L441="Paochui F",171,IF(Atletas!L441="Piguaquan F",172,IF(Atletas!L441="Shaolinquan F",173,IF(Atletas!L441="Tanglangquan F",174,IF(Atletas!L441="Yinzhaophai F",175,IF(Atletas!L441="Tongbeiquan F",176,IF(Atletas!L441="Wudangquan F",177,IF(Atletas!L441="Outros Estilos F",178,0))))))))))))))))))))))))))))))))))))))))))</f>
        <v/>
      </c>
      <c r="BN445" s="52" t="str">
        <f>IF(Atletas!M441="","",IF(Atletas!W441&lt;&gt;"",10000,0)+(IF(Atletas!B441="Feminino",1000,IF(Atletas!B441="Masculino",2000,""))+(IF(Atletas!M441="Ditangquan A",201,IF(Atletas!M441="Houquan A",202,IF(Atletas!M441="Zuiquan A",203,IF(Atletas!M441="Ditangquan B",204,IF(Atletas!M441="Houquan B",205,IF(Atletas!M441="Zuiquan B",206,IF(Atletas!M441="Ditangquan C",207,IF(Atletas!M441="Houquan C",208,IF(Atletas!M441="Zuiquan C",209,IF(Atletas!M441="Ditangquan D",210,IF(Atletas!M441="Houquan D",211,IF(Atletas!M441="Zuiquan D",212,IF(Atletas!M441="Ditangquan E",213,IF(Atletas!M441="Houquan E",214,IF(Atletas!M441="Zuiquan E",215,IF(Atletas!M441="Ditangquan F",216,IF(Atletas!M441="Houquan F",217,IF(Atletas!M441="Zuiquan F",218,"")))))))))))))))))))))</f>
        <v/>
      </c>
      <c r="BO445" s="52" t="str">
        <f>IF(Atletas!N441="","",IF(Atletas!W441&lt;&gt;"",10000,0)+IF(Atletas!B441="Feminino",1000,IF(Atletas!B441="Masculino",2000,""))+IF(Atletas!N441="Yang A",301,IF(Atletas!N441="Chen A",30,IF(Atletas!N441="Sun A",303,IF(Atletas!N441="Wu A",304,IF(Atletas!N441="Wu-Hao A",305,IF(Atletas!N441="Outro Taijiquan A",306,IF(Atletas!N441="Yang B",307,IF(Atletas!N441="Chen B",308,IF(Atletas!N441="Sun B",309,IF(Atletas!N441="Wu B",310,IF(Atletas!N441="Wu-Hao B",311,IF(Atletas!N441="Outro Taijiquan B",312,IF(Atletas!N441="Yang C",313,IF(Atletas!N441="Chen C",314,IF(Atletas!N441="Sun C",315,IF(Atletas!N441="Wu C",316,IF(Atletas!N441="Wu-Hao C",317,IF(Atletas!N441="Outro Taijiquan C",318,IF(Atletas!N441="Yang D",319,IF(Atletas!N441="Chen D",320,IF(Atletas!N441="Sun D",321,IF(Atletas!N441="Wu D",322,IF(Atletas!N441="Wu-Hao D",323,IF(Atletas!N441="Outro Taijiquan D",324,IF(Atletas!N441="Yang E",325,IF(Atletas!N441="Chen E",326,IF(Atletas!N441="Sun E",327,IF(Atletas!N441="Wu E",328,IF(Atletas!N441="Wu-Hao E",329,IF(Atletas!N441="Outro Taijiquan E",330,IF(Atletas!N441="Yang F",331,IF(Atletas!N441="Chen F",332,IF(Atletas!N441="Sun F",333,IF(Atletas!N441="Wu F",334,IF(Atletas!N441="Wu-Hao F",335,IF(Atletas!N441="Outro Taijiquan F",336,"")))))))))))))))))))))))))))))))))))))</f>
        <v/>
      </c>
      <c r="BP445" s="52" t="str">
        <f>IF(Atletas!O441="","",IF(Atletas!W441&lt;&gt;"",10000,0)+IF(Atletas!B441="Feminino",1000,IF(Atletas!B441="Masculino",2000,""))+IF(OR(Atletas!O441="Yang 26 A",Atletas!O441="Yang 40 A"),401,IF(OR(Atletas!O441="Chen 25 A",Atletas!O441="Chen 36 A",Atletas!O441="Chen 56 A"),402,IF(Atletas!O441="Sun 73 A",403,IF(Atletas!O441="Wu 45 A",404,IF(Atletas!O441="Wu-Hao 46 A",405,IF(OR(Atletas!O441="Taijiquan 16 A",Atletas!O441="Taijiquan 24 A",Atletas!O441="Taijiquan 32 A",Atletas!O441="Taijiquan 42 A"),406,IF(OR(Atletas!O441="Yang 26 B",Atletas!O441="Yang 40 B"),407,IF(OR(Atletas!O441="Chen 25 B",Atletas!O441="Chen 36 B",Atletas!O441="Chen 56 B"),408,IF(Atletas!O441="Sun 73 B",409,IF(Atletas!O441="Wu 45 B",410,IF(Atletas!O441="Wu-Hao 46 B",411,IF(OR(Atletas!O441="Taijiquan 16 B",Atletas!O441="Taijiquan 24 B",Atletas!O441="Taijiquan 32 B",Atletas!O441="Taijiquan 42 B"),412,IF(OR(Atletas!O441="Yang 26 C",Atletas!O441="Yang 40 C"),413,IF(OR(Atletas!O441="Chen 25 C",Atletas!O441="Chen 36 C",Atletas!O441="Chen 56 C"),414,IF(Atletas!O441="Sun 73 C",415,IF(Atletas!O441="Wu 45 C",416,IF(Atletas!O441="Wu-Hao 46 C",417,IF(OR(Atletas!O441="Taijiquan 16 C",Atletas!O441="Taijiquan 24 C",Atletas!O441="Taijiquan 32 C",Atletas!O441="Taijiquan 42 C"),418,0)))))))))))))))))))</f>
        <v/>
      </c>
      <c r="BQ445" s="52" t="str">
        <f>IF(Atletas!O441="","",IF(Atletas!W441&lt;&gt;"",10000,0)+IF(Atletas!B441="Feminino",1000,IF(Atletas!B441="Masculino",2000,""))+IF(OR(Atletas!O441="Yang 26 D",Atletas!O441="Yang 40 D"),419,IF(OR(Atletas!O441="Chen 25 D",Atletas!O441="Chen 36 D",Atletas!O441="Chen 56 D"),420,IF(Atletas!O441="Sun 73 D",421,IF(Atletas!O441="Wu 45 D",422,IF(Atletas!O441="Wu-Hao 46 D",423,IF(OR(Atletas!O441="Taijiquan 16 D",Atletas!O441="Taijiquan 24 D",Atletas!O441="Taijiquan 32 D",Atletas!O441="Taijiquan 42 D"),424,IF(OR(Atletas!O441="Yang 26 E",Atletas!O441="Yang 40 E"),425,IF(OR(Atletas!O441="Chen 25 E",Atletas!O441="Chen 36 E",Atletas!O441="Chen 56 E"),426,IF(Atletas!O441="Sun 73 E",427,IF(Atletas!O441="Wu 45 E",428,IF(Atletas!O441="Wu-Hao 46 E",429,IF(OR(Atletas!O441="Taijiquan 16 E",Atletas!O441="Taijiquan 24 E",Atletas!O441="Taijiquan 32 E",Atletas!O441="Taijiquan 42 E"),430,IF(OR(Atletas!O441="Yang 26 F",Atletas!O441="Yang 40 F"),431,IF(OR(Atletas!O441="Chen 25 F",Atletas!O441="Chen 36 F",Atletas!O441="Chen 56 F"),432,IF(Atletas!O441="Sun 73 F",433,IF(Atletas!O441="Wu 45 F",434,IF(Atletas!O441="Wu-Hao 46 F",435,IF(OR(Atletas!O441="Taijiquan 16 F",Atletas!O441="Taijiquan 24 F",Atletas!O441="Taijiquan 32 F",Atletas!O441="Taijiquan 42 F"),436,0)))))))))))))))))))</f>
        <v/>
      </c>
      <c r="BR445" s="52" t="str">
        <f>IF(Atletas!P441="","",IF(Atletas!W441&lt;&gt;"",10000,0)+IF(Atletas!B441="Feminino",1000,IF(Atletas!B441="Masculino",2000,""))+IF(Atletas!P441="Xingyiquan A",501,IF(Atletas!P441="Baguazhang A",502,IF(Atletas!P441="Outro Estilo Interno A",503,IF(Atletas!P441="Xingyiquan B",504,IF(Atletas!P441="Baguazhang B",505,IF(Atletas!P441="Outro Estilo Interno B",506,IF(Atletas!P441="Xingyiquan C",507,IF(Atletas!P441="Baguazhang C",508,IF(Atletas!P441="Outro Estilo Interno C",509,IF(Atletas!P441="Xingyiquan D",510,IF(Atletas!P441="Baguazhang D",511,IF(Atletas!P441="Outro Estilo Interno D",512,IF(Atletas!P441="Xingyiquan E",513,IF(Atletas!P441="Baguazhang E",514,IF(Atletas!P441="Outro Estilo Interno E",515,IF(Atletas!P441="Xingyiquan F",516,IF(Atletas!P441="Baguazhang F",517,IF(Atletas!P441="Outro Estilo Interno F",518, "")))))))))))))))))))</f>
        <v/>
      </c>
      <c r="BS445" s="52" t="str">
        <f>IF(Atletas!Q441="","",IF(Atletas!W441&lt;&gt;"",10000,0)+IF(Atletas!B441="Feminino",1000,IF(Atletas!B441="Masculino",2000,""))+IF(Atletas!Q441="Dao A",601,IF(Atletas!Q441="Jian A",602,IF(Atletas!Q441="Bishou A",603,IF(Atletas!Q441="Shan A",604,IF(Atletas!Q441="Outra Arma Curta A",605,IF(Atletas!Q441="Dao B",606,IF(Atletas!Q441="Jian B",607,IF(Atletas!Q441="Bishou B",608,IF(Atletas!Q441="Shan B",609,IF(Atletas!Q441="Outra Arma Curta B",610,IF(Atletas!Q441="Dao C",611,IF(Atletas!Q441="Jian C",612,IF(Atletas!Q441="Bishou C",613,IF(Atletas!Q441="Shan C",614,IF(Atletas!Q441="Outra Arma Curta C",615,IF(Atletas!Q441="Dao D",616,IF(Atletas!Q441="Jian D",617,IF(Atletas!Q441="Bishou D",618,IF(Atletas!Q441="Shan D",619,IF(Atletas!Q441="Outra Arma Curta D",620,IF(Atletas!Q441="Dao E",621,IF(Atletas!Q441="Jian E",622,IF(Atletas!Q441="Bishou E",623,IF(Atletas!Q441="Shan E",624,IF(Atletas!Q441="Outra Arma Curta E",625,IF(Atletas!Q441="Dao F",626,IF(Atletas!Q441="Jian F",627,IF(Atletas!Q441="Bishou F",628,IF(Atletas!Q441="Shan F",629,IF(Atletas!Q441="Outra Arma Curta F",630, "")))))))))))))))))))))))))))))))</f>
        <v/>
      </c>
      <c r="BT445" s="52" t="str">
        <f>IF(Atletas!R441="","",IF(Atletas!W441&lt;&gt;"",10000,0)+IF(Atletas!B441="Feminino",1000,IF(Atletas!B441="Masculino",2000,""))+IF(Atletas!R441="Gun A",701,IF(Atletas!R441="Qiang A",702,IF(Atletas!R441="Pudao / Guandao A",703,IF(Atletas!R441="Outra Arma Longa A",704,IF(Atletas!R441="Gun B",705,IF(Atletas!R441="Qiang B",706,IF(Atletas!R441="Pudao / Guandao B",707,IF(Atletas!R441="Outra Arma Longa B",708,IF(Atletas!R441="Gun C",709,IF(Atletas!R441="Qiang C",710,IF(Atletas!R441="Pudao / Guandao C",711,IF(Atletas!R441="Outra Arma Longa C",712,IF(Atletas!R441="Gun D",713,IF(Atletas!R441="Qiang D",714,IF(Atletas!R441="Pudao / Guandao D",715,IF(Atletas!R441="Outra Arma Longa D",716,IF(Atletas!R441="Gun E",717,IF(Atletas!R441="Qiang E",718,IF(Atletas!R441="Pudao / Guandao E",719,IF(Atletas!R441="Outra Arma Longa E",720,IF(Atletas!R441="Gun F",721,IF(Atletas!R441="Qiang F",722,IF(Atletas!R441="Pudao / Guandao F",723,IF(Atletas!R441="Outra Arma Longa F",724,"")))))))))))))))))))))))))</f>
        <v/>
      </c>
      <c r="BU445" s="52" t="str">
        <f>IF(Atletas!S441="","",IF(Atletas!W441&lt;&gt;"",10000,0)+IF(Atletas!B441="Feminino",1000,IF(Atletas!B441="Masculino",2000,""))+IF(Atletas!S441="Arma Dupla A",801,IF(Atletas!S441="Arma Maleável A",802,IF(Atletas!S441="Arma Dupla B",803,IF(Atletas!S441="Arma Maleável B",804,IF(Atletas!S441="Arma Dupla C",805,IF(Atletas!S441="Arma Maleável C",806,IF(Atletas!S441="Arma Dupla D",807,IF(Atletas!S441="Arma Maleável D",808,IF(Atletas!S441="Arma Dupla E",809,IF(Atletas!S441="Arma Maleável E",810,IF(Atletas!S441="Arma Dupla F",811,IF(Atletas!S441="Arma Maleável F",812, "")))))))))))))</f>
        <v/>
      </c>
      <c r="BV445" s="52" t="str">
        <f>IF(Atletas!T441="","",IF(Atletas!W441&lt;&gt;"",10000,0)+IF(Atletas!B441="Feminino",1000,IF(Atletas!B441="Masculino",2000,""))+IF(Atletas!T441="Taijijian Yang A",901,IF(Atletas!T441="Taijijian Chen A",902,IF(Atletas!T441="Taijijian Sun A",903,IF(Atletas!T441="Taijijian Wu A",904,IF(Atletas!T441="Taijijian Wu-Hao A",905,IF(Atletas!T441="Taijijian 32 A",906,IF(Atletas!T441="Taijijian 42 A",907,IF(Atletas!T441="Taijijian Yang B",908,IF(Atletas!T441="Taijijian Chen B",909,IF(Atletas!T441="Taijijian Sun B",910,IF(Atletas!T441="Taijijian Wu B",911,IF(Atletas!T441="Taijijian Wu-Hao B",912,IF(Atletas!T441="Taijijian 32 B",913,IF(Atletas!T441="Taijijian 42 B",914,IF(Atletas!T441="Taijijian Yang C",915,IF(Atletas!T441="Taijijian Chen C",916,IF(Atletas!T441="Taijijian Sun C",917,IF(Atletas!T441="Taijijian Wu C",918,IF(Atletas!T441="Taijijian Wu-Hao C",919,IF(Atletas!T441="Taijijian 32 C",920,IF(Atletas!T441="Taijijian 42 C",921,IF(Atletas!T441="Taijijian Yang D",922,IF(Atletas!T441="Taijijian Chen D",923,IF(Atletas!T441="Taijijian Sun D",924,IF(Atletas!T441="Taijijian Wu D",925,IF(Atletas!T441="Taijijian Wu-Hao D",926,IF(Atletas!T441="Taijijian 32 D",927,IF(Atletas!T441="Taijijian 42 D",928,IF(Atletas!T441="Taijijian Yang E",929,IF(Atletas!T441="Taijijian Chen E",930,IF(Atletas!T441="Taijijian Sun E",931,IF(Atletas!T441="Taijijian Wu E",932,IF(Atletas!T441="Taijijian Wu-Hao E",933,IF(Atletas!T441="Taijijian 32 E",934,IF(Atletas!T441="Taijijian 42 E",935,IF(Atletas!T441="Taijijian Yang F",936,IF(Atletas!T441="Taijijian Chen F",937,IF(Atletas!T441="Taijijian Sun F",938,IF(Atletas!T441="Taijijian Wu F",939,IF(Atletas!T441="Taijijian Wu-Hao F",940,IF(Atletas!T441="Taijijian 32 F",941,IF(Atletas!T441="Taijijian 42 F",942,"")))))))))))))))))))))))))))))))))))))))))))</f>
        <v/>
      </c>
      <c r="BW445" s="52" t="str">
        <f>IF(Atletas!U441="","",IF(Atletas!W441&lt;&gt;"",10000,0)+IF(Atletas!B441="Feminino",1000,IF(Atletas!B441="Masculino",2000,""))+IF(Atletas!T441="Taijijian 42 F",942,IF(Atletas!U441="Taijidao A",943,IF(Atletas!U441="Taijishan A",944,IF(Atletas!U441="Taijiqiang A",945,IF(Atletas!U441="Taijidao B",946,IF(Atletas!U441="Taijishan B",947,IF(Atletas!U441="Taijiqiang B",948,IF(Atletas!U441="Taijidao C",949,IF(Atletas!U441="Taijishan C",950,IF(Atletas!U441="Taijiqiang C",951,IF(Atletas!U441="Taijidao D",952,IF(Atletas!U441="Taijishan D",953,IF(Atletas!U441="Taijiqiang D",954,IF(Atletas!U441="Taijidao E",955,IF(Atletas!U441="Taijishan E",956,IF(Atletas!U441="Taijiqiang E",957,IF(Atletas!U441="Taijidao F",958,IF(Atletas!U441="Taijishan F",959,IF(Atletas!U441="Taijiqiang F",960))))))))))))))))))))</f>
        <v/>
      </c>
      <c r="CF445" s="52" t="str">
        <f xml:space="preserve"> IF(Atletas!V441="","",IF(Atletas!V441="Duilian de Mãos AB - Equipe 1",1,IF(Atletas!V441="Duilian de Mãos AB - Equipe 2",2,IF(Atletas!V441="Duilian de Armas AB - Equipe 1",3,IF(Atletas!V441="Duilian de Armas AB - Equipe 2",4,IF(Atletas!V441="Duilian de Tuishou - Equipe 1",5,IF(Atletas!V441="Duilian de Tuishou - Equipe 2",6,IF(Atletas!V441="Grupo Externo AB - Equipe 1",7,IF(Atletas!V441="Grupo Externo AB - Equipe 2",8,IF(Atletas!V441="Grupo Interno AB - Equipe 1",9,IF(Atletas!V441="Grupo Interno AB - Equipe 2",10,IF(Atletas!V441="Duilian de Mãos CD - Equipe 1",11,IF(Atletas!V441="Duilian de Mãos CD - Equipe 2",12,IF(Atletas!V441="Duilian de Armas CD - Equipe 1",13,IF(Atletas!V441="Duilian de Armas CD - Equipe 2",14,IF(Atletas!V441="Duilian de Tuishou - Equipe 1",15,IF(Atletas!V441="Duilian de Tuishou - Equipe 2",16,IF(Atletas!V441="Grupo Externo CDEF - Equipe 1",17,IF(Atletas!V441="Grupo Externo CDEF - Equipe 2",18,IF(Atletas!V441="Grupo Interno CDEF - Equipe 1",19,IF(Atletas!V441="Grupo Interno CDEF - Equipe 2",20,IF(Atletas!V441="Duilian de Mãos EF - Equipe 1",21,IF(Atletas!V441="Duilian de Mãos EF - Equipe 2",22,IF(Atletas!V441="Duilian de Armas EF - Equipe 1",23,IF(Atletas!V441="Duilian de Armas EF - Equipe 2",24,IF(Atletas!V441="Duilian de Tuishou - Equipe 1",25,IF(Atletas!V441="Duilian de Tuishou - Equipe 2",26,"")))))))))))))))))))))))))))</f>
        <v/>
      </c>
    </row>
    <row r="446" spans="36:84">
      <c r="AJ446" s="46" t="str">
        <f>IF(Atletas!D442="","",IF(Atletas!B442="Feminino",100,IF(Atletas!B442="Masculino",200,""))+(IF(Atletas!D442="Infantil 39kg",1,IF(Atletas!D442="Infantil 42kg",2,IF(Atletas!D442="Infantil 45kg",3,IF(Atletas!D442="Infantil 48kg",4,IF(Atletas!D442="Infantil 52kg",5,IF(Atletas!D442="Infantil 56kg",6,IF(Atletas!D442="Infantil 60kg",7,IF(Atletas!D442="Juvenil 48kg",8,IF(Atletas!D442="Juvenil 52kg",9,IF(Atletas!D442="Juvenil 56kg",10,IF(Atletas!D442="Juvenil 60kg",11,IF(Atletas!D442="Juvenil 65kg",12,IF(Atletas!D442="Juvenil 70kg",13,IF(Atletas!D442="Juvenil 75kg",14,IF(Atletas!D442="Juvenil 80kg",15,IF(Atletas!D442="Adulto 48kg",16,IF(Atletas!D442="Adulto 52kg",17,IF(Atletas!D442="Adulto 56kg",18,IF(Atletas!D442="Adulto 60kg",19,IF(Atletas!D442="Adulto 65kg",20,IF(Atletas!D442="Adulto 70kg",21,IF(Atletas!D442="Adulto 75kg",22,IF(Atletas!D442="Adulto 80kg",23,IF(Atletas!D442="Adulto 85kg",24,IF(Atletas!D442="Adulto 90kg",25,IF(Atletas!D442="Adulto +90kg",26,""))))))))))))))))))))))))))))</f>
        <v/>
      </c>
      <c r="AO446" s="10" t="str">
        <f>IF(Atletas!E442="","",IF(Atletas!B442="Feminino",100,IF(Atletas!B442="Masculino",200,""))+(IF(Atletas!E442="Juvenil 44kg",1,IF(Atletas!E442="Juvenil 48kg",2,IF(Atletas!E442="Juvenil 52kg",3,IF(Atletas!E442="Juvenil 56kg",4,IF(Atletas!E442="Juvenil 60kg",5,IF(Atletas!E442="Juvenil 65kg",6,IF(Atletas!E442="Juvenil 70kg",7,IF(Atletas!E442="Juvenil 75kg",8,IF(Atletas!E442="Juvenil 82kg",9,IF(Atletas!E442="Juvenil 90kg",10,IF(Atletas!E442="Juvenil 100kg",11,IF(Atletas!E442="Adulto 48kg",12,IF(Atletas!E442="Adulto 52kg",13,IF(Atletas!E442="Adulto 56kg",14,IF(Atletas!E442="Adulto 60kg",15,IF(Atletas!E442="Adulto 65kg",16,IF(Atletas!E442="Adulto 70kg",17,IF(Atletas!E442="Adulto 75kg",18,IF(Atletas!E442="Adulto 82kg",19,IF(Atletas!E442="Adulto 90kg",20,IF(Atletas!E442="Adulto 100kg",21,IF(Atletas!E442="Adulto +100kg",22,""))))))))))))))))))))))))</f>
        <v/>
      </c>
      <c r="AT446" s="10" t="str">
        <f>IF(Atletas!F442="","",IF(Atletas!B442="Feminino",100,IF(Atletas!B442="Masculino",200,""))+(IF(Atletas!F442="Adulto 48kg",1,IF(Atletas!F442="Adulto 56kg",2,IF(Atletas!F442="Adulto 65kg",3,IF(Atletas!F442="Adulto 75kg",4,IF(Atletas!F442="Adulto +75kg",5,IF(Atletas!F442="Adulto 52kg",6,IF(Atletas!F442="Adulto 60kg",7,IF(Atletas!F442="Adulto 70kg",8,IF(Atletas!F442="Adulto 80kg",9,IF(Atletas!F442="Adulto 90kg",10,IF(Atletas!F442="Adulto +90kg",11,"")))))))))))))</f>
        <v/>
      </c>
      <c r="AY446" s="46" t="str">
        <f>IF(Atletas!G442="","",IF(Atletas!B442="Feminino",100,IF(Atletas!B442="Masculino",200,""))+(IF(Atletas!G442="Changquan Mirim",1,IF(Atletas!G442="Nanquan Mirim",2,IF(Atletas!G442="Taijiquan Mirim",3,IF(Atletas!G442="Changquan Grupo C",4,IF(Atletas!G442="Nanquan Grupo C",5,IF(Atletas!G442="Taijiquan Grupo C",6,IF(Atletas!G442="Changquan Grupo B",7,IF(Atletas!G442="Nanquan Grupo B",8,IF(Atletas!G442="Taijiquan Grupo B",9,IF(Atletas!G442="Changquan Grupo A",10,IF(Atletas!G442="Nanquan Grupo A",11,IF(Atletas!G442="Taijiquan Grupo A",12,IF(Atletas!G442="Changquan Opcional",13,IF(Atletas!G442="Nanquan Opcional",14,IF(Atletas!G442="Taijiquan Opcional",15,IF(Atletas!G442="Changquan Adulto",16,IF(Atletas!G442="Nanquan Adulto",17,IF(Atletas!G442="Taijiquan Adulto",18,""))))))))))))))))))))</f>
        <v/>
      </c>
      <c r="AZ446" s="46" t="str">
        <f>IF(Atletas!H442="","",IF(Atletas!B442="Feminino",100,IF(Atletas!B442="Masculino",200,""))+(IF(Atletas!H442="Daoshu Mirim",19,IF(Atletas!H442="Jianshu Mirim",20,IF(Atletas!H442="Nandao Mirim",21,IF(Atletas!H442="Taijijian Mirim",22,IF(Atletas!H442="Daoshu Grupo C",23,IF(Atletas!H442="Jianshu Grupo C",24,IF(Atletas!H442="Nandao Grupo C",25,IF(Atletas!H442="Taijijian Grupo C",26,IF(Atletas!H442="Daoshu Grupo B",27,IF(Atletas!H442="Jianshu Grupo B",28,IF(Atletas!H442="Nandao Grupo B",29,IF(Atletas!H442="Taijijian Grupo B",30,IF(Atletas!H442="Daoshu Grupo A",31,IF(Atletas!H442="Jianshu Grupo A",32,IF(Atletas!H442="Nandao Grupo A",33,IF(Atletas!H442="Taijijian Grupo A",34,IF(Atletas!H442="Daoshu Opcional",35,IF(Atletas!H442="Jianshu Opcional",36,IF(Atletas!H442="Nandao Opcional",37,IF(Atletas!H442="Taijijian Opcional",38,IF(Atletas!H442="Daoshu Adulto",39,IF(Atletas!H442="Jianshu Adulto",40,IF(Atletas!H442="Nandao Adulto",41,IF(Atletas!H442="Taijijian Adulto",42,""))))))))))))))))))))))))))</f>
        <v/>
      </c>
      <c r="BA446" s="46" t="str">
        <f>IF(Atletas!I442="","",IF(Atletas!B442="Feminino",100,IF(Atletas!B442="Masculino",200,""))+(IF(Atletas!I442="Gunshu Mirim",43,IF(Atletas!I442="Qiangshu Mirim",44,IF(Atletas!I442="Nangun Mirim",45,IF(Atletas!I442="Gunshu Grupo C",46,IF(Atletas!I442="Qiangshu Grupo C",47,IF(Atletas!I442="Nangun Grupo C",48,IF(Atletas!I442="Gunshu Grupo B",49,IF(Atletas!I442="Qiangshu Grupo B",50,IF(Atletas!I442="Nangun Grupo B",51,IF(Atletas!I442="Gunshu Grupo A",52,IF(Atletas!I442="Qiangshu Grupo A",53,IF(Atletas!I442="Nangun Grupo A",54,IF(Atletas!I442="Gunshu Opcional",55,IF(Atletas!I442="Qiangshu Opcional",56,IF(Atletas!I442="Nangun Opcional",57,IF(Atletas!I442="Gunshu Adulto",58,IF(Atletas!I442="Qiangshu Adulto",59,IF(Atletas!I442="Nangun Adulto",60,""))))))))))))))))))))</f>
        <v/>
      </c>
      <c r="BF446" s="52" t="str">
        <f>IF(Atletas!J442="","",IF(Atletas!B442="Feminino",100,IF(Atletas!B442="Masculino",200,""))+(IF(Atletas!J442="Equipe 1 Grupo B",1,IF(Atletas!J442="Equipe 2 Grupo B",2,IF(Atletas!J442="Equipe 1 Grupo A",3,IF(Atletas!J442="Equipe 2 Grupo A",4,IF(Atletas!J442="Equipe 1 Adulto",5,IF(Atletas!J442="Equipe 2 Adulto",6,""))))))))</f>
        <v/>
      </c>
      <c r="BK446" s="52" t="str">
        <f>IF(Atletas!K442="","",IF(Atletas!W442&lt;&gt;"",10000,0)+(IF(Atletas!B442="Feminino",1000,IF(Atletas!B442="Masculino",2000,""))+IF(Atletas!K442="Choylayfut A",1,IF(Atletas!K442="Hunggar A",2,IF(Atletas!K442="Wuzuquan A",3,IF(Atletas!K442="Wingchun A",4,IF(Atletas!K442="Outra Mão de Sul A",5,IF(Atletas!K442="Choylayfut B",6,IF(Atletas!K442="Hunggar B",7,IF(Atletas!K442="Wuzuquan B",8,IF(Atletas!K442="Wingchun B",9,IF(Atletas!K442="Outra Mão de Sul B",10,IF(Atletas!K442="Choylayfut C",11,IF(Atletas!K442="Hunggar C",12,IF(Atletas!K442="Wuzuquan C",13,IF(Atletas!K442="Wingchun C",14,IF(Atletas!K442="Outra Mão de Sul C",15,IF(Atletas!K442="Choylayfut D",16,IF(Atletas!K442="Hunggar D",17,IF(Atletas!K442="Wuzuquan D",18,IF(Atletas!K442="Wingchun D",19,IF(Atletas!K442="Outra Mão de Sul D",20,IF(Atletas!K442="Choylayfut E",21,IF(Atletas!K442="Hunggar E",22,IF(Atletas!K442="Wuzuquan E",23,IF(Atletas!K442="Wingchun E",24,IF(Atletas!K442="Outra Mão de Sul E",25,IF(Atletas!K442="Choylayfut F",26,IF(Atletas!K442="Hunggar F",27,IF(Atletas!K442="Wuzuquan F",28,IF(Atletas!K442="Wingchun F",29,IF(Atletas!K442="Outra Mão de Sul F",30,""))))))))))))))))))))))))))))))))</f>
        <v/>
      </c>
      <c r="BL446" s="52" t="str">
        <f>IF(Atletas!L442="","",IF(Atletas!W442&lt;&gt;"",10000,0)+(IF(Atletas!B442="Feminino",1000,IF(Atletas!B442="Masculino",2000,""))+(IF(Atletas!L442="Chaquan A",101,IF(Atletas!L442="Emeiquan A",102,IF(Atletas!L442="Fanziquan A",103,IF(Atletas!L442="Huaquan A",104,IF(Atletas!L442="Hongquan A",105,IF(Atletas!L442="Paochui A",106,IF(Atletas!L442="Piguaquan A",107,IF(Atletas!L442="Shaolinquan A",108,IF(Atletas!L442="Tanglangquan A",109,IF(Atletas!L442="Yinzhaophai A",110,IF(Atletas!L442="Tongbeiquan A",111,IF(Atletas!L442="Wudangquan A",112,IF(Atletas!L442="Outros Estilos A",113,IF(Atletas!L442="Chaquan B",114,IF(Atletas!L442="Emeiquan B",115,IF(Atletas!L442="Fanziquan B",116,IF(Atletas!L442="Huaquan B",117,IF(Atletas!L442="Hongquan B",118,IF(Atletas!L442="Paochui B",119,IF(Atletas!L442="Piguaquan B",120,IF(Atletas!L442="Shaolinquan B",121,IF(Atletas!L442="Tanglangquan B",122,IF(Atletas!L442="Yinzhaophai B",123,IF(Atletas!L442="Tongbeiquan B",124,IF(Atletas!L442="Wudangquan B",125,IF(Atletas!L442="Outros Estilos B",126,IF(Atletas!L442="Chaquan C",127,IF(Atletas!L442="Emeiquan C",128,IF(Atletas!L442="Fanziquan C",129,IF(Atletas!L442="Huaquan C",130,IF(Atletas!L442="Hongquan C",131,IF(Atletas!L442="Paochui C",132,IF(Atletas!L442="Piguaquan C",133,IF(Atletas!L442="Shaolinquan C",134,IF(Atletas!L442="Tanglangquan C",135,IF(Atletas!L442="Yinzhaophai C",136,IF(Atletas!L442="Tongbeiquan C",137,IF(Atletas!L442="Wudangquan C",138,IF(Atletas!L442="Outros Estilos C",139,0))))))))))))))))))))))))))))))))))))))))))</f>
        <v/>
      </c>
      <c r="BM446" s="52" t="str">
        <f>IF(Atletas!L442="","",IF(Atletas!W442&lt;&gt;"",10000,0)+(IF(Atletas!B442="Feminino",1000,IF(Atletas!B442="Masculino",2000,""))+(IF(Atletas!L442="Chaquan D",140,IF(Atletas!L442="Emeiquan D",141,IF(Atletas!L442="Fanziquan D",142,IF(Atletas!L442="Huaquan D",143,IF(Atletas!L442="Hongquan D",144,IF(Atletas!L442="Paochui D",145,IF(Atletas!L442="Piguaquan D",146,IF(Atletas!L442="Shaolinquan D",147,IF(Atletas!L442="Tanglangquan D",148,IF(Atletas!L442="Yinzhaophai D",149,IF(Atletas!L442="Tongbeiquan D",150,IF(Atletas!L442="Wudangquan D",151,IF(Atletas!L442="Outros Estilos D",152,IF(Atletas!L442="Chaquan E",153,IF(Atletas!L442="Emeiquan E",154,IF(Atletas!L442="Fanziquan E",155,IF(Atletas!L442="Huaquan E",156,IF(Atletas!L442="Hongquan E",157,IF(Atletas!L442="Paochui E",158,IF(Atletas!L442="Piguaquan E",159,IF(Atletas!L442="Shaolinquan E",160,IF(Atletas!L442="Tanglangquan E",161,IF(Atletas!L442="Yinzhaophai E",162,IF(Atletas!L442="Tongbeiquan E",163,IF(Atletas!L442="Wudangquan E",164,IF(Atletas!L442="Outros Estilos E",165,IF(Atletas!L442="Chaquan F",166,IF(Atletas!L442="Emeiquan F",167,IF(Atletas!L442="Fanziquan F",168,IF(Atletas!L442="Huaquan F",169,IF(Atletas!L442="Hongquan F",170,IF(Atletas!L442="Paochui F",171,IF(Atletas!L442="Piguaquan F",172,IF(Atletas!L442="Shaolinquan F",173,IF(Atletas!L442="Tanglangquan F",174,IF(Atletas!L442="Yinzhaophai F",175,IF(Atletas!L442="Tongbeiquan F",176,IF(Atletas!L442="Wudangquan F",177,IF(Atletas!L442="Outros Estilos F",178,0))))))))))))))))))))))))))))))))))))))))))</f>
        <v/>
      </c>
      <c r="BN446" s="52" t="str">
        <f>IF(Atletas!M442="","",IF(Atletas!W442&lt;&gt;"",10000,0)+(IF(Atletas!B442="Feminino",1000,IF(Atletas!B442="Masculino",2000,""))+(IF(Atletas!M442="Ditangquan A",201,IF(Atletas!M442="Houquan A",202,IF(Atletas!M442="Zuiquan A",203,IF(Atletas!M442="Ditangquan B",204,IF(Atletas!M442="Houquan B",205,IF(Atletas!M442="Zuiquan B",206,IF(Atletas!M442="Ditangquan C",207,IF(Atletas!M442="Houquan C",208,IF(Atletas!M442="Zuiquan C",209,IF(Atletas!M442="Ditangquan D",210,IF(Atletas!M442="Houquan D",211,IF(Atletas!M442="Zuiquan D",212,IF(Atletas!M442="Ditangquan E",213,IF(Atletas!M442="Houquan E",214,IF(Atletas!M442="Zuiquan E",215,IF(Atletas!M442="Ditangquan F",216,IF(Atletas!M442="Houquan F",217,IF(Atletas!M442="Zuiquan F",218,"")))))))))))))))))))))</f>
        <v/>
      </c>
      <c r="BO446" s="52" t="str">
        <f>IF(Atletas!N442="","",IF(Atletas!W442&lt;&gt;"",10000,0)+IF(Atletas!B442="Feminino",1000,IF(Atletas!B442="Masculino",2000,""))+IF(Atletas!N442="Yang A",301,IF(Atletas!N442="Chen A",30,IF(Atletas!N442="Sun A",303,IF(Atletas!N442="Wu A",304,IF(Atletas!N442="Wu-Hao A",305,IF(Atletas!N442="Outro Taijiquan A",306,IF(Atletas!N442="Yang B",307,IF(Atletas!N442="Chen B",308,IF(Atletas!N442="Sun B",309,IF(Atletas!N442="Wu B",310,IF(Atletas!N442="Wu-Hao B",311,IF(Atletas!N442="Outro Taijiquan B",312,IF(Atletas!N442="Yang C",313,IF(Atletas!N442="Chen C",314,IF(Atletas!N442="Sun C",315,IF(Atletas!N442="Wu C",316,IF(Atletas!N442="Wu-Hao C",317,IF(Atletas!N442="Outro Taijiquan C",318,IF(Atletas!N442="Yang D",319,IF(Atletas!N442="Chen D",320,IF(Atletas!N442="Sun D",321,IF(Atletas!N442="Wu D",322,IF(Atletas!N442="Wu-Hao D",323,IF(Atletas!N442="Outro Taijiquan D",324,IF(Atletas!N442="Yang E",325,IF(Atletas!N442="Chen E",326,IF(Atletas!N442="Sun E",327,IF(Atletas!N442="Wu E",328,IF(Atletas!N442="Wu-Hao E",329,IF(Atletas!N442="Outro Taijiquan E",330,IF(Atletas!N442="Yang F",331,IF(Atletas!N442="Chen F",332,IF(Atletas!N442="Sun F",333,IF(Atletas!N442="Wu F",334,IF(Atletas!N442="Wu-Hao F",335,IF(Atletas!N442="Outro Taijiquan F",336,"")))))))))))))))))))))))))))))))))))))</f>
        <v/>
      </c>
      <c r="BP446" s="52" t="str">
        <f>IF(Atletas!O442="","",IF(Atletas!W442&lt;&gt;"",10000,0)+IF(Atletas!B442="Feminino",1000,IF(Atletas!B442="Masculino",2000,""))+IF(OR(Atletas!O442="Yang 26 A",Atletas!O442="Yang 40 A"),401,IF(OR(Atletas!O442="Chen 25 A",Atletas!O442="Chen 36 A",Atletas!O442="Chen 56 A"),402,IF(Atletas!O442="Sun 73 A",403,IF(Atletas!O442="Wu 45 A",404,IF(Atletas!O442="Wu-Hao 46 A",405,IF(OR(Atletas!O442="Taijiquan 16 A",Atletas!O442="Taijiquan 24 A",Atletas!O442="Taijiquan 32 A",Atletas!O442="Taijiquan 42 A"),406,IF(OR(Atletas!O442="Yang 26 B",Atletas!O442="Yang 40 B"),407,IF(OR(Atletas!O442="Chen 25 B",Atletas!O442="Chen 36 B",Atletas!O442="Chen 56 B"),408,IF(Atletas!O442="Sun 73 B",409,IF(Atletas!O442="Wu 45 B",410,IF(Atletas!O442="Wu-Hao 46 B",411,IF(OR(Atletas!O442="Taijiquan 16 B",Atletas!O442="Taijiquan 24 B",Atletas!O442="Taijiquan 32 B",Atletas!O442="Taijiquan 42 B"),412,IF(OR(Atletas!O442="Yang 26 C",Atletas!O442="Yang 40 C"),413,IF(OR(Atletas!O442="Chen 25 C",Atletas!O442="Chen 36 C",Atletas!O442="Chen 56 C"),414,IF(Atletas!O442="Sun 73 C",415,IF(Atletas!O442="Wu 45 C",416,IF(Atletas!O442="Wu-Hao 46 C",417,IF(OR(Atletas!O442="Taijiquan 16 C",Atletas!O442="Taijiquan 24 C",Atletas!O442="Taijiquan 32 C",Atletas!O442="Taijiquan 42 C"),418,0)))))))))))))))))))</f>
        <v/>
      </c>
      <c r="BQ446" s="52" t="str">
        <f>IF(Atletas!O442="","",IF(Atletas!W442&lt;&gt;"",10000,0)+IF(Atletas!B442="Feminino",1000,IF(Atletas!B442="Masculino",2000,""))+IF(OR(Atletas!O442="Yang 26 D",Atletas!O442="Yang 40 D"),419,IF(OR(Atletas!O442="Chen 25 D",Atletas!O442="Chen 36 D",Atletas!O442="Chen 56 D"),420,IF(Atletas!O442="Sun 73 D",421,IF(Atletas!O442="Wu 45 D",422,IF(Atletas!O442="Wu-Hao 46 D",423,IF(OR(Atletas!O442="Taijiquan 16 D",Atletas!O442="Taijiquan 24 D",Atletas!O442="Taijiquan 32 D",Atletas!O442="Taijiquan 42 D"),424,IF(OR(Atletas!O442="Yang 26 E",Atletas!O442="Yang 40 E"),425,IF(OR(Atletas!O442="Chen 25 E",Atletas!O442="Chen 36 E",Atletas!O442="Chen 56 E"),426,IF(Atletas!O442="Sun 73 E",427,IF(Atletas!O442="Wu 45 E",428,IF(Atletas!O442="Wu-Hao 46 E",429,IF(OR(Atletas!O442="Taijiquan 16 E",Atletas!O442="Taijiquan 24 E",Atletas!O442="Taijiquan 32 E",Atletas!O442="Taijiquan 42 E"),430,IF(OR(Atletas!O442="Yang 26 F",Atletas!O442="Yang 40 F"),431,IF(OR(Atletas!O442="Chen 25 F",Atletas!O442="Chen 36 F",Atletas!O442="Chen 56 F"),432,IF(Atletas!O442="Sun 73 F",433,IF(Atletas!O442="Wu 45 F",434,IF(Atletas!O442="Wu-Hao 46 F",435,IF(OR(Atletas!O442="Taijiquan 16 F",Atletas!O442="Taijiquan 24 F",Atletas!O442="Taijiquan 32 F",Atletas!O442="Taijiquan 42 F"),436,0)))))))))))))))))))</f>
        <v/>
      </c>
      <c r="BR446" s="52" t="str">
        <f>IF(Atletas!P442="","",IF(Atletas!W442&lt;&gt;"",10000,0)+IF(Atletas!B442="Feminino",1000,IF(Atletas!B442="Masculino",2000,""))+IF(Atletas!P442="Xingyiquan A",501,IF(Atletas!P442="Baguazhang A",502,IF(Atletas!P442="Outro Estilo Interno A",503,IF(Atletas!P442="Xingyiquan B",504,IF(Atletas!P442="Baguazhang B",505,IF(Atletas!P442="Outro Estilo Interno B",506,IF(Atletas!P442="Xingyiquan C",507,IF(Atletas!P442="Baguazhang C",508,IF(Atletas!P442="Outro Estilo Interno C",509,IF(Atletas!P442="Xingyiquan D",510,IF(Atletas!P442="Baguazhang D",511,IF(Atletas!P442="Outro Estilo Interno D",512,IF(Atletas!P442="Xingyiquan E",513,IF(Atletas!P442="Baguazhang E",514,IF(Atletas!P442="Outro Estilo Interno E",515,IF(Atletas!P442="Xingyiquan F",516,IF(Atletas!P442="Baguazhang F",517,IF(Atletas!P442="Outro Estilo Interno F",518, "")))))))))))))))))))</f>
        <v/>
      </c>
      <c r="BS446" s="52" t="str">
        <f>IF(Atletas!Q442="","",IF(Atletas!W442&lt;&gt;"",10000,0)+IF(Atletas!B442="Feminino",1000,IF(Atletas!B442="Masculino",2000,""))+IF(Atletas!Q442="Dao A",601,IF(Atletas!Q442="Jian A",602,IF(Atletas!Q442="Bishou A",603,IF(Atletas!Q442="Shan A",604,IF(Atletas!Q442="Outra Arma Curta A",605,IF(Atletas!Q442="Dao B",606,IF(Atletas!Q442="Jian B",607,IF(Atletas!Q442="Bishou B",608,IF(Atletas!Q442="Shan B",609,IF(Atletas!Q442="Outra Arma Curta B",610,IF(Atletas!Q442="Dao C",611,IF(Atletas!Q442="Jian C",612,IF(Atletas!Q442="Bishou C",613,IF(Atletas!Q442="Shan C",614,IF(Atletas!Q442="Outra Arma Curta C",615,IF(Atletas!Q442="Dao D",616,IF(Atletas!Q442="Jian D",617,IF(Atletas!Q442="Bishou D",618,IF(Atletas!Q442="Shan D",619,IF(Atletas!Q442="Outra Arma Curta D",620,IF(Atletas!Q442="Dao E",621,IF(Atletas!Q442="Jian E",622,IF(Atletas!Q442="Bishou E",623,IF(Atletas!Q442="Shan E",624,IF(Atletas!Q442="Outra Arma Curta E",625,IF(Atletas!Q442="Dao F",626,IF(Atletas!Q442="Jian F",627,IF(Atletas!Q442="Bishou F",628,IF(Atletas!Q442="Shan F",629,IF(Atletas!Q442="Outra Arma Curta F",630, "")))))))))))))))))))))))))))))))</f>
        <v/>
      </c>
      <c r="BT446" s="52" t="str">
        <f>IF(Atletas!R442="","",IF(Atletas!W442&lt;&gt;"",10000,0)+IF(Atletas!B442="Feminino",1000,IF(Atletas!B442="Masculino",2000,""))+IF(Atletas!R442="Gun A",701,IF(Atletas!R442="Qiang A",702,IF(Atletas!R442="Pudao / Guandao A",703,IF(Atletas!R442="Outra Arma Longa A",704,IF(Atletas!R442="Gun B",705,IF(Atletas!R442="Qiang B",706,IF(Atletas!R442="Pudao / Guandao B",707,IF(Atletas!R442="Outra Arma Longa B",708,IF(Atletas!R442="Gun C",709,IF(Atletas!R442="Qiang C",710,IF(Atletas!R442="Pudao / Guandao C",711,IF(Atletas!R442="Outra Arma Longa C",712,IF(Atletas!R442="Gun D",713,IF(Atletas!R442="Qiang D",714,IF(Atletas!R442="Pudao / Guandao D",715,IF(Atletas!R442="Outra Arma Longa D",716,IF(Atletas!R442="Gun E",717,IF(Atletas!R442="Qiang E",718,IF(Atletas!R442="Pudao / Guandao E",719,IF(Atletas!R442="Outra Arma Longa E",720,IF(Atletas!R442="Gun F",721,IF(Atletas!R442="Qiang F",722,IF(Atletas!R442="Pudao / Guandao F",723,IF(Atletas!R442="Outra Arma Longa F",724,"")))))))))))))))))))))))))</f>
        <v/>
      </c>
      <c r="BU446" s="52" t="str">
        <f>IF(Atletas!S442="","",IF(Atletas!W442&lt;&gt;"",10000,0)+IF(Atletas!B442="Feminino",1000,IF(Atletas!B442="Masculino",2000,""))+IF(Atletas!S442="Arma Dupla A",801,IF(Atletas!S442="Arma Maleável A",802,IF(Atletas!S442="Arma Dupla B",803,IF(Atletas!S442="Arma Maleável B",804,IF(Atletas!S442="Arma Dupla C",805,IF(Atletas!S442="Arma Maleável C",806,IF(Atletas!S442="Arma Dupla D",807,IF(Atletas!S442="Arma Maleável D",808,IF(Atletas!S442="Arma Dupla E",809,IF(Atletas!S442="Arma Maleável E",810,IF(Atletas!S442="Arma Dupla F",811,IF(Atletas!S442="Arma Maleável F",812, "")))))))))))))</f>
        <v/>
      </c>
      <c r="BV446" s="52" t="str">
        <f>IF(Atletas!T442="","",IF(Atletas!W442&lt;&gt;"",10000,0)+IF(Atletas!B442="Feminino",1000,IF(Atletas!B442="Masculino",2000,""))+IF(Atletas!T442="Taijijian Yang A",901,IF(Atletas!T442="Taijijian Chen A",902,IF(Atletas!T442="Taijijian Sun A",903,IF(Atletas!T442="Taijijian Wu A",904,IF(Atletas!T442="Taijijian Wu-Hao A",905,IF(Atletas!T442="Taijijian 32 A",906,IF(Atletas!T442="Taijijian 42 A",907,IF(Atletas!T442="Taijijian Yang B",908,IF(Atletas!T442="Taijijian Chen B",909,IF(Atletas!T442="Taijijian Sun B",910,IF(Atletas!T442="Taijijian Wu B",911,IF(Atletas!T442="Taijijian Wu-Hao B",912,IF(Atletas!T442="Taijijian 32 B",913,IF(Atletas!T442="Taijijian 42 B",914,IF(Atletas!T442="Taijijian Yang C",915,IF(Atletas!T442="Taijijian Chen C",916,IF(Atletas!T442="Taijijian Sun C",917,IF(Atletas!T442="Taijijian Wu C",918,IF(Atletas!T442="Taijijian Wu-Hao C",919,IF(Atletas!T442="Taijijian 32 C",920,IF(Atletas!T442="Taijijian 42 C",921,IF(Atletas!T442="Taijijian Yang D",922,IF(Atletas!T442="Taijijian Chen D",923,IF(Atletas!T442="Taijijian Sun D",924,IF(Atletas!T442="Taijijian Wu D",925,IF(Atletas!T442="Taijijian Wu-Hao D",926,IF(Atletas!T442="Taijijian 32 D",927,IF(Atletas!T442="Taijijian 42 D",928,IF(Atletas!T442="Taijijian Yang E",929,IF(Atletas!T442="Taijijian Chen E",930,IF(Atletas!T442="Taijijian Sun E",931,IF(Atletas!T442="Taijijian Wu E",932,IF(Atletas!T442="Taijijian Wu-Hao E",933,IF(Atletas!T442="Taijijian 32 E",934,IF(Atletas!T442="Taijijian 42 E",935,IF(Atletas!T442="Taijijian Yang F",936,IF(Atletas!T442="Taijijian Chen F",937,IF(Atletas!T442="Taijijian Sun F",938,IF(Atletas!T442="Taijijian Wu F",939,IF(Atletas!T442="Taijijian Wu-Hao F",940,IF(Atletas!T442="Taijijian 32 F",941,IF(Atletas!T442="Taijijian 42 F",942,"")))))))))))))))))))))))))))))))))))))))))))</f>
        <v/>
      </c>
      <c r="BW446" s="52" t="str">
        <f>IF(Atletas!U442="","",IF(Atletas!W442&lt;&gt;"",10000,0)+IF(Atletas!B442="Feminino",1000,IF(Atletas!B442="Masculino",2000,""))+IF(Atletas!T442="Taijijian 42 F",942,IF(Atletas!U442="Taijidao A",943,IF(Atletas!U442="Taijishan A",944,IF(Atletas!U442="Taijiqiang A",945,IF(Atletas!U442="Taijidao B",946,IF(Atletas!U442="Taijishan B",947,IF(Atletas!U442="Taijiqiang B",948,IF(Atletas!U442="Taijidao C",949,IF(Atletas!U442="Taijishan C",950,IF(Atletas!U442="Taijiqiang C",951,IF(Atletas!U442="Taijidao D",952,IF(Atletas!U442="Taijishan D",953,IF(Atletas!U442="Taijiqiang D",954,IF(Atletas!U442="Taijidao E",955,IF(Atletas!U442="Taijishan E",956,IF(Atletas!U442="Taijiqiang E",957,IF(Atletas!U442="Taijidao F",958,IF(Atletas!U442="Taijishan F",959,IF(Atletas!U442="Taijiqiang F",960))))))))))))))))))))</f>
        <v/>
      </c>
      <c r="CF446" s="52" t="str">
        <f xml:space="preserve"> IF(Atletas!V442="","",IF(Atletas!V442="Duilian de Mãos AB - Equipe 1",1,IF(Atletas!V442="Duilian de Mãos AB - Equipe 2",2,IF(Atletas!V442="Duilian de Armas AB - Equipe 1",3,IF(Atletas!V442="Duilian de Armas AB - Equipe 2",4,IF(Atletas!V442="Duilian de Tuishou - Equipe 1",5,IF(Atletas!V442="Duilian de Tuishou - Equipe 2",6,IF(Atletas!V442="Grupo Externo AB - Equipe 1",7,IF(Atletas!V442="Grupo Externo AB - Equipe 2",8,IF(Atletas!V442="Grupo Interno AB - Equipe 1",9,IF(Atletas!V442="Grupo Interno AB - Equipe 2",10,IF(Atletas!V442="Duilian de Mãos CD - Equipe 1",11,IF(Atletas!V442="Duilian de Mãos CD - Equipe 2",12,IF(Atletas!V442="Duilian de Armas CD - Equipe 1",13,IF(Atletas!V442="Duilian de Armas CD - Equipe 2",14,IF(Atletas!V442="Duilian de Tuishou - Equipe 1",15,IF(Atletas!V442="Duilian de Tuishou - Equipe 2",16,IF(Atletas!V442="Grupo Externo CDEF - Equipe 1",17,IF(Atletas!V442="Grupo Externo CDEF - Equipe 2",18,IF(Atletas!V442="Grupo Interno CDEF - Equipe 1",19,IF(Atletas!V442="Grupo Interno CDEF - Equipe 2",20,IF(Atletas!V442="Duilian de Mãos EF - Equipe 1",21,IF(Atletas!V442="Duilian de Mãos EF - Equipe 2",22,IF(Atletas!V442="Duilian de Armas EF - Equipe 1",23,IF(Atletas!V442="Duilian de Armas EF - Equipe 2",24,IF(Atletas!V442="Duilian de Tuishou - Equipe 1",25,IF(Atletas!V442="Duilian de Tuishou - Equipe 2",26,"")))))))))))))))))))))))))))</f>
        <v/>
      </c>
    </row>
    <row r="447" spans="36:84">
      <c r="AJ447" s="46" t="str">
        <f>IF(Atletas!D443="","",IF(Atletas!B443="Feminino",100,IF(Atletas!B443="Masculino",200,""))+(IF(Atletas!D443="Infantil 39kg",1,IF(Atletas!D443="Infantil 42kg",2,IF(Atletas!D443="Infantil 45kg",3,IF(Atletas!D443="Infantil 48kg",4,IF(Atletas!D443="Infantil 52kg",5,IF(Atletas!D443="Infantil 56kg",6,IF(Atletas!D443="Infantil 60kg",7,IF(Atletas!D443="Juvenil 48kg",8,IF(Atletas!D443="Juvenil 52kg",9,IF(Atletas!D443="Juvenil 56kg",10,IF(Atletas!D443="Juvenil 60kg",11,IF(Atletas!D443="Juvenil 65kg",12,IF(Atletas!D443="Juvenil 70kg",13,IF(Atletas!D443="Juvenil 75kg",14,IF(Atletas!D443="Juvenil 80kg",15,IF(Atletas!D443="Adulto 48kg",16,IF(Atletas!D443="Adulto 52kg",17,IF(Atletas!D443="Adulto 56kg",18,IF(Atletas!D443="Adulto 60kg",19,IF(Atletas!D443="Adulto 65kg",20,IF(Atletas!D443="Adulto 70kg",21,IF(Atletas!D443="Adulto 75kg",22,IF(Atletas!D443="Adulto 80kg",23,IF(Atletas!D443="Adulto 85kg",24,IF(Atletas!D443="Adulto 90kg",25,IF(Atletas!D443="Adulto +90kg",26,""))))))))))))))))))))))))))))</f>
        <v/>
      </c>
      <c r="AO447" s="10" t="str">
        <f>IF(Atletas!E443="","",IF(Atletas!B443="Feminino",100,IF(Atletas!B443="Masculino",200,""))+(IF(Atletas!E443="Juvenil 44kg",1,IF(Atletas!E443="Juvenil 48kg",2,IF(Atletas!E443="Juvenil 52kg",3,IF(Atletas!E443="Juvenil 56kg",4,IF(Atletas!E443="Juvenil 60kg",5,IF(Atletas!E443="Juvenil 65kg",6,IF(Atletas!E443="Juvenil 70kg",7,IF(Atletas!E443="Juvenil 75kg",8,IF(Atletas!E443="Juvenil 82kg",9,IF(Atletas!E443="Juvenil 90kg",10,IF(Atletas!E443="Juvenil 100kg",11,IF(Atletas!E443="Adulto 48kg",12,IF(Atletas!E443="Adulto 52kg",13,IF(Atletas!E443="Adulto 56kg",14,IF(Atletas!E443="Adulto 60kg",15,IF(Atletas!E443="Adulto 65kg",16,IF(Atletas!E443="Adulto 70kg",17,IF(Atletas!E443="Adulto 75kg",18,IF(Atletas!E443="Adulto 82kg",19,IF(Atletas!E443="Adulto 90kg",20,IF(Atletas!E443="Adulto 100kg",21,IF(Atletas!E443="Adulto +100kg",22,""))))))))))))))))))))))))</f>
        <v/>
      </c>
      <c r="AT447" s="10" t="str">
        <f>IF(Atletas!F443="","",IF(Atletas!B443="Feminino",100,IF(Atletas!B443="Masculino",200,""))+(IF(Atletas!F443="Adulto 48kg",1,IF(Atletas!F443="Adulto 56kg",2,IF(Atletas!F443="Adulto 65kg",3,IF(Atletas!F443="Adulto 75kg",4,IF(Atletas!F443="Adulto +75kg",5,IF(Atletas!F443="Adulto 52kg",6,IF(Atletas!F443="Adulto 60kg",7,IF(Atletas!F443="Adulto 70kg",8,IF(Atletas!F443="Adulto 80kg",9,IF(Atletas!F443="Adulto 90kg",10,IF(Atletas!F443="Adulto +90kg",11,"")))))))))))))</f>
        <v/>
      </c>
      <c r="AY447" s="46" t="str">
        <f>IF(Atletas!G443="","",IF(Atletas!B443="Feminino",100,IF(Atletas!B443="Masculino",200,""))+(IF(Atletas!G443="Changquan Mirim",1,IF(Atletas!G443="Nanquan Mirim",2,IF(Atletas!G443="Taijiquan Mirim",3,IF(Atletas!G443="Changquan Grupo C",4,IF(Atletas!G443="Nanquan Grupo C",5,IF(Atletas!G443="Taijiquan Grupo C",6,IF(Atletas!G443="Changquan Grupo B",7,IF(Atletas!G443="Nanquan Grupo B",8,IF(Atletas!G443="Taijiquan Grupo B",9,IF(Atletas!G443="Changquan Grupo A",10,IF(Atletas!G443="Nanquan Grupo A",11,IF(Atletas!G443="Taijiquan Grupo A",12,IF(Atletas!G443="Changquan Opcional",13,IF(Atletas!G443="Nanquan Opcional",14,IF(Atletas!G443="Taijiquan Opcional",15,IF(Atletas!G443="Changquan Adulto",16,IF(Atletas!G443="Nanquan Adulto",17,IF(Atletas!G443="Taijiquan Adulto",18,""))))))))))))))))))))</f>
        <v/>
      </c>
      <c r="AZ447" s="46" t="str">
        <f>IF(Atletas!H443="","",IF(Atletas!B443="Feminino",100,IF(Atletas!B443="Masculino",200,""))+(IF(Atletas!H443="Daoshu Mirim",19,IF(Atletas!H443="Jianshu Mirim",20,IF(Atletas!H443="Nandao Mirim",21,IF(Atletas!H443="Taijijian Mirim",22,IF(Atletas!H443="Daoshu Grupo C",23,IF(Atletas!H443="Jianshu Grupo C",24,IF(Atletas!H443="Nandao Grupo C",25,IF(Atletas!H443="Taijijian Grupo C",26,IF(Atletas!H443="Daoshu Grupo B",27,IF(Atletas!H443="Jianshu Grupo B",28,IF(Atletas!H443="Nandao Grupo B",29,IF(Atletas!H443="Taijijian Grupo B",30,IF(Atletas!H443="Daoshu Grupo A",31,IF(Atletas!H443="Jianshu Grupo A",32,IF(Atletas!H443="Nandao Grupo A",33,IF(Atletas!H443="Taijijian Grupo A",34,IF(Atletas!H443="Daoshu Opcional",35,IF(Atletas!H443="Jianshu Opcional",36,IF(Atletas!H443="Nandao Opcional",37,IF(Atletas!H443="Taijijian Opcional",38,IF(Atletas!H443="Daoshu Adulto",39,IF(Atletas!H443="Jianshu Adulto",40,IF(Atletas!H443="Nandao Adulto",41,IF(Atletas!H443="Taijijian Adulto",42,""))))))))))))))))))))))))))</f>
        <v/>
      </c>
      <c r="BA447" s="46" t="str">
        <f>IF(Atletas!I443="","",IF(Atletas!B443="Feminino",100,IF(Atletas!B443="Masculino",200,""))+(IF(Atletas!I443="Gunshu Mirim",43,IF(Atletas!I443="Qiangshu Mirim",44,IF(Atletas!I443="Nangun Mirim",45,IF(Atletas!I443="Gunshu Grupo C",46,IF(Atletas!I443="Qiangshu Grupo C",47,IF(Atletas!I443="Nangun Grupo C",48,IF(Atletas!I443="Gunshu Grupo B",49,IF(Atletas!I443="Qiangshu Grupo B",50,IF(Atletas!I443="Nangun Grupo B",51,IF(Atletas!I443="Gunshu Grupo A",52,IF(Atletas!I443="Qiangshu Grupo A",53,IF(Atletas!I443="Nangun Grupo A",54,IF(Atletas!I443="Gunshu Opcional",55,IF(Atletas!I443="Qiangshu Opcional",56,IF(Atletas!I443="Nangun Opcional",57,IF(Atletas!I443="Gunshu Adulto",58,IF(Atletas!I443="Qiangshu Adulto",59,IF(Atletas!I443="Nangun Adulto",60,""))))))))))))))))))))</f>
        <v/>
      </c>
      <c r="BF447" s="52" t="str">
        <f>IF(Atletas!J443="","",IF(Atletas!B443="Feminino",100,IF(Atletas!B443="Masculino",200,""))+(IF(Atletas!J443="Equipe 1 Grupo B",1,IF(Atletas!J443="Equipe 2 Grupo B",2,IF(Atletas!J443="Equipe 1 Grupo A",3,IF(Atletas!J443="Equipe 2 Grupo A",4,IF(Atletas!J443="Equipe 1 Adulto",5,IF(Atletas!J443="Equipe 2 Adulto",6,""))))))))</f>
        <v/>
      </c>
      <c r="BK447" s="52" t="str">
        <f>IF(Atletas!K443="","",IF(Atletas!W443&lt;&gt;"",10000,0)+(IF(Atletas!B443="Feminino",1000,IF(Atletas!B443="Masculino",2000,""))+IF(Atletas!K443="Choylayfut A",1,IF(Atletas!K443="Hunggar A",2,IF(Atletas!K443="Wuzuquan A",3,IF(Atletas!K443="Wingchun A",4,IF(Atletas!K443="Outra Mão de Sul A",5,IF(Atletas!K443="Choylayfut B",6,IF(Atletas!K443="Hunggar B",7,IF(Atletas!K443="Wuzuquan B",8,IF(Atletas!K443="Wingchun B",9,IF(Atletas!K443="Outra Mão de Sul B",10,IF(Atletas!K443="Choylayfut C",11,IF(Atletas!K443="Hunggar C",12,IF(Atletas!K443="Wuzuquan C",13,IF(Atletas!K443="Wingchun C",14,IF(Atletas!K443="Outra Mão de Sul C",15,IF(Atletas!K443="Choylayfut D",16,IF(Atletas!K443="Hunggar D",17,IF(Atletas!K443="Wuzuquan D",18,IF(Atletas!K443="Wingchun D",19,IF(Atletas!K443="Outra Mão de Sul D",20,IF(Atletas!K443="Choylayfut E",21,IF(Atletas!K443="Hunggar E",22,IF(Atletas!K443="Wuzuquan E",23,IF(Atletas!K443="Wingchun E",24,IF(Atletas!K443="Outra Mão de Sul E",25,IF(Atletas!K443="Choylayfut F",26,IF(Atletas!K443="Hunggar F",27,IF(Atletas!K443="Wuzuquan F",28,IF(Atletas!K443="Wingchun F",29,IF(Atletas!K443="Outra Mão de Sul F",30,""))))))))))))))))))))))))))))))))</f>
        <v/>
      </c>
      <c r="BL447" s="52" t="str">
        <f>IF(Atletas!L443="","",IF(Atletas!W443&lt;&gt;"",10000,0)+(IF(Atletas!B443="Feminino",1000,IF(Atletas!B443="Masculino",2000,""))+(IF(Atletas!L443="Chaquan A",101,IF(Atletas!L443="Emeiquan A",102,IF(Atletas!L443="Fanziquan A",103,IF(Atletas!L443="Huaquan A",104,IF(Atletas!L443="Hongquan A",105,IF(Atletas!L443="Paochui A",106,IF(Atletas!L443="Piguaquan A",107,IF(Atletas!L443="Shaolinquan A",108,IF(Atletas!L443="Tanglangquan A",109,IF(Atletas!L443="Yinzhaophai A",110,IF(Atletas!L443="Tongbeiquan A",111,IF(Atletas!L443="Wudangquan A",112,IF(Atletas!L443="Outros Estilos A",113,IF(Atletas!L443="Chaquan B",114,IF(Atletas!L443="Emeiquan B",115,IF(Atletas!L443="Fanziquan B",116,IF(Atletas!L443="Huaquan B",117,IF(Atletas!L443="Hongquan B",118,IF(Atletas!L443="Paochui B",119,IF(Atletas!L443="Piguaquan B",120,IF(Atletas!L443="Shaolinquan B",121,IF(Atletas!L443="Tanglangquan B",122,IF(Atletas!L443="Yinzhaophai B",123,IF(Atletas!L443="Tongbeiquan B",124,IF(Atletas!L443="Wudangquan B",125,IF(Atletas!L443="Outros Estilos B",126,IF(Atletas!L443="Chaquan C",127,IF(Atletas!L443="Emeiquan C",128,IF(Atletas!L443="Fanziquan C",129,IF(Atletas!L443="Huaquan C",130,IF(Atletas!L443="Hongquan C",131,IF(Atletas!L443="Paochui C",132,IF(Atletas!L443="Piguaquan C",133,IF(Atletas!L443="Shaolinquan C",134,IF(Atletas!L443="Tanglangquan C",135,IF(Atletas!L443="Yinzhaophai C",136,IF(Atletas!L443="Tongbeiquan C",137,IF(Atletas!L443="Wudangquan C",138,IF(Atletas!L443="Outros Estilos C",139,0))))))))))))))))))))))))))))))))))))))))))</f>
        <v/>
      </c>
      <c r="BM447" s="52" t="str">
        <f>IF(Atletas!L443="","",IF(Atletas!W443&lt;&gt;"",10000,0)+(IF(Atletas!B443="Feminino",1000,IF(Atletas!B443="Masculino",2000,""))+(IF(Atletas!L443="Chaquan D",140,IF(Atletas!L443="Emeiquan D",141,IF(Atletas!L443="Fanziquan D",142,IF(Atletas!L443="Huaquan D",143,IF(Atletas!L443="Hongquan D",144,IF(Atletas!L443="Paochui D",145,IF(Atletas!L443="Piguaquan D",146,IF(Atletas!L443="Shaolinquan D",147,IF(Atletas!L443="Tanglangquan D",148,IF(Atletas!L443="Yinzhaophai D",149,IF(Atletas!L443="Tongbeiquan D",150,IF(Atletas!L443="Wudangquan D",151,IF(Atletas!L443="Outros Estilos D",152,IF(Atletas!L443="Chaquan E",153,IF(Atletas!L443="Emeiquan E",154,IF(Atletas!L443="Fanziquan E",155,IF(Atletas!L443="Huaquan E",156,IF(Atletas!L443="Hongquan E",157,IF(Atletas!L443="Paochui E",158,IF(Atletas!L443="Piguaquan E",159,IF(Atletas!L443="Shaolinquan E",160,IF(Atletas!L443="Tanglangquan E",161,IF(Atletas!L443="Yinzhaophai E",162,IF(Atletas!L443="Tongbeiquan E",163,IF(Atletas!L443="Wudangquan E",164,IF(Atletas!L443="Outros Estilos E",165,IF(Atletas!L443="Chaquan F",166,IF(Atletas!L443="Emeiquan F",167,IF(Atletas!L443="Fanziquan F",168,IF(Atletas!L443="Huaquan F",169,IF(Atletas!L443="Hongquan F",170,IF(Atletas!L443="Paochui F",171,IF(Atletas!L443="Piguaquan F",172,IF(Atletas!L443="Shaolinquan F",173,IF(Atletas!L443="Tanglangquan F",174,IF(Atletas!L443="Yinzhaophai F",175,IF(Atletas!L443="Tongbeiquan F",176,IF(Atletas!L443="Wudangquan F",177,IF(Atletas!L443="Outros Estilos F",178,0))))))))))))))))))))))))))))))))))))))))))</f>
        <v/>
      </c>
      <c r="BN447" s="52" t="str">
        <f>IF(Atletas!M443="","",IF(Atletas!W443&lt;&gt;"",10000,0)+(IF(Atletas!B443="Feminino",1000,IF(Atletas!B443="Masculino",2000,""))+(IF(Atletas!M443="Ditangquan A",201,IF(Atletas!M443="Houquan A",202,IF(Atletas!M443="Zuiquan A",203,IF(Atletas!M443="Ditangquan B",204,IF(Atletas!M443="Houquan B",205,IF(Atletas!M443="Zuiquan B",206,IF(Atletas!M443="Ditangquan C",207,IF(Atletas!M443="Houquan C",208,IF(Atletas!M443="Zuiquan C",209,IF(Atletas!M443="Ditangquan D",210,IF(Atletas!M443="Houquan D",211,IF(Atletas!M443="Zuiquan D",212,IF(Atletas!M443="Ditangquan E",213,IF(Atletas!M443="Houquan E",214,IF(Atletas!M443="Zuiquan E",215,IF(Atletas!M443="Ditangquan F",216,IF(Atletas!M443="Houquan F",217,IF(Atletas!M443="Zuiquan F",218,"")))))))))))))))))))))</f>
        <v/>
      </c>
      <c r="BO447" s="52" t="str">
        <f>IF(Atletas!N443="","",IF(Atletas!W443&lt;&gt;"",10000,0)+IF(Atletas!B443="Feminino",1000,IF(Atletas!B443="Masculino",2000,""))+IF(Atletas!N443="Yang A",301,IF(Atletas!N443="Chen A",30,IF(Atletas!N443="Sun A",303,IF(Atletas!N443="Wu A",304,IF(Atletas!N443="Wu-Hao A",305,IF(Atletas!N443="Outro Taijiquan A",306,IF(Atletas!N443="Yang B",307,IF(Atletas!N443="Chen B",308,IF(Atletas!N443="Sun B",309,IF(Atletas!N443="Wu B",310,IF(Atletas!N443="Wu-Hao B",311,IF(Atletas!N443="Outro Taijiquan B",312,IF(Atletas!N443="Yang C",313,IF(Atletas!N443="Chen C",314,IF(Atletas!N443="Sun C",315,IF(Atletas!N443="Wu C",316,IF(Atletas!N443="Wu-Hao C",317,IF(Atletas!N443="Outro Taijiquan C",318,IF(Atletas!N443="Yang D",319,IF(Atletas!N443="Chen D",320,IF(Atletas!N443="Sun D",321,IF(Atletas!N443="Wu D",322,IF(Atletas!N443="Wu-Hao D",323,IF(Atletas!N443="Outro Taijiquan D",324,IF(Atletas!N443="Yang E",325,IF(Atletas!N443="Chen E",326,IF(Atletas!N443="Sun E",327,IF(Atletas!N443="Wu E",328,IF(Atletas!N443="Wu-Hao E",329,IF(Atletas!N443="Outro Taijiquan E",330,IF(Atletas!N443="Yang F",331,IF(Atletas!N443="Chen F",332,IF(Atletas!N443="Sun F",333,IF(Atletas!N443="Wu F",334,IF(Atletas!N443="Wu-Hao F",335,IF(Atletas!N443="Outro Taijiquan F",336,"")))))))))))))))))))))))))))))))))))))</f>
        <v/>
      </c>
      <c r="BP447" s="52" t="str">
        <f>IF(Atletas!O443="","",IF(Atletas!W443&lt;&gt;"",10000,0)+IF(Atletas!B443="Feminino",1000,IF(Atletas!B443="Masculino",2000,""))+IF(OR(Atletas!O443="Yang 26 A",Atletas!O443="Yang 40 A"),401,IF(OR(Atletas!O443="Chen 25 A",Atletas!O443="Chen 36 A",Atletas!O443="Chen 56 A"),402,IF(Atletas!O443="Sun 73 A",403,IF(Atletas!O443="Wu 45 A",404,IF(Atletas!O443="Wu-Hao 46 A",405,IF(OR(Atletas!O443="Taijiquan 16 A",Atletas!O443="Taijiquan 24 A",Atletas!O443="Taijiquan 32 A",Atletas!O443="Taijiquan 42 A"),406,IF(OR(Atletas!O443="Yang 26 B",Atletas!O443="Yang 40 B"),407,IF(OR(Atletas!O443="Chen 25 B",Atletas!O443="Chen 36 B",Atletas!O443="Chen 56 B"),408,IF(Atletas!O443="Sun 73 B",409,IF(Atletas!O443="Wu 45 B",410,IF(Atletas!O443="Wu-Hao 46 B",411,IF(OR(Atletas!O443="Taijiquan 16 B",Atletas!O443="Taijiquan 24 B",Atletas!O443="Taijiquan 32 B",Atletas!O443="Taijiquan 42 B"),412,IF(OR(Atletas!O443="Yang 26 C",Atletas!O443="Yang 40 C"),413,IF(OR(Atletas!O443="Chen 25 C",Atletas!O443="Chen 36 C",Atletas!O443="Chen 56 C"),414,IF(Atletas!O443="Sun 73 C",415,IF(Atletas!O443="Wu 45 C",416,IF(Atletas!O443="Wu-Hao 46 C",417,IF(OR(Atletas!O443="Taijiquan 16 C",Atletas!O443="Taijiquan 24 C",Atletas!O443="Taijiquan 32 C",Atletas!O443="Taijiquan 42 C"),418,0)))))))))))))))))))</f>
        <v/>
      </c>
      <c r="BQ447" s="52" t="str">
        <f>IF(Atletas!O443="","",IF(Atletas!W443&lt;&gt;"",10000,0)+IF(Atletas!B443="Feminino",1000,IF(Atletas!B443="Masculino",2000,""))+IF(OR(Atletas!O443="Yang 26 D",Atletas!O443="Yang 40 D"),419,IF(OR(Atletas!O443="Chen 25 D",Atletas!O443="Chen 36 D",Atletas!O443="Chen 56 D"),420,IF(Atletas!O443="Sun 73 D",421,IF(Atletas!O443="Wu 45 D",422,IF(Atletas!O443="Wu-Hao 46 D",423,IF(OR(Atletas!O443="Taijiquan 16 D",Atletas!O443="Taijiquan 24 D",Atletas!O443="Taijiquan 32 D",Atletas!O443="Taijiquan 42 D"),424,IF(OR(Atletas!O443="Yang 26 E",Atletas!O443="Yang 40 E"),425,IF(OR(Atletas!O443="Chen 25 E",Atletas!O443="Chen 36 E",Atletas!O443="Chen 56 E"),426,IF(Atletas!O443="Sun 73 E",427,IF(Atletas!O443="Wu 45 E",428,IF(Atletas!O443="Wu-Hao 46 E",429,IF(OR(Atletas!O443="Taijiquan 16 E",Atletas!O443="Taijiquan 24 E",Atletas!O443="Taijiquan 32 E",Atletas!O443="Taijiquan 42 E"),430,IF(OR(Atletas!O443="Yang 26 F",Atletas!O443="Yang 40 F"),431,IF(OR(Atletas!O443="Chen 25 F",Atletas!O443="Chen 36 F",Atletas!O443="Chen 56 F"),432,IF(Atletas!O443="Sun 73 F",433,IF(Atletas!O443="Wu 45 F",434,IF(Atletas!O443="Wu-Hao 46 F",435,IF(OR(Atletas!O443="Taijiquan 16 F",Atletas!O443="Taijiquan 24 F",Atletas!O443="Taijiquan 32 F",Atletas!O443="Taijiquan 42 F"),436,0)))))))))))))))))))</f>
        <v/>
      </c>
      <c r="BR447" s="52" t="str">
        <f>IF(Atletas!P443="","",IF(Atletas!W443&lt;&gt;"",10000,0)+IF(Atletas!B443="Feminino",1000,IF(Atletas!B443="Masculino",2000,""))+IF(Atletas!P443="Xingyiquan A",501,IF(Atletas!P443="Baguazhang A",502,IF(Atletas!P443="Outro Estilo Interno A",503,IF(Atletas!P443="Xingyiquan B",504,IF(Atletas!P443="Baguazhang B",505,IF(Atletas!P443="Outro Estilo Interno B",506,IF(Atletas!P443="Xingyiquan C",507,IF(Atletas!P443="Baguazhang C",508,IF(Atletas!P443="Outro Estilo Interno C",509,IF(Atletas!P443="Xingyiquan D",510,IF(Atletas!P443="Baguazhang D",511,IF(Atletas!P443="Outro Estilo Interno D",512,IF(Atletas!P443="Xingyiquan E",513,IF(Atletas!P443="Baguazhang E",514,IF(Atletas!P443="Outro Estilo Interno E",515,IF(Atletas!P443="Xingyiquan F",516,IF(Atletas!P443="Baguazhang F",517,IF(Atletas!P443="Outro Estilo Interno F",518, "")))))))))))))))))))</f>
        <v/>
      </c>
      <c r="BS447" s="52" t="str">
        <f>IF(Atletas!Q443="","",IF(Atletas!W443&lt;&gt;"",10000,0)+IF(Atletas!B443="Feminino",1000,IF(Atletas!B443="Masculino",2000,""))+IF(Atletas!Q443="Dao A",601,IF(Atletas!Q443="Jian A",602,IF(Atletas!Q443="Bishou A",603,IF(Atletas!Q443="Shan A",604,IF(Atletas!Q443="Outra Arma Curta A",605,IF(Atletas!Q443="Dao B",606,IF(Atletas!Q443="Jian B",607,IF(Atletas!Q443="Bishou B",608,IF(Atletas!Q443="Shan B",609,IF(Atletas!Q443="Outra Arma Curta B",610,IF(Atletas!Q443="Dao C",611,IF(Atletas!Q443="Jian C",612,IF(Atletas!Q443="Bishou C",613,IF(Atletas!Q443="Shan C",614,IF(Atletas!Q443="Outra Arma Curta C",615,IF(Atletas!Q443="Dao D",616,IF(Atletas!Q443="Jian D",617,IF(Atletas!Q443="Bishou D",618,IF(Atletas!Q443="Shan D",619,IF(Atletas!Q443="Outra Arma Curta D",620,IF(Atletas!Q443="Dao E",621,IF(Atletas!Q443="Jian E",622,IF(Atletas!Q443="Bishou E",623,IF(Atletas!Q443="Shan E",624,IF(Atletas!Q443="Outra Arma Curta E",625,IF(Atletas!Q443="Dao F",626,IF(Atletas!Q443="Jian F",627,IF(Atletas!Q443="Bishou F",628,IF(Atletas!Q443="Shan F",629,IF(Atletas!Q443="Outra Arma Curta F",630, "")))))))))))))))))))))))))))))))</f>
        <v/>
      </c>
      <c r="BT447" s="52" t="str">
        <f>IF(Atletas!R443="","",IF(Atletas!W443&lt;&gt;"",10000,0)+IF(Atletas!B443="Feminino",1000,IF(Atletas!B443="Masculino",2000,""))+IF(Atletas!R443="Gun A",701,IF(Atletas!R443="Qiang A",702,IF(Atletas!R443="Pudao / Guandao A",703,IF(Atletas!R443="Outra Arma Longa A",704,IF(Atletas!R443="Gun B",705,IF(Atletas!R443="Qiang B",706,IF(Atletas!R443="Pudao / Guandao B",707,IF(Atletas!R443="Outra Arma Longa B",708,IF(Atletas!R443="Gun C",709,IF(Atletas!R443="Qiang C",710,IF(Atletas!R443="Pudao / Guandao C",711,IF(Atletas!R443="Outra Arma Longa C",712,IF(Atletas!R443="Gun D",713,IF(Atletas!R443="Qiang D",714,IF(Atletas!R443="Pudao / Guandao D",715,IF(Atletas!R443="Outra Arma Longa D",716,IF(Atletas!R443="Gun E",717,IF(Atletas!R443="Qiang E",718,IF(Atletas!R443="Pudao / Guandao E",719,IF(Atletas!R443="Outra Arma Longa E",720,IF(Atletas!R443="Gun F",721,IF(Atletas!R443="Qiang F",722,IF(Atletas!R443="Pudao / Guandao F",723,IF(Atletas!R443="Outra Arma Longa F",724,"")))))))))))))))))))))))))</f>
        <v/>
      </c>
      <c r="BU447" s="52" t="str">
        <f>IF(Atletas!S443="","",IF(Atletas!W443&lt;&gt;"",10000,0)+IF(Atletas!B443="Feminino",1000,IF(Atletas!B443="Masculino",2000,""))+IF(Atletas!S443="Arma Dupla A",801,IF(Atletas!S443="Arma Maleável A",802,IF(Atletas!S443="Arma Dupla B",803,IF(Atletas!S443="Arma Maleável B",804,IF(Atletas!S443="Arma Dupla C",805,IF(Atletas!S443="Arma Maleável C",806,IF(Atletas!S443="Arma Dupla D",807,IF(Atletas!S443="Arma Maleável D",808,IF(Atletas!S443="Arma Dupla E",809,IF(Atletas!S443="Arma Maleável E",810,IF(Atletas!S443="Arma Dupla F",811,IF(Atletas!S443="Arma Maleável F",812, "")))))))))))))</f>
        <v/>
      </c>
      <c r="BV447" s="52" t="str">
        <f>IF(Atletas!T443="","",IF(Atletas!W443&lt;&gt;"",10000,0)+IF(Atletas!B443="Feminino",1000,IF(Atletas!B443="Masculino",2000,""))+IF(Atletas!T443="Taijijian Yang A",901,IF(Atletas!T443="Taijijian Chen A",902,IF(Atletas!T443="Taijijian Sun A",903,IF(Atletas!T443="Taijijian Wu A",904,IF(Atletas!T443="Taijijian Wu-Hao A",905,IF(Atletas!T443="Taijijian 32 A",906,IF(Atletas!T443="Taijijian 42 A",907,IF(Atletas!T443="Taijijian Yang B",908,IF(Atletas!T443="Taijijian Chen B",909,IF(Atletas!T443="Taijijian Sun B",910,IF(Atletas!T443="Taijijian Wu B",911,IF(Atletas!T443="Taijijian Wu-Hao B",912,IF(Atletas!T443="Taijijian 32 B",913,IF(Atletas!T443="Taijijian 42 B",914,IF(Atletas!T443="Taijijian Yang C",915,IF(Atletas!T443="Taijijian Chen C",916,IF(Atletas!T443="Taijijian Sun C",917,IF(Atletas!T443="Taijijian Wu C",918,IF(Atletas!T443="Taijijian Wu-Hao C",919,IF(Atletas!T443="Taijijian 32 C",920,IF(Atletas!T443="Taijijian 42 C",921,IF(Atletas!T443="Taijijian Yang D",922,IF(Atletas!T443="Taijijian Chen D",923,IF(Atletas!T443="Taijijian Sun D",924,IF(Atletas!T443="Taijijian Wu D",925,IF(Atletas!T443="Taijijian Wu-Hao D",926,IF(Atletas!T443="Taijijian 32 D",927,IF(Atletas!T443="Taijijian 42 D",928,IF(Atletas!T443="Taijijian Yang E",929,IF(Atletas!T443="Taijijian Chen E",930,IF(Atletas!T443="Taijijian Sun E",931,IF(Atletas!T443="Taijijian Wu E",932,IF(Atletas!T443="Taijijian Wu-Hao E",933,IF(Atletas!T443="Taijijian 32 E",934,IF(Atletas!T443="Taijijian 42 E",935,IF(Atletas!T443="Taijijian Yang F",936,IF(Atletas!T443="Taijijian Chen F",937,IF(Atletas!T443="Taijijian Sun F",938,IF(Atletas!T443="Taijijian Wu F",939,IF(Atletas!T443="Taijijian Wu-Hao F",940,IF(Atletas!T443="Taijijian 32 F",941,IF(Atletas!T443="Taijijian 42 F",942,"")))))))))))))))))))))))))))))))))))))))))))</f>
        <v/>
      </c>
      <c r="BW447" s="52" t="str">
        <f>IF(Atletas!U443="","",IF(Atletas!W443&lt;&gt;"",10000,0)+IF(Atletas!B443="Feminino",1000,IF(Atletas!B443="Masculino",2000,""))+IF(Atletas!T443="Taijijian 42 F",942,IF(Atletas!U443="Taijidao A",943,IF(Atletas!U443="Taijishan A",944,IF(Atletas!U443="Taijiqiang A",945,IF(Atletas!U443="Taijidao B",946,IF(Atletas!U443="Taijishan B",947,IF(Atletas!U443="Taijiqiang B",948,IF(Atletas!U443="Taijidao C",949,IF(Atletas!U443="Taijishan C",950,IF(Atletas!U443="Taijiqiang C",951,IF(Atletas!U443="Taijidao D",952,IF(Atletas!U443="Taijishan D",953,IF(Atletas!U443="Taijiqiang D",954,IF(Atletas!U443="Taijidao E",955,IF(Atletas!U443="Taijishan E",956,IF(Atletas!U443="Taijiqiang E",957,IF(Atletas!U443="Taijidao F",958,IF(Atletas!U443="Taijishan F",959,IF(Atletas!U443="Taijiqiang F",960))))))))))))))))))))</f>
        <v/>
      </c>
      <c r="CF447" s="52" t="str">
        <f xml:space="preserve"> IF(Atletas!V443="","",IF(Atletas!V443="Duilian de Mãos AB - Equipe 1",1,IF(Atletas!V443="Duilian de Mãos AB - Equipe 2",2,IF(Atletas!V443="Duilian de Armas AB - Equipe 1",3,IF(Atletas!V443="Duilian de Armas AB - Equipe 2",4,IF(Atletas!V443="Duilian de Tuishou - Equipe 1",5,IF(Atletas!V443="Duilian de Tuishou - Equipe 2",6,IF(Atletas!V443="Grupo Externo AB - Equipe 1",7,IF(Atletas!V443="Grupo Externo AB - Equipe 2",8,IF(Atletas!V443="Grupo Interno AB - Equipe 1",9,IF(Atletas!V443="Grupo Interno AB - Equipe 2",10,IF(Atletas!V443="Duilian de Mãos CD - Equipe 1",11,IF(Atletas!V443="Duilian de Mãos CD - Equipe 2",12,IF(Atletas!V443="Duilian de Armas CD - Equipe 1",13,IF(Atletas!V443="Duilian de Armas CD - Equipe 2",14,IF(Atletas!V443="Duilian de Tuishou - Equipe 1",15,IF(Atletas!V443="Duilian de Tuishou - Equipe 2",16,IF(Atletas!V443="Grupo Externo CDEF - Equipe 1",17,IF(Atletas!V443="Grupo Externo CDEF - Equipe 2",18,IF(Atletas!V443="Grupo Interno CDEF - Equipe 1",19,IF(Atletas!V443="Grupo Interno CDEF - Equipe 2",20,IF(Atletas!V443="Duilian de Mãos EF - Equipe 1",21,IF(Atletas!V443="Duilian de Mãos EF - Equipe 2",22,IF(Atletas!V443="Duilian de Armas EF - Equipe 1",23,IF(Atletas!V443="Duilian de Armas EF - Equipe 2",24,IF(Atletas!V443="Duilian de Tuishou - Equipe 1",25,IF(Atletas!V443="Duilian de Tuishou - Equipe 2",26,"")))))))))))))))))))))))))))</f>
        <v/>
      </c>
    </row>
    <row r="448" spans="36:84">
      <c r="AJ448" s="46" t="str">
        <f>IF(Atletas!D444="","",IF(Atletas!B444="Feminino",100,IF(Atletas!B444="Masculino",200,""))+(IF(Atletas!D444="Infantil 39kg",1,IF(Atletas!D444="Infantil 42kg",2,IF(Atletas!D444="Infantil 45kg",3,IF(Atletas!D444="Infantil 48kg",4,IF(Atletas!D444="Infantil 52kg",5,IF(Atletas!D444="Infantil 56kg",6,IF(Atletas!D444="Infantil 60kg",7,IF(Atletas!D444="Juvenil 48kg",8,IF(Atletas!D444="Juvenil 52kg",9,IF(Atletas!D444="Juvenil 56kg",10,IF(Atletas!D444="Juvenil 60kg",11,IF(Atletas!D444="Juvenil 65kg",12,IF(Atletas!D444="Juvenil 70kg",13,IF(Atletas!D444="Juvenil 75kg",14,IF(Atletas!D444="Juvenil 80kg",15,IF(Atletas!D444="Adulto 48kg",16,IF(Atletas!D444="Adulto 52kg",17,IF(Atletas!D444="Adulto 56kg",18,IF(Atletas!D444="Adulto 60kg",19,IF(Atletas!D444="Adulto 65kg",20,IF(Atletas!D444="Adulto 70kg",21,IF(Atletas!D444="Adulto 75kg",22,IF(Atletas!D444="Adulto 80kg",23,IF(Atletas!D444="Adulto 85kg",24,IF(Atletas!D444="Adulto 90kg",25,IF(Atletas!D444="Adulto +90kg",26,""))))))))))))))))))))))))))))</f>
        <v/>
      </c>
      <c r="AO448" s="10" t="str">
        <f>IF(Atletas!E444="","",IF(Atletas!B444="Feminino",100,IF(Atletas!B444="Masculino",200,""))+(IF(Atletas!E444="Juvenil 44kg",1,IF(Atletas!E444="Juvenil 48kg",2,IF(Atletas!E444="Juvenil 52kg",3,IF(Atletas!E444="Juvenil 56kg",4,IF(Atletas!E444="Juvenil 60kg",5,IF(Atletas!E444="Juvenil 65kg",6,IF(Atletas!E444="Juvenil 70kg",7,IF(Atletas!E444="Juvenil 75kg",8,IF(Atletas!E444="Juvenil 82kg",9,IF(Atletas!E444="Juvenil 90kg",10,IF(Atletas!E444="Juvenil 100kg",11,IF(Atletas!E444="Adulto 48kg",12,IF(Atletas!E444="Adulto 52kg",13,IF(Atletas!E444="Adulto 56kg",14,IF(Atletas!E444="Adulto 60kg",15,IF(Atletas!E444="Adulto 65kg",16,IF(Atletas!E444="Adulto 70kg",17,IF(Atletas!E444="Adulto 75kg",18,IF(Atletas!E444="Adulto 82kg",19,IF(Atletas!E444="Adulto 90kg",20,IF(Atletas!E444="Adulto 100kg",21,IF(Atletas!E444="Adulto +100kg",22,""))))))))))))))))))))))))</f>
        <v/>
      </c>
      <c r="AT448" s="10" t="str">
        <f>IF(Atletas!F444="","",IF(Atletas!B444="Feminino",100,IF(Atletas!B444="Masculino",200,""))+(IF(Atletas!F444="Adulto 48kg",1,IF(Atletas!F444="Adulto 56kg",2,IF(Atletas!F444="Adulto 65kg",3,IF(Atletas!F444="Adulto 75kg",4,IF(Atletas!F444="Adulto +75kg",5,IF(Atletas!F444="Adulto 52kg",6,IF(Atletas!F444="Adulto 60kg",7,IF(Atletas!F444="Adulto 70kg",8,IF(Atletas!F444="Adulto 80kg",9,IF(Atletas!F444="Adulto 90kg",10,IF(Atletas!F444="Adulto +90kg",11,"")))))))))))))</f>
        <v/>
      </c>
      <c r="AY448" s="46" t="str">
        <f>IF(Atletas!G444="","",IF(Atletas!B444="Feminino",100,IF(Atletas!B444="Masculino",200,""))+(IF(Atletas!G444="Changquan Mirim",1,IF(Atletas!G444="Nanquan Mirim",2,IF(Atletas!G444="Taijiquan Mirim",3,IF(Atletas!G444="Changquan Grupo C",4,IF(Atletas!G444="Nanquan Grupo C",5,IF(Atletas!G444="Taijiquan Grupo C",6,IF(Atletas!G444="Changquan Grupo B",7,IF(Atletas!G444="Nanquan Grupo B",8,IF(Atletas!G444="Taijiquan Grupo B",9,IF(Atletas!G444="Changquan Grupo A",10,IF(Atletas!G444="Nanquan Grupo A",11,IF(Atletas!G444="Taijiquan Grupo A",12,IF(Atletas!G444="Changquan Opcional",13,IF(Atletas!G444="Nanquan Opcional",14,IF(Atletas!G444="Taijiquan Opcional",15,IF(Atletas!G444="Changquan Adulto",16,IF(Atletas!G444="Nanquan Adulto",17,IF(Atletas!G444="Taijiquan Adulto",18,""))))))))))))))))))))</f>
        <v/>
      </c>
      <c r="AZ448" s="46" t="str">
        <f>IF(Atletas!H444="","",IF(Atletas!B444="Feminino",100,IF(Atletas!B444="Masculino",200,""))+(IF(Atletas!H444="Daoshu Mirim",19,IF(Atletas!H444="Jianshu Mirim",20,IF(Atletas!H444="Nandao Mirim",21,IF(Atletas!H444="Taijijian Mirim",22,IF(Atletas!H444="Daoshu Grupo C",23,IF(Atletas!H444="Jianshu Grupo C",24,IF(Atletas!H444="Nandao Grupo C",25,IF(Atletas!H444="Taijijian Grupo C",26,IF(Atletas!H444="Daoshu Grupo B",27,IF(Atletas!H444="Jianshu Grupo B",28,IF(Atletas!H444="Nandao Grupo B",29,IF(Atletas!H444="Taijijian Grupo B",30,IF(Atletas!H444="Daoshu Grupo A",31,IF(Atletas!H444="Jianshu Grupo A",32,IF(Atletas!H444="Nandao Grupo A",33,IF(Atletas!H444="Taijijian Grupo A",34,IF(Atletas!H444="Daoshu Opcional",35,IF(Atletas!H444="Jianshu Opcional",36,IF(Atletas!H444="Nandao Opcional",37,IF(Atletas!H444="Taijijian Opcional",38,IF(Atletas!H444="Daoshu Adulto",39,IF(Atletas!H444="Jianshu Adulto",40,IF(Atletas!H444="Nandao Adulto",41,IF(Atletas!H444="Taijijian Adulto",42,""))))))))))))))))))))))))))</f>
        <v/>
      </c>
      <c r="BA448" s="46" t="str">
        <f>IF(Atletas!I444="","",IF(Atletas!B444="Feminino",100,IF(Atletas!B444="Masculino",200,""))+(IF(Atletas!I444="Gunshu Mirim",43,IF(Atletas!I444="Qiangshu Mirim",44,IF(Atletas!I444="Nangun Mirim",45,IF(Atletas!I444="Gunshu Grupo C",46,IF(Atletas!I444="Qiangshu Grupo C",47,IF(Atletas!I444="Nangun Grupo C",48,IF(Atletas!I444="Gunshu Grupo B",49,IF(Atletas!I444="Qiangshu Grupo B",50,IF(Atletas!I444="Nangun Grupo B",51,IF(Atletas!I444="Gunshu Grupo A",52,IF(Atletas!I444="Qiangshu Grupo A",53,IF(Atletas!I444="Nangun Grupo A",54,IF(Atletas!I444="Gunshu Opcional",55,IF(Atletas!I444="Qiangshu Opcional",56,IF(Atletas!I444="Nangun Opcional",57,IF(Atletas!I444="Gunshu Adulto",58,IF(Atletas!I444="Qiangshu Adulto",59,IF(Atletas!I444="Nangun Adulto",60,""))))))))))))))))))))</f>
        <v/>
      </c>
      <c r="BF448" s="52" t="str">
        <f>IF(Atletas!J444="","",IF(Atletas!B444="Feminino",100,IF(Atletas!B444="Masculino",200,""))+(IF(Atletas!J444="Equipe 1 Grupo B",1,IF(Atletas!J444="Equipe 2 Grupo B",2,IF(Atletas!J444="Equipe 1 Grupo A",3,IF(Atletas!J444="Equipe 2 Grupo A",4,IF(Atletas!J444="Equipe 1 Adulto",5,IF(Atletas!J444="Equipe 2 Adulto",6,""))))))))</f>
        <v/>
      </c>
      <c r="BK448" s="52" t="str">
        <f>IF(Atletas!K444="","",IF(Atletas!W444&lt;&gt;"",10000,0)+(IF(Atletas!B444="Feminino",1000,IF(Atletas!B444="Masculino",2000,""))+IF(Atletas!K444="Choylayfut A",1,IF(Atletas!K444="Hunggar A",2,IF(Atletas!K444="Wuzuquan A",3,IF(Atletas!K444="Wingchun A",4,IF(Atletas!K444="Outra Mão de Sul A",5,IF(Atletas!K444="Choylayfut B",6,IF(Atletas!K444="Hunggar B",7,IF(Atletas!K444="Wuzuquan B",8,IF(Atletas!K444="Wingchun B",9,IF(Atletas!K444="Outra Mão de Sul B",10,IF(Atletas!K444="Choylayfut C",11,IF(Atletas!K444="Hunggar C",12,IF(Atletas!K444="Wuzuquan C",13,IF(Atletas!K444="Wingchun C",14,IF(Atletas!K444="Outra Mão de Sul C",15,IF(Atletas!K444="Choylayfut D",16,IF(Atletas!K444="Hunggar D",17,IF(Atletas!K444="Wuzuquan D",18,IF(Atletas!K444="Wingchun D",19,IF(Atletas!K444="Outra Mão de Sul D",20,IF(Atletas!K444="Choylayfut E",21,IF(Atletas!K444="Hunggar E",22,IF(Atletas!K444="Wuzuquan E",23,IF(Atletas!K444="Wingchun E",24,IF(Atletas!K444="Outra Mão de Sul E",25,IF(Atletas!K444="Choylayfut F",26,IF(Atletas!K444="Hunggar F",27,IF(Atletas!K444="Wuzuquan F",28,IF(Atletas!K444="Wingchun F",29,IF(Atletas!K444="Outra Mão de Sul F",30,""))))))))))))))))))))))))))))))))</f>
        <v/>
      </c>
      <c r="BL448" s="52" t="str">
        <f>IF(Atletas!L444="","",IF(Atletas!W444&lt;&gt;"",10000,0)+(IF(Atletas!B444="Feminino",1000,IF(Atletas!B444="Masculino",2000,""))+(IF(Atletas!L444="Chaquan A",101,IF(Atletas!L444="Emeiquan A",102,IF(Atletas!L444="Fanziquan A",103,IF(Atletas!L444="Huaquan A",104,IF(Atletas!L444="Hongquan A",105,IF(Atletas!L444="Paochui A",106,IF(Atletas!L444="Piguaquan A",107,IF(Atletas!L444="Shaolinquan A",108,IF(Atletas!L444="Tanglangquan A",109,IF(Atletas!L444="Yinzhaophai A",110,IF(Atletas!L444="Tongbeiquan A",111,IF(Atletas!L444="Wudangquan A",112,IF(Atletas!L444="Outros Estilos A",113,IF(Atletas!L444="Chaquan B",114,IF(Atletas!L444="Emeiquan B",115,IF(Atletas!L444="Fanziquan B",116,IF(Atletas!L444="Huaquan B",117,IF(Atletas!L444="Hongquan B",118,IF(Atletas!L444="Paochui B",119,IF(Atletas!L444="Piguaquan B",120,IF(Atletas!L444="Shaolinquan B",121,IF(Atletas!L444="Tanglangquan B",122,IF(Atletas!L444="Yinzhaophai B",123,IF(Atletas!L444="Tongbeiquan B",124,IF(Atletas!L444="Wudangquan B",125,IF(Atletas!L444="Outros Estilos B",126,IF(Atletas!L444="Chaquan C",127,IF(Atletas!L444="Emeiquan C",128,IF(Atletas!L444="Fanziquan C",129,IF(Atletas!L444="Huaquan C",130,IF(Atletas!L444="Hongquan C",131,IF(Atletas!L444="Paochui C",132,IF(Atletas!L444="Piguaquan C",133,IF(Atletas!L444="Shaolinquan C",134,IF(Atletas!L444="Tanglangquan C",135,IF(Atletas!L444="Yinzhaophai C",136,IF(Atletas!L444="Tongbeiquan C",137,IF(Atletas!L444="Wudangquan C",138,IF(Atletas!L444="Outros Estilos C",139,0))))))))))))))))))))))))))))))))))))))))))</f>
        <v/>
      </c>
      <c r="BM448" s="52" t="str">
        <f>IF(Atletas!L444="","",IF(Atletas!W444&lt;&gt;"",10000,0)+(IF(Atletas!B444="Feminino",1000,IF(Atletas!B444="Masculino",2000,""))+(IF(Atletas!L444="Chaquan D",140,IF(Atletas!L444="Emeiquan D",141,IF(Atletas!L444="Fanziquan D",142,IF(Atletas!L444="Huaquan D",143,IF(Atletas!L444="Hongquan D",144,IF(Atletas!L444="Paochui D",145,IF(Atletas!L444="Piguaquan D",146,IF(Atletas!L444="Shaolinquan D",147,IF(Atletas!L444="Tanglangquan D",148,IF(Atletas!L444="Yinzhaophai D",149,IF(Atletas!L444="Tongbeiquan D",150,IF(Atletas!L444="Wudangquan D",151,IF(Atletas!L444="Outros Estilos D",152,IF(Atletas!L444="Chaquan E",153,IF(Atletas!L444="Emeiquan E",154,IF(Atletas!L444="Fanziquan E",155,IF(Atletas!L444="Huaquan E",156,IF(Atletas!L444="Hongquan E",157,IF(Atletas!L444="Paochui E",158,IF(Atletas!L444="Piguaquan E",159,IF(Atletas!L444="Shaolinquan E",160,IF(Atletas!L444="Tanglangquan E",161,IF(Atletas!L444="Yinzhaophai E",162,IF(Atletas!L444="Tongbeiquan E",163,IF(Atletas!L444="Wudangquan E",164,IF(Atletas!L444="Outros Estilos E",165,IF(Atletas!L444="Chaquan F",166,IF(Atletas!L444="Emeiquan F",167,IF(Atletas!L444="Fanziquan F",168,IF(Atletas!L444="Huaquan F",169,IF(Atletas!L444="Hongquan F",170,IF(Atletas!L444="Paochui F",171,IF(Atletas!L444="Piguaquan F",172,IF(Atletas!L444="Shaolinquan F",173,IF(Atletas!L444="Tanglangquan F",174,IF(Atletas!L444="Yinzhaophai F",175,IF(Atletas!L444="Tongbeiquan F",176,IF(Atletas!L444="Wudangquan F",177,IF(Atletas!L444="Outros Estilos F",178,0))))))))))))))))))))))))))))))))))))))))))</f>
        <v/>
      </c>
      <c r="BN448" s="52" t="str">
        <f>IF(Atletas!M444="","",IF(Atletas!W444&lt;&gt;"",10000,0)+(IF(Atletas!B444="Feminino",1000,IF(Atletas!B444="Masculino",2000,""))+(IF(Atletas!M444="Ditangquan A",201,IF(Atletas!M444="Houquan A",202,IF(Atletas!M444="Zuiquan A",203,IF(Atletas!M444="Ditangquan B",204,IF(Atletas!M444="Houquan B",205,IF(Atletas!M444="Zuiquan B",206,IF(Atletas!M444="Ditangquan C",207,IF(Atletas!M444="Houquan C",208,IF(Atletas!M444="Zuiquan C",209,IF(Atletas!M444="Ditangquan D",210,IF(Atletas!M444="Houquan D",211,IF(Atletas!M444="Zuiquan D",212,IF(Atletas!M444="Ditangquan E",213,IF(Atletas!M444="Houquan E",214,IF(Atletas!M444="Zuiquan E",215,IF(Atletas!M444="Ditangquan F",216,IF(Atletas!M444="Houquan F",217,IF(Atletas!M444="Zuiquan F",218,"")))))))))))))))))))))</f>
        <v/>
      </c>
      <c r="BO448" s="52" t="str">
        <f>IF(Atletas!N444="","",IF(Atletas!W444&lt;&gt;"",10000,0)+IF(Atletas!B444="Feminino",1000,IF(Atletas!B444="Masculino",2000,""))+IF(Atletas!N444="Yang A",301,IF(Atletas!N444="Chen A",30,IF(Atletas!N444="Sun A",303,IF(Atletas!N444="Wu A",304,IF(Atletas!N444="Wu-Hao A",305,IF(Atletas!N444="Outro Taijiquan A",306,IF(Atletas!N444="Yang B",307,IF(Atletas!N444="Chen B",308,IF(Atletas!N444="Sun B",309,IF(Atletas!N444="Wu B",310,IF(Atletas!N444="Wu-Hao B",311,IF(Atletas!N444="Outro Taijiquan B",312,IF(Atletas!N444="Yang C",313,IF(Atletas!N444="Chen C",314,IF(Atletas!N444="Sun C",315,IF(Atletas!N444="Wu C",316,IF(Atletas!N444="Wu-Hao C",317,IF(Atletas!N444="Outro Taijiquan C",318,IF(Atletas!N444="Yang D",319,IF(Atletas!N444="Chen D",320,IF(Atletas!N444="Sun D",321,IF(Atletas!N444="Wu D",322,IF(Atletas!N444="Wu-Hao D",323,IF(Atletas!N444="Outro Taijiquan D",324,IF(Atletas!N444="Yang E",325,IF(Atletas!N444="Chen E",326,IF(Atletas!N444="Sun E",327,IF(Atletas!N444="Wu E",328,IF(Atletas!N444="Wu-Hao E",329,IF(Atletas!N444="Outro Taijiquan E",330,IF(Atletas!N444="Yang F",331,IF(Atletas!N444="Chen F",332,IF(Atletas!N444="Sun F",333,IF(Atletas!N444="Wu F",334,IF(Atletas!N444="Wu-Hao F",335,IF(Atletas!N444="Outro Taijiquan F",336,"")))))))))))))))))))))))))))))))))))))</f>
        <v/>
      </c>
      <c r="BP448" s="52" t="str">
        <f>IF(Atletas!O444="","",IF(Atletas!W444&lt;&gt;"",10000,0)+IF(Atletas!B444="Feminino",1000,IF(Atletas!B444="Masculino",2000,""))+IF(OR(Atletas!O444="Yang 26 A",Atletas!O444="Yang 40 A"),401,IF(OR(Atletas!O444="Chen 25 A",Atletas!O444="Chen 36 A",Atletas!O444="Chen 56 A"),402,IF(Atletas!O444="Sun 73 A",403,IF(Atletas!O444="Wu 45 A",404,IF(Atletas!O444="Wu-Hao 46 A",405,IF(OR(Atletas!O444="Taijiquan 16 A",Atletas!O444="Taijiquan 24 A",Atletas!O444="Taijiquan 32 A",Atletas!O444="Taijiquan 42 A"),406,IF(OR(Atletas!O444="Yang 26 B",Atletas!O444="Yang 40 B"),407,IF(OR(Atletas!O444="Chen 25 B",Atletas!O444="Chen 36 B",Atletas!O444="Chen 56 B"),408,IF(Atletas!O444="Sun 73 B",409,IF(Atletas!O444="Wu 45 B",410,IF(Atletas!O444="Wu-Hao 46 B",411,IF(OR(Atletas!O444="Taijiquan 16 B",Atletas!O444="Taijiquan 24 B",Atletas!O444="Taijiquan 32 B",Atletas!O444="Taijiquan 42 B"),412,IF(OR(Atletas!O444="Yang 26 C",Atletas!O444="Yang 40 C"),413,IF(OR(Atletas!O444="Chen 25 C",Atletas!O444="Chen 36 C",Atletas!O444="Chen 56 C"),414,IF(Atletas!O444="Sun 73 C",415,IF(Atletas!O444="Wu 45 C",416,IF(Atletas!O444="Wu-Hao 46 C",417,IF(OR(Atletas!O444="Taijiquan 16 C",Atletas!O444="Taijiquan 24 C",Atletas!O444="Taijiquan 32 C",Atletas!O444="Taijiquan 42 C"),418,0)))))))))))))))))))</f>
        <v/>
      </c>
      <c r="BQ448" s="52" t="str">
        <f>IF(Atletas!O444="","",IF(Atletas!W444&lt;&gt;"",10000,0)+IF(Atletas!B444="Feminino",1000,IF(Atletas!B444="Masculino",2000,""))+IF(OR(Atletas!O444="Yang 26 D",Atletas!O444="Yang 40 D"),419,IF(OR(Atletas!O444="Chen 25 D",Atletas!O444="Chen 36 D",Atletas!O444="Chen 56 D"),420,IF(Atletas!O444="Sun 73 D",421,IF(Atletas!O444="Wu 45 D",422,IF(Atletas!O444="Wu-Hao 46 D",423,IF(OR(Atletas!O444="Taijiquan 16 D",Atletas!O444="Taijiquan 24 D",Atletas!O444="Taijiquan 32 D",Atletas!O444="Taijiquan 42 D"),424,IF(OR(Atletas!O444="Yang 26 E",Atletas!O444="Yang 40 E"),425,IF(OR(Atletas!O444="Chen 25 E",Atletas!O444="Chen 36 E",Atletas!O444="Chen 56 E"),426,IF(Atletas!O444="Sun 73 E",427,IF(Atletas!O444="Wu 45 E",428,IF(Atletas!O444="Wu-Hao 46 E",429,IF(OR(Atletas!O444="Taijiquan 16 E",Atletas!O444="Taijiquan 24 E",Atletas!O444="Taijiquan 32 E",Atletas!O444="Taijiquan 42 E"),430,IF(OR(Atletas!O444="Yang 26 F",Atletas!O444="Yang 40 F"),431,IF(OR(Atletas!O444="Chen 25 F",Atletas!O444="Chen 36 F",Atletas!O444="Chen 56 F"),432,IF(Atletas!O444="Sun 73 F",433,IF(Atletas!O444="Wu 45 F",434,IF(Atletas!O444="Wu-Hao 46 F",435,IF(OR(Atletas!O444="Taijiquan 16 F",Atletas!O444="Taijiquan 24 F",Atletas!O444="Taijiquan 32 F",Atletas!O444="Taijiquan 42 F"),436,0)))))))))))))))))))</f>
        <v/>
      </c>
      <c r="BR448" s="52" t="str">
        <f>IF(Atletas!P444="","",IF(Atletas!W444&lt;&gt;"",10000,0)+IF(Atletas!B444="Feminino",1000,IF(Atletas!B444="Masculino",2000,""))+IF(Atletas!P444="Xingyiquan A",501,IF(Atletas!P444="Baguazhang A",502,IF(Atletas!P444="Outro Estilo Interno A",503,IF(Atletas!P444="Xingyiquan B",504,IF(Atletas!P444="Baguazhang B",505,IF(Atletas!P444="Outro Estilo Interno B",506,IF(Atletas!P444="Xingyiquan C",507,IF(Atletas!P444="Baguazhang C",508,IF(Atletas!P444="Outro Estilo Interno C",509,IF(Atletas!P444="Xingyiquan D",510,IF(Atletas!P444="Baguazhang D",511,IF(Atletas!P444="Outro Estilo Interno D",512,IF(Atletas!P444="Xingyiquan E",513,IF(Atletas!P444="Baguazhang E",514,IF(Atletas!P444="Outro Estilo Interno E",515,IF(Atletas!P444="Xingyiquan F",516,IF(Atletas!P444="Baguazhang F",517,IF(Atletas!P444="Outro Estilo Interno F",518, "")))))))))))))))))))</f>
        <v/>
      </c>
      <c r="BS448" s="52" t="str">
        <f>IF(Atletas!Q444="","",IF(Atletas!W444&lt;&gt;"",10000,0)+IF(Atletas!B444="Feminino",1000,IF(Atletas!B444="Masculino",2000,""))+IF(Atletas!Q444="Dao A",601,IF(Atletas!Q444="Jian A",602,IF(Atletas!Q444="Bishou A",603,IF(Atletas!Q444="Shan A",604,IF(Atletas!Q444="Outra Arma Curta A",605,IF(Atletas!Q444="Dao B",606,IF(Atletas!Q444="Jian B",607,IF(Atletas!Q444="Bishou B",608,IF(Atletas!Q444="Shan B",609,IF(Atletas!Q444="Outra Arma Curta B",610,IF(Atletas!Q444="Dao C",611,IF(Atletas!Q444="Jian C",612,IF(Atletas!Q444="Bishou C",613,IF(Atletas!Q444="Shan C",614,IF(Atletas!Q444="Outra Arma Curta C",615,IF(Atletas!Q444="Dao D",616,IF(Atletas!Q444="Jian D",617,IF(Atletas!Q444="Bishou D",618,IF(Atletas!Q444="Shan D",619,IF(Atletas!Q444="Outra Arma Curta D",620,IF(Atletas!Q444="Dao E",621,IF(Atletas!Q444="Jian E",622,IF(Atletas!Q444="Bishou E",623,IF(Atletas!Q444="Shan E",624,IF(Atletas!Q444="Outra Arma Curta E",625,IF(Atletas!Q444="Dao F",626,IF(Atletas!Q444="Jian F",627,IF(Atletas!Q444="Bishou F",628,IF(Atletas!Q444="Shan F",629,IF(Atletas!Q444="Outra Arma Curta F",630, "")))))))))))))))))))))))))))))))</f>
        <v/>
      </c>
      <c r="BT448" s="52" t="str">
        <f>IF(Atletas!R444="","",IF(Atletas!W444&lt;&gt;"",10000,0)+IF(Atletas!B444="Feminino",1000,IF(Atletas!B444="Masculino",2000,""))+IF(Atletas!R444="Gun A",701,IF(Atletas!R444="Qiang A",702,IF(Atletas!R444="Pudao / Guandao A",703,IF(Atletas!R444="Outra Arma Longa A",704,IF(Atletas!R444="Gun B",705,IF(Atletas!R444="Qiang B",706,IF(Atletas!R444="Pudao / Guandao B",707,IF(Atletas!R444="Outra Arma Longa B",708,IF(Atletas!R444="Gun C",709,IF(Atletas!R444="Qiang C",710,IF(Atletas!R444="Pudao / Guandao C",711,IF(Atletas!R444="Outra Arma Longa C",712,IF(Atletas!R444="Gun D",713,IF(Atletas!R444="Qiang D",714,IF(Atletas!R444="Pudao / Guandao D",715,IF(Atletas!R444="Outra Arma Longa D",716,IF(Atletas!R444="Gun E",717,IF(Atletas!R444="Qiang E",718,IF(Atletas!R444="Pudao / Guandao E",719,IF(Atletas!R444="Outra Arma Longa E",720,IF(Atletas!R444="Gun F",721,IF(Atletas!R444="Qiang F",722,IF(Atletas!R444="Pudao / Guandao F",723,IF(Atletas!R444="Outra Arma Longa F",724,"")))))))))))))))))))))))))</f>
        <v/>
      </c>
      <c r="BU448" s="52" t="str">
        <f>IF(Atletas!S444="","",IF(Atletas!W444&lt;&gt;"",10000,0)+IF(Atletas!B444="Feminino",1000,IF(Atletas!B444="Masculino",2000,""))+IF(Atletas!S444="Arma Dupla A",801,IF(Atletas!S444="Arma Maleável A",802,IF(Atletas!S444="Arma Dupla B",803,IF(Atletas!S444="Arma Maleável B",804,IF(Atletas!S444="Arma Dupla C",805,IF(Atletas!S444="Arma Maleável C",806,IF(Atletas!S444="Arma Dupla D",807,IF(Atletas!S444="Arma Maleável D",808,IF(Atletas!S444="Arma Dupla E",809,IF(Atletas!S444="Arma Maleável E",810,IF(Atletas!S444="Arma Dupla F",811,IF(Atletas!S444="Arma Maleável F",812, "")))))))))))))</f>
        <v/>
      </c>
      <c r="BV448" s="52" t="str">
        <f>IF(Atletas!T444="","",IF(Atletas!W444&lt;&gt;"",10000,0)+IF(Atletas!B444="Feminino",1000,IF(Atletas!B444="Masculino",2000,""))+IF(Atletas!T444="Taijijian Yang A",901,IF(Atletas!T444="Taijijian Chen A",902,IF(Atletas!T444="Taijijian Sun A",903,IF(Atletas!T444="Taijijian Wu A",904,IF(Atletas!T444="Taijijian Wu-Hao A",905,IF(Atletas!T444="Taijijian 32 A",906,IF(Atletas!T444="Taijijian 42 A",907,IF(Atletas!T444="Taijijian Yang B",908,IF(Atletas!T444="Taijijian Chen B",909,IF(Atletas!T444="Taijijian Sun B",910,IF(Atletas!T444="Taijijian Wu B",911,IF(Atletas!T444="Taijijian Wu-Hao B",912,IF(Atletas!T444="Taijijian 32 B",913,IF(Atletas!T444="Taijijian 42 B",914,IF(Atletas!T444="Taijijian Yang C",915,IF(Atletas!T444="Taijijian Chen C",916,IF(Atletas!T444="Taijijian Sun C",917,IF(Atletas!T444="Taijijian Wu C",918,IF(Atletas!T444="Taijijian Wu-Hao C",919,IF(Atletas!T444="Taijijian 32 C",920,IF(Atletas!T444="Taijijian 42 C",921,IF(Atletas!T444="Taijijian Yang D",922,IF(Atletas!T444="Taijijian Chen D",923,IF(Atletas!T444="Taijijian Sun D",924,IF(Atletas!T444="Taijijian Wu D",925,IF(Atletas!T444="Taijijian Wu-Hao D",926,IF(Atletas!T444="Taijijian 32 D",927,IF(Atletas!T444="Taijijian 42 D",928,IF(Atletas!T444="Taijijian Yang E",929,IF(Atletas!T444="Taijijian Chen E",930,IF(Atletas!T444="Taijijian Sun E",931,IF(Atletas!T444="Taijijian Wu E",932,IF(Atletas!T444="Taijijian Wu-Hao E",933,IF(Atletas!T444="Taijijian 32 E",934,IF(Atletas!T444="Taijijian 42 E",935,IF(Atletas!T444="Taijijian Yang F",936,IF(Atletas!T444="Taijijian Chen F",937,IF(Atletas!T444="Taijijian Sun F",938,IF(Atletas!T444="Taijijian Wu F",939,IF(Atletas!T444="Taijijian Wu-Hao F",940,IF(Atletas!T444="Taijijian 32 F",941,IF(Atletas!T444="Taijijian 42 F",942,"")))))))))))))))))))))))))))))))))))))))))))</f>
        <v/>
      </c>
      <c r="BW448" s="52" t="str">
        <f>IF(Atletas!U444="","",IF(Atletas!W444&lt;&gt;"",10000,0)+IF(Atletas!B444="Feminino",1000,IF(Atletas!B444="Masculino",2000,""))+IF(Atletas!T444="Taijijian 42 F",942,IF(Atletas!U444="Taijidao A",943,IF(Atletas!U444="Taijishan A",944,IF(Atletas!U444="Taijiqiang A",945,IF(Atletas!U444="Taijidao B",946,IF(Atletas!U444="Taijishan B",947,IF(Atletas!U444="Taijiqiang B",948,IF(Atletas!U444="Taijidao C",949,IF(Atletas!U444="Taijishan C",950,IF(Atletas!U444="Taijiqiang C",951,IF(Atletas!U444="Taijidao D",952,IF(Atletas!U444="Taijishan D",953,IF(Atletas!U444="Taijiqiang D",954,IF(Atletas!U444="Taijidao E",955,IF(Atletas!U444="Taijishan E",956,IF(Atletas!U444="Taijiqiang E",957,IF(Atletas!U444="Taijidao F",958,IF(Atletas!U444="Taijishan F",959,IF(Atletas!U444="Taijiqiang F",960))))))))))))))))))))</f>
        <v/>
      </c>
      <c r="CF448" s="52" t="str">
        <f xml:space="preserve"> IF(Atletas!V444="","",IF(Atletas!V444="Duilian de Mãos AB - Equipe 1",1,IF(Atletas!V444="Duilian de Mãos AB - Equipe 2",2,IF(Atletas!V444="Duilian de Armas AB - Equipe 1",3,IF(Atletas!V444="Duilian de Armas AB - Equipe 2",4,IF(Atletas!V444="Duilian de Tuishou - Equipe 1",5,IF(Atletas!V444="Duilian de Tuishou - Equipe 2",6,IF(Atletas!V444="Grupo Externo AB - Equipe 1",7,IF(Atletas!V444="Grupo Externo AB - Equipe 2",8,IF(Atletas!V444="Grupo Interno AB - Equipe 1",9,IF(Atletas!V444="Grupo Interno AB - Equipe 2",10,IF(Atletas!V444="Duilian de Mãos CD - Equipe 1",11,IF(Atletas!V444="Duilian de Mãos CD - Equipe 2",12,IF(Atletas!V444="Duilian de Armas CD - Equipe 1",13,IF(Atletas!V444="Duilian de Armas CD - Equipe 2",14,IF(Atletas!V444="Duilian de Tuishou - Equipe 1",15,IF(Atletas!V444="Duilian de Tuishou - Equipe 2",16,IF(Atletas!V444="Grupo Externo CDEF - Equipe 1",17,IF(Atletas!V444="Grupo Externo CDEF - Equipe 2",18,IF(Atletas!V444="Grupo Interno CDEF - Equipe 1",19,IF(Atletas!V444="Grupo Interno CDEF - Equipe 2",20,IF(Atletas!V444="Duilian de Mãos EF - Equipe 1",21,IF(Atletas!V444="Duilian de Mãos EF - Equipe 2",22,IF(Atletas!V444="Duilian de Armas EF - Equipe 1",23,IF(Atletas!V444="Duilian de Armas EF - Equipe 2",24,IF(Atletas!V444="Duilian de Tuishou - Equipe 1",25,IF(Atletas!V444="Duilian de Tuishou - Equipe 2",26,"")))))))))))))))))))))))))))</f>
        <v/>
      </c>
    </row>
    <row r="449" spans="36:84">
      <c r="AJ449" s="46" t="str">
        <f>IF(Atletas!D445="","",IF(Atletas!B445="Feminino",100,IF(Atletas!B445="Masculino",200,""))+(IF(Atletas!D445="Infantil 39kg",1,IF(Atletas!D445="Infantil 42kg",2,IF(Atletas!D445="Infantil 45kg",3,IF(Atletas!D445="Infantil 48kg",4,IF(Atletas!D445="Infantil 52kg",5,IF(Atletas!D445="Infantil 56kg",6,IF(Atletas!D445="Infantil 60kg",7,IF(Atletas!D445="Juvenil 48kg",8,IF(Atletas!D445="Juvenil 52kg",9,IF(Atletas!D445="Juvenil 56kg",10,IF(Atletas!D445="Juvenil 60kg",11,IF(Atletas!D445="Juvenil 65kg",12,IF(Atletas!D445="Juvenil 70kg",13,IF(Atletas!D445="Juvenil 75kg",14,IF(Atletas!D445="Juvenil 80kg",15,IF(Atletas!D445="Adulto 48kg",16,IF(Atletas!D445="Adulto 52kg",17,IF(Atletas!D445="Adulto 56kg",18,IF(Atletas!D445="Adulto 60kg",19,IF(Atletas!D445="Adulto 65kg",20,IF(Atletas!D445="Adulto 70kg",21,IF(Atletas!D445="Adulto 75kg",22,IF(Atletas!D445="Adulto 80kg",23,IF(Atletas!D445="Adulto 85kg",24,IF(Atletas!D445="Adulto 90kg",25,IF(Atletas!D445="Adulto +90kg",26,""))))))))))))))))))))))))))))</f>
        <v/>
      </c>
      <c r="AO449" s="10" t="str">
        <f>IF(Atletas!E445="","",IF(Atletas!B445="Feminino",100,IF(Atletas!B445="Masculino",200,""))+(IF(Atletas!E445="Juvenil 44kg",1,IF(Atletas!E445="Juvenil 48kg",2,IF(Atletas!E445="Juvenil 52kg",3,IF(Atletas!E445="Juvenil 56kg",4,IF(Atletas!E445="Juvenil 60kg",5,IF(Atletas!E445="Juvenil 65kg",6,IF(Atletas!E445="Juvenil 70kg",7,IF(Atletas!E445="Juvenil 75kg",8,IF(Atletas!E445="Juvenil 82kg",9,IF(Atletas!E445="Juvenil 90kg",10,IF(Atletas!E445="Juvenil 100kg",11,IF(Atletas!E445="Adulto 48kg",12,IF(Atletas!E445="Adulto 52kg",13,IF(Atletas!E445="Adulto 56kg",14,IF(Atletas!E445="Adulto 60kg",15,IF(Atletas!E445="Adulto 65kg",16,IF(Atletas!E445="Adulto 70kg",17,IF(Atletas!E445="Adulto 75kg",18,IF(Atletas!E445="Adulto 82kg",19,IF(Atletas!E445="Adulto 90kg",20,IF(Atletas!E445="Adulto 100kg",21,IF(Atletas!E445="Adulto +100kg",22,""))))))))))))))))))))))))</f>
        <v/>
      </c>
      <c r="AT449" s="10" t="str">
        <f>IF(Atletas!F445="","",IF(Atletas!B445="Feminino",100,IF(Atletas!B445="Masculino",200,""))+(IF(Atletas!F445="Adulto 48kg",1,IF(Atletas!F445="Adulto 56kg",2,IF(Atletas!F445="Adulto 65kg",3,IF(Atletas!F445="Adulto 75kg",4,IF(Atletas!F445="Adulto +75kg",5,IF(Atletas!F445="Adulto 52kg",6,IF(Atletas!F445="Adulto 60kg",7,IF(Atletas!F445="Adulto 70kg",8,IF(Atletas!F445="Adulto 80kg",9,IF(Atletas!F445="Adulto 90kg",10,IF(Atletas!F445="Adulto +90kg",11,"")))))))))))))</f>
        <v/>
      </c>
      <c r="AY449" s="46" t="str">
        <f>IF(Atletas!G445="","",IF(Atletas!B445="Feminino",100,IF(Atletas!B445="Masculino",200,""))+(IF(Atletas!G445="Changquan Mirim",1,IF(Atletas!G445="Nanquan Mirim",2,IF(Atletas!G445="Taijiquan Mirim",3,IF(Atletas!G445="Changquan Grupo C",4,IF(Atletas!G445="Nanquan Grupo C",5,IF(Atletas!G445="Taijiquan Grupo C",6,IF(Atletas!G445="Changquan Grupo B",7,IF(Atletas!G445="Nanquan Grupo B",8,IF(Atletas!G445="Taijiquan Grupo B",9,IF(Atletas!G445="Changquan Grupo A",10,IF(Atletas!G445="Nanquan Grupo A",11,IF(Atletas!G445="Taijiquan Grupo A",12,IF(Atletas!G445="Changquan Opcional",13,IF(Atletas!G445="Nanquan Opcional",14,IF(Atletas!G445="Taijiquan Opcional",15,IF(Atletas!G445="Changquan Adulto",16,IF(Atletas!G445="Nanquan Adulto",17,IF(Atletas!G445="Taijiquan Adulto",18,""))))))))))))))))))))</f>
        <v/>
      </c>
      <c r="AZ449" s="46" t="str">
        <f>IF(Atletas!H445="","",IF(Atletas!B445="Feminino",100,IF(Atletas!B445="Masculino",200,""))+(IF(Atletas!H445="Daoshu Mirim",19,IF(Atletas!H445="Jianshu Mirim",20,IF(Atletas!H445="Nandao Mirim",21,IF(Atletas!H445="Taijijian Mirim",22,IF(Atletas!H445="Daoshu Grupo C",23,IF(Atletas!H445="Jianshu Grupo C",24,IF(Atletas!H445="Nandao Grupo C",25,IF(Atletas!H445="Taijijian Grupo C",26,IF(Atletas!H445="Daoshu Grupo B",27,IF(Atletas!H445="Jianshu Grupo B",28,IF(Atletas!H445="Nandao Grupo B",29,IF(Atletas!H445="Taijijian Grupo B",30,IF(Atletas!H445="Daoshu Grupo A",31,IF(Atletas!H445="Jianshu Grupo A",32,IF(Atletas!H445="Nandao Grupo A",33,IF(Atletas!H445="Taijijian Grupo A",34,IF(Atletas!H445="Daoshu Opcional",35,IF(Atletas!H445="Jianshu Opcional",36,IF(Atletas!H445="Nandao Opcional",37,IF(Atletas!H445="Taijijian Opcional",38,IF(Atletas!H445="Daoshu Adulto",39,IF(Atletas!H445="Jianshu Adulto",40,IF(Atletas!H445="Nandao Adulto",41,IF(Atletas!H445="Taijijian Adulto",42,""))))))))))))))))))))))))))</f>
        <v/>
      </c>
      <c r="BA449" s="46" t="str">
        <f>IF(Atletas!I445="","",IF(Atletas!B445="Feminino",100,IF(Atletas!B445="Masculino",200,""))+(IF(Atletas!I445="Gunshu Mirim",43,IF(Atletas!I445="Qiangshu Mirim",44,IF(Atletas!I445="Nangun Mirim",45,IF(Atletas!I445="Gunshu Grupo C",46,IF(Atletas!I445="Qiangshu Grupo C",47,IF(Atletas!I445="Nangun Grupo C",48,IF(Atletas!I445="Gunshu Grupo B",49,IF(Atletas!I445="Qiangshu Grupo B",50,IF(Atletas!I445="Nangun Grupo B",51,IF(Atletas!I445="Gunshu Grupo A",52,IF(Atletas!I445="Qiangshu Grupo A",53,IF(Atletas!I445="Nangun Grupo A",54,IF(Atletas!I445="Gunshu Opcional",55,IF(Atletas!I445="Qiangshu Opcional",56,IF(Atletas!I445="Nangun Opcional",57,IF(Atletas!I445="Gunshu Adulto",58,IF(Atletas!I445="Qiangshu Adulto",59,IF(Atletas!I445="Nangun Adulto",60,""))))))))))))))))))))</f>
        <v/>
      </c>
      <c r="BF449" s="52" t="str">
        <f>IF(Atletas!J445="","",IF(Atletas!B445="Feminino",100,IF(Atletas!B445="Masculino",200,""))+(IF(Atletas!J445="Equipe 1 Grupo B",1,IF(Atletas!J445="Equipe 2 Grupo B",2,IF(Atletas!J445="Equipe 1 Grupo A",3,IF(Atletas!J445="Equipe 2 Grupo A",4,IF(Atletas!J445="Equipe 1 Adulto",5,IF(Atletas!J445="Equipe 2 Adulto",6,""))))))))</f>
        <v/>
      </c>
      <c r="BK449" s="52" t="str">
        <f>IF(Atletas!K445="","",IF(Atletas!W445&lt;&gt;"",10000,0)+(IF(Atletas!B445="Feminino",1000,IF(Atletas!B445="Masculino",2000,""))+IF(Atletas!K445="Choylayfut A",1,IF(Atletas!K445="Hunggar A",2,IF(Atletas!K445="Wuzuquan A",3,IF(Atletas!K445="Wingchun A",4,IF(Atletas!K445="Outra Mão de Sul A",5,IF(Atletas!K445="Choylayfut B",6,IF(Atletas!K445="Hunggar B",7,IF(Atletas!K445="Wuzuquan B",8,IF(Atletas!K445="Wingchun B",9,IF(Atletas!K445="Outra Mão de Sul B",10,IF(Atletas!K445="Choylayfut C",11,IF(Atletas!K445="Hunggar C",12,IF(Atletas!K445="Wuzuquan C",13,IF(Atletas!K445="Wingchun C",14,IF(Atletas!K445="Outra Mão de Sul C",15,IF(Atletas!K445="Choylayfut D",16,IF(Atletas!K445="Hunggar D",17,IF(Atletas!K445="Wuzuquan D",18,IF(Atletas!K445="Wingchun D",19,IF(Atletas!K445="Outra Mão de Sul D",20,IF(Atletas!K445="Choylayfut E",21,IF(Atletas!K445="Hunggar E",22,IF(Atletas!K445="Wuzuquan E",23,IF(Atletas!K445="Wingchun E",24,IF(Atletas!K445="Outra Mão de Sul E",25,IF(Atletas!K445="Choylayfut F",26,IF(Atletas!K445="Hunggar F",27,IF(Atletas!K445="Wuzuquan F",28,IF(Atletas!K445="Wingchun F",29,IF(Atletas!K445="Outra Mão de Sul F",30,""))))))))))))))))))))))))))))))))</f>
        <v/>
      </c>
      <c r="BL449" s="52" t="str">
        <f>IF(Atletas!L445="","",IF(Atletas!W445&lt;&gt;"",10000,0)+(IF(Atletas!B445="Feminino",1000,IF(Atletas!B445="Masculino",2000,""))+(IF(Atletas!L445="Chaquan A",101,IF(Atletas!L445="Emeiquan A",102,IF(Atletas!L445="Fanziquan A",103,IF(Atletas!L445="Huaquan A",104,IF(Atletas!L445="Hongquan A",105,IF(Atletas!L445="Paochui A",106,IF(Atletas!L445="Piguaquan A",107,IF(Atletas!L445="Shaolinquan A",108,IF(Atletas!L445="Tanglangquan A",109,IF(Atletas!L445="Yinzhaophai A",110,IF(Atletas!L445="Tongbeiquan A",111,IF(Atletas!L445="Wudangquan A",112,IF(Atletas!L445="Outros Estilos A",113,IF(Atletas!L445="Chaquan B",114,IF(Atletas!L445="Emeiquan B",115,IF(Atletas!L445="Fanziquan B",116,IF(Atletas!L445="Huaquan B",117,IF(Atletas!L445="Hongquan B",118,IF(Atletas!L445="Paochui B",119,IF(Atletas!L445="Piguaquan B",120,IF(Atletas!L445="Shaolinquan B",121,IF(Atletas!L445="Tanglangquan B",122,IF(Atletas!L445="Yinzhaophai B",123,IF(Atletas!L445="Tongbeiquan B",124,IF(Atletas!L445="Wudangquan B",125,IF(Atletas!L445="Outros Estilos B",126,IF(Atletas!L445="Chaquan C",127,IF(Atletas!L445="Emeiquan C",128,IF(Atletas!L445="Fanziquan C",129,IF(Atletas!L445="Huaquan C",130,IF(Atletas!L445="Hongquan C",131,IF(Atletas!L445="Paochui C",132,IF(Atletas!L445="Piguaquan C",133,IF(Atletas!L445="Shaolinquan C",134,IF(Atletas!L445="Tanglangquan C",135,IF(Atletas!L445="Yinzhaophai C",136,IF(Atletas!L445="Tongbeiquan C",137,IF(Atletas!L445="Wudangquan C",138,IF(Atletas!L445="Outros Estilos C",139,0))))))))))))))))))))))))))))))))))))))))))</f>
        <v/>
      </c>
      <c r="BM449" s="52" t="str">
        <f>IF(Atletas!L445="","",IF(Atletas!W445&lt;&gt;"",10000,0)+(IF(Atletas!B445="Feminino",1000,IF(Atletas!B445="Masculino",2000,""))+(IF(Atletas!L445="Chaquan D",140,IF(Atletas!L445="Emeiquan D",141,IF(Atletas!L445="Fanziquan D",142,IF(Atletas!L445="Huaquan D",143,IF(Atletas!L445="Hongquan D",144,IF(Atletas!L445="Paochui D",145,IF(Atletas!L445="Piguaquan D",146,IF(Atletas!L445="Shaolinquan D",147,IF(Atletas!L445="Tanglangquan D",148,IF(Atletas!L445="Yinzhaophai D",149,IF(Atletas!L445="Tongbeiquan D",150,IF(Atletas!L445="Wudangquan D",151,IF(Atletas!L445="Outros Estilos D",152,IF(Atletas!L445="Chaquan E",153,IF(Atletas!L445="Emeiquan E",154,IF(Atletas!L445="Fanziquan E",155,IF(Atletas!L445="Huaquan E",156,IF(Atletas!L445="Hongquan E",157,IF(Atletas!L445="Paochui E",158,IF(Atletas!L445="Piguaquan E",159,IF(Atletas!L445="Shaolinquan E",160,IF(Atletas!L445="Tanglangquan E",161,IF(Atletas!L445="Yinzhaophai E",162,IF(Atletas!L445="Tongbeiquan E",163,IF(Atletas!L445="Wudangquan E",164,IF(Atletas!L445="Outros Estilos E",165,IF(Atletas!L445="Chaquan F",166,IF(Atletas!L445="Emeiquan F",167,IF(Atletas!L445="Fanziquan F",168,IF(Atletas!L445="Huaquan F",169,IF(Atletas!L445="Hongquan F",170,IF(Atletas!L445="Paochui F",171,IF(Atletas!L445="Piguaquan F",172,IF(Atletas!L445="Shaolinquan F",173,IF(Atletas!L445="Tanglangquan F",174,IF(Atletas!L445="Yinzhaophai F",175,IF(Atletas!L445="Tongbeiquan F",176,IF(Atletas!L445="Wudangquan F",177,IF(Atletas!L445="Outros Estilos F",178,0))))))))))))))))))))))))))))))))))))))))))</f>
        <v/>
      </c>
      <c r="BN449" s="52" t="str">
        <f>IF(Atletas!M445="","",IF(Atletas!W445&lt;&gt;"",10000,0)+(IF(Atletas!B445="Feminino",1000,IF(Atletas!B445="Masculino",2000,""))+(IF(Atletas!M445="Ditangquan A",201,IF(Atletas!M445="Houquan A",202,IF(Atletas!M445="Zuiquan A",203,IF(Atletas!M445="Ditangquan B",204,IF(Atletas!M445="Houquan B",205,IF(Atletas!M445="Zuiquan B",206,IF(Atletas!M445="Ditangquan C",207,IF(Atletas!M445="Houquan C",208,IF(Atletas!M445="Zuiquan C",209,IF(Atletas!M445="Ditangquan D",210,IF(Atletas!M445="Houquan D",211,IF(Atletas!M445="Zuiquan D",212,IF(Atletas!M445="Ditangquan E",213,IF(Atletas!M445="Houquan E",214,IF(Atletas!M445="Zuiquan E",215,IF(Atletas!M445="Ditangquan F",216,IF(Atletas!M445="Houquan F",217,IF(Atletas!M445="Zuiquan F",218,"")))))))))))))))))))))</f>
        <v/>
      </c>
      <c r="BO449" s="52" t="str">
        <f>IF(Atletas!N445="","",IF(Atletas!W445&lt;&gt;"",10000,0)+IF(Atletas!B445="Feminino",1000,IF(Atletas!B445="Masculino",2000,""))+IF(Atletas!N445="Yang A",301,IF(Atletas!N445="Chen A",30,IF(Atletas!N445="Sun A",303,IF(Atletas!N445="Wu A",304,IF(Atletas!N445="Wu-Hao A",305,IF(Atletas!N445="Outro Taijiquan A",306,IF(Atletas!N445="Yang B",307,IF(Atletas!N445="Chen B",308,IF(Atletas!N445="Sun B",309,IF(Atletas!N445="Wu B",310,IF(Atletas!N445="Wu-Hao B",311,IF(Atletas!N445="Outro Taijiquan B",312,IF(Atletas!N445="Yang C",313,IF(Atletas!N445="Chen C",314,IF(Atletas!N445="Sun C",315,IF(Atletas!N445="Wu C",316,IF(Atletas!N445="Wu-Hao C",317,IF(Atletas!N445="Outro Taijiquan C",318,IF(Atletas!N445="Yang D",319,IF(Atletas!N445="Chen D",320,IF(Atletas!N445="Sun D",321,IF(Atletas!N445="Wu D",322,IF(Atletas!N445="Wu-Hao D",323,IF(Atletas!N445="Outro Taijiquan D",324,IF(Atletas!N445="Yang E",325,IF(Atletas!N445="Chen E",326,IF(Atletas!N445="Sun E",327,IF(Atletas!N445="Wu E",328,IF(Atletas!N445="Wu-Hao E",329,IF(Atletas!N445="Outro Taijiquan E",330,IF(Atletas!N445="Yang F",331,IF(Atletas!N445="Chen F",332,IF(Atletas!N445="Sun F",333,IF(Atletas!N445="Wu F",334,IF(Atletas!N445="Wu-Hao F",335,IF(Atletas!N445="Outro Taijiquan F",336,"")))))))))))))))))))))))))))))))))))))</f>
        <v/>
      </c>
      <c r="BP449" s="52" t="str">
        <f>IF(Atletas!O445="","",IF(Atletas!W445&lt;&gt;"",10000,0)+IF(Atletas!B445="Feminino",1000,IF(Atletas!B445="Masculino",2000,""))+IF(OR(Atletas!O445="Yang 26 A",Atletas!O445="Yang 40 A"),401,IF(OR(Atletas!O445="Chen 25 A",Atletas!O445="Chen 36 A",Atletas!O445="Chen 56 A"),402,IF(Atletas!O445="Sun 73 A",403,IF(Atletas!O445="Wu 45 A",404,IF(Atletas!O445="Wu-Hao 46 A",405,IF(OR(Atletas!O445="Taijiquan 16 A",Atletas!O445="Taijiquan 24 A",Atletas!O445="Taijiquan 32 A",Atletas!O445="Taijiquan 42 A"),406,IF(OR(Atletas!O445="Yang 26 B",Atletas!O445="Yang 40 B"),407,IF(OR(Atletas!O445="Chen 25 B",Atletas!O445="Chen 36 B",Atletas!O445="Chen 56 B"),408,IF(Atletas!O445="Sun 73 B",409,IF(Atletas!O445="Wu 45 B",410,IF(Atletas!O445="Wu-Hao 46 B",411,IF(OR(Atletas!O445="Taijiquan 16 B",Atletas!O445="Taijiquan 24 B",Atletas!O445="Taijiquan 32 B",Atletas!O445="Taijiquan 42 B"),412,IF(OR(Atletas!O445="Yang 26 C",Atletas!O445="Yang 40 C"),413,IF(OR(Atletas!O445="Chen 25 C",Atletas!O445="Chen 36 C",Atletas!O445="Chen 56 C"),414,IF(Atletas!O445="Sun 73 C",415,IF(Atletas!O445="Wu 45 C",416,IF(Atletas!O445="Wu-Hao 46 C",417,IF(OR(Atletas!O445="Taijiquan 16 C",Atletas!O445="Taijiquan 24 C",Atletas!O445="Taijiquan 32 C",Atletas!O445="Taijiquan 42 C"),418,0)))))))))))))))))))</f>
        <v/>
      </c>
      <c r="BQ449" s="52" t="str">
        <f>IF(Atletas!O445="","",IF(Atletas!W445&lt;&gt;"",10000,0)+IF(Atletas!B445="Feminino",1000,IF(Atletas!B445="Masculino",2000,""))+IF(OR(Atletas!O445="Yang 26 D",Atletas!O445="Yang 40 D"),419,IF(OR(Atletas!O445="Chen 25 D",Atletas!O445="Chen 36 D",Atletas!O445="Chen 56 D"),420,IF(Atletas!O445="Sun 73 D",421,IF(Atletas!O445="Wu 45 D",422,IF(Atletas!O445="Wu-Hao 46 D",423,IF(OR(Atletas!O445="Taijiquan 16 D",Atletas!O445="Taijiquan 24 D",Atletas!O445="Taijiquan 32 D",Atletas!O445="Taijiquan 42 D"),424,IF(OR(Atletas!O445="Yang 26 E",Atletas!O445="Yang 40 E"),425,IF(OR(Atletas!O445="Chen 25 E",Atletas!O445="Chen 36 E",Atletas!O445="Chen 56 E"),426,IF(Atletas!O445="Sun 73 E",427,IF(Atletas!O445="Wu 45 E",428,IF(Atletas!O445="Wu-Hao 46 E",429,IF(OR(Atletas!O445="Taijiquan 16 E",Atletas!O445="Taijiquan 24 E",Atletas!O445="Taijiquan 32 E",Atletas!O445="Taijiquan 42 E"),430,IF(OR(Atletas!O445="Yang 26 F",Atletas!O445="Yang 40 F"),431,IF(OR(Atletas!O445="Chen 25 F",Atletas!O445="Chen 36 F",Atletas!O445="Chen 56 F"),432,IF(Atletas!O445="Sun 73 F",433,IF(Atletas!O445="Wu 45 F",434,IF(Atletas!O445="Wu-Hao 46 F",435,IF(OR(Atletas!O445="Taijiquan 16 F",Atletas!O445="Taijiquan 24 F",Atletas!O445="Taijiquan 32 F",Atletas!O445="Taijiquan 42 F"),436,0)))))))))))))))))))</f>
        <v/>
      </c>
      <c r="BR449" s="52" t="str">
        <f>IF(Atletas!P445="","",IF(Atletas!W445&lt;&gt;"",10000,0)+IF(Atletas!B445="Feminino",1000,IF(Atletas!B445="Masculino",2000,""))+IF(Atletas!P445="Xingyiquan A",501,IF(Atletas!P445="Baguazhang A",502,IF(Atletas!P445="Outro Estilo Interno A",503,IF(Atletas!P445="Xingyiquan B",504,IF(Atletas!P445="Baguazhang B",505,IF(Atletas!P445="Outro Estilo Interno B",506,IF(Atletas!P445="Xingyiquan C",507,IF(Atletas!P445="Baguazhang C",508,IF(Atletas!P445="Outro Estilo Interno C",509,IF(Atletas!P445="Xingyiquan D",510,IF(Atletas!P445="Baguazhang D",511,IF(Atletas!P445="Outro Estilo Interno D",512,IF(Atletas!P445="Xingyiquan E",513,IF(Atletas!P445="Baguazhang E",514,IF(Atletas!P445="Outro Estilo Interno E",515,IF(Atletas!P445="Xingyiquan F",516,IF(Atletas!P445="Baguazhang F",517,IF(Atletas!P445="Outro Estilo Interno F",518, "")))))))))))))))))))</f>
        <v/>
      </c>
      <c r="BS449" s="52" t="str">
        <f>IF(Atletas!Q445="","",IF(Atletas!W445&lt;&gt;"",10000,0)+IF(Atletas!B445="Feminino",1000,IF(Atletas!B445="Masculino",2000,""))+IF(Atletas!Q445="Dao A",601,IF(Atletas!Q445="Jian A",602,IF(Atletas!Q445="Bishou A",603,IF(Atletas!Q445="Shan A",604,IF(Atletas!Q445="Outra Arma Curta A",605,IF(Atletas!Q445="Dao B",606,IF(Atletas!Q445="Jian B",607,IF(Atletas!Q445="Bishou B",608,IF(Atletas!Q445="Shan B",609,IF(Atletas!Q445="Outra Arma Curta B",610,IF(Atletas!Q445="Dao C",611,IF(Atletas!Q445="Jian C",612,IF(Atletas!Q445="Bishou C",613,IF(Atletas!Q445="Shan C",614,IF(Atletas!Q445="Outra Arma Curta C",615,IF(Atletas!Q445="Dao D",616,IF(Atletas!Q445="Jian D",617,IF(Atletas!Q445="Bishou D",618,IF(Atletas!Q445="Shan D",619,IF(Atletas!Q445="Outra Arma Curta D",620,IF(Atletas!Q445="Dao E",621,IF(Atletas!Q445="Jian E",622,IF(Atletas!Q445="Bishou E",623,IF(Atletas!Q445="Shan E",624,IF(Atletas!Q445="Outra Arma Curta E",625,IF(Atletas!Q445="Dao F",626,IF(Atletas!Q445="Jian F",627,IF(Atletas!Q445="Bishou F",628,IF(Atletas!Q445="Shan F",629,IF(Atletas!Q445="Outra Arma Curta F",630, "")))))))))))))))))))))))))))))))</f>
        <v/>
      </c>
      <c r="BT449" s="52" t="str">
        <f>IF(Atletas!R445="","",IF(Atletas!W445&lt;&gt;"",10000,0)+IF(Atletas!B445="Feminino",1000,IF(Atletas!B445="Masculino",2000,""))+IF(Atletas!R445="Gun A",701,IF(Atletas!R445="Qiang A",702,IF(Atletas!R445="Pudao / Guandao A",703,IF(Atletas!R445="Outra Arma Longa A",704,IF(Atletas!R445="Gun B",705,IF(Atletas!R445="Qiang B",706,IF(Atletas!R445="Pudao / Guandao B",707,IF(Atletas!R445="Outra Arma Longa B",708,IF(Atletas!R445="Gun C",709,IF(Atletas!R445="Qiang C",710,IF(Atletas!R445="Pudao / Guandao C",711,IF(Atletas!R445="Outra Arma Longa C",712,IF(Atletas!R445="Gun D",713,IF(Atletas!R445="Qiang D",714,IF(Atletas!R445="Pudao / Guandao D",715,IF(Atletas!R445="Outra Arma Longa D",716,IF(Atletas!R445="Gun E",717,IF(Atletas!R445="Qiang E",718,IF(Atletas!R445="Pudao / Guandao E",719,IF(Atletas!R445="Outra Arma Longa E",720,IF(Atletas!R445="Gun F",721,IF(Atletas!R445="Qiang F",722,IF(Atletas!R445="Pudao / Guandao F",723,IF(Atletas!R445="Outra Arma Longa F",724,"")))))))))))))))))))))))))</f>
        <v/>
      </c>
      <c r="BU449" s="52" t="str">
        <f>IF(Atletas!S445="","",IF(Atletas!W445&lt;&gt;"",10000,0)+IF(Atletas!B445="Feminino",1000,IF(Atletas!B445="Masculino",2000,""))+IF(Atletas!S445="Arma Dupla A",801,IF(Atletas!S445="Arma Maleável A",802,IF(Atletas!S445="Arma Dupla B",803,IF(Atletas!S445="Arma Maleável B",804,IF(Atletas!S445="Arma Dupla C",805,IF(Atletas!S445="Arma Maleável C",806,IF(Atletas!S445="Arma Dupla D",807,IF(Atletas!S445="Arma Maleável D",808,IF(Atletas!S445="Arma Dupla E",809,IF(Atletas!S445="Arma Maleável E",810,IF(Atletas!S445="Arma Dupla F",811,IF(Atletas!S445="Arma Maleável F",812, "")))))))))))))</f>
        <v/>
      </c>
      <c r="BV449" s="52" t="str">
        <f>IF(Atletas!T445="","",IF(Atletas!W445&lt;&gt;"",10000,0)+IF(Atletas!B445="Feminino",1000,IF(Atletas!B445="Masculino",2000,""))+IF(Atletas!T445="Taijijian Yang A",901,IF(Atletas!T445="Taijijian Chen A",902,IF(Atletas!T445="Taijijian Sun A",903,IF(Atletas!T445="Taijijian Wu A",904,IF(Atletas!T445="Taijijian Wu-Hao A",905,IF(Atletas!T445="Taijijian 32 A",906,IF(Atletas!T445="Taijijian 42 A",907,IF(Atletas!T445="Taijijian Yang B",908,IF(Atletas!T445="Taijijian Chen B",909,IF(Atletas!T445="Taijijian Sun B",910,IF(Atletas!T445="Taijijian Wu B",911,IF(Atletas!T445="Taijijian Wu-Hao B",912,IF(Atletas!T445="Taijijian 32 B",913,IF(Atletas!T445="Taijijian 42 B",914,IF(Atletas!T445="Taijijian Yang C",915,IF(Atletas!T445="Taijijian Chen C",916,IF(Atletas!T445="Taijijian Sun C",917,IF(Atletas!T445="Taijijian Wu C",918,IF(Atletas!T445="Taijijian Wu-Hao C",919,IF(Atletas!T445="Taijijian 32 C",920,IF(Atletas!T445="Taijijian 42 C",921,IF(Atletas!T445="Taijijian Yang D",922,IF(Atletas!T445="Taijijian Chen D",923,IF(Atletas!T445="Taijijian Sun D",924,IF(Atletas!T445="Taijijian Wu D",925,IF(Atletas!T445="Taijijian Wu-Hao D",926,IF(Atletas!T445="Taijijian 32 D",927,IF(Atletas!T445="Taijijian 42 D",928,IF(Atletas!T445="Taijijian Yang E",929,IF(Atletas!T445="Taijijian Chen E",930,IF(Atletas!T445="Taijijian Sun E",931,IF(Atletas!T445="Taijijian Wu E",932,IF(Atletas!T445="Taijijian Wu-Hao E",933,IF(Atletas!T445="Taijijian 32 E",934,IF(Atletas!T445="Taijijian 42 E",935,IF(Atletas!T445="Taijijian Yang F",936,IF(Atletas!T445="Taijijian Chen F",937,IF(Atletas!T445="Taijijian Sun F",938,IF(Atletas!T445="Taijijian Wu F",939,IF(Atletas!T445="Taijijian Wu-Hao F",940,IF(Atletas!T445="Taijijian 32 F",941,IF(Atletas!T445="Taijijian 42 F",942,"")))))))))))))))))))))))))))))))))))))))))))</f>
        <v/>
      </c>
      <c r="BW449" s="52" t="str">
        <f>IF(Atletas!U445="","",IF(Atletas!W445&lt;&gt;"",10000,0)+IF(Atletas!B445="Feminino",1000,IF(Atletas!B445="Masculino",2000,""))+IF(Atletas!T445="Taijijian 42 F",942,IF(Atletas!U445="Taijidao A",943,IF(Atletas!U445="Taijishan A",944,IF(Atletas!U445="Taijiqiang A",945,IF(Atletas!U445="Taijidao B",946,IF(Atletas!U445="Taijishan B",947,IF(Atletas!U445="Taijiqiang B",948,IF(Atletas!U445="Taijidao C",949,IF(Atletas!U445="Taijishan C",950,IF(Atletas!U445="Taijiqiang C",951,IF(Atletas!U445="Taijidao D",952,IF(Atletas!U445="Taijishan D",953,IF(Atletas!U445="Taijiqiang D",954,IF(Atletas!U445="Taijidao E",955,IF(Atletas!U445="Taijishan E",956,IF(Atletas!U445="Taijiqiang E",957,IF(Atletas!U445="Taijidao F",958,IF(Atletas!U445="Taijishan F",959,IF(Atletas!U445="Taijiqiang F",960))))))))))))))))))))</f>
        <v/>
      </c>
      <c r="CF449" s="52" t="str">
        <f xml:space="preserve"> IF(Atletas!V445="","",IF(Atletas!V445="Duilian de Mãos AB - Equipe 1",1,IF(Atletas!V445="Duilian de Mãos AB - Equipe 2",2,IF(Atletas!V445="Duilian de Armas AB - Equipe 1",3,IF(Atletas!V445="Duilian de Armas AB - Equipe 2",4,IF(Atletas!V445="Duilian de Tuishou - Equipe 1",5,IF(Atletas!V445="Duilian de Tuishou - Equipe 2",6,IF(Atletas!V445="Grupo Externo AB - Equipe 1",7,IF(Atletas!V445="Grupo Externo AB - Equipe 2",8,IF(Atletas!V445="Grupo Interno AB - Equipe 1",9,IF(Atletas!V445="Grupo Interno AB - Equipe 2",10,IF(Atletas!V445="Duilian de Mãos CD - Equipe 1",11,IF(Atletas!V445="Duilian de Mãos CD - Equipe 2",12,IF(Atletas!V445="Duilian de Armas CD - Equipe 1",13,IF(Atletas!V445="Duilian de Armas CD - Equipe 2",14,IF(Atletas!V445="Duilian de Tuishou - Equipe 1",15,IF(Atletas!V445="Duilian de Tuishou - Equipe 2",16,IF(Atletas!V445="Grupo Externo CDEF - Equipe 1",17,IF(Atletas!V445="Grupo Externo CDEF - Equipe 2",18,IF(Atletas!V445="Grupo Interno CDEF - Equipe 1",19,IF(Atletas!V445="Grupo Interno CDEF - Equipe 2",20,IF(Atletas!V445="Duilian de Mãos EF - Equipe 1",21,IF(Atletas!V445="Duilian de Mãos EF - Equipe 2",22,IF(Atletas!V445="Duilian de Armas EF - Equipe 1",23,IF(Atletas!V445="Duilian de Armas EF - Equipe 2",24,IF(Atletas!V445="Duilian de Tuishou - Equipe 1",25,IF(Atletas!V445="Duilian de Tuishou - Equipe 2",26,"")))))))))))))))))))))))))))</f>
        <v/>
      </c>
    </row>
    <row r="450" spans="36:84">
      <c r="AJ450" s="46" t="str">
        <f>IF(Atletas!D446="","",IF(Atletas!B446="Feminino",100,IF(Atletas!B446="Masculino",200,""))+(IF(Atletas!D446="Infantil 39kg",1,IF(Atletas!D446="Infantil 42kg",2,IF(Atletas!D446="Infantil 45kg",3,IF(Atletas!D446="Infantil 48kg",4,IF(Atletas!D446="Infantil 52kg",5,IF(Atletas!D446="Infantil 56kg",6,IF(Atletas!D446="Infantil 60kg",7,IF(Atletas!D446="Juvenil 48kg",8,IF(Atletas!D446="Juvenil 52kg",9,IF(Atletas!D446="Juvenil 56kg",10,IF(Atletas!D446="Juvenil 60kg",11,IF(Atletas!D446="Juvenil 65kg",12,IF(Atletas!D446="Juvenil 70kg",13,IF(Atletas!D446="Juvenil 75kg",14,IF(Atletas!D446="Juvenil 80kg",15,IF(Atletas!D446="Adulto 48kg",16,IF(Atletas!D446="Adulto 52kg",17,IF(Atletas!D446="Adulto 56kg",18,IF(Atletas!D446="Adulto 60kg",19,IF(Atletas!D446="Adulto 65kg",20,IF(Atletas!D446="Adulto 70kg",21,IF(Atletas!D446="Adulto 75kg",22,IF(Atletas!D446="Adulto 80kg",23,IF(Atletas!D446="Adulto 85kg",24,IF(Atletas!D446="Adulto 90kg",25,IF(Atletas!D446="Adulto +90kg",26,""))))))))))))))))))))))))))))</f>
        <v/>
      </c>
      <c r="AO450" s="10" t="str">
        <f>IF(Atletas!E446="","",IF(Atletas!B446="Feminino",100,IF(Atletas!B446="Masculino",200,""))+(IF(Atletas!E446="Juvenil 44kg",1,IF(Atletas!E446="Juvenil 48kg",2,IF(Atletas!E446="Juvenil 52kg",3,IF(Atletas!E446="Juvenil 56kg",4,IF(Atletas!E446="Juvenil 60kg",5,IF(Atletas!E446="Juvenil 65kg",6,IF(Atletas!E446="Juvenil 70kg",7,IF(Atletas!E446="Juvenil 75kg",8,IF(Atletas!E446="Juvenil 82kg",9,IF(Atletas!E446="Juvenil 90kg",10,IF(Atletas!E446="Juvenil 100kg",11,IF(Atletas!E446="Adulto 48kg",12,IF(Atletas!E446="Adulto 52kg",13,IF(Atletas!E446="Adulto 56kg",14,IF(Atletas!E446="Adulto 60kg",15,IF(Atletas!E446="Adulto 65kg",16,IF(Atletas!E446="Adulto 70kg",17,IF(Atletas!E446="Adulto 75kg",18,IF(Atletas!E446="Adulto 82kg",19,IF(Atletas!E446="Adulto 90kg",20,IF(Atletas!E446="Adulto 100kg",21,IF(Atletas!E446="Adulto +100kg",22,""))))))))))))))))))))))))</f>
        <v/>
      </c>
      <c r="AT450" s="10" t="str">
        <f>IF(Atletas!F446="","",IF(Atletas!B446="Feminino",100,IF(Atletas!B446="Masculino",200,""))+(IF(Atletas!F446="Adulto 48kg",1,IF(Atletas!F446="Adulto 56kg",2,IF(Atletas!F446="Adulto 65kg",3,IF(Atletas!F446="Adulto 75kg",4,IF(Atletas!F446="Adulto +75kg",5,IF(Atletas!F446="Adulto 52kg",6,IF(Atletas!F446="Adulto 60kg",7,IF(Atletas!F446="Adulto 70kg",8,IF(Atletas!F446="Adulto 80kg",9,IF(Atletas!F446="Adulto 90kg",10,IF(Atletas!F446="Adulto +90kg",11,"")))))))))))))</f>
        <v/>
      </c>
      <c r="AY450" s="46" t="str">
        <f>IF(Atletas!G446="","",IF(Atletas!B446="Feminino",100,IF(Atletas!B446="Masculino",200,""))+(IF(Atletas!G446="Changquan Mirim",1,IF(Atletas!G446="Nanquan Mirim",2,IF(Atletas!G446="Taijiquan Mirim",3,IF(Atletas!G446="Changquan Grupo C",4,IF(Atletas!G446="Nanquan Grupo C",5,IF(Atletas!G446="Taijiquan Grupo C",6,IF(Atletas!G446="Changquan Grupo B",7,IF(Atletas!G446="Nanquan Grupo B",8,IF(Atletas!G446="Taijiquan Grupo B",9,IF(Atletas!G446="Changquan Grupo A",10,IF(Atletas!G446="Nanquan Grupo A",11,IF(Atletas!G446="Taijiquan Grupo A",12,IF(Atletas!G446="Changquan Opcional",13,IF(Atletas!G446="Nanquan Opcional",14,IF(Atletas!G446="Taijiquan Opcional",15,IF(Atletas!G446="Changquan Adulto",16,IF(Atletas!G446="Nanquan Adulto",17,IF(Atletas!G446="Taijiquan Adulto",18,""))))))))))))))))))))</f>
        <v/>
      </c>
      <c r="AZ450" s="46" t="str">
        <f>IF(Atletas!H446="","",IF(Atletas!B446="Feminino",100,IF(Atletas!B446="Masculino",200,""))+(IF(Atletas!H446="Daoshu Mirim",19,IF(Atletas!H446="Jianshu Mirim",20,IF(Atletas!H446="Nandao Mirim",21,IF(Atletas!H446="Taijijian Mirim",22,IF(Atletas!H446="Daoshu Grupo C",23,IF(Atletas!H446="Jianshu Grupo C",24,IF(Atletas!H446="Nandao Grupo C",25,IF(Atletas!H446="Taijijian Grupo C",26,IF(Atletas!H446="Daoshu Grupo B",27,IF(Atletas!H446="Jianshu Grupo B",28,IF(Atletas!H446="Nandao Grupo B",29,IF(Atletas!H446="Taijijian Grupo B",30,IF(Atletas!H446="Daoshu Grupo A",31,IF(Atletas!H446="Jianshu Grupo A",32,IF(Atletas!H446="Nandao Grupo A",33,IF(Atletas!H446="Taijijian Grupo A",34,IF(Atletas!H446="Daoshu Opcional",35,IF(Atletas!H446="Jianshu Opcional",36,IF(Atletas!H446="Nandao Opcional",37,IF(Atletas!H446="Taijijian Opcional",38,IF(Atletas!H446="Daoshu Adulto",39,IF(Atletas!H446="Jianshu Adulto",40,IF(Atletas!H446="Nandao Adulto",41,IF(Atletas!H446="Taijijian Adulto",42,""))))))))))))))))))))))))))</f>
        <v/>
      </c>
      <c r="BA450" s="46" t="str">
        <f>IF(Atletas!I446="","",IF(Atletas!B446="Feminino",100,IF(Atletas!B446="Masculino",200,""))+(IF(Atletas!I446="Gunshu Mirim",43,IF(Atletas!I446="Qiangshu Mirim",44,IF(Atletas!I446="Nangun Mirim",45,IF(Atletas!I446="Gunshu Grupo C",46,IF(Atletas!I446="Qiangshu Grupo C",47,IF(Atletas!I446="Nangun Grupo C",48,IF(Atletas!I446="Gunshu Grupo B",49,IF(Atletas!I446="Qiangshu Grupo B",50,IF(Atletas!I446="Nangun Grupo B",51,IF(Atletas!I446="Gunshu Grupo A",52,IF(Atletas!I446="Qiangshu Grupo A",53,IF(Atletas!I446="Nangun Grupo A",54,IF(Atletas!I446="Gunshu Opcional",55,IF(Atletas!I446="Qiangshu Opcional",56,IF(Atletas!I446="Nangun Opcional",57,IF(Atletas!I446="Gunshu Adulto",58,IF(Atletas!I446="Qiangshu Adulto",59,IF(Atletas!I446="Nangun Adulto",60,""))))))))))))))))))))</f>
        <v/>
      </c>
      <c r="BF450" s="52" t="str">
        <f>IF(Atletas!J446="","",IF(Atletas!B446="Feminino",100,IF(Atletas!B446="Masculino",200,""))+(IF(Atletas!J446="Equipe 1 Grupo B",1,IF(Atletas!J446="Equipe 2 Grupo B",2,IF(Atletas!J446="Equipe 1 Grupo A",3,IF(Atletas!J446="Equipe 2 Grupo A",4,IF(Atletas!J446="Equipe 1 Adulto",5,IF(Atletas!J446="Equipe 2 Adulto",6,""))))))))</f>
        <v/>
      </c>
      <c r="BK450" s="52" t="str">
        <f>IF(Atletas!K446="","",IF(Atletas!W446&lt;&gt;"",10000,0)+(IF(Atletas!B446="Feminino",1000,IF(Atletas!B446="Masculino",2000,""))+IF(Atletas!K446="Choylayfut A",1,IF(Atletas!K446="Hunggar A",2,IF(Atletas!K446="Wuzuquan A",3,IF(Atletas!K446="Wingchun A",4,IF(Atletas!K446="Outra Mão de Sul A",5,IF(Atletas!K446="Choylayfut B",6,IF(Atletas!K446="Hunggar B",7,IF(Atletas!K446="Wuzuquan B",8,IF(Atletas!K446="Wingchun B",9,IF(Atletas!K446="Outra Mão de Sul B",10,IF(Atletas!K446="Choylayfut C",11,IF(Atletas!K446="Hunggar C",12,IF(Atletas!K446="Wuzuquan C",13,IF(Atletas!K446="Wingchun C",14,IF(Atletas!K446="Outra Mão de Sul C",15,IF(Atletas!K446="Choylayfut D",16,IF(Atletas!K446="Hunggar D",17,IF(Atletas!K446="Wuzuquan D",18,IF(Atletas!K446="Wingchun D",19,IF(Atletas!K446="Outra Mão de Sul D",20,IF(Atletas!K446="Choylayfut E",21,IF(Atletas!K446="Hunggar E",22,IF(Atletas!K446="Wuzuquan E",23,IF(Atletas!K446="Wingchun E",24,IF(Atletas!K446="Outra Mão de Sul E",25,IF(Atletas!K446="Choylayfut F",26,IF(Atletas!K446="Hunggar F",27,IF(Atletas!K446="Wuzuquan F",28,IF(Atletas!K446="Wingchun F",29,IF(Atletas!K446="Outra Mão de Sul F",30,""))))))))))))))))))))))))))))))))</f>
        <v/>
      </c>
      <c r="BL450" s="52" t="str">
        <f>IF(Atletas!L446="","",IF(Atletas!W446&lt;&gt;"",10000,0)+(IF(Atletas!B446="Feminino",1000,IF(Atletas!B446="Masculino",2000,""))+(IF(Atletas!L446="Chaquan A",101,IF(Atletas!L446="Emeiquan A",102,IF(Atletas!L446="Fanziquan A",103,IF(Atletas!L446="Huaquan A",104,IF(Atletas!L446="Hongquan A",105,IF(Atletas!L446="Paochui A",106,IF(Atletas!L446="Piguaquan A",107,IF(Atletas!L446="Shaolinquan A",108,IF(Atletas!L446="Tanglangquan A",109,IF(Atletas!L446="Yinzhaophai A",110,IF(Atletas!L446="Tongbeiquan A",111,IF(Atletas!L446="Wudangquan A",112,IF(Atletas!L446="Outros Estilos A",113,IF(Atletas!L446="Chaquan B",114,IF(Atletas!L446="Emeiquan B",115,IF(Atletas!L446="Fanziquan B",116,IF(Atletas!L446="Huaquan B",117,IF(Atletas!L446="Hongquan B",118,IF(Atletas!L446="Paochui B",119,IF(Atletas!L446="Piguaquan B",120,IF(Atletas!L446="Shaolinquan B",121,IF(Atletas!L446="Tanglangquan B",122,IF(Atletas!L446="Yinzhaophai B",123,IF(Atletas!L446="Tongbeiquan B",124,IF(Atletas!L446="Wudangquan B",125,IF(Atletas!L446="Outros Estilos B",126,IF(Atletas!L446="Chaquan C",127,IF(Atletas!L446="Emeiquan C",128,IF(Atletas!L446="Fanziquan C",129,IF(Atletas!L446="Huaquan C",130,IF(Atletas!L446="Hongquan C",131,IF(Atletas!L446="Paochui C",132,IF(Atletas!L446="Piguaquan C",133,IF(Atletas!L446="Shaolinquan C",134,IF(Atletas!L446="Tanglangquan C",135,IF(Atletas!L446="Yinzhaophai C",136,IF(Atletas!L446="Tongbeiquan C",137,IF(Atletas!L446="Wudangquan C",138,IF(Atletas!L446="Outros Estilos C",139,0))))))))))))))))))))))))))))))))))))))))))</f>
        <v/>
      </c>
      <c r="BM450" s="52" t="str">
        <f>IF(Atletas!L446="","",IF(Atletas!W446&lt;&gt;"",10000,0)+(IF(Atletas!B446="Feminino",1000,IF(Atletas!B446="Masculino",2000,""))+(IF(Atletas!L446="Chaquan D",140,IF(Atletas!L446="Emeiquan D",141,IF(Atletas!L446="Fanziquan D",142,IF(Atletas!L446="Huaquan D",143,IF(Atletas!L446="Hongquan D",144,IF(Atletas!L446="Paochui D",145,IF(Atletas!L446="Piguaquan D",146,IF(Atletas!L446="Shaolinquan D",147,IF(Atletas!L446="Tanglangquan D",148,IF(Atletas!L446="Yinzhaophai D",149,IF(Atletas!L446="Tongbeiquan D",150,IF(Atletas!L446="Wudangquan D",151,IF(Atletas!L446="Outros Estilos D",152,IF(Atletas!L446="Chaquan E",153,IF(Atletas!L446="Emeiquan E",154,IF(Atletas!L446="Fanziquan E",155,IF(Atletas!L446="Huaquan E",156,IF(Atletas!L446="Hongquan E",157,IF(Atletas!L446="Paochui E",158,IF(Atletas!L446="Piguaquan E",159,IF(Atletas!L446="Shaolinquan E",160,IF(Atletas!L446="Tanglangquan E",161,IF(Atletas!L446="Yinzhaophai E",162,IF(Atletas!L446="Tongbeiquan E",163,IF(Atletas!L446="Wudangquan E",164,IF(Atletas!L446="Outros Estilos E",165,IF(Atletas!L446="Chaquan F",166,IF(Atletas!L446="Emeiquan F",167,IF(Atletas!L446="Fanziquan F",168,IF(Atletas!L446="Huaquan F",169,IF(Atletas!L446="Hongquan F",170,IF(Atletas!L446="Paochui F",171,IF(Atletas!L446="Piguaquan F",172,IF(Atletas!L446="Shaolinquan F",173,IF(Atletas!L446="Tanglangquan F",174,IF(Atletas!L446="Yinzhaophai F",175,IF(Atletas!L446="Tongbeiquan F",176,IF(Atletas!L446="Wudangquan F",177,IF(Atletas!L446="Outros Estilos F",178,0))))))))))))))))))))))))))))))))))))))))))</f>
        <v/>
      </c>
      <c r="BN450" s="52" t="str">
        <f>IF(Atletas!M446="","",IF(Atletas!W446&lt;&gt;"",10000,0)+(IF(Atletas!B446="Feminino",1000,IF(Atletas!B446="Masculino",2000,""))+(IF(Atletas!M446="Ditangquan A",201,IF(Atletas!M446="Houquan A",202,IF(Atletas!M446="Zuiquan A",203,IF(Atletas!M446="Ditangquan B",204,IF(Atletas!M446="Houquan B",205,IF(Atletas!M446="Zuiquan B",206,IF(Atletas!M446="Ditangquan C",207,IF(Atletas!M446="Houquan C",208,IF(Atletas!M446="Zuiquan C",209,IF(Atletas!M446="Ditangquan D",210,IF(Atletas!M446="Houquan D",211,IF(Atletas!M446="Zuiquan D",212,IF(Atletas!M446="Ditangquan E",213,IF(Atletas!M446="Houquan E",214,IF(Atletas!M446="Zuiquan E",215,IF(Atletas!M446="Ditangquan F",216,IF(Atletas!M446="Houquan F",217,IF(Atletas!M446="Zuiquan F",218,"")))))))))))))))))))))</f>
        <v/>
      </c>
      <c r="BO450" s="52" t="str">
        <f>IF(Atletas!N446="","",IF(Atletas!W446&lt;&gt;"",10000,0)+IF(Atletas!B446="Feminino",1000,IF(Atletas!B446="Masculino",2000,""))+IF(Atletas!N446="Yang A",301,IF(Atletas!N446="Chen A",30,IF(Atletas!N446="Sun A",303,IF(Atletas!N446="Wu A",304,IF(Atletas!N446="Wu-Hao A",305,IF(Atletas!N446="Outro Taijiquan A",306,IF(Atletas!N446="Yang B",307,IF(Atletas!N446="Chen B",308,IF(Atletas!N446="Sun B",309,IF(Atletas!N446="Wu B",310,IF(Atletas!N446="Wu-Hao B",311,IF(Atletas!N446="Outro Taijiquan B",312,IF(Atletas!N446="Yang C",313,IF(Atletas!N446="Chen C",314,IF(Atletas!N446="Sun C",315,IF(Atletas!N446="Wu C",316,IF(Atletas!N446="Wu-Hao C",317,IF(Atletas!N446="Outro Taijiquan C",318,IF(Atletas!N446="Yang D",319,IF(Atletas!N446="Chen D",320,IF(Atletas!N446="Sun D",321,IF(Atletas!N446="Wu D",322,IF(Atletas!N446="Wu-Hao D",323,IF(Atletas!N446="Outro Taijiquan D",324,IF(Atletas!N446="Yang E",325,IF(Atletas!N446="Chen E",326,IF(Atletas!N446="Sun E",327,IF(Atletas!N446="Wu E",328,IF(Atletas!N446="Wu-Hao E",329,IF(Atletas!N446="Outro Taijiquan E",330,IF(Atletas!N446="Yang F",331,IF(Atletas!N446="Chen F",332,IF(Atletas!N446="Sun F",333,IF(Atletas!N446="Wu F",334,IF(Atletas!N446="Wu-Hao F",335,IF(Atletas!N446="Outro Taijiquan F",336,"")))))))))))))))))))))))))))))))))))))</f>
        <v/>
      </c>
      <c r="BP450" s="52" t="str">
        <f>IF(Atletas!O446="","",IF(Atletas!W446&lt;&gt;"",10000,0)+IF(Atletas!B446="Feminino",1000,IF(Atletas!B446="Masculino",2000,""))+IF(OR(Atletas!O446="Yang 26 A",Atletas!O446="Yang 40 A"),401,IF(OR(Atletas!O446="Chen 25 A",Atletas!O446="Chen 36 A",Atletas!O446="Chen 56 A"),402,IF(Atletas!O446="Sun 73 A",403,IF(Atletas!O446="Wu 45 A",404,IF(Atletas!O446="Wu-Hao 46 A",405,IF(OR(Atletas!O446="Taijiquan 16 A",Atletas!O446="Taijiquan 24 A",Atletas!O446="Taijiquan 32 A",Atletas!O446="Taijiquan 42 A"),406,IF(OR(Atletas!O446="Yang 26 B",Atletas!O446="Yang 40 B"),407,IF(OR(Atletas!O446="Chen 25 B",Atletas!O446="Chen 36 B",Atletas!O446="Chen 56 B"),408,IF(Atletas!O446="Sun 73 B",409,IF(Atletas!O446="Wu 45 B",410,IF(Atletas!O446="Wu-Hao 46 B",411,IF(OR(Atletas!O446="Taijiquan 16 B",Atletas!O446="Taijiquan 24 B",Atletas!O446="Taijiquan 32 B",Atletas!O446="Taijiquan 42 B"),412,IF(OR(Atletas!O446="Yang 26 C",Atletas!O446="Yang 40 C"),413,IF(OR(Atletas!O446="Chen 25 C",Atletas!O446="Chen 36 C",Atletas!O446="Chen 56 C"),414,IF(Atletas!O446="Sun 73 C",415,IF(Atletas!O446="Wu 45 C",416,IF(Atletas!O446="Wu-Hao 46 C",417,IF(OR(Atletas!O446="Taijiquan 16 C",Atletas!O446="Taijiquan 24 C",Atletas!O446="Taijiquan 32 C",Atletas!O446="Taijiquan 42 C"),418,0)))))))))))))))))))</f>
        <v/>
      </c>
      <c r="BQ450" s="52" t="str">
        <f>IF(Atletas!O446="","",IF(Atletas!W446&lt;&gt;"",10000,0)+IF(Atletas!B446="Feminino",1000,IF(Atletas!B446="Masculino",2000,""))+IF(OR(Atletas!O446="Yang 26 D",Atletas!O446="Yang 40 D"),419,IF(OR(Atletas!O446="Chen 25 D",Atletas!O446="Chen 36 D",Atletas!O446="Chen 56 D"),420,IF(Atletas!O446="Sun 73 D",421,IF(Atletas!O446="Wu 45 D",422,IF(Atletas!O446="Wu-Hao 46 D",423,IF(OR(Atletas!O446="Taijiquan 16 D",Atletas!O446="Taijiquan 24 D",Atletas!O446="Taijiquan 32 D",Atletas!O446="Taijiquan 42 D"),424,IF(OR(Atletas!O446="Yang 26 E",Atletas!O446="Yang 40 E"),425,IF(OR(Atletas!O446="Chen 25 E",Atletas!O446="Chen 36 E",Atletas!O446="Chen 56 E"),426,IF(Atletas!O446="Sun 73 E",427,IF(Atletas!O446="Wu 45 E",428,IF(Atletas!O446="Wu-Hao 46 E",429,IF(OR(Atletas!O446="Taijiquan 16 E",Atletas!O446="Taijiquan 24 E",Atletas!O446="Taijiquan 32 E",Atletas!O446="Taijiquan 42 E"),430,IF(OR(Atletas!O446="Yang 26 F",Atletas!O446="Yang 40 F"),431,IF(OR(Atletas!O446="Chen 25 F",Atletas!O446="Chen 36 F",Atletas!O446="Chen 56 F"),432,IF(Atletas!O446="Sun 73 F",433,IF(Atletas!O446="Wu 45 F",434,IF(Atletas!O446="Wu-Hao 46 F",435,IF(OR(Atletas!O446="Taijiquan 16 F",Atletas!O446="Taijiquan 24 F",Atletas!O446="Taijiquan 32 F",Atletas!O446="Taijiquan 42 F"),436,0)))))))))))))))))))</f>
        <v/>
      </c>
      <c r="BR450" s="52" t="str">
        <f>IF(Atletas!P446="","",IF(Atletas!W446&lt;&gt;"",10000,0)+IF(Atletas!B446="Feminino",1000,IF(Atletas!B446="Masculino",2000,""))+IF(Atletas!P446="Xingyiquan A",501,IF(Atletas!P446="Baguazhang A",502,IF(Atletas!P446="Outro Estilo Interno A",503,IF(Atletas!P446="Xingyiquan B",504,IF(Atletas!P446="Baguazhang B",505,IF(Atletas!P446="Outro Estilo Interno B",506,IF(Atletas!P446="Xingyiquan C",507,IF(Atletas!P446="Baguazhang C",508,IF(Atletas!P446="Outro Estilo Interno C",509,IF(Atletas!P446="Xingyiquan D",510,IF(Atletas!P446="Baguazhang D",511,IF(Atletas!P446="Outro Estilo Interno D",512,IF(Atletas!P446="Xingyiquan E",513,IF(Atletas!P446="Baguazhang E",514,IF(Atletas!P446="Outro Estilo Interno E",515,IF(Atletas!P446="Xingyiquan F",516,IF(Atletas!P446="Baguazhang F",517,IF(Atletas!P446="Outro Estilo Interno F",518, "")))))))))))))))))))</f>
        <v/>
      </c>
      <c r="BS450" s="52" t="str">
        <f>IF(Atletas!Q446="","",IF(Atletas!W446&lt;&gt;"",10000,0)+IF(Atletas!B446="Feminino",1000,IF(Atletas!B446="Masculino",2000,""))+IF(Atletas!Q446="Dao A",601,IF(Atletas!Q446="Jian A",602,IF(Atletas!Q446="Bishou A",603,IF(Atletas!Q446="Shan A",604,IF(Atletas!Q446="Outra Arma Curta A",605,IF(Atletas!Q446="Dao B",606,IF(Atletas!Q446="Jian B",607,IF(Atletas!Q446="Bishou B",608,IF(Atletas!Q446="Shan B",609,IF(Atletas!Q446="Outra Arma Curta B",610,IF(Atletas!Q446="Dao C",611,IF(Atletas!Q446="Jian C",612,IF(Atletas!Q446="Bishou C",613,IF(Atletas!Q446="Shan C",614,IF(Atletas!Q446="Outra Arma Curta C",615,IF(Atletas!Q446="Dao D",616,IF(Atletas!Q446="Jian D",617,IF(Atletas!Q446="Bishou D",618,IF(Atletas!Q446="Shan D",619,IF(Atletas!Q446="Outra Arma Curta D",620,IF(Atletas!Q446="Dao E",621,IF(Atletas!Q446="Jian E",622,IF(Atletas!Q446="Bishou E",623,IF(Atletas!Q446="Shan E",624,IF(Atletas!Q446="Outra Arma Curta E",625,IF(Atletas!Q446="Dao F",626,IF(Atletas!Q446="Jian F",627,IF(Atletas!Q446="Bishou F",628,IF(Atletas!Q446="Shan F",629,IF(Atletas!Q446="Outra Arma Curta F",630, "")))))))))))))))))))))))))))))))</f>
        <v/>
      </c>
      <c r="BT450" s="52" t="str">
        <f>IF(Atletas!R446="","",IF(Atletas!W446&lt;&gt;"",10000,0)+IF(Atletas!B446="Feminino",1000,IF(Atletas!B446="Masculino",2000,""))+IF(Atletas!R446="Gun A",701,IF(Atletas!R446="Qiang A",702,IF(Atletas!R446="Pudao / Guandao A",703,IF(Atletas!R446="Outra Arma Longa A",704,IF(Atletas!R446="Gun B",705,IF(Atletas!R446="Qiang B",706,IF(Atletas!R446="Pudao / Guandao B",707,IF(Atletas!R446="Outra Arma Longa B",708,IF(Atletas!R446="Gun C",709,IF(Atletas!R446="Qiang C",710,IF(Atletas!R446="Pudao / Guandao C",711,IF(Atletas!R446="Outra Arma Longa C",712,IF(Atletas!R446="Gun D",713,IF(Atletas!R446="Qiang D",714,IF(Atletas!R446="Pudao / Guandao D",715,IF(Atletas!R446="Outra Arma Longa D",716,IF(Atletas!R446="Gun E",717,IF(Atletas!R446="Qiang E",718,IF(Atletas!R446="Pudao / Guandao E",719,IF(Atletas!R446="Outra Arma Longa E",720,IF(Atletas!R446="Gun F",721,IF(Atletas!R446="Qiang F",722,IF(Atletas!R446="Pudao / Guandao F",723,IF(Atletas!R446="Outra Arma Longa F",724,"")))))))))))))))))))))))))</f>
        <v/>
      </c>
      <c r="BU450" s="52" t="str">
        <f>IF(Atletas!S446="","",IF(Atletas!W446&lt;&gt;"",10000,0)+IF(Atletas!B446="Feminino",1000,IF(Atletas!B446="Masculino",2000,""))+IF(Atletas!S446="Arma Dupla A",801,IF(Atletas!S446="Arma Maleável A",802,IF(Atletas!S446="Arma Dupla B",803,IF(Atletas!S446="Arma Maleável B",804,IF(Atletas!S446="Arma Dupla C",805,IF(Atletas!S446="Arma Maleável C",806,IF(Atletas!S446="Arma Dupla D",807,IF(Atletas!S446="Arma Maleável D",808,IF(Atletas!S446="Arma Dupla E",809,IF(Atletas!S446="Arma Maleável E",810,IF(Atletas!S446="Arma Dupla F",811,IF(Atletas!S446="Arma Maleável F",812, "")))))))))))))</f>
        <v/>
      </c>
      <c r="BV450" s="52" t="str">
        <f>IF(Atletas!T446="","",IF(Atletas!W446&lt;&gt;"",10000,0)+IF(Atletas!B446="Feminino",1000,IF(Atletas!B446="Masculino",2000,""))+IF(Atletas!T446="Taijijian Yang A",901,IF(Atletas!T446="Taijijian Chen A",902,IF(Atletas!T446="Taijijian Sun A",903,IF(Atletas!T446="Taijijian Wu A",904,IF(Atletas!T446="Taijijian Wu-Hao A",905,IF(Atletas!T446="Taijijian 32 A",906,IF(Atletas!T446="Taijijian 42 A",907,IF(Atletas!T446="Taijijian Yang B",908,IF(Atletas!T446="Taijijian Chen B",909,IF(Atletas!T446="Taijijian Sun B",910,IF(Atletas!T446="Taijijian Wu B",911,IF(Atletas!T446="Taijijian Wu-Hao B",912,IF(Atletas!T446="Taijijian 32 B",913,IF(Atletas!T446="Taijijian 42 B",914,IF(Atletas!T446="Taijijian Yang C",915,IF(Atletas!T446="Taijijian Chen C",916,IF(Atletas!T446="Taijijian Sun C",917,IF(Atletas!T446="Taijijian Wu C",918,IF(Atletas!T446="Taijijian Wu-Hao C",919,IF(Atletas!T446="Taijijian 32 C",920,IF(Atletas!T446="Taijijian 42 C",921,IF(Atletas!T446="Taijijian Yang D",922,IF(Atletas!T446="Taijijian Chen D",923,IF(Atletas!T446="Taijijian Sun D",924,IF(Atletas!T446="Taijijian Wu D",925,IF(Atletas!T446="Taijijian Wu-Hao D",926,IF(Atletas!T446="Taijijian 32 D",927,IF(Atletas!T446="Taijijian 42 D",928,IF(Atletas!T446="Taijijian Yang E",929,IF(Atletas!T446="Taijijian Chen E",930,IF(Atletas!T446="Taijijian Sun E",931,IF(Atletas!T446="Taijijian Wu E",932,IF(Atletas!T446="Taijijian Wu-Hao E",933,IF(Atletas!T446="Taijijian 32 E",934,IF(Atletas!T446="Taijijian 42 E",935,IF(Atletas!T446="Taijijian Yang F",936,IF(Atletas!T446="Taijijian Chen F",937,IF(Atletas!T446="Taijijian Sun F",938,IF(Atletas!T446="Taijijian Wu F",939,IF(Atletas!T446="Taijijian Wu-Hao F",940,IF(Atletas!T446="Taijijian 32 F",941,IF(Atletas!T446="Taijijian 42 F",942,"")))))))))))))))))))))))))))))))))))))))))))</f>
        <v/>
      </c>
      <c r="BW450" s="52" t="str">
        <f>IF(Atletas!U446="","",IF(Atletas!W446&lt;&gt;"",10000,0)+IF(Atletas!B446="Feminino",1000,IF(Atletas!B446="Masculino",2000,""))+IF(Atletas!T446="Taijijian 42 F",942,IF(Atletas!U446="Taijidao A",943,IF(Atletas!U446="Taijishan A",944,IF(Atletas!U446="Taijiqiang A",945,IF(Atletas!U446="Taijidao B",946,IF(Atletas!U446="Taijishan B",947,IF(Atletas!U446="Taijiqiang B",948,IF(Atletas!U446="Taijidao C",949,IF(Atletas!U446="Taijishan C",950,IF(Atletas!U446="Taijiqiang C",951,IF(Atletas!U446="Taijidao D",952,IF(Atletas!U446="Taijishan D",953,IF(Atletas!U446="Taijiqiang D",954,IF(Atletas!U446="Taijidao E",955,IF(Atletas!U446="Taijishan E",956,IF(Atletas!U446="Taijiqiang E",957,IF(Atletas!U446="Taijidao F",958,IF(Atletas!U446="Taijishan F",959,IF(Atletas!U446="Taijiqiang F",960))))))))))))))))))))</f>
        <v/>
      </c>
      <c r="CF450" s="52" t="str">
        <f xml:space="preserve"> IF(Atletas!V446="","",IF(Atletas!V446="Duilian de Mãos AB - Equipe 1",1,IF(Atletas!V446="Duilian de Mãos AB - Equipe 2",2,IF(Atletas!V446="Duilian de Armas AB - Equipe 1",3,IF(Atletas!V446="Duilian de Armas AB - Equipe 2",4,IF(Atletas!V446="Duilian de Tuishou - Equipe 1",5,IF(Atletas!V446="Duilian de Tuishou - Equipe 2",6,IF(Atletas!V446="Grupo Externo AB - Equipe 1",7,IF(Atletas!V446="Grupo Externo AB - Equipe 2",8,IF(Atletas!V446="Grupo Interno AB - Equipe 1",9,IF(Atletas!V446="Grupo Interno AB - Equipe 2",10,IF(Atletas!V446="Duilian de Mãos CD - Equipe 1",11,IF(Atletas!V446="Duilian de Mãos CD - Equipe 2",12,IF(Atletas!V446="Duilian de Armas CD - Equipe 1",13,IF(Atletas!V446="Duilian de Armas CD - Equipe 2",14,IF(Atletas!V446="Duilian de Tuishou - Equipe 1",15,IF(Atletas!V446="Duilian de Tuishou - Equipe 2",16,IF(Atletas!V446="Grupo Externo CDEF - Equipe 1",17,IF(Atletas!V446="Grupo Externo CDEF - Equipe 2",18,IF(Atletas!V446="Grupo Interno CDEF - Equipe 1",19,IF(Atletas!V446="Grupo Interno CDEF - Equipe 2",20,IF(Atletas!V446="Duilian de Mãos EF - Equipe 1",21,IF(Atletas!V446="Duilian de Mãos EF - Equipe 2",22,IF(Atletas!V446="Duilian de Armas EF - Equipe 1",23,IF(Atletas!V446="Duilian de Armas EF - Equipe 2",24,IF(Atletas!V446="Duilian de Tuishou - Equipe 1",25,IF(Atletas!V446="Duilian de Tuishou - Equipe 2",26,"")))))))))))))))))))))))))))</f>
        <v/>
      </c>
    </row>
    <row r="451" spans="36:84">
      <c r="AJ451" s="46" t="str">
        <f>IF(Atletas!D447="","",IF(Atletas!B447="Feminino",100,IF(Atletas!B447="Masculino",200,""))+(IF(Atletas!D447="Infantil 39kg",1,IF(Atletas!D447="Infantil 42kg",2,IF(Atletas!D447="Infantil 45kg",3,IF(Atletas!D447="Infantil 48kg",4,IF(Atletas!D447="Infantil 52kg",5,IF(Atletas!D447="Infantil 56kg",6,IF(Atletas!D447="Infantil 60kg",7,IF(Atletas!D447="Juvenil 48kg",8,IF(Atletas!D447="Juvenil 52kg",9,IF(Atletas!D447="Juvenil 56kg",10,IF(Atletas!D447="Juvenil 60kg",11,IF(Atletas!D447="Juvenil 65kg",12,IF(Atletas!D447="Juvenil 70kg",13,IF(Atletas!D447="Juvenil 75kg",14,IF(Atletas!D447="Juvenil 80kg",15,IF(Atletas!D447="Adulto 48kg",16,IF(Atletas!D447="Adulto 52kg",17,IF(Atletas!D447="Adulto 56kg",18,IF(Atletas!D447="Adulto 60kg",19,IF(Atletas!D447="Adulto 65kg",20,IF(Atletas!D447="Adulto 70kg",21,IF(Atletas!D447="Adulto 75kg",22,IF(Atletas!D447="Adulto 80kg",23,IF(Atletas!D447="Adulto 85kg",24,IF(Atletas!D447="Adulto 90kg",25,IF(Atletas!D447="Adulto +90kg",26,""))))))))))))))))))))))))))))</f>
        <v/>
      </c>
      <c r="AO451" s="10" t="str">
        <f>IF(Atletas!E447="","",IF(Atletas!B447="Feminino",100,IF(Atletas!B447="Masculino",200,""))+(IF(Atletas!E447="Juvenil 44kg",1,IF(Atletas!E447="Juvenil 48kg",2,IF(Atletas!E447="Juvenil 52kg",3,IF(Atletas!E447="Juvenil 56kg",4,IF(Atletas!E447="Juvenil 60kg",5,IF(Atletas!E447="Juvenil 65kg",6,IF(Atletas!E447="Juvenil 70kg",7,IF(Atletas!E447="Juvenil 75kg",8,IF(Atletas!E447="Juvenil 82kg",9,IF(Atletas!E447="Juvenil 90kg",10,IF(Atletas!E447="Juvenil 100kg",11,IF(Atletas!E447="Adulto 48kg",12,IF(Atletas!E447="Adulto 52kg",13,IF(Atletas!E447="Adulto 56kg",14,IF(Atletas!E447="Adulto 60kg",15,IF(Atletas!E447="Adulto 65kg",16,IF(Atletas!E447="Adulto 70kg",17,IF(Atletas!E447="Adulto 75kg",18,IF(Atletas!E447="Adulto 82kg",19,IF(Atletas!E447="Adulto 90kg",20,IF(Atletas!E447="Adulto 100kg",21,IF(Atletas!E447="Adulto +100kg",22,""))))))))))))))))))))))))</f>
        <v/>
      </c>
      <c r="AT451" s="10" t="str">
        <f>IF(Atletas!F447="","",IF(Atletas!B447="Feminino",100,IF(Atletas!B447="Masculino",200,""))+(IF(Atletas!F447="Adulto 48kg",1,IF(Atletas!F447="Adulto 56kg",2,IF(Atletas!F447="Adulto 65kg",3,IF(Atletas!F447="Adulto 75kg",4,IF(Atletas!F447="Adulto +75kg",5,IF(Atletas!F447="Adulto 52kg",6,IF(Atletas!F447="Adulto 60kg",7,IF(Atletas!F447="Adulto 70kg",8,IF(Atletas!F447="Adulto 80kg",9,IF(Atletas!F447="Adulto 90kg",10,IF(Atletas!F447="Adulto +90kg",11,"")))))))))))))</f>
        <v/>
      </c>
      <c r="AY451" s="46" t="str">
        <f>IF(Atletas!G447="","",IF(Atletas!B447="Feminino",100,IF(Atletas!B447="Masculino",200,""))+(IF(Atletas!G447="Changquan Mirim",1,IF(Atletas!G447="Nanquan Mirim",2,IF(Atletas!G447="Taijiquan Mirim",3,IF(Atletas!G447="Changquan Grupo C",4,IF(Atletas!G447="Nanquan Grupo C",5,IF(Atletas!G447="Taijiquan Grupo C",6,IF(Atletas!G447="Changquan Grupo B",7,IF(Atletas!G447="Nanquan Grupo B",8,IF(Atletas!G447="Taijiquan Grupo B",9,IF(Atletas!G447="Changquan Grupo A",10,IF(Atletas!G447="Nanquan Grupo A",11,IF(Atletas!G447="Taijiquan Grupo A",12,IF(Atletas!G447="Changquan Opcional",13,IF(Atletas!G447="Nanquan Opcional",14,IF(Atletas!G447="Taijiquan Opcional",15,IF(Atletas!G447="Changquan Adulto",16,IF(Atletas!G447="Nanquan Adulto",17,IF(Atletas!G447="Taijiquan Adulto",18,""))))))))))))))))))))</f>
        <v/>
      </c>
      <c r="AZ451" s="46" t="str">
        <f>IF(Atletas!H447="","",IF(Atletas!B447="Feminino",100,IF(Atletas!B447="Masculino",200,""))+(IF(Atletas!H447="Daoshu Mirim",19,IF(Atletas!H447="Jianshu Mirim",20,IF(Atletas!H447="Nandao Mirim",21,IF(Atletas!H447="Taijijian Mirim",22,IF(Atletas!H447="Daoshu Grupo C",23,IF(Atletas!H447="Jianshu Grupo C",24,IF(Atletas!H447="Nandao Grupo C",25,IF(Atletas!H447="Taijijian Grupo C",26,IF(Atletas!H447="Daoshu Grupo B",27,IF(Atletas!H447="Jianshu Grupo B",28,IF(Atletas!H447="Nandao Grupo B",29,IF(Atletas!H447="Taijijian Grupo B",30,IF(Atletas!H447="Daoshu Grupo A",31,IF(Atletas!H447="Jianshu Grupo A",32,IF(Atletas!H447="Nandao Grupo A",33,IF(Atletas!H447="Taijijian Grupo A",34,IF(Atletas!H447="Daoshu Opcional",35,IF(Atletas!H447="Jianshu Opcional",36,IF(Atletas!H447="Nandao Opcional",37,IF(Atletas!H447="Taijijian Opcional",38,IF(Atletas!H447="Daoshu Adulto",39,IF(Atletas!H447="Jianshu Adulto",40,IF(Atletas!H447="Nandao Adulto",41,IF(Atletas!H447="Taijijian Adulto",42,""))))))))))))))))))))))))))</f>
        <v/>
      </c>
      <c r="BA451" s="46" t="str">
        <f>IF(Atletas!I447="","",IF(Atletas!B447="Feminino",100,IF(Atletas!B447="Masculino",200,""))+(IF(Atletas!I447="Gunshu Mirim",43,IF(Atletas!I447="Qiangshu Mirim",44,IF(Atletas!I447="Nangun Mirim",45,IF(Atletas!I447="Gunshu Grupo C",46,IF(Atletas!I447="Qiangshu Grupo C",47,IF(Atletas!I447="Nangun Grupo C",48,IF(Atletas!I447="Gunshu Grupo B",49,IF(Atletas!I447="Qiangshu Grupo B",50,IF(Atletas!I447="Nangun Grupo B",51,IF(Atletas!I447="Gunshu Grupo A",52,IF(Atletas!I447="Qiangshu Grupo A",53,IF(Atletas!I447="Nangun Grupo A",54,IF(Atletas!I447="Gunshu Opcional",55,IF(Atletas!I447="Qiangshu Opcional",56,IF(Atletas!I447="Nangun Opcional",57,IF(Atletas!I447="Gunshu Adulto",58,IF(Atletas!I447="Qiangshu Adulto",59,IF(Atletas!I447="Nangun Adulto",60,""))))))))))))))))))))</f>
        <v/>
      </c>
      <c r="BF451" s="52" t="str">
        <f>IF(Atletas!J447="","",IF(Atletas!B447="Feminino",100,IF(Atletas!B447="Masculino",200,""))+(IF(Atletas!J447="Equipe 1 Grupo B",1,IF(Atletas!J447="Equipe 2 Grupo B",2,IF(Atletas!J447="Equipe 1 Grupo A",3,IF(Atletas!J447="Equipe 2 Grupo A",4,IF(Atletas!J447="Equipe 1 Adulto",5,IF(Atletas!J447="Equipe 2 Adulto",6,""))))))))</f>
        <v/>
      </c>
      <c r="BK451" s="52" t="str">
        <f>IF(Atletas!K447="","",IF(Atletas!W447&lt;&gt;"",10000,0)+(IF(Atletas!B447="Feminino",1000,IF(Atletas!B447="Masculino",2000,""))+IF(Atletas!K447="Choylayfut A",1,IF(Atletas!K447="Hunggar A",2,IF(Atletas!K447="Wuzuquan A",3,IF(Atletas!K447="Wingchun A",4,IF(Atletas!K447="Outra Mão de Sul A",5,IF(Atletas!K447="Choylayfut B",6,IF(Atletas!K447="Hunggar B",7,IF(Atletas!K447="Wuzuquan B",8,IF(Atletas!K447="Wingchun B",9,IF(Atletas!K447="Outra Mão de Sul B",10,IF(Atletas!K447="Choylayfut C",11,IF(Atletas!K447="Hunggar C",12,IF(Atletas!K447="Wuzuquan C",13,IF(Atletas!K447="Wingchun C",14,IF(Atletas!K447="Outra Mão de Sul C",15,IF(Atletas!K447="Choylayfut D",16,IF(Atletas!K447="Hunggar D",17,IF(Atletas!K447="Wuzuquan D",18,IF(Atletas!K447="Wingchun D",19,IF(Atletas!K447="Outra Mão de Sul D",20,IF(Atletas!K447="Choylayfut E",21,IF(Atletas!K447="Hunggar E",22,IF(Atletas!K447="Wuzuquan E",23,IF(Atletas!K447="Wingchun E",24,IF(Atletas!K447="Outra Mão de Sul E",25,IF(Atletas!K447="Choylayfut F",26,IF(Atletas!K447="Hunggar F",27,IF(Atletas!K447="Wuzuquan F",28,IF(Atletas!K447="Wingchun F",29,IF(Atletas!K447="Outra Mão de Sul F",30,""))))))))))))))))))))))))))))))))</f>
        <v/>
      </c>
      <c r="BL451" s="52" t="str">
        <f>IF(Atletas!L447="","",IF(Atletas!W447&lt;&gt;"",10000,0)+(IF(Atletas!B447="Feminino",1000,IF(Atletas!B447="Masculino",2000,""))+(IF(Atletas!L447="Chaquan A",101,IF(Atletas!L447="Emeiquan A",102,IF(Atletas!L447="Fanziquan A",103,IF(Atletas!L447="Huaquan A",104,IF(Atletas!L447="Hongquan A",105,IF(Atletas!L447="Paochui A",106,IF(Atletas!L447="Piguaquan A",107,IF(Atletas!L447="Shaolinquan A",108,IF(Atletas!L447="Tanglangquan A",109,IF(Atletas!L447="Yinzhaophai A",110,IF(Atletas!L447="Tongbeiquan A",111,IF(Atletas!L447="Wudangquan A",112,IF(Atletas!L447="Outros Estilos A",113,IF(Atletas!L447="Chaquan B",114,IF(Atletas!L447="Emeiquan B",115,IF(Atletas!L447="Fanziquan B",116,IF(Atletas!L447="Huaquan B",117,IF(Atletas!L447="Hongquan B",118,IF(Atletas!L447="Paochui B",119,IF(Atletas!L447="Piguaquan B",120,IF(Atletas!L447="Shaolinquan B",121,IF(Atletas!L447="Tanglangquan B",122,IF(Atletas!L447="Yinzhaophai B",123,IF(Atletas!L447="Tongbeiquan B",124,IF(Atletas!L447="Wudangquan B",125,IF(Atletas!L447="Outros Estilos B",126,IF(Atletas!L447="Chaquan C",127,IF(Atletas!L447="Emeiquan C",128,IF(Atletas!L447="Fanziquan C",129,IF(Atletas!L447="Huaquan C",130,IF(Atletas!L447="Hongquan C",131,IF(Atletas!L447="Paochui C",132,IF(Atletas!L447="Piguaquan C",133,IF(Atletas!L447="Shaolinquan C",134,IF(Atletas!L447="Tanglangquan C",135,IF(Atletas!L447="Yinzhaophai C",136,IF(Atletas!L447="Tongbeiquan C",137,IF(Atletas!L447="Wudangquan C",138,IF(Atletas!L447="Outros Estilos C",139,0))))))))))))))))))))))))))))))))))))))))))</f>
        <v/>
      </c>
      <c r="BM451" s="52" t="str">
        <f>IF(Atletas!L447="","",IF(Atletas!W447&lt;&gt;"",10000,0)+(IF(Atletas!B447="Feminino",1000,IF(Atletas!B447="Masculino",2000,""))+(IF(Atletas!L447="Chaquan D",140,IF(Atletas!L447="Emeiquan D",141,IF(Atletas!L447="Fanziquan D",142,IF(Atletas!L447="Huaquan D",143,IF(Atletas!L447="Hongquan D",144,IF(Atletas!L447="Paochui D",145,IF(Atletas!L447="Piguaquan D",146,IF(Atletas!L447="Shaolinquan D",147,IF(Atletas!L447="Tanglangquan D",148,IF(Atletas!L447="Yinzhaophai D",149,IF(Atletas!L447="Tongbeiquan D",150,IF(Atletas!L447="Wudangquan D",151,IF(Atletas!L447="Outros Estilos D",152,IF(Atletas!L447="Chaquan E",153,IF(Atletas!L447="Emeiquan E",154,IF(Atletas!L447="Fanziquan E",155,IF(Atletas!L447="Huaquan E",156,IF(Atletas!L447="Hongquan E",157,IF(Atletas!L447="Paochui E",158,IF(Atletas!L447="Piguaquan E",159,IF(Atletas!L447="Shaolinquan E",160,IF(Atletas!L447="Tanglangquan E",161,IF(Atletas!L447="Yinzhaophai E",162,IF(Atletas!L447="Tongbeiquan E",163,IF(Atletas!L447="Wudangquan E",164,IF(Atletas!L447="Outros Estilos E",165,IF(Atletas!L447="Chaquan F",166,IF(Atletas!L447="Emeiquan F",167,IF(Atletas!L447="Fanziquan F",168,IF(Atletas!L447="Huaquan F",169,IF(Atletas!L447="Hongquan F",170,IF(Atletas!L447="Paochui F",171,IF(Atletas!L447="Piguaquan F",172,IF(Atletas!L447="Shaolinquan F",173,IF(Atletas!L447="Tanglangquan F",174,IF(Atletas!L447="Yinzhaophai F",175,IF(Atletas!L447="Tongbeiquan F",176,IF(Atletas!L447="Wudangquan F",177,IF(Atletas!L447="Outros Estilos F",178,0))))))))))))))))))))))))))))))))))))))))))</f>
        <v/>
      </c>
      <c r="BN451" s="52" t="str">
        <f>IF(Atletas!M447="","",IF(Atletas!W447&lt;&gt;"",10000,0)+(IF(Atletas!B447="Feminino",1000,IF(Atletas!B447="Masculino",2000,""))+(IF(Atletas!M447="Ditangquan A",201,IF(Atletas!M447="Houquan A",202,IF(Atletas!M447="Zuiquan A",203,IF(Atletas!M447="Ditangquan B",204,IF(Atletas!M447="Houquan B",205,IF(Atletas!M447="Zuiquan B",206,IF(Atletas!M447="Ditangquan C",207,IF(Atletas!M447="Houquan C",208,IF(Atletas!M447="Zuiquan C",209,IF(Atletas!M447="Ditangquan D",210,IF(Atletas!M447="Houquan D",211,IF(Atletas!M447="Zuiquan D",212,IF(Atletas!M447="Ditangquan E",213,IF(Atletas!M447="Houquan E",214,IF(Atletas!M447="Zuiquan E",215,IF(Atletas!M447="Ditangquan F",216,IF(Atletas!M447="Houquan F",217,IF(Atletas!M447="Zuiquan F",218,"")))))))))))))))))))))</f>
        <v/>
      </c>
      <c r="BO451" s="52" t="str">
        <f>IF(Atletas!N447="","",IF(Atletas!W447&lt;&gt;"",10000,0)+IF(Atletas!B447="Feminino",1000,IF(Atletas!B447="Masculino",2000,""))+IF(Atletas!N447="Yang A",301,IF(Atletas!N447="Chen A",30,IF(Atletas!N447="Sun A",303,IF(Atletas!N447="Wu A",304,IF(Atletas!N447="Wu-Hao A",305,IF(Atletas!N447="Outro Taijiquan A",306,IF(Atletas!N447="Yang B",307,IF(Atletas!N447="Chen B",308,IF(Atletas!N447="Sun B",309,IF(Atletas!N447="Wu B",310,IF(Atletas!N447="Wu-Hao B",311,IF(Atletas!N447="Outro Taijiquan B",312,IF(Atletas!N447="Yang C",313,IF(Atletas!N447="Chen C",314,IF(Atletas!N447="Sun C",315,IF(Atletas!N447="Wu C",316,IF(Atletas!N447="Wu-Hao C",317,IF(Atletas!N447="Outro Taijiquan C",318,IF(Atletas!N447="Yang D",319,IF(Atletas!N447="Chen D",320,IF(Atletas!N447="Sun D",321,IF(Atletas!N447="Wu D",322,IF(Atletas!N447="Wu-Hao D",323,IF(Atletas!N447="Outro Taijiquan D",324,IF(Atletas!N447="Yang E",325,IF(Atletas!N447="Chen E",326,IF(Atletas!N447="Sun E",327,IF(Atletas!N447="Wu E",328,IF(Atletas!N447="Wu-Hao E",329,IF(Atletas!N447="Outro Taijiquan E",330,IF(Atletas!N447="Yang F",331,IF(Atletas!N447="Chen F",332,IF(Atletas!N447="Sun F",333,IF(Atletas!N447="Wu F",334,IF(Atletas!N447="Wu-Hao F",335,IF(Atletas!N447="Outro Taijiquan F",336,"")))))))))))))))))))))))))))))))))))))</f>
        <v/>
      </c>
      <c r="BP451" s="52" t="str">
        <f>IF(Atletas!O447="","",IF(Atletas!W447&lt;&gt;"",10000,0)+IF(Atletas!B447="Feminino",1000,IF(Atletas!B447="Masculino",2000,""))+IF(OR(Atletas!O447="Yang 26 A",Atletas!O447="Yang 40 A"),401,IF(OR(Atletas!O447="Chen 25 A",Atletas!O447="Chen 36 A",Atletas!O447="Chen 56 A"),402,IF(Atletas!O447="Sun 73 A",403,IF(Atletas!O447="Wu 45 A",404,IF(Atletas!O447="Wu-Hao 46 A",405,IF(OR(Atletas!O447="Taijiquan 16 A",Atletas!O447="Taijiquan 24 A",Atletas!O447="Taijiquan 32 A",Atletas!O447="Taijiquan 42 A"),406,IF(OR(Atletas!O447="Yang 26 B",Atletas!O447="Yang 40 B"),407,IF(OR(Atletas!O447="Chen 25 B",Atletas!O447="Chen 36 B",Atletas!O447="Chen 56 B"),408,IF(Atletas!O447="Sun 73 B",409,IF(Atletas!O447="Wu 45 B",410,IF(Atletas!O447="Wu-Hao 46 B",411,IF(OR(Atletas!O447="Taijiquan 16 B",Atletas!O447="Taijiquan 24 B",Atletas!O447="Taijiquan 32 B",Atletas!O447="Taijiquan 42 B"),412,IF(OR(Atletas!O447="Yang 26 C",Atletas!O447="Yang 40 C"),413,IF(OR(Atletas!O447="Chen 25 C",Atletas!O447="Chen 36 C",Atletas!O447="Chen 56 C"),414,IF(Atletas!O447="Sun 73 C",415,IF(Atletas!O447="Wu 45 C",416,IF(Atletas!O447="Wu-Hao 46 C",417,IF(OR(Atletas!O447="Taijiquan 16 C",Atletas!O447="Taijiquan 24 C",Atletas!O447="Taijiquan 32 C",Atletas!O447="Taijiquan 42 C"),418,0)))))))))))))))))))</f>
        <v/>
      </c>
      <c r="BQ451" s="52" t="str">
        <f>IF(Atletas!O447="","",IF(Atletas!W447&lt;&gt;"",10000,0)+IF(Atletas!B447="Feminino",1000,IF(Atletas!B447="Masculino",2000,""))+IF(OR(Atletas!O447="Yang 26 D",Atletas!O447="Yang 40 D"),419,IF(OR(Atletas!O447="Chen 25 D",Atletas!O447="Chen 36 D",Atletas!O447="Chen 56 D"),420,IF(Atletas!O447="Sun 73 D",421,IF(Atletas!O447="Wu 45 D",422,IF(Atletas!O447="Wu-Hao 46 D",423,IF(OR(Atletas!O447="Taijiquan 16 D",Atletas!O447="Taijiquan 24 D",Atletas!O447="Taijiquan 32 D",Atletas!O447="Taijiquan 42 D"),424,IF(OR(Atletas!O447="Yang 26 E",Atletas!O447="Yang 40 E"),425,IF(OR(Atletas!O447="Chen 25 E",Atletas!O447="Chen 36 E",Atletas!O447="Chen 56 E"),426,IF(Atletas!O447="Sun 73 E",427,IF(Atletas!O447="Wu 45 E",428,IF(Atletas!O447="Wu-Hao 46 E",429,IF(OR(Atletas!O447="Taijiquan 16 E",Atletas!O447="Taijiquan 24 E",Atletas!O447="Taijiquan 32 E",Atletas!O447="Taijiquan 42 E"),430,IF(OR(Atletas!O447="Yang 26 F",Atletas!O447="Yang 40 F"),431,IF(OR(Atletas!O447="Chen 25 F",Atletas!O447="Chen 36 F",Atletas!O447="Chen 56 F"),432,IF(Atletas!O447="Sun 73 F",433,IF(Atletas!O447="Wu 45 F",434,IF(Atletas!O447="Wu-Hao 46 F",435,IF(OR(Atletas!O447="Taijiquan 16 F",Atletas!O447="Taijiquan 24 F",Atletas!O447="Taijiquan 32 F",Atletas!O447="Taijiquan 42 F"),436,0)))))))))))))))))))</f>
        <v/>
      </c>
      <c r="BR451" s="52" t="str">
        <f>IF(Atletas!P447="","",IF(Atletas!W447&lt;&gt;"",10000,0)+IF(Atletas!B447="Feminino",1000,IF(Atletas!B447="Masculino",2000,""))+IF(Atletas!P447="Xingyiquan A",501,IF(Atletas!P447="Baguazhang A",502,IF(Atletas!P447="Outro Estilo Interno A",503,IF(Atletas!P447="Xingyiquan B",504,IF(Atletas!P447="Baguazhang B",505,IF(Atletas!P447="Outro Estilo Interno B",506,IF(Atletas!P447="Xingyiquan C",507,IF(Atletas!P447="Baguazhang C",508,IF(Atletas!P447="Outro Estilo Interno C",509,IF(Atletas!P447="Xingyiquan D",510,IF(Atletas!P447="Baguazhang D",511,IF(Atletas!P447="Outro Estilo Interno D",512,IF(Atletas!P447="Xingyiquan E",513,IF(Atletas!P447="Baguazhang E",514,IF(Atletas!P447="Outro Estilo Interno E",515,IF(Atletas!P447="Xingyiquan F",516,IF(Atletas!P447="Baguazhang F",517,IF(Atletas!P447="Outro Estilo Interno F",518, "")))))))))))))))))))</f>
        <v/>
      </c>
      <c r="BS451" s="52" t="str">
        <f>IF(Atletas!Q447="","",IF(Atletas!W447&lt;&gt;"",10000,0)+IF(Atletas!B447="Feminino",1000,IF(Atletas!B447="Masculino",2000,""))+IF(Atletas!Q447="Dao A",601,IF(Atletas!Q447="Jian A",602,IF(Atletas!Q447="Bishou A",603,IF(Atletas!Q447="Shan A",604,IF(Atletas!Q447="Outra Arma Curta A",605,IF(Atletas!Q447="Dao B",606,IF(Atletas!Q447="Jian B",607,IF(Atletas!Q447="Bishou B",608,IF(Atletas!Q447="Shan B",609,IF(Atletas!Q447="Outra Arma Curta B",610,IF(Atletas!Q447="Dao C",611,IF(Atletas!Q447="Jian C",612,IF(Atletas!Q447="Bishou C",613,IF(Atletas!Q447="Shan C",614,IF(Atletas!Q447="Outra Arma Curta C",615,IF(Atletas!Q447="Dao D",616,IF(Atletas!Q447="Jian D",617,IF(Atletas!Q447="Bishou D",618,IF(Atletas!Q447="Shan D",619,IF(Atletas!Q447="Outra Arma Curta D",620,IF(Atletas!Q447="Dao E",621,IF(Atletas!Q447="Jian E",622,IF(Atletas!Q447="Bishou E",623,IF(Atletas!Q447="Shan E",624,IF(Atletas!Q447="Outra Arma Curta E",625,IF(Atletas!Q447="Dao F",626,IF(Atletas!Q447="Jian F",627,IF(Atletas!Q447="Bishou F",628,IF(Atletas!Q447="Shan F",629,IF(Atletas!Q447="Outra Arma Curta F",630, "")))))))))))))))))))))))))))))))</f>
        <v/>
      </c>
      <c r="BT451" s="52" t="str">
        <f>IF(Atletas!R447="","",IF(Atletas!W447&lt;&gt;"",10000,0)+IF(Atletas!B447="Feminino",1000,IF(Atletas!B447="Masculino",2000,""))+IF(Atletas!R447="Gun A",701,IF(Atletas!R447="Qiang A",702,IF(Atletas!R447="Pudao / Guandao A",703,IF(Atletas!R447="Outra Arma Longa A",704,IF(Atletas!R447="Gun B",705,IF(Atletas!R447="Qiang B",706,IF(Atletas!R447="Pudao / Guandao B",707,IF(Atletas!R447="Outra Arma Longa B",708,IF(Atletas!R447="Gun C",709,IF(Atletas!R447="Qiang C",710,IF(Atletas!R447="Pudao / Guandao C",711,IF(Atletas!R447="Outra Arma Longa C",712,IF(Atletas!R447="Gun D",713,IF(Atletas!R447="Qiang D",714,IF(Atletas!R447="Pudao / Guandao D",715,IF(Atletas!R447="Outra Arma Longa D",716,IF(Atletas!R447="Gun E",717,IF(Atletas!R447="Qiang E",718,IF(Atletas!R447="Pudao / Guandao E",719,IF(Atletas!R447="Outra Arma Longa E",720,IF(Atletas!R447="Gun F",721,IF(Atletas!R447="Qiang F",722,IF(Atletas!R447="Pudao / Guandao F",723,IF(Atletas!R447="Outra Arma Longa F",724,"")))))))))))))))))))))))))</f>
        <v/>
      </c>
      <c r="BU451" s="52" t="str">
        <f>IF(Atletas!S447="","",IF(Atletas!W447&lt;&gt;"",10000,0)+IF(Atletas!B447="Feminino",1000,IF(Atletas!B447="Masculino",2000,""))+IF(Atletas!S447="Arma Dupla A",801,IF(Atletas!S447="Arma Maleável A",802,IF(Atletas!S447="Arma Dupla B",803,IF(Atletas!S447="Arma Maleável B",804,IF(Atletas!S447="Arma Dupla C",805,IF(Atletas!S447="Arma Maleável C",806,IF(Atletas!S447="Arma Dupla D",807,IF(Atletas!S447="Arma Maleável D",808,IF(Atletas!S447="Arma Dupla E",809,IF(Atletas!S447="Arma Maleável E",810,IF(Atletas!S447="Arma Dupla F",811,IF(Atletas!S447="Arma Maleável F",812, "")))))))))))))</f>
        <v/>
      </c>
      <c r="BV451" s="52" t="str">
        <f>IF(Atletas!T447="","",IF(Atletas!W447&lt;&gt;"",10000,0)+IF(Atletas!B447="Feminino",1000,IF(Atletas!B447="Masculino",2000,""))+IF(Atletas!T447="Taijijian Yang A",901,IF(Atletas!T447="Taijijian Chen A",902,IF(Atletas!T447="Taijijian Sun A",903,IF(Atletas!T447="Taijijian Wu A",904,IF(Atletas!T447="Taijijian Wu-Hao A",905,IF(Atletas!T447="Taijijian 32 A",906,IF(Atletas!T447="Taijijian 42 A",907,IF(Atletas!T447="Taijijian Yang B",908,IF(Atletas!T447="Taijijian Chen B",909,IF(Atletas!T447="Taijijian Sun B",910,IF(Atletas!T447="Taijijian Wu B",911,IF(Atletas!T447="Taijijian Wu-Hao B",912,IF(Atletas!T447="Taijijian 32 B",913,IF(Atletas!T447="Taijijian 42 B",914,IF(Atletas!T447="Taijijian Yang C",915,IF(Atletas!T447="Taijijian Chen C",916,IF(Atletas!T447="Taijijian Sun C",917,IF(Atletas!T447="Taijijian Wu C",918,IF(Atletas!T447="Taijijian Wu-Hao C",919,IF(Atletas!T447="Taijijian 32 C",920,IF(Atletas!T447="Taijijian 42 C",921,IF(Atletas!T447="Taijijian Yang D",922,IF(Atletas!T447="Taijijian Chen D",923,IF(Atletas!T447="Taijijian Sun D",924,IF(Atletas!T447="Taijijian Wu D",925,IF(Atletas!T447="Taijijian Wu-Hao D",926,IF(Atletas!T447="Taijijian 32 D",927,IF(Atletas!T447="Taijijian 42 D",928,IF(Atletas!T447="Taijijian Yang E",929,IF(Atletas!T447="Taijijian Chen E",930,IF(Atletas!T447="Taijijian Sun E",931,IF(Atletas!T447="Taijijian Wu E",932,IF(Atletas!T447="Taijijian Wu-Hao E",933,IF(Atletas!T447="Taijijian 32 E",934,IF(Atletas!T447="Taijijian 42 E",935,IF(Atletas!T447="Taijijian Yang F",936,IF(Atletas!T447="Taijijian Chen F",937,IF(Atletas!T447="Taijijian Sun F",938,IF(Atletas!T447="Taijijian Wu F",939,IF(Atletas!T447="Taijijian Wu-Hao F",940,IF(Atletas!T447="Taijijian 32 F",941,IF(Atletas!T447="Taijijian 42 F",942,"")))))))))))))))))))))))))))))))))))))))))))</f>
        <v/>
      </c>
      <c r="BW451" s="52" t="str">
        <f>IF(Atletas!U447="","",IF(Atletas!W447&lt;&gt;"",10000,0)+IF(Atletas!B447="Feminino",1000,IF(Atletas!B447="Masculino",2000,""))+IF(Atletas!T447="Taijijian 42 F",942,IF(Atletas!U447="Taijidao A",943,IF(Atletas!U447="Taijishan A",944,IF(Atletas!U447="Taijiqiang A",945,IF(Atletas!U447="Taijidao B",946,IF(Atletas!U447="Taijishan B",947,IF(Atletas!U447="Taijiqiang B",948,IF(Atletas!U447="Taijidao C",949,IF(Atletas!U447="Taijishan C",950,IF(Atletas!U447="Taijiqiang C",951,IF(Atletas!U447="Taijidao D",952,IF(Atletas!U447="Taijishan D",953,IF(Atletas!U447="Taijiqiang D",954,IF(Atletas!U447="Taijidao E",955,IF(Atletas!U447="Taijishan E",956,IF(Atletas!U447="Taijiqiang E",957,IF(Atletas!U447="Taijidao F",958,IF(Atletas!U447="Taijishan F",959,IF(Atletas!U447="Taijiqiang F",960))))))))))))))))))))</f>
        <v/>
      </c>
      <c r="CF451" s="52" t="str">
        <f xml:space="preserve"> IF(Atletas!V447="","",IF(Atletas!V447="Duilian de Mãos AB - Equipe 1",1,IF(Atletas!V447="Duilian de Mãos AB - Equipe 2",2,IF(Atletas!V447="Duilian de Armas AB - Equipe 1",3,IF(Atletas!V447="Duilian de Armas AB - Equipe 2",4,IF(Atletas!V447="Duilian de Tuishou - Equipe 1",5,IF(Atletas!V447="Duilian de Tuishou - Equipe 2",6,IF(Atletas!V447="Grupo Externo AB - Equipe 1",7,IF(Atletas!V447="Grupo Externo AB - Equipe 2",8,IF(Atletas!V447="Grupo Interno AB - Equipe 1",9,IF(Atletas!V447="Grupo Interno AB - Equipe 2",10,IF(Atletas!V447="Duilian de Mãos CD - Equipe 1",11,IF(Atletas!V447="Duilian de Mãos CD - Equipe 2",12,IF(Atletas!V447="Duilian de Armas CD - Equipe 1",13,IF(Atletas!V447="Duilian de Armas CD - Equipe 2",14,IF(Atletas!V447="Duilian de Tuishou - Equipe 1",15,IF(Atletas!V447="Duilian de Tuishou - Equipe 2",16,IF(Atletas!V447="Grupo Externo CDEF - Equipe 1",17,IF(Atletas!V447="Grupo Externo CDEF - Equipe 2",18,IF(Atletas!V447="Grupo Interno CDEF - Equipe 1",19,IF(Atletas!V447="Grupo Interno CDEF - Equipe 2",20,IF(Atletas!V447="Duilian de Mãos EF - Equipe 1",21,IF(Atletas!V447="Duilian de Mãos EF - Equipe 2",22,IF(Atletas!V447="Duilian de Armas EF - Equipe 1",23,IF(Atletas!V447="Duilian de Armas EF - Equipe 2",24,IF(Atletas!V447="Duilian de Tuishou - Equipe 1",25,IF(Atletas!V447="Duilian de Tuishou - Equipe 2",26,"")))))))))))))))))))))))))))</f>
        <v/>
      </c>
    </row>
    <row r="452" spans="36:84">
      <c r="AJ452" s="46" t="str">
        <f>IF(Atletas!D448="","",IF(Atletas!B448="Feminino",100,IF(Atletas!B448="Masculino",200,""))+(IF(Atletas!D448="Infantil 39kg",1,IF(Atletas!D448="Infantil 42kg",2,IF(Atletas!D448="Infantil 45kg",3,IF(Atletas!D448="Infantil 48kg",4,IF(Atletas!D448="Infantil 52kg",5,IF(Atletas!D448="Infantil 56kg",6,IF(Atletas!D448="Infantil 60kg",7,IF(Atletas!D448="Juvenil 48kg",8,IF(Atletas!D448="Juvenil 52kg",9,IF(Atletas!D448="Juvenil 56kg",10,IF(Atletas!D448="Juvenil 60kg",11,IF(Atletas!D448="Juvenil 65kg",12,IF(Atletas!D448="Juvenil 70kg",13,IF(Atletas!D448="Juvenil 75kg",14,IF(Atletas!D448="Juvenil 80kg",15,IF(Atletas!D448="Adulto 48kg",16,IF(Atletas!D448="Adulto 52kg",17,IF(Atletas!D448="Adulto 56kg",18,IF(Atletas!D448="Adulto 60kg",19,IF(Atletas!D448="Adulto 65kg",20,IF(Atletas!D448="Adulto 70kg",21,IF(Atletas!D448="Adulto 75kg",22,IF(Atletas!D448="Adulto 80kg",23,IF(Atletas!D448="Adulto 85kg",24,IF(Atletas!D448="Adulto 90kg",25,IF(Atletas!D448="Adulto +90kg",26,""))))))))))))))))))))))))))))</f>
        <v/>
      </c>
      <c r="AO452" s="10" t="str">
        <f>IF(Atletas!E448="","",IF(Atletas!B448="Feminino",100,IF(Atletas!B448="Masculino",200,""))+(IF(Atletas!E448="Juvenil 44kg",1,IF(Atletas!E448="Juvenil 48kg",2,IF(Atletas!E448="Juvenil 52kg",3,IF(Atletas!E448="Juvenil 56kg",4,IF(Atletas!E448="Juvenil 60kg",5,IF(Atletas!E448="Juvenil 65kg",6,IF(Atletas!E448="Juvenil 70kg",7,IF(Atletas!E448="Juvenil 75kg",8,IF(Atletas!E448="Juvenil 82kg",9,IF(Atletas!E448="Juvenil 90kg",10,IF(Atletas!E448="Juvenil 100kg",11,IF(Atletas!E448="Adulto 48kg",12,IF(Atletas!E448="Adulto 52kg",13,IF(Atletas!E448="Adulto 56kg",14,IF(Atletas!E448="Adulto 60kg",15,IF(Atletas!E448="Adulto 65kg",16,IF(Atletas!E448="Adulto 70kg",17,IF(Atletas!E448="Adulto 75kg",18,IF(Atletas!E448="Adulto 82kg",19,IF(Atletas!E448="Adulto 90kg",20,IF(Atletas!E448="Adulto 100kg",21,IF(Atletas!E448="Adulto +100kg",22,""))))))))))))))))))))))))</f>
        <v/>
      </c>
      <c r="AT452" s="10" t="str">
        <f>IF(Atletas!F448="","",IF(Atletas!B448="Feminino",100,IF(Atletas!B448="Masculino",200,""))+(IF(Atletas!F448="Adulto 48kg",1,IF(Atletas!F448="Adulto 56kg",2,IF(Atletas!F448="Adulto 65kg",3,IF(Atletas!F448="Adulto 75kg",4,IF(Atletas!F448="Adulto +75kg",5,IF(Atletas!F448="Adulto 52kg",6,IF(Atletas!F448="Adulto 60kg",7,IF(Atletas!F448="Adulto 70kg",8,IF(Atletas!F448="Adulto 80kg",9,IF(Atletas!F448="Adulto 90kg",10,IF(Atletas!F448="Adulto +90kg",11,"")))))))))))))</f>
        <v/>
      </c>
      <c r="AY452" s="46" t="str">
        <f>IF(Atletas!G448="","",IF(Atletas!B448="Feminino",100,IF(Atletas!B448="Masculino",200,""))+(IF(Atletas!G448="Changquan Mirim",1,IF(Atletas!G448="Nanquan Mirim",2,IF(Atletas!G448="Taijiquan Mirim",3,IF(Atletas!G448="Changquan Grupo C",4,IF(Atletas!G448="Nanquan Grupo C",5,IF(Atletas!G448="Taijiquan Grupo C",6,IF(Atletas!G448="Changquan Grupo B",7,IF(Atletas!G448="Nanquan Grupo B",8,IF(Atletas!G448="Taijiquan Grupo B",9,IF(Atletas!G448="Changquan Grupo A",10,IF(Atletas!G448="Nanquan Grupo A",11,IF(Atletas!G448="Taijiquan Grupo A",12,IF(Atletas!G448="Changquan Opcional",13,IF(Atletas!G448="Nanquan Opcional",14,IF(Atletas!G448="Taijiquan Opcional",15,IF(Atletas!G448="Changquan Adulto",16,IF(Atletas!G448="Nanquan Adulto",17,IF(Atletas!G448="Taijiquan Adulto",18,""))))))))))))))))))))</f>
        <v/>
      </c>
      <c r="AZ452" s="46" t="str">
        <f>IF(Atletas!H448="","",IF(Atletas!B448="Feminino",100,IF(Atletas!B448="Masculino",200,""))+(IF(Atletas!H448="Daoshu Mirim",19,IF(Atletas!H448="Jianshu Mirim",20,IF(Atletas!H448="Nandao Mirim",21,IF(Atletas!H448="Taijijian Mirim",22,IF(Atletas!H448="Daoshu Grupo C",23,IF(Atletas!H448="Jianshu Grupo C",24,IF(Atletas!H448="Nandao Grupo C",25,IF(Atletas!H448="Taijijian Grupo C",26,IF(Atletas!H448="Daoshu Grupo B",27,IF(Atletas!H448="Jianshu Grupo B",28,IF(Atletas!H448="Nandao Grupo B",29,IF(Atletas!H448="Taijijian Grupo B",30,IF(Atletas!H448="Daoshu Grupo A",31,IF(Atletas!H448="Jianshu Grupo A",32,IF(Atletas!H448="Nandao Grupo A",33,IF(Atletas!H448="Taijijian Grupo A",34,IF(Atletas!H448="Daoshu Opcional",35,IF(Atletas!H448="Jianshu Opcional",36,IF(Atletas!H448="Nandao Opcional",37,IF(Atletas!H448="Taijijian Opcional",38,IF(Atletas!H448="Daoshu Adulto",39,IF(Atletas!H448="Jianshu Adulto",40,IF(Atletas!H448="Nandao Adulto",41,IF(Atletas!H448="Taijijian Adulto",42,""))))))))))))))))))))))))))</f>
        <v/>
      </c>
      <c r="BA452" s="46" t="str">
        <f>IF(Atletas!I448="","",IF(Atletas!B448="Feminino",100,IF(Atletas!B448="Masculino",200,""))+(IF(Atletas!I448="Gunshu Mirim",43,IF(Atletas!I448="Qiangshu Mirim",44,IF(Atletas!I448="Nangun Mirim",45,IF(Atletas!I448="Gunshu Grupo C",46,IF(Atletas!I448="Qiangshu Grupo C",47,IF(Atletas!I448="Nangun Grupo C",48,IF(Atletas!I448="Gunshu Grupo B",49,IF(Atletas!I448="Qiangshu Grupo B",50,IF(Atletas!I448="Nangun Grupo B",51,IF(Atletas!I448="Gunshu Grupo A",52,IF(Atletas!I448="Qiangshu Grupo A",53,IF(Atletas!I448="Nangun Grupo A",54,IF(Atletas!I448="Gunshu Opcional",55,IF(Atletas!I448="Qiangshu Opcional",56,IF(Atletas!I448="Nangun Opcional",57,IF(Atletas!I448="Gunshu Adulto",58,IF(Atletas!I448="Qiangshu Adulto",59,IF(Atletas!I448="Nangun Adulto",60,""))))))))))))))))))))</f>
        <v/>
      </c>
      <c r="BF452" s="52" t="str">
        <f>IF(Atletas!J448="","",IF(Atletas!B448="Feminino",100,IF(Atletas!B448="Masculino",200,""))+(IF(Atletas!J448="Equipe 1 Grupo B",1,IF(Atletas!J448="Equipe 2 Grupo B",2,IF(Atletas!J448="Equipe 1 Grupo A",3,IF(Atletas!J448="Equipe 2 Grupo A",4,IF(Atletas!J448="Equipe 1 Adulto",5,IF(Atletas!J448="Equipe 2 Adulto",6,""))))))))</f>
        <v/>
      </c>
      <c r="BK452" s="52" t="str">
        <f>IF(Atletas!K448="","",IF(Atletas!W448&lt;&gt;"",10000,0)+(IF(Atletas!B448="Feminino",1000,IF(Atletas!B448="Masculino",2000,""))+IF(Atletas!K448="Choylayfut A",1,IF(Atletas!K448="Hunggar A",2,IF(Atletas!K448="Wuzuquan A",3,IF(Atletas!K448="Wingchun A",4,IF(Atletas!K448="Outra Mão de Sul A",5,IF(Atletas!K448="Choylayfut B",6,IF(Atletas!K448="Hunggar B",7,IF(Atletas!K448="Wuzuquan B",8,IF(Atletas!K448="Wingchun B",9,IF(Atletas!K448="Outra Mão de Sul B",10,IF(Atletas!K448="Choylayfut C",11,IF(Atletas!K448="Hunggar C",12,IF(Atletas!K448="Wuzuquan C",13,IF(Atletas!K448="Wingchun C",14,IF(Atletas!K448="Outra Mão de Sul C",15,IF(Atletas!K448="Choylayfut D",16,IF(Atletas!K448="Hunggar D",17,IF(Atletas!K448="Wuzuquan D",18,IF(Atletas!K448="Wingchun D",19,IF(Atletas!K448="Outra Mão de Sul D",20,IF(Atletas!K448="Choylayfut E",21,IF(Atletas!K448="Hunggar E",22,IF(Atletas!K448="Wuzuquan E",23,IF(Atletas!K448="Wingchun E",24,IF(Atletas!K448="Outra Mão de Sul E",25,IF(Atletas!K448="Choylayfut F",26,IF(Atletas!K448="Hunggar F",27,IF(Atletas!K448="Wuzuquan F",28,IF(Atletas!K448="Wingchun F",29,IF(Atletas!K448="Outra Mão de Sul F",30,""))))))))))))))))))))))))))))))))</f>
        <v/>
      </c>
      <c r="BL452" s="52" t="str">
        <f>IF(Atletas!L448="","",IF(Atletas!W448&lt;&gt;"",10000,0)+(IF(Atletas!B448="Feminino",1000,IF(Atletas!B448="Masculino",2000,""))+(IF(Atletas!L448="Chaquan A",101,IF(Atletas!L448="Emeiquan A",102,IF(Atletas!L448="Fanziquan A",103,IF(Atletas!L448="Huaquan A",104,IF(Atletas!L448="Hongquan A",105,IF(Atletas!L448="Paochui A",106,IF(Atletas!L448="Piguaquan A",107,IF(Atletas!L448="Shaolinquan A",108,IF(Atletas!L448="Tanglangquan A",109,IF(Atletas!L448="Yinzhaophai A",110,IF(Atletas!L448="Tongbeiquan A",111,IF(Atletas!L448="Wudangquan A",112,IF(Atletas!L448="Outros Estilos A",113,IF(Atletas!L448="Chaquan B",114,IF(Atletas!L448="Emeiquan B",115,IF(Atletas!L448="Fanziquan B",116,IF(Atletas!L448="Huaquan B",117,IF(Atletas!L448="Hongquan B",118,IF(Atletas!L448="Paochui B",119,IF(Atletas!L448="Piguaquan B",120,IF(Atletas!L448="Shaolinquan B",121,IF(Atletas!L448="Tanglangquan B",122,IF(Atletas!L448="Yinzhaophai B",123,IF(Atletas!L448="Tongbeiquan B",124,IF(Atletas!L448="Wudangquan B",125,IF(Atletas!L448="Outros Estilos B",126,IF(Atletas!L448="Chaquan C",127,IF(Atletas!L448="Emeiquan C",128,IF(Atletas!L448="Fanziquan C",129,IF(Atletas!L448="Huaquan C",130,IF(Atletas!L448="Hongquan C",131,IF(Atletas!L448="Paochui C",132,IF(Atletas!L448="Piguaquan C",133,IF(Atletas!L448="Shaolinquan C",134,IF(Atletas!L448="Tanglangquan C",135,IF(Atletas!L448="Yinzhaophai C",136,IF(Atletas!L448="Tongbeiquan C",137,IF(Atletas!L448="Wudangquan C",138,IF(Atletas!L448="Outros Estilos C",139,0))))))))))))))))))))))))))))))))))))))))))</f>
        <v/>
      </c>
      <c r="BM452" s="52" t="str">
        <f>IF(Atletas!L448="","",IF(Atletas!W448&lt;&gt;"",10000,0)+(IF(Atletas!B448="Feminino",1000,IF(Atletas!B448="Masculino",2000,""))+(IF(Atletas!L448="Chaquan D",140,IF(Atletas!L448="Emeiquan D",141,IF(Atletas!L448="Fanziquan D",142,IF(Atletas!L448="Huaquan D",143,IF(Atletas!L448="Hongquan D",144,IF(Atletas!L448="Paochui D",145,IF(Atletas!L448="Piguaquan D",146,IF(Atletas!L448="Shaolinquan D",147,IF(Atletas!L448="Tanglangquan D",148,IF(Atletas!L448="Yinzhaophai D",149,IF(Atletas!L448="Tongbeiquan D",150,IF(Atletas!L448="Wudangquan D",151,IF(Atletas!L448="Outros Estilos D",152,IF(Atletas!L448="Chaquan E",153,IF(Atletas!L448="Emeiquan E",154,IF(Atletas!L448="Fanziquan E",155,IF(Atletas!L448="Huaquan E",156,IF(Atletas!L448="Hongquan E",157,IF(Atletas!L448="Paochui E",158,IF(Atletas!L448="Piguaquan E",159,IF(Atletas!L448="Shaolinquan E",160,IF(Atletas!L448="Tanglangquan E",161,IF(Atletas!L448="Yinzhaophai E",162,IF(Atletas!L448="Tongbeiquan E",163,IF(Atletas!L448="Wudangquan E",164,IF(Atletas!L448="Outros Estilos E",165,IF(Atletas!L448="Chaquan F",166,IF(Atletas!L448="Emeiquan F",167,IF(Atletas!L448="Fanziquan F",168,IF(Atletas!L448="Huaquan F",169,IF(Atletas!L448="Hongquan F",170,IF(Atletas!L448="Paochui F",171,IF(Atletas!L448="Piguaquan F",172,IF(Atletas!L448="Shaolinquan F",173,IF(Atletas!L448="Tanglangquan F",174,IF(Atletas!L448="Yinzhaophai F",175,IF(Atletas!L448="Tongbeiquan F",176,IF(Atletas!L448="Wudangquan F",177,IF(Atletas!L448="Outros Estilos F",178,0))))))))))))))))))))))))))))))))))))))))))</f>
        <v/>
      </c>
      <c r="BN452" s="52" t="str">
        <f>IF(Atletas!M448="","",IF(Atletas!W448&lt;&gt;"",10000,0)+(IF(Atletas!B448="Feminino",1000,IF(Atletas!B448="Masculino",2000,""))+(IF(Atletas!M448="Ditangquan A",201,IF(Atletas!M448="Houquan A",202,IF(Atletas!M448="Zuiquan A",203,IF(Atletas!M448="Ditangquan B",204,IF(Atletas!M448="Houquan B",205,IF(Atletas!M448="Zuiquan B",206,IF(Atletas!M448="Ditangquan C",207,IF(Atletas!M448="Houquan C",208,IF(Atletas!M448="Zuiquan C",209,IF(Atletas!M448="Ditangquan D",210,IF(Atletas!M448="Houquan D",211,IF(Atletas!M448="Zuiquan D",212,IF(Atletas!M448="Ditangquan E",213,IF(Atletas!M448="Houquan E",214,IF(Atletas!M448="Zuiquan E",215,IF(Atletas!M448="Ditangquan F",216,IF(Atletas!M448="Houquan F",217,IF(Atletas!M448="Zuiquan F",218,"")))))))))))))))))))))</f>
        <v/>
      </c>
      <c r="BO452" s="52" t="str">
        <f>IF(Atletas!N448="","",IF(Atletas!W448&lt;&gt;"",10000,0)+IF(Atletas!B448="Feminino",1000,IF(Atletas!B448="Masculino",2000,""))+IF(Atletas!N448="Yang A",301,IF(Atletas!N448="Chen A",30,IF(Atletas!N448="Sun A",303,IF(Atletas!N448="Wu A",304,IF(Atletas!N448="Wu-Hao A",305,IF(Atletas!N448="Outro Taijiquan A",306,IF(Atletas!N448="Yang B",307,IF(Atletas!N448="Chen B",308,IF(Atletas!N448="Sun B",309,IF(Atletas!N448="Wu B",310,IF(Atletas!N448="Wu-Hao B",311,IF(Atletas!N448="Outro Taijiquan B",312,IF(Atletas!N448="Yang C",313,IF(Atletas!N448="Chen C",314,IF(Atletas!N448="Sun C",315,IF(Atletas!N448="Wu C",316,IF(Atletas!N448="Wu-Hao C",317,IF(Atletas!N448="Outro Taijiquan C",318,IF(Atletas!N448="Yang D",319,IF(Atletas!N448="Chen D",320,IF(Atletas!N448="Sun D",321,IF(Atletas!N448="Wu D",322,IF(Atletas!N448="Wu-Hao D",323,IF(Atletas!N448="Outro Taijiquan D",324,IF(Atletas!N448="Yang E",325,IF(Atletas!N448="Chen E",326,IF(Atletas!N448="Sun E",327,IF(Atletas!N448="Wu E",328,IF(Atletas!N448="Wu-Hao E",329,IF(Atletas!N448="Outro Taijiquan E",330,IF(Atletas!N448="Yang F",331,IF(Atletas!N448="Chen F",332,IF(Atletas!N448="Sun F",333,IF(Atletas!N448="Wu F",334,IF(Atletas!N448="Wu-Hao F",335,IF(Atletas!N448="Outro Taijiquan F",336,"")))))))))))))))))))))))))))))))))))))</f>
        <v/>
      </c>
      <c r="BP452" s="52" t="str">
        <f>IF(Atletas!O448="","",IF(Atletas!W448&lt;&gt;"",10000,0)+IF(Atletas!B448="Feminino",1000,IF(Atletas!B448="Masculino",2000,""))+IF(OR(Atletas!O448="Yang 26 A",Atletas!O448="Yang 40 A"),401,IF(OR(Atletas!O448="Chen 25 A",Atletas!O448="Chen 36 A",Atletas!O448="Chen 56 A"),402,IF(Atletas!O448="Sun 73 A",403,IF(Atletas!O448="Wu 45 A",404,IF(Atletas!O448="Wu-Hao 46 A",405,IF(OR(Atletas!O448="Taijiquan 16 A",Atletas!O448="Taijiquan 24 A",Atletas!O448="Taijiquan 32 A",Atletas!O448="Taijiquan 42 A"),406,IF(OR(Atletas!O448="Yang 26 B",Atletas!O448="Yang 40 B"),407,IF(OR(Atletas!O448="Chen 25 B",Atletas!O448="Chen 36 B",Atletas!O448="Chen 56 B"),408,IF(Atletas!O448="Sun 73 B",409,IF(Atletas!O448="Wu 45 B",410,IF(Atletas!O448="Wu-Hao 46 B",411,IF(OR(Atletas!O448="Taijiquan 16 B",Atletas!O448="Taijiquan 24 B",Atletas!O448="Taijiquan 32 B",Atletas!O448="Taijiquan 42 B"),412,IF(OR(Atletas!O448="Yang 26 C",Atletas!O448="Yang 40 C"),413,IF(OR(Atletas!O448="Chen 25 C",Atletas!O448="Chen 36 C",Atletas!O448="Chen 56 C"),414,IF(Atletas!O448="Sun 73 C",415,IF(Atletas!O448="Wu 45 C",416,IF(Atletas!O448="Wu-Hao 46 C",417,IF(OR(Atletas!O448="Taijiquan 16 C",Atletas!O448="Taijiquan 24 C",Atletas!O448="Taijiquan 32 C",Atletas!O448="Taijiquan 42 C"),418,0)))))))))))))))))))</f>
        <v/>
      </c>
      <c r="BQ452" s="52" t="str">
        <f>IF(Atletas!O448="","",IF(Atletas!W448&lt;&gt;"",10000,0)+IF(Atletas!B448="Feminino",1000,IF(Atletas!B448="Masculino",2000,""))+IF(OR(Atletas!O448="Yang 26 D",Atletas!O448="Yang 40 D"),419,IF(OR(Atletas!O448="Chen 25 D",Atletas!O448="Chen 36 D",Atletas!O448="Chen 56 D"),420,IF(Atletas!O448="Sun 73 D",421,IF(Atletas!O448="Wu 45 D",422,IF(Atletas!O448="Wu-Hao 46 D",423,IF(OR(Atletas!O448="Taijiquan 16 D",Atletas!O448="Taijiquan 24 D",Atletas!O448="Taijiquan 32 D",Atletas!O448="Taijiquan 42 D"),424,IF(OR(Atletas!O448="Yang 26 E",Atletas!O448="Yang 40 E"),425,IF(OR(Atletas!O448="Chen 25 E",Atletas!O448="Chen 36 E",Atletas!O448="Chen 56 E"),426,IF(Atletas!O448="Sun 73 E",427,IF(Atletas!O448="Wu 45 E",428,IF(Atletas!O448="Wu-Hao 46 E",429,IF(OR(Atletas!O448="Taijiquan 16 E",Atletas!O448="Taijiquan 24 E",Atletas!O448="Taijiquan 32 E",Atletas!O448="Taijiquan 42 E"),430,IF(OR(Atletas!O448="Yang 26 F",Atletas!O448="Yang 40 F"),431,IF(OR(Atletas!O448="Chen 25 F",Atletas!O448="Chen 36 F",Atletas!O448="Chen 56 F"),432,IF(Atletas!O448="Sun 73 F",433,IF(Atletas!O448="Wu 45 F",434,IF(Atletas!O448="Wu-Hao 46 F",435,IF(OR(Atletas!O448="Taijiquan 16 F",Atletas!O448="Taijiquan 24 F",Atletas!O448="Taijiquan 32 F",Atletas!O448="Taijiquan 42 F"),436,0)))))))))))))))))))</f>
        <v/>
      </c>
      <c r="BR452" s="52" t="str">
        <f>IF(Atletas!P448="","",IF(Atletas!W448&lt;&gt;"",10000,0)+IF(Atletas!B448="Feminino",1000,IF(Atletas!B448="Masculino",2000,""))+IF(Atletas!P448="Xingyiquan A",501,IF(Atletas!P448="Baguazhang A",502,IF(Atletas!P448="Outro Estilo Interno A",503,IF(Atletas!P448="Xingyiquan B",504,IF(Atletas!P448="Baguazhang B",505,IF(Atletas!P448="Outro Estilo Interno B",506,IF(Atletas!P448="Xingyiquan C",507,IF(Atletas!P448="Baguazhang C",508,IF(Atletas!P448="Outro Estilo Interno C",509,IF(Atletas!P448="Xingyiquan D",510,IF(Atletas!P448="Baguazhang D",511,IF(Atletas!P448="Outro Estilo Interno D",512,IF(Atletas!P448="Xingyiquan E",513,IF(Atletas!P448="Baguazhang E",514,IF(Atletas!P448="Outro Estilo Interno E",515,IF(Atletas!P448="Xingyiquan F",516,IF(Atletas!P448="Baguazhang F",517,IF(Atletas!P448="Outro Estilo Interno F",518, "")))))))))))))))))))</f>
        <v/>
      </c>
      <c r="BS452" s="52" t="str">
        <f>IF(Atletas!Q448="","",IF(Atletas!W448&lt;&gt;"",10000,0)+IF(Atletas!B448="Feminino",1000,IF(Atletas!B448="Masculino",2000,""))+IF(Atletas!Q448="Dao A",601,IF(Atletas!Q448="Jian A",602,IF(Atletas!Q448="Bishou A",603,IF(Atletas!Q448="Shan A",604,IF(Atletas!Q448="Outra Arma Curta A",605,IF(Atletas!Q448="Dao B",606,IF(Atletas!Q448="Jian B",607,IF(Atletas!Q448="Bishou B",608,IF(Atletas!Q448="Shan B",609,IF(Atletas!Q448="Outra Arma Curta B",610,IF(Atletas!Q448="Dao C",611,IF(Atletas!Q448="Jian C",612,IF(Atletas!Q448="Bishou C",613,IF(Atletas!Q448="Shan C",614,IF(Atletas!Q448="Outra Arma Curta C",615,IF(Atletas!Q448="Dao D",616,IF(Atletas!Q448="Jian D",617,IF(Atletas!Q448="Bishou D",618,IF(Atletas!Q448="Shan D",619,IF(Atletas!Q448="Outra Arma Curta D",620,IF(Atletas!Q448="Dao E",621,IF(Atletas!Q448="Jian E",622,IF(Atletas!Q448="Bishou E",623,IF(Atletas!Q448="Shan E",624,IF(Atletas!Q448="Outra Arma Curta E",625,IF(Atletas!Q448="Dao F",626,IF(Atletas!Q448="Jian F",627,IF(Atletas!Q448="Bishou F",628,IF(Atletas!Q448="Shan F",629,IF(Atletas!Q448="Outra Arma Curta F",630, "")))))))))))))))))))))))))))))))</f>
        <v/>
      </c>
      <c r="BT452" s="52" t="str">
        <f>IF(Atletas!R448="","",IF(Atletas!W448&lt;&gt;"",10000,0)+IF(Atletas!B448="Feminino",1000,IF(Atletas!B448="Masculino",2000,""))+IF(Atletas!R448="Gun A",701,IF(Atletas!R448="Qiang A",702,IF(Atletas!R448="Pudao / Guandao A",703,IF(Atletas!R448="Outra Arma Longa A",704,IF(Atletas!R448="Gun B",705,IF(Atletas!R448="Qiang B",706,IF(Atletas!R448="Pudao / Guandao B",707,IF(Atletas!R448="Outra Arma Longa B",708,IF(Atletas!R448="Gun C",709,IF(Atletas!R448="Qiang C",710,IF(Atletas!R448="Pudao / Guandao C",711,IF(Atletas!R448="Outra Arma Longa C",712,IF(Atletas!R448="Gun D",713,IF(Atletas!R448="Qiang D",714,IF(Atletas!R448="Pudao / Guandao D",715,IF(Atletas!R448="Outra Arma Longa D",716,IF(Atletas!R448="Gun E",717,IF(Atletas!R448="Qiang E",718,IF(Atletas!R448="Pudao / Guandao E",719,IF(Atletas!R448="Outra Arma Longa E",720,IF(Atletas!R448="Gun F",721,IF(Atletas!R448="Qiang F",722,IF(Atletas!R448="Pudao / Guandao F",723,IF(Atletas!R448="Outra Arma Longa F",724,"")))))))))))))))))))))))))</f>
        <v/>
      </c>
      <c r="BU452" s="52" t="str">
        <f>IF(Atletas!S448="","",IF(Atletas!W448&lt;&gt;"",10000,0)+IF(Atletas!B448="Feminino",1000,IF(Atletas!B448="Masculino",2000,""))+IF(Atletas!S448="Arma Dupla A",801,IF(Atletas!S448="Arma Maleável A",802,IF(Atletas!S448="Arma Dupla B",803,IF(Atletas!S448="Arma Maleável B",804,IF(Atletas!S448="Arma Dupla C",805,IF(Atletas!S448="Arma Maleável C",806,IF(Atletas!S448="Arma Dupla D",807,IF(Atletas!S448="Arma Maleável D",808,IF(Atletas!S448="Arma Dupla E",809,IF(Atletas!S448="Arma Maleável E",810,IF(Atletas!S448="Arma Dupla F",811,IF(Atletas!S448="Arma Maleável F",812, "")))))))))))))</f>
        <v/>
      </c>
      <c r="BV452" s="52" t="str">
        <f>IF(Atletas!T448="","",IF(Atletas!W448&lt;&gt;"",10000,0)+IF(Atletas!B448="Feminino",1000,IF(Atletas!B448="Masculino",2000,""))+IF(Atletas!T448="Taijijian Yang A",901,IF(Atletas!T448="Taijijian Chen A",902,IF(Atletas!T448="Taijijian Sun A",903,IF(Atletas!T448="Taijijian Wu A",904,IF(Atletas!T448="Taijijian Wu-Hao A",905,IF(Atletas!T448="Taijijian 32 A",906,IF(Atletas!T448="Taijijian 42 A",907,IF(Atletas!T448="Taijijian Yang B",908,IF(Atletas!T448="Taijijian Chen B",909,IF(Atletas!T448="Taijijian Sun B",910,IF(Atletas!T448="Taijijian Wu B",911,IF(Atletas!T448="Taijijian Wu-Hao B",912,IF(Atletas!T448="Taijijian 32 B",913,IF(Atletas!T448="Taijijian 42 B",914,IF(Atletas!T448="Taijijian Yang C",915,IF(Atletas!T448="Taijijian Chen C",916,IF(Atletas!T448="Taijijian Sun C",917,IF(Atletas!T448="Taijijian Wu C",918,IF(Atletas!T448="Taijijian Wu-Hao C",919,IF(Atletas!T448="Taijijian 32 C",920,IF(Atletas!T448="Taijijian 42 C",921,IF(Atletas!T448="Taijijian Yang D",922,IF(Atletas!T448="Taijijian Chen D",923,IF(Atletas!T448="Taijijian Sun D",924,IF(Atletas!T448="Taijijian Wu D",925,IF(Atletas!T448="Taijijian Wu-Hao D",926,IF(Atletas!T448="Taijijian 32 D",927,IF(Atletas!T448="Taijijian 42 D",928,IF(Atletas!T448="Taijijian Yang E",929,IF(Atletas!T448="Taijijian Chen E",930,IF(Atletas!T448="Taijijian Sun E",931,IF(Atletas!T448="Taijijian Wu E",932,IF(Atletas!T448="Taijijian Wu-Hao E",933,IF(Atletas!T448="Taijijian 32 E",934,IF(Atletas!T448="Taijijian 42 E",935,IF(Atletas!T448="Taijijian Yang F",936,IF(Atletas!T448="Taijijian Chen F",937,IF(Atletas!T448="Taijijian Sun F",938,IF(Atletas!T448="Taijijian Wu F",939,IF(Atletas!T448="Taijijian Wu-Hao F",940,IF(Atletas!T448="Taijijian 32 F",941,IF(Atletas!T448="Taijijian 42 F",942,"")))))))))))))))))))))))))))))))))))))))))))</f>
        <v/>
      </c>
      <c r="BW452" s="52" t="str">
        <f>IF(Atletas!U448="","",IF(Atletas!W448&lt;&gt;"",10000,0)+IF(Atletas!B448="Feminino",1000,IF(Atletas!B448="Masculino",2000,""))+IF(Atletas!T448="Taijijian 42 F",942,IF(Atletas!U448="Taijidao A",943,IF(Atletas!U448="Taijishan A",944,IF(Atletas!U448="Taijiqiang A",945,IF(Atletas!U448="Taijidao B",946,IF(Atletas!U448="Taijishan B",947,IF(Atletas!U448="Taijiqiang B",948,IF(Atletas!U448="Taijidao C",949,IF(Atletas!U448="Taijishan C",950,IF(Atletas!U448="Taijiqiang C",951,IF(Atletas!U448="Taijidao D",952,IF(Atletas!U448="Taijishan D",953,IF(Atletas!U448="Taijiqiang D",954,IF(Atletas!U448="Taijidao E",955,IF(Atletas!U448="Taijishan E",956,IF(Atletas!U448="Taijiqiang E",957,IF(Atletas!U448="Taijidao F",958,IF(Atletas!U448="Taijishan F",959,IF(Atletas!U448="Taijiqiang F",960))))))))))))))))))))</f>
        <v/>
      </c>
      <c r="CF452" s="52" t="str">
        <f xml:space="preserve"> IF(Atletas!V448="","",IF(Atletas!V448="Duilian de Mãos AB - Equipe 1",1,IF(Atletas!V448="Duilian de Mãos AB - Equipe 2",2,IF(Atletas!V448="Duilian de Armas AB - Equipe 1",3,IF(Atletas!V448="Duilian de Armas AB - Equipe 2",4,IF(Atletas!V448="Duilian de Tuishou - Equipe 1",5,IF(Atletas!V448="Duilian de Tuishou - Equipe 2",6,IF(Atletas!V448="Grupo Externo AB - Equipe 1",7,IF(Atletas!V448="Grupo Externo AB - Equipe 2",8,IF(Atletas!V448="Grupo Interno AB - Equipe 1",9,IF(Atletas!V448="Grupo Interno AB - Equipe 2",10,IF(Atletas!V448="Duilian de Mãos CD - Equipe 1",11,IF(Atletas!V448="Duilian de Mãos CD - Equipe 2",12,IF(Atletas!V448="Duilian de Armas CD - Equipe 1",13,IF(Atletas!V448="Duilian de Armas CD - Equipe 2",14,IF(Atletas!V448="Duilian de Tuishou - Equipe 1",15,IF(Atletas!V448="Duilian de Tuishou - Equipe 2",16,IF(Atletas!V448="Grupo Externo CDEF - Equipe 1",17,IF(Atletas!V448="Grupo Externo CDEF - Equipe 2",18,IF(Atletas!V448="Grupo Interno CDEF - Equipe 1",19,IF(Atletas!V448="Grupo Interno CDEF - Equipe 2",20,IF(Atletas!V448="Duilian de Mãos EF - Equipe 1",21,IF(Atletas!V448="Duilian de Mãos EF - Equipe 2",22,IF(Atletas!V448="Duilian de Armas EF - Equipe 1",23,IF(Atletas!V448="Duilian de Armas EF - Equipe 2",24,IF(Atletas!V448="Duilian de Tuishou - Equipe 1",25,IF(Atletas!V448="Duilian de Tuishou - Equipe 2",26,"")))))))))))))))))))))))))))</f>
        <v/>
      </c>
    </row>
    <row r="453" spans="36:84">
      <c r="AJ453" s="46" t="str">
        <f>IF(Atletas!D449="","",IF(Atletas!B449="Feminino",100,IF(Atletas!B449="Masculino",200,""))+(IF(Atletas!D449="Infantil 39kg",1,IF(Atletas!D449="Infantil 42kg",2,IF(Atletas!D449="Infantil 45kg",3,IF(Atletas!D449="Infantil 48kg",4,IF(Atletas!D449="Infantil 52kg",5,IF(Atletas!D449="Infantil 56kg",6,IF(Atletas!D449="Infantil 60kg",7,IF(Atletas!D449="Juvenil 48kg",8,IF(Atletas!D449="Juvenil 52kg",9,IF(Atletas!D449="Juvenil 56kg",10,IF(Atletas!D449="Juvenil 60kg",11,IF(Atletas!D449="Juvenil 65kg",12,IF(Atletas!D449="Juvenil 70kg",13,IF(Atletas!D449="Juvenil 75kg",14,IF(Atletas!D449="Juvenil 80kg",15,IF(Atletas!D449="Adulto 48kg",16,IF(Atletas!D449="Adulto 52kg",17,IF(Atletas!D449="Adulto 56kg",18,IF(Atletas!D449="Adulto 60kg",19,IF(Atletas!D449="Adulto 65kg",20,IF(Atletas!D449="Adulto 70kg",21,IF(Atletas!D449="Adulto 75kg",22,IF(Atletas!D449="Adulto 80kg",23,IF(Atletas!D449="Adulto 85kg",24,IF(Atletas!D449="Adulto 90kg",25,IF(Atletas!D449="Adulto +90kg",26,""))))))))))))))))))))))))))))</f>
        <v/>
      </c>
      <c r="AO453" s="10" t="str">
        <f>IF(Atletas!E449="","",IF(Atletas!B449="Feminino",100,IF(Atletas!B449="Masculino",200,""))+(IF(Atletas!E449="Juvenil 44kg",1,IF(Atletas!E449="Juvenil 48kg",2,IF(Atletas!E449="Juvenil 52kg",3,IF(Atletas!E449="Juvenil 56kg",4,IF(Atletas!E449="Juvenil 60kg",5,IF(Atletas!E449="Juvenil 65kg",6,IF(Atletas!E449="Juvenil 70kg",7,IF(Atletas!E449="Juvenil 75kg",8,IF(Atletas!E449="Juvenil 82kg",9,IF(Atletas!E449="Juvenil 90kg",10,IF(Atletas!E449="Juvenil 100kg",11,IF(Atletas!E449="Adulto 48kg",12,IF(Atletas!E449="Adulto 52kg",13,IF(Atletas!E449="Adulto 56kg",14,IF(Atletas!E449="Adulto 60kg",15,IF(Atletas!E449="Adulto 65kg",16,IF(Atletas!E449="Adulto 70kg",17,IF(Atletas!E449="Adulto 75kg",18,IF(Atletas!E449="Adulto 82kg",19,IF(Atletas!E449="Adulto 90kg",20,IF(Atletas!E449="Adulto 100kg",21,IF(Atletas!E449="Adulto +100kg",22,""))))))))))))))))))))))))</f>
        <v/>
      </c>
      <c r="AT453" s="10" t="str">
        <f>IF(Atletas!F449="","",IF(Atletas!B449="Feminino",100,IF(Atletas!B449="Masculino",200,""))+(IF(Atletas!F449="Adulto 48kg",1,IF(Atletas!F449="Adulto 56kg",2,IF(Atletas!F449="Adulto 65kg",3,IF(Atletas!F449="Adulto 75kg",4,IF(Atletas!F449="Adulto +75kg",5,IF(Atletas!F449="Adulto 52kg",6,IF(Atletas!F449="Adulto 60kg",7,IF(Atletas!F449="Adulto 70kg",8,IF(Atletas!F449="Adulto 80kg",9,IF(Atletas!F449="Adulto 90kg",10,IF(Atletas!F449="Adulto +90kg",11,"")))))))))))))</f>
        <v/>
      </c>
      <c r="AY453" s="46" t="str">
        <f>IF(Atletas!G449="","",IF(Atletas!B449="Feminino",100,IF(Atletas!B449="Masculino",200,""))+(IF(Atletas!G449="Changquan Mirim",1,IF(Atletas!G449="Nanquan Mirim",2,IF(Atletas!G449="Taijiquan Mirim",3,IF(Atletas!G449="Changquan Grupo C",4,IF(Atletas!G449="Nanquan Grupo C",5,IF(Atletas!G449="Taijiquan Grupo C",6,IF(Atletas!G449="Changquan Grupo B",7,IF(Atletas!G449="Nanquan Grupo B",8,IF(Atletas!G449="Taijiquan Grupo B",9,IF(Atletas!G449="Changquan Grupo A",10,IF(Atletas!G449="Nanquan Grupo A",11,IF(Atletas!G449="Taijiquan Grupo A",12,IF(Atletas!G449="Changquan Opcional",13,IF(Atletas!G449="Nanquan Opcional",14,IF(Atletas!G449="Taijiquan Opcional",15,IF(Atletas!G449="Changquan Adulto",16,IF(Atletas!G449="Nanquan Adulto",17,IF(Atletas!G449="Taijiquan Adulto",18,""))))))))))))))))))))</f>
        <v/>
      </c>
      <c r="AZ453" s="46" t="str">
        <f>IF(Atletas!H449="","",IF(Atletas!B449="Feminino",100,IF(Atletas!B449="Masculino",200,""))+(IF(Atletas!H449="Daoshu Mirim",19,IF(Atletas!H449="Jianshu Mirim",20,IF(Atletas!H449="Nandao Mirim",21,IF(Atletas!H449="Taijijian Mirim",22,IF(Atletas!H449="Daoshu Grupo C",23,IF(Atletas!H449="Jianshu Grupo C",24,IF(Atletas!H449="Nandao Grupo C",25,IF(Atletas!H449="Taijijian Grupo C",26,IF(Atletas!H449="Daoshu Grupo B",27,IF(Atletas!H449="Jianshu Grupo B",28,IF(Atletas!H449="Nandao Grupo B",29,IF(Atletas!H449="Taijijian Grupo B",30,IF(Atletas!H449="Daoshu Grupo A",31,IF(Atletas!H449="Jianshu Grupo A",32,IF(Atletas!H449="Nandao Grupo A",33,IF(Atletas!H449="Taijijian Grupo A",34,IF(Atletas!H449="Daoshu Opcional",35,IF(Atletas!H449="Jianshu Opcional",36,IF(Atletas!H449="Nandao Opcional",37,IF(Atletas!H449="Taijijian Opcional",38,IF(Atletas!H449="Daoshu Adulto",39,IF(Atletas!H449="Jianshu Adulto",40,IF(Atletas!H449="Nandao Adulto",41,IF(Atletas!H449="Taijijian Adulto",42,""))))))))))))))))))))))))))</f>
        <v/>
      </c>
      <c r="BA453" s="46" t="str">
        <f>IF(Atletas!I449="","",IF(Atletas!B449="Feminino",100,IF(Atletas!B449="Masculino",200,""))+(IF(Atletas!I449="Gunshu Mirim",43,IF(Atletas!I449="Qiangshu Mirim",44,IF(Atletas!I449="Nangun Mirim",45,IF(Atletas!I449="Gunshu Grupo C",46,IF(Atletas!I449="Qiangshu Grupo C",47,IF(Atletas!I449="Nangun Grupo C",48,IF(Atletas!I449="Gunshu Grupo B",49,IF(Atletas!I449="Qiangshu Grupo B",50,IF(Atletas!I449="Nangun Grupo B",51,IF(Atletas!I449="Gunshu Grupo A",52,IF(Atletas!I449="Qiangshu Grupo A",53,IF(Atletas!I449="Nangun Grupo A",54,IF(Atletas!I449="Gunshu Opcional",55,IF(Atletas!I449="Qiangshu Opcional",56,IF(Atletas!I449="Nangun Opcional",57,IF(Atletas!I449="Gunshu Adulto",58,IF(Atletas!I449="Qiangshu Adulto",59,IF(Atletas!I449="Nangun Adulto",60,""))))))))))))))))))))</f>
        <v/>
      </c>
      <c r="BF453" s="52" t="str">
        <f>IF(Atletas!J449="","",IF(Atletas!B449="Feminino",100,IF(Atletas!B449="Masculino",200,""))+(IF(Atletas!J449="Equipe 1 Grupo B",1,IF(Atletas!J449="Equipe 2 Grupo B",2,IF(Atletas!J449="Equipe 1 Grupo A",3,IF(Atletas!J449="Equipe 2 Grupo A",4,IF(Atletas!J449="Equipe 1 Adulto",5,IF(Atletas!J449="Equipe 2 Adulto",6,""))))))))</f>
        <v/>
      </c>
      <c r="BK453" s="52" t="str">
        <f>IF(Atletas!K449="","",IF(Atletas!W449&lt;&gt;"",10000,0)+(IF(Atletas!B449="Feminino",1000,IF(Atletas!B449="Masculino",2000,""))+IF(Atletas!K449="Choylayfut A",1,IF(Atletas!K449="Hunggar A",2,IF(Atletas!K449="Wuzuquan A",3,IF(Atletas!K449="Wingchun A",4,IF(Atletas!K449="Outra Mão de Sul A",5,IF(Atletas!K449="Choylayfut B",6,IF(Atletas!K449="Hunggar B",7,IF(Atletas!K449="Wuzuquan B",8,IF(Atletas!K449="Wingchun B",9,IF(Atletas!K449="Outra Mão de Sul B",10,IF(Atletas!K449="Choylayfut C",11,IF(Atletas!K449="Hunggar C",12,IF(Atletas!K449="Wuzuquan C",13,IF(Atletas!K449="Wingchun C",14,IF(Atletas!K449="Outra Mão de Sul C",15,IF(Atletas!K449="Choylayfut D",16,IF(Atletas!K449="Hunggar D",17,IF(Atletas!K449="Wuzuquan D",18,IF(Atletas!K449="Wingchun D",19,IF(Atletas!K449="Outra Mão de Sul D",20,IF(Atletas!K449="Choylayfut E",21,IF(Atletas!K449="Hunggar E",22,IF(Atletas!K449="Wuzuquan E",23,IF(Atletas!K449="Wingchun E",24,IF(Atletas!K449="Outra Mão de Sul E",25,IF(Atletas!K449="Choylayfut F",26,IF(Atletas!K449="Hunggar F",27,IF(Atletas!K449="Wuzuquan F",28,IF(Atletas!K449="Wingchun F",29,IF(Atletas!K449="Outra Mão de Sul F",30,""))))))))))))))))))))))))))))))))</f>
        <v/>
      </c>
      <c r="BL453" s="52" t="str">
        <f>IF(Atletas!L449="","",IF(Atletas!W449&lt;&gt;"",10000,0)+(IF(Atletas!B449="Feminino",1000,IF(Atletas!B449="Masculino",2000,""))+(IF(Atletas!L449="Chaquan A",101,IF(Atletas!L449="Emeiquan A",102,IF(Atletas!L449="Fanziquan A",103,IF(Atletas!L449="Huaquan A",104,IF(Atletas!L449="Hongquan A",105,IF(Atletas!L449="Paochui A",106,IF(Atletas!L449="Piguaquan A",107,IF(Atletas!L449="Shaolinquan A",108,IF(Atletas!L449="Tanglangquan A",109,IF(Atletas!L449="Yinzhaophai A",110,IF(Atletas!L449="Tongbeiquan A",111,IF(Atletas!L449="Wudangquan A",112,IF(Atletas!L449="Outros Estilos A",113,IF(Atletas!L449="Chaquan B",114,IF(Atletas!L449="Emeiquan B",115,IF(Atletas!L449="Fanziquan B",116,IF(Atletas!L449="Huaquan B",117,IF(Atletas!L449="Hongquan B",118,IF(Atletas!L449="Paochui B",119,IF(Atletas!L449="Piguaquan B",120,IF(Atletas!L449="Shaolinquan B",121,IF(Atletas!L449="Tanglangquan B",122,IF(Atletas!L449="Yinzhaophai B",123,IF(Atletas!L449="Tongbeiquan B",124,IF(Atletas!L449="Wudangquan B",125,IF(Atletas!L449="Outros Estilos B",126,IF(Atletas!L449="Chaquan C",127,IF(Atletas!L449="Emeiquan C",128,IF(Atletas!L449="Fanziquan C",129,IF(Atletas!L449="Huaquan C",130,IF(Atletas!L449="Hongquan C",131,IF(Atletas!L449="Paochui C",132,IF(Atletas!L449="Piguaquan C",133,IF(Atletas!L449="Shaolinquan C",134,IF(Atletas!L449="Tanglangquan C",135,IF(Atletas!L449="Yinzhaophai C",136,IF(Atletas!L449="Tongbeiquan C",137,IF(Atletas!L449="Wudangquan C",138,IF(Atletas!L449="Outros Estilos C",139,0))))))))))))))))))))))))))))))))))))))))))</f>
        <v/>
      </c>
      <c r="BM453" s="52" t="str">
        <f>IF(Atletas!L449="","",IF(Atletas!W449&lt;&gt;"",10000,0)+(IF(Atletas!B449="Feminino",1000,IF(Atletas!B449="Masculino",2000,""))+(IF(Atletas!L449="Chaquan D",140,IF(Atletas!L449="Emeiquan D",141,IF(Atletas!L449="Fanziquan D",142,IF(Atletas!L449="Huaquan D",143,IF(Atletas!L449="Hongquan D",144,IF(Atletas!L449="Paochui D",145,IF(Atletas!L449="Piguaquan D",146,IF(Atletas!L449="Shaolinquan D",147,IF(Atletas!L449="Tanglangquan D",148,IF(Atletas!L449="Yinzhaophai D",149,IF(Atletas!L449="Tongbeiquan D",150,IF(Atletas!L449="Wudangquan D",151,IF(Atletas!L449="Outros Estilos D",152,IF(Atletas!L449="Chaquan E",153,IF(Atletas!L449="Emeiquan E",154,IF(Atletas!L449="Fanziquan E",155,IF(Atletas!L449="Huaquan E",156,IF(Atletas!L449="Hongquan E",157,IF(Atletas!L449="Paochui E",158,IF(Atletas!L449="Piguaquan E",159,IF(Atletas!L449="Shaolinquan E",160,IF(Atletas!L449="Tanglangquan E",161,IF(Atletas!L449="Yinzhaophai E",162,IF(Atletas!L449="Tongbeiquan E",163,IF(Atletas!L449="Wudangquan E",164,IF(Atletas!L449="Outros Estilos E",165,IF(Atletas!L449="Chaquan F",166,IF(Atletas!L449="Emeiquan F",167,IF(Atletas!L449="Fanziquan F",168,IF(Atletas!L449="Huaquan F",169,IF(Atletas!L449="Hongquan F",170,IF(Atletas!L449="Paochui F",171,IF(Atletas!L449="Piguaquan F",172,IF(Atletas!L449="Shaolinquan F",173,IF(Atletas!L449="Tanglangquan F",174,IF(Atletas!L449="Yinzhaophai F",175,IF(Atletas!L449="Tongbeiquan F",176,IF(Atletas!L449="Wudangquan F",177,IF(Atletas!L449="Outros Estilos F",178,0))))))))))))))))))))))))))))))))))))))))))</f>
        <v/>
      </c>
      <c r="BN453" s="52" t="str">
        <f>IF(Atletas!M449="","",IF(Atletas!W449&lt;&gt;"",10000,0)+(IF(Atletas!B449="Feminino",1000,IF(Atletas!B449="Masculino",2000,""))+(IF(Atletas!M449="Ditangquan A",201,IF(Atletas!M449="Houquan A",202,IF(Atletas!M449="Zuiquan A",203,IF(Atletas!M449="Ditangquan B",204,IF(Atletas!M449="Houquan B",205,IF(Atletas!M449="Zuiquan B",206,IF(Atletas!M449="Ditangquan C",207,IF(Atletas!M449="Houquan C",208,IF(Atletas!M449="Zuiquan C",209,IF(Atletas!M449="Ditangquan D",210,IF(Atletas!M449="Houquan D",211,IF(Atletas!M449="Zuiquan D",212,IF(Atletas!M449="Ditangquan E",213,IF(Atletas!M449="Houquan E",214,IF(Atletas!M449="Zuiquan E",215,IF(Atletas!M449="Ditangquan F",216,IF(Atletas!M449="Houquan F",217,IF(Atletas!M449="Zuiquan F",218,"")))))))))))))))))))))</f>
        <v/>
      </c>
      <c r="BO453" s="52" t="str">
        <f>IF(Atletas!N449="","",IF(Atletas!W449&lt;&gt;"",10000,0)+IF(Atletas!B449="Feminino",1000,IF(Atletas!B449="Masculino",2000,""))+IF(Atletas!N449="Yang A",301,IF(Atletas!N449="Chen A",30,IF(Atletas!N449="Sun A",303,IF(Atletas!N449="Wu A",304,IF(Atletas!N449="Wu-Hao A",305,IF(Atletas!N449="Outro Taijiquan A",306,IF(Atletas!N449="Yang B",307,IF(Atletas!N449="Chen B",308,IF(Atletas!N449="Sun B",309,IF(Atletas!N449="Wu B",310,IF(Atletas!N449="Wu-Hao B",311,IF(Atletas!N449="Outro Taijiquan B",312,IF(Atletas!N449="Yang C",313,IF(Atletas!N449="Chen C",314,IF(Atletas!N449="Sun C",315,IF(Atletas!N449="Wu C",316,IF(Atletas!N449="Wu-Hao C",317,IF(Atletas!N449="Outro Taijiquan C",318,IF(Atletas!N449="Yang D",319,IF(Atletas!N449="Chen D",320,IF(Atletas!N449="Sun D",321,IF(Atletas!N449="Wu D",322,IF(Atletas!N449="Wu-Hao D",323,IF(Atletas!N449="Outro Taijiquan D",324,IF(Atletas!N449="Yang E",325,IF(Atletas!N449="Chen E",326,IF(Atletas!N449="Sun E",327,IF(Atletas!N449="Wu E",328,IF(Atletas!N449="Wu-Hao E",329,IF(Atletas!N449="Outro Taijiquan E",330,IF(Atletas!N449="Yang F",331,IF(Atletas!N449="Chen F",332,IF(Atletas!N449="Sun F",333,IF(Atletas!N449="Wu F",334,IF(Atletas!N449="Wu-Hao F",335,IF(Atletas!N449="Outro Taijiquan F",336,"")))))))))))))))))))))))))))))))))))))</f>
        <v/>
      </c>
      <c r="BP453" s="52" t="str">
        <f>IF(Atletas!O449="","",IF(Atletas!W449&lt;&gt;"",10000,0)+IF(Atletas!B449="Feminino",1000,IF(Atletas!B449="Masculino",2000,""))+IF(OR(Atletas!O449="Yang 26 A",Atletas!O449="Yang 40 A"),401,IF(OR(Atletas!O449="Chen 25 A",Atletas!O449="Chen 36 A",Atletas!O449="Chen 56 A"),402,IF(Atletas!O449="Sun 73 A",403,IF(Atletas!O449="Wu 45 A",404,IF(Atletas!O449="Wu-Hao 46 A",405,IF(OR(Atletas!O449="Taijiquan 16 A",Atletas!O449="Taijiquan 24 A",Atletas!O449="Taijiquan 32 A",Atletas!O449="Taijiquan 42 A"),406,IF(OR(Atletas!O449="Yang 26 B",Atletas!O449="Yang 40 B"),407,IF(OR(Atletas!O449="Chen 25 B",Atletas!O449="Chen 36 B",Atletas!O449="Chen 56 B"),408,IF(Atletas!O449="Sun 73 B",409,IF(Atletas!O449="Wu 45 B",410,IF(Atletas!O449="Wu-Hao 46 B",411,IF(OR(Atletas!O449="Taijiquan 16 B",Atletas!O449="Taijiquan 24 B",Atletas!O449="Taijiquan 32 B",Atletas!O449="Taijiquan 42 B"),412,IF(OR(Atletas!O449="Yang 26 C",Atletas!O449="Yang 40 C"),413,IF(OR(Atletas!O449="Chen 25 C",Atletas!O449="Chen 36 C",Atletas!O449="Chen 56 C"),414,IF(Atletas!O449="Sun 73 C",415,IF(Atletas!O449="Wu 45 C",416,IF(Atletas!O449="Wu-Hao 46 C",417,IF(OR(Atletas!O449="Taijiquan 16 C",Atletas!O449="Taijiquan 24 C",Atletas!O449="Taijiquan 32 C",Atletas!O449="Taijiquan 42 C"),418,0)))))))))))))))))))</f>
        <v/>
      </c>
      <c r="BQ453" s="52" t="str">
        <f>IF(Atletas!O449="","",IF(Atletas!W449&lt;&gt;"",10000,0)+IF(Atletas!B449="Feminino",1000,IF(Atletas!B449="Masculino",2000,""))+IF(OR(Atletas!O449="Yang 26 D",Atletas!O449="Yang 40 D"),419,IF(OR(Atletas!O449="Chen 25 D",Atletas!O449="Chen 36 D",Atletas!O449="Chen 56 D"),420,IF(Atletas!O449="Sun 73 D",421,IF(Atletas!O449="Wu 45 D",422,IF(Atletas!O449="Wu-Hao 46 D",423,IF(OR(Atletas!O449="Taijiquan 16 D",Atletas!O449="Taijiquan 24 D",Atletas!O449="Taijiquan 32 D",Atletas!O449="Taijiquan 42 D"),424,IF(OR(Atletas!O449="Yang 26 E",Atletas!O449="Yang 40 E"),425,IF(OR(Atletas!O449="Chen 25 E",Atletas!O449="Chen 36 E",Atletas!O449="Chen 56 E"),426,IF(Atletas!O449="Sun 73 E",427,IF(Atletas!O449="Wu 45 E",428,IF(Atletas!O449="Wu-Hao 46 E",429,IF(OR(Atletas!O449="Taijiquan 16 E",Atletas!O449="Taijiquan 24 E",Atletas!O449="Taijiquan 32 E",Atletas!O449="Taijiquan 42 E"),430,IF(OR(Atletas!O449="Yang 26 F",Atletas!O449="Yang 40 F"),431,IF(OR(Atletas!O449="Chen 25 F",Atletas!O449="Chen 36 F",Atletas!O449="Chen 56 F"),432,IF(Atletas!O449="Sun 73 F",433,IF(Atletas!O449="Wu 45 F",434,IF(Atletas!O449="Wu-Hao 46 F",435,IF(OR(Atletas!O449="Taijiquan 16 F",Atletas!O449="Taijiquan 24 F",Atletas!O449="Taijiquan 32 F",Atletas!O449="Taijiquan 42 F"),436,0)))))))))))))))))))</f>
        <v/>
      </c>
      <c r="BR453" s="52" t="str">
        <f>IF(Atletas!P449="","",IF(Atletas!W449&lt;&gt;"",10000,0)+IF(Atletas!B449="Feminino",1000,IF(Atletas!B449="Masculino",2000,""))+IF(Atletas!P449="Xingyiquan A",501,IF(Atletas!P449="Baguazhang A",502,IF(Atletas!P449="Outro Estilo Interno A",503,IF(Atletas!P449="Xingyiquan B",504,IF(Atletas!P449="Baguazhang B",505,IF(Atletas!P449="Outro Estilo Interno B",506,IF(Atletas!P449="Xingyiquan C",507,IF(Atletas!P449="Baguazhang C",508,IF(Atletas!P449="Outro Estilo Interno C",509,IF(Atletas!P449="Xingyiquan D",510,IF(Atletas!P449="Baguazhang D",511,IF(Atletas!P449="Outro Estilo Interno D",512,IF(Atletas!P449="Xingyiquan E",513,IF(Atletas!P449="Baguazhang E",514,IF(Atletas!P449="Outro Estilo Interno E",515,IF(Atletas!P449="Xingyiquan F",516,IF(Atletas!P449="Baguazhang F",517,IF(Atletas!P449="Outro Estilo Interno F",518, "")))))))))))))))))))</f>
        <v/>
      </c>
      <c r="BS453" s="52" t="str">
        <f>IF(Atletas!Q449="","",IF(Atletas!W449&lt;&gt;"",10000,0)+IF(Atletas!B449="Feminino",1000,IF(Atletas!B449="Masculino",2000,""))+IF(Atletas!Q449="Dao A",601,IF(Atletas!Q449="Jian A",602,IF(Atletas!Q449="Bishou A",603,IF(Atletas!Q449="Shan A",604,IF(Atletas!Q449="Outra Arma Curta A",605,IF(Atletas!Q449="Dao B",606,IF(Atletas!Q449="Jian B",607,IF(Atletas!Q449="Bishou B",608,IF(Atletas!Q449="Shan B",609,IF(Atletas!Q449="Outra Arma Curta B",610,IF(Atletas!Q449="Dao C",611,IF(Atletas!Q449="Jian C",612,IF(Atletas!Q449="Bishou C",613,IF(Atletas!Q449="Shan C",614,IF(Atletas!Q449="Outra Arma Curta C",615,IF(Atletas!Q449="Dao D",616,IF(Atletas!Q449="Jian D",617,IF(Atletas!Q449="Bishou D",618,IF(Atletas!Q449="Shan D",619,IF(Atletas!Q449="Outra Arma Curta D",620,IF(Atletas!Q449="Dao E",621,IF(Atletas!Q449="Jian E",622,IF(Atletas!Q449="Bishou E",623,IF(Atletas!Q449="Shan E",624,IF(Atletas!Q449="Outra Arma Curta E",625,IF(Atletas!Q449="Dao F",626,IF(Atletas!Q449="Jian F",627,IF(Atletas!Q449="Bishou F",628,IF(Atletas!Q449="Shan F",629,IF(Atletas!Q449="Outra Arma Curta F",630, "")))))))))))))))))))))))))))))))</f>
        <v/>
      </c>
      <c r="BT453" s="52" t="str">
        <f>IF(Atletas!R449="","",IF(Atletas!W449&lt;&gt;"",10000,0)+IF(Atletas!B449="Feminino",1000,IF(Atletas!B449="Masculino",2000,""))+IF(Atletas!R449="Gun A",701,IF(Atletas!R449="Qiang A",702,IF(Atletas!R449="Pudao / Guandao A",703,IF(Atletas!R449="Outra Arma Longa A",704,IF(Atletas!R449="Gun B",705,IF(Atletas!R449="Qiang B",706,IF(Atletas!R449="Pudao / Guandao B",707,IF(Atletas!R449="Outra Arma Longa B",708,IF(Atletas!R449="Gun C",709,IF(Atletas!R449="Qiang C",710,IF(Atletas!R449="Pudao / Guandao C",711,IF(Atletas!R449="Outra Arma Longa C",712,IF(Atletas!R449="Gun D",713,IF(Atletas!R449="Qiang D",714,IF(Atletas!R449="Pudao / Guandao D",715,IF(Atletas!R449="Outra Arma Longa D",716,IF(Atletas!R449="Gun E",717,IF(Atletas!R449="Qiang E",718,IF(Atletas!R449="Pudao / Guandao E",719,IF(Atletas!R449="Outra Arma Longa E",720,IF(Atletas!R449="Gun F",721,IF(Atletas!R449="Qiang F",722,IF(Atletas!R449="Pudao / Guandao F",723,IF(Atletas!R449="Outra Arma Longa F",724,"")))))))))))))))))))))))))</f>
        <v/>
      </c>
      <c r="BU453" s="52" t="str">
        <f>IF(Atletas!S449="","",IF(Atletas!W449&lt;&gt;"",10000,0)+IF(Atletas!B449="Feminino",1000,IF(Atletas!B449="Masculino",2000,""))+IF(Atletas!S449="Arma Dupla A",801,IF(Atletas!S449="Arma Maleável A",802,IF(Atletas!S449="Arma Dupla B",803,IF(Atletas!S449="Arma Maleável B",804,IF(Atletas!S449="Arma Dupla C",805,IF(Atletas!S449="Arma Maleável C",806,IF(Atletas!S449="Arma Dupla D",807,IF(Atletas!S449="Arma Maleável D",808,IF(Atletas!S449="Arma Dupla E",809,IF(Atletas!S449="Arma Maleável E",810,IF(Atletas!S449="Arma Dupla F",811,IF(Atletas!S449="Arma Maleável F",812, "")))))))))))))</f>
        <v/>
      </c>
      <c r="BV453" s="52" t="str">
        <f>IF(Atletas!T449="","",IF(Atletas!W449&lt;&gt;"",10000,0)+IF(Atletas!B449="Feminino",1000,IF(Atletas!B449="Masculino",2000,""))+IF(Atletas!T449="Taijijian Yang A",901,IF(Atletas!T449="Taijijian Chen A",902,IF(Atletas!T449="Taijijian Sun A",903,IF(Atletas!T449="Taijijian Wu A",904,IF(Atletas!T449="Taijijian Wu-Hao A",905,IF(Atletas!T449="Taijijian 32 A",906,IF(Atletas!T449="Taijijian 42 A",907,IF(Atletas!T449="Taijijian Yang B",908,IF(Atletas!T449="Taijijian Chen B",909,IF(Atletas!T449="Taijijian Sun B",910,IF(Atletas!T449="Taijijian Wu B",911,IF(Atletas!T449="Taijijian Wu-Hao B",912,IF(Atletas!T449="Taijijian 32 B",913,IF(Atletas!T449="Taijijian 42 B",914,IF(Atletas!T449="Taijijian Yang C",915,IF(Atletas!T449="Taijijian Chen C",916,IF(Atletas!T449="Taijijian Sun C",917,IF(Atletas!T449="Taijijian Wu C",918,IF(Atletas!T449="Taijijian Wu-Hao C",919,IF(Atletas!T449="Taijijian 32 C",920,IF(Atletas!T449="Taijijian 42 C",921,IF(Atletas!T449="Taijijian Yang D",922,IF(Atletas!T449="Taijijian Chen D",923,IF(Atletas!T449="Taijijian Sun D",924,IF(Atletas!T449="Taijijian Wu D",925,IF(Atletas!T449="Taijijian Wu-Hao D",926,IF(Atletas!T449="Taijijian 32 D",927,IF(Atletas!T449="Taijijian 42 D",928,IF(Atletas!T449="Taijijian Yang E",929,IF(Atletas!T449="Taijijian Chen E",930,IF(Atletas!T449="Taijijian Sun E",931,IF(Atletas!T449="Taijijian Wu E",932,IF(Atletas!T449="Taijijian Wu-Hao E",933,IF(Atletas!T449="Taijijian 32 E",934,IF(Atletas!T449="Taijijian 42 E",935,IF(Atletas!T449="Taijijian Yang F",936,IF(Atletas!T449="Taijijian Chen F",937,IF(Atletas!T449="Taijijian Sun F",938,IF(Atletas!T449="Taijijian Wu F",939,IF(Atletas!T449="Taijijian Wu-Hao F",940,IF(Atletas!T449="Taijijian 32 F",941,IF(Atletas!T449="Taijijian 42 F",942,"")))))))))))))))))))))))))))))))))))))))))))</f>
        <v/>
      </c>
      <c r="BW453" s="52" t="str">
        <f>IF(Atletas!U449="","",IF(Atletas!W449&lt;&gt;"",10000,0)+IF(Atletas!B449="Feminino",1000,IF(Atletas!B449="Masculino",2000,""))+IF(Atletas!T449="Taijijian 42 F",942,IF(Atletas!U449="Taijidao A",943,IF(Atletas!U449="Taijishan A",944,IF(Atletas!U449="Taijiqiang A",945,IF(Atletas!U449="Taijidao B",946,IF(Atletas!U449="Taijishan B",947,IF(Atletas!U449="Taijiqiang B",948,IF(Atletas!U449="Taijidao C",949,IF(Atletas!U449="Taijishan C",950,IF(Atletas!U449="Taijiqiang C",951,IF(Atletas!U449="Taijidao D",952,IF(Atletas!U449="Taijishan D",953,IF(Atletas!U449="Taijiqiang D",954,IF(Atletas!U449="Taijidao E",955,IF(Atletas!U449="Taijishan E",956,IF(Atletas!U449="Taijiqiang E",957,IF(Atletas!U449="Taijidao F",958,IF(Atletas!U449="Taijishan F",959,IF(Atletas!U449="Taijiqiang F",960))))))))))))))))))))</f>
        <v/>
      </c>
      <c r="CF453" s="52" t="str">
        <f xml:space="preserve"> IF(Atletas!V449="","",IF(Atletas!V449="Duilian de Mãos AB - Equipe 1",1,IF(Atletas!V449="Duilian de Mãos AB - Equipe 2",2,IF(Atletas!V449="Duilian de Armas AB - Equipe 1",3,IF(Atletas!V449="Duilian de Armas AB - Equipe 2",4,IF(Atletas!V449="Duilian de Tuishou - Equipe 1",5,IF(Atletas!V449="Duilian de Tuishou - Equipe 2",6,IF(Atletas!V449="Grupo Externo AB - Equipe 1",7,IF(Atletas!V449="Grupo Externo AB - Equipe 2",8,IF(Atletas!V449="Grupo Interno AB - Equipe 1",9,IF(Atletas!V449="Grupo Interno AB - Equipe 2",10,IF(Atletas!V449="Duilian de Mãos CD - Equipe 1",11,IF(Atletas!V449="Duilian de Mãos CD - Equipe 2",12,IF(Atletas!V449="Duilian de Armas CD - Equipe 1",13,IF(Atletas!V449="Duilian de Armas CD - Equipe 2",14,IF(Atletas!V449="Duilian de Tuishou - Equipe 1",15,IF(Atletas!V449="Duilian de Tuishou - Equipe 2",16,IF(Atletas!V449="Grupo Externo CDEF - Equipe 1",17,IF(Atletas!V449="Grupo Externo CDEF - Equipe 2",18,IF(Atletas!V449="Grupo Interno CDEF - Equipe 1",19,IF(Atletas!V449="Grupo Interno CDEF - Equipe 2",20,IF(Atletas!V449="Duilian de Mãos EF - Equipe 1",21,IF(Atletas!V449="Duilian de Mãos EF - Equipe 2",22,IF(Atletas!V449="Duilian de Armas EF - Equipe 1",23,IF(Atletas!V449="Duilian de Armas EF - Equipe 2",24,IF(Atletas!V449="Duilian de Tuishou - Equipe 1",25,IF(Atletas!V449="Duilian de Tuishou - Equipe 2",26,"")))))))))))))))))))))))))))</f>
        <v/>
      </c>
    </row>
    <row r="454" spans="36:84">
      <c r="AJ454" s="46" t="str">
        <f>IF(Atletas!D450="","",IF(Atletas!B450="Feminino",100,IF(Atletas!B450="Masculino",200,""))+(IF(Atletas!D450="Infantil 39kg",1,IF(Atletas!D450="Infantil 42kg",2,IF(Atletas!D450="Infantil 45kg",3,IF(Atletas!D450="Infantil 48kg",4,IF(Atletas!D450="Infantil 52kg",5,IF(Atletas!D450="Infantil 56kg",6,IF(Atletas!D450="Infantil 60kg",7,IF(Atletas!D450="Juvenil 48kg",8,IF(Atletas!D450="Juvenil 52kg",9,IF(Atletas!D450="Juvenil 56kg",10,IF(Atletas!D450="Juvenil 60kg",11,IF(Atletas!D450="Juvenil 65kg",12,IF(Atletas!D450="Juvenil 70kg",13,IF(Atletas!D450="Juvenil 75kg",14,IF(Atletas!D450="Juvenil 80kg",15,IF(Atletas!D450="Adulto 48kg",16,IF(Atletas!D450="Adulto 52kg",17,IF(Atletas!D450="Adulto 56kg",18,IF(Atletas!D450="Adulto 60kg",19,IF(Atletas!D450="Adulto 65kg",20,IF(Atletas!D450="Adulto 70kg",21,IF(Atletas!D450="Adulto 75kg",22,IF(Atletas!D450="Adulto 80kg",23,IF(Atletas!D450="Adulto 85kg",24,IF(Atletas!D450="Adulto 90kg",25,IF(Atletas!D450="Adulto +90kg",26,""))))))))))))))))))))))))))))</f>
        <v/>
      </c>
      <c r="AO454" s="10" t="str">
        <f>IF(Atletas!E450="","",IF(Atletas!B450="Feminino",100,IF(Atletas!B450="Masculino",200,""))+(IF(Atletas!E450="Juvenil 44kg",1,IF(Atletas!E450="Juvenil 48kg",2,IF(Atletas!E450="Juvenil 52kg",3,IF(Atletas!E450="Juvenil 56kg",4,IF(Atletas!E450="Juvenil 60kg",5,IF(Atletas!E450="Juvenil 65kg",6,IF(Atletas!E450="Juvenil 70kg",7,IF(Atletas!E450="Juvenil 75kg",8,IF(Atletas!E450="Juvenil 82kg",9,IF(Atletas!E450="Juvenil 90kg",10,IF(Atletas!E450="Juvenil 100kg",11,IF(Atletas!E450="Adulto 48kg",12,IF(Atletas!E450="Adulto 52kg",13,IF(Atletas!E450="Adulto 56kg",14,IF(Atletas!E450="Adulto 60kg",15,IF(Atletas!E450="Adulto 65kg",16,IF(Atletas!E450="Adulto 70kg",17,IF(Atletas!E450="Adulto 75kg",18,IF(Atletas!E450="Adulto 82kg",19,IF(Atletas!E450="Adulto 90kg",20,IF(Atletas!E450="Adulto 100kg",21,IF(Atletas!E450="Adulto +100kg",22,""))))))))))))))))))))))))</f>
        <v/>
      </c>
      <c r="AT454" s="10" t="str">
        <f>IF(Atletas!F450="","",IF(Atletas!B450="Feminino",100,IF(Atletas!B450="Masculino",200,""))+(IF(Atletas!F450="Adulto 48kg",1,IF(Atletas!F450="Adulto 56kg",2,IF(Atletas!F450="Adulto 65kg",3,IF(Atletas!F450="Adulto 75kg",4,IF(Atletas!F450="Adulto +75kg",5,IF(Atletas!F450="Adulto 52kg",6,IF(Atletas!F450="Adulto 60kg",7,IF(Atletas!F450="Adulto 70kg",8,IF(Atletas!F450="Adulto 80kg",9,IF(Atletas!F450="Adulto 90kg",10,IF(Atletas!F450="Adulto +90kg",11,"")))))))))))))</f>
        <v/>
      </c>
      <c r="AY454" s="46" t="str">
        <f>IF(Atletas!G450="","",IF(Atletas!B450="Feminino",100,IF(Atletas!B450="Masculino",200,""))+(IF(Atletas!G450="Changquan Mirim",1,IF(Atletas!G450="Nanquan Mirim",2,IF(Atletas!G450="Taijiquan Mirim",3,IF(Atletas!G450="Changquan Grupo C",4,IF(Atletas!G450="Nanquan Grupo C",5,IF(Atletas!G450="Taijiquan Grupo C",6,IF(Atletas!G450="Changquan Grupo B",7,IF(Atletas!G450="Nanquan Grupo B",8,IF(Atletas!G450="Taijiquan Grupo B",9,IF(Atletas!G450="Changquan Grupo A",10,IF(Atletas!G450="Nanquan Grupo A",11,IF(Atletas!G450="Taijiquan Grupo A",12,IF(Atletas!G450="Changquan Opcional",13,IF(Atletas!G450="Nanquan Opcional",14,IF(Atletas!G450="Taijiquan Opcional",15,IF(Atletas!G450="Changquan Adulto",16,IF(Atletas!G450="Nanquan Adulto",17,IF(Atletas!G450="Taijiquan Adulto",18,""))))))))))))))))))))</f>
        <v/>
      </c>
      <c r="AZ454" s="46" t="str">
        <f>IF(Atletas!H450="","",IF(Atletas!B450="Feminino",100,IF(Atletas!B450="Masculino",200,""))+(IF(Atletas!H450="Daoshu Mirim",19,IF(Atletas!H450="Jianshu Mirim",20,IF(Atletas!H450="Nandao Mirim",21,IF(Atletas!H450="Taijijian Mirim",22,IF(Atletas!H450="Daoshu Grupo C",23,IF(Atletas!H450="Jianshu Grupo C",24,IF(Atletas!H450="Nandao Grupo C",25,IF(Atletas!H450="Taijijian Grupo C",26,IF(Atletas!H450="Daoshu Grupo B",27,IF(Atletas!H450="Jianshu Grupo B",28,IF(Atletas!H450="Nandao Grupo B",29,IF(Atletas!H450="Taijijian Grupo B",30,IF(Atletas!H450="Daoshu Grupo A",31,IF(Atletas!H450="Jianshu Grupo A",32,IF(Atletas!H450="Nandao Grupo A",33,IF(Atletas!H450="Taijijian Grupo A",34,IF(Atletas!H450="Daoshu Opcional",35,IF(Atletas!H450="Jianshu Opcional",36,IF(Atletas!H450="Nandao Opcional",37,IF(Atletas!H450="Taijijian Opcional",38,IF(Atletas!H450="Daoshu Adulto",39,IF(Atletas!H450="Jianshu Adulto",40,IF(Atletas!H450="Nandao Adulto",41,IF(Atletas!H450="Taijijian Adulto",42,""))))))))))))))))))))))))))</f>
        <v/>
      </c>
      <c r="BA454" s="46" t="str">
        <f>IF(Atletas!I450="","",IF(Atletas!B450="Feminino",100,IF(Atletas!B450="Masculino",200,""))+(IF(Atletas!I450="Gunshu Mirim",43,IF(Atletas!I450="Qiangshu Mirim",44,IF(Atletas!I450="Nangun Mirim",45,IF(Atletas!I450="Gunshu Grupo C",46,IF(Atletas!I450="Qiangshu Grupo C",47,IF(Atletas!I450="Nangun Grupo C",48,IF(Atletas!I450="Gunshu Grupo B",49,IF(Atletas!I450="Qiangshu Grupo B",50,IF(Atletas!I450="Nangun Grupo B",51,IF(Atletas!I450="Gunshu Grupo A",52,IF(Atletas!I450="Qiangshu Grupo A",53,IF(Atletas!I450="Nangun Grupo A",54,IF(Atletas!I450="Gunshu Opcional",55,IF(Atletas!I450="Qiangshu Opcional",56,IF(Atletas!I450="Nangun Opcional",57,IF(Atletas!I450="Gunshu Adulto",58,IF(Atletas!I450="Qiangshu Adulto",59,IF(Atletas!I450="Nangun Adulto",60,""))))))))))))))))))))</f>
        <v/>
      </c>
      <c r="BF454" s="52" t="str">
        <f>IF(Atletas!J450="","",IF(Atletas!B450="Feminino",100,IF(Atletas!B450="Masculino",200,""))+(IF(Atletas!J450="Equipe 1 Grupo B",1,IF(Atletas!J450="Equipe 2 Grupo B",2,IF(Atletas!J450="Equipe 1 Grupo A",3,IF(Atletas!J450="Equipe 2 Grupo A",4,IF(Atletas!J450="Equipe 1 Adulto",5,IF(Atletas!J450="Equipe 2 Adulto",6,""))))))))</f>
        <v/>
      </c>
      <c r="BK454" s="52" t="str">
        <f>IF(Atletas!K450="","",IF(Atletas!W450&lt;&gt;"",10000,0)+(IF(Atletas!B450="Feminino",1000,IF(Atletas!B450="Masculino",2000,""))+IF(Atletas!K450="Choylayfut A",1,IF(Atletas!K450="Hunggar A",2,IF(Atletas!K450="Wuzuquan A",3,IF(Atletas!K450="Wingchun A",4,IF(Atletas!K450="Outra Mão de Sul A",5,IF(Atletas!K450="Choylayfut B",6,IF(Atletas!K450="Hunggar B",7,IF(Atletas!K450="Wuzuquan B",8,IF(Atletas!K450="Wingchun B",9,IF(Atletas!K450="Outra Mão de Sul B",10,IF(Atletas!K450="Choylayfut C",11,IF(Atletas!K450="Hunggar C",12,IF(Atletas!K450="Wuzuquan C",13,IF(Atletas!K450="Wingchun C",14,IF(Atletas!K450="Outra Mão de Sul C",15,IF(Atletas!K450="Choylayfut D",16,IF(Atletas!K450="Hunggar D",17,IF(Atletas!K450="Wuzuquan D",18,IF(Atletas!K450="Wingchun D",19,IF(Atletas!K450="Outra Mão de Sul D",20,IF(Atletas!K450="Choylayfut E",21,IF(Atletas!K450="Hunggar E",22,IF(Atletas!K450="Wuzuquan E",23,IF(Atletas!K450="Wingchun E",24,IF(Atletas!K450="Outra Mão de Sul E",25,IF(Atletas!K450="Choylayfut F",26,IF(Atletas!K450="Hunggar F",27,IF(Atletas!K450="Wuzuquan F",28,IF(Atletas!K450="Wingchun F",29,IF(Atletas!K450="Outra Mão de Sul F",30,""))))))))))))))))))))))))))))))))</f>
        <v/>
      </c>
      <c r="BL454" s="52" t="str">
        <f>IF(Atletas!L450="","",IF(Atletas!W450&lt;&gt;"",10000,0)+(IF(Atletas!B450="Feminino",1000,IF(Atletas!B450="Masculino",2000,""))+(IF(Atletas!L450="Chaquan A",101,IF(Atletas!L450="Emeiquan A",102,IF(Atletas!L450="Fanziquan A",103,IF(Atletas!L450="Huaquan A",104,IF(Atletas!L450="Hongquan A",105,IF(Atletas!L450="Paochui A",106,IF(Atletas!L450="Piguaquan A",107,IF(Atletas!L450="Shaolinquan A",108,IF(Atletas!L450="Tanglangquan A",109,IF(Atletas!L450="Yinzhaophai A",110,IF(Atletas!L450="Tongbeiquan A",111,IF(Atletas!L450="Wudangquan A",112,IF(Atletas!L450="Outros Estilos A",113,IF(Atletas!L450="Chaquan B",114,IF(Atletas!L450="Emeiquan B",115,IF(Atletas!L450="Fanziquan B",116,IF(Atletas!L450="Huaquan B",117,IF(Atletas!L450="Hongquan B",118,IF(Atletas!L450="Paochui B",119,IF(Atletas!L450="Piguaquan B",120,IF(Atletas!L450="Shaolinquan B",121,IF(Atletas!L450="Tanglangquan B",122,IF(Atletas!L450="Yinzhaophai B",123,IF(Atletas!L450="Tongbeiquan B",124,IF(Atletas!L450="Wudangquan B",125,IF(Atletas!L450="Outros Estilos B",126,IF(Atletas!L450="Chaquan C",127,IF(Atletas!L450="Emeiquan C",128,IF(Atletas!L450="Fanziquan C",129,IF(Atletas!L450="Huaquan C",130,IF(Atletas!L450="Hongquan C",131,IF(Atletas!L450="Paochui C",132,IF(Atletas!L450="Piguaquan C",133,IF(Atletas!L450="Shaolinquan C",134,IF(Atletas!L450="Tanglangquan C",135,IF(Atletas!L450="Yinzhaophai C",136,IF(Atletas!L450="Tongbeiquan C",137,IF(Atletas!L450="Wudangquan C",138,IF(Atletas!L450="Outros Estilos C",139,0))))))))))))))))))))))))))))))))))))))))))</f>
        <v/>
      </c>
      <c r="BM454" s="52" t="str">
        <f>IF(Atletas!L450="","",IF(Atletas!W450&lt;&gt;"",10000,0)+(IF(Atletas!B450="Feminino",1000,IF(Atletas!B450="Masculino",2000,""))+(IF(Atletas!L450="Chaquan D",140,IF(Atletas!L450="Emeiquan D",141,IF(Atletas!L450="Fanziquan D",142,IF(Atletas!L450="Huaquan D",143,IF(Atletas!L450="Hongquan D",144,IF(Atletas!L450="Paochui D",145,IF(Atletas!L450="Piguaquan D",146,IF(Atletas!L450="Shaolinquan D",147,IF(Atletas!L450="Tanglangquan D",148,IF(Atletas!L450="Yinzhaophai D",149,IF(Atletas!L450="Tongbeiquan D",150,IF(Atletas!L450="Wudangquan D",151,IF(Atletas!L450="Outros Estilos D",152,IF(Atletas!L450="Chaquan E",153,IF(Atletas!L450="Emeiquan E",154,IF(Atletas!L450="Fanziquan E",155,IF(Atletas!L450="Huaquan E",156,IF(Atletas!L450="Hongquan E",157,IF(Atletas!L450="Paochui E",158,IF(Atletas!L450="Piguaquan E",159,IF(Atletas!L450="Shaolinquan E",160,IF(Atletas!L450="Tanglangquan E",161,IF(Atletas!L450="Yinzhaophai E",162,IF(Atletas!L450="Tongbeiquan E",163,IF(Atletas!L450="Wudangquan E",164,IF(Atletas!L450="Outros Estilos E",165,IF(Atletas!L450="Chaquan F",166,IF(Atletas!L450="Emeiquan F",167,IF(Atletas!L450="Fanziquan F",168,IF(Atletas!L450="Huaquan F",169,IF(Atletas!L450="Hongquan F",170,IF(Atletas!L450="Paochui F",171,IF(Atletas!L450="Piguaquan F",172,IF(Atletas!L450="Shaolinquan F",173,IF(Atletas!L450="Tanglangquan F",174,IF(Atletas!L450="Yinzhaophai F",175,IF(Atletas!L450="Tongbeiquan F",176,IF(Atletas!L450="Wudangquan F",177,IF(Atletas!L450="Outros Estilos F",178,0))))))))))))))))))))))))))))))))))))))))))</f>
        <v/>
      </c>
      <c r="BN454" s="52" t="str">
        <f>IF(Atletas!M450="","",IF(Atletas!W450&lt;&gt;"",10000,0)+(IF(Atletas!B450="Feminino",1000,IF(Atletas!B450="Masculino",2000,""))+(IF(Atletas!M450="Ditangquan A",201,IF(Atletas!M450="Houquan A",202,IF(Atletas!M450="Zuiquan A",203,IF(Atletas!M450="Ditangquan B",204,IF(Atletas!M450="Houquan B",205,IF(Atletas!M450="Zuiquan B",206,IF(Atletas!M450="Ditangquan C",207,IF(Atletas!M450="Houquan C",208,IF(Atletas!M450="Zuiquan C",209,IF(Atletas!M450="Ditangquan D",210,IF(Atletas!M450="Houquan D",211,IF(Atletas!M450="Zuiquan D",212,IF(Atletas!M450="Ditangquan E",213,IF(Atletas!M450="Houquan E",214,IF(Atletas!M450="Zuiquan E",215,IF(Atletas!M450="Ditangquan F",216,IF(Atletas!M450="Houquan F",217,IF(Atletas!M450="Zuiquan F",218,"")))))))))))))))))))))</f>
        <v/>
      </c>
      <c r="BO454" s="52" t="str">
        <f>IF(Atletas!N450="","",IF(Atletas!W450&lt;&gt;"",10000,0)+IF(Atletas!B450="Feminino",1000,IF(Atletas!B450="Masculino",2000,""))+IF(Atletas!N450="Yang A",301,IF(Atletas!N450="Chen A",30,IF(Atletas!N450="Sun A",303,IF(Atletas!N450="Wu A",304,IF(Atletas!N450="Wu-Hao A",305,IF(Atletas!N450="Outro Taijiquan A",306,IF(Atletas!N450="Yang B",307,IF(Atletas!N450="Chen B",308,IF(Atletas!N450="Sun B",309,IF(Atletas!N450="Wu B",310,IF(Atletas!N450="Wu-Hao B",311,IF(Atletas!N450="Outro Taijiquan B",312,IF(Atletas!N450="Yang C",313,IF(Atletas!N450="Chen C",314,IF(Atletas!N450="Sun C",315,IF(Atletas!N450="Wu C",316,IF(Atletas!N450="Wu-Hao C",317,IF(Atletas!N450="Outro Taijiquan C",318,IF(Atletas!N450="Yang D",319,IF(Atletas!N450="Chen D",320,IF(Atletas!N450="Sun D",321,IF(Atletas!N450="Wu D",322,IF(Atletas!N450="Wu-Hao D",323,IF(Atletas!N450="Outro Taijiquan D",324,IF(Atletas!N450="Yang E",325,IF(Atletas!N450="Chen E",326,IF(Atletas!N450="Sun E",327,IF(Atletas!N450="Wu E",328,IF(Atletas!N450="Wu-Hao E",329,IF(Atletas!N450="Outro Taijiquan E",330,IF(Atletas!N450="Yang F",331,IF(Atletas!N450="Chen F",332,IF(Atletas!N450="Sun F",333,IF(Atletas!N450="Wu F",334,IF(Atletas!N450="Wu-Hao F",335,IF(Atletas!N450="Outro Taijiquan F",336,"")))))))))))))))))))))))))))))))))))))</f>
        <v/>
      </c>
      <c r="BP454" s="52" t="str">
        <f>IF(Atletas!O450="","",IF(Atletas!W450&lt;&gt;"",10000,0)+IF(Atletas!B450="Feminino",1000,IF(Atletas!B450="Masculino",2000,""))+IF(OR(Atletas!O450="Yang 26 A",Atletas!O450="Yang 40 A"),401,IF(OR(Atletas!O450="Chen 25 A",Atletas!O450="Chen 36 A",Atletas!O450="Chen 56 A"),402,IF(Atletas!O450="Sun 73 A",403,IF(Atletas!O450="Wu 45 A",404,IF(Atletas!O450="Wu-Hao 46 A",405,IF(OR(Atletas!O450="Taijiquan 16 A",Atletas!O450="Taijiquan 24 A",Atletas!O450="Taijiquan 32 A",Atletas!O450="Taijiquan 42 A"),406,IF(OR(Atletas!O450="Yang 26 B",Atletas!O450="Yang 40 B"),407,IF(OR(Atletas!O450="Chen 25 B",Atletas!O450="Chen 36 B",Atletas!O450="Chen 56 B"),408,IF(Atletas!O450="Sun 73 B",409,IF(Atletas!O450="Wu 45 B",410,IF(Atletas!O450="Wu-Hao 46 B",411,IF(OR(Atletas!O450="Taijiquan 16 B",Atletas!O450="Taijiquan 24 B",Atletas!O450="Taijiquan 32 B",Atletas!O450="Taijiquan 42 B"),412,IF(OR(Atletas!O450="Yang 26 C",Atletas!O450="Yang 40 C"),413,IF(OR(Atletas!O450="Chen 25 C",Atletas!O450="Chen 36 C",Atletas!O450="Chen 56 C"),414,IF(Atletas!O450="Sun 73 C",415,IF(Atletas!O450="Wu 45 C",416,IF(Atletas!O450="Wu-Hao 46 C",417,IF(OR(Atletas!O450="Taijiquan 16 C",Atletas!O450="Taijiquan 24 C",Atletas!O450="Taijiquan 32 C",Atletas!O450="Taijiquan 42 C"),418,0)))))))))))))))))))</f>
        <v/>
      </c>
      <c r="BQ454" s="52" t="str">
        <f>IF(Atletas!O450="","",IF(Atletas!W450&lt;&gt;"",10000,0)+IF(Atletas!B450="Feminino",1000,IF(Atletas!B450="Masculino",2000,""))+IF(OR(Atletas!O450="Yang 26 D",Atletas!O450="Yang 40 D"),419,IF(OR(Atletas!O450="Chen 25 D",Atletas!O450="Chen 36 D",Atletas!O450="Chen 56 D"),420,IF(Atletas!O450="Sun 73 D",421,IF(Atletas!O450="Wu 45 D",422,IF(Atletas!O450="Wu-Hao 46 D",423,IF(OR(Atletas!O450="Taijiquan 16 D",Atletas!O450="Taijiquan 24 D",Atletas!O450="Taijiquan 32 D",Atletas!O450="Taijiquan 42 D"),424,IF(OR(Atletas!O450="Yang 26 E",Atletas!O450="Yang 40 E"),425,IF(OR(Atletas!O450="Chen 25 E",Atletas!O450="Chen 36 E",Atletas!O450="Chen 56 E"),426,IF(Atletas!O450="Sun 73 E",427,IF(Atletas!O450="Wu 45 E",428,IF(Atletas!O450="Wu-Hao 46 E",429,IF(OR(Atletas!O450="Taijiquan 16 E",Atletas!O450="Taijiquan 24 E",Atletas!O450="Taijiquan 32 E",Atletas!O450="Taijiquan 42 E"),430,IF(OR(Atletas!O450="Yang 26 F",Atletas!O450="Yang 40 F"),431,IF(OR(Atletas!O450="Chen 25 F",Atletas!O450="Chen 36 F",Atletas!O450="Chen 56 F"),432,IF(Atletas!O450="Sun 73 F",433,IF(Atletas!O450="Wu 45 F",434,IF(Atletas!O450="Wu-Hao 46 F",435,IF(OR(Atletas!O450="Taijiquan 16 F",Atletas!O450="Taijiquan 24 F",Atletas!O450="Taijiquan 32 F",Atletas!O450="Taijiquan 42 F"),436,0)))))))))))))))))))</f>
        <v/>
      </c>
      <c r="BR454" s="52" t="str">
        <f>IF(Atletas!P450="","",IF(Atletas!W450&lt;&gt;"",10000,0)+IF(Atletas!B450="Feminino",1000,IF(Atletas!B450="Masculino",2000,""))+IF(Atletas!P450="Xingyiquan A",501,IF(Atletas!P450="Baguazhang A",502,IF(Atletas!P450="Outro Estilo Interno A",503,IF(Atletas!P450="Xingyiquan B",504,IF(Atletas!P450="Baguazhang B",505,IF(Atletas!P450="Outro Estilo Interno B",506,IF(Atletas!P450="Xingyiquan C",507,IF(Atletas!P450="Baguazhang C",508,IF(Atletas!P450="Outro Estilo Interno C",509,IF(Atletas!P450="Xingyiquan D",510,IF(Atletas!P450="Baguazhang D",511,IF(Atletas!P450="Outro Estilo Interno D",512,IF(Atletas!P450="Xingyiquan E",513,IF(Atletas!P450="Baguazhang E",514,IF(Atletas!P450="Outro Estilo Interno E",515,IF(Atletas!P450="Xingyiquan F",516,IF(Atletas!P450="Baguazhang F",517,IF(Atletas!P450="Outro Estilo Interno F",518, "")))))))))))))))))))</f>
        <v/>
      </c>
      <c r="BS454" s="52" t="str">
        <f>IF(Atletas!Q450="","",IF(Atletas!W450&lt;&gt;"",10000,0)+IF(Atletas!B450="Feminino",1000,IF(Atletas!B450="Masculino",2000,""))+IF(Atletas!Q450="Dao A",601,IF(Atletas!Q450="Jian A",602,IF(Atletas!Q450="Bishou A",603,IF(Atletas!Q450="Shan A",604,IF(Atletas!Q450="Outra Arma Curta A",605,IF(Atletas!Q450="Dao B",606,IF(Atletas!Q450="Jian B",607,IF(Atletas!Q450="Bishou B",608,IF(Atletas!Q450="Shan B",609,IF(Atletas!Q450="Outra Arma Curta B",610,IF(Atletas!Q450="Dao C",611,IF(Atletas!Q450="Jian C",612,IF(Atletas!Q450="Bishou C",613,IF(Atletas!Q450="Shan C",614,IF(Atletas!Q450="Outra Arma Curta C",615,IF(Atletas!Q450="Dao D",616,IF(Atletas!Q450="Jian D",617,IF(Atletas!Q450="Bishou D",618,IF(Atletas!Q450="Shan D",619,IF(Atletas!Q450="Outra Arma Curta D",620,IF(Atletas!Q450="Dao E",621,IF(Atletas!Q450="Jian E",622,IF(Atletas!Q450="Bishou E",623,IF(Atletas!Q450="Shan E",624,IF(Atletas!Q450="Outra Arma Curta E",625,IF(Atletas!Q450="Dao F",626,IF(Atletas!Q450="Jian F",627,IF(Atletas!Q450="Bishou F",628,IF(Atletas!Q450="Shan F",629,IF(Atletas!Q450="Outra Arma Curta F",630, "")))))))))))))))))))))))))))))))</f>
        <v/>
      </c>
      <c r="BT454" s="52" t="str">
        <f>IF(Atletas!R450="","",IF(Atletas!W450&lt;&gt;"",10000,0)+IF(Atletas!B450="Feminino",1000,IF(Atletas!B450="Masculino",2000,""))+IF(Atletas!R450="Gun A",701,IF(Atletas!R450="Qiang A",702,IF(Atletas!R450="Pudao / Guandao A",703,IF(Atletas!R450="Outra Arma Longa A",704,IF(Atletas!R450="Gun B",705,IF(Atletas!R450="Qiang B",706,IF(Atletas!R450="Pudao / Guandao B",707,IF(Atletas!R450="Outra Arma Longa B",708,IF(Atletas!R450="Gun C",709,IF(Atletas!R450="Qiang C",710,IF(Atletas!R450="Pudao / Guandao C",711,IF(Atletas!R450="Outra Arma Longa C",712,IF(Atletas!R450="Gun D",713,IF(Atletas!R450="Qiang D",714,IF(Atletas!R450="Pudao / Guandao D",715,IF(Atletas!R450="Outra Arma Longa D",716,IF(Atletas!R450="Gun E",717,IF(Atletas!R450="Qiang E",718,IF(Atletas!R450="Pudao / Guandao E",719,IF(Atletas!R450="Outra Arma Longa E",720,IF(Atletas!R450="Gun F",721,IF(Atletas!R450="Qiang F",722,IF(Atletas!R450="Pudao / Guandao F",723,IF(Atletas!R450="Outra Arma Longa F",724,"")))))))))))))))))))))))))</f>
        <v/>
      </c>
      <c r="BU454" s="52" t="str">
        <f>IF(Atletas!S450="","",IF(Atletas!W450&lt;&gt;"",10000,0)+IF(Atletas!B450="Feminino",1000,IF(Atletas!B450="Masculino",2000,""))+IF(Atletas!S450="Arma Dupla A",801,IF(Atletas!S450="Arma Maleável A",802,IF(Atletas!S450="Arma Dupla B",803,IF(Atletas!S450="Arma Maleável B",804,IF(Atletas!S450="Arma Dupla C",805,IF(Atletas!S450="Arma Maleável C",806,IF(Atletas!S450="Arma Dupla D",807,IF(Atletas!S450="Arma Maleável D",808,IF(Atletas!S450="Arma Dupla E",809,IF(Atletas!S450="Arma Maleável E",810,IF(Atletas!S450="Arma Dupla F",811,IF(Atletas!S450="Arma Maleável F",812, "")))))))))))))</f>
        <v/>
      </c>
      <c r="BV454" s="52" t="str">
        <f>IF(Atletas!T450="","",IF(Atletas!W450&lt;&gt;"",10000,0)+IF(Atletas!B450="Feminino",1000,IF(Atletas!B450="Masculino",2000,""))+IF(Atletas!T450="Taijijian Yang A",901,IF(Atletas!T450="Taijijian Chen A",902,IF(Atletas!T450="Taijijian Sun A",903,IF(Atletas!T450="Taijijian Wu A",904,IF(Atletas!T450="Taijijian Wu-Hao A",905,IF(Atletas!T450="Taijijian 32 A",906,IF(Atletas!T450="Taijijian 42 A",907,IF(Atletas!T450="Taijijian Yang B",908,IF(Atletas!T450="Taijijian Chen B",909,IF(Atletas!T450="Taijijian Sun B",910,IF(Atletas!T450="Taijijian Wu B",911,IF(Atletas!T450="Taijijian Wu-Hao B",912,IF(Atletas!T450="Taijijian 32 B",913,IF(Atletas!T450="Taijijian 42 B",914,IF(Atletas!T450="Taijijian Yang C",915,IF(Atletas!T450="Taijijian Chen C",916,IF(Atletas!T450="Taijijian Sun C",917,IF(Atletas!T450="Taijijian Wu C",918,IF(Atletas!T450="Taijijian Wu-Hao C",919,IF(Atletas!T450="Taijijian 32 C",920,IF(Atletas!T450="Taijijian 42 C",921,IF(Atletas!T450="Taijijian Yang D",922,IF(Atletas!T450="Taijijian Chen D",923,IF(Atletas!T450="Taijijian Sun D",924,IF(Atletas!T450="Taijijian Wu D",925,IF(Atletas!T450="Taijijian Wu-Hao D",926,IF(Atletas!T450="Taijijian 32 D",927,IF(Atletas!T450="Taijijian 42 D",928,IF(Atletas!T450="Taijijian Yang E",929,IF(Atletas!T450="Taijijian Chen E",930,IF(Atletas!T450="Taijijian Sun E",931,IF(Atletas!T450="Taijijian Wu E",932,IF(Atletas!T450="Taijijian Wu-Hao E",933,IF(Atletas!T450="Taijijian 32 E",934,IF(Atletas!T450="Taijijian 42 E",935,IF(Atletas!T450="Taijijian Yang F",936,IF(Atletas!T450="Taijijian Chen F",937,IF(Atletas!T450="Taijijian Sun F",938,IF(Atletas!T450="Taijijian Wu F",939,IF(Atletas!T450="Taijijian Wu-Hao F",940,IF(Atletas!T450="Taijijian 32 F",941,IF(Atletas!T450="Taijijian 42 F",942,"")))))))))))))))))))))))))))))))))))))))))))</f>
        <v/>
      </c>
      <c r="BW454" s="52" t="str">
        <f>IF(Atletas!U450="","",IF(Atletas!W450&lt;&gt;"",10000,0)+IF(Atletas!B450="Feminino",1000,IF(Atletas!B450="Masculino",2000,""))+IF(Atletas!T450="Taijijian 42 F",942,IF(Atletas!U450="Taijidao A",943,IF(Atletas!U450="Taijishan A",944,IF(Atletas!U450="Taijiqiang A",945,IF(Atletas!U450="Taijidao B",946,IF(Atletas!U450="Taijishan B",947,IF(Atletas!U450="Taijiqiang B",948,IF(Atletas!U450="Taijidao C",949,IF(Atletas!U450="Taijishan C",950,IF(Atletas!U450="Taijiqiang C",951,IF(Atletas!U450="Taijidao D",952,IF(Atletas!U450="Taijishan D",953,IF(Atletas!U450="Taijiqiang D",954,IF(Atletas!U450="Taijidao E",955,IF(Atletas!U450="Taijishan E",956,IF(Atletas!U450="Taijiqiang E",957,IF(Atletas!U450="Taijidao F",958,IF(Atletas!U450="Taijishan F",959,IF(Atletas!U450="Taijiqiang F",960))))))))))))))))))))</f>
        <v/>
      </c>
      <c r="CF454" s="52" t="str">
        <f xml:space="preserve"> IF(Atletas!V450="","",IF(Atletas!V450="Duilian de Mãos AB - Equipe 1",1,IF(Atletas!V450="Duilian de Mãos AB - Equipe 2",2,IF(Atletas!V450="Duilian de Armas AB - Equipe 1",3,IF(Atletas!V450="Duilian de Armas AB - Equipe 2",4,IF(Atletas!V450="Duilian de Tuishou - Equipe 1",5,IF(Atletas!V450="Duilian de Tuishou - Equipe 2",6,IF(Atletas!V450="Grupo Externo AB - Equipe 1",7,IF(Atletas!V450="Grupo Externo AB - Equipe 2",8,IF(Atletas!V450="Grupo Interno AB - Equipe 1",9,IF(Atletas!V450="Grupo Interno AB - Equipe 2",10,IF(Atletas!V450="Duilian de Mãos CD - Equipe 1",11,IF(Atletas!V450="Duilian de Mãos CD - Equipe 2",12,IF(Atletas!V450="Duilian de Armas CD - Equipe 1",13,IF(Atletas!V450="Duilian de Armas CD - Equipe 2",14,IF(Atletas!V450="Duilian de Tuishou - Equipe 1",15,IF(Atletas!V450="Duilian de Tuishou - Equipe 2",16,IF(Atletas!V450="Grupo Externo CDEF - Equipe 1",17,IF(Atletas!V450="Grupo Externo CDEF - Equipe 2",18,IF(Atletas!V450="Grupo Interno CDEF - Equipe 1",19,IF(Atletas!V450="Grupo Interno CDEF - Equipe 2",20,IF(Atletas!V450="Duilian de Mãos EF - Equipe 1",21,IF(Atletas!V450="Duilian de Mãos EF - Equipe 2",22,IF(Atletas!V450="Duilian de Armas EF - Equipe 1",23,IF(Atletas!V450="Duilian de Armas EF - Equipe 2",24,IF(Atletas!V450="Duilian de Tuishou - Equipe 1",25,IF(Atletas!V450="Duilian de Tuishou - Equipe 2",26,"")))))))))))))))))))))))))))</f>
        <v/>
      </c>
    </row>
    <row r="455" spans="36:84">
      <c r="AJ455" s="46" t="str">
        <f>IF(Atletas!D451="","",IF(Atletas!B451="Feminino",100,IF(Atletas!B451="Masculino",200,""))+(IF(Atletas!D451="Infantil 39kg",1,IF(Atletas!D451="Infantil 42kg",2,IF(Atletas!D451="Infantil 45kg",3,IF(Atletas!D451="Infantil 48kg",4,IF(Atletas!D451="Infantil 52kg",5,IF(Atletas!D451="Infantil 56kg",6,IF(Atletas!D451="Infantil 60kg",7,IF(Atletas!D451="Juvenil 48kg",8,IF(Atletas!D451="Juvenil 52kg",9,IF(Atletas!D451="Juvenil 56kg",10,IF(Atletas!D451="Juvenil 60kg",11,IF(Atletas!D451="Juvenil 65kg",12,IF(Atletas!D451="Juvenil 70kg",13,IF(Atletas!D451="Juvenil 75kg",14,IF(Atletas!D451="Juvenil 80kg",15,IF(Atletas!D451="Adulto 48kg",16,IF(Atletas!D451="Adulto 52kg",17,IF(Atletas!D451="Adulto 56kg",18,IF(Atletas!D451="Adulto 60kg",19,IF(Atletas!D451="Adulto 65kg",20,IF(Atletas!D451="Adulto 70kg",21,IF(Atletas!D451="Adulto 75kg",22,IF(Atletas!D451="Adulto 80kg",23,IF(Atletas!D451="Adulto 85kg",24,IF(Atletas!D451="Adulto 90kg",25,IF(Atletas!D451="Adulto +90kg",26,""))))))))))))))))))))))))))))</f>
        <v/>
      </c>
      <c r="AO455" s="10" t="str">
        <f>IF(Atletas!E451="","",IF(Atletas!B451="Feminino",100,IF(Atletas!B451="Masculino",200,""))+(IF(Atletas!E451="Juvenil 44kg",1,IF(Atletas!E451="Juvenil 48kg",2,IF(Atletas!E451="Juvenil 52kg",3,IF(Atletas!E451="Juvenil 56kg",4,IF(Atletas!E451="Juvenil 60kg",5,IF(Atletas!E451="Juvenil 65kg",6,IF(Atletas!E451="Juvenil 70kg",7,IF(Atletas!E451="Juvenil 75kg",8,IF(Atletas!E451="Juvenil 82kg",9,IF(Atletas!E451="Juvenil 90kg",10,IF(Atletas!E451="Juvenil 100kg",11,IF(Atletas!E451="Adulto 48kg",12,IF(Atletas!E451="Adulto 52kg",13,IF(Atletas!E451="Adulto 56kg",14,IF(Atletas!E451="Adulto 60kg",15,IF(Atletas!E451="Adulto 65kg",16,IF(Atletas!E451="Adulto 70kg",17,IF(Atletas!E451="Adulto 75kg",18,IF(Atletas!E451="Adulto 82kg",19,IF(Atletas!E451="Adulto 90kg",20,IF(Atletas!E451="Adulto 100kg",21,IF(Atletas!E451="Adulto +100kg",22,""))))))))))))))))))))))))</f>
        <v/>
      </c>
      <c r="AT455" s="10" t="str">
        <f>IF(Atletas!F451="","",IF(Atletas!B451="Feminino",100,IF(Atletas!B451="Masculino",200,""))+(IF(Atletas!F451="Adulto 48kg",1,IF(Atletas!F451="Adulto 56kg",2,IF(Atletas!F451="Adulto 65kg",3,IF(Atletas!F451="Adulto 75kg",4,IF(Atletas!F451="Adulto +75kg",5,IF(Atletas!F451="Adulto 52kg",6,IF(Atletas!F451="Adulto 60kg",7,IF(Atletas!F451="Adulto 70kg",8,IF(Atletas!F451="Adulto 80kg",9,IF(Atletas!F451="Adulto 90kg",10,IF(Atletas!F451="Adulto +90kg",11,"")))))))))))))</f>
        <v/>
      </c>
      <c r="AY455" s="46" t="str">
        <f>IF(Atletas!G451="","",IF(Atletas!B451="Feminino",100,IF(Atletas!B451="Masculino",200,""))+(IF(Atletas!G451="Changquan Mirim",1,IF(Atletas!G451="Nanquan Mirim",2,IF(Atletas!G451="Taijiquan Mirim",3,IF(Atletas!G451="Changquan Grupo C",4,IF(Atletas!G451="Nanquan Grupo C",5,IF(Atletas!G451="Taijiquan Grupo C",6,IF(Atletas!G451="Changquan Grupo B",7,IF(Atletas!G451="Nanquan Grupo B",8,IF(Atletas!G451="Taijiquan Grupo B",9,IF(Atletas!G451="Changquan Grupo A",10,IF(Atletas!G451="Nanquan Grupo A",11,IF(Atletas!G451="Taijiquan Grupo A",12,IF(Atletas!G451="Changquan Opcional",13,IF(Atletas!G451="Nanquan Opcional",14,IF(Atletas!G451="Taijiquan Opcional",15,IF(Atletas!G451="Changquan Adulto",16,IF(Atletas!G451="Nanquan Adulto",17,IF(Atletas!G451="Taijiquan Adulto",18,""))))))))))))))))))))</f>
        <v/>
      </c>
      <c r="AZ455" s="46" t="str">
        <f>IF(Atletas!H451="","",IF(Atletas!B451="Feminino",100,IF(Atletas!B451="Masculino",200,""))+(IF(Atletas!H451="Daoshu Mirim",19,IF(Atletas!H451="Jianshu Mirim",20,IF(Atletas!H451="Nandao Mirim",21,IF(Atletas!H451="Taijijian Mirim",22,IF(Atletas!H451="Daoshu Grupo C",23,IF(Atletas!H451="Jianshu Grupo C",24,IF(Atletas!H451="Nandao Grupo C",25,IF(Atletas!H451="Taijijian Grupo C",26,IF(Atletas!H451="Daoshu Grupo B",27,IF(Atletas!H451="Jianshu Grupo B",28,IF(Atletas!H451="Nandao Grupo B",29,IF(Atletas!H451="Taijijian Grupo B",30,IF(Atletas!H451="Daoshu Grupo A",31,IF(Atletas!H451="Jianshu Grupo A",32,IF(Atletas!H451="Nandao Grupo A",33,IF(Atletas!H451="Taijijian Grupo A",34,IF(Atletas!H451="Daoshu Opcional",35,IF(Atletas!H451="Jianshu Opcional",36,IF(Atletas!H451="Nandao Opcional",37,IF(Atletas!H451="Taijijian Opcional",38,IF(Atletas!H451="Daoshu Adulto",39,IF(Atletas!H451="Jianshu Adulto",40,IF(Atletas!H451="Nandao Adulto",41,IF(Atletas!H451="Taijijian Adulto",42,""))))))))))))))))))))))))))</f>
        <v/>
      </c>
      <c r="BA455" s="46" t="str">
        <f>IF(Atletas!I451="","",IF(Atletas!B451="Feminino",100,IF(Atletas!B451="Masculino",200,""))+(IF(Atletas!I451="Gunshu Mirim",43,IF(Atletas!I451="Qiangshu Mirim",44,IF(Atletas!I451="Nangun Mirim",45,IF(Atletas!I451="Gunshu Grupo C",46,IF(Atletas!I451="Qiangshu Grupo C",47,IF(Atletas!I451="Nangun Grupo C",48,IF(Atletas!I451="Gunshu Grupo B",49,IF(Atletas!I451="Qiangshu Grupo B",50,IF(Atletas!I451="Nangun Grupo B",51,IF(Atletas!I451="Gunshu Grupo A",52,IF(Atletas!I451="Qiangshu Grupo A",53,IF(Atletas!I451="Nangun Grupo A",54,IF(Atletas!I451="Gunshu Opcional",55,IF(Atletas!I451="Qiangshu Opcional",56,IF(Atletas!I451="Nangun Opcional",57,IF(Atletas!I451="Gunshu Adulto",58,IF(Atletas!I451="Qiangshu Adulto",59,IF(Atletas!I451="Nangun Adulto",60,""))))))))))))))))))))</f>
        <v/>
      </c>
      <c r="BF455" s="52" t="str">
        <f>IF(Atletas!J451="","",IF(Atletas!B451="Feminino",100,IF(Atletas!B451="Masculino",200,""))+(IF(Atletas!J451="Equipe 1 Grupo B",1,IF(Atletas!J451="Equipe 2 Grupo B",2,IF(Atletas!J451="Equipe 1 Grupo A",3,IF(Atletas!J451="Equipe 2 Grupo A",4,IF(Atletas!J451="Equipe 1 Adulto",5,IF(Atletas!J451="Equipe 2 Adulto",6,""))))))))</f>
        <v/>
      </c>
      <c r="BK455" s="52" t="str">
        <f>IF(Atletas!K451="","",IF(Atletas!W451&lt;&gt;"",10000,0)+(IF(Atletas!B451="Feminino",1000,IF(Atletas!B451="Masculino",2000,""))+IF(Atletas!K451="Choylayfut A",1,IF(Atletas!K451="Hunggar A",2,IF(Atletas!K451="Wuzuquan A",3,IF(Atletas!K451="Wingchun A",4,IF(Atletas!K451="Outra Mão de Sul A",5,IF(Atletas!K451="Choylayfut B",6,IF(Atletas!K451="Hunggar B",7,IF(Atletas!K451="Wuzuquan B",8,IF(Atletas!K451="Wingchun B",9,IF(Atletas!K451="Outra Mão de Sul B",10,IF(Atletas!K451="Choylayfut C",11,IF(Atletas!K451="Hunggar C",12,IF(Atletas!K451="Wuzuquan C",13,IF(Atletas!K451="Wingchun C",14,IF(Atletas!K451="Outra Mão de Sul C",15,IF(Atletas!K451="Choylayfut D",16,IF(Atletas!K451="Hunggar D",17,IF(Atletas!K451="Wuzuquan D",18,IF(Atletas!K451="Wingchun D",19,IF(Atletas!K451="Outra Mão de Sul D",20,IF(Atletas!K451="Choylayfut E",21,IF(Atletas!K451="Hunggar E",22,IF(Atletas!K451="Wuzuquan E",23,IF(Atletas!K451="Wingchun E",24,IF(Atletas!K451="Outra Mão de Sul E",25,IF(Atletas!K451="Choylayfut F",26,IF(Atletas!K451="Hunggar F",27,IF(Atletas!K451="Wuzuquan F",28,IF(Atletas!K451="Wingchun F",29,IF(Atletas!K451="Outra Mão de Sul F",30,""))))))))))))))))))))))))))))))))</f>
        <v/>
      </c>
      <c r="BL455" s="52" t="str">
        <f>IF(Atletas!L451="","",IF(Atletas!W451&lt;&gt;"",10000,0)+(IF(Atletas!B451="Feminino",1000,IF(Atletas!B451="Masculino",2000,""))+(IF(Atletas!L451="Chaquan A",101,IF(Atletas!L451="Emeiquan A",102,IF(Atletas!L451="Fanziquan A",103,IF(Atletas!L451="Huaquan A",104,IF(Atletas!L451="Hongquan A",105,IF(Atletas!L451="Paochui A",106,IF(Atletas!L451="Piguaquan A",107,IF(Atletas!L451="Shaolinquan A",108,IF(Atletas!L451="Tanglangquan A",109,IF(Atletas!L451="Yinzhaophai A",110,IF(Atletas!L451="Tongbeiquan A",111,IF(Atletas!L451="Wudangquan A",112,IF(Atletas!L451="Outros Estilos A",113,IF(Atletas!L451="Chaquan B",114,IF(Atletas!L451="Emeiquan B",115,IF(Atletas!L451="Fanziquan B",116,IF(Atletas!L451="Huaquan B",117,IF(Atletas!L451="Hongquan B",118,IF(Atletas!L451="Paochui B",119,IF(Atletas!L451="Piguaquan B",120,IF(Atletas!L451="Shaolinquan B",121,IF(Atletas!L451="Tanglangquan B",122,IF(Atletas!L451="Yinzhaophai B",123,IF(Atletas!L451="Tongbeiquan B",124,IF(Atletas!L451="Wudangquan B",125,IF(Atletas!L451="Outros Estilos B",126,IF(Atletas!L451="Chaquan C",127,IF(Atletas!L451="Emeiquan C",128,IF(Atletas!L451="Fanziquan C",129,IF(Atletas!L451="Huaquan C",130,IF(Atletas!L451="Hongquan C",131,IF(Atletas!L451="Paochui C",132,IF(Atletas!L451="Piguaquan C",133,IF(Atletas!L451="Shaolinquan C",134,IF(Atletas!L451="Tanglangquan C",135,IF(Atletas!L451="Yinzhaophai C",136,IF(Atletas!L451="Tongbeiquan C",137,IF(Atletas!L451="Wudangquan C",138,IF(Atletas!L451="Outros Estilos C",139,0))))))))))))))))))))))))))))))))))))))))))</f>
        <v/>
      </c>
      <c r="BM455" s="52" t="str">
        <f>IF(Atletas!L451="","",IF(Atletas!W451&lt;&gt;"",10000,0)+(IF(Atletas!B451="Feminino",1000,IF(Atletas!B451="Masculino",2000,""))+(IF(Atletas!L451="Chaquan D",140,IF(Atletas!L451="Emeiquan D",141,IF(Atletas!L451="Fanziquan D",142,IF(Atletas!L451="Huaquan D",143,IF(Atletas!L451="Hongquan D",144,IF(Atletas!L451="Paochui D",145,IF(Atletas!L451="Piguaquan D",146,IF(Atletas!L451="Shaolinquan D",147,IF(Atletas!L451="Tanglangquan D",148,IF(Atletas!L451="Yinzhaophai D",149,IF(Atletas!L451="Tongbeiquan D",150,IF(Atletas!L451="Wudangquan D",151,IF(Atletas!L451="Outros Estilos D",152,IF(Atletas!L451="Chaquan E",153,IF(Atletas!L451="Emeiquan E",154,IF(Atletas!L451="Fanziquan E",155,IF(Atletas!L451="Huaquan E",156,IF(Atletas!L451="Hongquan E",157,IF(Atletas!L451="Paochui E",158,IF(Atletas!L451="Piguaquan E",159,IF(Atletas!L451="Shaolinquan E",160,IF(Atletas!L451="Tanglangquan E",161,IF(Atletas!L451="Yinzhaophai E",162,IF(Atletas!L451="Tongbeiquan E",163,IF(Atletas!L451="Wudangquan E",164,IF(Atletas!L451="Outros Estilos E",165,IF(Atletas!L451="Chaquan F",166,IF(Atletas!L451="Emeiquan F",167,IF(Atletas!L451="Fanziquan F",168,IF(Atletas!L451="Huaquan F",169,IF(Atletas!L451="Hongquan F",170,IF(Atletas!L451="Paochui F",171,IF(Atletas!L451="Piguaquan F",172,IF(Atletas!L451="Shaolinquan F",173,IF(Atletas!L451="Tanglangquan F",174,IF(Atletas!L451="Yinzhaophai F",175,IF(Atletas!L451="Tongbeiquan F",176,IF(Atletas!L451="Wudangquan F",177,IF(Atletas!L451="Outros Estilos F",178,0))))))))))))))))))))))))))))))))))))))))))</f>
        <v/>
      </c>
      <c r="BN455" s="52" t="str">
        <f>IF(Atletas!M451="","",IF(Atletas!W451&lt;&gt;"",10000,0)+(IF(Atletas!B451="Feminino",1000,IF(Atletas!B451="Masculino",2000,""))+(IF(Atletas!M451="Ditangquan A",201,IF(Atletas!M451="Houquan A",202,IF(Atletas!M451="Zuiquan A",203,IF(Atletas!M451="Ditangquan B",204,IF(Atletas!M451="Houquan B",205,IF(Atletas!M451="Zuiquan B",206,IF(Atletas!M451="Ditangquan C",207,IF(Atletas!M451="Houquan C",208,IF(Atletas!M451="Zuiquan C",209,IF(Atletas!M451="Ditangquan D",210,IF(Atletas!M451="Houquan D",211,IF(Atletas!M451="Zuiquan D",212,IF(Atletas!M451="Ditangquan E",213,IF(Atletas!M451="Houquan E",214,IF(Atletas!M451="Zuiquan E",215,IF(Atletas!M451="Ditangquan F",216,IF(Atletas!M451="Houquan F",217,IF(Atletas!M451="Zuiquan F",218,"")))))))))))))))))))))</f>
        <v/>
      </c>
      <c r="BO455" s="52" t="str">
        <f>IF(Atletas!N451="","",IF(Atletas!W451&lt;&gt;"",10000,0)+IF(Atletas!B451="Feminino",1000,IF(Atletas!B451="Masculino",2000,""))+IF(Atletas!N451="Yang A",301,IF(Atletas!N451="Chen A",30,IF(Atletas!N451="Sun A",303,IF(Atletas!N451="Wu A",304,IF(Atletas!N451="Wu-Hao A",305,IF(Atletas!N451="Outro Taijiquan A",306,IF(Atletas!N451="Yang B",307,IF(Atletas!N451="Chen B",308,IF(Atletas!N451="Sun B",309,IF(Atletas!N451="Wu B",310,IF(Atletas!N451="Wu-Hao B",311,IF(Atletas!N451="Outro Taijiquan B",312,IF(Atletas!N451="Yang C",313,IF(Atletas!N451="Chen C",314,IF(Atletas!N451="Sun C",315,IF(Atletas!N451="Wu C",316,IF(Atletas!N451="Wu-Hao C",317,IF(Atletas!N451="Outro Taijiquan C",318,IF(Atletas!N451="Yang D",319,IF(Atletas!N451="Chen D",320,IF(Atletas!N451="Sun D",321,IF(Atletas!N451="Wu D",322,IF(Atletas!N451="Wu-Hao D",323,IF(Atletas!N451="Outro Taijiquan D",324,IF(Atletas!N451="Yang E",325,IF(Atletas!N451="Chen E",326,IF(Atletas!N451="Sun E",327,IF(Atletas!N451="Wu E",328,IF(Atletas!N451="Wu-Hao E",329,IF(Atletas!N451="Outro Taijiquan E",330,IF(Atletas!N451="Yang F",331,IF(Atletas!N451="Chen F",332,IF(Atletas!N451="Sun F",333,IF(Atletas!N451="Wu F",334,IF(Atletas!N451="Wu-Hao F",335,IF(Atletas!N451="Outro Taijiquan F",336,"")))))))))))))))))))))))))))))))))))))</f>
        <v/>
      </c>
      <c r="BP455" s="52" t="str">
        <f>IF(Atletas!O451="","",IF(Atletas!W451&lt;&gt;"",10000,0)+IF(Atletas!B451="Feminino",1000,IF(Atletas!B451="Masculino",2000,""))+IF(OR(Atletas!O451="Yang 26 A",Atletas!O451="Yang 40 A"),401,IF(OR(Atletas!O451="Chen 25 A",Atletas!O451="Chen 36 A",Atletas!O451="Chen 56 A"),402,IF(Atletas!O451="Sun 73 A",403,IF(Atletas!O451="Wu 45 A",404,IF(Atletas!O451="Wu-Hao 46 A",405,IF(OR(Atletas!O451="Taijiquan 16 A",Atletas!O451="Taijiquan 24 A",Atletas!O451="Taijiquan 32 A",Atletas!O451="Taijiquan 42 A"),406,IF(OR(Atletas!O451="Yang 26 B",Atletas!O451="Yang 40 B"),407,IF(OR(Atletas!O451="Chen 25 B",Atletas!O451="Chen 36 B",Atletas!O451="Chen 56 B"),408,IF(Atletas!O451="Sun 73 B",409,IF(Atletas!O451="Wu 45 B",410,IF(Atletas!O451="Wu-Hao 46 B",411,IF(OR(Atletas!O451="Taijiquan 16 B",Atletas!O451="Taijiquan 24 B",Atletas!O451="Taijiquan 32 B",Atletas!O451="Taijiquan 42 B"),412,IF(OR(Atletas!O451="Yang 26 C",Atletas!O451="Yang 40 C"),413,IF(OR(Atletas!O451="Chen 25 C",Atletas!O451="Chen 36 C",Atletas!O451="Chen 56 C"),414,IF(Atletas!O451="Sun 73 C",415,IF(Atletas!O451="Wu 45 C",416,IF(Atletas!O451="Wu-Hao 46 C",417,IF(OR(Atletas!O451="Taijiquan 16 C",Atletas!O451="Taijiquan 24 C",Atletas!O451="Taijiquan 32 C",Atletas!O451="Taijiquan 42 C"),418,0)))))))))))))))))))</f>
        <v/>
      </c>
      <c r="BQ455" s="52" t="str">
        <f>IF(Atletas!O451="","",IF(Atletas!W451&lt;&gt;"",10000,0)+IF(Atletas!B451="Feminino",1000,IF(Atletas!B451="Masculino",2000,""))+IF(OR(Atletas!O451="Yang 26 D",Atletas!O451="Yang 40 D"),419,IF(OR(Atletas!O451="Chen 25 D",Atletas!O451="Chen 36 D",Atletas!O451="Chen 56 D"),420,IF(Atletas!O451="Sun 73 D",421,IF(Atletas!O451="Wu 45 D",422,IF(Atletas!O451="Wu-Hao 46 D",423,IF(OR(Atletas!O451="Taijiquan 16 D",Atletas!O451="Taijiquan 24 D",Atletas!O451="Taijiquan 32 D",Atletas!O451="Taijiquan 42 D"),424,IF(OR(Atletas!O451="Yang 26 E",Atletas!O451="Yang 40 E"),425,IF(OR(Atletas!O451="Chen 25 E",Atletas!O451="Chen 36 E",Atletas!O451="Chen 56 E"),426,IF(Atletas!O451="Sun 73 E",427,IF(Atletas!O451="Wu 45 E",428,IF(Atletas!O451="Wu-Hao 46 E",429,IF(OR(Atletas!O451="Taijiquan 16 E",Atletas!O451="Taijiquan 24 E",Atletas!O451="Taijiquan 32 E",Atletas!O451="Taijiquan 42 E"),430,IF(OR(Atletas!O451="Yang 26 F",Atletas!O451="Yang 40 F"),431,IF(OR(Atletas!O451="Chen 25 F",Atletas!O451="Chen 36 F",Atletas!O451="Chen 56 F"),432,IF(Atletas!O451="Sun 73 F",433,IF(Atletas!O451="Wu 45 F",434,IF(Atletas!O451="Wu-Hao 46 F",435,IF(OR(Atletas!O451="Taijiquan 16 F",Atletas!O451="Taijiquan 24 F",Atletas!O451="Taijiquan 32 F",Atletas!O451="Taijiquan 42 F"),436,0)))))))))))))))))))</f>
        <v/>
      </c>
      <c r="BR455" s="52" t="str">
        <f>IF(Atletas!P451="","",IF(Atletas!W451&lt;&gt;"",10000,0)+IF(Atletas!B451="Feminino",1000,IF(Atletas!B451="Masculino",2000,""))+IF(Atletas!P451="Xingyiquan A",501,IF(Atletas!P451="Baguazhang A",502,IF(Atletas!P451="Outro Estilo Interno A",503,IF(Atletas!P451="Xingyiquan B",504,IF(Atletas!P451="Baguazhang B",505,IF(Atletas!P451="Outro Estilo Interno B",506,IF(Atletas!P451="Xingyiquan C",507,IF(Atletas!P451="Baguazhang C",508,IF(Atletas!P451="Outro Estilo Interno C",509,IF(Atletas!P451="Xingyiquan D",510,IF(Atletas!P451="Baguazhang D",511,IF(Atletas!P451="Outro Estilo Interno D",512,IF(Atletas!P451="Xingyiquan E",513,IF(Atletas!P451="Baguazhang E",514,IF(Atletas!P451="Outro Estilo Interno E",515,IF(Atletas!P451="Xingyiquan F",516,IF(Atletas!P451="Baguazhang F",517,IF(Atletas!P451="Outro Estilo Interno F",518, "")))))))))))))))))))</f>
        <v/>
      </c>
      <c r="BS455" s="52" t="str">
        <f>IF(Atletas!Q451="","",IF(Atletas!W451&lt;&gt;"",10000,0)+IF(Atletas!B451="Feminino",1000,IF(Atletas!B451="Masculino",2000,""))+IF(Atletas!Q451="Dao A",601,IF(Atletas!Q451="Jian A",602,IF(Atletas!Q451="Bishou A",603,IF(Atletas!Q451="Shan A",604,IF(Atletas!Q451="Outra Arma Curta A",605,IF(Atletas!Q451="Dao B",606,IF(Atletas!Q451="Jian B",607,IF(Atletas!Q451="Bishou B",608,IF(Atletas!Q451="Shan B",609,IF(Atletas!Q451="Outra Arma Curta B",610,IF(Atletas!Q451="Dao C",611,IF(Atletas!Q451="Jian C",612,IF(Atletas!Q451="Bishou C",613,IF(Atletas!Q451="Shan C",614,IF(Atletas!Q451="Outra Arma Curta C",615,IF(Atletas!Q451="Dao D",616,IF(Atletas!Q451="Jian D",617,IF(Atletas!Q451="Bishou D",618,IF(Atletas!Q451="Shan D",619,IF(Atletas!Q451="Outra Arma Curta D",620,IF(Atletas!Q451="Dao E",621,IF(Atletas!Q451="Jian E",622,IF(Atletas!Q451="Bishou E",623,IF(Atletas!Q451="Shan E",624,IF(Atletas!Q451="Outra Arma Curta E",625,IF(Atletas!Q451="Dao F",626,IF(Atletas!Q451="Jian F",627,IF(Atletas!Q451="Bishou F",628,IF(Atletas!Q451="Shan F",629,IF(Atletas!Q451="Outra Arma Curta F",630, "")))))))))))))))))))))))))))))))</f>
        <v/>
      </c>
      <c r="BT455" s="52" t="str">
        <f>IF(Atletas!R451="","",IF(Atletas!W451&lt;&gt;"",10000,0)+IF(Atletas!B451="Feminino",1000,IF(Atletas!B451="Masculino",2000,""))+IF(Atletas!R451="Gun A",701,IF(Atletas!R451="Qiang A",702,IF(Atletas!R451="Pudao / Guandao A",703,IF(Atletas!R451="Outra Arma Longa A",704,IF(Atletas!R451="Gun B",705,IF(Atletas!R451="Qiang B",706,IF(Atletas!R451="Pudao / Guandao B",707,IF(Atletas!R451="Outra Arma Longa B",708,IF(Atletas!R451="Gun C",709,IF(Atletas!R451="Qiang C",710,IF(Atletas!R451="Pudao / Guandao C",711,IF(Atletas!R451="Outra Arma Longa C",712,IF(Atletas!R451="Gun D",713,IF(Atletas!R451="Qiang D",714,IF(Atletas!R451="Pudao / Guandao D",715,IF(Atletas!R451="Outra Arma Longa D",716,IF(Atletas!R451="Gun E",717,IF(Atletas!R451="Qiang E",718,IF(Atletas!R451="Pudao / Guandao E",719,IF(Atletas!R451="Outra Arma Longa E",720,IF(Atletas!R451="Gun F",721,IF(Atletas!R451="Qiang F",722,IF(Atletas!R451="Pudao / Guandao F",723,IF(Atletas!R451="Outra Arma Longa F",724,"")))))))))))))))))))))))))</f>
        <v/>
      </c>
      <c r="BU455" s="52" t="str">
        <f>IF(Atletas!S451="","",IF(Atletas!W451&lt;&gt;"",10000,0)+IF(Atletas!B451="Feminino",1000,IF(Atletas!B451="Masculino",2000,""))+IF(Atletas!S451="Arma Dupla A",801,IF(Atletas!S451="Arma Maleável A",802,IF(Atletas!S451="Arma Dupla B",803,IF(Atletas!S451="Arma Maleável B",804,IF(Atletas!S451="Arma Dupla C",805,IF(Atletas!S451="Arma Maleável C",806,IF(Atletas!S451="Arma Dupla D",807,IF(Atletas!S451="Arma Maleável D",808,IF(Atletas!S451="Arma Dupla E",809,IF(Atletas!S451="Arma Maleável E",810,IF(Atletas!S451="Arma Dupla F",811,IF(Atletas!S451="Arma Maleável F",812, "")))))))))))))</f>
        <v/>
      </c>
      <c r="BV455" s="52" t="str">
        <f>IF(Atletas!T451="","",IF(Atletas!W451&lt;&gt;"",10000,0)+IF(Atletas!B451="Feminino",1000,IF(Atletas!B451="Masculino",2000,""))+IF(Atletas!T451="Taijijian Yang A",901,IF(Atletas!T451="Taijijian Chen A",902,IF(Atletas!T451="Taijijian Sun A",903,IF(Atletas!T451="Taijijian Wu A",904,IF(Atletas!T451="Taijijian Wu-Hao A",905,IF(Atletas!T451="Taijijian 32 A",906,IF(Atletas!T451="Taijijian 42 A",907,IF(Atletas!T451="Taijijian Yang B",908,IF(Atletas!T451="Taijijian Chen B",909,IF(Atletas!T451="Taijijian Sun B",910,IF(Atletas!T451="Taijijian Wu B",911,IF(Atletas!T451="Taijijian Wu-Hao B",912,IF(Atletas!T451="Taijijian 32 B",913,IF(Atletas!T451="Taijijian 42 B",914,IF(Atletas!T451="Taijijian Yang C",915,IF(Atletas!T451="Taijijian Chen C",916,IF(Atletas!T451="Taijijian Sun C",917,IF(Atletas!T451="Taijijian Wu C",918,IF(Atletas!T451="Taijijian Wu-Hao C",919,IF(Atletas!T451="Taijijian 32 C",920,IF(Atletas!T451="Taijijian 42 C",921,IF(Atletas!T451="Taijijian Yang D",922,IF(Atletas!T451="Taijijian Chen D",923,IF(Atletas!T451="Taijijian Sun D",924,IF(Atletas!T451="Taijijian Wu D",925,IF(Atletas!T451="Taijijian Wu-Hao D",926,IF(Atletas!T451="Taijijian 32 D",927,IF(Atletas!T451="Taijijian 42 D",928,IF(Atletas!T451="Taijijian Yang E",929,IF(Atletas!T451="Taijijian Chen E",930,IF(Atletas!T451="Taijijian Sun E",931,IF(Atletas!T451="Taijijian Wu E",932,IF(Atletas!T451="Taijijian Wu-Hao E",933,IF(Atletas!T451="Taijijian 32 E",934,IF(Atletas!T451="Taijijian 42 E",935,IF(Atletas!T451="Taijijian Yang F",936,IF(Atletas!T451="Taijijian Chen F",937,IF(Atletas!T451="Taijijian Sun F",938,IF(Atletas!T451="Taijijian Wu F",939,IF(Atletas!T451="Taijijian Wu-Hao F",940,IF(Atletas!T451="Taijijian 32 F",941,IF(Atletas!T451="Taijijian 42 F",942,"")))))))))))))))))))))))))))))))))))))))))))</f>
        <v/>
      </c>
      <c r="BW455" s="52" t="str">
        <f>IF(Atletas!U451="","",IF(Atletas!W451&lt;&gt;"",10000,0)+IF(Atletas!B451="Feminino",1000,IF(Atletas!B451="Masculino",2000,""))+IF(Atletas!T451="Taijijian 42 F",942,IF(Atletas!U451="Taijidao A",943,IF(Atletas!U451="Taijishan A",944,IF(Atletas!U451="Taijiqiang A",945,IF(Atletas!U451="Taijidao B",946,IF(Atletas!U451="Taijishan B",947,IF(Atletas!U451="Taijiqiang B",948,IF(Atletas!U451="Taijidao C",949,IF(Atletas!U451="Taijishan C",950,IF(Atletas!U451="Taijiqiang C",951,IF(Atletas!U451="Taijidao D",952,IF(Atletas!U451="Taijishan D",953,IF(Atletas!U451="Taijiqiang D",954,IF(Atletas!U451="Taijidao E",955,IF(Atletas!U451="Taijishan E",956,IF(Atletas!U451="Taijiqiang E",957,IF(Atletas!U451="Taijidao F",958,IF(Atletas!U451="Taijishan F",959,IF(Atletas!U451="Taijiqiang F",960))))))))))))))))))))</f>
        <v/>
      </c>
      <c r="CF455" s="52" t="str">
        <f xml:space="preserve"> IF(Atletas!V451="","",IF(Atletas!V451="Duilian de Mãos AB - Equipe 1",1,IF(Atletas!V451="Duilian de Mãos AB - Equipe 2",2,IF(Atletas!V451="Duilian de Armas AB - Equipe 1",3,IF(Atletas!V451="Duilian de Armas AB - Equipe 2",4,IF(Atletas!V451="Duilian de Tuishou - Equipe 1",5,IF(Atletas!V451="Duilian de Tuishou - Equipe 2",6,IF(Atletas!V451="Grupo Externo AB - Equipe 1",7,IF(Atletas!V451="Grupo Externo AB - Equipe 2",8,IF(Atletas!V451="Grupo Interno AB - Equipe 1",9,IF(Atletas!V451="Grupo Interno AB - Equipe 2",10,IF(Atletas!V451="Duilian de Mãos CD - Equipe 1",11,IF(Atletas!V451="Duilian de Mãos CD - Equipe 2",12,IF(Atletas!V451="Duilian de Armas CD - Equipe 1",13,IF(Atletas!V451="Duilian de Armas CD - Equipe 2",14,IF(Atletas!V451="Duilian de Tuishou - Equipe 1",15,IF(Atletas!V451="Duilian de Tuishou - Equipe 2",16,IF(Atletas!V451="Grupo Externo CDEF - Equipe 1",17,IF(Atletas!V451="Grupo Externo CDEF - Equipe 2",18,IF(Atletas!V451="Grupo Interno CDEF - Equipe 1",19,IF(Atletas!V451="Grupo Interno CDEF - Equipe 2",20,IF(Atletas!V451="Duilian de Mãos EF - Equipe 1",21,IF(Atletas!V451="Duilian de Mãos EF - Equipe 2",22,IF(Atletas!V451="Duilian de Armas EF - Equipe 1",23,IF(Atletas!V451="Duilian de Armas EF - Equipe 2",24,IF(Atletas!V451="Duilian de Tuishou - Equipe 1",25,IF(Atletas!V451="Duilian de Tuishou - Equipe 2",26,"")))))))))))))))))))))))))))</f>
        <v/>
      </c>
    </row>
    <row r="456" spans="36:84">
      <c r="AJ456" s="46" t="str">
        <f>IF(Atletas!D452="","",IF(Atletas!B452="Feminino",100,IF(Atletas!B452="Masculino",200,""))+(IF(Atletas!D452="Infantil 39kg",1,IF(Atletas!D452="Infantil 42kg",2,IF(Atletas!D452="Infantil 45kg",3,IF(Atletas!D452="Infantil 48kg",4,IF(Atletas!D452="Infantil 52kg",5,IF(Atletas!D452="Infantil 56kg",6,IF(Atletas!D452="Infantil 60kg",7,IF(Atletas!D452="Juvenil 48kg",8,IF(Atletas!D452="Juvenil 52kg",9,IF(Atletas!D452="Juvenil 56kg",10,IF(Atletas!D452="Juvenil 60kg",11,IF(Atletas!D452="Juvenil 65kg",12,IF(Atletas!D452="Juvenil 70kg",13,IF(Atletas!D452="Juvenil 75kg",14,IF(Atletas!D452="Juvenil 80kg",15,IF(Atletas!D452="Adulto 48kg",16,IF(Atletas!D452="Adulto 52kg",17,IF(Atletas!D452="Adulto 56kg",18,IF(Atletas!D452="Adulto 60kg",19,IF(Atletas!D452="Adulto 65kg",20,IF(Atletas!D452="Adulto 70kg",21,IF(Atletas!D452="Adulto 75kg",22,IF(Atletas!D452="Adulto 80kg",23,IF(Atletas!D452="Adulto 85kg",24,IF(Atletas!D452="Adulto 90kg",25,IF(Atletas!D452="Adulto +90kg",26,""))))))))))))))))))))))))))))</f>
        <v/>
      </c>
      <c r="AO456" s="10" t="str">
        <f>IF(Atletas!E452="","",IF(Atletas!B452="Feminino",100,IF(Atletas!B452="Masculino",200,""))+(IF(Atletas!E452="Juvenil 44kg",1,IF(Atletas!E452="Juvenil 48kg",2,IF(Atletas!E452="Juvenil 52kg",3,IF(Atletas!E452="Juvenil 56kg",4,IF(Atletas!E452="Juvenil 60kg",5,IF(Atletas!E452="Juvenil 65kg",6,IF(Atletas!E452="Juvenil 70kg",7,IF(Atletas!E452="Juvenil 75kg",8,IF(Atletas!E452="Juvenil 82kg",9,IF(Atletas!E452="Juvenil 90kg",10,IF(Atletas!E452="Juvenil 100kg",11,IF(Atletas!E452="Adulto 48kg",12,IF(Atletas!E452="Adulto 52kg",13,IF(Atletas!E452="Adulto 56kg",14,IF(Atletas!E452="Adulto 60kg",15,IF(Atletas!E452="Adulto 65kg",16,IF(Atletas!E452="Adulto 70kg",17,IF(Atletas!E452="Adulto 75kg",18,IF(Atletas!E452="Adulto 82kg",19,IF(Atletas!E452="Adulto 90kg",20,IF(Atletas!E452="Adulto 100kg",21,IF(Atletas!E452="Adulto +100kg",22,""))))))))))))))))))))))))</f>
        <v/>
      </c>
      <c r="AT456" s="10" t="str">
        <f>IF(Atletas!F452="","",IF(Atletas!B452="Feminino",100,IF(Atletas!B452="Masculino",200,""))+(IF(Atletas!F452="Adulto 48kg",1,IF(Atletas!F452="Adulto 56kg",2,IF(Atletas!F452="Adulto 65kg",3,IF(Atletas!F452="Adulto 75kg",4,IF(Atletas!F452="Adulto +75kg",5,IF(Atletas!F452="Adulto 52kg",6,IF(Atletas!F452="Adulto 60kg",7,IF(Atletas!F452="Adulto 70kg",8,IF(Atletas!F452="Adulto 80kg",9,IF(Atletas!F452="Adulto 90kg",10,IF(Atletas!F452="Adulto +90kg",11,"")))))))))))))</f>
        <v/>
      </c>
      <c r="AY456" s="46" t="str">
        <f>IF(Atletas!G452="","",IF(Atletas!B452="Feminino",100,IF(Atletas!B452="Masculino",200,""))+(IF(Atletas!G452="Changquan Mirim",1,IF(Atletas!G452="Nanquan Mirim",2,IF(Atletas!G452="Taijiquan Mirim",3,IF(Atletas!G452="Changquan Grupo C",4,IF(Atletas!G452="Nanquan Grupo C",5,IF(Atletas!G452="Taijiquan Grupo C",6,IF(Atletas!G452="Changquan Grupo B",7,IF(Atletas!G452="Nanquan Grupo B",8,IF(Atletas!G452="Taijiquan Grupo B",9,IF(Atletas!G452="Changquan Grupo A",10,IF(Atletas!G452="Nanquan Grupo A",11,IF(Atletas!G452="Taijiquan Grupo A",12,IF(Atletas!G452="Changquan Opcional",13,IF(Atletas!G452="Nanquan Opcional",14,IF(Atletas!G452="Taijiquan Opcional",15,IF(Atletas!G452="Changquan Adulto",16,IF(Atletas!G452="Nanquan Adulto",17,IF(Atletas!G452="Taijiquan Adulto",18,""))))))))))))))))))))</f>
        <v/>
      </c>
      <c r="AZ456" s="46" t="str">
        <f>IF(Atletas!H452="","",IF(Atletas!B452="Feminino",100,IF(Atletas!B452="Masculino",200,""))+(IF(Atletas!H452="Daoshu Mirim",19,IF(Atletas!H452="Jianshu Mirim",20,IF(Atletas!H452="Nandao Mirim",21,IF(Atletas!H452="Taijijian Mirim",22,IF(Atletas!H452="Daoshu Grupo C",23,IF(Atletas!H452="Jianshu Grupo C",24,IF(Atletas!H452="Nandao Grupo C",25,IF(Atletas!H452="Taijijian Grupo C",26,IF(Atletas!H452="Daoshu Grupo B",27,IF(Atletas!H452="Jianshu Grupo B",28,IF(Atletas!H452="Nandao Grupo B",29,IF(Atletas!H452="Taijijian Grupo B",30,IF(Atletas!H452="Daoshu Grupo A",31,IF(Atletas!H452="Jianshu Grupo A",32,IF(Atletas!H452="Nandao Grupo A",33,IF(Atletas!H452="Taijijian Grupo A",34,IF(Atletas!H452="Daoshu Opcional",35,IF(Atletas!H452="Jianshu Opcional",36,IF(Atletas!H452="Nandao Opcional",37,IF(Atletas!H452="Taijijian Opcional",38,IF(Atletas!H452="Daoshu Adulto",39,IF(Atletas!H452="Jianshu Adulto",40,IF(Atletas!H452="Nandao Adulto",41,IF(Atletas!H452="Taijijian Adulto",42,""))))))))))))))))))))))))))</f>
        <v/>
      </c>
      <c r="BA456" s="46" t="str">
        <f>IF(Atletas!I452="","",IF(Atletas!B452="Feminino",100,IF(Atletas!B452="Masculino",200,""))+(IF(Atletas!I452="Gunshu Mirim",43,IF(Atletas!I452="Qiangshu Mirim",44,IF(Atletas!I452="Nangun Mirim",45,IF(Atletas!I452="Gunshu Grupo C",46,IF(Atletas!I452="Qiangshu Grupo C",47,IF(Atletas!I452="Nangun Grupo C",48,IF(Atletas!I452="Gunshu Grupo B",49,IF(Atletas!I452="Qiangshu Grupo B",50,IF(Atletas!I452="Nangun Grupo B",51,IF(Atletas!I452="Gunshu Grupo A",52,IF(Atletas!I452="Qiangshu Grupo A",53,IF(Atletas!I452="Nangun Grupo A",54,IF(Atletas!I452="Gunshu Opcional",55,IF(Atletas!I452="Qiangshu Opcional",56,IF(Atletas!I452="Nangun Opcional",57,IF(Atletas!I452="Gunshu Adulto",58,IF(Atletas!I452="Qiangshu Adulto",59,IF(Atletas!I452="Nangun Adulto",60,""))))))))))))))))))))</f>
        <v/>
      </c>
      <c r="BF456" s="52" t="str">
        <f>IF(Atletas!J452="","",IF(Atletas!B452="Feminino",100,IF(Atletas!B452="Masculino",200,""))+(IF(Atletas!J452="Equipe 1 Grupo B",1,IF(Atletas!J452="Equipe 2 Grupo B",2,IF(Atletas!J452="Equipe 1 Grupo A",3,IF(Atletas!J452="Equipe 2 Grupo A",4,IF(Atletas!J452="Equipe 1 Adulto",5,IF(Atletas!J452="Equipe 2 Adulto",6,""))))))))</f>
        <v/>
      </c>
      <c r="BK456" s="52" t="str">
        <f>IF(Atletas!K452="","",IF(Atletas!W452&lt;&gt;"",10000,0)+(IF(Atletas!B452="Feminino",1000,IF(Atletas!B452="Masculino",2000,""))+IF(Atletas!K452="Choylayfut A",1,IF(Atletas!K452="Hunggar A",2,IF(Atletas!K452="Wuzuquan A",3,IF(Atletas!K452="Wingchun A",4,IF(Atletas!K452="Outra Mão de Sul A",5,IF(Atletas!K452="Choylayfut B",6,IF(Atletas!K452="Hunggar B",7,IF(Atletas!K452="Wuzuquan B",8,IF(Atletas!K452="Wingchun B",9,IF(Atletas!K452="Outra Mão de Sul B",10,IF(Atletas!K452="Choylayfut C",11,IF(Atletas!K452="Hunggar C",12,IF(Atletas!K452="Wuzuquan C",13,IF(Atletas!K452="Wingchun C",14,IF(Atletas!K452="Outra Mão de Sul C",15,IF(Atletas!K452="Choylayfut D",16,IF(Atletas!K452="Hunggar D",17,IF(Atletas!K452="Wuzuquan D",18,IF(Atletas!K452="Wingchun D",19,IF(Atletas!K452="Outra Mão de Sul D",20,IF(Atletas!K452="Choylayfut E",21,IF(Atletas!K452="Hunggar E",22,IF(Atletas!K452="Wuzuquan E",23,IF(Atletas!K452="Wingchun E",24,IF(Atletas!K452="Outra Mão de Sul E",25,IF(Atletas!K452="Choylayfut F",26,IF(Atletas!K452="Hunggar F",27,IF(Atletas!K452="Wuzuquan F",28,IF(Atletas!K452="Wingchun F",29,IF(Atletas!K452="Outra Mão de Sul F",30,""))))))))))))))))))))))))))))))))</f>
        <v/>
      </c>
      <c r="BL456" s="52" t="str">
        <f>IF(Atletas!L452="","",IF(Atletas!W452&lt;&gt;"",10000,0)+(IF(Atletas!B452="Feminino",1000,IF(Atletas!B452="Masculino",2000,""))+(IF(Atletas!L452="Chaquan A",101,IF(Atletas!L452="Emeiquan A",102,IF(Atletas!L452="Fanziquan A",103,IF(Atletas!L452="Huaquan A",104,IF(Atletas!L452="Hongquan A",105,IF(Atletas!L452="Paochui A",106,IF(Atletas!L452="Piguaquan A",107,IF(Atletas!L452="Shaolinquan A",108,IF(Atletas!L452="Tanglangquan A",109,IF(Atletas!L452="Yinzhaophai A",110,IF(Atletas!L452="Tongbeiquan A",111,IF(Atletas!L452="Wudangquan A",112,IF(Atletas!L452="Outros Estilos A",113,IF(Atletas!L452="Chaquan B",114,IF(Atletas!L452="Emeiquan B",115,IF(Atletas!L452="Fanziquan B",116,IF(Atletas!L452="Huaquan B",117,IF(Atletas!L452="Hongquan B",118,IF(Atletas!L452="Paochui B",119,IF(Atletas!L452="Piguaquan B",120,IF(Atletas!L452="Shaolinquan B",121,IF(Atletas!L452="Tanglangquan B",122,IF(Atletas!L452="Yinzhaophai B",123,IF(Atletas!L452="Tongbeiquan B",124,IF(Atletas!L452="Wudangquan B",125,IF(Atletas!L452="Outros Estilos B",126,IF(Atletas!L452="Chaquan C",127,IF(Atletas!L452="Emeiquan C",128,IF(Atletas!L452="Fanziquan C",129,IF(Atletas!L452="Huaquan C",130,IF(Atletas!L452="Hongquan C",131,IF(Atletas!L452="Paochui C",132,IF(Atletas!L452="Piguaquan C",133,IF(Atletas!L452="Shaolinquan C",134,IF(Atletas!L452="Tanglangquan C",135,IF(Atletas!L452="Yinzhaophai C",136,IF(Atletas!L452="Tongbeiquan C",137,IF(Atletas!L452="Wudangquan C",138,IF(Atletas!L452="Outros Estilos C",139,0))))))))))))))))))))))))))))))))))))))))))</f>
        <v/>
      </c>
      <c r="BM456" s="52" t="str">
        <f>IF(Atletas!L452="","",IF(Atletas!W452&lt;&gt;"",10000,0)+(IF(Atletas!B452="Feminino",1000,IF(Atletas!B452="Masculino",2000,""))+(IF(Atletas!L452="Chaquan D",140,IF(Atletas!L452="Emeiquan D",141,IF(Atletas!L452="Fanziquan D",142,IF(Atletas!L452="Huaquan D",143,IF(Atletas!L452="Hongquan D",144,IF(Atletas!L452="Paochui D",145,IF(Atletas!L452="Piguaquan D",146,IF(Atletas!L452="Shaolinquan D",147,IF(Atletas!L452="Tanglangquan D",148,IF(Atletas!L452="Yinzhaophai D",149,IF(Atletas!L452="Tongbeiquan D",150,IF(Atletas!L452="Wudangquan D",151,IF(Atletas!L452="Outros Estilos D",152,IF(Atletas!L452="Chaquan E",153,IF(Atletas!L452="Emeiquan E",154,IF(Atletas!L452="Fanziquan E",155,IF(Atletas!L452="Huaquan E",156,IF(Atletas!L452="Hongquan E",157,IF(Atletas!L452="Paochui E",158,IF(Atletas!L452="Piguaquan E",159,IF(Atletas!L452="Shaolinquan E",160,IF(Atletas!L452="Tanglangquan E",161,IF(Atletas!L452="Yinzhaophai E",162,IF(Atletas!L452="Tongbeiquan E",163,IF(Atletas!L452="Wudangquan E",164,IF(Atletas!L452="Outros Estilos E",165,IF(Atletas!L452="Chaquan F",166,IF(Atletas!L452="Emeiquan F",167,IF(Atletas!L452="Fanziquan F",168,IF(Atletas!L452="Huaquan F",169,IF(Atletas!L452="Hongquan F",170,IF(Atletas!L452="Paochui F",171,IF(Atletas!L452="Piguaquan F",172,IF(Atletas!L452="Shaolinquan F",173,IF(Atletas!L452="Tanglangquan F",174,IF(Atletas!L452="Yinzhaophai F",175,IF(Atletas!L452="Tongbeiquan F",176,IF(Atletas!L452="Wudangquan F",177,IF(Atletas!L452="Outros Estilos F",178,0))))))))))))))))))))))))))))))))))))))))))</f>
        <v/>
      </c>
      <c r="BN456" s="52" t="str">
        <f>IF(Atletas!M452="","",IF(Atletas!W452&lt;&gt;"",10000,0)+(IF(Atletas!B452="Feminino",1000,IF(Atletas!B452="Masculino",2000,""))+(IF(Atletas!M452="Ditangquan A",201,IF(Atletas!M452="Houquan A",202,IF(Atletas!M452="Zuiquan A",203,IF(Atletas!M452="Ditangquan B",204,IF(Atletas!M452="Houquan B",205,IF(Atletas!M452="Zuiquan B",206,IF(Atletas!M452="Ditangquan C",207,IF(Atletas!M452="Houquan C",208,IF(Atletas!M452="Zuiquan C",209,IF(Atletas!M452="Ditangquan D",210,IF(Atletas!M452="Houquan D",211,IF(Atletas!M452="Zuiquan D",212,IF(Atletas!M452="Ditangquan E",213,IF(Atletas!M452="Houquan E",214,IF(Atletas!M452="Zuiquan E",215,IF(Atletas!M452="Ditangquan F",216,IF(Atletas!M452="Houquan F",217,IF(Atletas!M452="Zuiquan F",218,"")))))))))))))))))))))</f>
        <v/>
      </c>
      <c r="BO456" s="52" t="str">
        <f>IF(Atletas!N452="","",IF(Atletas!W452&lt;&gt;"",10000,0)+IF(Atletas!B452="Feminino",1000,IF(Atletas!B452="Masculino",2000,""))+IF(Atletas!N452="Yang A",301,IF(Atletas!N452="Chen A",30,IF(Atletas!N452="Sun A",303,IF(Atletas!N452="Wu A",304,IF(Atletas!N452="Wu-Hao A",305,IF(Atletas!N452="Outro Taijiquan A",306,IF(Atletas!N452="Yang B",307,IF(Atletas!N452="Chen B",308,IF(Atletas!N452="Sun B",309,IF(Atletas!N452="Wu B",310,IF(Atletas!N452="Wu-Hao B",311,IF(Atletas!N452="Outro Taijiquan B",312,IF(Atletas!N452="Yang C",313,IF(Atletas!N452="Chen C",314,IF(Atletas!N452="Sun C",315,IF(Atletas!N452="Wu C",316,IF(Atletas!N452="Wu-Hao C",317,IF(Atletas!N452="Outro Taijiquan C",318,IF(Atletas!N452="Yang D",319,IF(Atletas!N452="Chen D",320,IF(Atletas!N452="Sun D",321,IF(Atletas!N452="Wu D",322,IF(Atletas!N452="Wu-Hao D",323,IF(Atletas!N452="Outro Taijiquan D",324,IF(Atletas!N452="Yang E",325,IF(Atletas!N452="Chen E",326,IF(Atletas!N452="Sun E",327,IF(Atletas!N452="Wu E",328,IF(Atletas!N452="Wu-Hao E",329,IF(Atletas!N452="Outro Taijiquan E",330,IF(Atletas!N452="Yang F",331,IF(Atletas!N452="Chen F",332,IF(Atletas!N452="Sun F",333,IF(Atletas!N452="Wu F",334,IF(Atletas!N452="Wu-Hao F",335,IF(Atletas!N452="Outro Taijiquan F",336,"")))))))))))))))))))))))))))))))))))))</f>
        <v/>
      </c>
      <c r="BP456" s="52" t="str">
        <f>IF(Atletas!O452="","",IF(Atletas!W452&lt;&gt;"",10000,0)+IF(Atletas!B452="Feminino",1000,IF(Atletas!B452="Masculino",2000,""))+IF(OR(Atletas!O452="Yang 26 A",Atletas!O452="Yang 40 A"),401,IF(OR(Atletas!O452="Chen 25 A",Atletas!O452="Chen 36 A",Atletas!O452="Chen 56 A"),402,IF(Atletas!O452="Sun 73 A",403,IF(Atletas!O452="Wu 45 A",404,IF(Atletas!O452="Wu-Hao 46 A",405,IF(OR(Atletas!O452="Taijiquan 16 A",Atletas!O452="Taijiquan 24 A",Atletas!O452="Taijiquan 32 A",Atletas!O452="Taijiquan 42 A"),406,IF(OR(Atletas!O452="Yang 26 B",Atletas!O452="Yang 40 B"),407,IF(OR(Atletas!O452="Chen 25 B",Atletas!O452="Chen 36 B",Atletas!O452="Chen 56 B"),408,IF(Atletas!O452="Sun 73 B",409,IF(Atletas!O452="Wu 45 B",410,IF(Atletas!O452="Wu-Hao 46 B",411,IF(OR(Atletas!O452="Taijiquan 16 B",Atletas!O452="Taijiquan 24 B",Atletas!O452="Taijiquan 32 B",Atletas!O452="Taijiquan 42 B"),412,IF(OR(Atletas!O452="Yang 26 C",Atletas!O452="Yang 40 C"),413,IF(OR(Atletas!O452="Chen 25 C",Atletas!O452="Chen 36 C",Atletas!O452="Chen 56 C"),414,IF(Atletas!O452="Sun 73 C",415,IF(Atletas!O452="Wu 45 C",416,IF(Atletas!O452="Wu-Hao 46 C",417,IF(OR(Atletas!O452="Taijiquan 16 C",Atletas!O452="Taijiquan 24 C",Atletas!O452="Taijiquan 32 C",Atletas!O452="Taijiquan 42 C"),418,0)))))))))))))))))))</f>
        <v/>
      </c>
      <c r="BQ456" s="52" t="str">
        <f>IF(Atletas!O452="","",IF(Atletas!W452&lt;&gt;"",10000,0)+IF(Atletas!B452="Feminino",1000,IF(Atletas!B452="Masculino",2000,""))+IF(OR(Atletas!O452="Yang 26 D",Atletas!O452="Yang 40 D"),419,IF(OR(Atletas!O452="Chen 25 D",Atletas!O452="Chen 36 D",Atletas!O452="Chen 56 D"),420,IF(Atletas!O452="Sun 73 D",421,IF(Atletas!O452="Wu 45 D",422,IF(Atletas!O452="Wu-Hao 46 D",423,IF(OR(Atletas!O452="Taijiquan 16 D",Atletas!O452="Taijiquan 24 D",Atletas!O452="Taijiquan 32 D",Atletas!O452="Taijiquan 42 D"),424,IF(OR(Atletas!O452="Yang 26 E",Atletas!O452="Yang 40 E"),425,IF(OR(Atletas!O452="Chen 25 E",Atletas!O452="Chen 36 E",Atletas!O452="Chen 56 E"),426,IF(Atletas!O452="Sun 73 E",427,IF(Atletas!O452="Wu 45 E",428,IF(Atletas!O452="Wu-Hao 46 E",429,IF(OR(Atletas!O452="Taijiquan 16 E",Atletas!O452="Taijiquan 24 E",Atletas!O452="Taijiquan 32 E",Atletas!O452="Taijiquan 42 E"),430,IF(OR(Atletas!O452="Yang 26 F",Atletas!O452="Yang 40 F"),431,IF(OR(Atletas!O452="Chen 25 F",Atletas!O452="Chen 36 F",Atletas!O452="Chen 56 F"),432,IF(Atletas!O452="Sun 73 F",433,IF(Atletas!O452="Wu 45 F",434,IF(Atletas!O452="Wu-Hao 46 F",435,IF(OR(Atletas!O452="Taijiquan 16 F",Atletas!O452="Taijiquan 24 F",Atletas!O452="Taijiquan 32 F",Atletas!O452="Taijiquan 42 F"),436,0)))))))))))))))))))</f>
        <v/>
      </c>
      <c r="BR456" s="52" t="str">
        <f>IF(Atletas!P452="","",IF(Atletas!W452&lt;&gt;"",10000,0)+IF(Atletas!B452="Feminino",1000,IF(Atletas!B452="Masculino",2000,""))+IF(Atletas!P452="Xingyiquan A",501,IF(Atletas!P452="Baguazhang A",502,IF(Atletas!P452="Outro Estilo Interno A",503,IF(Atletas!P452="Xingyiquan B",504,IF(Atletas!P452="Baguazhang B",505,IF(Atletas!P452="Outro Estilo Interno B",506,IF(Atletas!P452="Xingyiquan C",507,IF(Atletas!P452="Baguazhang C",508,IF(Atletas!P452="Outro Estilo Interno C",509,IF(Atletas!P452="Xingyiquan D",510,IF(Atletas!P452="Baguazhang D",511,IF(Atletas!P452="Outro Estilo Interno D",512,IF(Atletas!P452="Xingyiquan E",513,IF(Atletas!P452="Baguazhang E",514,IF(Atletas!P452="Outro Estilo Interno E",515,IF(Atletas!P452="Xingyiquan F",516,IF(Atletas!P452="Baguazhang F",517,IF(Atletas!P452="Outro Estilo Interno F",518, "")))))))))))))))))))</f>
        <v/>
      </c>
      <c r="BS456" s="52" t="str">
        <f>IF(Atletas!Q452="","",IF(Atletas!W452&lt;&gt;"",10000,0)+IF(Atletas!B452="Feminino",1000,IF(Atletas!B452="Masculino",2000,""))+IF(Atletas!Q452="Dao A",601,IF(Atletas!Q452="Jian A",602,IF(Atletas!Q452="Bishou A",603,IF(Atletas!Q452="Shan A",604,IF(Atletas!Q452="Outra Arma Curta A",605,IF(Atletas!Q452="Dao B",606,IF(Atletas!Q452="Jian B",607,IF(Atletas!Q452="Bishou B",608,IF(Atletas!Q452="Shan B",609,IF(Atletas!Q452="Outra Arma Curta B",610,IF(Atletas!Q452="Dao C",611,IF(Atletas!Q452="Jian C",612,IF(Atletas!Q452="Bishou C",613,IF(Atletas!Q452="Shan C",614,IF(Atletas!Q452="Outra Arma Curta C",615,IF(Atletas!Q452="Dao D",616,IF(Atletas!Q452="Jian D",617,IF(Atletas!Q452="Bishou D",618,IF(Atletas!Q452="Shan D",619,IF(Atletas!Q452="Outra Arma Curta D",620,IF(Atletas!Q452="Dao E",621,IF(Atletas!Q452="Jian E",622,IF(Atletas!Q452="Bishou E",623,IF(Atletas!Q452="Shan E",624,IF(Atletas!Q452="Outra Arma Curta E",625,IF(Atletas!Q452="Dao F",626,IF(Atletas!Q452="Jian F",627,IF(Atletas!Q452="Bishou F",628,IF(Atletas!Q452="Shan F",629,IF(Atletas!Q452="Outra Arma Curta F",630, "")))))))))))))))))))))))))))))))</f>
        <v/>
      </c>
      <c r="BT456" s="52" t="str">
        <f>IF(Atletas!R452="","",IF(Atletas!W452&lt;&gt;"",10000,0)+IF(Atletas!B452="Feminino",1000,IF(Atletas!B452="Masculino",2000,""))+IF(Atletas!R452="Gun A",701,IF(Atletas!R452="Qiang A",702,IF(Atletas!R452="Pudao / Guandao A",703,IF(Atletas!R452="Outra Arma Longa A",704,IF(Atletas!R452="Gun B",705,IF(Atletas!R452="Qiang B",706,IF(Atletas!R452="Pudao / Guandao B",707,IF(Atletas!R452="Outra Arma Longa B",708,IF(Atletas!R452="Gun C",709,IF(Atletas!R452="Qiang C",710,IF(Atletas!R452="Pudao / Guandao C",711,IF(Atletas!R452="Outra Arma Longa C",712,IF(Atletas!R452="Gun D",713,IF(Atletas!R452="Qiang D",714,IF(Atletas!R452="Pudao / Guandao D",715,IF(Atletas!R452="Outra Arma Longa D",716,IF(Atletas!R452="Gun E",717,IF(Atletas!R452="Qiang E",718,IF(Atletas!R452="Pudao / Guandao E",719,IF(Atletas!R452="Outra Arma Longa E",720,IF(Atletas!R452="Gun F",721,IF(Atletas!R452="Qiang F",722,IF(Atletas!R452="Pudao / Guandao F",723,IF(Atletas!R452="Outra Arma Longa F",724,"")))))))))))))))))))))))))</f>
        <v/>
      </c>
      <c r="BU456" s="52" t="str">
        <f>IF(Atletas!S452="","",IF(Atletas!W452&lt;&gt;"",10000,0)+IF(Atletas!B452="Feminino",1000,IF(Atletas!B452="Masculino",2000,""))+IF(Atletas!S452="Arma Dupla A",801,IF(Atletas!S452="Arma Maleável A",802,IF(Atletas!S452="Arma Dupla B",803,IF(Atletas!S452="Arma Maleável B",804,IF(Atletas!S452="Arma Dupla C",805,IF(Atletas!S452="Arma Maleável C",806,IF(Atletas!S452="Arma Dupla D",807,IF(Atletas!S452="Arma Maleável D",808,IF(Atletas!S452="Arma Dupla E",809,IF(Atletas!S452="Arma Maleável E",810,IF(Atletas!S452="Arma Dupla F",811,IF(Atletas!S452="Arma Maleável F",812, "")))))))))))))</f>
        <v/>
      </c>
      <c r="BV456" s="52" t="str">
        <f>IF(Atletas!T452="","",IF(Atletas!W452&lt;&gt;"",10000,0)+IF(Atletas!B452="Feminino",1000,IF(Atletas!B452="Masculino",2000,""))+IF(Atletas!T452="Taijijian Yang A",901,IF(Atletas!T452="Taijijian Chen A",902,IF(Atletas!T452="Taijijian Sun A",903,IF(Atletas!T452="Taijijian Wu A",904,IF(Atletas!T452="Taijijian Wu-Hao A",905,IF(Atletas!T452="Taijijian 32 A",906,IF(Atletas!T452="Taijijian 42 A",907,IF(Atletas!T452="Taijijian Yang B",908,IF(Atletas!T452="Taijijian Chen B",909,IF(Atletas!T452="Taijijian Sun B",910,IF(Atletas!T452="Taijijian Wu B",911,IF(Atletas!T452="Taijijian Wu-Hao B",912,IF(Atletas!T452="Taijijian 32 B",913,IF(Atletas!T452="Taijijian 42 B",914,IF(Atletas!T452="Taijijian Yang C",915,IF(Atletas!T452="Taijijian Chen C",916,IF(Atletas!T452="Taijijian Sun C",917,IF(Atletas!T452="Taijijian Wu C",918,IF(Atletas!T452="Taijijian Wu-Hao C",919,IF(Atletas!T452="Taijijian 32 C",920,IF(Atletas!T452="Taijijian 42 C",921,IF(Atletas!T452="Taijijian Yang D",922,IF(Atletas!T452="Taijijian Chen D",923,IF(Atletas!T452="Taijijian Sun D",924,IF(Atletas!T452="Taijijian Wu D",925,IF(Atletas!T452="Taijijian Wu-Hao D",926,IF(Atletas!T452="Taijijian 32 D",927,IF(Atletas!T452="Taijijian 42 D",928,IF(Atletas!T452="Taijijian Yang E",929,IF(Atletas!T452="Taijijian Chen E",930,IF(Atletas!T452="Taijijian Sun E",931,IF(Atletas!T452="Taijijian Wu E",932,IF(Atletas!T452="Taijijian Wu-Hao E",933,IF(Atletas!T452="Taijijian 32 E",934,IF(Atletas!T452="Taijijian 42 E",935,IF(Atletas!T452="Taijijian Yang F",936,IF(Atletas!T452="Taijijian Chen F",937,IF(Atletas!T452="Taijijian Sun F",938,IF(Atletas!T452="Taijijian Wu F",939,IF(Atletas!T452="Taijijian Wu-Hao F",940,IF(Atletas!T452="Taijijian 32 F",941,IF(Atletas!T452="Taijijian 42 F",942,"")))))))))))))))))))))))))))))))))))))))))))</f>
        <v/>
      </c>
      <c r="BW456" s="52" t="str">
        <f>IF(Atletas!U452="","",IF(Atletas!W452&lt;&gt;"",10000,0)+IF(Atletas!B452="Feminino",1000,IF(Atletas!B452="Masculino",2000,""))+IF(Atletas!T452="Taijijian 42 F",942,IF(Atletas!U452="Taijidao A",943,IF(Atletas!U452="Taijishan A",944,IF(Atletas!U452="Taijiqiang A",945,IF(Atletas!U452="Taijidao B",946,IF(Atletas!U452="Taijishan B",947,IF(Atletas!U452="Taijiqiang B",948,IF(Atletas!U452="Taijidao C",949,IF(Atletas!U452="Taijishan C",950,IF(Atletas!U452="Taijiqiang C",951,IF(Atletas!U452="Taijidao D",952,IF(Atletas!U452="Taijishan D",953,IF(Atletas!U452="Taijiqiang D",954,IF(Atletas!U452="Taijidao E",955,IF(Atletas!U452="Taijishan E",956,IF(Atletas!U452="Taijiqiang E",957,IF(Atletas!U452="Taijidao F",958,IF(Atletas!U452="Taijishan F",959,IF(Atletas!U452="Taijiqiang F",960))))))))))))))))))))</f>
        <v/>
      </c>
      <c r="CF456" s="52" t="str">
        <f xml:space="preserve"> IF(Atletas!V452="","",IF(Atletas!V452="Duilian de Mãos AB - Equipe 1",1,IF(Atletas!V452="Duilian de Mãos AB - Equipe 2",2,IF(Atletas!V452="Duilian de Armas AB - Equipe 1",3,IF(Atletas!V452="Duilian de Armas AB - Equipe 2",4,IF(Atletas!V452="Duilian de Tuishou - Equipe 1",5,IF(Atletas!V452="Duilian de Tuishou - Equipe 2",6,IF(Atletas!V452="Grupo Externo AB - Equipe 1",7,IF(Atletas!V452="Grupo Externo AB - Equipe 2",8,IF(Atletas!V452="Grupo Interno AB - Equipe 1",9,IF(Atletas!V452="Grupo Interno AB - Equipe 2",10,IF(Atletas!V452="Duilian de Mãos CD - Equipe 1",11,IF(Atletas!V452="Duilian de Mãos CD - Equipe 2",12,IF(Atletas!V452="Duilian de Armas CD - Equipe 1",13,IF(Atletas!V452="Duilian de Armas CD - Equipe 2",14,IF(Atletas!V452="Duilian de Tuishou - Equipe 1",15,IF(Atletas!V452="Duilian de Tuishou - Equipe 2",16,IF(Atletas!V452="Grupo Externo CDEF - Equipe 1",17,IF(Atletas!V452="Grupo Externo CDEF - Equipe 2",18,IF(Atletas!V452="Grupo Interno CDEF - Equipe 1",19,IF(Atletas!V452="Grupo Interno CDEF - Equipe 2",20,IF(Atletas!V452="Duilian de Mãos EF - Equipe 1",21,IF(Atletas!V452="Duilian de Mãos EF - Equipe 2",22,IF(Atletas!V452="Duilian de Armas EF - Equipe 1",23,IF(Atletas!V452="Duilian de Armas EF - Equipe 2",24,IF(Atletas!V452="Duilian de Tuishou - Equipe 1",25,IF(Atletas!V452="Duilian de Tuishou - Equipe 2",26,"")))))))))))))))))))))))))))</f>
        <v/>
      </c>
    </row>
    <row r="457" spans="36:84">
      <c r="AJ457" s="46" t="str">
        <f>IF(Atletas!D453="","",IF(Atletas!B453="Feminino",100,IF(Atletas!B453="Masculino",200,""))+(IF(Atletas!D453="Infantil 39kg",1,IF(Atletas!D453="Infantil 42kg",2,IF(Atletas!D453="Infantil 45kg",3,IF(Atletas!D453="Infantil 48kg",4,IF(Atletas!D453="Infantil 52kg",5,IF(Atletas!D453="Infantil 56kg",6,IF(Atletas!D453="Infantil 60kg",7,IF(Atletas!D453="Juvenil 48kg",8,IF(Atletas!D453="Juvenil 52kg",9,IF(Atletas!D453="Juvenil 56kg",10,IF(Atletas!D453="Juvenil 60kg",11,IF(Atletas!D453="Juvenil 65kg",12,IF(Atletas!D453="Juvenil 70kg",13,IF(Atletas!D453="Juvenil 75kg",14,IF(Atletas!D453="Juvenil 80kg",15,IF(Atletas!D453="Adulto 48kg",16,IF(Atletas!D453="Adulto 52kg",17,IF(Atletas!D453="Adulto 56kg",18,IF(Atletas!D453="Adulto 60kg",19,IF(Atletas!D453="Adulto 65kg",20,IF(Atletas!D453="Adulto 70kg",21,IF(Atletas!D453="Adulto 75kg",22,IF(Atletas!D453="Adulto 80kg",23,IF(Atletas!D453="Adulto 85kg",24,IF(Atletas!D453="Adulto 90kg",25,IF(Atletas!D453="Adulto +90kg",26,""))))))))))))))))))))))))))))</f>
        <v/>
      </c>
      <c r="AO457" s="10" t="str">
        <f>IF(Atletas!E453="","",IF(Atletas!B453="Feminino",100,IF(Atletas!B453="Masculino",200,""))+(IF(Atletas!E453="Juvenil 44kg",1,IF(Atletas!E453="Juvenil 48kg",2,IF(Atletas!E453="Juvenil 52kg",3,IF(Atletas!E453="Juvenil 56kg",4,IF(Atletas!E453="Juvenil 60kg",5,IF(Atletas!E453="Juvenil 65kg",6,IF(Atletas!E453="Juvenil 70kg",7,IF(Atletas!E453="Juvenil 75kg",8,IF(Atletas!E453="Juvenil 82kg",9,IF(Atletas!E453="Juvenil 90kg",10,IF(Atletas!E453="Juvenil 100kg",11,IF(Atletas!E453="Adulto 48kg",12,IF(Atletas!E453="Adulto 52kg",13,IF(Atletas!E453="Adulto 56kg",14,IF(Atletas!E453="Adulto 60kg",15,IF(Atletas!E453="Adulto 65kg",16,IF(Atletas!E453="Adulto 70kg",17,IF(Atletas!E453="Adulto 75kg",18,IF(Atletas!E453="Adulto 82kg",19,IF(Atletas!E453="Adulto 90kg",20,IF(Atletas!E453="Adulto 100kg",21,IF(Atletas!E453="Adulto +100kg",22,""))))))))))))))))))))))))</f>
        <v/>
      </c>
      <c r="AT457" s="10" t="str">
        <f>IF(Atletas!F453="","",IF(Atletas!B453="Feminino",100,IF(Atletas!B453="Masculino",200,""))+(IF(Atletas!F453="Adulto 48kg",1,IF(Atletas!F453="Adulto 56kg",2,IF(Atletas!F453="Adulto 65kg",3,IF(Atletas!F453="Adulto 75kg",4,IF(Atletas!F453="Adulto +75kg",5,IF(Atletas!F453="Adulto 52kg",6,IF(Atletas!F453="Adulto 60kg",7,IF(Atletas!F453="Adulto 70kg",8,IF(Atletas!F453="Adulto 80kg",9,IF(Atletas!F453="Adulto 90kg",10,IF(Atletas!F453="Adulto +90kg",11,"")))))))))))))</f>
        <v/>
      </c>
      <c r="AY457" s="46" t="str">
        <f>IF(Atletas!G453="","",IF(Atletas!B453="Feminino",100,IF(Atletas!B453="Masculino",200,""))+(IF(Atletas!G453="Changquan Mirim",1,IF(Atletas!G453="Nanquan Mirim",2,IF(Atletas!G453="Taijiquan Mirim",3,IF(Atletas!G453="Changquan Grupo C",4,IF(Atletas!G453="Nanquan Grupo C",5,IF(Atletas!G453="Taijiquan Grupo C",6,IF(Atletas!G453="Changquan Grupo B",7,IF(Atletas!G453="Nanquan Grupo B",8,IF(Atletas!G453="Taijiquan Grupo B",9,IF(Atletas!G453="Changquan Grupo A",10,IF(Atletas!G453="Nanquan Grupo A",11,IF(Atletas!G453="Taijiquan Grupo A",12,IF(Atletas!G453="Changquan Opcional",13,IF(Atletas!G453="Nanquan Opcional",14,IF(Atletas!G453="Taijiquan Opcional",15,IF(Atletas!G453="Changquan Adulto",16,IF(Atletas!G453="Nanquan Adulto",17,IF(Atletas!G453="Taijiquan Adulto",18,""))))))))))))))))))))</f>
        <v/>
      </c>
      <c r="AZ457" s="46" t="str">
        <f>IF(Atletas!H453="","",IF(Atletas!B453="Feminino",100,IF(Atletas!B453="Masculino",200,""))+(IF(Atletas!H453="Daoshu Mirim",19,IF(Atletas!H453="Jianshu Mirim",20,IF(Atletas!H453="Nandao Mirim",21,IF(Atletas!H453="Taijijian Mirim",22,IF(Atletas!H453="Daoshu Grupo C",23,IF(Atletas!H453="Jianshu Grupo C",24,IF(Atletas!H453="Nandao Grupo C",25,IF(Atletas!H453="Taijijian Grupo C",26,IF(Atletas!H453="Daoshu Grupo B",27,IF(Atletas!H453="Jianshu Grupo B",28,IF(Atletas!H453="Nandao Grupo B",29,IF(Atletas!H453="Taijijian Grupo B",30,IF(Atletas!H453="Daoshu Grupo A",31,IF(Atletas!H453="Jianshu Grupo A",32,IF(Atletas!H453="Nandao Grupo A",33,IF(Atletas!H453="Taijijian Grupo A",34,IF(Atletas!H453="Daoshu Opcional",35,IF(Atletas!H453="Jianshu Opcional",36,IF(Atletas!H453="Nandao Opcional",37,IF(Atletas!H453="Taijijian Opcional",38,IF(Atletas!H453="Daoshu Adulto",39,IF(Atletas!H453="Jianshu Adulto",40,IF(Atletas!H453="Nandao Adulto",41,IF(Atletas!H453="Taijijian Adulto",42,""))))))))))))))))))))))))))</f>
        <v/>
      </c>
      <c r="BA457" s="46" t="str">
        <f>IF(Atletas!I453="","",IF(Atletas!B453="Feminino",100,IF(Atletas!B453="Masculino",200,""))+(IF(Atletas!I453="Gunshu Mirim",43,IF(Atletas!I453="Qiangshu Mirim",44,IF(Atletas!I453="Nangun Mirim",45,IF(Atletas!I453="Gunshu Grupo C",46,IF(Atletas!I453="Qiangshu Grupo C",47,IF(Atletas!I453="Nangun Grupo C",48,IF(Atletas!I453="Gunshu Grupo B",49,IF(Atletas!I453="Qiangshu Grupo B",50,IF(Atletas!I453="Nangun Grupo B",51,IF(Atletas!I453="Gunshu Grupo A",52,IF(Atletas!I453="Qiangshu Grupo A",53,IF(Atletas!I453="Nangun Grupo A",54,IF(Atletas!I453="Gunshu Opcional",55,IF(Atletas!I453="Qiangshu Opcional",56,IF(Atletas!I453="Nangun Opcional",57,IF(Atletas!I453="Gunshu Adulto",58,IF(Atletas!I453="Qiangshu Adulto",59,IF(Atletas!I453="Nangun Adulto",60,""))))))))))))))))))))</f>
        <v/>
      </c>
      <c r="BF457" s="52" t="str">
        <f>IF(Atletas!J453="","",IF(Atletas!B453="Feminino",100,IF(Atletas!B453="Masculino",200,""))+(IF(Atletas!J453="Equipe 1 Grupo B",1,IF(Atletas!J453="Equipe 2 Grupo B",2,IF(Atletas!J453="Equipe 1 Grupo A",3,IF(Atletas!J453="Equipe 2 Grupo A",4,IF(Atletas!J453="Equipe 1 Adulto",5,IF(Atletas!J453="Equipe 2 Adulto",6,""))))))))</f>
        <v/>
      </c>
      <c r="BK457" s="52" t="str">
        <f>IF(Atletas!K453="","",IF(Atletas!W453&lt;&gt;"",10000,0)+(IF(Atletas!B453="Feminino",1000,IF(Atletas!B453="Masculino",2000,""))+IF(Atletas!K453="Choylayfut A",1,IF(Atletas!K453="Hunggar A",2,IF(Atletas!K453="Wuzuquan A",3,IF(Atletas!K453="Wingchun A",4,IF(Atletas!K453="Outra Mão de Sul A",5,IF(Atletas!K453="Choylayfut B",6,IF(Atletas!K453="Hunggar B",7,IF(Atletas!K453="Wuzuquan B",8,IF(Atletas!K453="Wingchun B",9,IF(Atletas!K453="Outra Mão de Sul B",10,IF(Atletas!K453="Choylayfut C",11,IF(Atletas!K453="Hunggar C",12,IF(Atletas!K453="Wuzuquan C",13,IF(Atletas!K453="Wingchun C",14,IF(Atletas!K453="Outra Mão de Sul C",15,IF(Atletas!K453="Choylayfut D",16,IF(Atletas!K453="Hunggar D",17,IF(Atletas!K453="Wuzuquan D",18,IF(Atletas!K453="Wingchun D",19,IF(Atletas!K453="Outra Mão de Sul D",20,IF(Atletas!K453="Choylayfut E",21,IF(Atletas!K453="Hunggar E",22,IF(Atletas!K453="Wuzuquan E",23,IF(Atletas!K453="Wingchun E",24,IF(Atletas!K453="Outra Mão de Sul E",25,IF(Atletas!K453="Choylayfut F",26,IF(Atletas!K453="Hunggar F",27,IF(Atletas!K453="Wuzuquan F",28,IF(Atletas!K453="Wingchun F",29,IF(Atletas!K453="Outra Mão de Sul F",30,""))))))))))))))))))))))))))))))))</f>
        <v/>
      </c>
      <c r="BL457" s="52" t="str">
        <f>IF(Atletas!L453="","",IF(Atletas!W453&lt;&gt;"",10000,0)+(IF(Atletas!B453="Feminino",1000,IF(Atletas!B453="Masculino",2000,""))+(IF(Atletas!L453="Chaquan A",101,IF(Atletas!L453="Emeiquan A",102,IF(Atletas!L453="Fanziquan A",103,IF(Atletas!L453="Huaquan A",104,IF(Atletas!L453="Hongquan A",105,IF(Atletas!L453="Paochui A",106,IF(Atletas!L453="Piguaquan A",107,IF(Atletas!L453="Shaolinquan A",108,IF(Atletas!L453="Tanglangquan A",109,IF(Atletas!L453="Yinzhaophai A",110,IF(Atletas!L453="Tongbeiquan A",111,IF(Atletas!L453="Wudangquan A",112,IF(Atletas!L453="Outros Estilos A",113,IF(Atletas!L453="Chaquan B",114,IF(Atletas!L453="Emeiquan B",115,IF(Atletas!L453="Fanziquan B",116,IF(Atletas!L453="Huaquan B",117,IF(Atletas!L453="Hongquan B",118,IF(Atletas!L453="Paochui B",119,IF(Atletas!L453="Piguaquan B",120,IF(Atletas!L453="Shaolinquan B",121,IF(Atletas!L453="Tanglangquan B",122,IF(Atletas!L453="Yinzhaophai B",123,IF(Atletas!L453="Tongbeiquan B",124,IF(Atletas!L453="Wudangquan B",125,IF(Atletas!L453="Outros Estilos B",126,IF(Atletas!L453="Chaquan C",127,IF(Atletas!L453="Emeiquan C",128,IF(Atletas!L453="Fanziquan C",129,IF(Atletas!L453="Huaquan C",130,IF(Atletas!L453="Hongquan C",131,IF(Atletas!L453="Paochui C",132,IF(Atletas!L453="Piguaquan C",133,IF(Atletas!L453="Shaolinquan C",134,IF(Atletas!L453="Tanglangquan C",135,IF(Atletas!L453="Yinzhaophai C",136,IF(Atletas!L453="Tongbeiquan C",137,IF(Atletas!L453="Wudangquan C",138,IF(Atletas!L453="Outros Estilos C",139,0))))))))))))))))))))))))))))))))))))))))))</f>
        <v/>
      </c>
      <c r="BM457" s="52" t="str">
        <f>IF(Atletas!L453="","",IF(Atletas!W453&lt;&gt;"",10000,0)+(IF(Atletas!B453="Feminino",1000,IF(Atletas!B453="Masculino",2000,""))+(IF(Atletas!L453="Chaquan D",140,IF(Atletas!L453="Emeiquan D",141,IF(Atletas!L453="Fanziquan D",142,IF(Atletas!L453="Huaquan D",143,IF(Atletas!L453="Hongquan D",144,IF(Atletas!L453="Paochui D",145,IF(Atletas!L453="Piguaquan D",146,IF(Atletas!L453="Shaolinquan D",147,IF(Atletas!L453="Tanglangquan D",148,IF(Atletas!L453="Yinzhaophai D",149,IF(Atletas!L453="Tongbeiquan D",150,IF(Atletas!L453="Wudangquan D",151,IF(Atletas!L453="Outros Estilos D",152,IF(Atletas!L453="Chaquan E",153,IF(Atletas!L453="Emeiquan E",154,IF(Atletas!L453="Fanziquan E",155,IF(Atletas!L453="Huaquan E",156,IF(Atletas!L453="Hongquan E",157,IF(Atletas!L453="Paochui E",158,IF(Atletas!L453="Piguaquan E",159,IF(Atletas!L453="Shaolinquan E",160,IF(Atletas!L453="Tanglangquan E",161,IF(Atletas!L453="Yinzhaophai E",162,IF(Atletas!L453="Tongbeiquan E",163,IF(Atletas!L453="Wudangquan E",164,IF(Atletas!L453="Outros Estilos E",165,IF(Atletas!L453="Chaquan F",166,IF(Atletas!L453="Emeiquan F",167,IF(Atletas!L453="Fanziquan F",168,IF(Atletas!L453="Huaquan F",169,IF(Atletas!L453="Hongquan F",170,IF(Atletas!L453="Paochui F",171,IF(Atletas!L453="Piguaquan F",172,IF(Atletas!L453="Shaolinquan F",173,IF(Atletas!L453="Tanglangquan F",174,IF(Atletas!L453="Yinzhaophai F",175,IF(Atletas!L453="Tongbeiquan F",176,IF(Atletas!L453="Wudangquan F",177,IF(Atletas!L453="Outros Estilos F",178,0))))))))))))))))))))))))))))))))))))))))))</f>
        <v/>
      </c>
      <c r="BN457" s="52" t="str">
        <f>IF(Atletas!M453="","",IF(Atletas!W453&lt;&gt;"",10000,0)+(IF(Atletas!B453="Feminino",1000,IF(Atletas!B453="Masculino",2000,""))+(IF(Atletas!M453="Ditangquan A",201,IF(Atletas!M453="Houquan A",202,IF(Atletas!M453="Zuiquan A",203,IF(Atletas!M453="Ditangquan B",204,IF(Atletas!M453="Houquan B",205,IF(Atletas!M453="Zuiquan B",206,IF(Atletas!M453="Ditangquan C",207,IF(Atletas!M453="Houquan C",208,IF(Atletas!M453="Zuiquan C",209,IF(Atletas!M453="Ditangquan D",210,IF(Atletas!M453="Houquan D",211,IF(Atletas!M453="Zuiquan D",212,IF(Atletas!M453="Ditangquan E",213,IF(Atletas!M453="Houquan E",214,IF(Atletas!M453="Zuiquan E",215,IF(Atletas!M453="Ditangquan F",216,IF(Atletas!M453="Houquan F",217,IF(Atletas!M453="Zuiquan F",218,"")))))))))))))))))))))</f>
        <v/>
      </c>
      <c r="BO457" s="52" t="str">
        <f>IF(Atletas!N453="","",IF(Atletas!W453&lt;&gt;"",10000,0)+IF(Atletas!B453="Feminino",1000,IF(Atletas!B453="Masculino",2000,""))+IF(Atletas!N453="Yang A",301,IF(Atletas!N453="Chen A",30,IF(Atletas!N453="Sun A",303,IF(Atletas!N453="Wu A",304,IF(Atletas!N453="Wu-Hao A",305,IF(Atletas!N453="Outro Taijiquan A",306,IF(Atletas!N453="Yang B",307,IF(Atletas!N453="Chen B",308,IF(Atletas!N453="Sun B",309,IF(Atletas!N453="Wu B",310,IF(Atletas!N453="Wu-Hao B",311,IF(Atletas!N453="Outro Taijiquan B",312,IF(Atletas!N453="Yang C",313,IF(Atletas!N453="Chen C",314,IF(Atletas!N453="Sun C",315,IF(Atletas!N453="Wu C",316,IF(Atletas!N453="Wu-Hao C",317,IF(Atletas!N453="Outro Taijiquan C",318,IF(Atletas!N453="Yang D",319,IF(Atletas!N453="Chen D",320,IF(Atletas!N453="Sun D",321,IF(Atletas!N453="Wu D",322,IF(Atletas!N453="Wu-Hao D",323,IF(Atletas!N453="Outro Taijiquan D",324,IF(Atletas!N453="Yang E",325,IF(Atletas!N453="Chen E",326,IF(Atletas!N453="Sun E",327,IF(Atletas!N453="Wu E",328,IF(Atletas!N453="Wu-Hao E",329,IF(Atletas!N453="Outro Taijiquan E",330,IF(Atletas!N453="Yang F",331,IF(Atletas!N453="Chen F",332,IF(Atletas!N453="Sun F",333,IF(Atletas!N453="Wu F",334,IF(Atletas!N453="Wu-Hao F",335,IF(Atletas!N453="Outro Taijiquan F",336,"")))))))))))))))))))))))))))))))))))))</f>
        <v/>
      </c>
      <c r="BP457" s="52" t="str">
        <f>IF(Atletas!O453="","",IF(Atletas!W453&lt;&gt;"",10000,0)+IF(Atletas!B453="Feminino",1000,IF(Atletas!B453="Masculino",2000,""))+IF(OR(Atletas!O453="Yang 26 A",Atletas!O453="Yang 40 A"),401,IF(OR(Atletas!O453="Chen 25 A",Atletas!O453="Chen 36 A",Atletas!O453="Chen 56 A"),402,IF(Atletas!O453="Sun 73 A",403,IF(Atletas!O453="Wu 45 A",404,IF(Atletas!O453="Wu-Hao 46 A",405,IF(OR(Atletas!O453="Taijiquan 16 A",Atletas!O453="Taijiquan 24 A",Atletas!O453="Taijiquan 32 A",Atletas!O453="Taijiquan 42 A"),406,IF(OR(Atletas!O453="Yang 26 B",Atletas!O453="Yang 40 B"),407,IF(OR(Atletas!O453="Chen 25 B",Atletas!O453="Chen 36 B",Atletas!O453="Chen 56 B"),408,IF(Atletas!O453="Sun 73 B",409,IF(Atletas!O453="Wu 45 B",410,IF(Atletas!O453="Wu-Hao 46 B",411,IF(OR(Atletas!O453="Taijiquan 16 B",Atletas!O453="Taijiquan 24 B",Atletas!O453="Taijiquan 32 B",Atletas!O453="Taijiquan 42 B"),412,IF(OR(Atletas!O453="Yang 26 C",Atletas!O453="Yang 40 C"),413,IF(OR(Atletas!O453="Chen 25 C",Atletas!O453="Chen 36 C",Atletas!O453="Chen 56 C"),414,IF(Atletas!O453="Sun 73 C",415,IF(Atletas!O453="Wu 45 C",416,IF(Atletas!O453="Wu-Hao 46 C",417,IF(OR(Atletas!O453="Taijiquan 16 C",Atletas!O453="Taijiquan 24 C",Atletas!O453="Taijiquan 32 C",Atletas!O453="Taijiquan 42 C"),418,0)))))))))))))))))))</f>
        <v/>
      </c>
      <c r="BQ457" s="52" t="str">
        <f>IF(Atletas!O453="","",IF(Atletas!W453&lt;&gt;"",10000,0)+IF(Atletas!B453="Feminino",1000,IF(Atletas!B453="Masculino",2000,""))+IF(OR(Atletas!O453="Yang 26 D",Atletas!O453="Yang 40 D"),419,IF(OR(Atletas!O453="Chen 25 D",Atletas!O453="Chen 36 D",Atletas!O453="Chen 56 D"),420,IF(Atletas!O453="Sun 73 D",421,IF(Atletas!O453="Wu 45 D",422,IF(Atletas!O453="Wu-Hao 46 D",423,IF(OR(Atletas!O453="Taijiquan 16 D",Atletas!O453="Taijiquan 24 D",Atletas!O453="Taijiquan 32 D",Atletas!O453="Taijiquan 42 D"),424,IF(OR(Atletas!O453="Yang 26 E",Atletas!O453="Yang 40 E"),425,IF(OR(Atletas!O453="Chen 25 E",Atletas!O453="Chen 36 E",Atletas!O453="Chen 56 E"),426,IF(Atletas!O453="Sun 73 E",427,IF(Atletas!O453="Wu 45 E",428,IF(Atletas!O453="Wu-Hao 46 E",429,IF(OR(Atletas!O453="Taijiquan 16 E",Atletas!O453="Taijiquan 24 E",Atletas!O453="Taijiquan 32 E",Atletas!O453="Taijiquan 42 E"),430,IF(OR(Atletas!O453="Yang 26 F",Atletas!O453="Yang 40 F"),431,IF(OR(Atletas!O453="Chen 25 F",Atletas!O453="Chen 36 F",Atletas!O453="Chen 56 F"),432,IF(Atletas!O453="Sun 73 F",433,IF(Atletas!O453="Wu 45 F",434,IF(Atletas!O453="Wu-Hao 46 F",435,IF(OR(Atletas!O453="Taijiquan 16 F",Atletas!O453="Taijiquan 24 F",Atletas!O453="Taijiquan 32 F",Atletas!O453="Taijiquan 42 F"),436,0)))))))))))))))))))</f>
        <v/>
      </c>
      <c r="BR457" s="52" t="str">
        <f>IF(Atletas!P453="","",IF(Atletas!W453&lt;&gt;"",10000,0)+IF(Atletas!B453="Feminino",1000,IF(Atletas!B453="Masculino",2000,""))+IF(Atletas!P453="Xingyiquan A",501,IF(Atletas!P453="Baguazhang A",502,IF(Atletas!P453="Outro Estilo Interno A",503,IF(Atletas!P453="Xingyiquan B",504,IF(Atletas!P453="Baguazhang B",505,IF(Atletas!P453="Outro Estilo Interno B",506,IF(Atletas!P453="Xingyiquan C",507,IF(Atletas!P453="Baguazhang C",508,IF(Atletas!P453="Outro Estilo Interno C",509,IF(Atletas!P453="Xingyiquan D",510,IF(Atletas!P453="Baguazhang D",511,IF(Atletas!P453="Outro Estilo Interno D",512,IF(Atletas!P453="Xingyiquan E",513,IF(Atletas!P453="Baguazhang E",514,IF(Atletas!P453="Outro Estilo Interno E",515,IF(Atletas!P453="Xingyiquan F",516,IF(Atletas!P453="Baguazhang F",517,IF(Atletas!P453="Outro Estilo Interno F",518, "")))))))))))))))))))</f>
        <v/>
      </c>
      <c r="BS457" s="52" t="str">
        <f>IF(Atletas!Q453="","",IF(Atletas!W453&lt;&gt;"",10000,0)+IF(Atletas!B453="Feminino",1000,IF(Atletas!B453="Masculino",2000,""))+IF(Atletas!Q453="Dao A",601,IF(Atletas!Q453="Jian A",602,IF(Atletas!Q453="Bishou A",603,IF(Atletas!Q453="Shan A",604,IF(Atletas!Q453="Outra Arma Curta A",605,IF(Atletas!Q453="Dao B",606,IF(Atletas!Q453="Jian B",607,IF(Atletas!Q453="Bishou B",608,IF(Atletas!Q453="Shan B",609,IF(Atletas!Q453="Outra Arma Curta B",610,IF(Atletas!Q453="Dao C",611,IF(Atletas!Q453="Jian C",612,IF(Atletas!Q453="Bishou C",613,IF(Atletas!Q453="Shan C",614,IF(Atletas!Q453="Outra Arma Curta C",615,IF(Atletas!Q453="Dao D",616,IF(Atletas!Q453="Jian D",617,IF(Atletas!Q453="Bishou D",618,IF(Atletas!Q453="Shan D",619,IF(Atletas!Q453="Outra Arma Curta D",620,IF(Atletas!Q453="Dao E",621,IF(Atletas!Q453="Jian E",622,IF(Atletas!Q453="Bishou E",623,IF(Atletas!Q453="Shan E",624,IF(Atletas!Q453="Outra Arma Curta E",625,IF(Atletas!Q453="Dao F",626,IF(Atletas!Q453="Jian F",627,IF(Atletas!Q453="Bishou F",628,IF(Atletas!Q453="Shan F",629,IF(Atletas!Q453="Outra Arma Curta F",630, "")))))))))))))))))))))))))))))))</f>
        <v/>
      </c>
      <c r="BT457" s="52" t="str">
        <f>IF(Atletas!R453="","",IF(Atletas!W453&lt;&gt;"",10000,0)+IF(Atletas!B453="Feminino",1000,IF(Atletas!B453="Masculino",2000,""))+IF(Atletas!R453="Gun A",701,IF(Atletas!R453="Qiang A",702,IF(Atletas!R453="Pudao / Guandao A",703,IF(Atletas!R453="Outra Arma Longa A",704,IF(Atletas!R453="Gun B",705,IF(Atletas!R453="Qiang B",706,IF(Atletas!R453="Pudao / Guandao B",707,IF(Atletas!R453="Outra Arma Longa B",708,IF(Atletas!R453="Gun C",709,IF(Atletas!R453="Qiang C",710,IF(Atletas!R453="Pudao / Guandao C",711,IF(Atletas!R453="Outra Arma Longa C",712,IF(Atletas!R453="Gun D",713,IF(Atletas!R453="Qiang D",714,IF(Atletas!R453="Pudao / Guandao D",715,IF(Atletas!R453="Outra Arma Longa D",716,IF(Atletas!R453="Gun E",717,IF(Atletas!R453="Qiang E",718,IF(Atletas!R453="Pudao / Guandao E",719,IF(Atletas!R453="Outra Arma Longa E",720,IF(Atletas!R453="Gun F",721,IF(Atletas!R453="Qiang F",722,IF(Atletas!R453="Pudao / Guandao F",723,IF(Atletas!R453="Outra Arma Longa F",724,"")))))))))))))))))))))))))</f>
        <v/>
      </c>
      <c r="BU457" s="52" t="str">
        <f>IF(Atletas!S453="","",IF(Atletas!W453&lt;&gt;"",10000,0)+IF(Atletas!B453="Feminino",1000,IF(Atletas!B453="Masculino",2000,""))+IF(Atletas!S453="Arma Dupla A",801,IF(Atletas!S453="Arma Maleável A",802,IF(Atletas!S453="Arma Dupla B",803,IF(Atletas!S453="Arma Maleável B",804,IF(Atletas!S453="Arma Dupla C",805,IF(Atletas!S453="Arma Maleável C",806,IF(Atletas!S453="Arma Dupla D",807,IF(Atletas!S453="Arma Maleável D",808,IF(Atletas!S453="Arma Dupla E",809,IF(Atletas!S453="Arma Maleável E",810,IF(Atletas!S453="Arma Dupla F",811,IF(Atletas!S453="Arma Maleável F",812, "")))))))))))))</f>
        <v/>
      </c>
      <c r="BV457" s="52" t="str">
        <f>IF(Atletas!T453="","",IF(Atletas!W453&lt;&gt;"",10000,0)+IF(Atletas!B453="Feminino",1000,IF(Atletas!B453="Masculino",2000,""))+IF(Atletas!T453="Taijijian Yang A",901,IF(Atletas!T453="Taijijian Chen A",902,IF(Atletas!T453="Taijijian Sun A",903,IF(Atletas!T453="Taijijian Wu A",904,IF(Atletas!T453="Taijijian Wu-Hao A",905,IF(Atletas!T453="Taijijian 32 A",906,IF(Atletas!T453="Taijijian 42 A",907,IF(Atletas!T453="Taijijian Yang B",908,IF(Atletas!T453="Taijijian Chen B",909,IF(Atletas!T453="Taijijian Sun B",910,IF(Atletas!T453="Taijijian Wu B",911,IF(Atletas!T453="Taijijian Wu-Hao B",912,IF(Atletas!T453="Taijijian 32 B",913,IF(Atletas!T453="Taijijian 42 B",914,IF(Atletas!T453="Taijijian Yang C",915,IF(Atletas!T453="Taijijian Chen C",916,IF(Atletas!T453="Taijijian Sun C",917,IF(Atletas!T453="Taijijian Wu C",918,IF(Atletas!T453="Taijijian Wu-Hao C",919,IF(Atletas!T453="Taijijian 32 C",920,IF(Atletas!T453="Taijijian 42 C",921,IF(Atletas!T453="Taijijian Yang D",922,IF(Atletas!T453="Taijijian Chen D",923,IF(Atletas!T453="Taijijian Sun D",924,IF(Atletas!T453="Taijijian Wu D",925,IF(Atletas!T453="Taijijian Wu-Hao D",926,IF(Atletas!T453="Taijijian 32 D",927,IF(Atletas!T453="Taijijian 42 D",928,IF(Atletas!T453="Taijijian Yang E",929,IF(Atletas!T453="Taijijian Chen E",930,IF(Atletas!T453="Taijijian Sun E",931,IF(Atletas!T453="Taijijian Wu E",932,IF(Atletas!T453="Taijijian Wu-Hao E",933,IF(Atletas!T453="Taijijian 32 E",934,IF(Atletas!T453="Taijijian 42 E",935,IF(Atletas!T453="Taijijian Yang F",936,IF(Atletas!T453="Taijijian Chen F",937,IF(Atletas!T453="Taijijian Sun F",938,IF(Atletas!T453="Taijijian Wu F",939,IF(Atletas!T453="Taijijian Wu-Hao F",940,IF(Atletas!T453="Taijijian 32 F",941,IF(Atletas!T453="Taijijian 42 F",942,"")))))))))))))))))))))))))))))))))))))))))))</f>
        <v/>
      </c>
      <c r="BW457" s="52" t="str">
        <f>IF(Atletas!U453="","",IF(Atletas!W453&lt;&gt;"",10000,0)+IF(Atletas!B453="Feminino",1000,IF(Atletas!B453="Masculino",2000,""))+IF(Atletas!T453="Taijijian 42 F",942,IF(Atletas!U453="Taijidao A",943,IF(Atletas!U453="Taijishan A",944,IF(Atletas!U453="Taijiqiang A",945,IF(Atletas!U453="Taijidao B",946,IF(Atletas!U453="Taijishan B",947,IF(Atletas!U453="Taijiqiang B",948,IF(Atletas!U453="Taijidao C",949,IF(Atletas!U453="Taijishan C",950,IF(Atletas!U453="Taijiqiang C",951,IF(Atletas!U453="Taijidao D",952,IF(Atletas!U453="Taijishan D",953,IF(Atletas!U453="Taijiqiang D",954,IF(Atletas!U453="Taijidao E",955,IF(Atletas!U453="Taijishan E",956,IF(Atletas!U453="Taijiqiang E",957,IF(Atletas!U453="Taijidao F",958,IF(Atletas!U453="Taijishan F",959,IF(Atletas!U453="Taijiqiang F",960))))))))))))))))))))</f>
        <v/>
      </c>
      <c r="CF457" s="52" t="str">
        <f xml:space="preserve"> IF(Atletas!V453="","",IF(Atletas!V453="Duilian de Mãos AB - Equipe 1",1,IF(Atletas!V453="Duilian de Mãos AB - Equipe 2",2,IF(Atletas!V453="Duilian de Armas AB - Equipe 1",3,IF(Atletas!V453="Duilian de Armas AB - Equipe 2",4,IF(Atletas!V453="Duilian de Tuishou - Equipe 1",5,IF(Atletas!V453="Duilian de Tuishou - Equipe 2",6,IF(Atletas!V453="Grupo Externo AB - Equipe 1",7,IF(Atletas!V453="Grupo Externo AB - Equipe 2",8,IF(Atletas!V453="Grupo Interno AB - Equipe 1",9,IF(Atletas!V453="Grupo Interno AB - Equipe 2",10,IF(Atletas!V453="Duilian de Mãos CD - Equipe 1",11,IF(Atletas!V453="Duilian de Mãos CD - Equipe 2",12,IF(Atletas!V453="Duilian de Armas CD - Equipe 1",13,IF(Atletas!V453="Duilian de Armas CD - Equipe 2",14,IF(Atletas!V453="Duilian de Tuishou - Equipe 1",15,IF(Atletas!V453="Duilian de Tuishou - Equipe 2",16,IF(Atletas!V453="Grupo Externo CDEF - Equipe 1",17,IF(Atletas!V453="Grupo Externo CDEF - Equipe 2",18,IF(Atletas!V453="Grupo Interno CDEF - Equipe 1",19,IF(Atletas!V453="Grupo Interno CDEF - Equipe 2",20,IF(Atletas!V453="Duilian de Mãos EF - Equipe 1",21,IF(Atletas!V453="Duilian de Mãos EF - Equipe 2",22,IF(Atletas!V453="Duilian de Armas EF - Equipe 1",23,IF(Atletas!V453="Duilian de Armas EF - Equipe 2",24,IF(Atletas!V453="Duilian de Tuishou - Equipe 1",25,IF(Atletas!V453="Duilian de Tuishou - Equipe 2",26,"")))))))))))))))))))))))))))</f>
        <v/>
      </c>
    </row>
    <row r="458" spans="36:84">
      <c r="AJ458" s="46" t="str">
        <f>IF(Atletas!D454="","",IF(Atletas!B454="Feminino",100,IF(Atletas!B454="Masculino",200,""))+(IF(Atletas!D454="Infantil 39kg",1,IF(Atletas!D454="Infantil 42kg",2,IF(Atletas!D454="Infantil 45kg",3,IF(Atletas!D454="Infantil 48kg",4,IF(Atletas!D454="Infantil 52kg",5,IF(Atletas!D454="Infantil 56kg",6,IF(Atletas!D454="Infantil 60kg",7,IF(Atletas!D454="Juvenil 48kg",8,IF(Atletas!D454="Juvenil 52kg",9,IF(Atletas!D454="Juvenil 56kg",10,IF(Atletas!D454="Juvenil 60kg",11,IF(Atletas!D454="Juvenil 65kg",12,IF(Atletas!D454="Juvenil 70kg",13,IF(Atletas!D454="Juvenil 75kg",14,IF(Atletas!D454="Juvenil 80kg",15,IF(Atletas!D454="Adulto 48kg",16,IF(Atletas!D454="Adulto 52kg",17,IF(Atletas!D454="Adulto 56kg",18,IF(Atletas!D454="Adulto 60kg",19,IF(Atletas!D454="Adulto 65kg",20,IF(Atletas!D454="Adulto 70kg",21,IF(Atletas!D454="Adulto 75kg",22,IF(Atletas!D454="Adulto 80kg",23,IF(Atletas!D454="Adulto 85kg",24,IF(Atletas!D454="Adulto 90kg",25,IF(Atletas!D454="Adulto +90kg",26,""))))))))))))))))))))))))))))</f>
        <v/>
      </c>
      <c r="AO458" s="10" t="str">
        <f>IF(Atletas!E454="","",IF(Atletas!B454="Feminino",100,IF(Atletas!B454="Masculino",200,""))+(IF(Atletas!E454="Juvenil 44kg",1,IF(Atletas!E454="Juvenil 48kg",2,IF(Atletas!E454="Juvenil 52kg",3,IF(Atletas!E454="Juvenil 56kg",4,IF(Atletas!E454="Juvenil 60kg",5,IF(Atletas!E454="Juvenil 65kg",6,IF(Atletas!E454="Juvenil 70kg",7,IF(Atletas!E454="Juvenil 75kg",8,IF(Atletas!E454="Juvenil 82kg",9,IF(Atletas!E454="Juvenil 90kg",10,IF(Atletas!E454="Juvenil 100kg",11,IF(Atletas!E454="Adulto 48kg",12,IF(Atletas!E454="Adulto 52kg",13,IF(Atletas!E454="Adulto 56kg",14,IF(Atletas!E454="Adulto 60kg",15,IF(Atletas!E454="Adulto 65kg",16,IF(Atletas!E454="Adulto 70kg",17,IF(Atletas!E454="Adulto 75kg",18,IF(Atletas!E454="Adulto 82kg",19,IF(Atletas!E454="Adulto 90kg",20,IF(Atletas!E454="Adulto 100kg",21,IF(Atletas!E454="Adulto +100kg",22,""))))))))))))))))))))))))</f>
        <v/>
      </c>
      <c r="AT458" s="10" t="str">
        <f>IF(Atletas!F454="","",IF(Atletas!B454="Feminino",100,IF(Atletas!B454="Masculino",200,""))+(IF(Atletas!F454="Adulto 48kg",1,IF(Atletas!F454="Adulto 56kg",2,IF(Atletas!F454="Adulto 65kg",3,IF(Atletas!F454="Adulto 75kg",4,IF(Atletas!F454="Adulto +75kg",5,IF(Atletas!F454="Adulto 52kg",6,IF(Atletas!F454="Adulto 60kg",7,IF(Atletas!F454="Adulto 70kg",8,IF(Atletas!F454="Adulto 80kg",9,IF(Atletas!F454="Adulto 90kg",10,IF(Atletas!F454="Adulto +90kg",11,"")))))))))))))</f>
        <v/>
      </c>
      <c r="AY458" s="46" t="str">
        <f>IF(Atletas!G454="","",IF(Atletas!B454="Feminino",100,IF(Atletas!B454="Masculino",200,""))+(IF(Atletas!G454="Changquan Mirim",1,IF(Atletas!G454="Nanquan Mirim",2,IF(Atletas!G454="Taijiquan Mirim",3,IF(Atletas!G454="Changquan Grupo C",4,IF(Atletas!G454="Nanquan Grupo C",5,IF(Atletas!G454="Taijiquan Grupo C",6,IF(Atletas!G454="Changquan Grupo B",7,IF(Atletas!G454="Nanquan Grupo B",8,IF(Atletas!G454="Taijiquan Grupo B",9,IF(Atletas!G454="Changquan Grupo A",10,IF(Atletas!G454="Nanquan Grupo A",11,IF(Atletas!G454="Taijiquan Grupo A",12,IF(Atletas!G454="Changquan Opcional",13,IF(Atletas!G454="Nanquan Opcional",14,IF(Atletas!G454="Taijiquan Opcional",15,IF(Atletas!G454="Changquan Adulto",16,IF(Atletas!G454="Nanquan Adulto",17,IF(Atletas!G454="Taijiquan Adulto",18,""))))))))))))))))))))</f>
        <v/>
      </c>
      <c r="AZ458" s="46" t="str">
        <f>IF(Atletas!H454="","",IF(Atletas!B454="Feminino",100,IF(Atletas!B454="Masculino",200,""))+(IF(Atletas!H454="Daoshu Mirim",19,IF(Atletas!H454="Jianshu Mirim",20,IF(Atletas!H454="Nandao Mirim",21,IF(Atletas!H454="Taijijian Mirim",22,IF(Atletas!H454="Daoshu Grupo C",23,IF(Atletas!H454="Jianshu Grupo C",24,IF(Atletas!H454="Nandao Grupo C",25,IF(Atletas!H454="Taijijian Grupo C",26,IF(Atletas!H454="Daoshu Grupo B",27,IF(Atletas!H454="Jianshu Grupo B",28,IF(Atletas!H454="Nandao Grupo B",29,IF(Atletas!H454="Taijijian Grupo B",30,IF(Atletas!H454="Daoshu Grupo A",31,IF(Atletas!H454="Jianshu Grupo A",32,IF(Atletas!H454="Nandao Grupo A",33,IF(Atletas!H454="Taijijian Grupo A",34,IF(Atletas!H454="Daoshu Opcional",35,IF(Atletas!H454="Jianshu Opcional",36,IF(Atletas!H454="Nandao Opcional",37,IF(Atletas!H454="Taijijian Opcional",38,IF(Atletas!H454="Daoshu Adulto",39,IF(Atletas!H454="Jianshu Adulto",40,IF(Atletas!H454="Nandao Adulto",41,IF(Atletas!H454="Taijijian Adulto",42,""))))))))))))))))))))))))))</f>
        <v/>
      </c>
      <c r="BA458" s="46" t="str">
        <f>IF(Atletas!I454="","",IF(Atletas!B454="Feminino",100,IF(Atletas!B454="Masculino",200,""))+(IF(Atletas!I454="Gunshu Mirim",43,IF(Atletas!I454="Qiangshu Mirim",44,IF(Atletas!I454="Nangun Mirim",45,IF(Atletas!I454="Gunshu Grupo C",46,IF(Atletas!I454="Qiangshu Grupo C",47,IF(Atletas!I454="Nangun Grupo C",48,IF(Atletas!I454="Gunshu Grupo B",49,IF(Atletas!I454="Qiangshu Grupo B",50,IF(Atletas!I454="Nangun Grupo B",51,IF(Atletas!I454="Gunshu Grupo A",52,IF(Atletas!I454="Qiangshu Grupo A",53,IF(Atletas!I454="Nangun Grupo A",54,IF(Atletas!I454="Gunshu Opcional",55,IF(Atletas!I454="Qiangshu Opcional",56,IF(Atletas!I454="Nangun Opcional",57,IF(Atletas!I454="Gunshu Adulto",58,IF(Atletas!I454="Qiangshu Adulto",59,IF(Atletas!I454="Nangun Adulto",60,""))))))))))))))))))))</f>
        <v/>
      </c>
      <c r="BF458" s="52" t="str">
        <f>IF(Atletas!J454="","",IF(Atletas!B454="Feminino",100,IF(Atletas!B454="Masculino",200,""))+(IF(Atletas!J454="Equipe 1 Grupo B",1,IF(Atletas!J454="Equipe 2 Grupo B",2,IF(Atletas!J454="Equipe 1 Grupo A",3,IF(Atletas!J454="Equipe 2 Grupo A",4,IF(Atletas!J454="Equipe 1 Adulto",5,IF(Atletas!J454="Equipe 2 Adulto",6,""))))))))</f>
        <v/>
      </c>
      <c r="BK458" s="52" t="str">
        <f>IF(Atletas!K454="","",IF(Atletas!W454&lt;&gt;"",10000,0)+(IF(Atletas!B454="Feminino",1000,IF(Atletas!B454="Masculino",2000,""))+IF(Atletas!K454="Choylayfut A",1,IF(Atletas!K454="Hunggar A",2,IF(Atletas!K454="Wuzuquan A",3,IF(Atletas!K454="Wingchun A",4,IF(Atletas!K454="Outra Mão de Sul A",5,IF(Atletas!K454="Choylayfut B",6,IF(Atletas!K454="Hunggar B",7,IF(Atletas!K454="Wuzuquan B",8,IF(Atletas!K454="Wingchun B",9,IF(Atletas!K454="Outra Mão de Sul B",10,IF(Atletas!K454="Choylayfut C",11,IF(Atletas!K454="Hunggar C",12,IF(Atletas!K454="Wuzuquan C",13,IF(Atletas!K454="Wingchun C",14,IF(Atletas!K454="Outra Mão de Sul C",15,IF(Atletas!K454="Choylayfut D",16,IF(Atletas!K454="Hunggar D",17,IF(Atletas!K454="Wuzuquan D",18,IF(Atletas!K454="Wingchun D",19,IF(Atletas!K454="Outra Mão de Sul D",20,IF(Atletas!K454="Choylayfut E",21,IF(Atletas!K454="Hunggar E",22,IF(Atletas!K454="Wuzuquan E",23,IF(Atletas!K454="Wingchun E",24,IF(Atletas!K454="Outra Mão de Sul E",25,IF(Atletas!K454="Choylayfut F",26,IF(Atletas!K454="Hunggar F",27,IF(Atletas!K454="Wuzuquan F",28,IF(Atletas!K454="Wingchun F",29,IF(Atletas!K454="Outra Mão de Sul F",30,""))))))))))))))))))))))))))))))))</f>
        <v/>
      </c>
      <c r="BL458" s="52" t="str">
        <f>IF(Atletas!L454="","",IF(Atletas!W454&lt;&gt;"",10000,0)+(IF(Atletas!B454="Feminino",1000,IF(Atletas!B454="Masculino",2000,""))+(IF(Atletas!L454="Chaquan A",101,IF(Atletas!L454="Emeiquan A",102,IF(Atletas!L454="Fanziquan A",103,IF(Atletas!L454="Huaquan A",104,IF(Atletas!L454="Hongquan A",105,IF(Atletas!L454="Paochui A",106,IF(Atletas!L454="Piguaquan A",107,IF(Atletas!L454="Shaolinquan A",108,IF(Atletas!L454="Tanglangquan A",109,IF(Atletas!L454="Yinzhaophai A",110,IF(Atletas!L454="Tongbeiquan A",111,IF(Atletas!L454="Wudangquan A",112,IF(Atletas!L454="Outros Estilos A",113,IF(Atletas!L454="Chaquan B",114,IF(Atletas!L454="Emeiquan B",115,IF(Atletas!L454="Fanziquan B",116,IF(Atletas!L454="Huaquan B",117,IF(Atletas!L454="Hongquan B",118,IF(Atletas!L454="Paochui B",119,IF(Atletas!L454="Piguaquan B",120,IF(Atletas!L454="Shaolinquan B",121,IF(Atletas!L454="Tanglangquan B",122,IF(Atletas!L454="Yinzhaophai B",123,IF(Atletas!L454="Tongbeiquan B",124,IF(Atletas!L454="Wudangquan B",125,IF(Atletas!L454="Outros Estilos B",126,IF(Atletas!L454="Chaquan C",127,IF(Atletas!L454="Emeiquan C",128,IF(Atletas!L454="Fanziquan C",129,IF(Atletas!L454="Huaquan C",130,IF(Atletas!L454="Hongquan C",131,IF(Atletas!L454="Paochui C",132,IF(Atletas!L454="Piguaquan C",133,IF(Atletas!L454="Shaolinquan C",134,IF(Atletas!L454="Tanglangquan C",135,IF(Atletas!L454="Yinzhaophai C",136,IF(Atletas!L454="Tongbeiquan C",137,IF(Atletas!L454="Wudangquan C",138,IF(Atletas!L454="Outros Estilos C",139,0))))))))))))))))))))))))))))))))))))))))))</f>
        <v/>
      </c>
      <c r="BM458" s="52" t="str">
        <f>IF(Atletas!L454="","",IF(Atletas!W454&lt;&gt;"",10000,0)+(IF(Atletas!B454="Feminino",1000,IF(Atletas!B454="Masculino",2000,""))+(IF(Atletas!L454="Chaquan D",140,IF(Atletas!L454="Emeiquan D",141,IF(Atletas!L454="Fanziquan D",142,IF(Atletas!L454="Huaquan D",143,IF(Atletas!L454="Hongquan D",144,IF(Atletas!L454="Paochui D",145,IF(Atletas!L454="Piguaquan D",146,IF(Atletas!L454="Shaolinquan D",147,IF(Atletas!L454="Tanglangquan D",148,IF(Atletas!L454="Yinzhaophai D",149,IF(Atletas!L454="Tongbeiquan D",150,IF(Atletas!L454="Wudangquan D",151,IF(Atletas!L454="Outros Estilos D",152,IF(Atletas!L454="Chaquan E",153,IF(Atletas!L454="Emeiquan E",154,IF(Atletas!L454="Fanziquan E",155,IF(Atletas!L454="Huaquan E",156,IF(Atletas!L454="Hongquan E",157,IF(Atletas!L454="Paochui E",158,IF(Atletas!L454="Piguaquan E",159,IF(Atletas!L454="Shaolinquan E",160,IF(Atletas!L454="Tanglangquan E",161,IF(Atletas!L454="Yinzhaophai E",162,IF(Atletas!L454="Tongbeiquan E",163,IF(Atletas!L454="Wudangquan E",164,IF(Atletas!L454="Outros Estilos E",165,IF(Atletas!L454="Chaquan F",166,IF(Atletas!L454="Emeiquan F",167,IF(Atletas!L454="Fanziquan F",168,IF(Atletas!L454="Huaquan F",169,IF(Atletas!L454="Hongquan F",170,IF(Atletas!L454="Paochui F",171,IF(Atletas!L454="Piguaquan F",172,IF(Atletas!L454="Shaolinquan F",173,IF(Atletas!L454="Tanglangquan F",174,IF(Atletas!L454="Yinzhaophai F",175,IF(Atletas!L454="Tongbeiquan F",176,IF(Atletas!L454="Wudangquan F",177,IF(Atletas!L454="Outros Estilos F",178,0))))))))))))))))))))))))))))))))))))))))))</f>
        <v/>
      </c>
      <c r="BN458" s="52" t="str">
        <f>IF(Atletas!M454="","",IF(Atletas!W454&lt;&gt;"",10000,0)+(IF(Atletas!B454="Feminino",1000,IF(Atletas!B454="Masculino",2000,""))+(IF(Atletas!M454="Ditangquan A",201,IF(Atletas!M454="Houquan A",202,IF(Atletas!M454="Zuiquan A",203,IF(Atletas!M454="Ditangquan B",204,IF(Atletas!M454="Houquan B",205,IF(Atletas!M454="Zuiquan B",206,IF(Atletas!M454="Ditangquan C",207,IF(Atletas!M454="Houquan C",208,IF(Atletas!M454="Zuiquan C",209,IF(Atletas!M454="Ditangquan D",210,IF(Atletas!M454="Houquan D",211,IF(Atletas!M454="Zuiquan D",212,IF(Atletas!M454="Ditangquan E",213,IF(Atletas!M454="Houquan E",214,IF(Atletas!M454="Zuiquan E",215,IF(Atletas!M454="Ditangquan F",216,IF(Atletas!M454="Houquan F",217,IF(Atletas!M454="Zuiquan F",218,"")))))))))))))))))))))</f>
        <v/>
      </c>
      <c r="BO458" s="52" t="str">
        <f>IF(Atletas!N454="","",IF(Atletas!W454&lt;&gt;"",10000,0)+IF(Atletas!B454="Feminino",1000,IF(Atletas!B454="Masculino",2000,""))+IF(Atletas!N454="Yang A",301,IF(Atletas!N454="Chen A",30,IF(Atletas!N454="Sun A",303,IF(Atletas!N454="Wu A",304,IF(Atletas!N454="Wu-Hao A",305,IF(Atletas!N454="Outro Taijiquan A",306,IF(Atletas!N454="Yang B",307,IF(Atletas!N454="Chen B",308,IF(Atletas!N454="Sun B",309,IF(Atletas!N454="Wu B",310,IF(Atletas!N454="Wu-Hao B",311,IF(Atletas!N454="Outro Taijiquan B",312,IF(Atletas!N454="Yang C",313,IF(Atletas!N454="Chen C",314,IF(Atletas!N454="Sun C",315,IF(Atletas!N454="Wu C",316,IF(Atletas!N454="Wu-Hao C",317,IF(Atletas!N454="Outro Taijiquan C",318,IF(Atletas!N454="Yang D",319,IF(Atletas!N454="Chen D",320,IF(Atletas!N454="Sun D",321,IF(Atletas!N454="Wu D",322,IF(Atletas!N454="Wu-Hao D",323,IF(Atletas!N454="Outro Taijiquan D",324,IF(Atletas!N454="Yang E",325,IF(Atletas!N454="Chen E",326,IF(Atletas!N454="Sun E",327,IF(Atletas!N454="Wu E",328,IF(Atletas!N454="Wu-Hao E",329,IF(Atletas!N454="Outro Taijiquan E",330,IF(Atletas!N454="Yang F",331,IF(Atletas!N454="Chen F",332,IF(Atletas!N454="Sun F",333,IF(Atletas!N454="Wu F",334,IF(Atletas!N454="Wu-Hao F",335,IF(Atletas!N454="Outro Taijiquan F",336,"")))))))))))))))))))))))))))))))))))))</f>
        <v/>
      </c>
      <c r="BP458" s="52" t="str">
        <f>IF(Atletas!O454="","",IF(Atletas!W454&lt;&gt;"",10000,0)+IF(Atletas!B454="Feminino",1000,IF(Atletas!B454="Masculino",2000,""))+IF(OR(Atletas!O454="Yang 26 A",Atletas!O454="Yang 40 A"),401,IF(OR(Atletas!O454="Chen 25 A",Atletas!O454="Chen 36 A",Atletas!O454="Chen 56 A"),402,IF(Atletas!O454="Sun 73 A",403,IF(Atletas!O454="Wu 45 A",404,IF(Atletas!O454="Wu-Hao 46 A",405,IF(OR(Atletas!O454="Taijiquan 16 A",Atletas!O454="Taijiquan 24 A",Atletas!O454="Taijiquan 32 A",Atletas!O454="Taijiquan 42 A"),406,IF(OR(Atletas!O454="Yang 26 B",Atletas!O454="Yang 40 B"),407,IF(OR(Atletas!O454="Chen 25 B",Atletas!O454="Chen 36 B",Atletas!O454="Chen 56 B"),408,IF(Atletas!O454="Sun 73 B",409,IF(Atletas!O454="Wu 45 B",410,IF(Atletas!O454="Wu-Hao 46 B",411,IF(OR(Atletas!O454="Taijiquan 16 B",Atletas!O454="Taijiquan 24 B",Atletas!O454="Taijiquan 32 B",Atletas!O454="Taijiquan 42 B"),412,IF(OR(Atletas!O454="Yang 26 C",Atletas!O454="Yang 40 C"),413,IF(OR(Atletas!O454="Chen 25 C",Atletas!O454="Chen 36 C",Atletas!O454="Chen 56 C"),414,IF(Atletas!O454="Sun 73 C",415,IF(Atletas!O454="Wu 45 C",416,IF(Atletas!O454="Wu-Hao 46 C",417,IF(OR(Atletas!O454="Taijiquan 16 C",Atletas!O454="Taijiquan 24 C",Atletas!O454="Taijiquan 32 C",Atletas!O454="Taijiquan 42 C"),418,0)))))))))))))))))))</f>
        <v/>
      </c>
      <c r="BQ458" s="52" t="str">
        <f>IF(Atletas!O454="","",IF(Atletas!W454&lt;&gt;"",10000,0)+IF(Atletas!B454="Feminino",1000,IF(Atletas!B454="Masculino",2000,""))+IF(OR(Atletas!O454="Yang 26 D",Atletas!O454="Yang 40 D"),419,IF(OR(Atletas!O454="Chen 25 D",Atletas!O454="Chen 36 D",Atletas!O454="Chen 56 D"),420,IF(Atletas!O454="Sun 73 D",421,IF(Atletas!O454="Wu 45 D",422,IF(Atletas!O454="Wu-Hao 46 D",423,IF(OR(Atletas!O454="Taijiquan 16 D",Atletas!O454="Taijiquan 24 D",Atletas!O454="Taijiquan 32 D",Atletas!O454="Taijiquan 42 D"),424,IF(OR(Atletas!O454="Yang 26 E",Atletas!O454="Yang 40 E"),425,IF(OR(Atletas!O454="Chen 25 E",Atletas!O454="Chen 36 E",Atletas!O454="Chen 56 E"),426,IF(Atletas!O454="Sun 73 E",427,IF(Atletas!O454="Wu 45 E",428,IF(Atletas!O454="Wu-Hao 46 E",429,IF(OR(Atletas!O454="Taijiquan 16 E",Atletas!O454="Taijiquan 24 E",Atletas!O454="Taijiquan 32 E",Atletas!O454="Taijiquan 42 E"),430,IF(OR(Atletas!O454="Yang 26 F",Atletas!O454="Yang 40 F"),431,IF(OR(Atletas!O454="Chen 25 F",Atletas!O454="Chen 36 F",Atletas!O454="Chen 56 F"),432,IF(Atletas!O454="Sun 73 F",433,IF(Atletas!O454="Wu 45 F",434,IF(Atletas!O454="Wu-Hao 46 F",435,IF(OR(Atletas!O454="Taijiquan 16 F",Atletas!O454="Taijiquan 24 F",Atletas!O454="Taijiquan 32 F",Atletas!O454="Taijiquan 42 F"),436,0)))))))))))))))))))</f>
        <v/>
      </c>
      <c r="BR458" s="52" t="str">
        <f>IF(Atletas!P454="","",IF(Atletas!W454&lt;&gt;"",10000,0)+IF(Atletas!B454="Feminino",1000,IF(Atletas!B454="Masculino",2000,""))+IF(Atletas!P454="Xingyiquan A",501,IF(Atletas!P454="Baguazhang A",502,IF(Atletas!P454="Outro Estilo Interno A",503,IF(Atletas!P454="Xingyiquan B",504,IF(Atletas!P454="Baguazhang B",505,IF(Atletas!P454="Outro Estilo Interno B",506,IF(Atletas!P454="Xingyiquan C",507,IF(Atletas!P454="Baguazhang C",508,IF(Atletas!P454="Outro Estilo Interno C",509,IF(Atletas!P454="Xingyiquan D",510,IF(Atletas!P454="Baguazhang D",511,IF(Atletas!P454="Outro Estilo Interno D",512,IF(Atletas!P454="Xingyiquan E",513,IF(Atletas!P454="Baguazhang E",514,IF(Atletas!P454="Outro Estilo Interno E",515,IF(Atletas!P454="Xingyiquan F",516,IF(Atletas!P454="Baguazhang F",517,IF(Atletas!P454="Outro Estilo Interno F",518, "")))))))))))))))))))</f>
        <v/>
      </c>
      <c r="BS458" s="52" t="str">
        <f>IF(Atletas!Q454="","",IF(Atletas!W454&lt;&gt;"",10000,0)+IF(Atletas!B454="Feminino",1000,IF(Atletas!B454="Masculino",2000,""))+IF(Atletas!Q454="Dao A",601,IF(Atletas!Q454="Jian A",602,IF(Atletas!Q454="Bishou A",603,IF(Atletas!Q454="Shan A",604,IF(Atletas!Q454="Outra Arma Curta A",605,IF(Atletas!Q454="Dao B",606,IF(Atletas!Q454="Jian B",607,IF(Atletas!Q454="Bishou B",608,IF(Atletas!Q454="Shan B",609,IF(Atletas!Q454="Outra Arma Curta B",610,IF(Atletas!Q454="Dao C",611,IF(Atletas!Q454="Jian C",612,IF(Atletas!Q454="Bishou C",613,IF(Atletas!Q454="Shan C",614,IF(Atletas!Q454="Outra Arma Curta C",615,IF(Atletas!Q454="Dao D",616,IF(Atletas!Q454="Jian D",617,IF(Atletas!Q454="Bishou D",618,IF(Atletas!Q454="Shan D",619,IF(Atletas!Q454="Outra Arma Curta D",620,IF(Atletas!Q454="Dao E",621,IF(Atletas!Q454="Jian E",622,IF(Atletas!Q454="Bishou E",623,IF(Atletas!Q454="Shan E",624,IF(Atletas!Q454="Outra Arma Curta E",625,IF(Atletas!Q454="Dao F",626,IF(Atletas!Q454="Jian F",627,IF(Atletas!Q454="Bishou F",628,IF(Atletas!Q454="Shan F",629,IF(Atletas!Q454="Outra Arma Curta F",630, "")))))))))))))))))))))))))))))))</f>
        <v/>
      </c>
      <c r="BT458" s="52" t="str">
        <f>IF(Atletas!R454="","",IF(Atletas!W454&lt;&gt;"",10000,0)+IF(Atletas!B454="Feminino",1000,IF(Atletas!B454="Masculino",2000,""))+IF(Atletas!R454="Gun A",701,IF(Atletas!R454="Qiang A",702,IF(Atletas!R454="Pudao / Guandao A",703,IF(Atletas!R454="Outra Arma Longa A",704,IF(Atletas!R454="Gun B",705,IF(Atletas!R454="Qiang B",706,IF(Atletas!R454="Pudao / Guandao B",707,IF(Atletas!R454="Outra Arma Longa B",708,IF(Atletas!R454="Gun C",709,IF(Atletas!R454="Qiang C",710,IF(Atletas!R454="Pudao / Guandao C",711,IF(Atletas!R454="Outra Arma Longa C",712,IF(Atletas!R454="Gun D",713,IF(Atletas!R454="Qiang D",714,IF(Atletas!R454="Pudao / Guandao D",715,IF(Atletas!R454="Outra Arma Longa D",716,IF(Atletas!R454="Gun E",717,IF(Atletas!R454="Qiang E",718,IF(Atletas!R454="Pudao / Guandao E",719,IF(Atletas!R454="Outra Arma Longa E",720,IF(Atletas!R454="Gun F",721,IF(Atletas!R454="Qiang F",722,IF(Atletas!R454="Pudao / Guandao F",723,IF(Atletas!R454="Outra Arma Longa F",724,"")))))))))))))))))))))))))</f>
        <v/>
      </c>
      <c r="BU458" s="52" t="str">
        <f>IF(Atletas!S454="","",IF(Atletas!W454&lt;&gt;"",10000,0)+IF(Atletas!B454="Feminino",1000,IF(Atletas!B454="Masculino",2000,""))+IF(Atletas!S454="Arma Dupla A",801,IF(Atletas!S454="Arma Maleável A",802,IF(Atletas!S454="Arma Dupla B",803,IF(Atletas!S454="Arma Maleável B",804,IF(Atletas!S454="Arma Dupla C",805,IF(Atletas!S454="Arma Maleável C",806,IF(Atletas!S454="Arma Dupla D",807,IF(Atletas!S454="Arma Maleável D",808,IF(Atletas!S454="Arma Dupla E",809,IF(Atletas!S454="Arma Maleável E",810,IF(Atletas!S454="Arma Dupla F",811,IF(Atletas!S454="Arma Maleável F",812, "")))))))))))))</f>
        <v/>
      </c>
      <c r="BV458" s="52" t="str">
        <f>IF(Atletas!T454="","",IF(Atletas!W454&lt;&gt;"",10000,0)+IF(Atletas!B454="Feminino",1000,IF(Atletas!B454="Masculino",2000,""))+IF(Atletas!T454="Taijijian Yang A",901,IF(Atletas!T454="Taijijian Chen A",902,IF(Atletas!T454="Taijijian Sun A",903,IF(Atletas!T454="Taijijian Wu A",904,IF(Atletas!T454="Taijijian Wu-Hao A",905,IF(Atletas!T454="Taijijian 32 A",906,IF(Atletas!T454="Taijijian 42 A",907,IF(Atletas!T454="Taijijian Yang B",908,IF(Atletas!T454="Taijijian Chen B",909,IF(Atletas!T454="Taijijian Sun B",910,IF(Atletas!T454="Taijijian Wu B",911,IF(Atletas!T454="Taijijian Wu-Hao B",912,IF(Atletas!T454="Taijijian 32 B",913,IF(Atletas!T454="Taijijian 42 B",914,IF(Atletas!T454="Taijijian Yang C",915,IF(Atletas!T454="Taijijian Chen C",916,IF(Atletas!T454="Taijijian Sun C",917,IF(Atletas!T454="Taijijian Wu C",918,IF(Atletas!T454="Taijijian Wu-Hao C",919,IF(Atletas!T454="Taijijian 32 C",920,IF(Atletas!T454="Taijijian 42 C",921,IF(Atletas!T454="Taijijian Yang D",922,IF(Atletas!T454="Taijijian Chen D",923,IF(Atletas!T454="Taijijian Sun D",924,IF(Atletas!T454="Taijijian Wu D",925,IF(Atletas!T454="Taijijian Wu-Hao D",926,IF(Atletas!T454="Taijijian 32 D",927,IF(Atletas!T454="Taijijian 42 D",928,IF(Atletas!T454="Taijijian Yang E",929,IF(Atletas!T454="Taijijian Chen E",930,IF(Atletas!T454="Taijijian Sun E",931,IF(Atletas!T454="Taijijian Wu E",932,IF(Atletas!T454="Taijijian Wu-Hao E",933,IF(Atletas!T454="Taijijian 32 E",934,IF(Atletas!T454="Taijijian 42 E",935,IF(Atletas!T454="Taijijian Yang F",936,IF(Atletas!T454="Taijijian Chen F",937,IF(Atletas!T454="Taijijian Sun F",938,IF(Atletas!T454="Taijijian Wu F",939,IF(Atletas!T454="Taijijian Wu-Hao F",940,IF(Atletas!T454="Taijijian 32 F",941,IF(Atletas!T454="Taijijian 42 F",942,"")))))))))))))))))))))))))))))))))))))))))))</f>
        <v/>
      </c>
      <c r="BW458" s="52" t="str">
        <f>IF(Atletas!U454="","",IF(Atletas!W454&lt;&gt;"",10000,0)+IF(Atletas!B454="Feminino",1000,IF(Atletas!B454="Masculino",2000,""))+IF(Atletas!T454="Taijijian 42 F",942,IF(Atletas!U454="Taijidao A",943,IF(Atletas!U454="Taijishan A",944,IF(Atletas!U454="Taijiqiang A",945,IF(Atletas!U454="Taijidao B",946,IF(Atletas!U454="Taijishan B",947,IF(Atletas!U454="Taijiqiang B",948,IF(Atletas!U454="Taijidao C",949,IF(Atletas!U454="Taijishan C",950,IF(Atletas!U454="Taijiqiang C",951,IF(Atletas!U454="Taijidao D",952,IF(Atletas!U454="Taijishan D",953,IF(Atletas!U454="Taijiqiang D",954,IF(Atletas!U454="Taijidao E",955,IF(Atletas!U454="Taijishan E",956,IF(Atletas!U454="Taijiqiang E",957,IF(Atletas!U454="Taijidao F",958,IF(Atletas!U454="Taijishan F",959,IF(Atletas!U454="Taijiqiang F",960))))))))))))))))))))</f>
        <v/>
      </c>
      <c r="CF458" s="52" t="str">
        <f xml:space="preserve"> IF(Atletas!V454="","",IF(Atletas!V454="Duilian de Mãos AB - Equipe 1",1,IF(Atletas!V454="Duilian de Mãos AB - Equipe 2",2,IF(Atletas!V454="Duilian de Armas AB - Equipe 1",3,IF(Atletas!V454="Duilian de Armas AB - Equipe 2",4,IF(Atletas!V454="Duilian de Tuishou - Equipe 1",5,IF(Atletas!V454="Duilian de Tuishou - Equipe 2",6,IF(Atletas!V454="Grupo Externo AB - Equipe 1",7,IF(Atletas!V454="Grupo Externo AB - Equipe 2",8,IF(Atletas!V454="Grupo Interno AB - Equipe 1",9,IF(Atletas!V454="Grupo Interno AB - Equipe 2",10,IF(Atletas!V454="Duilian de Mãos CD - Equipe 1",11,IF(Atletas!V454="Duilian de Mãos CD - Equipe 2",12,IF(Atletas!V454="Duilian de Armas CD - Equipe 1",13,IF(Atletas!V454="Duilian de Armas CD - Equipe 2",14,IF(Atletas!V454="Duilian de Tuishou - Equipe 1",15,IF(Atletas!V454="Duilian de Tuishou - Equipe 2",16,IF(Atletas!V454="Grupo Externo CDEF - Equipe 1",17,IF(Atletas!V454="Grupo Externo CDEF - Equipe 2",18,IF(Atletas!V454="Grupo Interno CDEF - Equipe 1",19,IF(Atletas!V454="Grupo Interno CDEF - Equipe 2",20,IF(Atletas!V454="Duilian de Mãos EF - Equipe 1",21,IF(Atletas!V454="Duilian de Mãos EF - Equipe 2",22,IF(Atletas!V454="Duilian de Armas EF - Equipe 1",23,IF(Atletas!V454="Duilian de Armas EF - Equipe 2",24,IF(Atletas!V454="Duilian de Tuishou - Equipe 1",25,IF(Atletas!V454="Duilian de Tuishou - Equipe 2",26,"")))))))))))))))))))))))))))</f>
        <v/>
      </c>
    </row>
    <row r="459" spans="36:84">
      <c r="AJ459" s="46" t="str">
        <f>IF(Atletas!D455="","",IF(Atletas!B455="Feminino",100,IF(Atletas!B455="Masculino",200,""))+(IF(Atletas!D455="Infantil 39kg",1,IF(Atletas!D455="Infantil 42kg",2,IF(Atletas!D455="Infantil 45kg",3,IF(Atletas!D455="Infantil 48kg",4,IF(Atletas!D455="Infantil 52kg",5,IF(Atletas!D455="Infantil 56kg",6,IF(Atletas!D455="Infantil 60kg",7,IF(Atletas!D455="Juvenil 48kg",8,IF(Atletas!D455="Juvenil 52kg",9,IF(Atletas!D455="Juvenil 56kg",10,IF(Atletas!D455="Juvenil 60kg",11,IF(Atletas!D455="Juvenil 65kg",12,IF(Atletas!D455="Juvenil 70kg",13,IF(Atletas!D455="Juvenil 75kg",14,IF(Atletas!D455="Juvenil 80kg",15,IF(Atletas!D455="Adulto 48kg",16,IF(Atletas!D455="Adulto 52kg",17,IF(Atletas!D455="Adulto 56kg",18,IF(Atletas!D455="Adulto 60kg",19,IF(Atletas!D455="Adulto 65kg",20,IF(Atletas!D455="Adulto 70kg",21,IF(Atletas!D455="Adulto 75kg",22,IF(Atletas!D455="Adulto 80kg",23,IF(Atletas!D455="Adulto 85kg",24,IF(Atletas!D455="Adulto 90kg",25,IF(Atletas!D455="Adulto +90kg",26,""))))))))))))))))))))))))))))</f>
        <v/>
      </c>
      <c r="AO459" s="10" t="str">
        <f>IF(Atletas!E455="","",IF(Atletas!B455="Feminino",100,IF(Atletas!B455="Masculino",200,""))+(IF(Atletas!E455="Juvenil 44kg",1,IF(Atletas!E455="Juvenil 48kg",2,IF(Atletas!E455="Juvenil 52kg",3,IF(Atletas!E455="Juvenil 56kg",4,IF(Atletas!E455="Juvenil 60kg",5,IF(Atletas!E455="Juvenil 65kg",6,IF(Atletas!E455="Juvenil 70kg",7,IF(Atletas!E455="Juvenil 75kg",8,IF(Atletas!E455="Juvenil 82kg",9,IF(Atletas!E455="Juvenil 90kg",10,IF(Atletas!E455="Juvenil 100kg",11,IF(Atletas!E455="Adulto 48kg",12,IF(Atletas!E455="Adulto 52kg",13,IF(Atletas!E455="Adulto 56kg",14,IF(Atletas!E455="Adulto 60kg",15,IF(Atletas!E455="Adulto 65kg",16,IF(Atletas!E455="Adulto 70kg",17,IF(Atletas!E455="Adulto 75kg",18,IF(Atletas!E455="Adulto 82kg",19,IF(Atletas!E455="Adulto 90kg",20,IF(Atletas!E455="Adulto 100kg",21,IF(Atletas!E455="Adulto +100kg",22,""))))))))))))))))))))))))</f>
        <v/>
      </c>
      <c r="AT459" s="10" t="str">
        <f>IF(Atletas!F455="","",IF(Atletas!B455="Feminino",100,IF(Atletas!B455="Masculino",200,""))+(IF(Atletas!F455="Adulto 48kg",1,IF(Atletas!F455="Adulto 56kg",2,IF(Atletas!F455="Adulto 65kg",3,IF(Atletas!F455="Adulto 75kg",4,IF(Atletas!F455="Adulto +75kg",5,IF(Atletas!F455="Adulto 52kg",6,IF(Atletas!F455="Adulto 60kg",7,IF(Atletas!F455="Adulto 70kg",8,IF(Atletas!F455="Adulto 80kg",9,IF(Atletas!F455="Adulto 90kg",10,IF(Atletas!F455="Adulto +90kg",11,"")))))))))))))</f>
        <v/>
      </c>
      <c r="AY459" s="46" t="str">
        <f>IF(Atletas!G455="","",IF(Atletas!B455="Feminino",100,IF(Atletas!B455="Masculino",200,""))+(IF(Atletas!G455="Changquan Mirim",1,IF(Atletas!G455="Nanquan Mirim",2,IF(Atletas!G455="Taijiquan Mirim",3,IF(Atletas!G455="Changquan Grupo C",4,IF(Atletas!G455="Nanquan Grupo C",5,IF(Atletas!G455="Taijiquan Grupo C",6,IF(Atletas!G455="Changquan Grupo B",7,IF(Atletas!G455="Nanquan Grupo B",8,IF(Atletas!G455="Taijiquan Grupo B",9,IF(Atletas!G455="Changquan Grupo A",10,IF(Atletas!G455="Nanquan Grupo A",11,IF(Atletas!G455="Taijiquan Grupo A",12,IF(Atletas!G455="Changquan Opcional",13,IF(Atletas!G455="Nanquan Opcional",14,IF(Atletas!G455="Taijiquan Opcional",15,IF(Atletas!G455="Changquan Adulto",16,IF(Atletas!G455="Nanquan Adulto",17,IF(Atletas!G455="Taijiquan Adulto",18,""))))))))))))))))))))</f>
        <v/>
      </c>
      <c r="AZ459" s="46" t="str">
        <f>IF(Atletas!H455="","",IF(Atletas!B455="Feminino",100,IF(Atletas!B455="Masculino",200,""))+(IF(Atletas!H455="Daoshu Mirim",19,IF(Atletas!H455="Jianshu Mirim",20,IF(Atletas!H455="Nandao Mirim",21,IF(Atletas!H455="Taijijian Mirim",22,IF(Atletas!H455="Daoshu Grupo C",23,IF(Atletas!H455="Jianshu Grupo C",24,IF(Atletas!H455="Nandao Grupo C",25,IF(Atletas!H455="Taijijian Grupo C",26,IF(Atletas!H455="Daoshu Grupo B",27,IF(Atletas!H455="Jianshu Grupo B",28,IF(Atletas!H455="Nandao Grupo B",29,IF(Atletas!H455="Taijijian Grupo B",30,IF(Atletas!H455="Daoshu Grupo A",31,IF(Atletas!H455="Jianshu Grupo A",32,IF(Atletas!H455="Nandao Grupo A",33,IF(Atletas!H455="Taijijian Grupo A",34,IF(Atletas!H455="Daoshu Opcional",35,IF(Atletas!H455="Jianshu Opcional",36,IF(Atletas!H455="Nandao Opcional",37,IF(Atletas!H455="Taijijian Opcional",38,IF(Atletas!H455="Daoshu Adulto",39,IF(Atletas!H455="Jianshu Adulto",40,IF(Atletas!H455="Nandao Adulto",41,IF(Atletas!H455="Taijijian Adulto",42,""))))))))))))))))))))))))))</f>
        <v/>
      </c>
      <c r="BA459" s="46" t="str">
        <f>IF(Atletas!I455="","",IF(Atletas!B455="Feminino",100,IF(Atletas!B455="Masculino",200,""))+(IF(Atletas!I455="Gunshu Mirim",43,IF(Atletas!I455="Qiangshu Mirim",44,IF(Atletas!I455="Nangun Mirim",45,IF(Atletas!I455="Gunshu Grupo C",46,IF(Atletas!I455="Qiangshu Grupo C",47,IF(Atletas!I455="Nangun Grupo C",48,IF(Atletas!I455="Gunshu Grupo B",49,IF(Atletas!I455="Qiangshu Grupo B",50,IF(Atletas!I455="Nangun Grupo B",51,IF(Atletas!I455="Gunshu Grupo A",52,IF(Atletas!I455="Qiangshu Grupo A",53,IF(Atletas!I455="Nangun Grupo A",54,IF(Atletas!I455="Gunshu Opcional",55,IF(Atletas!I455="Qiangshu Opcional",56,IF(Atletas!I455="Nangun Opcional",57,IF(Atletas!I455="Gunshu Adulto",58,IF(Atletas!I455="Qiangshu Adulto",59,IF(Atletas!I455="Nangun Adulto",60,""))))))))))))))))))))</f>
        <v/>
      </c>
      <c r="BF459" s="52" t="str">
        <f>IF(Atletas!J455="","",IF(Atletas!B455="Feminino",100,IF(Atletas!B455="Masculino",200,""))+(IF(Atletas!J455="Equipe 1 Grupo B",1,IF(Atletas!J455="Equipe 2 Grupo B",2,IF(Atletas!J455="Equipe 1 Grupo A",3,IF(Atletas!J455="Equipe 2 Grupo A",4,IF(Atletas!J455="Equipe 1 Adulto",5,IF(Atletas!J455="Equipe 2 Adulto",6,""))))))))</f>
        <v/>
      </c>
      <c r="BK459" s="52" t="str">
        <f>IF(Atletas!K455="","",IF(Atletas!W455&lt;&gt;"",10000,0)+(IF(Atletas!B455="Feminino",1000,IF(Atletas!B455="Masculino",2000,""))+IF(Atletas!K455="Choylayfut A",1,IF(Atletas!K455="Hunggar A",2,IF(Atletas!K455="Wuzuquan A",3,IF(Atletas!K455="Wingchun A",4,IF(Atletas!K455="Outra Mão de Sul A",5,IF(Atletas!K455="Choylayfut B",6,IF(Atletas!K455="Hunggar B",7,IF(Atletas!K455="Wuzuquan B",8,IF(Atletas!K455="Wingchun B",9,IF(Atletas!K455="Outra Mão de Sul B",10,IF(Atletas!K455="Choylayfut C",11,IF(Atletas!K455="Hunggar C",12,IF(Atletas!K455="Wuzuquan C",13,IF(Atletas!K455="Wingchun C",14,IF(Atletas!K455="Outra Mão de Sul C",15,IF(Atletas!K455="Choylayfut D",16,IF(Atletas!K455="Hunggar D",17,IF(Atletas!K455="Wuzuquan D",18,IF(Atletas!K455="Wingchun D",19,IF(Atletas!K455="Outra Mão de Sul D",20,IF(Atletas!K455="Choylayfut E",21,IF(Atletas!K455="Hunggar E",22,IF(Atletas!K455="Wuzuquan E",23,IF(Atletas!K455="Wingchun E",24,IF(Atletas!K455="Outra Mão de Sul E",25,IF(Atletas!K455="Choylayfut F",26,IF(Atletas!K455="Hunggar F",27,IF(Atletas!K455="Wuzuquan F",28,IF(Atletas!K455="Wingchun F",29,IF(Atletas!K455="Outra Mão de Sul F",30,""))))))))))))))))))))))))))))))))</f>
        <v/>
      </c>
      <c r="BL459" s="52" t="str">
        <f>IF(Atletas!L455="","",IF(Atletas!W455&lt;&gt;"",10000,0)+(IF(Atletas!B455="Feminino",1000,IF(Atletas!B455="Masculino",2000,""))+(IF(Atletas!L455="Chaquan A",101,IF(Atletas!L455="Emeiquan A",102,IF(Atletas!L455="Fanziquan A",103,IF(Atletas!L455="Huaquan A",104,IF(Atletas!L455="Hongquan A",105,IF(Atletas!L455="Paochui A",106,IF(Atletas!L455="Piguaquan A",107,IF(Atletas!L455="Shaolinquan A",108,IF(Atletas!L455="Tanglangquan A",109,IF(Atletas!L455="Yinzhaophai A",110,IF(Atletas!L455="Tongbeiquan A",111,IF(Atletas!L455="Wudangquan A",112,IF(Atletas!L455="Outros Estilos A",113,IF(Atletas!L455="Chaquan B",114,IF(Atletas!L455="Emeiquan B",115,IF(Atletas!L455="Fanziquan B",116,IF(Atletas!L455="Huaquan B",117,IF(Atletas!L455="Hongquan B",118,IF(Atletas!L455="Paochui B",119,IF(Atletas!L455="Piguaquan B",120,IF(Atletas!L455="Shaolinquan B",121,IF(Atletas!L455="Tanglangquan B",122,IF(Atletas!L455="Yinzhaophai B",123,IF(Atletas!L455="Tongbeiquan B",124,IF(Atletas!L455="Wudangquan B",125,IF(Atletas!L455="Outros Estilos B",126,IF(Atletas!L455="Chaquan C",127,IF(Atletas!L455="Emeiquan C",128,IF(Atletas!L455="Fanziquan C",129,IF(Atletas!L455="Huaquan C",130,IF(Atletas!L455="Hongquan C",131,IF(Atletas!L455="Paochui C",132,IF(Atletas!L455="Piguaquan C",133,IF(Atletas!L455="Shaolinquan C",134,IF(Atletas!L455="Tanglangquan C",135,IF(Atletas!L455="Yinzhaophai C",136,IF(Atletas!L455="Tongbeiquan C",137,IF(Atletas!L455="Wudangquan C",138,IF(Atletas!L455="Outros Estilos C",139,0))))))))))))))))))))))))))))))))))))))))))</f>
        <v/>
      </c>
      <c r="BM459" s="52" t="str">
        <f>IF(Atletas!L455="","",IF(Atletas!W455&lt;&gt;"",10000,0)+(IF(Atletas!B455="Feminino",1000,IF(Atletas!B455="Masculino",2000,""))+(IF(Atletas!L455="Chaquan D",140,IF(Atletas!L455="Emeiquan D",141,IF(Atletas!L455="Fanziquan D",142,IF(Atletas!L455="Huaquan D",143,IF(Atletas!L455="Hongquan D",144,IF(Atletas!L455="Paochui D",145,IF(Atletas!L455="Piguaquan D",146,IF(Atletas!L455="Shaolinquan D",147,IF(Atletas!L455="Tanglangquan D",148,IF(Atletas!L455="Yinzhaophai D",149,IF(Atletas!L455="Tongbeiquan D",150,IF(Atletas!L455="Wudangquan D",151,IF(Atletas!L455="Outros Estilos D",152,IF(Atletas!L455="Chaquan E",153,IF(Atletas!L455="Emeiquan E",154,IF(Atletas!L455="Fanziquan E",155,IF(Atletas!L455="Huaquan E",156,IF(Atletas!L455="Hongquan E",157,IF(Atletas!L455="Paochui E",158,IF(Atletas!L455="Piguaquan E",159,IF(Atletas!L455="Shaolinquan E",160,IF(Atletas!L455="Tanglangquan E",161,IF(Atletas!L455="Yinzhaophai E",162,IF(Atletas!L455="Tongbeiquan E",163,IF(Atletas!L455="Wudangquan E",164,IF(Atletas!L455="Outros Estilos E",165,IF(Atletas!L455="Chaquan F",166,IF(Atletas!L455="Emeiquan F",167,IF(Atletas!L455="Fanziquan F",168,IF(Atletas!L455="Huaquan F",169,IF(Atletas!L455="Hongquan F",170,IF(Atletas!L455="Paochui F",171,IF(Atletas!L455="Piguaquan F",172,IF(Atletas!L455="Shaolinquan F",173,IF(Atletas!L455="Tanglangquan F",174,IF(Atletas!L455="Yinzhaophai F",175,IF(Atletas!L455="Tongbeiquan F",176,IF(Atletas!L455="Wudangquan F",177,IF(Atletas!L455="Outros Estilos F",178,0))))))))))))))))))))))))))))))))))))))))))</f>
        <v/>
      </c>
      <c r="BN459" s="52" t="str">
        <f>IF(Atletas!M455="","",IF(Atletas!W455&lt;&gt;"",10000,0)+(IF(Atletas!B455="Feminino",1000,IF(Atletas!B455="Masculino",2000,""))+(IF(Atletas!M455="Ditangquan A",201,IF(Atletas!M455="Houquan A",202,IF(Atletas!M455="Zuiquan A",203,IF(Atletas!M455="Ditangquan B",204,IF(Atletas!M455="Houquan B",205,IF(Atletas!M455="Zuiquan B",206,IF(Atletas!M455="Ditangquan C",207,IF(Atletas!M455="Houquan C",208,IF(Atletas!M455="Zuiquan C",209,IF(Atletas!M455="Ditangquan D",210,IF(Atletas!M455="Houquan D",211,IF(Atletas!M455="Zuiquan D",212,IF(Atletas!M455="Ditangquan E",213,IF(Atletas!M455="Houquan E",214,IF(Atletas!M455="Zuiquan E",215,IF(Atletas!M455="Ditangquan F",216,IF(Atletas!M455="Houquan F",217,IF(Atletas!M455="Zuiquan F",218,"")))))))))))))))))))))</f>
        <v/>
      </c>
      <c r="BO459" s="52" t="str">
        <f>IF(Atletas!N455="","",IF(Atletas!W455&lt;&gt;"",10000,0)+IF(Atletas!B455="Feminino",1000,IF(Atletas!B455="Masculino",2000,""))+IF(Atletas!N455="Yang A",301,IF(Atletas!N455="Chen A",30,IF(Atletas!N455="Sun A",303,IF(Atletas!N455="Wu A",304,IF(Atletas!N455="Wu-Hao A",305,IF(Atletas!N455="Outro Taijiquan A",306,IF(Atletas!N455="Yang B",307,IF(Atletas!N455="Chen B",308,IF(Atletas!N455="Sun B",309,IF(Atletas!N455="Wu B",310,IF(Atletas!N455="Wu-Hao B",311,IF(Atletas!N455="Outro Taijiquan B",312,IF(Atletas!N455="Yang C",313,IF(Atletas!N455="Chen C",314,IF(Atletas!N455="Sun C",315,IF(Atletas!N455="Wu C",316,IF(Atletas!N455="Wu-Hao C",317,IF(Atletas!N455="Outro Taijiquan C",318,IF(Atletas!N455="Yang D",319,IF(Atletas!N455="Chen D",320,IF(Atletas!N455="Sun D",321,IF(Atletas!N455="Wu D",322,IF(Atletas!N455="Wu-Hao D",323,IF(Atletas!N455="Outro Taijiquan D",324,IF(Atletas!N455="Yang E",325,IF(Atletas!N455="Chen E",326,IF(Atletas!N455="Sun E",327,IF(Atletas!N455="Wu E",328,IF(Atletas!N455="Wu-Hao E",329,IF(Atletas!N455="Outro Taijiquan E",330,IF(Atletas!N455="Yang F",331,IF(Atletas!N455="Chen F",332,IF(Atletas!N455="Sun F",333,IF(Atletas!N455="Wu F",334,IF(Atletas!N455="Wu-Hao F",335,IF(Atletas!N455="Outro Taijiquan F",336,"")))))))))))))))))))))))))))))))))))))</f>
        <v/>
      </c>
      <c r="BP459" s="52" t="str">
        <f>IF(Atletas!O455="","",IF(Atletas!W455&lt;&gt;"",10000,0)+IF(Atletas!B455="Feminino",1000,IF(Atletas!B455="Masculino",2000,""))+IF(OR(Atletas!O455="Yang 26 A",Atletas!O455="Yang 40 A"),401,IF(OR(Atletas!O455="Chen 25 A",Atletas!O455="Chen 36 A",Atletas!O455="Chen 56 A"),402,IF(Atletas!O455="Sun 73 A",403,IF(Atletas!O455="Wu 45 A",404,IF(Atletas!O455="Wu-Hao 46 A",405,IF(OR(Atletas!O455="Taijiquan 16 A",Atletas!O455="Taijiquan 24 A",Atletas!O455="Taijiquan 32 A",Atletas!O455="Taijiquan 42 A"),406,IF(OR(Atletas!O455="Yang 26 B",Atletas!O455="Yang 40 B"),407,IF(OR(Atletas!O455="Chen 25 B",Atletas!O455="Chen 36 B",Atletas!O455="Chen 56 B"),408,IF(Atletas!O455="Sun 73 B",409,IF(Atletas!O455="Wu 45 B",410,IF(Atletas!O455="Wu-Hao 46 B",411,IF(OR(Atletas!O455="Taijiquan 16 B",Atletas!O455="Taijiquan 24 B",Atletas!O455="Taijiquan 32 B",Atletas!O455="Taijiquan 42 B"),412,IF(OR(Atletas!O455="Yang 26 C",Atletas!O455="Yang 40 C"),413,IF(OR(Atletas!O455="Chen 25 C",Atletas!O455="Chen 36 C",Atletas!O455="Chen 56 C"),414,IF(Atletas!O455="Sun 73 C",415,IF(Atletas!O455="Wu 45 C",416,IF(Atletas!O455="Wu-Hao 46 C",417,IF(OR(Atletas!O455="Taijiquan 16 C",Atletas!O455="Taijiquan 24 C",Atletas!O455="Taijiquan 32 C",Atletas!O455="Taijiquan 42 C"),418,0)))))))))))))))))))</f>
        <v/>
      </c>
      <c r="BQ459" s="52" t="str">
        <f>IF(Atletas!O455="","",IF(Atletas!W455&lt;&gt;"",10000,0)+IF(Atletas!B455="Feminino",1000,IF(Atletas!B455="Masculino",2000,""))+IF(OR(Atletas!O455="Yang 26 D",Atletas!O455="Yang 40 D"),419,IF(OR(Atletas!O455="Chen 25 D",Atletas!O455="Chen 36 D",Atletas!O455="Chen 56 D"),420,IF(Atletas!O455="Sun 73 D",421,IF(Atletas!O455="Wu 45 D",422,IF(Atletas!O455="Wu-Hao 46 D",423,IF(OR(Atletas!O455="Taijiquan 16 D",Atletas!O455="Taijiquan 24 D",Atletas!O455="Taijiquan 32 D",Atletas!O455="Taijiquan 42 D"),424,IF(OR(Atletas!O455="Yang 26 E",Atletas!O455="Yang 40 E"),425,IF(OR(Atletas!O455="Chen 25 E",Atletas!O455="Chen 36 E",Atletas!O455="Chen 56 E"),426,IF(Atletas!O455="Sun 73 E",427,IF(Atletas!O455="Wu 45 E",428,IF(Atletas!O455="Wu-Hao 46 E",429,IF(OR(Atletas!O455="Taijiquan 16 E",Atletas!O455="Taijiquan 24 E",Atletas!O455="Taijiquan 32 E",Atletas!O455="Taijiquan 42 E"),430,IF(OR(Atletas!O455="Yang 26 F",Atletas!O455="Yang 40 F"),431,IF(OR(Atletas!O455="Chen 25 F",Atletas!O455="Chen 36 F",Atletas!O455="Chen 56 F"),432,IF(Atletas!O455="Sun 73 F",433,IF(Atletas!O455="Wu 45 F",434,IF(Atletas!O455="Wu-Hao 46 F",435,IF(OR(Atletas!O455="Taijiquan 16 F",Atletas!O455="Taijiquan 24 F",Atletas!O455="Taijiquan 32 F",Atletas!O455="Taijiquan 42 F"),436,0)))))))))))))))))))</f>
        <v/>
      </c>
      <c r="BR459" s="52" t="str">
        <f>IF(Atletas!P455="","",IF(Atletas!W455&lt;&gt;"",10000,0)+IF(Atletas!B455="Feminino",1000,IF(Atletas!B455="Masculino",2000,""))+IF(Atletas!P455="Xingyiquan A",501,IF(Atletas!P455="Baguazhang A",502,IF(Atletas!P455="Outro Estilo Interno A",503,IF(Atletas!P455="Xingyiquan B",504,IF(Atletas!P455="Baguazhang B",505,IF(Atletas!P455="Outro Estilo Interno B",506,IF(Atletas!P455="Xingyiquan C",507,IF(Atletas!P455="Baguazhang C",508,IF(Atletas!P455="Outro Estilo Interno C",509,IF(Atletas!P455="Xingyiquan D",510,IF(Atletas!P455="Baguazhang D",511,IF(Atletas!P455="Outro Estilo Interno D",512,IF(Atletas!P455="Xingyiquan E",513,IF(Atletas!P455="Baguazhang E",514,IF(Atletas!P455="Outro Estilo Interno E",515,IF(Atletas!P455="Xingyiquan F",516,IF(Atletas!P455="Baguazhang F",517,IF(Atletas!P455="Outro Estilo Interno F",518, "")))))))))))))))))))</f>
        <v/>
      </c>
      <c r="BS459" s="52" t="str">
        <f>IF(Atletas!Q455="","",IF(Atletas!W455&lt;&gt;"",10000,0)+IF(Atletas!B455="Feminino",1000,IF(Atletas!B455="Masculino",2000,""))+IF(Atletas!Q455="Dao A",601,IF(Atletas!Q455="Jian A",602,IF(Atletas!Q455="Bishou A",603,IF(Atletas!Q455="Shan A",604,IF(Atletas!Q455="Outra Arma Curta A",605,IF(Atletas!Q455="Dao B",606,IF(Atletas!Q455="Jian B",607,IF(Atletas!Q455="Bishou B",608,IF(Atletas!Q455="Shan B",609,IF(Atletas!Q455="Outra Arma Curta B",610,IF(Atletas!Q455="Dao C",611,IF(Atletas!Q455="Jian C",612,IF(Atletas!Q455="Bishou C",613,IF(Atletas!Q455="Shan C",614,IF(Atletas!Q455="Outra Arma Curta C",615,IF(Atletas!Q455="Dao D",616,IF(Atletas!Q455="Jian D",617,IF(Atletas!Q455="Bishou D",618,IF(Atletas!Q455="Shan D",619,IF(Atletas!Q455="Outra Arma Curta D",620,IF(Atletas!Q455="Dao E",621,IF(Atletas!Q455="Jian E",622,IF(Atletas!Q455="Bishou E",623,IF(Atletas!Q455="Shan E",624,IF(Atletas!Q455="Outra Arma Curta E",625,IF(Atletas!Q455="Dao F",626,IF(Atletas!Q455="Jian F",627,IF(Atletas!Q455="Bishou F",628,IF(Atletas!Q455="Shan F",629,IF(Atletas!Q455="Outra Arma Curta F",630, "")))))))))))))))))))))))))))))))</f>
        <v/>
      </c>
      <c r="BT459" s="52" t="str">
        <f>IF(Atletas!R455="","",IF(Atletas!W455&lt;&gt;"",10000,0)+IF(Atletas!B455="Feminino",1000,IF(Atletas!B455="Masculino",2000,""))+IF(Atletas!R455="Gun A",701,IF(Atletas!R455="Qiang A",702,IF(Atletas!R455="Pudao / Guandao A",703,IF(Atletas!R455="Outra Arma Longa A",704,IF(Atletas!R455="Gun B",705,IF(Atletas!R455="Qiang B",706,IF(Atletas!R455="Pudao / Guandao B",707,IF(Atletas!R455="Outra Arma Longa B",708,IF(Atletas!R455="Gun C",709,IF(Atletas!R455="Qiang C",710,IF(Atletas!R455="Pudao / Guandao C",711,IF(Atletas!R455="Outra Arma Longa C",712,IF(Atletas!R455="Gun D",713,IF(Atletas!R455="Qiang D",714,IF(Atletas!R455="Pudao / Guandao D",715,IF(Atletas!R455="Outra Arma Longa D",716,IF(Atletas!R455="Gun E",717,IF(Atletas!R455="Qiang E",718,IF(Atletas!R455="Pudao / Guandao E",719,IF(Atletas!R455="Outra Arma Longa E",720,IF(Atletas!R455="Gun F",721,IF(Atletas!R455="Qiang F",722,IF(Atletas!R455="Pudao / Guandao F",723,IF(Atletas!R455="Outra Arma Longa F",724,"")))))))))))))))))))))))))</f>
        <v/>
      </c>
      <c r="BU459" s="52" t="str">
        <f>IF(Atletas!S455="","",IF(Atletas!W455&lt;&gt;"",10000,0)+IF(Atletas!B455="Feminino",1000,IF(Atletas!B455="Masculino",2000,""))+IF(Atletas!S455="Arma Dupla A",801,IF(Atletas!S455="Arma Maleável A",802,IF(Atletas!S455="Arma Dupla B",803,IF(Atletas!S455="Arma Maleável B",804,IF(Atletas!S455="Arma Dupla C",805,IF(Atletas!S455="Arma Maleável C",806,IF(Atletas!S455="Arma Dupla D",807,IF(Atletas!S455="Arma Maleável D",808,IF(Atletas!S455="Arma Dupla E",809,IF(Atletas!S455="Arma Maleável E",810,IF(Atletas!S455="Arma Dupla F",811,IF(Atletas!S455="Arma Maleável F",812, "")))))))))))))</f>
        <v/>
      </c>
      <c r="BV459" s="52" t="str">
        <f>IF(Atletas!T455="","",IF(Atletas!W455&lt;&gt;"",10000,0)+IF(Atletas!B455="Feminino",1000,IF(Atletas!B455="Masculino",2000,""))+IF(Atletas!T455="Taijijian Yang A",901,IF(Atletas!T455="Taijijian Chen A",902,IF(Atletas!T455="Taijijian Sun A",903,IF(Atletas!T455="Taijijian Wu A",904,IF(Atletas!T455="Taijijian Wu-Hao A",905,IF(Atletas!T455="Taijijian 32 A",906,IF(Atletas!T455="Taijijian 42 A",907,IF(Atletas!T455="Taijijian Yang B",908,IF(Atletas!T455="Taijijian Chen B",909,IF(Atletas!T455="Taijijian Sun B",910,IF(Atletas!T455="Taijijian Wu B",911,IF(Atletas!T455="Taijijian Wu-Hao B",912,IF(Atletas!T455="Taijijian 32 B",913,IF(Atletas!T455="Taijijian 42 B",914,IF(Atletas!T455="Taijijian Yang C",915,IF(Atletas!T455="Taijijian Chen C",916,IF(Atletas!T455="Taijijian Sun C",917,IF(Atletas!T455="Taijijian Wu C",918,IF(Atletas!T455="Taijijian Wu-Hao C",919,IF(Atletas!T455="Taijijian 32 C",920,IF(Atletas!T455="Taijijian 42 C",921,IF(Atletas!T455="Taijijian Yang D",922,IF(Atletas!T455="Taijijian Chen D",923,IF(Atletas!T455="Taijijian Sun D",924,IF(Atletas!T455="Taijijian Wu D",925,IF(Atletas!T455="Taijijian Wu-Hao D",926,IF(Atletas!T455="Taijijian 32 D",927,IF(Atletas!T455="Taijijian 42 D",928,IF(Atletas!T455="Taijijian Yang E",929,IF(Atletas!T455="Taijijian Chen E",930,IF(Atletas!T455="Taijijian Sun E",931,IF(Atletas!T455="Taijijian Wu E",932,IF(Atletas!T455="Taijijian Wu-Hao E",933,IF(Atletas!T455="Taijijian 32 E",934,IF(Atletas!T455="Taijijian 42 E",935,IF(Atletas!T455="Taijijian Yang F",936,IF(Atletas!T455="Taijijian Chen F",937,IF(Atletas!T455="Taijijian Sun F",938,IF(Atletas!T455="Taijijian Wu F",939,IF(Atletas!T455="Taijijian Wu-Hao F",940,IF(Atletas!T455="Taijijian 32 F",941,IF(Atletas!T455="Taijijian 42 F",942,"")))))))))))))))))))))))))))))))))))))))))))</f>
        <v/>
      </c>
      <c r="BW459" s="52" t="str">
        <f>IF(Atletas!U455="","",IF(Atletas!W455&lt;&gt;"",10000,0)+IF(Atletas!B455="Feminino",1000,IF(Atletas!B455="Masculino",2000,""))+IF(Atletas!T455="Taijijian 42 F",942,IF(Atletas!U455="Taijidao A",943,IF(Atletas!U455="Taijishan A",944,IF(Atletas!U455="Taijiqiang A",945,IF(Atletas!U455="Taijidao B",946,IF(Atletas!U455="Taijishan B",947,IF(Atletas!U455="Taijiqiang B",948,IF(Atletas!U455="Taijidao C",949,IF(Atletas!U455="Taijishan C",950,IF(Atletas!U455="Taijiqiang C",951,IF(Atletas!U455="Taijidao D",952,IF(Atletas!U455="Taijishan D",953,IF(Atletas!U455="Taijiqiang D",954,IF(Atletas!U455="Taijidao E",955,IF(Atletas!U455="Taijishan E",956,IF(Atletas!U455="Taijiqiang E",957,IF(Atletas!U455="Taijidao F",958,IF(Atletas!U455="Taijishan F",959,IF(Atletas!U455="Taijiqiang F",960))))))))))))))))))))</f>
        <v/>
      </c>
      <c r="CF459" s="52" t="str">
        <f xml:space="preserve"> IF(Atletas!V455="","",IF(Atletas!V455="Duilian de Mãos AB - Equipe 1",1,IF(Atletas!V455="Duilian de Mãos AB - Equipe 2",2,IF(Atletas!V455="Duilian de Armas AB - Equipe 1",3,IF(Atletas!V455="Duilian de Armas AB - Equipe 2",4,IF(Atletas!V455="Duilian de Tuishou - Equipe 1",5,IF(Atletas!V455="Duilian de Tuishou - Equipe 2",6,IF(Atletas!V455="Grupo Externo AB - Equipe 1",7,IF(Atletas!V455="Grupo Externo AB - Equipe 2",8,IF(Atletas!V455="Grupo Interno AB - Equipe 1",9,IF(Atletas!V455="Grupo Interno AB - Equipe 2",10,IF(Atletas!V455="Duilian de Mãos CD - Equipe 1",11,IF(Atletas!V455="Duilian de Mãos CD - Equipe 2",12,IF(Atletas!V455="Duilian de Armas CD - Equipe 1",13,IF(Atletas!V455="Duilian de Armas CD - Equipe 2",14,IF(Atletas!V455="Duilian de Tuishou - Equipe 1",15,IF(Atletas!V455="Duilian de Tuishou - Equipe 2",16,IF(Atletas!V455="Grupo Externo CDEF - Equipe 1",17,IF(Atletas!V455="Grupo Externo CDEF - Equipe 2",18,IF(Atletas!V455="Grupo Interno CDEF - Equipe 1",19,IF(Atletas!V455="Grupo Interno CDEF - Equipe 2",20,IF(Atletas!V455="Duilian de Mãos EF - Equipe 1",21,IF(Atletas!V455="Duilian de Mãos EF - Equipe 2",22,IF(Atletas!V455="Duilian de Armas EF - Equipe 1",23,IF(Atletas!V455="Duilian de Armas EF - Equipe 2",24,IF(Atletas!V455="Duilian de Tuishou - Equipe 1",25,IF(Atletas!V455="Duilian de Tuishou - Equipe 2",26,"")))))))))))))))))))))))))))</f>
        <v/>
      </c>
    </row>
    <row r="460" spans="36:84">
      <c r="AJ460" s="46" t="str">
        <f>IF(Atletas!D456="","",IF(Atletas!B456="Feminino",100,IF(Atletas!B456="Masculino",200,""))+(IF(Atletas!D456="Infantil 39kg",1,IF(Atletas!D456="Infantil 42kg",2,IF(Atletas!D456="Infantil 45kg",3,IF(Atletas!D456="Infantil 48kg",4,IF(Atletas!D456="Infantil 52kg",5,IF(Atletas!D456="Infantil 56kg",6,IF(Atletas!D456="Infantil 60kg",7,IF(Atletas!D456="Juvenil 48kg",8,IF(Atletas!D456="Juvenil 52kg",9,IF(Atletas!D456="Juvenil 56kg",10,IF(Atletas!D456="Juvenil 60kg",11,IF(Atletas!D456="Juvenil 65kg",12,IF(Atletas!D456="Juvenil 70kg",13,IF(Atletas!D456="Juvenil 75kg",14,IF(Atletas!D456="Juvenil 80kg",15,IF(Atletas!D456="Adulto 48kg",16,IF(Atletas!D456="Adulto 52kg",17,IF(Atletas!D456="Adulto 56kg",18,IF(Atletas!D456="Adulto 60kg",19,IF(Atletas!D456="Adulto 65kg",20,IF(Atletas!D456="Adulto 70kg",21,IF(Atletas!D456="Adulto 75kg",22,IF(Atletas!D456="Adulto 80kg",23,IF(Atletas!D456="Adulto 85kg",24,IF(Atletas!D456="Adulto 90kg",25,IF(Atletas!D456="Adulto +90kg",26,""))))))))))))))))))))))))))))</f>
        <v/>
      </c>
      <c r="AO460" s="10" t="str">
        <f>IF(Atletas!E456="","",IF(Atletas!B456="Feminino",100,IF(Atletas!B456="Masculino",200,""))+(IF(Atletas!E456="Juvenil 44kg",1,IF(Atletas!E456="Juvenil 48kg",2,IF(Atletas!E456="Juvenil 52kg",3,IF(Atletas!E456="Juvenil 56kg",4,IF(Atletas!E456="Juvenil 60kg",5,IF(Atletas!E456="Juvenil 65kg",6,IF(Atletas!E456="Juvenil 70kg",7,IF(Atletas!E456="Juvenil 75kg",8,IF(Atletas!E456="Juvenil 82kg",9,IF(Atletas!E456="Juvenil 90kg",10,IF(Atletas!E456="Juvenil 100kg",11,IF(Atletas!E456="Adulto 48kg",12,IF(Atletas!E456="Adulto 52kg",13,IF(Atletas!E456="Adulto 56kg",14,IF(Atletas!E456="Adulto 60kg",15,IF(Atletas!E456="Adulto 65kg",16,IF(Atletas!E456="Adulto 70kg",17,IF(Atletas!E456="Adulto 75kg",18,IF(Atletas!E456="Adulto 82kg",19,IF(Atletas!E456="Adulto 90kg",20,IF(Atletas!E456="Adulto 100kg",21,IF(Atletas!E456="Adulto +100kg",22,""))))))))))))))))))))))))</f>
        <v/>
      </c>
      <c r="AT460" s="10" t="str">
        <f>IF(Atletas!F456="","",IF(Atletas!B456="Feminino",100,IF(Atletas!B456="Masculino",200,""))+(IF(Atletas!F456="Adulto 48kg",1,IF(Atletas!F456="Adulto 56kg",2,IF(Atletas!F456="Adulto 65kg",3,IF(Atletas!F456="Adulto 75kg",4,IF(Atletas!F456="Adulto +75kg",5,IF(Atletas!F456="Adulto 52kg",6,IF(Atletas!F456="Adulto 60kg",7,IF(Atletas!F456="Adulto 70kg",8,IF(Atletas!F456="Adulto 80kg",9,IF(Atletas!F456="Adulto 90kg",10,IF(Atletas!F456="Adulto +90kg",11,"")))))))))))))</f>
        <v/>
      </c>
      <c r="AY460" s="46" t="str">
        <f>IF(Atletas!G456="","",IF(Atletas!B456="Feminino",100,IF(Atletas!B456="Masculino",200,""))+(IF(Atletas!G456="Changquan Mirim",1,IF(Atletas!G456="Nanquan Mirim",2,IF(Atletas!G456="Taijiquan Mirim",3,IF(Atletas!G456="Changquan Grupo C",4,IF(Atletas!G456="Nanquan Grupo C",5,IF(Atletas!G456="Taijiquan Grupo C",6,IF(Atletas!G456="Changquan Grupo B",7,IF(Atletas!G456="Nanquan Grupo B",8,IF(Atletas!G456="Taijiquan Grupo B",9,IF(Atletas!G456="Changquan Grupo A",10,IF(Atletas!G456="Nanquan Grupo A",11,IF(Atletas!G456="Taijiquan Grupo A",12,IF(Atletas!G456="Changquan Opcional",13,IF(Atletas!G456="Nanquan Opcional",14,IF(Atletas!G456="Taijiquan Opcional",15,IF(Atletas!G456="Changquan Adulto",16,IF(Atletas!G456="Nanquan Adulto",17,IF(Atletas!G456="Taijiquan Adulto",18,""))))))))))))))))))))</f>
        <v/>
      </c>
      <c r="AZ460" s="46" t="str">
        <f>IF(Atletas!H456="","",IF(Atletas!B456="Feminino",100,IF(Atletas!B456="Masculino",200,""))+(IF(Atletas!H456="Daoshu Mirim",19,IF(Atletas!H456="Jianshu Mirim",20,IF(Atletas!H456="Nandao Mirim",21,IF(Atletas!H456="Taijijian Mirim",22,IF(Atletas!H456="Daoshu Grupo C",23,IF(Atletas!H456="Jianshu Grupo C",24,IF(Atletas!H456="Nandao Grupo C",25,IF(Atletas!H456="Taijijian Grupo C",26,IF(Atletas!H456="Daoshu Grupo B",27,IF(Atletas!H456="Jianshu Grupo B",28,IF(Atletas!H456="Nandao Grupo B",29,IF(Atletas!H456="Taijijian Grupo B",30,IF(Atletas!H456="Daoshu Grupo A",31,IF(Atletas!H456="Jianshu Grupo A",32,IF(Atletas!H456="Nandao Grupo A",33,IF(Atletas!H456="Taijijian Grupo A",34,IF(Atletas!H456="Daoshu Opcional",35,IF(Atletas!H456="Jianshu Opcional",36,IF(Atletas!H456="Nandao Opcional",37,IF(Atletas!H456="Taijijian Opcional",38,IF(Atletas!H456="Daoshu Adulto",39,IF(Atletas!H456="Jianshu Adulto",40,IF(Atletas!H456="Nandao Adulto",41,IF(Atletas!H456="Taijijian Adulto",42,""))))))))))))))))))))))))))</f>
        <v/>
      </c>
      <c r="BA460" s="46" t="str">
        <f>IF(Atletas!I456="","",IF(Atletas!B456="Feminino",100,IF(Atletas!B456="Masculino",200,""))+(IF(Atletas!I456="Gunshu Mirim",43,IF(Atletas!I456="Qiangshu Mirim",44,IF(Atletas!I456="Nangun Mirim",45,IF(Atletas!I456="Gunshu Grupo C",46,IF(Atletas!I456="Qiangshu Grupo C",47,IF(Atletas!I456="Nangun Grupo C",48,IF(Atletas!I456="Gunshu Grupo B",49,IF(Atletas!I456="Qiangshu Grupo B",50,IF(Atletas!I456="Nangun Grupo B",51,IF(Atletas!I456="Gunshu Grupo A",52,IF(Atletas!I456="Qiangshu Grupo A",53,IF(Atletas!I456="Nangun Grupo A",54,IF(Atletas!I456="Gunshu Opcional",55,IF(Atletas!I456="Qiangshu Opcional",56,IF(Atletas!I456="Nangun Opcional",57,IF(Atletas!I456="Gunshu Adulto",58,IF(Atletas!I456="Qiangshu Adulto",59,IF(Atletas!I456="Nangun Adulto",60,""))))))))))))))))))))</f>
        <v/>
      </c>
      <c r="BF460" s="52" t="str">
        <f>IF(Atletas!J456="","",IF(Atletas!B456="Feminino",100,IF(Atletas!B456="Masculino",200,""))+(IF(Atletas!J456="Equipe 1 Grupo B",1,IF(Atletas!J456="Equipe 2 Grupo B",2,IF(Atletas!J456="Equipe 1 Grupo A",3,IF(Atletas!J456="Equipe 2 Grupo A",4,IF(Atletas!J456="Equipe 1 Adulto",5,IF(Atletas!J456="Equipe 2 Adulto",6,""))))))))</f>
        <v/>
      </c>
      <c r="BK460" s="52" t="str">
        <f>IF(Atletas!K456="","",IF(Atletas!W456&lt;&gt;"",10000,0)+(IF(Atletas!B456="Feminino",1000,IF(Atletas!B456="Masculino",2000,""))+IF(Atletas!K456="Choylayfut A",1,IF(Atletas!K456="Hunggar A",2,IF(Atletas!K456="Wuzuquan A",3,IF(Atletas!K456="Wingchun A",4,IF(Atletas!K456="Outra Mão de Sul A",5,IF(Atletas!K456="Choylayfut B",6,IF(Atletas!K456="Hunggar B",7,IF(Atletas!K456="Wuzuquan B",8,IF(Atletas!K456="Wingchun B",9,IF(Atletas!K456="Outra Mão de Sul B",10,IF(Atletas!K456="Choylayfut C",11,IF(Atletas!K456="Hunggar C",12,IF(Atletas!K456="Wuzuquan C",13,IF(Atletas!K456="Wingchun C",14,IF(Atletas!K456="Outra Mão de Sul C",15,IF(Atletas!K456="Choylayfut D",16,IF(Atletas!K456="Hunggar D",17,IF(Atletas!K456="Wuzuquan D",18,IF(Atletas!K456="Wingchun D",19,IF(Atletas!K456="Outra Mão de Sul D",20,IF(Atletas!K456="Choylayfut E",21,IF(Atletas!K456="Hunggar E",22,IF(Atletas!K456="Wuzuquan E",23,IF(Atletas!K456="Wingchun E",24,IF(Atletas!K456="Outra Mão de Sul E",25,IF(Atletas!K456="Choylayfut F",26,IF(Atletas!K456="Hunggar F",27,IF(Atletas!K456="Wuzuquan F",28,IF(Atletas!K456="Wingchun F",29,IF(Atletas!K456="Outra Mão de Sul F",30,""))))))))))))))))))))))))))))))))</f>
        <v/>
      </c>
      <c r="BL460" s="52" t="str">
        <f>IF(Atletas!L456="","",IF(Atletas!W456&lt;&gt;"",10000,0)+(IF(Atletas!B456="Feminino",1000,IF(Atletas!B456="Masculino",2000,""))+(IF(Atletas!L456="Chaquan A",101,IF(Atletas!L456="Emeiquan A",102,IF(Atletas!L456="Fanziquan A",103,IF(Atletas!L456="Huaquan A",104,IF(Atletas!L456="Hongquan A",105,IF(Atletas!L456="Paochui A",106,IF(Atletas!L456="Piguaquan A",107,IF(Atletas!L456="Shaolinquan A",108,IF(Atletas!L456="Tanglangquan A",109,IF(Atletas!L456="Yinzhaophai A",110,IF(Atletas!L456="Tongbeiquan A",111,IF(Atletas!L456="Wudangquan A",112,IF(Atletas!L456="Outros Estilos A",113,IF(Atletas!L456="Chaquan B",114,IF(Atletas!L456="Emeiquan B",115,IF(Atletas!L456="Fanziquan B",116,IF(Atletas!L456="Huaquan B",117,IF(Atletas!L456="Hongquan B",118,IF(Atletas!L456="Paochui B",119,IF(Atletas!L456="Piguaquan B",120,IF(Atletas!L456="Shaolinquan B",121,IF(Atletas!L456="Tanglangquan B",122,IF(Atletas!L456="Yinzhaophai B",123,IF(Atletas!L456="Tongbeiquan B",124,IF(Atletas!L456="Wudangquan B",125,IF(Atletas!L456="Outros Estilos B",126,IF(Atletas!L456="Chaquan C",127,IF(Atletas!L456="Emeiquan C",128,IF(Atletas!L456="Fanziquan C",129,IF(Atletas!L456="Huaquan C",130,IF(Atletas!L456="Hongquan C",131,IF(Atletas!L456="Paochui C",132,IF(Atletas!L456="Piguaquan C",133,IF(Atletas!L456="Shaolinquan C",134,IF(Atletas!L456="Tanglangquan C",135,IF(Atletas!L456="Yinzhaophai C",136,IF(Atletas!L456="Tongbeiquan C",137,IF(Atletas!L456="Wudangquan C",138,IF(Atletas!L456="Outros Estilos C",139,0))))))))))))))))))))))))))))))))))))))))))</f>
        <v/>
      </c>
      <c r="BM460" s="52" t="str">
        <f>IF(Atletas!L456="","",IF(Atletas!W456&lt;&gt;"",10000,0)+(IF(Atletas!B456="Feminino",1000,IF(Atletas!B456="Masculino",2000,""))+(IF(Atletas!L456="Chaquan D",140,IF(Atletas!L456="Emeiquan D",141,IF(Atletas!L456="Fanziquan D",142,IF(Atletas!L456="Huaquan D",143,IF(Atletas!L456="Hongquan D",144,IF(Atletas!L456="Paochui D",145,IF(Atletas!L456="Piguaquan D",146,IF(Atletas!L456="Shaolinquan D",147,IF(Atletas!L456="Tanglangquan D",148,IF(Atletas!L456="Yinzhaophai D",149,IF(Atletas!L456="Tongbeiquan D",150,IF(Atletas!L456="Wudangquan D",151,IF(Atletas!L456="Outros Estilos D",152,IF(Atletas!L456="Chaquan E",153,IF(Atletas!L456="Emeiquan E",154,IF(Atletas!L456="Fanziquan E",155,IF(Atletas!L456="Huaquan E",156,IF(Atletas!L456="Hongquan E",157,IF(Atletas!L456="Paochui E",158,IF(Atletas!L456="Piguaquan E",159,IF(Atletas!L456="Shaolinquan E",160,IF(Atletas!L456="Tanglangquan E",161,IF(Atletas!L456="Yinzhaophai E",162,IF(Atletas!L456="Tongbeiquan E",163,IF(Atletas!L456="Wudangquan E",164,IF(Atletas!L456="Outros Estilos E",165,IF(Atletas!L456="Chaquan F",166,IF(Atletas!L456="Emeiquan F",167,IF(Atletas!L456="Fanziquan F",168,IF(Atletas!L456="Huaquan F",169,IF(Atletas!L456="Hongquan F",170,IF(Atletas!L456="Paochui F",171,IF(Atletas!L456="Piguaquan F",172,IF(Atletas!L456="Shaolinquan F",173,IF(Atletas!L456="Tanglangquan F",174,IF(Atletas!L456="Yinzhaophai F",175,IF(Atletas!L456="Tongbeiquan F",176,IF(Atletas!L456="Wudangquan F",177,IF(Atletas!L456="Outros Estilos F",178,0))))))))))))))))))))))))))))))))))))))))))</f>
        <v/>
      </c>
      <c r="BN460" s="52" t="str">
        <f>IF(Atletas!M456="","",IF(Atletas!W456&lt;&gt;"",10000,0)+(IF(Atletas!B456="Feminino",1000,IF(Atletas!B456="Masculino",2000,""))+(IF(Atletas!M456="Ditangquan A",201,IF(Atletas!M456="Houquan A",202,IF(Atletas!M456="Zuiquan A",203,IF(Atletas!M456="Ditangquan B",204,IF(Atletas!M456="Houquan B",205,IF(Atletas!M456="Zuiquan B",206,IF(Atletas!M456="Ditangquan C",207,IF(Atletas!M456="Houquan C",208,IF(Atletas!M456="Zuiquan C",209,IF(Atletas!M456="Ditangquan D",210,IF(Atletas!M456="Houquan D",211,IF(Atletas!M456="Zuiquan D",212,IF(Atletas!M456="Ditangquan E",213,IF(Atletas!M456="Houquan E",214,IF(Atletas!M456="Zuiquan E",215,IF(Atletas!M456="Ditangquan F",216,IF(Atletas!M456="Houquan F",217,IF(Atletas!M456="Zuiquan F",218,"")))))))))))))))))))))</f>
        <v/>
      </c>
      <c r="BO460" s="52" t="str">
        <f>IF(Atletas!N456="","",IF(Atletas!W456&lt;&gt;"",10000,0)+IF(Atletas!B456="Feminino",1000,IF(Atletas!B456="Masculino",2000,""))+IF(Atletas!N456="Yang A",301,IF(Atletas!N456="Chen A",30,IF(Atletas!N456="Sun A",303,IF(Atletas!N456="Wu A",304,IF(Atletas!N456="Wu-Hao A",305,IF(Atletas!N456="Outro Taijiquan A",306,IF(Atletas!N456="Yang B",307,IF(Atletas!N456="Chen B",308,IF(Atletas!N456="Sun B",309,IF(Atletas!N456="Wu B",310,IF(Atletas!N456="Wu-Hao B",311,IF(Atletas!N456="Outro Taijiquan B",312,IF(Atletas!N456="Yang C",313,IF(Atletas!N456="Chen C",314,IF(Atletas!N456="Sun C",315,IF(Atletas!N456="Wu C",316,IF(Atletas!N456="Wu-Hao C",317,IF(Atletas!N456="Outro Taijiquan C",318,IF(Atletas!N456="Yang D",319,IF(Atletas!N456="Chen D",320,IF(Atletas!N456="Sun D",321,IF(Atletas!N456="Wu D",322,IF(Atletas!N456="Wu-Hao D",323,IF(Atletas!N456="Outro Taijiquan D",324,IF(Atletas!N456="Yang E",325,IF(Atletas!N456="Chen E",326,IF(Atletas!N456="Sun E",327,IF(Atletas!N456="Wu E",328,IF(Atletas!N456="Wu-Hao E",329,IF(Atletas!N456="Outro Taijiquan E",330,IF(Atletas!N456="Yang F",331,IF(Atletas!N456="Chen F",332,IF(Atletas!N456="Sun F",333,IF(Atletas!N456="Wu F",334,IF(Atletas!N456="Wu-Hao F",335,IF(Atletas!N456="Outro Taijiquan F",336,"")))))))))))))))))))))))))))))))))))))</f>
        <v/>
      </c>
      <c r="BP460" s="52" t="str">
        <f>IF(Atletas!O456="","",IF(Atletas!W456&lt;&gt;"",10000,0)+IF(Atletas!B456="Feminino",1000,IF(Atletas!B456="Masculino",2000,""))+IF(OR(Atletas!O456="Yang 26 A",Atletas!O456="Yang 40 A"),401,IF(OR(Atletas!O456="Chen 25 A",Atletas!O456="Chen 36 A",Atletas!O456="Chen 56 A"),402,IF(Atletas!O456="Sun 73 A",403,IF(Atletas!O456="Wu 45 A",404,IF(Atletas!O456="Wu-Hao 46 A",405,IF(OR(Atletas!O456="Taijiquan 16 A",Atletas!O456="Taijiquan 24 A",Atletas!O456="Taijiquan 32 A",Atletas!O456="Taijiquan 42 A"),406,IF(OR(Atletas!O456="Yang 26 B",Atletas!O456="Yang 40 B"),407,IF(OR(Atletas!O456="Chen 25 B",Atletas!O456="Chen 36 B",Atletas!O456="Chen 56 B"),408,IF(Atletas!O456="Sun 73 B",409,IF(Atletas!O456="Wu 45 B",410,IF(Atletas!O456="Wu-Hao 46 B",411,IF(OR(Atletas!O456="Taijiquan 16 B",Atletas!O456="Taijiquan 24 B",Atletas!O456="Taijiquan 32 B",Atletas!O456="Taijiquan 42 B"),412,IF(OR(Atletas!O456="Yang 26 C",Atletas!O456="Yang 40 C"),413,IF(OR(Atletas!O456="Chen 25 C",Atletas!O456="Chen 36 C",Atletas!O456="Chen 56 C"),414,IF(Atletas!O456="Sun 73 C",415,IF(Atletas!O456="Wu 45 C",416,IF(Atletas!O456="Wu-Hao 46 C",417,IF(OR(Atletas!O456="Taijiquan 16 C",Atletas!O456="Taijiquan 24 C",Atletas!O456="Taijiquan 32 C",Atletas!O456="Taijiquan 42 C"),418,0)))))))))))))))))))</f>
        <v/>
      </c>
      <c r="BQ460" s="52" t="str">
        <f>IF(Atletas!O456="","",IF(Atletas!W456&lt;&gt;"",10000,0)+IF(Atletas!B456="Feminino",1000,IF(Atletas!B456="Masculino",2000,""))+IF(OR(Atletas!O456="Yang 26 D",Atletas!O456="Yang 40 D"),419,IF(OR(Atletas!O456="Chen 25 D",Atletas!O456="Chen 36 D",Atletas!O456="Chen 56 D"),420,IF(Atletas!O456="Sun 73 D",421,IF(Atletas!O456="Wu 45 D",422,IF(Atletas!O456="Wu-Hao 46 D",423,IF(OR(Atletas!O456="Taijiquan 16 D",Atletas!O456="Taijiquan 24 D",Atletas!O456="Taijiquan 32 D",Atletas!O456="Taijiquan 42 D"),424,IF(OR(Atletas!O456="Yang 26 E",Atletas!O456="Yang 40 E"),425,IF(OR(Atletas!O456="Chen 25 E",Atletas!O456="Chen 36 E",Atletas!O456="Chen 56 E"),426,IF(Atletas!O456="Sun 73 E",427,IF(Atletas!O456="Wu 45 E",428,IF(Atletas!O456="Wu-Hao 46 E",429,IF(OR(Atletas!O456="Taijiquan 16 E",Atletas!O456="Taijiquan 24 E",Atletas!O456="Taijiquan 32 E",Atletas!O456="Taijiquan 42 E"),430,IF(OR(Atletas!O456="Yang 26 F",Atletas!O456="Yang 40 F"),431,IF(OR(Atletas!O456="Chen 25 F",Atletas!O456="Chen 36 F",Atletas!O456="Chen 56 F"),432,IF(Atletas!O456="Sun 73 F",433,IF(Atletas!O456="Wu 45 F",434,IF(Atletas!O456="Wu-Hao 46 F",435,IF(OR(Atletas!O456="Taijiquan 16 F",Atletas!O456="Taijiquan 24 F",Atletas!O456="Taijiquan 32 F",Atletas!O456="Taijiquan 42 F"),436,0)))))))))))))))))))</f>
        <v/>
      </c>
      <c r="BR460" s="52" t="str">
        <f>IF(Atletas!P456="","",IF(Atletas!W456&lt;&gt;"",10000,0)+IF(Atletas!B456="Feminino",1000,IF(Atletas!B456="Masculino",2000,""))+IF(Atletas!P456="Xingyiquan A",501,IF(Atletas!P456="Baguazhang A",502,IF(Atletas!P456="Outro Estilo Interno A",503,IF(Atletas!P456="Xingyiquan B",504,IF(Atletas!P456="Baguazhang B",505,IF(Atletas!P456="Outro Estilo Interno B",506,IF(Atletas!P456="Xingyiquan C",507,IF(Atletas!P456="Baguazhang C",508,IF(Atletas!P456="Outro Estilo Interno C",509,IF(Atletas!P456="Xingyiquan D",510,IF(Atletas!P456="Baguazhang D",511,IF(Atletas!P456="Outro Estilo Interno D",512,IF(Atletas!P456="Xingyiquan E",513,IF(Atletas!P456="Baguazhang E",514,IF(Atletas!P456="Outro Estilo Interno E",515,IF(Atletas!P456="Xingyiquan F",516,IF(Atletas!P456="Baguazhang F",517,IF(Atletas!P456="Outro Estilo Interno F",518, "")))))))))))))))))))</f>
        <v/>
      </c>
      <c r="BS460" s="52" t="str">
        <f>IF(Atletas!Q456="","",IF(Atletas!W456&lt;&gt;"",10000,0)+IF(Atletas!B456="Feminino",1000,IF(Atletas!B456="Masculino",2000,""))+IF(Atletas!Q456="Dao A",601,IF(Atletas!Q456="Jian A",602,IF(Atletas!Q456="Bishou A",603,IF(Atletas!Q456="Shan A",604,IF(Atletas!Q456="Outra Arma Curta A",605,IF(Atletas!Q456="Dao B",606,IF(Atletas!Q456="Jian B",607,IF(Atletas!Q456="Bishou B",608,IF(Atletas!Q456="Shan B",609,IF(Atletas!Q456="Outra Arma Curta B",610,IF(Atletas!Q456="Dao C",611,IF(Atletas!Q456="Jian C",612,IF(Atletas!Q456="Bishou C",613,IF(Atletas!Q456="Shan C",614,IF(Atletas!Q456="Outra Arma Curta C",615,IF(Atletas!Q456="Dao D",616,IF(Atletas!Q456="Jian D",617,IF(Atletas!Q456="Bishou D",618,IF(Atletas!Q456="Shan D",619,IF(Atletas!Q456="Outra Arma Curta D",620,IF(Atletas!Q456="Dao E",621,IF(Atletas!Q456="Jian E",622,IF(Atletas!Q456="Bishou E",623,IF(Atletas!Q456="Shan E",624,IF(Atletas!Q456="Outra Arma Curta E",625,IF(Atletas!Q456="Dao F",626,IF(Atletas!Q456="Jian F",627,IF(Atletas!Q456="Bishou F",628,IF(Atletas!Q456="Shan F",629,IF(Atletas!Q456="Outra Arma Curta F",630, "")))))))))))))))))))))))))))))))</f>
        <v/>
      </c>
      <c r="BT460" s="52" t="str">
        <f>IF(Atletas!R456="","",IF(Atletas!W456&lt;&gt;"",10000,0)+IF(Atletas!B456="Feminino",1000,IF(Atletas!B456="Masculino",2000,""))+IF(Atletas!R456="Gun A",701,IF(Atletas!R456="Qiang A",702,IF(Atletas!R456="Pudao / Guandao A",703,IF(Atletas!R456="Outra Arma Longa A",704,IF(Atletas!R456="Gun B",705,IF(Atletas!R456="Qiang B",706,IF(Atletas!R456="Pudao / Guandao B",707,IF(Atletas!R456="Outra Arma Longa B",708,IF(Atletas!R456="Gun C",709,IF(Atletas!R456="Qiang C",710,IF(Atletas!R456="Pudao / Guandao C",711,IF(Atletas!R456="Outra Arma Longa C",712,IF(Atletas!R456="Gun D",713,IF(Atletas!R456="Qiang D",714,IF(Atletas!R456="Pudao / Guandao D",715,IF(Atletas!R456="Outra Arma Longa D",716,IF(Atletas!R456="Gun E",717,IF(Atletas!R456="Qiang E",718,IF(Atletas!R456="Pudao / Guandao E",719,IF(Atletas!R456="Outra Arma Longa E",720,IF(Atletas!R456="Gun F",721,IF(Atletas!R456="Qiang F",722,IF(Atletas!R456="Pudao / Guandao F",723,IF(Atletas!R456="Outra Arma Longa F",724,"")))))))))))))))))))))))))</f>
        <v/>
      </c>
      <c r="BU460" s="52" t="str">
        <f>IF(Atletas!S456="","",IF(Atletas!W456&lt;&gt;"",10000,0)+IF(Atletas!B456="Feminino",1000,IF(Atletas!B456="Masculino",2000,""))+IF(Atletas!S456="Arma Dupla A",801,IF(Atletas!S456="Arma Maleável A",802,IF(Atletas!S456="Arma Dupla B",803,IF(Atletas!S456="Arma Maleável B",804,IF(Atletas!S456="Arma Dupla C",805,IF(Atletas!S456="Arma Maleável C",806,IF(Atletas!S456="Arma Dupla D",807,IF(Atletas!S456="Arma Maleável D",808,IF(Atletas!S456="Arma Dupla E",809,IF(Atletas!S456="Arma Maleável E",810,IF(Atletas!S456="Arma Dupla F",811,IF(Atletas!S456="Arma Maleável F",812, "")))))))))))))</f>
        <v/>
      </c>
      <c r="BV460" s="52" t="str">
        <f>IF(Atletas!T456="","",IF(Atletas!W456&lt;&gt;"",10000,0)+IF(Atletas!B456="Feminino",1000,IF(Atletas!B456="Masculino",2000,""))+IF(Atletas!T456="Taijijian Yang A",901,IF(Atletas!T456="Taijijian Chen A",902,IF(Atletas!T456="Taijijian Sun A",903,IF(Atletas!T456="Taijijian Wu A",904,IF(Atletas!T456="Taijijian Wu-Hao A",905,IF(Atletas!T456="Taijijian 32 A",906,IF(Atletas!T456="Taijijian 42 A",907,IF(Atletas!T456="Taijijian Yang B",908,IF(Atletas!T456="Taijijian Chen B",909,IF(Atletas!T456="Taijijian Sun B",910,IF(Atletas!T456="Taijijian Wu B",911,IF(Atletas!T456="Taijijian Wu-Hao B",912,IF(Atletas!T456="Taijijian 32 B",913,IF(Atletas!T456="Taijijian 42 B",914,IF(Atletas!T456="Taijijian Yang C",915,IF(Atletas!T456="Taijijian Chen C",916,IF(Atletas!T456="Taijijian Sun C",917,IF(Atletas!T456="Taijijian Wu C",918,IF(Atletas!T456="Taijijian Wu-Hao C",919,IF(Atletas!T456="Taijijian 32 C",920,IF(Atletas!T456="Taijijian 42 C",921,IF(Atletas!T456="Taijijian Yang D",922,IF(Atletas!T456="Taijijian Chen D",923,IF(Atletas!T456="Taijijian Sun D",924,IF(Atletas!T456="Taijijian Wu D",925,IF(Atletas!T456="Taijijian Wu-Hao D",926,IF(Atletas!T456="Taijijian 32 D",927,IF(Atletas!T456="Taijijian 42 D",928,IF(Atletas!T456="Taijijian Yang E",929,IF(Atletas!T456="Taijijian Chen E",930,IF(Atletas!T456="Taijijian Sun E",931,IF(Atletas!T456="Taijijian Wu E",932,IF(Atletas!T456="Taijijian Wu-Hao E",933,IF(Atletas!T456="Taijijian 32 E",934,IF(Atletas!T456="Taijijian 42 E",935,IF(Atletas!T456="Taijijian Yang F",936,IF(Atletas!T456="Taijijian Chen F",937,IF(Atletas!T456="Taijijian Sun F",938,IF(Atletas!T456="Taijijian Wu F",939,IF(Atletas!T456="Taijijian Wu-Hao F",940,IF(Atletas!T456="Taijijian 32 F",941,IF(Atletas!T456="Taijijian 42 F",942,"")))))))))))))))))))))))))))))))))))))))))))</f>
        <v/>
      </c>
      <c r="BW460" s="52" t="str">
        <f>IF(Atletas!U456="","",IF(Atletas!W456&lt;&gt;"",10000,0)+IF(Atletas!B456="Feminino",1000,IF(Atletas!B456="Masculino",2000,""))+IF(Atletas!T456="Taijijian 42 F",942,IF(Atletas!U456="Taijidao A",943,IF(Atletas!U456="Taijishan A",944,IF(Atletas!U456="Taijiqiang A",945,IF(Atletas!U456="Taijidao B",946,IF(Atletas!U456="Taijishan B",947,IF(Atletas!U456="Taijiqiang B",948,IF(Atletas!U456="Taijidao C",949,IF(Atletas!U456="Taijishan C",950,IF(Atletas!U456="Taijiqiang C",951,IF(Atletas!U456="Taijidao D",952,IF(Atletas!U456="Taijishan D",953,IF(Atletas!U456="Taijiqiang D",954,IF(Atletas!U456="Taijidao E",955,IF(Atletas!U456="Taijishan E",956,IF(Atletas!U456="Taijiqiang E",957,IF(Atletas!U456="Taijidao F",958,IF(Atletas!U456="Taijishan F",959,IF(Atletas!U456="Taijiqiang F",960))))))))))))))))))))</f>
        <v/>
      </c>
      <c r="CF460" s="52" t="str">
        <f xml:space="preserve"> IF(Atletas!V456="","",IF(Atletas!V456="Duilian de Mãos AB - Equipe 1",1,IF(Atletas!V456="Duilian de Mãos AB - Equipe 2",2,IF(Atletas!V456="Duilian de Armas AB - Equipe 1",3,IF(Atletas!V456="Duilian de Armas AB - Equipe 2",4,IF(Atletas!V456="Duilian de Tuishou - Equipe 1",5,IF(Atletas!V456="Duilian de Tuishou - Equipe 2",6,IF(Atletas!V456="Grupo Externo AB - Equipe 1",7,IF(Atletas!V456="Grupo Externo AB - Equipe 2",8,IF(Atletas!V456="Grupo Interno AB - Equipe 1",9,IF(Atletas!V456="Grupo Interno AB - Equipe 2",10,IF(Atletas!V456="Duilian de Mãos CD - Equipe 1",11,IF(Atletas!V456="Duilian de Mãos CD - Equipe 2",12,IF(Atletas!V456="Duilian de Armas CD - Equipe 1",13,IF(Atletas!V456="Duilian de Armas CD - Equipe 2",14,IF(Atletas!V456="Duilian de Tuishou - Equipe 1",15,IF(Atletas!V456="Duilian de Tuishou - Equipe 2",16,IF(Atletas!V456="Grupo Externo CDEF - Equipe 1",17,IF(Atletas!V456="Grupo Externo CDEF - Equipe 2",18,IF(Atletas!V456="Grupo Interno CDEF - Equipe 1",19,IF(Atletas!V456="Grupo Interno CDEF - Equipe 2",20,IF(Atletas!V456="Duilian de Mãos EF - Equipe 1",21,IF(Atletas!V456="Duilian de Mãos EF - Equipe 2",22,IF(Atletas!V456="Duilian de Armas EF - Equipe 1",23,IF(Atletas!V456="Duilian de Armas EF - Equipe 2",24,IF(Atletas!V456="Duilian de Tuishou - Equipe 1",25,IF(Atletas!V456="Duilian de Tuishou - Equipe 2",26,"")))))))))))))))))))))))))))</f>
        <v/>
      </c>
    </row>
    <row r="461" spans="36:84">
      <c r="AJ461" s="46" t="str">
        <f>IF(Atletas!D457="","",IF(Atletas!B457="Feminino",100,IF(Atletas!B457="Masculino",200,""))+(IF(Atletas!D457="Infantil 39kg",1,IF(Atletas!D457="Infantil 42kg",2,IF(Atletas!D457="Infantil 45kg",3,IF(Atletas!D457="Infantil 48kg",4,IF(Atletas!D457="Infantil 52kg",5,IF(Atletas!D457="Infantil 56kg",6,IF(Atletas!D457="Infantil 60kg",7,IF(Atletas!D457="Juvenil 48kg",8,IF(Atletas!D457="Juvenil 52kg",9,IF(Atletas!D457="Juvenil 56kg",10,IF(Atletas!D457="Juvenil 60kg",11,IF(Atletas!D457="Juvenil 65kg",12,IF(Atletas!D457="Juvenil 70kg",13,IF(Atletas!D457="Juvenil 75kg",14,IF(Atletas!D457="Juvenil 80kg",15,IF(Atletas!D457="Adulto 48kg",16,IF(Atletas!D457="Adulto 52kg",17,IF(Atletas!D457="Adulto 56kg",18,IF(Atletas!D457="Adulto 60kg",19,IF(Atletas!D457="Adulto 65kg",20,IF(Atletas!D457="Adulto 70kg",21,IF(Atletas!D457="Adulto 75kg",22,IF(Atletas!D457="Adulto 80kg",23,IF(Atletas!D457="Adulto 85kg",24,IF(Atletas!D457="Adulto 90kg",25,IF(Atletas!D457="Adulto +90kg",26,""))))))))))))))))))))))))))))</f>
        <v/>
      </c>
      <c r="AO461" s="10" t="str">
        <f>IF(Atletas!E457="","",IF(Atletas!B457="Feminino",100,IF(Atletas!B457="Masculino",200,""))+(IF(Atletas!E457="Juvenil 44kg",1,IF(Atletas!E457="Juvenil 48kg",2,IF(Atletas!E457="Juvenil 52kg",3,IF(Atletas!E457="Juvenil 56kg",4,IF(Atletas!E457="Juvenil 60kg",5,IF(Atletas!E457="Juvenil 65kg",6,IF(Atletas!E457="Juvenil 70kg",7,IF(Atletas!E457="Juvenil 75kg",8,IF(Atletas!E457="Juvenil 82kg",9,IF(Atletas!E457="Juvenil 90kg",10,IF(Atletas!E457="Juvenil 100kg",11,IF(Atletas!E457="Adulto 48kg",12,IF(Atletas!E457="Adulto 52kg",13,IF(Atletas!E457="Adulto 56kg",14,IF(Atletas!E457="Adulto 60kg",15,IF(Atletas!E457="Adulto 65kg",16,IF(Atletas!E457="Adulto 70kg",17,IF(Atletas!E457="Adulto 75kg",18,IF(Atletas!E457="Adulto 82kg",19,IF(Atletas!E457="Adulto 90kg",20,IF(Atletas!E457="Adulto 100kg",21,IF(Atletas!E457="Adulto +100kg",22,""))))))))))))))))))))))))</f>
        <v/>
      </c>
      <c r="AT461" s="10" t="str">
        <f>IF(Atletas!F457="","",IF(Atletas!B457="Feminino",100,IF(Atletas!B457="Masculino",200,""))+(IF(Atletas!F457="Adulto 48kg",1,IF(Atletas!F457="Adulto 56kg",2,IF(Atletas!F457="Adulto 65kg",3,IF(Atletas!F457="Adulto 75kg",4,IF(Atletas!F457="Adulto +75kg",5,IF(Atletas!F457="Adulto 52kg",6,IF(Atletas!F457="Adulto 60kg",7,IF(Atletas!F457="Adulto 70kg",8,IF(Atletas!F457="Adulto 80kg",9,IF(Atletas!F457="Adulto 90kg",10,IF(Atletas!F457="Adulto +90kg",11,"")))))))))))))</f>
        <v/>
      </c>
      <c r="AY461" s="46" t="str">
        <f>IF(Atletas!G457="","",IF(Atletas!B457="Feminino",100,IF(Atletas!B457="Masculino",200,""))+(IF(Atletas!G457="Changquan Mirim",1,IF(Atletas!G457="Nanquan Mirim",2,IF(Atletas!G457="Taijiquan Mirim",3,IF(Atletas!G457="Changquan Grupo C",4,IF(Atletas!G457="Nanquan Grupo C",5,IF(Atletas!G457="Taijiquan Grupo C",6,IF(Atletas!G457="Changquan Grupo B",7,IF(Atletas!G457="Nanquan Grupo B",8,IF(Atletas!G457="Taijiquan Grupo B",9,IF(Atletas!G457="Changquan Grupo A",10,IF(Atletas!G457="Nanquan Grupo A",11,IF(Atletas!G457="Taijiquan Grupo A",12,IF(Atletas!G457="Changquan Opcional",13,IF(Atletas!G457="Nanquan Opcional",14,IF(Atletas!G457="Taijiquan Opcional",15,IF(Atletas!G457="Changquan Adulto",16,IF(Atletas!G457="Nanquan Adulto",17,IF(Atletas!G457="Taijiquan Adulto",18,""))))))))))))))))))))</f>
        <v/>
      </c>
      <c r="AZ461" s="46" t="str">
        <f>IF(Atletas!H457="","",IF(Atletas!B457="Feminino",100,IF(Atletas!B457="Masculino",200,""))+(IF(Atletas!H457="Daoshu Mirim",19,IF(Atletas!H457="Jianshu Mirim",20,IF(Atletas!H457="Nandao Mirim",21,IF(Atletas!H457="Taijijian Mirim",22,IF(Atletas!H457="Daoshu Grupo C",23,IF(Atletas!H457="Jianshu Grupo C",24,IF(Atletas!H457="Nandao Grupo C",25,IF(Atletas!H457="Taijijian Grupo C",26,IF(Atletas!H457="Daoshu Grupo B",27,IF(Atletas!H457="Jianshu Grupo B",28,IF(Atletas!H457="Nandao Grupo B",29,IF(Atletas!H457="Taijijian Grupo B",30,IF(Atletas!H457="Daoshu Grupo A",31,IF(Atletas!H457="Jianshu Grupo A",32,IF(Atletas!H457="Nandao Grupo A",33,IF(Atletas!H457="Taijijian Grupo A",34,IF(Atletas!H457="Daoshu Opcional",35,IF(Atletas!H457="Jianshu Opcional",36,IF(Atletas!H457="Nandao Opcional",37,IF(Atletas!H457="Taijijian Opcional",38,IF(Atletas!H457="Daoshu Adulto",39,IF(Atletas!H457="Jianshu Adulto",40,IF(Atletas!H457="Nandao Adulto",41,IF(Atletas!H457="Taijijian Adulto",42,""))))))))))))))))))))))))))</f>
        <v/>
      </c>
      <c r="BA461" s="46" t="str">
        <f>IF(Atletas!I457="","",IF(Atletas!B457="Feminino",100,IF(Atletas!B457="Masculino",200,""))+(IF(Atletas!I457="Gunshu Mirim",43,IF(Atletas!I457="Qiangshu Mirim",44,IF(Atletas!I457="Nangun Mirim",45,IF(Atletas!I457="Gunshu Grupo C",46,IF(Atletas!I457="Qiangshu Grupo C",47,IF(Atletas!I457="Nangun Grupo C",48,IF(Atletas!I457="Gunshu Grupo B",49,IF(Atletas!I457="Qiangshu Grupo B",50,IF(Atletas!I457="Nangun Grupo B",51,IF(Atletas!I457="Gunshu Grupo A",52,IF(Atletas!I457="Qiangshu Grupo A",53,IF(Atletas!I457="Nangun Grupo A",54,IF(Atletas!I457="Gunshu Opcional",55,IF(Atletas!I457="Qiangshu Opcional",56,IF(Atletas!I457="Nangun Opcional",57,IF(Atletas!I457="Gunshu Adulto",58,IF(Atletas!I457="Qiangshu Adulto",59,IF(Atletas!I457="Nangun Adulto",60,""))))))))))))))))))))</f>
        <v/>
      </c>
      <c r="BF461" s="52" t="str">
        <f>IF(Atletas!J457="","",IF(Atletas!B457="Feminino",100,IF(Atletas!B457="Masculino",200,""))+(IF(Atletas!J457="Equipe 1 Grupo B",1,IF(Atletas!J457="Equipe 2 Grupo B",2,IF(Atletas!J457="Equipe 1 Grupo A",3,IF(Atletas!J457="Equipe 2 Grupo A",4,IF(Atletas!J457="Equipe 1 Adulto",5,IF(Atletas!J457="Equipe 2 Adulto",6,""))))))))</f>
        <v/>
      </c>
      <c r="BK461" s="52" t="str">
        <f>IF(Atletas!K457="","",IF(Atletas!W457&lt;&gt;"",10000,0)+(IF(Atletas!B457="Feminino",1000,IF(Atletas!B457="Masculino",2000,""))+IF(Atletas!K457="Choylayfut A",1,IF(Atletas!K457="Hunggar A",2,IF(Atletas!K457="Wuzuquan A",3,IF(Atletas!K457="Wingchun A",4,IF(Atletas!K457="Outra Mão de Sul A",5,IF(Atletas!K457="Choylayfut B",6,IF(Atletas!K457="Hunggar B",7,IF(Atletas!K457="Wuzuquan B",8,IF(Atletas!K457="Wingchun B",9,IF(Atletas!K457="Outra Mão de Sul B",10,IF(Atletas!K457="Choylayfut C",11,IF(Atletas!K457="Hunggar C",12,IF(Atletas!K457="Wuzuquan C",13,IF(Atletas!K457="Wingchun C",14,IF(Atletas!K457="Outra Mão de Sul C",15,IF(Atletas!K457="Choylayfut D",16,IF(Atletas!K457="Hunggar D",17,IF(Atletas!K457="Wuzuquan D",18,IF(Atletas!K457="Wingchun D",19,IF(Atletas!K457="Outra Mão de Sul D",20,IF(Atletas!K457="Choylayfut E",21,IF(Atletas!K457="Hunggar E",22,IF(Atletas!K457="Wuzuquan E",23,IF(Atletas!K457="Wingchun E",24,IF(Atletas!K457="Outra Mão de Sul E",25,IF(Atletas!K457="Choylayfut F",26,IF(Atletas!K457="Hunggar F",27,IF(Atletas!K457="Wuzuquan F",28,IF(Atletas!K457="Wingchun F",29,IF(Atletas!K457="Outra Mão de Sul F",30,""))))))))))))))))))))))))))))))))</f>
        <v/>
      </c>
      <c r="BL461" s="52" t="str">
        <f>IF(Atletas!L457="","",IF(Atletas!W457&lt;&gt;"",10000,0)+(IF(Atletas!B457="Feminino",1000,IF(Atletas!B457="Masculino",2000,""))+(IF(Atletas!L457="Chaquan A",101,IF(Atletas!L457="Emeiquan A",102,IF(Atletas!L457="Fanziquan A",103,IF(Atletas!L457="Huaquan A",104,IF(Atletas!L457="Hongquan A",105,IF(Atletas!L457="Paochui A",106,IF(Atletas!L457="Piguaquan A",107,IF(Atletas!L457="Shaolinquan A",108,IF(Atletas!L457="Tanglangquan A",109,IF(Atletas!L457="Yinzhaophai A",110,IF(Atletas!L457="Tongbeiquan A",111,IF(Atletas!L457="Wudangquan A",112,IF(Atletas!L457="Outros Estilos A",113,IF(Atletas!L457="Chaquan B",114,IF(Atletas!L457="Emeiquan B",115,IF(Atletas!L457="Fanziquan B",116,IF(Atletas!L457="Huaquan B",117,IF(Atletas!L457="Hongquan B",118,IF(Atletas!L457="Paochui B",119,IF(Atletas!L457="Piguaquan B",120,IF(Atletas!L457="Shaolinquan B",121,IF(Atletas!L457="Tanglangquan B",122,IF(Atletas!L457="Yinzhaophai B",123,IF(Atletas!L457="Tongbeiquan B",124,IF(Atletas!L457="Wudangquan B",125,IF(Atletas!L457="Outros Estilos B",126,IF(Atletas!L457="Chaquan C",127,IF(Atletas!L457="Emeiquan C",128,IF(Atletas!L457="Fanziquan C",129,IF(Atletas!L457="Huaquan C",130,IF(Atletas!L457="Hongquan C",131,IF(Atletas!L457="Paochui C",132,IF(Atletas!L457="Piguaquan C",133,IF(Atletas!L457="Shaolinquan C",134,IF(Atletas!L457="Tanglangquan C",135,IF(Atletas!L457="Yinzhaophai C",136,IF(Atletas!L457="Tongbeiquan C",137,IF(Atletas!L457="Wudangquan C",138,IF(Atletas!L457="Outros Estilos C",139,0))))))))))))))))))))))))))))))))))))))))))</f>
        <v/>
      </c>
      <c r="BM461" s="52" t="str">
        <f>IF(Atletas!L457="","",IF(Atletas!W457&lt;&gt;"",10000,0)+(IF(Atletas!B457="Feminino",1000,IF(Atletas!B457="Masculino",2000,""))+(IF(Atletas!L457="Chaquan D",140,IF(Atletas!L457="Emeiquan D",141,IF(Atletas!L457="Fanziquan D",142,IF(Atletas!L457="Huaquan D",143,IF(Atletas!L457="Hongquan D",144,IF(Atletas!L457="Paochui D",145,IF(Atletas!L457="Piguaquan D",146,IF(Atletas!L457="Shaolinquan D",147,IF(Atletas!L457="Tanglangquan D",148,IF(Atletas!L457="Yinzhaophai D",149,IF(Atletas!L457="Tongbeiquan D",150,IF(Atletas!L457="Wudangquan D",151,IF(Atletas!L457="Outros Estilos D",152,IF(Atletas!L457="Chaquan E",153,IF(Atletas!L457="Emeiquan E",154,IF(Atletas!L457="Fanziquan E",155,IF(Atletas!L457="Huaquan E",156,IF(Atletas!L457="Hongquan E",157,IF(Atletas!L457="Paochui E",158,IF(Atletas!L457="Piguaquan E",159,IF(Atletas!L457="Shaolinquan E",160,IF(Atletas!L457="Tanglangquan E",161,IF(Atletas!L457="Yinzhaophai E",162,IF(Atletas!L457="Tongbeiquan E",163,IF(Atletas!L457="Wudangquan E",164,IF(Atletas!L457="Outros Estilos E",165,IF(Atletas!L457="Chaquan F",166,IF(Atletas!L457="Emeiquan F",167,IF(Atletas!L457="Fanziquan F",168,IF(Atletas!L457="Huaquan F",169,IF(Atletas!L457="Hongquan F",170,IF(Atletas!L457="Paochui F",171,IF(Atletas!L457="Piguaquan F",172,IF(Atletas!L457="Shaolinquan F",173,IF(Atletas!L457="Tanglangquan F",174,IF(Atletas!L457="Yinzhaophai F",175,IF(Atletas!L457="Tongbeiquan F",176,IF(Atletas!L457="Wudangquan F",177,IF(Atletas!L457="Outros Estilos F",178,0))))))))))))))))))))))))))))))))))))))))))</f>
        <v/>
      </c>
      <c r="BN461" s="52" t="str">
        <f>IF(Atletas!M457="","",IF(Atletas!W457&lt;&gt;"",10000,0)+(IF(Atletas!B457="Feminino",1000,IF(Atletas!B457="Masculino",2000,""))+(IF(Atletas!M457="Ditangquan A",201,IF(Atletas!M457="Houquan A",202,IF(Atletas!M457="Zuiquan A",203,IF(Atletas!M457="Ditangquan B",204,IF(Atletas!M457="Houquan B",205,IF(Atletas!M457="Zuiquan B",206,IF(Atletas!M457="Ditangquan C",207,IF(Atletas!M457="Houquan C",208,IF(Atletas!M457="Zuiquan C",209,IF(Atletas!M457="Ditangquan D",210,IF(Atletas!M457="Houquan D",211,IF(Atletas!M457="Zuiquan D",212,IF(Atletas!M457="Ditangquan E",213,IF(Atletas!M457="Houquan E",214,IF(Atletas!M457="Zuiquan E",215,IF(Atletas!M457="Ditangquan F",216,IF(Atletas!M457="Houquan F",217,IF(Atletas!M457="Zuiquan F",218,"")))))))))))))))))))))</f>
        <v/>
      </c>
      <c r="BO461" s="52" t="str">
        <f>IF(Atletas!N457="","",IF(Atletas!W457&lt;&gt;"",10000,0)+IF(Atletas!B457="Feminino",1000,IF(Atletas!B457="Masculino",2000,""))+IF(Atletas!N457="Yang A",301,IF(Atletas!N457="Chen A",30,IF(Atletas!N457="Sun A",303,IF(Atletas!N457="Wu A",304,IF(Atletas!N457="Wu-Hao A",305,IF(Atletas!N457="Outro Taijiquan A",306,IF(Atletas!N457="Yang B",307,IF(Atletas!N457="Chen B",308,IF(Atletas!N457="Sun B",309,IF(Atletas!N457="Wu B",310,IF(Atletas!N457="Wu-Hao B",311,IF(Atletas!N457="Outro Taijiquan B",312,IF(Atletas!N457="Yang C",313,IF(Atletas!N457="Chen C",314,IF(Atletas!N457="Sun C",315,IF(Atletas!N457="Wu C",316,IF(Atletas!N457="Wu-Hao C",317,IF(Atletas!N457="Outro Taijiquan C",318,IF(Atletas!N457="Yang D",319,IF(Atletas!N457="Chen D",320,IF(Atletas!N457="Sun D",321,IF(Atletas!N457="Wu D",322,IF(Atletas!N457="Wu-Hao D",323,IF(Atletas!N457="Outro Taijiquan D",324,IF(Atletas!N457="Yang E",325,IF(Atletas!N457="Chen E",326,IF(Atletas!N457="Sun E",327,IF(Atletas!N457="Wu E",328,IF(Atletas!N457="Wu-Hao E",329,IF(Atletas!N457="Outro Taijiquan E",330,IF(Atletas!N457="Yang F",331,IF(Atletas!N457="Chen F",332,IF(Atletas!N457="Sun F",333,IF(Atletas!N457="Wu F",334,IF(Atletas!N457="Wu-Hao F",335,IF(Atletas!N457="Outro Taijiquan F",336,"")))))))))))))))))))))))))))))))))))))</f>
        <v/>
      </c>
      <c r="BP461" s="52" t="str">
        <f>IF(Atletas!O457="","",IF(Atletas!W457&lt;&gt;"",10000,0)+IF(Atletas!B457="Feminino",1000,IF(Atletas!B457="Masculino",2000,""))+IF(OR(Atletas!O457="Yang 26 A",Atletas!O457="Yang 40 A"),401,IF(OR(Atletas!O457="Chen 25 A",Atletas!O457="Chen 36 A",Atletas!O457="Chen 56 A"),402,IF(Atletas!O457="Sun 73 A",403,IF(Atletas!O457="Wu 45 A",404,IF(Atletas!O457="Wu-Hao 46 A",405,IF(OR(Atletas!O457="Taijiquan 16 A",Atletas!O457="Taijiquan 24 A",Atletas!O457="Taijiquan 32 A",Atletas!O457="Taijiquan 42 A"),406,IF(OR(Atletas!O457="Yang 26 B",Atletas!O457="Yang 40 B"),407,IF(OR(Atletas!O457="Chen 25 B",Atletas!O457="Chen 36 B",Atletas!O457="Chen 56 B"),408,IF(Atletas!O457="Sun 73 B",409,IF(Atletas!O457="Wu 45 B",410,IF(Atletas!O457="Wu-Hao 46 B",411,IF(OR(Atletas!O457="Taijiquan 16 B",Atletas!O457="Taijiquan 24 B",Atletas!O457="Taijiquan 32 B",Atletas!O457="Taijiquan 42 B"),412,IF(OR(Atletas!O457="Yang 26 C",Atletas!O457="Yang 40 C"),413,IF(OR(Atletas!O457="Chen 25 C",Atletas!O457="Chen 36 C",Atletas!O457="Chen 56 C"),414,IF(Atletas!O457="Sun 73 C",415,IF(Atletas!O457="Wu 45 C",416,IF(Atletas!O457="Wu-Hao 46 C",417,IF(OR(Atletas!O457="Taijiquan 16 C",Atletas!O457="Taijiquan 24 C",Atletas!O457="Taijiquan 32 C",Atletas!O457="Taijiquan 42 C"),418,0)))))))))))))))))))</f>
        <v/>
      </c>
      <c r="BQ461" s="52" t="str">
        <f>IF(Atletas!O457="","",IF(Atletas!W457&lt;&gt;"",10000,0)+IF(Atletas!B457="Feminino",1000,IF(Atletas!B457="Masculino",2000,""))+IF(OR(Atletas!O457="Yang 26 D",Atletas!O457="Yang 40 D"),419,IF(OR(Atletas!O457="Chen 25 D",Atletas!O457="Chen 36 D",Atletas!O457="Chen 56 D"),420,IF(Atletas!O457="Sun 73 D",421,IF(Atletas!O457="Wu 45 D",422,IF(Atletas!O457="Wu-Hao 46 D",423,IF(OR(Atletas!O457="Taijiquan 16 D",Atletas!O457="Taijiquan 24 D",Atletas!O457="Taijiquan 32 D",Atletas!O457="Taijiquan 42 D"),424,IF(OR(Atletas!O457="Yang 26 E",Atletas!O457="Yang 40 E"),425,IF(OR(Atletas!O457="Chen 25 E",Atletas!O457="Chen 36 E",Atletas!O457="Chen 56 E"),426,IF(Atletas!O457="Sun 73 E",427,IF(Atletas!O457="Wu 45 E",428,IF(Atletas!O457="Wu-Hao 46 E",429,IF(OR(Atletas!O457="Taijiquan 16 E",Atletas!O457="Taijiquan 24 E",Atletas!O457="Taijiquan 32 E",Atletas!O457="Taijiquan 42 E"),430,IF(OR(Atletas!O457="Yang 26 F",Atletas!O457="Yang 40 F"),431,IF(OR(Atletas!O457="Chen 25 F",Atletas!O457="Chen 36 F",Atletas!O457="Chen 56 F"),432,IF(Atletas!O457="Sun 73 F",433,IF(Atletas!O457="Wu 45 F",434,IF(Atletas!O457="Wu-Hao 46 F",435,IF(OR(Atletas!O457="Taijiquan 16 F",Atletas!O457="Taijiquan 24 F",Atletas!O457="Taijiquan 32 F",Atletas!O457="Taijiquan 42 F"),436,0)))))))))))))))))))</f>
        <v/>
      </c>
      <c r="BR461" s="52" t="str">
        <f>IF(Atletas!P457="","",IF(Atletas!W457&lt;&gt;"",10000,0)+IF(Atletas!B457="Feminino",1000,IF(Atletas!B457="Masculino",2000,""))+IF(Atletas!P457="Xingyiquan A",501,IF(Atletas!P457="Baguazhang A",502,IF(Atletas!P457="Outro Estilo Interno A",503,IF(Atletas!P457="Xingyiquan B",504,IF(Atletas!P457="Baguazhang B",505,IF(Atletas!P457="Outro Estilo Interno B",506,IF(Atletas!P457="Xingyiquan C",507,IF(Atletas!P457="Baguazhang C",508,IF(Atletas!P457="Outro Estilo Interno C",509,IF(Atletas!P457="Xingyiquan D",510,IF(Atletas!P457="Baguazhang D",511,IF(Atletas!P457="Outro Estilo Interno D",512,IF(Atletas!P457="Xingyiquan E",513,IF(Atletas!P457="Baguazhang E",514,IF(Atletas!P457="Outro Estilo Interno E",515,IF(Atletas!P457="Xingyiquan F",516,IF(Atletas!P457="Baguazhang F",517,IF(Atletas!P457="Outro Estilo Interno F",518, "")))))))))))))))))))</f>
        <v/>
      </c>
      <c r="BS461" s="52" t="str">
        <f>IF(Atletas!Q457="","",IF(Atletas!W457&lt;&gt;"",10000,0)+IF(Atletas!B457="Feminino",1000,IF(Atletas!B457="Masculino",2000,""))+IF(Atletas!Q457="Dao A",601,IF(Atletas!Q457="Jian A",602,IF(Atletas!Q457="Bishou A",603,IF(Atletas!Q457="Shan A",604,IF(Atletas!Q457="Outra Arma Curta A",605,IF(Atletas!Q457="Dao B",606,IF(Atletas!Q457="Jian B",607,IF(Atletas!Q457="Bishou B",608,IF(Atletas!Q457="Shan B",609,IF(Atletas!Q457="Outra Arma Curta B",610,IF(Atletas!Q457="Dao C",611,IF(Atletas!Q457="Jian C",612,IF(Atletas!Q457="Bishou C",613,IF(Atletas!Q457="Shan C",614,IF(Atletas!Q457="Outra Arma Curta C",615,IF(Atletas!Q457="Dao D",616,IF(Atletas!Q457="Jian D",617,IF(Atletas!Q457="Bishou D",618,IF(Atletas!Q457="Shan D",619,IF(Atletas!Q457="Outra Arma Curta D",620,IF(Atletas!Q457="Dao E",621,IF(Atletas!Q457="Jian E",622,IF(Atletas!Q457="Bishou E",623,IF(Atletas!Q457="Shan E",624,IF(Atletas!Q457="Outra Arma Curta E",625,IF(Atletas!Q457="Dao F",626,IF(Atletas!Q457="Jian F",627,IF(Atletas!Q457="Bishou F",628,IF(Atletas!Q457="Shan F",629,IF(Atletas!Q457="Outra Arma Curta F",630, "")))))))))))))))))))))))))))))))</f>
        <v/>
      </c>
      <c r="BT461" s="52" t="str">
        <f>IF(Atletas!R457="","",IF(Atletas!W457&lt;&gt;"",10000,0)+IF(Atletas!B457="Feminino",1000,IF(Atletas!B457="Masculino",2000,""))+IF(Atletas!R457="Gun A",701,IF(Atletas!R457="Qiang A",702,IF(Atletas!R457="Pudao / Guandao A",703,IF(Atletas!R457="Outra Arma Longa A",704,IF(Atletas!R457="Gun B",705,IF(Atletas!R457="Qiang B",706,IF(Atletas!R457="Pudao / Guandao B",707,IF(Atletas!R457="Outra Arma Longa B",708,IF(Atletas!R457="Gun C",709,IF(Atletas!R457="Qiang C",710,IF(Atletas!R457="Pudao / Guandao C",711,IF(Atletas!R457="Outra Arma Longa C",712,IF(Atletas!R457="Gun D",713,IF(Atletas!R457="Qiang D",714,IF(Atletas!R457="Pudao / Guandao D",715,IF(Atletas!R457="Outra Arma Longa D",716,IF(Atletas!R457="Gun E",717,IF(Atletas!R457="Qiang E",718,IF(Atletas!R457="Pudao / Guandao E",719,IF(Atletas!R457="Outra Arma Longa E",720,IF(Atletas!R457="Gun F",721,IF(Atletas!R457="Qiang F",722,IF(Atletas!R457="Pudao / Guandao F",723,IF(Atletas!R457="Outra Arma Longa F",724,"")))))))))))))))))))))))))</f>
        <v/>
      </c>
      <c r="BU461" s="52" t="str">
        <f>IF(Atletas!S457="","",IF(Atletas!W457&lt;&gt;"",10000,0)+IF(Atletas!B457="Feminino",1000,IF(Atletas!B457="Masculino",2000,""))+IF(Atletas!S457="Arma Dupla A",801,IF(Atletas!S457="Arma Maleável A",802,IF(Atletas!S457="Arma Dupla B",803,IF(Atletas!S457="Arma Maleável B",804,IF(Atletas!S457="Arma Dupla C",805,IF(Atletas!S457="Arma Maleável C",806,IF(Atletas!S457="Arma Dupla D",807,IF(Atletas!S457="Arma Maleável D",808,IF(Atletas!S457="Arma Dupla E",809,IF(Atletas!S457="Arma Maleável E",810,IF(Atletas!S457="Arma Dupla F",811,IF(Atletas!S457="Arma Maleável F",812, "")))))))))))))</f>
        <v/>
      </c>
      <c r="BV461" s="52" t="str">
        <f>IF(Atletas!T457="","",IF(Atletas!W457&lt;&gt;"",10000,0)+IF(Atletas!B457="Feminino",1000,IF(Atletas!B457="Masculino",2000,""))+IF(Atletas!T457="Taijijian Yang A",901,IF(Atletas!T457="Taijijian Chen A",902,IF(Atletas!T457="Taijijian Sun A",903,IF(Atletas!T457="Taijijian Wu A",904,IF(Atletas!T457="Taijijian Wu-Hao A",905,IF(Atletas!T457="Taijijian 32 A",906,IF(Atletas!T457="Taijijian 42 A",907,IF(Atletas!T457="Taijijian Yang B",908,IF(Atletas!T457="Taijijian Chen B",909,IF(Atletas!T457="Taijijian Sun B",910,IF(Atletas!T457="Taijijian Wu B",911,IF(Atletas!T457="Taijijian Wu-Hao B",912,IF(Atletas!T457="Taijijian 32 B",913,IF(Atletas!T457="Taijijian 42 B",914,IF(Atletas!T457="Taijijian Yang C",915,IF(Atletas!T457="Taijijian Chen C",916,IF(Atletas!T457="Taijijian Sun C",917,IF(Atletas!T457="Taijijian Wu C",918,IF(Atletas!T457="Taijijian Wu-Hao C",919,IF(Atletas!T457="Taijijian 32 C",920,IF(Atletas!T457="Taijijian 42 C",921,IF(Atletas!T457="Taijijian Yang D",922,IF(Atletas!T457="Taijijian Chen D",923,IF(Atletas!T457="Taijijian Sun D",924,IF(Atletas!T457="Taijijian Wu D",925,IF(Atletas!T457="Taijijian Wu-Hao D",926,IF(Atletas!T457="Taijijian 32 D",927,IF(Atletas!T457="Taijijian 42 D",928,IF(Atletas!T457="Taijijian Yang E",929,IF(Atletas!T457="Taijijian Chen E",930,IF(Atletas!T457="Taijijian Sun E",931,IF(Atletas!T457="Taijijian Wu E",932,IF(Atletas!T457="Taijijian Wu-Hao E",933,IF(Atletas!T457="Taijijian 32 E",934,IF(Atletas!T457="Taijijian 42 E",935,IF(Atletas!T457="Taijijian Yang F",936,IF(Atletas!T457="Taijijian Chen F",937,IF(Atletas!T457="Taijijian Sun F",938,IF(Atletas!T457="Taijijian Wu F",939,IF(Atletas!T457="Taijijian Wu-Hao F",940,IF(Atletas!T457="Taijijian 32 F",941,IF(Atletas!T457="Taijijian 42 F",942,"")))))))))))))))))))))))))))))))))))))))))))</f>
        <v/>
      </c>
      <c r="BW461" s="52" t="str">
        <f>IF(Atletas!U457="","",IF(Atletas!W457&lt;&gt;"",10000,0)+IF(Atletas!B457="Feminino",1000,IF(Atletas!B457="Masculino",2000,""))+IF(Atletas!T457="Taijijian 42 F",942,IF(Atletas!U457="Taijidao A",943,IF(Atletas!U457="Taijishan A",944,IF(Atletas!U457="Taijiqiang A",945,IF(Atletas!U457="Taijidao B",946,IF(Atletas!U457="Taijishan B",947,IF(Atletas!U457="Taijiqiang B",948,IF(Atletas!U457="Taijidao C",949,IF(Atletas!U457="Taijishan C",950,IF(Atletas!U457="Taijiqiang C",951,IF(Atletas!U457="Taijidao D",952,IF(Atletas!U457="Taijishan D",953,IF(Atletas!U457="Taijiqiang D",954,IF(Atletas!U457="Taijidao E",955,IF(Atletas!U457="Taijishan E",956,IF(Atletas!U457="Taijiqiang E",957,IF(Atletas!U457="Taijidao F",958,IF(Atletas!U457="Taijishan F",959,IF(Atletas!U457="Taijiqiang F",960))))))))))))))))))))</f>
        <v/>
      </c>
      <c r="CF461" s="52" t="str">
        <f xml:space="preserve"> IF(Atletas!V457="","",IF(Atletas!V457="Duilian de Mãos AB - Equipe 1",1,IF(Atletas!V457="Duilian de Mãos AB - Equipe 2",2,IF(Atletas!V457="Duilian de Armas AB - Equipe 1",3,IF(Atletas!V457="Duilian de Armas AB - Equipe 2",4,IF(Atletas!V457="Duilian de Tuishou - Equipe 1",5,IF(Atletas!V457="Duilian de Tuishou - Equipe 2",6,IF(Atletas!V457="Grupo Externo AB - Equipe 1",7,IF(Atletas!V457="Grupo Externo AB - Equipe 2",8,IF(Atletas!V457="Grupo Interno AB - Equipe 1",9,IF(Atletas!V457="Grupo Interno AB - Equipe 2",10,IF(Atletas!V457="Duilian de Mãos CD - Equipe 1",11,IF(Atletas!V457="Duilian de Mãos CD - Equipe 2",12,IF(Atletas!V457="Duilian de Armas CD - Equipe 1",13,IF(Atletas!V457="Duilian de Armas CD - Equipe 2",14,IF(Atletas!V457="Duilian de Tuishou - Equipe 1",15,IF(Atletas!V457="Duilian de Tuishou - Equipe 2",16,IF(Atletas!V457="Grupo Externo CDEF - Equipe 1",17,IF(Atletas!V457="Grupo Externo CDEF - Equipe 2",18,IF(Atletas!V457="Grupo Interno CDEF - Equipe 1",19,IF(Atletas!V457="Grupo Interno CDEF - Equipe 2",20,IF(Atletas!V457="Duilian de Mãos EF - Equipe 1",21,IF(Atletas!V457="Duilian de Mãos EF - Equipe 2",22,IF(Atletas!V457="Duilian de Armas EF - Equipe 1",23,IF(Atletas!V457="Duilian de Armas EF - Equipe 2",24,IF(Atletas!V457="Duilian de Tuishou - Equipe 1",25,IF(Atletas!V457="Duilian de Tuishou - Equipe 2",26,"")))))))))))))))))))))))))))</f>
        <v/>
      </c>
    </row>
    <row r="462" spans="36:84">
      <c r="AJ462" s="46" t="str">
        <f>IF(Atletas!D458="","",IF(Atletas!B458="Feminino",100,IF(Atletas!B458="Masculino",200,""))+(IF(Atletas!D458="Infantil 39kg",1,IF(Atletas!D458="Infantil 42kg",2,IF(Atletas!D458="Infantil 45kg",3,IF(Atletas!D458="Infantil 48kg",4,IF(Atletas!D458="Infantil 52kg",5,IF(Atletas!D458="Infantil 56kg",6,IF(Atletas!D458="Infantil 60kg",7,IF(Atletas!D458="Juvenil 48kg",8,IF(Atletas!D458="Juvenil 52kg",9,IF(Atletas!D458="Juvenil 56kg",10,IF(Atletas!D458="Juvenil 60kg",11,IF(Atletas!D458="Juvenil 65kg",12,IF(Atletas!D458="Juvenil 70kg",13,IF(Atletas!D458="Juvenil 75kg",14,IF(Atletas!D458="Juvenil 80kg",15,IF(Atletas!D458="Adulto 48kg",16,IF(Atletas!D458="Adulto 52kg",17,IF(Atletas!D458="Adulto 56kg",18,IF(Atletas!D458="Adulto 60kg",19,IF(Atletas!D458="Adulto 65kg",20,IF(Atletas!D458="Adulto 70kg",21,IF(Atletas!D458="Adulto 75kg",22,IF(Atletas!D458="Adulto 80kg",23,IF(Atletas!D458="Adulto 85kg",24,IF(Atletas!D458="Adulto 90kg",25,IF(Atletas!D458="Adulto +90kg",26,""))))))))))))))))))))))))))))</f>
        <v/>
      </c>
      <c r="AO462" s="10" t="str">
        <f>IF(Atletas!E458="","",IF(Atletas!B458="Feminino",100,IF(Atletas!B458="Masculino",200,""))+(IF(Atletas!E458="Juvenil 44kg",1,IF(Atletas!E458="Juvenil 48kg",2,IF(Atletas!E458="Juvenil 52kg",3,IF(Atletas!E458="Juvenil 56kg",4,IF(Atletas!E458="Juvenil 60kg",5,IF(Atletas!E458="Juvenil 65kg",6,IF(Atletas!E458="Juvenil 70kg",7,IF(Atletas!E458="Juvenil 75kg",8,IF(Atletas!E458="Juvenil 82kg",9,IF(Atletas!E458="Juvenil 90kg",10,IF(Atletas!E458="Juvenil 100kg",11,IF(Atletas!E458="Adulto 48kg",12,IF(Atletas!E458="Adulto 52kg",13,IF(Atletas!E458="Adulto 56kg",14,IF(Atletas!E458="Adulto 60kg",15,IF(Atletas!E458="Adulto 65kg",16,IF(Atletas!E458="Adulto 70kg",17,IF(Atletas!E458="Adulto 75kg",18,IF(Atletas!E458="Adulto 82kg",19,IF(Atletas!E458="Adulto 90kg",20,IF(Atletas!E458="Adulto 100kg",21,IF(Atletas!E458="Adulto +100kg",22,""))))))))))))))))))))))))</f>
        <v/>
      </c>
      <c r="AT462" s="10" t="str">
        <f>IF(Atletas!F458="","",IF(Atletas!B458="Feminino",100,IF(Atletas!B458="Masculino",200,""))+(IF(Atletas!F458="Adulto 48kg",1,IF(Atletas!F458="Adulto 56kg",2,IF(Atletas!F458="Adulto 65kg",3,IF(Atletas!F458="Adulto 75kg",4,IF(Atletas!F458="Adulto +75kg",5,IF(Atletas!F458="Adulto 52kg",6,IF(Atletas!F458="Adulto 60kg",7,IF(Atletas!F458="Adulto 70kg",8,IF(Atletas!F458="Adulto 80kg",9,IF(Atletas!F458="Adulto 90kg",10,IF(Atletas!F458="Adulto +90kg",11,"")))))))))))))</f>
        <v/>
      </c>
      <c r="AY462" s="46" t="str">
        <f>IF(Atletas!G458="","",IF(Atletas!B458="Feminino",100,IF(Atletas!B458="Masculino",200,""))+(IF(Atletas!G458="Changquan Mirim",1,IF(Atletas!G458="Nanquan Mirim",2,IF(Atletas!G458="Taijiquan Mirim",3,IF(Atletas!G458="Changquan Grupo C",4,IF(Atletas!G458="Nanquan Grupo C",5,IF(Atletas!G458="Taijiquan Grupo C",6,IF(Atletas!G458="Changquan Grupo B",7,IF(Atletas!G458="Nanquan Grupo B",8,IF(Atletas!G458="Taijiquan Grupo B",9,IF(Atletas!G458="Changquan Grupo A",10,IF(Atletas!G458="Nanquan Grupo A",11,IF(Atletas!G458="Taijiquan Grupo A",12,IF(Atletas!G458="Changquan Opcional",13,IF(Atletas!G458="Nanquan Opcional",14,IF(Atletas!G458="Taijiquan Opcional",15,IF(Atletas!G458="Changquan Adulto",16,IF(Atletas!G458="Nanquan Adulto",17,IF(Atletas!G458="Taijiquan Adulto",18,""))))))))))))))))))))</f>
        <v/>
      </c>
      <c r="AZ462" s="46" t="str">
        <f>IF(Atletas!H458="","",IF(Atletas!B458="Feminino",100,IF(Atletas!B458="Masculino",200,""))+(IF(Atletas!H458="Daoshu Mirim",19,IF(Atletas!H458="Jianshu Mirim",20,IF(Atletas!H458="Nandao Mirim",21,IF(Atletas!H458="Taijijian Mirim",22,IF(Atletas!H458="Daoshu Grupo C",23,IF(Atletas!H458="Jianshu Grupo C",24,IF(Atletas!H458="Nandao Grupo C",25,IF(Atletas!H458="Taijijian Grupo C",26,IF(Atletas!H458="Daoshu Grupo B",27,IF(Atletas!H458="Jianshu Grupo B",28,IF(Atletas!H458="Nandao Grupo B",29,IF(Atletas!H458="Taijijian Grupo B",30,IF(Atletas!H458="Daoshu Grupo A",31,IF(Atletas!H458="Jianshu Grupo A",32,IF(Atletas!H458="Nandao Grupo A",33,IF(Atletas!H458="Taijijian Grupo A",34,IF(Atletas!H458="Daoshu Opcional",35,IF(Atletas!H458="Jianshu Opcional",36,IF(Atletas!H458="Nandao Opcional",37,IF(Atletas!H458="Taijijian Opcional",38,IF(Atletas!H458="Daoshu Adulto",39,IF(Atletas!H458="Jianshu Adulto",40,IF(Atletas!H458="Nandao Adulto",41,IF(Atletas!H458="Taijijian Adulto",42,""))))))))))))))))))))))))))</f>
        <v/>
      </c>
      <c r="BA462" s="46" t="str">
        <f>IF(Atletas!I458="","",IF(Atletas!B458="Feminino",100,IF(Atletas!B458="Masculino",200,""))+(IF(Atletas!I458="Gunshu Mirim",43,IF(Atletas!I458="Qiangshu Mirim",44,IF(Atletas!I458="Nangun Mirim",45,IF(Atletas!I458="Gunshu Grupo C",46,IF(Atletas!I458="Qiangshu Grupo C",47,IF(Atletas!I458="Nangun Grupo C",48,IF(Atletas!I458="Gunshu Grupo B",49,IF(Atletas!I458="Qiangshu Grupo B",50,IF(Atletas!I458="Nangun Grupo B",51,IF(Atletas!I458="Gunshu Grupo A",52,IF(Atletas!I458="Qiangshu Grupo A",53,IF(Atletas!I458="Nangun Grupo A",54,IF(Atletas!I458="Gunshu Opcional",55,IF(Atletas!I458="Qiangshu Opcional",56,IF(Atletas!I458="Nangun Opcional",57,IF(Atletas!I458="Gunshu Adulto",58,IF(Atletas!I458="Qiangshu Adulto",59,IF(Atletas!I458="Nangun Adulto",60,""))))))))))))))))))))</f>
        <v/>
      </c>
      <c r="BF462" s="52" t="str">
        <f>IF(Atletas!J458="","",IF(Atletas!B458="Feminino",100,IF(Atletas!B458="Masculino",200,""))+(IF(Atletas!J458="Equipe 1 Grupo B",1,IF(Atletas!J458="Equipe 2 Grupo B",2,IF(Atletas!J458="Equipe 1 Grupo A",3,IF(Atletas!J458="Equipe 2 Grupo A",4,IF(Atletas!J458="Equipe 1 Adulto",5,IF(Atletas!J458="Equipe 2 Adulto",6,""))))))))</f>
        <v/>
      </c>
      <c r="BK462" s="52" t="str">
        <f>IF(Atletas!K458="","",IF(Atletas!W458&lt;&gt;"",10000,0)+(IF(Atletas!B458="Feminino",1000,IF(Atletas!B458="Masculino",2000,""))+IF(Atletas!K458="Choylayfut A",1,IF(Atletas!K458="Hunggar A",2,IF(Atletas!K458="Wuzuquan A",3,IF(Atletas!K458="Wingchun A",4,IF(Atletas!K458="Outra Mão de Sul A",5,IF(Atletas!K458="Choylayfut B",6,IF(Atletas!K458="Hunggar B",7,IF(Atletas!K458="Wuzuquan B",8,IF(Atletas!K458="Wingchun B",9,IF(Atletas!K458="Outra Mão de Sul B",10,IF(Atletas!K458="Choylayfut C",11,IF(Atletas!K458="Hunggar C",12,IF(Atletas!K458="Wuzuquan C",13,IF(Atletas!K458="Wingchun C",14,IF(Atletas!K458="Outra Mão de Sul C",15,IF(Atletas!K458="Choylayfut D",16,IF(Atletas!K458="Hunggar D",17,IF(Atletas!K458="Wuzuquan D",18,IF(Atletas!K458="Wingchun D",19,IF(Atletas!K458="Outra Mão de Sul D",20,IF(Atletas!K458="Choylayfut E",21,IF(Atletas!K458="Hunggar E",22,IF(Atletas!K458="Wuzuquan E",23,IF(Atletas!K458="Wingchun E",24,IF(Atletas!K458="Outra Mão de Sul E",25,IF(Atletas!K458="Choylayfut F",26,IF(Atletas!K458="Hunggar F",27,IF(Atletas!K458="Wuzuquan F",28,IF(Atletas!K458="Wingchun F",29,IF(Atletas!K458="Outra Mão de Sul F",30,""))))))))))))))))))))))))))))))))</f>
        <v/>
      </c>
      <c r="BL462" s="52" t="str">
        <f>IF(Atletas!L458="","",IF(Atletas!W458&lt;&gt;"",10000,0)+(IF(Atletas!B458="Feminino",1000,IF(Atletas!B458="Masculino",2000,""))+(IF(Atletas!L458="Chaquan A",101,IF(Atletas!L458="Emeiquan A",102,IF(Atletas!L458="Fanziquan A",103,IF(Atletas!L458="Huaquan A",104,IF(Atletas!L458="Hongquan A",105,IF(Atletas!L458="Paochui A",106,IF(Atletas!L458="Piguaquan A",107,IF(Atletas!L458="Shaolinquan A",108,IF(Atletas!L458="Tanglangquan A",109,IF(Atletas!L458="Yinzhaophai A",110,IF(Atletas!L458="Tongbeiquan A",111,IF(Atletas!L458="Wudangquan A",112,IF(Atletas!L458="Outros Estilos A",113,IF(Atletas!L458="Chaquan B",114,IF(Atletas!L458="Emeiquan B",115,IF(Atletas!L458="Fanziquan B",116,IF(Atletas!L458="Huaquan B",117,IF(Atletas!L458="Hongquan B",118,IF(Atletas!L458="Paochui B",119,IF(Atletas!L458="Piguaquan B",120,IF(Atletas!L458="Shaolinquan B",121,IF(Atletas!L458="Tanglangquan B",122,IF(Atletas!L458="Yinzhaophai B",123,IF(Atletas!L458="Tongbeiquan B",124,IF(Atletas!L458="Wudangquan B",125,IF(Atletas!L458="Outros Estilos B",126,IF(Atletas!L458="Chaquan C",127,IF(Atletas!L458="Emeiquan C",128,IF(Atletas!L458="Fanziquan C",129,IF(Atletas!L458="Huaquan C",130,IF(Atletas!L458="Hongquan C",131,IF(Atletas!L458="Paochui C",132,IF(Atletas!L458="Piguaquan C",133,IF(Atletas!L458="Shaolinquan C",134,IF(Atletas!L458="Tanglangquan C",135,IF(Atletas!L458="Yinzhaophai C",136,IF(Atletas!L458="Tongbeiquan C",137,IF(Atletas!L458="Wudangquan C",138,IF(Atletas!L458="Outros Estilos C",139,0))))))))))))))))))))))))))))))))))))))))))</f>
        <v/>
      </c>
      <c r="BM462" s="52" t="str">
        <f>IF(Atletas!L458="","",IF(Atletas!W458&lt;&gt;"",10000,0)+(IF(Atletas!B458="Feminino",1000,IF(Atletas!B458="Masculino",2000,""))+(IF(Atletas!L458="Chaquan D",140,IF(Atletas!L458="Emeiquan D",141,IF(Atletas!L458="Fanziquan D",142,IF(Atletas!L458="Huaquan D",143,IF(Atletas!L458="Hongquan D",144,IF(Atletas!L458="Paochui D",145,IF(Atletas!L458="Piguaquan D",146,IF(Atletas!L458="Shaolinquan D",147,IF(Atletas!L458="Tanglangquan D",148,IF(Atletas!L458="Yinzhaophai D",149,IF(Atletas!L458="Tongbeiquan D",150,IF(Atletas!L458="Wudangquan D",151,IF(Atletas!L458="Outros Estilos D",152,IF(Atletas!L458="Chaquan E",153,IF(Atletas!L458="Emeiquan E",154,IF(Atletas!L458="Fanziquan E",155,IF(Atletas!L458="Huaquan E",156,IF(Atletas!L458="Hongquan E",157,IF(Atletas!L458="Paochui E",158,IF(Atletas!L458="Piguaquan E",159,IF(Atletas!L458="Shaolinquan E",160,IF(Atletas!L458="Tanglangquan E",161,IF(Atletas!L458="Yinzhaophai E",162,IF(Atletas!L458="Tongbeiquan E",163,IF(Atletas!L458="Wudangquan E",164,IF(Atletas!L458="Outros Estilos E",165,IF(Atletas!L458="Chaquan F",166,IF(Atletas!L458="Emeiquan F",167,IF(Atletas!L458="Fanziquan F",168,IF(Atletas!L458="Huaquan F",169,IF(Atletas!L458="Hongquan F",170,IF(Atletas!L458="Paochui F",171,IF(Atletas!L458="Piguaquan F",172,IF(Atletas!L458="Shaolinquan F",173,IF(Atletas!L458="Tanglangquan F",174,IF(Atletas!L458="Yinzhaophai F",175,IF(Atletas!L458="Tongbeiquan F",176,IF(Atletas!L458="Wudangquan F",177,IF(Atletas!L458="Outros Estilos F",178,0))))))))))))))))))))))))))))))))))))))))))</f>
        <v/>
      </c>
      <c r="BN462" s="52" t="str">
        <f>IF(Atletas!M458="","",IF(Atletas!W458&lt;&gt;"",10000,0)+(IF(Atletas!B458="Feminino",1000,IF(Atletas!B458="Masculino",2000,""))+(IF(Atletas!M458="Ditangquan A",201,IF(Atletas!M458="Houquan A",202,IF(Atletas!M458="Zuiquan A",203,IF(Atletas!M458="Ditangquan B",204,IF(Atletas!M458="Houquan B",205,IF(Atletas!M458="Zuiquan B",206,IF(Atletas!M458="Ditangquan C",207,IF(Atletas!M458="Houquan C",208,IF(Atletas!M458="Zuiquan C",209,IF(Atletas!M458="Ditangquan D",210,IF(Atletas!M458="Houquan D",211,IF(Atletas!M458="Zuiquan D",212,IF(Atletas!M458="Ditangquan E",213,IF(Atletas!M458="Houquan E",214,IF(Atletas!M458="Zuiquan E",215,IF(Atletas!M458="Ditangquan F",216,IF(Atletas!M458="Houquan F",217,IF(Atletas!M458="Zuiquan F",218,"")))))))))))))))))))))</f>
        <v/>
      </c>
      <c r="BO462" s="52" t="str">
        <f>IF(Atletas!N458="","",IF(Atletas!W458&lt;&gt;"",10000,0)+IF(Atletas!B458="Feminino",1000,IF(Atletas!B458="Masculino",2000,""))+IF(Atletas!N458="Yang A",301,IF(Atletas!N458="Chen A",30,IF(Atletas!N458="Sun A",303,IF(Atletas!N458="Wu A",304,IF(Atletas!N458="Wu-Hao A",305,IF(Atletas!N458="Outro Taijiquan A",306,IF(Atletas!N458="Yang B",307,IF(Atletas!N458="Chen B",308,IF(Atletas!N458="Sun B",309,IF(Atletas!N458="Wu B",310,IF(Atletas!N458="Wu-Hao B",311,IF(Atletas!N458="Outro Taijiquan B",312,IF(Atletas!N458="Yang C",313,IF(Atletas!N458="Chen C",314,IF(Atletas!N458="Sun C",315,IF(Atletas!N458="Wu C",316,IF(Atletas!N458="Wu-Hao C",317,IF(Atletas!N458="Outro Taijiquan C",318,IF(Atletas!N458="Yang D",319,IF(Atletas!N458="Chen D",320,IF(Atletas!N458="Sun D",321,IF(Atletas!N458="Wu D",322,IF(Atletas!N458="Wu-Hao D",323,IF(Atletas!N458="Outro Taijiquan D",324,IF(Atletas!N458="Yang E",325,IF(Atletas!N458="Chen E",326,IF(Atletas!N458="Sun E",327,IF(Atletas!N458="Wu E",328,IF(Atletas!N458="Wu-Hao E",329,IF(Atletas!N458="Outro Taijiquan E",330,IF(Atletas!N458="Yang F",331,IF(Atletas!N458="Chen F",332,IF(Atletas!N458="Sun F",333,IF(Atletas!N458="Wu F",334,IF(Atletas!N458="Wu-Hao F",335,IF(Atletas!N458="Outro Taijiquan F",336,"")))))))))))))))))))))))))))))))))))))</f>
        <v/>
      </c>
      <c r="BP462" s="52" t="str">
        <f>IF(Atletas!O458="","",IF(Atletas!W458&lt;&gt;"",10000,0)+IF(Atletas!B458="Feminino",1000,IF(Atletas!B458="Masculino",2000,""))+IF(OR(Atletas!O458="Yang 26 A",Atletas!O458="Yang 40 A"),401,IF(OR(Atletas!O458="Chen 25 A",Atletas!O458="Chen 36 A",Atletas!O458="Chen 56 A"),402,IF(Atletas!O458="Sun 73 A",403,IF(Atletas!O458="Wu 45 A",404,IF(Atletas!O458="Wu-Hao 46 A",405,IF(OR(Atletas!O458="Taijiquan 16 A",Atletas!O458="Taijiquan 24 A",Atletas!O458="Taijiquan 32 A",Atletas!O458="Taijiquan 42 A"),406,IF(OR(Atletas!O458="Yang 26 B",Atletas!O458="Yang 40 B"),407,IF(OR(Atletas!O458="Chen 25 B",Atletas!O458="Chen 36 B",Atletas!O458="Chen 56 B"),408,IF(Atletas!O458="Sun 73 B",409,IF(Atletas!O458="Wu 45 B",410,IF(Atletas!O458="Wu-Hao 46 B",411,IF(OR(Atletas!O458="Taijiquan 16 B",Atletas!O458="Taijiquan 24 B",Atletas!O458="Taijiquan 32 B",Atletas!O458="Taijiquan 42 B"),412,IF(OR(Atletas!O458="Yang 26 C",Atletas!O458="Yang 40 C"),413,IF(OR(Atletas!O458="Chen 25 C",Atletas!O458="Chen 36 C",Atletas!O458="Chen 56 C"),414,IF(Atletas!O458="Sun 73 C",415,IF(Atletas!O458="Wu 45 C",416,IF(Atletas!O458="Wu-Hao 46 C",417,IF(OR(Atletas!O458="Taijiquan 16 C",Atletas!O458="Taijiquan 24 C",Atletas!O458="Taijiquan 32 C",Atletas!O458="Taijiquan 42 C"),418,0)))))))))))))))))))</f>
        <v/>
      </c>
      <c r="BQ462" s="52" t="str">
        <f>IF(Atletas!O458="","",IF(Atletas!W458&lt;&gt;"",10000,0)+IF(Atletas!B458="Feminino",1000,IF(Atletas!B458="Masculino",2000,""))+IF(OR(Atletas!O458="Yang 26 D",Atletas!O458="Yang 40 D"),419,IF(OR(Atletas!O458="Chen 25 D",Atletas!O458="Chen 36 D",Atletas!O458="Chen 56 D"),420,IF(Atletas!O458="Sun 73 D",421,IF(Atletas!O458="Wu 45 D",422,IF(Atletas!O458="Wu-Hao 46 D",423,IF(OR(Atletas!O458="Taijiquan 16 D",Atletas!O458="Taijiquan 24 D",Atletas!O458="Taijiquan 32 D",Atletas!O458="Taijiquan 42 D"),424,IF(OR(Atletas!O458="Yang 26 E",Atletas!O458="Yang 40 E"),425,IF(OR(Atletas!O458="Chen 25 E",Atletas!O458="Chen 36 E",Atletas!O458="Chen 56 E"),426,IF(Atletas!O458="Sun 73 E",427,IF(Atletas!O458="Wu 45 E",428,IF(Atletas!O458="Wu-Hao 46 E",429,IF(OR(Atletas!O458="Taijiquan 16 E",Atletas!O458="Taijiquan 24 E",Atletas!O458="Taijiquan 32 E",Atletas!O458="Taijiquan 42 E"),430,IF(OR(Atletas!O458="Yang 26 F",Atletas!O458="Yang 40 F"),431,IF(OR(Atletas!O458="Chen 25 F",Atletas!O458="Chen 36 F",Atletas!O458="Chen 56 F"),432,IF(Atletas!O458="Sun 73 F",433,IF(Atletas!O458="Wu 45 F",434,IF(Atletas!O458="Wu-Hao 46 F",435,IF(OR(Atletas!O458="Taijiquan 16 F",Atletas!O458="Taijiquan 24 F",Atletas!O458="Taijiquan 32 F",Atletas!O458="Taijiquan 42 F"),436,0)))))))))))))))))))</f>
        <v/>
      </c>
      <c r="BR462" s="52" t="str">
        <f>IF(Atletas!P458="","",IF(Atletas!W458&lt;&gt;"",10000,0)+IF(Atletas!B458="Feminino",1000,IF(Atletas!B458="Masculino",2000,""))+IF(Atletas!P458="Xingyiquan A",501,IF(Atletas!P458="Baguazhang A",502,IF(Atletas!P458="Outro Estilo Interno A",503,IF(Atletas!P458="Xingyiquan B",504,IF(Atletas!P458="Baguazhang B",505,IF(Atletas!P458="Outro Estilo Interno B",506,IF(Atletas!P458="Xingyiquan C",507,IF(Atletas!P458="Baguazhang C",508,IF(Atletas!P458="Outro Estilo Interno C",509,IF(Atletas!P458="Xingyiquan D",510,IF(Atletas!P458="Baguazhang D",511,IF(Atletas!P458="Outro Estilo Interno D",512,IF(Atletas!P458="Xingyiquan E",513,IF(Atletas!P458="Baguazhang E",514,IF(Atletas!P458="Outro Estilo Interno E",515,IF(Atletas!P458="Xingyiquan F",516,IF(Atletas!P458="Baguazhang F",517,IF(Atletas!P458="Outro Estilo Interno F",518, "")))))))))))))))))))</f>
        <v/>
      </c>
      <c r="BS462" s="52" t="str">
        <f>IF(Atletas!Q458="","",IF(Atletas!W458&lt;&gt;"",10000,0)+IF(Atletas!B458="Feminino",1000,IF(Atletas!B458="Masculino",2000,""))+IF(Atletas!Q458="Dao A",601,IF(Atletas!Q458="Jian A",602,IF(Atletas!Q458="Bishou A",603,IF(Atletas!Q458="Shan A",604,IF(Atletas!Q458="Outra Arma Curta A",605,IF(Atletas!Q458="Dao B",606,IF(Atletas!Q458="Jian B",607,IF(Atletas!Q458="Bishou B",608,IF(Atletas!Q458="Shan B",609,IF(Atletas!Q458="Outra Arma Curta B",610,IF(Atletas!Q458="Dao C",611,IF(Atletas!Q458="Jian C",612,IF(Atletas!Q458="Bishou C",613,IF(Atletas!Q458="Shan C",614,IF(Atletas!Q458="Outra Arma Curta C",615,IF(Atletas!Q458="Dao D",616,IF(Atletas!Q458="Jian D",617,IF(Atletas!Q458="Bishou D",618,IF(Atletas!Q458="Shan D",619,IF(Atletas!Q458="Outra Arma Curta D",620,IF(Atletas!Q458="Dao E",621,IF(Atletas!Q458="Jian E",622,IF(Atletas!Q458="Bishou E",623,IF(Atletas!Q458="Shan E",624,IF(Atletas!Q458="Outra Arma Curta E",625,IF(Atletas!Q458="Dao F",626,IF(Atletas!Q458="Jian F",627,IF(Atletas!Q458="Bishou F",628,IF(Atletas!Q458="Shan F",629,IF(Atletas!Q458="Outra Arma Curta F",630, "")))))))))))))))))))))))))))))))</f>
        <v/>
      </c>
      <c r="BT462" s="52" t="str">
        <f>IF(Atletas!R458="","",IF(Atletas!W458&lt;&gt;"",10000,0)+IF(Atletas!B458="Feminino",1000,IF(Atletas!B458="Masculino",2000,""))+IF(Atletas!R458="Gun A",701,IF(Atletas!R458="Qiang A",702,IF(Atletas!R458="Pudao / Guandao A",703,IF(Atletas!R458="Outra Arma Longa A",704,IF(Atletas!R458="Gun B",705,IF(Atletas!R458="Qiang B",706,IF(Atletas!R458="Pudao / Guandao B",707,IF(Atletas!R458="Outra Arma Longa B",708,IF(Atletas!R458="Gun C",709,IF(Atletas!R458="Qiang C",710,IF(Atletas!R458="Pudao / Guandao C",711,IF(Atletas!R458="Outra Arma Longa C",712,IF(Atletas!R458="Gun D",713,IF(Atletas!R458="Qiang D",714,IF(Atletas!R458="Pudao / Guandao D",715,IF(Atletas!R458="Outra Arma Longa D",716,IF(Atletas!R458="Gun E",717,IF(Atletas!R458="Qiang E",718,IF(Atletas!R458="Pudao / Guandao E",719,IF(Atletas!R458="Outra Arma Longa E",720,IF(Atletas!R458="Gun F",721,IF(Atletas!R458="Qiang F",722,IF(Atletas!R458="Pudao / Guandao F",723,IF(Atletas!R458="Outra Arma Longa F",724,"")))))))))))))))))))))))))</f>
        <v/>
      </c>
      <c r="BU462" s="52" t="str">
        <f>IF(Atletas!S458="","",IF(Atletas!W458&lt;&gt;"",10000,0)+IF(Atletas!B458="Feminino",1000,IF(Atletas!B458="Masculino",2000,""))+IF(Atletas!S458="Arma Dupla A",801,IF(Atletas!S458="Arma Maleável A",802,IF(Atletas!S458="Arma Dupla B",803,IF(Atletas!S458="Arma Maleável B",804,IF(Atletas!S458="Arma Dupla C",805,IF(Atletas!S458="Arma Maleável C",806,IF(Atletas!S458="Arma Dupla D",807,IF(Atletas!S458="Arma Maleável D",808,IF(Atletas!S458="Arma Dupla E",809,IF(Atletas!S458="Arma Maleável E",810,IF(Atletas!S458="Arma Dupla F",811,IF(Atletas!S458="Arma Maleável F",812, "")))))))))))))</f>
        <v/>
      </c>
      <c r="BV462" s="52" t="str">
        <f>IF(Atletas!T458="","",IF(Atletas!W458&lt;&gt;"",10000,0)+IF(Atletas!B458="Feminino",1000,IF(Atletas!B458="Masculino",2000,""))+IF(Atletas!T458="Taijijian Yang A",901,IF(Atletas!T458="Taijijian Chen A",902,IF(Atletas!T458="Taijijian Sun A",903,IF(Atletas!T458="Taijijian Wu A",904,IF(Atletas!T458="Taijijian Wu-Hao A",905,IF(Atletas!T458="Taijijian 32 A",906,IF(Atletas!T458="Taijijian 42 A",907,IF(Atletas!T458="Taijijian Yang B",908,IF(Atletas!T458="Taijijian Chen B",909,IF(Atletas!T458="Taijijian Sun B",910,IF(Atletas!T458="Taijijian Wu B",911,IF(Atletas!T458="Taijijian Wu-Hao B",912,IF(Atletas!T458="Taijijian 32 B",913,IF(Atletas!T458="Taijijian 42 B",914,IF(Atletas!T458="Taijijian Yang C",915,IF(Atletas!T458="Taijijian Chen C",916,IF(Atletas!T458="Taijijian Sun C",917,IF(Atletas!T458="Taijijian Wu C",918,IF(Atletas!T458="Taijijian Wu-Hao C",919,IF(Atletas!T458="Taijijian 32 C",920,IF(Atletas!T458="Taijijian 42 C",921,IF(Atletas!T458="Taijijian Yang D",922,IF(Atletas!T458="Taijijian Chen D",923,IF(Atletas!T458="Taijijian Sun D",924,IF(Atletas!T458="Taijijian Wu D",925,IF(Atletas!T458="Taijijian Wu-Hao D",926,IF(Atletas!T458="Taijijian 32 D",927,IF(Atletas!T458="Taijijian 42 D",928,IF(Atletas!T458="Taijijian Yang E",929,IF(Atletas!T458="Taijijian Chen E",930,IF(Atletas!T458="Taijijian Sun E",931,IF(Atletas!T458="Taijijian Wu E",932,IF(Atletas!T458="Taijijian Wu-Hao E",933,IF(Atletas!T458="Taijijian 32 E",934,IF(Atletas!T458="Taijijian 42 E",935,IF(Atletas!T458="Taijijian Yang F",936,IF(Atletas!T458="Taijijian Chen F",937,IF(Atletas!T458="Taijijian Sun F",938,IF(Atletas!T458="Taijijian Wu F",939,IF(Atletas!T458="Taijijian Wu-Hao F",940,IF(Atletas!T458="Taijijian 32 F",941,IF(Atletas!T458="Taijijian 42 F",942,"")))))))))))))))))))))))))))))))))))))))))))</f>
        <v/>
      </c>
      <c r="BW462" s="52" t="str">
        <f>IF(Atletas!U458="","",IF(Atletas!W458&lt;&gt;"",10000,0)+IF(Atletas!B458="Feminino",1000,IF(Atletas!B458="Masculino",2000,""))+IF(Atletas!T458="Taijijian 42 F",942,IF(Atletas!U458="Taijidao A",943,IF(Atletas!U458="Taijishan A",944,IF(Atletas!U458="Taijiqiang A",945,IF(Atletas!U458="Taijidao B",946,IF(Atletas!U458="Taijishan B",947,IF(Atletas!U458="Taijiqiang B",948,IF(Atletas!U458="Taijidao C",949,IF(Atletas!U458="Taijishan C",950,IF(Atletas!U458="Taijiqiang C",951,IF(Atletas!U458="Taijidao D",952,IF(Atletas!U458="Taijishan D",953,IF(Atletas!U458="Taijiqiang D",954,IF(Atletas!U458="Taijidao E",955,IF(Atletas!U458="Taijishan E",956,IF(Atletas!U458="Taijiqiang E",957,IF(Atletas!U458="Taijidao F",958,IF(Atletas!U458="Taijishan F",959,IF(Atletas!U458="Taijiqiang F",960))))))))))))))))))))</f>
        <v/>
      </c>
      <c r="CF462" s="52" t="str">
        <f xml:space="preserve"> IF(Atletas!V458="","",IF(Atletas!V458="Duilian de Mãos AB - Equipe 1",1,IF(Atletas!V458="Duilian de Mãos AB - Equipe 2",2,IF(Atletas!V458="Duilian de Armas AB - Equipe 1",3,IF(Atletas!V458="Duilian de Armas AB - Equipe 2",4,IF(Atletas!V458="Duilian de Tuishou - Equipe 1",5,IF(Atletas!V458="Duilian de Tuishou - Equipe 2",6,IF(Atletas!V458="Grupo Externo AB - Equipe 1",7,IF(Atletas!V458="Grupo Externo AB - Equipe 2",8,IF(Atletas!V458="Grupo Interno AB - Equipe 1",9,IF(Atletas!V458="Grupo Interno AB - Equipe 2",10,IF(Atletas!V458="Duilian de Mãos CD - Equipe 1",11,IF(Atletas!V458="Duilian de Mãos CD - Equipe 2",12,IF(Atletas!V458="Duilian de Armas CD - Equipe 1",13,IF(Atletas!V458="Duilian de Armas CD - Equipe 2",14,IF(Atletas!V458="Duilian de Tuishou - Equipe 1",15,IF(Atletas!V458="Duilian de Tuishou - Equipe 2",16,IF(Atletas!V458="Grupo Externo CDEF - Equipe 1",17,IF(Atletas!V458="Grupo Externo CDEF - Equipe 2",18,IF(Atletas!V458="Grupo Interno CDEF - Equipe 1",19,IF(Atletas!V458="Grupo Interno CDEF - Equipe 2",20,IF(Atletas!V458="Duilian de Mãos EF - Equipe 1",21,IF(Atletas!V458="Duilian de Mãos EF - Equipe 2",22,IF(Atletas!V458="Duilian de Armas EF - Equipe 1",23,IF(Atletas!V458="Duilian de Armas EF - Equipe 2",24,IF(Atletas!V458="Duilian de Tuishou - Equipe 1",25,IF(Atletas!V458="Duilian de Tuishou - Equipe 2",26,"")))))))))))))))))))))))))))</f>
        <v/>
      </c>
    </row>
    <row r="463" spans="36:84">
      <c r="AJ463" s="46" t="str">
        <f>IF(Atletas!D459="","",IF(Atletas!B459="Feminino",100,IF(Atletas!B459="Masculino",200,""))+(IF(Atletas!D459="Infantil 39kg",1,IF(Atletas!D459="Infantil 42kg",2,IF(Atletas!D459="Infantil 45kg",3,IF(Atletas!D459="Infantil 48kg",4,IF(Atletas!D459="Infantil 52kg",5,IF(Atletas!D459="Infantil 56kg",6,IF(Atletas!D459="Infantil 60kg",7,IF(Atletas!D459="Juvenil 48kg",8,IF(Atletas!D459="Juvenil 52kg",9,IF(Atletas!D459="Juvenil 56kg",10,IF(Atletas!D459="Juvenil 60kg",11,IF(Atletas!D459="Juvenil 65kg",12,IF(Atletas!D459="Juvenil 70kg",13,IF(Atletas!D459="Juvenil 75kg",14,IF(Atletas!D459="Juvenil 80kg",15,IF(Atletas!D459="Adulto 48kg",16,IF(Atletas!D459="Adulto 52kg",17,IF(Atletas!D459="Adulto 56kg",18,IF(Atletas!D459="Adulto 60kg",19,IF(Atletas!D459="Adulto 65kg",20,IF(Atletas!D459="Adulto 70kg",21,IF(Atletas!D459="Adulto 75kg",22,IF(Atletas!D459="Adulto 80kg",23,IF(Atletas!D459="Adulto 85kg",24,IF(Atletas!D459="Adulto 90kg",25,IF(Atletas!D459="Adulto +90kg",26,""))))))))))))))))))))))))))))</f>
        <v/>
      </c>
      <c r="AO463" s="10" t="str">
        <f>IF(Atletas!E459="","",IF(Atletas!B459="Feminino",100,IF(Atletas!B459="Masculino",200,""))+(IF(Atletas!E459="Juvenil 44kg",1,IF(Atletas!E459="Juvenil 48kg",2,IF(Atletas!E459="Juvenil 52kg",3,IF(Atletas!E459="Juvenil 56kg",4,IF(Atletas!E459="Juvenil 60kg",5,IF(Atletas!E459="Juvenil 65kg",6,IF(Atletas!E459="Juvenil 70kg",7,IF(Atletas!E459="Juvenil 75kg",8,IF(Atletas!E459="Juvenil 82kg",9,IF(Atletas!E459="Juvenil 90kg",10,IF(Atletas!E459="Juvenil 100kg",11,IF(Atletas!E459="Adulto 48kg",12,IF(Atletas!E459="Adulto 52kg",13,IF(Atletas!E459="Adulto 56kg",14,IF(Atletas!E459="Adulto 60kg",15,IF(Atletas!E459="Adulto 65kg",16,IF(Atletas!E459="Adulto 70kg",17,IF(Atletas!E459="Adulto 75kg",18,IF(Atletas!E459="Adulto 82kg",19,IF(Atletas!E459="Adulto 90kg",20,IF(Atletas!E459="Adulto 100kg",21,IF(Atletas!E459="Adulto +100kg",22,""))))))))))))))))))))))))</f>
        <v/>
      </c>
      <c r="AT463" s="10" t="str">
        <f>IF(Atletas!F459="","",IF(Atletas!B459="Feminino",100,IF(Atletas!B459="Masculino",200,""))+(IF(Atletas!F459="Adulto 48kg",1,IF(Atletas!F459="Adulto 56kg",2,IF(Atletas!F459="Adulto 65kg",3,IF(Atletas!F459="Adulto 75kg",4,IF(Atletas!F459="Adulto +75kg",5,IF(Atletas!F459="Adulto 52kg",6,IF(Atletas!F459="Adulto 60kg",7,IF(Atletas!F459="Adulto 70kg",8,IF(Atletas!F459="Adulto 80kg",9,IF(Atletas!F459="Adulto 90kg",10,IF(Atletas!F459="Adulto +90kg",11,"")))))))))))))</f>
        <v/>
      </c>
      <c r="AY463" s="46" t="str">
        <f>IF(Atletas!G459="","",IF(Atletas!B459="Feminino",100,IF(Atletas!B459="Masculino",200,""))+(IF(Atletas!G459="Changquan Mirim",1,IF(Atletas!G459="Nanquan Mirim",2,IF(Atletas!G459="Taijiquan Mirim",3,IF(Atletas!G459="Changquan Grupo C",4,IF(Atletas!G459="Nanquan Grupo C",5,IF(Atletas!G459="Taijiquan Grupo C",6,IF(Atletas!G459="Changquan Grupo B",7,IF(Atletas!G459="Nanquan Grupo B",8,IF(Atletas!G459="Taijiquan Grupo B",9,IF(Atletas!G459="Changquan Grupo A",10,IF(Atletas!G459="Nanquan Grupo A",11,IF(Atletas!G459="Taijiquan Grupo A",12,IF(Atletas!G459="Changquan Opcional",13,IF(Atletas!G459="Nanquan Opcional",14,IF(Atletas!G459="Taijiquan Opcional",15,IF(Atletas!G459="Changquan Adulto",16,IF(Atletas!G459="Nanquan Adulto",17,IF(Atletas!G459="Taijiquan Adulto",18,""))))))))))))))))))))</f>
        <v/>
      </c>
      <c r="AZ463" s="46" t="str">
        <f>IF(Atletas!H459="","",IF(Atletas!B459="Feminino",100,IF(Atletas!B459="Masculino",200,""))+(IF(Atletas!H459="Daoshu Mirim",19,IF(Atletas!H459="Jianshu Mirim",20,IF(Atletas!H459="Nandao Mirim",21,IF(Atletas!H459="Taijijian Mirim",22,IF(Atletas!H459="Daoshu Grupo C",23,IF(Atletas!H459="Jianshu Grupo C",24,IF(Atletas!H459="Nandao Grupo C",25,IF(Atletas!H459="Taijijian Grupo C",26,IF(Atletas!H459="Daoshu Grupo B",27,IF(Atletas!H459="Jianshu Grupo B",28,IF(Atletas!H459="Nandao Grupo B",29,IF(Atletas!H459="Taijijian Grupo B",30,IF(Atletas!H459="Daoshu Grupo A",31,IF(Atletas!H459="Jianshu Grupo A",32,IF(Atletas!H459="Nandao Grupo A",33,IF(Atletas!H459="Taijijian Grupo A",34,IF(Atletas!H459="Daoshu Opcional",35,IF(Atletas!H459="Jianshu Opcional",36,IF(Atletas!H459="Nandao Opcional",37,IF(Atletas!H459="Taijijian Opcional",38,IF(Atletas!H459="Daoshu Adulto",39,IF(Atletas!H459="Jianshu Adulto",40,IF(Atletas!H459="Nandao Adulto",41,IF(Atletas!H459="Taijijian Adulto",42,""))))))))))))))))))))))))))</f>
        <v/>
      </c>
      <c r="BA463" s="46" t="str">
        <f>IF(Atletas!I459="","",IF(Atletas!B459="Feminino",100,IF(Atletas!B459="Masculino",200,""))+(IF(Atletas!I459="Gunshu Mirim",43,IF(Atletas!I459="Qiangshu Mirim",44,IF(Atletas!I459="Nangun Mirim",45,IF(Atletas!I459="Gunshu Grupo C",46,IF(Atletas!I459="Qiangshu Grupo C",47,IF(Atletas!I459="Nangun Grupo C",48,IF(Atletas!I459="Gunshu Grupo B",49,IF(Atletas!I459="Qiangshu Grupo B",50,IF(Atletas!I459="Nangun Grupo B",51,IF(Atletas!I459="Gunshu Grupo A",52,IF(Atletas!I459="Qiangshu Grupo A",53,IF(Atletas!I459="Nangun Grupo A",54,IF(Atletas!I459="Gunshu Opcional",55,IF(Atletas!I459="Qiangshu Opcional",56,IF(Atletas!I459="Nangun Opcional",57,IF(Atletas!I459="Gunshu Adulto",58,IF(Atletas!I459="Qiangshu Adulto",59,IF(Atletas!I459="Nangun Adulto",60,""))))))))))))))))))))</f>
        <v/>
      </c>
      <c r="BF463" s="52" t="str">
        <f>IF(Atletas!J459="","",IF(Atletas!B459="Feminino",100,IF(Atletas!B459="Masculino",200,""))+(IF(Atletas!J459="Equipe 1 Grupo B",1,IF(Atletas!J459="Equipe 2 Grupo B",2,IF(Atletas!J459="Equipe 1 Grupo A",3,IF(Atletas!J459="Equipe 2 Grupo A",4,IF(Atletas!J459="Equipe 1 Adulto",5,IF(Atletas!J459="Equipe 2 Adulto",6,""))))))))</f>
        <v/>
      </c>
      <c r="BK463" s="52" t="str">
        <f>IF(Atletas!K459="","",IF(Atletas!W459&lt;&gt;"",10000,0)+(IF(Atletas!B459="Feminino",1000,IF(Atletas!B459="Masculino",2000,""))+IF(Atletas!K459="Choylayfut A",1,IF(Atletas!K459="Hunggar A",2,IF(Atletas!K459="Wuzuquan A",3,IF(Atletas!K459="Wingchun A",4,IF(Atletas!K459="Outra Mão de Sul A",5,IF(Atletas!K459="Choylayfut B",6,IF(Atletas!K459="Hunggar B",7,IF(Atletas!K459="Wuzuquan B",8,IF(Atletas!K459="Wingchun B",9,IF(Atletas!K459="Outra Mão de Sul B",10,IF(Atletas!K459="Choylayfut C",11,IF(Atletas!K459="Hunggar C",12,IF(Atletas!K459="Wuzuquan C",13,IF(Atletas!K459="Wingchun C",14,IF(Atletas!K459="Outra Mão de Sul C",15,IF(Atletas!K459="Choylayfut D",16,IF(Atletas!K459="Hunggar D",17,IF(Atletas!K459="Wuzuquan D",18,IF(Atletas!K459="Wingchun D",19,IF(Atletas!K459="Outra Mão de Sul D",20,IF(Atletas!K459="Choylayfut E",21,IF(Atletas!K459="Hunggar E",22,IF(Atletas!K459="Wuzuquan E",23,IF(Atletas!K459="Wingchun E",24,IF(Atletas!K459="Outra Mão de Sul E",25,IF(Atletas!K459="Choylayfut F",26,IF(Atletas!K459="Hunggar F",27,IF(Atletas!K459="Wuzuquan F",28,IF(Atletas!K459="Wingchun F",29,IF(Atletas!K459="Outra Mão de Sul F",30,""))))))))))))))))))))))))))))))))</f>
        <v/>
      </c>
      <c r="BL463" s="52" t="str">
        <f>IF(Atletas!L459="","",IF(Atletas!W459&lt;&gt;"",10000,0)+(IF(Atletas!B459="Feminino",1000,IF(Atletas!B459="Masculino",2000,""))+(IF(Atletas!L459="Chaquan A",101,IF(Atletas!L459="Emeiquan A",102,IF(Atletas!L459="Fanziquan A",103,IF(Atletas!L459="Huaquan A",104,IF(Atletas!L459="Hongquan A",105,IF(Atletas!L459="Paochui A",106,IF(Atletas!L459="Piguaquan A",107,IF(Atletas!L459="Shaolinquan A",108,IF(Atletas!L459="Tanglangquan A",109,IF(Atletas!L459="Yinzhaophai A",110,IF(Atletas!L459="Tongbeiquan A",111,IF(Atletas!L459="Wudangquan A",112,IF(Atletas!L459="Outros Estilos A",113,IF(Atletas!L459="Chaquan B",114,IF(Atletas!L459="Emeiquan B",115,IF(Atletas!L459="Fanziquan B",116,IF(Atletas!L459="Huaquan B",117,IF(Atletas!L459="Hongquan B",118,IF(Atletas!L459="Paochui B",119,IF(Atletas!L459="Piguaquan B",120,IF(Atletas!L459="Shaolinquan B",121,IF(Atletas!L459="Tanglangquan B",122,IF(Atletas!L459="Yinzhaophai B",123,IF(Atletas!L459="Tongbeiquan B",124,IF(Atletas!L459="Wudangquan B",125,IF(Atletas!L459="Outros Estilos B",126,IF(Atletas!L459="Chaquan C",127,IF(Atletas!L459="Emeiquan C",128,IF(Atletas!L459="Fanziquan C",129,IF(Atletas!L459="Huaquan C",130,IF(Atletas!L459="Hongquan C",131,IF(Atletas!L459="Paochui C",132,IF(Atletas!L459="Piguaquan C",133,IF(Atletas!L459="Shaolinquan C",134,IF(Atletas!L459="Tanglangquan C",135,IF(Atletas!L459="Yinzhaophai C",136,IF(Atletas!L459="Tongbeiquan C",137,IF(Atletas!L459="Wudangquan C",138,IF(Atletas!L459="Outros Estilos C",139,0))))))))))))))))))))))))))))))))))))))))))</f>
        <v/>
      </c>
      <c r="BM463" s="52" t="str">
        <f>IF(Atletas!L459="","",IF(Atletas!W459&lt;&gt;"",10000,0)+(IF(Atletas!B459="Feminino",1000,IF(Atletas!B459="Masculino",2000,""))+(IF(Atletas!L459="Chaquan D",140,IF(Atletas!L459="Emeiquan D",141,IF(Atletas!L459="Fanziquan D",142,IF(Atletas!L459="Huaquan D",143,IF(Atletas!L459="Hongquan D",144,IF(Atletas!L459="Paochui D",145,IF(Atletas!L459="Piguaquan D",146,IF(Atletas!L459="Shaolinquan D",147,IF(Atletas!L459="Tanglangquan D",148,IF(Atletas!L459="Yinzhaophai D",149,IF(Atletas!L459="Tongbeiquan D",150,IF(Atletas!L459="Wudangquan D",151,IF(Atletas!L459="Outros Estilos D",152,IF(Atletas!L459="Chaquan E",153,IF(Atletas!L459="Emeiquan E",154,IF(Atletas!L459="Fanziquan E",155,IF(Atletas!L459="Huaquan E",156,IF(Atletas!L459="Hongquan E",157,IF(Atletas!L459="Paochui E",158,IF(Atletas!L459="Piguaquan E",159,IF(Atletas!L459="Shaolinquan E",160,IF(Atletas!L459="Tanglangquan E",161,IF(Atletas!L459="Yinzhaophai E",162,IF(Atletas!L459="Tongbeiquan E",163,IF(Atletas!L459="Wudangquan E",164,IF(Atletas!L459="Outros Estilos E",165,IF(Atletas!L459="Chaquan F",166,IF(Atletas!L459="Emeiquan F",167,IF(Atletas!L459="Fanziquan F",168,IF(Atletas!L459="Huaquan F",169,IF(Atletas!L459="Hongquan F",170,IF(Atletas!L459="Paochui F",171,IF(Atletas!L459="Piguaquan F",172,IF(Atletas!L459="Shaolinquan F",173,IF(Atletas!L459="Tanglangquan F",174,IF(Atletas!L459="Yinzhaophai F",175,IF(Atletas!L459="Tongbeiquan F",176,IF(Atletas!L459="Wudangquan F",177,IF(Atletas!L459="Outros Estilos F",178,0))))))))))))))))))))))))))))))))))))))))))</f>
        <v/>
      </c>
      <c r="BN463" s="52" t="str">
        <f>IF(Atletas!M459="","",IF(Atletas!W459&lt;&gt;"",10000,0)+(IF(Atletas!B459="Feminino",1000,IF(Atletas!B459="Masculino",2000,""))+(IF(Atletas!M459="Ditangquan A",201,IF(Atletas!M459="Houquan A",202,IF(Atletas!M459="Zuiquan A",203,IF(Atletas!M459="Ditangquan B",204,IF(Atletas!M459="Houquan B",205,IF(Atletas!M459="Zuiquan B",206,IF(Atletas!M459="Ditangquan C",207,IF(Atletas!M459="Houquan C",208,IF(Atletas!M459="Zuiquan C",209,IF(Atletas!M459="Ditangquan D",210,IF(Atletas!M459="Houquan D",211,IF(Atletas!M459="Zuiquan D",212,IF(Atletas!M459="Ditangquan E",213,IF(Atletas!M459="Houquan E",214,IF(Atletas!M459="Zuiquan E",215,IF(Atletas!M459="Ditangquan F",216,IF(Atletas!M459="Houquan F",217,IF(Atletas!M459="Zuiquan F",218,"")))))))))))))))))))))</f>
        <v/>
      </c>
      <c r="BO463" s="52" t="str">
        <f>IF(Atletas!N459="","",IF(Atletas!W459&lt;&gt;"",10000,0)+IF(Atletas!B459="Feminino",1000,IF(Atletas!B459="Masculino",2000,""))+IF(Atletas!N459="Yang A",301,IF(Atletas!N459="Chen A",30,IF(Atletas!N459="Sun A",303,IF(Atletas!N459="Wu A",304,IF(Atletas!N459="Wu-Hao A",305,IF(Atletas!N459="Outro Taijiquan A",306,IF(Atletas!N459="Yang B",307,IF(Atletas!N459="Chen B",308,IF(Atletas!N459="Sun B",309,IF(Atletas!N459="Wu B",310,IF(Atletas!N459="Wu-Hao B",311,IF(Atletas!N459="Outro Taijiquan B",312,IF(Atletas!N459="Yang C",313,IF(Atletas!N459="Chen C",314,IF(Atletas!N459="Sun C",315,IF(Atletas!N459="Wu C",316,IF(Atletas!N459="Wu-Hao C",317,IF(Atletas!N459="Outro Taijiquan C",318,IF(Atletas!N459="Yang D",319,IF(Atletas!N459="Chen D",320,IF(Atletas!N459="Sun D",321,IF(Atletas!N459="Wu D",322,IF(Atletas!N459="Wu-Hao D",323,IF(Atletas!N459="Outro Taijiquan D",324,IF(Atletas!N459="Yang E",325,IF(Atletas!N459="Chen E",326,IF(Atletas!N459="Sun E",327,IF(Atletas!N459="Wu E",328,IF(Atletas!N459="Wu-Hao E",329,IF(Atletas!N459="Outro Taijiquan E",330,IF(Atletas!N459="Yang F",331,IF(Atletas!N459="Chen F",332,IF(Atletas!N459="Sun F",333,IF(Atletas!N459="Wu F",334,IF(Atletas!N459="Wu-Hao F",335,IF(Atletas!N459="Outro Taijiquan F",336,"")))))))))))))))))))))))))))))))))))))</f>
        <v/>
      </c>
      <c r="BP463" s="52" t="str">
        <f>IF(Atletas!O459="","",IF(Atletas!W459&lt;&gt;"",10000,0)+IF(Atletas!B459="Feminino",1000,IF(Atletas!B459="Masculino",2000,""))+IF(OR(Atletas!O459="Yang 26 A",Atletas!O459="Yang 40 A"),401,IF(OR(Atletas!O459="Chen 25 A",Atletas!O459="Chen 36 A",Atletas!O459="Chen 56 A"),402,IF(Atletas!O459="Sun 73 A",403,IF(Atletas!O459="Wu 45 A",404,IF(Atletas!O459="Wu-Hao 46 A",405,IF(OR(Atletas!O459="Taijiquan 16 A",Atletas!O459="Taijiquan 24 A",Atletas!O459="Taijiquan 32 A",Atletas!O459="Taijiquan 42 A"),406,IF(OR(Atletas!O459="Yang 26 B",Atletas!O459="Yang 40 B"),407,IF(OR(Atletas!O459="Chen 25 B",Atletas!O459="Chen 36 B",Atletas!O459="Chen 56 B"),408,IF(Atletas!O459="Sun 73 B",409,IF(Atletas!O459="Wu 45 B",410,IF(Atletas!O459="Wu-Hao 46 B",411,IF(OR(Atletas!O459="Taijiquan 16 B",Atletas!O459="Taijiquan 24 B",Atletas!O459="Taijiquan 32 B",Atletas!O459="Taijiquan 42 B"),412,IF(OR(Atletas!O459="Yang 26 C",Atletas!O459="Yang 40 C"),413,IF(OR(Atletas!O459="Chen 25 C",Atletas!O459="Chen 36 C",Atletas!O459="Chen 56 C"),414,IF(Atletas!O459="Sun 73 C",415,IF(Atletas!O459="Wu 45 C",416,IF(Atletas!O459="Wu-Hao 46 C",417,IF(OR(Atletas!O459="Taijiquan 16 C",Atletas!O459="Taijiquan 24 C",Atletas!O459="Taijiquan 32 C",Atletas!O459="Taijiquan 42 C"),418,0)))))))))))))))))))</f>
        <v/>
      </c>
      <c r="BQ463" s="52" t="str">
        <f>IF(Atletas!O459="","",IF(Atletas!W459&lt;&gt;"",10000,0)+IF(Atletas!B459="Feminino",1000,IF(Atletas!B459="Masculino",2000,""))+IF(OR(Atletas!O459="Yang 26 D",Atletas!O459="Yang 40 D"),419,IF(OR(Atletas!O459="Chen 25 D",Atletas!O459="Chen 36 D",Atletas!O459="Chen 56 D"),420,IF(Atletas!O459="Sun 73 D",421,IF(Atletas!O459="Wu 45 D",422,IF(Atletas!O459="Wu-Hao 46 D",423,IF(OR(Atletas!O459="Taijiquan 16 D",Atletas!O459="Taijiquan 24 D",Atletas!O459="Taijiquan 32 D",Atletas!O459="Taijiquan 42 D"),424,IF(OR(Atletas!O459="Yang 26 E",Atletas!O459="Yang 40 E"),425,IF(OR(Atletas!O459="Chen 25 E",Atletas!O459="Chen 36 E",Atletas!O459="Chen 56 E"),426,IF(Atletas!O459="Sun 73 E",427,IF(Atletas!O459="Wu 45 E",428,IF(Atletas!O459="Wu-Hao 46 E",429,IF(OR(Atletas!O459="Taijiquan 16 E",Atletas!O459="Taijiquan 24 E",Atletas!O459="Taijiquan 32 E",Atletas!O459="Taijiquan 42 E"),430,IF(OR(Atletas!O459="Yang 26 F",Atletas!O459="Yang 40 F"),431,IF(OR(Atletas!O459="Chen 25 F",Atletas!O459="Chen 36 F",Atletas!O459="Chen 56 F"),432,IF(Atletas!O459="Sun 73 F",433,IF(Atletas!O459="Wu 45 F",434,IF(Atletas!O459="Wu-Hao 46 F",435,IF(OR(Atletas!O459="Taijiquan 16 F",Atletas!O459="Taijiquan 24 F",Atletas!O459="Taijiquan 32 F",Atletas!O459="Taijiquan 42 F"),436,0)))))))))))))))))))</f>
        <v/>
      </c>
      <c r="BR463" s="52" t="str">
        <f>IF(Atletas!P459="","",IF(Atletas!W459&lt;&gt;"",10000,0)+IF(Atletas!B459="Feminino",1000,IF(Atletas!B459="Masculino",2000,""))+IF(Atletas!P459="Xingyiquan A",501,IF(Atletas!P459="Baguazhang A",502,IF(Atletas!P459="Outro Estilo Interno A",503,IF(Atletas!P459="Xingyiquan B",504,IF(Atletas!P459="Baguazhang B",505,IF(Atletas!P459="Outro Estilo Interno B",506,IF(Atletas!P459="Xingyiquan C",507,IF(Atletas!P459="Baguazhang C",508,IF(Atletas!P459="Outro Estilo Interno C",509,IF(Atletas!P459="Xingyiquan D",510,IF(Atletas!P459="Baguazhang D",511,IF(Atletas!P459="Outro Estilo Interno D",512,IF(Atletas!P459="Xingyiquan E",513,IF(Atletas!P459="Baguazhang E",514,IF(Atletas!P459="Outro Estilo Interno E",515,IF(Atletas!P459="Xingyiquan F",516,IF(Atletas!P459="Baguazhang F",517,IF(Atletas!P459="Outro Estilo Interno F",518, "")))))))))))))))))))</f>
        <v/>
      </c>
      <c r="BS463" s="52" t="str">
        <f>IF(Atletas!Q459="","",IF(Atletas!W459&lt;&gt;"",10000,0)+IF(Atletas!B459="Feminino",1000,IF(Atletas!B459="Masculino",2000,""))+IF(Atletas!Q459="Dao A",601,IF(Atletas!Q459="Jian A",602,IF(Atletas!Q459="Bishou A",603,IF(Atletas!Q459="Shan A",604,IF(Atletas!Q459="Outra Arma Curta A",605,IF(Atletas!Q459="Dao B",606,IF(Atletas!Q459="Jian B",607,IF(Atletas!Q459="Bishou B",608,IF(Atletas!Q459="Shan B",609,IF(Atletas!Q459="Outra Arma Curta B",610,IF(Atletas!Q459="Dao C",611,IF(Atletas!Q459="Jian C",612,IF(Atletas!Q459="Bishou C",613,IF(Atletas!Q459="Shan C",614,IF(Atletas!Q459="Outra Arma Curta C",615,IF(Atletas!Q459="Dao D",616,IF(Atletas!Q459="Jian D",617,IF(Atletas!Q459="Bishou D",618,IF(Atletas!Q459="Shan D",619,IF(Atletas!Q459="Outra Arma Curta D",620,IF(Atletas!Q459="Dao E",621,IF(Atletas!Q459="Jian E",622,IF(Atletas!Q459="Bishou E",623,IF(Atletas!Q459="Shan E",624,IF(Atletas!Q459="Outra Arma Curta E",625,IF(Atletas!Q459="Dao F",626,IF(Atletas!Q459="Jian F",627,IF(Atletas!Q459="Bishou F",628,IF(Atletas!Q459="Shan F",629,IF(Atletas!Q459="Outra Arma Curta F",630, "")))))))))))))))))))))))))))))))</f>
        <v/>
      </c>
      <c r="BT463" s="52" t="str">
        <f>IF(Atletas!R459="","",IF(Atletas!W459&lt;&gt;"",10000,0)+IF(Atletas!B459="Feminino",1000,IF(Atletas!B459="Masculino",2000,""))+IF(Atletas!R459="Gun A",701,IF(Atletas!R459="Qiang A",702,IF(Atletas!R459="Pudao / Guandao A",703,IF(Atletas!R459="Outra Arma Longa A",704,IF(Atletas!R459="Gun B",705,IF(Atletas!R459="Qiang B",706,IF(Atletas!R459="Pudao / Guandao B",707,IF(Atletas!R459="Outra Arma Longa B",708,IF(Atletas!R459="Gun C",709,IF(Atletas!R459="Qiang C",710,IF(Atletas!R459="Pudao / Guandao C",711,IF(Atletas!R459="Outra Arma Longa C",712,IF(Atletas!R459="Gun D",713,IF(Atletas!R459="Qiang D",714,IF(Atletas!R459="Pudao / Guandao D",715,IF(Atletas!R459="Outra Arma Longa D",716,IF(Atletas!R459="Gun E",717,IF(Atletas!R459="Qiang E",718,IF(Atletas!R459="Pudao / Guandao E",719,IF(Atletas!R459="Outra Arma Longa E",720,IF(Atletas!R459="Gun F",721,IF(Atletas!R459="Qiang F",722,IF(Atletas!R459="Pudao / Guandao F",723,IF(Atletas!R459="Outra Arma Longa F",724,"")))))))))))))))))))))))))</f>
        <v/>
      </c>
      <c r="BU463" s="52" t="str">
        <f>IF(Atletas!S459="","",IF(Atletas!W459&lt;&gt;"",10000,0)+IF(Atletas!B459="Feminino",1000,IF(Atletas!B459="Masculino",2000,""))+IF(Atletas!S459="Arma Dupla A",801,IF(Atletas!S459="Arma Maleável A",802,IF(Atletas!S459="Arma Dupla B",803,IF(Atletas!S459="Arma Maleável B",804,IF(Atletas!S459="Arma Dupla C",805,IF(Atletas!S459="Arma Maleável C",806,IF(Atletas!S459="Arma Dupla D",807,IF(Atletas!S459="Arma Maleável D",808,IF(Atletas!S459="Arma Dupla E",809,IF(Atletas!S459="Arma Maleável E",810,IF(Atletas!S459="Arma Dupla F",811,IF(Atletas!S459="Arma Maleável F",812, "")))))))))))))</f>
        <v/>
      </c>
      <c r="BV463" s="52" t="str">
        <f>IF(Atletas!T459="","",IF(Atletas!W459&lt;&gt;"",10000,0)+IF(Atletas!B459="Feminino",1000,IF(Atletas!B459="Masculino",2000,""))+IF(Atletas!T459="Taijijian Yang A",901,IF(Atletas!T459="Taijijian Chen A",902,IF(Atletas!T459="Taijijian Sun A",903,IF(Atletas!T459="Taijijian Wu A",904,IF(Atletas!T459="Taijijian Wu-Hao A",905,IF(Atletas!T459="Taijijian 32 A",906,IF(Atletas!T459="Taijijian 42 A",907,IF(Atletas!T459="Taijijian Yang B",908,IF(Atletas!T459="Taijijian Chen B",909,IF(Atletas!T459="Taijijian Sun B",910,IF(Atletas!T459="Taijijian Wu B",911,IF(Atletas!T459="Taijijian Wu-Hao B",912,IF(Atletas!T459="Taijijian 32 B",913,IF(Atletas!T459="Taijijian 42 B",914,IF(Atletas!T459="Taijijian Yang C",915,IF(Atletas!T459="Taijijian Chen C",916,IF(Atletas!T459="Taijijian Sun C",917,IF(Atletas!T459="Taijijian Wu C",918,IF(Atletas!T459="Taijijian Wu-Hao C",919,IF(Atletas!T459="Taijijian 32 C",920,IF(Atletas!T459="Taijijian 42 C",921,IF(Atletas!T459="Taijijian Yang D",922,IF(Atletas!T459="Taijijian Chen D",923,IF(Atletas!T459="Taijijian Sun D",924,IF(Atletas!T459="Taijijian Wu D",925,IF(Atletas!T459="Taijijian Wu-Hao D",926,IF(Atletas!T459="Taijijian 32 D",927,IF(Atletas!T459="Taijijian 42 D",928,IF(Atletas!T459="Taijijian Yang E",929,IF(Atletas!T459="Taijijian Chen E",930,IF(Atletas!T459="Taijijian Sun E",931,IF(Atletas!T459="Taijijian Wu E",932,IF(Atletas!T459="Taijijian Wu-Hao E",933,IF(Atletas!T459="Taijijian 32 E",934,IF(Atletas!T459="Taijijian 42 E",935,IF(Atletas!T459="Taijijian Yang F",936,IF(Atletas!T459="Taijijian Chen F",937,IF(Atletas!T459="Taijijian Sun F",938,IF(Atletas!T459="Taijijian Wu F",939,IF(Atletas!T459="Taijijian Wu-Hao F",940,IF(Atletas!T459="Taijijian 32 F",941,IF(Atletas!T459="Taijijian 42 F",942,"")))))))))))))))))))))))))))))))))))))))))))</f>
        <v/>
      </c>
      <c r="BW463" s="52" t="str">
        <f>IF(Atletas!U459="","",IF(Atletas!W459&lt;&gt;"",10000,0)+IF(Atletas!B459="Feminino",1000,IF(Atletas!B459="Masculino",2000,""))+IF(Atletas!T459="Taijijian 42 F",942,IF(Atletas!U459="Taijidao A",943,IF(Atletas!U459="Taijishan A",944,IF(Atletas!U459="Taijiqiang A",945,IF(Atletas!U459="Taijidao B",946,IF(Atletas!U459="Taijishan B",947,IF(Atletas!U459="Taijiqiang B",948,IF(Atletas!U459="Taijidao C",949,IF(Atletas!U459="Taijishan C",950,IF(Atletas!U459="Taijiqiang C",951,IF(Atletas!U459="Taijidao D",952,IF(Atletas!U459="Taijishan D",953,IF(Atletas!U459="Taijiqiang D",954,IF(Atletas!U459="Taijidao E",955,IF(Atletas!U459="Taijishan E",956,IF(Atletas!U459="Taijiqiang E",957,IF(Atletas!U459="Taijidao F",958,IF(Atletas!U459="Taijishan F",959,IF(Atletas!U459="Taijiqiang F",960))))))))))))))))))))</f>
        <v/>
      </c>
      <c r="CF463" s="52" t="str">
        <f xml:space="preserve"> IF(Atletas!V459="","",IF(Atletas!V459="Duilian de Mãos AB - Equipe 1",1,IF(Atletas!V459="Duilian de Mãos AB - Equipe 2",2,IF(Atletas!V459="Duilian de Armas AB - Equipe 1",3,IF(Atletas!V459="Duilian de Armas AB - Equipe 2",4,IF(Atletas!V459="Duilian de Tuishou - Equipe 1",5,IF(Atletas!V459="Duilian de Tuishou - Equipe 2",6,IF(Atletas!V459="Grupo Externo AB - Equipe 1",7,IF(Atletas!V459="Grupo Externo AB - Equipe 2",8,IF(Atletas!V459="Grupo Interno AB - Equipe 1",9,IF(Atletas!V459="Grupo Interno AB - Equipe 2",10,IF(Atletas!V459="Duilian de Mãos CD - Equipe 1",11,IF(Atletas!V459="Duilian de Mãos CD - Equipe 2",12,IF(Atletas!V459="Duilian de Armas CD - Equipe 1",13,IF(Atletas!V459="Duilian de Armas CD - Equipe 2",14,IF(Atletas!V459="Duilian de Tuishou - Equipe 1",15,IF(Atletas!V459="Duilian de Tuishou - Equipe 2",16,IF(Atletas!V459="Grupo Externo CDEF - Equipe 1",17,IF(Atletas!V459="Grupo Externo CDEF - Equipe 2",18,IF(Atletas!V459="Grupo Interno CDEF - Equipe 1",19,IF(Atletas!V459="Grupo Interno CDEF - Equipe 2",20,IF(Atletas!V459="Duilian de Mãos EF - Equipe 1",21,IF(Atletas!V459="Duilian de Mãos EF - Equipe 2",22,IF(Atletas!V459="Duilian de Armas EF - Equipe 1",23,IF(Atletas!V459="Duilian de Armas EF - Equipe 2",24,IF(Atletas!V459="Duilian de Tuishou - Equipe 1",25,IF(Atletas!V459="Duilian de Tuishou - Equipe 2",26,"")))))))))))))))))))))))))))</f>
        <v/>
      </c>
    </row>
    <row r="464" spans="36:84">
      <c r="AJ464" s="46" t="str">
        <f>IF(Atletas!D460="","",IF(Atletas!B460="Feminino",100,IF(Atletas!B460="Masculino",200,""))+(IF(Atletas!D460="Infantil 39kg",1,IF(Atletas!D460="Infantil 42kg",2,IF(Atletas!D460="Infantil 45kg",3,IF(Atletas!D460="Infantil 48kg",4,IF(Atletas!D460="Infantil 52kg",5,IF(Atletas!D460="Infantil 56kg",6,IF(Atletas!D460="Infantil 60kg",7,IF(Atletas!D460="Juvenil 48kg",8,IF(Atletas!D460="Juvenil 52kg",9,IF(Atletas!D460="Juvenil 56kg",10,IF(Atletas!D460="Juvenil 60kg",11,IF(Atletas!D460="Juvenil 65kg",12,IF(Atletas!D460="Juvenil 70kg",13,IF(Atletas!D460="Juvenil 75kg",14,IF(Atletas!D460="Juvenil 80kg",15,IF(Atletas!D460="Adulto 48kg",16,IF(Atletas!D460="Adulto 52kg",17,IF(Atletas!D460="Adulto 56kg",18,IF(Atletas!D460="Adulto 60kg",19,IF(Atletas!D460="Adulto 65kg",20,IF(Atletas!D460="Adulto 70kg",21,IF(Atletas!D460="Adulto 75kg",22,IF(Atletas!D460="Adulto 80kg",23,IF(Atletas!D460="Adulto 85kg",24,IF(Atletas!D460="Adulto 90kg",25,IF(Atletas!D460="Adulto +90kg",26,""))))))))))))))))))))))))))))</f>
        <v/>
      </c>
      <c r="AO464" s="10" t="str">
        <f>IF(Atletas!E460="","",IF(Atletas!B460="Feminino",100,IF(Atletas!B460="Masculino",200,""))+(IF(Atletas!E460="Juvenil 44kg",1,IF(Atletas!E460="Juvenil 48kg",2,IF(Atletas!E460="Juvenil 52kg",3,IF(Atletas!E460="Juvenil 56kg",4,IF(Atletas!E460="Juvenil 60kg",5,IF(Atletas!E460="Juvenil 65kg",6,IF(Atletas!E460="Juvenil 70kg",7,IF(Atletas!E460="Juvenil 75kg",8,IF(Atletas!E460="Juvenil 82kg",9,IF(Atletas!E460="Juvenil 90kg",10,IF(Atletas!E460="Juvenil 100kg",11,IF(Atletas!E460="Adulto 48kg",12,IF(Atletas!E460="Adulto 52kg",13,IF(Atletas!E460="Adulto 56kg",14,IF(Atletas!E460="Adulto 60kg",15,IF(Atletas!E460="Adulto 65kg",16,IF(Atletas!E460="Adulto 70kg",17,IF(Atletas!E460="Adulto 75kg",18,IF(Atletas!E460="Adulto 82kg",19,IF(Atletas!E460="Adulto 90kg",20,IF(Atletas!E460="Adulto 100kg",21,IF(Atletas!E460="Adulto +100kg",22,""))))))))))))))))))))))))</f>
        <v/>
      </c>
      <c r="AT464" s="10" t="str">
        <f>IF(Atletas!F460="","",IF(Atletas!B460="Feminino",100,IF(Atletas!B460="Masculino",200,""))+(IF(Atletas!F460="Adulto 48kg",1,IF(Atletas!F460="Adulto 56kg",2,IF(Atletas!F460="Adulto 65kg",3,IF(Atletas!F460="Adulto 75kg",4,IF(Atletas!F460="Adulto +75kg",5,IF(Atletas!F460="Adulto 52kg",6,IF(Atletas!F460="Adulto 60kg",7,IF(Atletas!F460="Adulto 70kg",8,IF(Atletas!F460="Adulto 80kg",9,IF(Atletas!F460="Adulto 90kg",10,IF(Atletas!F460="Adulto +90kg",11,"")))))))))))))</f>
        <v/>
      </c>
      <c r="AY464" s="46" t="str">
        <f>IF(Atletas!G460="","",IF(Atletas!B460="Feminino",100,IF(Atletas!B460="Masculino",200,""))+(IF(Atletas!G460="Changquan Mirim",1,IF(Atletas!G460="Nanquan Mirim",2,IF(Atletas!G460="Taijiquan Mirim",3,IF(Atletas!G460="Changquan Grupo C",4,IF(Atletas!G460="Nanquan Grupo C",5,IF(Atletas!G460="Taijiquan Grupo C",6,IF(Atletas!G460="Changquan Grupo B",7,IF(Atletas!G460="Nanquan Grupo B",8,IF(Atletas!G460="Taijiquan Grupo B",9,IF(Atletas!G460="Changquan Grupo A",10,IF(Atletas!G460="Nanquan Grupo A",11,IF(Atletas!G460="Taijiquan Grupo A",12,IF(Atletas!G460="Changquan Opcional",13,IF(Atletas!G460="Nanquan Opcional",14,IF(Atletas!G460="Taijiquan Opcional",15,IF(Atletas!G460="Changquan Adulto",16,IF(Atletas!G460="Nanquan Adulto",17,IF(Atletas!G460="Taijiquan Adulto",18,""))))))))))))))))))))</f>
        <v/>
      </c>
      <c r="AZ464" s="46" t="str">
        <f>IF(Atletas!H460="","",IF(Atletas!B460="Feminino",100,IF(Atletas!B460="Masculino",200,""))+(IF(Atletas!H460="Daoshu Mirim",19,IF(Atletas!H460="Jianshu Mirim",20,IF(Atletas!H460="Nandao Mirim",21,IF(Atletas!H460="Taijijian Mirim",22,IF(Atletas!H460="Daoshu Grupo C",23,IF(Atletas!H460="Jianshu Grupo C",24,IF(Atletas!H460="Nandao Grupo C",25,IF(Atletas!H460="Taijijian Grupo C",26,IF(Atletas!H460="Daoshu Grupo B",27,IF(Atletas!H460="Jianshu Grupo B",28,IF(Atletas!H460="Nandao Grupo B",29,IF(Atletas!H460="Taijijian Grupo B",30,IF(Atletas!H460="Daoshu Grupo A",31,IF(Atletas!H460="Jianshu Grupo A",32,IF(Atletas!H460="Nandao Grupo A",33,IF(Atletas!H460="Taijijian Grupo A",34,IF(Atletas!H460="Daoshu Opcional",35,IF(Atletas!H460="Jianshu Opcional",36,IF(Atletas!H460="Nandao Opcional",37,IF(Atletas!H460="Taijijian Opcional",38,IF(Atletas!H460="Daoshu Adulto",39,IF(Atletas!H460="Jianshu Adulto",40,IF(Atletas!H460="Nandao Adulto",41,IF(Atletas!H460="Taijijian Adulto",42,""))))))))))))))))))))))))))</f>
        <v/>
      </c>
      <c r="BA464" s="46" t="str">
        <f>IF(Atletas!I460="","",IF(Atletas!B460="Feminino",100,IF(Atletas!B460="Masculino",200,""))+(IF(Atletas!I460="Gunshu Mirim",43,IF(Atletas!I460="Qiangshu Mirim",44,IF(Atletas!I460="Nangun Mirim",45,IF(Atletas!I460="Gunshu Grupo C",46,IF(Atletas!I460="Qiangshu Grupo C",47,IF(Atletas!I460="Nangun Grupo C",48,IF(Atletas!I460="Gunshu Grupo B",49,IF(Atletas!I460="Qiangshu Grupo B",50,IF(Atletas!I460="Nangun Grupo B",51,IF(Atletas!I460="Gunshu Grupo A",52,IF(Atletas!I460="Qiangshu Grupo A",53,IF(Atletas!I460="Nangun Grupo A",54,IF(Atletas!I460="Gunshu Opcional",55,IF(Atletas!I460="Qiangshu Opcional",56,IF(Atletas!I460="Nangun Opcional",57,IF(Atletas!I460="Gunshu Adulto",58,IF(Atletas!I460="Qiangshu Adulto",59,IF(Atletas!I460="Nangun Adulto",60,""))))))))))))))))))))</f>
        <v/>
      </c>
      <c r="BF464" s="52" t="str">
        <f>IF(Atletas!J460="","",IF(Atletas!B460="Feminino",100,IF(Atletas!B460="Masculino",200,""))+(IF(Atletas!J460="Equipe 1 Grupo B",1,IF(Atletas!J460="Equipe 2 Grupo B",2,IF(Atletas!J460="Equipe 1 Grupo A",3,IF(Atletas!J460="Equipe 2 Grupo A",4,IF(Atletas!J460="Equipe 1 Adulto",5,IF(Atletas!J460="Equipe 2 Adulto",6,""))))))))</f>
        <v/>
      </c>
      <c r="BK464" s="52" t="str">
        <f>IF(Atletas!K460="","",IF(Atletas!W460&lt;&gt;"",10000,0)+(IF(Atletas!B460="Feminino",1000,IF(Atletas!B460="Masculino",2000,""))+IF(Atletas!K460="Choylayfut A",1,IF(Atletas!K460="Hunggar A",2,IF(Atletas!K460="Wuzuquan A",3,IF(Atletas!K460="Wingchun A",4,IF(Atletas!K460="Outra Mão de Sul A",5,IF(Atletas!K460="Choylayfut B",6,IF(Atletas!K460="Hunggar B",7,IF(Atletas!K460="Wuzuquan B",8,IF(Atletas!K460="Wingchun B",9,IF(Atletas!K460="Outra Mão de Sul B",10,IF(Atletas!K460="Choylayfut C",11,IF(Atletas!K460="Hunggar C",12,IF(Atletas!K460="Wuzuquan C",13,IF(Atletas!K460="Wingchun C",14,IF(Atletas!K460="Outra Mão de Sul C",15,IF(Atletas!K460="Choylayfut D",16,IF(Atletas!K460="Hunggar D",17,IF(Atletas!K460="Wuzuquan D",18,IF(Atletas!K460="Wingchun D",19,IF(Atletas!K460="Outra Mão de Sul D",20,IF(Atletas!K460="Choylayfut E",21,IF(Atletas!K460="Hunggar E",22,IF(Atletas!K460="Wuzuquan E",23,IF(Atletas!K460="Wingchun E",24,IF(Atletas!K460="Outra Mão de Sul E",25,IF(Atletas!K460="Choylayfut F",26,IF(Atletas!K460="Hunggar F",27,IF(Atletas!K460="Wuzuquan F",28,IF(Atletas!K460="Wingchun F",29,IF(Atletas!K460="Outra Mão de Sul F",30,""))))))))))))))))))))))))))))))))</f>
        <v/>
      </c>
      <c r="BL464" s="52" t="str">
        <f>IF(Atletas!L460="","",IF(Atletas!W460&lt;&gt;"",10000,0)+(IF(Atletas!B460="Feminino",1000,IF(Atletas!B460="Masculino",2000,""))+(IF(Atletas!L460="Chaquan A",101,IF(Atletas!L460="Emeiquan A",102,IF(Atletas!L460="Fanziquan A",103,IF(Atletas!L460="Huaquan A",104,IF(Atletas!L460="Hongquan A",105,IF(Atletas!L460="Paochui A",106,IF(Atletas!L460="Piguaquan A",107,IF(Atletas!L460="Shaolinquan A",108,IF(Atletas!L460="Tanglangquan A",109,IF(Atletas!L460="Yinzhaophai A",110,IF(Atletas!L460="Tongbeiquan A",111,IF(Atletas!L460="Wudangquan A",112,IF(Atletas!L460="Outros Estilos A",113,IF(Atletas!L460="Chaquan B",114,IF(Atletas!L460="Emeiquan B",115,IF(Atletas!L460="Fanziquan B",116,IF(Atletas!L460="Huaquan B",117,IF(Atletas!L460="Hongquan B",118,IF(Atletas!L460="Paochui B",119,IF(Atletas!L460="Piguaquan B",120,IF(Atletas!L460="Shaolinquan B",121,IF(Atletas!L460="Tanglangquan B",122,IF(Atletas!L460="Yinzhaophai B",123,IF(Atletas!L460="Tongbeiquan B",124,IF(Atletas!L460="Wudangquan B",125,IF(Atletas!L460="Outros Estilos B",126,IF(Atletas!L460="Chaquan C",127,IF(Atletas!L460="Emeiquan C",128,IF(Atletas!L460="Fanziquan C",129,IF(Atletas!L460="Huaquan C",130,IF(Atletas!L460="Hongquan C",131,IF(Atletas!L460="Paochui C",132,IF(Atletas!L460="Piguaquan C",133,IF(Atletas!L460="Shaolinquan C",134,IF(Atletas!L460="Tanglangquan C",135,IF(Atletas!L460="Yinzhaophai C",136,IF(Atletas!L460="Tongbeiquan C",137,IF(Atletas!L460="Wudangquan C",138,IF(Atletas!L460="Outros Estilos C",139,0))))))))))))))))))))))))))))))))))))))))))</f>
        <v/>
      </c>
      <c r="BM464" s="52" t="str">
        <f>IF(Atletas!L460="","",IF(Atletas!W460&lt;&gt;"",10000,0)+(IF(Atletas!B460="Feminino",1000,IF(Atletas!B460="Masculino",2000,""))+(IF(Atletas!L460="Chaquan D",140,IF(Atletas!L460="Emeiquan D",141,IF(Atletas!L460="Fanziquan D",142,IF(Atletas!L460="Huaquan D",143,IF(Atletas!L460="Hongquan D",144,IF(Atletas!L460="Paochui D",145,IF(Atletas!L460="Piguaquan D",146,IF(Atletas!L460="Shaolinquan D",147,IF(Atletas!L460="Tanglangquan D",148,IF(Atletas!L460="Yinzhaophai D",149,IF(Atletas!L460="Tongbeiquan D",150,IF(Atletas!L460="Wudangquan D",151,IF(Atletas!L460="Outros Estilos D",152,IF(Atletas!L460="Chaquan E",153,IF(Atletas!L460="Emeiquan E",154,IF(Atletas!L460="Fanziquan E",155,IF(Atletas!L460="Huaquan E",156,IF(Atletas!L460="Hongquan E",157,IF(Atletas!L460="Paochui E",158,IF(Atletas!L460="Piguaquan E",159,IF(Atletas!L460="Shaolinquan E",160,IF(Atletas!L460="Tanglangquan E",161,IF(Atletas!L460="Yinzhaophai E",162,IF(Atletas!L460="Tongbeiquan E",163,IF(Atletas!L460="Wudangquan E",164,IF(Atletas!L460="Outros Estilos E",165,IF(Atletas!L460="Chaquan F",166,IF(Atletas!L460="Emeiquan F",167,IF(Atletas!L460="Fanziquan F",168,IF(Atletas!L460="Huaquan F",169,IF(Atletas!L460="Hongquan F",170,IF(Atletas!L460="Paochui F",171,IF(Atletas!L460="Piguaquan F",172,IF(Atletas!L460="Shaolinquan F",173,IF(Atletas!L460="Tanglangquan F",174,IF(Atletas!L460="Yinzhaophai F",175,IF(Atletas!L460="Tongbeiquan F",176,IF(Atletas!L460="Wudangquan F",177,IF(Atletas!L460="Outros Estilos F",178,0))))))))))))))))))))))))))))))))))))))))))</f>
        <v/>
      </c>
      <c r="BN464" s="52" t="str">
        <f>IF(Atletas!M460="","",IF(Atletas!W460&lt;&gt;"",10000,0)+(IF(Atletas!B460="Feminino",1000,IF(Atletas!B460="Masculino",2000,""))+(IF(Atletas!M460="Ditangquan A",201,IF(Atletas!M460="Houquan A",202,IF(Atletas!M460="Zuiquan A",203,IF(Atletas!M460="Ditangquan B",204,IF(Atletas!M460="Houquan B",205,IF(Atletas!M460="Zuiquan B",206,IF(Atletas!M460="Ditangquan C",207,IF(Atletas!M460="Houquan C",208,IF(Atletas!M460="Zuiquan C",209,IF(Atletas!M460="Ditangquan D",210,IF(Atletas!M460="Houquan D",211,IF(Atletas!M460="Zuiquan D",212,IF(Atletas!M460="Ditangquan E",213,IF(Atletas!M460="Houquan E",214,IF(Atletas!M460="Zuiquan E",215,IF(Atletas!M460="Ditangquan F",216,IF(Atletas!M460="Houquan F",217,IF(Atletas!M460="Zuiquan F",218,"")))))))))))))))))))))</f>
        <v/>
      </c>
      <c r="BO464" s="52" t="str">
        <f>IF(Atletas!N460="","",IF(Atletas!W460&lt;&gt;"",10000,0)+IF(Atletas!B460="Feminino",1000,IF(Atletas!B460="Masculino",2000,""))+IF(Atletas!N460="Yang A",301,IF(Atletas!N460="Chen A",30,IF(Atletas!N460="Sun A",303,IF(Atletas!N460="Wu A",304,IF(Atletas!N460="Wu-Hao A",305,IF(Atletas!N460="Outro Taijiquan A",306,IF(Atletas!N460="Yang B",307,IF(Atletas!N460="Chen B",308,IF(Atletas!N460="Sun B",309,IF(Atletas!N460="Wu B",310,IF(Atletas!N460="Wu-Hao B",311,IF(Atletas!N460="Outro Taijiquan B",312,IF(Atletas!N460="Yang C",313,IF(Atletas!N460="Chen C",314,IF(Atletas!N460="Sun C",315,IF(Atletas!N460="Wu C",316,IF(Atletas!N460="Wu-Hao C",317,IF(Atletas!N460="Outro Taijiquan C",318,IF(Atletas!N460="Yang D",319,IF(Atletas!N460="Chen D",320,IF(Atletas!N460="Sun D",321,IF(Atletas!N460="Wu D",322,IF(Atletas!N460="Wu-Hao D",323,IF(Atletas!N460="Outro Taijiquan D",324,IF(Atletas!N460="Yang E",325,IF(Atletas!N460="Chen E",326,IF(Atletas!N460="Sun E",327,IF(Atletas!N460="Wu E",328,IF(Atletas!N460="Wu-Hao E",329,IF(Atletas!N460="Outro Taijiquan E",330,IF(Atletas!N460="Yang F",331,IF(Atletas!N460="Chen F",332,IF(Atletas!N460="Sun F",333,IF(Atletas!N460="Wu F",334,IF(Atletas!N460="Wu-Hao F",335,IF(Atletas!N460="Outro Taijiquan F",336,"")))))))))))))))))))))))))))))))))))))</f>
        <v/>
      </c>
      <c r="BP464" s="52" t="str">
        <f>IF(Atletas!O460="","",IF(Atletas!W460&lt;&gt;"",10000,0)+IF(Atletas!B460="Feminino",1000,IF(Atletas!B460="Masculino",2000,""))+IF(OR(Atletas!O460="Yang 26 A",Atletas!O460="Yang 40 A"),401,IF(OR(Atletas!O460="Chen 25 A",Atletas!O460="Chen 36 A",Atletas!O460="Chen 56 A"),402,IF(Atletas!O460="Sun 73 A",403,IF(Atletas!O460="Wu 45 A",404,IF(Atletas!O460="Wu-Hao 46 A",405,IF(OR(Atletas!O460="Taijiquan 16 A",Atletas!O460="Taijiquan 24 A",Atletas!O460="Taijiquan 32 A",Atletas!O460="Taijiquan 42 A"),406,IF(OR(Atletas!O460="Yang 26 B",Atletas!O460="Yang 40 B"),407,IF(OR(Atletas!O460="Chen 25 B",Atletas!O460="Chen 36 B",Atletas!O460="Chen 56 B"),408,IF(Atletas!O460="Sun 73 B",409,IF(Atletas!O460="Wu 45 B",410,IF(Atletas!O460="Wu-Hao 46 B",411,IF(OR(Atletas!O460="Taijiquan 16 B",Atletas!O460="Taijiquan 24 B",Atletas!O460="Taijiquan 32 B",Atletas!O460="Taijiquan 42 B"),412,IF(OR(Atletas!O460="Yang 26 C",Atletas!O460="Yang 40 C"),413,IF(OR(Atletas!O460="Chen 25 C",Atletas!O460="Chen 36 C",Atletas!O460="Chen 56 C"),414,IF(Atletas!O460="Sun 73 C",415,IF(Atletas!O460="Wu 45 C",416,IF(Atletas!O460="Wu-Hao 46 C",417,IF(OR(Atletas!O460="Taijiquan 16 C",Atletas!O460="Taijiquan 24 C",Atletas!O460="Taijiquan 32 C",Atletas!O460="Taijiquan 42 C"),418,0)))))))))))))))))))</f>
        <v/>
      </c>
      <c r="BQ464" s="52" t="str">
        <f>IF(Atletas!O460="","",IF(Atletas!W460&lt;&gt;"",10000,0)+IF(Atletas!B460="Feminino",1000,IF(Atletas!B460="Masculino",2000,""))+IF(OR(Atletas!O460="Yang 26 D",Atletas!O460="Yang 40 D"),419,IF(OR(Atletas!O460="Chen 25 D",Atletas!O460="Chen 36 D",Atletas!O460="Chen 56 D"),420,IF(Atletas!O460="Sun 73 D",421,IF(Atletas!O460="Wu 45 D",422,IF(Atletas!O460="Wu-Hao 46 D",423,IF(OR(Atletas!O460="Taijiquan 16 D",Atletas!O460="Taijiquan 24 D",Atletas!O460="Taijiquan 32 D",Atletas!O460="Taijiquan 42 D"),424,IF(OR(Atletas!O460="Yang 26 E",Atletas!O460="Yang 40 E"),425,IF(OR(Atletas!O460="Chen 25 E",Atletas!O460="Chen 36 E",Atletas!O460="Chen 56 E"),426,IF(Atletas!O460="Sun 73 E",427,IF(Atletas!O460="Wu 45 E",428,IF(Atletas!O460="Wu-Hao 46 E",429,IF(OR(Atletas!O460="Taijiquan 16 E",Atletas!O460="Taijiquan 24 E",Atletas!O460="Taijiquan 32 E",Atletas!O460="Taijiquan 42 E"),430,IF(OR(Atletas!O460="Yang 26 F",Atletas!O460="Yang 40 F"),431,IF(OR(Atletas!O460="Chen 25 F",Atletas!O460="Chen 36 F",Atletas!O460="Chen 56 F"),432,IF(Atletas!O460="Sun 73 F",433,IF(Atletas!O460="Wu 45 F",434,IF(Atletas!O460="Wu-Hao 46 F",435,IF(OR(Atletas!O460="Taijiquan 16 F",Atletas!O460="Taijiquan 24 F",Atletas!O460="Taijiquan 32 F",Atletas!O460="Taijiquan 42 F"),436,0)))))))))))))))))))</f>
        <v/>
      </c>
      <c r="BR464" s="52" t="str">
        <f>IF(Atletas!P460="","",IF(Atletas!W460&lt;&gt;"",10000,0)+IF(Atletas!B460="Feminino",1000,IF(Atletas!B460="Masculino",2000,""))+IF(Atletas!P460="Xingyiquan A",501,IF(Atletas!P460="Baguazhang A",502,IF(Atletas!P460="Outro Estilo Interno A",503,IF(Atletas!P460="Xingyiquan B",504,IF(Atletas!P460="Baguazhang B",505,IF(Atletas!P460="Outro Estilo Interno B",506,IF(Atletas!P460="Xingyiquan C",507,IF(Atletas!P460="Baguazhang C",508,IF(Atletas!P460="Outro Estilo Interno C",509,IF(Atletas!P460="Xingyiquan D",510,IF(Atletas!P460="Baguazhang D",511,IF(Atletas!P460="Outro Estilo Interno D",512,IF(Atletas!P460="Xingyiquan E",513,IF(Atletas!P460="Baguazhang E",514,IF(Atletas!P460="Outro Estilo Interno E",515,IF(Atletas!P460="Xingyiquan F",516,IF(Atletas!P460="Baguazhang F",517,IF(Atletas!P460="Outro Estilo Interno F",518, "")))))))))))))))))))</f>
        <v/>
      </c>
      <c r="BS464" s="52" t="str">
        <f>IF(Atletas!Q460="","",IF(Atletas!W460&lt;&gt;"",10000,0)+IF(Atletas!B460="Feminino",1000,IF(Atletas!B460="Masculino",2000,""))+IF(Atletas!Q460="Dao A",601,IF(Atletas!Q460="Jian A",602,IF(Atletas!Q460="Bishou A",603,IF(Atletas!Q460="Shan A",604,IF(Atletas!Q460="Outra Arma Curta A",605,IF(Atletas!Q460="Dao B",606,IF(Atletas!Q460="Jian B",607,IF(Atletas!Q460="Bishou B",608,IF(Atletas!Q460="Shan B",609,IF(Atletas!Q460="Outra Arma Curta B",610,IF(Atletas!Q460="Dao C",611,IF(Atletas!Q460="Jian C",612,IF(Atletas!Q460="Bishou C",613,IF(Atletas!Q460="Shan C",614,IF(Atletas!Q460="Outra Arma Curta C",615,IF(Atletas!Q460="Dao D",616,IF(Atletas!Q460="Jian D",617,IF(Atletas!Q460="Bishou D",618,IF(Atletas!Q460="Shan D",619,IF(Atletas!Q460="Outra Arma Curta D",620,IF(Atletas!Q460="Dao E",621,IF(Atletas!Q460="Jian E",622,IF(Atletas!Q460="Bishou E",623,IF(Atletas!Q460="Shan E",624,IF(Atletas!Q460="Outra Arma Curta E",625,IF(Atletas!Q460="Dao F",626,IF(Atletas!Q460="Jian F",627,IF(Atletas!Q460="Bishou F",628,IF(Atletas!Q460="Shan F",629,IF(Atletas!Q460="Outra Arma Curta F",630, "")))))))))))))))))))))))))))))))</f>
        <v/>
      </c>
      <c r="BT464" s="52" t="str">
        <f>IF(Atletas!R460="","",IF(Atletas!W460&lt;&gt;"",10000,0)+IF(Atletas!B460="Feminino",1000,IF(Atletas!B460="Masculino",2000,""))+IF(Atletas!R460="Gun A",701,IF(Atletas!R460="Qiang A",702,IF(Atletas!R460="Pudao / Guandao A",703,IF(Atletas!R460="Outra Arma Longa A",704,IF(Atletas!R460="Gun B",705,IF(Atletas!R460="Qiang B",706,IF(Atletas!R460="Pudao / Guandao B",707,IF(Atletas!R460="Outra Arma Longa B",708,IF(Atletas!R460="Gun C",709,IF(Atletas!R460="Qiang C",710,IF(Atletas!R460="Pudao / Guandao C",711,IF(Atletas!R460="Outra Arma Longa C",712,IF(Atletas!R460="Gun D",713,IF(Atletas!R460="Qiang D",714,IF(Atletas!R460="Pudao / Guandao D",715,IF(Atletas!R460="Outra Arma Longa D",716,IF(Atletas!R460="Gun E",717,IF(Atletas!R460="Qiang E",718,IF(Atletas!R460="Pudao / Guandao E",719,IF(Atletas!R460="Outra Arma Longa E",720,IF(Atletas!R460="Gun F",721,IF(Atletas!R460="Qiang F",722,IF(Atletas!R460="Pudao / Guandao F",723,IF(Atletas!R460="Outra Arma Longa F",724,"")))))))))))))))))))))))))</f>
        <v/>
      </c>
      <c r="BU464" s="52" t="str">
        <f>IF(Atletas!S460="","",IF(Atletas!W460&lt;&gt;"",10000,0)+IF(Atletas!B460="Feminino",1000,IF(Atletas!B460="Masculino",2000,""))+IF(Atletas!S460="Arma Dupla A",801,IF(Atletas!S460="Arma Maleável A",802,IF(Atletas!S460="Arma Dupla B",803,IF(Atletas!S460="Arma Maleável B",804,IF(Atletas!S460="Arma Dupla C",805,IF(Atletas!S460="Arma Maleável C",806,IF(Atletas!S460="Arma Dupla D",807,IF(Atletas!S460="Arma Maleável D",808,IF(Atletas!S460="Arma Dupla E",809,IF(Atletas!S460="Arma Maleável E",810,IF(Atletas!S460="Arma Dupla F",811,IF(Atletas!S460="Arma Maleável F",812, "")))))))))))))</f>
        <v/>
      </c>
      <c r="BV464" s="52" t="str">
        <f>IF(Atletas!T460="","",IF(Atletas!W460&lt;&gt;"",10000,0)+IF(Atletas!B460="Feminino",1000,IF(Atletas!B460="Masculino",2000,""))+IF(Atletas!T460="Taijijian Yang A",901,IF(Atletas!T460="Taijijian Chen A",902,IF(Atletas!T460="Taijijian Sun A",903,IF(Atletas!T460="Taijijian Wu A",904,IF(Atletas!T460="Taijijian Wu-Hao A",905,IF(Atletas!T460="Taijijian 32 A",906,IF(Atletas!T460="Taijijian 42 A",907,IF(Atletas!T460="Taijijian Yang B",908,IF(Atletas!T460="Taijijian Chen B",909,IF(Atletas!T460="Taijijian Sun B",910,IF(Atletas!T460="Taijijian Wu B",911,IF(Atletas!T460="Taijijian Wu-Hao B",912,IF(Atletas!T460="Taijijian 32 B",913,IF(Atletas!T460="Taijijian 42 B",914,IF(Atletas!T460="Taijijian Yang C",915,IF(Atletas!T460="Taijijian Chen C",916,IF(Atletas!T460="Taijijian Sun C",917,IF(Atletas!T460="Taijijian Wu C",918,IF(Atletas!T460="Taijijian Wu-Hao C",919,IF(Atletas!T460="Taijijian 32 C",920,IF(Atletas!T460="Taijijian 42 C",921,IF(Atletas!T460="Taijijian Yang D",922,IF(Atletas!T460="Taijijian Chen D",923,IF(Atletas!T460="Taijijian Sun D",924,IF(Atletas!T460="Taijijian Wu D",925,IF(Atletas!T460="Taijijian Wu-Hao D",926,IF(Atletas!T460="Taijijian 32 D",927,IF(Atletas!T460="Taijijian 42 D",928,IF(Atletas!T460="Taijijian Yang E",929,IF(Atletas!T460="Taijijian Chen E",930,IF(Atletas!T460="Taijijian Sun E",931,IF(Atletas!T460="Taijijian Wu E",932,IF(Atletas!T460="Taijijian Wu-Hao E",933,IF(Atletas!T460="Taijijian 32 E",934,IF(Atletas!T460="Taijijian 42 E",935,IF(Atletas!T460="Taijijian Yang F",936,IF(Atletas!T460="Taijijian Chen F",937,IF(Atletas!T460="Taijijian Sun F",938,IF(Atletas!T460="Taijijian Wu F",939,IF(Atletas!T460="Taijijian Wu-Hao F",940,IF(Atletas!T460="Taijijian 32 F",941,IF(Atletas!T460="Taijijian 42 F",942,"")))))))))))))))))))))))))))))))))))))))))))</f>
        <v/>
      </c>
      <c r="BW464" s="52" t="str">
        <f>IF(Atletas!U460="","",IF(Atletas!W460&lt;&gt;"",10000,0)+IF(Atletas!B460="Feminino",1000,IF(Atletas!B460="Masculino",2000,""))+IF(Atletas!T460="Taijijian 42 F",942,IF(Atletas!U460="Taijidao A",943,IF(Atletas!U460="Taijishan A",944,IF(Atletas!U460="Taijiqiang A",945,IF(Atletas!U460="Taijidao B",946,IF(Atletas!U460="Taijishan B",947,IF(Atletas!U460="Taijiqiang B",948,IF(Atletas!U460="Taijidao C",949,IF(Atletas!U460="Taijishan C",950,IF(Atletas!U460="Taijiqiang C",951,IF(Atletas!U460="Taijidao D",952,IF(Atletas!U460="Taijishan D",953,IF(Atletas!U460="Taijiqiang D",954,IF(Atletas!U460="Taijidao E",955,IF(Atletas!U460="Taijishan E",956,IF(Atletas!U460="Taijiqiang E",957,IF(Atletas!U460="Taijidao F",958,IF(Atletas!U460="Taijishan F",959,IF(Atletas!U460="Taijiqiang F",960))))))))))))))))))))</f>
        <v/>
      </c>
      <c r="CF464" s="52" t="str">
        <f xml:space="preserve"> IF(Atletas!V460="","",IF(Atletas!V460="Duilian de Mãos AB - Equipe 1",1,IF(Atletas!V460="Duilian de Mãos AB - Equipe 2",2,IF(Atletas!V460="Duilian de Armas AB - Equipe 1",3,IF(Atletas!V460="Duilian de Armas AB - Equipe 2",4,IF(Atletas!V460="Duilian de Tuishou - Equipe 1",5,IF(Atletas!V460="Duilian de Tuishou - Equipe 2",6,IF(Atletas!V460="Grupo Externo AB - Equipe 1",7,IF(Atletas!V460="Grupo Externo AB - Equipe 2",8,IF(Atletas!V460="Grupo Interno AB - Equipe 1",9,IF(Atletas!V460="Grupo Interno AB - Equipe 2",10,IF(Atletas!V460="Duilian de Mãos CD - Equipe 1",11,IF(Atletas!V460="Duilian de Mãos CD - Equipe 2",12,IF(Atletas!V460="Duilian de Armas CD - Equipe 1",13,IF(Atletas!V460="Duilian de Armas CD - Equipe 2",14,IF(Atletas!V460="Duilian de Tuishou - Equipe 1",15,IF(Atletas!V460="Duilian de Tuishou - Equipe 2",16,IF(Atletas!V460="Grupo Externo CDEF - Equipe 1",17,IF(Atletas!V460="Grupo Externo CDEF - Equipe 2",18,IF(Atletas!V460="Grupo Interno CDEF - Equipe 1",19,IF(Atletas!V460="Grupo Interno CDEF - Equipe 2",20,IF(Atletas!V460="Duilian de Mãos EF - Equipe 1",21,IF(Atletas!V460="Duilian de Mãos EF - Equipe 2",22,IF(Atletas!V460="Duilian de Armas EF - Equipe 1",23,IF(Atletas!V460="Duilian de Armas EF - Equipe 2",24,IF(Atletas!V460="Duilian de Tuishou - Equipe 1",25,IF(Atletas!V460="Duilian de Tuishou - Equipe 2",26,"")))))))))))))))))))))))))))</f>
        <v/>
      </c>
    </row>
    <row r="465" spans="36:84">
      <c r="AJ465" s="46" t="str">
        <f>IF(Atletas!D461="","",IF(Atletas!B461="Feminino",100,IF(Atletas!B461="Masculino",200,""))+(IF(Atletas!D461="Infantil 39kg",1,IF(Atletas!D461="Infantil 42kg",2,IF(Atletas!D461="Infantil 45kg",3,IF(Atletas!D461="Infantil 48kg",4,IF(Atletas!D461="Infantil 52kg",5,IF(Atletas!D461="Infantil 56kg",6,IF(Atletas!D461="Infantil 60kg",7,IF(Atletas!D461="Juvenil 48kg",8,IF(Atletas!D461="Juvenil 52kg",9,IF(Atletas!D461="Juvenil 56kg",10,IF(Atletas!D461="Juvenil 60kg",11,IF(Atletas!D461="Juvenil 65kg",12,IF(Atletas!D461="Juvenil 70kg",13,IF(Atletas!D461="Juvenil 75kg",14,IF(Atletas!D461="Juvenil 80kg",15,IF(Atletas!D461="Adulto 48kg",16,IF(Atletas!D461="Adulto 52kg",17,IF(Atletas!D461="Adulto 56kg",18,IF(Atletas!D461="Adulto 60kg",19,IF(Atletas!D461="Adulto 65kg",20,IF(Atletas!D461="Adulto 70kg",21,IF(Atletas!D461="Adulto 75kg",22,IF(Atletas!D461="Adulto 80kg",23,IF(Atletas!D461="Adulto 85kg",24,IF(Atletas!D461="Adulto 90kg",25,IF(Atletas!D461="Adulto +90kg",26,""))))))))))))))))))))))))))))</f>
        <v/>
      </c>
      <c r="AO465" s="10" t="str">
        <f>IF(Atletas!E461="","",IF(Atletas!B461="Feminino",100,IF(Atletas!B461="Masculino",200,""))+(IF(Atletas!E461="Juvenil 44kg",1,IF(Atletas!E461="Juvenil 48kg",2,IF(Atletas!E461="Juvenil 52kg",3,IF(Atletas!E461="Juvenil 56kg",4,IF(Atletas!E461="Juvenil 60kg",5,IF(Atletas!E461="Juvenil 65kg",6,IF(Atletas!E461="Juvenil 70kg",7,IF(Atletas!E461="Juvenil 75kg",8,IF(Atletas!E461="Juvenil 82kg",9,IF(Atletas!E461="Juvenil 90kg",10,IF(Atletas!E461="Juvenil 100kg",11,IF(Atletas!E461="Adulto 48kg",12,IF(Atletas!E461="Adulto 52kg",13,IF(Atletas!E461="Adulto 56kg",14,IF(Atletas!E461="Adulto 60kg",15,IF(Atletas!E461="Adulto 65kg",16,IF(Atletas!E461="Adulto 70kg",17,IF(Atletas!E461="Adulto 75kg",18,IF(Atletas!E461="Adulto 82kg",19,IF(Atletas!E461="Adulto 90kg",20,IF(Atletas!E461="Adulto 100kg",21,IF(Atletas!E461="Adulto +100kg",22,""))))))))))))))))))))))))</f>
        <v/>
      </c>
      <c r="AT465" s="10" t="str">
        <f>IF(Atletas!F461="","",IF(Atletas!B461="Feminino",100,IF(Atletas!B461="Masculino",200,""))+(IF(Atletas!F461="Adulto 48kg",1,IF(Atletas!F461="Adulto 56kg",2,IF(Atletas!F461="Adulto 65kg",3,IF(Atletas!F461="Adulto 75kg",4,IF(Atletas!F461="Adulto +75kg",5,IF(Atletas!F461="Adulto 52kg",6,IF(Atletas!F461="Adulto 60kg",7,IF(Atletas!F461="Adulto 70kg",8,IF(Atletas!F461="Adulto 80kg",9,IF(Atletas!F461="Adulto 90kg",10,IF(Atletas!F461="Adulto +90kg",11,"")))))))))))))</f>
        <v/>
      </c>
      <c r="AY465" s="46" t="str">
        <f>IF(Atletas!G461="","",IF(Atletas!B461="Feminino",100,IF(Atletas!B461="Masculino",200,""))+(IF(Atletas!G461="Changquan Mirim",1,IF(Atletas!G461="Nanquan Mirim",2,IF(Atletas!G461="Taijiquan Mirim",3,IF(Atletas!G461="Changquan Grupo C",4,IF(Atletas!G461="Nanquan Grupo C",5,IF(Atletas!G461="Taijiquan Grupo C",6,IF(Atletas!G461="Changquan Grupo B",7,IF(Atletas!G461="Nanquan Grupo B",8,IF(Atletas!G461="Taijiquan Grupo B",9,IF(Atletas!G461="Changquan Grupo A",10,IF(Atletas!G461="Nanquan Grupo A",11,IF(Atletas!G461="Taijiquan Grupo A",12,IF(Atletas!G461="Changquan Opcional",13,IF(Atletas!G461="Nanquan Opcional",14,IF(Atletas!G461="Taijiquan Opcional",15,IF(Atletas!G461="Changquan Adulto",16,IF(Atletas!G461="Nanquan Adulto",17,IF(Atletas!G461="Taijiquan Adulto",18,""))))))))))))))))))))</f>
        <v/>
      </c>
      <c r="AZ465" s="46" t="str">
        <f>IF(Atletas!H461="","",IF(Atletas!B461="Feminino",100,IF(Atletas!B461="Masculino",200,""))+(IF(Atletas!H461="Daoshu Mirim",19,IF(Atletas!H461="Jianshu Mirim",20,IF(Atletas!H461="Nandao Mirim",21,IF(Atletas!H461="Taijijian Mirim",22,IF(Atletas!H461="Daoshu Grupo C",23,IF(Atletas!H461="Jianshu Grupo C",24,IF(Atletas!H461="Nandao Grupo C",25,IF(Atletas!H461="Taijijian Grupo C",26,IF(Atletas!H461="Daoshu Grupo B",27,IF(Atletas!H461="Jianshu Grupo B",28,IF(Atletas!H461="Nandao Grupo B",29,IF(Atletas!H461="Taijijian Grupo B",30,IF(Atletas!H461="Daoshu Grupo A",31,IF(Atletas!H461="Jianshu Grupo A",32,IF(Atletas!H461="Nandao Grupo A",33,IF(Atletas!H461="Taijijian Grupo A",34,IF(Atletas!H461="Daoshu Opcional",35,IF(Atletas!H461="Jianshu Opcional",36,IF(Atletas!H461="Nandao Opcional",37,IF(Atletas!H461="Taijijian Opcional",38,IF(Atletas!H461="Daoshu Adulto",39,IF(Atletas!H461="Jianshu Adulto",40,IF(Atletas!H461="Nandao Adulto",41,IF(Atletas!H461="Taijijian Adulto",42,""))))))))))))))))))))))))))</f>
        <v/>
      </c>
      <c r="BA465" s="46" t="str">
        <f>IF(Atletas!I461="","",IF(Atletas!B461="Feminino",100,IF(Atletas!B461="Masculino",200,""))+(IF(Atletas!I461="Gunshu Mirim",43,IF(Atletas!I461="Qiangshu Mirim",44,IF(Atletas!I461="Nangun Mirim",45,IF(Atletas!I461="Gunshu Grupo C",46,IF(Atletas!I461="Qiangshu Grupo C",47,IF(Atletas!I461="Nangun Grupo C",48,IF(Atletas!I461="Gunshu Grupo B",49,IF(Atletas!I461="Qiangshu Grupo B",50,IF(Atletas!I461="Nangun Grupo B",51,IF(Atletas!I461="Gunshu Grupo A",52,IF(Atletas!I461="Qiangshu Grupo A",53,IF(Atletas!I461="Nangun Grupo A",54,IF(Atletas!I461="Gunshu Opcional",55,IF(Atletas!I461="Qiangshu Opcional",56,IF(Atletas!I461="Nangun Opcional",57,IF(Atletas!I461="Gunshu Adulto",58,IF(Atletas!I461="Qiangshu Adulto",59,IF(Atletas!I461="Nangun Adulto",60,""))))))))))))))))))))</f>
        <v/>
      </c>
      <c r="BF465" s="52" t="str">
        <f>IF(Atletas!J461="","",IF(Atletas!B461="Feminino",100,IF(Atletas!B461="Masculino",200,""))+(IF(Atletas!J461="Equipe 1 Grupo B",1,IF(Atletas!J461="Equipe 2 Grupo B",2,IF(Atletas!J461="Equipe 1 Grupo A",3,IF(Atletas!J461="Equipe 2 Grupo A",4,IF(Atletas!J461="Equipe 1 Adulto",5,IF(Atletas!J461="Equipe 2 Adulto",6,""))))))))</f>
        <v/>
      </c>
      <c r="BK465" s="52" t="str">
        <f>IF(Atletas!K461="","",IF(Atletas!W461&lt;&gt;"",10000,0)+(IF(Atletas!B461="Feminino",1000,IF(Atletas!B461="Masculino",2000,""))+IF(Atletas!K461="Choylayfut A",1,IF(Atletas!K461="Hunggar A",2,IF(Atletas!K461="Wuzuquan A",3,IF(Atletas!K461="Wingchun A",4,IF(Atletas!K461="Outra Mão de Sul A",5,IF(Atletas!K461="Choylayfut B",6,IF(Atletas!K461="Hunggar B",7,IF(Atletas!K461="Wuzuquan B",8,IF(Atletas!K461="Wingchun B",9,IF(Atletas!K461="Outra Mão de Sul B",10,IF(Atletas!K461="Choylayfut C",11,IF(Atletas!K461="Hunggar C",12,IF(Atletas!K461="Wuzuquan C",13,IF(Atletas!K461="Wingchun C",14,IF(Atletas!K461="Outra Mão de Sul C",15,IF(Atletas!K461="Choylayfut D",16,IF(Atletas!K461="Hunggar D",17,IF(Atletas!K461="Wuzuquan D",18,IF(Atletas!K461="Wingchun D",19,IF(Atletas!K461="Outra Mão de Sul D",20,IF(Atletas!K461="Choylayfut E",21,IF(Atletas!K461="Hunggar E",22,IF(Atletas!K461="Wuzuquan E",23,IF(Atletas!K461="Wingchun E",24,IF(Atletas!K461="Outra Mão de Sul E",25,IF(Atletas!K461="Choylayfut F",26,IF(Atletas!K461="Hunggar F",27,IF(Atletas!K461="Wuzuquan F",28,IF(Atletas!K461="Wingchun F",29,IF(Atletas!K461="Outra Mão de Sul F",30,""))))))))))))))))))))))))))))))))</f>
        <v/>
      </c>
      <c r="BL465" s="52" t="str">
        <f>IF(Atletas!L461="","",IF(Atletas!W461&lt;&gt;"",10000,0)+(IF(Atletas!B461="Feminino",1000,IF(Atletas!B461="Masculino",2000,""))+(IF(Atletas!L461="Chaquan A",101,IF(Atletas!L461="Emeiquan A",102,IF(Atletas!L461="Fanziquan A",103,IF(Atletas!L461="Huaquan A",104,IF(Atletas!L461="Hongquan A",105,IF(Atletas!L461="Paochui A",106,IF(Atletas!L461="Piguaquan A",107,IF(Atletas!L461="Shaolinquan A",108,IF(Atletas!L461="Tanglangquan A",109,IF(Atletas!L461="Yinzhaophai A",110,IF(Atletas!L461="Tongbeiquan A",111,IF(Atletas!L461="Wudangquan A",112,IF(Atletas!L461="Outros Estilos A",113,IF(Atletas!L461="Chaquan B",114,IF(Atletas!L461="Emeiquan B",115,IF(Atletas!L461="Fanziquan B",116,IF(Atletas!L461="Huaquan B",117,IF(Atletas!L461="Hongquan B",118,IF(Atletas!L461="Paochui B",119,IF(Atletas!L461="Piguaquan B",120,IF(Atletas!L461="Shaolinquan B",121,IF(Atletas!L461="Tanglangquan B",122,IF(Atletas!L461="Yinzhaophai B",123,IF(Atletas!L461="Tongbeiquan B",124,IF(Atletas!L461="Wudangquan B",125,IF(Atletas!L461="Outros Estilos B",126,IF(Atletas!L461="Chaquan C",127,IF(Atletas!L461="Emeiquan C",128,IF(Atletas!L461="Fanziquan C",129,IF(Atletas!L461="Huaquan C",130,IF(Atletas!L461="Hongquan C",131,IF(Atletas!L461="Paochui C",132,IF(Atletas!L461="Piguaquan C",133,IF(Atletas!L461="Shaolinquan C",134,IF(Atletas!L461="Tanglangquan C",135,IF(Atletas!L461="Yinzhaophai C",136,IF(Atletas!L461="Tongbeiquan C",137,IF(Atletas!L461="Wudangquan C",138,IF(Atletas!L461="Outros Estilos C",139,0))))))))))))))))))))))))))))))))))))))))))</f>
        <v/>
      </c>
      <c r="BM465" s="52" t="str">
        <f>IF(Atletas!L461="","",IF(Atletas!W461&lt;&gt;"",10000,0)+(IF(Atletas!B461="Feminino",1000,IF(Atletas!B461="Masculino",2000,""))+(IF(Atletas!L461="Chaquan D",140,IF(Atletas!L461="Emeiquan D",141,IF(Atletas!L461="Fanziquan D",142,IF(Atletas!L461="Huaquan D",143,IF(Atletas!L461="Hongquan D",144,IF(Atletas!L461="Paochui D",145,IF(Atletas!L461="Piguaquan D",146,IF(Atletas!L461="Shaolinquan D",147,IF(Atletas!L461="Tanglangquan D",148,IF(Atletas!L461="Yinzhaophai D",149,IF(Atletas!L461="Tongbeiquan D",150,IF(Atletas!L461="Wudangquan D",151,IF(Atletas!L461="Outros Estilos D",152,IF(Atletas!L461="Chaquan E",153,IF(Atletas!L461="Emeiquan E",154,IF(Atletas!L461="Fanziquan E",155,IF(Atletas!L461="Huaquan E",156,IF(Atletas!L461="Hongquan E",157,IF(Atletas!L461="Paochui E",158,IF(Atletas!L461="Piguaquan E",159,IF(Atletas!L461="Shaolinquan E",160,IF(Atletas!L461="Tanglangquan E",161,IF(Atletas!L461="Yinzhaophai E",162,IF(Atletas!L461="Tongbeiquan E",163,IF(Atletas!L461="Wudangquan E",164,IF(Atletas!L461="Outros Estilos E",165,IF(Atletas!L461="Chaquan F",166,IF(Atletas!L461="Emeiquan F",167,IF(Atletas!L461="Fanziquan F",168,IF(Atletas!L461="Huaquan F",169,IF(Atletas!L461="Hongquan F",170,IF(Atletas!L461="Paochui F",171,IF(Atletas!L461="Piguaquan F",172,IF(Atletas!L461="Shaolinquan F",173,IF(Atletas!L461="Tanglangquan F",174,IF(Atletas!L461="Yinzhaophai F",175,IF(Atletas!L461="Tongbeiquan F",176,IF(Atletas!L461="Wudangquan F",177,IF(Atletas!L461="Outros Estilos F",178,0))))))))))))))))))))))))))))))))))))))))))</f>
        <v/>
      </c>
      <c r="BN465" s="52" t="str">
        <f>IF(Atletas!M461="","",IF(Atletas!W461&lt;&gt;"",10000,0)+(IF(Atletas!B461="Feminino",1000,IF(Atletas!B461="Masculino",2000,""))+(IF(Atletas!M461="Ditangquan A",201,IF(Atletas!M461="Houquan A",202,IF(Atletas!M461="Zuiquan A",203,IF(Atletas!M461="Ditangquan B",204,IF(Atletas!M461="Houquan B",205,IF(Atletas!M461="Zuiquan B",206,IF(Atletas!M461="Ditangquan C",207,IF(Atletas!M461="Houquan C",208,IF(Atletas!M461="Zuiquan C",209,IF(Atletas!M461="Ditangquan D",210,IF(Atletas!M461="Houquan D",211,IF(Atletas!M461="Zuiquan D",212,IF(Atletas!M461="Ditangquan E",213,IF(Atletas!M461="Houquan E",214,IF(Atletas!M461="Zuiquan E",215,IF(Atletas!M461="Ditangquan F",216,IF(Atletas!M461="Houquan F",217,IF(Atletas!M461="Zuiquan F",218,"")))))))))))))))))))))</f>
        <v/>
      </c>
      <c r="BO465" s="52" t="str">
        <f>IF(Atletas!N461="","",IF(Atletas!W461&lt;&gt;"",10000,0)+IF(Atletas!B461="Feminino",1000,IF(Atletas!B461="Masculino",2000,""))+IF(Atletas!N461="Yang A",301,IF(Atletas!N461="Chen A",30,IF(Atletas!N461="Sun A",303,IF(Atletas!N461="Wu A",304,IF(Atletas!N461="Wu-Hao A",305,IF(Atletas!N461="Outro Taijiquan A",306,IF(Atletas!N461="Yang B",307,IF(Atletas!N461="Chen B",308,IF(Atletas!N461="Sun B",309,IF(Atletas!N461="Wu B",310,IF(Atletas!N461="Wu-Hao B",311,IF(Atletas!N461="Outro Taijiquan B",312,IF(Atletas!N461="Yang C",313,IF(Atletas!N461="Chen C",314,IF(Atletas!N461="Sun C",315,IF(Atletas!N461="Wu C",316,IF(Atletas!N461="Wu-Hao C",317,IF(Atletas!N461="Outro Taijiquan C",318,IF(Atletas!N461="Yang D",319,IF(Atletas!N461="Chen D",320,IF(Atletas!N461="Sun D",321,IF(Atletas!N461="Wu D",322,IF(Atletas!N461="Wu-Hao D",323,IF(Atletas!N461="Outro Taijiquan D",324,IF(Atletas!N461="Yang E",325,IF(Atletas!N461="Chen E",326,IF(Atletas!N461="Sun E",327,IF(Atletas!N461="Wu E",328,IF(Atletas!N461="Wu-Hao E",329,IF(Atletas!N461="Outro Taijiquan E",330,IF(Atletas!N461="Yang F",331,IF(Atletas!N461="Chen F",332,IF(Atletas!N461="Sun F",333,IF(Atletas!N461="Wu F",334,IF(Atletas!N461="Wu-Hao F",335,IF(Atletas!N461="Outro Taijiquan F",336,"")))))))))))))))))))))))))))))))))))))</f>
        <v/>
      </c>
      <c r="BP465" s="52" t="str">
        <f>IF(Atletas!O461="","",IF(Atletas!W461&lt;&gt;"",10000,0)+IF(Atletas!B461="Feminino",1000,IF(Atletas!B461="Masculino",2000,""))+IF(OR(Atletas!O461="Yang 26 A",Atletas!O461="Yang 40 A"),401,IF(OR(Atletas!O461="Chen 25 A",Atletas!O461="Chen 36 A",Atletas!O461="Chen 56 A"),402,IF(Atletas!O461="Sun 73 A",403,IF(Atletas!O461="Wu 45 A",404,IF(Atletas!O461="Wu-Hao 46 A",405,IF(OR(Atletas!O461="Taijiquan 16 A",Atletas!O461="Taijiquan 24 A",Atletas!O461="Taijiquan 32 A",Atletas!O461="Taijiquan 42 A"),406,IF(OR(Atletas!O461="Yang 26 B",Atletas!O461="Yang 40 B"),407,IF(OR(Atletas!O461="Chen 25 B",Atletas!O461="Chen 36 B",Atletas!O461="Chen 56 B"),408,IF(Atletas!O461="Sun 73 B",409,IF(Atletas!O461="Wu 45 B",410,IF(Atletas!O461="Wu-Hao 46 B",411,IF(OR(Atletas!O461="Taijiquan 16 B",Atletas!O461="Taijiquan 24 B",Atletas!O461="Taijiquan 32 B",Atletas!O461="Taijiquan 42 B"),412,IF(OR(Atletas!O461="Yang 26 C",Atletas!O461="Yang 40 C"),413,IF(OR(Atletas!O461="Chen 25 C",Atletas!O461="Chen 36 C",Atletas!O461="Chen 56 C"),414,IF(Atletas!O461="Sun 73 C",415,IF(Atletas!O461="Wu 45 C",416,IF(Atletas!O461="Wu-Hao 46 C",417,IF(OR(Atletas!O461="Taijiquan 16 C",Atletas!O461="Taijiquan 24 C",Atletas!O461="Taijiquan 32 C",Atletas!O461="Taijiquan 42 C"),418,0)))))))))))))))))))</f>
        <v/>
      </c>
      <c r="BQ465" s="52" t="str">
        <f>IF(Atletas!O461="","",IF(Atletas!W461&lt;&gt;"",10000,0)+IF(Atletas!B461="Feminino",1000,IF(Atletas!B461="Masculino",2000,""))+IF(OR(Atletas!O461="Yang 26 D",Atletas!O461="Yang 40 D"),419,IF(OR(Atletas!O461="Chen 25 D",Atletas!O461="Chen 36 D",Atletas!O461="Chen 56 D"),420,IF(Atletas!O461="Sun 73 D",421,IF(Atletas!O461="Wu 45 D",422,IF(Atletas!O461="Wu-Hao 46 D",423,IF(OR(Atletas!O461="Taijiquan 16 D",Atletas!O461="Taijiquan 24 D",Atletas!O461="Taijiquan 32 D",Atletas!O461="Taijiquan 42 D"),424,IF(OR(Atletas!O461="Yang 26 E",Atletas!O461="Yang 40 E"),425,IF(OR(Atletas!O461="Chen 25 E",Atletas!O461="Chen 36 E",Atletas!O461="Chen 56 E"),426,IF(Atletas!O461="Sun 73 E",427,IF(Atletas!O461="Wu 45 E",428,IF(Atletas!O461="Wu-Hao 46 E",429,IF(OR(Atletas!O461="Taijiquan 16 E",Atletas!O461="Taijiquan 24 E",Atletas!O461="Taijiquan 32 E",Atletas!O461="Taijiquan 42 E"),430,IF(OR(Atletas!O461="Yang 26 F",Atletas!O461="Yang 40 F"),431,IF(OR(Atletas!O461="Chen 25 F",Atletas!O461="Chen 36 F",Atletas!O461="Chen 56 F"),432,IF(Atletas!O461="Sun 73 F",433,IF(Atletas!O461="Wu 45 F",434,IF(Atletas!O461="Wu-Hao 46 F",435,IF(OR(Atletas!O461="Taijiquan 16 F",Atletas!O461="Taijiquan 24 F",Atletas!O461="Taijiquan 32 F",Atletas!O461="Taijiquan 42 F"),436,0)))))))))))))))))))</f>
        <v/>
      </c>
      <c r="BR465" s="52" t="str">
        <f>IF(Atletas!P461="","",IF(Atletas!W461&lt;&gt;"",10000,0)+IF(Atletas!B461="Feminino",1000,IF(Atletas!B461="Masculino",2000,""))+IF(Atletas!P461="Xingyiquan A",501,IF(Atletas!P461="Baguazhang A",502,IF(Atletas!P461="Outro Estilo Interno A",503,IF(Atletas!P461="Xingyiquan B",504,IF(Atletas!P461="Baguazhang B",505,IF(Atletas!P461="Outro Estilo Interno B",506,IF(Atletas!P461="Xingyiquan C",507,IF(Atletas!P461="Baguazhang C",508,IF(Atletas!P461="Outro Estilo Interno C",509,IF(Atletas!P461="Xingyiquan D",510,IF(Atletas!P461="Baguazhang D",511,IF(Atletas!P461="Outro Estilo Interno D",512,IF(Atletas!P461="Xingyiquan E",513,IF(Atletas!P461="Baguazhang E",514,IF(Atletas!P461="Outro Estilo Interno E",515,IF(Atletas!P461="Xingyiquan F",516,IF(Atletas!P461="Baguazhang F",517,IF(Atletas!P461="Outro Estilo Interno F",518, "")))))))))))))))))))</f>
        <v/>
      </c>
      <c r="BS465" s="52" t="str">
        <f>IF(Atletas!Q461="","",IF(Atletas!W461&lt;&gt;"",10000,0)+IF(Atletas!B461="Feminino",1000,IF(Atletas!B461="Masculino",2000,""))+IF(Atletas!Q461="Dao A",601,IF(Atletas!Q461="Jian A",602,IF(Atletas!Q461="Bishou A",603,IF(Atletas!Q461="Shan A",604,IF(Atletas!Q461="Outra Arma Curta A",605,IF(Atletas!Q461="Dao B",606,IF(Atletas!Q461="Jian B",607,IF(Atletas!Q461="Bishou B",608,IF(Atletas!Q461="Shan B",609,IF(Atletas!Q461="Outra Arma Curta B",610,IF(Atletas!Q461="Dao C",611,IF(Atletas!Q461="Jian C",612,IF(Atletas!Q461="Bishou C",613,IF(Atletas!Q461="Shan C",614,IF(Atletas!Q461="Outra Arma Curta C",615,IF(Atletas!Q461="Dao D",616,IF(Atletas!Q461="Jian D",617,IF(Atletas!Q461="Bishou D",618,IF(Atletas!Q461="Shan D",619,IF(Atletas!Q461="Outra Arma Curta D",620,IF(Atletas!Q461="Dao E",621,IF(Atletas!Q461="Jian E",622,IF(Atletas!Q461="Bishou E",623,IF(Atletas!Q461="Shan E",624,IF(Atletas!Q461="Outra Arma Curta E",625,IF(Atletas!Q461="Dao F",626,IF(Atletas!Q461="Jian F",627,IF(Atletas!Q461="Bishou F",628,IF(Atletas!Q461="Shan F",629,IF(Atletas!Q461="Outra Arma Curta F",630, "")))))))))))))))))))))))))))))))</f>
        <v/>
      </c>
      <c r="BT465" s="52" t="str">
        <f>IF(Atletas!R461="","",IF(Atletas!W461&lt;&gt;"",10000,0)+IF(Atletas!B461="Feminino",1000,IF(Atletas!B461="Masculino",2000,""))+IF(Atletas!R461="Gun A",701,IF(Atletas!R461="Qiang A",702,IF(Atletas!R461="Pudao / Guandao A",703,IF(Atletas!R461="Outra Arma Longa A",704,IF(Atletas!R461="Gun B",705,IF(Atletas!R461="Qiang B",706,IF(Atletas!R461="Pudao / Guandao B",707,IF(Atletas!R461="Outra Arma Longa B",708,IF(Atletas!R461="Gun C",709,IF(Atletas!R461="Qiang C",710,IF(Atletas!R461="Pudao / Guandao C",711,IF(Atletas!R461="Outra Arma Longa C",712,IF(Atletas!R461="Gun D",713,IF(Atletas!R461="Qiang D",714,IF(Atletas!R461="Pudao / Guandao D",715,IF(Atletas!R461="Outra Arma Longa D",716,IF(Atletas!R461="Gun E",717,IF(Atletas!R461="Qiang E",718,IF(Atletas!R461="Pudao / Guandao E",719,IF(Atletas!R461="Outra Arma Longa E",720,IF(Atletas!R461="Gun F",721,IF(Atletas!R461="Qiang F",722,IF(Atletas!R461="Pudao / Guandao F",723,IF(Atletas!R461="Outra Arma Longa F",724,"")))))))))))))))))))))))))</f>
        <v/>
      </c>
      <c r="BU465" s="52" t="str">
        <f>IF(Atletas!S461="","",IF(Atletas!W461&lt;&gt;"",10000,0)+IF(Atletas!B461="Feminino",1000,IF(Atletas!B461="Masculino",2000,""))+IF(Atletas!S461="Arma Dupla A",801,IF(Atletas!S461="Arma Maleável A",802,IF(Atletas!S461="Arma Dupla B",803,IF(Atletas!S461="Arma Maleável B",804,IF(Atletas!S461="Arma Dupla C",805,IF(Atletas!S461="Arma Maleável C",806,IF(Atletas!S461="Arma Dupla D",807,IF(Atletas!S461="Arma Maleável D",808,IF(Atletas!S461="Arma Dupla E",809,IF(Atletas!S461="Arma Maleável E",810,IF(Atletas!S461="Arma Dupla F",811,IF(Atletas!S461="Arma Maleável F",812, "")))))))))))))</f>
        <v/>
      </c>
      <c r="BV465" s="52" t="str">
        <f>IF(Atletas!T461="","",IF(Atletas!W461&lt;&gt;"",10000,0)+IF(Atletas!B461="Feminino",1000,IF(Atletas!B461="Masculino",2000,""))+IF(Atletas!T461="Taijijian Yang A",901,IF(Atletas!T461="Taijijian Chen A",902,IF(Atletas!T461="Taijijian Sun A",903,IF(Atletas!T461="Taijijian Wu A",904,IF(Atletas!T461="Taijijian Wu-Hao A",905,IF(Atletas!T461="Taijijian 32 A",906,IF(Atletas!T461="Taijijian 42 A",907,IF(Atletas!T461="Taijijian Yang B",908,IF(Atletas!T461="Taijijian Chen B",909,IF(Atletas!T461="Taijijian Sun B",910,IF(Atletas!T461="Taijijian Wu B",911,IF(Atletas!T461="Taijijian Wu-Hao B",912,IF(Atletas!T461="Taijijian 32 B",913,IF(Atletas!T461="Taijijian 42 B",914,IF(Atletas!T461="Taijijian Yang C",915,IF(Atletas!T461="Taijijian Chen C",916,IF(Atletas!T461="Taijijian Sun C",917,IF(Atletas!T461="Taijijian Wu C",918,IF(Atletas!T461="Taijijian Wu-Hao C",919,IF(Atletas!T461="Taijijian 32 C",920,IF(Atletas!T461="Taijijian 42 C",921,IF(Atletas!T461="Taijijian Yang D",922,IF(Atletas!T461="Taijijian Chen D",923,IF(Atletas!T461="Taijijian Sun D",924,IF(Atletas!T461="Taijijian Wu D",925,IF(Atletas!T461="Taijijian Wu-Hao D",926,IF(Atletas!T461="Taijijian 32 D",927,IF(Atletas!T461="Taijijian 42 D",928,IF(Atletas!T461="Taijijian Yang E",929,IF(Atletas!T461="Taijijian Chen E",930,IF(Atletas!T461="Taijijian Sun E",931,IF(Atletas!T461="Taijijian Wu E",932,IF(Atletas!T461="Taijijian Wu-Hao E",933,IF(Atletas!T461="Taijijian 32 E",934,IF(Atletas!T461="Taijijian 42 E",935,IF(Atletas!T461="Taijijian Yang F",936,IF(Atletas!T461="Taijijian Chen F",937,IF(Atletas!T461="Taijijian Sun F",938,IF(Atletas!T461="Taijijian Wu F",939,IF(Atletas!T461="Taijijian Wu-Hao F",940,IF(Atletas!T461="Taijijian 32 F",941,IF(Atletas!T461="Taijijian 42 F",942,"")))))))))))))))))))))))))))))))))))))))))))</f>
        <v/>
      </c>
      <c r="BW465" s="52" t="str">
        <f>IF(Atletas!U461="","",IF(Atletas!W461&lt;&gt;"",10000,0)+IF(Atletas!B461="Feminino",1000,IF(Atletas!B461="Masculino",2000,""))+IF(Atletas!T461="Taijijian 42 F",942,IF(Atletas!U461="Taijidao A",943,IF(Atletas!U461="Taijishan A",944,IF(Atletas!U461="Taijiqiang A",945,IF(Atletas!U461="Taijidao B",946,IF(Atletas!U461="Taijishan B",947,IF(Atletas!U461="Taijiqiang B",948,IF(Atletas!U461="Taijidao C",949,IF(Atletas!U461="Taijishan C",950,IF(Atletas!U461="Taijiqiang C",951,IF(Atletas!U461="Taijidao D",952,IF(Atletas!U461="Taijishan D",953,IF(Atletas!U461="Taijiqiang D",954,IF(Atletas!U461="Taijidao E",955,IF(Atletas!U461="Taijishan E",956,IF(Atletas!U461="Taijiqiang E",957,IF(Atletas!U461="Taijidao F",958,IF(Atletas!U461="Taijishan F",959,IF(Atletas!U461="Taijiqiang F",960))))))))))))))))))))</f>
        <v/>
      </c>
      <c r="CF465" s="52" t="str">
        <f xml:space="preserve"> IF(Atletas!V461="","",IF(Atletas!V461="Duilian de Mãos AB - Equipe 1",1,IF(Atletas!V461="Duilian de Mãos AB - Equipe 2",2,IF(Atletas!V461="Duilian de Armas AB - Equipe 1",3,IF(Atletas!V461="Duilian de Armas AB - Equipe 2",4,IF(Atletas!V461="Duilian de Tuishou - Equipe 1",5,IF(Atletas!V461="Duilian de Tuishou - Equipe 2",6,IF(Atletas!V461="Grupo Externo AB - Equipe 1",7,IF(Atletas!V461="Grupo Externo AB - Equipe 2",8,IF(Atletas!V461="Grupo Interno AB - Equipe 1",9,IF(Atletas!V461="Grupo Interno AB - Equipe 2",10,IF(Atletas!V461="Duilian de Mãos CD - Equipe 1",11,IF(Atletas!V461="Duilian de Mãos CD - Equipe 2",12,IF(Atletas!V461="Duilian de Armas CD - Equipe 1",13,IF(Atletas!V461="Duilian de Armas CD - Equipe 2",14,IF(Atletas!V461="Duilian de Tuishou - Equipe 1",15,IF(Atletas!V461="Duilian de Tuishou - Equipe 2",16,IF(Atletas!V461="Grupo Externo CDEF - Equipe 1",17,IF(Atletas!V461="Grupo Externo CDEF - Equipe 2",18,IF(Atletas!V461="Grupo Interno CDEF - Equipe 1",19,IF(Atletas!V461="Grupo Interno CDEF - Equipe 2",20,IF(Atletas!V461="Duilian de Mãos EF - Equipe 1",21,IF(Atletas!V461="Duilian de Mãos EF - Equipe 2",22,IF(Atletas!V461="Duilian de Armas EF - Equipe 1",23,IF(Atletas!V461="Duilian de Armas EF - Equipe 2",24,IF(Atletas!V461="Duilian de Tuishou - Equipe 1",25,IF(Atletas!V461="Duilian de Tuishou - Equipe 2",26,"")))))))))))))))))))))))))))</f>
        <v/>
      </c>
    </row>
    <row r="466" spans="36:84">
      <c r="AJ466" s="46" t="str">
        <f>IF(Atletas!D462="","",IF(Atletas!B462="Feminino",100,IF(Atletas!B462="Masculino",200,""))+(IF(Atletas!D462="Infantil 39kg",1,IF(Atletas!D462="Infantil 42kg",2,IF(Atletas!D462="Infantil 45kg",3,IF(Atletas!D462="Infantil 48kg",4,IF(Atletas!D462="Infantil 52kg",5,IF(Atletas!D462="Infantil 56kg",6,IF(Atletas!D462="Infantil 60kg",7,IF(Atletas!D462="Juvenil 48kg",8,IF(Atletas!D462="Juvenil 52kg",9,IF(Atletas!D462="Juvenil 56kg",10,IF(Atletas!D462="Juvenil 60kg",11,IF(Atletas!D462="Juvenil 65kg",12,IF(Atletas!D462="Juvenil 70kg",13,IF(Atletas!D462="Juvenil 75kg",14,IF(Atletas!D462="Juvenil 80kg",15,IF(Atletas!D462="Adulto 48kg",16,IF(Atletas!D462="Adulto 52kg",17,IF(Atletas!D462="Adulto 56kg",18,IF(Atletas!D462="Adulto 60kg",19,IF(Atletas!D462="Adulto 65kg",20,IF(Atletas!D462="Adulto 70kg",21,IF(Atletas!D462="Adulto 75kg",22,IF(Atletas!D462="Adulto 80kg",23,IF(Atletas!D462="Adulto 85kg",24,IF(Atletas!D462="Adulto 90kg",25,IF(Atletas!D462="Adulto +90kg",26,""))))))))))))))))))))))))))))</f>
        <v/>
      </c>
      <c r="AO466" s="10" t="str">
        <f>IF(Atletas!E462="","",IF(Atletas!B462="Feminino",100,IF(Atletas!B462="Masculino",200,""))+(IF(Atletas!E462="Juvenil 44kg",1,IF(Atletas!E462="Juvenil 48kg",2,IF(Atletas!E462="Juvenil 52kg",3,IF(Atletas!E462="Juvenil 56kg",4,IF(Atletas!E462="Juvenil 60kg",5,IF(Atletas!E462="Juvenil 65kg",6,IF(Atletas!E462="Juvenil 70kg",7,IF(Atletas!E462="Juvenil 75kg",8,IF(Atletas!E462="Juvenil 82kg",9,IF(Atletas!E462="Juvenil 90kg",10,IF(Atletas!E462="Juvenil 100kg",11,IF(Atletas!E462="Adulto 48kg",12,IF(Atletas!E462="Adulto 52kg",13,IF(Atletas!E462="Adulto 56kg",14,IF(Atletas!E462="Adulto 60kg",15,IF(Atletas!E462="Adulto 65kg",16,IF(Atletas!E462="Adulto 70kg",17,IF(Atletas!E462="Adulto 75kg",18,IF(Atletas!E462="Adulto 82kg",19,IF(Atletas!E462="Adulto 90kg",20,IF(Atletas!E462="Adulto 100kg",21,IF(Atletas!E462="Adulto +100kg",22,""))))))))))))))))))))))))</f>
        <v/>
      </c>
      <c r="AT466" s="10" t="str">
        <f>IF(Atletas!F462="","",IF(Atletas!B462="Feminino",100,IF(Atletas!B462="Masculino",200,""))+(IF(Atletas!F462="Adulto 48kg",1,IF(Atletas!F462="Adulto 56kg",2,IF(Atletas!F462="Adulto 65kg",3,IF(Atletas!F462="Adulto 75kg",4,IF(Atletas!F462="Adulto +75kg",5,IF(Atletas!F462="Adulto 52kg",6,IF(Atletas!F462="Adulto 60kg",7,IF(Atletas!F462="Adulto 70kg",8,IF(Atletas!F462="Adulto 80kg",9,IF(Atletas!F462="Adulto 90kg",10,IF(Atletas!F462="Adulto +90kg",11,"")))))))))))))</f>
        <v/>
      </c>
      <c r="AY466" s="46" t="str">
        <f>IF(Atletas!G462="","",IF(Atletas!B462="Feminino",100,IF(Atletas!B462="Masculino",200,""))+(IF(Atletas!G462="Changquan Mirim",1,IF(Atletas!G462="Nanquan Mirim",2,IF(Atletas!G462="Taijiquan Mirim",3,IF(Atletas!G462="Changquan Grupo C",4,IF(Atletas!G462="Nanquan Grupo C",5,IF(Atletas!G462="Taijiquan Grupo C",6,IF(Atletas!G462="Changquan Grupo B",7,IF(Atletas!G462="Nanquan Grupo B",8,IF(Atletas!G462="Taijiquan Grupo B",9,IF(Atletas!G462="Changquan Grupo A",10,IF(Atletas!G462="Nanquan Grupo A",11,IF(Atletas!G462="Taijiquan Grupo A",12,IF(Atletas!G462="Changquan Opcional",13,IF(Atletas!G462="Nanquan Opcional",14,IF(Atletas!G462="Taijiquan Opcional",15,IF(Atletas!G462="Changquan Adulto",16,IF(Atletas!G462="Nanquan Adulto",17,IF(Atletas!G462="Taijiquan Adulto",18,""))))))))))))))))))))</f>
        <v/>
      </c>
      <c r="AZ466" s="46" t="str">
        <f>IF(Atletas!H462="","",IF(Atletas!B462="Feminino",100,IF(Atletas!B462="Masculino",200,""))+(IF(Atletas!H462="Daoshu Mirim",19,IF(Atletas!H462="Jianshu Mirim",20,IF(Atletas!H462="Nandao Mirim",21,IF(Atletas!H462="Taijijian Mirim",22,IF(Atletas!H462="Daoshu Grupo C",23,IF(Atletas!H462="Jianshu Grupo C",24,IF(Atletas!H462="Nandao Grupo C",25,IF(Atletas!H462="Taijijian Grupo C",26,IF(Atletas!H462="Daoshu Grupo B",27,IF(Atletas!H462="Jianshu Grupo B",28,IF(Atletas!H462="Nandao Grupo B",29,IF(Atletas!H462="Taijijian Grupo B",30,IF(Atletas!H462="Daoshu Grupo A",31,IF(Atletas!H462="Jianshu Grupo A",32,IF(Atletas!H462="Nandao Grupo A",33,IF(Atletas!H462="Taijijian Grupo A",34,IF(Atletas!H462="Daoshu Opcional",35,IF(Atletas!H462="Jianshu Opcional",36,IF(Atletas!H462="Nandao Opcional",37,IF(Atletas!H462="Taijijian Opcional",38,IF(Atletas!H462="Daoshu Adulto",39,IF(Atletas!H462="Jianshu Adulto",40,IF(Atletas!H462="Nandao Adulto",41,IF(Atletas!H462="Taijijian Adulto",42,""))))))))))))))))))))))))))</f>
        <v/>
      </c>
      <c r="BA466" s="46" t="str">
        <f>IF(Atletas!I462="","",IF(Atletas!B462="Feminino",100,IF(Atletas!B462="Masculino",200,""))+(IF(Atletas!I462="Gunshu Mirim",43,IF(Atletas!I462="Qiangshu Mirim",44,IF(Atletas!I462="Nangun Mirim",45,IF(Atletas!I462="Gunshu Grupo C",46,IF(Atletas!I462="Qiangshu Grupo C",47,IF(Atletas!I462="Nangun Grupo C",48,IF(Atletas!I462="Gunshu Grupo B",49,IF(Atletas!I462="Qiangshu Grupo B",50,IF(Atletas!I462="Nangun Grupo B",51,IF(Atletas!I462="Gunshu Grupo A",52,IF(Atletas!I462="Qiangshu Grupo A",53,IF(Atletas!I462="Nangun Grupo A",54,IF(Atletas!I462="Gunshu Opcional",55,IF(Atletas!I462="Qiangshu Opcional",56,IF(Atletas!I462="Nangun Opcional",57,IF(Atletas!I462="Gunshu Adulto",58,IF(Atletas!I462="Qiangshu Adulto",59,IF(Atletas!I462="Nangun Adulto",60,""))))))))))))))))))))</f>
        <v/>
      </c>
      <c r="BF466" s="52" t="str">
        <f>IF(Atletas!J462="","",IF(Atletas!B462="Feminino",100,IF(Atletas!B462="Masculino",200,""))+(IF(Atletas!J462="Equipe 1 Grupo B",1,IF(Atletas!J462="Equipe 2 Grupo B",2,IF(Atletas!J462="Equipe 1 Grupo A",3,IF(Atletas!J462="Equipe 2 Grupo A",4,IF(Atletas!J462="Equipe 1 Adulto",5,IF(Atletas!J462="Equipe 2 Adulto",6,""))))))))</f>
        <v/>
      </c>
      <c r="BK466" s="52" t="str">
        <f>IF(Atletas!K462="","",IF(Atletas!W462&lt;&gt;"",10000,0)+(IF(Atletas!B462="Feminino",1000,IF(Atletas!B462="Masculino",2000,""))+IF(Atletas!K462="Choylayfut A",1,IF(Atletas!K462="Hunggar A",2,IF(Atletas!K462="Wuzuquan A",3,IF(Atletas!K462="Wingchun A",4,IF(Atletas!K462="Outra Mão de Sul A",5,IF(Atletas!K462="Choylayfut B",6,IF(Atletas!K462="Hunggar B",7,IF(Atletas!K462="Wuzuquan B",8,IF(Atletas!K462="Wingchun B",9,IF(Atletas!K462="Outra Mão de Sul B",10,IF(Atletas!K462="Choylayfut C",11,IF(Atletas!K462="Hunggar C",12,IF(Atletas!K462="Wuzuquan C",13,IF(Atletas!K462="Wingchun C",14,IF(Atletas!K462="Outra Mão de Sul C",15,IF(Atletas!K462="Choylayfut D",16,IF(Atletas!K462="Hunggar D",17,IF(Atletas!K462="Wuzuquan D",18,IF(Atletas!K462="Wingchun D",19,IF(Atletas!K462="Outra Mão de Sul D",20,IF(Atletas!K462="Choylayfut E",21,IF(Atletas!K462="Hunggar E",22,IF(Atletas!K462="Wuzuquan E",23,IF(Atletas!K462="Wingchun E",24,IF(Atletas!K462="Outra Mão de Sul E",25,IF(Atletas!K462="Choylayfut F",26,IF(Atletas!K462="Hunggar F",27,IF(Atletas!K462="Wuzuquan F",28,IF(Atletas!K462="Wingchun F",29,IF(Atletas!K462="Outra Mão de Sul F",30,""))))))))))))))))))))))))))))))))</f>
        <v/>
      </c>
      <c r="BL466" s="52" t="str">
        <f>IF(Atletas!L462="","",IF(Atletas!W462&lt;&gt;"",10000,0)+(IF(Atletas!B462="Feminino",1000,IF(Atletas!B462="Masculino",2000,""))+(IF(Atletas!L462="Chaquan A",101,IF(Atletas!L462="Emeiquan A",102,IF(Atletas!L462="Fanziquan A",103,IF(Atletas!L462="Huaquan A",104,IF(Atletas!L462="Hongquan A",105,IF(Atletas!L462="Paochui A",106,IF(Atletas!L462="Piguaquan A",107,IF(Atletas!L462="Shaolinquan A",108,IF(Atletas!L462="Tanglangquan A",109,IF(Atletas!L462="Yinzhaophai A",110,IF(Atletas!L462="Tongbeiquan A",111,IF(Atletas!L462="Wudangquan A",112,IF(Atletas!L462="Outros Estilos A",113,IF(Atletas!L462="Chaquan B",114,IF(Atletas!L462="Emeiquan B",115,IF(Atletas!L462="Fanziquan B",116,IF(Atletas!L462="Huaquan B",117,IF(Atletas!L462="Hongquan B",118,IF(Atletas!L462="Paochui B",119,IF(Atletas!L462="Piguaquan B",120,IF(Atletas!L462="Shaolinquan B",121,IF(Atletas!L462="Tanglangquan B",122,IF(Atletas!L462="Yinzhaophai B",123,IF(Atletas!L462="Tongbeiquan B",124,IF(Atletas!L462="Wudangquan B",125,IF(Atletas!L462="Outros Estilos B",126,IF(Atletas!L462="Chaquan C",127,IF(Atletas!L462="Emeiquan C",128,IF(Atletas!L462="Fanziquan C",129,IF(Atletas!L462="Huaquan C",130,IF(Atletas!L462="Hongquan C",131,IF(Atletas!L462="Paochui C",132,IF(Atletas!L462="Piguaquan C",133,IF(Atletas!L462="Shaolinquan C",134,IF(Atletas!L462="Tanglangquan C",135,IF(Atletas!L462="Yinzhaophai C",136,IF(Atletas!L462="Tongbeiquan C",137,IF(Atletas!L462="Wudangquan C",138,IF(Atletas!L462="Outros Estilos C",139,0))))))))))))))))))))))))))))))))))))))))))</f>
        <v/>
      </c>
      <c r="BM466" s="52" t="str">
        <f>IF(Atletas!L462="","",IF(Atletas!W462&lt;&gt;"",10000,0)+(IF(Atletas!B462="Feminino",1000,IF(Atletas!B462="Masculino",2000,""))+(IF(Atletas!L462="Chaquan D",140,IF(Atletas!L462="Emeiquan D",141,IF(Atletas!L462="Fanziquan D",142,IF(Atletas!L462="Huaquan D",143,IF(Atletas!L462="Hongquan D",144,IF(Atletas!L462="Paochui D",145,IF(Atletas!L462="Piguaquan D",146,IF(Atletas!L462="Shaolinquan D",147,IF(Atletas!L462="Tanglangquan D",148,IF(Atletas!L462="Yinzhaophai D",149,IF(Atletas!L462="Tongbeiquan D",150,IF(Atletas!L462="Wudangquan D",151,IF(Atletas!L462="Outros Estilos D",152,IF(Atletas!L462="Chaquan E",153,IF(Atletas!L462="Emeiquan E",154,IF(Atletas!L462="Fanziquan E",155,IF(Atletas!L462="Huaquan E",156,IF(Atletas!L462="Hongquan E",157,IF(Atletas!L462="Paochui E",158,IF(Atletas!L462="Piguaquan E",159,IF(Atletas!L462="Shaolinquan E",160,IF(Atletas!L462="Tanglangquan E",161,IF(Atletas!L462="Yinzhaophai E",162,IF(Atletas!L462="Tongbeiquan E",163,IF(Atletas!L462="Wudangquan E",164,IF(Atletas!L462="Outros Estilos E",165,IF(Atletas!L462="Chaquan F",166,IF(Atletas!L462="Emeiquan F",167,IF(Atletas!L462="Fanziquan F",168,IF(Atletas!L462="Huaquan F",169,IF(Atletas!L462="Hongquan F",170,IF(Atletas!L462="Paochui F",171,IF(Atletas!L462="Piguaquan F",172,IF(Atletas!L462="Shaolinquan F",173,IF(Atletas!L462="Tanglangquan F",174,IF(Atletas!L462="Yinzhaophai F",175,IF(Atletas!L462="Tongbeiquan F",176,IF(Atletas!L462="Wudangquan F",177,IF(Atletas!L462="Outros Estilos F",178,0))))))))))))))))))))))))))))))))))))))))))</f>
        <v/>
      </c>
      <c r="BN466" s="52" t="str">
        <f>IF(Atletas!M462="","",IF(Atletas!W462&lt;&gt;"",10000,0)+(IF(Atletas!B462="Feminino",1000,IF(Atletas!B462="Masculino",2000,""))+(IF(Atletas!M462="Ditangquan A",201,IF(Atletas!M462="Houquan A",202,IF(Atletas!M462="Zuiquan A",203,IF(Atletas!M462="Ditangquan B",204,IF(Atletas!M462="Houquan B",205,IF(Atletas!M462="Zuiquan B",206,IF(Atletas!M462="Ditangquan C",207,IF(Atletas!M462="Houquan C",208,IF(Atletas!M462="Zuiquan C",209,IF(Atletas!M462="Ditangquan D",210,IF(Atletas!M462="Houquan D",211,IF(Atletas!M462="Zuiquan D",212,IF(Atletas!M462="Ditangquan E",213,IF(Atletas!M462="Houquan E",214,IF(Atletas!M462="Zuiquan E",215,IF(Atletas!M462="Ditangquan F",216,IF(Atletas!M462="Houquan F",217,IF(Atletas!M462="Zuiquan F",218,"")))))))))))))))))))))</f>
        <v/>
      </c>
      <c r="BO466" s="52" t="str">
        <f>IF(Atletas!N462="","",IF(Atletas!W462&lt;&gt;"",10000,0)+IF(Atletas!B462="Feminino",1000,IF(Atletas!B462="Masculino",2000,""))+IF(Atletas!N462="Yang A",301,IF(Atletas!N462="Chen A",30,IF(Atletas!N462="Sun A",303,IF(Atletas!N462="Wu A",304,IF(Atletas!N462="Wu-Hao A",305,IF(Atletas!N462="Outro Taijiquan A",306,IF(Atletas!N462="Yang B",307,IF(Atletas!N462="Chen B",308,IF(Atletas!N462="Sun B",309,IF(Atletas!N462="Wu B",310,IF(Atletas!N462="Wu-Hao B",311,IF(Atletas!N462="Outro Taijiquan B",312,IF(Atletas!N462="Yang C",313,IF(Atletas!N462="Chen C",314,IF(Atletas!N462="Sun C",315,IF(Atletas!N462="Wu C",316,IF(Atletas!N462="Wu-Hao C",317,IF(Atletas!N462="Outro Taijiquan C",318,IF(Atletas!N462="Yang D",319,IF(Atletas!N462="Chen D",320,IF(Atletas!N462="Sun D",321,IF(Atletas!N462="Wu D",322,IF(Atletas!N462="Wu-Hao D",323,IF(Atletas!N462="Outro Taijiquan D",324,IF(Atletas!N462="Yang E",325,IF(Atletas!N462="Chen E",326,IF(Atletas!N462="Sun E",327,IF(Atletas!N462="Wu E",328,IF(Atletas!N462="Wu-Hao E",329,IF(Atletas!N462="Outro Taijiquan E",330,IF(Atletas!N462="Yang F",331,IF(Atletas!N462="Chen F",332,IF(Atletas!N462="Sun F",333,IF(Atletas!N462="Wu F",334,IF(Atletas!N462="Wu-Hao F",335,IF(Atletas!N462="Outro Taijiquan F",336,"")))))))))))))))))))))))))))))))))))))</f>
        <v/>
      </c>
      <c r="BP466" s="52" t="str">
        <f>IF(Atletas!O462="","",IF(Atletas!W462&lt;&gt;"",10000,0)+IF(Atletas!B462="Feminino",1000,IF(Atletas!B462="Masculino",2000,""))+IF(OR(Atletas!O462="Yang 26 A",Atletas!O462="Yang 40 A"),401,IF(OR(Atletas!O462="Chen 25 A",Atletas!O462="Chen 36 A",Atletas!O462="Chen 56 A"),402,IF(Atletas!O462="Sun 73 A",403,IF(Atletas!O462="Wu 45 A",404,IF(Atletas!O462="Wu-Hao 46 A",405,IF(OR(Atletas!O462="Taijiquan 16 A",Atletas!O462="Taijiquan 24 A",Atletas!O462="Taijiquan 32 A",Atletas!O462="Taijiquan 42 A"),406,IF(OR(Atletas!O462="Yang 26 B",Atletas!O462="Yang 40 B"),407,IF(OR(Atletas!O462="Chen 25 B",Atletas!O462="Chen 36 B",Atletas!O462="Chen 56 B"),408,IF(Atletas!O462="Sun 73 B",409,IF(Atletas!O462="Wu 45 B",410,IF(Atletas!O462="Wu-Hao 46 B",411,IF(OR(Atletas!O462="Taijiquan 16 B",Atletas!O462="Taijiquan 24 B",Atletas!O462="Taijiquan 32 B",Atletas!O462="Taijiquan 42 B"),412,IF(OR(Atletas!O462="Yang 26 C",Atletas!O462="Yang 40 C"),413,IF(OR(Atletas!O462="Chen 25 C",Atletas!O462="Chen 36 C",Atletas!O462="Chen 56 C"),414,IF(Atletas!O462="Sun 73 C",415,IF(Atletas!O462="Wu 45 C",416,IF(Atletas!O462="Wu-Hao 46 C",417,IF(OR(Atletas!O462="Taijiquan 16 C",Atletas!O462="Taijiquan 24 C",Atletas!O462="Taijiquan 32 C",Atletas!O462="Taijiquan 42 C"),418,0)))))))))))))))))))</f>
        <v/>
      </c>
      <c r="BQ466" s="52" t="str">
        <f>IF(Atletas!O462="","",IF(Atletas!W462&lt;&gt;"",10000,0)+IF(Atletas!B462="Feminino",1000,IF(Atletas!B462="Masculino",2000,""))+IF(OR(Atletas!O462="Yang 26 D",Atletas!O462="Yang 40 D"),419,IF(OR(Atletas!O462="Chen 25 D",Atletas!O462="Chen 36 D",Atletas!O462="Chen 56 D"),420,IF(Atletas!O462="Sun 73 D",421,IF(Atletas!O462="Wu 45 D",422,IF(Atletas!O462="Wu-Hao 46 D",423,IF(OR(Atletas!O462="Taijiquan 16 D",Atletas!O462="Taijiquan 24 D",Atletas!O462="Taijiquan 32 D",Atletas!O462="Taijiquan 42 D"),424,IF(OR(Atletas!O462="Yang 26 E",Atletas!O462="Yang 40 E"),425,IF(OR(Atletas!O462="Chen 25 E",Atletas!O462="Chen 36 E",Atletas!O462="Chen 56 E"),426,IF(Atletas!O462="Sun 73 E",427,IF(Atletas!O462="Wu 45 E",428,IF(Atletas!O462="Wu-Hao 46 E",429,IF(OR(Atletas!O462="Taijiquan 16 E",Atletas!O462="Taijiquan 24 E",Atletas!O462="Taijiquan 32 E",Atletas!O462="Taijiquan 42 E"),430,IF(OR(Atletas!O462="Yang 26 F",Atletas!O462="Yang 40 F"),431,IF(OR(Atletas!O462="Chen 25 F",Atletas!O462="Chen 36 F",Atletas!O462="Chen 56 F"),432,IF(Atletas!O462="Sun 73 F",433,IF(Atletas!O462="Wu 45 F",434,IF(Atletas!O462="Wu-Hao 46 F",435,IF(OR(Atletas!O462="Taijiquan 16 F",Atletas!O462="Taijiquan 24 F",Atletas!O462="Taijiquan 32 F",Atletas!O462="Taijiquan 42 F"),436,0)))))))))))))))))))</f>
        <v/>
      </c>
      <c r="BR466" s="52" t="str">
        <f>IF(Atletas!P462="","",IF(Atletas!W462&lt;&gt;"",10000,0)+IF(Atletas!B462="Feminino",1000,IF(Atletas!B462="Masculino",2000,""))+IF(Atletas!P462="Xingyiquan A",501,IF(Atletas!P462="Baguazhang A",502,IF(Atletas!P462="Outro Estilo Interno A",503,IF(Atletas!P462="Xingyiquan B",504,IF(Atletas!P462="Baguazhang B",505,IF(Atletas!P462="Outro Estilo Interno B",506,IF(Atletas!P462="Xingyiquan C",507,IF(Atletas!P462="Baguazhang C",508,IF(Atletas!P462="Outro Estilo Interno C",509,IF(Atletas!P462="Xingyiquan D",510,IF(Atletas!P462="Baguazhang D",511,IF(Atletas!P462="Outro Estilo Interno D",512,IF(Atletas!P462="Xingyiquan E",513,IF(Atletas!P462="Baguazhang E",514,IF(Atletas!P462="Outro Estilo Interno E",515,IF(Atletas!P462="Xingyiquan F",516,IF(Atletas!P462="Baguazhang F",517,IF(Atletas!P462="Outro Estilo Interno F",518, "")))))))))))))))))))</f>
        <v/>
      </c>
      <c r="BS466" s="52" t="str">
        <f>IF(Atletas!Q462="","",IF(Atletas!W462&lt;&gt;"",10000,0)+IF(Atletas!B462="Feminino",1000,IF(Atletas!B462="Masculino",2000,""))+IF(Atletas!Q462="Dao A",601,IF(Atletas!Q462="Jian A",602,IF(Atletas!Q462="Bishou A",603,IF(Atletas!Q462="Shan A",604,IF(Atletas!Q462="Outra Arma Curta A",605,IF(Atletas!Q462="Dao B",606,IF(Atletas!Q462="Jian B",607,IF(Atletas!Q462="Bishou B",608,IF(Atletas!Q462="Shan B",609,IF(Atletas!Q462="Outra Arma Curta B",610,IF(Atletas!Q462="Dao C",611,IF(Atletas!Q462="Jian C",612,IF(Atletas!Q462="Bishou C",613,IF(Atletas!Q462="Shan C",614,IF(Atletas!Q462="Outra Arma Curta C",615,IF(Atletas!Q462="Dao D",616,IF(Atletas!Q462="Jian D",617,IF(Atletas!Q462="Bishou D",618,IF(Atletas!Q462="Shan D",619,IF(Atletas!Q462="Outra Arma Curta D",620,IF(Atletas!Q462="Dao E",621,IF(Atletas!Q462="Jian E",622,IF(Atletas!Q462="Bishou E",623,IF(Atletas!Q462="Shan E",624,IF(Atletas!Q462="Outra Arma Curta E",625,IF(Atletas!Q462="Dao F",626,IF(Atletas!Q462="Jian F",627,IF(Atletas!Q462="Bishou F",628,IF(Atletas!Q462="Shan F",629,IF(Atletas!Q462="Outra Arma Curta F",630, "")))))))))))))))))))))))))))))))</f>
        <v/>
      </c>
      <c r="BT466" s="52" t="str">
        <f>IF(Atletas!R462="","",IF(Atletas!W462&lt;&gt;"",10000,0)+IF(Atletas!B462="Feminino",1000,IF(Atletas!B462="Masculino",2000,""))+IF(Atletas!R462="Gun A",701,IF(Atletas!R462="Qiang A",702,IF(Atletas!R462="Pudao / Guandao A",703,IF(Atletas!R462="Outra Arma Longa A",704,IF(Atletas!R462="Gun B",705,IF(Atletas!R462="Qiang B",706,IF(Atletas!R462="Pudao / Guandao B",707,IF(Atletas!R462="Outra Arma Longa B",708,IF(Atletas!R462="Gun C",709,IF(Atletas!R462="Qiang C",710,IF(Atletas!R462="Pudao / Guandao C",711,IF(Atletas!R462="Outra Arma Longa C",712,IF(Atletas!R462="Gun D",713,IF(Atletas!R462="Qiang D",714,IF(Atletas!R462="Pudao / Guandao D",715,IF(Atletas!R462="Outra Arma Longa D",716,IF(Atletas!R462="Gun E",717,IF(Atletas!R462="Qiang E",718,IF(Atletas!R462="Pudao / Guandao E",719,IF(Atletas!R462="Outra Arma Longa E",720,IF(Atletas!R462="Gun F",721,IF(Atletas!R462="Qiang F",722,IF(Atletas!R462="Pudao / Guandao F",723,IF(Atletas!R462="Outra Arma Longa F",724,"")))))))))))))))))))))))))</f>
        <v/>
      </c>
      <c r="BU466" s="52" t="str">
        <f>IF(Atletas!S462="","",IF(Atletas!W462&lt;&gt;"",10000,0)+IF(Atletas!B462="Feminino",1000,IF(Atletas!B462="Masculino",2000,""))+IF(Atletas!S462="Arma Dupla A",801,IF(Atletas!S462="Arma Maleável A",802,IF(Atletas!S462="Arma Dupla B",803,IF(Atletas!S462="Arma Maleável B",804,IF(Atletas!S462="Arma Dupla C",805,IF(Atletas!S462="Arma Maleável C",806,IF(Atletas!S462="Arma Dupla D",807,IF(Atletas!S462="Arma Maleável D",808,IF(Atletas!S462="Arma Dupla E",809,IF(Atletas!S462="Arma Maleável E",810,IF(Atletas!S462="Arma Dupla F",811,IF(Atletas!S462="Arma Maleável F",812, "")))))))))))))</f>
        <v/>
      </c>
      <c r="BV466" s="52" t="str">
        <f>IF(Atletas!T462="","",IF(Atletas!W462&lt;&gt;"",10000,0)+IF(Atletas!B462="Feminino",1000,IF(Atletas!B462="Masculino",2000,""))+IF(Atletas!T462="Taijijian Yang A",901,IF(Atletas!T462="Taijijian Chen A",902,IF(Atletas!T462="Taijijian Sun A",903,IF(Atletas!T462="Taijijian Wu A",904,IF(Atletas!T462="Taijijian Wu-Hao A",905,IF(Atletas!T462="Taijijian 32 A",906,IF(Atletas!T462="Taijijian 42 A",907,IF(Atletas!T462="Taijijian Yang B",908,IF(Atletas!T462="Taijijian Chen B",909,IF(Atletas!T462="Taijijian Sun B",910,IF(Atletas!T462="Taijijian Wu B",911,IF(Atletas!T462="Taijijian Wu-Hao B",912,IF(Atletas!T462="Taijijian 32 B",913,IF(Atletas!T462="Taijijian 42 B",914,IF(Atletas!T462="Taijijian Yang C",915,IF(Atletas!T462="Taijijian Chen C",916,IF(Atletas!T462="Taijijian Sun C",917,IF(Atletas!T462="Taijijian Wu C",918,IF(Atletas!T462="Taijijian Wu-Hao C",919,IF(Atletas!T462="Taijijian 32 C",920,IF(Atletas!T462="Taijijian 42 C",921,IF(Atletas!T462="Taijijian Yang D",922,IF(Atletas!T462="Taijijian Chen D",923,IF(Atletas!T462="Taijijian Sun D",924,IF(Atletas!T462="Taijijian Wu D",925,IF(Atletas!T462="Taijijian Wu-Hao D",926,IF(Atletas!T462="Taijijian 32 D",927,IF(Atletas!T462="Taijijian 42 D",928,IF(Atletas!T462="Taijijian Yang E",929,IF(Atletas!T462="Taijijian Chen E",930,IF(Atletas!T462="Taijijian Sun E",931,IF(Atletas!T462="Taijijian Wu E",932,IF(Atletas!T462="Taijijian Wu-Hao E",933,IF(Atletas!T462="Taijijian 32 E",934,IF(Atletas!T462="Taijijian 42 E",935,IF(Atletas!T462="Taijijian Yang F",936,IF(Atletas!T462="Taijijian Chen F",937,IF(Atletas!T462="Taijijian Sun F",938,IF(Atletas!T462="Taijijian Wu F",939,IF(Atletas!T462="Taijijian Wu-Hao F",940,IF(Atletas!T462="Taijijian 32 F",941,IF(Atletas!T462="Taijijian 42 F",942,"")))))))))))))))))))))))))))))))))))))))))))</f>
        <v/>
      </c>
      <c r="BW466" s="52" t="str">
        <f>IF(Atletas!U462="","",IF(Atletas!W462&lt;&gt;"",10000,0)+IF(Atletas!B462="Feminino",1000,IF(Atletas!B462="Masculino",2000,""))+IF(Atletas!T462="Taijijian 42 F",942,IF(Atletas!U462="Taijidao A",943,IF(Atletas!U462="Taijishan A",944,IF(Atletas!U462="Taijiqiang A",945,IF(Atletas!U462="Taijidao B",946,IF(Atletas!U462="Taijishan B",947,IF(Atletas!U462="Taijiqiang B",948,IF(Atletas!U462="Taijidao C",949,IF(Atletas!U462="Taijishan C",950,IF(Atletas!U462="Taijiqiang C",951,IF(Atletas!U462="Taijidao D",952,IF(Atletas!U462="Taijishan D",953,IF(Atletas!U462="Taijiqiang D",954,IF(Atletas!U462="Taijidao E",955,IF(Atletas!U462="Taijishan E",956,IF(Atletas!U462="Taijiqiang E",957,IF(Atletas!U462="Taijidao F",958,IF(Atletas!U462="Taijishan F",959,IF(Atletas!U462="Taijiqiang F",960))))))))))))))))))))</f>
        <v/>
      </c>
      <c r="CF466" s="52" t="str">
        <f xml:space="preserve"> IF(Atletas!V462="","",IF(Atletas!V462="Duilian de Mãos AB - Equipe 1",1,IF(Atletas!V462="Duilian de Mãos AB - Equipe 2",2,IF(Atletas!V462="Duilian de Armas AB - Equipe 1",3,IF(Atletas!V462="Duilian de Armas AB - Equipe 2",4,IF(Atletas!V462="Duilian de Tuishou - Equipe 1",5,IF(Atletas!V462="Duilian de Tuishou - Equipe 2",6,IF(Atletas!V462="Grupo Externo AB - Equipe 1",7,IF(Atletas!V462="Grupo Externo AB - Equipe 2",8,IF(Atletas!V462="Grupo Interno AB - Equipe 1",9,IF(Atletas!V462="Grupo Interno AB - Equipe 2",10,IF(Atletas!V462="Duilian de Mãos CD - Equipe 1",11,IF(Atletas!V462="Duilian de Mãos CD - Equipe 2",12,IF(Atletas!V462="Duilian de Armas CD - Equipe 1",13,IF(Atletas!V462="Duilian de Armas CD - Equipe 2",14,IF(Atletas!V462="Duilian de Tuishou - Equipe 1",15,IF(Atletas!V462="Duilian de Tuishou - Equipe 2",16,IF(Atletas!V462="Grupo Externo CDEF - Equipe 1",17,IF(Atletas!V462="Grupo Externo CDEF - Equipe 2",18,IF(Atletas!V462="Grupo Interno CDEF - Equipe 1",19,IF(Atletas!V462="Grupo Interno CDEF - Equipe 2",20,IF(Atletas!V462="Duilian de Mãos EF - Equipe 1",21,IF(Atletas!V462="Duilian de Mãos EF - Equipe 2",22,IF(Atletas!V462="Duilian de Armas EF - Equipe 1",23,IF(Atletas!V462="Duilian de Armas EF - Equipe 2",24,IF(Atletas!V462="Duilian de Tuishou - Equipe 1",25,IF(Atletas!V462="Duilian de Tuishou - Equipe 2",26,"")))))))))))))))))))))))))))</f>
        <v/>
      </c>
    </row>
    <row r="467" spans="36:84">
      <c r="AJ467" s="46" t="str">
        <f>IF(Atletas!D463="","",IF(Atletas!B463="Feminino",100,IF(Atletas!B463="Masculino",200,""))+(IF(Atletas!D463="Infantil 39kg",1,IF(Atletas!D463="Infantil 42kg",2,IF(Atletas!D463="Infantil 45kg",3,IF(Atletas!D463="Infantil 48kg",4,IF(Atletas!D463="Infantil 52kg",5,IF(Atletas!D463="Infantil 56kg",6,IF(Atletas!D463="Infantil 60kg",7,IF(Atletas!D463="Juvenil 48kg",8,IF(Atletas!D463="Juvenil 52kg",9,IF(Atletas!D463="Juvenil 56kg",10,IF(Atletas!D463="Juvenil 60kg",11,IF(Atletas!D463="Juvenil 65kg",12,IF(Atletas!D463="Juvenil 70kg",13,IF(Atletas!D463="Juvenil 75kg",14,IF(Atletas!D463="Juvenil 80kg",15,IF(Atletas!D463="Adulto 48kg",16,IF(Atletas!D463="Adulto 52kg",17,IF(Atletas!D463="Adulto 56kg",18,IF(Atletas!D463="Adulto 60kg",19,IF(Atletas!D463="Adulto 65kg",20,IF(Atletas!D463="Adulto 70kg",21,IF(Atletas!D463="Adulto 75kg",22,IF(Atletas!D463="Adulto 80kg",23,IF(Atletas!D463="Adulto 85kg",24,IF(Atletas!D463="Adulto 90kg",25,IF(Atletas!D463="Adulto +90kg",26,""))))))))))))))))))))))))))))</f>
        <v/>
      </c>
      <c r="AO467" s="10" t="str">
        <f>IF(Atletas!E463="","",IF(Atletas!B463="Feminino",100,IF(Atletas!B463="Masculino",200,""))+(IF(Atletas!E463="Juvenil 44kg",1,IF(Atletas!E463="Juvenil 48kg",2,IF(Atletas!E463="Juvenil 52kg",3,IF(Atletas!E463="Juvenil 56kg",4,IF(Atletas!E463="Juvenil 60kg",5,IF(Atletas!E463="Juvenil 65kg",6,IF(Atletas!E463="Juvenil 70kg",7,IF(Atletas!E463="Juvenil 75kg",8,IF(Atletas!E463="Juvenil 82kg",9,IF(Atletas!E463="Juvenil 90kg",10,IF(Atletas!E463="Juvenil 100kg",11,IF(Atletas!E463="Adulto 48kg",12,IF(Atletas!E463="Adulto 52kg",13,IF(Atletas!E463="Adulto 56kg",14,IF(Atletas!E463="Adulto 60kg",15,IF(Atletas!E463="Adulto 65kg",16,IF(Atletas!E463="Adulto 70kg",17,IF(Atletas!E463="Adulto 75kg",18,IF(Atletas!E463="Adulto 82kg",19,IF(Atletas!E463="Adulto 90kg",20,IF(Atletas!E463="Adulto 100kg",21,IF(Atletas!E463="Adulto +100kg",22,""))))))))))))))))))))))))</f>
        <v/>
      </c>
      <c r="AT467" s="10" t="str">
        <f>IF(Atletas!F463="","",IF(Atletas!B463="Feminino",100,IF(Atletas!B463="Masculino",200,""))+(IF(Atletas!F463="Adulto 48kg",1,IF(Atletas!F463="Adulto 56kg",2,IF(Atletas!F463="Adulto 65kg",3,IF(Atletas!F463="Adulto 75kg",4,IF(Atletas!F463="Adulto +75kg",5,IF(Atletas!F463="Adulto 52kg",6,IF(Atletas!F463="Adulto 60kg",7,IF(Atletas!F463="Adulto 70kg",8,IF(Atletas!F463="Adulto 80kg",9,IF(Atletas!F463="Adulto 90kg",10,IF(Atletas!F463="Adulto +90kg",11,"")))))))))))))</f>
        <v/>
      </c>
      <c r="AY467" s="46" t="str">
        <f>IF(Atletas!G463="","",IF(Atletas!B463="Feminino",100,IF(Atletas!B463="Masculino",200,""))+(IF(Atletas!G463="Changquan Mirim",1,IF(Atletas!G463="Nanquan Mirim",2,IF(Atletas!G463="Taijiquan Mirim",3,IF(Atletas!G463="Changquan Grupo C",4,IF(Atletas!G463="Nanquan Grupo C",5,IF(Atletas!G463="Taijiquan Grupo C",6,IF(Atletas!G463="Changquan Grupo B",7,IF(Atletas!G463="Nanquan Grupo B",8,IF(Atletas!G463="Taijiquan Grupo B",9,IF(Atletas!G463="Changquan Grupo A",10,IF(Atletas!G463="Nanquan Grupo A",11,IF(Atletas!G463="Taijiquan Grupo A",12,IF(Atletas!G463="Changquan Opcional",13,IF(Atletas!G463="Nanquan Opcional",14,IF(Atletas!G463="Taijiquan Opcional",15,IF(Atletas!G463="Changquan Adulto",16,IF(Atletas!G463="Nanquan Adulto",17,IF(Atletas!G463="Taijiquan Adulto",18,""))))))))))))))))))))</f>
        <v/>
      </c>
      <c r="AZ467" s="46" t="str">
        <f>IF(Atletas!H463="","",IF(Atletas!B463="Feminino",100,IF(Atletas!B463="Masculino",200,""))+(IF(Atletas!H463="Daoshu Mirim",19,IF(Atletas!H463="Jianshu Mirim",20,IF(Atletas!H463="Nandao Mirim",21,IF(Atletas!H463="Taijijian Mirim",22,IF(Atletas!H463="Daoshu Grupo C",23,IF(Atletas!H463="Jianshu Grupo C",24,IF(Atletas!H463="Nandao Grupo C",25,IF(Atletas!H463="Taijijian Grupo C",26,IF(Atletas!H463="Daoshu Grupo B",27,IF(Atletas!H463="Jianshu Grupo B",28,IF(Atletas!H463="Nandao Grupo B",29,IF(Atletas!H463="Taijijian Grupo B",30,IF(Atletas!H463="Daoshu Grupo A",31,IF(Atletas!H463="Jianshu Grupo A",32,IF(Atletas!H463="Nandao Grupo A",33,IF(Atletas!H463="Taijijian Grupo A",34,IF(Atletas!H463="Daoshu Opcional",35,IF(Atletas!H463="Jianshu Opcional",36,IF(Atletas!H463="Nandao Opcional",37,IF(Atletas!H463="Taijijian Opcional",38,IF(Atletas!H463="Daoshu Adulto",39,IF(Atletas!H463="Jianshu Adulto",40,IF(Atletas!H463="Nandao Adulto",41,IF(Atletas!H463="Taijijian Adulto",42,""))))))))))))))))))))))))))</f>
        <v/>
      </c>
      <c r="BA467" s="46" t="str">
        <f>IF(Atletas!I463="","",IF(Atletas!B463="Feminino",100,IF(Atletas!B463="Masculino",200,""))+(IF(Atletas!I463="Gunshu Mirim",43,IF(Atletas!I463="Qiangshu Mirim",44,IF(Atletas!I463="Nangun Mirim",45,IF(Atletas!I463="Gunshu Grupo C",46,IF(Atletas!I463="Qiangshu Grupo C",47,IF(Atletas!I463="Nangun Grupo C",48,IF(Atletas!I463="Gunshu Grupo B",49,IF(Atletas!I463="Qiangshu Grupo B",50,IF(Atletas!I463="Nangun Grupo B",51,IF(Atletas!I463="Gunshu Grupo A",52,IF(Atletas!I463="Qiangshu Grupo A",53,IF(Atletas!I463="Nangun Grupo A",54,IF(Atletas!I463="Gunshu Opcional",55,IF(Atletas!I463="Qiangshu Opcional",56,IF(Atletas!I463="Nangun Opcional",57,IF(Atletas!I463="Gunshu Adulto",58,IF(Atletas!I463="Qiangshu Adulto",59,IF(Atletas!I463="Nangun Adulto",60,""))))))))))))))))))))</f>
        <v/>
      </c>
      <c r="BF467" s="52" t="str">
        <f>IF(Atletas!J463="","",IF(Atletas!B463="Feminino",100,IF(Atletas!B463="Masculino",200,""))+(IF(Atletas!J463="Equipe 1 Grupo B",1,IF(Atletas!J463="Equipe 2 Grupo B",2,IF(Atletas!J463="Equipe 1 Grupo A",3,IF(Atletas!J463="Equipe 2 Grupo A",4,IF(Atletas!J463="Equipe 1 Adulto",5,IF(Atletas!J463="Equipe 2 Adulto",6,""))))))))</f>
        <v/>
      </c>
      <c r="BK467" s="52" t="str">
        <f>IF(Atletas!K463="","",IF(Atletas!W463&lt;&gt;"",10000,0)+(IF(Atletas!B463="Feminino",1000,IF(Atletas!B463="Masculino",2000,""))+IF(Atletas!K463="Choylayfut A",1,IF(Atletas!K463="Hunggar A",2,IF(Atletas!K463="Wuzuquan A",3,IF(Atletas!K463="Wingchun A",4,IF(Atletas!K463="Outra Mão de Sul A",5,IF(Atletas!K463="Choylayfut B",6,IF(Atletas!K463="Hunggar B",7,IF(Atletas!K463="Wuzuquan B",8,IF(Atletas!K463="Wingchun B",9,IF(Atletas!K463="Outra Mão de Sul B",10,IF(Atletas!K463="Choylayfut C",11,IF(Atletas!K463="Hunggar C",12,IF(Atletas!K463="Wuzuquan C",13,IF(Atletas!K463="Wingchun C",14,IF(Atletas!K463="Outra Mão de Sul C",15,IF(Atletas!K463="Choylayfut D",16,IF(Atletas!K463="Hunggar D",17,IF(Atletas!K463="Wuzuquan D",18,IF(Atletas!K463="Wingchun D",19,IF(Atletas!K463="Outra Mão de Sul D",20,IF(Atletas!K463="Choylayfut E",21,IF(Atletas!K463="Hunggar E",22,IF(Atletas!K463="Wuzuquan E",23,IF(Atletas!K463="Wingchun E",24,IF(Atletas!K463="Outra Mão de Sul E",25,IF(Atletas!K463="Choylayfut F",26,IF(Atletas!K463="Hunggar F",27,IF(Atletas!K463="Wuzuquan F",28,IF(Atletas!K463="Wingchun F",29,IF(Atletas!K463="Outra Mão de Sul F",30,""))))))))))))))))))))))))))))))))</f>
        <v/>
      </c>
      <c r="BL467" s="52" t="str">
        <f>IF(Atletas!L463="","",IF(Atletas!W463&lt;&gt;"",10000,0)+(IF(Atletas!B463="Feminino",1000,IF(Atletas!B463="Masculino",2000,""))+(IF(Atletas!L463="Chaquan A",101,IF(Atletas!L463="Emeiquan A",102,IF(Atletas!L463="Fanziquan A",103,IF(Atletas!L463="Huaquan A",104,IF(Atletas!L463="Hongquan A",105,IF(Atletas!L463="Paochui A",106,IF(Atletas!L463="Piguaquan A",107,IF(Atletas!L463="Shaolinquan A",108,IF(Atletas!L463="Tanglangquan A",109,IF(Atletas!L463="Yinzhaophai A",110,IF(Atletas!L463="Tongbeiquan A",111,IF(Atletas!L463="Wudangquan A",112,IF(Atletas!L463="Outros Estilos A",113,IF(Atletas!L463="Chaquan B",114,IF(Atletas!L463="Emeiquan B",115,IF(Atletas!L463="Fanziquan B",116,IF(Atletas!L463="Huaquan B",117,IF(Atletas!L463="Hongquan B",118,IF(Atletas!L463="Paochui B",119,IF(Atletas!L463="Piguaquan B",120,IF(Atletas!L463="Shaolinquan B",121,IF(Atletas!L463="Tanglangquan B",122,IF(Atletas!L463="Yinzhaophai B",123,IF(Atletas!L463="Tongbeiquan B",124,IF(Atletas!L463="Wudangquan B",125,IF(Atletas!L463="Outros Estilos B",126,IF(Atletas!L463="Chaquan C",127,IF(Atletas!L463="Emeiquan C",128,IF(Atletas!L463="Fanziquan C",129,IF(Atletas!L463="Huaquan C",130,IF(Atletas!L463="Hongquan C",131,IF(Atletas!L463="Paochui C",132,IF(Atletas!L463="Piguaquan C",133,IF(Atletas!L463="Shaolinquan C",134,IF(Atletas!L463="Tanglangquan C",135,IF(Atletas!L463="Yinzhaophai C",136,IF(Atletas!L463="Tongbeiquan C",137,IF(Atletas!L463="Wudangquan C",138,IF(Atletas!L463="Outros Estilos C",139,0))))))))))))))))))))))))))))))))))))))))))</f>
        <v/>
      </c>
      <c r="BM467" s="52" t="str">
        <f>IF(Atletas!L463="","",IF(Atletas!W463&lt;&gt;"",10000,0)+(IF(Atletas!B463="Feminino",1000,IF(Atletas!B463="Masculino",2000,""))+(IF(Atletas!L463="Chaquan D",140,IF(Atletas!L463="Emeiquan D",141,IF(Atletas!L463="Fanziquan D",142,IF(Atletas!L463="Huaquan D",143,IF(Atletas!L463="Hongquan D",144,IF(Atletas!L463="Paochui D",145,IF(Atletas!L463="Piguaquan D",146,IF(Atletas!L463="Shaolinquan D",147,IF(Atletas!L463="Tanglangquan D",148,IF(Atletas!L463="Yinzhaophai D",149,IF(Atletas!L463="Tongbeiquan D",150,IF(Atletas!L463="Wudangquan D",151,IF(Atletas!L463="Outros Estilos D",152,IF(Atletas!L463="Chaquan E",153,IF(Atletas!L463="Emeiquan E",154,IF(Atletas!L463="Fanziquan E",155,IF(Atletas!L463="Huaquan E",156,IF(Atletas!L463="Hongquan E",157,IF(Atletas!L463="Paochui E",158,IF(Atletas!L463="Piguaquan E",159,IF(Atletas!L463="Shaolinquan E",160,IF(Atletas!L463="Tanglangquan E",161,IF(Atletas!L463="Yinzhaophai E",162,IF(Atletas!L463="Tongbeiquan E",163,IF(Atletas!L463="Wudangquan E",164,IF(Atletas!L463="Outros Estilos E",165,IF(Atletas!L463="Chaquan F",166,IF(Atletas!L463="Emeiquan F",167,IF(Atletas!L463="Fanziquan F",168,IF(Atletas!L463="Huaquan F",169,IF(Atletas!L463="Hongquan F",170,IF(Atletas!L463="Paochui F",171,IF(Atletas!L463="Piguaquan F",172,IF(Atletas!L463="Shaolinquan F",173,IF(Atletas!L463="Tanglangquan F",174,IF(Atletas!L463="Yinzhaophai F",175,IF(Atletas!L463="Tongbeiquan F",176,IF(Atletas!L463="Wudangquan F",177,IF(Atletas!L463="Outros Estilos F",178,0))))))))))))))))))))))))))))))))))))))))))</f>
        <v/>
      </c>
      <c r="BN467" s="52" t="str">
        <f>IF(Atletas!M463="","",IF(Atletas!W463&lt;&gt;"",10000,0)+(IF(Atletas!B463="Feminino",1000,IF(Atletas!B463="Masculino",2000,""))+(IF(Atletas!M463="Ditangquan A",201,IF(Atletas!M463="Houquan A",202,IF(Atletas!M463="Zuiquan A",203,IF(Atletas!M463="Ditangquan B",204,IF(Atletas!M463="Houquan B",205,IF(Atletas!M463="Zuiquan B",206,IF(Atletas!M463="Ditangquan C",207,IF(Atletas!M463="Houquan C",208,IF(Atletas!M463="Zuiquan C",209,IF(Atletas!M463="Ditangquan D",210,IF(Atletas!M463="Houquan D",211,IF(Atletas!M463="Zuiquan D",212,IF(Atletas!M463="Ditangquan E",213,IF(Atletas!M463="Houquan E",214,IF(Atletas!M463="Zuiquan E",215,IF(Atletas!M463="Ditangquan F",216,IF(Atletas!M463="Houquan F",217,IF(Atletas!M463="Zuiquan F",218,"")))))))))))))))))))))</f>
        <v/>
      </c>
      <c r="BO467" s="52" t="str">
        <f>IF(Atletas!N463="","",IF(Atletas!W463&lt;&gt;"",10000,0)+IF(Atletas!B463="Feminino",1000,IF(Atletas!B463="Masculino",2000,""))+IF(Atletas!N463="Yang A",301,IF(Atletas!N463="Chen A",30,IF(Atletas!N463="Sun A",303,IF(Atletas!N463="Wu A",304,IF(Atletas!N463="Wu-Hao A",305,IF(Atletas!N463="Outro Taijiquan A",306,IF(Atletas!N463="Yang B",307,IF(Atletas!N463="Chen B",308,IF(Atletas!N463="Sun B",309,IF(Atletas!N463="Wu B",310,IF(Atletas!N463="Wu-Hao B",311,IF(Atletas!N463="Outro Taijiquan B",312,IF(Atletas!N463="Yang C",313,IF(Atletas!N463="Chen C",314,IF(Atletas!N463="Sun C",315,IF(Atletas!N463="Wu C",316,IF(Atletas!N463="Wu-Hao C",317,IF(Atletas!N463="Outro Taijiquan C",318,IF(Atletas!N463="Yang D",319,IF(Atletas!N463="Chen D",320,IF(Atletas!N463="Sun D",321,IF(Atletas!N463="Wu D",322,IF(Atletas!N463="Wu-Hao D",323,IF(Atletas!N463="Outro Taijiquan D",324,IF(Atletas!N463="Yang E",325,IF(Atletas!N463="Chen E",326,IF(Atletas!N463="Sun E",327,IF(Atletas!N463="Wu E",328,IF(Atletas!N463="Wu-Hao E",329,IF(Atletas!N463="Outro Taijiquan E",330,IF(Atletas!N463="Yang F",331,IF(Atletas!N463="Chen F",332,IF(Atletas!N463="Sun F",333,IF(Atletas!N463="Wu F",334,IF(Atletas!N463="Wu-Hao F",335,IF(Atletas!N463="Outro Taijiquan F",336,"")))))))))))))))))))))))))))))))))))))</f>
        <v/>
      </c>
      <c r="BP467" s="52" t="str">
        <f>IF(Atletas!O463="","",IF(Atletas!W463&lt;&gt;"",10000,0)+IF(Atletas!B463="Feminino",1000,IF(Atletas!B463="Masculino",2000,""))+IF(OR(Atletas!O463="Yang 26 A",Atletas!O463="Yang 40 A"),401,IF(OR(Atletas!O463="Chen 25 A",Atletas!O463="Chen 36 A",Atletas!O463="Chen 56 A"),402,IF(Atletas!O463="Sun 73 A",403,IF(Atletas!O463="Wu 45 A",404,IF(Atletas!O463="Wu-Hao 46 A",405,IF(OR(Atletas!O463="Taijiquan 16 A",Atletas!O463="Taijiquan 24 A",Atletas!O463="Taijiquan 32 A",Atletas!O463="Taijiquan 42 A"),406,IF(OR(Atletas!O463="Yang 26 B",Atletas!O463="Yang 40 B"),407,IF(OR(Atletas!O463="Chen 25 B",Atletas!O463="Chen 36 B",Atletas!O463="Chen 56 B"),408,IF(Atletas!O463="Sun 73 B",409,IF(Atletas!O463="Wu 45 B",410,IF(Atletas!O463="Wu-Hao 46 B",411,IF(OR(Atletas!O463="Taijiquan 16 B",Atletas!O463="Taijiquan 24 B",Atletas!O463="Taijiquan 32 B",Atletas!O463="Taijiquan 42 B"),412,IF(OR(Atletas!O463="Yang 26 C",Atletas!O463="Yang 40 C"),413,IF(OR(Atletas!O463="Chen 25 C",Atletas!O463="Chen 36 C",Atletas!O463="Chen 56 C"),414,IF(Atletas!O463="Sun 73 C",415,IF(Atletas!O463="Wu 45 C",416,IF(Atletas!O463="Wu-Hao 46 C",417,IF(OR(Atletas!O463="Taijiquan 16 C",Atletas!O463="Taijiquan 24 C",Atletas!O463="Taijiquan 32 C",Atletas!O463="Taijiquan 42 C"),418,0)))))))))))))))))))</f>
        <v/>
      </c>
      <c r="BQ467" s="52" t="str">
        <f>IF(Atletas!O463="","",IF(Atletas!W463&lt;&gt;"",10000,0)+IF(Atletas!B463="Feminino",1000,IF(Atletas!B463="Masculino",2000,""))+IF(OR(Atletas!O463="Yang 26 D",Atletas!O463="Yang 40 D"),419,IF(OR(Atletas!O463="Chen 25 D",Atletas!O463="Chen 36 D",Atletas!O463="Chen 56 D"),420,IF(Atletas!O463="Sun 73 D",421,IF(Atletas!O463="Wu 45 D",422,IF(Atletas!O463="Wu-Hao 46 D",423,IF(OR(Atletas!O463="Taijiquan 16 D",Atletas!O463="Taijiquan 24 D",Atletas!O463="Taijiquan 32 D",Atletas!O463="Taijiquan 42 D"),424,IF(OR(Atletas!O463="Yang 26 E",Atletas!O463="Yang 40 E"),425,IF(OR(Atletas!O463="Chen 25 E",Atletas!O463="Chen 36 E",Atletas!O463="Chen 56 E"),426,IF(Atletas!O463="Sun 73 E",427,IF(Atletas!O463="Wu 45 E",428,IF(Atletas!O463="Wu-Hao 46 E",429,IF(OR(Atletas!O463="Taijiquan 16 E",Atletas!O463="Taijiquan 24 E",Atletas!O463="Taijiquan 32 E",Atletas!O463="Taijiquan 42 E"),430,IF(OR(Atletas!O463="Yang 26 F",Atletas!O463="Yang 40 F"),431,IF(OR(Atletas!O463="Chen 25 F",Atletas!O463="Chen 36 F",Atletas!O463="Chen 56 F"),432,IF(Atletas!O463="Sun 73 F",433,IF(Atletas!O463="Wu 45 F",434,IF(Atletas!O463="Wu-Hao 46 F",435,IF(OR(Atletas!O463="Taijiquan 16 F",Atletas!O463="Taijiquan 24 F",Atletas!O463="Taijiquan 32 F",Atletas!O463="Taijiquan 42 F"),436,0)))))))))))))))))))</f>
        <v/>
      </c>
      <c r="BR467" s="52" t="str">
        <f>IF(Atletas!P463="","",IF(Atletas!W463&lt;&gt;"",10000,0)+IF(Atletas!B463="Feminino",1000,IF(Atletas!B463="Masculino",2000,""))+IF(Atletas!P463="Xingyiquan A",501,IF(Atletas!P463="Baguazhang A",502,IF(Atletas!P463="Outro Estilo Interno A",503,IF(Atletas!P463="Xingyiquan B",504,IF(Atletas!P463="Baguazhang B",505,IF(Atletas!P463="Outro Estilo Interno B",506,IF(Atletas!P463="Xingyiquan C",507,IF(Atletas!P463="Baguazhang C",508,IF(Atletas!P463="Outro Estilo Interno C",509,IF(Atletas!P463="Xingyiquan D",510,IF(Atletas!P463="Baguazhang D",511,IF(Atletas!P463="Outro Estilo Interno D",512,IF(Atletas!P463="Xingyiquan E",513,IF(Atletas!P463="Baguazhang E",514,IF(Atletas!P463="Outro Estilo Interno E",515,IF(Atletas!P463="Xingyiquan F",516,IF(Atletas!P463="Baguazhang F",517,IF(Atletas!P463="Outro Estilo Interno F",518, "")))))))))))))))))))</f>
        <v/>
      </c>
      <c r="BS467" s="52" t="str">
        <f>IF(Atletas!Q463="","",IF(Atletas!W463&lt;&gt;"",10000,0)+IF(Atletas!B463="Feminino",1000,IF(Atletas!B463="Masculino",2000,""))+IF(Atletas!Q463="Dao A",601,IF(Atletas!Q463="Jian A",602,IF(Atletas!Q463="Bishou A",603,IF(Atletas!Q463="Shan A",604,IF(Atletas!Q463="Outra Arma Curta A",605,IF(Atletas!Q463="Dao B",606,IF(Atletas!Q463="Jian B",607,IF(Atletas!Q463="Bishou B",608,IF(Atletas!Q463="Shan B",609,IF(Atletas!Q463="Outra Arma Curta B",610,IF(Atletas!Q463="Dao C",611,IF(Atletas!Q463="Jian C",612,IF(Atletas!Q463="Bishou C",613,IF(Atletas!Q463="Shan C",614,IF(Atletas!Q463="Outra Arma Curta C",615,IF(Atletas!Q463="Dao D",616,IF(Atletas!Q463="Jian D",617,IF(Atletas!Q463="Bishou D",618,IF(Atletas!Q463="Shan D",619,IF(Atletas!Q463="Outra Arma Curta D",620,IF(Atletas!Q463="Dao E",621,IF(Atletas!Q463="Jian E",622,IF(Atletas!Q463="Bishou E",623,IF(Atletas!Q463="Shan E",624,IF(Atletas!Q463="Outra Arma Curta E",625,IF(Atletas!Q463="Dao F",626,IF(Atletas!Q463="Jian F",627,IF(Atletas!Q463="Bishou F",628,IF(Atletas!Q463="Shan F",629,IF(Atletas!Q463="Outra Arma Curta F",630, "")))))))))))))))))))))))))))))))</f>
        <v/>
      </c>
      <c r="BT467" s="52" t="str">
        <f>IF(Atletas!R463="","",IF(Atletas!W463&lt;&gt;"",10000,0)+IF(Atletas!B463="Feminino",1000,IF(Atletas!B463="Masculino",2000,""))+IF(Atletas!R463="Gun A",701,IF(Atletas!R463="Qiang A",702,IF(Atletas!R463="Pudao / Guandao A",703,IF(Atletas!R463="Outra Arma Longa A",704,IF(Atletas!R463="Gun B",705,IF(Atletas!R463="Qiang B",706,IF(Atletas!R463="Pudao / Guandao B",707,IF(Atletas!R463="Outra Arma Longa B",708,IF(Atletas!R463="Gun C",709,IF(Atletas!R463="Qiang C",710,IF(Atletas!R463="Pudao / Guandao C",711,IF(Atletas!R463="Outra Arma Longa C",712,IF(Atletas!R463="Gun D",713,IF(Atletas!R463="Qiang D",714,IF(Atletas!R463="Pudao / Guandao D",715,IF(Atletas!R463="Outra Arma Longa D",716,IF(Atletas!R463="Gun E",717,IF(Atletas!R463="Qiang E",718,IF(Atletas!R463="Pudao / Guandao E",719,IF(Atletas!R463="Outra Arma Longa E",720,IF(Atletas!R463="Gun F",721,IF(Atletas!R463="Qiang F",722,IF(Atletas!R463="Pudao / Guandao F",723,IF(Atletas!R463="Outra Arma Longa F",724,"")))))))))))))))))))))))))</f>
        <v/>
      </c>
      <c r="BU467" s="52" t="str">
        <f>IF(Atletas!S463="","",IF(Atletas!W463&lt;&gt;"",10000,0)+IF(Atletas!B463="Feminino",1000,IF(Atletas!B463="Masculino",2000,""))+IF(Atletas!S463="Arma Dupla A",801,IF(Atletas!S463="Arma Maleável A",802,IF(Atletas!S463="Arma Dupla B",803,IF(Atletas!S463="Arma Maleável B",804,IF(Atletas!S463="Arma Dupla C",805,IF(Atletas!S463="Arma Maleável C",806,IF(Atletas!S463="Arma Dupla D",807,IF(Atletas!S463="Arma Maleável D",808,IF(Atletas!S463="Arma Dupla E",809,IF(Atletas!S463="Arma Maleável E",810,IF(Atletas!S463="Arma Dupla F",811,IF(Atletas!S463="Arma Maleável F",812, "")))))))))))))</f>
        <v/>
      </c>
      <c r="BV467" s="52" t="str">
        <f>IF(Atletas!T463="","",IF(Atletas!W463&lt;&gt;"",10000,0)+IF(Atletas!B463="Feminino",1000,IF(Atletas!B463="Masculino",2000,""))+IF(Atletas!T463="Taijijian Yang A",901,IF(Atletas!T463="Taijijian Chen A",902,IF(Atletas!T463="Taijijian Sun A",903,IF(Atletas!T463="Taijijian Wu A",904,IF(Atletas!T463="Taijijian Wu-Hao A",905,IF(Atletas!T463="Taijijian 32 A",906,IF(Atletas!T463="Taijijian 42 A",907,IF(Atletas!T463="Taijijian Yang B",908,IF(Atletas!T463="Taijijian Chen B",909,IF(Atletas!T463="Taijijian Sun B",910,IF(Atletas!T463="Taijijian Wu B",911,IF(Atletas!T463="Taijijian Wu-Hao B",912,IF(Atletas!T463="Taijijian 32 B",913,IF(Atletas!T463="Taijijian 42 B",914,IF(Atletas!T463="Taijijian Yang C",915,IF(Atletas!T463="Taijijian Chen C",916,IF(Atletas!T463="Taijijian Sun C",917,IF(Atletas!T463="Taijijian Wu C",918,IF(Atletas!T463="Taijijian Wu-Hao C",919,IF(Atletas!T463="Taijijian 32 C",920,IF(Atletas!T463="Taijijian 42 C",921,IF(Atletas!T463="Taijijian Yang D",922,IF(Atletas!T463="Taijijian Chen D",923,IF(Atletas!T463="Taijijian Sun D",924,IF(Atletas!T463="Taijijian Wu D",925,IF(Atletas!T463="Taijijian Wu-Hao D",926,IF(Atletas!T463="Taijijian 32 D",927,IF(Atletas!T463="Taijijian 42 D",928,IF(Atletas!T463="Taijijian Yang E",929,IF(Atletas!T463="Taijijian Chen E",930,IF(Atletas!T463="Taijijian Sun E",931,IF(Atletas!T463="Taijijian Wu E",932,IF(Atletas!T463="Taijijian Wu-Hao E",933,IF(Atletas!T463="Taijijian 32 E",934,IF(Atletas!T463="Taijijian 42 E",935,IF(Atletas!T463="Taijijian Yang F",936,IF(Atletas!T463="Taijijian Chen F",937,IF(Atletas!T463="Taijijian Sun F",938,IF(Atletas!T463="Taijijian Wu F",939,IF(Atletas!T463="Taijijian Wu-Hao F",940,IF(Atletas!T463="Taijijian 32 F",941,IF(Atletas!T463="Taijijian 42 F",942,"")))))))))))))))))))))))))))))))))))))))))))</f>
        <v/>
      </c>
      <c r="BW467" s="52" t="str">
        <f>IF(Atletas!U463="","",IF(Atletas!W463&lt;&gt;"",10000,0)+IF(Atletas!B463="Feminino",1000,IF(Atletas!B463="Masculino",2000,""))+IF(Atletas!T463="Taijijian 42 F",942,IF(Atletas!U463="Taijidao A",943,IF(Atletas!U463="Taijishan A",944,IF(Atletas!U463="Taijiqiang A",945,IF(Atletas!U463="Taijidao B",946,IF(Atletas!U463="Taijishan B",947,IF(Atletas!U463="Taijiqiang B",948,IF(Atletas!U463="Taijidao C",949,IF(Atletas!U463="Taijishan C",950,IF(Atletas!U463="Taijiqiang C",951,IF(Atletas!U463="Taijidao D",952,IF(Atletas!U463="Taijishan D",953,IF(Atletas!U463="Taijiqiang D",954,IF(Atletas!U463="Taijidao E",955,IF(Atletas!U463="Taijishan E",956,IF(Atletas!U463="Taijiqiang E",957,IF(Atletas!U463="Taijidao F",958,IF(Atletas!U463="Taijishan F",959,IF(Atletas!U463="Taijiqiang F",960))))))))))))))))))))</f>
        <v/>
      </c>
      <c r="CF467" s="52" t="str">
        <f xml:space="preserve"> IF(Atletas!V463="","",IF(Atletas!V463="Duilian de Mãos AB - Equipe 1",1,IF(Atletas!V463="Duilian de Mãos AB - Equipe 2",2,IF(Atletas!V463="Duilian de Armas AB - Equipe 1",3,IF(Atletas!V463="Duilian de Armas AB - Equipe 2",4,IF(Atletas!V463="Duilian de Tuishou - Equipe 1",5,IF(Atletas!V463="Duilian de Tuishou - Equipe 2",6,IF(Atletas!V463="Grupo Externo AB - Equipe 1",7,IF(Atletas!V463="Grupo Externo AB - Equipe 2",8,IF(Atletas!V463="Grupo Interno AB - Equipe 1",9,IF(Atletas!V463="Grupo Interno AB - Equipe 2",10,IF(Atletas!V463="Duilian de Mãos CD - Equipe 1",11,IF(Atletas!V463="Duilian de Mãos CD - Equipe 2",12,IF(Atletas!V463="Duilian de Armas CD - Equipe 1",13,IF(Atletas!V463="Duilian de Armas CD - Equipe 2",14,IF(Atletas!V463="Duilian de Tuishou - Equipe 1",15,IF(Atletas!V463="Duilian de Tuishou - Equipe 2",16,IF(Atletas!V463="Grupo Externo CDEF - Equipe 1",17,IF(Atletas!V463="Grupo Externo CDEF - Equipe 2",18,IF(Atletas!V463="Grupo Interno CDEF - Equipe 1",19,IF(Atletas!V463="Grupo Interno CDEF - Equipe 2",20,IF(Atletas!V463="Duilian de Mãos EF - Equipe 1",21,IF(Atletas!V463="Duilian de Mãos EF - Equipe 2",22,IF(Atletas!V463="Duilian de Armas EF - Equipe 1",23,IF(Atletas!V463="Duilian de Armas EF - Equipe 2",24,IF(Atletas!V463="Duilian de Tuishou - Equipe 1",25,IF(Atletas!V463="Duilian de Tuishou - Equipe 2",26,"")))))))))))))))))))))))))))</f>
        <v/>
      </c>
    </row>
    <row r="468" spans="36:84">
      <c r="AJ468" s="46" t="str">
        <f>IF(Atletas!D464="","",IF(Atletas!B464="Feminino",100,IF(Atletas!B464="Masculino",200,""))+(IF(Atletas!D464="Infantil 39kg",1,IF(Atletas!D464="Infantil 42kg",2,IF(Atletas!D464="Infantil 45kg",3,IF(Atletas!D464="Infantil 48kg",4,IF(Atletas!D464="Infantil 52kg",5,IF(Atletas!D464="Infantil 56kg",6,IF(Atletas!D464="Infantil 60kg",7,IF(Atletas!D464="Juvenil 48kg",8,IF(Atletas!D464="Juvenil 52kg",9,IF(Atletas!D464="Juvenil 56kg",10,IF(Atletas!D464="Juvenil 60kg",11,IF(Atletas!D464="Juvenil 65kg",12,IF(Atletas!D464="Juvenil 70kg",13,IF(Atletas!D464="Juvenil 75kg",14,IF(Atletas!D464="Juvenil 80kg",15,IF(Atletas!D464="Adulto 48kg",16,IF(Atletas!D464="Adulto 52kg",17,IF(Atletas!D464="Adulto 56kg",18,IF(Atletas!D464="Adulto 60kg",19,IF(Atletas!D464="Adulto 65kg",20,IF(Atletas!D464="Adulto 70kg",21,IF(Atletas!D464="Adulto 75kg",22,IF(Atletas!D464="Adulto 80kg",23,IF(Atletas!D464="Adulto 85kg",24,IF(Atletas!D464="Adulto 90kg",25,IF(Atletas!D464="Adulto +90kg",26,""))))))))))))))))))))))))))))</f>
        <v/>
      </c>
      <c r="AO468" s="10" t="str">
        <f>IF(Atletas!E464="","",IF(Atletas!B464="Feminino",100,IF(Atletas!B464="Masculino",200,""))+(IF(Atletas!E464="Juvenil 44kg",1,IF(Atletas!E464="Juvenil 48kg",2,IF(Atletas!E464="Juvenil 52kg",3,IF(Atletas!E464="Juvenil 56kg",4,IF(Atletas!E464="Juvenil 60kg",5,IF(Atletas!E464="Juvenil 65kg",6,IF(Atletas!E464="Juvenil 70kg",7,IF(Atletas!E464="Juvenil 75kg",8,IF(Atletas!E464="Juvenil 82kg",9,IF(Atletas!E464="Juvenil 90kg",10,IF(Atletas!E464="Juvenil 100kg",11,IF(Atletas!E464="Adulto 48kg",12,IF(Atletas!E464="Adulto 52kg",13,IF(Atletas!E464="Adulto 56kg",14,IF(Atletas!E464="Adulto 60kg",15,IF(Atletas!E464="Adulto 65kg",16,IF(Atletas!E464="Adulto 70kg",17,IF(Atletas!E464="Adulto 75kg",18,IF(Atletas!E464="Adulto 82kg",19,IF(Atletas!E464="Adulto 90kg",20,IF(Atletas!E464="Adulto 100kg",21,IF(Atletas!E464="Adulto +100kg",22,""))))))))))))))))))))))))</f>
        <v/>
      </c>
      <c r="AT468" s="10" t="str">
        <f>IF(Atletas!F464="","",IF(Atletas!B464="Feminino",100,IF(Atletas!B464="Masculino",200,""))+(IF(Atletas!F464="Adulto 48kg",1,IF(Atletas!F464="Adulto 56kg",2,IF(Atletas!F464="Adulto 65kg",3,IF(Atletas!F464="Adulto 75kg",4,IF(Atletas!F464="Adulto +75kg",5,IF(Atletas!F464="Adulto 52kg",6,IF(Atletas!F464="Adulto 60kg",7,IF(Atletas!F464="Adulto 70kg",8,IF(Atletas!F464="Adulto 80kg",9,IF(Atletas!F464="Adulto 90kg",10,IF(Atletas!F464="Adulto +90kg",11,"")))))))))))))</f>
        <v/>
      </c>
      <c r="AY468" s="46" t="str">
        <f>IF(Atletas!G464="","",IF(Atletas!B464="Feminino",100,IF(Atletas!B464="Masculino",200,""))+(IF(Atletas!G464="Changquan Mirim",1,IF(Atletas!G464="Nanquan Mirim",2,IF(Atletas!G464="Taijiquan Mirim",3,IF(Atletas!G464="Changquan Grupo C",4,IF(Atletas!G464="Nanquan Grupo C",5,IF(Atletas!G464="Taijiquan Grupo C",6,IF(Atletas!G464="Changquan Grupo B",7,IF(Atletas!G464="Nanquan Grupo B",8,IF(Atletas!G464="Taijiquan Grupo B",9,IF(Atletas!G464="Changquan Grupo A",10,IF(Atletas!G464="Nanquan Grupo A",11,IF(Atletas!G464="Taijiquan Grupo A",12,IF(Atletas!G464="Changquan Opcional",13,IF(Atletas!G464="Nanquan Opcional",14,IF(Atletas!G464="Taijiquan Opcional",15,IF(Atletas!G464="Changquan Adulto",16,IF(Atletas!G464="Nanquan Adulto",17,IF(Atletas!G464="Taijiquan Adulto",18,""))))))))))))))))))))</f>
        <v/>
      </c>
      <c r="AZ468" s="46" t="str">
        <f>IF(Atletas!H464="","",IF(Atletas!B464="Feminino",100,IF(Atletas!B464="Masculino",200,""))+(IF(Atletas!H464="Daoshu Mirim",19,IF(Atletas!H464="Jianshu Mirim",20,IF(Atletas!H464="Nandao Mirim",21,IF(Atletas!H464="Taijijian Mirim",22,IF(Atletas!H464="Daoshu Grupo C",23,IF(Atletas!H464="Jianshu Grupo C",24,IF(Atletas!H464="Nandao Grupo C",25,IF(Atletas!H464="Taijijian Grupo C",26,IF(Atletas!H464="Daoshu Grupo B",27,IF(Atletas!H464="Jianshu Grupo B",28,IF(Atletas!H464="Nandao Grupo B",29,IF(Atletas!H464="Taijijian Grupo B",30,IF(Atletas!H464="Daoshu Grupo A",31,IF(Atletas!H464="Jianshu Grupo A",32,IF(Atletas!H464="Nandao Grupo A",33,IF(Atletas!H464="Taijijian Grupo A",34,IF(Atletas!H464="Daoshu Opcional",35,IF(Atletas!H464="Jianshu Opcional",36,IF(Atletas!H464="Nandao Opcional",37,IF(Atletas!H464="Taijijian Opcional",38,IF(Atletas!H464="Daoshu Adulto",39,IF(Atletas!H464="Jianshu Adulto",40,IF(Atletas!H464="Nandao Adulto",41,IF(Atletas!H464="Taijijian Adulto",42,""))))))))))))))))))))))))))</f>
        <v/>
      </c>
      <c r="BA468" s="46" t="str">
        <f>IF(Atletas!I464="","",IF(Atletas!B464="Feminino",100,IF(Atletas!B464="Masculino",200,""))+(IF(Atletas!I464="Gunshu Mirim",43,IF(Atletas!I464="Qiangshu Mirim",44,IF(Atletas!I464="Nangun Mirim",45,IF(Atletas!I464="Gunshu Grupo C",46,IF(Atletas!I464="Qiangshu Grupo C",47,IF(Atletas!I464="Nangun Grupo C",48,IF(Atletas!I464="Gunshu Grupo B",49,IF(Atletas!I464="Qiangshu Grupo B",50,IF(Atletas!I464="Nangun Grupo B",51,IF(Atletas!I464="Gunshu Grupo A",52,IF(Atletas!I464="Qiangshu Grupo A",53,IF(Atletas!I464="Nangun Grupo A",54,IF(Atletas!I464="Gunshu Opcional",55,IF(Atletas!I464="Qiangshu Opcional",56,IF(Atletas!I464="Nangun Opcional",57,IF(Atletas!I464="Gunshu Adulto",58,IF(Atletas!I464="Qiangshu Adulto",59,IF(Atletas!I464="Nangun Adulto",60,""))))))))))))))))))))</f>
        <v/>
      </c>
      <c r="BF468" s="52" t="str">
        <f>IF(Atletas!J464="","",IF(Atletas!B464="Feminino",100,IF(Atletas!B464="Masculino",200,""))+(IF(Atletas!J464="Equipe 1 Grupo B",1,IF(Atletas!J464="Equipe 2 Grupo B",2,IF(Atletas!J464="Equipe 1 Grupo A",3,IF(Atletas!J464="Equipe 2 Grupo A",4,IF(Atletas!J464="Equipe 1 Adulto",5,IF(Atletas!J464="Equipe 2 Adulto",6,""))))))))</f>
        <v/>
      </c>
      <c r="BK468" s="52" t="str">
        <f>IF(Atletas!K464="","",IF(Atletas!W464&lt;&gt;"",10000,0)+(IF(Atletas!B464="Feminino",1000,IF(Atletas!B464="Masculino",2000,""))+IF(Atletas!K464="Choylayfut A",1,IF(Atletas!K464="Hunggar A",2,IF(Atletas!K464="Wuzuquan A",3,IF(Atletas!K464="Wingchun A",4,IF(Atletas!K464="Outra Mão de Sul A",5,IF(Atletas!K464="Choylayfut B",6,IF(Atletas!K464="Hunggar B",7,IF(Atletas!K464="Wuzuquan B",8,IF(Atletas!K464="Wingchun B",9,IF(Atletas!K464="Outra Mão de Sul B",10,IF(Atletas!K464="Choylayfut C",11,IF(Atletas!K464="Hunggar C",12,IF(Atletas!K464="Wuzuquan C",13,IF(Atletas!K464="Wingchun C",14,IF(Atletas!K464="Outra Mão de Sul C",15,IF(Atletas!K464="Choylayfut D",16,IF(Atletas!K464="Hunggar D",17,IF(Atletas!K464="Wuzuquan D",18,IF(Atletas!K464="Wingchun D",19,IF(Atletas!K464="Outra Mão de Sul D",20,IF(Atletas!K464="Choylayfut E",21,IF(Atletas!K464="Hunggar E",22,IF(Atletas!K464="Wuzuquan E",23,IF(Atletas!K464="Wingchun E",24,IF(Atletas!K464="Outra Mão de Sul E",25,IF(Atletas!K464="Choylayfut F",26,IF(Atletas!K464="Hunggar F",27,IF(Atletas!K464="Wuzuquan F",28,IF(Atletas!K464="Wingchun F",29,IF(Atletas!K464="Outra Mão de Sul F",30,""))))))))))))))))))))))))))))))))</f>
        <v/>
      </c>
      <c r="BL468" s="52" t="str">
        <f>IF(Atletas!L464="","",IF(Atletas!W464&lt;&gt;"",10000,0)+(IF(Atletas!B464="Feminino",1000,IF(Atletas!B464="Masculino",2000,""))+(IF(Atletas!L464="Chaquan A",101,IF(Atletas!L464="Emeiquan A",102,IF(Atletas!L464="Fanziquan A",103,IF(Atletas!L464="Huaquan A",104,IF(Atletas!L464="Hongquan A",105,IF(Atletas!L464="Paochui A",106,IF(Atletas!L464="Piguaquan A",107,IF(Atletas!L464="Shaolinquan A",108,IF(Atletas!L464="Tanglangquan A",109,IF(Atletas!L464="Yinzhaophai A",110,IF(Atletas!L464="Tongbeiquan A",111,IF(Atletas!L464="Wudangquan A",112,IF(Atletas!L464="Outros Estilos A",113,IF(Atletas!L464="Chaquan B",114,IF(Atletas!L464="Emeiquan B",115,IF(Atletas!L464="Fanziquan B",116,IF(Atletas!L464="Huaquan B",117,IF(Atletas!L464="Hongquan B",118,IF(Atletas!L464="Paochui B",119,IF(Atletas!L464="Piguaquan B",120,IF(Atletas!L464="Shaolinquan B",121,IF(Atletas!L464="Tanglangquan B",122,IF(Atletas!L464="Yinzhaophai B",123,IF(Atletas!L464="Tongbeiquan B",124,IF(Atletas!L464="Wudangquan B",125,IF(Atletas!L464="Outros Estilos B",126,IF(Atletas!L464="Chaquan C",127,IF(Atletas!L464="Emeiquan C",128,IF(Atletas!L464="Fanziquan C",129,IF(Atletas!L464="Huaquan C",130,IF(Atletas!L464="Hongquan C",131,IF(Atletas!L464="Paochui C",132,IF(Atletas!L464="Piguaquan C",133,IF(Atletas!L464="Shaolinquan C",134,IF(Atletas!L464="Tanglangquan C",135,IF(Atletas!L464="Yinzhaophai C",136,IF(Atletas!L464="Tongbeiquan C",137,IF(Atletas!L464="Wudangquan C",138,IF(Atletas!L464="Outros Estilos C",139,0))))))))))))))))))))))))))))))))))))))))))</f>
        <v/>
      </c>
      <c r="BM468" s="52" t="str">
        <f>IF(Atletas!L464="","",IF(Atletas!W464&lt;&gt;"",10000,0)+(IF(Atletas!B464="Feminino",1000,IF(Atletas!B464="Masculino",2000,""))+(IF(Atletas!L464="Chaquan D",140,IF(Atletas!L464="Emeiquan D",141,IF(Atletas!L464="Fanziquan D",142,IF(Atletas!L464="Huaquan D",143,IF(Atletas!L464="Hongquan D",144,IF(Atletas!L464="Paochui D",145,IF(Atletas!L464="Piguaquan D",146,IF(Atletas!L464="Shaolinquan D",147,IF(Atletas!L464="Tanglangquan D",148,IF(Atletas!L464="Yinzhaophai D",149,IF(Atletas!L464="Tongbeiquan D",150,IF(Atletas!L464="Wudangquan D",151,IF(Atletas!L464="Outros Estilos D",152,IF(Atletas!L464="Chaquan E",153,IF(Atletas!L464="Emeiquan E",154,IF(Atletas!L464="Fanziquan E",155,IF(Atletas!L464="Huaquan E",156,IF(Atletas!L464="Hongquan E",157,IF(Atletas!L464="Paochui E",158,IF(Atletas!L464="Piguaquan E",159,IF(Atletas!L464="Shaolinquan E",160,IF(Atletas!L464="Tanglangquan E",161,IF(Atletas!L464="Yinzhaophai E",162,IF(Atletas!L464="Tongbeiquan E",163,IF(Atletas!L464="Wudangquan E",164,IF(Atletas!L464="Outros Estilos E",165,IF(Atletas!L464="Chaquan F",166,IF(Atletas!L464="Emeiquan F",167,IF(Atletas!L464="Fanziquan F",168,IF(Atletas!L464="Huaquan F",169,IF(Atletas!L464="Hongquan F",170,IF(Atletas!L464="Paochui F",171,IF(Atletas!L464="Piguaquan F",172,IF(Atletas!L464="Shaolinquan F",173,IF(Atletas!L464="Tanglangquan F",174,IF(Atletas!L464="Yinzhaophai F",175,IF(Atletas!L464="Tongbeiquan F",176,IF(Atletas!L464="Wudangquan F",177,IF(Atletas!L464="Outros Estilos F",178,0))))))))))))))))))))))))))))))))))))))))))</f>
        <v/>
      </c>
      <c r="BN468" s="52" t="str">
        <f>IF(Atletas!M464="","",IF(Atletas!W464&lt;&gt;"",10000,0)+(IF(Atletas!B464="Feminino",1000,IF(Atletas!B464="Masculino",2000,""))+(IF(Atletas!M464="Ditangquan A",201,IF(Atletas!M464="Houquan A",202,IF(Atletas!M464="Zuiquan A",203,IF(Atletas!M464="Ditangquan B",204,IF(Atletas!M464="Houquan B",205,IF(Atletas!M464="Zuiquan B",206,IF(Atletas!M464="Ditangquan C",207,IF(Atletas!M464="Houquan C",208,IF(Atletas!M464="Zuiquan C",209,IF(Atletas!M464="Ditangquan D",210,IF(Atletas!M464="Houquan D",211,IF(Atletas!M464="Zuiquan D",212,IF(Atletas!M464="Ditangquan E",213,IF(Atletas!M464="Houquan E",214,IF(Atletas!M464="Zuiquan E",215,IF(Atletas!M464="Ditangquan F",216,IF(Atletas!M464="Houquan F",217,IF(Atletas!M464="Zuiquan F",218,"")))))))))))))))))))))</f>
        <v/>
      </c>
      <c r="BO468" s="52" t="str">
        <f>IF(Atletas!N464="","",IF(Atletas!W464&lt;&gt;"",10000,0)+IF(Atletas!B464="Feminino",1000,IF(Atletas!B464="Masculino",2000,""))+IF(Atletas!N464="Yang A",301,IF(Atletas!N464="Chen A",30,IF(Atletas!N464="Sun A",303,IF(Atletas!N464="Wu A",304,IF(Atletas!N464="Wu-Hao A",305,IF(Atletas!N464="Outro Taijiquan A",306,IF(Atletas!N464="Yang B",307,IF(Atletas!N464="Chen B",308,IF(Atletas!N464="Sun B",309,IF(Atletas!N464="Wu B",310,IF(Atletas!N464="Wu-Hao B",311,IF(Atletas!N464="Outro Taijiquan B",312,IF(Atletas!N464="Yang C",313,IF(Atletas!N464="Chen C",314,IF(Atletas!N464="Sun C",315,IF(Atletas!N464="Wu C",316,IF(Atletas!N464="Wu-Hao C",317,IF(Atletas!N464="Outro Taijiquan C",318,IF(Atletas!N464="Yang D",319,IF(Atletas!N464="Chen D",320,IF(Atletas!N464="Sun D",321,IF(Atletas!N464="Wu D",322,IF(Atletas!N464="Wu-Hao D",323,IF(Atletas!N464="Outro Taijiquan D",324,IF(Atletas!N464="Yang E",325,IF(Atletas!N464="Chen E",326,IF(Atletas!N464="Sun E",327,IF(Atletas!N464="Wu E",328,IF(Atletas!N464="Wu-Hao E",329,IF(Atletas!N464="Outro Taijiquan E",330,IF(Atletas!N464="Yang F",331,IF(Atletas!N464="Chen F",332,IF(Atletas!N464="Sun F",333,IF(Atletas!N464="Wu F",334,IF(Atletas!N464="Wu-Hao F",335,IF(Atletas!N464="Outro Taijiquan F",336,"")))))))))))))))))))))))))))))))))))))</f>
        <v/>
      </c>
      <c r="BP468" s="52" t="str">
        <f>IF(Atletas!O464="","",IF(Atletas!W464&lt;&gt;"",10000,0)+IF(Atletas!B464="Feminino",1000,IF(Atletas!B464="Masculino",2000,""))+IF(OR(Atletas!O464="Yang 26 A",Atletas!O464="Yang 40 A"),401,IF(OR(Atletas!O464="Chen 25 A",Atletas!O464="Chen 36 A",Atletas!O464="Chen 56 A"),402,IF(Atletas!O464="Sun 73 A",403,IF(Atletas!O464="Wu 45 A",404,IF(Atletas!O464="Wu-Hao 46 A",405,IF(OR(Atletas!O464="Taijiquan 16 A",Atletas!O464="Taijiquan 24 A",Atletas!O464="Taijiquan 32 A",Atletas!O464="Taijiquan 42 A"),406,IF(OR(Atletas!O464="Yang 26 B",Atletas!O464="Yang 40 B"),407,IF(OR(Atletas!O464="Chen 25 B",Atletas!O464="Chen 36 B",Atletas!O464="Chen 56 B"),408,IF(Atletas!O464="Sun 73 B",409,IF(Atletas!O464="Wu 45 B",410,IF(Atletas!O464="Wu-Hao 46 B",411,IF(OR(Atletas!O464="Taijiquan 16 B",Atletas!O464="Taijiquan 24 B",Atletas!O464="Taijiquan 32 B",Atletas!O464="Taijiquan 42 B"),412,IF(OR(Atletas!O464="Yang 26 C",Atletas!O464="Yang 40 C"),413,IF(OR(Atletas!O464="Chen 25 C",Atletas!O464="Chen 36 C",Atletas!O464="Chen 56 C"),414,IF(Atletas!O464="Sun 73 C",415,IF(Atletas!O464="Wu 45 C",416,IF(Atletas!O464="Wu-Hao 46 C",417,IF(OR(Atletas!O464="Taijiquan 16 C",Atletas!O464="Taijiquan 24 C",Atletas!O464="Taijiquan 32 C",Atletas!O464="Taijiquan 42 C"),418,0)))))))))))))))))))</f>
        <v/>
      </c>
      <c r="BQ468" s="52" t="str">
        <f>IF(Atletas!O464="","",IF(Atletas!W464&lt;&gt;"",10000,0)+IF(Atletas!B464="Feminino",1000,IF(Atletas!B464="Masculino",2000,""))+IF(OR(Atletas!O464="Yang 26 D",Atletas!O464="Yang 40 D"),419,IF(OR(Atletas!O464="Chen 25 D",Atletas!O464="Chen 36 D",Atletas!O464="Chen 56 D"),420,IF(Atletas!O464="Sun 73 D",421,IF(Atletas!O464="Wu 45 D",422,IF(Atletas!O464="Wu-Hao 46 D",423,IF(OR(Atletas!O464="Taijiquan 16 D",Atletas!O464="Taijiquan 24 D",Atletas!O464="Taijiquan 32 D",Atletas!O464="Taijiquan 42 D"),424,IF(OR(Atletas!O464="Yang 26 E",Atletas!O464="Yang 40 E"),425,IF(OR(Atletas!O464="Chen 25 E",Atletas!O464="Chen 36 E",Atletas!O464="Chen 56 E"),426,IF(Atletas!O464="Sun 73 E",427,IF(Atletas!O464="Wu 45 E",428,IF(Atletas!O464="Wu-Hao 46 E",429,IF(OR(Atletas!O464="Taijiquan 16 E",Atletas!O464="Taijiquan 24 E",Atletas!O464="Taijiquan 32 E",Atletas!O464="Taijiquan 42 E"),430,IF(OR(Atletas!O464="Yang 26 F",Atletas!O464="Yang 40 F"),431,IF(OR(Atletas!O464="Chen 25 F",Atletas!O464="Chen 36 F",Atletas!O464="Chen 56 F"),432,IF(Atletas!O464="Sun 73 F",433,IF(Atletas!O464="Wu 45 F",434,IF(Atletas!O464="Wu-Hao 46 F",435,IF(OR(Atletas!O464="Taijiquan 16 F",Atletas!O464="Taijiquan 24 F",Atletas!O464="Taijiquan 32 F",Atletas!O464="Taijiquan 42 F"),436,0)))))))))))))))))))</f>
        <v/>
      </c>
      <c r="BR468" s="52" t="str">
        <f>IF(Atletas!P464="","",IF(Atletas!W464&lt;&gt;"",10000,0)+IF(Atletas!B464="Feminino",1000,IF(Atletas!B464="Masculino",2000,""))+IF(Atletas!P464="Xingyiquan A",501,IF(Atletas!P464="Baguazhang A",502,IF(Atletas!P464="Outro Estilo Interno A",503,IF(Atletas!P464="Xingyiquan B",504,IF(Atletas!P464="Baguazhang B",505,IF(Atletas!P464="Outro Estilo Interno B",506,IF(Atletas!P464="Xingyiquan C",507,IF(Atletas!P464="Baguazhang C",508,IF(Atletas!P464="Outro Estilo Interno C",509,IF(Atletas!P464="Xingyiquan D",510,IF(Atletas!P464="Baguazhang D",511,IF(Atletas!P464="Outro Estilo Interno D",512,IF(Atletas!P464="Xingyiquan E",513,IF(Atletas!P464="Baguazhang E",514,IF(Atletas!P464="Outro Estilo Interno E",515,IF(Atletas!P464="Xingyiquan F",516,IF(Atletas!P464="Baguazhang F",517,IF(Atletas!P464="Outro Estilo Interno F",518, "")))))))))))))))))))</f>
        <v/>
      </c>
      <c r="BS468" s="52" t="str">
        <f>IF(Atletas!Q464="","",IF(Atletas!W464&lt;&gt;"",10000,0)+IF(Atletas!B464="Feminino",1000,IF(Atletas!B464="Masculino",2000,""))+IF(Atletas!Q464="Dao A",601,IF(Atletas!Q464="Jian A",602,IF(Atletas!Q464="Bishou A",603,IF(Atletas!Q464="Shan A",604,IF(Atletas!Q464="Outra Arma Curta A",605,IF(Atletas!Q464="Dao B",606,IF(Atletas!Q464="Jian B",607,IF(Atletas!Q464="Bishou B",608,IF(Atletas!Q464="Shan B",609,IF(Atletas!Q464="Outra Arma Curta B",610,IF(Atletas!Q464="Dao C",611,IF(Atletas!Q464="Jian C",612,IF(Atletas!Q464="Bishou C",613,IF(Atletas!Q464="Shan C",614,IF(Atletas!Q464="Outra Arma Curta C",615,IF(Atletas!Q464="Dao D",616,IF(Atletas!Q464="Jian D",617,IF(Atletas!Q464="Bishou D",618,IF(Atletas!Q464="Shan D",619,IF(Atletas!Q464="Outra Arma Curta D",620,IF(Atletas!Q464="Dao E",621,IF(Atletas!Q464="Jian E",622,IF(Atletas!Q464="Bishou E",623,IF(Atletas!Q464="Shan E",624,IF(Atletas!Q464="Outra Arma Curta E",625,IF(Atletas!Q464="Dao F",626,IF(Atletas!Q464="Jian F",627,IF(Atletas!Q464="Bishou F",628,IF(Atletas!Q464="Shan F",629,IF(Atletas!Q464="Outra Arma Curta F",630, "")))))))))))))))))))))))))))))))</f>
        <v/>
      </c>
      <c r="BT468" s="52" t="str">
        <f>IF(Atletas!R464="","",IF(Atletas!W464&lt;&gt;"",10000,0)+IF(Atletas!B464="Feminino",1000,IF(Atletas!B464="Masculino",2000,""))+IF(Atletas!R464="Gun A",701,IF(Atletas!R464="Qiang A",702,IF(Atletas!R464="Pudao / Guandao A",703,IF(Atletas!R464="Outra Arma Longa A",704,IF(Atletas!R464="Gun B",705,IF(Atletas!R464="Qiang B",706,IF(Atletas!R464="Pudao / Guandao B",707,IF(Atletas!R464="Outra Arma Longa B",708,IF(Atletas!R464="Gun C",709,IF(Atletas!R464="Qiang C",710,IF(Atletas!R464="Pudao / Guandao C",711,IF(Atletas!R464="Outra Arma Longa C",712,IF(Atletas!R464="Gun D",713,IF(Atletas!R464="Qiang D",714,IF(Atletas!R464="Pudao / Guandao D",715,IF(Atletas!R464="Outra Arma Longa D",716,IF(Atletas!R464="Gun E",717,IF(Atletas!R464="Qiang E",718,IF(Atletas!R464="Pudao / Guandao E",719,IF(Atletas!R464="Outra Arma Longa E",720,IF(Atletas!R464="Gun F",721,IF(Atletas!R464="Qiang F",722,IF(Atletas!R464="Pudao / Guandao F",723,IF(Atletas!R464="Outra Arma Longa F",724,"")))))))))))))))))))))))))</f>
        <v/>
      </c>
      <c r="BU468" s="52" t="str">
        <f>IF(Atletas!S464="","",IF(Atletas!W464&lt;&gt;"",10000,0)+IF(Atletas!B464="Feminino",1000,IF(Atletas!B464="Masculino",2000,""))+IF(Atletas!S464="Arma Dupla A",801,IF(Atletas!S464="Arma Maleável A",802,IF(Atletas!S464="Arma Dupla B",803,IF(Atletas!S464="Arma Maleável B",804,IF(Atletas!S464="Arma Dupla C",805,IF(Atletas!S464="Arma Maleável C",806,IF(Atletas!S464="Arma Dupla D",807,IF(Atletas!S464="Arma Maleável D",808,IF(Atletas!S464="Arma Dupla E",809,IF(Atletas!S464="Arma Maleável E",810,IF(Atletas!S464="Arma Dupla F",811,IF(Atletas!S464="Arma Maleável F",812, "")))))))))))))</f>
        <v/>
      </c>
      <c r="BV468" s="52" t="str">
        <f>IF(Atletas!T464="","",IF(Atletas!W464&lt;&gt;"",10000,0)+IF(Atletas!B464="Feminino",1000,IF(Atletas!B464="Masculino",2000,""))+IF(Atletas!T464="Taijijian Yang A",901,IF(Atletas!T464="Taijijian Chen A",902,IF(Atletas!T464="Taijijian Sun A",903,IF(Atletas!T464="Taijijian Wu A",904,IF(Atletas!T464="Taijijian Wu-Hao A",905,IF(Atletas!T464="Taijijian 32 A",906,IF(Atletas!T464="Taijijian 42 A",907,IF(Atletas!T464="Taijijian Yang B",908,IF(Atletas!T464="Taijijian Chen B",909,IF(Atletas!T464="Taijijian Sun B",910,IF(Atletas!T464="Taijijian Wu B",911,IF(Atletas!T464="Taijijian Wu-Hao B",912,IF(Atletas!T464="Taijijian 32 B",913,IF(Atletas!T464="Taijijian 42 B",914,IF(Atletas!T464="Taijijian Yang C",915,IF(Atletas!T464="Taijijian Chen C",916,IF(Atletas!T464="Taijijian Sun C",917,IF(Atletas!T464="Taijijian Wu C",918,IF(Atletas!T464="Taijijian Wu-Hao C",919,IF(Atletas!T464="Taijijian 32 C",920,IF(Atletas!T464="Taijijian 42 C",921,IF(Atletas!T464="Taijijian Yang D",922,IF(Atletas!T464="Taijijian Chen D",923,IF(Atletas!T464="Taijijian Sun D",924,IF(Atletas!T464="Taijijian Wu D",925,IF(Atletas!T464="Taijijian Wu-Hao D",926,IF(Atletas!T464="Taijijian 32 D",927,IF(Atletas!T464="Taijijian 42 D",928,IF(Atletas!T464="Taijijian Yang E",929,IF(Atletas!T464="Taijijian Chen E",930,IF(Atletas!T464="Taijijian Sun E",931,IF(Atletas!T464="Taijijian Wu E",932,IF(Atletas!T464="Taijijian Wu-Hao E",933,IF(Atletas!T464="Taijijian 32 E",934,IF(Atletas!T464="Taijijian 42 E",935,IF(Atletas!T464="Taijijian Yang F",936,IF(Atletas!T464="Taijijian Chen F",937,IF(Atletas!T464="Taijijian Sun F",938,IF(Atletas!T464="Taijijian Wu F",939,IF(Atletas!T464="Taijijian Wu-Hao F",940,IF(Atletas!T464="Taijijian 32 F",941,IF(Atletas!T464="Taijijian 42 F",942,"")))))))))))))))))))))))))))))))))))))))))))</f>
        <v/>
      </c>
      <c r="BW468" s="52" t="str">
        <f>IF(Atletas!U464="","",IF(Atletas!W464&lt;&gt;"",10000,0)+IF(Atletas!B464="Feminino",1000,IF(Atletas!B464="Masculino",2000,""))+IF(Atletas!T464="Taijijian 42 F",942,IF(Atletas!U464="Taijidao A",943,IF(Atletas!U464="Taijishan A",944,IF(Atletas!U464="Taijiqiang A",945,IF(Atletas!U464="Taijidao B",946,IF(Atletas!U464="Taijishan B",947,IF(Atletas!U464="Taijiqiang B",948,IF(Atletas!U464="Taijidao C",949,IF(Atletas!U464="Taijishan C",950,IF(Atletas!U464="Taijiqiang C",951,IF(Atletas!U464="Taijidao D",952,IF(Atletas!U464="Taijishan D",953,IF(Atletas!U464="Taijiqiang D",954,IF(Atletas!U464="Taijidao E",955,IF(Atletas!U464="Taijishan E",956,IF(Atletas!U464="Taijiqiang E",957,IF(Atletas!U464="Taijidao F",958,IF(Atletas!U464="Taijishan F",959,IF(Atletas!U464="Taijiqiang F",960))))))))))))))))))))</f>
        <v/>
      </c>
      <c r="CF468" s="52" t="str">
        <f xml:space="preserve"> IF(Atletas!V464="","",IF(Atletas!V464="Duilian de Mãos AB - Equipe 1",1,IF(Atletas!V464="Duilian de Mãos AB - Equipe 2",2,IF(Atletas!V464="Duilian de Armas AB - Equipe 1",3,IF(Atletas!V464="Duilian de Armas AB - Equipe 2",4,IF(Atletas!V464="Duilian de Tuishou - Equipe 1",5,IF(Atletas!V464="Duilian de Tuishou - Equipe 2",6,IF(Atletas!V464="Grupo Externo AB - Equipe 1",7,IF(Atletas!V464="Grupo Externo AB - Equipe 2",8,IF(Atletas!V464="Grupo Interno AB - Equipe 1",9,IF(Atletas!V464="Grupo Interno AB - Equipe 2",10,IF(Atletas!V464="Duilian de Mãos CD - Equipe 1",11,IF(Atletas!V464="Duilian de Mãos CD - Equipe 2",12,IF(Atletas!V464="Duilian de Armas CD - Equipe 1",13,IF(Atletas!V464="Duilian de Armas CD - Equipe 2",14,IF(Atletas!V464="Duilian de Tuishou - Equipe 1",15,IF(Atletas!V464="Duilian de Tuishou - Equipe 2",16,IF(Atletas!V464="Grupo Externo CDEF - Equipe 1",17,IF(Atletas!V464="Grupo Externo CDEF - Equipe 2",18,IF(Atletas!V464="Grupo Interno CDEF - Equipe 1",19,IF(Atletas!V464="Grupo Interno CDEF - Equipe 2",20,IF(Atletas!V464="Duilian de Mãos EF - Equipe 1",21,IF(Atletas!V464="Duilian de Mãos EF - Equipe 2",22,IF(Atletas!V464="Duilian de Armas EF - Equipe 1",23,IF(Atletas!V464="Duilian de Armas EF - Equipe 2",24,IF(Atletas!V464="Duilian de Tuishou - Equipe 1",25,IF(Atletas!V464="Duilian de Tuishou - Equipe 2",26,"")))))))))))))))))))))))))))</f>
        <v/>
      </c>
    </row>
    <row r="469" spans="36:84">
      <c r="AJ469" s="46" t="str">
        <f>IF(Atletas!D465="","",IF(Atletas!B465="Feminino",100,IF(Atletas!B465="Masculino",200,""))+(IF(Atletas!D465="Infantil 39kg",1,IF(Atletas!D465="Infantil 42kg",2,IF(Atletas!D465="Infantil 45kg",3,IF(Atletas!D465="Infantil 48kg",4,IF(Atletas!D465="Infantil 52kg",5,IF(Atletas!D465="Infantil 56kg",6,IF(Atletas!D465="Infantil 60kg",7,IF(Atletas!D465="Juvenil 48kg",8,IF(Atletas!D465="Juvenil 52kg",9,IF(Atletas!D465="Juvenil 56kg",10,IF(Atletas!D465="Juvenil 60kg",11,IF(Atletas!D465="Juvenil 65kg",12,IF(Atletas!D465="Juvenil 70kg",13,IF(Atletas!D465="Juvenil 75kg",14,IF(Atletas!D465="Juvenil 80kg",15,IF(Atletas!D465="Adulto 48kg",16,IF(Atletas!D465="Adulto 52kg",17,IF(Atletas!D465="Adulto 56kg",18,IF(Atletas!D465="Adulto 60kg",19,IF(Atletas!D465="Adulto 65kg",20,IF(Atletas!D465="Adulto 70kg",21,IF(Atletas!D465="Adulto 75kg",22,IF(Atletas!D465="Adulto 80kg",23,IF(Atletas!D465="Adulto 85kg",24,IF(Atletas!D465="Adulto 90kg",25,IF(Atletas!D465="Adulto +90kg",26,""))))))))))))))))))))))))))))</f>
        <v/>
      </c>
      <c r="AO469" s="10" t="str">
        <f>IF(Atletas!E465="","",IF(Atletas!B465="Feminino",100,IF(Atletas!B465="Masculino",200,""))+(IF(Atletas!E465="Juvenil 44kg",1,IF(Atletas!E465="Juvenil 48kg",2,IF(Atletas!E465="Juvenil 52kg",3,IF(Atletas!E465="Juvenil 56kg",4,IF(Atletas!E465="Juvenil 60kg",5,IF(Atletas!E465="Juvenil 65kg",6,IF(Atletas!E465="Juvenil 70kg",7,IF(Atletas!E465="Juvenil 75kg",8,IF(Atletas!E465="Juvenil 82kg",9,IF(Atletas!E465="Juvenil 90kg",10,IF(Atletas!E465="Juvenil 100kg",11,IF(Atletas!E465="Adulto 48kg",12,IF(Atletas!E465="Adulto 52kg",13,IF(Atletas!E465="Adulto 56kg",14,IF(Atletas!E465="Adulto 60kg",15,IF(Atletas!E465="Adulto 65kg",16,IF(Atletas!E465="Adulto 70kg",17,IF(Atletas!E465="Adulto 75kg",18,IF(Atletas!E465="Adulto 82kg",19,IF(Atletas!E465="Adulto 90kg",20,IF(Atletas!E465="Adulto 100kg",21,IF(Atletas!E465="Adulto +100kg",22,""))))))))))))))))))))))))</f>
        <v/>
      </c>
      <c r="AT469" s="10" t="str">
        <f>IF(Atletas!F465="","",IF(Atletas!B465="Feminino",100,IF(Atletas!B465="Masculino",200,""))+(IF(Atletas!F465="Adulto 48kg",1,IF(Atletas!F465="Adulto 56kg",2,IF(Atletas!F465="Adulto 65kg",3,IF(Atletas!F465="Adulto 75kg",4,IF(Atletas!F465="Adulto +75kg",5,IF(Atletas!F465="Adulto 52kg",6,IF(Atletas!F465="Adulto 60kg",7,IF(Atletas!F465="Adulto 70kg",8,IF(Atletas!F465="Adulto 80kg",9,IF(Atletas!F465="Adulto 90kg",10,IF(Atletas!F465="Adulto +90kg",11,"")))))))))))))</f>
        <v/>
      </c>
      <c r="AY469" s="46" t="str">
        <f>IF(Atletas!G465="","",IF(Atletas!B465="Feminino",100,IF(Atletas!B465="Masculino",200,""))+(IF(Atletas!G465="Changquan Mirim",1,IF(Atletas!G465="Nanquan Mirim",2,IF(Atletas!G465="Taijiquan Mirim",3,IF(Atletas!G465="Changquan Grupo C",4,IF(Atletas!G465="Nanquan Grupo C",5,IF(Atletas!G465="Taijiquan Grupo C",6,IF(Atletas!G465="Changquan Grupo B",7,IF(Atletas!G465="Nanquan Grupo B",8,IF(Atletas!G465="Taijiquan Grupo B",9,IF(Atletas!G465="Changquan Grupo A",10,IF(Atletas!G465="Nanquan Grupo A",11,IF(Atletas!G465="Taijiquan Grupo A",12,IF(Atletas!G465="Changquan Opcional",13,IF(Atletas!G465="Nanquan Opcional",14,IF(Atletas!G465="Taijiquan Opcional",15,IF(Atletas!G465="Changquan Adulto",16,IF(Atletas!G465="Nanquan Adulto",17,IF(Atletas!G465="Taijiquan Adulto",18,""))))))))))))))))))))</f>
        <v/>
      </c>
      <c r="AZ469" s="46" t="str">
        <f>IF(Atletas!H465="","",IF(Atletas!B465="Feminino",100,IF(Atletas!B465="Masculino",200,""))+(IF(Atletas!H465="Daoshu Mirim",19,IF(Atletas!H465="Jianshu Mirim",20,IF(Atletas!H465="Nandao Mirim",21,IF(Atletas!H465="Taijijian Mirim",22,IF(Atletas!H465="Daoshu Grupo C",23,IF(Atletas!H465="Jianshu Grupo C",24,IF(Atletas!H465="Nandao Grupo C",25,IF(Atletas!H465="Taijijian Grupo C",26,IF(Atletas!H465="Daoshu Grupo B",27,IF(Atletas!H465="Jianshu Grupo B",28,IF(Atletas!H465="Nandao Grupo B",29,IF(Atletas!H465="Taijijian Grupo B",30,IF(Atletas!H465="Daoshu Grupo A",31,IF(Atletas!H465="Jianshu Grupo A",32,IF(Atletas!H465="Nandao Grupo A",33,IF(Atletas!H465="Taijijian Grupo A",34,IF(Atletas!H465="Daoshu Opcional",35,IF(Atletas!H465="Jianshu Opcional",36,IF(Atletas!H465="Nandao Opcional",37,IF(Atletas!H465="Taijijian Opcional",38,IF(Atletas!H465="Daoshu Adulto",39,IF(Atletas!H465="Jianshu Adulto",40,IF(Atletas!H465="Nandao Adulto",41,IF(Atletas!H465="Taijijian Adulto",42,""))))))))))))))))))))))))))</f>
        <v/>
      </c>
      <c r="BA469" s="46" t="str">
        <f>IF(Atletas!I465="","",IF(Atletas!B465="Feminino",100,IF(Atletas!B465="Masculino",200,""))+(IF(Atletas!I465="Gunshu Mirim",43,IF(Atletas!I465="Qiangshu Mirim",44,IF(Atletas!I465="Nangun Mirim",45,IF(Atletas!I465="Gunshu Grupo C",46,IF(Atletas!I465="Qiangshu Grupo C",47,IF(Atletas!I465="Nangun Grupo C",48,IF(Atletas!I465="Gunshu Grupo B",49,IF(Atletas!I465="Qiangshu Grupo B",50,IF(Atletas!I465="Nangun Grupo B",51,IF(Atletas!I465="Gunshu Grupo A",52,IF(Atletas!I465="Qiangshu Grupo A",53,IF(Atletas!I465="Nangun Grupo A",54,IF(Atletas!I465="Gunshu Opcional",55,IF(Atletas!I465="Qiangshu Opcional",56,IF(Atletas!I465="Nangun Opcional",57,IF(Atletas!I465="Gunshu Adulto",58,IF(Atletas!I465="Qiangshu Adulto",59,IF(Atletas!I465="Nangun Adulto",60,""))))))))))))))))))))</f>
        <v/>
      </c>
      <c r="BF469" s="52" t="str">
        <f>IF(Atletas!J465="","",IF(Atletas!B465="Feminino",100,IF(Atletas!B465="Masculino",200,""))+(IF(Atletas!J465="Equipe 1 Grupo B",1,IF(Atletas!J465="Equipe 2 Grupo B",2,IF(Atletas!J465="Equipe 1 Grupo A",3,IF(Atletas!J465="Equipe 2 Grupo A",4,IF(Atletas!J465="Equipe 1 Adulto",5,IF(Atletas!J465="Equipe 2 Adulto",6,""))))))))</f>
        <v/>
      </c>
      <c r="BK469" s="52" t="str">
        <f>IF(Atletas!K465="","",IF(Atletas!W465&lt;&gt;"",10000,0)+(IF(Atletas!B465="Feminino",1000,IF(Atletas!B465="Masculino",2000,""))+IF(Atletas!K465="Choylayfut A",1,IF(Atletas!K465="Hunggar A",2,IF(Atletas!K465="Wuzuquan A",3,IF(Atletas!K465="Wingchun A",4,IF(Atletas!K465="Outra Mão de Sul A",5,IF(Atletas!K465="Choylayfut B",6,IF(Atletas!K465="Hunggar B",7,IF(Atletas!K465="Wuzuquan B",8,IF(Atletas!K465="Wingchun B",9,IF(Atletas!K465="Outra Mão de Sul B",10,IF(Atletas!K465="Choylayfut C",11,IF(Atletas!K465="Hunggar C",12,IF(Atletas!K465="Wuzuquan C",13,IF(Atletas!K465="Wingchun C",14,IF(Atletas!K465="Outra Mão de Sul C",15,IF(Atletas!K465="Choylayfut D",16,IF(Atletas!K465="Hunggar D",17,IF(Atletas!K465="Wuzuquan D",18,IF(Atletas!K465="Wingchun D",19,IF(Atletas!K465="Outra Mão de Sul D",20,IF(Atletas!K465="Choylayfut E",21,IF(Atletas!K465="Hunggar E",22,IF(Atletas!K465="Wuzuquan E",23,IF(Atletas!K465="Wingchun E",24,IF(Atletas!K465="Outra Mão de Sul E",25,IF(Atletas!K465="Choylayfut F",26,IF(Atletas!K465="Hunggar F",27,IF(Atletas!K465="Wuzuquan F",28,IF(Atletas!K465="Wingchun F",29,IF(Atletas!K465="Outra Mão de Sul F",30,""))))))))))))))))))))))))))))))))</f>
        <v/>
      </c>
      <c r="BL469" s="52" t="str">
        <f>IF(Atletas!L465="","",IF(Atletas!W465&lt;&gt;"",10000,0)+(IF(Atletas!B465="Feminino",1000,IF(Atletas!B465="Masculino",2000,""))+(IF(Atletas!L465="Chaquan A",101,IF(Atletas!L465="Emeiquan A",102,IF(Atletas!L465="Fanziquan A",103,IF(Atletas!L465="Huaquan A",104,IF(Atletas!L465="Hongquan A",105,IF(Atletas!L465="Paochui A",106,IF(Atletas!L465="Piguaquan A",107,IF(Atletas!L465="Shaolinquan A",108,IF(Atletas!L465="Tanglangquan A",109,IF(Atletas!L465="Yinzhaophai A",110,IF(Atletas!L465="Tongbeiquan A",111,IF(Atletas!L465="Wudangquan A",112,IF(Atletas!L465="Outros Estilos A",113,IF(Atletas!L465="Chaquan B",114,IF(Atletas!L465="Emeiquan B",115,IF(Atletas!L465="Fanziquan B",116,IF(Atletas!L465="Huaquan B",117,IF(Atletas!L465="Hongquan B",118,IF(Atletas!L465="Paochui B",119,IF(Atletas!L465="Piguaquan B",120,IF(Atletas!L465="Shaolinquan B",121,IF(Atletas!L465="Tanglangquan B",122,IF(Atletas!L465="Yinzhaophai B",123,IF(Atletas!L465="Tongbeiquan B",124,IF(Atletas!L465="Wudangquan B",125,IF(Atletas!L465="Outros Estilos B",126,IF(Atletas!L465="Chaquan C",127,IF(Atletas!L465="Emeiquan C",128,IF(Atletas!L465="Fanziquan C",129,IF(Atletas!L465="Huaquan C",130,IF(Atletas!L465="Hongquan C",131,IF(Atletas!L465="Paochui C",132,IF(Atletas!L465="Piguaquan C",133,IF(Atletas!L465="Shaolinquan C",134,IF(Atletas!L465="Tanglangquan C",135,IF(Atletas!L465="Yinzhaophai C",136,IF(Atletas!L465="Tongbeiquan C",137,IF(Atletas!L465="Wudangquan C",138,IF(Atletas!L465="Outros Estilos C",139,0))))))))))))))))))))))))))))))))))))))))))</f>
        <v/>
      </c>
      <c r="BM469" s="52" t="str">
        <f>IF(Atletas!L465="","",IF(Atletas!W465&lt;&gt;"",10000,0)+(IF(Atletas!B465="Feminino",1000,IF(Atletas!B465="Masculino",2000,""))+(IF(Atletas!L465="Chaquan D",140,IF(Atletas!L465="Emeiquan D",141,IF(Atletas!L465="Fanziquan D",142,IF(Atletas!L465="Huaquan D",143,IF(Atletas!L465="Hongquan D",144,IF(Atletas!L465="Paochui D",145,IF(Atletas!L465="Piguaquan D",146,IF(Atletas!L465="Shaolinquan D",147,IF(Atletas!L465="Tanglangquan D",148,IF(Atletas!L465="Yinzhaophai D",149,IF(Atletas!L465="Tongbeiquan D",150,IF(Atletas!L465="Wudangquan D",151,IF(Atletas!L465="Outros Estilos D",152,IF(Atletas!L465="Chaquan E",153,IF(Atletas!L465="Emeiquan E",154,IF(Atletas!L465="Fanziquan E",155,IF(Atletas!L465="Huaquan E",156,IF(Atletas!L465="Hongquan E",157,IF(Atletas!L465="Paochui E",158,IF(Atletas!L465="Piguaquan E",159,IF(Atletas!L465="Shaolinquan E",160,IF(Atletas!L465="Tanglangquan E",161,IF(Atletas!L465="Yinzhaophai E",162,IF(Atletas!L465="Tongbeiquan E",163,IF(Atletas!L465="Wudangquan E",164,IF(Atletas!L465="Outros Estilos E",165,IF(Atletas!L465="Chaquan F",166,IF(Atletas!L465="Emeiquan F",167,IF(Atletas!L465="Fanziquan F",168,IF(Atletas!L465="Huaquan F",169,IF(Atletas!L465="Hongquan F",170,IF(Atletas!L465="Paochui F",171,IF(Atletas!L465="Piguaquan F",172,IF(Atletas!L465="Shaolinquan F",173,IF(Atletas!L465="Tanglangquan F",174,IF(Atletas!L465="Yinzhaophai F",175,IF(Atletas!L465="Tongbeiquan F",176,IF(Atletas!L465="Wudangquan F",177,IF(Atletas!L465="Outros Estilos F",178,0))))))))))))))))))))))))))))))))))))))))))</f>
        <v/>
      </c>
      <c r="BN469" s="52" t="str">
        <f>IF(Atletas!M465="","",IF(Atletas!W465&lt;&gt;"",10000,0)+(IF(Atletas!B465="Feminino",1000,IF(Atletas!B465="Masculino",2000,""))+(IF(Atletas!M465="Ditangquan A",201,IF(Atletas!M465="Houquan A",202,IF(Atletas!M465="Zuiquan A",203,IF(Atletas!M465="Ditangquan B",204,IF(Atletas!M465="Houquan B",205,IF(Atletas!M465="Zuiquan B",206,IF(Atletas!M465="Ditangquan C",207,IF(Atletas!M465="Houquan C",208,IF(Atletas!M465="Zuiquan C",209,IF(Atletas!M465="Ditangquan D",210,IF(Atletas!M465="Houquan D",211,IF(Atletas!M465="Zuiquan D",212,IF(Atletas!M465="Ditangquan E",213,IF(Atletas!M465="Houquan E",214,IF(Atletas!M465="Zuiquan E",215,IF(Atletas!M465="Ditangquan F",216,IF(Atletas!M465="Houquan F",217,IF(Atletas!M465="Zuiquan F",218,"")))))))))))))))))))))</f>
        <v/>
      </c>
      <c r="BO469" s="52" t="str">
        <f>IF(Atletas!N465="","",IF(Atletas!W465&lt;&gt;"",10000,0)+IF(Atletas!B465="Feminino",1000,IF(Atletas!B465="Masculino",2000,""))+IF(Atletas!N465="Yang A",301,IF(Atletas!N465="Chen A",30,IF(Atletas!N465="Sun A",303,IF(Atletas!N465="Wu A",304,IF(Atletas!N465="Wu-Hao A",305,IF(Atletas!N465="Outro Taijiquan A",306,IF(Atletas!N465="Yang B",307,IF(Atletas!N465="Chen B",308,IF(Atletas!N465="Sun B",309,IF(Atletas!N465="Wu B",310,IF(Atletas!N465="Wu-Hao B",311,IF(Atletas!N465="Outro Taijiquan B",312,IF(Atletas!N465="Yang C",313,IF(Atletas!N465="Chen C",314,IF(Atletas!N465="Sun C",315,IF(Atletas!N465="Wu C",316,IF(Atletas!N465="Wu-Hao C",317,IF(Atletas!N465="Outro Taijiquan C",318,IF(Atletas!N465="Yang D",319,IF(Atletas!N465="Chen D",320,IF(Atletas!N465="Sun D",321,IF(Atletas!N465="Wu D",322,IF(Atletas!N465="Wu-Hao D",323,IF(Atletas!N465="Outro Taijiquan D",324,IF(Atletas!N465="Yang E",325,IF(Atletas!N465="Chen E",326,IF(Atletas!N465="Sun E",327,IF(Atletas!N465="Wu E",328,IF(Atletas!N465="Wu-Hao E",329,IF(Atletas!N465="Outro Taijiquan E",330,IF(Atletas!N465="Yang F",331,IF(Atletas!N465="Chen F",332,IF(Atletas!N465="Sun F",333,IF(Atletas!N465="Wu F",334,IF(Atletas!N465="Wu-Hao F",335,IF(Atletas!N465="Outro Taijiquan F",336,"")))))))))))))))))))))))))))))))))))))</f>
        <v/>
      </c>
      <c r="BP469" s="52" t="str">
        <f>IF(Atletas!O465="","",IF(Atletas!W465&lt;&gt;"",10000,0)+IF(Atletas!B465="Feminino",1000,IF(Atletas!B465="Masculino",2000,""))+IF(OR(Atletas!O465="Yang 26 A",Atletas!O465="Yang 40 A"),401,IF(OR(Atletas!O465="Chen 25 A",Atletas!O465="Chen 36 A",Atletas!O465="Chen 56 A"),402,IF(Atletas!O465="Sun 73 A",403,IF(Atletas!O465="Wu 45 A",404,IF(Atletas!O465="Wu-Hao 46 A",405,IF(OR(Atletas!O465="Taijiquan 16 A",Atletas!O465="Taijiquan 24 A",Atletas!O465="Taijiquan 32 A",Atletas!O465="Taijiquan 42 A"),406,IF(OR(Atletas!O465="Yang 26 B",Atletas!O465="Yang 40 B"),407,IF(OR(Atletas!O465="Chen 25 B",Atletas!O465="Chen 36 B",Atletas!O465="Chen 56 B"),408,IF(Atletas!O465="Sun 73 B",409,IF(Atletas!O465="Wu 45 B",410,IF(Atletas!O465="Wu-Hao 46 B",411,IF(OR(Atletas!O465="Taijiquan 16 B",Atletas!O465="Taijiquan 24 B",Atletas!O465="Taijiquan 32 B",Atletas!O465="Taijiquan 42 B"),412,IF(OR(Atletas!O465="Yang 26 C",Atletas!O465="Yang 40 C"),413,IF(OR(Atletas!O465="Chen 25 C",Atletas!O465="Chen 36 C",Atletas!O465="Chen 56 C"),414,IF(Atletas!O465="Sun 73 C",415,IF(Atletas!O465="Wu 45 C",416,IF(Atletas!O465="Wu-Hao 46 C",417,IF(OR(Atletas!O465="Taijiquan 16 C",Atletas!O465="Taijiquan 24 C",Atletas!O465="Taijiquan 32 C",Atletas!O465="Taijiquan 42 C"),418,0)))))))))))))))))))</f>
        <v/>
      </c>
      <c r="BQ469" s="52" t="str">
        <f>IF(Atletas!O465="","",IF(Atletas!W465&lt;&gt;"",10000,0)+IF(Atletas!B465="Feminino",1000,IF(Atletas!B465="Masculino",2000,""))+IF(OR(Atletas!O465="Yang 26 D",Atletas!O465="Yang 40 D"),419,IF(OR(Atletas!O465="Chen 25 D",Atletas!O465="Chen 36 D",Atletas!O465="Chen 56 D"),420,IF(Atletas!O465="Sun 73 D",421,IF(Atletas!O465="Wu 45 D",422,IF(Atletas!O465="Wu-Hao 46 D",423,IF(OR(Atletas!O465="Taijiquan 16 D",Atletas!O465="Taijiquan 24 D",Atletas!O465="Taijiquan 32 D",Atletas!O465="Taijiquan 42 D"),424,IF(OR(Atletas!O465="Yang 26 E",Atletas!O465="Yang 40 E"),425,IF(OR(Atletas!O465="Chen 25 E",Atletas!O465="Chen 36 E",Atletas!O465="Chen 56 E"),426,IF(Atletas!O465="Sun 73 E",427,IF(Atletas!O465="Wu 45 E",428,IF(Atletas!O465="Wu-Hao 46 E",429,IF(OR(Atletas!O465="Taijiquan 16 E",Atletas!O465="Taijiquan 24 E",Atletas!O465="Taijiquan 32 E",Atletas!O465="Taijiquan 42 E"),430,IF(OR(Atletas!O465="Yang 26 F",Atletas!O465="Yang 40 F"),431,IF(OR(Atletas!O465="Chen 25 F",Atletas!O465="Chen 36 F",Atletas!O465="Chen 56 F"),432,IF(Atletas!O465="Sun 73 F",433,IF(Atletas!O465="Wu 45 F",434,IF(Atletas!O465="Wu-Hao 46 F",435,IF(OR(Atletas!O465="Taijiquan 16 F",Atletas!O465="Taijiquan 24 F",Atletas!O465="Taijiquan 32 F",Atletas!O465="Taijiquan 42 F"),436,0)))))))))))))))))))</f>
        <v/>
      </c>
      <c r="BR469" s="52" t="str">
        <f>IF(Atletas!P465="","",IF(Atletas!W465&lt;&gt;"",10000,0)+IF(Atletas!B465="Feminino",1000,IF(Atletas!B465="Masculino",2000,""))+IF(Atletas!P465="Xingyiquan A",501,IF(Atletas!P465="Baguazhang A",502,IF(Atletas!P465="Outro Estilo Interno A",503,IF(Atletas!P465="Xingyiquan B",504,IF(Atletas!P465="Baguazhang B",505,IF(Atletas!P465="Outro Estilo Interno B",506,IF(Atletas!P465="Xingyiquan C",507,IF(Atletas!P465="Baguazhang C",508,IF(Atletas!P465="Outro Estilo Interno C",509,IF(Atletas!P465="Xingyiquan D",510,IF(Atletas!P465="Baguazhang D",511,IF(Atletas!P465="Outro Estilo Interno D",512,IF(Atletas!P465="Xingyiquan E",513,IF(Atletas!P465="Baguazhang E",514,IF(Atletas!P465="Outro Estilo Interno E",515,IF(Atletas!P465="Xingyiquan F",516,IF(Atletas!P465="Baguazhang F",517,IF(Atletas!P465="Outro Estilo Interno F",518, "")))))))))))))))))))</f>
        <v/>
      </c>
      <c r="BS469" s="52" t="str">
        <f>IF(Atletas!Q465="","",IF(Atletas!W465&lt;&gt;"",10000,0)+IF(Atletas!B465="Feminino",1000,IF(Atletas!B465="Masculino",2000,""))+IF(Atletas!Q465="Dao A",601,IF(Atletas!Q465="Jian A",602,IF(Atletas!Q465="Bishou A",603,IF(Atletas!Q465="Shan A",604,IF(Atletas!Q465="Outra Arma Curta A",605,IF(Atletas!Q465="Dao B",606,IF(Atletas!Q465="Jian B",607,IF(Atletas!Q465="Bishou B",608,IF(Atletas!Q465="Shan B",609,IF(Atletas!Q465="Outra Arma Curta B",610,IF(Atletas!Q465="Dao C",611,IF(Atletas!Q465="Jian C",612,IF(Atletas!Q465="Bishou C",613,IF(Atletas!Q465="Shan C",614,IF(Atletas!Q465="Outra Arma Curta C",615,IF(Atletas!Q465="Dao D",616,IF(Atletas!Q465="Jian D",617,IF(Atletas!Q465="Bishou D",618,IF(Atletas!Q465="Shan D",619,IF(Atletas!Q465="Outra Arma Curta D",620,IF(Atletas!Q465="Dao E",621,IF(Atletas!Q465="Jian E",622,IF(Atletas!Q465="Bishou E",623,IF(Atletas!Q465="Shan E",624,IF(Atletas!Q465="Outra Arma Curta E",625,IF(Atletas!Q465="Dao F",626,IF(Atletas!Q465="Jian F",627,IF(Atletas!Q465="Bishou F",628,IF(Atletas!Q465="Shan F",629,IF(Atletas!Q465="Outra Arma Curta F",630, "")))))))))))))))))))))))))))))))</f>
        <v/>
      </c>
      <c r="BT469" s="52" t="str">
        <f>IF(Atletas!R465="","",IF(Atletas!W465&lt;&gt;"",10000,0)+IF(Atletas!B465="Feminino",1000,IF(Atletas!B465="Masculino",2000,""))+IF(Atletas!R465="Gun A",701,IF(Atletas!R465="Qiang A",702,IF(Atletas!R465="Pudao / Guandao A",703,IF(Atletas!R465="Outra Arma Longa A",704,IF(Atletas!R465="Gun B",705,IF(Atletas!R465="Qiang B",706,IF(Atletas!R465="Pudao / Guandao B",707,IF(Atletas!R465="Outra Arma Longa B",708,IF(Atletas!R465="Gun C",709,IF(Atletas!R465="Qiang C",710,IF(Atletas!R465="Pudao / Guandao C",711,IF(Atletas!R465="Outra Arma Longa C",712,IF(Atletas!R465="Gun D",713,IF(Atletas!R465="Qiang D",714,IF(Atletas!R465="Pudao / Guandao D",715,IF(Atletas!R465="Outra Arma Longa D",716,IF(Atletas!R465="Gun E",717,IF(Atletas!R465="Qiang E",718,IF(Atletas!R465="Pudao / Guandao E",719,IF(Atletas!R465="Outra Arma Longa E",720,IF(Atletas!R465="Gun F",721,IF(Atletas!R465="Qiang F",722,IF(Atletas!R465="Pudao / Guandao F",723,IF(Atletas!R465="Outra Arma Longa F",724,"")))))))))))))))))))))))))</f>
        <v/>
      </c>
      <c r="BU469" s="52" t="str">
        <f>IF(Atletas!S465="","",IF(Atletas!W465&lt;&gt;"",10000,0)+IF(Atletas!B465="Feminino",1000,IF(Atletas!B465="Masculino",2000,""))+IF(Atletas!S465="Arma Dupla A",801,IF(Atletas!S465="Arma Maleável A",802,IF(Atletas!S465="Arma Dupla B",803,IF(Atletas!S465="Arma Maleável B",804,IF(Atletas!S465="Arma Dupla C",805,IF(Atletas!S465="Arma Maleável C",806,IF(Atletas!S465="Arma Dupla D",807,IF(Atletas!S465="Arma Maleável D",808,IF(Atletas!S465="Arma Dupla E",809,IF(Atletas!S465="Arma Maleável E",810,IF(Atletas!S465="Arma Dupla F",811,IF(Atletas!S465="Arma Maleável F",812, "")))))))))))))</f>
        <v/>
      </c>
      <c r="BV469" s="52" t="str">
        <f>IF(Atletas!T465="","",IF(Atletas!W465&lt;&gt;"",10000,0)+IF(Atletas!B465="Feminino",1000,IF(Atletas!B465="Masculino",2000,""))+IF(Atletas!T465="Taijijian Yang A",901,IF(Atletas!T465="Taijijian Chen A",902,IF(Atletas!T465="Taijijian Sun A",903,IF(Atletas!T465="Taijijian Wu A",904,IF(Atletas!T465="Taijijian Wu-Hao A",905,IF(Atletas!T465="Taijijian 32 A",906,IF(Atletas!T465="Taijijian 42 A",907,IF(Atletas!T465="Taijijian Yang B",908,IF(Atletas!T465="Taijijian Chen B",909,IF(Atletas!T465="Taijijian Sun B",910,IF(Atletas!T465="Taijijian Wu B",911,IF(Atletas!T465="Taijijian Wu-Hao B",912,IF(Atletas!T465="Taijijian 32 B",913,IF(Atletas!T465="Taijijian 42 B",914,IF(Atletas!T465="Taijijian Yang C",915,IF(Atletas!T465="Taijijian Chen C",916,IF(Atletas!T465="Taijijian Sun C",917,IF(Atletas!T465="Taijijian Wu C",918,IF(Atletas!T465="Taijijian Wu-Hao C",919,IF(Atletas!T465="Taijijian 32 C",920,IF(Atletas!T465="Taijijian 42 C",921,IF(Atletas!T465="Taijijian Yang D",922,IF(Atletas!T465="Taijijian Chen D",923,IF(Atletas!T465="Taijijian Sun D",924,IF(Atletas!T465="Taijijian Wu D",925,IF(Atletas!T465="Taijijian Wu-Hao D",926,IF(Atletas!T465="Taijijian 32 D",927,IF(Atletas!T465="Taijijian 42 D",928,IF(Atletas!T465="Taijijian Yang E",929,IF(Atletas!T465="Taijijian Chen E",930,IF(Atletas!T465="Taijijian Sun E",931,IF(Atletas!T465="Taijijian Wu E",932,IF(Atletas!T465="Taijijian Wu-Hao E",933,IF(Atletas!T465="Taijijian 32 E",934,IF(Atletas!T465="Taijijian 42 E",935,IF(Atletas!T465="Taijijian Yang F",936,IF(Atletas!T465="Taijijian Chen F",937,IF(Atletas!T465="Taijijian Sun F",938,IF(Atletas!T465="Taijijian Wu F",939,IF(Atletas!T465="Taijijian Wu-Hao F",940,IF(Atletas!T465="Taijijian 32 F",941,IF(Atletas!T465="Taijijian 42 F",942,"")))))))))))))))))))))))))))))))))))))))))))</f>
        <v/>
      </c>
      <c r="BW469" s="52" t="str">
        <f>IF(Atletas!U465="","",IF(Atletas!W465&lt;&gt;"",10000,0)+IF(Atletas!B465="Feminino",1000,IF(Atletas!B465="Masculino",2000,""))+IF(Atletas!T465="Taijijian 42 F",942,IF(Atletas!U465="Taijidao A",943,IF(Atletas!U465="Taijishan A",944,IF(Atletas!U465="Taijiqiang A",945,IF(Atletas!U465="Taijidao B",946,IF(Atletas!U465="Taijishan B",947,IF(Atletas!U465="Taijiqiang B",948,IF(Atletas!U465="Taijidao C",949,IF(Atletas!U465="Taijishan C",950,IF(Atletas!U465="Taijiqiang C",951,IF(Atletas!U465="Taijidao D",952,IF(Atletas!U465="Taijishan D",953,IF(Atletas!U465="Taijiqiang D",954,IF(Atletas!U465="Taijidao E",955,IF(Atletas!U465="Taijishan E",956,IF(Atletas!U465="Taijiqiang E",957,IF(Atletas!U465="Taijidao F",958,IF(Atletas!U465="Taijishan F",959,IF(Atletas!U465="Taijiqiang F",960))))))))))))))))))))</f>
        <v/>
      </c>
      <c r="CF469" s="52" t="str">
        <f xml:space="preserve"> IF(Atletas!V465="","",IF(Atletas!V465="Duilian de Mãos AB - Equipe 1",1,IF(Atletas!V465="Duilian de Mãos AB - Equipe 2",2,IF(Atletas!V465="Duilian de Armas AB - Equipe 1",3,IF(Atletas!V465="Duilian de Armas AB - Equipe 2",4,IF(Atletas!V465="Duilian de Tuishou - Equipe 1",5,IF(Atletas!V465="Duilian de Tuishou - Equipe 2",6,IF(Atletas!V465="Grupo Externo AB - Equipe 1",7,IF(Atletas!V465="Grupo Externo AB - Equipe 2",8,IF(Atletas!V465="Grupo Interno AB - Equipe 1",9,IF(Atletas!V465="Grupo Interno AB - Equipe 2",10,IF(Atletas!V465="Duilian de Mãos CD - Equipe 1",11,IF(Atletas!V465="Duilian de Mãos CD - Equipe 2",12,IF(Atletas!V465="Duilian de Armas CD - Equipe 1",13,IF(Atletas!V465="Duilian de Armas CD - Equipe 2",14,IF(Atletas!V465="Duilian de Tuishou - Equipe 1",15,IF(Atletas!V465="Duilian de Tuishou - Equipe 2",16,IF(Atletas!V465="Grupo Externo CDEF - Equipe 1",17,IF(Atletas!V465="Grupo Externo CDEF - Equipe 2",18,IF(Atletas!V465="Grupo Interno CDEF - Equipe 1",19,IF(Atletas!V465="Grupo Interno CDEF - Equipe 2",20,IF(Atletas!V465="Duilian de Mãos EF - Equipe 1",21,IF(Atletas!V465="Duilian de Mãos EF - Equipe 2",22,IF(Atletas!V465="Duilian de Armas EF - Equipe 1",23,IF(Atletas!V465="Duilian de Armas EF - Equipe 2",24,IF(Atletas!V465="Duilian de Tuishou - Equipe 1",25,IF(Atletas!V465="Duilian de Tuishou - Equipe 2",26,"")))))))))))))))))))))))))))</f>
        <v/>
      </c>
    </row>
    <row r="470" spans="36:84">
      <c r="AJ470" s="46" t="str">
        <f>IF(Atletas!D466="","",IF(Atletas!B466="Feminino",100,IF(Atletas!B466="Masculino",200,""))+(IF(Atletas!D466="Infantil 39kg",1,IF(Atletas!D466="Infantil 42kg",2,IF(Atletas!D466="Infantil 45kg",3,IF(Atletas!D466="Infantil 48kg",4,IF(Atletas!D466="Infantil 52kg",5,IF(Atletas!D466="Infantil 56kg",6,IF(Atletas!D466="Infantil 60kg",7,IF(Atletas!D466="Juvenil 48kg",8,IF(Atletas!D466="Juvenil 52kg",9,IF(Atletas!D466="Juvenil 56kg",10,IF(Atletas!D466="Juvenil 60kg",11,IF(Atletas!D466="Juvenil 65kg",12,IF(Atletas!D466="Juvenil 70kg",13,IF(Atletas!D466="Juvenil 75kg",14,IF(Atletas!D466="Juvenil 80kg",15,IF(Atletas!D466="Adulto 48kg",16,IF(Atletas!D466="Adulto 52kg",17,IF(Atletas!D466="Adulto 56kg",18,IF(Atletas!D466="Adulto 60kg",19,IF(Atletas!D466="Adulto 65kg",20,IF(Atletas!D466="Adulto 70kg",21,IF(Atletas!D466="Adulto 75kg",22,IF(Atletas!D466="Adulto 80kg",23,IF(Atletas!D466="Adulto 85kg",24,IF(Atletas!D466="Adulto 90kg",25,IF(Atletas!D466="Adulto +90kg",26,""))))))))))))))))))))))))))))</f>
        <v/>
      </c>
      <c r="AO470" s="10" t="str">
        <f>IF(Atletas!E466="","",IF(Atletas!B466="Feminino",100,IF(Atletas!B466="Masculino",200,""))+(IF(Atletas!E466="Juvenil 44kg",1,IF(Atletas!E466="Juvenil 48kg",2,IF(Atletas!E466="Juvenil 52kg",3,IF(Atletas!E466="Juvenil 56kg",4,IF(Atletas!E466="Juvenil 60kg",5,IF(Atletas!E466="Juvenil 65kg",6,IF(Atletas!E466="Juvenil 70kg",7,IF(Atletas!E466="Juvenil 75kg",8,IF(Atletas!E466="Juvenil 82kg",9,IF(Atletas!E466="Juvenil 90kg",10,IF(Atletas!E466="Juvenil 100kg",11,IF(Atletas!E466="Adulto 48kg",12,IF(Atletas!E466="Adulto 52kg",13,IF(Atletas!E466="Adulto 56kg",14,IF(Atletas!E466="Adulto 60kg",15,IF(Atletas!E466="Adulto 65kg",16,IF(Atletas!E466="Adulto 70kg",17,IF(Atletas!E466="Adulto 75kg",18,IF(Atletas!E466="Adulto 82kg",19,IF(Atletas!E466="Adulto 90kg",20,IF(Atletas!E466="Adulto 100kg",21,IF(Atletas!E466="Adulto +100kg",22,""))))))))))))))))))))))))</f>
        <v/>
      </c>
      <c r="AT470" s="10" t="str">
        <f>IF(Atletas!F466="","",IF(Atletas!B466="Feminino",100,IF(Atletas!B466="Masculino",200,""))+(IF(Atletas!F466="Adulto 48kg",1,IF(Atletas!F466="Adulto 56kg",2,IF(Atletas!F466="Adulto 65kg",3,IF(Atletas!F466="Adulto 75kg",4,IF(Atletas!F466="Adulto +75kg",5,IF(Atletas!F466="Adulto 52kg",6,IF(Atletas!F466="Adulto 60kg",7,IF(Atletas!F466="Adulto 70kg",8,IF(Atletas!F466="Adulto 80kg",9,IF(Atletas!F466="Adulto 90kg",10,IF(Atletas!F466="Adulto +90kg",11,"")))))))))))))</f>
        <v/>
      </c>
      <c r="AY470" s="46" t="str">
        <f>IF(Atletas!G466="","",IF(Atletas!B466="Feminino",100,IF(Atletas!B466="Masculino",200,""))+(IF(Atletas!G466="Changquan Mirim",1,IF(Atletas!G466="Nanquan Mirim",2,IF(Atletas!G466="Taijiquan Mirim",3,IF(Atletas!G466="Changquan Grupo C",4,IF(Atletas!G466="Nanquan Grupo C",5,IF(Atletas!G466="Taijiquan Grupo C",6,IF(Atletas!G466="Changquan Grupo B",7,IF(Atletas!G466="Nanquan Grupo B",8,IF(Atletas!G466="Taijiquan Grupo B",9,IF(Atletas!G466="Changquan Grupo A",10,IF(Atletas!G466="Nanquan Grupo A",11,IF(Atletas!G466="Taijiquan Grupo A",12,IF(Atletas!G466="Changquan Opcional",13,IF(Atletas!G466="Nanquan Opcional",14,IF(Atletas!G466="Taijiquan Opcional",15,IF(Atletas!G466="Changquan Adulto",16,IF(Atletas!G466="Nanquan Adulto",17,IF(Atletas!G466="Taijiquan Adulto",18,""))))))))))))))))))))</f>
        <v/>
      </c>
      <c r="AZ470" s="46" t="str">
        <f>IF(Atletas!H466="","",IF(Atletas!B466="Feminino",100,IF(Atletas!B466="Masculino",200,""))+(IF(Atletas!H466="Daoshu Mirim",19,IF(Atletas!H466="Jianshu Mirim",20,IF(Atletas!H466="Nandao Mirim",21,IF(Atletas!H466="Taijijian Mirim",22,IF(Atletas!H466="Daoshu Grupo C",23,IF(Atletas!H466="Jianshu Grupo C",24,IF(Atletas!H466="Nandao Grupo C",25,IF(Atletas!H466="Taijijian Grupo C",26,IF(Atletas!H466="Daoshu Grupo B",27,IF(Atletas!H466="Jianshu Grupo B",28,IF(Atletas!H466="Nandao Grupo B",29,IF(Atletas!H466="Taijijian Grupo B",30,IF(Atletas!H466="Daoshu Grupo A",31,IF(Atletas!H466="Jianshu Grupo A",32,IF(Atletas!H466="Nandao Grupo A",33,IF(Atletas!H466="Taijijian Grupo A",34,IF(Atletas!H466="Daoshu Opcional",35,IF(Atletas!H466="Jianshu Opcional",36,IF(Atletas!H466="Nandao Opcional",37,IF(Atletas!H466="Taijijian Opcional",38,IF(Atletas!H466="Daoshu Adulto",39,IF(Atletas!H466="Jianshu Adulto",40,IF(Atletas!H466="Nandao Adulto",41,IF(Atletas!H466="Taijijian Adulto",42,""))))))))))))))))))))))))))</f>
        <v/>
      </c>
      <c r="BA470" s="46" t="str">
        <f>IF(Atletas!I466="","",IF(Atletas!B466="Feminino",100,IF(Atletas!B466="Masculino",200,""))+(IF(Atletas!I466="Gunshu Mirim",43,IF(Atletas!I466="Qiangshu Mirim",44,IF(Atletas!I466="Nangun Mirim",45,IF(Atletas!I466="Gunshu Grupo C",46,IF(Atletas!I466="Qiangshu Grupo C",47,IF(Atletas!I466="Nangun Grupo C",48,IF(Atletas!I466="Gunshu Grupo B",49,IF(Atletas!I466="Qiangshu Grupo B",50,IF(Atletas!I466="Nangun Grupo B",51,IF(Atletas!I466="Gunshu Grupo A",52,IF(Atletas!I466="Qiangshu Grupo A",53,IF(Atletas!I466="Nangun Grupo A",54,IF(Atletas!I466="Gunshu Opcional",55,IF(Atletas!I466="Qiangshu Opcional",56,IF(Atletas!I466="Nangun Opcional",57,IF(Atletas!I466="Gunshu Adulto",58,IF(Atletas!I466="Qiangshu Adulto",59,IF(Atletas!I466="Nangun Adulto",60,""))))))))))))))))))))</f>
        <v/>
      </c>
      <c r="BF470" s="52" t="str">
        <f>IF(Atletas!J466="","",IF(Atletas!B466="Feminino",100,IF(Atletas!B466="Masculino",200,""))+(IF(Atletas!J466="Equipe 1 Grupo B",1,IF(Atletas!J466="Equipe 2 Grupo B",2,IF(Atletas!J466="Equipe 1 Grupo A",3,IF(Atletas!J466="Equipe 2 Grupo A",4,IF(Atletas!J466="Equipe 1 Adulto",5,IF(Atletas!J466="Equipe 2 Adulto",6,""))))))))</f>
        <v/>
      </c>
      <c r="BK470" s="52" t="str">
        <f>IF(Atletas!K466="","",IF(Atletas!W466&lt;&gt;"",10000,0)+(IF(Atletas!B466="Feminino",1000,IF(Atletas!B466="Masculino",2000,""))+IF(Atletas!K466="Choylayfut A",1,IF(Atletas!K466="Hunggar A",2,IF(Atletas!K466="Wuzuquan A",3,IF(Atletas!K466="Wingchun A",4,IF(Atletas!K466="Outra Mão de Sul A",5,IF(Atletas!K466="Choylayfut B",6,IF(Atletas!K466="Hunggar B",7,IF(Atletas!K466="Wuzuquan B",8,IF(Atletas!K466="Wingchun B",9,IF(Atletas!K466="Outra Mão de Sul B",10,IF(Atletas!K466="Choylayfut C",11,IF(Atletas!K466="Hunggar C",12,IF(Atletas!K466="Wuzuquan C",13,IF(Atletas!K466="Wingchun C",14,IF(Atletas!K466="Outra Mão de Sul C",15,IF(Atletas!K466="Choylayfut D",16,IF(Atletas!K466="Hunggar D",17,IF(Atletas!K466="Wuzuquan D",18,IF(Atletas!K466="Wingchun D",19,IF(Atletas!K466="Outra Mão de Sul D",20,IF(Atletas!K466="Choylayfut E",21,IF(Atletas!K466="Hunggar E",22,IF(Atletas!K466="Wuzuquan E",23,IF(Atletas!K466="Wingchun E",24,IF(Atletas!K466="Outra Mão de Sul E",25,IF(Atletas!K466="Choylayfut F",26,IF(Atletas!K466="Hunggar F",27,IF(Atletas!K466="Wuzuquan F",28,IF(Atletas!K466="Wingchun F",29,IF(Atletas!K466="Outra Mão de Sul F",30,""))))))))))))))))))))))))))))))))</f>
        <v/>
      </c>
      <c r="BL470" s="52" t="str">
        <f>IF(Atletas!L466="","",IF(Atletas!W466&lt;&gt;"",10000,0)+(IF(Atletas!B466="Feminino",1000,IF(Atletas!B466="Masculino",2000,""))+(IF(Atletas!L466="Chaquan A",101,IF(Atletas!L466="Emeiquan A",102,IF(Atletas!L466="Fanziquan A",103,IF(Atletas!L466="Huaquan A",104,IF(Atletas!L466="Hongquan A",105,IF(Atletas!L466="Paochui A",106,IF(Atletas!L466="Piguaquan A",107,IF(Atletas!L466="Shaolinquan A",108,IF(Atletas!L466="Tanglangquan A",109,IF(Atletas!L466="Yinzhaophai A",110,IF(Atletas!L466="Tongbeiquan A",111,IF(Atletas!L466="Wudangquan A",112,IF(Atletas!L466="Outros Estilos A",113,IF(Atletas!L466="Chaquan B",114,IF(Atletas!L466="Emeiquan B",115,IF(Atletas!L466="Fanziquan B",116,IF(Atletas!L466="Huaquan B",117,IF(Atletas!L466="Hongquan B",118,IF(Atletas!L466="Paochui B",119,IF(Atletas!L466="Piguaquan B",120,IF(Atletas!L466="Shaolinquan B",121,IF(Atletas!L466="Tanglangquan B",122,IF(Atletas!L466="Yinzhaophai B",123,IF(Atletas!L466="Tongbeiquan B",124,IF(Atletas!L466="Wudangquan B",125,IF(Atletas!L466="Outros Estilos B",126,IF(Atletas!L466="Chaquan C",127,IF(Atletas!L466="Emeiquan C",128,IF(Atletas!L466="Fanziquan C",129,IF(Atletas!L466="Huaquan C",130,IF(Atletas!L466="Hongquan C",131,IF(Atletas!L466="Paochui C",132,IF(Atletas!L466="Piguaquan C",133,IF(Atletas!L466="Shaolinquan C",134,IF(Atletas!L466="Tanglangquan C",135,IF(Atletas!L466="Yinzhaophai C",136,IF(Atletas!L466="Tongbeiquan C",137,IF(Atletas!L466="Wudangquan C",138,IF(Atletas!L466="Outros Estilos C",139,0))))))))))))))))))))))))))))))))))))))))))</f>
        <v/>
      </c>
      <c r="BM470" s="52" t="str">
        <f>IF(Atletas!L466="","",IF(Atletas!W466&lt;&gt;"",10000,0)+(IF(Atletas!B466="Feminino",1000,IF(Atletas!B466="Masculino",2000,""))+(IF(Atletas!L466="Chaquan D",140,IF(Atletas!L466="Emeiquan D",141,IF(Atletas!L466="Fanziquan D",142,IF(Atletas!L466="Huaquan D",143,IF(Atletas!L466="Hongquan D",144,IF(Atletas!L466="Paochui D",145,IF(Atletas!L466="Piguaquan D",146,IF(Atletas!L466="Shaolinquan D",147,IF(Atletas!L466="Tanglangquan D",148,IF(Atletas!L466="Yinzhaophai D",149,IF(Atletas!L466="Tongbeiquan D",150,IF(Atletas!L466="Wudangquan D",151,IF(Atletas!L466="Outros Estilos D",152,IF(Atletas!L466="Chaquan E",153,IF(Atletas!L466="Emeiquan E",154,IF(Atletas!L466="Fanziquan E",155,IF(Atletas!L466="Huaquan E",156,IF(Atletas!L466="Hongquan E",157,IF(Atletas!L466="Paochui E",158,IF(Atletas!L466="Piguaquan E",159,IF(Atletas!L466="Shaolinquan E",160,IF(Atletas!L466="Tanglangquan E",161,IF(Atletas!L466="Yinzhaophai E",162,IF(Atletas!L466="Tongbeiquan E",163,IF(Atletas!L466="Wudangquan E",164,IF(Atletas!L466="Outros Estilos E",165,IF(Atletas!L466="Chaquan F",166,IF(Atletas!L466="Emeiquan F",167,IF(Atletas!L466="Fanziquan F",168,IF(Atletas!L466="Huaquan F",169,IF(Atletas!L466="Hongquan F",170,IF(Atletas!L466="Paochui F",171,IF(Atletas!L466="Piguaquan F",172,IF(Atletas!L466="Shaolinquan F",173,IF(Atletas!L466="Tanglangquan F",174,IF(Atletas!L466="Yinzhaophai F",175,IF(Atletas!L466="Tongbeiquan F",176,IF(Atletas!L466="Wudangquan F",177,IF(Atletas!L466="Outros Estilos F",178,0))))))))))))))))))))))))))))))))))))))))))</f>
        <v/>
      </c>
      <c r="BN470" s="52" t="str">
        <f>IF(Atletas!M466="","",IF(Atletas!W466&lt;&gt;"",10000,0)+(IF(Atletas!B466="Feminino",1000,IF(Atletas!B466="Masculino",2000,""))+(IF(Atletas!M466="Ditangquan A",201,IF(Atletas!M466="Houquan A",202,IF(Atletas!M466="Zuiquan A",203,IF(Atletas!M466="Ditangquan B",204,IF(Atletas!M466="Houquan B",205,IF(Atletas!M466="Zuiquan B",206,IF(Atletas!M466="Ditangquan C",207,IF(Atletas!M466="Houquan C",208,IF(Atletas!M466="Zuiquan C",209,IF(Atletas!M466="Ditangquan D",210,IF(Atletas!M466="Houquan D",211,IF(Atletas!M466="Zuiquan D",212,IF(Atletas!M466="Ditangquan E",213,IF(Atletas!M466="Houquan E",214,IF(Atletas!M466="Zuiquan E",215,IF(Atletas!M466="Ditangquan F",216,IF(Atletas!M466="Houquan F",217,IF(Atletas!M466="Zuiquan F",218,"")))))))))))))))))))))</f>
        <v/>
      </c>
      <c r="BO470" s="52" t="str">
        <f>IF(Atletas!N466="","",IF(Atletas!W466&lt;&gt;"",10000,0)+IF(Atletas!B466="Feminino",1000,IF(Atletas!B466="Masculino",2000,""))+IF(Atletas!N466="Yang A",301,IF(Atletas!N466="Chen A",30,IF(Atletas!N466="Sun A",303,IF(Atletas!N466="Wu A",304,IF(Atletas!N466="Wu-Hao A",305,IF(Atletas!N466="Outro Taijiquan A",306,IF(Atletas!N466="Yang B",307,IF(Atletas!N466="Chen B",308,IF(Atletas!N466="Sun B",309,IF(Atletas!N466="Wu B",310,IF(Atletas!N466="Wu-Hao B",311,IF(Atletas!N466="Outro Taijiquan B",312,IF(Atletas!N466="Yang C",313,IF(Atletas!N466="Chen C",314,IF(Atletas!N466="Sun C",315,IF(Atletas!N466="Wu C",316,IF(Atletas!N466="Wu-Hao C",317,IF(Atletas!N466="Outro Taijiquan C",318,IF(Atletas!N466="Yang D",319,IF(Atletas!N466="Chen D",320,IF(Atletas!N466="Sun D",321,IF(Atletas!N466="Wu D",322,IF(Atletas!N466="Wu-Hao D",323,IF(Atletas!N466="Outro Taijiquan D",324,IF(Atletas!N466="Yang E",325,IF(Atletas!N466="Chen E",326,IF(Atletas!N466="Sun E",327,IF(Atletas!N466="Wu E",328,IF(Atletas!N466="Wu-Hao E",329,IF(Atletas!N466="Outro Taijiquan E",330,IF(Atletas!N466="Yang F",331,IF(Atletas!N466="Chen F",332,IF(Atletas!N466="Sun F",333,IF(Atletas!N466="Wu F",334,IF(Atletas!N466="Wu-Hao F",335,IF(Atletas!N466="Outro Taijiquan F",336,"")))))))))))))))))))))))))))))))))))))</f>
        <v/>
      </c>
      <c r="BP470" s="52" t="str">
        <f>IF(Atletas!O466="","",IF(Atletas!W466&lt;&gt;"",10000,0)+IF(Atletas!B466="Feminino",1000,IF(Atletas!B466="Masculino",2000,""))+IF(OR(Atletas!O466="Yang 26 A",Atletas!O466="Yang 40 A"),401,IF(OR(Atletas!O466="Chen 25 A",Atletas!O466="Chen 36 A",Atletas!O466="Chen 56 A"),402,IF(Atletas!O466="Sun 73 A",403,IF(Atletas!O466="Wu 45 A",404,IF(Atletas!O466="Wu-Hao 46 A",405,IF(OR(Atletas!O466="Taijiquan 16 A",Atletas!O466="Taijiquan 24 A",Atletas!O466="Taijiquan 32 A",Atletas!O466="Taijiquan 42 A"),406,IF(OR(Atletas!O466="Yang 26 B",Atletas!O466="Yang 40 B"),407,IF(OR(Atletas!O466="Chen 25 B",Atletas!O466="Chen 36 B",Atletas!O466="Chen 56 B"),408,IF(Atletas!O466="Sun 73 B",409,IF(Atletas!O466="Wu 45 B",410,IF(Atletas!O466="Wu-Hao 46 B",411,IF(OR(Atletas!O466="Taijiquan 16 B",Atletas!O466="Taijiquan 24 B",Atletas!O466="Taijiquan 32 B",Atletas!O466="Taijiquan 42 B"),412,IF(OR(Atletas!O466="Yang 26 C",Atletas!O466="Yang 40 C"),413,IF(OR(Atletas!O466="Chen 25 C",Atletas!O466="Chen 36 C",Atletas!O466="Chen 56 C"),414,IF(Atletas!O466="Sun 73 C",415,IF(Atletas!O466="Wu 45 C",416,IF(Atletas!O466="Wu-Hao 46 C",417,IF(OR(Atletas!O466="Taijiquan 16 C",Atletas!O466="Taijiquan 24 C",Atletas!O466="Taijiquan 32 C",Atletas!O466="Taijiquan 42 C"),418,0)))))))))))))))))))</f>
        <v/>
      </c>
      <c r="BQ470" s="52" t="str">
        <f>IF(Atletas!O466="","",IF(Atletas!W466&lt;&gt;"",10000,0)+IF(Atletas!B466="Feminino",1000,IF(Atletas!B466="Masculino",2000,""))+IF(OR(Atletas!O466="Yang 26 D",Atletas!O466="Yang 40 D"),419,IF(OR(Atletas!O466="Chen 25 D",Atletas!O466="Chen 36 D",Atletas!O466="Chen 56 D"),420,IF(Atletas!O466="Sun 73 D",421,IF(Atletas!O466="Wu 45 D",422,IF(Atletas!O466="Wu-Hao 46 D",423,IF(OR(Atletas!O466="Taijiquan 16 D",Atletas!O466="Taijiquan 24 D",Atletas!O466="Taijiquan 32 D",Atletas!O466="Taijiquan 42 D"),424,IF(OR(Atletas!O466="Yang 26 E",Atletas!O466="Yang 40 E"),425,IF(OR(Atletas!O466="Chen 25 E",Atletas!O466="Chen 36 E",Atletas!O466="Chen 56 E"),426,IF(Atletas!O466="Sun 73 E",427,IF(Atletas!O466="Wu 45 E",428,IF(Atletas!O466="Wu-Hao 46 E",429,IF(OR(Atletas!O466="Taijiquan 16 E",Atletas!O466="Taijiquan 24 E",Atletas!O466="Taijiquan 32 E",Atletas!O466="Taijiquan 42 E"),430,IF(OR(Atletas!O466="Yang 26 F",Atletas!O466="Yang 40 F"),431,IF(OR(Atletas!O466="Chen 25 F",Atletas!O466="Chen 36 F",Atletas!O466="Chen 56 F"),432,IF(Atletas!O466="Sun 73 F",433,IF(Atletas!O466="Wu 45 F",434,IF(Atletas!O466="Wu-Hao 46 F",435,IF(OR(Atletas!O466="Taijiquan 16 F",Atletas!O466="Taijiquan 24 F",Atletas!O466="Taijiquan 32 F",Atletas!O466="Taijiquan 42 F"),436,0)))))))))))))))))))</f>
        <v/>
      </c>
      <c r="BR470" s="52" t="str">
        <f>IF(Atletas!P466="","",IF(Atletas!W466&lt;&gt;"",10000,0)+IF(Atletas!B466="Feminino",1000,IF(Atletas!B466="Masculino",2000,""))+IF(Atletas!P466="Xingyiquan A",501,IF(Atletas!P466="Baguazhang A",502,IF(Atletas!P466="Outro Estilo Interno A",503,IF(Atletas!P466="Xingyiquan B",504,IF(Atletas!P466="Baguazhang B",505,IF(Atletas!P466="Outro Estilo Interno B",506,IF(Atletas!P466="Xingyiquan C",507,IF(Atletas!P466="Baguazhang C",508,IF(Atletas!P466="Outro Estilo Interno C",509,IF(Atletas!P466="Xingyiquan D",510,IF(Atletas!P466="Baguazhang D",511,IF(Atletas!P466="Outro Estilo Interno D",512,IF(Atletas!P466="Xingyiquan E",513,IF(Atletas!P466="Baguazhang E",514,IF(Atletas!P466="Outro Estilo Interno E",515,IF(Atletas!P466="Xingyiquan F",516,IF(Atletas!P466="Baguazhang F",517,IF(Atletas!P466="Outro Estilo Interno F",518, "")))))))))))))))))))</f>
        <v/>
      </c>
      <c r="BS470" s="52" t="str">
        <f>IF(Atletas!Q466="","",IF(Atletas!W466&lt;&gt;"",10000,0)+IF(Atletas!B466="Feminino",1000,IF(Atletas!B466="Masculino",2000,""))+IF(Atletas!Q466="Dao A",601,IF(Atletas!Q466="Jian A",602,IF(Atletas!Q466="Bishou A",603,IF(Atletas!Q466="Shan A",604,IF(Atletas!Q466="Outra Arma Curta A",605,IF(Atletas!Q466="Dao B",606,IF(Atletas!Q466="Jian B",607,IF(Atletas!Q466="Bishou B",608,IF(Atletas!Q466="Shan B",609,IF(Atletas!Q466="Outra Arma Curta B",610,IF(Atletas!Q466="Dao C",611,IF(Atletas!Q466="Jian C",612,IF(Atletas!Q466="Bishou C",613,IF(Atletas!Q466="Shan C",614,IF(Atletas!Q466="Outra Arma Curta C",615,IF(Atletas!Q466="Dao D",616,IF(Atletas!Q466="Jian D",617,IF(Atletas!Q466="Bishou D",618,IF(Atletas!Q466="Shan D",619,IF(Atletas!Q466="Outra Arma Curta D",620,IF(Atletas!Q466="Dao E",621,IF(Atletas!Q466="Jian E",622,IF(Atletas!Q466="Bishou E",623,IF(Atletas!Q466="Shan E",624,IF(Atletas!Q466="Outra Arma Curta E",625,IF(Atletas!Q466="Dao F",626,IF(Atletas!Q466="Jian F",627,IF(Atletas!Q466="Bishou F",628,IF(Atletas!Q466="Shan F",629,IF(Atletas!Q466="Outra Arma Curta F",630, "")))))))))))))))))))))))))))))))</f>
        <v/>
      </c>
      <c r="BT470" s="52" t="str">
        <f>IF(Atletas!R466="","",IF(Atletas!W466&lt;&gt;"",10000,0)+IF(Atletas!B466="Feminino",1000,IF(Atletas!B466="Masculino",2000,""))+IF(Atletas!R466="Gun A",701,IF(Atletas!R466="Qiang A",702,IF(Atletas!R466="Pudao / Guandao A",703,IF(Atletas!R466="Outra Arma Longa A",704,IF(Atletas!R466="Gun B",705,IF(Atletas!R466="Qiang B",706,IF(Atletas!R466="Pudao / Guandao B",707,IF(Atletas!R466="Outra Arma Longa B",708,IF(Atletas!R466="Gun C",709,IF(Atletas!R466="Qiang C",710,IF(Atletas!R466="Pudao / Guandao C",711,IF(Atletas!R466="Outra Arma Longa C",712,IF(Atletas!R466="Gun D",713,IF(Atletas!R466="Qiang D",714,IF(Atletas!R466="Pudao / Guandao D",715,IF(Atletas!R466="Outra Arma Longa D",716,IF(Atletas!R466="Gun E",717,IF(Atletas!R466="Qiang E",718,IF(Atletas!R466="Pudao / Guandao E",719,IF(Atletas!R466="Outra Arma Longa E",720,IF(Atletas!R466="Gun F",721,IF(Atletas!R466="Qiang F",722,IF(Atletas!R466="Pudao / Guandao F",723,IF(Atletas!R466="Outra Arma Longa F",724,"")))))))))))))))))))))))))</f>
        <v/>
      </c>
      <c r="BU470" s="52" t="str">
        <f>IF(Atletas!S466="","",IF(Atletas!W466&lt;&gt;"",10000,0)+IF(Atletas!B466="Feminino",1000,IF(Atletas!B466="Masculino",2000,""))+IF(Atletas!S466="Arma Dupla A",801,IF(Atletas!S466="Arma Maleável A",802,IF(Atletas!S466="Arma Dupla B",803,IF(Atletas!S466="Arma Maleável B",804,IF(Atletas!S466="Arma Dupla C",805,IF(Atletas!S466="Arma Maleável C",806,IF(Atletas!S466="Arma Dupla D",807,IF(Atletas!S466="Arma Maleável D",808,IF(Atletas!S466="Arma Dupla E",809,IF(Atletas!S466="Arma Maleável E",810,IF(Atletas!S466="Arma Dupla F",811,IF(Atletas!S466="Arma Maleável F",812, "")))))))))))))</f>
        <v/>
      </c>
      <c r="BV470" s="52" t="str">
        <f>IF(Atletas!T466="","",IF(Atletas!W466&lt;&gt;"",10000,0)+IF(Atletas!B466="Feminino",1000,IF(Atletas!B466="Masculino",2000,""))+IF(Atletas!T466="Taijijian Yang A",901,IF(Atletas!T466="Taijijian Chen A",902,IF(Atletas!T466="Taijijian Sun A",903,IF(Atletas!T466="Taijijian Wu A",904,IF(Atletas!T466="Taijijian Wu-Hao A",905,IF(Atletas!T466="Taijijian 32 A",906,IF(Atletas!T466="Taijijian 42 A",907,IF(Atletas!T466="Taijijian Yang B",908,IF(Atletas!T466="Taijijian Chen B",909,IF(Atletas!T466="Taijijian Sun B",910,IF(Atletas!T466="Taijijian Wu B",911,IF(Atletas!T466="Taijijian Wu-Hao B",912,IF(Atletas!T466="Taijijian 32 B",913,IF(Atletas!T466="Taijijian 42 B",914,IF(Atletas!T466="Taijijian Yang C",915,IF(Atletas!T466="Taijijian Chen C",916,IF(Atletas!T466="Taijijian Sun C",917,IF(Atletas!T466="Taijijian Wu C",918,IF(Atletas!T466="Taijijian Wu-Hao C",919,IF(Atletas!T466="Taijijian 32 C",920,IF(Atletas!T466="Taijijian 42 C",921,IF(Atletas!T466="Taijijian Yang D",922,IF(Atletas!T466="Taijijian Chen D",923,IF(Atletas!T466="Taijijian Sun D",924,IF(Atletas!T466="Taijijian Wu D",925,IF(Atletas!T466="Taijijian Wu-Hao D",926,IF(Atletas!T466="Taijijian 32 D",927,IF(Atletas!T466="Taijijian 42 D",928,IF(Atletas!T466="Taijijian Yang E",929,IF(Atletas!T466="Taijijian Chen E",930,IF(Atletas!T466="Taijijian Sun E",931,IF(Atletas!T466="Taijijian Wu E",932,IF(Atletas!T466="Taijijian Wu-Hao E",933,IF(Atletas!T466="Taijijian 32 E",934,IF(Atletas!T466="Taijijian 42 E",935,IF(Atletas!T466="Taijijian Yang F",936,IF(Atletas!T466="Taijijian Chen F",937,IF(Atletas!T466="Taijijian Sun F",938,IF(Atletas!T466="Taijijian Wu F",939,IF(Atletas!T466="Taijijian Wu-Hao F",940,IF(Atletas!T466="Taijijian 32 F",941,IF(Atletas!T466="Taijijian 42 F",942,"")))))))))))))))))))))))))))))))))))))))))))</f>
        <v/>
      </c>
      <c r="BW470" s="52" t="str">
        <f>IF(Atletas!U466="","",IF(Atletas!W466&lt;&gt;"",10000,0)+IF(Atletas!B466="Feminino",1000,IF(Atletas!B466="Masculino",2000,""))+IF(Atletas!T466="Taijijian 42 F",942,IF(Atletas!U466="Taijidao A",943,IF(Atletas!U466="Taijishan A",944,IF(Atletas!U466="Taijiqiang A",945,IF(Atletas!U466="Taijidao B",946,IF(Atletas!U466="Taijishan B",947,IF(Atletas!U466="Taijiqiang B",948,IF(Atletas!U466="Taijidao C",949,IF(Atletas!U466="Taijishan C",950,IF(Atletas!U466="Taijiqiang C",951,IF(Atletas!U466="Taijidao D",952,IF(Atletas!U466="Taijishan D",953,IF(Atletas!U466="Taijiqiang D",954,IF(Atletas!U466="Taijidao E",955,IF(Atletas!U466="Taijishan E",956,IF(Atletas!U466="Taijiqiang E",957,IF(Atletas!U466="Taijidao F",958,IF(Atletas!U466="Taijishan F",959,IF(Atletas!U466="Taijiqiang F",960))))))))))))))))))))</f>
        <v/>
      </c>
      <c r="CF470" s="52" t="str">
        <f xml:space="preserve"> IF(Atletas!V466="","",IF(Atletas!V466="Duilian de Mãos AB - Equipe 1",1,IF(Atletas!V466="Duilian de Mãos AB - Equipe 2",2,IF(Atletas!V466="Duilian de Armas AB - Equipe 1",3,IF(Atletas!V466="Duilian de Armas AB - Equipe 2",4,IF(Atletas!V466="Duilian de Tuishou - Equipe 1",5,IF(Atletas!V466="Duilian de Tuishou - Equipe 2",6,IF(Atletas!V466="Grupo Externo AB - Equipe 1",7,IF(Atletas!V466="Grupo Externo AB - Equipe 2",8,IF(Atletas!V466="Grupo Interno AB - Equipe 1",9,IF(Atletas!V466="Grupo Interno AB - Equipe 2",10,IF(Atletas!V466="Duilian de Mãos CD - Equipe 1",11,IF(Atletas!V466="Duilian de Mãos CD - Equipe 2",12,IF(Atletas!V466="Duilian de Armas CD - Equipe 1",13,IF(Atletas!V466="Duilian de Armas CD - Equipe 2",14,IF(Atletas!V466="Duilian de Tuishou - Equipe 1",15,IF(Atletas!V466="Duilian de Tuishou - Equipe 2",16,IF(Atletas!V466="Grupo Externo CDEF - Equipe 1",17,IF(Atletas!V466="Grupo Externo CDEF - Equipe 2",18,IF(Atletas!V466="Grupo Interno CDEF - Equipe 1",19,IF(Atletas!V466="Grupo Interno CDEF - Equipe 2",20,IF(Atletas!V466="Duilian de Mãos EF - Equipe 1",21,IF(Atletas!V466="Duilian de Mãos EF - Equipe 2",22,IF(Atletas!V466="Duilian de Armas EF - Equipe 1",23,IF(Atletas!V466="Duilian de Armas EF - Equipe 2",24,IF(Atletas!V466="Duilian de Tuishou - Equipe 1",25,IF(Atletas!V466="Duilian de Tuishou - Equipe 2",26,"")))))))))))))))))))))))))))</f>
        <v/>
      </c>
    </row>
    <row r="471" spans="36:84">
      <c r="AJ471" s="46" t="str">
        <f>IF(Atletas!D467="","",IF(Atletas!B467="Feminino",100,IF(Atletas!B467="Masculino",200,""))+(IF(Atletas!D467="Infantil 39kg",1,IF(Atletas!D467="Infantil 42kg",2,IF(Atletas!D467="Infantil 45kg",3,IF(Atletas!D467="Infantil 48kg",4,IF(Atletas!D467="Infantil 52kg",5,IF(Atletas!D467="Infantil 56kg",6,IF(Atletas!D467="Infantil 60kg",7,IF(Atletas!D467="Juvenil 48kg",8,IF(Atletas!D467="Juvenil 52kg",9,IF(Atletas!D467="Juvenil 56kg",10,IF(Atletas!D467="Juvenil 60kg",11,IF(Atletas!D467="Juvenil 65kg",12,IF(Atletas!D467="Juvenil 70kg",13,IF(Atletas!D467="Juvenil 75kg",14,IF(Atletas!D467="Juvenil 80kg",15,IF(Atletas!D467="Adulto 48kg",16,IF(Atletas!D467="Adulto 52kg",17,IF(Atletas!D467="Adulto 56kg",18,IF(Atletas!D467="Adulto 60kg",19,IF(Atletas!D467="Adulto 65kg",20,IF(Atletas!D467="Adulto 70kg",21,IF(Atletas!D467="Adulto 75kg",22,IF(Atletas!D467="Adulto 80kg",23,IF(Atletas!D467="Adulto 85kg",24,IF(Atletas!D467="Adulto 90kg",25,IF(Atletas!D467="Adulto +90kg",26,""))))))))))))))))))))))))))))</f>
        <v/>
      </c>
      <c r="AO471" s="10" t="str">
        <f>IF(Atletas!E467="","",IF(Atletas!B467="Feminino",100,IF(Atletas!B467="Masculino",200,""))+(IF(Atletas!E467="Juvenil 44kg",1,IF(Atletas!E467="Juvenil 48kg",2,IF(Atletas!E467="Juvenil 52kg",3,IF(Atletas!E467="Juvenil 56kg",4,IF(Atletas!E467="Juvenil 60kg",5,IF(Atletas!E467="Juvenil 65kg",6,IF(Atletas!E467="Juvenil 70kg",7,IF(Atletas!E467="Juvenil 75kg",8,IF(Atletas!E467="Juvenil 82kg",9,IF(Atletas!E467="Juvenil 90kg",10,IF(Atletas!E467="Juvenil 100kg",11,IF(Atletas!E467="Adulto 48kg",12,IF(Atletas!E467="Adulto 52kg",13,IF(Atletas!E467="Adulto 56kg",14,IF(Atletas!E467="Adulto 60kg",15,IF(Atletas!E467="Adulto 65kg",16,IF(Atletas!E467="Adulto 70kg",17,IF(Atletas!E467="Adulto 75kg",18,IF(Atletas!E467="Adulto 82kg",19,IF(Atletas!E467="Adulto 90kg",20,IF(Atletas!E467="Adulto 100kg",21,IF(Atletas!E467="Adulto +100kg",22,""))))))))))))))))))))))))</f>
        <v/>
      </c>
      <c r="AT471" s="10" t="str">
        <f>IF(Atletas!F467="","",IF(Atletas!B467="Feminino",100,IF(Atletas!B467="Masculino",200,""))+(IF(Atletas!F467="Adulto 48kg",1,IF(Atletas!F467="Adulto 56kg",2,IF(Atletas!F467="Adulto 65kg",3,IF(Atletas!F467="Adulto 75kg",4,IF(Atletas!F467="Adulto +75kg",5,IF(Atletas!F467="Adulto 52kg",6,IF(Atletas!F467="Adulto 60kg",7,IF(Atletas!F467="Adulto 70kg",8,IF(Atletas!F467="Adulto 80kg",9,IF(Atletas!F467="Adulto 90kg",10,IF(Atletas!F467="Adulto +90kg",11,"")))))))))))))</f>
        <v/>
      </c>
      <c r="AY471" s="46" t="str">
        <f>IF(Atletas!G467="","",IF(Atletas!B467="Feminino",100,IF(Atletas!B467="Masculino",200,""))+(IF(Atletas!G467="Changquan Mirim",1,IF(Atletas!G467="Nanquan Mirim",2,IF(Atletas!G467="Taijiquan Mirim",3,IF(Atletas!G467="Changquan Grupo C",4,IF(Atletas!G467="Nanquan Grupo C",5,IF(Atletas!G467="Taijiquan Grupo C",6,IF(Atletas!G467="Changquan Grupo B",7,IF(Atletas!G467="Nanquan Grupo B",8,IF(Atletas!G467="Taijiquan Grupo B",9,IF(Atletas!G467="Changquan Grupo A",10,IF(Atletas!G467="Nanquan Grupo A",11,IF(Atletas!G467="Taijiquan Grupo A",12,IF(Atletas!G467="Changquan Opcional",13,IF(Atletas!G467="Nanquan Opcional",14,IF(Atletas!G467="Taijiquan Opcional",15,IF(Atletas!G467="Changquan Adulto",16,IF(Atletas!G467="Nanquan Adulto",17,IF(Atletas!G467="Taijiquan Adulto",18,""))))))))))))))))))))</f>
        <v/>
      </c>
      <c r="AZ471" s="46" t="str">
        <f>IF(Atletas!H467="","",IF(Atletas!B467="Feminino",100,IF(Atletas!B467="Masculino",200,""))+(IF(Atletas!H467="Daoshu Mirim",19,IF(Atletas!H467="Jianshu Mirim",20,IF(Atletas!H467="Nandao Mirim",21,IF(Atletas!H467="Taijijian Mirim",22,IF(Atletas!H467="Daoshu Grupo C",23,IF(Atletas!H467="Jianshu Grupo C",24,IF(Atletas!H467="Nandao Grupo C",25,IF(Atletas!H467="Taijijian Grupo C",26,IF(Atletas!H467="Daoshu Grupo B",27,IF(Atletas!H467="Jianshu Grupo B",28,IF(Atletas!H467="Nandao Grupo B",29,IF(Atletas!H467="Taijijian Grupo B",30,IF(Atletas!H467="Daoshu Grupo A",31,IF(Atletas!H467="Jianshu Grupo A",32,IF(Atletas!H467="Nandao Grupo A",33,IF(Atletas!H467="Taijijian Grupo A",34,IF(Atletas!H467="Daoshu Opcional",35,IF(Atletas!H467="Jianshu Opcional",36,IF(Atletas!H467="Nandao Opcional",37,IF(Atletas!H467="Taijijian Opcional",38,IF(Atletas!H467="Daoshu Adulto",39,IF(Atletas!H467="Jianshu Adulto",40,IF(Atletas!H467="Nandao Adulto",41,IF(Atletas!H467="Taijijian Adulto",42,""))))))))))))))))))))))))))</f>
        <v/>
      </c>
      <c r="BA471" s="46" t="str">
        <f>IF(Atletas!I467="","",IF(Atletas!B467="Feminino",100,IF(Atletas!B467="Masculino",200,""))+(IF(Atletas!I467="Gunshu Mirim",43,IF(Atletas!I467="Qiangshu Mirim",44,IF(Atletas!I467="Nangun Mirim",45,IF(Atletas!I467="Gunshu Grupo C",46,IF(Atletas!I467="Qiangshu Grupo C",47,IF(Atletas!I467="Nangun Grupo C",48,IF(Atletas!I467="Gunshu Grupo B",49,IF(Atletas!I467="Qiangshu Grupo B",50,IF(Atletas!I467="Nangun Grupo B",51,IF(Atletas!I467="Gunshu Grupo A",52,IF(Atletas!I467="Qiangshu Grupo A",53,IF(Atletas!I467="Nangun Grupo A",54,IF(Atletas!I467="Gunshu Opcional",55,IF(Atletas!I467="Qiangshu Opcional",56,IF(Atletas!I467="Nangun Opcional",57,IF(Atletas!I467="Gunshu Adulto",58,IF(Atletas!I467="Qiangshu Adulto",59,IF(Atletas!I467="Nangun Adulto",60,""))))))))))))))))))))</f>
        <v/>
      </c>
      <c r="BF471" s="52" t="str">
        <f>IF(Atletas!J467="","",IF(Atletas!B467="Feminino",100,IF(Atletas!B467="Masculino",200,""))+(IF(Atletas!J467="Equipe 1 Grupo B",1,IF(Atletas!J467="Equipe 2 Grupo B",2,IF(Atletas!J467="Equipe 1 Grupo A",3,IF(Atletas!J467="Equipe 2 Grupo A",4,IF(Atletas!J467="Equipe 1 Adulto",5,IF(Atletas!J467="Equipe 2 Adulto",6,""))))))))</f>
        <v/>
      </c>
      <c r="BK471" s="52" t="str">
        <f>IF(Atletas!K467="","",IF(Atletas!W467&lt;&gt;"",10000,0)+(IF(Atletas!B467="Feminino",1000,IF(Atletas!B467="Masculino",2000,""))+IF(Atletas!K467="Choylayfut A",1,IF(Atletas!K467="Hunggar A",2,IF(Atletas!K467="Wuzuquan A",3,IF(Atletas!K467="Wingchun A",4,IF(Atletas!K467="Outra Mão de Sul A",5,IF(Atletas!K467="Choylayfut B",6,IF(Atletas!K467="Hunggar B",7,IF(Atletas!K467="Wuzuquan B",8,IF(Atletas!K467="Wingchun B",9,IF(Atletas!K467="Outra Mão de Sul B",10,IF(Atletas!K467="Choylayfut C",11,IF(Atletas!K467="Hunggar C",12,IF(Atletas!K467="Wuzuquan C",13,IF(Atletas!K467="Wingchun C",14,IF(Atletas!K467="Outra Mão de Sul C",15,IF(Atletas!K467="Choylayfut D",16,IF(Atletas!K467="Hunggar D",17,IF(Atletas!K467="Wuzuquan D",18,IF(Atletas!K467="Wingchun D",19,IF(Atletas!K467="Outra Mão de Sul D",20,IF(Atletas!K467="Choylayfut E",21,IF(Atletas!K467="Hunggar E",22,IF(Atletas!K467="Wuzuquan E",23,IF(Atletas!K467="Wingchun E",24,IF(Atletas!K467="Outra Mão de Sul E",25,IF(Atletas!K467="Choylayfut F",26,IF(Atletas!K467="Hunggar F",27,IF(Atletas!K467="Wuzuquan F",28,IF(Atletas!K467="Wingchun F",29,IF(Atletas!K467="Outra Mão de Sul F",30,""))))))))))))))))))))))))))))))))</f>
        <v/>
      </c>
      <c r="BL471" s="52" t="str">
        <f>IF(Atletas!L467="","",IF(Atletas!W467&lt;&gt;"",10000,0)+(IF(Atletas!B467="Feminino",1000,IF(Atletas!B467="Masculino",2000,""))+(IF(Atletas!L467="Chaquan A",101,IF(Atletas!L467="Emeiquan A",102,IF(Atletas!L467="Fanziquan A",103,IF(Atletas!L467="Huaquan A",104,IF(Atletas!L467="Hongquan A",105,IF(Atletas!L467="Paochui A",106,IF(Atletas!L467="Piguaquan A",107,IF(Atletas!L467="Shaolinquan A",108,IF(Atletas!L467="Tanglangquan A",109,IF(Atletas!L467="Yinzhaophai A",110,IF(Atletas!L467="Tongbeiquan A",111,IF(Atletas!L467="Wudangquan A",112,IF(Atletas!L467="Outros Estilos A",113,IF(Atletas!L467="Chaquan B",114,IF(Atletas!L467="Emeiquan B",115,IF(Atletas!L467="Fanziquan B",116,IF(Atletas!L467="Huaquan B",117,IF(Atletas!L467="Hongquan B",118,IF(Atletas!L467="Paochui B",119,IF(Atletas!L467="Piguaquan B",120,IF(Atletas!L467="Shaolinquan B",121,IF(Atletas!L467="Tanglangquan B",122,IF(Atletas!L467="Yinzhaophai B",123,IF(Atletas!L467="Tongbeiquan B",124,IF(Atletas!L467="Wudangquan B",125,IF(Atletas!L467="Outros Estilos B",126,IF(Atletas!L467="Chaquan C",127,IF(Atletas!L467="Emeiquan C",128,IF(Atletas!L467="Fanziquan C",129,IF(Atletas!L467="Huaquan C",130,IF(Atletas!L467="Hongquan C",131,IF(Atletas!L467="Paochui C",132,IF(Atletas!L467="Piguaquan C",133,IF(Atletas!L467="Shaolinquan C",134,IF(Atletas!L467="Tanglangquan C",135,IF(Atletas!L467="Yinzhaophai C",136,IF(Atletas!L467="Tongbeiquan C",137,IF(Atletas!L467="Wudangquan C",138,IF(Atletas!L467="Outros Estilos C",139,0))))))))))))))))))))))))))))))))))))))))))</f>
        <v/>
      </c>
      <c r="BM471" s="52" t="str">
        <f>IF(Atletas!L467="","",IF(Atletas!W467&lt;&gt;"",10000,0)+(IF(Atletas!B467="Feminino",1000,IF(Atletas!B467="Masculino",2000,""))+(IF(Atletas!L467="Chaquan D",140,IF(Atletas!L467="Emeiquan D",141,IF(Atletas!L467="Fanziquan D",142,IF(Atletas!L467="Huaquan D",143,IF(Atletas!L467="Hongquan D",144,IF(Atletas!L467="Paochui D",145,IF(Atletas!L467="Piguaquan D",146,IF(Atletas!L467="Shaolinquan D",147,IF(Atletas!L467="Tanglangquan D",148,IF(Atletas!L467="Yinzhaophai D",149,IF(Atletas!L467="Tongbeiquan D",150,IF(Atletas!L467="Wudangquan D",151,IF(Atletas!L467="Outros Estilos D",152,IF(Atletas!L467="Chaquan E",153,IF(Atletas!L467="Emeiquan E",154,IF(Atletas!L467="Fanziquan E",155,IF(Atletas!L467="Huaquan E",156,IF(Atletas!L467="Hongquan E",157,IF(Atletas!L467="Paochui E",158,IF(Atletas!L467="Piguaquan E",159,IF(Atletas!L467="Shaolinquan E",160,IF(Atletas!L467="Tanglangquan E",161,IF(Atletas!L467="Yinzhaophai E",162,IF(Atletas!L467="Tongbeiquan E",163,IF(Atletas!L467="Wudangquan E",164,IF(Atletas!L467="Outros Estilos E",165,IF(Atletas!L467="Chaquan F",166,IF(Atletas!L467="Emeiquan F",167,IF(Atletas!L467="Fanziquan F",168,IF(Atletas!L467="Huaquan F",169,IF(Atletas!L467="Hongquan F",170,IF(Atletas!L467="Paochui F",171,IF(Atletas!L467="Piguaquan F",172,IF(Atletas!L467="Shaolinquan F",173,IF(Atletas!L467="Tanglangquan F",174,IF(Atletas!L467="Yinzhaophai F",175,IF(Atletas!L467="Tongbeiquan F",176,IF(Atletas!L467="Wudangquan F",177,IF(Atletas!L467="Outros Estilos F",178,0))))))))))))))))))))))))))))))))))))))))))</f>
        <v/>
      </c>
      <c r="BN471" s="52" t="str">
        <f>IF(Atletas!M467="","",IF(Atletas!W467&lt;&gt;"",10000,0)+(IF(Atletas!B467="Feminino",1000,IF(Atletas!B467="Masculino",2000,""))+(IF(Atletas!M467="Ditangquan A",201,IF(Atletas!M467="Houquan A",202,IF(Atletas!M467="Zuiquan A",203,IF(Atletas!M467="Ditangquan B",204,IF(Atletas!M467="Houquan B",205,IF(Atletas!M467="Zuiquan B",206,IF(Atletas!M467="Ditangquan C",207,IF(Atletas!M467="Houquan C",208,IF(Atletas!M467="Zuiquan C",209,IF(Atletas!M467="Ditangquan D",210,IF(Atletas!M467="Houquan D",211,IF(Atletas!M467="Zuiquan D",212,IF(Atletas!M467="Ditangquan E",213,IF(Atletas!M467="Houquan E",214,IF(Atletas!M467="Zuiquan E",215,IF(Atletas!M467="Ditangquan F",216,IF(Atletas!M467="Houquan F",217,IF(Atletas!M467="Zuiquan F",218,"")))))))))))))))))))))</f>
        <v/>
      </c>
      <c r="BO471" s="52" t="str">
        <f>IF(Atletas!N467="","",IF(Atletas!W467&lt;&gt;"",10000,0)+IF(Atletas!B467="Feminino",1000,IF(Atletas!B467="Masculino",2000,""))+IF(Atletas!N467="Yang A",301,IF(Atletas!N467="Chen A",30,IF(Atletas!N467="Sun A",303,IF(Atletas!N467="Wu A",304,IF(Atletas!N467="Wu-Hao A",305,IF(Atletas!N467="Outro Taijiquan A",306,IF(Atletas!N467="Yang B",307,IF(Atletas!N467="Chen B",308,IF(Atletas!N467="Sun B",309,IF(Atletas!N467="Wu B",310,IF(Atletas!N467="Wu-Hao B",311,IF(Atletas!N467="Outro Taijiquan B",312,IF(Atletas!N467="Yang C",313,IF(Atletas!N467="Chen C",314,IF(Atletas!N467="Sun C",315,IF(Atletas!N467="Wu C",316,IF(Atletas!N467="Wu-Hao C",317,IF(Atletas!N467="Outro Taijiquan C",318,IF(Atletas!N467="Yang D",319,IF(Atletas!N467="Chen D",320,IF(Atletas!N467="Sun D",321,IF(Atletas!N467="Wu D",322,IF(Atletas!N467="Wu-Hao D",323,IF(Atletas!N467="Outro Taijiquan D",324,IF(Atletas!N467="Yang E",325,IF(Atletas!N467="Chen E",326,IF(Atletas!N467="Sun E",327,IF(Atletas!N467="Wu E",328,IF(Atletas!N467="Wu-Hao E",329,IF(Atletas!N467="Outro Taijiquan E",330,IF(Atletas!N467="Yang F",331,IF(Atletas!N467="Chen F",332,IF(Atletas!N467="Sun F",333,IF(Atletas!N467="Wu F",334,IF(Atletas!N467="Wu-Hao F",335,IF(Atletas!N467="Outro Taijiquan F",336,"")))))))))))))))))))))))))))))))))))))</f>
        <v/>
      </c>
      <c r="BP471" s="52" t="str">
        <f>IF(Atletas!O467="","",IF(Atletas!W467&lt;&gt;"",10000,0)+IF(Atletas!B467="Feminino",1000,IF(Atletas!B467="Masculino",2000,""))+IF(OR(Atletas!O467="Yang 26 A",Atletas!O467="Yang 40 A"),401,IF(OR(Atletas!O467="Chen 25 A",Atletas!O467="Chen 36 A",Atletas!O467="Chen 56 A"),402,IF(Atletas!O467="Sun 73 A",403,IF(Atletas!O467="Wu 45 A",404,IF(Atletas!O467="Wu-Hao 46 A",405,IF(OR(Atletas!O467="Taijiquan 16 A",Atletas!O467="Taijiquan 24 A",Atletas!O467="Taijiquan 32 A",Atletas!O467="Taijiquan 42 A"),406,IF(OR(Atletas!O467="Yang 26 B",Atletas!O467="Yang 40 B"),407,IF(OR(Atletas!O467="Chen 25 B",Atletas!O467="Chen 36 B",Atletas!O467="Chen 56 B"),408,IF(Atletas!O467="Sun 73 B",409,IF(Atletas!O467="Wu 45 B",410,IF(Atletas!O467="Wu-Hao 46 B",411,IF(OR(Atletas!O467="Taijiquan 16 B",Atletas!O467="Taijiquan 24 B",Atletas!O467="Taijiquan 32 B",Atletas!O467="Taijiquan 42 B"),412,IF(OR(Atletas!O467="Yang 26 C",Atletas!O467="Yang 40 C"),413,IF(OR(Atletas!O467="Chen 25 C",Atletas!O467="Chen 36 C",Atletas!O467="Chen 56 C"),414,IF(Atletas!O467="Sun 73 C",415,IF(Atletas!O467="Wu 45 C",416,IF(Atletas!O467="Wu-Hao 46 C",417,IF(OR(Atletas!O467="Taijiquan 16 C",Atletas!O467="Taijiquan 24 C",Atletas!O467="Taijiquan 32 C",Atletas!O467="Taijiquan 42 C"),418,0)))))))))))))))))))</f>
        <v/>
      </c>
      <c r="BQ471" s="52" t="str">
        <f>IF(Atletas!O467="","",IF(Atletas!W467&lt;&gt;"",10000,0)+IF(Atletas!B467="Feminino",1000,IF(Atletas!B467="Masculino",2000,""))+IF(OR(Atletas!O467="Yang 26 D",Atletas!O467="Yang 40 D"),419,IF(OR(Atletas!O467="Chen 25 D",Atletas!O467="Chen 36 D",Atletas!O467="Chen 56 D"),420,IF(Atletas!O467="Sun 73 D",421,IF(Atletas!O467="Wu 45 D",422,IF(Atletas!O467="Wu-Hao 46 D",423,IF(OR(Atletas!O467="Taijiquan 16 D",Atletas!O467="Taijiquan 24 D",Atletas!O467="Taijiquan 32 D",Atletas!O467="Taijiquan 42 D"),424,IF(OR(Atletas!O467="Yang 26 E",Atletas!O467="Yang 40 E"),425,IF(OR(Atletas!O467="Chen 25 E",Atletas!O467="Chen 36 E",Atletas!O467="Chen 56 E"),426,IF(Atletas!O467="Sun 73 E",427,IF(Atletas!O467="Wu 45 E",428,IF(Atletas!O467="Wu-Hao 46 E",429,IF(OR(Atletas!O467="Taijiquan 16 E",Atletas!O467="Taijiquan 24 E",Atletas!O467="Taijiquan 32 E",Atletas!O467="Taijiquan 42 E"),430,IF(OR(Atletas!O467="Yang 26 F",Atletas!O467="Yang 40 F"),431,IF(OR(Atletas!O467="Chen 25 F",Atletas!O467="Chen 36 F",Atletas!O467="Chen 56 F"),432,IF(Atletas!O467="Sun 73 F",433,IF(Atletas!O467="Wu 45 F",434,IF(Atletas!O467="Wu-Hao 46 F",435,IF(OR(Atletas!O467="Taijiquan 16 F",Atletas!O467="Taijiquan 24 F",Atletas!O467="Taijiquan 32 F",Atletas!O467="Taijiquan 42 F"),436,0)))))))))))))))))))</f>
        <v/>
      </c>
      <c r="BR471" s="52" t="str">
        <f>IF(Atletas!P467="","",IF(Atletas!W467&lt;&gt;"",10000,0)+IF(Atletas!B467="Feminino",1000,IF(Atletas!B467="Masculino",2000,""))+IF(Atletas!P467="Xingyiquan A",501,IF(Atletas!P467="Baguazhang A",502,IF(Atletas!P467="Outro Estilo Interno A",503,IF(Atletas!P467="Xingyiquan B",504,IF(Atletas!P467="Baguazhang B",505,IF(Atletas!P467="Outro Estilo Interno B",506,IF(Atletas!P467="Xingyiquan C",507,IF(Atletas!P467="Baguazhang C",508,IF(Atletas!P467="Outro Estilo Interno C",509,IF(Atletas!P467="Xingyiquan D",510,IF(Atletas!P467="Baguazhang D",511,IF(Atletas!P467="Outro Estilo Interno D",512,IF(Atletas!P467="Xingyiquan E",513,IF(Atletas!P467="Baguazhang E",514,IF(Atletas!P467="Outro Estilo Interno E",515,IF(Atletas!P467="Xingyiquan F",516,IF(Atletas!P467="Baguazhang F",517,IF(Atletas!P467="Outro Estilo Interno F",518, "")))))))))))))))))))</f>
        <v/>
      </c>
      <c r="BS471" s="52" t="str">
        <f>IF(Atletas!Q467="","",IF(Atletas!W467&lt;&gt;"",10000,0)+IF(Atletas!B467="Feminino",1000,IF(Atletas!B467="Masculino",2000,""))+IF(Atletas!Q467="Dao A",601,IF(Atletas!Q467="Jian A",602,IF(Atletas!Q467="Bishou A",603,IF(Atletas!Q467="Shan A",604,IF(Atletas!Q467="Outra Arma Curta A",605,IF(Atletas!Q467="Dao B",606,IF(Atletas!Q467="Jian B",607,IF(Atletas!Q467="Bishou B",608,IF(Atletas!Q467="Shan B",609,IF(Atletas!Q467="Outra Arma Curta B",610,IF(Atletas!Q467="Dao C",611,IF(Atletas!Q467="Jian C",612,IF(Atletas!Q467="Bishou C",613,IF(Atletas!Q467="Shan C",614,IF(Atletas!Q467="Outra Arma Curta C",615,IF(Atletas!Q467="Dao D",616,IF(Atletas!Q467="Jian D",617,IF(Atletas!Q467="Bishou D",618,IF(Atletas!Q467="Shan D",619,IF(Atletas!Q467="Outra Arma Curta D",620,IF(Atletas!Q467="Dao E",621,IF(Atletas!Q467="Jian E",622,IF(Atletas!Q467="Bishou E",623,IF(Atletas!Q467="Shan E",624,IF(Atletas!Q467="Outra Arma Curta E",625,IF(Atletas!Q467="Dao F",626,IF(Atletas!Q467="Jian F",627,IF(Atletas!Q467="Bishou F",628,IF(Atletas!Q467="Shan F",629,IF(Atletas!Q467="Outra Arma Curta F",630, "")))))))))))))))))))))))))))))))</f>
        <v/>
      </c>
      <c r="BT471" s="52" t="str">
        <f>IF(Atletas!R467="","",IF(Atletas!W467&lt;&gt;"",10000,0)+IF(Atletas!B467="Feminino",1000,IF(Atletas!B467="Masculino",2000,""))+IF(Atletas!R467="Gun A",701,IF(Atletas!R467="Qiang A",702,IF(Atletas!R467="Pudao / Guandao A",703,IF(Atletas!R467="Outra Arma Longa A",704,IF(Atletas!R467="Gun B",705,IF(Atletas!R467="Qiang B",706,IF(Atletas!R467="Pudao / Guandao B",707,IF(Atletas!R467="Outra Arma Longa B",708,IF(Atletas!R467="Gun C",709,IF(Atletas!R467="Qiang C",710,IF(Atletas!R467="Pudao / Guandao C",711,IF(Atletas!R467="Outra Arma Longa C",712,IF(Atletas!R467="Gun D",713,IF(Atletas!R467="Qiang D",714,IF(Atletas!R467="Pudao / Guandao D",715,IF(Atletas!R467="Outra Arma Longa D",716,IF(Atletas!R467="Gun E",717,IF(Atletas!R467="Qiang E",718,IF(Atletas!R467="Pudao / Guandao E",719,IF(Atletas!R467="Outra Arma Longa E",720,IF(Atletas!R467="Gun F",721,IF(Atletas!R467="Qiang F",722,IF(Atletas!R467="Pudao / Guandao F",723,IF(Atletas!R467="Outra Arma Longa F",724,"")))))))))))))))))))))))))</f>
        <v/>
      </c>
      <c r="BU471" s="52" t="str">
        <f>IF(Atletas!S467="","",IF(Atletas!W467&lt;&gt;"",10000,0)+IF(Atletas!B467="Feminino",1000,IF(Atletas!B467="Masculino",2000,""))+IF(Atletas!S467="Arma Dupla A",801,IF(Atletas!S467="Arma Maleável A",802,IF(Atletas!S467="Arma Dupla B",803,IF(Atletas!S467="Arma Maleável B",804,IF(Atletas!S467="Arma Dupla C",805,IF(Atletas!S467="Arma Maleável C",806,IF(Atletas!S467="Arma Dupla D",807,IF(Atletas!S467="Arma Maleável D",808,IF(Atletas!S467="Arma Dupla E",809,IF(Atletas!S467="Arma Maleável E",810,IF(Atletas!S467="Arma Dupla F",811,IF(Atletas!S467="Arma Maleável F",812, "")))))))))))))</f>
        <v/>
      </c>
      <c r="BV471" s="52" t="str">
        <f>IF(Atletas!T467="","",IF(Atletas!W467&lt;&gt;"",10000,0)+IF(Atletas!B467="Feminino",1000,IF(Atletas!B467="Masculino",2000,""))+IF(Atletas!T467="Taijijian Yang A",901,IF(Atletas!T467="Taijijian Chen A",902,IF(Atletas!T467="Taijijian Sun A",903,IF(Atletas!T467="Taijijian Wu A",904,IF(Atletas!T467="Taijijian Wu-Hao A",905,IF(Atletas!T467="Taijijian 32 A",906,IF(Atletas!T467="Taijijian 42 A",907,IF(Atletas!T467="Taijijian Yang B",908,IF(Atletas!T467="Taijijian Chen B",909,IF(Atletas!T467="Taijijian Sun B",910,IF(Atletas!T467="Taijijian Wu B",911,IF(Atletas!T467="Taijijian Wu-Hao B",912,IF(Atletas!T467="Taijijian 32 B",913,IF(Atletas!T467="Taijijian 42 B",914,IF(Atletas!T467="Taijijian Yang C",915,IF(Atletas!T467="Taijijian Chen C",916,IF(Atletas!T467="Taijijian Sun C",917,IF(Atletas!T467="Taijijian Wu C",918,IF(Atletas!T467="Taijijian Wu-Hao C",919,IF(Atletas!T467="Taijijian 32 C",920,IF(Atletas!T467="Taijijian 42 C",921,IF(Atletas!T467="Taijijian Yang D",922,IF(Atletas!T467="Taijijian Chen D",923,IF(Atletas!T467="Taijijian Sun D",924,IF(Atletas!T467="Taijijian Wu D",925,IF(Atletas!T467="Taijijian Wu-Hao D",926,IF(Atletas!T467="Taijijian 32 D",927,IF(Atletas!T467="Taijijian 42 D",928,IF(Atletas!T467="Taijijian Yang E",929,IF(Atletas!T467="Taijijian Chen E",930,IF(Atletas!T467="Taijijian Sun E",931,IF(Atletas!T467="Taijijian Wu E",932,IF(Atletas!T467="Taijijian Wu-Hao E",933,IF(Atletas!T467="Taijijian 32 E",934,IF(Atletas!T467="Taijijian 42 E",935,IF(Atletas!T467="Taijijian Yang F",936,IF(Atletas!T467="Taijijian Chen F",937,IF(Atletas!T467="Taijijian Sun F",938,IF(Atletas!T467="Taijijian Wu F",939,IF(Atletas!T467="Taijijian Wu-Hao F",940,IF(Atletas!T467="Taijijian 32 F",941,IF(Atletas!T467="Taijijian 42 F",942,"")))))))))))))))))))))))))))))))))))))))))))</f>
        <v/>
      </c>
      <c r="BW471" s="52" t="str">
        <f>IF(Atletas!U467="","",IF(Atletas!W467&lt;&gt;"",10000,0)+IF(Atletas!B467="Feminino",1000,IF(Atletas!B467="Masculino",2000,""))+IF(Atletas!T467="Taijijian 42 F",942,IF(Atletas!U467="Taijidao A",943,IF(Atletas!U467="Taijishan A",944,IF(Atletas!U467="Taijiqiang A",945,IF(Atletas!U467="Taijidao B",946,IF(Atletas!U467="Taijishan B",947,IF(Atletas!U467="Taijiqiang B",948,IF(Atletas!U467="Taijidao C",949,IF(Atletas!U467="Taijishan C",950,IF(Atletas!U467="Taijiqiang C",951,IF(Atletas!U467="Taijidao D",952,IF(Atletas!U467="Taijishan D",953,IF(Atletas!U467="Taijiqiang D",954,IF(Atletas!U467="Taijidao E",955,IF(Atletas!U467="Taijishan E",956,IF(Atletas!U467="Taijiqiang E",957,IF(Atletas!U467="Taijidao F",958,IF(Atletas!U467="Taijishan F",959,IF(Atletas!U467="Taijiqiang F",960))))))))))))))))))))</f>
        <v/>
      </c>
      <c r="CF471" s="52" t="str">
        <f xml:space="preserve"> IF(Atletas!V467="","",IF(Atletas!V467="Duilian de Mãos AB - Equipe 1",1,IF(Atletas!V467="Duilian de Mãos AB - Equipe 2",2,IF(Atletas!V467="Duilian de Armas AB - Equipe 1",3,IF(Atletas!V467="Duilian de Armas AB - Equipe 2",4,IF(Atletas!V467="Duilian de Tuishou - Equipe 1",5,IF(Atletas!V467="Duilian de Tuishou - Equipe 2",6,IF(Atletas!V467="Grupo Externo AB - Equipe 1",7,IF(Atletas!V467="Grupo Externo AB - Equipe 2",8,IF(Atletas!V467="Grupo Interno AB - Equipe 1",9,IF(Atletas!V467="Grupo Interno AB - Equipe 2",10,IF(Atletas!V467="Duilian de Mãos CD - Equipe 1",11,IF(Atletas!V467="Duilian de Mãos CD - Equipe 2",12,IF(Atletas!V467="Duilian de Armas CD - Equipe 1",13,IF(Atletas!V467="Duilian de Armas CD - Equipe 2",14,IF(Atletas!V467="Duilian de Tuishou - Equipe 1",15,IF(Atletas!V467="Duilian de Tuishou - Equipe 2",16,IF(Atletas!V467="Grupo Externo CDEF - Equipe 1",17,IF(Atletas!V467="Grupo Externo CDEF - Equipe 2",18,IF(Atletas!V467="Grupo Interno CDEF - Equipe 1",19,IF(Atletas!V467="Grupo Interno CDEF - Equipe 2",20,IF(Atletas!V467="Duilian de Mãos EF - Equipe 1",21,IF(Atletas!V467="Duilian de Mãos EF - Equipe 2",22,IF(Atletas!V467="Duilian de Armas EF - Equipe 1",23,IF(Atletas!V467="Duilian de Armas EF - Equipe 2",24,IF(Atletas!V467="Duilian de Tuishou - Equipe 1",25,IF(Atletas!V467="Duilian de Tuishou - Equipe 2",26,"")))))))))))))))))))))))))))</f>
        <v/>
      </c>
    </row>
    <row r="472" spans="36:84">
      <c r="AJ472" s="46" t="str">
        <f>IF(Atletas!D468="","",IF(Atletas!B468="Feminino",100,IF(Atletas!B468="Masculino",200,""))+(IF(Atletas!D468="Infantil 39kg",1,IF(Atletas!D468="Infantil 42kg",2,IF(Atletas!D468="Infantil 45kg",3,IF(Atletas!D468="Infantil 48kg",4,IF(Atletas!D468="Infantil 52kg",5,IF(Atletas!D468="Infantil 56kg",6,IF(Atletas!D468="Infantil 60kg",7,IF(Atletas!D468="Juvenil 48kg",8,IF(Atletas!D468="Juvenil 52kg",9,IF(Atletas!D468="Juvenil 56kg",10,IF(Atletas!D468="Juvenil 60kg",11,IF(Atletas!D468="Juvenil 65kg",12,IF(Atletas!D468="Juvenil 70kg",13,IF(Atletas!D468="Juvenil 75kg",14,IF(Atletas!D468="Juvenil 80kg",15,IF(Atletas!D468="Adulto 48kg",16,IF(Atletas!D468="Adulto 52kg",17,IF(Atletas!D468="Adulto 56kg",18,IF(Atletas!D468="Adulto 60kg",19,IF(Atletas!D468="Adulto 65kg",20,IF(Atletas!D468="Adulto 70kg",21,IF(Atletas!D468="Adulto 75kg",22,IF(Atletas!D468="Adulto 80kg",23,IF(Atletas!D468="Adulto 85kg",24,IF(Atletas!D468="Adulto 90kg",25,IF(Atletas!D468="Adulto +90kg",26,""))))))))))))))))))))))))))))</f>
        <v/>
      </c>
      <c r="AO472" s="10" t="str">
        <f>IF(Atletas!E468="","",IF(Atletas!B468="Feminino",100,IF(Atletas!B468="Masculino",200,""))+(IF(Atletas!E468="Juvenil 44kg",1,IF(Atletas!E468="Juvenil 48kg",2,IF(Atletas!E468="Juvenil 52kg",3,IF(Atletas!E468="Juvenil 56kg",4,IF(Atletas!E468="Juvenil 60kg",5,IF(Atletas!E468="Juvenil 65kg",6,IF(Atletas!E468="Juvenil 70kg",7,IF(Atletas!E468="Juvenil 75kg",8,IF(Atletas!E468="Juvenil 82kg",9,IF(Atletas!E468="Juvenil 90kg",10,IF(Atletas!E468="Juvenil 100kg",11,IF(Atletas!E468="Adulto 48kg",12,IF(Atletas!E468="Adulto 52kg",13,IF(Atletas!E468="Adulto 56kg",14,IF(Atletas!E468="Adulto 60kg",15,IF(Atletas!E468="Adulto 65kg",16,IF(Atletas!E468="Adulto 70kg",17,IF(Atletas!E468="Adulto 75kg",18,IF(Atletas!E468="Adulto 82kg",19,IF(Atletas!E468="Adulto 90kg",20,IF(Atletas!E468="Adulto 100kg",21,IF(Atletas!E468="Adulto +100kg",22,""))))))))))))))))))))))))</f>
        <v/>
      </c>
      <c r="AT472" s="10" t="str">
        <f>IF(Atletas!F468="","",IF(Atletas!B468="Feminino",100,IF(Atletas!B468="Masculino",200,""))+(IF(Atletas!F468="Adulto 48kg",1,IF(Atletas!F468="Adulto 56kg",2,IF(Atletas!F468="Adulto 65kg",3,IF(Atletas!F468="Adulto 75kg",4,IF(Atletas!F468="Adulto +75kg",5,IF(Atletas!F468="Adulto 52kg",6,IF(Atletas!F468="Adulto 60kg",7,IF(Atletas!F468="Adulto 70kg",8,IF(Atletas!F468="Adulto 80kg",9,IF(Atletas!F468="Adulto 90kg",10,IF(Atletas!F468="Adulto +90kg",11,"")))))))))))))</f>
        <v/>
      </c>
      <c r="AY472" s="46" t="str">
        <f>IF(Atletas!G468="","",IF(Atletas!B468="Feminino",100,IF(Atletas!B468="Masculino",200,""))+(IF(Atletas!G468="Changquan Mirim",1,IF(Atletas!G468="Nanquan Mirim",2,IF(Atletas!G468="Taijiquan Mirim",3,IF(Atletas!G468="Changquan Grupo C",4,IF(Atletas!G468="Nanquan Grupo C",5,IF(Atletas!G468="Taijiquan Grupo C",6,IF(Atletas!G468="Changquan Grupo B",7,IF(Atletas!G468="Nanquan Grupo B",8,IF(Atletas!G468="Taijiquan Grupo B",9,IF(Atletas!G468="Changquan Grupo A",10,IF(Atletas!G468="Nanquan Grupo A",11,IF(Atletas!G468="Taijiquan Grupo A",12,IF(Atletas!G468="Changquan Opcional",13,IF(Atletas!G468="Nanquan Opcional",14,IF(Atletas!G468="Taijiquan Opcional",15,IF(Atletas!G468="Changquan Adulto",16,IF(Atletas!G468="Nanquan Adulto",17,IF(Atletas!G468="Taijiquan Adulto",18,""))))))))))))))))))))</f>
        <v/>
      </c>
      <c r="AZ472" s="46" t="str">
        <f>IF(Atletas!H468="","",IF(Atletas!B468="Feminino",100,IF(Atletas!B468="Masculino",200,""))+(IF(Atletas!H468="Daoshu Mirim",19,IF(Atletas!H468="Jianshu Mirim",20,IF(Atletas!H468="Nandao Mirim",21,IF(Atletas!H468="Taijijian Mirim",22,IF(Atletas!H468="Daoshu Grupo C",23,IF(Atletas!H468="Jianshu Grupo C",24,IF(Atletas!H468="Nandao Grupo C",25,IF(Atletas!H468="Taijijian Grupo C",26,IF(Atletas!H468="Daoshu Grupo B",27,IF(Atletas!H468="Jianshu Grupo B",28,IF(Atletas!H468="Nandao Grupo B",29,IF(Atletas!H468="Taijijian Grupo B",30,IF(Atletas!H468="Daoshu Grupo A",31,IF(Atletas!H468="Jianshu Grupo A",32,IF(Atletas!H468="Nandao Grupo A",33,IF(Atletas!H468="Taijijian Grupo A",34,IF(Atletas!H468="Daoshu Opcional",35,IF(Atletas!H468="Jianshu Opcional",36,IF(Atletas!H468="Nandao Opcional",37,IF(Atletas!H468="Taijijian Opcional",38,IF(Atletas!H468="Daoshu Adulto",39,IF(Atletas!H468="Jianshu Adulto",40,IF(Atletas!H468="Nandao Adulto",41,IF(Atletas!H468="Taijijian Adulto",42,""))))))))))))))))))))))))))</f>
        <v/>
      </c>
      <c r="BA472" s="46" t="str">
        <f>IF(Atletas!I468="","",IF(Atletas!B468="Feminino",100,IF(Atletas!B468="Masculino",200,""))+(IF(Atletas!I468="Gunshu Mirim",43,IF(Atletas!I468="Qiangshu Mirim",44,IF(Atletas!I468="Nangun Mirim",45,IF(Atletas!I468="Gunshu Grupo C",46,IF(Atletas!I468="Qiangshu Grupo C",47,IF(Atletas!I468="Nangun Grupo C",48,IF(Atletas!I468="Gunshu Grupo B",49,IF(Atletas!I468="Qiangshu Grupo B",50,IF(Atletas!I468="Nangun Grupo B",51,IF(Atletas!I468="Gunshu Grupo A",52,IF(Atletas!I468="Qiangshu Grupo A",53,IF(Atletas!I468="Nangun Grupo A",54,IF(Atletas!I468="Gunshu Opcional",55,IF(Atletas!I468="Qiangshu Opcional",56,IF(Atletas!I468="Nangun Opcional",57,IF(Atletas!I468="Gunshu Adulto",58,IF(Atletas!I468="Qiangshu Adulto",59,IF(Atletas!I468="Nangun Adulto",60,""))))))))))))))))))))</f>
        <v/>
      </c>
      <c r="BF472" s="52" t="str">
        <f>IF(Atletas!J468="","",IF(Atletas!B468="Feminino",100,IF(Atletas!B468="Masculino",200,""))+(IF(Atletas!J468="Equipe 1 Grupo B",1,IF(Atletas!J468="Equipe 2 Grupo B",2,IF(Atletas!J468="Equipe 1 Grupo A",3,IF(Atletas!J468="Equipe 2 Grupo A",4,IF(Atletas!J468="Equipe 1 Adulto",5,IF(Atletas!J468="Equipe 2 Adulto",6,""))))))))</f>
        <v/>
      </c>
      <c r="BK472" s="52" t="str">
        <f>IF(Atletas!K468="","",IF(Atletas!W468&lt;&gt;"",10000,0)+(IF(Atletas!B468="Feminino",1000,IF(Atletas!B468="Masculino",2000,""))+IF(Atletas!K468="Choylayfut A",1,IF(Atletas!K468="Hunggar A",2,IF(Atletas!K468="Wuzuquan A",3,IF(Atletas!K468="Wingchun A",4,IF(Atletas!K468="Outra Mão de Sul A",5,IF(Atletas!K468="Choylayfut B",6,IF(Atletas!K468="Hunggar B",7,IF(Atletas!K468="Wuzuquan B",8,IF(Atletas!K468="Wingchun B",9,IF(Atletas!K468="Outra Mão de Sul B",10,IF(Atletas!K468="Choylayfut C",11,IF(Atletas!K468="Hunggar C",12,IF(Atletas!K468="Wuzuquan C",13,IF(Atletas!K468="Wingchun C",14,IF(Atletas!K468="Outra Mão de Sul C",15,IF(Atletas!K468="Choylayfut D",16,IF(Atletas!K468="Hunggar D",17,IF(Atletas!K468="Wuzuquan D",18,IF(Atletas!K468="Wingchun D",19,IF(Atletas!K468="Outra Mão de Sul D",20,IF(Atletas!K468="Choylayfut E",21,IF(Atletas!K468="Hunggar E",22,IF(Atletas!K468="Wuzuquan E",23,IF(Atletas!K468="Wingchun E",24,IF(Atletas!K468="Outra Mão de Sul E",25,IF(Atletas!K468="Choylayfut F",26,IF(Atletas!K468="Hunggar F",27,IF(Atletas!K468="Wuzuquan F",28,IF(Atletas!K468="Wingchun F",29,IF(Atletas!K468="Outra Mão de Sul F",30,""))))))))))))))))))))))))))))))))</f>
        <v/>
      </c>
      <c r="BL472" s="52" t="str">
        <f>IF(Atletas!L468="","",IF(Atletas!W468&lt;&gt;"",10000,0)+(IF(Atletas!B468="Feminino",1000,IF(Atletas!B468="Masculino",2000,""))+(IF(Atletas!L468="Chaquan A",101,IF(Atletas!L468="Emeiquan A",102,IF(Atletas!L468="Fanziquan A",103,IF(Atletas!L468="Huaquan A",104,IF(Atletas!L468="Hongquan A",105,IF(Atletas!L468="Paochui A",106,IF(Atletas!L468="Piguaquan A",107,IF(Atletas!L468="Shaolinquan A",108,IF(Atletas!L468="Tanglangquan A",109,IF(Atletas!L468="Yinzhaophai A",110,IF(Atletas!L468="Tongbeiquan A",111,IF(Atletas!L468="Wudangquan A",112,IF(Atletas!L468="Outros Estilos A",113,IF(Atletas!L468="Chaquan B",114,IF(Atletas!L468="Emeiquan B",115,IF(Atletas!L468="Fanziquan B",116,IF(Atletas!L468="Huaquan B",117,IF(Atletas!L468="Hongquan B",118,IF(Atletas!L468="Paochui B",119,IF(Atletas!L468="Piguaquan B",120,IF(Atletas!L468="Shaolinquan B",121,IF(Atletas!L468="Tanglangquan B",122,IF(Atletas!L468="Yinzhaophai B",123,IF(Atletas!L468="Tongbeiquan B",124,IF(Atletas!L468="Wudangquan B",125,IF(Atletas!L468="Outros Estilos B",126,IF(Atletas!L468="Chaquan C",127,IF(Atletas!L468="Emeiquan C",128,IF(Atletas!L468="Fanziquan C",129,IF(Atletas!L468="Huaquan C",130,IF(Atletas!L468="Hongquan C",131,IF(Atletas!L468="Paochui C",132,IF(Atletas!L468="Piguaquan C",133,IF(Atletas!L468="Shaolinquan C",134,IF(Atletas!L468="Tanglangquan C",135,IF(Atletas!L468="Yinzhaophai C",136,IF(Atletas!L468="Tongbeiquan C",137,IF(Atletas!L468="Wudangquan C",138,IF(Atletas!L468="Outros Estilos C",139,0))))))))))))))))))))))))))))))))))))))))))</f>
        <v/>
      </c>
      <c r="BM472" s="52" t="str">
        <f>IF(Atletas!L468="","",IF(Atletas!W468&lt;&gt;"",10000,0)+(IF(Atletas!B468="Feminino",1000,IF(Atletas!B468="Masculino",2000,""))+(IF(Atletas!L468="Chaquan D",140,IF(Atletas!L468="Emeiquan D",141,IF(Atletas!L468="Fanziquan D",142,IF(Atletas!L468="Huaquan D",143,IF(Atletas!L468="Hongquan D",144,IF(Atletas!L468="Paochui D",145,IF(Atletas!L468="Piguaquan D",146,IF(Atletas!L468="Shaolinquan D",147,IF(Atletas!L468="Tanglangquan D",148,IF(Atletas!L468="Yinzhaophai D",149,IF(Atletas!L468="Tongbeiquan D",150,IF(Atletas!L468="Wudangquan D",151,IF(Atletas!L468="Outros Estilos D",152,IF(Atletas!L468="Chaquan E",153,IF(Atletas!L468="Emeiquan E",154,IF(Atletas!L468="Fanziquan E",155,IF(Atletas!L468="Huaquan E",156,IF(Atletas!L468="Hongquan E",157,IF(Atletas!L468="Paochui E",158,IF(Atletas!L468="Piguaquan E",159,IF(Atletas!L468="Shaolinquan E",160,IF(Atletas!L468="Tanglangquan E",161,IF(Atletas!L468="Yinzhaophai E",162,IF(Atletas!L468="Tongbeiquan E",163,IF(Atletas!L468="Wudangquan E",164,IF(Atletas!L468="Outros Estilos E",165,IF(Atletas!L468="Chaquan F",166,IF(Atletas!L468="Emeiquan F",167,IF(Atletas!L468="Fanziquan F",168,IF(Atletas!L468="Huaquan F",169,IF(Atletas!L468="Hongquan F",170,IF(Atletas!L468="Paochui F",171,IF(Atletas!L468="Piguaquan F",172,IF(Atletas!L468="Shaolinquan F",173,IF(Atletas!L468="Tanglangquan F",174,IF(Atletas!L468="Yinzhaophai F",175,IF(Atletas!L468="Tongbeiquan F",176,IF(Atletas!L468="Wudangquan F",177,IF(Atletas!L468="Outros Estilos F",178,0))))))))))))))))))))))))))))))))))))))))))</f>
        <v/>
      </c>
      <c r="BN472" s="52" t="str">
        <f>IF(Atletas!M468="","",IF(Atletas!W468&lt;&gt;"",10000,0)+(IF(Atletas!B468="Feminino",1000,IF(Atletas!B468="Masculino",2000,""))+(IF(Atletas!M468="Ditangquan A",201,IF(Atletas!M468="Houquan A",202,IF(Atletas!M468="Zuiquan A",203,IF(Atletas!M468="Ditangquan B",204,IF(Atletas!M468="Houquan B",205,IF(Atletas!M468="Zuiquan B",206,IF(Atletas!M468="Ditangquan C",207,IF(Atletas!M468="Houquan C",208,IF(Atletas!M468="Zuiquan C",209,IF(Atletas!M468="Ditangquan D",210,IF(Atletas!M468="Houquan D",211,IF(Atletas!M468="Zuiquan D",212,IF(Atletas!M468="Ditangquan E",213,IF(Atletas!M468="Houquan E",214,IF(Atletas!M468="Zuiquan E",215,IF(Atletas!M468="Ditangquan F",216,IF(Atletas!M468="Houquan F",217,IF(Atletas!M468="Zuiquan F",218,"")))))))))))))))))))))</f>
        <v/>
      </c>
      <c r="BO472" s="52" t="str">
        <f>IF(Atletas!N468="","",IF(Atletas!W468&lt;&gt;"",10000,0)+IF(Atletas!B468="Feminino",1000,IF(Atletas!B468="Masculino",2000,""))+IF(Atletas!N468="Yang A",301,IF(Atletas!N468="Chen A",30,IF(Atletas!N468="Sun A",303,IF(Atletas!N468="Wu A",304,IF(Atletas!N468="Wu-Hao A",305,IF(Atletas!N468="Outro Taijiquan A",306,IF(Atletas!N468="Yang B",307,IF(Atletas!N468="Chen B",308,IF(Atletas!N468="Sun B",309,IF(Atletas!N468="Wu B",310,IF(Atletas!N468="Wu-Hao B",311,IF(Atletas!N468="Outro Taijiquan B",312,IF(Atletas!N468="Yang C",313,IF(Atletas!N468="Chen C",314,IF(Atletas!N468="Sun C",315,IF(Atletas!N468="Wu C",316,IF(Atletas!N468="Wu-Hao C",317,IF(Atletas!N468="Outro Taijiquan C",318,IF(Atletas!N468="Yang D",319,IF(Atletas!N468="Chen D",320,IF(Atletas!N468="Sun D",321,IF(Atletas!N468="Wu D",322,IF(Atletas!N468="Wu-Hao D",323,IF(Atletas!N468="Outro Taijiquan D",324,IF(Atletas!N468="Yang E",325,IF(Atletas!N468="Chen E",326,IF(Atletas!N468="Sun E",327,IF(Atletas!N468="Wu E",328,IF(Atletas!N468="Wu-Hao E",329,IF(Atletas!N468="Outro Taijiquan E",330,IF(Atletas!N468="Yang F",331,IF(Atletas!N468="Chen F",332,IF(Atletas!N468="Sun F",333,IF(Atletas!N468="Wu F",334,IF(Atletas!N468="Wu-Hao F",335,IF(Atletas!N468="Outro Taijiquan F",336,"")))))))))))))))))))))))))))))))))))))</f>
        <v/>
      </c>
      <c r="BP472" s="52" t="str">
        <f>IF(Atletas!O468="","",IF(Atletas!W468&lt;&gt;"",10000,0)+IF(Atletas!B468="Feminino",1000,IF(Atletas!B468="Masculino",2000,""))+IF(OR(Atletas!O468="Yang 26 A",Atletas!O468="Yang 40 A"),401,IF(OR(Atletas!O468="Chen 25 A",Atletas!O468="Chen 36 A",Atletas!O468="Chen 56 A"),402,IF(Atletas!O468="Sun 73 A",403,IF(Atletas!O468="Wu 45 A",404,IF(Atletas!O468="Wu-Hao 46 A",405,IF(OR(Atletas!O468="Taijiquan 16 A",Atletas!O468="Taijiquan 24 A",Atletas!O468="Taijiquan 32 A",Atletas!O468="Taijiquan 42 A"),406,IF(OR(Atletas!O468="Yang 26 B",Atletas!O468="Yang 40 B"),407,IF(OR(Atletas!O468="Chen 25 B",Atletas!O468="Chen 36 B",Atletas!O468="Chen 56 B"),408,IF(Atletas!O468="Sun 73 B",409,IF(Atletas!O468="Wu 45 B",410,IF(Atletas!O468="Wu-Hao 46 B",411,IF(OR(Atletas!O468="Taijiquan 16 B",Atletas!O468="Taijiquan 24 B",Atletas!O468="Taijiquan 32 B",Atletas!O468="Taijiquan 42 B"),412,IF(OR(Atletas!O468="Yang 26 C",Atletas!O468="Yang 40 C"),413,IF(OR(Atletas!O468="Chen 25 C",Atletas!O468="Chen 36 C",Atletas!O468="Chen 56 C"),414,IF(Atletas!O468="Sun 73 C",415,IF(Atletas!O468="Wu 45 C",416,IF(Atletas!O468="Wu-Hao 46 C",417,IF(OR(Atletas!O468="Taijiquan 16 C",Atletas!O468="Taijiquan 24 C",Atletas!O468="Taijiquan 32 C",Atletas!O468="Taijiquan 42 C"),418,0)))))))))))))))))))</f>
        <v/>
      </c>
      <c r="BQ472" s="52" t="str">
        <f>IF(Atletas!O468="","",IF(Atletas!W468&lt;&gt;"",10000,0)+IF(Atletas!B468="Feminino",1000,IF(Atletas!B468="Masculino",2000,""))+IF(OR(Atletas!O468="Yang 26 D",Atletas!O468="Yang 40 D"),419,IF(OR(Atletas!O468="Chen 25 D",Atletas!O468="Chen 36 D",Atletas!O468="Chen 56 D"),420,IF(Atletas!O468="Sun 73 D",421,IF(Atletas!O468="Wu 45 D",422,IF(Atletas!O468="Wu-Hao 46 D",423,IF(OR(Atletas!O468="Taijiquan 16 D",Atletas!O468="Taijiquan 24 D",Atletas!O468="Taijiquan 32 D",Atletas!O468="Taijiquan 42 D"),424,IF(OR(Atletas!O468="Yang 26 E",Atletas!O468="Yang 40 E"),425,IF(OR(Atletas!O468="Chen 25 E",Atletas!O468="Chen 36 E",Atletas!O468="Chen 56 E"),426,IF(Atletas!O468="Sun 73 E",427,IF(Atletas!O468="Wu 45 E",428,IF(Atletas!O468="Wu-Hao 46 E",429,IF(OR(Atletas!O468="Taijiquan 16 E",Atletas!O468="Taijiquan 24 E",Atletas!O468="Taijiquan 32 E",Atletas!O468="Taijiquan 42 E"),430,IF(OR(Atletas!O468="Yang 26 F",Atletas!O468="Yang 40 F"),431,IF(OR(Atletas!O468="Chen 25 F",Atletas!O468="Chen 36 F",Atletas!O468="Chen 56 F"),432,IF(Atletas!O468="Sun 73 F",433,IF(Atletas!O468="Wu 45 F",434,IF(Atletas!O468="Wu-Hao 46 F",435,IF(OR(Atletas!O468="Taijiquan 16 F",Atletas!O468="Taijiquan 24 F",Atletas!O468="Taijiquan 32 F",Atletas!O468="Taijiquan 42 F"),436,0)))))))))))))))))))</f>
        <v/>
      </c>
      <c r="BR472" s="52" t="str">
        <f>IF(Atletas!P468="","",IF(Atletas!W468&lt;&gt;"",10000,0)+IF(Atletas!B468="Feminino",1000,IF(Atletas!B468="Masculino",2000,""))+IF(Atletas!P468="Xingyiquan A",501,IF(Atletas!P468="Baguazhang A",502,IF(Atletas!P468="Outro Estilo Interno A",503,IF(Atletas!P468="Xingyiquan B",504,IF(Atletas!P468="Baguazhang B",505,IF(Atletas!P468="Outro Estilo Interno B",506,IF(Atletas!P468="Xingyiquan C",507,IF(Atletas!P468="Baguazhang C",508,IF(Atletas!P468="Outro Estilo Interno C",509,IF(Atletas!P468="Xingyiquan D",510,IF(Atletas!P468="Baguazhang D",511,IF(Atletas!P468="Outro Estilo Interno D",512,IF(Atletas!P468="Xingyiquan E",513,IF(Atletas!P468="Baguazhang E",514,IF(Atletas!P468="Outro Estilo Interno E",515,IF(Atletas!P468="Xingyiquan F",516,IF(Atletas!P468="Baguazhang F",517,IF(Atletas!P468="Outro Estilo Interno F",518, "")))))))))))))))))))</f>
        <v/>
      </c>
      <c r="BS472" s="52" t="str">
        <f>IF(Atletas!Q468="","",IF(Atletas!W468&lt;&gt;"",10000,0)+IF(Atletas!B468="Feminino",1000,IF(Atletas!B468="Masculino",2000,""))+IF(Atletas!Q468="Dao A",601,IF(Atletas!Q468="Jian A",602,IF(Atletas!Q468="Bishou A",603,IF(Atletas!Q468="Shan A",604,IF(Atletas!Q468="Outra Arma Curta A",605,IF(Atletas!Q468="Dao B",606,IF(Atletas!Q468="Jian B",607,IF(Atletas!Q468="Bishou B",608,IF(Atletas!Q468="Shan B",609,IF(Atletas!Q468="Outra Arma Curta B",610,IF(Atletas!Q468="Dao C",611,IF(Atletas!Q468="Jian C",612,IF(Atletas!Q468="Bishou C",613,IF(Atletas!Q468="Shan C",614,IF(Atletas!Q468="Outra Arma Curta C",615,IF(Atletas!Q468="Dao D",616,IF(Atletas!Q468="Jian D",617,IF(Atletas!Q468="Bishou D",618,IF(Atletas!Q468="Shan D",619,IF(Atletas!Q468="Outra Arma Curta D",620,IF(Atletas!Q468="Dao E",621,IF(Atletas!Q468="Jian E",622,IF(Atletas!Q468="Bishou E",623,IF(Atletas!Q468="Shan E",624,IF(Atletas!Q468="Outra Arma Curta E",625,IF(Atletas!Q468="Dao F",626,IF(Atletas!Q468="Jian F",627,IF(Atletas!Q468="Bishou F",628,IF(Atletas!Q468="Shan F",629,IF(Atletas!Q468="Outra Arma Curta F",630, "")))))))))))))))))))))))))))))))</f>
        <v/>
      </c>
      <c r="BT472" s="52" t="str">
        <f>IF(Atletas!R468="","",IF(Atletas!W468&lt;&gt;"",10000,0)+IF(Atletas!B468="Feminino",1000,IF(Atletas!B468="Masculino",2000,""))+IF(Atletas!R468="Gun A",701,IF(Atletas!R468="Qiang A",702,IF(Atletas!R468="Pudao / Guandao A",703,IF(Atletas!R468="Outra Arma Longa A",704,IF(Atletas!R468="Gun B",705,IF(Atletas!R468="Qiang B",706,IF(Atletas!R468="Pudao / Guandao B",707,IF(Atletas!R468="Outra Arma Longa B",708,IF(Atletas!R468="Gun C",709,IF(Atletas!R468="Qiang C",710,IF(Atletas!R468="Pudao / Guandao C",711,IF(Atletas!R468="Outra Arma Longa C",712,IF(Atletas!R468="Gun D",713,IF(Atletas!R468="Qiang D",714,IF(Atletas!R468="Pudao / Guandao D",715,IF(Atletas!R468="Outra Arma Longa D",716,IF(Atletas!R468="Gun E",717,IF(Atletas!R468="Qiang E",718,IF(Atletas!R468="Pudao / Guandao E",719,IF(Atletas!R468="Outra Arma Longa E",720,IF(Atletas!R468="Gun F",721,IF(Atletas!R468="Qiang F",722,IF(Atletas!R468="Pudao / Guandao F",723,IF(Atletas!R468="Outra Arma Longa F",724,"")))))))))))))))))))))))))</f>
        <v/>
      </c>
      <c r="BU472" s="52" t="str">
        <f>IF(Atletas!S468="","",IF(Atletas!W468&lt;&gt;"",10000,0)+IF(Atletas!B468="Feminino",1000,IF(Atletas!B468="Masculino",2000,""))+IF(Atletas!S468="Arma Dupla A",801,IF(Atletas!S468="Arma Maleável A",802,IF(Atletas!S468="Arma Dupla B",803,IF(Atletas!S468="Arma Maleável B",804,IF(Atletas!S468="Arma Dupla C",805,IF(Atletas!S468="Arma Maleável C",806,IF(Atletas!S468="Arma Dupla D",807,IF(Atletas!S468="Arma Maleável D",808,IF(Atletas!S468="Arma Dupla E",809,IF(Atletas!S468="Arma Maleável E",810,IF(Atletas!S468="Arma Dupla F",811,IF(Atletas!S468="Arma Maleável F",812, "")))))))))))))</f>
        <v/>
      </c>
      <c r="BV472" s="52" t="str">
        <f>IF(Atletas!T468="","",IF(Atletas!W468&lt;&gt;"",10000,0)+IF(Atletas!B468="Feminino",1000,IF(Atletas!B468="Masculino",2000,""))+IF(Atletas!T468="Taijijian Yang A",901,IF(Atletas!T468="Taijijian Chen A",902,IF(Atletas!T468="Taijijian Sun A",903,IF(Atletas!T468="Taijijian Wu A",904,IF(Atletas!T468="Taijijian Wu-Hao A",905,IF(Atletas!T468="Taijijian 32 A",906,IF(Atletas!T468="Taijijian 42 A",907,IF(Atletas!T468="Taijijian Yang B",908,IF(Atletas!T468="Taijijian Chen B",909,IF(Atletas!T468="Taijijian Sun B",910,IF(Atletas!T468="Taijijian Wu B",911,IF(Atletas!T468="Taijijian Wu-Hao B",912,IF(Atletas!T468="Taijijian 32 B",913,IF(Atletas!T468="Taijijian 42 B",914,IF(Atletas!T468="Taijijian Yang C",915,IF(Atletas!T468="Taijijian Chen C",916,IF(Atletas!T468="Taijijian Sun C",917,IF(Atletas!T468="Taijijian Wu C",918,IF(Atletas!T468="Taijijian Wu-Hao C",919,IF(Atletas!T468="Taijijian 32 C",920,IF(Atletas!T468="Taijijian 42 C",921,IF(Atletas!T468="Taijijian Yang D",922,IF(Atletas!T468="Taijijian Chen D",923,IF(Atletas!T468="Taijijian Sun D",924,IF(Atletas!T468="Taijijian Wu D",925,IF(Atletas!T468="Taijijian Wu-Hao D",926,IF(Atletas!T468="Taijijian 32 D",927,IF(Atletas!T468="Taijijian 42 D",928,IF(Atletas!T468="Taijijian Yang E",929,IF(Atletas!T468="Taijijian Chen E",930,IF(Atletas!T468="Taijijian Sun E",931,IF(Atletas!T468="Taijijian Wu E",932,IF(Atletas!T468="Taijijian Wu-Hao E",933,IF(Atletas!T468="Taijijian 32 E",934,IF(Atletas!T468="Taijijian 42 E",935,IF(Atletas!T468="Taijijian Yang F",936,IF(Atletas!T468="Taijijian Chen F",937,IF(Atletas!T468="Taijijian Sun F",938,IF(Atletas!T468="Taijijian Wu F",939,IF(Atletas!T468="Taijijian Wu-Hao F",940,IF(Atletas!T468="Taijijian 32 F",941,IF(Atletas!T468="Taijijian 42 F",942,"")))))))))))))))))))))))))))))))))))))))))))</f>
        <v/>
      </c>
      <c r="BW472" s="52" t="str">
        <f>IF(Atletas!U468="","",IF(Atletas!W468&lt;&gt;"",10000,0)+IF(Atletas!B468="Feminino",1000,IF(Atletas!B468="Masculino",2000,""))+IF(Atletas!T468="Taijijian 42 F",942,IF(Atletas!U468="Taijidao A",943,IF(Atletas!U468="Taijishan A",944,IF(Atletas!U468="Taijiqiang A",945,IF(Atletas!U468="Taijidao B",946,IF(Atletas!U468="Taijishan B",947,IF(Atletas!U468="Taijiqiang B",948,IF(Atletas!U468="Taijidao C",949,IF(Atletas!U468="Taijishan C",950,IF(Atletas!U468="Taijiqiang C",951,IF(Atletas!U468="Taijidao D",952,IF(Atletas!U468="Taijishan D",953,IF(Atletas!U468="Taijiqiang D",954,IF(Atletas!U468="Taijidao E",955,IF(Atletas!U468="Taijishan E",956,IF(Atletas!U468="Taijiqiang E",957,IF(Atletas!U468="Taijidao F",958,IF(Atletas!U468="Taijishan F",959,IF(Atletas!U468="Taijiqiang F",960))))))))))))))))))))</f>
        <v/>
      </c>
      <c r="CF472" s="52" t="str">
        <f xml:space="preserve"> IF(Atletas!V468="","",IF(Atletas!V468="Duilian de Mãos AB - Equipe 1",1,IF(Atletas!V468="Duilian de Mãos AB - Equipe 2",2,IF(Atletas!V468="Duilian de Armas AB - Equipe 1",3,IF(Atletas!V468="Duilian de Armas AB - Equipe 2",4,IF(Atletas!V468="Duilian de Tuishou - Equipe 1",5,IF(Atletas!V468="Duilian de Tuishou - Equipe 2",6,IF(Atletas!V468="Grupo Externo AB - Equipe 1",7,IF(Atletas!V468="Grupo Externo AB - Equipe 2",8,IF(Atletas!V468="Grupo Interno AB - Equipe 1",9,IF(Atletas!V468="Grupo Interno AB - Equipe 2",10,IF(Atletas!V468="Duilian de Mãos CD - Equipe 1",11,IF(Atletas!V468="Duilian de Mãos CD - Equipe 2",12,IF(Atletas!V468="Duilian de Armas CD - Equipe 1",13,IF(Atletas!V468="Duilian de Armas CD - Equipe 2",14,IF(Atletas!V468="Duilian de Tuishou - Equipe 1",15,IF(Atletas!V468="Duilian de Tuishou - Equipe 2",16,IF(Atletas!V468="Grupo Externo CDEF - Equipe 1",17,IF(Atletas!V468="Grupo Externo CDEF - Equipe 2",18,IF(Atletas!V468="Grupo Interno CDEF - Equipe 1",19,IF(Atletas!V468="Grupo Interno CDEF - Equipe 2",20,IF(Atletas!V468="Duilian de Mãos EF - Equipe 1",21,IF(Atletas!V468="Duilian de Mãos EF - Equipe 2",22,IF(Atletas!V468="Duilian de Armas EF - Equipe 1",23,IF(Atletas!V468="Duilian de Armas EF - Equipe 2",24,IF(Atletas!V468="Duilian de Tuishou - Equipe 1",25,IF(Atletas!V468="Duilian de Tuishou - Equipe 2",26,"")))))))))))))))))))))))))))</f>
        <v/>
      </c>
    </row>
    <row r="473" spans="36:84">
      <c r="AJ473" s="46" t="str">
        <f>IF(Atletas!D469="","",IF(Atletas!B469="Feminino",100,IF(Atletas!B469="Masculino",200,""))+(IF(Atletas!D469="Infantil 39kg",1,IF(Atletas!D469="Infantil 42kg",2,IF(Atletas!D469="Infantil 45kg",3,IF(Atletas!D469="Infantil 48kg",4,IF(Atletas!D469="Infantil 52kg",5,IF(Atletas!D469="Infantil 56kg",6,IF(Atletas!D469="Infantil 60kg",7,IF(Atletas!D469="Juvenil 48kg",8,IF(Atletas!D469="Juvenil 52kg",9,IF(Atletas!D469="Juvenil 56kg",10,IF(Atletas!D469="Juvenil 60kg",11,IF(Atletas!D469="Juvenil 65kg",12,IF(Atletas!D469="Juvenil 70kg",13,IF(Atletas!D469="Juvenil 75kg",14,IF(Atletas!D469="Juvenil 80kg",15,IF(Atletas!D469="Adulto 48kg",16,IF(Atletas!D469="Adulto 52kg",17,IF(Atletas!D469="Adulto 56kg",18,IF(Atletas!D469="Adulto 60kg",19,IF(Atletas!D469="Adulto 65kg",20,IF(Atletas!D469="Adulto 70kg",21,IF(Atletas!D469="Adulto 75kg",22,IF(Atletas!D469="Adulto 80kg",23,IF(Atletas!D469="Adulto 85kg",24,IF(Atletas!D469="Adulto 90kg",25,IF(Atletas!D469="Adulto +90kg",26,""))))))))))))))))))))))))))))</f>
        <v/>
      </c>
      <c r="AO473" s="10" t="str">
        <f>IF(Atletas!E469="","",IF(Atletas!B469="Feminino",100,IF(Atletas!B469="Masculino",200,""))+(IF(Atletas!E469="Juvenil 44kg",1,IF(Atletas!E469="Juvenil 48kg",2,IF(Atletas!E469="Juvenil 52kg",3,IF(Atletas!E469="Juvenil 56kg",4,IF(Atletas!E469="Juvenil 60kg",5,IF(Atletas!E469="Juvenil 65kg",6,IF(Atletas!E469="Juvenil 70kg",7,IF(Atletas!E469="Juvenil 75kg",8,IF(Atletas!E469="Juvenil 82kg",9,IF(Atletas!E469="Juvenil 90kg",10,IF(Atletas!E469="Juvenil 100kg",11,IF(Atletas!E469="Adulto 48kg",12,IF(Atletas!E469="Adulto 52kg",13,IF(Atletas!E469="Adulto 56kg",14,IF(Atletas!E469="Adulto 60kg",15,IF(Atletas!E469="Adulto 65kg",16,IF(Atletas!E469="Adulto 70kg",17,IF(Atletas!E469="Adulto 75kg",18,IF(Atletas!E469="Adulto 82kg",19,IF(Atletas!E469="Adulto 90kg",20,IF(Atletas!E469="Adulto 100kg",21,IF(Atletas!E469="Adulto +100kg",22,""))))))))))))))))))))))))</f>
        <v/>
      </c>
      <c r="AT473" s="10" t="str">
        <f>IF(Atletas!F469="","",IF(Atletas!B469="Feminino",100,IF(Atletas!B469="Masculino",200,""))+(IF(Atletas!F469="Adulto 48kg",1,IF(Atletas!F469="Adulto 56kg",2,IF(Atletas!F469="Adulto 65kg",3,IF(Atletas!F469="Adulto 75kg",4,IF(Atletas!F469="Adulto +75kg",5,IF(Atletas!F469="Adulto 52kg",6,IF(Atletas!F469="Adulto 60kg",7,IF(Atletas!F469="Adulto 70kg",8,IF(Atletas!F469="Adulto 80kg",9,IF(Atletas!F469="Adulto 90kg",10,IF(Atletas!F469="Adulto +90kg",11,"")))))))))))))</f>
        <v/>
      </c>
      <c r="AY473" s="46" t="str">
        <f>IF(Atletas!G469="","",IF(Atletas!B469="Feminino",100,IF(Atletas!B469="Masculino",200,""))+(IF(Atletas!G469="Changquan Mirim",1,IF(Atletas!G469="Nanquan Mirim",2,IF(Atletas!G469="Taijiquan Mirim",3,IF(Atletas!G469="Changquan Grupo C",4,IF(Atletas!G469="Nanquan Grupo C",5,IF(Atletas!G469="Taijiquan Grupo C",6,IF(Atletas!G469="Changquan Grupo B",7,IF(Atletas!G469="Nanquan Grupo B",8,IF(Atletas!G469="Taijiquan Grupo B",9,IF(Atletas!G469="Changquan Grupo A",10,IF(Atletas!G469="Nanquan Grupo A",11,IF(Atletas!G469="Taijiquan Grupo A",12,IF(Atletas!G469="Changquan Opcional",13,IF(Atletas!G469="Nanquan Opcional",14,IF(Atletas!G469="Taijiquan Opcional",15,IF(Atletas!G469="Changquan Adulto",16,IF(Atletas!G469="Nanquan Adulto",17,IF(Atletas!G469="Taijiquan Adulto",18,""))))))))))))))))))))</f>
        <v/>
      </c>
      <c r="AZ473" s="46" t="str">
        <f>IF(Atletas!H469="","",IF(Atletas!B469="Feminino",100,IF(Atletas!B469="Masculino",200,""))+(IF(Atletas!H469="Daoshu Mirim",19,IF(Atletas!H469="Jianshu Mirim",20,IF(Atletas!H469="Nandao Mirim",21,IF(Atletas!H469="Taijijian Mirim",22,IF(Atletas!H469="Daoshu Grupo C",23,IF(Atletas!H469="Jianshu Grupo C",24,IF(Atletas!H469="Nandao Grupo C",25,IF(Atletas!H469="Taijijian Grupo C",26,IF(Atletas!H469="Daoshu Grupo B",27,IF(Atletas!H469="Jianshu Grupo B",28,IF(Atletas!H469="Nandao Grupo B",29,IF(Atletas!H469="Taijijian Grupo B",30,IF(Atletas!H469="Daoshu Grupo A",31,IF(Atletas!H469="Jianshu Grupo A",32,IF(Atletas!H469="Nandao Grupo A",33,IF(Atletas!H469="Taijijian Grupo A",34,IF(Atletas!H469="Daoshu Opcional",35,IF(Atletas!H469="Jianshu Opcional",36,IF(Atletas!H469="Nandao Opcional",37,IF(Atletas!H469="Taijijian Opcional",38,IF(Atletas!H469="Daoshu Adulto",39,IF(Atletas!H469="Jianshu Adulto",40,IF(Atletas!H469="Nandao Adulto",41,IF(Atletas!H469="Taijijian Adulto",42,""))))))))))))))))))))))))))</f>
        <v/>
      </c>
      <c r="BA473" s="46" t="str">
        <f>IF(Atletas!I469="","",IF(Atletas!B469="Feminino",100,IF(Atletas!B469="Masculino",200,""))+(IF(Atletas!I469="Gunshu Mirim",43,IF(Atletas!I469="Qiangshu Mirim",44,IF(Atletas!I469="Nangun Mirim",45,IF(Atletas!I469="Gunshu Grupo C",46,IF(Atletas!I469="Qiangshu Grupo C",47,IF(Atletas!I469="Nangun Grupo C",48,IF(Atletas!I469="Gunshu Grupo B",49,IF(Atletas!I469="Qiangshu Grupo B",50,IF(Atletas!I469="Nangun Grupo B",51,IF(Atletas!I469="Gunshu Grupo A",52,IF(Atletas!I469="Qiangshu Grupo A",53,IF(Atletas!I469="Nangun Grupo A",54,IF(Atletas!I469="Gunshu Opcional",55,IF(Atletas!I469="Qiangshu Opcional",56,IF(Atletas!I469="Nangun Opcional",57,IF(Atletas!I469="Gunshu Adulto",58,IF(Atletas!I469="Qiangshu Adulto",59,IF(Atletas!I469="Nangun Adulto",60,""))))))))))))))))))))</f>
        <v/>
      </c>
      <c r="BF473" s="52" t="str">
        <f>IF(Atletas!J469="","",IF(Atletas!B469="Feminino",100,IF(Atletas!B469="Masculino",200,""))+(IF(Atletas!J469="Equipe 1 Grupo B",1,IF(Atletas!J469="Equipe 2 Grupo B",2,IF(Atletas!J469="Equipe 1 Grupo A",3,IF(Atletas!J469="Equipe 2 Grupo A",4,IF(Atletas!J469="Equipe 1 Adulto",5,IF(Atletas!J469="Equipe 2 Adulto",6,""))))))))</f>
        <v/>
      </c>
      <c r="BK473" s="52" t="str">
        <f>IF(Atletas!K469="","",IF(Atletas!W469&lt;&gt;"",10000,0)+(IF(Atletas!B469="Feminino",1000,IF(Atletas!B469="Masculino",2000,""))+IF(Atletas!K469="Choylayfut A",1,IF(Atletas!K469="Hunggar A",2,IF(Atletas!K469="Wuzuquan A",3,IF(Atletas!K469="Wingchun A",4,IF(Atletas!K469="Outra Mão de Sul A",5,IF(Atletas!K469="Choylayfut B",6,IF(Atletas!K469="Hunggar B",7,IF(Atletas!K469="Wuzuquan B",8,IF(Atletas!K469="Wingchun B",9,IF(Atletas!K469="Outra Mão de Sul B",10,IF(Atletas!K469="Choylayfut C",11,IF(Atletas!K469="Hunggar C",12,IF(Atletas!K469="Wuzuquan C",13,IF(Atletas!K469="Wingchun C",14,IF(Atletas!K469="Outra Mão de Sul C",15,IF(Atletas!K469="Choylayfut D",16,IF(Atletas!K469="Hunggar D",17,IF(Atletas!K469="Wuzuquan D",18,IF(Atletas!K469="Wingchun D",19,IF(Atletas!K469="Outra Mão de Sul D",20,IF(Atletas!K469="Choylayfut E",21,IF(Atletas!K469="Hunggar E",22,IF(Atletas!K469="Wuzuquan E",23,IF(Atletas!K469="Wingchun E",24,IF(Atletas!K469="Outra Mão de Sul E",25,IF(Atletas!K469="Choylayfut F",26,IF(Atletas!K469="Hunggar F",27,IF(Atletas!K469="Wuzuquan F",28,IF(Atletas!K469="Wingchun F",29,IF(Atletas!K469="Outra Mão de Sul F",30,""))))))))))))))))))))))))))))))))</f>
        <v/>
      </c>
      <c r="BL473" s="52" t="str">
        <f>IF(Atletas!L469="","",IF(Atletas!W469&lt;&gt;"",10000,0)+(IF(Atletas!B469="Feminino",1000,IF(Atletas!B469="Masculino",2000,""))+(IF(Atletas!L469="Chaquan A",101,IF(Atletas!L469="Emeiquan A",102,IF(Atletas!L469="Fanziquan A",103,IF(Atletas!L469="Huaquan A",104,IF(Atletas!L469="Hongquan A",105,IF(Atletas!L469="Paochui A",106,IF(Atletas!L469="Piguaquan A",107,IF(Atletas!L469="Shaolinquan A",108,IF(Atletas!L469="Tanglangquan A",109,IF(Atletas!L469="Yinzhaophai A",110,IF(Atletas!L469="Tongbeiquan A",111,IF(Atletas!L469="Wudangquan A",112,IF(Atletas!L469="Outros Estilos A",113,IF(Atletas!L469="Chaquan B",114,IF(Atletas!L469="Emeiquan B",115,IF(Atletas!L469="Fanziquan B",116,IF(Atletas!L469="Huaquan B",117,IF(Atletas!L469="Hongquan B",118,IF(Atletas!L469="Paochui B",119,IF(Atletas!L469="Piguaquan B",120,IF(Atletas!L469="Shaolinquan B",121,IF(Atletas!L469="Tanglangquan B",122,IF(Atletas!L469="Yinzhaophai B",123,IF(Atletas!L469="Tongbeiquan B",124,IF(Atletas!L469="Wudangquan B",125,IF(Atletas!L469="Outros Estilos B",126,IF(Atletas!L469="Chaquan C",127,IF(Atletas!L469="Emeiquan C",128,IF(Atletas!L469="Fanziquan C",129,IF(Atletas!L469="Huaquan C",130,IF(Atletas!L469="Hongquan C",131,IF(Atletas!L469="Paochui C",132,IF(Atletas!L469="Piguaquan C",133,IF(Atletas!L469="Shaolinquan C",134,IF(Atletas!L469="Tanglangquan C",135,IF(Atletas!L469="Yinzhaophai C",136,IF(Atletas!L469="Tongbeiquan C",137,IF(Atletas!L469="Wudangquan C",138,IF(Atletas!L469="Outros Estilos C",139,0))))))))))))))))))))))))))))))))))))))))))</f>
        <v/>
      </c>
      <c r="BM473" s="52" t="str">
        <f>IF(Atletas!L469="","",IF(Atletas!W469&lt;&gt;"",10000,0)+(IF(Atletas!B469="Feminino",1000,IF(Atletas!B469="Masculino",2000,""))+(IF(Atletas!L469="Chaquan D",140,IF(Atletas!L469="Emeiquan D",141,IF(Atletas!L469="Fanziquan D",142,IF(Atletas!L469="Huaquan D",143,IF(Atletas!L469="Hongquan D",144,IF(Atletas!L469="Paochui D",145,IF(Atletas!L469="Piguaquan D",146,IF(Atletas!L469="Shaolinquan D",147,IF(Atletas!L469="Tanglangquan D",148,IF(Atletas!L469="Yinzhaophai D",149,IF(Atletas!L469="Tongbeiquan D",150,IF(Atletas!L469="Wudangquan D",151,IF(Atletas!L469="Outros Estilos D",152,IF(Atletas!L469="Chaquan E",153,IF(Atletas!L469="Emeiquan E",154,IF(Atletas!L469="Fanziquan E",155,IF(Atletas!L469="Huaquan E",156,IF(Atletas!L469="Hongquan E",157,IF(Atletas!L469="Paochui E",158,IF(Atletas!L469="Piguaquan E",159,IF(Atletas!L469="Shaolinquan E",160,IF(Atletas!L469="Tanglangquan E",161,IF(Atletas!L469="Yinzhaophai E",162,IF(Atletas!L469="Tongbeiquan E",163,IF(Atletas!L469="Wudangquan E",164,IF(Atletas!L469="Outros Estilos E",165,IF(Atletas!L469="Chaquan F",166,IF(Atletas!L469="Emeiquan F",167,IF(Atletas!L469="Fanziquan F",168,IF(Atletas!L469="Huaquan F",169,IF(Atletas!L469="Hongquan F",170,IF(Atletas!L469="Paochui F",171,IF(Atletas!L469="Piguaquan F",172,IF(Atletas!L469="Shaolinquan F",173,IF(Atletas!L469="Tanglangquan F",174,IF(Atletas!L469="Yinzhaophai F",175,IF(Atletas!L469="Tongbeiquan F",176,IF(Atletas!L469="Wudangquan F",177,IF(Atletas!L469="Outros Estilos F",178,0))))))))))))))))))))))))))))))))))))))))))</f>
        <v/>
      </c>
      <c r="BN473" s="52" t="str">
        <f>IF(Atletas!M469="","",IF(Atletas!W469&lt;&gt;"",10000,0)+(IF(Atletas!B469="Feminino",1000,IF(Atletas!B469="Masculino",2000,""))+(IF(Atletas!M469="Ditangquan A",201,IF(Atletas!M469="Houquan A",202,IF(Atletas!M469="Zuiquan A",203,IF(Atletas!M469="Ditangquan B",204,IF(Atletas!M469="Houquan B",205,IF(Atletas!M469="Zuiquan B",206,IF(Atletas!M469="Ditangquan C",207,IF(Atletas!M469="Houquan C",208,IF(Atletas!M469="Zuiquan C",209,IF(Atletas!M469="Ditangquan D",210,IF(Atletas!M469="Houquan D",211,IF(Atletas!M469="Zuiquan D",212,IF(Atletas!M469="Ditangquan E",213,IF(Atletas!M469="Houquan E",214,IF(Atletas!M469="Zuiquan E",215,IF(Atletas!M469="Ditangquan F",216,IF(Atletas!M469="Houquan F",217,IF(Atletas!M469="Zuiquan F",218,"")))))))))))))))))))))</f>
        <v/>
      </c>
      <c r="BO473" s="52" t="str">
        <f>IF(Atletas!N469="","",IF(Atletas!W469&lt;&gt;"",10000,0)+IF(Atletas!B469="Feminino",1000,IF(Atletas!B469="Masculino",2000,""))+IF(Atletas!N469="Yang A",301,IF(Atletas!N469="Chen A",30,IF(Atletas!N469="Sun A",303,IF(Atletas!N469="Wu A",304,IF(Atletas!N469="Wu-Hao A",305,IF(Atletas!N469="Outro Taijiquan A",306,IF(Atletas!N469="Yang B",307,IF(Atletas!N469="Chen B",308,IF(Atletas!N469="Sun B",309,IF(Atletas!N469="Wu B",310,IF(Atletas!N469="Wu-Hao B",311,IF(Atletas!N469="Outro Taijiquan B",312,IF(Atletas!N469="Yang C",313,IF(Atletas!N469="Chen C",314,IF(Atletas!N469="Sun C",315,IF(Atletas!N469="Wu C",316,IF(Atletas!N469="Wu-Hao C",317,IF(Atletas!N469="Outro Taijiquan C",318,IF(Atletas!N469="Yang D",319,IF(Atletas!N469="Chen D",320,IF(Atletas!N469="Sun D",321,IF(Atletas!N469="Wu D",322,IF(Atletas!N469="Wu-Hao D",323,IF(Atletas!N469="Outro Taijiquan D",324,IF(Atletas!N469="Yang E",325,IF(Atletas!N469="Chen E",326,IF(Atletas!N469="Sun E",327,IF(Atletas!N469="Wu E",328,IF(Atletas!N469="Wu-Hao E",329,IF(Atletas!N469="Outro Taijiquan E",330,IF(Atletas!N469="Yang F",331,IF(Atletas!N469="Chen F",332,IF(Atletas!N469="Sun F",333,IF(Atletas!N469="Wu F",334,IF(Atletas!N469="Wu-Hao F",335,IF(Atletas!N469="Outro Taijiquan F",336,"")))))))))))))))))))))))))))))))))))))</f>
        <v/>
      </c>
      <c r="BP473" s="52" t="str">
        <f>IF(Atletas!O469="","",IF(Atletas!W469&lt;&gt;"",10000,0)+IF(Atletas!B469="Feminino",1000,IF(Atletas!B469="Masculino",2000,""))+IF(OR(Atletas!O469="Yang 26 A",Atletas!O469="Yang 40 A"),401,IF(OR(Atletas!O469="Chen 25 A",Atletas!O469="Chen 36 A",Atletas!O469="Chen 56 A"),402,IF(Atletas!O469="Sun 73 A",403,IF(Atletas!O469="Wu 45 A",404,IF(Atletas!O469="Wu-Hao 46 A",405,IF(OR(Atletas!O469="Taijiquan 16 A",Atletas!O469="Taijiquan 24 A",Atletas!O469="Taijiquan 32 A",Atletas!O469="Taijiquan 42 A"),406,IF(OR(Atletas!O469="Yang 26 B",Atletas!O469="Yang 40 B"),407,IF(OR(Atletas!O469="Chen 25 B",Atletas!O469="Chen 36 B",Atletas!O469="Chen 56 B"),408,IF(Atletas!O469="Sun 73 B",409,IF(Atletas!O469="Wu 45 B",410,IF(Atletas!O469="Wu-Hao 46 B",411,IF(OR(Atletas!O469="Taijiquan 16 B",Atletas!O469="Taijiquan 24 B",Atletas!O469="Taijiquan 32 B",Atletas!O469="Taijiquan 42 B"),412,IF(OR(Atletas!O469="Yang 26 C",Atletas!O469="Yang 40 C"),413,IF(OR(Atletas!O469="Chen 25 C",Atletas!O469="Chen 36 C",Atletas!O469="Chen 56 C"),414,IF(Atletas!O469="Sun 73 C",415,IF(Atletas!O469="Wu 45 C",416,IF(Atletas!O469="Wu-Hao 46 C",417,IF(OR(Atletas!O469="Taijiquan 16 C",Atletas!O469="Taijiquan 24 C",Atletas!O469="Taijiquan 32 C",Atletas!O469="Taijiquan 42 C"),418,0)))))))))))))))))))</f>
        <v/>
      </c>
      <c r="BQ473" s="52" t="str">
        <f>IF(Atletas!O469="","",IF(Atletas!W469&lt;&gt;"",10000,0)+IF(Atletas!B469="Feminino",1000,IF(Atletas!B469="Masculino",2000,""))+IF(OR(Atletas!O469="Yang 26 D",Atletas!O469="Yang 40 D"),419,IF(OR(Atletas!O469="Chen 25 D",Atletas!O469="Chen 36 D",Atletas!O469="Chen 56 D"),420,IF(Atletas!O469="Sun 73 D",421,IF(Atletas!O469="Wu 45 D",422,IF(Atletas!O469="Wu-Hao 46 D",423,IF(OR(Atletas!O469="Taijiquan 16 D",Atletas!O469="Taijiquan 24 D",Atletas!O469="Taijiquan 32 D",Atletas!O469="Taijiquan 42 D"),424,IF(OR(Atletas!O469="Yang 26 E",Atletas!O469="Yang 40 E"),425,IF(OR(Atletas!O469="Chen 25 E",Atletas!O469="Chen 36 E",Atletas!O469="Chen 56 E"),426,IF(Atletas!O469="Sun 73 E",427,IF(Atletas!O469="Wu 45 E",428,IF(Atletas!O469="Wu-Hao 46 E",429,IF(OR(Atletas!O469="Taijiquan 16 E",Atletas!O469="Taijiquan 24 E",Atletas!O469="Taijiquan 32 E",Atletas!O469="Taijiquan 42 E"),430,IF(OR(Atletas!O469="Yang 26 F",Atletas!O469="Yang 40 F"),431,IF(OR(Atletas!O469="Chen 25 F",Atletas!O469="Chen 36 F",Atletas!O469="Chen 56 F"),432,IF(Atletas!O469="Sun 73 F",433,IF(Atletas!O469="Wu 45 F",434,IF(Atletas!O469="Wu-Hao 46 F",435,IF(OR(Atletas!O469="Taijiquan 16 F",Atletas!O469="Taijiquan 24 F",Atletas!O469="Taijiquan 32 F",Atletas!O469="Taijiquan 42 F"),436,0)))))))))))))))))))</f>
        <v/>
      </c>
      <c r="BR473" s="52" t="str">
        <f>IF(Atletas!P469="","",IF(Atletas!W469&lt;&gt;"",10000,0)+IF(Atletas!B469="Feminino",1000,IF(Atletas!B469="Masculino",2000,""))+IF(Atletas!P469="Xingyiquan A",501,IF(Atletas!P469="Baguazhang A",502,IF(Atletas!P469="Outro Estilo Interno A",503,IF(Atletas!P469="Xingyiquan B",504,IF(Atletas!P469="Baguazhang B",505,IF(Atletas!P469="Outro Estilo Interno B",506,IF(Atletas!P469="Xingyiquan C",507,IF(Atletas!P469="Baguazhang C",508,IF(Atletas!P469="Outro Estilo Interno C",509,IF(Atletas!P469="Xingyiquan D",510,IF(Atletas!P469="Baguazhang D",511,IF(Atletas!P469="Outro Estilo Interno D",512,IF(Atletas!P469="Xingyiquan E",513,IF(Atletas!P469="Baguazhang E",514,IF(Atletas!P469="Outro Estilo Interno E",515,IF(Atletas!P469="Xingyiquan F",516,IF(Atletas!P469="Baguazhang F",517,IF(Atletas!P469="Outro Estilo Interno F",518, "")))))))))))))))))))</f>
        <v/>
      </c>
      <c r="BS473" s="52" t="str">
        <f>IF(Atletas!Q469="","",IF(Atletas!W469&lt;&gt;"",10000,0)+IF(Atletas!B469="Feminino",1000,IF(Atletas!B469="Masculino",2000,""))+IF(Atletas!Q469="Dao A",601,IF(Atletas!Q469="Jian A",602,IF(Atletas!Q469="Bishou A",603,IF(Atletas!Q469="Shan A",604,IF(Atletas!Q469="Outra Arma Curta A",605,IF(Atletas!Q469="Dao B",606,IF(Atletas!Q469="Jian B",607,IF(Atletas!Q469="Bishou B",608,IF(Atletas!Q469="Shan B",609,IF(Atletas!Q469="Outra Arma Curta B",610,IF(Atletas!Q469="Dao C",611,IF(Atletas!Q469="Jian C",612,IF(Atletas!Q469="Bishou C",613,IF(Atletas!Q469="Shan C",614,IF(Atletas!Q469="Outra Arma Curta C",615,IF(Atletas!Q469="Dao D",616,IF(Atletas!Q469="Jian D",617,IF(Atletas!Q469="Bishou D",618,IF(Atletas!Q469="Shan D",619,IF(Atletas!Q469="Outra Arma Curta D",620,IF(Atletas!Q469="Dao E",621,IF(Atletas!Q469="Jian E",622,IF(Atletas!Q469="Bishou E",623,IF(Atletas!Q469="Shan E",624,IF(Atletas!Q469="Outra Arma Curta E",625,IF(Atletas!Q469="Dao F",626,IF(Atletas!Q469="Jian F",627,IF(Atletas!Q469="Bishou F",628,IF(Atletas!Q469="Shan F",629,IF(Atletas!Q469="Outra Arma Curta F",630, "")))))))))))))))))))))))))))))))</f>
        <v/>
      </c>
      <c r="BT473" s="52" t="str">
        <f>IF(Atletas!R469="","",IF(Atletas!W469&lt;&gt;"",10000,0)+IF(Atletas!B469="Feminino",1000,IF(Atletas!B469="Masculino",2000,""))+IF(Atletas!R469="Gun A",701,IF(Atletas!R469="Qiang A",702,IF(Atletas!R469="Pudao / Guandao A",703,IF(Atletas!R469="Outra Arma Longa A",704,IF(Atletas!R469="Gun B",705,IF(Atletas!R469="Qiang B",706,IF(Atletas!R469="Pudao / Guandao B",707,IF(Atletas!R469="Outra Arma Longa B",708,IF(Atletas!R469="Gun C",709,IF(Atletas!R469="Qiang C",710,IF(Atletas!R469="Pudao / Guandao C",711,IF(Atletas!R469="Outra Arma Longa C",712,IF(Atletas!R469="Gun D",713,IF(Atletas!R469="Qiang D",714,IF(Atletas!R469="Pudao / Guandao D",715,IF(Atletas!R469="Outra Arma Longa D",716,IF(Atletas!R469="Gun E",717,IF(Atletas!R469="Qiang E",718,IF(Atletas!R469="Pudao / Guandao E",719,IF(Atletas!R469="Outra Arma Longa E",720,IF(Atletas!R469="Gun F",721,IF(Atletas!R469="Qiang F",722,IF(Atletas!R469="Pudao / Guandao F",723,IF(Atletas!R469="Outra Arma Longa F",724,"")))))))))))))))))))))))))</f>
        <v/>
      </c>
      <c r="BU473" s="52" t="str">
        <f>IF(Atletas!S469="","",IF(Atletas!W469&lt;&gt;"",10000,0)+IF(Atletas!B469="Feminino",1000,IF(Atletas!B469="Masculino",2000,""))+IF(Atletas!S469="Arma Dupla A",801,IF(Atletas!S469="Arma Maleável A",802,IF(Atletas!S469="Arma Dupla B",803,IF(Atletas!S469="Arma Maleável B",804,IF(Atletas!S469="Arma Dupla C",805,IF(Atletas!S469="Arma Maleável C",806,IF(Atletas!S469="Arma Dupla D",807,IF(Atletas!S469="Arma Maleável D",808,IF(Atletas!S469="Arma Dupla E",809,IF(Atletas!S469="Arma Maleável E",810,IF(Atletas!S469="Arma Dupla F",811,IF(Atletas!S469="Arma Maleável F",812, "")))))))))))))</f>
        <v/>
      </c>
      <c r="BV473" s="52" t="str">
        <f>IF(Atletas!T469="","",IF(Atletas!W469&lt;&gt;"",10000,0)+IF(Atletas!B469="Feminino",1000,IF(Atletas!B469="Masculino",2000,""))+IF(Atletas!T469="Taijijian Yang A",901,IF(Atletas!T469="Taijijian Chen A",902,IF(Atletas!T469="Taijijian Sun A",903,IF(Atletas!T469="Taijijian Wu A",904,IF(Atletas!T469="Taijijian Wu-Hao A",905,IF(Atletas!T469="Taijijian 32 A",906,IF(Atletas!T469="Taijijian 42 A",907,IF(Atletas!T469="Taijijian Yang B",908,IF(Atletas!T469="Taijijian Chen B",909,IF(Atletas!T469="Taijijian Sun B",910,IF(Atletas!T469="Taijijian Wu B",911,IF(Atletas!T469="Taijijian Wu-Hao B",912,IF(Atletas!T469="Taijijian 32 B",913,IF(Atletas!T469="Taijijian 42 B",914,IF(Atletas!T469="Taijijian Yang C",915,IF(Atletas!T469="Taijijian Chen C",916,IF(Atletas!T469="Taijijian Sun C",917,IF(Atletas!T469="Taijijian Wu C",918,IF(Atletas!T469="Taijijian Wu-Hao C",919,IF(Atletas!T469="Taijijian 32 C",920,IF(Atletas!T469="Taijijian 42 C",921,IF(Atletas!T469="Taijijian Yang D",922,IF(Atletas!T469="Taijijian Chen D",923,IF(Atletas!T469="Taijijian Sun D",924,IF(Atletas!T469="Taijijian Wu D",925,IF(Atletas!T469="Taijijian Wu-Hao D",926,IF(Atletas!T469="Taijijian 32 D",927,IF(Atletas!T469="Taijijian 42 D",928,IF(Atletas!T469="Taijijian Yang E",929,IF(Atletas!T469="Taijijian Chen E",930,IF(Atletas!T469="Taijijian Sun E",931,IF(Atletas!T469="Taijijian Wu E",932,IF(Atletas!T469="Taijijian Wu-Hao E",933,IF(Atletas!T469="Taijijian 32 E",934,IF(Atletas!T469="Taijijian 42 E",935,IF(Atletas!T469="Taijijian Yang F",936,IF(Atletas!T469="Taijijian Chen F",937,IF(Atletas!T469="Taijijian Sun F",938,IF(Atletas!T469="Taijijian Wu F",939,IF(Atletas!T469="Taijijian Wu-Hao F",940,IF(Atletas!T469="Taijijian 32 F",941,IF(Atletas!T469="Taijijian 42 F",942,"")))))))))))))))))))))))))))))))))))))))))))</f>
        <v/>
      </c>
      <c r="BW473" s="52" t="str">
        <f>IF(Atletas!U469="","",IF(Atletas!W469&lt;&gt;"",10000,0)+IF(Atletas!B469="Feminino",1000,IF(Atletas!B469="Masculino",2000,""))+IF(Atletas!T469="Taijijian 42 F",942,IF(Atletas!U469="Taijidao A",943,IF(Atletas!U469="Taijishan A",944,IF(Atletas!U469="Taijiqiang A",945,IF(Atletas!U469="Taijidao B",946,IF(Atletas!U469="Taijishan B",947,IF(Atletas!U469="Taijiqiang B",948,IF(Atletas!U469="Taijidao C",949,IF(Atletas!U469="Taijishan C",950,IF(Atletas!U469="Taijiqiang C",951,IF(Atletas!U469="Taijidao D",952,IF(Atletas!U469="Taijishan D",953,IF(Atletas!U469="Taijiqiang D",954,IF(Atletas!U469="Taijidao E",955,IF(Atletas!U469="Taijishan E",956,IF(Atletas!U469="Taijiqiang E",957,IF(Atletas!U469="Taijidao F",958,IF(Atletas!U469="Taijishan F",959,IF(Atletas!U469="Taijiqiang F",960))))))))))))))))))))</f>
        <v/>
      </c>
      <c r="CF473" s="52" t="str">
        <f xml:space="preserve"> IF(Atletas!V469="","",IF(Atletas!V469="Duilian de Mãos AB - Equipe 1",1,IF(Atletas!V469="Duilian de Mãos AB - Equipe 2",2,IF(Atletas!V469="Duilian de Armas AB - Equipe 1",3,IF(Atletas!V469="Duilian de Armas AB - Equipe 2",4,IF(Atletas!V469="Duilian de Tuishou - Equipe 1",5,IF(Atletas!V469="Duilian de Tuishou - Equipe 2",6,IF(Atletas!V469="Grupo Externo AB - Equipe 1",7,IF(Atletas!V469="Grupo Externo AB - Equipe 2",8,IF(Atletas!V469="Grupo Interno AB - Equipe 1",9,IF(Atletas!V469="Grupo Interno AB - Equipe 2",10,IF(Atletas!V469="Duilian de Mãos CD - Equipe 1",11,IF(Atletas!V469="Duilian de Mãos CD - Equipe 2",12,IF(Atletas!V469="Duilian de Armas CD - Equipe 1",13,IF(Atletas!V469="Duilian de Armas CD - Equipe 2",14,IF(Atletas!V469="Duilian de Tuishou - Equipe 1",15,IF(Atletas!V469="Duilian de Tuishou - Equipe 2",16,IF(Atletas!V469="Grupo Externo CDEF - Equipe 1",17,IF(Atletas!V469="Grupo Externo CDEF - Equipe 2",18,IF(Atletas!V469="Grupo Interno CDEF - Equipe 1",19,IF(Atletas!V469="Grupo Interno CDEF - Equipe 2",20,IF(Atletas!V469="Duilian de Mãos EF - Equipe 1",21,IF(Atletas!V469="Duilian de Mãos EF - Equipe 2",22,IF(Atletas!V469="Duilian de Armas EF - Equipe 1",23,IF(Atletas!V469="Duilian de Armas EF - Equipe 2",24,IF(Atletas!V469="Duilian de Tuishou - Equipe 1",25,IF(Atletas!V469="Duilian de Tuishou - Equipe 2",26,"")))))))))))))))))))))))))))</f>
        <v/>
      </c>
    </row>
    <row r="474" spans="36:84">
      <c r="AJ474" s="46" t="str">
        <f>IF(Atletas!D470="","",IF(Atletas!B470="Feminino",100,IF(Atletas!B470="Masculino",200,""))+(IF(Atletas!D470="Infantil 39kg",1,IF(Atletas!D470="Infantil 42kg",2,IF(Atletas!D470="Infantil 45kg",3,IF(Atletas!D470="Infantil 48kg",4,IF(Atletas!D470="Infantil 52kg",5,IF(Atletas!D470="Infantil 56kg",6,IF(Atletas!D470="Infantil 60kg",7,IF(Atletas!D470="Juvenil 48kg",8,IF(Atletas!D470="Juvenil 52kg",9,IF(Atletas!D470="Juvenil 56kg",10,IF(Atletas!D470="Juvenil 60kg",11,IF(Atletas!D470="Juvenil 65kg",12,IF(Atletas!D470="Juvenil 70kg",13,IF(Atletas!D470="Juvenil 75kg",14,IF(Atletas!D470="Juvenil 80kg",15,IF(Atletas!D470="Adulto 48kg",16,IF(Atletas!D470="Adulto 52kg",17,IF(Atletas!D470="Adulto 56kg",18,IF(Atletas!D470="Adulto 60kg",19,IF(Atletas!D470="Adulto 65kg",20,IF(Atletas!D470="Adulto 70kg",21,IF(Atletas!D470="Adulto 75kg",22,IF(Atletas!D470="Adulto 80kg",23,IF(Atletas!D470="Adulto 85kg",24,IF(Atletas!D470="Adulto 90kg",25,IF(Atletas!D470="Adulto +90kg",26,""))))))))))))))))))))))))))))</f>
        <v/>
      </c>
      <c r="AO474" s="10" t="str">
        <f>IF(Atletas!E470="","",IF(Atletas!B470="Feminino",100,IF(Atletas!B470="Masculino",200,""))+(IF(Atletas!E470="Juvenil 44kg",1,IF(Atletas!E470="Juvenil 48kg",2,IF(Atletas!E470="Juvenil 52kg",3,IF(Atletas!E470="Juvenil 56kg",4,IF(Atletas!E470="Juvenil 60kg",5,IF(Atletas!E470="Juvenil 65kg",6,IF(Atletas!E470="Juvenil 70kg",7,IF(Atletas!E470="Juvenil 75kg",8,IF(Atletas!E470="Juvenil 82kg",9,IF(Atletas!E470="Juvenil 90kg",10,IF(Atletas!E470="Juvenil 100kg",11,IF(Atletas!E470="Adulto 48kg",12,IF(Atletas!E470="Adulto 52kg",13,IF(Atletas!E470="Adulto 56kg",14,IF(Atletas!E470="Adulto 60kg",15,IF(Atletas!E470="Adulto 65kg",16,IF(Atletas!E470="Adulto 70kg",17,IF(Atletas!E470="Adulto 75kg",18,IF(Atletas!E470="Adulto 82kg",19,IF(Atletas!E470="Adulto 90kg",20,IF(Atletas!E470="Adulto 100kg",21,IF(Atletas!E470="Adulto +100kg",22,""))))))))))))))))))))))))</f>
        <v/>
      </c>
      <c r="AT474" s="10" t="str">
        <f>IF(Atletas!F470="","",IF(Atletas!B470="Feminino",100,IF(Atletas!B470="Masculino",200,""))+(IF(Atletas!F470="Adulto 48kg",1,IF(Atletas!F470="Adulto 56kg",2,IF(Atletas!F470="Adulto 65kg",3,IF(Atletas!F470="Adulto 75kg",4,IF(Atletas!F470="Adulto +75kg",5,IF(Atletas!F470="Adulto 52kg",6,IF(Atletas!F470="Adulto 60kg",7,IF(Atletas!F470="Adulto 70kg",8,IF(Atletas!F470="Adulto 80kg",9,IF(Atletas!F470="Adulto 90kg",10,IF(Atletas!F470="Adulto +90kg",11,"")))))))))))))</f>
        <v/>
      </c>
      <c r="AY474" s="46" t="str">
        <f>IF(Atletas!G470="","",IF(Atletas!B470="Feminino",100,IF(Atletas!B470="Masculino",200,""))+(IF(Atletas!G470="Changquan Mirim",1,IF(Atletas!G470="Nanquan Mirim",2,IF(Atletas!G470="Taijiquan Mirim",3,IF(Atletas!G470="Changquan Grupo C",4,IF(Atletas!G470="Nanquan Grupo C",5,IF(Atletas!G470="Taijiquan Grupo C",6,IF(Atletas!G470="Changquan Grupo B",7,IF(Atletas!G470="Nanquan Grupo B",8,IF(Atletas!G470="Taijiquan Grupo B",9,IF(Atletas!G470="Changquan Grupo A",10,IF(Atletas!G470="Nanquan Grupo A",11,IF(Atletas!G470="Taijiquan Grupo A",12,IF(Atletas!G470="Changquan Opcional",13,IF(Atletas!G470="Nanquan Opcional",14,IF(Atletas!G470="Taijiquan Opcional",15,IF(Atletas!G470="Changquan Adulto",16,IF(Atletas!G470="Nanquan Adulto",17,IF(Atletas!G470="Taijiquan Adulto",18,""))))))))))))))))))))</f>
        <v/>
      </c>
      <c r="AZ474" s="46" t="str">
        <f>IF(Atletas!H470="","",IF(Atletas!B470="Feminino",100,IF(Atletas!B470="Masculino",200,""))+(IF(Atletas!H470="Daoshu Mirim",19,IF(Atletas!H470="Jianshu Mirim",20,IF(Atletas!H470="Nandao Mirim",21,IF(Atletas!H470="Taijijian Mirim",22,IF(Atletas!H470="Daoshu Grupo C",23,IF(Atletas!H470="Jianshu Grupo C",24,IF(Atletas!H470="Nandao Grupo C",25,IF(Atletas!H470="Taijijian Grupo C",26,IF(Atletas!H470="Daoshu Grupo B",27,IF(Atletas!H470="Jianshu Grupo B",28,IF(Atletas!H470="Nandao Grupo B",29,IF(Atletas!H470="Taijijian Grupo B",30,IF(Atletas!H470="Daoshu Grupo A",31,IF(Atletas!H470="Jianshu Grupo A",32,IF(Atletas!H470="Nandao Grupo A",33,IF(Atletas!H470="Taijijian Grupo A",34,IF(Atletas!H470="Daoshu Opcional",35,IF(Atletas!H470="Jianshu Opcional",36,IF(Atletas!H470="Nandao Opcional",37,IF(Atletas!H470="Taijijian Opcional",38,IF(Atletas!H470="Daoshu Adulto",39,IF(Atletas!H470="Jianshu Adulto",40,IF(Atletas!H470="Nandao Adulto",41,IF(Atletas!H470="Taijijian Adulto",42,""))))))))))))))))))))))))))</f>
        <v/>
      </c>
      <c r="BA474" s="46" t="str">
        <f>IF(Atletas!I470="","",IF(Atletas!B470="Feminino",100,IF(Atletas!B470="Masculino",200,""))+(IF(Atletas!I470="Gunshu Mirim",43,IF(Atletas!I470="Qiangshu Mirim",44,IF(Atletas!I470="Nangun Mirim",45,IF(Atletas!I470="Gunshu Grupo C",46,IF(Atletas!I470="Qiangshu Grupo C",47,IF(Atletas!I470="Nangun Grupo C",48,IF(Atletas!I470="Gunshu Grupo B",49,IF(Atletas!I470="Qiangshu Grupo B",50,IF(Atletas!I470="Nangun Grupo B",51,IF(Atletas!I470="Gunshu Grupo A",52,IF(Atletas!I470="Qiangshu Grupo A",53,IF(Atletas!I470="Nangun Grupo A",54,IF(Atletas!I470="Gunshu Opcional",55,IF(Atletas!I470="Qiangshu Opcional",56,IF(Atletas!I470="Nangun Opcional",57,IF(Atletas!I470="Gunshu Adulto",58,IF(Atletas!I470="Qiangshu Adulto",59,IF(Atletas!I470="Nangun Adulto",60,""))))))))))))))))))))</f>
        <v/>
      </c>
      <c r="BF474" s="52" t="str">
        <f>IF(Atletas!J470="","",IF(Atletas!B470="Feminino",100,IF(Atletas!B470="Masculino",200,""))+(IF(Atletas!J470="Equipe 1 Grupo B",1,IF(Atletas!J470="Equipe 2 Grupo B",2,IF(Atletas!J470="Equipe 1 Grupo A",3,IF(Atletas!J470="Equipe 2 Grupo A",4,IF(Atletas!J470="Equipe 1 Adulto",5,IF(Atletas!J470="Equipe 2 Adulto",6,""))))))))</f>
        <v/>
      </c>
      <c r="BK474" s="52" t="str">
        <f>IF(Atletas!K470="","",IF(Atletas!W470&lt;&gt;"",10000,0)+(IF(Atletas!B470="Feminino",1000,IF(Atletas!B470="Masculino",2000,""))+IF(Atletas!K470="Choylayfut A",1,IF(Atletas!K470="Hunggar A",2,IF(Atletas!K470="Wuzuquan A",3,IF(Atletas!K470="Wingchun A",4,IF(Atletas!K470="Outra Mão de Sul A",5,IF(Atletas!K470="Choylayfut B",6,IF(Atletas!K470="Hunggar B",7,IF(Atletas!K470="Wuzuquan B",8,IF(Atletas!K470="Wingchun B",9,IF(Atletas!K470="Outra Mão de Sul B",10,IF(Atletas!K470="Choylayfut C",11,IF(Atletas!K470="Hunggar C",12,IF(Atletas!K470="Wuzuquan C",13,IF(Atletas!K470="Wingchun C",14,IF(Atletas!K470="Outra Mão de Sul C",15,IF(Atletas!K470="Choylayfut D",16,IF(Atletas!K470="Hunggar D",17,IF(Atletas!K470="Wuzuquan D",18,IF(Atletas!K470="Wingchun D",19,IF(Atletas!K470="Outra Mão de Sul D",20,IF(Atletas!K470="Choylayfut E",21,IF(Atletas!K470="Hunggar E",22,IF(Atletas!K470="Wuzuquan E",23,IF(Atletas!K470="Wingchun E",24,IF(Atletas!K470="Outra Mão de Sul E",25,IF(Atletas!K470="Choylayfut F",26,IF(Atletas!K470="Hunggar F",27,IF(Atletas!K470="Wuzuquan F",28,IF(Atletas!K470="Wingchun F",29,IF(Atletas!K470="Outra Mão de Sul F",30,""))))))))))))))))))))))))))))))))</f>
        <v/>
      </c>
      <c r="BL474" s="52" t="str">
        <f>IF(Atletas!L470="","",IF(Atletas!W470&lt;&gt;"",10000,0)+(IF(Atletas!B470="Feminino",1000,IF(Atletas!B470="Masculino",2000,""))+(IF(Atletas!L470="Chaquan A",101,IF(Atletas!L470="Emeiquan A",102,IF(Atletas!L470="Fanziquan A",103,IF(Atletas!L470="Huaquan A",104,IF(Atletas!L470="Hongquan A",105,IF(Atletas!L470="Paochui A",106,IF(Atletas!L470="Piguaquan A",107,IF(Atletas!L470="Shaolinquan A",108,IF(Atletas!L470="Tanglangquan A",109,IF(Atletas!L470="Yinzhaophai A",110,IF(Atletas!L470="Tongbeiquan A",111,IF(Atletas!L470="Wudangquan A",112,IF(Atletas!L470="Outros Estilos A",113,IF(Atletas!L470="Chaquan B",114,IF(Atletas!L470="Emeiquan B",115,IF(Atletas!L470="Fanziquan B",116,IF(Atletas!L470="Huaquan B",117,IF(Atletas!L470="Hongquan B",118,IF(Atletas!L470="Paochui B",119,IF(Atletas!L470="Piguaquan B",120,IF(Atletas!L470="Shaolinquan B",121,IF(Atletas!L470="Tanglangquan B",122,IF(Atletas!L470="Yinzhaophai B",123,IF(Atletas!L470="Tongbeiquan B",124,IF(Atletas!L470="Wudangquan B",125,IF(Atletas!L470="Outros Estilos B",126,IF(Atletas!L470="Chaquan C",127,IF(Atletas!L470="Emeiquan C",128,IF(Atletas!L470="Fanziquan C",129,IF(Atletas!L470="Huaquan C",130,IF(Atletas!L470="Hongquan C",131,IF(Atletas!L470="Paochui C",132,IF(Atletas!L470="Piguaquan C",133,IF(Atletas!L470="Shaolinquan C",134,IF(Atletas!L470="Tanglangquan C",135,IF(Atletas!L470="Yinzhaophai C",136,IF(Atletas!L470="Tongbeiquan C",137,IF(Atletas!L470="Wudangquan C",138,IF(Atletas!L470="Outros Estilos C",139,0))))))))))))))))))))))))))))))))))))))))))</f>
        <v/>
      </c>
      <c r="BM474" s="52" t="str">
        <f>IF(Atletas!L470="","",IF(Atletas!W470&lt;&gt;"",10000,0)+(IF(Atletas!B470="Feminino",1000,IF(Atletas!B470="Masculino",2000,""))+(IF(Atletas!L470="Chaquan D",140,IF(Atletas!L470="Emeiquan D",141,IF(Atletas!L470="Fanziquan D",142,IF(Atletas!L470="Huaquan D",143,IF(Atletas!L470="Hongquan D",144,IF(Atletas!L470="Paochui D",145,IF(Atletas!L470="Piguaquan D",146,IF(Atletas!L470="Shaolinquan D",147,IF(Atletas!L470="Tanglangquan D",148,IF(Atletas!L470="Yinzhaophai D",149,IF(Atletas!L470="Tongbeiquan D",150,IF(Atletas!L470="Wudangquan D",151,IF(Atletas!L470="Outros Estilos D",152,IF(Atletas!L470="Chaquan E",153,IF(Atletas!L470="Emeiquan E",154,IF(Atletas!L470="Fanziquan E",155,IF(Atletas!L470="Huaquan E",156,IF(Atletas!L470="Hongquan E",157,IF(Atletas!L470="Paochui E",158,IF(Atletas!L470="Piguaquan E",159,IF(Atletas!L470="Shaolinquan E",160,IF(Atletas!L470="Tanglangquan E",161,IF(Atletas!L470="Yinzhaophai E",162,IF(Atletas!L470="Tongbeiquan E",163,IF(Atletas!L470="Wudangquan E",164,IF(Atletas!L470="Outros Estilos E",165,IF(Atletas!L470="Chaquan F",166,IF(Atletas!L470="Emeiquan F",167,IF(Atletas!L470="Fanziquan F",168,IF(Atletas!L470="Huaquan F",169,IF(Atletas!L470="Hongquan F",170,IF(Atletas!L470="Paochui F",171,IF(Atletas!L470="Piguaquan F",172,IF(Atletas!L470="Shaolinquan F",173,IF(Atletas!L470="Tanglangquan F",174,IF(Atletas!L470="Yinzhaophai F",175,IF(Atletas!L470="Tongbeiquan F",176,IF(Atletas!L470="Wudangquan F",177,IF(Atletas!L470="Outros Estilos F",178,0))))))))))))))))))))))))))))))))))))))))))</f>
        <v/>
      </c>
      <c r="BN474" s="52" t="str">
        <f>IF(Atletas!M470="","",IF(Atletas!W470&lt;&gt;"",10000,0)+(IF(Atletas!B470="Feminino",1000,IF(Atletas!B470="Masculino",2000,""))+(IF(Atletas!M470="Ditangquan A",201,IF(Atletas!M470="Houquan A",202,IF(Atletas!M470="Zuiquan A",203,IF(Atletas!M470="Ditangquan B",204,IF(Atletas!M470="Houquan B",205,IF(Atletas!M470="Zuiquan B",206,IF(Atletas!M470="Ditangquan C",207,IF(Atletas!M470="Houquan C",208,IF(Atletas!M470="Zuiquan C",209,IF(Atletas!M470="Ditangquan D",210,IF(Atletas!M470="Houquan D",211,IF(Atletas!M470="Zuiquan D",212,IF(Atletas!M470="Ditangquan E",213,IF(Atletas!M470="Houquan E",214,IF(Atletas!M470="Zuiquan E",215,IF(Atletas!M470="Ditangquan F",216,IF(Atletas!M470="Houquan F",217,IF(Atletas!M470="Zuiquan F",218,"")))))))))))))))))))))</f>
        <v/>
      </c>
      <c r="BO474" s="52" t="str">
        <f>IF(Atletas!N470="","",IF(Atletas!W470&lt;&gt;"",10000,0)+IF(Atletas!B470="Feminino",1000,IF(Atletas!B470="Masculino",2000,""))+IF(Atletas!N470="Yang A",301,IF(Atletas!N470="Chen A",30,IF(Atletas!N470="Sun A",303,IF(Atletas!N470="Wu A",304,IF(Atletas!N470="Wu-Hao A",305,IF(Atletas!N470="Outro Taijiquan A",306,IF(Atletas!N470="Yang B",307,IF(Atletas!N470="Chen B",308,IF(Atletas!N470="Sun B",309,IF(Atletas!N470="Wu B",310,IF(Atletas!N470="Wu-Hao B",311,IF(Atletas!N470="Outro Taijiquan B",312,IF(Atletas!N470="Yang C",313,IF(Atletas!N470="Chen C",314,IF(Atletas!N470="Sun C",315,IF(Atletas!N470="Wu C",316,IF(Atletas!N470="Wu-Hao C",317,IF(Atletas!N470="Outro Taijiquan C",318,IF(Atletas!N470="Yang D",319,IF(Atletas!N470="Chen D",320,IF(Atletas!N470="Sun D",321,IF(Atletas!N470="Wu D",322,IF(Atletas!N470="Wu-Hao D",323,IF(Atletas!N470="Outro Taijiquan D",324,IF(Atletas!N470="Yang E",325,IF(Atletas!N470="Chen E",326,IF(Atletas!N470="Sun E",327,IF(Atletas!N470="Wu E",328,IF(Atletas!N470="Wu-Hao E",329,IF(Atletas!N470="Outro Taijiquan E",330,IF(Atletas!N470="Yang F",331,IF(Atletas!N470="Chen F",332,IF(Atletas!N470="Sun F",333,IF(Atletas!N470="Wu F",334,IF(Atletas!N470="Wu-Hao F",335,IF(Atletas!N470="Outro Taijiquan F",336,"")))))))))))))))))))))))))))))))))))))</f>
        <v/>
      </c>
      <c r="BP474" s="52" t="str">
        <f>IF(Atletas!O470="","",IF(Atletas!W470&lt;&gt;"",10000,0)+IF(Atletas!B470="Feminino",1000,IF(Atletas!B470="Masculino",2000,""))+IF(OR(Atletas!O470="Yang 26 A",Atletas!O470="Yang 40 A"),401,IF(OR(Atletas!O470="Chen 25 A",Atletas!O470="Chen 36 A",Atletas!O470="Chen 56 A"),402,IF(Atletas!O470="Sun 73 A",403,IF(Atletas!O470="Wu 45 A",404,IF(Atletas!O470="Wu-Hao 46 A",405,IF(OR(Atletas!O470="Taijiquan 16 A",Atletas!O470="Taijiquan 24 A",Atletas!O470="Taijiquan 32 A",Atletas!O470="Taijiquan 42 A"),406,IF(OR(Atletas!O470="Yang 26 B",Atletas!O470="Yang 40 B"),407,IF(OR(Atletas!O470="Chen 25 B",Atletas!O470="Chen 36 B",Atletas!O470="Chen 56 B"),408,IF(Atletas!O470="Sun 73 B",409,IF(Atletas!O470="Wu 45 B",410,IF(Atletas!O470="Wu-Hao 46 B",411,IF(OR(Atletas!O470="Taijiquan 16 B",Atletas!O470="Taijiquan 24 B",Atletas!O470="Taijiquan 32 B",Atletas!O470="Taijiquan 42 B"),412,IF(OR(Atletas!O470="Yang 26 C",Atletas!O470="Yang 40 C"),413,IF(OR(Atletas!O470="Chen 25 C",Atletas!O470="Chen 36 C",Atletas!O470="Chen 56 C"),414,IF(Atletas!O470="Sun 73 C",415,IF(Atletas!O470="Wu 45 C",416,IF(Atletas!O470="Wu-Hao 46 C",417,IF(OR(Atletas!O470="Taijiquan 16 C",Atletas!O470="Taijiquan 24 C",Atletas!O470="Taijiquan 32 C",Atletas!O470="Taijiquan 42 C"),418,0)))))))))))))))))))</f>
        <v/>
      </c>
      <c r="BQ474" s="52" t="str">
        <f>IF(Atletas!O470="","",IF(Atletas!W470&lt;&gt;"",10000,0)+IF(Atletas!B470="Feminino",1000,IF(Atletas!B470="Masculino",2000,""))+IF(OR(Atletas!O470="Yang 26 D",Atletas!O470="Yang 40 D"),419,IF(OR(Atletas!O470="Chen 25 D",Atletas!O470="Chen 36 D",Atletas!O470="Chen 56 D"),420,IF(Atletas!O470="Sun 73 D",421,IF(Atletas!O470="Wu 45 D",422,IF(Atletas!O470="Wu-Hao 46 D",423,IF(OR(Atletas!O470="Taijiquan 16 D",Atletas!O470="Taijiquan 24 D",Atletas!O470="Taijiquan 32 D",Atletas!O470="Taijiquan 42 D"),424,IF(OR(Atletas!O470="Yang 26 E",Atletas!O470="Yang 40 E"),425,IF(OR(Atletas!O470="Chen 25 E",Atletas!O470="Chen 36 E",Atletas!O470="Chen 56 E"),426,IF(Atletas!O470="Sun 73 E",427,IF(Atletas!O470="Wu 45 E",428,IF(Atletas!O470="Wu-Hao 46 E",429,IF(OR(Atletas!O470="Taijiquan 16 E",Atletas!O470="Taijiquan 24 E",Atletas!O470="Taijiquan 32 E",Atletas!O470="Taijiquan 42 E"),430,IF(OR(Atletas!O470="Yang 26 F",Atletas!O470="Yang 40 F"),431,IF(OR(Atletas!O470="Chen 25 F",Atletas!O470="Chen 36 F",Atletas!O470="Chen 56 F"),432,IF(Atletas!O470="Sun 73 F",433,IF(Atletas!O470="Wu 45 F",434,IF(Atletas!O470="Wu-Hao 46 F",435,IF(OR(Atletas!O470="Taijiquan 16 F",Atletas!O470="Taijiquan 24 F",Atletas!O470="Taijiquan 32 F",Atletas!O470="Taijiquan 42 F"),436,0)))))))))))))))))))</f>
        <v/>
      </c>
      <c r="BR474" s="52" t="str">
        <f>IF(Atletas!P470="","",IF(Atletas!W470&lt;&gt;"",10000,0)+IF(Atletas!B470="Feminino",1000,IF(Atletas!B470="Masculino",2000,""))+IF(Atletas!P470="Xingyiquan A",501,IF(Atletas!P470="Baguazhang A",502,IF(Atletas!P470="Outro Estilo Interno A",503,IF(Atletas!P470="Xingyiquan B",504,IF(Atletas!P470="Baguazhang B",505,IF(Atletas!P470="Outro Estilo Interno B",506,IF(Atletas!P470="Xingyiquan C",507,IF(Atletas!P470="Baguazhang C",508,IF(Atletas!P470="Outro Estilo Interno C",509,IF(Atletas!P470="Xingyiquan D",510,IF(Atletas!P470="Baguazhang D",511,IF(Atletas!P470="Outro Estilo Interno D",512,IF(Atletas!P470="Xingyiquan E",513,IF(Atletas!P470="Baguazhang E",514,IF(Atletas!P470="Outro Estilo Interno E",515,IF(Atletas!P470="Xingyiquan F",516,IF(Atletas!P470="Baguazhang F",517,IF(Atletas!P470="Outro Estilo Interno F",518, "")))))))))))))))))))</f>
        <v/>
      </c>
      <c r="BS474" s="52" t="str">
        <f>IF(Atletas!Q470="","",IF(Atletas!W470&lt;&gt;"",10000,0)+IF(Atletas!B470="Feminino",1000,IF(Atletas!B470="Masculino",2000,""))+IF(Atletas!Q470="Dao A",601,IF(Atletas!Q470="Jian A",602,IF(Atletas!Q470="Bishou A",603,IF(Atletas!Q470="Shan A",604,IF(Atletas!Q470="Outra Arma Curta A",605,IF(Atletas!Q470="Dao B",606,IF(Atletas!Q470="Jian B",607,IF(Atletas!Q470="Bishou B",608,IF(Atletas!Q470="Shan B",609,IF(Atletas!Q470="Outra Arma Curta B",610,IF(Atletas!Q470="Dao C",611,IF(Atletas!Q470="Jian C",612,IF(Atletas!Q470="Bishou C",613,IF(Atletas!Q470="Shan C",614,IF(Atletas!Q470="Outra Arma Curta C",615,IF(Atletas!Q470="Dao D",616,IF(Atletas!Q470="Jian D",617,IF(Atletas!Q470="Bishou D",618,IF(Atletas!Q470="Shan D",619,IF(Atletas!Q470="Outra Arma Curta D",620,IF(Atletas!Q470="Dao E",621,IF(Atletas!Q470="Jian E",622,IF(Atletas!Q470="Bishou E",623,IF(Atletas!Q470="Shan E",624,IF(Atletas!Q470="Outra Arma Curta E",625,IF(Atletas!Q470="Dao F",626,IF(Atletas!Q470="Jian F",627,IF(Atletas!Q470="Bishou F",628,IF(Atletas!Q470="Shan F",629,IF(Atletas!Q470="Outra Arma Curta F",630, "")))))))))))))))))))))))))))))))</f>
        <v/>
      </c>
      <c r="BT474" s="52" t="str">
        <f>IF(Atletas!R470="","",IF(Atletas!W470&lt;&gt;"",10000,0)+IF(Atletas!B470="Feminino",1000,IF(Atletas!B470="Masculino",2000,""))+IF(Atletas!R470="Gun A",701,IF(Atletas!R470="Qiang A",702,IF(Atletas!R470="Pudao / Guandao A",703,IF(Atletas!R470="Outra Arma Longa A",704,IF(Atletas!R470="Gun B",705,IF(Atletas!R470="Qiang B",706,IF(Atletas!R470="Pudao / Guandao B",707,IF(Atletas!R470="Outra Arma Longa B",708,IF(Atletas!R470="Gun C",709,IF(Atletas!R470="Qiang C",710,IF(Atletas!R470="Pudao / Guandao C",711,IF(Atletas!R470="Outra Arma Longa C",712,IF(Atletas!R470="Gun D",713,IF(Atletas!R470="Qiang D",714,IF(Atletas!R470="Pudao / Guandao D",715,IF(Atletas!R470="Outra Arma Longa D",716,IF(Atletas!R470="Gun E",717,IF(Atletas!R470="Qiang E",718,IF(Atletas!R470="Pudao / Guandao E",719,IF(Atletas!R470="Outra Arma Longa E",720,IF(Atletas!R470="Gun F",721,IF(Atletas!R470="Qiang F",722,IF(Atletas!R470="Pudao / Guandao F",723,IF(Atletas!R470="Outra Arma Longa F",724,"")))))))))))))))))))))))))</f>
        <v/>
      </c>
      <c r="BU474" s="52" t="str">
        <f>IF(Atletas!S470="","",IF(Atletas!W470&lt;&gt;"",10000,0)+IF(Atletas!B470="Feminino",1000,IF(Atletas!B470="Masculino",2000,""))+IF(Atletas!S470="Arma Dupla A",801,IF(Atletas!S470="Arma Maleável A",802,IF(Atletas!S470="Arma Dupla B",803,IF(Atletas!S470="Arma Maleável B",804,IF(Atletas!S470="Arma Dupla C",805,IF(Atletas!S470="Arma Maleável C",806,IF(Atletas!S470="Arma Dupla D",807,IF(Atletas!S470="Arma Maleável D",808,IF(Atletas!S470="Arma Dupla E",809,IF(Atletas!S470="Arma Maleável E",810,IF(Atletas!S470="Arma Dupla F",811,IF(Atletas!S470="Arma Maleável F",812, "")))))))))))))</f>
        <v/>
      </c>
      <c r="BV474" s="52" t="str">
        <f>IF(Atletas!T470="","",IF(Atletas!W470&lt;&gt;"",10000,0)+IF(Atletas!B470="Feminino",1000,IF(Atletas!B470="Masculino",2000,""))+IF(Atletas!T470="Taijijian Yang A",901,IF(Atletas!T470="Taijijian Chen A",902,IF(Atletas!T470="Taijijian Sun A",903,IF(Atletas!T470="Taijijian Wu A",904,IF(Atletas!T470="Taijijian Wu-Hao A",905,IF(Atletas!T470="Taijijian 32 A",906,IF(Atletas!T470="Taijijian 42 A",907,IF(Atletas!T470="Taijijian Yang B",908,IF(Atletas!T470="Taijijian Chen B",909,IF(Atletas!T470="Taijijian Sun B",910,IF(Atletas!T470="Taijijian Wu B",911,IF(Atletas!T470="Taijijian Wu-Hao B",912,IF(Atletas!T470="Taijijian 32 B",913,IF(Atletas!T470="Taijijian 42 B",914,IF(Atletas!T470="Taijijian Yang C",915,IF(Atletas!T470="Taijijian Chen C",916,IF(Atletas!T470="Taijijian Sun C",917,IF(Atletas!T470="Taijijian Wu C",918,IF(Atletas!T470="Taijijian Wu-Hao C",919,IF(Atletas!T470="Taijijian 32 C",920,IF(Atletas!T470="Taijijian 42 C",921,IF(Atletas!T470="Taijijian Yang D",922,IF(Atletas!T470="Taijijian Chen D",923,IF(Atletas!T470="Taijijian Sun D",924,IF(Atletas!T470="Taijijian Wu D",925,IF(Atletas!T470="Taijijian Wu-Hao D",926,IF(Atletas!T470="Taijijian 32 D",927,IF(Atletas!T470="Taijijian 42 D",928,IF(Atletas!T470="Taijijian Yang E",929,IF(Atletas!T470="Taijijian Chen E",930,IF(Atletas!T470="Taijijian Sun E",931,IF(Atletas!T470="Taijijian Wu E",932,IF(Atletas!T470="Taijijian Wu-Hao E",933,IF(Atletas!T470="Taijijian 32 E",934,IF(Atletas!T470="Taijijian 42 E",935,IF(Atletas!T470="Taijijian Yang F",936,IF(Atletas!T470="Taijijian Chen F",937,IF(Atletas!T470="Taijijian Sun F",938,IF(Atletas!T470="Taijijian Wu F",939,IF(Atletas!T470="Taijijian Wu-Hao F",940,IF(Atletas!T470="Taijijian 32 F",941,IF(Atletas!T470="Taijijian 42 F",942,"")))))))))))))))))))))))))))))))))))))))))))</f>
        <v/>
      </c>
      <c r="BW474" s="52" t="str">
        <f>IF(Atletas!U470="","",IF(Atletas!W470&lt;&gt;"",10000,0)+IF(Atletas!B470="Feminino",1000,IF(Atletas!B470="Masculino",2000,""))+IF(Atletas!T470="Taijijian 42 F",942,IF(Atletas!U470="Taijidao A",943,IF(Atletas!U470="Taijishan A",944,IF(Atletas!U470="Taijiqiang A",945,IF(Atletas!U470="Taijidao B",946,IF(Atletas!U470="Taijishan B",947,IF(Atletas!U470="Taijiqiang B",948,IF(Atletas!U470="Taijidao C",949,IF(Atletas!U470="Taijishan C",950,IF(Atletas!U470="Taijiqiang C",951,IF(Atletas!U470="Taijidao D",952,IF(Atletas!U470="Taijishan D",953,IF(Atletas!U470="Taijiqiang D",954,IF(Atletas!U470="Taijidao E",955,IF(Atletas!U470="Taijishan E",956,IF(Atletas!U470="Taijiqiang E",957,IF(Atletas!U470="Taijidao F",958,IF(Atletas!U470="Taijishan F",959,IF(Atletas!U470="Taijiqiang F",960))))))))))))))))))))</f>
        <v/>
      </c>
      <c r="CF474" s="52" t="str">
        <f xml:space="preserve"> IF(Atletas!V470="","",IF(Atletas!V470="Duilian de Mãos AB - Equipe 1",1,IF(Atletas!V470="Duilian de Mãos AB - Equipe 2",2,IF(Atletas!V470="Duilian de Armas AB - Equipe 1",3,IF(Atletas!V470="Duilian de Armas AB - Equipe 2",4,IF(Atletas!V470="Duilian de Tuishou - Equipe 1",5,IF(Atletas!V470="Duilian de Tuishou - Equipe 2",6,IF(Atletas!V470="Grupo Externo AB - Equipe 1",7,IF(Atletas!V470="Grupo Externo AB - Equipe 2",8,IF(Atletas!V470="Grupo Interno AB - Equipe 1",9,IF(Atletas!V470="Grupo Interno AB - Equipe 2",10,IF(Atletas!V470="Duilian de Mãos CD - Equipe 1",11,IF(Atletas!V470="Duilian de Mãos CD - Equipe 2",12,IF(Atletas!V470="Duilian de Armas CD - Equipe 1",13,IF(Atletas!V470="Duilian de Armas CD - Equipe 2",14,IF(Atletas!V470="Duilian de Tuishou - Equipe 1",15,IF(Atletas!V470="Duilian de Tuishou - Equipe 2",16,IF(Atletas!V470="Grupo Externo CDEF - Equipe 1",17,IF(Atletas!V470="Grupo Externo CDEF - Equipe 2",18,IF(Atletas!V470="Grupo Interno CDEF - Equipe 1",19,IF(Atletas!V470="Grupo Interno CDEF - Equipe 2",20,IF(Atletas!V470="Duilian de Mãos EF - Equipe 1",21,IF(Atletas!V470="Duilian de Mãos EF - Equipe 2",22,IF(Atletas!V470="Duilian de Armas EF - Equipe 1",23,IF(Atletas!V470="Duilian de Armas EF - Equipe 2",24,IF(Atletas!V470="Duilian de Tuishou - Equipe 1",25,IF(Atletas!V470="Duilian de Tuishou - Equipe 2",26,"")))))))))))))))))))))))))))</f>
        <v/>
      </c>
    </row>
    <row r="475" spans="36:84">
      <c r="AJ475" s="46" t="str">
        <f>IF(Atletas!D471="","",IF(Atletas!B471="Feminino",100,IF(Atletas!B471="Masculino",200,""))+(IF(Atletas!D471="Infantil 39kg",1,IF(Atletas!D471="Infantil 42kg",2,IF(Atletas!D471="Infantil 45kg",3,IF(Atletas!D471="Infantil 48kg",4,IF(Atletas!D471="Infantil 52kg",5,IF(Atletas!D471="Infantil 56kg",6,IF(Atletas!D471="Infantil 60kg",7,IF(Atletas!D471="Juvenil 48kg",8,IF(Atletas!D471="Juvenil 52kg",9,IF(Atletas!D471="Juvenil 56kg",10,IF(Atletas!D471="Juvenil 60kg",11,IF(Atletas!D471="Juvenil 65kg",12,IF(Atletas!D471="Juvenil 70kg",13,IF(Atletas!D471="Juvenil 75kg",14,IF(Atletas!D471="Juvenil 80kg",15,IF(Atletas!D471="Adulto 48kg",16,IF(Atletas!D471="Adulto 52kg",17,IF(Atletas!D471="Adulto 56kg",18,IF(Atletas!D471="Adulto 60kg",19,IF(Atletas!D471="Adulto 65kg",20,IF(Atletas!D471="Adulto 70kg",21,IF(Atletas!D471="Adulto 75kg",22,IF(Atletas!D471="Adulto 80kg",23,IF(Atletas!D471="Adulto 85kg",24,IF(Atletas!D471="Adulto 90kg",25,IF(Atletas!D471="Adulto +90kg",26,""))))))))))))))))))))))))))))</f>
        <v/>
      </c>
      <c r="AO475" s="10" t="str">
        <f>IF(Atletas!E471="","",IF(Atletas!B471="Feminino",100,IF(Atletas!B471="Masculino",200,""))+(IF(Atletas!E471="Juvenil 44kg",1,IF(Atletas!E471="Juvenil 48kg",2,IF(Atletas!E471="Juvenil 52kg",3,IF(Atletas!E471="Juvenil 56kg",4,IF(Atletas!E471="Juvenil 60kg",5,IF(Atletas!E471="Juvenil 65kg",6,IF(Atletas!E471="Juvenil 70kg",7,IF(Atletas!E471="Juvenil 75kg",8,IF(Atletas!E471="Juvenil 82kg",9,IF(Atletas!E471="Juvenil 90kg",10,IF(Atletas!E471="Juvenil 100kg",11,IF(Atletas!E471="Adulto 48kg",12,IF(Atletas!E471="Adulto 52kg",13,IF(Atletas!E471="Adulto 56kg",14,IF(Atletas!E471="Adulto 60kg",15,IF(Atletas!E471="Adulto 65kg",16,IF(Atletas!E471="Adulto 70kg",17,IF(Atletas!E471="Adulto 75kg",18,IF(Atletas!E471="Adulto 82kg",19,IF(Atletas!E471="Adulto 90kg",20,IF(Atletas!E471="Adulto 100kg",21,IF(Atletas!E471="Adulto +100kg",22,""))))))))))))))))))))))))</f>
        <v/>
      </c>
      <c r="AT475" s="10" t="str">
        <f>IF(Atletas!F471="","",IF(Atletas!B471="Feminino",100,IF(Atletas!B471="Masculino",200,""))+(IF(Atletas!F471="Adulto 48kg",1,IF(Atletas!F471="Adulto 56kg",2,IF(Atletas!F471="Adulto 65kg",3,IF(Atletas!F471="Adulto 75kg",4,IF(Atletas!F471="Adulto +75kg",5,IF(Atletas!F471="Adulto 52kg",6,IF(Atletas!F471="Adulto 60kg",7,IF(Atletas!F471="Adulto 70kg",8,IF(Atletas!F471="Adulto 80kg",9,IF(Atletas!F471="Adulto 90kg",10,IF(Atletas!F471="Adulto +90kg",11,"")))))))))))))</f>
        <v/>
      </c>
      <c r="AY475" s="46" t="str">
        <f>IF(Atletas!G471="","",IF(Atletas!B471="Feminino",100,IF(Atletas!B471="Masculino",200,""))+(IF(Atletas!G471="Changquan Mirim",1,IF(Atletas!G471="Nanquan Mirim",2,IF(Atletas!G471="Taijiquan Mirim",3,IF(Atletas!G471="Changquan Grupo C",4,IF(Atletas!G471="Nanquan Grupo C",5,IF(Atletas!G471="Taijiquan Grupo C",6,IF(Atletas!G471="Changquan Grupo B",7,IF(Atletas!G471="Nanquan Grupo B",8,IF(Atletas!G471="Taijiquan Grupo B",9,IF(Atletas!G471="Changquan Grupo A",10,IF(Atletas!G471="Nanquan Grupo A",11,IF(Atletas!G471="Taijiquan Grupo A",12,IF(Atletas!G471="Changquan Opcional",13,IF(Atletas!G471="Nanquan Opcional",14,IF(Atletas!G471="Taijiquan Opcional",15,IF(Atletas!G471="Changquan Adulto",16,IF(Atletas!G471="Nanquan Adulto",17,IF(Atletas!G471="Taijiquan Adulto",18,""))))))))))))))))))))</f>
        <v/>
      </c>
      <c r="AZ475" s="46" t="str">
        <f>IF(Atletas!H471="","",IF(Atletas!B471="Feminino",100,IF(Atletas!B471="Masculino",200,""))+(IF(Atletas!H471="Daoshu Mirim",19,IF(Atletas!H471="Jianshu Mirim",20,IF(Atletas!H471="Nandao Mirim",21,IF(Atletas!H471="Taijijian Mirim",22,IF(Atletas!H471="Daoshu Grupo C",23,IF(Atletas!H471="Jianshu Grupo C",24,IF(Atletas!H471="Nandao Grupo C",25,IF(Atletas!H471="Taijijian Grupo C",26,IF(Atletas!H471="Daoshu Grupo B",27,IF(Atletas!H471="Jianshu Grupo B",28,IF(Atletas!H471="Nandao Grupo B",29,IF(Atletas!H471="Taijijian Grupo B",30,IF(Atletas!H471="Daoshu Grupo A",31,IF(Atletas!H471="Jianshu Grupo A",32,IF(Atletas!H471="Nandao Grupo A",33,IF(Atletas!H471="Taijijian Grupo A",34,IF(Atletas!H471="Daoshu Opcional",35,IF(Atletas!H471="Jianshu Opcional",36,IF(Atletas!H471="Nandao Opcional",37,IF(Atletas!H471="Taijijian Opcional",38,IF(Atletas!H471="Daoshu Adulto",39,IF(Atletas!H471="Jianshu Adulto",40,IF(Atletas!H471="Nandao Adulto",41,IF(Atletas!H471="Taijijian Adulto",42,""))))))))))))))))))))))))))</f>
        <v/>
      </c>
      <c r="BA475" s="46" t="str">
        <f>IF(Atletas!I471="","",IF(Atletas!B471="Feminino",100,IF(Atletas!B471="Masculino",200,""))+(IF(Atletas!I471="Gunshu Mirim",43,IF(Atletas!I471="Qiangshu Mirim",44,IF(Atletas!I471="Nangun Mirim",45,IF(Atletas!I471="Gunshu Grupo C",46,IF(Atletas!I471="Qiangshu Grupo C",47,IF(Atletas!I471="Nangun Grupo C",48,IF(Atletas!I471="Gunshu Grupo B",49,IF(Atletas!I471="Qiangshu Grupo B",50,IF(Atletas!I471="Nangun Grupo B",51,IF(Atletas!I471="Gunshu Grupo A",52,IF(Atletas!I471="Qiangshu Grupo A",53,IF(Atletas!I471="Nangun Grupo A",54,IF(Atletas!I471="Gunshu Opcional",55,IF(Atletas!I471="Qiangshu Opcional",56,IF(Atletas!I471="Nangun Opcional",57,IF(Atletas!I471="Gunshu Adulto",58,IF(Atletas!I471="Qiangshu Adulto",59,IF(Atletas!I471="Nangun Adulto",60,""))))))))))))))))))))</f>
        <v/>
      </c>
      <c r="BF475" s="52" t="str">
        <f>IF(Atletas!J471="","",IF(Atletas!B471="Feminino",100,IF(Atletas!B471="Masculino",200,""))+(IF(Atletas!J471="Equipe 1 Grupo B",1,IF(Atletas!J471="Equipe 2 Grupo B",2,IF(Atletas!J471="Equipe 1 Grupo A",3,IF(Atletas!J471="Equipe 2 Grupo A",4,IF(Atletas!J471="Equipe 1 Adulto",5,IF(Atletas!J471="Equipe 2 Adulto",6,""))))))))</f>
        <v/>
      </c>
      <c r="BK475" s="52" t="str">
        <f>IF(Atletas!K471="","",IF(Atletas!W471&lt;&gt;"",10000,0)+(IF(Atletas!B471="Feminino",1000,IF(Atletas!B471="Masculino",2000,""))+IF(Atletas!K471="Choylayfut A",1,IF(Atletas!K471="Hunggar A",2,IF(Atletas!K471="Wuzuquan A",3,IF(Atletas!K471="Wingchun A",4,IF(Atletas!K471="Outra Mão de Sul A",5,IF(Atletas!K471="Choylayfut B",6,IF(Atletas!K471="Hunggar B",7,IF(Atletas!K471="Wuzuquan B",8,IF(Atletas!K471="Wingchun B",9,IF(Atletas!K471="Outra Mão de Sul B",10,IF(Atletas!K471="Choylayfut C",11,IF(Atletas!K471="Hunggar C",12,IF(Atletas!K471="Wuzuquan C",13,IF(Atletas!K471="Wingchun C",14,IF(Atletas!K471="Outra Mão de Sul C",15,IF(Atletas!K471="Choylayfut D",16,IF(Atletas!K471="Hunggar D",17,IF(Atletas!K471="Wuzuquan D",18,IF(Atletas!K471="Wingchun D",19,IF(Atletas!K471="Outra Mão de Sul D",20,IF(Atletas!K471="Choylayfut E",21,IF(Atletas!K471="Hunggar E",22,IF(Atletas!K471="Wuzuquan E",23,IF(Atletas!K471="Wingchun E",24,IF(Atletas!K471="Outra Mão de Sul E",25,IF(Atletas!K471="Choylayfut F",26,IF(Atletas!K471="Hunggar F",27,IF(Atletas!K471="Wuzuquan F",28,IF(Atletas!K471="Wingchun F",29,IF(Atletas!K471="Outra Mão de Sul F",30,""))))))))))))))))))))))))))))))))</f>
        <v/>
      </c>
      <c r="BL475" s="52" t="str">
        <f>IF(Atletas!L471="","",IF(Atletas!W471&lt;&gt;"",10000,0)+(IF(Atletas!B471="Feminino",1000,IF(Atletas!B471="Masculino",2000,""))+(IF(Atletas!L471="Chaquan A",101,IF(Atletas!L471="Emeiquan A",102,IF(Atletas!L471="Fanziquan A",103,IF(Atletas!L471="Huaquan A",104,IF(Atletas!L471="Hongquan A",105,IF(Atletas!L471="Paochui A",106,IF(Atletas!L471="Piguaquan A",107,IF(Atletas!L471="Shaolinquan A",108,IF(Atletas!L471="Tanglangquan A",109,IF(Atletas!L471="Yinzhaophai A",110,IF(Atletas!L471="Tongbeiquan A",111,IF(Atletas!L471="Wudangquan A",112,IF(Atletas!L471="Outros Estilos A",113,IF(Atletas!L471="Chaquan B",114,IF(Atletas!L471="Emeiquan B",115,IF(Atletas!L471="Fanziquan B",116,IF(Atletas!L471="Huaquan B",117,IF(Atletas!L471="Hongquan B",118,IF(Atletas!L471="Paochui B",119,IF(Atletas!L471="Piguaquan B",120,IF(Atletas!L471="Shaolinquan B",121,IF(Atletas!L471="Tanglangquan B",122,IF(Atletas!L471="Yinzhaophai B",123,IF(Atletas!L471="Tongbeiquan B",124,IF(Atletas!L471="Wudangquan B",125,IF(Atletas!L471="Outros Estilos B",126,IF(Atletas!L471="Chaquan C",127,IF(Atletas!L471="Emeiquan C",128,IF(Atletas!L471="Fanziquan C",129,IF(Atletas!L471="Huaquan C",130,IF(Atletas!L471="Hongquan C",131,IF(Atletas!L471="Paochui C",132,IF(Atletas!L471="Piguaquan C",133,IF(Atletas!L471="Shaolinquan C",134,IF(Atletas!L471="Tanglangquan C",135,IF(Atletas!L471="Yinzhaophai C",136,IF(Atletas!L471="Tongbeiquan C",137,IF(Atletas!L471="Wudangquan C",138,IF(Atletas!L471="Outros Estilos C",139,0))))))))))))))))))))))))))))))))))))))))))</f>
        <v/>
      </c>
      <c r="BM475" s="52" t="str">
        <f>IF(Atletas!L471="","",IF(Atletas!W471&lt;&gt;"",10000,0)+(IF(Atletas!B471="Feminino",1000,IF(Atletas!B471="Masculino",2000,""))+(IF(Atletas!L471="Chaquan D",140,IF(Atletas!L471="Emeiquan D",141,IF(Atletas!L471="Fanziquan D",142,IF(Atletas!L471="Huaquan D",143,IF(Atletas!L471="Hongquan D",144,IF(Atletas!L471="Paochui D",145,IF(Atletas!L471="Piguaquan D",146,IF(Atletas!L471="Shaolinquan D",147,IF(Atletas!L471="Tanglangquan D",148,IF(Atletas!L471="Yinzhaophai D",149,IF(Atletas!L471="Tongbeiquan D",150,IF(Atletas!L471="Wudangquan D",151,IF(Atletas!L471="Outros Estilos D",152,IF(Atletas!L471="Chaquan E",153,IF(Atletas!L471="Emeiquan E",154,IF(Atletas!L471="Fanziquan E",155,IF(Atletas!L471="Huaquan E",156,IF(Atletas!L471="Hongquan E",157,IF(Atletas!L471="Paochui E",158,IF(Atletas!L471="Piguaquan E",159,IF(Atletas!L471="Shaolinquan E",160,IF(Atletas!L471="Tanglangquan E",161,IF(Atletas!L471="Yinzhaophai E",162,IF(Atletas!L471="Tongbeiquan E",163,IF(Atletas!L471="Wudangquan E",164,IF(Atletas!L471="Outros Estilos E",165,IF(Atletas!L471="Chaquan F",166,IF(Atletas!L471="Emeiquan F",167,IF(Atletas!L471="Fanziquan F",168,IF(Atletas!L471="Huaquan F",169,IF(Atletas!L471="Hongquan F",170,IF(Atletas!L471="Paochui F",171,IF(Atletas!L471="Piguaquan F",172,IF(Atletas!L471="Shaolinquan F",173,IF(Atletas!L471="Tanglangquan F",174,IF(Atletas!L471="Yinzhaophai F",175,IF(Atletas!L471="Tongbeiquan F",176,IF(Atletas!L471="Wudangquan F",177,IF(Atletas!L471="Outros Estilos F",178,0))))))))))))))))))))))))))))))))))))))))))</f>
        <v/>
      </c>
      <c r="BN475" s="52" t="str">
        <f>IF(Atletas!M471="","",IF(Atletas!W471&lt;&gt;"",10000,0)+(IF(Atletas!B471="Feminino",1000,IF(Atletas!B471="Masculino",2000,""))+(IF(Atletas!M471="Ditangquan A",201,IF(Atletas!M471="Houquan A",202,IF(Atletas!M471="Zuiquan A",203,IF(Atletas!M471="Ditangquan B",204,IF(Atletas!M471="Houquan B",205,IF(Atletas!M471="Zuiquan B",206,IF(Atletas!M471="Ditangquan C",207,IF(Atletas!M471="Houquan C",208,IF(Atletas!M471="Zuiquan C",209,IF(Atletas!M471="Ditangquan D",210,IF(Atletas!M471="Houquan D",211,IF(Atletas!M471="Zuiquan D",212,IF(Atletas!M471="Ditangquan E",213,IF(Atletas!M471="Houquan E",214,IF(Atletas!M471="Zuiquan E",215,IF(Atletas!M471="Ditangquan F",216,IF(Atletas!M471="Houquan F",217,IF(Atletas!M471="Zuiquan F",218,"")))))))))))))))))))))</f>
        <v/>
      </c>
      <c r="BO475" s="52" t="str">
        <f>IF(Atletas!N471="","",IF(Atletas!W471&lt;&gt;"",10000,0)+IF(Atletas!B471="Feminino",1000,IF(Atletas!B471="Masculino",2000,""))+IF(Atletas!N471="Yang A",301,IF(Atletas!N471="Chen A",30,IF(Atletas!N471="Sun A",303,IF(Atletas!N471="Wu A",304,IF(Atletas!N471="Wu-Hao A",305,IF(Atletas!N471="Outro Taijiquan A",306,IF(Atletas!N471="Yang B",307,IF(Atletas!N471="Chen B",308,IF(Atletas!N471="Sun B",309,IF(Atletas!N471="Wu B",310,IF(Atletas!N471="Wu-Hao B",311,IF(Atletas!N471="Outro Taijiquan B",312,IF(Atletas!N471="Yang C",313,IF(Atletas!N471="Chen C",314,IF(Atletas!N471="Sun C",315,IF(Atletas!N471="Wu C",316,IF(Atletas!N471="Wu-Hao C",317,IF(Atletas!N471="Outro Taijiquan C",318,IF(Atletas!N471="Yang D",319,IF(Atletas!N471="Chen D",320,IF(Atletas!N471="Sun D",321,IF(Atletas!N471="Wu D",322,IF(Atletas!N471="Wu-Hao D",323,IF(Atletas!N471="Outro Taijiquan D",324,IF(Atletas!N471="Yang E",325,IF(Atletas!N471="Chen E",326,IF(Atletas!N471="Sun E",327,IF(Atletas!N471="Wu E",328,IF(Atletas!N471="Wu-Hao E",329,IF(Atletas!N471="Outro Taijiquan E",330,IF(Atletas!N471="Yang F",331,IF(Atletas!N471="Chen F",332,IF(Atletas!N471="Sun F",333,IF(Atletas!N471="Wu F",334,IF(Atletas!N471="Wu-Hao F",335,IF(Atletas!N471="Outro Taijiquan F",336,"")))))))))))))))))))))))))))))))))))))</f>
        <v/>
      </c>
      <c r="BP475" s="52" t="str">
        <f>IF(Atletas!O471="","",IF(Atletas!W471&lt;&gt;"",10000,0)+IF(Atletas!B471="Feminino",1000,IF(Atletas!B471="Masculino",2000,""))+IF(OR(Atletas!O471="Yang 26 A",Atletas!O471="Yang 40 A"),401,IF(OR(Atletas!O471="Chen 25 A",Atletas!O471="Chen 36 A",Atletas!O471="Chen 56 A"),402,IF(Atletas!O471="Sun 73 A",403,IF(Atletas!O471="Wu 45 A",404,IF(Atletas!O471="Wu-Hao 46 A",405,IF(OR(Atletas!O471="Taijiquan 16 A",Atletas!O471="Taijiquan 24 A",Atletas!O471="Taijiquan 32 A",Atletas!O471="Taijiquan 42 A"),406,IF(OR(Atletas!O471="Yang 26 B",Atletas!O471="Yang 40 B"),407,IF(OR(Atletas!O471="Chen 25 B",Atletas!O471="Chen 36 B",Atletas!O471="Chen 56 B"),408,IF(Atletas!O471="Sun 73 B",409,IF(Atletas!O471="Wu 45 B",410,IF(Atletas!O471="Wu-Hao 46 B",411,IF(OR(Atletas!O471="Taijiquan 16 B",Atletas!O471="Taijiquan 24 B",Atletas!O471="Taijiquan 32 B",Atletas!O471="Taijiquan 42 B"),412,IF(OR(Atletas!O471="Yang 26 C",Atletas!O471="Yang 40 C"),413,IF(OR(Atletas!O471="Chen 25 C",Atletas!O471="Chen 36 C",Atletas!O471="Chen 56 C"),414,IF(Atletas!O471="Sun 73 C",415,IF(Atletas!O471="Wu 45 C",416,IF(Atletas!O471="Wu-Hao 46 C",417,IF(OR(Atletas!O471="Taijiquan 16 C",Atletas!O471="Taijiquan 24 C",Atletas!O471="Taijiquan 32 C",Atletas!O471="Taijiquan 42 C"),418,0)))))))))))))))))))</f>
        <v/>
      </c>
      <c r="BQ475" s="52" t="str">
        <f>IF(Atletas!O471="","",IF(Atletas!W471&lt;&gt;"",10000,0)+IF(Atletas!B471="Feminino",1000,IF(Atletas!B471="Masculino",2000,""))+IF(OR(Atletas!O471="Yang 26 D",Atletas!O471="Yang 40 D"),419,IF(OR(Atletas!O471="Chen 25 D",Atletas!O471="Chen 36 D",Atletas!O471="Chen 56 D"),420,IF(Atletas!O471="Sun 73 D",421,IF(Atletas!O471="Wu 45 D",422,IF(Atletas!O471="Wu-Hao 46 D",423,IF(OR(Atletas!O471="Taijiquan 16 D",Atletas!O471="Taijiquan 24 D",Atletas!O471="Taijiquan 32 D",Atletas!O471="Taijiquan 42 D"),424,IF(OR(Atletas!O471="Yang 26 E",Atletas!O471="Yang 40 E"),425,IF(OR(Atletas!O471="Chen 25 E",Atletas!O471="Chen 36 E",Atletas!O471="Chen 56 E"),426,IF(Atletas!O471="Sun 73 E",427,IF(Atletas!O471="Wu 45 E",428,IF(Atletas!O471="Wu-Hao 46 E",429,IF(OR(Atletas!O471="Taijiquan 16 E",Atletas!O471="Taijiquan 24 E",Atletas!O471="Taijiquan 32 E",Atletas!O471="Taijiquan 42 E"),430,IF(OR(Atletas!O471="Yang 26 F",Atletas!O471="Yang 40 F"),431,IF(OR(Atletas!O471="Chen 25 F",Atletas!O471="Chen 36 F",Atletas!O471="Chen 56 F"),432,IF(Atletas!O471="Sun 73 F",433,IF(Atletas!O471="Wu 45 F",434,IF(Atletas!O471="Wu-Hao 46 F",435,IF(OR(Atletas!O471="Taijiquan 16 F",Atletas!O471="Taijiquan 24 F",Atletas!O471="Taijiquan 32 F",Atletas!O471="Taijiquan 42 F"),436,0)))))))))))))))))))</f>
        <v/>
      </c>
      <c r="BR475" s="52" t="str">
        <f>IF(Atletas!P471="","",IF(Atletas!W471&lt;&gt;"",10000,0)+IF(Atletas!B471="Feminino",1000,IF(Atletas!B471="Masculino",2000,""))+IF(Atletas!P471="Xingyiquan A",501,IF(Atletas!P471="Baguazhang A",502,IF(Atletas!P471="Outro Estilo Interno A",503,IF(Atletas!P471="Xingyiquan B",504,IF(Atletas!P471="Baguazhang B",505,IF(Atletas!P471="Outro Estilo Interno B",506,IF(Atletas!P471="Xingyiquan C",507,IF(Atletas!P471="Baguazhang C",508,IF(Atletas!P471="Outro Estilo Interno C",509,IF(Atletas!P471="Xingyiquan D",510,IF(Atletas!P471="Baguazhang D",511,IF(Atletas!P471="Outro Estilo Interno D",512,IF(Atletas!P471="Xingyiquan E",513,IF(Atletas!P471="Baguazhang E",514,IF(Atletas!P471="Outro Estilo Interno E",515,IF(Atletas!P471="Xingyiquan F",516,IF(Atletas!P471="Baguazhang F",517,IF(Atletas!P471="Outro Estilo Interno F",518, "")))))))))))))))))))</f>
        <v/>
      </c>
      <c r="BS475" s="52" t="str">
        <f>IF(Atletas!Q471="","",IF(Atletas!W471&lt;&gt;"",10000,0)+IF(Atletas!B471="Feminino",1000,IF(Atletas!B471="Masculino",2000,""))+IF(Atletas!Q471="Dao A",601,IF(Atletas!Q471="Jian A",602,IF(Atletas!Q471="Bishou A",603,IF(Atletas!Q471="Shan A",604,IF(Atletas!Q471="Outra Arma Curta A",605,IF(Atletas!Q471="Dao B",606,IF(Atletas!Q471="Jian B",607,IF(Atletas!Q471="Bishou B",608,IF(Atletas!Q471="Shan B",609,IF(Atletas!Q471="Outra Arma Curta B",610,IF(Atletas!Q471="Dao C",611,IF(Atletas!Q471="Jian C",612,IF(Atletas!Q471="Bishou C",613,IF(Atletas!Q471="Shan C",614,IF(Atletas!Q471="Outra Arma Curta C",615,IF(Atletas!Q471="Dao D",616,IF(Atletas!Q471="Jian D",617,IF(Atletas!Q471="Bishou D",618,IF(Atletas!Q471="Shan D",619,IF(Atletas!Q471="Outra Arma Curta D",620,IF(Atletas!Q471="Dao E",621,IF(Atletas!Q471="Jian E",622,IF(Atletas!Q471="Bishou E",623,IF(Atletas!Q471="Shan E",624,IF(Atletas!Q471="Outra Arma Curta E",625,IF(Atletas!Q471="Dao F",626,IF(Atletas!Q471="Jian F",627,IF(Atletas!Q471="Bishou F",628,IF(Atletas!Q471="Shan F",629,IF(Atletas!Q471="Outra Arma Curta F",630, "")))))))))))))))))))))))))))))))</f>
        <v/>
      </c>
      <c r="BT475" s="52" t="str">
        <f>IF(Atletas!R471="","",IF(Atletas!W471&lt;&gt;"",10000,0)+IF(Atletas!B471="Feminino",1000,IF(Atletas!B471="Masculino",2000,""))+IF(Atletas!R471="Gun A",701,IF(Atletas!R471="Qiang A",702,IF(Atletas!R471="Pudao / Guandao A",703,IF(Atletas!R471="Outra Arma Longa A",704,IF(Atletas!R471="Gun B",705,IF(Atletas!R471="Qiang B",706,IF(Atletas!R471="Pudao / Guandao B",707,IF(Atletas!R471="Outra Arma Longa B",708,IF(Atletas!R471="Gun C",709,IF(Atletas!R471="Qiang C",710,IF(Atletas!R471="Pudao / Guandao C",711,IF(Atletas!R471="Outra Arma Longa C",712,IF(Atletas!R471="Gun D",713,IF(Atletas!R471="Qiang D",714,IF(Atletas!R471="Pudao / Guandao D",715,IF(Atletas!R471="Outra Arma Longa D",716,IF(Atletas!R471="Gun E",717,IF(Atletas!R471="Qiang E",718,IF(Atletas!R471="Pudao / Guandao E",719,IF(Atletas!R471="Outra Arma Longa E",720,IF(Atletas!R471="Gun F",721,IF(Atletas!R471="Qiang F",722,IF(Atletas!R471="Pudao / Guandao F",723,IF(Atletas!R471="Outra Arma Longa F",724,"")))))))))))))))))))))))))</f>
        <v/>
      </c>
      <c r="BU475" s="52" t="str">
        <f>IF(Atletas!S471="","",IF(Atletas!W471&lt;&gt;"",10000,0)+IF(Atletas!B471="Feminino",1000,IF(Atletas!B471="Masculino",2000,""))+IF(Atletas!S471="Arma Dupla A",801,IF(Atletas!S471="Arma Maleável A",802,IF(Atletas!S471="Arma Dupla B",803,IF(Atletas!S471="Arma Maleável B",804,IF(Atletas!S471="Arma Dupla C",805,IF(Atletas!S471="Arma Maleável C",806,IF(Atletas!S471="Arma Dupla D",807,IF(Atletas!S471="Arma Maleável D",808,IF(Atletas!S471="Arma Dupla E",809,IF(Atletas!S471="Arma Maleável E",810,IF(Atletas!S471="Arma Dupla F",811,IF(Atletas!S471="Arma Maleável F",812, "")))))))))))))</f>
        <v/>
      </c>
      <c r="BV475" s="52" t="str">
        <f>IF(Atletas!T471="","",IF(Atletas!W471&lt;&gt;"",10000,0)+IF(Atletas!B471="Feminino",1000,IF(Atletas!B471="Masculino",2000,""))+IF(Atletas!T471="Taijijian Yang A",901,IF(Atletas!T471="Taijijian Chen A",902,IF(Atletas!T471="Taijijian Sun A",903,IF(Atletas!T471="Taijijian Wu A",904,IF(Atletas!T471="Taijijian Wu-Hao A",905,IF(Atletas!T471="Taijijian 32 A",906,IF(Atletas!T471="Taijijian 42 A",907,IF(Atletas!T471="Taijijian Yang B",908,IF(Atletas!T471="Taijijian Chen B",909,IF(Atletas!T471="Taijijian Sun B",910,IF(Atletas!T471="Taijijian Wu B",911,IF(Atletas!T471="Taijijian Wu-Hao B",912,IF(Atletas!T471="Taijijian 32 B",913,IF(Atletas!T471="Taijijian 42 B",914,IF(Atletas!T471="Taijijian Yang C",915,IF(Atletas!T471="Taijijian Chen C",916,IF(Atletas!T471="Taijijian Sun C",917,IF(Atletas!T471="Taijijian Wu C",918,IF(Atletas!T471="Taijijian Wu-Hao C",919,IF(Atletas!T471="Taijijian 32 C",920,IF(Atletas!T471="Taijijian 42 C",921,IF(Atletas!T471="Taijijian Yang D",922,IF(Atletas!T471="Taijijian Chen D",923,IF(Atletas!T471="Taijijian Sun D",924,IF(Atletas!T471="Taijijian Wu D",925,IF(Atletas!T471="Taijijian Wu-Hao D",926,IF(Atletas!T471="Taijijian 32 D",927,IF(Atletas!T471="Taijijian 42 D",928,IF(Atletas!T471="Taijijian Yang E",929,IF(Atletas!T471="Taijijian Chen E",930,IF(Atletas!T471="Taijijian Sun E",931,IF(Atletas!T471="Taijijian Wu E",932,IF(Atletas!T471="Taijijian Wu-Hao E",933,IF(Atletas!T471="Taijijian 32 E",934,IF(Atletas!T471="Taijijian 42 E",935,IF(Atletas!T471="Taijijian Yang F",936,IF(Atletas!T471="Taijijian Chen F",937,IF(Atletas!T471="Taijijian Sun F",938,IF(Atletas!T471="Taijijian Wu F",939,IF(Atletas!T471="Taijijian Wu-Hao F",940,IF(Atletas!T471="Taijijian 32 F",941,IF(Atletas!T471="Taijijian 42 F",942,"")))))))))))))))))))))))))))))))))))))))))))</f>
        <v/>
      </c>
      <c r="BW475" s="52" t="str">
        <f>IF(Atletas!U471="","",IF(Atletas!W471&lt;&gt;"",10000,0)+IF(Atletas!B471="Feminino",1000,IF(Atletas!B471="Masculino",2000,""))+IF(Atletas!T471="Taijijian 42 F",942,IF(Atletas!U471="Taijidao A",943,IF(Atletas!U471="Taijishan A",944,IF(Atletas!U471="Taijiqiang A",945,IF(Atletas!U471="Taijidao B",946,IF(Atletas!U471="Taijishan B",947,IF(Atletas!U471="Taijiqiang B",948,IF(Atletas!U471="Taijidao C",949,IF(Atletas!U471="Taijishan C",950,IF(Atletas!U471="Taijiqiang C",951,IF(Atletas!U471="Taijidao D",952,IF(Atletas!U471="Taijishan D",953,IF(Atletas!U471="Taijiqiang D",954,IF(Atletas!U471="Taijidao E",955,IF(Atletas!U471="Taijishan E",956,IF(Atletas!U471="Taijiqiang E",957,IF(Atletas!U471="Taijidao F",958,IF(Atletas!U471="Taijishan F",959,IF(Atletas!U471="Taijiqiang F",960))))))))))))))))))))</f>
        <v/>
      </c>
      <c r="CF475" s="52" t="str">
        <f xml:space="preserve"> IF(Atletas!V471="","",IF(Atletas!V471="Duilian de Mãos AB - Equipe 1",1,IF(Atletas!V471="Duilian de Mãos AB - Equipe 2",2,IF(Atletas!V471="Duilian de Armas AB - Equipe 1",3,IF(Atletas!V471="Duilian de Armas AB - Equipe 2",4,IF(Atletas!V471="Duilian de Tuishou - Equipe 1",5,IF(Atletas!V471="Duilian de Tuishou - Equipe 2",6,IF(Atletas!V471="Grupo Externo AB - Equipe 1",7,IF(Atletas!V471="Grupo Externo AB - Equipe 2",8,IF(Atletas!V471="Grupo Interno AB - Equipe 1",9,IF(Atletas!V471="Grupo Interno AB - Equipe 2",10,IF(Atletas!V471="Duilian de Mãos CD - Equipe 1",11,IF(Atletas!V471="Duilian de Mãos CD - Equipe 2",12,IF(Atletas!V471="Duilian de Armas CD - Equipe 1",13,IF(Atletas!V471="Duilian de Armas CD - Equipe 2",14,IF(Atletas!V471="Duilian de Tuishou - Equipe 1",15,IF(Atletas!V471="Duilian de Tuishou - Equipe 2",16,IF(Atletas!V471="Grupo Externo CDEF - Equipe 1",17,IF(Atletas!V471="Grupo Externo CDEF - Equipe 2",18,IF(Atletas!V471="Grupo Interno CDEF - Equipe 1",19,IF(Atletas!V471="Grupo Interno CDEF - Equipe 2",20,IF(Atletas!V471="Duilian de Mãos EF - Equipe 1",21,IF(Atletas!V471="Duilian de Mãos EF - Equipe 2",22,IF(Atletas!V471="Duilian de Armas EF - Equipe 1",23,IF(Atletas!V471="Duilian de Armas EF - Equipe 2",24,IF(Atletas!V471="Duilian de Tuishou - Equipe 1",25,IF(Atletas!V471="Duilian de Tuishou - Equipe 2",26,"")))))))))))))))))))))))))))</f>
        <v/>
      </c>
    </row>
    <row r="476" spans="36:84">
      <c r="AJ476" s="46" t="str">
        <f>IF(Atletas!D472="","",IF(Atletas!B472="Feminino",100,IF(Atletas!B472="Masculino",200,""))+(IF(Atletas!D472="Infantil 39kg",1,IF(Atletas!D472="Infantil 42kg",2,IF(Atletas!D472="Infantil 45kg",3,IF(Atletas!D472="Infantil 48kg",4,IF(Atletas!D472="Infantil 52kg",5,IF(Atletas!D472="Infantil 56kg",6,IF(Atletas!D472="Infantil 60kg",7,IF(Atletas!D472="Juvenil 48kg",8,IF(Atletas!D472="Juvenil 52kg",9,IF(Atletas!D472="Juvenil 56kg",10,IF(Atletas!D472="Juvenil 60kg",11,IF(Atletas!D472="Juvenil 65kg",12,IF(Atletas!D472="Juvenil 70kg",13,IF(Atletas!D472="Juvenil 75kg",14,IF(Atletas!D472="Juvenil 80kg",15,IF(Atletas!D472="Adulto 48kg",16,IF(Atletas!D472="Adulto 52kg",17,IF(Atletas!D472="Adulto 56kg",18,IF(Atletas!D472="Adulto 60kg",19,IF(Atletas!D472="Adulto 65kg",20,IF(Atletas!D472="Adulto 70kg",21,IF(Atletas!D472="Adulto 75kg",22,IF(Atletas!D472="Adulto 80kg",23,IF(Atletas!D472="Adulto 85kg",24,IF(Atletas!D472="Adulto 90kg",25,IF(Atletas!D472="Adulto +90kg",26,""))))))))))))))))))))))))))))</f>
        <v/>
      </c>
      <c r="AO476" s="10" t="str">
        <f>IF(Atletas!E472="","",IF(Atletas!B472="Feminino",100,IF(Atletas!B472="Masculino",200,""))+(IF(Atletas!E472="Juvenil 44kg",1,IF(Atletas!E472="Juvenil 48kg",2,IF(Atletas!E472="Juvenil 52kg",3,IF(Atletas!E472="Juvenil 56kg",4,IF(Atletas!E472="Juvenil 60kg",5,IF(Atletas!E472="Juvenil 65kg",6,IF(Atletas!E472="Juvenil 70kg",7,IF(Atletas!E472="Juvenil 75kg",8,IF(Atletas!E472="Juvenil 82kg",9,IF(Atletas!E472="Juvenil 90kg",10,IF(Atletas!E472="Juvenil 100kg",11,IF(Atletas!E472="Adulto 48kg",12,IF(Atletas!E472="Adulto 52kg",13,IF(Atletas!E472="Adulto 56kg",14,IF(Atletas!E472="Adulto 60kg",15,IF(Atletas!E472="Adulto 65kg",16,IF(Atletas!E472="Adulto 70kg",17,IF(Atletas!E472="Adulto 75kg",18,IF(Atletas!E472="Adulto 82kg",19,IF(Atletas!E472="Adulto 90kg",20,IF(Atletas!E472="Adulto 100kg",21,IF(Atletas!E472="Adulto +100kg",22,""))))))))))))))))))))))))</f>
        <v/>
      </c>
      <c r="AT476" s="10" t="str">
        <f>IF(Atletas!F472="","",IF(Atletas!B472="Feminino",100,IF(Atletas!B472="Masculino",200,""))+(IF(Atletas!F472="Adulto 48kg",1,IF(Atletas!F472="Adulto 56kg",2,IF(Atletas!F472="Adulto 65kg",3,IF(Atletas!F472="Adulto 75kg",4,IF(Atletas!F472="Adulto +75kg",5,IF(Atletas!F472="Adulto 52kg",6,IF(Atletas!F472="Adulto 60kg",7,IF(Atletas!F472="Adulto 70kg",8,IF(Atletas!F472="Adulto 80kg",9,IF(Atletas!F472="Adulto 90kg",10,IF(Atletas!F472="Adulto +90kg",11,"")))))))))))))</f>
        <v/>
      </c>
      <c r="AY476" s="46" t="str">
        <f>IF(Atletas!G472="","",IF(Atletas!B472="Feminino",100,IF(Atletas!B472="Masculino",200,""))+(IF(Atletas!G472="Changquan Mirim",1,IF(Atletas!G472="Nanquan Mirim",2,IF(Atletas!G472="Taijiquan Mirim",3,IF(Atletas!G472="Changquan Grupo C",4,IF(Atletas!G472="Nanquan Grupo C",5,IF(Atletas!G472="Taijiquan Grupo C",6,IF(Atletas!G472="Changquan Grupo B",7,IF(Atletas!G472="Nanquan Grupo B",8,IF(Atletas!G472="Taijiquan Grupo B",9,IF(Atletas!G472="Changquan Grupo A",10,IF(Atletas!G472="Nanquan Grupo A",11,IF(Atletas!G472="Taijiquan Grupo A",12,IF(Atletas!G472="Changquan Opcional",13,IF(Atletas!G472="Nanquan Opcional",14,IF(Atletas!G472="Taijiquan Opcional",15,IF(Atletas!G472="Changquan Adulto",16,IF(Atletas!G472="Nanquan Adulto",17,IF(Atletas!G472="Taijiquan Adulto",18,""))))))))))))))))))))</f>
        <v/>
      </c>
      <c r="AZ476" s="46" t="str">
        <f>IF(Atletas!H472="","",IF(Atletas!B472="Feminino",100,IF(Atletas!B472="Masculino",200,""))+(IF(Atletas!H472="Daoshu Mirim",19,IF(Atletas!H472="Jianshu Mirim",20,IF(Atletas!H472="Nandao Mirim",21,IF(Atletas!H472="Taijijian Mirim",22,IF(Atletas!H472="Daoshu Grupo C",23,IF(Atletas!H472="Jianshu Grupo C",24,IF(Atletas!H472="Nandao Grupo C",25,IF(Atletas!H472="Taijijian Grupo C",26,IF(Atletas!H472="Daoshu Grupo B",27,IF(Atletas!H472="Jianshu Grupo B",28,IF(Atletas!H472="Nandao Grupo B",29,IF(Atletas!H472="Taijijian Grupo B",30,IF(Atletas!H472="Daoshu Grupo A",31,IF(Atletas!H472="Jianshu Grupo A",32,IF(Atletas!H472="Nandao Grupo A",33,IF(Atletas!H472="Taijijian Grupo A",34,IF(Atletas!H472="Daoshu Opcional",35,IF(Atletas!H472="Jianshu Opcional",36,IF(Atletas!H472="Nandao Opcional",37,IF(Atletas!H472="Taijijian Opcional",38,IF(Atletas!H472="Daoshu Adulto",39,IF(Atletas!H472="Jianshu Adulto",40,IF(Atletas!H472="Nandao Adulto",41,IF(Atletas!H472="Taijijian Adulto",42,""))))))))))))))))))))))))))</f>
        <v/>
      </c>
      <c r="BA476" s="46" t="str">
        <f>IF(Atletas!I472="","",IF(Atletas!B472="Feminino",100,IF(Atletas!B472="Masculino",200,""))+(IF(Atletas!I472="Gunshu Mirim",43,IF(Atletas!I472="Qiangshu Mirim",44,IF(Atletas!I472="Nangun Mirim",45,IF(Atletas!I472="Gunshu Grupo C",46,IF(Atletas!I472="Qiangshu Grupo C",47,IF(Atletas!I472="Nangun Grupo C",48,IF(Atletas!I472="Gunshu Grupo B",49,IF(Atletas!I472="Qiangshu Grupo B",50,IF(Atletas!I472="Nangun Grupo B",51,IF(Atletas!I472="Gunshu Grupo A",52,IF(Atletas!I472="Qiangshu Grupo A",53,IF(Atletas!I472="Nangun Grupo A",54,IF(Atletas!I472="Gunshu Opcional",55,IF(Atletas!I472="Qiangshu Opcional",56,IF(Atletas!I472="Nangun Opcional",57,IF(Atletas!I472="Gunshu Adulto",58,IF(Atletas!I472="Qiangshu Adulto",59,IF(Atletas!I472="Nangun Adulto",60,""))))))))))))))))))))</f>
        <v/>
      </c>
      <c r="BF476" s="52" t="str">
        <f>IF(Atletas!J472="","",IF(Atletas!B472="Feminino",100,IF(Atletas!B472="Masculino",200,""))+(IF(Atletas!J472="Equipe 1 Grupo B",1,IF(Atletas!J472="Equipe 2 Grupo B",2,IF(Atletas!J472="Equipe 1 Grupo A",3,IF(Atletas!J472="Equipe 2 Grupo A",4,IF(Atletas!J472="Equipe 1 Adulto",5,IF(Atletas!J472="Equipe 2 Adulto",6,""))))))))</f>
        <v/>
      </c>
      <c r="BK476" s="52" t="str">
        <f>IF(Atletas!K472="","",IF(Atletas!W472&lt;&gt;"",10000,0)+(IF(Atletas!B472="Feminino",1000,IF(Atletas!B472="Masculino",2000,""))+IF(Atletas!K472="Choylayfut A",1,IF(Atletas!K472="Hunggar A",2,IF(Atletas!K472="Wuzuquan A",3,IF(Atletas!K472="Wingchun A",4,IF(Atletas!K472="Outra Mão de Sul A",5,IF(Atletas!K472="Choylayfut B",6,IF(Atletas!K472="Hunggar B",7,IF(Atletas!K472="Wuzuquan B",8,IF(Atletas!K472="Wingchun B",9,IF(Atletas!K472="Outra Mão de Sul B",10,IF(Atletas!K472="Choylayfut C",11,IF(Atletas!K472="Hunggar C",12,IF(Atletas!K472="Wuzuquan C",13,IF(Atletas!K472="Wingchun C",14,IF(Atletas!K472="Outra Mão de Sul C",15,IF(Atletas!K472="Choylayfut D",16,IF(Atletas!K472="Hunggar D",17,IF(Atletas!K472="Wuzuquan D",18,IF(Atletas!K472="Wingchun D",19,IF(Atletas!K472="Outra Mão de Sul D",20,IF(Atletas!K472="Choylayfut E",21,IF(Atletas!K472="Hunggar E",22,IF(Atletas!K472="Wuzuquan E",23,IF(Atletas!K472="Wingchun E",24,IF(Atletas!K472="Outra Mão de Sul E",25,IF(Atletas!K472="Choylayfut F",26,IF(Atletas!K472="Hunggar F",27,IF(Atletas!K472="Wuzuquan F",28,IF(Atletas!K472="Wingchun F",29,IF(Atletas!K472="Outra Mão de Sul F",30,""))))))))))))))))))))))))))))))))</f>
        <v/>
      </c>
      <c r="BL476" s="52" t="str">
        <f>IF(Atletas!L472="","",IF(Atletas!W472&lt;&gt;"",10000,0)+(IF(Atletas!B472="Feminino",1000,IF(Atletas!B472="Masculino",2000,""))+(IF(Atletas!L472="Chaquan A",101,IF(Atletas!L472="Emeiquan A",102,IF(Atletas!L472="Fanziquan A",103,IF(Atletas!L472="Huaquan A",104,IF(Atletas!L472="Hongquan A",105,IF(Atletas!L472="Paochui A",106,IF(Atletas!L472="Piguaquan A",107,IF(Atletas!L472="Shaolinquan A",108,IF(Atletas!L472="Tanglangquan A",109,IF(Atletas!L472="Yinzhaophai A",110,IF(Atletas!L472="Tongbeiquan A",111,IF(Atletas!L472="Wudangquan A",112,IF(Atletas!L472="Outros Estilos A",113,IF(Atletas!L472="Chaquan B",114,IF(Atletas!L472="Emeiquan B",115,IF(Atletas!L472="Fanziquan B",116,IF(Atletas!L472="Huaquan B",117,IF(Atletas!L472="Hongquan B",118,IF(Atletas!L472="Paochui B",119,IF(Atletas!L472="Piguaquan B",120,IF(Atletas!L472="Shaolinquan B",121,IF(Atletas!L472="Tanglangquan B",122,IF(Atletas!L472="Yinzhaophai B",123,IF(Atletas!L472="Tongbeiquan B",124,IF(Atletas!L472="Wudangquan B",125,IF(Atletas!L472="Outros Estilos B",126,IF(Atletas!L472="Chaquan C",127,IF(Atletas!L472="Emeiquan C",128,IF(Atletas!L472="Fanziquan C",129,IF(Atletas!L472="Huaquan C",130,IF(Atletas!L472="Hongquan C",131,IF(Atletas!L472="Paochui C",132,IF(Atletas!L472="Piguaquan C",133,IF(Atletas!L472="Shaolinquan C",134,IF(Atletas!L472="Tanglangquan C",135,IF(Atletas!L472="Yinzhaophai C",136,IF(Atletas!L472="Tongbeiquan C",137,IF(Atletas!L472="Wudangquan C",138,IF(Atletas!L472="Outros Estilos C",139,0))))))))))))))))))))))))))))))))))))))))))</f>
        <v/>
      </c>
      <c r="BM476" s="52" t="str">
        <f>IF(Atletas!L472="","",IF(Atletas!W472&lt;&gt;"",10000,0)+(IF(Atletas!B472="Feminino",1000,IF(Atletas!B472="Masculino",2000,""))+(IF(Atletas!L472="Chaquan D",140,IF(Atletas!L472="Emeiquan D",141,IF(Atletas!L472="Fanziquan D",142,IF(Atletas!L472="Huaquan D",143,IF(Atletas!L472="Hongquan D",144,IF(Atletas!L472="Paochui D",145,IF(Atletas!L472="Piguaquan D",146,IF(Atletas!L472="Shaolinquan D",147,IF(Atletas!L472="Tanglangquan D",148,IF(Atletas!L472="Yinzhaophai D",149,IF(Atletas!L472="Tongbeiquan D",150,IF(Atletas!L472="Wudangquan D",151,IF(Atletas!L472="Outros Estilos D",152,IF(Atletas!L472="Chaquan E",153,IF(Atletas!L472="Emeiquan E",154,IF(Atletas!L472="Fanziquan E",155,IF(Atletas!L472="Huaquan E",156,IF(Atletas!L472="Hongquan E",157,IF(Atletas!L472="Paochui E",158,IF(Atletas!L472="Piguaquan E",159,IF(Atletas!L472="Shaolinquan E",160,IF(Atletas!L472="Tanglangquan E",161,IF(Atletas!L472="Yinzhaophai E",162,IF(Atletas!L472="Tongbeiquan E",163,IF(Atletas!L472="Wudangquan E",164,IF(Atletas!L472="Outros Estilos E",165,IF(Atletas!L472="Chaquan F",166,IF(Atletas!L472="Emeiquan F",167,IF(Atletas!L472="Fanziquan F",168,IF(Atletas!L472="Huaquan F",169,IF(Atletas!L472="Hongquan F",170,IF(Atletas!L472="Paochui F",171,IF(Atletas!L472="Piguaquan F",172,IF(Atletas!L472="Shaolinquan F",173,IF(Atletas!L472="Tanglangquan F",174,IF(Atletas!L472="Yinzhaophai F",175,IF(Atletas!L472="Tongbeiquan F",176,IF(Atletas!L472="Wudangquan F",177,IF(Atletas!L472="Outros Estilos F",178,0))))))))))))))))))))))))))))))))))))))))))</f>
        <v/>
      </c>
      <c r="BN476" s="52" t="str">
        <f>IF(Atletas!M472="","",IF(Atletas!W472&lt;&gt;"",10000,0)+(IF(Atletas!B472="Feminino",1000,IF(Atletas!B472="Masculino",2000,""))+(IF(Atletas!M472="Ditangquan A",201,IF(Atletas!M472="Houquan A",202,IF(Atletas!M472="Zuiquan A",203,IF(Atletas!M472="Ditangquan B",204,IF(Atletas!M472="Houquan B",205,IF(Atletas!M472="Zuiquan B",206,IF(Atletas!M472="Ditangquan C",207,IF(Atletas!M472="Houquan C",208,IF(Atletas!M472="Zuiquan C",209,IF(Atletas!M472="Ditangquan D",210,IF(Atletas!M472="Houquan D",211,IF(Atletas!M472="Zuiquan D",212,IF(Atletas!M472="Ditangquan E",213,IF(Atletas!M472="Houquan E",214,IF(Atletas!M472="Zuiquan E",215,IF(Atletas!M472="Ditangquan F",216,IF(Atletas!M472="Houquan F",217,IF(Atletas!M472="Zuiquan F",218,"")))))))))))))))))))))</f>
        <v/>
      </c>
      <c r="BO476" s="52" t="str">
        <f>IF(Atletas!N472="","",IF(Atletas!W472&lt;&gt;"",10000,0)+IF(Atletas!B472="Feminino",1000,IF(Atletas!B472="Masculino",2000,""))+IF(Atletas!N472="Yang A",301,IF(Atletas!N472="Chen A",30,IF(Atletas!N472="Sun A",303,IF(Atletas!N472="Wu A",304,IF(Atletas!N472="Wu-Hao A",305,IF(Atletas!N472="Outro Taijiquan A",306,IF(Atletas!N472="Yang B",307,IF(Atletas!N472="Chen B",308,IF(Atletas!N472="Sun B",309,IF(Atletas!N472="Wu B",310,IF(Atletas!N472="Wu-Hao B",311,IF(Atletas!N472="Outro Taijiquan B",312,IF(Atletas!N472="Yang C",313,IF(Atletas!N472="Chen C",314,IF(Atletas!N472="Sun C",315,IF(Atletas!N472="Wu C",316,IF(Atletas!N472="Wu-Hao C",317,IF(Atletas!N472="Outro Taijiquan C",318,IF(Atletas!N472="Yang D",319,IF(Atletas!N472="Chen D",320,IF(Atletas!N472="Sun D",321,IF(Atletas!N472="Wu D",322,IF(Atletas!N472="Wu-Hao D",323,IF(Atletas!N472="Outro Taijiquan D",324,IF(Atletas!N472="Yang E",325,IF(Atletas!N472="Chen E",326,IF(Atletas!N472="Sun E",327,IF(Atletas!N472="Wu E",328,IF(Atletas!N472="Wu-Hao E",329,IF(Atletas!N472="Outro Taijiquan E",330,IF(Atletas!N472="Yang F",331,IF(Atletas!N472="Chen F",332,IF(Atletas!N472="Sun F",333,IF(Atletas!N472="Wu F",334,IF(Atletas!N472="Wu-Hao F",335,IF(Atletas!N472="Outro Taijiquan F",336,"")))))))))))))))))))))))))))))))))))))</f>
        <v/>
      </c>
      <c r="BP476" s="52" t="str">
        <f>IF(Atletas!O472="","",IF(Atletas!W472&lt;&gt;"",10000,0)+IF(Atletas!B472="Feminino",1000,IF(Atletas!B472="Masculino",2000,""))+IF(OR(Atletas!O472="Yang 26 A",Atletas!O472="Yang 40 A"),401,IF(OR(Atletas!O472="Chen 25 A",Atletas!O472="Chen 36 A",Atletas!O472="Chen 56 A"),402,IF(Atletas!O472="Sun 73 A",403,IF(Atletas!O472="Wu 45 A",404,IF(Atletas!O472="Wu-Hao 46 A",405,IF(OR(Atletas!O472="Taijiquan 16 A",Atletas!O472="Taijiquan 24 A",Atletas!O472="Taijiquan 32 A",Atletas!O472="Taijiquan 42 A"),406,IF(OR(Atletas!O472="Yang 26 B",Atletas!O472="Yang 40 B"),407,IF(OR(Atletas!O472="Chen 25 B",Atletas!O472="Chen 36 B",Atletas!O472="Chen 56 B"),408,IF(Atletas!O472="Sun 73 B",409,IF(Atletas!O472="Wu 45 B",410,IF(Atletas!O472="Wu-Hao 46 B",411,IF(OR(Atletas!O472="Taijiquan 16 B",Atletas!O472="Taijiquan 24 B",Atletas!O472="Taijiquan 32 B",Atletas!O472="Taijiquan 42 B"),412,IF(OR(Atletas!O472="Yang 26 C",Atletas!O472="Yang 40 C"),413,IF(OR(Atletas!O472="Chen 25 C",Atletas!O472="Chen 36 C",Atletas!O472="Chen 56 C"),414,IF(Atletas!O472="Sun 73 C",415,IF(Atletas!O472="Wu 45 C",416,IF(Atletas!O472="Wu-Hao 46 C",417,IF(OR(Atletas!O472="Taijiquan 16 C",Atletas!O472="Taijiquan 24 C",Atletas!O472="Taijiquan 32 C",Atletas!O472="Taijiquan 42 C"),418,0)))))))))))))))))))</f>
        <v/>
      </c>
      <c r="BQ476" s="52" t="str">
        <f>IF(Atletas!O472="","",IF(Atletas!W472&lt;&gt;"",10000,0)+IF(Atletas!B472="Feminino",1000,IF(Atletas!B472="Masculino",2000,""))+IF(OR(Atletas!O472="Yang 26 D",Atletas!O472="Yang 40 D"),419,IF(OR(Atletas!O472="Chen 25 D",Atletas!O472="Chen 36 D",Atletas!O472="Chen 56 D"),420,IF(Atletas!O472="Sun 73 D",421,IF(Atletas!O472="Wu 45 D",422,IF(Atletas!O472="Wu-Hao 46 D",423,IF(OR(Atletas!O472="Taijiquan 16 D",Atletas!O472="Taijiquan 24 D",Atletas!O472="Taijiquan 32 D",Atletas!O472="Taijiquan 42 D"),424,IF(OR(Atletas!O472="Yang 26 E",Atletas!O472="Yang 40 E"),425,IF(OR(Atletas!O472="Chen 25 E",Atletas!O472="Chen 36 E",Atletas!O472="Chen 56 E"),426,IF(Atletas!O472="Sun 73 E",427,IF(Atletas!O472="Wu 45 E",428,IF(Atletas!O472="Wu-Hao 46 E",429,IF(OR(Atletas!O472="Taijiquan 16 E",Atletas!O472="Taijiquan 24 E",Atletas!O472="Taijiquan 32 E",Atletas!O472="Taijiquan 42 E"),430,IF(OR(Atletas!O472="Yang 26 F",Atletas!O472="Yang 40 F"),431,IF(OR(Atletas!O472="Chen 25 F",Atletas!O472="Chen 36 F",Atletas!O472="Chen 56 F"),432,IF(Atletas!O472="Sun 73 F",433,IF(Atletas!O472="Wu 45 F",434,IF(Atletas!O472="Wu-Hao 46 F",435,IF(OR(Atletas!O472="Taijiquan 16 F",Atletas!O472="Taijiquan 24 F",Atletas!O472="Taijiquan 32 F",Atletas!O472="Taijiquan 42 F"),436,0)))))))))))))))))))</f>
        <v/>
      </c>
      <c r="BR476" s="52" t="str">
        <f>IF(Atletas!P472="","",IF(Atletas!W472&lt;&gt;"",10000,0)+IF(Atletas!B472="Feminino",1000,IF(Atletas!B472="Masculino",2000,""))+IF(Atletas!P472="Xingyiquan A",501,IF(Atletas!P472="Baguazhang A",502,IF(Atletas!P472="Outro Estilo Interno A",503,IF(Atletas!P472="Xingyiquan B",504,IF(Atletas!P472="Baguazhang B",505,IF(Atletas!P472="Outro Estilo Interno B",506,IF(Atletas!P472="Xingyiquan C",507,IF(Atletas!P472="Baguazhang C",508,IF(Atletas!P472="Outro Estilo Interno C",509,IF(Atletas!P472="Xingyiquan D",510,IF(Atletas!P472="Baguazhang D",511,IF(Atletas!P472="Outro Estilo Interno D",512,IF(Atletas!P472="Xingyiquan E",513,IF(Atletas!P472="Baguazhang E",514,IF(Atletas!P472="Outro Estilo Interno E",515,IF(Atletas!P472="Xingyiquan F",516,IF(Atletas!P472="Baguazhang F",517,IF(Atletas!P472="Outro Estilo Interno F",518, "")))))))))))))))))))</f>
        <v/>
      </c>
      <c r="BS476" s="52" t="str">
        <f>IF(Atletas!Q472="","",IF(Atletas!W472&lt;&gt;"",10000,0)+IF(Atletas!B472="Feminino",1000,IF(Atletas!B472="Masculino",2000,""))+IF(Atletas!Q472="Dao A",601,IF(Atletas!Q472="Jian A",602,IF(Atletas!Q472="Bishou A",603,IF(Atletas!Q472="Shan A",604,IF(Atletas!Q472="Outra Arma Curta A",605,IF(Atletas!Q472="Dao B",606,IF(Atletas!Q472="Jian B",607,IF(Atletas!Q472="Bishou B",608,IF(Atletas!Q472="Shan B",609,IF(Atletas!Q472="Outra Arma Curta B",610,IF(Atletas!Q472="Dao C",611,IF(Atletas!Q472="Jian C",612,IF(Atletas!Q472="Bishou C",613,IF(Atletas!Q472="Shan C",614,IF(Atletas!Q472="Outra Arma Curta C",615,IF(Atletas!Q472="Dao D",616,IF(Atletas!Q472="Jian D",617,IF(Atletas!Q472="Bishou D",618,IF(Atletas!Q472="Shan D",619,IF(Atletas!Q472="Outra Arma Curta D",620,IF(Atletas!Q472="Dao E",621,IF(Atletas!Q472="Jian E",622,IF(Atletas!Q472="Bishou E",623,IF(Atletas!Q472="Shan E",624,IF(Atletas!Q472="Outra Arma Curta E",625,IF(Atletas!Q472="Dao F",626,IF(Atletas!Q472="Jian F",627,IF(Atletas!Q472="Bishou F",628,IF(Atletas!Q472="Shan F",629,IF(Atletas!Q472="Outra Arma Curta F",630, "")))))))))))))))))))))))))))))))</f>
        <v/>
      </c>
      <c r="BT476" s="52" t="str">
        <f>IF(Atletas!R472="","",IF(Atletas!W472&lt;&gt;"",10000,0)+IF(Atletas!B472="Feminino",1000,IF(Atletas!B472="Masculino",2000,""))+IF(Atletas!R472="Gun A",701,IF(Atletas!R472="Qiang A",702,IF(Atletas!R472="Pudao / Guandao A",703,IF(Atletas!R472="Outra Arma Longa A",704,IF(Atletas!R472="Gun B",705,IF(Atletas!R472="Qiang B",706,IF(Atletas!R472="Pudao / Guandao B",707,IF(Atletas!R472="Outra Arma Longa B",708,IF(Atletas!R472="Gun C",709,IF(Atletas!R472="Qiang C",710,IF(Atletas!R472="Pudao / Guandao C",711,IF(Atletas!R472="Outra Arma Longa C",712,IF(Atletas!R472="Gun D",713,IF(Atletas!R472="Qiang D",714,IF(Atletas!R472="Pudao / Guandao D",715,IF(Atletas!R472="Outra Arma Longa D",716,IF(Atletas!R472="Gun E",717,IF(Atletas!R472="Qiang E",718,IF(Atletas!R472="Pudao / Guandao E",719,IF(Atletas!R472="Outra Arma Longa E",720,IF(Atletas!R472="Gun F",721,IF(Atletas!R472="Qiang F",722,IF(Atletas!R472="Pudao / Guandao F",723,IF(Atletas!R472="Outra Arma Longa F",724,"")))))))))))))))))))))))))</f>
        <v/>
      </c>
      <c r="BU476" s="52" t="str">
        <f>IF(Atletas!S472="","",IF(Atletas!W472&lt;&gt;"",10000,0)+IF(Atletas!B472="Feminino",1000,IF(Atletas!B472="Masculino",2000,""))+IF(Atletas!S472="Arma Dupla A",801,IF(Atletas!S472="Arma Maleável A",802,IF(Atletas!S472="Arma Dupla B",803,IF(Atletas!S472="Arma Maleável B",804,IF(Atletas!S472="Arma Dupla C",805,IF(Atletas!S472="Arma Maleável C",806,IF(Atletas!S472="Arma Dupla D",807,IF(Atletas!S472="Arma Maleável D",808,IF(Atletas!S472="Arma Dupla E",809,IF(Atletas!S472="Arma Maleável E",810,IF(Atletas!S472="Arma Dupla F",811,IF(Atletas!S472="Arma Maleável F",812, "")))))))))))))</f>
        <v/>
      </c>
      <c r="BV476" s="52" t="str">
        <f>IF(Atletas!T472="","",IF(Atletas!W472&lt;&gt;"",10000,0)+IF(Atletas!B472="Feminino",1000,IF(Atletas!B472="Masculino",2000,""))+IF(Atletas!T472="Taijijian Yang A",901,IF(Atletas!T472="Taijijian Chen A",902,IF(Atletas!T472="Taijijian Sun A",903,IF(Atletas!T472="Taijijian Wu A",904,IF(Atletas!T472="Taijijian Wu-Hao A",905,IF(Atletas!T472="Taijijian 32 A",906,IF(Atletas!T472="Taijijian 42 A",907,IF(Atletas!T472="Taijijian Yang B",908,IF(Atletas!T472="Taijijian Chen B",909,IF(Atletas!T472="Taijijian Sun B",910,IF(Atletas!T472="Taijijian Wu B",911,IF(Atletas!T472="Taijijian Wu-Hao B",912,IF(Atletas!T472="Taijijian 32 B",913,IF(Atletas!T472="Taijijian 42 B",914,IF(Atletas!T472="Taijijian Yang C",915,IF(Atletas!T472="Taijijian Chen C",916,IF(Atletas!T472="Taijijian Sun C",917,IF(Atletas!T472="Taijijian Wu C",918,IF(Atletas!T472="Taijijian Wu-Hao C",919,IF(Atletas!T472="Taijijian 32 C",920,IF(Atletas!T472="Taijijian 42 C",921,IF(Atletas!T472="Taijijian Yang D",922,IF(Atletas!T472="Taijijian Chen D",923,IF(Atletas!T472="Taijijian Sun D",924,IF(Atletas!T472="Taijijian Wu D",925,IF(Atletas!T472="Taijijian Wu-Hao D",926,IF(Atletas!T472="Taijijian 32 D",927,IF(Atletas!T472="Taijijian 42 D",928,IF(Atletas!T472="Taijijian Yang E",929,IF(Atletas!T472="Taijijian Chen E",930,IF(Atletas!T472="Taijijian Sun E",931,IF(Atletas!T472="Taijijian Wu E",932,IF(Atletas!T472="Taijijian Wu-Hao E",933,IF(Atletas!T472="Taijijian 32 E",934,IF(Atletas!T472="Taijijian 42 E",935,IF(Atletas!T472="Taijijian Yang F",936,IF(Atletas!T472="Taijijian Chen F",937,IF(Atletas!T472="Taijijian Sun F",938,IF(Atletas!T472="Taijijian Wu F",939,IF(Atletas!T472="Taijijian Wu-Hao F",940,IF(Atletas!T472="Taijijian 32 F",941,IF(Atletas!T472="Taijijian 42 F",942,"")))))))))))))))))))))))))))))))))))))))))))</f>
        <v/>
      </c>
      <c r="BW476" s="52" t="str">
        <f>IF(Atletas!U472="","",IF(Atletas!W472&lt;&gt;"",10000,0)+IF(Atletas!B472="Feminino",1000,IF(Atletas!B472="Masculino",2000,""))+IF(Atletas!T472="Taijijian 42 F",942,IF(Atletas!U472="Taijidao A",943,IF(Atletas!U472="Taijishan A",944,IF(Atletas!U472="Taijiqiang A",945,IF(Atletas!U472="Taijidao B",946,IF(Atletas!U472="Taijishan B",947,IF(Atletas!U472="Taijiqiang B",948,IF(Atletas!U472="Taijidao C",949,IF(Atletas!U472="Taijishan C",950,IF(Atletas!U472="Taijiqiang C",951,IF(Atletas!U472="Taijidao D",952,IF(Atletas!U472="Taijishan D",953,IF(Atletas!U472="Taijiqiang D",954,IF(Atletas!U472="Taijidao E",955,IF(Atletas!U472="Taijishan E",956,IF(Atletas!U472="Taijiqiang E",957,IF(Atletas!U472="Taijidao F",958,IF(Atletas!U472="Taijishan F",959,IF(Atletas!U472="Taijiqiang F",960))))))))))))))))))))</f>
        <v/>
      </c>
      <c r="CF476" s="52" t="str">
        <f xml:space="preserve"> IF(Atletas!V472="","",IF(Atletas!V472="Duilian de Mãos AB - Equipe 1",1,IF(Atletas!V472="Duilian de Mãos AB - Equipe 2",2,IF(Atletas!V472="Duilian de Armas AB - Equipe 1",3,IF(Atletas!V472="Duilian de Armas AB - Equipe 2",4,IF(Atletas!V472="Duilian de Tuishou - Equipe 1",5,IF(Atletas!V472="Duilian de Tuishou - Equipe 2",6,IF(Atletas!V472="Grupo Externo AB - Equipe 1",7,IF(Atletas!V472="Grupo Externo AB - Equipe 2",8,IF(Atletas!V472="Grupo Interno AB - Equipe 1",9,IF(Atletas!V472="Grupo Interno AB - Equipe 2",10,IF(Atletas!V472="Duilian de Mãos CD - Equipe 1",11,IF(Atletas!V472="Duilian de Mãos CD - Equipe 2",12,IF(Atletas!V472="Duilian de Armas CD - Equipe 1",13,IF(Atletas!V472="Duilian de Armas CD - Equipe 2",14,IF(Atletas!V472="Duilian de Tuishou - Equipe 1",15,IF(Atletas!V472="Duilian de Tuishou - Equipe 2",16,IF(Atletas!V472="Grupo Externo CDEF - Equipe 1",17,IF(Atletas!V472="Grupo Externo CDEF - Equipe 2",18,IF(Atletas!V472="Grupo Interno CDEF - Equipe 1",19,IF(Atletas!V472="Grupo Interno CDEF - Equipe 2",20,IF(Atletas!V472="Duilian de Mãos EF - Equipe 1",21,IF(Atletas!V472="Duilian de Mãos EF - Equipe 2",22,IF(Atletas!V472="Duilian de Armas EF - Equipe 1",23,IF(Atletas!V472="Duilian de Armas EF - Equipe 2",24,IF(Atletas!V472="Duilian de Tuishou - Equipe 1",25,IF(Atletas!V472="Duilian de Tuishou - Equipe 2",26,"")))))))))))))))))))))))))))</f>
        <v/>
      </c>
    </row>
    <row r="477" spans="36:84">
      <c r="AJ477" s="46" t="str">
        <f>IF(Atletas!D473="","",IF(Atletas!B473="Feminino",100,IF(Atletas!B473="Masculino",200,""))+(IF(Atletas!D473="Infantil 39kg",1,IF(Atletas!D473="Infantil 42kg",2,IF(Atletas!D473="Infantil 45kg",3,IF(Atletas!D473="Infantil 48kg",4,IF(Atletas!D473="Infantil 52kg",5,IF(Atletas!D473="Infantil 56kg",6,IF(Atletas!D473="Infantil 60kg",7,IF(Atletas!D473="Juvenil 48kg",8,IF(Atletas!D473="Juvenil 52kg",9,IF(Atletas!D473="Juvenil 56kg",10,IF(Atletas!D473="Juvenil 60kg",11,IF(Atletas!D473="Juvenil 65kg",12,IF(Atletas!D473="Juvenil 70kg",13,IF(Atletas!D473="Juvenil 75kg",14,IF(Atletas!D473="Juvenil 80kg",15,IF(Atletas!D473="Adulto 48kg",16,IF(Atletas!D473="Adulto 52kg",17,IF(Atletas!D473="Adulto 56kg",18,IF(Atletas!D473="Adulto 60kg",19,IF(Atletas!D473="Adulto 65kg",20,IF(Atletas!D473="Adulto 70kg",21,IF(Atletas!D473="Adulto 75kg",22,IF(Atletas!D473="Adulto 80kg",23,IF(Atletas!D473="Adulto 85kg",24,IF(Atletas!D473="Adulto 90kg",25,IF(Atletas!D473="Adulto +90kg",26,""))))))))))))))))))))))))))))</f>
        <v/>
      </c>
      <c r="AO477" s="10" t="str">
        <f>IF(Atletas!E473="","",IF(Atletas!B473="Feminino",100,IF(Atletas!B473="Masculino",200,""))+(IF(Atletas!E473="Juvenil 44kg",1,IF(Atletas!E473="Juvenil 48kg",2,IF(Atletas!E473="Juvenil 52kg",3,IF(Atletas!E473="Juvenil 56kg",4,IF(Atletas!E473="Juvenil 60kg",5,IF(Atletas!E473="Juvenil 65kg",6,IF(Atletas!E473="Juvenil 70kg",7,IF(Atletas!E473="Juvenil 75kg",8,IF(Atletas!E473="Juvenil 82kg",9,IF(Atletas!E473="Juvenil 90kg",10,IF(Atletas!E473="Juvenil 100kg",11,IF(Atletas!E473="Adulto 48kg",12,IF(Atletas!E473="Adulto 52kg",13,IF(Atletas!E473="Adulto 56kg",14,IF(Atletas!E473="Adulto 60kg",15,IF(Atletas!E473="Adulto 65kg",16,IF(Atletas!E473="Adulto 70kg",17,IF(Atletas!E473="Adulto 75kg",18,IF(Atletas!E473="Adulto 82kg",19,IF(Atletas!E473="Adulto 90kg",20,IF(Atletas!E473="Adulto 100kg",21,IF(Atletas!E473="Adulto +100kg",22,""))))))))))))))))))))))))</f>
        <v/>
      </c>
      <c r="AT477" s="10" t="str">
        <f>IF(Atletas!F473="","",IF(Atletas!B473="Feminino",100,IF(Atletas!B473="Masculino",200,""))+(IF(Atletas!F473="Adulto 48kg",1,IF(Atletas!F473="Adulto 56kg",2,IF(Atletas!F473="Adulto 65kg",3,IF(Atletas!F473="Adulto 75kg",4,IF(Atletas!F473="Adulto +75kg",5,IF(Atletas!F473="Adulto 52kg",6,IF(Atletas!F473="Adulto 60kg",7,IF(Atletas!F473="Adulto 70kg",8,IF(Atletas!F473="Adulto 80kg",9,IF(Atletas!F473="Adulto 90kg",10,IF(Atletas!F473="Adulto +90kg",11,"")))))))))))))</f>
        <v/>
      </c>
      <c r="AY477" s="46" t="str">
        <f>IF(Atletas!G473="","",IF(Atletas!B473="Feminino",100,IF(Atletas!B473="Masculino",200,""))+(IF(Atletas!G473="Changquan Mirim",1,IF(Atletas!G473="Nanquan Mirim",2,IF(Atletas!G473="Taijiquan Mirim",3,IF(Atletas!G473="Changquan Grupo C",4,IF(Atletas!G473="Nanquan Grupo C",5,IF(Atletas!G473="Taijiquan Grupo C",6,IF(Atletas!G473="Changquan Grupo B",7,IF(Atletas!G473="Nanquan Grupo B",8,IF(Atletas!G473="Taijiquan Grupo B",9,IF(Atletas!G473="Changquan Grupo A",10,IF(Atletas!G473="Nanquan Grupo A",11,IF(Atletas!G473="Taijiquan Grupo A",12,IF(Atletas!G473="Changquan Opcional",13,IF(Atletas!G473="Nanquan Opcional",14,IF(Atletas!G473="Taijiquan Opcional",15,IF(Atletas!G473="Changquan Adulto",16,IF(Atletas!G473="Nanquan Adulto",17,IF(Atletas!G473="Taijiquan Adulto",18,""))))))))))))))))))))</f>
        <v/>
      </c>
      <c r="AZ477" s="46" t="str">
        <f>IF(Atletas!H473="","",IF(Atletas!B473="Feminino",100,IF(Atletas!B473="Masculino",200,""))+(IF(Atletas!H473="Daoshu Mirim",19,IF(Atletas!H473="Jianshu Mirim",20,IF(Atletas!H473="Nandao Mirim",21,IF(Atletas!H473="Taijijian Mirim",22,IF(Atletas!H473="Daoshu Grupo C",23,IF(Atletas!H473="Jianshu Grupo C",24,IF(Atletas!H473="Nandao Grupo C",25,IF(Atletas!H473="Taijijian Grupo C",26,IF(Atletas!H473="Daoshu Grupo B",27,IF(Atletas!H473="Jianshu Grupo B",28,IF(Atletas!H473="Nandao Grupo B",29,IF(Atletas!H473="Taijijian Grupo B",30,IF(Atletas!H473="Daoshu Grupo A",31,IF(Atletas!H473="Jianshu Grupo A",32,IF(Atletas!H473="Nandao Grupo A",33,IF(Atletas!H473="Taijijian Grupo A",34,IF(Atletas!H473="Daoshu Opcional",35,IF(Atletas!H473="Jianshu Opcional",36,IF(Atletas!H473="Nandao Opcional",37,IF(Atletas!H473="Taijijian Opcional",38,IF(Atletas!H473="Daoshu Adulto",39,IF(Atletas!H473="Jianshu Adulto",40,IF(Atletas!H473="Nandao Adulto",41,IF(Atletas!H473="Taijijian Adulto",42,""))))))))))))))))))))))))))</f>
        <v/>
      </c>
      <c r="BA477" s="46" t="str">
        <f>IF(Atletas!I473="","",IF(Atletas!B473="Feminino",100,IF(Atletas!B473="Masculino",200,""))+(IF(Atletas!I473="Gunshu Mirim",43,IF(Atletas!I473="Qiangshu Mirim",44,IF(Atletas!I473="Nangun Mirim",45,IF(Atletas!I473="Gunshu Grupo C",46,IF(Atletas!I473="Qiangshu Grupo C",47,IF(Atletas!I473="Nangun Grupo C",48,IF(Atletas!I473="Gunshu Grupo B",49,IF(Atletas!I473="Qiangshu Grupo B",50,IF(Atletas!I473="Nangun Grupo B",51,IF(Atletas!I473="Gunshu Grupo A",52,IF(Atletas!I473="Qiangshu Grupo A",53,IF(Atletas!I473="Nangun Grupo A",54,IF(Atletas!I473="Gunshu Opcional",55,IF(Atletas!I473="Qiangshu Opcional",56,IF(Atletas!I473="Nangun Opcional",57,IF(Atletas!I473="Gunshu Adulto",58,IF(Atletas!I473="Qiangshu Adulto",59,IF(Atletas!I473="Nangun Adulto",60,""))))))))))))))))))))</f>
        <v/>
      </c>
      <c r="BF477" s="52" t="str">
        <f>IF(Atletas!J473="","",IF(Atletas!B473="Feminino",100,IF(Atletas!B473="Masculino",200,""))+(IF(Atletas!J473="Equipe 1 Grupo B",1,IF(Atletas!J473="Equipe 2 Grupo B",2,IF(Atletas!J473="Equipe 1 Grupo A",3,IF(Atletas!J473="Equipe 2 Grupo A",4,IF(Atletas!J473="Equipe 1 Adulto",5,IF(Atletas!J473="Equipe 2 Adulto",6,""))))))))</f>
        <v/>
      </c>
      <c r="BK477" s="52" t="str">
        <f>IF(Atletas!K473="","",IF(Atletas!W473&lt;&gt;"",10000,0)+(IF(Atletas!B473="Feminino",1000,IF(Atletas!B473="Masculino",2000,""))+IF(Atletas!K473="Choylayfut A",1,IF(Atletas!K473="Hunggar A",2,IF(Atletas!K473="Wuzuquan A",3,IF(Atletas!K473="Wingchun A",4,IF(Atletas!K473="Outra Mão de Sul A",5,IF(Atletas!K473="Choylayfut B",6,IF(Atletas!K473="Hunggar B",7,IF(Atletas!K473="Wuzuquan B",8,IF(Atletas!K473="Wingchun B",9,IF(Atletas!K473="Outra Mão de Sul B",10,IF(Atletas!K473="Choylayfut C",11,IF(Atletas!K473="Hunggar C",12,IF(Atletas!K473="Wuzuquan C",13,IF(Atletas!K473="Wingchun C",14,IF(Atletas!K473="Outra Mão de Sul C",15,IF(Atletas!K473="Choylayfut D",16,IF(Atletas!K473="Hunggar D",17,IF(Atletas!K473="Wuzuquan D",18,IF(Atletas!K473="Wingchun D",19,IF(Atletas!K473="Outra Mão de Sul D",20,IF(Atletas!K473="Choylayfut E",21,IF(Atletas!K473="Hunggar E",22,IF(Atletas!K473="Wuzuquan E",23,IF(Atletas!K473="Wingchun E",24,IF(Atletas!K473="Outra Mão de Sul E",25,IF(Atletas!K473="Choylayfut F",26,IF(Atletas!K473="Hunggar F",27,IF(Atletas!K473="Wuzuquan F",28,IF(Atletas!K473="Wingchun F",29,IF(Atletas!K473="Outra Mão de Sul F",30,""))))))))))))))))))))))))))))))))</f>
        <v/>
      </c>
      <c r="BL477" s="52" t="str">
        <f>IF(Atletas!L473="","",IF(Atletas!W473&lt;&gt;"",10000,0)+(IF(Atletas!B473="Feminino",1000,IF(Atletas!B473="Masculino",2000,""))+(IF(Atletas!L473="Chaquan A",101,IF(Atletas!L473="Emeiquan A",102,IF(Atletas!L473="Fanziquan A",103,IF(Atletas!L473="Huaquan A",104,IF(Atletas!L473="Hongquan A",105,IF(Atletas!L473="Paochui A",106,IF(Atletas!L473="Piguaquan A",107,IF(Atletas!L473="Shaolinquan A",108,IF(Atletas!L473="Tanglangquan A",109,IF(Atletas!L473="Yinzhaophai A",110,IF(Atletas!L473="Tongbeiquan A",111,IF(Atletas!L473="Wudangquan A",112,IF(Atletas!L473="Outros Estilos A",113,IF(Atletas!L473="Chaquan B",114,IF(Atletas!L473="Emeiquan B",115,IF(Atletas!L473="Fanziquan B",116,IF(Atletas!L473="Huaquan B",117,IF(Atletas!L473="Hongquan B",118,IF(Atletas!L473="Paochui B",119,IF(Atletas!L473="Piguaquan B",120,IF(Atletas!L473="Shaolinquan B",121,IF(Atletas!L473="Tanglangquan B",122,IF(Atletas!L473="Yinzhaophai B",123,IF(Atletas!L473="Tongbeiquan B",124,IF(Atletas!L473="Wudangquan B",125,IF(Atletas!L473="Outros Estilos B",126,IF(Atletas!L473="Chaquan C",127,IF(Atletas!L473="Emeiquan C",128,IF(Atletas!L473="Fanziquan C",129,IF(Atletas!L473="Huaquan C",130,IF(Atletas!L473="Hongquan C",131,IF(Atletas!L473="Paochui C",132,IF(Atletas!L473="Piguaquan C",133,IF(Atletas!L473="Shaolinquan C",134,IF(Atletas!L473="Tanglangquan C",135,IF(Atletas!L473="Yinzhaophai C",136,IF(Atletas!L473="Tongbeiquan C",137,IF(Atletas!L473="Wudangquan C",138,IF(Atletas!L473="Outros Estilos C",139,0))))))))))))))))))))))))))))))))))))))))))</f>
        <v/>
      </c>
      <c r="BM477" s="52" t="str">
        <f>IF(Atletas!L473="","",IF(Atletas!W473&lt;&gt;"",10000,0)+(IF(Atletas!B473="Feminino",1000,IF(Atletas!B473="Masculino",2000,""))+(IF(Atletas!L473="Chaquan D",140,IF(Atletas!L473="Emeiquan D",141,IF(Atletas!L473="Fanziquan D",142,IF(Atletas!L473="Huaquan D",143,IF(Atletas!L473="Hongquan D",144,IF(Atletas!L473="Paochui D",145,IF(Atletas!L473="Piguaquan D",146,IF(Atletas!L473="Shaolinquan D",147,IF(Atletas!L473="Tanglangquan D",148,IF(Atletas!L473="Yinzhaophai D",149,IF(Atletas!L473="Tongbeiquan D",150,IF(Atletas!L473="Wudangquan D",151,IF(Atletas!L473="Outros Estilos D",152,IF(Atletas!L473="Chaquan E",153,IF(Atletas!L473="Emeiquan E",154,IF(Atletas!L473="Fanziquan E",155,IF(Atletas!L473="Huaquan E",156,IF(Atletas!L473="Hongquan E",157,IF(Atletas!L473="Paochui E",158,IF(Atletas!L473="Piguaquan E",159,IF(Atletas!L473="Shaolinquan E",160,IF(Atletas!L473="Tanglangquan E",161,IF(Atletas!L473="Yinzhaophai E",162,IF(Atletas!L473="Tongbeiquan E",163,IF(Atletas!L473="Wudangquan E",164,IF(Atletas!L473="Outros Estilos E",165,IF(Atletas!L473="Chaquan F",166,IF(Atletas!L473="Emeiquan F",167,IF(Atletas!L473="Fanziquan F",168,IF(Atletas!L473="Huaquan F",169,IF(Atletas!L473="Hongquan F",170,IF(Atletas!L473="Paochui F",171,IF(Atletas!L473="Piguaquan F",172,IF(Atletas!L473="Shaolinquan F",173,IF(Atletas!L473="Tanglangquan F",174,IF(Atletas!L473="Yinzhaophai F",175,IF(Atletas!L473="Tongbeiquan F",176,IF(Atletas!L473="Wudangquan F",177,IF(Atletas!L473="Outros Estilos F",178,0))))))))))))))))))))))))))))))))))))))))))</f>
        <v/>
      </c>
      <c r="BN477" s="52" t="str">
        <f>IF(Atletas!M473="","",IF(Atletas!W473&lt;&gt;"",10000,0)+(IF(Atletas!B473="Feminino",1000,IF(Atletas!B473="Masculino",2000,""))+(IF(Atletas!M473="Ditangquan A",201,IF(Atletas!M473="Houquan A",202,IF(Atletas!M473="Zuiquan A",203,IF(Atletas!M473="Ditangquan B",204,IF(Atletas!M473="Houquan B",205,IF(Atletas!M473="Zuiquan B",206,IF(Atletas!M473="Ditangquan C",207,IF(Atletas!M473="Houquan C",208,IF(Atletas!M473="Zuiquan C",209,IF(Atletas!M473="Ditangquan D",210,IF(Atletas!M473="Houquan D",211,IF(Atletas!M473="Zuiquan D",212,IF(Atletas!M473="Ditangquan E",213,IF(Atletas!M473="Houquan E",214,IF(Atletas!M473="Zuiquan E",215,IF(Atletas!M473="Ditangquan F",216,IF(Atletas!M473="Houquan F",217,IF(Atletas!M473="Zuiquan F",218,"")))))))))))))))))))))</f>
        <v/>
      </c>
      <c r="BO477" s="52" t="str">
        <f>IF(Atletas!N473="","",IF(Atletas!W473&lt;&gt;"",10000,0)+IF(Atletas!B473="Feminino",1000,IF(Atletas!B473="Masculino",2000,""))+IF(Atletas!N473="Yang A",301,IF(Atletas!N473="Chen A",30,IF(Atletas!N473="Sun A",303,IF(Atletas!N473="Wu A",304,IF(Atletas!N473="Wu-Hao A",305,IF(Atletas!N473="Outro Taijiquan A",306,IF(Atletas!N473="Yang B",307,IF(Atletas!N473="Chen B",308,IF(Atletas!N473="Sun B",309,IF(Atletas!N473="Wu B",310,IF(Atletas!N473="Wu-Hao B",311,IF(Atletas!N473="Outro Taijiquan B",312,IF(Atletas!N473="Yang C",313,IF(Atletas!N473="Chen C",314,IF(Atletas!N473="Sun C",315,IF(Atletas!N473="Wu C",316,IF(Atletas!N473="Wu-Hao C",317,IF(Atletas!N473="Outro Taijiquan C",318,IF(Atletas!N473="Yang D",319,IF(Atletas!N473="Chen D",320,IF(Atletas!N473="Sun D",321,IF(Atletas!N473="Wu D",322,IF(Atletas!N473="Wu-Hao D",323,IF(Atletas!N473="Outro Taijiquan D",324,IF(Atletas!N473="Yang E",325,IF(Atletas!N473="Chen E",326,IF(Atletas!N473="Sun E",327,IF(Atletas!N473="Wu E",328,IF(Atletas!N473="Wu-Hao E",329,IF(Atletas!N473="Outro Taijiquan E",330,IF(Atletas!N473="Yang F",331,IF(Atletas!N473="Chen F",332,IF(Atletas!N473="Sun F",333,IF(Atletas!N473="Wu F",334,IF(Atletas!N473="Wu-Hao F",335,IF(Atletas!N473="Outro Taijiquan F",336,"")))))))))))))))))))))))))))))))))))))</f>
        <v/>
      </c>
      <c r="BP477" s="52" t="str">
        <f>IF(Atletas!O473="","",IF(Atletas!W473&lt;&gt;"",10000,0)+IF(Atletas!B473="Feminino",1000,IF(Atletas!B473="Masculino",2000,""))+IF(OR(Atletas!O473="Yang 26 A",Atletas!O473="Yang 40 A"),401,IF(OR(Atletas!O473="Chen 25 A",Atletas!O473="Chen 36 A",Atletas!O473="Chen 56 A"),402,IF(Atletas!O473="Sun 73 A",403,IF(Atletas!O473="Wu 45 A",404,IF(Atletas!O473="Wu-Hao 46 A",405,IF(OR(Atletas!O473="Taijiquan 16 A",Atletas!O473="Taijiquan 24 A",Atletas!O473="Taijiquan 32 A",Atletas!O473="Taijiquan 42 A"),406,IF(OR(Atletas!O473="Yang 26 B",Atletas!O473="Yang 40 B"),407,IF(OR(Atletas!O473="Chen 25 B",Atletas!O473="Chen 36 B",Atletas!O473="Chen 56 B"),408,IF(Atletas!O473="Sun 73 B",409,IF(Atletas!O473="Wu 45 B",410,IF(Atletas!O473="Wu-Hao 46 B",411,IF(OR(Atletas!O473="Taijiquan 16 B",Atletas!O473="Taijiquan 24 B",Atletas!O473="Taijiquan 32 B",Atletas!O473="Taijiquan 42 B"),412,IF(OR(Atletas!O473="Yang 26 C",Atletas!O473="Yang 40 C"),413,IF(OR(Atletas!O473="Chen 25 C",Atletas!O473="Chen 36 C",Atletas!O473="Chen 56 C"),414,IF(Atletas!O473="Sun 73 C",415,IF(Atletas!O473="Wu 45 C",416,IF(Atletas!O473="Wu-Hao 46 C",417,IF(OR(Atletas!O473="Taijiquan 16 C",Atletas!O473="Taijiquan 24 C",Atletas!O473="Taijiquan 32 C",Atletas!O473="Taijiquan 42 C"),418,0)))))))))))))))))))</f>
        <v/>
      </c>
      <c r="BQ477" s="52" t="str">
        <f>IF(Atletas!O473="","",IF(Atletas!W473&lt;&gt;"",10000,0)+IF(Atletas!B473="Feminino",1000,IF(Atletas!B473="Masculino",2000,""))+IF(OR(Atletas!O473="Yang 26 D",Atletas!O473="Yang 40 D"),419,IF(OR(Atletas!O473="Chen 25 D",Atletas!O473="Chen 36 D",Atletas!O473="Chen 56 D"),420,IF(Atletas!O473="Sun 73 D",421,IF(Atletas!O473="Wu 45 D",422,IF(Atletas!O473="Wu-Hao 46 D",423,IF(OR(Atletas!O473="Taijiquan 16 D",Atletas!O473="Taijiquan 24 D",Atletas!O473="Taijiquan 32 D",Atletas!O473="Taijiquan 42 D"),424,IF(OR(Atletas!O473="Yang 26 E",Atletas!O473="Yang 40 E"),425,IF(OR(Atletas!O473="Chen 25 E",Atletas!O473="Chen 36 E",Atletas!O473="Chen 56 E"),426,IF(Atletas!O473="Sun 73 E",427,IF(Atletas!O473="Wu 45 E",428,IF(Atletas!O473="Wu-Hao 46 E",429,IF(OR(Atletas!O473="Taijiquan 16 E",Atletas!O473="Taijiquan 24 E",Atletas!O473="Taijiquan 32 E",Atletas!O473="Taijiquan 42 E"),430,IF(OR(Atletas!O473="Yang 26 F",Atletas!O473="Yang 40 F"),431,IF(OR(Atletas!O473="Chen 25 F",Atletas!O473="Chen 36 F",Atletas!O473="Chen 56 F"),432,IF(Atletas!O473="Sun 73 F",433,IF(Atletas!O473="Wu 45 F",434,IF(Atletas!O473="Wu-Hao 46 F",435,IF(OR(Atletas!O473="Taijiquan 16 F",Atletas!O473="Taijiquan 24 F",Atletas!O473="Taijiquan 32 F",Atletas!O473="Taijiquan 42 F"),436,0)))))))))))))))))))</f>
        <v/>
      </c>
      <c r="BR477" s="52" t="str">
        <f>IF(Atletas!P473="","",IF(Atletas!W473&lt;&gt;"",10000,0)+IF(Atletas!B473="Feminino",1000,IF(Atletas!B473="Masculino",2000,""))+IF(Atletas!P473="Xingyiquan A",501,IF(Atletas!P473="Baguazhang A",502,IF(Atletas!P473="Outro Estilo Interno A",503,IF(Atletas!P473="Xingyiquan B",504,IF(Atletas!P473="Baguazhang B",505,IF(Atletas!P473="Outro Estilo Interno B",506,IF(Atletas!P473="Xingyiquan C",507,IF(Atletas!P473="Baguazhang C",508,IF(Atletas!P473="Outro Estilo Interno C",509,IF(Atletas!P473="Xingyiquan D",510,IF(Atletas!P473="Baguazhang D",511,IF(Atletas!P473="Outro Estilo Interno D",512,IF(Atletas!P473="Xingyiquan E",513,IF(Atletas!P473="Baguazhang E",514,IF(Atletas!P473="Outro Estilo Interno E",515,IF(Atletas!P473="Xingyiquan F",516,IF(Atletas!P473="Baguazhang F",517,IF(Atletas!P473="Outro Estilo Interno F",518, "")))))))))))))))))))</f>
        <v/>
      </c>
      <c r="BS477" s="52" t="str">
        <f>IF(Atletas!Q473="","",IF(Atletas!W473&lt;&gt;"",10000,0)+IF(Atletas!B473="Feminino",1000,IF(Atletas!B473="Masculino",2000,""))+IF(Atletas!Q473="Dao A",601,IF(Atletas!Q473="Jian A",602,IF(Atletas!Q473="Bishou A",603,IF(Atletas!Q473="Shan A",604,IF(Atletas!Q473="Outra Arma Curta A",605,IF(Atletas!Q473="Dao B",606,IF(Atletas!Q473="Jian B",607,IF(Atletas!Q473="Bishou B",608,IF(Atletas!Q473="Shan B",609,IF(Atletas!Q473="Outra Arma Curta B",610,IF(Atletas!Q473="Dao C",611,IF(Atletas!Q473="Jian C",612,IF(Atletas!Q473="Bishou C",613,IF(Atletas!Q473="Shan C",614,IF(Atletas!Q473="Outra Arma Curta C",615,IF(Atletas!Q473="Dao D",616,IF(Atletas!Q473="Jian D",617,IF(Atletas!Q473="Bishou D",618,IF(Atletas!Q473="Shan D",619,IF(Atletas!Q473="Outra Arma Curta D",620,IF(Atletas!Q473="Dao E",621,IF(Atletas!Q473="Jian E",622,IF(Atletas!Q473="Bishou E",623,IF(Atletas!Q473="Shan E",624,IF(Atletas!Q473="Outra Arma Curta E",625,IF(Atletas!Q473="Dao F",626,IF(Atletas!Q473="Jian F",627,IF(Atletas!Q473="Bishou F",628,IF(Atletas!Q473="Shan F",629,IF(Atletas!Q473="Outra Arma Curta F",630, "")))))))))))))))))))))))))))))))</f>
        <v/>
      </c>
      <c r="BT477" s="52" t="str">
        <f>IF(Atletas!R473="","",IF(Atletas!W473&lt;&gt;"",10000,0)+IF(Atletas!B473="Feminino",1000,IF(Atletas!B473="Masculino",2000,""))+IF(Atletas!R473="Gun A",701,IF(Atletas!R473="Qiang A",702,IF(Atletas!R473="Pudao / Guandao A",703,IF(Atletas!R473="Outra Arma Longa A",704,IF(Atletas!R473="Gun B",705,IF(Atletas!R473="Qiang B",706,IF(Atletas!R473="Pudao / Guandao B",707,IF(Atletas!R473="Outra Arma Longa B",708,IF(Atletas!R473="Gun C",709,IF(Atletas!R473="Qiang C",710,IF(Atletas!R473="Pudao / Guandao C",711,IF(Atletas!R473="Outra Arma Longa C",712,IF(Atletas!R473="Gun D",713,IF(Atletas!R473="Qiang D",714,IF(Atletas!R473="Pudao / Guandao D",715,IF(Atletas!R473="Outra Arma Longa D",716,IF(Atletas!R473="Gun E",717,IF(Atletas!R473="Qiang E",718,IF(Atletas!R473="Pudao / Guandao E",719,IF(Atletas!R473="Outra Arma Longa E",720,IF(Atletas!R473="Gun F",721,IF(Atletas!R473="Qiang F",722,IF(Atletas!R473="Pudao / Guandao F",723,IF(Atletas!R473="Outra Arma Longa F",724,"")))))))))))))))))))))))))</f>
        <v/>
      </c>
      <c r="BU477" s="52" t="str">
        <f>IF(Atletas!S473="","",IF(Atletas!W473&lt;&gt;"",10000,0)+IF(Atletas!B473="Feminino",1000,IF(Atletas!B473="Masculino",2000,""))+IF(Atletas!S473="Arma Dupla A",801,IF(Atletas!S473="Arma Maleável A",802,IF(Atletas!S473="Arma Dupla B",803,IF(Atletas!S473="Arma Maleável B",804,IF(Atletas!S473="Arma Dupla C",805,IF(Atletas!S473="Arma Maleável C",806,IF(Atletas!S473="Arma Dupla D",807,IF(Atletas!S473="Arma Maleável D",808,IF(Atletas!S473="Arma Dupla E",809,IF(Atletas!S473="Arma Maleável E",810,IF(Atletas!S473="Arma Dupla F",811,IF(Atletas!S473="Arma Maleável F",812, "")))))))))))))</f>
        <v/>
      </c>
      <c r="BV477" s="52" t="str">
        <f>IF(Atletas!T473="","",IF(Atletas!W473&lt;&gt;"",10000,0)+IF(Atletas!B473="Feminino",1000,IF(Atletas!B473="Masculino",2000,""))+IF(Atletas!T473="Taijijian Yang A",901,IF(Atletas!T473="Taijijian Chen A",902,IF(Atletas!T473="Taijijian Sun A",903,IF(Atletas!T473="Taijijian Wu A",904,IF(Atletas!T473="Taijijian Wu-Hao A",905,IF(Atletas!T473="Taijijian 32 A",906,IF(Atletas!T473="Taijijian 42 A",907,IF(Atletas!T473="Taijijian Yang B",908,IF(Atletas!T473="Taijijian Chen B",909,IF(Atletas!T473="Taijijian Sun B",910,IF(Atletas!T473="Taijijian Wu B",911,IF(Atletas!T473="Taijijian Wu-Hao B",912,IF(Atletas!T473="Taijijian 32 B",913,IF(Atletas!T473="Taijijian 42 B",914,IF(Atletas!T473="Taijijian Yang C",915,IF(Atletas!T473="Taijijian Chen C",916,IF(Atletas!T473="Taijijian Sun C",917,IF(Atletas!T473="Taijijian Wu C",918,IF(Atletas!T473="Taijijian Wu-Hao C",919,IF(Atletas!T473="Taijijian 32 C",920,IF(Atletas!T473="Taijijian 42 C",921,IF(Atletas!T473="Taijijian Yang D",922,IF(Atletas!T473="Taijijian Chen D",923,IF(Atletas!T473="Taijijian Sun D",924,IF(Atletas!T473="Taijijian Wu D",925,IF(Atletas!T473="Taijijian Wu-Hao D",926,IF(Atletas!T473="Taijijian 32 D",927,IF(Atletas!T473="Taijijian 42 D",928,IF(Atletas!T473="Taijijian Yang E",929,IF(Atletas!T473="Taijijian Chen E",930,IF(Atletas!T473="Taijijian Sun E",931,IF(Atletas!T473="Taijijian Wu E",932,IF(Atletas!T473="Taijijian Wu-Hao E",933,IF(Atletas!T473="Taijijian 32 E",934,IF(Atletas!T473="Taijijian 42 E",935,IF(Atletas!T473="Taijijian Yang F",936,IF(Atletas!T473="Taijijian Chen F",937,IF(Atletas!T473="Taijijian Sun F",938,IF(Atletas!T473="Taijijian Wu F",939,IF(Atletas!T473="Taijijian Wu-Hao F",940,IF(Atletas!T473="Taijijian 32 F",941,IF(Atletas!T473="Taijijian 42 F",942,"")))))))))))))))))))))))))))))))))))))))))))</f>
        <v/>
      </c>
      <c r="BW477" s="52" t="str">
        <f>IF(Atletas!U473="","",IF(Atletas!W473&lt;&gt;"",10000,0)+IF(Atletas!B473="Feminino",1000,IF(Atletas!B473="Masculino",2000,""))+IF(Atletas!T473="Taijijian 42 F",942,IF(Atletas!U473="Taijidao A",943,IF(Atletas!U473="Taijishan A",944,IF(Atletas!U473="Taijiqiang A",945,IF(Atletas!U473="Taijidao B",946,IF(Atletas!U473="Taijishan B",947,IF(Atletas!U473="Taijiqiang B",948,IF(Atletas!U473="Taijidao C",949,IF(Atletas!U473="Taijishan C",950,IF(Atletas!U473="Taijiqiang C",951,IF(Atletas!U473="Taijidao D",952,IF(Atletas!U473="Taijishan D",953,IF(Atletas!U473="Taijiqiang D",954,IF(Atletas!U473="Taijidao E",955,IF(Atletas!U473="Taijishan E",956,IF(Atletas!U473="Taijiqiang E",957,IF(Atletas!U473="Taijidao F",958,IF(Atletas!U473="Taijishan F",959,IF(Atletas!U473="Taijiqiang F",960))))))))))))))))))))</f>
        <v/>
      </c>
      <c r="CF477" s="52" t="str">
        <f xml:space="preserve"> IF(Atletas!V473="","",IF(Atletas!V473="Duilian de Mãos AB - Equipe 1",1,IF(Atletas!V473="Duilian de Mãos AB - Equipe 2",2,IF(Atletas!V473="Duilian de Armas AB - Equipe 1",3,IF(Atletas!V473="Duilian de Armas AB - Equipe 2",4,IF(Atletas!V473="Duilian de Tuishou - Equipe 1",5,IF(Atletas!V473="Duilian de Tuishou - Equipe 2",6,IF(Atletas!V473="Grupo Externo AB - Equipe 1",7,IF(Atletas!V473="Grupo Externo AB - Equipe 2",8,IF(Atletas!V473="Grupo Interno AB - Equipe 1",9,IF(Atletas!V473="Grupo Interno AB - Equipe 2",10,IF(Atletas!V473="Duilian de Mãos CD - Equipe 1",11,IF(Atletas!V473="Duilian de Mãos CD - Equipe 2",12,IF(Atletas!V473="Duilian de Armas CD - Equipe 1",13,IF(Atletas!V473="Duilian de Armas CD - Equipe 2",14,IF(Atletas!V473="Duilian de Tuishou - Equipe 1",15,IF(Atletas!V473="Duilian de Tuishou - Equipe 2",16,IF(Atletas!V473="Grupo Externo CDEF - Equipe 1",17,IF(Atletas!V473="Grupo Externo CDEF - Equipe 2",18,IF(Atletas!V473="Grupo Interno CDEF - Equipe 1",19,IF(Atletas!V473="Grupo Interno CDEF - Equipe 2",20,IF(Atletas!V473="Duilian de Mãos EF - Equipe 1",21,IF(Atletas!V473="Duilian de Mãos EF - Equipe 2",22,IF(Atletas!V473="Duilian de Armas EF - Equipe 1",23,IF(Atletas!V473="Duilian de Armas EF - Equipe 2",24,IF(Atletas!V473="Duilian de Tuishou - Equipe 1",25,IF(Atletas!V473="Duilian de Tuishou - Equipe 2",26,"")))))))))))))))))))))))))))</f>
        <v/>
      </c>
    </row>
    <row r="478" spans="36:84">
      <c r="AJ478" s="46" t="str">
        <f>IF(Atletas!D474="","",IF(Atletas!B474="Feminino",100,IF(Atletas!B474="Masculino",200,""))+(IF(Atletas!D474="Infantil 39kg",1,IF(Atletas!D474="Infantil 42kg",2,IF(Atletas!D474="Infantil 45kg",3,IF(Atletas!D474="Infantil 48kg",4,IF(Atletas!D474="Infantil 52kg",5,IF(Atletas!D474="Infantil 56kg",6,IF(Atletas!D474="Infantil 60kg",7,IF(Atletas!D474="Juvenil 48kg",8,IF(Atletas!D474="Juvenil 52kg",9,IF(Atletas!D474="Juvenil 56kg",10,IF(Atletas!D474="Juvenil 60kg",11,IF(Atletas!D474="Juvenil 65kg",12,IF(Atletas!D474="Juvenil 70kg",13,IF(Atletas!D474="Juvenil 75kg",14,IF(Atletas!D474="Juvenil 80kg",15,IF(Atletas!D474="Adulto 48kg",16,IF(Atletas!D474="Adulto 52kg",17,IF(Atletas!D474="Adulto 56kg",18,IF(Atletas!D474="Adulto 60kg",19,IF(Atletas!D474="Adulto 65kg",20,IF(Atletas!D474="Adulto 70kg",21,IF(Atletas!D474="Adulto 75kg",22,IF(Atletas!D474="Adulto 80kg",23,IF(Atletas!D474="Adulto 85kg",24,IF(Atletas!D474="Adulto 90kg",25,IF(Atletas!D474="Adulto +90kg",26,""))))))))))))))))))))))))))))</f>
        <v/>
      </c>
      <c r="AO478" s="10" t="str">
        <f>IF(Atletas!E474="","",IF(Atletas!B474="Feminino",100,IF(Atletas!B474="Masculino",200,""))+(IF(Atletas!E474="Juvenil 44kg",1,IF(Atletas!E474="Juvenil 48kg",2,IF(Atletas!E474="Juvenil 52kg",3,IF(Atletas!E474="Juvenil 56kg",4,IF(Atletas!E474="Juvenil 60kg",5,IF(Atletas!E474="Juvenil 65kg",6,IF(Atletas!E474="Juvenil 70kg",7,IF(Atletas!E474="Juvenil 75kg",8,IF(Atletas!E474="Juvenil 82kg",9,IF(Atletas!E474="Juvenil 90kg",10,IF(Atletas!E474="Juvenil 100kg",11,IF(Atletas!E474="Adulto 48kg",12,IF(Atletas!E474="Adulto 52kg",13,IF(Atletas!E474="Adulto 56kg",14,IF(Atletas!E474="Adulto 60kg",15,IF(Atletas!E474="Adulto 65kg",16,IF(Atletas!E474="Adulto 70kg",17,IF(Atletas!E474="Adulto 75kg",18,IF(Atletas!E474="Adulto 82kg",19,IF(Atletas!E474="Adulto 90kg",20,IF(Atletas!E474="Adulto 100kg",21,IF(Atletas!E474="Adulto +100kg",22,""))))))))))))))))))))))))</f>
        <v/>
      </c>
      <c r="AT478" s="10" t="str">
        <f>IF(Atletas!F474="","",IF(Atletas!B474="Feminino",100,IF(Atletas!B474="Masculino",200,""))+(IF(Atletas!F474="Adulto 48kg",1,IF(Atletas!F474="Adulto 56kg",2,IF(Atletas!F474="Adulto 65kg",3,IF(Atletas!F474="Adulto 75kg",4,IF(Atletas!F474="Adulto +75kg",5,IF(Atletas!F474="Adulto 52kg",6,IF(Atletas!F474="Adulto 60kg",7,IF(Atletas!F474="Adulto 70kg",8,IF(Atletas!F474="Adulto 80kg",9,IF(Atletas!F474="Adulto 90kg",10,IF(Atletas!F474="Adulto +90kg",11,"")))))))))))))</f>
        <v/>
      </c>
      <c r="AY478" s="46" t="str">
        <f>IF(Atletas!G474="","",IF(Atletas!B474="Feminino",100,IF(Atletas!B474="Masculino",200,""))+(IF(Atletas!G474="Changquan Mirim",1,IF(Atletas!G474="Nanquan Mirim",2,IF(Atletas!G474="Taijiquan Mirim",3,IF(Atletas!G474="Changquan Grupo C",4,IF(Atletas!G474="Nanquan Grupo C",5,IF(Atletas!G474="Taijiquan Grupo C",6,IF(Atletas!G474="Changquan Grupo B",7,IF(Atletas!G474="Nanquan Grupo B",8,IF(Atletas!G474="Taijiquan Grupo B",9,IF(Atletas!G474="Changquan Grupo A",10,IF(Atletas!G474="Nanquan Grupo A",11,IF(Atletas!G474="Taijiquan Grupo A",12,IF(Atletas!G474="Changquan Opcional",13,IF(Atletas!G474="Nanquan Opcional",14,IF(Atletas!G474="Taijiquan Opcional",15,IF(Atletas!G474="Changquan Adulto",16,IF(Atletas!G474="Nanquan Adulto",17,IF(Atletas!G474="Taijiquan Adulto",18,""))))))))))))))))))))</f>
        <v/>
      </c>
      <c r="AZ478" s="46" t="str">
        <f>IF(Atletas!H474="","",IF(Atletas!B474="Feminino",100,IF(Atletas!B474="Masculino",200,""))+(IF(Atletas!H474="Daoshu Mirim",19,IF(Atletas!H474="Jianshu Mirim",20,IF(Atletas!H474="Nandao Mirim",21,IF(Atletas!H474="Taijijian Mirim",22,IF(Atletas!H474="Daoshu Grupo C",23,IF(Atletas!H474="Jianshu Grupo C",24,IF(Atletas!H474="Nandao Grupo C",25,IF(Atletas!H474="Taijijian Grupo C",26,IF(Atletas!H474="Daoshu Grupo B",27,IF(Atletas!H474="Jianshu Grupo B",28,IF(Atletas!H474="Nandao Grupo B",29,IF(Atletas!H474="Taijijian Grupo B",30,IF(Atletas!H474="Daoshu Grupo A",31,IF(Atletas!H474="Jianshu Grupo A",32,IF(Atletas!H474="Nandao Grupo A",33,IF(Atletas!H474="Taijijian Grupo A",34,IF(Atletas!H474="Daoshu Opcional",35,IF(Atletas!H474="Jianshu Opcional",36,IF(Atletas!H474="Nandao Opcional",37,IF(Atletas!H474="Taijijian Opcional",38,IF(Atletas!H474="Daoshu Adulto",39,IF(Atletas!H474="Jianshu Adulto",40,IF(Atletas!H474="Nandao Adulto",41,IF(Atletas!H474="Taijijian Adulto",42,""))))))))))))))))))))))))))</f>
        <v/>
      </c>
      <c r="BA478" s="46" t="str">
        <f>IF(Atletas!I474="","",IF(Atletas!B474="Feminino",100,IF(Atletas!B474="Masculino",200,""))+(IF(Atletas!I474="Gunshu Mirim",43,IF(Atletas!I474="Qiangshu Mirim",44,IF(Atletas!I474="Nangun Mirim",45,IF(Atletas!I474="Gunshu Grupo C",46,IF(Atletas!I474="Qiangshu Grupo C",47,IF(Atletas!I474="Nangun Grupo C",48,IF(Atletas!I474="Gunshu Grupo B",49,IF(Atletas!I474="Qiangshu Grupo B",50,IF(Atletas!I474="Nangun Grupo B",51,IF(Atletas!I474="Gunshu Grupo A",52,IF(Atletas!I474="Qiangshu Grupo A",53,IF(Atletas!I474="Nangun Grupo A",54,IF(Atletas!I474="Gunshu Opcional",55,IF(Atletas!I474="Qiangshu Opcional",56,IF(Atletas!I474="Nangun Opcional",57,IF(Atletas!I474="Gunshu Adulto",58,IF(Atletas!I474="Qiangshu Adulto",59,IF(Atletas!I474="Nangun Adulto",60,""))))))))))))))))))))</f>
        <v/>
      </c>
      <c r="BF478" s="52" t="str">
        <f>IF(Atletas!J474="","",IF(Atletas!B474="Feminino",100,IF(Atletas!B474="Masculino",200,""))+(IF(Atletas!J474="Equipe 1 Grupo B",1,IF(Atletas!J474="Equipe 2 Grupo B",2,IF(Atletas!J474="Equipe 1 Grupo A",3,IF(Atletas!J474="Equipe 2 Grupo A",4,IF(Atletas!J474="Equipe 1 Adulto",5,IF(Atletas!J474="Equipe 2 Adulto",6,""))))))))</f>
        <v/>
      </c>
      <c r="BK478" s="52" t="str">
        <f>IF(Atletas!K474="","",IF(Atletas!W474&lt;&gt;"",10000,0)+(IF(Atletas!B474="Feminino",1000,IF(Atletas!B474="Masculino",2000,""))+IF(Atletas!K474="Choylayfut A",1,IF(Atletas!K474="Hunggar A",2,IF(Atletas!K474="Wuzuquan A",3,IF(Atletas!K474="Wingchun A",4,IF(Atletas!K474="Outra Mão de Sul A",5,IF(Atletas!K474="Choylayfut B",6,IF(Atletas!K474="Hunggar B",7,IF(Atletas!K474="Wuzuquan B",8,IF(Atletas!K474="Wingchun B",9,IF(Atletas!K474="Outra Mão de Sul B",10,IF(Atletas!K474="Choylayfut C",11,IF(Atletas!K474="Hunggar C",12,IF(Atletas!K474="Wuzuquan C",13,IF(Atletas!K474="Wingchun C",14,IF(Atletas!K474="Outra Mão de Sul C",15,IF(Atletas!K474="Choylayfut D",16,IF(Atletas!K474="Hunggar D",17,IF(Atletas!K474="Wuzuquan D",18,IF(Atletas!K474="Wingchun D",19,IF(Atletas!K474="Outra Mão de Sul D",20,IF(Atletas!K474="Choylayfut E",21,IF(Atletas!K474="Hunggar E",22,IF(Atletas!K474="Wuzuquan E",23,IF(Atletas!K474="Wingchun E",24,IF(Atletas!K474="Outra Mão de Sul E",25,IF(Atletas!K474="Choylayfut F",26,IF(Atletas!K474="Hunggar F",27,IF(Atletas!K474="Wuzuquan F",28,IF(Atletas!K474="Wingchun F",29,IF(Atletas!K474="Outra Mão de Sul F",30,""))))))))))))))))))))))))))))))))</f>
        <v/>
      </c>
      <c r="BL478" s="52" t="str">
        <f>IF(Atletas!L474="","",IF(Atletas!W474&lt;&gt;"",10000,0)+(IF(Atletas!B474="Feminino",1000,IF(Atletas!B474="Masculino",2000,""))+(IF(Atletas!L474="Chaquan A",101,IF(Atletas!L474="Emeiquan A",102,IF(Atletas!L474="Fanziquan A",103,IF(Atletas!L474="Huaquan A",104,IF(Atletas!L474="Hongquan A",105,IF(Atletas!L474="Paochui A",106,IF(Atletas!L474="Piguaquan A",107,IF(Atletas!L474="Shaolinquan A",108,IF(Atletas!L474="Tanglangquan A",109,IF(Atletas!L474="Yinzhaophai A",110,IF(Atletas!L474="Tongbeiquan A",111,IF(Atletas!L474="Wudangquan A",112,IF(Atletas!L474="Outros Estilos A",113,IF(Atletas!L474="Chaquan B",114,IF(Atletas!L474="Emeiquan B",115,IF(Atletas!L474="Fanziquan B",116,IF(Atletas!L474="Huaquan B",117,IF(Atletas!L474="Hongquan B",118,IF(Atletas!L474="Paochui B",119,IF(Atletas!L474="Piguaquan B",120,IF(Atletas!L474="Shaolinquan B",121,IF(Atletas!L474="Tanglangquan B",122,IF(Atletas!L474="Yinzhaophai B",123,IF(Atletas!L474="Tongbeiquan B",124,IF(Atletas!L474="Wudangquan B",125,IF(Atletas!L474="Outros Estilos B",126,IF(Atletas!L474="Chaquan C",127,IF(Atletas!L474="Emeiquan C",128,IF(Atletas!L474="Fanziquan C",129,IF(Atletas!L474="Huaquan C",130,IF(Atletas!L474="Hongquan C",131,IF(Atletas!L474="Paochui C",132,IF(Atletas!L474="Piguaquan C",133,IF(Atletas!L474="Shaolinquan C",134,IF(Atletas!L474="Tanglangquan C",135,IF(Atletas!L474="Yinzhaophai C",136,IF(Atletas!L474="Tongbeiquan C",137,IF(Atletas!L474="Wudangquan C",138,IF(Atletas!L474="Outros Estilos C",139,0))))))))))))))))))))))))))))))))))))))))))</f>
        <v/>
      </c>
      <c r="BM478" s="52" t="str">
        <f>IF(Atletas!L474="","",IF(Atletas!W474&lt;&gt;"",10000,0)+(IF(Atletas!B474="Feminino",1000,IF(Atletas!B474="Masculino",2000,""))+(IF(Atletas!L474="Chaquan D",140,IF(Atletas!L474="Emeiquan D",141,IF(Atletas!L474="Fanziquan D",142,IF(Atletas!L474="Huaquan D",143,IF(Atletas!L474="Hongquan D",144,IF(Atletas!L474="Paochui D",145,IF(Atletas!L474="Piguaquan D",146,IF(Atletas!L474="Shaolinquan D",147,IF(Atletas!L474="Tanglangquan D",148,IF(Atletas!L474="Yinzhaophai D",149,IF(Atletas!L474="Tongbeiquan D",150,IF(Atletas!L474="Wudangquan D",151,IF(Atletas!L474="Outros Estilos D",152,IF(Atletas!L474="Chaquan E",153,IF(Atletas!L474="Emeiquan E",154,IF(Atletas!L474="Fanziquan E",155,IF(Atletas!L474="Huaquan E",156,IF(Atletas!L474="Hongquan E",157,IF(Atletas!L474="Paochui E",158,IF(Atletas!L474="Piguaquan E",159,IF(Atletas!L474="Shaolinquan E",160,IF(Atletas!L474="Tanglangquan E",161,IF(Atletas!L474="Yinzhaophai E",162,IF(Atletas!L474="Tongbeiquan E",163,IF(Atletas!L474="Wudangquan E",164,IF(Atletas!L474="Outros Estilos E",165,IF(Atletas!L474="Chaquan F",166,IF(Atletas!L474="Emeiquan F",167,IF(Atletas!L474="Fanziquan F",168,IF(Atletas!L474="Huaquan F",169,IF(Atletas!L474="Hongquan F",170,IF(Atletas!L474="Paochui F",171,IF(Atletas!L474="Piguaquan F",172,IF(Atletas!L474="Shaolinquan F",173,IF(Atletas!L474="Tanglangquan F",174,IF(Atletas!L474="Yinzhaophai F",175,IF(Atletas!L474="Tongbeiquan F",176,IF(Atletas!L474="Wudangquan F",177,IF(Atletas!L474="Outros Estilos F",178,0))))))))))))))))))))))))))))))))))))))))))</f>
        <v/>
      </c>
      <c r="BN478" s="52" t="str">
        <f>IF(Atletas!M474="","",IF(Atletas!W474&lt;&gt;"",10000,0)+(IF(Atletas!B474="Feminino",1000,IF(Atletas!B474="Masculino",2000,""))+(IF(Atletas!M474="Ditangquan A",201,IF(Atletas!M474="Houquan A",202,IF(Atletas!M474="Zuiquan A",203,IF(Atletas!M474="Ditangquan B",204,IF(Atletas!M474="Houquan B",205,IF(Atletas!M474="Zuiquan B",206,IF(Atletas!M474="Ditangquan C",207,IF(Atletas!M474="Houquan C",208,IF(Atletas!M474="Zuiquan C",209,IF(Atletas!M474="Ditangquan D",210,IF(Atletas!M474="Houquan D",211,IF(Atletas!M474="Zuiquan D",212,IF(Atletas!M474="Ditangquan E",213,IF(Atletas!M474="Houquan E",214,IF(Atletas!M474="Zuiquan E",215,IF(Atletas!M474="Ditangquan F",216,IF(Atletas!M474="Houquan F",217,IF(Atletas!M474="Zuiquan F",218,"")))))))))))))))))))))</f>
        <v/>
      </c>
      <c r="BO478" s="52" t="str">
        <f>IF(Atletas!N474="","",IF(Atletas!W474&lt;&gt;"",10000,0)+IF(Atletas!B474="Feminino",1000,IF(Atletas!B474="Masculino",2000,""))+IF(Atletas!N474="Yang A",301,IF(Atletas!N474="Chen A",30,IF(Atletas!N474="Sun A",303,IF(Atletas!N474="Wu A",304,IF(Atletas!N474="Wu-Hao A",305,IF(Atletas!N474="Outro Taijiquan A",306,IF(Atletas!N474="Yang B",307,IF(Atletas!N474="Chen B",308,IF(Atletas!N474="Sun B",309,IF(Atletas!N474="Wu B",310,IF(Atletas!N474="Wu-Hao B",311,IF(Atletas!N474="Outro Taijiquan B",312,IF(Atletas!N474="Yang C",313,IF(Atletas!N474="Chen C",314,IF(Atletas!N474="Sun C",315,IF(Atletas!N474="Wu C",316,IF(Atletas!N474="Wu-Hao C",317,IF(Atletas!N474="Outro Taijiquan C",318,IF(Atletas!N474="Yang D",319,IF(Atletas!N474="Chen D",320,IF(Atletas!N474="Sun D",321,IF(Atletas!N474="Wu D",322,IF(Atletas!N474="Wu-Hao D",323,IF(Atletas!N474="Outro Taijiquan D",324,IF(Atletas!N474="Yang E",325,IF(Atletas!N474="Chen E",326,IF(Atletas!N474="Sun E",327,IF(Atletas!N474="Wu E",328,IF(Atletas!N474="Wu-Hao E",329,IF(Atletas!N474="Outro Taijiquan E",330,IF(Atletas!N474="Yang F",331,IF(Atletas!N474="Chen F",332,IF(Atletas!N474="Sun F",333,IF(Atletas!N474="Wu F",334,IF(Atletas!N474="Wu-Hao F",335,IF(Atletas!N474="Outro Taijiquan F",336,"")))))))))))))))))))))))))))))))))))))</f>
        <v/>
      </c>
      <c r="BP478" s="52" t="str">
        <f>IF(Atletas!O474="","",IF(Atletas!W474&lt;&gt;"",10000,0)+IF(Atletas!B474="Feminino",1000,IF(Atletas!B474="Masculino",2000,""))+IF(OR(Atletas!O474="Yang 26 A",Atletas!O474="Yang 40 A"),401,IF(OR(Atletas!O474="Chen 25 A",Atletas!O474="Chen 36 A",Atletas!O474="Chen 56 A"),402,IF(Atletas!O474="Sun 73 A",403,IF(Atletas!O474="Wu 45 A",404,IF(Atletas!O474="Wu-Hao 46 A",405,IF(OR(Atletas!O474="Taijiquan 16 A",Atletas!O474="Taijiquan 24 A",Atletas!O474="Taijiquan 32 A",Atletas!O474="Taijiquan 42 A"),406,IF(OR(Atletas!O474="Yang 26 B",Atletas!O474="Yang 40 B"),407,IF(OR(Atletas!O474="Chen 25 B",Atletas!O474="Chen 36 B",Atletas!O474="Chen 56 B"),408,IF(Atletas!O474="Sun 73 B",409,IF(Atletas!O474="Wu 45 B",410,IF(Atletas!O474="Wu-Hao 46 B",411,IF(OR(Atletas!O474="Taijiquan 16 B",Atletas!O474="Taijiquan 24 B",Atletas!O474="Taijiquan 32 B",Atletas!O474="Taijiquan 42 B"),412,IF(OR(Atletas!O474="Yang 26 C",Atletas!O474="Yang 40 C"),413,IF(OR(Atletas!O474="Chen 25 C",Atletas!O474="Chen 36 C",Atletas!O474="Chen 56 C"),414,IF(Atletas!O474="Sun 73 C",415,IF(Atletas!O474="Wu 45 C",416,IF(Atletas!O474="Wu-Hao 46 C",417,IF(OR(Atletas!O474="Taijiquan 16 C",Atletas!O474="Taijiquan 24 C",Atletas!O474="Taijiquan 32 C",Atletas!O474="Taijiquan 42 C"),418,0)))))))))))))))))))</f>
        <v/>
      </c>
      <c r="BQ478" s="52" t="str">
        <f>IF(Atletas!O474="","",IF(Atletas!W474&lt;&gt;"",10000,0)+IF(Atletas!B474="Feminino",1000,IF(Atletas!B474="Masculino",2000,""))+IF(OR(Atletas!O474="Yang 26 D",Atletas!O474="Yang 40 D"),419,IF(OR(Atletas!O474="Chen 25 D",Atletas!O474="Chen 36 D",Atletas!O474="Chen 56 D"),420,IF(Atletas!O474="Sun 73 D",421,IF(Atletas!O474="Wu 45 D",422,IF(Atletas!O474="Wu-Hao 46 D",423,IF(OR(Atletas!O474="Taijiquan 16 D",Atletas!O474="Taijiquan 24 D",Atletas!O474="Taijiquan 32 D",Atletas!O474="Taijiquan 42 D"),424,IF(OR(Atletas!O474="Yang 26 E",Atletas!O474="Yang 40 E"),425,IF(OR(Atletas!O474="Chen 25 E",Atletas!O474="Chen 36 E",Atletas!O474="Chen 56 E"),426,IF(Atletas!O474="Sun 73 E",427,IF(Atletas!O474="Wu 45 E",428,IF(Atletas!O474="Wu-Hao 46 E",429,IF(OR(Atletas!O474="Taijiquan 16 E",Atletas!O474="Taijiquan 24 E",Atletas!O474="Taijiquan 32 E",Atletas!O474="Taijiquan 42 E"),430,IF(OR(Atletas!O474="Yang 26 F",Atletas!O474="Yang 40 F"),431,IF(OR(Atletas!O474="Chen 25 F",Atletas!O474="Chen 36 F",Atletas!O474="Chen 56 F"),432,IF(Atletas!O474="Sun 73 F",433,IF(Atletas!O474="Wu 45 F",434,IF(Atletas!O474="Wu-Hao 46 F",435,IF(OR(Atletas!O474="Taijiquan 16 F",Atletas!O474="Taijiquan 24 F",Atletas!O474="Taijiquan 32 F",Atletas!O474="Taijiquan 42 F"),436,0)))))))))))))))))))</f>
        <v/>
      </c>
      <c r="BR478" s="52" t="str">
        <f>IF(Atletas!P474="","",IF(Atletas!W474&lt;&gt;"",10000,0)+IF(Atletas!B474="Feminino",1000,IF(Atletas!B474="Masculino",2000,""))+IF(Atletas!P474="Xingyiquan A",501,IF(Atletas!P474="Baguazhang A",502,IF(Atletas!P474="Outro Estilo Interno A",503,IF(Atletas!P474="Xingyiquan B",504,IF(Atletas!P474="Baguazhang B",505,IF(Atletas!P474="Outro Estilo Interno B",506,IF(Atletas!P474="Xingyiquan C",507,IF(Atletas!P474="Baguazhang C",508,IF(Atletas!P474="Outro Estilo Interno C",509,IF(Atletas!P474="Xingyiquan D",510,IF(Atletas!P474="Baguazhang D",511,IF(Atletas!P474="Outro Estilo Interno D",512,IF(Atletas!P474="Xingyiquan E",513,IF(Atletas!P474="Baguazhang E",514,IF(Atletas!P474="Outro Estilo Interno E",515,IF(Atletas!P474="Xingyiquan F",516,IF(Atletas!P474="Baguazhang F",517,IF(Atletas!P474="Outro Estilo Interno F",518, "")))))))))))))))))))</f>
        <v/>
      </c>
      <c r="BS478" s="52" t="str">
        <f>IF(Atletas!Q474="","",IF(Atletas!W474&lt;&gt;"",10000,0)+IF(Atletas!B474="Feminino",1000,IF(Atletas!B474="Masculino",2000,""))+IF(Atletas!Q474="Dao A",601,IF(Atletas!Q474="Jian A",602,IF(Atletas!Q474="Bishou A",603,IF(Atletas!Q474="Shan A",604,IF(Atletas!Q474="Outra Arma Curta A",605,IF(Atletas!Q474="Dao B",606,IF(Atletas!Q474="Jian B",607,IF(Atletas!Q474="Bishou B",608,IF(Atletas!Q474="Shan B",609,IF(Atletas!Q474="Outra Arma Curta B",610,IF(Atletas!Q474="Dao C",611,IF(Atletas!Q474="Jian C",612,IF(Atletas!Q474="Bishou C",613,IF(Atletas!Q474="Shan C",614,IF(Atletas!Q474="Outra Arma Curta C",615,IF(Atletas!Q474="Dao D",616,IF(Atletas!Q474="Jian D",617,IF(Atletas!Q474="Bishou D",618,IF(Atletas!Q474="Shan D",619,IF(Atletas!Q474="Outra Arma Curta D",620,IF(Atletas!Q474="Dao E",621,IF(Atletas!Q474="Jian E",622,IF(Atletas!Q474="Bishou E",623,IF(Atletas!Q474="Shan E",624,IF(Atletas!Q474="Outra Arma Curta E",625,IF(Atletas!Q474="Dao F",626,IF(Atletas!Q474="Jian F",627,IF(Atletas!Q474="Bishou F",628,IF(Atletas!Q474="Shan F",629,IF(Atletas!Q474="Outra Arma Curta F",630, "")))))))))))))))))))))))))))))))</f>
        <v/>
      </c>
      <c r="BT478" s="52" t="str">
        <f>IF(Atletas!R474="","",IF(Atletas!W474&lt;&gt;"",10000,0)+IF(Atletas!B474="Feminino",1000,IF(Atletas!B474="Masculino",2000,""))+IF(Atletas!R474="Gun A",701,IF(Atletas!R474="Qiang A",702,IF(Atletas!R474="Pudao / Guandao A",703,IF(Atletas!R474="Outra Arma Longa A",704,IF(Atletas!R474="Gun B",705,IF(Atletas!R474="Qiang B",706,IF(Atletas!R474="Pudao / Guandao B",707,IF(Atletas!R474="Outra Arma Longa B",708,IF(Atletas!R474="Gun C",709,IF(Atletas!R474="Qiang C",710,IF(Atletas!R474="Pudao / Guandao C",711,IF(Atletas!R474="Outra Arma Longa C",712,IF(Atletas!R474="Gun D",713,IF(Atletas!R474="Qiang D",714,IF(Atletas!R474="Pudao / Guandao D",715,IF(Atletas!R474="Outra Arma Longa D",716,IF(Atletas!R474="Gun E",717,IF(Atletas!R474="Qiang E",718,IF(Atletas!R474="Pudao / Guandao E",719,IF(Atletas!R474="Outra Arma Longa E",720,IF(Atletas!R474="Gun F",721,IF(Atletas!R474="Qiang F",722,IF(Atletas!R474="Pudao / Guandao F",723,IF(Atletas!R474="Outra Arma Longa F",724,"")))))))))))))))))))))))))</f>
        <v/>
      </c>
      <c r="BU478" s="52" t="str">
        <f>IF(Atletas!S474="","",IF(Atletas!W474&lt;&gt;"",10000,0)+IF(Atletas!B474="Feminino",1000,IF(Atletas!B474="Masculino",2000,""))+IF(Atletas!S474="Arma Dupla A",801,IF(Atletas!S474="Arma Maleável A",802,IF(Atletas!S474="Arma Dupla B",803,IF(Atletas!S474="Arma Maleável B",804,IF(Atletas!S474="Arma Dupla C",805,IF(Atletas!S474="Arma Maleável C",806,IF(Atletas!S474="Arma Dupla D",807,IF(Atletas!S474="Arma Maleável D",808,IF(Atletas!S474="Arma Dupla E",809,IF(Atletas!S474="Arma Maleável E",810,IF(Atletas!S474="Arma Dupla F",811,IF(Atletas!S474="Arma Maleável F",812, "")))))))))))))</f>
        <v/>
      </c>
      <c r="BV478" s="52" t="str">
        <f>IF(Atletas!T474="","",IF(Atletas!W474&lt;&gt;"",10000,0)+IF(Atletas!B474="Feminino",1000,IF(Atletas!B474="Masculino",2000,""))+IF(Atletas!T474="Taijijian Yang A",901,IF(Atletas!T474="Taijijian Chen A",902,IF(Atletas!T474="Taijijian Sun A",903,IF(Atletas!T474="Taijijian Wu A",904,IF(Atletas!T474="Taijijian Wu-Hao A",905,IF(Atletas!T474="Taijijian 32 A",906,IF(Atletas!T474="Taijijian 42 A",907,IF(Atletas!T474="Taijijian Yang B",908,IF(Atletas!T474="Taijijian Chen B",909,IF(Atletas!T474="Taijijian Sun B",910,IF(Atletas!T474="Taijijian Wu B",911,IF(Atletas!T474="Taijijian Wu-Hao B",912,IF(Atletas!T474="Taijijian 32 B",913,IF(Atletas!T474="Taijijian 42 B",914,IF(Atletas!T474="Taijijian Yang C",915,IF(Atletas!T474="Taijijian Chen C",916,IF(Atletas!T474="Taijijian Sun C",917,IF(Atletas!T474="Taijijian Wu C",918,IF(Atletas!T474="Taijijian Wu-Hao C",919,IF(Atletas!T474="Taijijian 32 C",920,IF(Atletas!T474="Taijijian 42 C",921,IF(Atletas!T474="Taijijian Yang D",922,IF(Atletas!T474="Taijijian Chen D",923,IF(Atletas!T474="Taijijian Sun D",924,IF(Atletas!T474="Taijijian Wu D",925,IF(Atletas!T474="Taijijian Wu-Hao D",926,IF(Atletas!T474="Taijijian 32 D",927,IF(Atletas!T474="Taijijian 42 D",928,IF(Atletas!T474="Taijijian Yang E",929,IF(Atletas!T474="Taijijian Chen E",930,IF(Atletas!T474="Taijijian Sun E",931,IF(Atletas!T474="Taijijian Wu E",932,IF(Atletas!T474="Taijijian Wu-Hao E",933,IF(Atletas!T474="Taijijian 32 E",934,IF(Atletas!T474="Taijijian 42 E",935,IF(Atletas!T474="Taijijian Yang F",936,IF(Atletas!T474="Taijijian Chen F",937,IF(Atletas!T474="Taijijian Sun F",938,IF(Atletas!T474="Taijijian Wu F",939,IF(Atletas!T474="Taijijian Wu-Hao F",940,IF(Atletas!T474="Taijijian 32 F",941,IF(Atletas!T474="Taijijian 42 F",942,"")))))))))))))))))))))))))))))))))))))))))))</f>
        <v/>
      </c>
      <c r="BW478" s="52" t="str">
        <f>IF(Atletas!U474="","",IF(Atletas!W474&lt;&gt;"",10000,0)+IF(Atletas!B474="Feminino",1000,IF(Atletas!B474="Masculino",2000,""))+IF(Atletas!T474="Taijijian 42 F",942,IF(Atletas!U474="Taijidao A",943,IF(Atletas!U474="Taijishan A",944,IF(Atletas!U474="Taijiqiang A",945,IF(Atletas!U474="Taijidao B",946,IF(Atletas!U474="Taijishan B",947,IF(Atletas!U474="Taijiqiang B",948,IF(Atletas!U474="Taijidao C",949,IF(Atletas!U474="Taijishan C",950,IF(Atletas!U474="Taijiqiang C",951,IF(Atletas!U474="Taijidao D",952,IF(Atletas!U474="Taijishan D",953,IF(Atletas!U474="Taijiqiang D",954,IF(Atletas!U474="Taijidao E",955,IF(Atletas!U474="Taijishan E",956,IF(Atletas!U474="Taijiqiang E",957,IF(Atletas!U474="Taijidao F",958,IF(Atletas!U474="Taijishan F",959,IF(Atletas!U474="Taijiqiang F",960))))))))))))))))))))</f>
        <v/>
      </c>
      <c r="CF478" s="52" t="str">
        <f xml:space="preserve"> IF(Atletas!V474="","",IF(Atletas!V474="Duilian de Mãos AB - Equipe 1",1,IF(Atletas!V474="Duilian de Mãos AB - Equipe 2",2,IF(Atletas!V474="Duilian de Armas AB - Equipe 1",3,IF(Atletas!V474="Duilian de Armas AB - Equipe 2",4,IF(Atletas!V474="Duilian de Tuishou - Equipe 1",5,IF(Atletas!V474="Duilian de Tuishou - Equipe 2",6,IF(Atletas!V474="Grupo Externo AB - Equipe 1",7,IF(Atletas!V474="Grupo Externo AB - Equipe 2",8,IF(Atletas!V474="Grupo Interno AB - Equipe 1",9,IF(Atletas!V474="Grupo Interno AB - Equipe 2",10,IF(Atletas!V474="Duilian de Mãos CD - Equipe 1",11,IF(Atletas!V474="Duilian de Mãos CD - Equipe 2",12,IF(Atletas!V474="Duilian de Armas CD - Equipe 1",13,IF(Atletas!V474="Duilian de Armas CD - Equipe 2",14,IF(Atletas!V474="Duilian de Tuishou - Equipe 1",15,IF(Atletas!V474="Duilian de Tuishou - Equipe 2",16,IF(Atletas!V474="Grupo Externo CDEF - Equipe 1",17,IF(Atletas!V474="Grupo Externo CDEF - Equipe 2",18,IF(Atletas!V474="Grupo Interno CDEF - Equipe 1",19,IF(Atletas!V474="Grupo Interno CDEF - Equipe 2",20,IF(Atletas!V474="Duilian de Mãos EF - Equipe 1",21,IF(Atletas!V474="Duilian de Mãos EF - Equipe 2",22,IF(Atletas!V474="Duilian de Armas EF - Equipe 1",23,IF(Atletas!V474="Duilian de Armas EF - Equipe 2",24,IF(Atletas!V474="Duilian de Tuishou - Equipe 1",25,IF(Atletas!V474="Duilian de Tuishou - Equipe 2",26,"")))))))))))))))))))))))))))</f>
        <v/>
      </c>
    </row>
    <row r="479" spans="36:84">
      <c r="AJ479" s="46" t="str">
        <f>IF(Atletas!D475="","",IF(Atletas!B475="Feminino",100,IF(Atletas!B475="Masculino",200,""))+(IF(Atletas!D475="Infantil 39kg",1,IF(Atletas!D475="Infantil 42kg",2,IF(Atletas!D475="Infantil 45kg",3,IF(Atletas!D475="Infantil 48kg",4,IF(Atletas!D475="Infantil 52kg",5,IF(Atletas!D475="Infantil 56kg",6,IF(Atletas!D475="Infantil 60kg",7,IF(Atletas!D475="Juvenil 48kg",8,IF(Atletas!D475="Juvenil 52kg",9,IF(Atletas!D475="Juvenil 56kg",10,IF(Atletas!D475="Juvenil 60kg",11,IF(Atletas!D475="Juvenil 65kg",12,IF(Atletas!D475="Juvenil 70kg",13,IF(Atletas!D475="Juvenil 75kg",14,IF(Atletas!D475="Juvenil 80kg",15,IF(Atletas!D475="Adulto 48kg",16,IF(Atletas!D475="Adulto 52kg",17,IF(Atletas!D475="Adulto 56kg",18,IF(Atletas!D475="Adulto 60kg",19,IF(Atletas!D475="Adulto 65kg",20,IF(Atletas!D475="Adulto 70kg",21,IF(Atletas!D475="Adulto 75kg",22,IF(Atletas!D475="Adulto 80kg",23,IF(Atletas!D475="Adulto 85kg",24,IF(Atletas!D475="Adulto 90kg",25,IF(Atletas!D475="Adulto +90kg",26,""))))))))))))))))))))))))))))</f>
        <v/>
      </c>
      <c r="AO479" s="10" t="str">
        <f>IF(Atletas!E475="","",IF(Atletas!B475="Feminino",100,IF(Atletas!B475="Masculino",200,""))+(IF(Atletas!E475="Juvenil 44kg",1,IF(Atletas!E475="Juvenil 48kg",2,IF(Atletas!E475="Juvenil 52kg",3,IF(Atletas!E475="Juvenil 56kg",4,IF(Atletas!E475="Juvenil 60kg",5,IF(Atletas!E475="Juvenil 65kg",6,IF(Atletas!E475="Juvenil 70kg",7,IF(Atletas!E475="Juvenil 75kg",8,IF(Atletas!E475="Juvenil 82kg",9,IF(Atletas!E475="Juvenil 90kg",10,IF(Atletas!E475="Juvenil 100kg",11,IF(Atletas!E475="Adulto 48kg",12,IF(Atletas!E475="Adulto 52kg",13,IF(Atletas!E475="Adulto 56kg",14,IF(Atletas!E475="Adulto 60kg",15,IF(Atletas!E475="Adulto 65kg",16,IF(Atletas!E475="Adulto 70kg",17,IF(Atletas!E475="Adulto 75kg",18,IF(Atletas!E475="Adulto 82kg",19,IF(Atletas!E475="Adulto 90kg",20,IF(Atletas!E475="Adulto 100kg",21,IF(Atletas!E475="Adulto +100kg",22,""))))))))))))))))))))))))</f>
        <v/>
      </c>
      <c r="AT479" s="10" t="str">
        <f>IF(Atletas!F475="","",IF(Atletas!B475="Feminino",100,IF(Atletas!B475="Masculino",200,""))+(IF(Atletas!F475="Adulto 48kg",1,IF(Atletas!F475="Adulto 56kg",2,IF(Atletas!F475="Adulto 65kg",3,IF(Atletas!F475="Adulto 75kg",4,IF(Atletas!F475="Adulto +75kg",5,IF(Atletas!F475="Adulto 52kg",6,IF(Atletas!F475="Adulto 60kg",7,IF(Atletas!F475="Adulto 70kg",8,IF(Atletas!F475="Adulto 80kg",9,IF(Atletas!F475="Adulto 90kg",10,IF(Atletas!F475="Adulto +90kg",11,"")))))))))))))</f>
        <v/>
      </c>
      <c r="AY479" s="46" t="str">
        <f>IF(Atletas!G475="","",IF(Atletas!B475="Feminino",100,IF(Atletas!B475="Masculino",200,""))+(IF(Atletas!G475="Changquan Mirim",1,IF(Atletas!G475="Nanquan Mirim",2,IF(Atletas!G475="Taijiquan Mirim",3,IF(Atletas!G475="Changquan Grupo C",4,IF(Atletas!G475="Nanquan Grupo C",5,IF(Atletas!G475="Taijiquan Grupo C",6,IF(Atletas!G475="Changquan Grupo B",7,IF(Atletas!G475="Nanquan Grupo B",8,IF(Atletas!G475="Taijiquan Grupo B",9,IF(Atletas!G475="Changquan Grupo A",10,IF(Atletas!G475="Nanquan Grupo A",11,IF(Atletas!G475="Taijiquan Grupo A",12,IF(Atletas!G475="Changquan Opcional",13,IF(Atletas!G475="Nanquan Opcional",14,IF(Atletas!G475="Taijiquan Opcional",15,IF(Atletas!G475="Changquan Adulto",16,IF(Atletas!G475="Nanquan Adulto",17,IF(Atletas!G475="Taijiquan Adulto",18,""))))))))))))))))))))</f>
        <v/>
      </c>
      <c r="AZ479" s="46" t="str">
        <f>IF(Atletas!H475="","",IF(Atletas!B475="Feminino",100,IF(Atletas!B475="Masculino",200,""))+(IF(Atletas!H475="Daoshu Mirim",19,IF(Atletas!H475="Jianshu Mirim",20,IF(Atletas!H475="Nandao Mirim",21,IF(Atletas!H475="Taijijian Mirim",22,IF(Atletas!H475="Daoshu Grupo C",23,IF(Atletas!H475="Jianshu Grupo C",24,IF(Atletas!H475="Nandao Grupo C",25,IF(Atletas!H475="Taijijian Grupo C",26,IF(Atletas!H475="Daoshu Grupo B",27,IF(Atletas!H475="Jianshu Grupo B",28,IF(Atletas!H475="Nandao Grupo B",29,IF(Atletas!H475="Taijijian Grupo B",30,IF(Atletas!H475="Daoshu Grupo A",31,IF(Atletas!H475="Jianshu Grupo A",32,IF(Atletas!H475="Nandao Grupo A",33,IF(Atletas!H475="Taijijian Grupo A",34,IF(Atletas!H475="Daoshu Opcional",35,IF(Atletas!H475="Jianshu Opcional",36,IF(Atletas!H475="Nandao Opcional",37,IF(Atletas!H475="Taijijian Opcional",38,IF(Atletas!H475="Daoshu Adulto",39,IF(Atletas!H475="Jianshu Adulto",40,IF(Atletas!H475="Nandao Adulto",41,IF(Atletas!H475="Taijijian Adulto",42,""))))))))))))))))))))))))))</f>
        <v/>
      </c>
      <c r="BA479" s="46" t="str">
        <f>IF(Atletas!I475="","",IF(Atletas!B475="Feminino",100,IF(Atletas!B475="Masculino",200,""))+(IF(Atletas!I475="Gunshu Mirim",43,IF(Atletas!I475="Qiangshu Mirim",44,IF(Atletas!I475="Nangun Mirim",45,IF(Atletas!I475="Gunshu Grupo C",46,IF(Atletas!I475="Qiangshu Grupo C",47,IF(Atletas!I475="Nangun Grupo C",48,IF(Atletas!I475="Gunshu Grupo B",49,IF(Atletas!I475="Qiangshu Grupo B",50,IF(Atletas!I475="Nangun Grupo B",51,IF(Atletas!I475="Gunshu Grupo A",52,IF(Atletas!I475="Qiangshu Grupo A",53,IF(Atletas!I475="Nangun Grupo A",54,IF(Atletas!I475="Gunshu Opcional",55,IF(Atletas!I475="Qiangshu Opcional",56,IF(Atletas!I475="Nangun Opcional",57,IF(Atletas!I475="Gunshu Adulto",58,IF(Atletas!I475="Qiangshu Adulto",59,IF(Atletas!I475="Nangun Adulto",60,""))))))))))))))))))))</f>
        <v/>
      </c>
      <c r="BF479" s="52" t="str">
        <f>IF(Atletas!J475="","",IF(Atletas!B475="Feminino",100,IF(Atletas!B475="Masculino",200,""))+(IF(Atletas!J475="Equipe 1 Grupo B",1,IF(Atletas!J475="Equipe 2 Grupo B",2,IF(Atletas!J475="Equipe 1 Grupo A",3,IF(Atletas!J475="Equipe 2 Grupo A",4,IF(Atletas!J475="Equipe 1 Adulto",5,IF(Atletas!J475="Equipe 2 Adulto",6,""))))))))</f>
        <v/>
      </c>
      <c r="BK479" s="52" t="str">
        <f>IF(Atletas!K475="","",IF(Atletas!W475&lt;&gt;"",10000,0)+(IF(Atletas!B475="Feminino",1000,IF(Atletas!B475="Masculino",2000,""))+IF(Atletas!K475="Choylayfut A",1,IF(Atletas!K475="Hunggar A",2,IF(Atletas!K475="Wuzuquan A",3,IF(Atletas!K475="Wingchun A",4,IF(Atletas!K475="Outra Mão de Sul A",5,IF(Atletas!K475="Choylayfut B",6,IF(Atletas!K475="Hunggar B",7,IF(Atletas!K475="Wuzuquan B",8,IF(Atletas!K475="Wingchun B",9,IF(Atletas!K475="Outra Mão de Sul B",10,IF(Atletas!K475="Choylayfut C",11,IF(Atletas!K475="Hunggar C",12,IF(Atletas!K475="Wuzuquan C",13,IF(Atletas!K475="Wingchun C",14,IF(Atletas!K475="Outra Mão de Sul C",15,IF(Atletas!K475="Choylayfut D",16,IF(Atletas!K475="Hunggar D",17,IF(Atletas!K475="Wuzuquan D",18,IF(Atletas!K475="Wingchun D",19,IF(Atletas!K475="Outra Mão de Sul D",20,IF(Atletas!K475="Choylayfut E",21,IF(Atletas!K475="Hunggar E",22,IF(Atletas!K475="Wuzuquan E",23,IF(Atletas!K475="Wingchun E",24,IF(Atletas!K475="Outra Mão de Sul E",25,IF(Atletas!K475="Choylayfut F",26,IF(Atletas!K475="Hunggar F",27,IF(Atletas!K475="Wuzuquan F",28,IF(Atletas!K475="Wingchun F",29,IF(Atletas!K475="Outra Mão de Sul F",30,""))))))))))))))))))))))))))))))))</f>
        <v/>
      </c>
      <c r="BL479" s="52" t="str">
        <f>IF(Atletas!L475="","",IF(Atletas!W475&lt;&gt;"",10000,0)+(IF(Atletas!B475="Feminino",1000,IF(Atletas!B475="Masculino",2000,""))+(IF(Atletas!L475="Chaquan A",101,IF(Atletas!L475="Emeiquan A",102,IF(Atletas!L475="Fanziquan A",103,IF(Atletas!L475="Huaquan A",104,IF(Atletas!L475="Hongquan A",105,IF(Atletas!L475="Paochui A",106,IF(Atletas!L475="Piguaquan A",107,IF(Atletas!L475="Shaolinquan A",108,IF(Atletas!L475="Tanglangquan A",109,IF(Atletas!L475="Yinzhaophai A",110,IF(Atletas!L475="Tongbeiquan A",111,IF(Atletas!L475="Wudangquan A",112,IF(Atletas!L475="Outros Estilos A",113,IF(Atletas!L475="Chaquan B",114,IF(Atletas!L475="Emeiquan B",115,IF(Atletas!L475="Fanziquan B",116,IF(Atletas!L475="Huaquan B",117,IF(Atletas!L475="Hongquan B",118,IF(Atletas!L475="Paochui B",119,IF(Atletas!L475="Piguaquan B",120,IF(Atletas!L475="Shaolinquan B",121,IF(Atletas!L475="Tanglangquan B",122,IF(Atletas!L475="Yinzhaophai B",123,IF(Atletas!L475="Tongbeiquan B",124,IF(Atletas!L475="Wudangquan B",125,IF(Atletas!L475="Outros Estilos B",126,IF(Atletas!L475="Chaquan C",127,IF(Atletas!L475="Emeiquan C",128,IF(Atletas!L475="Fanziquan C",129,IF(Atletas!L475="Huaquan C",130,IF(Atletas!L475="Hongquan C",131,IF(Atletas!L475="Paochui C",132,IF(Atletas!L475="Piguaquan C",133,IF(Atletas!L475="Shaolinquan C",134,IF(Atletas!L475="Tanglangquan C",135,IF(Atletas!L475="Yinzhaophai C",136,IF(Atletas!L475="Tongbeiquan C",137,IF(Atletas!L475="Wudangquan C",138,IF(Atletas!L475="Outros Estilos C",139,0))))))))))))))))))))))))))))))))))))))))))</f>
        <v/>
      </c>
      <c r="BM479" s="52" t="str">
        <f>IF(Atletas!L475="","",IF(Atletas!W475&lt;&gt;"",10000,0)+(IF(Atletas!B475="Feminino",1000,IF(Atletas!B475="Masculino",2000,""))+(IF(Atletas!L475="Chaquan D",140,IF(Atletas!L475="Emeiquan D",141,IF(Atletas!L475="Fanziquan D",142,IF(Atletas!L475="Huaquan D",143,IF(Atletas!L475="Hongquan D",144,IF(Atletas!L475="Paochui D",145,IF(Atletas!L475="Piguaquan D",146,IF(Atletas!L475="Shaolinquan D",147,IF(Atletas!L475="Tanglangquan D",148,IF(Atletas!L475="Yinzhaophai D",149,IF(Atletas!L475="Tongbeiquan D",150,IF(Atletas!L475="Wudangquan D",151,IF(Atletas!L475="Outros Estilos D",152,IF(Atletas!L475="Chaquan E",153,IF(Atletas!L475="Emeiquan E",154,IF(Atletas!L475="Fanziquan E",155,IF(Atletas!L475="Huaquan E",156,IF(Atletas!L475="Hongquan E",157,IF(Atletas!L475="Paochui E",158,IF(Atletas!L475="Piguaquan E",159,IF(Atletas!L475="Shaolinquan E",160,IF(Atletas!L475="Tanglangquan E",161,IF(Atletas!L475="Yinzhaophai E",162,IF(Atletas!L475="Tongbeiquan E",163,IF(Atletas!L475="Wudangquan E",164,IF(Atletas!L475="Outros Estilos E",165,IF(Atletas!L475="Chaquan F",166,IF(Atletas!L475="Emeiquan F",167,IF(Atletas!L475="Fanziquan F",168,IF(Atletas!L475="Huaquan F",169,IF(Atletas!L475="Hongquan F",170,IF(Atletas!L475="Paochui F",171,IF(Atletas!L475="Piguaquan F",172,IF(Atletas!L475="Shaolinquan F",173,IF(Atletas!L475="Tanglangquan F",174,IF(Atletas!L475="Yinzhaophai F",175,IF(Atletas!L475="Tongbeiquan F",176,IF(Atletas!L475="Wudangquan F",177,IF(Atletas!L475="Outros Estilos F",178,0))))))))))))))))))))))))))))))))))))))))))</f>
        <v/>
      </c>
      <c r="BN479" s="52" t="str">
        <f>IF(Atletas!M475="","",IF(Atletas!W475&lt;&gt;"",10000,0)+(IF(Atletas!B475="Feminino",1000,IF(Atletas!B475="Masculino",2000,""))+(IF(Atletas!M475="Ditangquan A",201,IF(Atletas!M475="Houquan A",202,IF(Atletas!M475="Zuiquan A",203,IF(Atletas!M475="Ditangquan B",204,IF(Atletas!M475="Houquan B",205,IF(Atletas!M475="Zuiquan B",206,IF(Atletas!M475="Ditangquan C",207,IF(Atletas!M475="Houquan C",208,IF(Atletas!M475="Zuiquan C",209,IF(Atletas!M475="Ditangquan D",210,IF(Atletas!M475="Houquan D",211,IF(Atletas!M475="Zuiquan D",212,IF(Atletas!M475="Ditangquan E",213,IF(Atletas!M475="Houquan E",214,IF(Atletas!M475="Zuiquan E",215,IF(Atletas!M475="Ditangquan F",216,IF(Atletas!M475="Houquan F",217,IF(Atletas!M475="Zuiquan F",218,"")))))))))))))))))))))</f>
        <v/>
      </c>
      <c r="BO479" s="52" t="str">
        <f>IF(Atletas!N475="","",IF(Atletas!W475&lt;&gt;"",10000,0)+IF(Atletas!B475="Feminino",1000,IF(Atletas!B475="Masculino",2000,""))+IF(Atletas!N475="Yang A",301,IF(Atletas!N475="Chen A",30,IF(Atletas!N475="Sun A",303,IF(Atletas!N475="Wu A",304,IF(Atletas!N475="Wu-Hao A",305,IF(Atletas!N475="Outro Taijiquan A",306,IF(Atletas!N475="Yang B",307,IF(Atletas!N475="Chen B",308,IF(Atletas!N475="Sun B",309,IF(Atletas!N475="Wu B",310,IF(Atletas!N475="Wu-Hao B",311,IF(Atletas!N475="Outro Taijiquan B",312,IF(Atletas!N475="Yang C",313,IF(Atletas!N475="Chen C",314,IF(Atletas!N475="Sun C",315,IF(Atletas!N475="Wu C",316,IF(Atletas!N475="Wu-Hao C",317,IF(Atletas!N475="Outro Taijiquan C",318,IF(Atletas!N475="Yang D",319,IF(Atletas!N475="Chen D",320,IF(Atletas!N475="Sun D",321,IF(Atletas!N475="Wu D",322,IF(Atletas!N475="Wu-Hao D",323,IF(Atletas!N475="Outro Taijiquan D",324,IF(Atletas!N475="Yang E",325,IF(Atletas!N475="Chen E",326,IF(Atletas!N475="Sun E",327,IF(Atletas!N475="Wu E",328,IF(Atletas!N475="Wu-Hao E",329,IF(Atletas!N475="Outro Taijiquan E",330,IF(Atletas!N475="Yang F",331,IF(Atletas!N475="Chen F",332,IF(Atletas!N475="Sun F",333,IF(Atletas!N475="Wu F",334,IF(Atletas!N475="Wu-Hao F",335,IF(Atletas!N475="Outro Taijiquan F",336,"")))))))))))))))))))))))))))))))))))))</f>
        <v/>
      </c>
      <c r="BP479" s="52" t="str">
        <f>IF(Atletas!O475="","",IF(Atletas!W475&lt;&gt;"",10000,0)+IF(Atletas!B475="Feminino",1000,IF(Atletas!B475="Masculino",2000,""))+IF(OR(Atletas!O475="Yang 26 A",Atletas!O475="Yang 40 A"),401,IF(OR(Atletas!O475="Chen 25 A",Atletas!O475="Chen 36 A",Atletas!O475="Chen 56 A"),402,IF(Atletas!O475="Sun 73 A",403,IF(Atletas!O475="Wu 45 A",404,IF(Atletas!O475="Wu-Hao 46 A",405,IF(OR(Atletas!O475="Taijiquan 16 A",Atletas!O475="Taijiquan 24 A",Atletas!O475="Taijiquan 32 A",Atletas!O475="Taijiquan 42 A"),406,IF(OR(Atletas!O475="Yang 26 B",Atletas!O475="Yang 40 B"),407,IF(OR(Atletas!O475="Chen 25 B",Atletas!O475="Chen 36 B",Atletas!O475="Chen 56 B"),408,IF(Atletas!O475="Sun 73 B",409,IF(Atletas!O475="Wu 45 B",410,IF(Atletas!O475="Wu-Hao 46 B",411,IF(OR(Atletas!O475="Taijiquan 16 B",Atletas!O475="Taijiquan 24 B",Atletas!O475="Taijiquan 32 B",Atletas!O475="Taijiquan 42 B"),412,IF(OR(Atletas!O475="Yang 26 C",Atletas!O475="Yang 40 C"),413,IF(OR(Atletas!O475="Chen 25 C",Atletas!O475="Chen 36 C",Atletas!O475="Chen 56 C"),414,IF(Atletas!O475="Sun 73 C",415,IF(Atletas!O475="Wu 45 C",416,IF(Atletas!O475="Wu-Hao 46 C",417,IF(OR(Atletas!O475="Taijiquan 16 C",Atletas!O475="Taijiquan 24 C",Atletas!O475="Taijiquan 32 C",Atletas!O475="Taijiquan 42 C"),418,0)))))))))))))))))))</f>
        <v/>
      </c>
      <c r="BQ479" s="52" t="str">
        <f>IF(Atletas!O475="","",IF(Atletas!W475&lt;&gt;"",10000,0)+IF(Atletas!B475="Feminino",1000,IF(Atletas!B475="Masculino",2000,""))+IF(OR(Atletas!O475="Yang 26 D",Atletas!O475="Yang 40 D"),419,IF(OR(Atletas!O475="Chen 25 D",Atletas!O475="Chen 36 D",Atletas!O475="Chen 56 D"),420,IF(Atletas!O475="Sun 73 D",421,IF(Atletas!O475="Wu 45 D",422,IF(Atletas!O475="Wu-Hao 46 D",423,IF(OR(Atletas!O475="Taijiquan 16 D",Atletas!O475="Taijiquan 24 D",Atletas!O475="Taijiquan 32 D",Atletas!O475="Taijiquan 42 D"),424,IF(OR(Atletas!O475="Yang 26 E",Atletas!O475="Yang 40 E"),425,IF(OR(Atletas!O475="Chen 25 E",Atletas!O475="Chen 36 E",Atletas!O475="Chen 56 E"),426,IF(Atletas!O475="Sun 73 E",427,IF(Atletas!O475="Wu 45 E",428,IF(Atletas!O475="Wu-Hao 46 E",429,IF(OR(Atletas!O475="Taijiquan 16 E",Atletas!O475="Taijiquan 24 E",Atletas!O475="Taijiquan 32 E",Atletas!O475="Taijiquan 42 E"),430,IF(OR(Atletas!O475="Yang 26 F",Atletas!O475="Yang 40 F"),431,IF(OR(Atletas!O475="Chen 25 F",Atletas!O475="Chen 36 F",Atletas!O475="Chen 56 F"),432,IF(Atletas!O475="Sun 73 F",433,IF(Atletas!O475="Wu 45 F",434,IF(Atletas!O475="Wu-Hao 46 F",435,IF(OR(Atletas!O475="Taijiquan 16 F",Atletas!O475="Taijiquan 24 F",Atletas!O475="Taijiquan 32 F",Atletas!O475="Taijiquan 42 F"),436,0)))))))))))))))))))</f>
        <v/>
      </c>
      <c r="BR479" s="52" t="str">
        <f>IF(Atletas!P475="","",IF(Atletas!W475&lt;&gt;"",10000,0)+IF(Atletas!B475="Feminino",1000,IF(Atletas!B475="Masculino",2000,""))+IF(Atletas!P475="Xingyiquan A",501,IF(Atletas!P475="Baguazhang A",502,IF(Atletas!P475="Outro Estilo Interno A",503,IF(Atletas!P475="Xingyiquan B",504,IF(Atletas!P475="Baguazhang B",505,IF(Atletas!P475="Outro Estilo Interno B",506,IF(Atletas!P475="Xingyiquan C",507,IF(Atletas!P475="Baguazhang C",508,IF(Atletas!P475="Outro Estilo Interno C",509,IF(Atletas!P475="Xingyiquan D",510,IF(Atletas!P475="Baguazhang D",511,IF(Atletas!P475="Outro Estilo Interno D",512,IF(Atletas!P475="Xingyiquan E",513,IF(Atletas!P475="Baguazhang E",514,IF(Atletas!P475="Outro Estilo Interno E",515,IF(Atletas!P475="Xingyiquan F",516,IF(Atletas!P475="Baguazhang F",517,IF(Atletas!P475="Outro Estilo Interno F",518, "")))))))))))))))))))</f>
        <v/>
      </c>
      <c r="BS479" s="52" t="str">
        <f>IF(Atletas!Q475="","",IF(Atletas!W475&lt;&gt;"",10000,0)+IF(Atletas!B475="Feminino",1000,IF(Atletas!B475="Masculino",2000,""))+IF(Atletas!Q475="Dao A",601,IF(Atletas!Q475="Jian A",602,IF(Atletas!Q475="Bishou A",603,IF(Atletas!Q475="Shan A",604,IF(Atletas!Q475="Outra Arma Curta A",605,IF(Atletas!Q475="Dao B",606,IF(Atletas!Q475="Jian B",607,IF(Atletas!Q475="Bishou B",608,IF(Atletas!Q475="Shan B",609,IF(Atletas!Q475="Outra Arma Curta B",610,IF(Atletas!Q475="Dao C",611,IF(Atletas!Q475="Jian C",612,IF(Atletas!Q475="Bishou C",613,IF(Atletas!Q475="Shan C",614,IF(Atletas!Q475="Outra Arma Curta C",615,IF(Atletas!Q475="Dao D",616,IF(Atletas!Q475="Jian D",617,IF(Atletas!Q475="Bishou D",618,IF(Atletas!Q475="Shan D",619,IF(Atletas!Q475="Outra Arma Curta D",620,IF(Atletas!Q475="Dao E",621,IF(Atletas!Q475="Jian E",622,IF(Atletas!Q475="Bishou E",623,IF(Atletas!Q475="Shan E",624,IF(Atletas!Q475="Outra Arma Curta E",625,IF(Atletas!Q475="Dao F",626,IF(Atletas!Q475="Jian F",627,IF(Atletas!Q475="Bishou F",628,IF(Atletas!Q475="Shan F",629,IF(Atletas!Q475="Outra Arma Curta F",630, "")))))))))))))))))))))))))))))))</f>
        <v/>
      </c>
      <c r="BT479" s="52" t="str">
        <f>IF(Atletas!R475="","",IF(Atletas!W475&lt;&gt;"",10000,0)+IF(Atletas!B475="Feminino",1000,IF(Atletas!B475="Masculino",2000,""))+IF(Atletas!R475="Gun A",701,IF(Atletas!R475="Qiang A",702,IF(Atletas!R475="Pudao / Guandao A",703,IF(Atletas!R475="Outra Arma Longa A",704,IF(Atletas!R475="Gun B",705,IF(Atletas!R475="Qiang B",706,IF(Atletas!R475="Pudao / Guandao B",707,IF(Atletas!R475="Outra Arma Longa B",708,IF(Atletas!R475="Gun C",709,IF(Atletas!R475="Qiang C",710,IF(Atletas!R475="Pudao / Guandao C",711,IF(Atletas!R475="Outra Arma Longa C",712,IF(Atletas!R475="Gun D",713,IF(Atletas!R475="Qiang D",714,IF(Atletas!R475="Pudao / Guandao D",715,IF(Atletas!R475="Outra Arma Longa D",716,IF(Atletas!R475="Gun E",717,IF(Atletas!R475="Qiang E",718,IF(Atletas!R475="Pudao / Guandao E",719,IF(Atletas!R475="Outra Arma Longa E",720,IF(Atletas!R475="Gun F",721,IF(Atletas!R475="Qiang F",722,IF(Atletas!R475="Pudao / Guandao F",723,IF(Atletas!R475="Outra Arma Longa F",724,"")))))))))))))))))))))))))</f>
        <v/>
      </c>
      <c r="BU479" s="52" t="str">
        <f>IF(Atletas!S475="","",IF(Atletas!W475&lt;&gt;"",10000,0)+IF(Atletas!B475="Feminino",1000,IF(Atletas!B475="Masculino",2000,""))+IF(Atletas!S475="Arma Dupla A",801,IF(Atletas!S475="Arma Maleável A",802,IF(Atletas!S475="Arma Dupla B",803,IF(Atletas!S475="Arma Maleável B",804,IF(Atletas!S475="Arma Dupla C",805,IF(Atletas!S475="Arma Maleável C",806,IF(Atletas!S475="Arma Dupla D",807,IF(Atletas!S475="Arma Maleável D",808,IF(Atletas!S475="Arma Dupla E",809,IF(Atletas!S475="Arma Maleável E",810,IF(Atletas!S475="Arma Dupla F",811,IF(Atletas!S475="Arma Maleável F",812, "")))))))))))))</f>
        <v/>
      </c>
      <c r="BV479" s="52" t="str">
        <f>IF(Atletas!T475="","",IF(Atletas!W475&lt;&gt;"",10000,0)+IF(Atletas!B475="Feminino",1000,IF(Atletas!B475="Masculino",2000,""))+IF(Atletas!T475="Taijijian Yang A",901,IF(Atletas!T475="Taijijian Chen A",902,IF(Atletas!T475="Taijijian Sun A",903,IF(Atletas!T475="Taijijian Wu A",904,IF(Atletas!T475="Taijijian Wu-Hao A",905,IF(Atletas!T475="Taijijian 32 A",906,IF(Atletas!T475="Taijijian 42 A",907,IF(Atletas!T475="Taijijian Yang B",908,IF(Atletas!T475="Taijijian Chen B",909,IF(Atletas!T475="Taijijian Sun B",910,IF(Atletas!T475="Taijijian Wu B",911,IF(Atletas!T475="Taijijian Wu-Hao B",912,IF(Atletas!T475="Taijijian 32 B",913,IF(Atletas!T475="Taijijian 42 B",914,IF(Atletas!T475="Taijijian Yang C",915,IF(Atletas!T475="Taijijian Chen C",916,IF(Atletas!T475="Taijijian Sun C",917,IF(Atletas!T475="Taijijian Wu C",918,IF(Atletas!T475="Taijijian Wu-Hao C",919,IF(Atletas!T475="Taijijian 32 C",920,IF(Atletas!T475="Taijijian 42 C",921,IF(Atletas!T475="Taijijian Yang D",922,IF(Atletas!T475="Taijijian Chen D",923,IF(Atletas!T475="Taijijian Sun D",924,IF(Atletas!T475="Taijijian Wu D",925,IF(Atletas!T475="Taijijian Wu-Hao D",926,IF(Atletas!T475="Taijijian 32 D",927,IF(Atletas!T475="Taijijian 42 D",928,IF(Atletas!T475="Taijijian Yang E",929,IF(Atletas!T475="Taijijian Chen E",930,IF(Atletas!T475="Taijijian Sun E",931,IF(Atletas!T475="Taijijian Wu E",932,IF(Atletas!T475="Taijijian Wu-Hao E",933,IF(Atletas!T475="Taijijian 32 E",934,IF(Atletas!T475="Taijijian 42 E",935,IF(Atletas!T475="Taijijian Yang F",936,IF(Atletas!T475="Taijijian Chen F",937,IF(Atletas!T475="Taijijian Sun F",938,IF(Atletas!T475="Taijijian Wu F",939,IF(Atletas!T475="Taijijian Wu-Hao F",940,IF(Atletas!T475="Taijijian 32 F",941,IF(Atletas!T475="Taijijian 42 F",942,"")))))))))))))))))))))))))))))))))))))))))))</f>
        <v/>
      </c>
      <c r="BW479" s="52" t="str">
        <f>IF(Atletas!U475="","",IF(Atletas!W475&lt;&gt;"",10000,0)+IF(Atletas!B475="Feminino",1000,IF(Atletas!B475="Masculino",2000,""))+IF(Atletas!T475="Taijijian 42 F",942,IF(Atletas!U475="Taijidao A",943,IF(Atletas!U475="Taijishan A",944,IF(Atletas!U475="Taijiqiang A",945,IF(Atletas!U475="Taijidao B",946,IF(Atletas!U475="Taijishan B",947,IF(Atletas!U475="Taijiqiang B",948,IF(Atletas!U475="Taijidao C",949,IF(Atletas!U475="Taijishan C",950,IF(Atletas!U475="Taijiqiang C",951,IF(Atletas!U475="Taijidao D",952,IF(Atletas!U475="Taijishan D",953,IF(Atletas!U475="Taijiqiang D",954,IF(Atletas!U475="Taijidao E",955,IF(Atletas!U475="Taijishan E",956,IF(Atletas!U475="Taijiqiang E",957,IF(Atletas!U475="Taijidao F",958,IF(Atletas!U475="Taijishan F",959,IF(Atletas!U475="Taijiqiang F",960))))))))))))))))))))</f>
        <v/>
      </c>
      <c r="CF479" s="52" t="str">
        <f xml:space="preserve"> IF(Atletas!V475="","",IF(Atletas!V475="Duilian de Mãos AB - Equipe 1",1,IF(Atletas!V475="Duilian de Mãos AB - Equipe 2",2,IF(Atletas!V475="Duilian de Armas AB - Equipe 1",3,IF(Atletas!V475="Duilian de Armas AB - Equipe 2",4,IF(Atletas!V475="Duilian de Tuishou - Equipe 1",5,IF(Atletas!V475="Duilian de Tuishou - Equipe 2",6,IF(Atletas!V475="Grupo Externo AB - Equipe 1",7,IF(Atletas!V475="Grupo Externo AB - Equipe 2",8,IF(Atletas!V475="Grupo Interno AB - Equipe 1",9,IF(Atletas!V475="Grupo Interno AB - Equipe 2",10,IF(Atletas!V475="Duilian de Mãos CD - Equipe 1",11,IF(Atletas!V475="Duilian de Mãos CD - Equipe 2",12,IF(Atletas!V475="Duilian de Armas CD - Equipe 1",13,IF(Atletas!V475="Duilian de Armas CD - Equipe 2",14,IF(Atletas!V475="Duilian de Tuishou - Equipe 1",15,IF(Atletas!V475="Duilian de Tuishou - Equipe 2",16,IF(Atletas!V475="Grupo Externo CDEF - Equipe 1",17,IF(Atletas!V475="Grupo Externo CDEF - Equipe 2",18,IF(Atletas!V475="Grupo Interno CDEF - Equipe 1",19,IF(Atletas!V475="Grupo Interno CDEF - Equipe 2",20,IF(Atletas!V475="Duilian de Mãos EF - Equipe 1",21,IF(Atletas!V475="Duilian de Mãos EF - Equipe 2",22,IF(Atletas!V475="Duilian de Armas EF - Equipe 1",23,IF(Atletas!V475="Duilian de Armas EF - Equipe 2",24,IF(Atletas!V475="Duilian de Tuishou - Equipe 1",25,IF(Atletas!V475="Duilian de Tuishou - Equipe 2",26,"")))))))))))))))))))))))))))</f>
        <v/>
      </c>
    </row>
    <row r="480" spans="36:84">
      <c r="AJ480" s="46" t="str">
        <f>IF(Atletas!D476="","",IF(Atletas!B476="Feminino",100,IF(Atletas!B476="Masculino",200,""))+(IF(Atletas!D476="Infantil 39kg",1,IF(Atletas!D476="Infantil 42kg",2,IF(Atletas!D476="Infantil 45kg",3,IF(Atletas!D476="Infantil 48kg",4,IF(Atletas!D476="Infantil 52kg",5,IF(Atletas!D476="Infantil 56kg",6,IF(Atletas!D476="Infantil 60kg",7,IF(Atletas!D476="Juvenil 48kg",8,IF(Atletas!D476="Juvenil 52kg",9,IF(Atletas!D476="Juvenil 56kg",10,IF(Atletas!D476="Juvenil 60kg",11,IF(Atletas!D476="Juvenil 65kg",12,IF(Atletas!D476="Juvenil 70kg",13,IF(Atletas!D476="Juvenil 75kg",14,IF(Atletas!D476="Juvenil 80kg",15,IF(Atletas!D476="Adulto 48kg",16,IF(Atletas!D476="Adulto 52kg",17,IF(Atletas!D476="Adulto 56kg",18,IF(Atletas!D476="Adulto 60kg",19,IF(Atletas!D476="Adulto 65kg",20,IF(Atletas!D476="Adulto 70kg",21,IF(Atletas!D476="Adulto 75kg",22,IF(Atletas!D476="Adulto 80kg",23,IF(Atletas!D476="Adulto 85kg",24,IF(Atletas!D476="Adulto 90kg",25,IF(Atletas!D476="Adulto +90kg",26,""))))))))))))))))))))))))))))</f>
        <v/>
      </c>
      <c r="AO480" s="10" t="str">
        <f>IF(Atletas!E476="","",IF(Atletas!B476="Feminino",100,IF(Atletas!B476="Masculino",200,""))+(IF(Atletas!E476="Juvenil 44kg",1,IF(Atletas!E476="Juvenil 48kg",2,IF(Atletas!E476="Juvenil 52kg",3,IF(Atletas!E476="Juvenil 56kg",4,IF(Atletas!E476="Juvenil 60kg",5,IF(Atletas!E476="Juvenil 65kg",6,IF(Atletas!E476="Juvenil 70kg",7,IF(Atletas!E476="Juvenil 75kg",8,IF(Atletas!E476="Juvenil 82kg",9,IF(Atletas!E476="Juvenil 90kg",10,IF(Atletas!E476="Juvenil 100kg",11,IF(Atletas!E476="Adulto 48kg",12,IF(Atletas!E476="Adulto 52kg",13,IF(Atletas!E476="Adulto 56kg",14,IF(Atletas!E476="Adulto 60kg",15,IF(Atletas!E476="Adulto 65kg",16,IF(Atletas!E476="Adulto 70kg",17,IF(Atletas!E476="Adulto 75kg",18,IF(Atletas!E476="Adulto 82kg",19,IF(Atletas!E476="Adulto 90kg",20,IF(Atletas!E476="Adulto 100kg",21,IF(Atletas!E476="Adulto +100kg",22,""))))))))))))))))))))))))</f>
        <v/>
      </c>
      <c r="AT480" s="10" t="str">
        <f>IF(Atletas!F476="","",IF(Atletas!B476="Feminino",100,IF(Atletas!B476="Masculino",200,""))+(IF(Atletas!F476="Adulto 48kg",1,IF(Atletas!F476="Adulto 56kg",2,IF(Atletas!F476="Adulto 65kg",3,IF(Atletas!F476="Adulto 75kg",4,IF(Atletas!F476="Adulto +75kg",5,IF(Atletas!F476="Adulto 52kg",6,IF(Atletas!F476="Adulto 60kg",7,IF(Atletas!F476="Adulto 70kg",8,IF(Atletas!F476="Adulto 80kg",9,IF(Atletas!F476="Adulto 90kg",10,IF(Atletas!F476="Adulto +90kg",11,"")))))))))))))</f>
        <v/>
      </c>
      <c r="AY480" s="46" t="str">
        <f>IF(Atletas!G476="","",IF(Atletas!B476="Feminino",100,IF(Atletas!B476="Masculino",200,""))+(IF(Atletas!G476="Changquan Mirim",1,IF(Atletas!G476="Nanquan Mirim",2,IF(Atletas!G476="Taijiquan Mirim",3,IF(Atletas!G476="Changquan Grupo C",4,IF(Atletas!G476="Nanquan Grupo C",5,IF(Atletas!G476="Taijiquan Grupo C",6,IF(Atletas!G476="Changquan Grupo B",7,IF(Atletas!G476="Nanquan Grupo B",8,IF(Atletas!G476="Taijiquan Grupo B",9,IF(Atletas!G476="Changquan Grupo A",10,IF(Atletas!G476="Nanquan Grupo A",11,IF(Atletas!G476="Taijiquan Grupo A",12,IF(Atletas!G476="Changquan Opcional",13,IF(Atletas!G476="Nanquan Opcional",14,IF(Atletas!G476="Taijiquan Opcional",15,IF(Atletas!G476="Changquan Adulto",16,IF(Atletas!G476="Nanquan Adulto",17,IF(Atletas!G476="Taijiquan Adulto",18,""))))))))))))))))))))</f>
        <v/>
      </c>
      <c r="AZ480" s="46" t="str">
        <f>IF(Atletas!H476="","",IF(Atletas!B476="Feminino",100,IF(Atletas!B476="Masculino",200,""))+(IF(Atletas!H476="Daoshu Mirim",19,IF(Atletas!H476="Jianshu Mirim",20,IF(Atletas!H476="Nandao Mirim",21,IF(Atletas!H476="Taijijian Mirim",22,IF(Atletas!H476="Daoshu Grupo C",23,IF(Atletas!H476="Jianshu Grupo C",24,IF(Atletas!H476="Nandao Grupo C",25,IF(Atletas!H476="Taijijian Grupo C",26,IF(Atletas!H476="Daoshu Grupo B",27,IF(Atletas!H476="Jianshu Grupo B",28,IF(Atletas!H476="Nandao Grupo B",29,IF(Atletas!H476="Taijijian Grupo B",30,IF(Atletas!H476="Daoshu Grupo A",31,IF(Atletas!H476="Jianshu Grupo A",32,IF(Atletas!H476="Nandao Grupo A",33,IF(Atletas!H476="Taijijian Grupo A",34,IF(Atletas!H476="Daoshu Opcional",35,IF(Atletas!H476="Jianshu Opcional",36,IF(Atletas!H476="Nandao Opcional",37,IF(Atletas!H476="Taijijian Opcional",38,IF(Atletas!H476="Daoshu Adulto",39,IF(Atletas!H476="Jianshu Adulto",40,IF(Atletas!H476="Nandao Adulto",41,IF(Atletas!H476="Taijijian Adulto",42,""))))))))))))))))))))))))))</f>
        <v/>
      </c>
      <c r="BA480" s="46" t="str">
        <f>IF(Atletas!I476="","",IF(Atletas!B476="Feminino",100,IF(Atletas!B476="Masculino",200,""))+(IF(Atletas!I476="Gunshu Mirim",43,IF(Atletas!I476="Qiangshu Mirim",44,IF(Atletas!I476="Nangun Mirim",45,IF(Atletas!I476="Gunshu Grupo C",46,IF(Atletas!I476="Qiangshu Grupo C",47,IF(Atletas!I476="Nangun Grupo C",48,IF(Atletas!I476="Gunshu Grupo B",49,IF(Atletas!I476="Qiangshu Grupo B",50,IF(Atletas!I476="Nangun Grupo B",51,IF(Atletas!I476="Gunshu Grupo A",52,IF(Atletas!I476="Qiangshu Grupo A",53,IF(Atletas!I476="Nangun Grupo A",54,IF(Atletas!I476="Gunshu Opcional",55,IF(Atletas!I476="Qiangshu Opcional",56,IF(Atletas!I476="Nangun Opcional",57,IF(Atletas!I476="Gunshu Adulto",58,IF(Atletas!I476="Qiangshu Adulto",59,IF(Atletas!I476="Nangun Adulto",60,""))))))))))))))))))))</f>
        <v/>
      </c>
      <c r="BF480" s="52" t="str">
        <f>IF(Atletas!J476="","",IF(Atletas!B476="Feminino",100,IF(Atletas!B476="Masculino",200,""))+(IF(Atletas!J476="Equipe 1 Grupo B",1,IF(Atletas!J476="Equipe 2 Grupo B",2,IF(Atletas!J476="Equipe 1 Grupo A",3,IF(Atletas!J476="Equipe 2 Grupo A",4,IF(Atletas!J476="Equipe 1 Adulto",5,IF(Atletas!J476="Equipe 2 Adulto",6,""))))))))</f>
        <v/>
      </c>
      <c r="BK480" s="52" t="str">
        <f>IF(Atletas!K476="","",IF(Atletas!W476&lt;&gt;"",10000,0)+(IF(Atletas!B476="Feminino",1000,IF(Atletas!B476="Masculino",2000,""))+IF(Atletas!K476="Choylayfut A",1,IF(Atletas!K476="Hunggar A",2,IF(Atletas!K476="Wuzuquan A",3,IF(Atletas!K476="Wingchun A",4,IF(Atletas!K476="Outra Mão de Sul A",5,IF(Atletas!K476="Choylayfut B",6,IF(Atletas!K476="Hunggar B",7,IF(Atletas!K476="Wuzuquan B",8,IF(Atletas!K476="Wingchun B",9,IF(Atletas!K476="Outra Mão de Sul B",10,IF(Atletas!K476="Choylayfut C",11,IF(Atletas!K476="Hunggar C",12,IF(Atletas!K476="Wuzuquan C",13,IF(Atletas!K476="Wingchun C",14,IF(Atletas!K476="Outra Mão de Sul C",15,IF(Atletas!K476="Choylayfut D",16,IF(Atletas!K476="Hunggar D",17,IF(Atletas!K476="Wuzuquan D",18,IF(Atletas!K476="Wingchun D",19,IF(Atletas!K476="Outra Mão de Sul D",20,IF(Atletas!K476="Choylayfut E",21,IF(Atletas!K476="Hunggar E",22,IF(Atletas!K476="Wuzuquan E",23,IF(Atletas!K476="Wingchun E",24,IF(Atletas!K476="Outra Mão de Sul E",25,IF(Atletas!K476="Choylayfut F",26,IF(Atletas!K476="Hunggar F",27,IF(Atletas!K476="Wuzuquan F",28,IF(Atletas!K476="Wingchun F",29,IF(Atletas!K476="Outra Mão de Sul F",30,""))))))))))))))))))))))))))))))))</f>
        <v/>
      </c>
      <c r="BL480" s="52" t="str">
        <f>IF(Atletas!L476="","",IF(Atletas!W476&lt;&gt;"",10000,0)+(IF(Atletas!B476="Feminino",1000,IF(Atletas!B476="Masculino",2000,""))+(IF(Atletas!L476="Chaquan A",101,IF(Atletas!L476="Emeiquan A",102,IF(Atletas!L476="Fanziquan A",103,IF(Atletas!L476="Huaquan A",104,IF(Atletas!L476="Hongquan A",105,IF(Atletas!L476="Paochui A",106,IF(Atletas!L476="Piguaquan A",107,IF(Atletas!L476="Shaolinquan A",108,IF(Atletas!L476="Tanglangquan A",109,IF(Atletas!L476="Yinzhaophai A",110,IF(Atletas!L476="Tongbeiquan A",111,IF(Atletas!L476="Wudangquan A",112,IF(Atletas!L476="Outros Estilos A",113,IF(Atletas!L476="Chaquan B",114,IF(Atletas!L476="Emeiquan B",115,IF(Atletas!L476="Fanziquan B",116,IF(Atletas!L476="Huaquan B",117,IF(Atletas!L476="Hongquan B",118,IF(Atletas!L476="Paochui B",119,IF(Atletas!L476="Piguaquan B",120,IF(Atletas!L476="Shaolinquan B",121,IF(Atletas!L476="Tanglangquan B",122,IF(Atletas!L476="Yinzhaophai B",123,IF(Atletas!L476="Tongbeiquan B",124,IF(Atletas!L476="Wudangquan B",125,IF(Atletas!L476="Outros Estilos B",126,IF(Atletas!L476="Chaquan C",127,IF(Atletas!L476="Emeiquan C",128,IF(Atletas!L476="Fanziquan C",129,IF(Atletas!L476="Huaquan C",130,IF(Atletas!L476="Hongquan C",131,IF(Atletas!L476="Paochui C",132,IF(Atletas!L476="Piguaquan C",133,IF(Atletas!L476="Shaolinquan C",134,IF(Atletas!L476="Tanglangquan C",135,IF(Atletas!L476="Yinzhaophai C",136,IF(Atletas!L476="Tongbeiquan C",137,IF(Atletas!L476="Wudangquan C",138,IF(Atletas!L476="Outros Estilos C",139,0))))))))))))))))))))))))))))))))))))))))))</f>
        <v/>
      </c>
      <c r="BM480" s="52" t="str">
        <f>IF(Atletas!L476="","",IF(Atletas!W476&lt;&gt;"",10000,0)+(IF(Atletas!B476="Feminino",1000,IF(Atletas!B476="Masculino",2000,""))+(IF(Atletas!L476="Chaquan D",140,IF(Atletas!L476="Emeiquan D",141,IF(Atletas!L476="Fanziquan D",142,IF(Atletas!L476="Huaquan D",143,IF(Atletas!L476="Hongquan D",144,IF(Atletas!L476="Paochui D",145,IF(Atletas!L476="Piguaquan D",146,IF(Atletas!L476="Shaolinquan D",147,IF(Atletas!L476="Tanglangquan D",148,IF(Atletas!L476="Yinzhaophai D",149,IF(Atletas!L476="Tongbeiquan D",150,IF(Atletas!L476="Wudangquan D",151,IF(Atletas!L476="Outros Estilos D",152,IF(Atletas!L476="Chaquan E",153,IF(Atletas!L476="Emeiquan E",154,IF(Atletas!L476="Fanziquan E",155,IF(Atletas!L476="Huaquan E",156,IF(Atletas!L476="Hongquan E",157,IF(Atletas!L476="Paochui E",158,IF(Atletas!L476="Piguaquan E",159,IF(Atletas!L476="Shaolinquan E",160,IF(Atletas!L476="Tanglangquan E",161,IF(Atletas!L476="Yinzhaophai E",162,IF(Atletas!L476="Tongbeiquan E",163,IF(Atletas!L476="Wudangquan E",164,IF(Atletas!L476="Outros Estilos E",165,IF(Atletas!L476="Chaquan F",166,IF(Atletas!L476="Emeiquan F",167,IF(Atletas!L476="Fanziquan F",168,IF(Atletas!L476="Huaquan F",169,IF(Atletas!L476="Hongquan F",170,IF(Atletas!L476="Paochui F",171,IF(Atletas!L476="Piguaquan F",172,IF(Atletas!L476="Shaolinquan F",173,IF(Atletas!L476="Tanglangquan F",174,IF(Atletas!L476="Yinzhaophai F",175,IF(Atletas!L476="Tongbeiquan F",176,IF(Atletas!L476="Wudangquan F",177,IF(Atletas!L476="Outros Estilos F",178,0))))))))))))))))))))))))))))))))))))))))))</f>
        <v/>
      </c>
      <c r="BN480" s="52" t="str">
        <f>IF(Atletas!M476="","",IF(Atletas!W476&lt;&gt;"",10000,0)+(IF(Atletas!B476="Feminino",1000,IF(Atletas!B476="Masculino",2000,""))+(IF(Atletas!M476="Ditangquan A",201,IF(Atletas!M476="Houquan A",202,IF(Atletas!M476="Zuiquan A",203,IF(Atletas!M476="Ditangquan B",204,IF(Atletas!M476="Houquan B",205,IF(Atletas!M476="Zuiquan B",206,IF(Atletas!M476="Ditangquan C",207,IF(Atletas!M476="Houquan C",208,IF(Atletas!M476="Zuiquan C",209,IF(Atletas!M476="Ditangquan D",210,IF(Atletas!M476="Houquan D",211,IF(Atletas!M476="Zuiquan D",212,IF(Atletas!M476="Ditangquan E",213,IF(Atletas!M476="Houquan E",214,IF(Atletas!M476="Zuiquan E",215,IF(Atletas!M476="Ditangquan F",216,IF(Atletas!M476="Houquan F",217,IF(Atletas!M476="Zuiquan F",218,"")))))))))))))))))))))</f>
        <v/>
      </c>
      <c r="BO480" s="52" t="str">
        <f>IF(Atletas!N476="","",IF(Atletas!W476&lt;&gt;"",10000,0)+IF(Atletas!B476="Feminino",1000,IF(Atletas!B476="Masculino",2000,""))+IF(Atletas!N476="Yang A",301,IF(Atletas!N476="Chen A",30,IF(Atletas!N476="Sun A",303,IF(Atletas!N476="Wu A",304,IF(Atletas!N476="Wu-Hao A",305,IF(Atletas!N476="Outro Taijiquan A",306,IF(Atletas!N476="Yang B",307,IF(Atletas!N476="Chen B",308,IF(Atletas!N476="Sun B",309,IF(Atletas!N476="Wu B",310,IF(Atletas!N476="Wu-Hao B",311,IF(Atletas!N476="Outro Taijiquan B",312,IF(Atletas!N476="Yang C",313,IF(Atletas!N476="Chen C",314,IF(Atletas!N476="Sun C",315,IF(Atletas!N476="Wu C",316,IF(Atletas!N476="Wu-Hao C",317,IF(Atletas!N476="Outro Taijiquan C",318,IF(Atletas!N476="Yang D",319,IF(Atletas!N476="Chen D",320,IF(Atletas!N476="Sun D",321,IF(Atletas!N476="Wu D",322,IF(Atletas!N476="Wu-Hao D",323,IF(Atletas!N476="Outro Taijiquan D",324,IF(Atletas!N476="Yang E",325,IF(Atletas!N476="Chen E",326,IF(Atletas!N476="Sun E",327,IF(Atletas!N476="Wu E",328,IF(Atletas!N476="Wu-Hao E",329,IF(Atletas!N476="Outro Taijiquan E",330,IF(Atletas!N476="Yang F",331,IF(Atletas!N476="Chen F",332,IF(Atletas!N476="Sun F",333,IF(Atletas!N476="Wu F",334,IF(Atletas!N476="Wu-Hao F",335,IF(Atletas!N476="Outro Taijiquan F",336,"")))))))))))))))))))))))))))))))))))))</f>
        <v/>
      </c>
      <c r="BP480" s="52" t="str">
        <f>IF(Atletas!O476="","",IF(Atletas!W476&lt;&gt;"",10000,0)+IF(Atletas!B476="Feminino",1000,IF(Atletas!B476="Masculino",2000,""))+IF(OR(Atletas!O476="Yang 26 A",Atletas!O476="Yang 40 A"),401,IF(OR(Atletas!O476="Chen 25 A",Atletas!O476="Chen 36 A",Atletas!O476="Chen 56 A"),402,IF(Atletas!O476="Sun 73 A",403,IF(Atletas!O476="Wu 45 A",404,IF(Atletas!O476="Wu-Hao 46 A",405,IF(OR(Atletas!O476="Taijiquan 16 A",Atletas!O476="Taijiquan 24 A",Atletas!O476="Taijiquan 32 A",Atletas!O476="Taijiquan 42 A"),406,IF(OR(Atletas!O476="Yang 26 B",Atletas!O476="Yang 40 B"),407,IF(OR(Atletas!O476="Chen 25 B",Atletas!O476="Chen 36 B",Atletas!O476="Chen 56 B"),408,IF(Atletas!O476="Sun 73 B",409,IF(Atletas!O476="Wu 45 B",410,IF(Atletas!O476="Wu-Hao 46 B",411,IF(OR(Atletas!O476="Taijiquan 16 B",Atletas!O476="Taijiquan 24 B",Atletas!O476="Taijiquan 32 B",Atletas!O476="Taijiquan 42 B"),412,IF(OR(Atletas!O476="Yang 26 C",Atletas!O476="Yang 40 C"),413,IF(OR(Atletas!O476="Chen 25 C",Atletas!O476="Chen 36 C",Atletas!O476="Chen 56 C"),414,IF(Atletas!O476="Sun 73 C",415,IF(Atletas!O476="Wu 45 C",416,IF(Atletas!O476="Wu-Hao 46 C",417,IF(OR(Atletas!O476="Taijiquan 16 C",Atletas!O476="Taijiquan 24 C",Atletas!O476="Taijiquan 32 C",Atletas!O476="Taijiquan 42 C"),418,0)))))))))))))))))))</f>
        <v/>
      </c>
      <c r="BQ480" s="52" t="str">
        <f>IF(Atletas!O476="","",IF(Atletas!W476&lt;&gt;"",10000,0)+IF(Atletas!B476="Feminino",1000,IF(Atletas!B476="Masculino",2000,""))+IF(OR(Atletas!O476="Yang 26 D",Atletas!O476="Yang 40 D"),419,IF(OR(Atletas!O476="Chen 25 D",Atletas!O476="Chen 36 D",Atletas!O476="Chen 56 D"),420,IF(Atletas!O476="Sun 73 D",421,IF(Atletas!O476="Wu 45 D",422,IF(Atletas!O476="Wu-Hao 46 D",423,IF(OR(Atletas!O476="Taijiquan 16 D",Atletas!O476="Taijiquan 24 D",Atletas!O476="Taijiquan 32 D",Atletas!O476="Taijiquan 42 D"),424,IF(OR(Atletas!O476="Yang 26 E",Atletas!O476="Yang 40 E"),425,IF(OR(Atletas!O476="Chen 25 E",Atletas!O476="Chen 36 E",Atletas!O476="Chen 56 E"),426,IF(Atletas!O476="Sun 73 E",427,IF(Atletas!O476="Wu 45 E",428,IF(Atletas!O476="Wu-Hao 46 E",429,IF(OR(Atletas!O476="Taijiquan 16 E",Atletas!O476="Taijiquan 24 E",Atletas!O476="Taijiquan 32 E",Atletas!O476="Taijiquan 42 E"),430,IF(OR(Atletas!O476="Yang 26 F",Atletas!O476="Yang 40 F"),431,IF(OR(Atletas!O476="Chen 25 F",Atletas!O476="Chen 36 F",Atletas!O476="Chen 56 F"),432,IF(Atletas!O476="Sun 73 F",433,IF(Atletas!O476="Wu 45 F",434,IF(Atletas!O476="Wu-Hao 46 F",435,IF(OR(Atletas!O476="Taijiquan 16 F",Atletas!O476="Taijiquan 24 F",Atletas!O476="Taijiquan 32 F",Atletas!O476="Taijiquan 42 F"),436,0)))))))))))))))))))</f>
        <v/>
      </c>
      <c r="BR480" s="52" t="str">
        <f>IF(Atletas!P476="","",IF(Atletas!W476&lt;&gt;"",10000,0)+IF(Atletas!B476="Feminino",1000,IF(Atletas!B476="Masculino",2000,""))+IF(Atletas!P476="Xingyiquan A",501,IF(Atletas!P476="Baguazhang A",502,IF(Atletas!P476="Outro Estilo Interno A",503,IF(Atletas!P476="Xingyiquan B",504,IF(Atletas!P476="Baguazhang B",505,IF(Atletas!P476="Outro Estilo Interno B",506,IF(Atletas!P476="Xingyiquan C",507,IF(Atletas!P476="Baguazhang C",508,IF(Atletas!P476="Outro Estilo Interno C",509,IF(Atletas!P476="Xingyiquan D",510,IF(Atletas!P476="Baguazhang D",511,IF(Atletas!P476="Outro Estilo Interno D",512,IF(Atletas!P476="Xingyiquan E",513,IF(Atletas!P476="Baguazhang E",514,IF(Atletas!P476="Outro Estilo Interno E",515,IF(Atletas!P476="Xingyiquan F",516,IF(Atletas!P476="Baguazhang F",517,IF(Atletas!P476="Outro Estilo Interno F",518, "")))))))))))))))))))</f>
        <v/>
      </c>
      <c r="BS480" s="52" t="str">
        <f>IF(Atletas!Q476="","",IF(Atletas!W476&lt;&gt;"",10000,0)+IF(Atletas!B476="Feminino",1000,IF(Atletas!B476="Masculino",2000,""))+IF(Atletas!Q476="Dao A",601,IF(Atletas!Q476="Jian A",602,IF(Atletas!Q476="Bishou A",603,IF(Atletas!Q476="Shan A",604,IF(Atletas!Q476="Outra Arma Curta A",605,IF(Atletas!Q476="Dao B",606,IF(Atletas!Q476="Jian B",607,IF(Atletas!Q476="Bishou B",608,IF(Atletas!Q476="Shan B",609,IF(Atletas!Q476="Outra Arma Curta B",610,IF(Atletas!Q476="Dao C",611,IF(Atletas!Q476="Jian C",612,IF(Atletas!Q476="Bishou C",613,IF(Atletas!Q476="Shan C",614,IF(Atletas!Q476="Outra Arma Curta C",615,IF(Atletas!Q476="Dao D",616,IF(Atletas!Q476="Jian D",617,IF(Atletas!Q476="Bishou D",618,IF(Atletas!Q476="Shan D",619,IF(Atletas!Q476="Outra Arma Curta D",620,IF(Atletas!Q476="Dao E",621,IF(Atletas!Q476="Jian E",622,IF(Atletas!Q476="Bishou E",623,IF(Atletas!Q476="Shan E",624,IF(Atletas!Q476="Outra Arma Curta E",625,IF(Atletas!Q476="Dao F",626,IF(Atletas!Q476="Jian F",627,IF(Atletas!Q476="Bishou F",628,IF(Atletas!Q476="Shan F",629,IF(Atletas!Q476="Outra Arma Curta F",630, "")))))))))))))))))))))))))))))))</f>
        <v/>
      </c>
      <c r="BT480" s="52" t="str">
        <f>IF(Atletas!R476="","",IF(Atletas!W476&lt;&gt;"",10000,0)+IF(Atletas!B476="Feminino",1000,IF(Atletas!B476="Masculino",2000,""))+IF(Atletas!R476="Gun A",701,IF(Atletas!R476="Qiang A",702,IF(Atletas!R476="Pudao / Guandao A",703,IF(Atletas!R476="Outra Arma Longa A",704,IF(Atletas!R476="Gun B",705,IF(Atletas!R476="Qiang B",706,IF(Atletas!R476="Pudao / Guandao B",707,IF(Atletas!R476="Outra Arma Longa B",708,IF(Atletas!R476="Gun C",709,IF(Atletas!R476="Qiang C",710,IF(Atletas!R476="Pudao / Guandao C",711,IF(Atletas!R476="Outra Arma Longa C",712,IF(Atletas!R476="Gun D",713,IF(Atletas!R476="Qiang D",714,IF(Atletas!R476="Pudao / Guandao D",715,IF(Atletas!R476="Outra Arma Longa D",716,IF(Atletas!R476="Gun E",717,IF(Atletas!R476="Qiang E",718,IF(Atletas!R476="Pudao / Guandao E",719,IF(Atletas!R476="Outra Arma Longa E",720,IF(Atletas!R476="Gun F",721,IF(Atletas!R476="Qiang F",722,IF(Atletas!R476="Pudao / Guandao F",723,IF(Atletas!R476="Outra Arma Longa F",724,"")))))))))))))))))))))))))</f>
        <v/>
      </c>
      <c r="BU480" s="52" t="str">
        <f>IF(Atletas!S476="","",IF(Atletas!W476&lt;&gt;"",10000,0)+IF(Atletas!B476="Feminino",1000,IF(Atletas!B476="Masculino",2000,""))+IF(Atletas!S476="Arma Dupla A",801,IF(Atletas!S476="Arma Maleável A",802,IF(Atletas!S476="Arma Dupla B",803,IF(Atletas!S476="Arma Maleável B",804,IF(Atletas!S476="Arma Dupla C",805,IF(Atletas!S476="Arma Maleável C",806,IF(Atletas!S476="Arma Dupla D",807,IF(Atletas!S476="Arma Maleável D",808,IF(Atletas!S476="Arma Dupla E",809,IF(Atletas!S476="Arma Maleável E",810,IF(Atletas!S476="Arma Dupla F",811,IF(Atletas!S476="Arma Maleável F",812, "")))))))))))))</f>
        <v/>
      </c>
      <c r="BV480" s="52" t="str">
        <f>IF(Atletas!T476="","",IF(Atletas!W476&lt;&gt;"",10000,0)+IF(Atletas!B476="Feminino",1000,IF(Atletas!B476="Masculino",2000,""))+IF(Atletas!T476="Taijijian Yang A",901,IF(Atletas!T476="Taijijian Chen A",902,IF(Atletas!T476="Taijijian Sun A",903,IF(Atletas!T476="Taijijian Wu A",904,IF(Atletas!T476="Taijijian Wu-Hao A",905,IF(Atletas!T476="Taijijian 32 A",906,IF(Atletas!T476="Taijijian 42 A",907,IF(Atletas!T476="Taijijian Yang B",908,IF(Atletas!T476="Taijijian Chen B",909,IF(Atletas!T476="Taijijian Sun B",910,IF(Atletas!T476="Taijijian Wu B",911,IF(Atletas!T476="Taijijian Wu-Hao B",912,IF(Atletas!T476="Taijijian 32 B",913,IF(Atletas!T476="Taijijian 42 B",914,IF(Atletas!T476="Taijijian Yang C",915,IF(Atletas!T476="Taijijian Chen C",916,IF(Atletas!T476="Taijijian Sun C",917,IF(Atletas!T476="Taijijian Wu C",918,IF(Atletas!T476="Taijijian Wu-Hao C",919,IF(Atletas!T476="Taijijian 32 C",920,IF(Atletas!T476="Taijijian 42 C",921,IF(Atletas!T476="Taijijian Yang D",922,IF(Atletas!T476="Taijijian Chen D",923,IF(Atletas!T476="Taijijian Sun D",924,IF(Atletas!T476="Taijijian Wu D",925,IF(Atletas!T476="Taijijian Wu-Hao D",926,IF(Atletas!T476="Taijijian 32 D",927,IF(Atletas!T476="Taijijian 42 D",928,IF(Atletas!T476="Taijijian Yang E",929,IF(Atletas!T476="Taijijian Chen E",930,IF(Atletas!T476="Taijijian Sun E",931,IF(Atletas!T476="Taijijian Wu E",932,IF(Atletas!T476="Taijijian Wu-Hao E",933,IF(Atletas!T476="Taijijian 32 E",934,IF(Atletas!T476="Taijijian 42 E",935,IF(Atletas!T476="Taijijian Yang F",936,IF(Atletas!T476="Taijijian Chen F",937,IF(Atletas!T476="Taijijian Sun F",938,IF(Atletas!T476="Taijijian Wu F",939,IF(Atletas!T476="Taijijian Wu-Hao F",940,IF(Atletas!T476="Taijijian 32 F",941,IF(Atletas!T476="Taijijian 42 F",942,"")))))))))))))))))))))))))))))))))))))))))))</f>
        <v/>
      </c>
      <c r="BW480" s="52" t="str">
        <f>IF(Atletas!U476="","",IF(Atletas!W476&lt;&gt;"",10000,0)+IF(Atletas!B476="Feminino",1000,IF(Atletas!B476="Masculino",2000,""))+IF(Atletas!T476="Taijijian 42 F",942,IF(Atletas!U476="Taijidao A",943,IF(Atletas!U476="Taijishan A",944,IF(Atletas!U476="Taijiqiang A",945,IF(Atletas!U476="Taijidao B",946,IF(Atletas!U476="Taijishan B",947,IF(Atletas!U476="Taijiqiang B",948,IF(Atletas!U476="Taijidao C",949,IF(Atletas!U476="Taijishan C",950,IF(Atletas!U476="Taijiqiang C",951,IF(Atletas!U476="Taijidao D",952,IF(Atletas!U476="Taijishan D",953,IF(Atletas!U476="Taijiqiang D",954,IF(Atletas!U476="Taijidao E",955,IF(Atletas!U476="Taijishan E",956,IF(Atletas!U476="Taijiqiang E",957,IF(Atletas!U476="Taijidao F",958,IF(Atletas!U476="Taijishan F",959,IF(Atletas!U476="Taijiqiang F",960))))))))))))))))))))</f>
        <v/>
      </c>
      <c r="CF480" s="52" t="str">
        <f xml:space="preserve"> IF(Atletas!V476="","",IF(Atletas!V476="Duilian de Mãos AB - Equipe 1",1,IF(Atletas!V476="Duilian de Mãos AB - Equipe 2",2,IF(Atletas!V476="Duilian de Armas AB - Equipe 1",3,IF(Atletas!V476="Duilian de Armas AB - Equipe 2",4,IF(Atletas!V476="Duilian de Tuishou - Equipe 1",5,IF(Atletas!V476="Duilian de Tuishou - Equipe 2",6,IF(Atletas!V476="Grupo Externo AB - Equipe 1",7,IF(Atletas!V476="Grupo Externo AB - Equipe 2",8,IF(Atletas!V476="Grupo Interno AB - Equipe 1",9,IF(Atletas!V476="Grupo Interno AB - Equipe 2",10,IF(Atletas!V476="Duilian de Mãos CD - Equipe 1",11,IF(Atletas!V476="Duilian de Mãos CD - Equipe 2",12,IF(Atletas!V476="Duilian de Armas CD - Equipe 1",13,IF(Atletas!V476="Duilian de Armas CD - Equipe 2",14,IF(Atletas!V476="Duilian de Tuishou - Equipe 1",15,IF(Atletas!V476="Duilian de Tuishou - Equipe 2",16,IF(Atletas!V476="Grupo Externo CDEF - Equipe 1",17,IF(Atletas!V476="Grupo Externo CDEF - Equipe 2",18,IF(Atletas!V476="Grupo Interno CDEF - Equipe 1",19,IF(Atletas!V476="Grupo Interno CDEF - Equipe 2",20,IF(Atletas!V476="Duilian de Mãos EF - Equipe 1",21,IF(Atletas!V476="Duilian de Mãos EF - Equipe 2",22,IF(Atletas!V476="Duilian de Armas EF - Equipe 1",23,IF(Atletas!V476="Duilian de Armas EF - Equipe 2",24,IF(Atletas!V476="Duilian de Tuishou - Equipe 1",25,IF(Atletas!V476="Duilian de Tuishou - Equipe 2",26,"")))))))))))))))))))))))))))</f>
        <v/>
      </c>
    </row>
    <row r="481" spans="36:84">
      <c r="AJ481" s="46" t="str">
        <f>IF(Atletas!D477="","",IF(Atletas!B477="Feminino",100,IF(Atletas!B477="Masculino",200,""))+(IF(Atletas!D477="Infantil 39kg",1,IF(Atletas!D477="Infantil 42kg",2,IF(Atletas!D477="Infantil 45kg",3,IF(Atletas!D477="Infantil 48kg",4,IF(Atletas!D477="Infantil 52kg",5,IF(Atletas!D477="Infantil 56kg",6,IF(Atletas!D477="Infantil 60kg",7,IF(Atletas!D477="Juvenil 48kg",8,IF(Atletas!D477="Juvenil 52kg",9,IF(Atletas!D477="Juvenil 56kg",10,IF(Atletas!D477="Juvenil 60kg",11,IF(Atletas!D477="Juvenil 65kg",12,IF(Atletas!D477="Juvenil 70kg",13,IF(Atletas!D477="Juvenil 75kg",14,IF(Atletas!D477="Juvenil 80kg",15,IF(Atletas!D477="Adulto 48kg",16,IF(Atletas!D477="Adulto 52kg",17,IF(Atletas!D477="Adulto 56kg",18,IF(Atletas!D477="Adulto 60kg",19,IF(Atletas!D477="Adulto 65kg",20,IF(Atletas!D477="Adulto 70kg",21,IF(Atletas!D477="Adulto 75kg",22,IF(Atletas!D477="Adulto 80kg",23,IF(Atletas!D477="Adulto 85kg",24,IF(Atletas!D477="Adulto 90kg",25,IF(Atletas!D477="Adulto +90kg",26,""))))))))))))))))))))))))))))</f>
        <v/>
      </c>
      <c r="AO481" s="10" t="str">
        <f>IF(Atletas!E477="","",IF(Atletas!B477="Feminino",100,IF(Atletas!B477="Masculino",200,""))+(IF(Atletas!E477="Juvenil 44kg",1,IF(Atletas!E477="Juvenil 48kg",2,IF(Atletas!E477="Juvenil 52kg",3,IF(Atletas!E477="Juvenil 56kg",4,IF(Atletas!E477="Juvenil 60kg",5,IF(Atletas!E477="Juvenil 65kg",6,IF(Atletas!E477="Juvenil 70kg",7,IF(Atletas!E477="Juvenil 75kg",8,IF(Atletas!E477="Juvenil 82kg",9,IF(Atletas!E477="Juvenil 90kg",10,IF(Atletas!E477="Juvenil 100kg",11,IF(Atletas!E477="Adulto 48kg",12,IF(Atletas!E477="Adulto 52kg",13,IF(Atletas!E477="Adulto 56kg",14,IF(Atletas!E477="Adulto 60kg",15,IF(Atletas!E477="Adulto 65kg",16,IF(Atletas!E477="Adulto 70kg",17,IF(Atletas!E477="Adulto 75kg",18,IF(Atletas!E477="Adulto 82kg",19,IF(Atletas!E477="Adulto 90kg",20,IF(Atletas!E477="Adulto 100kg",21,IF(Atletas!E477="Adulto +100kg",22,""))))))))))))))))))))))))</f>
        <v/>
      </c>
      <c r="AT481" s="10" t="str">
        <f>IF(Atletas!F477="","",IF(Atletas!B477="Feminino",100,IF(Atletas!B477="Masculino",200,""))+(IF(Atletas!F477="Adulto 48kg",1,IF(Atletas!F477="Adulto 56kg",2,IF(Atletas!F477="Adulto 65kg",3,IF(Atletas!F477="Adulto 75kg",4,IF(Atletas!F477="Adulto +75kg",5,IF(Atletas!F477="Adulto 52kg",6,IF(Atletas!F477="Adulto 60kg",7,IF(Atletas!F477="Adulto 70kg",8,IF(Atletas!F477="Adulto 80kg",9,IF(Atletas!F477="Adulto 90kg",10,IF(Atletas!F477="Adulto +90kg",11,"")))))))))))))</f>
        <v/>
      </c>
      <c r="AY481" s="46" t="str">
        <f>IF(Atletas!G477="","",IF(Atletas!B477="Feminino",100,IF(Atletas!B477="Masculino",200,""))+(IF(Atletas!G477="Changquan Mirim",1,IF(Atletas!G477="Nanquan Mirim",2,IF(Atletas!G477="Taijiquan Mirim",3,IF(Atletas!G477="Changquan Grupo C",4,IF(Atletas!G477="Nanquan Grupo C",5,IF(Atletas!G477="Taijiquan Grupo C",6,IF(Atletas!G477="Changquan Grupo B",7,IF(Atletas!G477="Nanquan Grupo B",8,IF(Atletas!G477="Taijiquan Grupo B",9,IF(Atletas!G477="Changquan Grupo A",10,IF(Atletas!G477="Nanquan Grupo A",11,IF(Atletas!G477="Taijiquan Grupo A",12,IF(Atletas!G477="Changquan Opcional",13,IF(Atletas!G477="Nanquan Opcional",14,IF(Atletas!G477="Taijiquan Opcional",15,IF(Atletas!G477="Changquan Adulto",16,IF(Atletas!G477="Nanquan Adulto",17,IF(Atletas!G477="Taijiquan Adulto",18,""))))))))))))))))))))</f>
        <v/>
      </c>
      <c r="AZ481" s="46" t="str">
        <f>IF(Atletas!H477="","",IF(Atletas!B477="Feminino",100,IF(Atletas!B477="Masculino",200,""))+(IF(Atletas!H477="Daoshu Mirim",19,IF(Atletas!H477="Jianshu Mirim",20,IF(Atletas!H477="Nandao Mirim",21,IF(Atletas!H477="Taijijian Mirim",22,IF(Atletas!H477="Daoshu Grupo C",23,IF(Atletas!H477="Jianshu Grupo C",24,IF(Atletas!H477="Nandao Grupo C",25,IF(Atletas!H477="Taijijian Grupo C",26,IF(Atletas!H477="Daoshu Grupo B",27,IF(Atletas!H477="Jianshu Grupo B",28,IF(Atletas!H477="Nandao Grupo B",29,IF(Atletas!H477="Taijijian Grupo B",30,IF(Atletas!H477="Daoshu Grupo A",31,IF(Atletas!H477="Jianshu Grupo A",32,IF(Atletas!H477="Nandao Grupo A",33,IF(Atletas!H477="Taijijian Grupo A",34,IF(Atletas!H477="Daoshu Opcional",35,IF(Atletas!H477="Jianshu Opcional",36,IF(Atletas!H477="Nandao Opcional",37,IF(Atletas!H477="Taijijian Opcional",38,IF(Atletas!H477="Daoshu Adulto",39,IF(Atletas!H477="Jianshu Adulto",40,IF(Atletas!H477="Nandao Adulto",41,IF(Atletas!H477="Taijijian Adulto",42,""))))))))))))))))))))))))))</f>
        <v/>
      </c>
      <c r="BA481" s="46" t="str">
        <f>IF(Atletas!I477="","",IF(Atletas!B477="Feminino",100,IF(Atletas!B477="Masculino",200,""))+(IF(Atletas!I477="Gunshu Mirim",43,IF(Atletas!I477="Qiangshu Mirim",44,IF(Atletas!I477="Nangun Mirim",45,IF(Atletas!I477="Gunshu Grupo C",46,IF(Atletas!I477="Qiangshu Grupo C",47,IF(Atletas!I477="Nangun Grupo C",48,IF(Atletas!I477="Gunshu Grupo B",49,IF(Atletas!I477="Qiangshu Grupo B",50,IF(Atletas!I477="Nangun Grupo B",51,IF(Atletas!I477="Gunshu Grupo A",52,IF(Atletas!I477="Qiangshu Grupo A",53,IF(Atletas!I477="Nangun Grupo A",54,IF(Atletas!I477="Gunshu Opcional",55,IF(Atletas!I477="Qiangshu Opcional",56,IF(Atletas!I477="Nangun Opcional",57,IF(Atletas!I477="Gunshu Adulto",58,IF(Atletas!I477="Qiangshu Adulto",59,IF(Atletas!I477="Nangun Adulto",60,""))))))))))))))))))))</f>
        <v/>
      </c>
      <c r="BF481" s="52" t="str">
        <f>IF(Atletas!J477="","",IF(Atletas!B477="Feminino",100,IF(Atletas!B477="Masculino",200,""))+(IF(Atletas!J477="Equipe 1 Grupo B",1,IF(Atletas!J477="Equipe 2 Grupo B",2,IF(Atletas!J477="Equipe 1 Grupo A",3,IF(Atletas!J477="Equipe 2 Grupo A",4,IF(Atletas!J477="Equipe 1 Adulto",5,IF(Atletas!J477="Equipe 2 Adulto",6,""))))))))</f>
        <v/>
      </c>
      <c r="BK481" s="52" t="str">
        <f>IF(Atletas!K477="","",IF(Atletas!W477&lt;&gt;"",10000,0)+(IF(Atletas!B477="Feminino",1000,IF(Atletas!B477="Masculino",2000,""))+IF(Atletas!K477="Choylayfut A",1,IF(Atletas!K477="Hunggar A",2,IF(Atletas!K477="Wuzuquan A",3,IF(Atletas!K477="Wingchun A",4,IF(Atletas!K477="Outra Mão de Sul A",5,IF(Atletas!K477="Choylayfut B",6,IF(Atletas!K477="Hunggar B",7,IF(Atletas!K477="Wuzuquan B",8,IF(Atletas!K477="Wingchun B",9,IF(Atletas!K477="Outra Mão de Sul B",10,IF(Atletas!K477="Choylayfut C",11,IF(Atletas!K477="Hunggar C",12,IF(Atletas!K477="Wuzuquan C",13,IF(Atletas!K477="Wingchun C",14,IF(Atletas!K477="Outra Mão de Sul C",15,IF(Atletas!K477="Choylayfut D",16,IF(Atletas!K477="Hunggar D",17,IF(Atletas!K477="Wuzuquan D",18,IF(Atletas!K477="Wingchun D",19,IF(Atletas!K477="Outra Mão de Sul D",20,IF(Atletas!K477="Choylayfut E",21,IF(Atletas!K477="Hunggar E",22,IF(Atletas!K477="Wuzuquan E",23,IF(Atletas!K477="Wingchun E",24,IF(Atletas!K477="Outra Mão de Sul E",25,IF(Atletas!K477="Choylayfut F",26,IF(Atletas!K477="Hunggar F",27,IF(Atletas!K477="Wuzuquan F",28,IF(Atletas!K477="Wingchun F",29,IF(Atletas!K477="Outra Mão de Sul F",30,""))))))))))))))))))))))))))))))))</f>
        <v/>
      </c>
      <c r="BL481" s="52" t="str">
        <f>IF(Atletas!L477="","",IF(Atletas!W477&lt;&gt;"",10000,0)+(IF(Atletas!B477="Feminino",1000,IF(Atletas!B477="Masculino",2000,""))+(IF(Atletas!L477="Chaquan A",101,IF(Atletas!L477="Emeiquan A",102,IF(Atletas!L477="Fanziquan A",103,IF(Atletas!L477="Huaquan A",104,IF(Atletas!L477="Hongquan A",105,IF(Atletas!L477="Paochui A",106,IF(Atletas!L477="Piguaquan A",107,IF(Atletas!L477="Shaolinquan A",108,IF(Atletas!L477="Tanglangquan A",109,IF(Atletas!L477="Yinzhaophai A",110,IF(Atletas!L477="Tongbeiquan A",111,IF(Atletas!L477="Wudangquan A",112,IF(Atletas!L477="Outros Estilos A",113,IF(Atletas!L477="Chaquan B",114,IF(Atletas!L477="Emeiquan B",115,IF(Atletas!L477="Fanziquan B",116,IF(Atletas!L477="Huaquan B",117,IF(Atletas!L477="Hongquan B",118,IF(Atletas!L477="Paochui B",119,IF(Atletas!L477="Piguaquan B",120,IF(Atletas!L477="Shaolinquan B",121,IF(Atletas!L477="Tanglangquan B",122,IF(Atletas!L477="Yinzhaophai B",123,IF(Atletas!L477="Tongbeiquan B",124,IF(Atletas!L477="Wudangquan B",125,IF(Atletas!L477="Outros Estilos B",126,IF(Atletas!L477="Chaquan C",127,IF(Atletas!L477="Emeiquan C",128,IF(Atletas!L477="Fanziquan C",129,IF(Atletas!L477="Huaquan C",130,IF(Atletas!L477="Hongquan C",131,IF(Atletas!L477="Paochui C",132,IF(Atletas!L477="Piguaquan C",133,IF(Atletas!L477="Shaolinquan C",134,IF(Atletas!L477="Tanglangquan C",135,IF(Atletas!L477="Yinzhaophai C",136,IF(Atletas!L477="Tongbeiquan C",137,IF(Atletas!L477="Wudangquan C",138,IF(Atletas!L477="Outros Estilos C",139,0))))))))))))))))))))))))))))))))))))))))))</f>
        <v/>
      </c>
      <c r="BM481" s="52" t="str">
        <f>IF(Atletas!L477="","",IF(Atletas!W477&lt;&gt;"",10000,0)+(IF(Atletas!B477="Feminino",1000,IF(Atletas!B477="Masculino",2000,""))+(IF(Atletas!L477="Chaquan D",140,IF(Atletas!L477="Emeiquan D",141,IF(Atletas!L477="Fanziquan D",142,IF(Atletas!L477="Huaquan D",143,IF(Atletas!L477="Hongquan D",144,IF(Atletas!L477="Paochui D",145,IF(Atletas!L477="Piguaquan D",146,IF(Atletas!L477="Shaolinquan D",147,IF(Atletas!L477="Tanglangquan D",148,IF(Atletas!L477="Yinzhaophai D",149,IF(Atletas!L477="Tongbeiquan D",150,IF(Atletas!L477="Wudangquan D",151,IF(Atletas!L477="Outros Estilos D",152,IF(Atletas!L477="Chaquan E",153,IF(Atletas!L477="Emeiquan E",154,IF(Atletas!L477="Fanziquan E",155,IF(Atletas!L477="Huaquan E",156,IF(Atletas!L477="Hongquan E",157,IF(Atletas!L477="Paochui E",158,IF(Atletas!L477="Piguaquan E",159,IF(Atletas!L477="Shaolinquan E",160,IF(Atletas!L477="Tanglangquan E",161,IF(Atletas!L477="Yinzhaophai E",162,IF(Atletas!L477="Tongbeiquan E",163,IF(Atletas!L477="Wudangquan E",164,IF(Atletas!L477="Outros Estilos E",165,IF(Atletas!L477="Chaquan F",166,IF(Atletas!L477="Emeiquan F",167,IF(Atletas!L477="Fanziquan F",168,IF(Atletas!L477="Huaquan F",169,IF(Atletas!L477="Hongquan F",170,IF(Atletas!L477="Paochui F",171,IF(Atletas!L477="Piguaquan F",172,IF(Atletas!L477="Shaolinquan F",173,IF(Atletas!L477="Tanglangquan F",174,IF(Atletas!L477="Yinzhaophai F",175,IF(Atletas!L477="Tongbeiquan F",176,IF(Atletas!L477="Wudangquan F",177,IF(Atletas!L477="Outros Estilos F",178,0))))))))))))))))))))))))))))))))))))))))))</f>
        <v/>
      </c>
      <c r="BN481" s="52" t="str">
        <f>IF(Atletas!M477="","",IF(Atletas!W477&lt;&gt;"",10000,0)+(IF(Atletas!B477="Feminino",1000,IF(Atletas!B477="Masculino",2000,""))+(IF(Atletas!M477="Ditangquan A",201,IF(Atletas!M477="Houquan A",202,IF(Atletas!M477="Zuiquan A",203,IF(Atletas!M477="Ditangquan B",204,IF(Atletas!M477="Houquan B",205,IF(Atletas!M477="Zuiquan B",206,IF(Atletas!M477="Ditangquan C",207,IF(Atletas!M477="Houquan C",208,IF(Atletas!M477="Zuiquan C",209,IF(Atletas!M477="Ditangquan D",210,IF(Atletas!M477="Houquan D",211,IF(Atletas!M477="Zuiquan D",212,IF(Atletas!M477="Ditangquan E",213,IF(Atletas!M477="Houquan E",214,IF(Atletas!M477="Zuiquan E",215,IF(Atletas!M477="Ditangquan F",216,IF(Atletas!M477="Houquan F",217,IF(Atletas!M477="Zuiquan F",218,"")))))))))))))))))))))</f>
        <v/>
      </c>
      <c r="BO481" s="52" t="str">
        <f>IF(Atletas!N477="","",IF(Atletas!W477&lt;&gt;"",10000,0)+IF(Atletas!B477="Feminino",1000,IF(Atletas!B477="Masculino",2000,""))+IF(Atletas!N477="Yang A",301,IF(Atletas!N477="Chen A",30,IF(Atletas!N477="Sun A",303,IF(Atletas!N477="Wu A",304,IF(Atletas!N477="Wu-Hao A",305,IF(Atletas!N477="Outro Taijiquan A",306,IF(Atletas!N477="Yang B",307,IF(Atletas!N477="Chen B",308,IF(Atletas!N477="Sun B",309,IF(Atletas!N477="Wu B",310,IF(Atletas!N477="Wu-Hao B",311,IF(Atletas!N477="Outro Taijiquan B",312,IF(Atletas!N477="Yang C",313,IF(Atletas!N477="Chen C",314,IF(Atletas!N477="Sun C",315,IF(Atletas!N477="Wu C",316,IF(Atletas!N477="Wu-Hao C",317,IF(Atletas!N477="Outro Taijiquan C",318,IF(Atletas!N477="Yang D",319,IF(Atletas!N477="Chen D",320,IF(Atletas!N477="Sun D",321,IF(Atletas!N477="Wu D",322,IF(Atletas!N477="Wu-Hao D",323,IF(Atletas!N477="Outro Taijiquan D",324,IF(Atletas!N477="Yang E",325,IF(Atletas!N477="Chen E",326,IF(Atletas!N477="Sun E",327,IF(Atletas!N477="Wu E",328,IF(Atletas!N477="Wu-Hao E",329,IF(Atletas!N477="Outro Taijiquan E",330,IF(Atletas!N477="Yang F",331,IF(Atletas!N477="Chen F",332,IF(Atletas!N477="Sun F",333,IF(Atletas!N477="Wu F",334,IF(Atletas!N477="Wu-Hao F",335,IF(Atletas!N477="Outro Taijiquan F",336,"")))))))))))))))))))))))))))))))))))))</f>
        <v/>
      </c>
      <c r="BP481" s="52" t="str">
        <f>IF(Atletas!O477="","",IF(Atletas!W477&lt;&gt;"",10000,0)+IF(Atletas!B477="Feminino",1000,IF(Atletas!B477="Masculino",2000,""))+IF(OR(Atletas!O477="Yang 26 A",Atletas!O477="Yang 40 A"),401,IF(OR(Atletas!O477="Chen 25 A",Atletas!O477="Chen 36 A",Atletas!O477="Chen 56 A"),402,IF(Atletas!O477="Sun 73 A",403,IF(Atletas!O477="Wu 45 A",404,IF(Atletas!O477="Wu-Hao 46 A",405,IF(OR(Atletas!O477="Taijiquan 16 A",Atletas!O477="Taijiquan 24 A",Atletas!O477="Taijiquan 32 A",Atletas!O477="Taijiquan 42 A"),406,IF(OR(Atletas!O477="Yang 26 B",Atletas!O477="Yang 40 B"),407,IF(OR(Atletas!O477="Chen 25 B",Atletas!O477="Chen 36 B",Atletas!O477="Chen 56 B"),408,IF(Atletas!O477="Sun 73 B",409,IF(Atletas!O477="Wu 45 B",410,IF(Atletas!O477="Wu-Hao 46 B",411,IF(OR(Atletas!O477="Taijiquan 16 B",Atletas!O477="Taijiquan 24 B",Atletas!O477="Taijiquan 32 B",Atletas!O477="Taijiquan 42 B"),412,IF(OR(Atletas!O477="Yang 26 C",Atletas!O477="Yang 40 C"),413,IF(OR(Atletas!O477="Chen 25 C",Atletas!O477="Chen 36 C",Atletas!O477="Chen 56 C"),414,IF(Atletas!O477="Sun 73 C",415,IF(Atletas!O477="Wu 45 C",416,IF(Atletas!O477="Wu-Hao 46 C",417,IF(OR(Atletas!O477="Taijiquan 16 C",Atletas!O477="Taijiquan 24 C",Atletas!O477="Taijiquan 32 C",Atletas!O477="Taijiquan 42 C"),418,0)))))))))))))))))))</f>
        <v/>
      </c>
      <c r="BQ481" s="52" t="str">
        <f>IF(Atletas!O477="","",IF(Atletas!W477&lt;&gt;"",10000,0)+IF(Atletas!B477="Feminino",1000,IF(Atletas!B477="Masculino",2000,""))+IF(OR(Atletas!O477="Yang 26 D",Atletas!O477="Yang 40 D"),419,IF(OR(Atletas!O477="Chen 25 D",Atletas!O477="Chen 36 D",Atletas!O477="Chen 56 D"),420,IF(Atletas!O477="Sun 73 D",421,IF(Atletas!O477="Wu 45 D",422,IF(Atletas!O477="Wu-Hao 46 D",423,IF(OR(Atletas!O477="Taijiquan 16 D",Atletas!O477="Taijiquan 24 D",Atletas!O477="Taijiquan 32 D",Atletas!O477="Taijiquan 42 D"),424,IF(OR(Atletas!O477="Yang 26 E",Atletas!O477="Yang 40 E"),425,IF(OR(Atletas!O477="Chen 25 E",Atletas!O477="Chen 36 E",Atletas!O477="Chen 56 E"),426,IF(Atletas!O477="Sun 73 E",427,IF(Atletas!O477="Wu 45 E",428,IF(Atletas!O477="Wu-Hao 46 E",429,IF(OR(Atletas!O477="Taijiquan 16 E",Atletas!O477="Taijiquan 24 E",Atletas!O477="Taijiquan 32 E",Atletas!O477="Taijiquan 42 E"),430,IF(OR(Atletas!O477="Yang 26 F",Atletas!O477="Yang 40 F"),431,IF(OR(Atletas!O477="Chen 25 F",Atletas!O477="Chen 36 F",Atletas!O477="Chen 56 F"),432,IF(Atletas!O477="Sun 73 F",433,IF(Atletas!O477="Wu 45 F",434,IF(Atletas!O477="Wu-Hao 46 F",435,IF(OR(Atletas!O477="Taijiquan 16 F",Atletas!O477="Taijiquan 24 F",Atletas!O477="Taijiquan 32 F",Atletas!O477="Taijiquan 42 F"),436,0)))))))))))))))))))</f>
        <v/>
      </c>
      <c r="BR481" s="52" t="str">
        <f>IF(Atletas!P477="","",IF(Atletas!W477&lt;&gt;"",10000,0)+IF(Atletas!B477="Feminino",1000,IF(Atletas!B477="Masculino",2000,""))+IF(Atletas!P477="Xingyiquan A",501,IF(Atletas!P477="Baguazhang A",502,IF(Atletas!P477="Outro Estilo Interno A",503,IF(Atletas!P477="Xingyiquan B",504,IF(Atletas!P477="Baguazhang B",505,IF(Atletas!P477="Outro Estilo Interno B",506,IF(Atletas!P477="Xingyiquan C",507,IF(Atletas!P477="Baguazhang C",508,IF(Atletas!P477="Outro Estilo Interno C",509,IF(Atletas!P477="Xingyiquan D",510,IF(Atletas!P477="Baguazhang D",511,IF(Atletas!P477="Outro Estilo Interno D",512,IF(Atletas!P477="Xingyiquan E",513,IF(Atletas!P477="Baguazhang E",514,IF(Atletas!P477="Outro Estilo Interno E",515,IF(Atletas!P477="Xingyiquan F",516,IF(Atletas!P477="Baguazhang F",517,IF(Atletas!P477="Outro Estilo Interno F",518, "")))))))))))))))))))</f>
        <v/>
      </c>
      <c r="BS481" s="52" t="str">
        <f>IF(Atletas!Q477="","",IF(Atletas!W477&lt;&gt;"",10000,0)+IF(Atletas!B477="Feminino",1000,IF(Atletas!B477="Masculino",2000,""))+IF(Atletas!Q477="Dao A",601,IF(Atletas!Q477="Jian A",602,IF(Atletas!Q477="Bishou A",603,IF(Atletas!Q477="Shan A",604,IF(Atletas!Q477="Outra Arma Curta A",605,IF(Atletas!Q477="Dao B",606,IF(Atletas!Q477="Jian B",607,IF(Atletas!Q477="Bishou B",608,IF(Atletas!Q477="Shan B",609,IF(Atletas!Q477="Outra Arma Curta B",610,IF(Atletas!Q477="Dao C",611,IF(Atletas!Q477="Jian C",612,IF(Atletas!Q477="Bishou C",613,IF(Atletas!Q477="Shan C",614,IF(Atletas!Q477="Outra Arma Curta C",615,IF(Atletas!Q477="Dao D",616,IF(Atletas!Q477="Jian D",617,IF(Atletas!Q477="Bishou D",618,IF(Atletas!Q477="Shan D",619,IF(Atletas!Q477="Outra Arma Curta D",620,IF(Atletas!Q477="Dao E",621,IF(Atletas!Q477="Jian E",622,IF(Atletas!Q477="Bishou E",623,IF(Atletas!Q477="Shan E",624,IF(Atletas!Q477="Outra Arma Curta E",625,IF(Atletas!Q477="Dao F",626,IF(Atletas!Q477="Jian F",627,IF(Atletas!Q477="Bishou F",628,IF(Atletas!Q477="Shan F",629,IF(Atletas!Q477="Outra Arma Curta F",630, "")))))))))))))))))))))))))))))))</f>
        <v/>
      </c>
      <c r="BT481" s="52" t="str">
        <f>IF(Atletas!R477="","",IF(Atletas!W477&lt;&gt;"",10000,0)+IF(Atletas!B477="Feminino",1000,IF(Atletas!B477="Masculino",2000,""))+IF(Atletas!R477="Gun A",701,IF(Atletas!R477="Qiang A",702,IF(Atletas!R477="Pudao / Guandao A",703,IF(Atletas!R477="Outra Arma Longa A",704,IF(Atletas!R477="Gun B",705,IF(Atletas!R477="Qiang B",706,IF(Atletas!R477="Pudao / Guandao B",707,IF(Atletas!R477="Outra Arma Longa B",708,IF(Atletas!R477="Gun C",709,IF(Atletas!R477="Qiang C",710,IF(Atletas!R477="Pudao / Guandao C",711,IF(Atletas!R477="Outra Arma Longa C",712,IF(Atletas!R477="Gun D",713,IF(Atletas!R477="Qiang D",714,IF(Atletas!R477="Pudao / Guandao D",715,IF(Atletas!R477="Outra Arma Longa D",716,IF(Atletas!R477="Gun E",717,IF(Atletas!R477="Qiang E",718,IF(Atletas!R477="Pudao / Guandao E",719,IF(Atletas!R477="Outra Arma Longa E",720,IF(Atletas!R477="Gun F",721,IF(Atletas!R477="Qiang F",722,IF(Atletas!R477="Pudao / Guandao F",723,IF(Atletas!R477="Outra Arma Longa F",724,"")))))))))))))))))))))))))</f>
        <v/>
      </c>
      <c r="BU481" s="52" t="str">
        <f>IF(Atletas!S477="","",IF(Atletas!W477&lt;&gt;"",10000,0)+IF(Atletas!B477="Feminino",1000,IF(Atletas!B477="Masculino",2000,""))+IF(Atletas!S477="Arma Dupla A",801,IF(Atletas!S477="Arma Maleável A",802,IF(Atletas!S477="Arma Dupla B",803,IF(Atletas!S477="Arma Maleável B",804,IF(Atletas!S477="Arma Dupla C",805,IF(Atletas!S477="Arma Maleável C",806,IF(Atletas!S477="Arma Dupla D",807,IF(Atletas!S477="Arma Maleável D",808,IF(Atletas!S477="Arma Dupla E",809,IF(Atletas!S477="Arma Maleável E",810,IF(Atletas!S477="Arma Dupla F",811,IF(Atletas!S477="Arma Maleável F",812, "")))))))))))))</f>
        <v/>
      </c>
      <c r="BV481" s="52" t="str">
        <f>IF(Atletas!T477="","",IF(Atletas!W477&lt;&gt;"",10000,0)+IF(Atletas!B477="Feminino",1000,IF(Atletas!B477="Masculino",2000,""))+IF(Atletas!T477="Taijijian Yang A",901,IF(Atletas!T477="Taijijian Chen A",902,IF(Atletas!T477="Taijijian Sun A",903,IF(Atletas!T477="Taijijian Wu A",904,IF(Atletas!T477="Taijijian Wu-Hao A",905,IF(Atletas!T477="Taijijian 32 A",906,IF(Atletas!T477="Taijijian 42 A",907,IF(Atletas!T477="Taijijian Yang B",908,IF(Atletas!T477="Taijijian Chen B",909,IF(Atletas!T477="Taijijian Sun B",910,IF(Atletas!T477="Taijijian Wu B",911,IF(Atletas!T477="Taijijian Wu-Hao B",912,IF(Atletas!T477="Taijijian 32 B",913,IF(Atletas!T477="Taijijian 42 B",914,IF(Atletas!T477="Taijijian Yang C",915,IF(Atletas!T477="Taijijian Chen C",916,IF(Atletas!T477="Taijijian Sun C",917,IF(Atletas!T477="Taijijian Wu C",918,IF(Atletas!T477="Taijijian Wu-Hao C",919,IF(Atletas!T477="Taijijian 32 C",920,IF(Atletas!T477="Taijijian 42 C",921,IF(Atletas!T477="Taijijian Yang D",922,IF(Atletas!T477="Taijijian Chen D",923,IF(Atletas!T477="Taijijian Sun D",924,IF(Atletas!T477="Taijijian Wu D",925,IF(Atletas!T477="Taijijian Wu-Hao D",926,IF(Atletas!T477="Taijijian 32 D",927,IF(Atletas!T477="Taijijian 42 D",928,IF(Atletas!T477="Taijijian Yang E",929,IF(Atletas!T477="Taijijian Chen E",930,IF(Atletas!T477="Taijijian Sun E",931,IF(Atletas!T477="Taijijian Wu E",932,IF(Atletas!T477="Taijijian Wu-Hao E",933,IF(Atletas!T477="Taijijian 32 E",934,IF(Atletas!T477="Taijijian 42 E",935,IF(Atletas!T477="Taijijian Yang F",936,IF(Atletas!T477="Taijijian Chen F",937,IF(Atletas!T477="Taijijian Sun F",938,IF(Atletas!T477="Taijijian Wu F",939,IF(Atletas!T477="Taijijian Wu-Hao F",940,IF(Atletas!T477="Taijijian 32 F",941,IF(Atletas!T477="Taijijian 42 F",942,"")))))))))))))))))))))))))))))))))))))))))))</f>
        <v/>
      </c>
      <c r="BW481" s="52" t="str">
        <f>IF(Atletas!U477="","",IF(Atletas!W477&lt;&gt;"",10000,0)+IF(Atletas!B477="Feminino",1000,IF(Atletas!B477="Masculino",2000,""))+IF(Atletas!T477="Taijijian 42 F",942,IF(Atletas!U477="Taijidao A",943,IF(Atletas!U477="Taijishan A",944,IF(Atletas!U477="Taijiqiang A",945,IF(Atletas!U477="Taijidao B",946,IF(Atletas!U477="Taijishan B",947,IF(Atletas!U477="Taijiqiang B",948,IF(Atletas!U477="Taijidao C",949,IF(Atletas!U477="Taijishan C",950,IF(Atletas!U477="Taijiqiang C",951,IF(Atletas!U477="Taijidao D",952,IF(Atletas!U477="Taijishan D",953,IF(Atletas!U477="Taijiqiang D",954,IF(Atletas!U477="Taijidao E",955,IF(Atletas!U477="Taijishan E",956,IF(Atletas!U477="Taijiqiang E",957,IF(Atletas!U477="Taijidao F",958,IF(Atletas!U477="Taijishan F",959,IF(Atletas!U477="Taijiqiang F",960))))))))))))))))))))</f>
        <v/>
      </c>
      <c r="CF481" s="52" t="str">
        <f xml:space="preserve"> IF(Atletas!V477="","",IF(Atletas!V477="Duilian de Mãos AB - Equipe 1",1,IF(Atletas!V477="Duilian de Mãos AB - Equipe 2",2,IF(Atletas!V477="Duilian de Armas AB - Equipe 1",3,IF(Atletas!V477="Duilian de Armas AB - Equipe 2",4,IF(Atletas!V477="Duilian de Tuishou - Equipe 1",5,IF(Atletas!V477="Duilian de Tuishou - Equipe 2",6,IF(Atletas!V477="Grupo Externo AB - Equipe 1",7,IF(Atletas!V477="Grupo Externo AB - Equipe 2",8,IF(Atletas!V477="Grupo Interno AB - Equipe 1",9,IF(Atletas!V477="Grupo Interno AB - Equipe 2",10,IF(Atletas!V477="Duilian de Mãos CD - Equipe 1",11,IF(Atletas!V477="Duilian de Mãos CD - Equipe 2",12,IF(Atletas!V477="Duilian de Armas CD - Equipe 1",13,IF(Atletas!V477="Duilian de Armas CD - Equipe 2",14,IF(Atletas!V477="Duilian de Tuishou - Equipe 1",15,IF(Atletas!V477="Duilian de Tuishou - Equipe 2",16,IF(Atletas!V477="Grupo Externo CDEF - Equipe 1",17,IF(Atletas!V477="Grupo Externo CDEF - Equipe 2",18,IF(Atletas!V477="Grupo Interno CDEF - Equipe 1",19,IF(Atletas!V477="Grupo Interno CDEF - Equipe 2",20,IF(Atletas!V477="Duilian de Mãos EF - Equipe 1",21,IF(Atletas!V477="Duilian de Mãos EF - Equipe 2",22,IF(Atletas!V477="Duilian de Armas EF - Equipe 1",23,IF(Atletas!V477="Duilian de Armas EF - Equipe 2",24,IF(Atletas!V477="Duilian de Tuishou - Equipe 1",25,IF(Atletas!V477="Duilian de Tuishou - Equipe 2",26,"")))))))))))))))))))))))))))</f>
        <v/>
      </c>
    </row>
    <row r="482" spans="36:84">
      <c r="AJ482" s="46" t="str">
        <f>IF(Atletas!D478="","",IF(Atletas!B478="Feminino",100,IF(Atletas!B478="Masculino",200,""))+(IF(Atletas!D478="Infantil 39kg",1,IF(Atletas!D478="Infantil 42kg",2,IF(Atletas!D478="Infantil 45kg",3,IF(Atletas!D478="Infantil 48kg",4,IF(Atletas!D478="Infantil 52kg",5,IF(Atletas!D478="Infantil 56kg",6,IF(Atletas!D478="Infantil 60kg",7,IF(Atletas!D478="Juvenil 48kg",8,IF(Atletas!D478="Juvenil 52kg",9,IF(Atletas!D478="Juvenil 56kg",10,IF(Atletas!D478="Juvenil 60kg",11,IF(Atletas!D478="Juvenil 65kg",12,IF(Atletas!D478="Juvenil 70kg",13,IF(Atletas!D478="Juvenil 75kg",14,IF(Atletas!D478="Juvenil 80kg",15,IF(Atletas!D478="Adulto 48kg",16,IF(Atletas!D478="Adulto 52kg",17,IF(Atletas!D478="Adulto 56kg",18,IF(Atletas!D478="Adulto 60kg",19,IF(Atletas!D478="Adulto 65kg",20,IF(Atletas!D478="Adulto 70kg",21,IF(Atletas!D478="Adulto 75kg",22,IF(Atletas!D478="Adulto 80kg",23,IF(Atletas!D478="Adulto 85kg",24,IF(Atletas!D478="Adulto 90kg",25,IF(Atletas!D478="Adulto +90kg",26,""))))))))))))))))))))))))))))</f>
        <v/>
      </c>
      <c r="AO482" s="10" t="str">
        <f>IF(Atletas!E478="","",IF(Atletas!B478="Feminino",100,IF(Atletas!B478="Masculino",200,""))+(IF(Atletas!E478="Juvenil 44kg",1,IF(Atletas!E478="Juvenil 48kg",2,IF(Atletas!E478="Juvenil 52kg",3,IF(Atletas!E478="Juvenil 56kg",4,IF(Atletas!E478="Juvenil 60kg",5,IF(Atletas!E478="Juvenil 65kg",6,IF(Atletas!E478="Juvenil 70kg",7,IF(Atletas!E478="Juvenil 75kg",8,IF(Atletas!E478="Juvenil 82kg",9,IF(Atletas!E478="Juvenil 90kg",10,IF(Atletas!E478="Juvenil 100kg",11,IF(Atletas!E478="Adulto 48kg",12,IF(Atletas!E478="Adulto 52kg",13,IF(Atletas!E478="Adulto 56kg",14,IF(Atletas!E478="Adulto 60kg",15,IF(Atletas!E478="Adulto 65kg",16,IF(Atletas!E478="Adulto 70kg",17,IF(Atletas!E478="Adulto 75kg",18,IF(Atletas!E478="Adulto 82kg",19,IF(Atletas!E478="Adulto 90kg",20,IF(Atletas!E478="Adulto 100kg",21,IF(Atletas!E478="Adulto +100kg",22,""))))))))))))))))))))))))</f>
        <v/>
      </c>
      <c r="AT482" s="10" t="str">
        <f>IF(Atletas!F478="","",IF(Atletas!B478="Feminino",100,IF(Atletas!B478="Masculino",200,""))+(IF(Atletas!F478="Adulto 48kg",1,IF(Atletas!F478="Adulto 56kg",2,IF(Atletas!F478="Adulto 65kg",3,IF(Atletas!F478="Adulto 75kg",4,IF(Atletas!F478="Adulto +75kg",5,IF(Atletas!F478="Adulto 52kg",6,IF(Atletas!F478="Adulto 60kg",7,IF(Atletas!F478="Adulto 70kg",8,IF(Atletas!F478="Adulto 80kg",9,IF(Atletas!F478="Adulto 90kg",10,IF(Atletas!F478="Adulto +90kg",11,"")))))))))))))</f>
        <v/>
      </c>
      <c r="AY482" s="46" t="str">
        <f>IF(Atletas!G478="","",IF(Atletas!B478="Feminino",100,IF(Atletas!B478="Masculino",200,""))+(IF(Atletas!G478="Changquan Mirim",1,IF(Atletas!G478="Nanquan Mirim",2,IF(Atletas!G478="Taijiquan Mirim",3,IF(Atletas!G478="Changquan Grupo C",4,IF(Atletas!G478="Nanquan Grupo C",5,IF(Atletas!G478="Taijiquan Grupo C",6,IF(Atletas!G478="Changquan Grupo B",7,IF(Atletas!G478="Nanquan Grupo B",8,IF(Atletas!G478="Taijiquan Grupo B",9,IF(Atletas!G478="Changquan Grupo A",10,IF(Atletas!G478="Nanquan Grupo A",11,IF(Atletas!G478="Taijiquan Grupo A",12,IF(Atletas!G478="Changquan Opcional",13,IF(Atletas!G478="Nanquan Opcional",14,IF(Atletas!G478="Taijiquan Opcional",15,IF(Atletas!G478="Changquan Adulto",16,IF(Atletas!G478="Nanquan Adulto",17,IF(Atletas!G478="Taijiquan Adulto",18,""))))))))))))))))))))</f>
        <v/>
      </c>
      <c r="AZ482" s="46" t="str">
        <f>IF(Atletas!H478="","",IF(Atletas!B478="Feminino",100,IF(Atletas!B478="Masculino",200,""))+(IF(Atletas!H478="Daoshu Mirim",19,IF(Atletas!H478="Jianshu Mirim",20,IF(Atletas!H478="Nandao Mirim",21,IF(Atletas!H478="Taijijian Mirim",22,IF(Atletas!H478="Daoshu Grupo C",23,IF(Atletas!H478="Jianshu Grupo C",24,IF(Atletas!H478="Nandao Grupo C",25,IF(Atletas!H478="Taijijian Grupo C",26,IF(Atletas!H478="Daoshu Grupo B",27,IF(Atletas!H478="Jianshu Grupo B",28,IF(Atletas!H478="Nandao Grupo B",29,IF(Atletas!H478="Taijijian Grupo B",30,IF(Atletas!H478="Daoshu Grupo A",31,IF(Atletas!H478="Jianshu Grupo A",32,IF(Atletas!H478="Nandao Grupo A",33,IF(Atletas!H478="Taijijian Grupo A",34,IF(Atletas!H478="Daoshu Opcional",35,IF(Atletas!H478="Jianshu Opcional",36,IF(Atletas!H478="Nandao Opcional",37,IF(Atletas!H478="Taijijian Opcional",38,IF(Atletas!H478="Daoshu Adulto",39,IF(Atletas!H478="Jianshu Adulto",40,IF(Atletas!H478="Nandao Adulto",41,IF(Atletas!H478="Taijijian Adulto",42,""))))))))))))))))))))))))))</f>
        <v/>
      </c>
      <c r="BA482" s="46" t="str">
        <f>IF(Atletas!I478="","",IF(Atletas!B478="Feminino",100,IF(Atletas!B478="Masculino",200,""))+(IF(Atletas!I478="Gunshu Mirim",43,IF(Atletas!I478="Qiangshu Mirim",44,IF(Atletas!I478="Nangun Mirim",45,IF(Atletas!I478="Gunshu Grupo C",46,IF(Atletas!I478="Qiangshu Grupo C",47,IF(Atletas!I478="Nangun Grupo C",48,IF(Atletas!I478="Gunshu Grupo B",49,IF(Atletas!I478="Qiangshu Grupo B",50,IF(Atletas!I478="Nangun Grupo B",51,IF(Atletas!I478="Gunshu Grupo A",52,IF(Atletas!I478="Qiangshu Grupo A",53,IF(Atletas!I478="Nangun Grupo A",54,IF(Atletas!I478="Gunshu Opcional",55,IF(Atletas!I478="Qiangshu Opcional",56,IF(Atletas!I478="Nangun Opcional",57,IF(Atletas!I478="Gunshu Adulto",58,IF(Atletas!I478="Qiangshu Adulto",59,IF(Atletas!I478="Nangun Adulto",60,""))))))))))))))))))))</f>
        <v/>
      </c>
      <c r="BF482" s="52" t="str">
        <f>IF(Atletas!J478="","",IF(Atletas!B478="Feminino",100,IF(Atletas!B478="Masculino",200,""))+(IF(Atletas!J478="Equipe 1 Grupo B",1,IF(Atletas!J478="Equipe 2 Grupo B",2,IF(Atletas!J478="Equipe 1 Grupo A",3,IF(Atletas!J478="Equipe 2 Grupo A",4,IF(Atletas!J478="Equipe 1 Adulto",5,IF(Atletas!J478="Equipe 2 Adulto",6,""))))))))</f>
        <v/>
      </c>
      <c r="BK482" s="52" t="str">
        <f>IF(Atletas!K478="","",IF(Atletas!W478&lt;&gt;"",10000,0)+(IF(Atletas!B478="Feminino",1000,IF(Atletas!B478="Masculino",2000,""))+IF(Atletas!K478="Choylayfut A",1,IF(Atletas!K478="Hunggar A",2,IF(Atletas!K478="Wuzuquan A",3,IF(Atletas!K478="Wingchun A",4,IF(Atletas!K478="Outra Mão de Sul A",5,IF(Atletas!K478="Choylayfut B",6,IF(Atletas!K478="Hunggar B",7,IF(Atletas!K478="Wuzuquan B",8,IF(Atletas!K478="Wingchun B",9,IF(Atletas!K478="Outra Mão de Sul B",10,IF(Atletas!K478="Choylayfut C",11,IF(Atletas!K478="Hunggar C",12,IF(Atletas!K478="Wuzuquan C",13,IF(Atletas!K478="Wingchun C",14,IF(Atletas!K478="Outra Mão de Sul C",15,IF(Atletas!K478="Choylayfut D",16,IF(Atletas!K478="Hunggar D",17,IF(Atletas!K478="Wuzuquan D",18,IF(Atletas!K478="Wingchun D",19,IF(Atletas!K478="Outra Mão de Sul D",20,IF(Atletas!K478="Choylayfut E",21,IF(Atletas!K478="Hunggar E",22,IF(Atletas!K478="Wuzuquan E",23,IF(Atletas!K478="Wingchun E",24,IF(Atletas!K478="Outra Mão de Sul E",25,IF(Atletas!K478="Choylayfut F",26,IF(Atletas!K478="Hunggar F",27,IF(Atletas!K478="Wuzuquan F",28,IF(Atletas!K478="Wingchun F",29,IF(Atletas!K478="Outra Mão de Sul F",30,""))))))))))))))))))))))))))))))))</f>
        <v/>
      </c>
      <c r="BL482" s="52" t="str">
        <f>IF(Atletas!L478="","",IF(Atletas!W478&lt;&gt;"",10000,0)+(IF(Atletas!B478="Feminino",1000,IF(Atletas!B478="Masculino",2000,""))+(IF(Atletas!L478="Chaquan A",101,IF(Atletas!L478="Emeiquan A",102,IF(Atletas!L478="Fanziquan A",103,IF(Atletas!L478="Huaquan A",104,IF(Atletas!L478="Hongquan A",105,IF(Atletas!L478="Paochui A",106,IF(Atletas!L478="Piguaquan A",107,IF(Atletas!L478="Shaolinquan A",108,IF(Atletas!L478="Tanglangquan A",109,IF(Atletas!L478="Yinzhaophai A",110,IF(Atletas!L478="Tongbeiquan A",111,IF(Atletas!L478="Wudangquan A",112,IF(Atletas!L478="Outros Estilos A",113,IF(Atletas!L478="Chaquan B",114,IF(Atletas!L478="Emeiquan B",115,IF(Atletas!L478="Fanziquan B",116,IF(Atletas!L478="Huaquan B",117,IF(Atletas!L478="Hongquan B",118,IF(Atletas!L478="Paochui B",119,IF(Atletas!L478="Piguaquan B",120,IF(Atletas!L478="Shaolinquan B",121,IF(Atletas!L478="Tanglangquan B",122,IF(Atletas!L478="Yinzhaophai B",123,IF(Atletas!L478="Tongbeiquan B",124,IF(Atletas!L478="Wudangquan B",125,IF(Atletas!L478="Outros Estilos B",126,IF(Atletas!L478="Chaquan C",127,IF(Atletas!L478="Emeiquan C",128,IF(Atletas!L478="Fanziquan C",129,IF(Atletas!L478="Huaquan C",130,IF(Atletas!L478="Hongquan C",131,IF(Atletas!L478="Paochui C",132,IF(Atletas!L478="Piguaquan C",133,IF(Atletas!L478="Shaolinquan C",134,IF(Atletas!L478="Tanglangquan C",135,IF(Atletas!L478="Yinzhaophai C",136,IF(Atletas!L478="Tongbeiquan C",137,IF(Atletas!L478="Wudangquan C",138,IF(Atletas!L478="Outros Estilos C",139,0))))))))))))))))))))))))))))))))))))))))))</f>
        <v/>
      </c>
      <c r="BM482" s="52" t="str">
        <f>IF(Atletas!L478="","",IF(Atletas!W478&lt;&gt;"",10000,0)+(IF(Atletas!B478="Feminino",1000,IF(Atletas!B478="Masculino",2000,""))+(IF(Atletas!L478="Chaquan D",140,IF(Atletas!L478="Emeiquan D",141,IF(Atletas!L478="Fanziquan D",142,IF(Atletas!L478="Huaquan D",143,IF(Atletas!L478="Hongquan D",144,IF(Atletas!L478="Paochui D",145,IF(Atletas!L478="Piguaquan D",146,IF(Atletas!L478="Shaolinquan D",147,IF(Atletas!L478="Tanglangquan D",148,IF(Atletas!L478="Yinzhaophai D",149,IF(Atletas!L478="Tongbeiquan D",150,IF(Atletas!L478="Wudangquan D",151,IF(Atletas!L478="Outros Estilos D",152,IF(Atletas!L478="Chaquan E",153,IF(Atletas!L478="Emeiquan E",154,IF(Atletas!L478="Fanziquan E",155,IF(Atletas!L478="Huaquan E",156,IF(Atletas!L478="Hongquan E",157,IF(Atletas!L478="Paochui E",158,IF(Atletas!L478="Piguaquan E",159,IF(Atletas!L478="Shaolinquan E",160,IF(Atletas!L478="Tanglangquan E",161,IF(Atletas!L478="Yinzhaophai E",162,IF(Atletas!L478="Tongbeiquan E",163,IF(Atletas!L478="Wudangquan E",164,IF(Atletas!L478="Outros Estilos E",165,IF(Atletas!L478="Chaquan F",166,IF(Atletas!L478="Emeiquan F",167,IF(Atletas!L478="Fanziquan F",168,IF(Atletas!L478="Huaquan F",169,IF(Atletas!L478="Hongquan F",170,IF(Atletas!L478="Paochui F",171,IF(Atletas!L478="Piguaquan F",172,IF(Atletas!L478="Shaolinquan F",173,IF(Atletas!L478="Tanglangquan F",174,IF(Atletas!L478="Yinzhaophai F",175,IF(Atletas!L478="Tongbeiquan F",176,IF(Atletas!L478="Wudangquan F",177,IF(Atletas!L478="Outros Estilos F",178,0))))))))))))))))))))))))))))))))))))))))))</f>
        <v/>
      </c>
      <c r="BN482" s="52" t="str">
        <f>IF(Atletas!M478="","",IF(Atletas!W478&lt;&gt;"",10000,0)+(IF(Atletas!B478="Feminino",1000,IF(Atletas!B478="Masculino",2000,""))+(IF(Atletas!M478="Ditangquan A",201,IF(Atletas!M478="Houquan A",202,IF(Atletas!M478="Zuiquan A",203,IF(Atletas!M478="Ditangquan B",204,IF(Atletas!M478="Houquan B",205,IF(Atletas!M478="Zuiquan B",206,IF(Atletas!M478="Ditangquan C",207,IF(Atletas!M478="Houquan C",208,IF(Atletas!M478="Zuiquan C",209,IF(Atletas!M478="Ditangquan D",210,IF(Atletas!M478="Houquan D",211,IF(Atletas!M478="Zuiquan D",212,IF(Atletas!M478="Ditangquan E",213,IF(Atletas!M478="Houquan E",214,IF(Atletas!M478="Zuiquan E",215,IF(Atletas!M478="Ditangquan F",216,IF(Atletas!M478="Houquan F",217,IF(Atletas!M478="Zuiquan F",218,"")))))))))))))))))))))</f>
        <v/>
      </c>
      <c r="BO482" s="52" t="str">
        <f>IF(Atletas!N478="","",IF(Atletas!W478&lt;&gt;"",10000,0)+IF(Atletas!B478="Feminino",1000,IF(Atletas!B478="Masculino",2000,""))+IF(Atletas!N478="Yang A",301,IF(Atletas!N478="Chen A",30,IF(Atletas!N478="Sun A",303,IF(Atletas!N478="Wu A",304,IF(Atletas!N478="Wu-Hao A",305,IF(Atletas!N478="Outro Taijiquan A",306,IF(Atletas!N478="Yang B",307,IF(Atletas!N478="Chen B",308,IF(Atletas!N478="Sun B",309,IF(Atletas!N478="Wu B",310,IF(Atletas!N478="Wu-Hao B",311,IF(Atletas!N478="Outro Taijiquan B",312,IF(Atletas!N478="Yang C",313,IF(Atletas!N478="Chen C",314,IF(Atletas!N478="Sun C",315,IF(Atletas!N478="Wu C",316,IF(Atletas!N478="Wu-Hao C",317,IF(Atletas!N478="Outro Taijiquan C",318,IF(Atletas!N478="Yang D",319,IF(Atletas!N478="Chen D",320,IF(Atletas!N478="Sun D",321,IF(Atletas!N478="Wu D",322,IF(Atletas!N478="Wu-Hao D",323,IF(Atletas!N478="Outro Taijiquan D",324,IF(Atletas!N478="Yang E",325,IF(Atletas!N478="Chen E",326,IF(Atletas!N478="Sun E",327,IF(Atletas!N478="Wu E",328,IF(Atletas!N478="Wu-Hao E",329,IF(Atletas!N478="Outro Taijiquan E",330,IF(Atletas!N478="Yang F",331,IF(Atletas!N478="Chen F",332,IF(Atletas!N478="Sun F",333,IF(Atletas!N478="Wu F",334,IF(Atletas!N478="Wu-Hao F",335,IF(Atletas!N478="Outro Taijiquan F",336,"")))))))))))))))))))))))))))))))))))))</f>
        <v/>
      </c>
      <c r="BP482" s="52" t="str">
        <f>IF(Atletas!O478="","",IF(Atletas!W478&lt;&gt;"",10000,0)+IF(Atletas!B478="Feminino",1000,IF(Atletas!B478="Masculino",2000,""))+IF(OR(Atletas!O478="Yang 26 A",Atletas!O478="Yang 40 A"),401,IF(OR(Atletas!O478="Chen 25 A",Atletas!O478="Chen 36 A",Atletas!O478="Chen 56 A"),402,IF(Atletas!O478="Sun 73 A",403,IF(Atletas!O478="Wu 45 A",404,IF(Atletas!O478="Wu-Hao 46 A",405,IF(OR(Atletas!O478="Taijiquan 16 A",Atletas!O478="Taijiquan 24 A",Atletas!O478="Taijiquan 32 A",Atletas!O478="Taijiquan 42 A"),406,IF(OR(Atletas!O478="Yang 26 B",Atletas!O478="Yang 40 B"),407,IF(OR(Atletas!O478="Chen 25 B",Atletas!O478="Chen 36 B",Atletas!O478="Chen 56 B"),408,IF(Atletas!O478="Sun 73 B",409,IF(Atletas!O478="Wu 45 B",410,IF(Atletas!O478="Wu-Hao 46 B",411,IF(OR(Atletas!O478="Taijiquan 16 B",Atletas!O478="Taijiquan 24 B",Atletas!O478="Taijiquan 32 B",Atletas!O478="Taijiquan 42 B"),412,IF(OR(Atletas!O478="Yang 26 C",Atletas!O478="Yang 40 C"),413,IF(OR(Atletas!O478="Chen 25 C",Atletas!O478="Chen 36 C",Atletas!O478="Chen 56 C"),414,IF(Atletas!O478="Sun 73 C",415,IF(Atletas!O478="Wu 45 C",416,IF(Atletas!O478="Wu-Hao 46 C",417,IF(OR(Atletas!O478="Taijiquan 16 C",Atletas!O478="Taijiquan 24 C",Atletas!O478="Taijiquan 32 C",Atletas!O478="Taijiquan 42 C"),418,0)))))))))))))))))))</f>
        <v/>
      </c>
      <c r="BQ482" s="52" t="str">
        <f>IF(Atletas!O478="","",IF(Atletas!W478&lt;&gt;"",10000,0)+IF(Atletas!B478="Feminino",1000,IF(Atletas!B478="Masculino",2000,""))+IF(OR(Atletas!O478="Yang 26 D",Atletas!O478="Yang 40 D"),419,IF(OR(Atletas!O478="Chen 25 D",Atletas!O478="Chen 36 D",Atletas!O478="Chen 56 D"),420,IF(Atletas!O478="Sun 73 D",421,IF(Atletas!O478="Wu 45 D",422,IF(Atletas!O478="Wu-Hao 46 D",423,IF(OR(Atletas!O478="Taijiquan 16 D",Atletas!O478="Taijiquan 24 D",Atletas!O478="Taijiquan 32 D",Atletas!O478="Taijiquan 42 D"),424,IF(OR(Atletas!O478="Yang 26 E",Atletas!O478="Yang 40 E"),425,IF(OR(Atletas!O478="Chen 25 E",Atletas!O478="Chen 36 E",Atletas!O478="Chen 56 E"),426,IF(Atletas!O478="Sun 73 E",427,IF(Atletas!O478="Wu 45 E",428,IF(Atletas!O478="Wu-Hao 46 E",429,IF(OR(Atletas!O478="Taijiquan 16 E",Atletas!O478="Taijiquan 24 E",Atletas!O478="Taijiquan 32 E",Atletas!O478="Taijiquan 42 E"),430,IF(OR(Atletas!O478="Yang 26 F",Atletas!O478="Yang 40 F"),431,IF(OR(Atletas!O478="Chen 25 F",Atletas!O478="Chen 36 F",Atletas!O478="Chen 56 F"),432,IF(Atletas!O478="Sun 73 F",433,IF(Atletas!O478="Wu 45 F",434,IF(Atletas!O478="Wu-Hao 46 F",435,IF(OR(Atletas!O478="Taijiquan 16 F",Atletas!O478="Taijiquan 24 F",Atletas!O478="Taijiquan 32 F",Atletas!O478="Taijiquan 42 F"),436,0)))))))))))))))))))</f>
        <v/>
      </c>
      <c r="BR482" s="52" t="str">
        <f>IF(Atletas!P478="","",IF(Atletas!W478&lt;&gt;"",10000,0)+IF(Atletas!B478="Feminino",1000,IF(Atletas!B478="Masculino",2000,""))+IF(Atletas!P478="Xingyiquan A",501,IF(Atletas!P478="Baguazhang A",502,IF(Atletas!P478="Outro Estilo Interno A",503,IF(Atletas!P478="Xingyiquan B",504,IF(Atletas!P478="Baguazhang B",505,IF(Atletas!P478="Outro Estilo Interno B",506,IF(Atletas!P478="Xingyiquan C",507,IF(Atletas!P478="Baguazhang C",508,IF(Atletas!P478="Outro Estilo Interno C",509,IF(Atletas!P478="Xingyiquan D",510,IF(Atletas!P478="Baguazhang D",511,IF(Atletas!P478="Outro Estilo Interno D",512,IF(Atletas!P478="Xingyiquan E",513,IF(Atletas!P478="Baguazhang E",514,IF(Atletas!P478="Outro Estilo Interno E",515,IF(Atletas!P478="Xingyiquan F",516,IF(Atletas!P478="Baguazhang F",517,IF(Atletas!P478="Outro Estilo Interno F",518, "")))))))))))))))))))</f>
        <v/>
      </c>
      <c r="BS482" s="52" t="str">
        <f>IF(Atletas!Q478="","",IF(Atletas!W478&lt;&gt;"",10000,0)+IF(Atletas!B478="Feminino",1000,IF(Atletas!B478="Masculino",2000,""))+IF(Atletas!Q478="Dao A",601,IF(Atletas!Q478="Jian A",602,IF(Atletas!Q478="Bishou A",603,IF(Atletas!Q478="Shan A",604,IF(Atletas!Q478="Outra Arma Curta A",605,IF(Atletas!Q478="Dao B",606,IF(Atletas!Q478="Jian B",607,IF(Atletas!Q478="Bishou B",608,IF(Atletas!Q478="Shan B",609,IF(Atletas!Q478="Outra Arma Curta B",610,IF(Atletas!Q478="Dao C",611,IF(Atletas!Q478="Jian C",612,IF(Atletas!Q478="Bishou C",613,IF(Atletas!Q478="Shan C",614,IF(Atletas!Q478="Outra Arma Curta C",615,IF(Atletas!Q478="Dao D",616,IF(Atletas!Q478="Jian D",617,IF(Atletas!Q478="Bishou D",618,IF(Atletas!Q478="Shan D",619,IF(Atletas!Q478="Outra Arma Curta D",620,IF(Atletas!Q478="Dao E",621,IF(Atletas!Q478="Jian E",622,IF(Atletas!Q478="Bishou E",623,IF(Atletas!Q478="Shan E",624,IF(Atletas!Q478="Outra Arma Curta E",625,IF(Atletas!Q478="Dao F",626,IF(Atletas!Q478="Jian F",627,IF(Atletas!Q478="Bishou F",628,IF(Atletas!Q478="Shan F",629,IF(Atletas!Q478="Outra Arma Curta F",630, "")))))))))))))))))))))))))))))))</f>
        <v/>
      </c>
      <c r="BT482" s="52" t="str">
        <f>IF(Atletas!R478="","",IF(Atletas!W478&lt;&gt;"",10000,0)+IF(Atletas!B478="Feminino",1000,IF(Atletas!B478="Masculino",2000,""))+IF(Atletas!R478="Gun A",701,IF(Atletas!R478="Qiang A",702,IF(Atletas!R478="Pudao / Guandao A",703,IF(Atletas!R478="Outra Arma Longa A",704,IF(Atletas!R478="Gun B",705,IF(Atletas!R478="Qiang B",706,IF(Atletas!R478="Pudao / Guandao B",707,IF(Atletas!R478="Outra Arma Longa B",708,IF(Atletas!R478="Gun C",709,IF(Atletas!R478="Qiang C",710,IF(Atletas!R478="Pudao / Guandao C",711,IF(Atletas!R478="Outra Arma Longa C",712,IF(Atletas!R478="Gun D",713,IF(Atletas!R478="Qiang D",714,IF(Atletas!R478="Pudao / Guandao D",715,IF(Atletas!R478="Outra Arma Longa D",716,IF(Atletas!R478="Gun E",717,IF(Atletas!R478="Qiang E",718,IF(Atletas!R478="Pudao / Guandao E",719,IF(Atletas!R478="Outra Arma Longa E",720,IF(Atletas!R478="Gun F",721,IF(Atletas!R478="Qiang F",722,IF(Atletas!R478="Pudao / Guandao F",723,IF(Atletas!R478="Outra Arma Longa F",724,"")))))))))))))))))))))))))</f>
        <v/>
      </c>
      <c r="BU482" s="52" t="str">
        <f>IF(Atletas!S478="","",IF(Atletas!W478&lt;&gt;"",10000,0)+IF(Atletas!B478="Feminino",1000,IF(Atletas!B478="Masculino",2000,""))+IF(Atletas!S478="Arma Dupla A",801,IF(Atletas!S478="Arma Maleável A",802,IF(Atletas!S478="Arma Dupla B",803,IF(Atletas!S478="Arma Maleável B",804,IF(Atletas!S478="Arma Dupla C",805,IF(Atletas!S478="Arma Maleável C",806,IF(Atletas!S478="Arma Dupla D",807,IF(Atletas!S478="Arma Maleável D",808,IF(Atletas!S478="Arma Dupla E",809,IF(Atletas!S478="Arma Maleável E",810,IF(Atletas!S478="Arma Dupla F",811,IF(Atletas!S478="Arma Maleável F",812, "")))))))))))))</f>
        <v/>
      </c>
      <c r="BV482" s="52" t="str">
        <f>IF(Atletas!T478="","",IF(Atletas!W478&lt;&gt;"",10000,0)+IF(Atletas!B478="Feminino",1000,IF(Atletas!B478="Masculino",2000,""))+IF(Atletas!T478="Taijijian Yang A",901,IF(Atletas!T478="Taijijian Chen A",902,IF(Atletas!T478="Taijijian Sun A",903,IF(Atletas!T478="Taijijian Wu A",904,IF(Atletas!T478="Taijijian Wu-Hao A",905,IF(Atletas!T478="Taijijian 32 A",906,IF(Atletas!T478="Taijijian 42 A",907,IF(Atletas!T478="Taijijian Yang B",908,IF(Atletas!T478="Taijijian Chen B",909,IF(Atletas!T478="Taijijian Sun B",910,IF(Atletas!T478="Taijijian Wu B",911,IF(Atletas!T478="Taijijian Wu-Hao B",912,IF(Atletas!T478="Taijijian 32 B",913,IF(Atletas!T478="Taijijian 42 B",914,IF(Atletas!T478="Taijijian Yang C",915,IF(Atletas!T478="Taijijian Chen C",916,IF(Atletas!T478="Taijijian Sun C",917,IF(Atletas!T478="Taijijian Wu C",918,IF(Atletas!T478="Taijijian Wu-Hao C",919,IF(Atletas!T478="Taijijian 32 C",920,IF(Atletas!T478="Taijijian 42 C",921,IF(Atletas!T478="Taijijian Yang D",922,IF(Atletas!T478="Taijijian Chen D",923,IF(Atletas!T478="Taijijian Sun D",924,IF(Atletas!T478="Taijijian Wu D",925,IF(Atletas!T478="Taijijian Wu-Hao D",926,IF(Atletas!T478="Taijijian 32 D",927,IF(Atletas!T478="Taijijian 42 D",928,IF(Atletas!T478="Taijijian Yang E",929,IF(Atletas!T478="Taijijian Chen E",930,IF(Atletas!T478="Taijijian Sun E",931,IF(Atletas!T478="Taijijian Wu E",932,IF(Atletas!T478="Taijijian Wu-Hao E",933,IF(Atletas!T478="Taijijian 32 E",934,IF(Atletas!T478="Taijijian 42 E",935,IF(Atletas!T478="Taijijian Yang F",936,IF(Atletas!T478="Taijijian Chen F",937,IF(Atletas!T478="Taijijian Sun F",938,IF(Atletas!T478="Taijijian Wu F",939,IF(Atletas!T478="Taijijian Wu-Hao F",940,IF(Atletas!T478="Taijijian 32 F",941,IF(Atletas!T478="Taijijian 42 F",942,"")))))))))))))))))))))))))))))))))))))))))))</f>
        <v/>
      </c>
      <c r="BW482" s="52" t="str">
        <f>IF(Atletas!U478="","",IF(Atletas!W478&lt;&gt;"",10000,0)+IF(Atletas!B478="Feminino",1000,IF(Atletas!B478="Masculino",2000,""))+IF(Atletas!T478="Taijijian 42 F",942,IF(Atletas!U478="Taijidao A",943,IF(Atletas!U478="Taijishan A",944,IF(Atletas!U478="Taijiqiang A",945,IF(Atletas!U478="Taijidao B",946,IF(Atletas!U478="Taijishan B",947,IF(Atletas!U478="Taijiqiang B",948,IF(Atletas!U478="Taijidao C",949,IF(Atletas!U478="Taijishan C",950,IF(Atletas!U478="Taijiqiang C",951,IF(Atletas!U478="Taijidao D",952,IF(Atletas!U478="Taijishan D",953,IF(Atletas!U478="Taijiqiang D",954,IF(Atletas!U478="Taijidao E",955,IF(Atletas!U478="Taijishan E",956,IF(Atletas!U478="Taijiqiang E",957,IF(Atletas!U478="Taijidao F",958,IF(Atletas!U478="Taijishan F",959,IF(Atletas!U478="Taijiqiang F",960))))))))))))))))))))</f>
        <v/>
      </c>
      <c r="CF482" s="52" t="str">
        <f xml:space="preserve"> IF(Atletas!V478="","",IF(Atletas!V478="Duilian de Mãos AB - Equipe 1",1,IF(Atletas!V478="Duilian de Mãos AB - Equipe 2",2,IF(Atletas!V478="Duilian de Armas AB - Equipe 1",3,IF(Atletas!V478="Duilian de Armas AB - Equipe 2",4,IF(Atletas!V478="Duilian de Tuishou - Equipe 1",5,IF(Atletas!V478="Duilian de Tuishou - Equipe 2",6,IF(Atletas!V478="Grupo Externo AB - Equipe 1",7,IF(Atletas!V478="Grupo Externo AB - Equipe 2",8,IF(Atletas!V478="Grupo Interno AB - Equipe 1",9,IF(Atletas!V478="Grupo Interno AB - Equipe 2",10,IF(Atletas!V478="Duilian de Mãos CD - Equipe 1",11,IF(Atletas!V478="Duilian de Mãos CD - Equipe 2",12,IF(Atletas!V478="Duilian de Armas CD - Equipe 1",13,IF(Atletas!V478="Duilian de Armas CD - Equipe 2",14,IF(Atletas!V478="Duilian de Tuishou - Equipe 1",15,IF(Atletas!V478="Duilian de Tuishou - Equipe 2",16,IF(Atletas!V478="Grupo Externo CDEF - Equipe 1",17,IF(Atletas!V478="Grupo Externo CDEF - Equipe 2",18,IF(Atletas!V478="Grupo Interno CDEF - Equipe 1",19,IF(Atletas!V478="Grupo Interno CDEF - Equipe 2",20,IF(Atletas!V478="Duilian de Mãos EF - Equipe 1",21,IF(Atletas!V478="Duilian de Mãos EF - Equipe 2",22,IF(Atletas!V478="Duilian de Armas EF - Equipe 1",23,IF(Atletas!V478="Duilian de Armas EF - Equipe 2",24,IF(Atletas!V478="Duilian de Tuishou - Equipe 1",25,IF(Atletas!V478="Duilian de Tuishou - Equipe 2",26,"")))))))))))))))))))))))))))</f>
        <v/>
      </c>
    </row>
    <row r="483" spans="36:84">
      <c r="AJ483" s="46" t="str">
        <f>IF(Atletas!D479="","",IF(Atletas!B479="Feminino",100,IF(Atletas!B479="Masculino",200,""))+(IF(Atletas!D479="Infantil 39kg",1,IF(Atletas!D479="Infantil 42kg",2,IF(Atletas!D479="Infantil 45kg",3,IF(Atletas!D479="Infantil 48kg",4,IF(Atletas!D479="Infantil 52kg",5,IF(Atletas!D479="Infantil 56kg",6,IF(Atletas!D479="Infantil 60kg",7,IF(Atletas!D479="Juvenil 48kg",8,IF(Atletas!D479="Juvenil 52kg",9,IF(Atletas!D479="Juvenil 56kg",10,IF(Atletas!D479="Juvenil 60kg",11,IF(Atletas!D479="Juvenil 65kg",12,IF(Atletas!D479="Juvenil 70kg",13,IF(Atletas!D479="Juvenil 75kg",14,IF(Atletas!D479="Juvenil 80kg",15,IF(Atletas!D479="Adulto 48kg",16,IF(Atletas!D479="Adulto 52kg",17,IF(Atletas!D479="Adulto 56kg",18,IF(Atletas!D479="Adulto 60kg",19,IF(Atletas!D479="Adulto 65kg",20,IF(Atletas!D479="Adulto 70kg",21,IF(Atletas!D479="Adulto 75kg",22,IF(Atletas!D479="Adulto 80kg",23,IF(Atletas!D479="Adulto 85kg",24,IF(Atletas!D479="Adulto 90kg",25,IF(Atletas!D479="Adulto +90kg",26,""))))))))))))))))))))))))))))</f>
        <v/>
      </c>
      <c r="AO483" s="10" t="str">
        <f>IF(Atletas!E479="","",IF(Atletas!B479="Feminino",100,IF(Atletas!B479="Masculino",200,""))+(IF(Atletas!E479="Juvenil 44kg",1,IF(Atletas!E479="Juvenil 48kg",2,IF(Atletas!E479="Juvenil 52kg",3,IF(Atletas!E479="Juvenil 56kg",4,IF(Atletas!E479="Juvenil 60kg",5,IF(Atletas!E479="Juvenil 65kg",6,IF(Atletas!E479="Juvenil 70kg",7,IF(Atletas!E479="Juvenil 75kg",8,IF(Atletas!E479="Juvenil 82kg",9,IF(Atletas!E479="Juvenil 90kg",10,IF(Atletas!E479="Juvenil 100kg",11,IF(Atletas!E479="Adulto 48kg",12,IF(Atletas!E479="Adulto 52kg",13,IF(Atletas!E479="Adulto 56kg",14,IF(Atletas!E479="Adulto 60kg",15,IF(Atletas!E479="Adulto 65kg",16,IF(Atletas!E479="Adulto 70kg",17,IF(Atletas!E479="Adulto 75kg",18,IF(Atletas!E479="Adulto 82kg",19,IF(Atletas!E479="Adulto 90kg",20,IF(Atletas!E479="Adulto 100kg",21,IF(Atletas!E479="Adulto +100kg",22,""))))))))))))))))))))))))</f>
        <v/>
      </c>
      <c r="AT483" s="10" t="str">
        <f>IF(Atletas!F479="","",IF(Atletas!B479="Feminino",100,IF(Atletas!B479="Masculino",200,""))+(IF(Atletas!F479="Adulto 48kg",1,IF(Atletas!F479="Adulto 56kg",2,IF(Atletas!F479="Adulto 65kg",3,IF(Atletas!F479="Adulto 75kg",4,IF(Atletas!F479="Adulto +75kg",5,IF(Atletas!F479="Adulto 52kg",6,IF(Atletas!F479="Adulto 60kg",7,IF(Atletas!F479="Adulto 70kg",8,IF(Atletas!F479="Adulto 80kg",9,IF(Atletas!F479="Adulto 90kg",10,IF(Atletas!F479="Adulto +90kg",11,"")))))))))))))</f>
        <v/>
      </c>
      <c r="AY483" s="46" t="str">
        <f>IF(Atletas!G479="","",IF(Atletas!B479="Feminino",100,IF(Atletas!B479="Masculino",200,""))+(IF(Atletas!G479="Changquan Mirim",1,IF(Atletas!G479="Nanquan Mirim",2,IF(Atletas!G479="Taijiquan Mirim",3,IF(Atletas!G479="Changquan Grupo C",4,IF(Atletas!G479="Nanquan Grupo C",5,IF(Atletas!G479="Taijiquan Grupo C",6,IF(Atletas!G479="Changquan Grupo B",7,IF(Atletas!G479="Nanquan Grupo B",8,IF(Atletas!G479="Taijiquan Grupo B",9,IF(Atletas!G479="Changquan Grupo A",10,IF(Atletas!G479="Nanquan Grupo A",11,IF(Atletas!G479="Taijiquan Grupo A",12,IF(Atletas!G479="Changquan Opcional",13,IF(Atletas!G479="Nanquan Opcional",14,IF(Atletas!G479="Taijiquan Opcional",15,IF(Atletas!G479="Changquan Adulto",16,IF(Atletas!G479="Nanquan Adulto",17,IF(Atletas!G479="Taijiquan Adulto",18,""))))))))))))))))))))</f>
        <v/>
      </c>
      <c r="AZ483" s="46" t="str">
        <f>IF(Atletas!H479="","",IF(Atletas!B479="Feminino",100,IF(Atletas!B479="Masculino",200,""))+(IF(Atletas!H479="Daoshu Mirim",19,IF(Atletas!H479="Jianshu Mirim",20,IF(Atletas!H479="Nandao Mirim",21,IF(Atletas!H479="Taijijian Mirim",22,IF(Atletas!H479="Daoshu Grupo C",23,IF(Atletas!H479="Jianshu Grupo C",24,IF(Atletas!H479="Nandao Grupo C",25,IF(Atletas!H479="Taijijian Grupo C",26,IF(Atletas!H479="Daoshu Grupo B",27,IF(Atletas!H479="Jianshu Grupo B",28,IF(Atletas!H479="Nandao Grupo B",29,IF(Atletas!H479="Taijijian Grupo B",30,IF(Atletas!H479="Daoshu Grupo A",31,IF(Atletas!H479="Jianshu Grupo A",32,IF(Atletas!H479="Nandao Grupo A",33,IF(Atletas!H479="Taijijian Grupo A",34,IF(Atletas!H479="Daoshu Opcional",35,IF(Atletas!H479="Jianshu Opcional",36,IF(Atletas!H479="Nandao Opcional",37,IF(Atletas!H479="Taijijian Opcional",38,IF(Atletas!H479="Daoshu Adulto",39,IF(Atletas!H479="Jianshu Adulto",40,IF(Atletas!H479="Nandao Adulto",41,IF(Atletas!H479="Taijijian Adulto",42,""))))))))))))))))))))))))))</f>
        <v/>
      </c>
      <c r="BA483" s="46" t="str">
        <f>IF(Atletas!I479="","",IF(Atletas!B479="Feminino",100,IF(Atletas!B479="Masculino",200,""))+(IF(Atletas!I479="Gunshu Mirim",43,IF(Atletas!I479="Qiangshu Mirim",44,IF(Atletas!I479="Nangun Mirim",45,IF(Atletas!I479="Gunshu Grupo C",46,IF(Atletas!I479="Qiangshu Grupo C",47,IF(Atletas!I479="Nangun Grupo C",48,IF(Atletas!I479="Gunshu Grupo B",49,IF(Atletas!I479="Qiangshu Grupo B",50,IF(Atletas!I479="Nangun Grupo B",51,IF(Atletas!I479="Gunshu Grupo A",52,IF(Atletas!I479="Qiangshu Grupo A",53,IF(Atletas!I479="Nangun Grupo A",54,IF(Atletas!I479="Gunshu Opcional",55,IF(Atletas!I479="Qiangshu Opcional",56,IF(Atletas!I479="Nangun Opcional",57,IF(Atletas!I479="Gunshu Adulto",58,IF(Atletas!I479="Qiangshu Adulto",59,IF(Atletas!I479="Nangun Adulto",60,""))))))))))))))))))))</f>
        <v/>
      </c>
      <c r="BF483" s="52" t="str">
        <f>IF(Atletas!J479="","",IF(Atletas!B479="Feminino",100,IF(Atletas!B479="Masculino",200,""))+(IF(Atletas!J479="Equipe 1 Grupo B",1,IF(Atletas!J479="Equipe 2 Grupo B",2,IF(Atletas!J479="Equipe 1 Grupo A",3,IF(Atletas!J479="Equipe 2 Grupo A",4,IF(Atletas!J479="Equipe 1 Adulto",5,IF(Atletas!J479="Equipe 2 Adulto",6,""))))))))</f>
        <v/>
      </c>
      <c r="BK483" s="52" t="str">
        <f>IF(Atletas!K479="","",IF(Atletas!W479&lt;&gt;"",10000,0)+(IF(Atletas!B479="Feminino",1000,IF(Atletas!B479="Masculino",2000,""))+IF(Atletas!K479="Choylayfut A",1,IF(Atletas!K479="Hunggar A",2,IF(Atletas!K479="Wuzuquan A",3,IF(Atletas!K479="Wingchun A",4,IF(Atletas!K479="Outra Mão de Sul A",5,IF(Atletas!K479="Choylayfut B",6,IF(Atletas!K479="Hunggar B",7,IF(Atletas!K479="Wuzuquan B",8,IF(Atletas!K479="Wingchun B",9,IF(Atletas!K479="Outra Mão de Sul B",10,IF(Atletas!K479="Choylayfut C",11,IF(Atletas!K479="Hunggar C",12,IF(Atletas!K479="Wuzuquan C",13,IF(Atletas!K479="Wingchun C",14,IF(Atletas!K479="Outra Mão de Sul C",15,IF(Atletas!K479="Choylayfut D",16,IF(Atletas!K479="Hunggar D",17,IF(Atletas!K479="Wuzuquan D",18,IF(Atletas!K479="Wingchun D",19,IF(Atletas!K479="Outra Mão de Sul D",20,IF(Atletas!K479="Choylayfut E",21,IF(Atletas!K479="Hunggar E",22,IF(Atletas!K479="Wuzuquan E",23,IF(Atletas!K479="Wingchun E",24,IF(Atletas!K479="Outra Mão de Sul E",25,IF(Atletas!K479="Choylayfut F",26,IF(Atletas!K479="Hunggar F",27,IF(Atletas!K479="Wuzuquan F",28,IF(Atletas!K479="Wingchun F",29,IF(Atletas!K479="Outra Mão de Sul F",30,""))))))))))))))))))))))))))))))))</f>
        <v/>
      </c>
      <c r="BL483" s="52" t="str">
        <f>IF(Atletas!L479="","",IF(Atletas!W479&lt;&gt;"",10000,0)+(IF(Atletas!B479="Feminino",1000,IF(Atletas!B479="Masculino",2000,""))+(IF(Atletas!L479="Chaquan A",101,IF(Atletas!L479="Emeiquan A",102,IF(Atletas!L479="Fanziquan A",103,IF(Atletas!L479="Huaquan A",104,IF(Atletas!L479="Hongquan A",105,IF(Atletas!L479="Paochui A",106,IF(Atletas!L479="Piguaquan A",107,IF(Atletas!L479="Shaolinquan A",108,IF(Atletas!L479="Tanglangquan A",109,IF(Atletas!L479="Yinzhaophai A",110,IF(Atletas!L479="Tongbeiquan A",111,IF(Atletas!L479="Wudangquan A",112,IF(Atletas!L479="Outros Estilos A",113,IF(Atletas!L479="Chaquan B",114,IF(Atletas!L479="Emeiquan B",115,IF(Atletas!L479="Fanziquan B",116,IF(Atletas!L479="Huaquan B",117,IF(Atletas!L479="Hongquan B",118,IF(Atletas!L479="Paochui B",119,IF(Atletas!L479="Piguaquan B",120,IF(Atletas!L479="Shaolinquan B",121,IF(Atletas!L479="Tanglangquan B",122,IF(Atletas!L479="Yinzhaophai B",123,IF(Atletas!L479="Tongbeiquan B",124,IF(Atletas!L479="Wudangquan B",125,IF(Atletas!L479="Outros Estilos B",126,IF(Atletas!L479="Chaquan C",127,IF(Atletas!L479="Emeiquan C",128,IF(Atletas!L479="Fanziquan C",129,IF(Atletas!L479="Huaquan C",130,IF(Atletas!L479="Hongquan C",131,IF(Atletas!L479="Paochui C",132,IF(Atletas!L479="Piguaquan C",133,IF(Atletas!L479="Shaolinquan C",134,IF(Atletas!L479="Tanglangquan C",135,IF(Atletas!L479="Yinzhaophai C",136,IF(Atletas!L479="Tongbeiquan C",137,IF(Atletas!L479="Wudangquan C",138,IF(Atletas!L479="Outros Estilos C",139,0))))))))))))))))))))))))))))))))))))))))))</f>
        <v/>
      </c>
      <c r="BM483" s="52" t="str">
        <f>IF(Atletas!L479="","",IF(Atletas!W479&lt;&gt;"",10000,0)+(IF(Atletas!B479="Feminino",1000,IF(Atletas!B479="Masculino",2000,""))+(IF(Atletas!L479="Chaquan D",140,IF(Atletas!L479="Emeiquan D",141,IF(Atletas!L479="Fanziquan D",142,IF(Atletas!L479="Huaquan D",143,IF(Atletas!L479="Hongquan D",144,IF(Atletas!L479="Paochui D",145,IF(Atletas!L479="Piguaquan D",146,IF(Atletas!L479="Shaolinquan D",147,IF(Atletas!L479="Tanglangquan D",148,IF(Atletas!L479="Yinzhaophai D",149,IF(Atletas!L479="Tongbeiquan D",150,IF(Atletas!L479="Wudangquan D",151,IF(Atletas!L479="Outros Estilos D",152,IF(Atletas!L479="Chaquan E",153,IF(Atletas!L479="Emeiquan E",154,IF(Atletas!L479="Fanziquan E",155,IF(Atletas!L479="Huaquan E",156,IF(Atletas!L479="Hongquan E",157,IF(Atletas!L479="Paochui E",158,IF(Atletas!L479="Piguaquan E",159,IF(Atletas!L479="Shaolinquan E",160,IF(Atletas!L479="Tanglangquan E",161,IF(Atletas!L479="Yinzhaophai E",162,IF(Atletas!L479="Tongbeiquan E",163,IF(Atletas!L479="Wudangquan E",164,IF(Atletas!L479="Outros Estilos E",165,IF(Atletas!L479="Chaquan F",166,IF(Atletas!L479="Emeiquan F",167,IF(Atletas!L479="Fanziquan F",168,IF(Atletas!L479="Huaquan F",169,IF(Atletas!L479="Hongquan F",170,IF(Atletas!L479="Paochui F",171,IF(Atletas!L479="Piguaquan F",172,IF(Atletas!L479="Shaolinquan F",173,IF(Atletas!L479="Tanglangquan F",174,IF(Atletas!L479="Yinzhaophai F",175,IF(Atletas!L479="Tongbeiquan F",176,IF(Atletas!L479="Wudangquan F",177,IF(Atletas!L479="Outros Estilos F",178,0))))))))))))))))))))))))))))))))))))))))))</f>
        <v/>
      </c>
      <c r="BN483" s="52" t="str">
        <f>IF(Atletas!M479="","",IF(Atletas!W479&lt;&gt;"",10000,0)+(IF(Atletas!B479="Feminino",1000,IF(Atletas!B479="Masculino",2000,""))+(IF(Atletas!M479="Ditangquan A",201,IF(Atletas!M479="Houquan A",202,IF(Atletas!M479="Zuiquan A",203,IF(Atletas!M479="Ditangquan B",204,IF(Atletas!M479="Houquan B",205,IF(Atletas!M479="Zuiquan B",206,IF(Atletas!M479="Ditangquan C",207,IF(Atletas!M479="Houquan C",208,IF(Atletas!M479="Zuiquan C",209,IF(Atletas!M479="Ditangquan D",210,IF(Atletas!M479="Houquan D",211,IF(Atletas!M479="Zuiquan D",212,IF(Atletas!M479="Ditangquan E",213,IF(Atletas!M479="Houquan E",214,IF(Atletas!M479="Zuiquan E",215,IF(Atletas!M479="Ditangquan F",216,IF(Atletas!M479="Houquan F",217,IF(Atletas!M479="Zuiquan F",218,"")))))))))))))))))))))</f>
        <v/>
      </c>
      <c r="BO483" s="52" t="str">
        <f>IF(Atletas!N479="","",IF(Atletas!W479&lt;&gt;"",10000,0)+IF(Atletas!B479="Feminino",1000,IF(Atletas!B479="Masculino",2000,""))+IF(Atletas!N479="Yang A",301,IF(Atletas!N479="Chen A",30,IF(Atletas!N479="Sun A",303,IF(Atletas!N479="Wu A",304,IF(Atletas!N479="Wu-Hao A",305,IF(Atletas!N479="Outro Taijiquan A",306,IF(Atletas!N479="Yang B",307,IF(Atletas!N479="Chen B",308,IF(Atletas!N479="Sun B",309,IF(Atletas!N479="Wu B",310,IF(Atletas!N479="Wu-Hao B",311,IF(Atletas!N479="Outro Taijiquan B",312,IF(Atletas!N479="Yang C",313,IF(Atletas!N479="Chen C",314,IF(Atletas!N479="Sun C",315,IF(Atletas!N479="Wu C",316,IF(Atletas!N479="Wu-Hao C",317,IF(Atletas!N479="Outro Taijiquan C",318,IF(Atletas!N479="Yang D",319,IF(Atletas!N479="Chen D",320,IF(Atletas!N479="Sun D",321,IF(Atletas!N479="Wu D",322,IF(Atletas!N479="Wu-Hao D",323,IF(Atletas!N479="Outro Taijiquan D",324,IF(Atletas!N479="Yang E",325,IF(Atletas!N479="Chen E",326,IF(Atletas!N479="Sun E",327,IF(Atletas!N479="Wu E",328,IF(Atletas!N479="Wu-Hao E",329,IF(Atletas!N479="Outro Taijiquan E",330,IF(Atletas!N479="Yang F",331,IF(Atletas!N479="Chen F",332,IF(Atletas!N479="Sun F",333,IF(Atletas!N479="Wu F",334,IF(Atletas!N479="Wu-Hao F",335,IF(Atletas!N479="Outro Taijiquan F",336,"")))))))))))))))))))))))))))))))))))))</f>
        <v/>
      </c>
      <c r="BP483" s="52" t="str">
        <f>IF(Atletas!O479="","",IF(Atletas!W479&lt;&gt;"",10000,0)+IF(Atletas!B479="Feminino",1000,IF(Atletas!B479="Masculino",2000,""))+IF(OR(Atletas!O479="Yang 26 A",Atletas!O479="Yang 40 A"),401,IF(OR(Atletas!O479="Chen 25 A",Atletas!O479="Chen 36 A",Atletas!O479="Chen 56 A"),402,IF(Atletas!O479="Sun 73 A",403,IF(Atletas!O479="Wu 45 A",404,IF(Atletas!O479="Wu-Hao 46 A",405,IF(OR(Atletas!O479="Taijiquan 16 A",Atletas!O479="Taijiquan 24 A",Atletas!O479="Taijiquan 32 A",Atletas!O479="Taijiquan 42 A"),406,IF(OR(Atletas!O479="Yang 26 B",Atletas!O479="Yang 40 B"),407,IF(OR(Atletas!O479="Chen 25 B",Atletas!O479="Chen 36 B",Atletas!O479="Chen 56 B"),408,IF(Atletas!O479="Sun 73 B",409,IF(Atletas!O479="Wu 45 B",410,IF(Atletas!O479="Wu-Hao 46 B",411,IF(OR(Atletas!O479="Taijiquan 16 B",Atletas!O479="Taijiquan 24 B",Atletas!O479="Taijiquan 32 B",Atletas!O479="Taijiquan 42 B"),412,IF(OR(Atletas!O479="Yang 26 C",Atletas!O479="Yang 40 C"),413,IF(OR(Atletas!O479="Chen 25 C",Atletas!O479="Chen 36 C",Atletas!O479="Chen 56 C"),414,IF(Atletas!O479="Sun 73 C",415,IF(Atletas!O479="Wu 45 C",416,IF(Atletas!O479="Wu-Hao 46 C",417,IF(OR(Atletas!O479="Taijiquan 16 C",Atletas!O479="Taijiquan 24 C",Atletas!O479="Taijiquan 32 C",Atletas!O479="Taijiquan 42 C"),418,0)))))))))))))))))))</f>
        <v/>
      </c>
      <c r="BQ483" s="52" t="str">
        <f>IF(Atletas!O479="","",IF(Atletas!W479&lt;&gt;"",10000,0)+IF(Atletas!B479="Feminino",1000,IF(Atletas!B479="Masculino",2000,""))+IF(OR(Atletas!O479="Yang 26 D",Atletas!O479="Yang 40 D"),419,IF(OR(Atletas!O479="Chen 25 D",Atletas!O479="Chen 36 D",Atletas!O479="Chen 56 D"),420,IF(Atletas!O479="Sun 73 D",421,IF(Atletas!O479="Wu 45 D",422,IF(Atletas!O479="Wu-Hao 46 D",423,IF(OR(Atletas!O479="Taijiquan 16 D",Atletas!O479="Taijiquan 24 D",Atletas!O479="Taijiquan 32 D",Atletas!O479="Taijiquan 42 D"),424,IF(OR(Atletas!O479="Yang 26 E",Atletas!O479="Yang 40 E"),425,IF(OR(Atletas!O479="Chen 25 E",Atletas!O479="Chen 36 E",Atletas!O479="Chen 56 E"),426,IF(Atletas!O479="Sun 73 E",427,IF(Atletas!O479="Wu 45 E",428,IF(Atletas!O479="Wu-Hao 46 E",429,IF(OR(Atletas!O479="Taijiquan 16 E",Atletas!O479="Taijiquan 24 E",Atletas!O479="Taijiquan 32 E",Atletas!O479="Taijiquan 42 E"),430,IF(OR(Atletas!O479="Yang 26 F",Atletas!O479="Yang 40 F"),431,IF(OR(Atletas!O479="Chen 25 F",Atletas!O479="Chen 36 F",Atletas!O479="Chen 56 F"),432,IF(Atletas!O479="Sun 73 F",433,IF(Atletas!O479="Wu 45 F",434,IF(Atletas!O479="Wu-Hao 46 F",435,IF(OR(Atletas!O479="Taijiquan 16 F",Atletas!O479="Taijiquan 24 F",Atletas!O479="Taijiquan 32 F",Atletas!O479="Taijiquan 42 F"),436,0)))))))))))))))))))</f>
        <v/>
      </c>
      <c r="BR483" s="52" t="str">
        <f>IF(Atletas!P479="","",IF(Atletas!W479&lt;&gt;"",10000,0)+IF(Atletas!B479="Feminino",1000,IF(Atletas!B479="Masculino",2000,""))+IF(Atletas!P479="Xingyiquan A",501,IF(Atletas!P479="Baguazhang A",502,IF(Atletas!P479="Outro Estilo Interno A",503,IF(Atletas!P479="Xingyiquan B",504,IF(Atletas!P479="Baguazhang B",505,IF(Atletas!P479="Outro Estilo Interno B",506,IF(Atletas!P479="Xingyiquan C",507,IF(Atletas!P479="Baguazhang C",508,IF(Atletas!P479="Outro Estilo Interno C",509,IF(Atletas!P479="Xingyiquan D",510,IF(Atletas!P479="Baguazhang D",511,IF(Atletas!P479="Outro Estilo Interno D",512,IF(Atletas!P479="Xingyiquan E",513,IF(Atletas!P479="Baguazhang E",514,IF(Atletas!P479="Outro Estilo Interno E",515,IF(Atletas!P479="Xingyiquan F",516,IF(Atletas!P479="Baguazhang F",517,IF(Atletas!P479="Outro Estilo Interno F",518, "")))))))))))))))))))</f>
        <v/>
      </c>
      <c r="BS483" s="52" t="str">
        <f>IF(Atletas!Q479="","",IF(Atletas!W479&lt;&gt;"",10000,0)+IF(Atletas!B479="Feminino",1000,IF(Atletas!B479="Masculino",2000,""))+IF(Atletas!Q479="Dao A",601,IF(Atletas!Q479="Jian A",602,IF(Atletas!Q479="Bishou A",603,IF(Atletas!Q479="Shan A",604,IF(Atletas!Q479="Outra Arma Curta A",605,IF(Atletas!Q479="Dao B",606,IF(Atletas!Q479="Jian B",607,IF(Atletas!Q479="Bishou B",608,IF(Atletas!Q479="Shan B",609,IF(Atletas!Q479="Outra Arma Curta B",610,IF(Atletas!Q479="Dao C",611,IF(Atletas!Q479="Jian C",612,IF(Atletas!Q479="Bishou C",613,IF(Atletas!Q479="Shan C",614,IF(Atletas!Q479="Outra Arma Curta C",615,IF(Atletas!Q479="Dao D",616,IF(Atletas!Q479="Jian D",617,IF(Atletas!Q479="Bishou D",618,IF(Atletas!Q479="Shan D",619,IF(Atletas!Q479="Outra Arma Curta D",620,IF(Atletas!Q479="Dao E",621,IF(Atletas!Q479="Jian E",622,IF(Atletas!Q479="Bishou E",623,IF(Atletas!Q479="Shan E",624,IF(Atletas!Q479="Outra Arma Curta E",625,IF(Atletas!Q479="Dao F",626,IF(Atletas!Q479="Jian F",627,IF(Atletas!Q479="Bishou F",628,IF(Atletas!Q479="Shan F",629,IF(Atletas!Q479="Outra Arma Curta F",630, "")))))))))))))))))))))))))))))))</f>
        <v/>
      </c>
      <c r="BT483" s="52" t="str">
        <f>IF(Atletas!R479="","",IF(Atletas!W479&lt;&gt;"",10000,0)+IF(Atletas!B479="Feminino",1000,IF(Atletas!B479="Masculino",2000,""))+IF(Atletas!R479="Gun A",701,IF(Atletas!R479="Qiang A",702,IF(Atletas!R479="Pudao / Guandao A",703,IF(Atletas!R479="Outra Arma Longa A",704,IF(Atletas!R479="Gun B",705,IF(Atletas!R479="Qiang B",706,IF(Atletas!R479="Pudao / Guandao B",707,IF(Atletas!R479="Outra Arma Longa B",708,IF(Atletas!R479="Gun C",709,IF(Atletas!R479="Qiang C",710,IF(Atletas!R479="Pudao / Guandao C",711,IF(Atletas!R479="Outra Arma Longa C",712,IF(Atletas!R479="Gun D",713,IF(Atletas!R479="Qiang D",714,IF(Atletas!R479="Pudao / Guandao D",715,IF(Atletas!R479="Outra Arma Longa D",716,IF(Atletas!R479="Gun E",717,IF(Atletas!R479="Qiang E",718,IF(Atletas!R479="Pudao / Guandao E",719,IF(Atletas!R479="Outra Arma Longa E",720,IF(Atletas!R479="Gun F",721,IF(Atletas!R479="Qiang F",722,IF(Atletas!R479="Pudao / Guandao F",723,IF(Atletas!R479="Outra Arma Longa F",724,"")))))))))))))))))))))))))</f>
        <v/>
      </c>
      <c r="BU483" s="52" t="str">
        <f>IF(Atletas!S479="","",IF(Atletas!W479&lt;&gt;"",10000,0)+IF(Atletas!B479="Feminino",1000,IF(Atletas!B479="Masculino",2000,""))+IF(Atletas!S479="Arma Dupla A",801,IF(Atletas!S479="Arma Maleável A",802,IF(Atletas!S479="Arma Dupla B",803,IF(Atletas!S479="Arma Maleável B",804,IF(Atletas!S479="Arma Dupla C",805,IF(Atletas!S479="Arma Maleável C",806,IF(Atletas!S479="Arma Dupla D",807,IF(Atletas!S479="Arma Maleável D",808,IF(Atletas!S479="Arma Dupla E",809,IF(Atletas!S479="Arma Maleável E",810,IF(Atletas!S479="Arma Dupla F",811,IF(Atletas!S479="Arma Maleável F",812, "")))))))))))))</f>
        <v/>
      </c>
      <c r="BV483" s="52" t="str">
        <f>IF(Atletas!T479="","",IF(Atletas!W479&lt;&gt;"",10000,0)+IF(Atletas!B479="Feminino",1000,IF(Atletas!B479="Masculino",2000,""))+IF(Atletas!T479="Taijijian Yang A",901,IF(Atletas!T479="Taijijian Chen A",902,IF(Atletas!T479="Taijijian Sun A",903,IF(Atletas!T479="Taijijian Wu A",904,IF(Atletas!T479="Taijijian Wu-Hao A",905,IF(Atletas!T479="Taijijian 32 A",906,IF(Atletas!T479="Taijijian 42 A",907,IF(Atletas!T479="Taijijian Yang B",908,IF(Atletas!T479="Taijijian Chen B",909,IF(Atletas!T479="Taijijian Sun B",910,IF(Atletas!T479="Taijijian Wu B",911,IF(Atletas!T479="Taijijian Wu-Hao B",912,IF(Atletas!T479="Taijijian 32 B",913,IF(Atletas!T479="Taijijian 42 B",914,IF(Atletas!T479="Taijijian Yang C",915,IF(Atletas!T479="Taijijian Chen C",916,IF(Atletas!T479="Taijijian Sun C",917,IF(Atletas!T479="Taijijian Wu C",918,IF(Atletas!T479="Taijijian Wu-Hao C",919,IF(Atletas!T479="Taijijian 32 C",920,IF(Atletas!T479="Taijijian 42 C",921,IF(Atletas!T479="Taijijian Yang D",922,IF(Atletas!T479="Taijijian Chen D",923,IF(Atletas!T479="Taijijian Sun D",924,IF(Atletas!T479="Taijijian Wu D",925,IF(Atletas!T479="Taijijian Wu-Hao D",926,IF(Atletas!T479="Taijijian 32 D",927,IF(Atletas!T479="Taijijian 42 D",928,IF(Atletas!T479="Taijijian Yang E",929,IF(Atletas!T479="Taijijian Chen E",930,IF(Atletas!T479="Taijijian Sun E",931,IF(Atletas!T479="Taijijian Wu E",932,IF(Atletas!T479="Taijijian Wu-Hao E",933,IF(Atletas!T479="Taijijian 32 E",934,IF(Atletas!T479="Taijijian 42 E",935,IF(Atletas!T479="Taijijian Yang F",936,IF(Atletas!T479="Taijijian Chen F",937,IF(Atletas!T479="Taijijian Sun F",938,IF(Atletas!T479="Taijijian Wu F",939,IF(Atletas!T479="Taijijian Wu-Hao F",940,IF(Atletas!T479="Taijijian 32 F",941,IF(Atletas!T479="Taijijian 42 F",942,"")))))))))))))))))))))))))))))))))))))))))))</f>
        <v/>
      </c>
      <c r="BW483" s="52" t="str">
        <f>IF(Atletas!U479="","",IF(Atletas!W479&lt;&gt;"",10000,0)+IF(Atletas!B479="Feminino",1000,IF(Atletas!B479="Masculino",2000,""))+IF(Atletas!T479="Taijijian 42 F",942,IF(Atletas!U479="Taijidao A",943,IF(Atletas!U479="Taijishan A",944,IF(Atletas!U479="Taijiqiang A",945,IF(Atletas!U479="Taijidao B",946,IF(Atletas!U479="Taijishan B",947,IF(Atletas!U479="Taijiqiang B",948,IF(Atletas!U479="Taijidao C",949,IF(Atletas!U479="Taijishan C",950,IF(Atletas!U479="Taijiqiang C",951,IF(Atletas!U479="Taijidao D",952,IF(Atletas!U479="Taijishan D",953,IF(Atletas!U479="Taijiqiang D",954,IF(Atletas!U479="Taijidao E",955,IF(Atletas!U479="Taijishan E",956,IF(Atletas!U479="Taijiqiang E",957,IF(Atletas!U479="Taijidao F",958,IF(Atletas!U479="Taijishan F",959,IF(Atletas!U479="Taijiqiang F",960))))))))))))))))))))</f>
        <v/>
      </c>
      <c r="CF483" s="52" t="str">
        <f xml:space="preserve"> IF(Atletas!V479="","",IF(Atletas!V479="Duilian de Mãos AB - Equipe 1",1,IF(Atletas!V479="Duilian de Mãos AB - Equipe 2",2,IF(Atletas!V479="Duilian de Armas AB - Equipe 1",3,IF(Atletas!V479="Duilian de Armas AB - Equipe 2",4,IF(Atletas!V479="Duilian de Tuishou - Equipe 1",5,IF(Atletas!V479="Duilian de Tuishou - Equipe 2",6,IF(Atletas!V479="Grupo Externo AB - Equipe 1",7,IF(Atletas!V479="Grupo Externo AB - Equipe 2",8,IF(Atletas!V479="Grupo Interno AB - Equipe 1",9,IF(Atletas!V479="Grupo Interno AB - Equipe 2",10,IF(Atletas!V479="Duilian de Mãos CD - Equipe 1",11,IF(Atletas!V479="Duilian de Mãos CD - Equipe 2",12,IF(Atletas!V479="Duilian de Armas CD - Equipe 1",13,IF(Atletas!V479="Duilian de Armas CD - Equipe 2",14,IF(Atletas!V479="Duilian de Tuishou - Equipe 1",15,IF(Atletas!V479="Duilian de Tuishou - Equipe 2",16,IF(Atletas!V479="Grupo Externo CDEF - Equipe 1",17,IF(Atletas!V479="Grupo Externo CDEF - Equipe 2",18,IF(Atletas!V479="Grupo Interno CDEF - Equipe 1",19,IF(Atletas!V479="Grupo Interno CDEF - Equipe 2",20,IF(Atletas!V479="Duilian de Mãos EF - Equipe 1",21,IF(Atletas!V479="Duilian de Mãos EF - Equipe 2",22,IF(Atletas!V479="Duilian de Armas EF - Equipe 1",23,IF(Atletas!V479="Duilian de Armas EF - Equipe 2",24,IF(Atletas!V479="Duilian de Tuishou - Equipe 1",25,IF(Atletas!V479="Duilian de Tuishou - Equipe 2",26,"")))))))))))))))))))))))))))</f>
        <v/>
      </c>
    </row>
    <row r="484" spans="36:84">
      <c r="AJ484" s="46" t="str">
        <f>IF(Atletas!D480="","",IF(Atletas!B480="Feminino",100,IF(Atletas!B480="Masculino",200,""))+(IF(Atletas!D480="Infantil 39kg",1,IF(Atletas!D480="Infantil 42kg",2,IF(Atletas!D480="Infantil 45kg",3,IF(Atletas!D480="Infantil 48kg",4,IF(Atletas!D480="Infantil 52kg",5,IF(Atletas!D480="Infantil 56kg",6,IF(Atletas!D480="Infantil 60kg",7,IF(Atletas!D480="Juvenil 48kg",8,IF(Atletas!D480="Juvenil 52kg",9,IF(Atletas!D480="Juvenil 56kg",10,IF(Atletas!D480="Juvenil 60kg",11,IF(Atletas!D480="Juvenil 65kg",12,IF(Atletas!D480="Juvenil 70kg",13,IF(Atletas!D480="Juvenil 75kg",14,IF(Atletas!D480="Juvenil 80kg",15,IF(Atletas!D480="Adulto 48kg",16,IF(Atletas!D480="Adulto 52kg",17,IF(Atletas!D480="Adulto 56kg",18,IF(Atletas!D480="Adulto 60kg",19,IF(Atletas!D480="Adulto 65kg",20,IF(Atletas!D480="Adulto 70kg",21,IF(Atletas!D480="Adulto 75kg",22,IF(Atletas!D480="Adulto 80kg",23,IF(Atletas!D480="Adulto 85kg",24,IF(Atletas!D480="Adulto 90kg",25,IF(Atletas!D480="Adulto +90kg",26,""))))))))))))))))))))))))))))</f>
        <v/>
      </c>
      <c r="AO484" s="10" t="str">
        <f>IF(Atletas!E480="","",IF(Atletas!B480="Feminino",100,IF(Atletas!B480="Masculino",200,""))+(IF(Atletas!E480="Juvenil 44kg",1,IF(Atletas!E480="Juvenil 48kg",2,IF(Atletas!E480="Juvenil 52kg",3,IF(Atletas!E480="Juvenil 56kg",4,IF(Atletas!E480="Juvenil 60kg",5,IF(Atletas!E480="Juvenil 65kg",6,IF(Atletas!E480="Juvenil 70kg",7,IF(Atletas!E480="Juvenil 75kg",8,IF(Atletas!E480="Juvenil 82kg",9,IF(Atletas!E480="Juvenil 90kg",10,IF(Atletas!E480="Juvenil 100kg",11,IF(Atletas!E480="Adulto 48kg",12,IF(Atletas!E480="Adulto 52kg",13,IF(Atletas!E480="Adulto 56kg",14,IF(Atletas!E480="Adulto 60kg",15,IF(Atletas!E480="Adulto 65kg",16,IF(Atletas!E480="Adulto 70kg",17,IF(Atletas!E480="Adulto 75kg",18,IF(Atletas!E480="Adulto 82kg",19,IF(Atletas!E480="Adulto 90kg",20,IF(Atletas!E480="Adulto 100kg",21,IF(Atletas!E480="Adulto +100kg",22,""))))))))))))))))))))))))</f>
        <v/>
      </c>
      <c r="AT484" s="10" t="str">
        <f>IF(Atletas!F480="","",IF(Atletas!B480="Feminino",100,IF(Atletas!B480="Masculino",200,""))+(IF(Atletas!F480="Adulto 48kg",1,IF(Atletas!F480="Adulto 56kg",2,IF(Atletas!F480="Adulto 65kg",3,IF(Atletas!F480="Adulto 75kg",4,IF(Atletas!F480="Adulto +75kg",5,IF(Atletas!F480="Adulto 52kg",6,IF(Atletas!F480="Adulto 60kg",7,IF(Atletas!F480="Adulto 70kg",8,IF(Atletas!F480="Adulto 80kg",9,IF(Atletas!F480="Adulto 90kg",10,IF(Atletas!F480="Adulto +90kg",11,"")))))))))))))</f>
        <v/>
      </c>
      <c r="AY484" s="46" t="str">
        <f>IF(Atletas!G480="","",IF(Atletas!B480="Feminino",100,IF(Atletas!B480="Masculino",200,""))+(IF(Atletas!G480="Changquan Mirim",1,IF(Atletas!G480="Nanquan Mirim",2,IF(Atletas!G480="Taijiquan Mirim",3,IF(Atletas!G480="Changquan Grupo C",4,IF(Atletas!G480="Nanquan Grupo C",5,IF(Atletas!G480="Taijiquan Grupo C",6,IF(Atletas!G480="Changquan Grupo B",7,IF(Atletas!G480="Nanquan Grupo B",8,IF(Atletas!G480="Taijiquan Grupo B",9,IF(Atletas!G480="Changquan Grupo A",10,IF(Atletas!G480="Nanquan Grupo A",11,IF(Atletas!G480="Taijiquan Grupo A",12,IF(Atletas!G480="Changquan Opcional",13,IF(Atletas!G480="Nanquan Opcional",14,IF(Atletas!G480="Taijiquan Opcional",15,IF(Atletas!G480="Changquan Adulto",16,IF(Atletas!G480="Nanquan Adulto",17,IF(Atletas!G480="Taijiquan Adulto",18,""))))))))))))))))))))</f>
        <v/>
      </c>
      <c r="AZ484" s="46" t="str">
        <f>IF(Atletas!H480="","",IF(Atletas!B480="Feminino",100,IF(Atletas!B480="Masculino",200,""))+(IF(Atletas!H480="Daoshu Mirim",19,IF(Atletas!H480="Jianshu Mirim",20,IF(Atletas!H480="Nandao Mirim",21,IF(Atletas!H480="Taijijian Mirim",22,IF(Atletas!H480="Daoshu Grupo C",23,IF(Atletas!H480="Jianshu Grupo C",24,IF(Atletas!H480="Nandao Grupo C",25,IF(Atletas!H480="Taijijian Grupo C",26,IF(Atletas!H480="Daoshu Grupo B",27,IF(Atletas!H480="Jianshu Grupo B",28,IF(Atletas!H480="Nandao Grupo B",29,IF(Atletas!H480="Taijijian Grupo B",30,IF(Atletas!H480="Daoshu Grupo A",31,IF(Atletas!H480="Jianshu Grupo A",32,IF(Atletas!H480="Nandao Grupo A",33,IF(Atletas!H480="Taijijian Grupo A",34,IF(Atletas!H480="Daoshu Opcional",35,IF(Atletas!H480="Jianshu Opcional",36,IF(Atletas!H480="Nandao Opcional",37,IF(Atletas!H480="Taijijian Opcional",38,IF(Atletas!H480="Daoshu Adulto",39,IF(Atletas!H480="Jianshu Adulto",40,IF(Atletas!H480="Nandao Adulto",41,IF(Atletas!H480="Taijijian Adulto",42,""))))))))))))))))))))))))))</f>
        <v/>
      </c>
      <c r="BA484" s="46" t="str">
        <f>IF(Atletas!I480="","",IF(Atletas!B480="Feminino",100,IF(Atletas!B480="Masculino",200,""))+(IF(Atletas!I480="Gunshu Mirim",43,IF(Atletas!I480="Qiangshu Mirim",44,IF(Atletas!I480="Nangun Mirim",45,IF(Atletas!I480="Gunshu Grupo C",46,IF(Atletas!I480="Qiangshu Grupo C",47,IF(Atletas!I480="Nangun Grupo C",48,IF(Atletas!I480="Gunshu Grupo B",49,IF(Atletas!I480="Qiangshu Grupo B",50,IF(Atletas!I480="Nangun Grupo B",51,IF(Atletas!I480="Gunshu Grupo A",52,IF(Atletas!I480="Qiangshu Grupo A",53,IF(Atletas!I480="Nangun Grupo A",54,IF(Atletas!I480="Gunshu Opcional",55,IF(Atletas!I480="Qiangshu Opcional",56,IF(Atletas!I480="Nangun Opcional",57,IF(Atletas!I480="Gunshu Adulto",58,IF(Atletas!I480="Qiangshu Adulto",59,IF(Atletas!I480="Nangun Adulto",60,""))))))))))))))))))))</f>
        <v/>
      </c>
      <c r="BF484" s="52" t="str">
        <f>IF(Atletas!J480="","",IF(Atletas!B480="Feminino",100,IF(Atletas!B480="Masculino",200,""))+(IF(Atletas!J480="Equipe 1 Grupo B",1,IF(Atletas!J480="Equipe 2 Grupo B",2,IF(Atletas!J480="Equipe 1 Grupo A",3,IF(Atletas!J480="Equipe 2 Grupo A",4,IF(Atletas!J480="Equipe 1 Adulto",5,IF(Atletas!J480="Equipe 2 Adulto",6,""))))))))</f>
        <v/>
      </c>
      <c r="BK484" s="52" t="str">
        <f>IF(Atletas!K480="","",IF(Atletas!W480&lt;&gt;"",10000,0)+(IF(Atletas!B480="Feminino",1000,IF(Atletas!B480="Masculino",2000,""))+IF(Atletas!K480="Choylayfut A",1,IF(Atletas!K480="Hunggar A",2,IF(Atletas!K480="Wuzuquan A",3,IF(Atletas!K480="Wingchun A",4,IF(Atletas!K480="Outra Mão de Sul A",5,IF(Atletas!K480="Choylayfut B",6,IF(Atletas!K480="Hunggar B",7,IF(Atletas!K480="Wuzuquan B",8,IF(Atletas!K480="Wingchun B",9,IF(Atletas!K480="Outra Mão de Sul B",10,IF(Atletas!K480="Choylayfut C",11,IF(Atletas!K480="Hunggar C",12,IF(Atletas!K480="Wuzuquan C",13,IF(Atletas!K480="Wingchun C",14,IF(Atletas!K480="Outra Mão de Sul C",15,IF(Atletas!K480="Choylayfut D",16,IF(Atletas!K480="Hunggar D",17,IF(Atletas!K480="Wuzuquan D",18,IF(Atletas!K480="Wingchun D",19,IF(Atletas!K480="Outra Mão de Sul D",20,IF(Atletas!K480="Choylayfut E",21,IF(Atletas!K480="Hunggar E",22,IF(Atletas!K480="Wuzuquan E",23,IF(Atletas!K480="Wingchun E",24,IF(Atletas!K480="Outra Mão de Sul E",25,IF(Atletas!K480="Choylayfut F",26,IF(Atletas!K480="Hunggar F",27,IF(Atletas!K480="Wuzuquan F",28,IF(Atletas!K480="Wingchun F",29,IF(Atletas!K480="Outra Mão de Sul F",30,""))))))))))))))))))))))))))))))))</f>
        <v/>
      </c>
      <c r="BL484" s="52" t="str">
        <f>IF(Atletas!L480="","",IF(Atletas!W480&lt;&gt;"",10000,0)+(IF(Atletas!B480="Feminino",1000,IF(Atletas!B480="Masculino",2000,""))+(IF(Atletas!L480="Chaquan A",101,IF(Atletas!L480="Emeiquan A",102,IF(Atletas!L480="Fanziquan A",103,IF(Atletas!L480="Huaquan A",104,IF(Atletas!L480="Hongquan A",105,IF(Atletas!L480="Paochui A",106,IF(Atletas!L480="Piguaquan A",107,IF(Atletas!L480="Shaolinquan A",108,IF(Atletas!L480="Tanglangquan A",109,IF(Atletas!L480="Yinzhaophai A",110,IF(Atletas!L480="Tongbeiquan A",111,IF(Atletas!L480="Wudangquan A",112,IF(Atletas!L480="Outros Estilos A",113,IF(Atletas!L480="Chaquan B",114,IF(Atletas!L480="Emeiquan B",115,IF(Atletas!L480="Fanziquan B",116,IF(Atletas!L480="Huaquan B",117,IF(Atletas!L480="Hongquan B",118,IF(Atletas!L480="Paochui B",119,IF(Atletas!L480="Piguaquan B",120,IF(Atletas!L480="Shaolinquan B",121,IF(Atletas!L480="Tanglangquan B",122,IF(Atletas!L480="Yinzhaophai B",123,IF(Atletas!L480="Tongbeiquan B",124,IF(Atletas!L480="Wudangquan B",125,IF(Atletas!L480="Outros Estilos B",126,IF(Atletas!L480="Chaquan C",127,IF(Atletas!L480="Emeiquan C",128,IF(Atletas!L480="Fanziquan C",129,IF(Atletas!L480="Huaquan C",130,IF(Atletas!L480="Hongquan C",131,IF(Atletas!L480="Paochui C",132,IF(Atletas!L480="Piguaquan C",133,IF(Atletas!L480="Shaolinquan C",134,IF(Atletas!L480="Tanglangquan C",135,IF(Atletas!L480="Yinzhaophai C",136,IF(Atletas!L480="Tongbeiquan C",137,IF(Atletas!L480="Wudangquan C",138,IF(Atletas!L480="Outros Estilos C",139,0))))))))))))))))))))))))))))))))))))))))))</f>
        <v/>
      </c>
      <c r="BM484" s="52" t="str">
        <f>IF(Atletas!L480="","",IF(Atletas!W480&lt;&gt;"",10000,0)+(IF(Atletas!B480="Feminino",1000,IF(Atletas!B480="Masculino",2000,""))+(IF(Atletas!L480="Chaquan D",140,IF(Atletas!L480="Emeiquan D",141,IF(Atletas!L480="Fanziquan D",142,IF(Atletas!L480="Huaquan D",143,IF(Atletas!L480="Hongquan D",144,IF(Atletas!L480="Paochui D",145,IF(Atletas!L480="Piguaquan D",146,IF(Atletas!L480="Shaolinquan D",147,IF(Atletas!L480="Tanglangquan D",148,IF(Atletas!L480="Yinzhaophai D",149,IF(Atletas!L480="Tongbeiquan D",150,IF(Atletas!L480="Wudangquan D",151,IF(Atletas!L480="Outros Estilos D",152,IF(Atletas!L480="Chaquan E",153,IF(Atletas!L480="Emeiquan E",154,IF(Atletas!L480="Fanziquan E",155,IF(Atletas!L480="Huaquan E",156,IF(Atletas!L480="Hongquan E",157,IF(Atletas!L480="Paochui E",158,IF(Atletas!L480="Piguaquan E",159,IF(Atletas!L480="Shaolinquan E",160,IF(Atletas!L480="Tanglangquan E",161,IF(Atletas!L480="Yinzhaophai E",162,IF(Atletas!L480="Tongbeiquan E",163,IF(Atletas!L480="Wudangquan E",164,IF(Atletas!L480="Outros Estilos E",165,IF(Atletas!L480="Chaquan F",166,IF(Atletas!L480="Emeiquan F",167,IF(Atletas!L480="Fanziquan F",168,IF(Atletas!L480="Huaquan F",169,IF(Atletas!L480="Hongquan F",170,IF(Atletas!L480="Paochui F",171,IF(Atletas!L480="Piguaquan F",172,IF(Atletas!L480="Shaolinquan F",173,IF(Atletas!L480="Tanglangquan F",174,IF(Atletas!L480="Yinzhaophai F",175,IF(Atletas!L480="Tongbeiquan F",176,IF(Atletas!L480="Wudangquan F",177,IF(Atletas!L480="Outros Estilos F",178,0))))))))))))))))))))))))))))))))))))))))))</f>
        <v/>
      </c>
      <c r="BN484" s="52" t="str">
        <f>IF(Atletas!M480="","",IF(Atletas!W480&lt;&gt;"",10000,0)+(IF(Atletas!B480="Feminino",1000,IF(Atletas!B480="Masculino",2000,""))+(IF(Atletas!M480="Ditangquan A",201,IF(Atletas!M480="Houquan A",202,IF(Atletas!M480="Zuiquan A",203,IF(Atletas!M480="Ditangquan B",204,IF(Atletas!M480="Houquan B",205,IF(Atletas!M480="Zuiquan B",206,IF(Atletas!M480="Ditangquan C",207,IF(Atletas!M480="Houquan C",208,IF(Atletas!M480="Zuiquan C",209,IF(Atletas!M480="Ditangquan D",210,IF(Atletas!M480="Houquan D",211,IF(Atletas!M480="Zuiquan D",212,IF(Atletas!M480="Ditangquan E",213,IF(Atletas!M480="Houquan E",214,IF(Atletas!M480="Zuiquan E",215,IF(Atletas!M480="Ditangquan F",216,IF(Atletas!M480="Houquan F",217,IF(Atletas!M480="Zuiquan F",218,"")))))))))))))))))))))</f>
        <v/>
      </c>
      <c r="BO484" s="52" t="str">
        <f>IF(Atletas!N480="","",IF(Atletas!W480&lt;&gt;"",10000,0)+IF(Atletas!B480="Feminino",1000,IF(Atletas!B480="Masculino",2000,""))+IF(Atletas!N480="Yang A",301,IF(Atletas!N480="Chen A",30,IF(Atletas!N480="Sun A",303,IF(Atletas!N480="Wu A",304,IF(Atletas!N480="Wu-Hao A",305,IF(Atletas!N480="Outro Taijiquan A",306,IF(Atletas!N480="Yang B",307,IF(Atletas!N480="Chen B",308,IF(Atletas!N480="Sun B",309,IF(Atletas!N480="Wu B",310,IF(Atletas!N480="Wu-Hao B",311,IF(Atletas!N480="Outro Taijiquan B",312,IF(Atletas!N480="Yang C",313,IF(Atletas!N480="Chen C",314,IF(Atletas!N480="Sun C",315,IF(Atletas!N480="Wu C",316,IF(Atletas!N480="Wu-Hao C",317,IF(Atletas!N480="Outro Taijiquan C",318,IF(Atletas!N480="Yang D",319,IF(Atletas!N480="Chen D",320,IF(Atletas!N480="Sun D",321,IF(Atletas!N480="Wu D",322,IF(Atletas!N480="Wu-Hao D",323,IF(Atletas!N480="Outro Taijiquan D",324,IF(Atletas!N480="Yang E",325,IF(Atletas!N480="Chen E",326,IF(Atletas!N480="Sun E",327,IF(Atletas!N480="Wu E",328,IF(Atletas!N480="Wu-Hao E",329,IF(Atletas!N480="Outro Taijiquan E",330,IF(Atletas!N480="Yang F",331,IF(Atletas!N480="Chen F",332,IF(Atletas!N480="Sun F",333,IF(Atletas!N480="Wu F",334,IF(Atletas!N480="Wu-Hao F",335,IF(Atletas!N480="Outro Taijiquan F",336,"")))))))))))))))))))))))))))))))))))))</f>
        <v/>
      </c>
      <c r="BP484" s="52" t="str">
        <f>IF(Atletas!O480="","",IF(Atletas!W480&lt;&gt;"",10000,0)+IF(Atletas!B480="Feminino",1000,IF(Atletas!B480="Masculino",2000,""))+IF(OR(Atletas!O480="Yang 26 A",Atletas!O480="Yang 40 A"),401,IF(OR(Atletas!O480="Chen 25 A",Atletas!O480="Chen 36 A",Atletas!O480="Chen 56 A"),402,IF(Atletas!O480="Sun 73 A",403,IF(Atletas!O480="Wu 45 A",404,IF(Atletas!O480="Wu-Hao 46 A",405,IF(OR(Atletas!O480="Taijiquan 16 A",Atletas!O480="Taijiquan 24 A",Atletas!O480="Taijiquan 32 A",Atletas!O480="Taijiquan 42 A"),406,IF(OR(Atletas!O480="Yang 26 B",Atletas!O480="Yang 40 B"),407,IF(OR(Atletas!O480="Chen 25 B",Atletas!O480="Chen 36 B",Atletas!O480="Chen 56 B"),408,IF(Atletas!O480="Sun 73 B",409,IF(Atletas!O480="Wu 45 B",410,IF(Atletas!O480="Wu-Hao 46 B",411,IF(OR(Atletas!O480="Taijiquan 16 B",Atletas!O480="Taijiquan 24 B",Atletas!O480="Taijiquan 32 B",Atletas!O480="Taijiquan 42 B"),412,IF(OR(Atletas!O480="Yang 26 C",Atletas!O480="Yang 40 C"),413,IF(OR(Atletas!O480="Chen 25 C",Atletas!O480="Chen 36 C",Atletas!O480="Chen 56 C"),414,IF(Atletas!O480="Sun 73 C",415,IF(Atletas!O480="Wu 45 C",416,IF(Atletas!O480="Wu-Hao 46 C",417,IF(OR(Atletas!O480="Taijiquan 16 C",Atletas!O480="Taijiquan 24 C",Atletas!O480="Taijiquan 32 C",Atletas!O480="Taijiquan 42 C"),418,0)))))))))))))))))))</f>
        <v/>
      </c>
      <c r="BQ484" s="52" t="str">
        <f>IF(Atletas!O480="","",IF(Atletas!W480&lt;&gt;"",10000,0)+IF(Atletas!B480="Feminino",1000,IF(Atletas!B480="Masculino",2000,""))+IF(OR(Atletas!O480="Yang 26 D",Atletas!O480="Yang 40 D"),419,IF(OR(Atletas!O480="Chen 25 D",Atletas!O480="Chen 36 D",Atletas!O480="Chen 56 D"),420,IF(Atletas!O480="Sun 73 D",421,IF(Atletas!O480="Wu 45 D",422,IF(Atletas!O480="Wu-Hao 46 D",423,IF(OR(Atletas!O480="Taijiquan 16 D",Atletas!O480="Taijiquan 24 D",Atletas!O480="Taijiquan 32 D",Atletas!O480="Taijiquan 42 D"),424,IF(OR(Atletas!O480="Yang 26 E",Atletas!O480="Yang 40 E"),425,IF(OR(Atletas!O480="Chen 25 E",Atletas!O480="Chen 36 E",Atletas!O480="Chen 56 E"),426,IF(Atletas!O480="Sun 73 E",427,IF(Atletas!O480="Wu 45 E",428,IF(Atletas!O480="Wu-Hao 46 E",429,IF(OR(Atletas!O480="Taijiquan 16 E",Atletas!O480="Taijiquan 24 E",Atletas!O480="Taijiquan 32 E",Atletas!O480="Taijiquan 42 E"),430,IF(OR(Atletas!O480="Yang 26 F",Atletas!O480="Yang 40 F"),431,IF(OR(Atletas!O480="Chen 25 F",Atletas!O480="Chen 36 F",Atletas!O480="Chen 56 F"),432,IF(Atletas!O480="Sun 73 F",433,IF(Atletas!O480="Wu 45 F",434,IF(Atletas!O480="Wu-Hao 46 F",435,IF(OR(Atletas!O480="Taijiquan 16 F",Atletas!O480="Taijiquan 24 F",Atletas!O480="Taijiquan 32 F",Atletas!O480="Taijiquan 42 F"),436,0)))))))))))))))))))</f>
        <v/>
      </c>
      <c r="BR484" s="52" t="str">
        <f>IF(Atletas!P480="","",IF(Atletas!W480&lt;&gt;"",10000,0)+IF(Atletas!B480="Feminino",1000,IF(Atletas!B480="Masculino",2000,""))+IF(Atletas!P480="Xingyiquan A",501,IF(Atletas!P480="Baguazhang A",502,IF(Atletas!P480="Outro Estilo Interno A",503,IF(Atletas!P480="Xingyiquan B",504,IF(Atletas!P480="Baguazhang B",505,IF(Atletas!P480="Outro Estilo Interno B",506,IF(Atletas!P480="Xingyiquan C",507,IF(Atletas!P480="Baguazhang C",508,IF(Atletas!P480="Outro Estilo Interno C",509,IF(Atletas!P480="Xingyiquan D",510,IF(Atletas!P480="Baguazhang D",511,IF(Atletas!P480="Outro Estilo Interno D",512,IF(Atletas!P480="Xingyiquan E",513,IF(Atletas!P480="Baguazhang E",514,IF(Atletas!P480="Outro Estilo Interno E",515,IF(Atletas!P480="Xingyiquan F",516,IF(Atletas!P480="Baguazhang F",517,IF(Atletas!P480="Outro Estilo Interno F",518, "")))))))))))))))))))</f>
        <v/>
      </c>
      <c r="BS484" s="52" t="str">
        <f>IF(Atletas!Q480="","",IF(Atletas!W480&lt;&gt;"",10000,0)+IF(Atletas!B480="Feminino",1000,IF(Atletas!B480="Masculino",2000,""))+IF(Atletas!Q480="Dao A",601,IF(Atletas!Q480="Jian A",602,IF(Atletas!Q480="Bishou A",603,IF(Atletas!Q480="Shan A",604,IF(Atletas!Q480="Outra Arma Curta A",605,IF(Atletas!Q480="Dao B",606,IF(Atletas!Q480="Jian B",607,IF(Atletas!Q480="Bishou B",608,IF(Atletas!Q480="Shan B",609,IF(Atletas!Q480="Outra Arma Curta B",610,IF(Atletas!Q480="Dao C",611,IF(Atletas!Q480="Jian C",612,IF(Atletas!Q480="Bishou C",613,IF(Atletas!Q480="Shan C",614,IF(Atletas!Q480="Outra Arma Curta C",615,IF(Atletas!Q480="Dao D",616,IF(Atletas!Q480="Jian D",617,IF(Atletas!Q480="Bishou D",618,IF(Atletas!Q480="Shan D",619,IF(Atletas!Q480="Outra Arma Curta D",620,IF(Atletas!Q480="Dao E",621,IF(Atletas!Q480="Jian E",622,IF(Atletas!Q480="Bishou E",623,IF(Atletas!Q480="Shan E",624,IF(Atletas!Q480="Outra Arma Curta E",625,IF(Atletas!Q480="Dao F",626,IF(Atletas!Q480="Jian F",627,IF(Atletas!Q480="Bishou F",628,IF(Atletas!Q480="Shan F",629,IF(Atletas!Q480="Outra Arma Curta F",630, "")))))))))))))))))))))))))))))))</f>
        <v/>
      </c>
      <c r="BT484" s="52" t="str">
        <f>IF(Atletas!R480="","",IF(Atletas!W480&lt;&gt;"",10000,0)+IF(Atletas!B480="Feminino",1000,IF(Atletas!B480="Masculino",2000,""))+IF(Atletas!R480="Gun A",701,IF(Atletas!R480="Qiang A",702,IF(Atletas!R480="Pudao / Guandao A",703,IF(Atletas!R480="Outra Arma Longa A",704,IF(Atletas!R480="Gun B",705,IF(Atletas!R480="Qiang B",706,IF(Atletas!R480="Pudao / Guandao B",707,IF(Atletas!R480="Outra Arma Longa B",708,IF(Atletas!R480="Gun C",709,IF(Atletas!R480="Qiang C",710,IF(Atletas!R480="Pudao / Guandao C",711,IF(Atletas!R480="Outra Arma Longa C",712,IF(Atletas!R480="Gun D",713,IF(Atletas!R480="Qiang D",714,IF(Atletas!R480="Pudao / Guandao D",715,IF(Atletas!R480="Outra Arma Longa D",716,IF(Atletas!R480="Gun E",717,IF(Atletas!R480="Qiang E",718,IF(Atletas!R480="Pudao / Guandao E",719,IF(Atletas!R480="Outra Arma Longa E",720,IF(Atletas!R480="Gun F",721,IF(Atletas!R480="Qiang F",722,IF(Atletas!R480="Pudao / Guandao F",723,IF(Atletas!R480="Outra Arma Longa F",724,"")))))))))))))))))))))))))</f>
        <v/>
      </c>
      <c r="BU484" s="52" t="str">
        <f>IF(Atletas!S480="","",IF(Atletas!W480&lt;&gt;"",10000,0)+IF(Atletas!B480="Feminino",1000,IF(Atletas!B480="Masculino",2000,""))+IF(Atletas!S480="Arma Dupla A",801,IF(Atletas!S480="Arma Maleável A",802,IF(Atletas!S480="Arma Dupla B",803,IF(Atletas!S480="Arma Maleável B",804,IF(Atletas!S480="Arma Dupla C",805,IF(Atletas!S480="Arma Maleável C",806,IF(Atletas!S480="Arma Dupla D",807,IF(Atletas!S480="Arma Maleável D",808,IF(Atletas!S480="Arma Dupla E",809,IF(Atletas!S480="Arma Maleável E",810,IF(Atletas!S480="Arma Dupla F",811,IF(Atletas!S480="Arma Maleável F",812, "")))))))))))))</f>
        <v/>
      </c>
      <c r="BV484" s="52" t="str">
        <f>IF(Atletas!T480="","",IF(Atletas!W480&lt;&gt;"",10000,0)+IF(Atletas!B480="Feminino",1000,IF(Atletas!B480="Masculino",2000,""))+IF(Atletas!T480="Taijijian Yang A",901,IF(Atletas!T480="Taijijian Chen A",902,IF(Atletas!T480="Taijijian Sun A",903,IF(Atletas!T480="Taijijian Wu A",904,IF(Atletas!T480="Taijijian Wu-Hao A",905,IF(Atletas!T480="Taijijian 32 A",906,IF(Atletas!T480="Taijijian 42 A",907,IF(Atletas!T480="Taijijian Yang B",908,IF(Atletas!T480="Taijijian Chen B",909,IF(Atletas!T480="Taijijian Sun B",910,IF(Atletas!T480="Taijijian Wu B",911,IF(Atletas!T480="Taijijian Wu-Hao B",912,IF(Atletas!T480="Taijijian 32 B",913,IF(Atletas!T480="Taijijian 42 B",914,IF(Atletas!T480="Taijijian Yang C",915,IF(Atletas!T480="Taijijian Chen C",916,IF(Atletas!T480="Taijijian Sun C",917,IF(Atletas!T480="Taijijian Wu C",918,IF(Atletas!T480="Taijijian Wu-Hao C",919,IF(Atletas!T480="Taijijian 32 C",920,IF(Atletas!T480="Taijijian 42 C",921,IF(Atletas!T480="Taijijian Yang D",922,IF(Atletas!T480="Taijijian Chen D",923,IF(Atletas!T480="Taijijian Sun D",924,IF(Atletas!T480="Taijijian Wu D",925,IF(Atletas!T480="Taijijian Wu-Hao D",926,IF(Atletas!T480="Taijijian 32 D",927,IF(Atletas!T480="Taijijian 42 D",928,IF(Atletas!T480="Taijijian Yang E",929,IF(Atletas!T480="Taijijian Chen E",930,IF(Atletas!T480="Taijijian Sun E",931,IF(Atletas!T480="Taijijian Wu E",932,IF(Atletas!T480="Taijijian Wu-Hao E",933,IF(Atletas!T480="Taijijian 32 E",934,IF(Atletas!T480="Taijijian 42 E",935,IF(Atletas!T480="Taijijian Yang F",936,IF(Atletas!T480="Taijijian Chen F",937,IF(Atletas!T480="Taijijian Sun F",938,IF(Atletas!T480="Taijijian Wu F",939,IF(Atletas!T480="Taijijian Wu-Hao F",940,IF(Atletas!T480="Taijijian 32 F",941,IF(Atletas!T480="Taijijian 42 F",942,"")))))))))))))))))))))))))))))))))))))))))))</f>
        <v/>
      </c>
      <c r="BW484" s="52" t="str">
        <f>IF(Atletas!U480="","",IF(Atletas!W480&lt;&gt;"",10000,0)+IF(Atletas!B480="Feminino",1000,IF(Atletas!B480="Masculino",2000,""))+IF(Atletas!T480="Taijijian 42 F",942,IF(Atletas!U480="Taijidao A",943,IF(Atletas!U480="Taijishan A",944,IF(Atletas!U480="Taijiqiang A",945,IF(Atletas!U480="Taijidao B",946,IF(Atletas!U480="Taijishan B",947,IF(Atletas!U480="Taijiqiang B",948,IF(Atletas!U480="Taijidao C",949,IF(Atletas!U480="Taijishan C",950,IF(Atletas!U480="Taijiqiang C",951,IF(Atletas!U480="Taijidao D",952,IF(Atletas!U480="Taijishan D",953,IF(Atletas!U480="Taijiqiang D",954,IF(Atletas!U480="Taijidao E",955,IF(Atletas!U480="Taijishan E",956,IF(Atletas!U480="Taijiqiang E",957,IF(Atletas!U480="Taijidao F",958,IF(Atletas!U480="Taijishan F",959,IF(Atletas!U480="Taijiqiang F",960))))))))))))))))))))</f>
        <v/>
      </c>
      <c r="CF484" s="52" t="str">
        <f xml:space="preserve"> IF(Atletas!V480="","",IF(Atletas!V480="Duilian de Mãos AB - Equipe 1",1,IF(Atletas!V480="Duilian de Mãos AB - Equipe 2",2,IF(Atletas!V480="Duilian de Armas AB - Equipe 1",3,IF(Atletas!V480="Duilian de Armas AB - Equipe 2",4,IF(Atletas!V480="Duilian de Tuishou - Equipe 1",5,IF(Atletas!V480="Duilian de Tuishou - Equipe 2",6,IF(Atletas!V480="Grupo Externo AB - Equipe 1",7,IF(Atletas!V480="Grupo Externo AB - Equipe 2",8,IF(Atletas!V480="Grupo Interno AB - Equipe 1",9,IF(Atletas!V480="Grupo Interno AB - Equipe 2",10,IF(Atletas!V480="Duilian de Mãos CD - Equipe 1",11,IF(Atletas!V480="Duilian de Mãos CD - Equipe 2",12,IF(Atletas!V480="Duilian de Armas CD - Equipe 1",13,IF(Atletas!V480="Duilian de Armas CD - Equipe 2",14,IF(Atletas!V480="Duilian de Tuishou - Equipe 1",15,IF(Atletas!V480="Duilian de Tuishou - Equipe 2",16,IF(Atletas!V480="Grupo Externo CDEF - Equipe 1",17,IF(Atletas!V480="Grupo Externo CDEF - Equipe 2",18,IF(Atletas!V480="Grupo Interno CDEF - Equipe 1",19,IF(Atletas!V480="Grupo Interno CDEF - Equipe 2",20,IF(Atletas!V480="Duilian de Mãos EF - Equipe 1",21,IF(Atletas!V480="Duilian de Mãos EF - Equipe 2",22,IF(Atletas!V480="Duilian de Armas EF - Equipe 1",23,IF(Atletas!V480="Duilian de Armas EF - Equipe 2",24,IF(Atletas!V480="Duilian de Tuishou - Equipe 1",25,IF(Atletas!V480="Duilian de Tuishou - Equipe 2",26,"")))))))))))))))))))))))))))</f>
        <v/>
      </c>
    </row>
    <row r="485" spans="36:84">
      <c r="AJ485" s="46" t="str">
        <f>IF(Atletas!D481="","",IF(Atletas!B481="Feminino",100,IF(Atletas!B481="Masculino",200,""))+(IF(Atletas!D481="Infantil 39kg",1,IF(Atletas!D481="Infantil 42kg",2,IF(Atletas!D481="Infantil 45kg",3,IF(Atletas!D481="Infantil 48kg",4,IF(Atletas!D481="Infantil 52kg",5,IF(Atletas!D481="Infantil 56kg",6,IF(Atletas!D481="Infantil 60kg",7,IF(Atletas!D481="Juvenil 48kg",8,IF(Atletas!D481="Juvenil 52kg",9,IF(Atletas!D481="Juvenil 56kg",10,IF(Atletas!D481="Juvenil 60kg",11,IF(Atletas!D481="Juvenil 65kg",12,IF(Atletas!D481="Juvenil 70kg",13,IF(Atletas!D481="Juvenil 75kg",14,IF(Atletas!D481="Juvenil 80kg",15,IF(Atletas!D481="Adulto 48kg",16,IF(Atletas!D481="Adulto 52kg",17,IF(Atletas!D481="Adulto 56kg",18,IF(Atletas!D481="Adulto 60kg",19,IF(Atletas!D481="Adulto 65kg",20,IF(Atletas!D481="Adulto 70kg",21,IF(Atletas!D481="Adulto 75kg",22,IF(Atletas!D481="Adulto 80kg",23,IF(Atletas!D481="Adulto 85kg",24,IF(Atletas!D481="Adulto 90kg",25,IF(Atletas!D481="Adulto +90kg",26,""))))))))))))))))))))))))))))</f>
        <v/>
      </c>
      <c r="AO485" s="10" t="str">
        <f>IF(Atletas!E481="","",IF(Atletas!B481="Feminino",100,IF(Atletas!B481="Masculino",200,""))+(IF(Atletas!E481="Juvenil 44kg",1,IF(Atletas!E481="Juvenil 48kg",2,IF(Atletas!E481="Juvenil 52kg",3,IF(Atletas!E481="Juvenil 56kg",4,IF(Atletas!E481="Juvenil 60kg",5,IF(Atletas!E481="Juvenil 65kg",6,IF(Atletas!E481="Juvenil 70kg",7,IF(Atletas!E481="Juvenil 75kg",8,IF(Atletas!E481="Juvenil 82kg",9,IF(Atletas!E481="Juvenil 90kg",10,IF(Atletas!E481="Juvenil 100kg",11,IF(Atletas!E481="Adulto 48kg",12,IF(Atletas!E481="Adulto 52kg",13,IF(Atletas!E481="Adulto 56kg",14,IF(Atletas!E481="Adulto 60kg",15,IF(Atletas!E481="Adulto 65kg",16,IF(Atletas!E481="Adulto 70kg",17,IF(Atletas!E481="Adulto 75kg",18,IF(Atletas!E481="Adulto 82kg",19,IF(Atletas!E481="Adulto 90kg",20,IF(Atletas!E481="Adulto 100kg",21,IF(Atletas!E481="Adulto +100kg",22,""))))))))))))))))))))))))</f>
        <v/>
      </c>
      <c r="AT485" s="10" t="str">
        <f>IF(Atletas!F481="","",IF(Atletas!B481="Feminino",100,IF(Atletas!B481="Masculino",200,""))+(IF(Atletas!F481="Adulto 48kg",1,IF(Atletas!F481="Adulto 56kg",2,IF(Atletas!F481="Adulto 65kg",3,IF(Atletas!F481="Adulto 75kg",4,IF(Atletas!F481="Adulto +75kg",5,IF(Atletas!F481="Adulto 52kg",6,IF(Atletas!F481="Adulto 60kg",7,IF(Atletas!F481="Adulto 70kg",8,IF(Atletas!F481="Adulto 80kg",9,IF(Atletas!F481="Adulto 90kg",10,IF(Atletas!F481="Adulto +90kg",11,"")))))))))))))</f>
        <v/>
      </c>
      <c r="AY485" s="46" t="str">
        <f>IF(Atletas!G481="","",IF(Atletas!B481="Feminino",100,IF(Atletas!B481="Masculino",200,""))+(IF(Atletas!G481="Changquan Mirim",1,IF(Atletas!G481="Nanquan Mirim",2,IF(Atletas!G481="Taijiquan Mirim",3,IF(Atletas!G481="Changquan Grupo C",4,IF(Atletas!G481="Nanquan Grupo C",5,IF(Atletas!G481="Taijiquan Grupo C",6,IF(Atletas!G481="Changquan Grupo B",7,IF(Atletas!G481="Nanquan Grupo B",8,IF(Atletas!G481="Taijiquan Grupo B",9,IF(Atletas!G481="Changquan Grupo A",10,IF(Atletas!G481="Nanquan Grupo A",11,IF(Atletas!G481="Taijiquan Grupo A",12,IF(Atletas!G481="Changquan Opcional",13,IF(Atletas!G481="Nanquan Opcional",14,IF(Atletas!G481="Taijiquan Opcional",15,IF(Atletas!G481="Changquan Adulto",16,IF(Atletas!G481="Nanquan Adulto",17,IF(Atletas!G481="Taijiquan Adulto",18,""))))))))))))))))))))</f>
        <v/>
      </c>
      <c r="AZ485" s="46" t="str">
        <f>IF(Atletas!H481="","",IF(Atletas!B481="Feminino",100,IF(Atletas!B481="Masculino",200,""))+(IF(Atletas!H481="Daoshu Mirim",19,IF(Atletas!H481="Jianshu Mirim",20,IF(Atletas!H481="Nandao Mirim",21,IF(Atletas!H481="Taijijian Mirim",22,IF(Atletas!H481="Daoshu Grupo C",23,IF(Atletas!H481="Jianshu Grupo C",24,IF(Atletas!H481="Nandao Grupo C",25,IF(Atletas!H481="Taijijian Grupo C",26,IF(Atletas!H481="Daoshu Grupo B",27,IF(Atletas!H481="Jianshu Grupo B",28,IF(Atletas!H481="Nandao Grupo B",29,IF(Atletas!H481="Taijijian Grupo B",30,IF(Atletas!H481="Daoshu Grupo A",31,IF(Atletas!H481="Jianshu Grupo A",32,IF(Atletas!H481="Nandao Grupo A",33,IF(Atletas!H481="Taijijian Grupo A",34,IF(Atletas!H481="Daoshu Opcional",35,IF(Atletas!H481="Jianshu Opcional",36,IF(Atletas!H481="Nandao Opcional",37,IF(Atletas!H481="Taijijian Opcional",38,IF(Atletas!H481="Daoshu Adulto",39,IF(Atletas!H481="Jianshu Adulto",40,IF(Atletas!H481="Nandao Adulto",41,IF(Atletas!H481="Taijijian Adulto",42,""))))))))))))))))))))))))))</f>
        <v/>
      </c>
      <c r="BA485" s="46" t="str">
        <f>IF(Atletas!I481="","",IF(Atletas!B481="Feminino",100,IF(Atletas!B481="Masculino",200,""))+(IF(Atletas!I481="Gunshu Mirim",43,IF(Atletas!I481="Qiangshu Mirim",44,IF(Atletas!I481="Nangun Mirim",45,IF(Atletas!I481="Gunshu Grupo C",46,IF(Atletas!I481="Qiangshu Grupo C",47,IF(Atletas!I481="Nangun Grupo C",48,IF(Atletas!I481="Gunshu Grupo B",49,IF(Atletas!I481="Qiangshu Grupo B",50,IF(Atletas!I481="Nangun Grupo B",51,IF(Atletas!I481="Gunshu Grupo A",52,IF(Atletas!I481="Qiangshu Grupo A",53,IF(Atletas!I481="Nangun Grupo A",54,IF(Atletas!I481="Gunshu Opcional",55,IF(Atletas!I481="Qiangshu Opcional",56,IF(Atletas!I481="Nangun Opcional",57,IF(Atletas!I481="Gunshu Adulto",58,IF(Atletas!I481="Qiangshu Adulto",59,IF(Atletas!I481="Nangun Adulto",60,""))))))))))))))))))))</f>
        <v/>
      </c>
      <c r="BF485" s="52" t="str">
        <f>IF(Atletas!J481="","",IF(Atletas!B481="Feminino",100,IF(Atletas!B481="Masculino",200,""))+(IF(Atletas!J481="Equipe 1 Grupo B",1,IF(Atletas!J481="Equipe 2 Grupo B",2,IF(Atletas!J481="Equipe 1 Grupo A",3,IF(Atletas!J481="Equipe 2 Grupo A",4,IF(Atletas!J481="Equipe 1 Adulto",5,IF(Atletas!J481="Equipe 2 Adulto",6,""))))))))</f>
        <v/>
      </c>
      <c r="BK485" s="52" t="str">
        <f>IF(Atletas!K481="","",IF(Atletas!W481&lt;&gt;"",10000,0)+(IF(Atletas!B481="Feminino",1000,IF(Atletas!B481="Masculino",2000,""))+IF(Atletas!K481="Choylayfut A",1,IF(Atletas!K481="Hunggar A",2,IF(Atletas!K481="Wuzuquan A",3,IF(Atletas!K481="Wingchun A",4,IF(Atletas!K481="Outra Mão de Sul A",5,IF(Atletas!K481="Choylayfut B",6,IF(Atletas!K481="Hunggar B",7,IF(Atletas!K481="Wuzuquan B",8,IF(Atletas!K481="Wingchun B",9,IF(Atletas!K481="Outra Mão de Sul B",10,IF(Atletas!K481="Choylayfut C",11,IF(Atletas!K481="Hunggar C",12,IF(Atletas!K481="Wuzuquan C",13,IF(Atletas!K481="Wingchun C",14,IF(Atletas!K481="Outra Mão de Sul C",15,IF(Atletas!K481="Choylayfut D",16,IF(Atletas!K481="Hunggar D",17,IF(Atletas!K481="Wuzuquan D",18,IF(Atletas!K481="Wingchun D",19,IF(Atletas!K481="Outra Mão de Sul D",20,IF(Atletas!K481="Choylayfut E",21,IF(Atletas!K481="Hunggar E",22,IF(Atletas!K481="Wuzuquan E",23,IF(Atletas!K481="Wingchun E",24,IF(Atletas!K481="Outra Mão de Sul E",25,IF(Atletas!K481="Choylayfut F",26,IF(Atletas!K481="Hunggar F",27,IF(Atletas!K481="Wuzuquan F",28,IF(Atletas!K481="Wingchun F",29,IF(Atletas!K481="Outra Mão de Sul F",30,""))))))))))))))))))))))))))))))))</f>
        <v/>
      </c>
      <c r="BL485" s="52" t="str">
        <f>IF(Atletas!L481="","",IF(Atletas!W481&lt;&gt;"",10000,0)+(IF(Atletas!B481="Feminino",1000,IF(Atletas!B481="Masculino",2000,""))+(IF(Atletas!L481="Chaquan A",101,IF(Atletas!L481="Emeiquan A",102,IF(Atletas!L481="Fanziquan A",103,IF(Atletas!L481="Huaquan A",104,IF(Atletas!L481="Hongquan A",105,IF(Atletas!L481="Paochui A",106,IF(Atletas!L481="Piguaquan A",107,IF(Atletas!L481="Shaolinquan A",108,IF(Atletas!L481="Tanglangquan A",109,IF(Atletas!L481="Yinzhaophai A",110,IF(Atletas!L481="Tongbeiquan A",111,IF(Atletas!L481="Wudangquan A",112,IF(Atletas!L481="Outros Estilos A",113,IF(Atletas!L481="Chaquan B",114,IF(Atletas!L481="Emeiquan B",115,IF(Atletas!L481="Fanziquan B",116,IF(Atletas!L481="Huaquan B",117,IF(Atletas!L481="Hongquan B",118,IF(Atletas!L481="Paochui B",119,IF(Atletas!L481="Piguaquan B",120,IF(Atletas!L481="Shaolinquan B",121,IF(Atletas!L481="Tanglangquan B",122,IF(Atletas!L481="Yinzhaophai B",123,IF(Atletas!L481="Tongbeiquan B",124,IF(Atletas!L481="Wudangquan B",125,IF(Atletas!L481="Outros Estilos B",126,IF(Atletas!L481="Chaquan C",127,IF(Atletas!L481="Emeiquan C",128,IF(Atletas!L481="Fanziquan C",129,IF(Atletas!L481="Huaquan C",130,IF(Atletas!L481="Hongquan C",131,IF(Atletas!L481="Paochui C",132,IF(Atletas!L481="Piguaquan C",133,IF(Atletas!L481="Shaolinquan C",134,IF(Atletas!L481="Tanglangquan C",135,IF(Atletas!L481="Yinzhaophai C",136,IF(Atletas!L481="Tongbeiquan C",137,IF(Atletas!L481="Wudangquan C",138,IF(Atletas!L481="Outros Estilos C",139,0))))))))))))))))))))))))))))))))))))))))))</f>
        <v/>
      </c>
      <c r="BM485" s="52" t="str">
        <f>IF(Atletas!L481="","",IF(Atletas!W481&lt;&gt;"",10000,0)+(IF(Atletas!B481="Feminino",1000,IF(Atletas!B481="Masculino",2000,""))+(IF(Atletas!L481="Chaquan D",140,IF(Atletas!L481="Emeiquan D",141,IF(Atletas!L481="Fanziquan D",142,IF(Atletas!L481="Huaquan D",143,IF(Atletas!L481="Hongquan D",144,IF(Atletas!L481="Paochui D",145,IF(Atletas!L481="Piguaquan D",146,IF(Atletas!L481="Shaolinquan D",147,IF(Atletas!L481="Tanglangquan D",148,IF(Atletas!L481="Yinzhaophai D",149,IF(Atletas!L481="Tongbeiquan D",150,IF(Atletas!L481="Wudangquan D",151,IF(Atletas!L481="Outros Estilos D",152,IF(Atletas!L481="Chaquan E",153,IF(Atletas!L481="Emeiquan E",154,IF(Atletas!L481="Fanziquan E",155,IF(Atletas!L481="Huaquan E",156,IF(Atletas!L481="Hongquan E",157,IF(Atletas!L481="Paochui E",158,IF(Atletas!L481="Piguaquan E",159,IF(Atletas!L481="Shaolinquan E",160,IF(Atletas!L481="Tanglangquan E",161,IF(Atletas!L481="Yinzhaophai E",162,IF(Atletas!L481="Tongbeiquan E",163,IF(Atletas!L481="Wudangquan E",164,IF(Atletas!L481="Outros Estilos E",165,IF(Atletas!L481="Chaquan F",166,IF(Atletas!L481="Emeiquan F",167,IF(Atletas!L481="Fanziquan F",168,IF(Atletas!L481="Huaquan F",169,IF(Atletas!L481="Hongquan F",170,IF(Atletas!L481="Paochui F",171,IF(Atletas!L481="Piguaquan F",172,IF(Atletas!L481="Shaolinquan F",173,IF(Atletas!L481="Tanglangquan F",174,IF(Atletas!L481="Yinzhaophai F",175,IF(Atletas!L481="Tongbeiquan F",176,IF(Atletas!L481="Wudangquan F",177,IF(Atletas!L481="Outros Estilos F",178,0))))))))))))))))))))))))))))))))))))))))))</f>
        <v/>
      </c>
      <c r="BN485" s="52" t="str">
        <f>IF(Atletas!M481="","",IF(Atletas!W481&lt;&gt;"",10000,0)+(IF(Atletas!B481="Feminino",1000,IF(Atletas!B481="Masculino",2000,""))+(IF(Atletas!M481="Ditangquan A",201,IF(Atletas!M481="Houquan A",202,IF(Atletas!M481="Zuiquan A",203,IF(Atletas!M481="Ditangquan B",204,IF(Atletas!M481="Houquan B",205,IF(Atletas!M481="Zuiquan B",206,IF(Atletas!M481="Ditangquan C",207,IF(Atletas!M481="Houquan C",208,IF(Atletas!M481="Zuiquan C",209,IF(Atletas!M481="Ditangquan D",210,IF(Atletas!M481="Houquan D",211,IF(Atletas!M481="Zuiquan D",212,IF(Atletas!M481="Ditangquan E",213,IF(Atletas!M481="Houquan E",214,IF(Atletas!M481="Zuiquan E",215,IF(Atletas!M481="Ditangquan F",216,IF(Atletas!M481="Houquan F",217,IF(Atletas!M481="Zuiquan F",218,"")))))))))))))))))))))</f>
        <v/>
      </c>
      <c r="BO485" s="52" t="str">
        <f>IF(Atletas!N481="","",IF(Atletas!W481&lt;&gt;"",10000,0)+IF(Atletas!B481="Feminino",1000,IF(Atletas!B481="Masculino",2000,""))+IF(Atletas!N481="Yang A",301,IF(Atletas!N481="Chen A",30,IF(Atletas!N481="Sun A",303,IF(Atletas!N481="Wu A",304,IF(Atletas!N481="Wu-Hao A",305,IF(Atletas!N481="Outro Taijiquan A",306,IF(Atletas!N481="Yang B",307,IF(Atletas!N481="Chen B",308,IF(Atletas!N481="Sun B",309,IF(Atletas!N481="Wu B",310,IF(Atletas!N481="Wu-Hao B",311,IF(Atletas!N481="Outro Taijiquan B",312,IF(Atletas!N481="Yang C",313,IF(Atletas!N481="Chen C",314,IF(Atletas!N481="Sun C",315,IF(Atletas!N481="Wu C",316,IF(Atletas!N481="Wu-Hao C",317,IF(Atletas!N481="Outro Taijiquan C",318,IF(Atletas!N481="Yang D",319,IF(Atletas!N481="Chen D",320,IF(Atletas!N481="Sun D",321,IF(Atletas!N481="Wu D",322,IF(Atletas!N481="Wu-Hao D",323,IF(Atletas!N481="Outro Taijiquan D",324,IF(Atletas!N481="Yang E",325,IF(Atletas!N481="Chen E",326,IF(Atletas!N481="Sun E",327,IF(Atletas!N481="Wu E",328,IF(Atletas!N481="Wu-Hao E",329,IF(Atletas!N481="Outro Taijiquan E",330,IF(Atletas!N481="Yang F",331,IF(Atletas!N481="Chen F",332,IF(Atletas!N481="Sun F",333,IF(Atletas!N481="Wu F",334,IF(Atletas!N481="Wu-Hao F",335,IF(Atletas!N481="Outro Taijiquan F",336,"")))))))))))))))))))))))))))))))))))))</f>
        <v/>
      </c>
      <c r="BP485" s="52" t="str">
        <f>IF(Atletas!O481="","",IF(Atletas!W481&lt;&gt;"",10000,0)+IF(Atletas!B481="Feminino",1000,IF(Atletas!B481="Masculino",2000,""))+IF(OR(Atletas!O481="Yang 26 A",Atletas!O481="Yang 40 A"),401,IF(OR(Atletas!O481="Chen 25 A",Atletas!O481="Chen 36 A",Atletas!O481="Chen 56 A"),402,IF(Atletas!O481="Sun 73 A",403,IF(Atletas!O481="Wu 45 A",404,IF(Atletas!O481="Wu-Hao 46 A",405,IF(OR(Atletas!O481="Taijiquan 16 A",Atletas!O481="Taijiquan 24 A",Atletas!O481="Taijiquan 32 A",Atletas!O481="Taijiquan 42 A"),406,IF(OR(Atletas!O481="Yang 26 B",Atletas!O481="Yang 40 B"),407,IF(OR(Atletas!O481="Chen 25 B",Atletas!O481="Chen 36 B",Atletas!O481="Chen 56 B"),408,IF(Atletas!O481="Sun 73 B",409,IF(Atletas!O481="Wu 45 B",410,IF(Atletas!O481="Wu-Hao 46 B",411,IF(OR(Atletas!O481="Taijiquan 16 B",Atletas!O481="Taijiquan 24 B",Atletas!O481="Taijiquan 32 B",Atletas!O481="Taijiquan 42 B"),412,IF(OR(Atletas!O481="Yang 26 C",Atletas!O481="Yang 40 C"),413,IF(OR(Atletas!O481="Chen 25 C",Atletas!O481="Chen 36 C",Atletas!O481="Chen 56 C"),414,IF(Atletas!O481="Sun 73 C",415,IF(Atletas!O481="Wu 45 C",416,IF(Atletas!O481="Wu-Hao 46 C",417,IF(OR(Atletas!O481="Taijiquan 16 C",Atletas!O481="Taijiquan 24 C",Atletas!O481="Taijiquan 32 C",Atletas!O481="Taijiquan 42 C"),418,0)))))))))))))))))))</f>
        <v/>
      </c>
      <c r="BQ485" s="52" t="str">
        <f>IF(Atletas!O481="","",IF(Atletas!W481&lt;&gt;"",10000,0)+IF(Atletas!B481="Feminino",1000,IF(Atletas!B481="Masculino",2000,""))+IF(OR(Atletas!O481="Yang 26 D",Atletas!O481="Yang 40 D"),419,IF(OR(Atletas!O481="Chen 25 D",Atletas!O481="Chen 36 D",Atletas!O481="Chen 56 D"),420,IF(Atletas!O481="Sun 73 D",421,IF(Atletas!O481="Wu 45 D",422,IF(Atletas!O481="Wu-Hao 46 D",423,IF(OR(Atletas!O481="Taijiquan 16 D",Atletas!O481="Taijiquan 24 D",Atletas!O481="Taijiquan 32 D",Atletas!O481="Taijiquan 42 D"),424,IF(OR(Atletas!O481="Yang 26 E",Atletas!O481="Yang 40 E"),425,IF(OR(Atletas!O481="Chen 25 E",Atletas!O481="Chen 36 E",Atletas!O481="Chen 56 E"),426,IF(Atletas!O481="Sun 73 E",427,IF(Atletas!O481="Wu 45 E",428,IF(Atletas!O481="Wu-Hao 46 E",429,IF(OR(Atletas!O481="Taijiquan 16 E",Atletas!O481="Taijiquan 24 E",Atletas!O481="Taijiquan 32 E",Atletas!O481="Taijiquan 42 E"),430,IF(OR(Atletas!O481="Yang 26 F",Atletas!O481="Yang 40 F"),431,IF(OR(Atletas!O481="Chen 25 F",Atletas!O481="Chen 36 F",Atletas!O481="Chen 56 F"),432,IF(Atletas!O481="Sun 73 F",433,IF(Atletas!O481="Wu 45 F",434,IF(Atletas!O481="Wu-Hao 46 F",435,IF(OR(Atletas!O481="Taijiquan 16 F",Atletas!O481="Taijiquan 24 F",Atletas!O481="Taijiquan 32 F",Atletas!O481="Taijiquan 42 F"),436,0)))))))))))))))))))</f>
        <v/>
      </c>
      <c r="BR485" s="52" t="str">
        <f>IF(Atletas!P481="","",IF(Atletas!W481&lt;&gt;"",10000,0)+IF(Atletas!B481="Feminino",1000,IF(Atletas!B481="Masculino",2000,""))+IF(Atletas!P481="Xingyiquan A",501,IF(Atletas!P481="Baguazhang A",502,IF(Atletas!P481="Outro Estilo Interno A",503,IF(Atletas!P481="Xingyiquan B",504,IF(Atletas!P481="Baguazhang B",505,IF(Atletas!P481="Outro Estilo Interno B",506,IF(Atletas!P481="Xingyiquan C",507,IF(Atletas!P481="Baguazhang C",508,IF(Atletas!P481="Outro Estilo Interno C",509,IF(Atletas!P481="Xingyiquan D",510,IF(Atletas!P481="Baguazhang D",511,IF(Atletas!P481="Outro Estilo Interno D",512,IF(Atletas!P481="Xingyiquan E",513,IF(Atletas!P481="Baguazhang E",514,IF(Atletas!P481="Outro Estilo Interno E",515,IF(Atletas!P481="Xingyiquan F",516,IF(Atletas!P481="Baguazhang F",517,IF(Atletas!P481="Outro Estilo Interno F",518, "")))))))))))))))))))</f>
        <v/>
      </c>
      <c r="BS485" s="52" t="str">
        <f>IF(Atletas!Q481="","",IF(Atletas!W481&lt;&gt;"",10000,0)+IF(Atletas!B481="Feminino",1000,IF(Atletas!B481="Masculino",2000,""))+IF(Atletas!Q481="Dao A",601,IF(Atletas!Q481="Jian A",602,IF(Atletas!Q481="Bishou A",603,IF(Atletas!Q481="Shan A",604,IF(Atletas!Q481="Outra Arma Curta A",605,IF(Atletas!Q481="Dao B",606,IF(Atletas!Q481="Jian B",607,IF(Atletas!Q481="Bishou B",608,IF(Atletas!Q481="Shan B",609,IF(Atletas!Q481="Outra Arma Curta B",610,IF(Atletas!Q481="Dao C",611,IF(Atletas!Q481="Jian C",612,IF(Atletas!Q481="Bishou C",613,IF(Atletas!Q481="Shan C",614,IF(Atletas!Q481="Outra Arma Curta C",615,IF(Atletas!Q481="Dao D",616,IF(Atletas!Q481="Jian D",617,IF(Atletas!Q481="Bishou D",618,IF(Atletas!Q481="Shan D",619,IF(Atletas!Q481="Outra Arma Curta D",620,IF(Atletas!Q481="Dao E",621,IF(Atletas!Q481="Jian E",622,IF(Atletas!Q481="Bishou E",623,IF(Atletas!Q481="Shan E",624,IF(Atletas!Q481="Outra Arma Curta E",625,IF(Atletas!Q481="Dao F",626,IF(Atletas!Q481="Jian F",627,IF(Atletas!Q481="Bishou F",628,IF(Atletas!Q481="Shan F",629,IF(Atletas!Q481="Outra Arma Curta F",630, "")))))))))))))))))))))))))))))))</f>
        <v/>
      </c>
      <c r="BT485" s="52" t="str">
        <f>IF(Atletas!R481="","",IF(Atletas!W481&lt;&gt;"",10000,0)+IF(Atletas!B481="Feminino",1000,IF(Atletas!B481="Masculino",2000,""))+IF(Atletas!R481="Gun A",701,IF(Atletas!R481="Qiang A",702,IF(Atletas!R481="Pudao / Guandao A",703,IF(Atletas!R481="Outra Arma Longa A",704,IF(Atletas!R481="Gun B",705,IF(Atletas!R481="Qiang B",706,IF(Atletas!R481="Pudao / Guandao B",707,IF(Atletas!R481="Outra Arma Longa B",708,IF(Atletas!R481="Gun C",709,IF(Atletas!R481="Qiang C",710,IF(Atletas!R481="Pudao / Guandao C",711,IF(Atletas!R481="Outra Arma Longa C",712,IF(Atletas!R481="Gun D",713,IF(Atletas!R481="Qiang D",714,IF(Atletas!R481="Pudao / Guandao D",715,IF(Atletas!R481="Outra Arma Longa D",716,IF(Atletas!R481="Gun E",717,IF(Atletas!R481="Qiang E",718,IF(Atletas!R481="Pudao / Guandao E",719,IF(Atletas!R481="Outra Arma Longa E",720,IF(Atletas!R481="Gun F",721,IF(Atletas!R481="Qiang F",722,IF(Atletas!R481="Pudao / Guandao F",723,IF(Atletas!R481="Outra Arma Longa F",724,"")))))))))))))))))))))))))</f>
        <v/>
      </c>
      <c r="BU485" s="52" t="str">
        <f>IF(Atletas!S481="","",IF(Atletas!W481&lt;&gt;"",10000,0)+IF(Atletas!B481="Feminino",1000,IF(Atletas!B481="Masculino",2000,""))+IF(Atletas!S481="Arma Dupla A",801,IF(Atletas!S481="Arma Maleável A",802,IF(Atletas!S481="Arma Dupla B",803,IF(Atletas!S481="Arma Maleável B",804,IF(Atletas!S481="Arma Dupla C",805,IF(Atletas!S481="Arma Maleável C",806,IF(Atletas!S481="Arma Dupla D",807,IF(Atletas!S481="Arma Maleável D",808,IF(Atletas!S481="Arma Dupla E",809,IF(Atletas!S481="Arma Maleável E",810,IF(Atletas!S481="Arma Dupla F",811,IF(Atletas!S481="Arma Maleável F",812, "")))))))))))))</f>
        <v/>
      </c>
      <c r="BV485" s="52" t="str">
        <f>IF(Atletas!T481="","",IF(Atletas!W481&lt;&gt;"",10000,0)+IF(Atletas!B481="Feminino",1000,IF(Atletas!B481="Masculino",2000,""))+IF(Atletas!T481="Taijijian Yang A",901,IF(Atletas!T481="Taijijian Chen A",902,IF(Atletas!T481="Taijijian Sun A",903,IF(Atletas!T481="Taijijian Wu A",904,IF(Atletas!T481="Taijijian Wu-Hao A",905,IF(Atletas!T481="Taijijian 32 A",906,IF(Atletas!T481="Taijijian 42 A",907,IF(Atletas!T481="Taijijian Yang B",908,IF(Atletas!T481="Taijijian Chen B",909,IF(Atletas!T481="Taijijian Sun B",910,IF(Atletas!T481="Taijijian Wu B",911,IF(Atletas!T481="Taijijian Wu-Hao B",912,IF(Atletas!T481="Taijijian 32 B",913,IF(Atletas!T481="Taijijian 42 B",914,IF(Atletas!T481="Taijijian Yang C",915,IF(Atletas!T481="Taijijian Chen C",916,IF(Atletas!T481="Taijijian Sun C",917,IF(Atletas!T481="Taijijian Wu C",918,IF(Atletas!T481="Taijijian Wu-Hao C",919,IF(Atletas!T481="Taijijian 32 C",920,IF(Atletas!T481="Taijijian 42 C",921,IF(Atletas!T481="Taijijian Yang D",922,IF(Atletas!T481="Taijijian Chen D",923,IF(Atletas!T481="Taijijian Sun D",924,IF(Atletas!T481="Taijijian Wu D",925,IF(Atletas!T481="Taijijian Wu-Hao D",926,IF(Atletas!T481="Taijijian 32 D",927,IF(Atletas!T481="Taijijian 42 D",928,IF(Atletas!T481="Taijijian Yang E",929,IF(Atletas!T481="Taijijian Chen E",930,IF(Atletas!T481="Taijijian Sun E",931,IF(Atletas!T481="Taijijian Wu E",932,IF(Atletas!T481="Taijijian Wu-Hao E",933,IF(Atletas!T481="Taijijian 32 E",934,IF(Atletas!T481="Taijijian 42 E",935,IF(Atletas!T481="Taijijian Yang F",936,IF(Atletas!T481="Taijijian Chen F",937,IF(Atletas!T481="Taijijian Sun F",938,IF(Atletas!T481="Taijijian Wu F",939,IF(Atletas!T481="Taijijian Wu-Hao F",940,IF(Atletas!T481="Taijijian 32 F",941,IF(Atletas!T481="Taijijian 42 F",942,"")))))))))))))))))))))))))))))))))))))))))))</f>
        <v/>
      </c>
      <c r="BW485" s="52" t="str">
        <f>IF(Atletas!U481="","",IF(Atletas!W481&lt;&gt;"",10000,0)+IF(Atletas!B481="Feminino",1000,IF(Atletas!B481="Masculino",2000,""))+IF(Atletas!T481="Taijijian 42 F",942,IF(Atletas!U481="Taijidao A",943,IF(Atletas!U481="Taijishan A",944,IF(Atletas!U481="Taijiqiang A",945,IF(Atletas!U481="Taijidao B",946,IF(Atletas!U481="Taijishan B",947,IF(Atletas!U481="Taijiqiang B",948,IF(Atletas!U481="Taijidao C",949,IF(Atletas!U481="Taijishan C",950,IF(Atletas!U481="Taijiqiang C",951,IF(Atletas!U481="Taijidao D",952,IF(Atletas!U481="Taijishan D",953,IF(Atletas!U481="Taijiqiang D",954,IF(Atletas!U481="Taijidao E",955,IF(Atletas!U481="Taijishan E",956,IF(Atletas!U481="Taijiqiang E",957,IF(Atletas!U481="Taijidao F",958,IF(Atletas!U481="Taijishan F",959,IF(Atletas!U481="Taijiqiang F",960))))))))))))))))))))</f>
        <v/>
      </c>
      <c r="CF485" s="52" t="str">
        <f xml:space="preserve"> IF(Atletas!V481="","",IF(Atletas!V481="Duilian de Mãos AB - Equipe 1",1,IF(Atletas!V481="Duilian de Mãos AB - Equipe 2",2,IF(Atletas!V481="Duilian de Armas AB - Equipe 1",3,IF(Atletas!V481="Duilian de Armas AB - Equipe 2",4,IF(Atletas!V481="Duilian de Tuishou - Equipe 1",5,IF(Atletas!V481="Duilian de Tuishou - Equipe 2",6,IF(Atletas!V481="Grupo Externo AB - Equipe 1",7,IF(Atletas!V481="Grupo Externo AB - Equipe 2",8,IF(Atletas!V481="Grupo Interno AB - Equipe 1",9,IF(Atletas!V481="Grupo Interno AB - Equipe 2",10,IF(Atletas!V481="Duilian de Mãos CD - Equipe 1",11,IF(Atletas!V481="Duilian de Mãos CD - Equipe 2",12,IF(Atletas!V481="Duilian de Armas CD - Equipe 1",13,IF(Atletas!V481="Duilian de Armas CD - Equipe 2",14,IF(Atletas!V481="Duilian de Tuishou - Equipe 1",15,IF(Atletas!V481="Duilian de Tuishou - Equipe 2",16,IF(Atletas!V481="Grupo Externo CDEF - Equipe 1",17,IF(Atletas!V481="Grupo Externo CDEF - Equipe 2",18,IF(Atletas!V481="Grupo Interno CDEF - Equipe 1",19,IF(Atletas!V481="Grupo Interno CDEF - Equipe 2",20,IF(Atletas!V481="Duilian de Mãos EF - Equipe 1",21,IF(Atletas!V481="Duilian de Mãos EF - Equipe 2",22,IF(Atletas!V481="Duilian de Armas EF - Equipe 1",23,IF(Atletas!V481="Duilian de Armas EF - Equipe 2",24,IF(Atletas!V481="Duilian de Tuishou - Equipe 1",25,IF(Atletas!V481="Duilian de Tuishou - Equipe 2",26,"")))))))))))))))))))))))))))</f>
        <v/>
      </c>
    </row>
    <row r="486" spans="36:84">
      <c r="AJ486" s="46" t="str">
        <f>IF(Atletas!D482="","",IF(Atletas!B482="Feminino",100,IF(Atletas!B482="Masculino",200,""))+(IF(Atletas!D482="Infantil 39kg",1,IF(Atletas!D482="Infantil 42kg",2,IF(Atletas!D482="Infantil 45kg",3,IF(Atletas!D482="Infantil 48kg",4,IF(Atletas!D482="Infantil 52kg",5,IF(Atletas!D482="Infantil 56kg",6,IF(Atletas!D482="Infantil 60kg",7,IF(Atletas!D482="Juvenil 48kg",8,IF(Atletas!D482="Juvenil 52kg",9,IF(Atletas!D482="Juvenil 56kg",10,IF(Atletas!D482="Juvenil 60kg",11,IF(Atletas!D482="Juvenil 65kg",12,IF(Atletas!D482="Juvenil 70kg",13,IF(Atletas!D482="Juvenil 75kg",14,IF(Atletas!D482="Juvenil 80kg",15,IF(Atletas!D482="Adulto 48kg",16,IF(Atletas!D482="Adulto 52kg",17,IF(Atletas!D482="Adulto 56kg",18,IF(Atletas!D482="Adulto 60kg",19,IF(Atletas!D482="Adulto 65kg",20,IF(Atletas!D482="Adulto 70kg",21,IF(Atletas!D482="Adulto 75kg",22,IF(Atletas!D482="Adulto 80kg",23,IF(Atletas!D482="Adulto 85kg",24,IF(Atletas!D482="Adulto 90kg",25,IF(Atletas!D482="Adulto +90kg",26,""))))))))))))))))))))))))))))</f>
        <v/>
      </c>
      <c r="AO486" s="10" t="str">
        <f>IF(Atletas!E482="","",IF(Atletas!B482="Feminino",100,IF(Atletas!B482="Masculino",200,""))+(IF(Atletas!E482="Juvenil 44kg",1,IF(Atletas!E482="Juvenil 48kg",2,IF(Atletas!E482="Juvenil 52kg",3,IF(Atletas!E482="Juvenil 56kg",4,IF(Atletas!E482="Juvenil 60kg",5,IF(Atletas!E482="Juvenil 65kg",6,IF(Atletas!E482="Juvenil 70kg",7,IF(Atletas!E482="Juvenil 75kg",8,IF(Atletas!E482="Juvenil 82kg",9,IF(Atletas!E482="Juvenil 90kg",10,IF(Atletas!E482="Juvenil 100kg",11,IF(Atletas!E482="Adulto 48kg",12,IF(Atletas!E482="Adulto 52kg",13,IF(Atletas!E482="Adulto 56kg",14,IF(Atletas!E482="Adulto 60kg",15,IF(Atletas!E482="Adulto 65kg",16,IF(Atletas!E482="Adulto 70kg",17,IF(Atletas!E482="Adulto 75kg",18,IF(Atletas!E482="Adulto 82kg",19,IF(Atletas!E482="Adulto 90kg",20,IF(Atletas!E482="Adulto 100kg",21,IF(Atletas!E482="Adulto +100kg",22,""))))))))))))))))))))))))</f>
        <v/>
      </c>
      <c r="AT486" s="10" t="str">
        <f>IF(Atletas!F482="","",IF(Atletas!B482="Feminino",100,IF(Atletas!B482="Masculino",200,""))+(IF(Atletas!F482="Adulto 48kg",1,IF(Atletas!F482="Adulto 56kg",2,IF(Atletas!F482="Adulto 65kg",3,IF(Atletas!F482="Adulto 75kg",4,IF(Atletas!F482="Adulto +75kg",5,IF(Atletas!F482="Adulto 52kg",6,IF(Atletas!F482="Adulto 60kg",7,IF(Atletas!F482="Adulto 70kg",8,IF(Atletas!F482="Adulto 80kg",9,IF(Atletas!F482="Adulto 90kg",10,IF(Atletas!F482="Adulto +90kg",11,"")))))))))))))</f>
        <v/>
      </c>
      <c r="AY486" s="46" t="str">
        <f>IF(Atletas!G482="","",IF(Atletas!B482="Feminino",100,IF(Atletas!B482="Masculino",200,""))+(IF(Atletas!G482="Changquan Mirim",1,IF(Atletas!G482="Nanquan Mirim",2,IF(Atletas!G482="Taijiquan Mirim",3,IF(Atletas!G482="Changquan Grupo C",4,IF(Atletas!G482="Nanquan Grupo C",5,IF(Atletas!G482="Taijiquan Grupo C",6,IF(Atletas!G482="Changquan Grupo B",7,IF(Atletas!G482="Nanquan Grupo B",8,IF(Atletas!G482="Taijiquan Grupo B",9,IF(Atletas!G482="Changquan Grupo A",10,IF(Atletas!G482="Nanquan Grupo A",11,IF(Atletas!G482="Taijiquan Grupo A",12,IF(Atletas!G482="Changquan Opcional",13,IF(Atletas!G482="Nanquan Opcional",14,IF(Atletas!G482="Taijiquan Opcional",15,IF(Atletas!G482="Changquan Adulto",16,IF(Atletas!G482="Nanquan Adulto",17,IF(Atletas!G482="Taijiquan Adulto",18,""))))))))))))))))))))</f>
        <v/>
      </c>
      <c r="AZ486" s="46" t="str">
        <f>IF(Atletas!H482="","",IF(Atletas!B482="Feminino",100,IF(Atletas!B482="Masculino",200,""))+(IF(Atletas!H482="Daoshu Mirim",19,IF(Atletas!H482="Jianshu Mirim",20,IF(Atletas!H482="Nandao Mirim",21,IF(Atletas!H482="Taijijian Mirim",22,IF(Atletas!H482="Daoshu Grupo C",23,IF(Atletas!H482="Jianshu Grupo C",24,IF(Atletas!H482="Nandao Grupo C",25,IF(Atletas!H482="Taijijian Grupo C",26,IF(Atletas!H482="Daoshu Grupo B",27,IF(Atletas!H482="Jianshu Grupo B",28,IF(Atletas!H482="Nandao Grupo B",29,IF(Atletas!H482="Taijijian Grupo B",30,IF(Atletas!H482="Daoshu Grupo A",31,IF(Atletas!H482="Jianshu Grupo A",32,IF(Atletas!H482="Nandao Grupo A",33,IF(Atletas!H482="Taijijian Grupo A",34,IF(Atletas!H482="Daoshu Opcional",35,IF(Atletas!H482="Jianshu Opcional",36,IF(Atletas!H482="Nandao Opcional",37,IF(Atletas!H482="Taijijian Opcional",38,IF(Atletas!H482="Daoshu Adulto",39,IF(Atletas!H482="Jianshu Adulto",40,IF(Atletas!H482="Nandao Adulto",41,IF(Atletas!H482="Taijijian Adulto",42,""))))))))))))))))))))))))))</f>
        <v/>
      </c>
      <c r="BA486" s="46" t="str">
        <f>IF(Atletas!I482="","",IF(Atletas!B482="Feminino",100,IF(Atletas!B482="Masculino",200,""))+(IF(Atletas!I482="Gunshu Mirim",43,IF(Atletas!I482="Qiangshu Mirim",44,IF(Atletas!I482="Nangun Mirim",45,IF(Atletas!I482="Gunshu Grupo C",46,IF(Atletas!I482="Qiangshu Grupo C",47,IF(Atletas!I482="Nangun Grupo C",48,IF(Atletas!I482="Gunshu Grupo B",49,IF(Atletas!I482="Qiangshu Grupo B",50,IF(Atletas!I482="Nangun Grupo B",51,IF(Atletas!I482="Gunshu Grupo A",52,IF(Atletas!I482="Qiangshu Grupo A",53,IF(Atletas!I482="Nangun Grupo A",54,IF(Atletas!I482="Gunshu Opcional",55,IF(Atletas!I482="Qiangshu Opcional",56,IF(Atletas!I482="Nangun Opcional",57,IF(Atletas!I482="Gunshu Adulto",58,IF(Atletas!I482="Qiangshu Adulto",59,IF(Atletas!I482="Nangun Adulto",60,""))))))))))))))))))))</f>
        <v/>
      </c>
      <c r="BF486" s="52" t="str">
        <f>IF(Atletas!J482="","",IF(Atletas!B482="Feminino",100,IF(Atletas!B482="Masculino",200,""))+(IF(Atletas!J482="Equipe 1 Grupo B",1,IF(Atletas!J482="Equipe 2 Grupo B",2,IF(Atletas!J482="Equipe 1 Grupo A",3,IF(Atletas!J482="Equipe 2 Grupo A",4,IF(Atletas!J482="Equipe 1 Adulto",5,IF(Atletas!J482="Equipe 2 Adulto",6,""))))))))</f>
        <v/>
      </c>
      <c r="BK486" s="52" t="str">
        <f>IF(Atletas!K482="","",IF(Atletas!W482&lt;&gt;"",10000,0)+(IF(Atletas!B482="Feminino",1000,IF(Atletas!B482="Masculino",2000,""))+IF(Atletas!K482="Choylayfut A",1,IF(Atletas!K482="Hunggar A",2,IF(Atletas!K482="Wuzuquan A",3,IF(Atletas!K482="Wingchun A",4,IF(Atletas!K482="Outra Mão de Sul A",5,IF(Atletas!K482="Choylayfut B",6,IF(Atletas!K482="Hunggar B",7,IF(Atletas!K482="Wuzuquan B",8,IF(Atletas!K482="Wingchun B",9,IF(Atletas!K482="Outra Mão de Sul B",10,IF(Atletas!K482="Choylayfut C",11,IF(Atletas!K482="Hunggar C",12,IF(Atletas!K482="Wuzuquan C",13,IF(Atletas!K482="Wingchun C",14,IF(Atletas!K482="Outra Mão de Sul C",15,IF(Atletas!K482="Choylayfut D",16,IF(Atletas!K482="Hunggar D",17,IF(Atletas!K482="Wuzuquan D",18,IF(Atletas!K482="Wingchun D",19,IF(Atletas!K482="Outra Mão de Sul D",20,IF(Atletas!K482="Choylayfut E",21,IF(Atletas!K482="Hunggar E",22,IF(Atletas!K482="Wuzuquan E",23,IF(Atletas!K482="Wingchun E",24,IF(Atletas!K482="Outra Mão de Sul E",25,IF(Atletas!K482="Choylayfut F",26,IF(Atletas!K482="Hunggar F",27,IF(Atletas!K482="Wuzuquan F",28,IF(Atletas!K482="Wingchun F",29,IF(Atletas!K482="Outra Mão de Sul F",30,""))))))))))))))))))))))))))))))))</f>
        <v/>
      </c>
      <c r="BL486" s="52" t="str">
        <f>IF(Atletas!L482="","",IF(Atletas!W482&lt;&gt;"",10000,0)+(IF(Atletas!B482="Feminino",1000,IF(Atletas!B482="Masculino",2000,""))+(IF(Atletas!L482="Chaquan A",101,IF(Atletas!L482="Emeiquan A",102,IF(Atletas!L482="Fanziquan A",103,IF(Atletas!L482="Huaquan A",104,IF(Atletas!L482="Hongquan A",105,IF(Atletas!L482="Paochui A",106,IF(Atletas!L482="Piguaquan A",107,IF(Atletas!L482="Shaolinquan A",108,IF(Atletas!L482="Tanglangquan A",109,IF(Atletas!L482="Yinzhaophai A",110,IF(Atletas!L482="Tongbeiquan A",111,IF(Atletas!L482="Wudangquan A",112,IF(Atletas!L482="Outros Estilos A",113,IF(Atletas!L482="Chaquan B",114,IF(Atletas!L482="Emeiquan B",115,IF(Atletas!L482="Fanziquan B",116,IF(Atletas!L482="Huaquan B",117,IF(Atletas!L482="Hongquan B",118,IF(Atletas!L482="Paochui B",119,IF(Atletas!L482="Piguaquan B",120,IF(Atletas!L482="Shaolinquan B",121,IF(Atletas!L482="Tanglangquan B",122,IF(Atletas!L482="Yinzhaophai B",123,IF(Atletas!L482="Tongbeiquan B",124,IF(Atletas!L482="Wudangquan B",125,IF(Atletas!L482="Outros Estilos B",126,IF(Atletas!L482="Chaquan C",127,IF(Atletas!L482="Emeiquan C",128,IF(Atletas!L482="Fanziquan C",129,IF(Atletas!L482="Huaquan C",130,IF(Atletas!L482="Hongquan C",131,IF(Atletas!L482="Paochui C",132,IF(Atletas!L482="Piguaquan C",133,IF(Atletas!L482="Shaolinquan C",134,IF(Atletas!L482="Tanglangquan C",135,IF(Atletas!L482="Yinzhaophai C",136,IF(Atletas!L482="Tongbeiquan C",137,IF(Atletas!L482="Wudangquan C",138,IF(Atletas!L482="Outros Estilos C",139,0))))))))))))))))))))))))))))))))))))))))))</f>
        <v/>
      </c>
      <c r="BM486" s="52" t="str">
        <f>IF(Atletas!L482="","",IF(Atletas!W482&lt;&gt;"",10000,0)+(IF(Atletas!B482="Feminino",1000,IF(Atletas!B482="Masculino",2000,""))+(IF(Atletas!L482="Chaquan D",140,IF(Atletas!L482="Emeiquan D",141,IF(Atletas!L482="Fanziquan D",142,IF(Atletas!L482="Huaquan D",143,IF(Atletas!L482="Hongquan D",144,IF(Atletas!L482="Paochui D",145,IF(Atletas!L482="Piguaquan D",146,IF(Atletas!L482="Shaolinquan D",147,IF(Atletas!L482="Tanglangquan D",148,IF(Atletas!L482="Yinzhaophai D",149,IF(Atletas!L482="Tongbeiquan D",150,IF(Atletas!L482="Wudangquan D",151,IF(Atletas!L482="Outros Estilos D",152,IF(Atletas!L482="Chaquan E",153,IF(Atletas!L482="Emeiquan E",154,IF(Atletas!L482="Fanziquan E",155,IF(Atletas!L482="Huaquan E",156,IF(Atletas!L482="Hongquan E",157,IF(Atletas!L482="Paochui E",158,IF(Atletas!L482="Piguaquan E",159,IF(Atletas!L482="Shaolinquan E",160,IF(Atletas!L482="Tanglangquan E",161,IF(Atletas!L482="Yinzhaophai E",162,IF(Atletas!L482="Tongbeiquan E",163,IF(Atletas!L482="Wudangquan E",164,IF(Atletas!L482="Outros Estilos E",165,IF(Atletas!L482="Chaquan F",166,IF(Atletas!L482="Emeiquan F",167,IF(Atletas!L482="Fanziquan F",168,IF(Atletas!L482="Huaquan F",169,IF(Atletas!L482="Hongquan F",170,IF(Atletas!L482="Paochui F",171,IF(Atletas!L482="Piguaquan F",172,IF(Atletas!L482="Shaolinquan F",173,IF(Atletas!L482="Tanglangquan F",174,IF(Atletas!L482="Yinzhaophai F",175,IF(Atletas!L482="Tongbeiquan F",176,IF(Atletas!L482="Wudangquan F",177,IF(Atletas!L482="Outros Estilos F",178,0))))))))))))))))))))))))))))))))))))))))))</f>
        <v/>
      </c>
      <c r="BN486" s="52" t="str">
        <f>IF(Atletas!M482="","",IF(Atletas!W482&lt;&gt;"",10000,0)+(IF(Atletas!B482="Feminino",1000,IF(Atletas!B482="Masculino",2000,""))+(IF(Atletas!M482="Ditangquan A",201,IF(Atletas!M482="Houquan A",202,IF(Atletas!M482="Zuiquan A",203,IF(Atletas!M482="Ditangquan B",204,IF(Atletas!M482="Houquan B",205,IF(Atletas!M482="Zuiquan B",206,IF(Atletas!M482="Ditangquan C",207,IF(Atletas!M482="Houquan C",208,IF(Atletas!M482="Zuiquan C",209,IF(Atletas!M482="Ditangquan D",210,IF(Atletas!M482="Houquan D",211,IF(Atletas!M482="Zuiquan D",212,IF(Atletas!M482="Ditangquan E",213,IF(Atletas!M482="Houquan E",214,IF(Atletas!M482="Zuiquan E",215,IF(Atletas!M482="Ditangquan F",216,IF(Atletas!M482="Houquan F",217,IF(Atletas!M482="Zuiquan F",218,"")))))))))))))))))))))</f>
        <v/>
      </c>
      <c r="BO486" s="52" t="str">
        <f>IF(Atletas!N482="","",IF(Atletas!W482&lt;&gt;"",10000,0)+IF(Atletas!B482="Feminino",1000,IF(Atletas!B482="Masculino",2000,""))+IF(Atletas!N482="Yang A",301,IF(Atletas!N482="Chen A",30,IF(Atletas!N482="Sun A",303,IF(Atletas!N482="Wu A",304,IF(Atletas!N482="Wu-Hao A",305,IF(Atletas!N482="Outro Taijiquan A",306,IF(Atletas!N482="Yang B",307,IF(Atletas!N482="Chen B",308,IF(Atletas!N482="Sun B",309,IF(Atletas!N482="Wu B",310,IF(Atletas!N482="Wu-Hao B",311,IF(Atletas!N482="Outro Taijiquan B",312,IF(Atletas!N482="Yang C",313,IF(Atletas!N482="Chen C",314,IF(Atletas!N482="Sun C",315,IF(Atletas!N482="Wu C",316,IF(Atletas!N482="Wu-Hao C",317,IF(Atletas!N482="Outro Taijiquan C",318,IF(Atletas!N482="Yang D",319,IF(Atletas!N482="Chen D",320,IF(Atletas!N482="Sun D",321,IF(Atletas!N482="Wu D",322,IF(Atletas!N482="Wu-Hao D",323,IF(Atletas!N482="Outro Taijiquan D",324,IF(Atletas!N482="Yang E",325,IF(Atletas!N482="Chen E",326,IF(Atletas!N482="Sun E",327,IF(Atletas!N482="Wu E",328,IF(Atletas!N482="Wu-Hao E",329,IF(Atletas!N482="Outro Taijiquan E",330,IF(Atletas!N482="Yang F",331,IF(Atletas!N482="Chen F",332,IF(Atletas!N482="Sun F",333,IF(Atletas!N482="Wu F",334,IF(Atletas!N482="Wu-Hao F",335,IF(Atletas!N482="Outro Taijiquan F",336,"")))))))))))))))))))))))))))))))))))))</f>
        <v/>
      </c>
      <c r="BP486" s="52" t="str">
        <f>IF(Atletas!O482="","",IF(Atletas!W482&lt;&gt;"",10000,0)+IF(Atletas!B482="Feminino",1000,IF(Atletas!B482="Masculino",2000,""))+IF(OR(Atletas!O482="Yang 26 A",Atletas!O482="Yang 40 A"),401,IF(OR(Atletas!O482="Chen 25 A",Atletas!O482="Chen 36 A",Atletas!O482="Chen 56 A"),402,IF(Atletas!O482="Sun 73 A",403,IF(Atletas!O482="Wu 45 A",404,IF(Atletas!O482="Wu-Hao 46 A",405,IF(OR(Atletas!O482="Taijiquan 16 A",Atletas!O482="Taijiquan 24 A",Atletas!O482="Taijiquan 32 A",Atletas!O482="Taijiquan 42 A"),406,IF(OR(Atletas!O482="Yang 26 B",Atletas!O482="Yang 40 B"),407,IF(OR(Atletas!O482="Chen 25 B",Atletas!O482="Chen 36 B",Atletas!O482="Chen 56 B"),408,IF(Atletas!O482="Sun 73 B",409,IF(Atletas!O482="Wu 45 B",410,IF(Atletas!O482="Wu-Hao 46 B",411,IF(OR(Atletas!O482="Taijiquan 16 B",Atletas!O482="Taijiquan 24 B",Atletas!O482="Taijiquan 32 B",Atletas!O482="Taijiquan 42 B"),412,IF(OR(Atletas!O482="Yang 26 C",Atletas!O482="Yang 40 C"),413,IF(OR(Atletas!O482="Chen 25 C",Atletas!O482="Chen 36 C",Atletas!O482="Chen 56 C"),414,IF(Atletas!O482="Sun 73 C",415,IF(Atletas!O482="Wu 45 C",416,IF(Atletas!O482="Wu-Hao 46 C",417,IF(OR(Atletas!O482="Taijiquan 16 C",Atletas!O482="Taijiquan 24 C",Atletas!O482="Taijiquan 32 C",Atletas!O482="Taijiquan 42 C"),418,0)))))))))))))))))))</f>
        <v/>
      </c>
      <c r="BQ486" s="52" t="str">
        <f>IF(Atletas!O482="","",IF(Atletas!W482&lt;&gt;"",10000,0)+IF(Atletas!B482="Feminino",1000,IF(Atletas!B482="Masculino",2000,""))+IF(OR(Atletas!O482="Yang 26 D",Atletas!O482="Yang 40 D"),419,IF(OR(Atletas!O482="Chen 25 D",Atletas!O482="Chen 36 D",Atletas!O482="Chen 56 D"),420,IF(Atletas!O482="Sun 73 D",421,IF(Atletas!O482="Wu 45 D",422,IF(Atletas!O482="Wu-Hao 46 D",423,IF(OR(Atletas!O482="Taijiquan 16 D",Atletas!O482="Taijiquan 24 D",Atletas!O482="Taijiquan 32 D",Atletas!O482="Taijiquan 42 D"),424,IF(OR(Atletas!O482="Yang 26 E",Atletas!O482="Yang 40 E"),425,IF(OR(Atletas!O482="Chen 25 E",Atletas!O482="Chen 36 E",Atletas!O482="Chen 56 E"),426,IF(Atletas!O482="Sun 73 E",427,IF(Atletas!O482="Wu 45 E",428,IF(Atletas!O482="Wu-Hao 46 E",429,IF(OR(Atletas!O482="Taijiquan 16 E",Atletas!O482="Taijiquan 24 E",Atletas!O482="Taijiquan 32 E",Atletas!O482="Taijiquan 42 E"),430,IF(OR(Atletas!O482="Yang 26 F",Atletas!O482="Yang 40 F"),431,IF(OR(Atletas!O482="Chen 25 F",Atletas!O482="Chen 36 F",Atletas!O482="Chen 56 F"),432,IF(Atletas!O482="Sun 73 F",433,IF(Atletas!O482="Wu 45 F",434,IF(Atletas!O482="Wu-Hao 46 F",435,IF(OR(Atletas!O482="Taijiquan 16 F",Atletas!O482="Taijiquan 24 F",Atletas!O482="Taijiquan 32 F",Atletas!O482="Taijiquan 42 F"),436,0)))))))))))))))))))</f>
        <v/>
      </c>
      <c r="BR486" s="52" t="str">
        <f>IF(Atletas!P482="","",IF(Atletas!W482&lt;&gt;"",10000,0)+IF(Atletas!B482="Feminino",1000,IF(Atletas!B482="Masculino",2000,""))+IF(Atletas!P482="Xingyiquan A",501,IF(Atletas!P482="Baguazhang A",502,IF(Atletas!P482="Outro Estilo Interno A",503,IF(Atletas!P482="Xingyiquan B",504,IF(Atletas!P482="Baguazhang B",505,IF(Atletas!P482="Outro Estilo Interno B",506,IF(Atletas!P482="Xingyiquan C",507,IF(Atletas!P482="Baguazhang C",508,IF(Atletas!P482="Outro Estilo Interno C",509,IF(Atletas!P482="Xingyiquan D",510,IF(Atletas!P482="Baguazhang D",511,IF(Atletas!P482="Outro Estilo Interno D",512,IF(Atletas!P482="Xingyiquan E",513,IF(Atletas!P482="Baguazhang E",514,IF(Atletas!P482="Outro Estilo Interno E",515,IF(Atletas!P482="Xingyiquan F",516,IF(Atletas!P482="Baguazhang F",517,IF(Atletas!P482="Outro Estilo Interno F",518, "")))))))))))))))))))</f>
        <v/>
      </c>
      <c r="BS486" s="52" t="str">
        <f>IF(Atletas!Q482="","",IF(Atletas!W482&lt;&gt;"",10000,0)+IF(Atletas!B482="Feminino",1000,IF(Atletas!B482="Masculino",2000,""))+IF(Atletas!Q482="Dao A",601,IF(Atletas!Q482="Jian A",602,IF(Atletas!Q482="Bishou A",603,IF(Atletas!Q482="Shan A",604,IF(Atletas!Q482="Outra Arma Curta A",605,IF(Atletas!Q482="Dao B",606,IF(Atletas!Q482="Jian B",607,IF(Atletas!Q482="Bishou B",608,IF(Atletas!Q482="Shan B",609,IF(Atletas!Q482="Outra Arma Curta B",610,IF(Atletas!Q482="Dao C",611,IF(Atletas!Q482="Jian C",612,IF(Atletas!Q482="Bishou C",613,IF(Atletas!Q482="Shan C",614,IF(Atletas!Q482="Outra Arma Curta C",615,IF(Atletas!Q482="Dao D",616,IF(Atletas!Q482="Jian D",617,IF(Atletas!Q482="Bishou D",618,IF(Atletas!Q482="Shan D",619,IF(Atletas!Q482="Outra Arma Curta D",620,IF(Atletas!Q482="Dao E",621,IF(Atletas!Q482="Jian E",622,IF(Atletas!Q482="Bishou E",623,IF(Atletas!Q482="Shan E",624,IF(Atletas!Q482="Outra Arma Curta E",625,IF(Atletas!Q482="Dao F",626,IF(Atletas!Q482="Jian F",627,IF(Atletas!Q482="Bishou F",628,IF(Atletas!Q482="Shan F",629,IF(Atletas!Q482="Outra Arma Curta F",630, "")))))))))))))))))))))))))))))))</f>
        <v/>
      </c>
      <c r="BT486" s="52" t="str">
        <f>IF(Atletas!R482="","",IF(Atletas!W482&lt;&gt;"",10000,0)+IF(Atletas!B482="Feminino",1000,IF(Atletas!B482="Masculino",2000,""))+IF(Atletas!R482="Gun A",701,IF(Atletas!R482="Qiang A",702,IF(Atletas!R482="Pudao / Guandao A",703,IF(Atletas!R482="Outra Arma Longa A",704,IF(Atletas!R482="Gun B",705,IF(Atletas!R482="Qiang B",706,IF(Atletas!R482="Pudao / Guandao B",707,IF(Atletas!R482="Outra Arma Longa B",708,IF(Atletas!R482="Gun C",709,IF(Atletas!R482="Qiang C",710,IF(Atletas!R482="Pudao / Guandao C",711,IF(Atletas!R482="Outra Arma Longa C",712,IF(Atletas!R482="Gun D",713,IF(Atletas!R482="Qiang D",714,IF(Atletas!R482="Pudao / Guandao D",715,IF(Atletas!R482="Outra Arma Longa D",716,IF(Atletas!R482="Gun E",717,IF(Atletas!R482="Qiang E",718,IF(Atletas!R482="Pudao / Guandao E",719,IF(Atletas!R482="Outra Arma Longa E",720,IF(Atletas!R482="Gun F",721,IF(Atletas!R482="Qiang F",722,IF(Atletas!R482="Pudao / Guandao F",723,IF(Atletas!R482="Outra Arma Longa F",724,"")))))))))))))))))))))))))</f>
        <v/>
      </c>
      <c r="BU486" s="52" t="str">
        <f>IF(Atletas!S482="","",IF(Atletas!W482&lt;&gt;"",10000,0)+IF(Atletas!B482="Feminino",1000,IF(Atletas!B482="Masculino",2000,""))+IF(Atletas!S482="Arma Dupla A",801,IF(Atletas!S482="Arma Maleável A",802,IF(Atletas!S482="Arma Dupla B",803,IF(Atletas!S482="Arma Maleável B",804,IF(Atletas!S482="Arma Dupla C",805,IF(Atletas!S482="Arma Maleável C",806,IF(Atletas!S482="Arma Dupla D",807,IF(Atletas!S482="Arma Maleável D",808,IF(Atletas!S482="Arma Dupla E",809,IF(Atletas!S482="Arma Maleável E",810,IF(Atletas!S482="Arma Dupla F",811,IF(Atletas!S482="Arma Maleável F",812, "")))))))))))))</f>
        <v/>
      </c>
      <c r="BV486" s="52" t="str">
        <f>IF(Atletas!T482="","",IF(Atletas!W482&lt;&gt;"",10000,0)+IF(Atletas!B482="Feminino",1000,IF(Atletas!B482="Masculino",2000,""))+IF(Atletas!T482="Taijijian Yang A",901,IF(Atletas!T482="Taijijian Chen A",902,IF(Atletas!T482="Taijijian Sun A",903,IF(Atletas!T482="Taijijian Wu A",904,IF(Atletas!T482="Taijijian Wu-Hao A",905,IF(Atletas!T482="Taijijian 32 A",906,IF(Atletas!T482="Taijijian 42 A",907,IF(Atletas!T482="Taijijian Yang B",908,IF(Atletas!T482="Taijijian Chen B",909,IF(Atletas!T482="Taijijian Sun B",910,IF(Atletas!T482="Taijijian Wu B",911,IF(Atletas!T482="Taijijian Wu-Hao B",912,IF(Atletas!T482="Taijijian 32 B",913,IF(Atletas!T482="Taijijian 42 B",914,IF(Atletas!T482="Taijijian Yang C",915,IF(Atletas!T482="Taijijian Chen C",916,IF(Atletas!T482="Taijijian Sun C",917,IF(Atletas!T482="Taijijian Wu C",918,IF(Atletas!T482="Taijijian Wu-Hao C",919,IF(Atletas!T482="Taijijian 32 C",920,IF(Atletas!T482="Taijijian 42 C",921,IF(Atletas!T482="Taijijian Yang D",922,IF(Atletas!T482="Taijijian Chen D",923,IF(Atletas!T482="Taijijian Sun D",924,IF(Atletas!T482="Taijijian Wu D",925,IF(Atletas!T482="Taijijian Wu-Hao D",926,IF(Atletas!T482="Taijijian 32 D",927,IF(Atletas!T482="Taijijian 42 D",928,IF(Atletas!T482="Taijijian Yang E",929,IF(Atletas!T482="Taijijian Chen E",930,IF(Atletas!T482="Taijijian Sun E",931,IF(Atletas!T482="Taijijian Wu E",932,IF(Atletas!T482="Taijijian Wu-Hao E",933,IF(Atletas!T482="Taijijian 32 E",934,IF(Atletas!T482="Taijijian 42 E",935,IF(Atletas!T482="Taijijian Yang F",936,IF(Atletas!T482="Taijijian Chen F",937,IF(Atletas!T482="Taijijian Sun F",938,IF(Atletas!T482="Taijijian Wu F",939,IF(Atletas!T482="Taijijian Wu-Hao F",940,IF(Atletas!T482="Taijijian 32 F",941,IF(Atletas!T482="Taijijian 42 F",942,"")))))))))))))))))))))))))))))))))))))))))))</f>
        <v/>
      </c>
      <c r="BW486" s="52" t="str">
        <f>IF(Atletas!U482="","",IF(Atletas!W482&lt;&gt;"",10000,0)+IF(Atletas!B482="Feminino",1000,IF(Atletas!B482="Masculino",2000,""))+IF(Atletas!T482="Taijijian 42 F",942,IF(Atletas!U482="Taijidao A",943,IF(Atletas!U482="Taijishan A",944,IF(Atletas!U482="Taijiqiang A",945,IF(Atletas!U482="Taijidao B",946,IF(Atletas!U482="Taijishan B",947,IF(Atletas!U482="Taijiqiang B",948,IF(Atletas!U482="Taijidao C",949,IF(Atletas!U482="Taijishan C",950,IF(Atletas!U482="Taijiqiang C",951,IF(Atletas!U482="Taijidao D",952,IF(Atletas!U482="Taijishan D",953,IF(Atletas!U482="Taijiqiang D",954,IF(Atletas!U482="Taijidao E",955,IF(Atletas!U482="Taijishan E",956,IF(Atletas!U482="Taijiqiang E",957,IF(Atletas!U482="Taijidao F",958,IF(Atletas!U482="Taijishan F",959,IF(Atletas!U482="Taijiqiang F",960))))))))))))))))))))</f>
        <v/>
      </c>
      <c r="CF486" s="52" t="str">
        <f xml:space="preserve"> IF(Atletas!V482="","",IF(Atletas!V482="Duilian de Mãos AB - Equipe 1",1,IF(Atletas!V482="Duilian de Mãos AB - Equipe 2",2,IF(Atletas!V482="Duilian de Armas AB - Equipe 1",3,IF(Atletas!V482="Duilian de Armas AB - Equipe 2",4,IF(Atletas!V482="Duilian de Tuishou - Equipe 1",5,IF(Atletas!V482="Duilian de Tuishou - Equipe 2",6,IF(Atletas!V482="Grupo Externo AB - Equipe 1",7,IF(Atletas!V482="Grupo Externo AB - Equipe 2",8,IF(Atletas!V482="Grupo Interno AB - Equipe 1",9,IF(Atletas!V482="Grupo Interno AB - Equipe 2",10,IF(Atletas!V482="Duilian de Mãos CD - Equipe 1",11,IF(Atletas!V482="Duilian de Mãos CD - Equipe 2",12,IF(Atletas!V482="Duilian de Armas CD - Equipe 1",13,IF(Atletas!V482="Duilian de Armas CD - Equipe 2",14,IF(Atletas!V482="Duilian de Tuishou - Equipe 1",15,IF(Atletas!V482="Duilian de Tuishou - Equipe 2",16,IF(Atletas!V482="Grupo Externo CDEF - Equipe 1",17,IF(Atletas!V482="Grupo Externo CDEF - Equipe 2",18,IF(Atletas!V482="Grupo Interno CDEF - Equipe 1",19,IF(Atletas!V482="Grupo Interno CDEF - Equipe 2",20,IF(Atletas!V482="Duilian de Mãos EF - Equipe 1",21,IF(Atletas!V482="Duilian de Mãos EF - Equipe 2",22,IF(Atletas!V482="Duilian de Armas EF - Equipe 1",23,IF(Atletas!V482="Duilian de Armas EF - Equipe 2",24,IF(Atletas!V482="Duilian de Tuishou - Equipe 1",25,IF(Atletas!V482="Duilian de Tuishou - Equipe 2",26,"")))))))))))))))))))))))))))</f>
        <v/>
      </c>
    </row>
    <row r="487" spans="36:84">
      <c r="AJ487" s="46" t="str">
        <f>IF(Atletas!D483="","",IF(Atletas!B483="Feminino",100,IF(Atletas!B483="Masculino",200,""))+(IF(Atletas!D483="Infantil 39kg",1,IF(Atletas!D483="Infantil 42kg",2,IF(Atletas!D483="Infantil 45kg",3,IF(Atletas!D483="Infantil 48kg",4,IF(Atletas!D483="Infantil 52kg",5,IF(Atletas!D483="Infantil 56kg",6,IF(Atletas!D483="Infantil 60kg",7,IF(Atletas!D483="Juvenil 48kg",8,IF(Atletas!D483="Juvenil 52kg",9,IF(Atletas!D483="Juvenil 56kg",10,IF(Atletas!D483="Juvenil 60kg",11,IF(Atletas!D483="Juvenil 65kg",12,IF(Atletas!D483="Juvenil 70kg",13,IF(Atletas!D483="Juvenil 75kg",14,IF(Atletas!D483="Juvenil 80kg",15,IF(Atletas!D483="Adulto 48kg",16,IF(Atletas!D483="Adulto 52kg",17,IF(Atletas!D483="Adulto 56kg",18,IF(Atletas!D483="Adulto 60kg",19,IF(Atletas!D483="Adulto 65kg",20,IF(Atletas!D483="Adulto 70kg",21,IF(Atletas!D483="Adulto 75kg",22,IF(Atletas!D483="Adulto 80kg",23,IF(Atletas!D483="Adulto 85kg",24,IF(Atletas!D483="Adulto 90kg",25,IF(Atletas!D483="Adulto +90kg",26,""))))))))))))))))))))))))))))</f>
        <v/>
      </c>
      <c r="AO487" s="10" t="str">
        <f>IF(Atletas!E483="","",IF(Atletas!B483="Feminino",100,IF(Atletas!B483="Masculino",200,""))+(IF(Atletas!E483="Juvenil 44kg",1,IF(Atletas!E483="Juvenil 48kg",2,IF(Atletas!E483="Juvenil 52kg",3,IF(Atletas!E483="Juvenil 56kg",4,IF(Atletas!E483="Juvenil 60kg",5,IF(Atletas!E483="Juvenil 65kg",6,IF(Atletas!E483="Juvenil 70kg",7,IF(Atletas!E483="Juvenil 75kg",8,IF(Atletas!E483="Juvenil 82kg",9,IF(Atletas!E483="Juvenil 90kg",10,IF(Atletas!E483="Juvenil 100kg",11,IF(Atletas!E483="Adulto 48kg",12,IF(Atletas!E483="Adulto 52kg",13,IF(Atletas!E483="Adulto 56kg",14,IF(Atletas!E483="Adulto 60kg",15,IF(Atletas!E483="Adulto 65kg",16,IF(Atletas!E483="Adulto 70kg",17,IF(Atletas!E483="Adulto 75kg",18,IF(Atletas!E483="Adulto 82kg",19,IF(Atletas!E483="Adulto 90kg",20,IF(Atletas!E483="Adulto 100kg",21,IF(Atletas!E483="Adulto +100kg",22,""))))))))))))))))))))))))</f>
        <v/>
      </c>
      <c r="AT487" s="10" t="str">
        <f>IF(Atletas!F483="","",IF(Atletas!B483="Feminino",100,IF(Atletas!B483="Masculino",200,""))+(IF(Atletas!F483="Adulto 48kg",1,IF(Atletas!F483="Adulto 56kg",2,IF(Atletas!F483="Adulto 65kg",3,IF(Atletas!F483="Adulto 75kg",4,IF(Atletas!F483="Adulto +75kg",5,IF(Atletas!F483="Adulto 52kg",6,IF(Atletas!F483="Adulto 60kg",7,IF(Atletas!F483="Adulto 70kg",8,IF(Atletas!F483="Adulto 80kg",9,IF(Atletas!F483="Adulto 90kg",10,IF(Atletas!F483="Adulto +90kg",11,"")))))))))))))</f>
        <v/>
      </c>
      <c r="AY487" s="46" t="str">
        <f>IF(Atletas!G483="","",IF(Atletas!B483="Feminino",100,IF(Atletas!B483="Masculino",200,""))+(IF(Atletas!G483="Changquan Mirim",1,IF(Atletas!G483="Nanquan Mirim",2,IF(Atletas!G483="Taijiquan Mirim",3,IF(Atletas!G483="Changquan Grupo C",4,IF(Atletas!G483="Nanquan Grupo C",5,IF(Atletas!G483="Taijiquan Grupo C",6,IF(Atletas!G483="Changquan Grupo B",7,IF(Atletas!G483="Nanquan Grupo B",8,IF(Atletas!G483="Taijiquan Grupo B",9,IF(Atletas!G483="Changquan Grupo A",10,IF(Atletas!G483="Nanquan Grupo A",11,IF(Atletas!G483="Taijiquan Grupo A",12,IF(Atletas!G483="Changquan Opcional",13,IF(Atletas!G483="Nanquan Opcional",14,IF(Atletas!G483="Taijiquan Opcional",15,IF(Atletas!G483="Changquan Adulto",16,IF(Atletas!G483="Nanquan Adulto",17,IF(Atletas!G483="Taijiquan Adulto",18,""))))))))))))))))))))</f>
        <v/>
      </c>
      <c r="AZ487" s="46" t="str">
        <f>IF(Atletas!H483="","",IF(Atletas!B483="Feminino",100,IF(Atletas!B483="Masculino",200,""))+(IF(Atletas!H483="Daoshu Mirim",19,IF(Atletas!H483="Jianshu Mirim",20,IF(Atletas!H483="Nandao Mirim",21,IF(Atletas!H483="Taijijian Mirim",22,IF(Atletas!H483="Daoshu Grupo C",23,IF(Atletas!H483="Jianshu Grupo C",24,IF(Atletas!H483="Nandao Grupo C",25,IF(Atletas!H483="Taijijian Grupo C",26,IF(Atletas!H483="Daoshu Grupo B",27,IF(Atletas!H483="Jianshu Grupo B",28,IF(Atletas!H483="Nandao Grupo B",29,IF(Atletas!H483="Taijijian Grupo B",30,IF(Atletas!H483="Daoshu Grupo A",31,IF(Atletas!H483="Jianshu Grupo A",32,IF(Atletas!H483="Nandao Grupo A",33,IF(Atletas!H483="Taijijian Grupo A",34,IF(Atletas!H483="Daoshu Opcional",35,IF(Atletas!H483="Jianshu Opcional",36,IF(Atletas!H483="Nandao Opcional",37,IF(Atletas!H483="Taijijian Opcional",38,IF(Atletas!H483="Daoshu Adulto",39,IF(Atletas!H483="Jianshu Adulto",40,IF(Atletas!H483="Nandao Adulto",41,IF(Atletas!H483="Taijijian Adulto",42,""))))))))))))))))))))))))))</f>
        <v/>
      </c>
      <c r="BA487" s="46" t="str">
        <f>IF(Atletas!I483="","",IF(Atletas!B483="Feminino",100,IF(Atletas!B483="Masculino",200,""))+(IF(Atletas!I483="Gunshu Mirim",43,IF(Atletas!I483="Qiangshu Mirim",44,IF(Atletas!I483="Nangun Mirim",45,IF(Atletas!I483="Gunshu Grupo C",46,IF(Atletas!I483="Qiangshu Grupo C",47,IF(Atletas!I483="Nangun Grupo C",48,IF(Atletas!I483="Gunshu Grupo B",49,IF(Atletas!I483="Qiangshu Grupo B",50,IF(Atletas!I483="Nangun Grupo B",51,IF(Atletas!I483="Gunshu Grupo A",52,IF(Atletas!I483="Qiangshu Grupo A",53,IF(Atletas!I483="Nangun Grupo A",54,IF(Atletas!I483="Gunshu Opcional",55,IF(Atletas!I483="Qiangshu Opcional",56,IF(Atletas!I483="Nangun Opcional",57,IF(Atletas!I483="Gunshu Adulto",58,IF(Atletas!I483="Qiangshu Adulto",59,IF(Atletas!I483="Nangun Adulto",60,""))))))))))))))))))))</f>
        <v/>
      </c>
      <c r="BF487" s="52" t="str">
        <f>IF(Atletas!J483="","",IF(Atletas!B483="Feminino",100,IF(Atletas!B483="Masculino",200,""))+(IF(Atletas!J483="Equipe 1 Grupo B",1,IF(Atletas!J483="Equipe 2 Grupo B",2,IF(Atletas!J483="Equipe 1 Grupo A",3,IF(Atletas!J483="Equipe 2 Grupo A",4,IF(Atletas!J483="Equipe 1 Adulto",5,IF(Atletas!J483="Equipe 2 Adulto",6,""))))))))</f>
        <v/>
      </c>
      <c r="BK487" s="52" t="str">
        <f>IF(Atletas!K483="","",IF(Atletas!W483&lt;&gt;"",10000,0)+(IF(Atletas!B483="Feminino",1000,IF(Atletas!B483="Masculino",2000,""))+IF(Atletas!K483="Choylayfut A",1,IF(Atletas!K483="Hunggar A",2,IF(Atletas!K483="Wuzuquan A",3,IF(Atletas!K483="Wingchun A",4,IF(Atletas!K483="Outra Mão de Sul A",5,IF(Atletas!K483="Choylayfut B",6,IF(Atletas!K483="Hunggar B",7,IF(Atletas!K483="Wuzuquan B",8,IF(Atletas!K483="Wingchun B",9,IF(Atletas!K483="Outra Mão de Sul B",10,IF(Atletas!K483="Choylayfut C",11,IF(Atletas!K483="Hunggar C",12,IF(Atletas!K483="Wuzuquan C",13,IF(Atletas!K483="Wingchun C",14,IF(Atletas!K483="Outra Mão de Sul C",15,IF(Atletas!K483="Choylayfut D",16,IF(Atletas!K483="Hunggar D",17,IF(Atletas!K483="Wuzuquan D",18,IF(Atletas!K483="Wingchun D",19,IF(Atletas!K483="Outra Mão de Sul D",20,IF(Atletas!K483="Choylayfut E",21,IF(Atletas!K483="Hunggar E",22,IF(Atletas!K483="Wuzuquan E",23,IF(Atletas!K483="Wingchun E",24,IF(Atletas!K483="Outra Mão de Sul E",25,IF(Atletas!K483="Choylayfut F",26,IF(Atletas!K483="Hunggar F",27,IF(Atletas!K483="Wuzuquan F",28,IF(Atletas!K483="Wingchun F",29,IF(Atletas!K483="Outra Mão de Sul F",30,""))))))))))))))))))))))))))))))))</f>
        <v/>
      </c>
      <c r="BL487" s="52" t="str">
        <f>IF(Atletas!L483="","",IF(Atletas!W483&lt;&gt;"",10000,0)+(IF(Atletas!B483="Feminino",1000,IF(Atletas!B483="Masculino",2000,""))+(IF(Atletas!L483="Chaquan A",101,IF(Atletas!L483="Emeiquan A",102,IF(Atletas!L483="Fanziquan A",103,IF(Atletas!L483="Huaquan A",104,IF(Atletas!L483="Hongquan A",105,IF(Atletas!L483="Paochui A",106,IF(Atletas!L483="Piguaquan A",107,IF(Atletas!L483="Shaolinquan A",108,IF(Atletas!L483="Tanglangquan A",109,IF(Atletas!L483="Yinzhaophai A",110,IF(Atletas!L483="Tongbeiquan A",111,IF(Atletas!L483="Wudangquan A",112,IF(Atletas!L483="Outros Estilos A",113,IF(Atletas!L483="Chaquan B",114,IF(Atletas!L483="Emeiquan B",115,IF(Atletas!L483="Fanziquan B",116,IF(Atletas!L483="Huaquan B",117,IF(Atletas!L483="Hongquan B",118,IF(Atletas!L483="Paochui B",119,IF(Atletas!L483="Piguaquan B",120,IF(Atletas!L483="Shaolinquan B",121,IF(Atletas!L483="Tanglangquan B",122,IF(Atletas!L483="Yinzhaophai B",123,IF(Atletas!L483="Tongbeiquan B",124,IF(Atletas!L483="Wudangquan B",125,IF(Atletas!L483="Outros Estilos B",126,IF(Atletas!L483="Chaquan C",127,IF(Atletas!L483="Emeiquan C",128,IF(Atletas!L483="Fanziquan C",129,IF(Atletas!L483="Huaquan C",130,IF(Atletas!L483="Hongquan C",131,IF(Atletas!L483="Paochui C",132,IF(Atletas!L483="Piguaquan C",133,IF(Atletas!L483="Shaolinquan C",134,IF(Atletas!L483="Tanglangquan C",135,IF(Atletas!L483="Yinzhaophai C",136,IF(Atletas!L483="Tongbeiquan C",137,IF(Atletas!L483="Wudangquan C",138,IF(Atletas!L483="Outros Estilos C",139,0))))))))))))))))))))))))))))))))))))))))))</f>
        <v/>
      </c>
      <c r="BM487" s="52" t="str">
        <f>IF(Atletas!L483="","",IF(Atletas!W483&lt;&gt;"",10000,0)+(IF(Atletas!B483="Feminino",1000,IF(Atletas!B483="Masculino",2000,""))+(IF(Atletas!L483="Chaquan D",140,IF(Atletas!L483="Emeiquan D",141,IF(Atletas!L483="Fanziquan D",142,IF(Atletas!L483="Huaquan D",143,IF(Atletas!L483="Hongquan D",144,IF(Atletas!L483="Paochui D",145,IF(Atletas!L483="Piguaquan D",146,IF(Atletas!L483="Shaolinquan D",147,IF(Atletas!L483="Tanglangquan D",148,IF(Atletas!L483="Yinzhaophai D",149,IF(Atletas!L483="Tongbeiquan D",150,IF(Atletas!L483="Wudangquan D",151,IF(Atletas!L483="Outros Estilos D",152,IF(Atletas!L483="Chaquan E",153,IF(Atletas!L483="Emeiquan E",154,IF(Atletas!L483="Fanziquan E",155,IF(Atletas!L483="Huaquan E",156,IF(Atletas!L483="Hongquan E",157,IF(Atletas!L483="Paochui E",158,IF(Atletas!L483="Piguaquan E",159,IF(Atletas!L483="Shaolinquan E",160,IF(Atletas!L483="Tanglangquan E",161,IF(Atletas!L483="Yinzhaophai E",162,IF(Atletas!L483="Tongbeiquan E",163,IF(Atletas!L483="Wudangquan E",164,IF(Atletas!L483="Outros Estilos E",165,IF(Atletas!L483="Chaquan F",166,IF(Atletas!L483="Emeiquan F",167,IF(Atletas!L483="Fanziquan F",168,IF(Atletas!L483="Huaquan F",169,IF(Atletas!L483="Hongquan F",170,IF(Atletas!L483="Paochui F",171,IF(Atletas!L483="Piguaquan F",172,IF(Atletas!L483="Shaolinquan F",173,IF(Atletas!L483="Tanglangquan F",174,IF(Atletas!L483="Yinzhaophai F",175,IF(Atletas!L483="Tongbeiquan F",176,IF(Atletas!L483="Wudangquan F",177,IF(Atletas!L483="Outros Estilos F",178,0))))))))))))))))))))))))))))))))))))))))))</f>
        <v/>
      </c>
      <c r="BN487" s="52" t="str">
        <f>IF(Atletas!M483="","",IF(Atletas!W483&lt;&gt;"",10000,0)+(IF(Atletas!B483="Feminino",1000,IF(Atletas!B483="Masculino",2000,""))+(IF(Atletas!M483="Ditangquan A",201,IF(Atletas!M483="Houquan A",202,IF(Atletas!M483="Zuiquan A",203,IF(Atletas!M483="Ditangquan B",204,IF(Atletas!M483="Houquan B",205,IF(Atletas!M483="Zuiquan B",206,IF(Atletas!M483="Ditangquan C",207,IF(Atletas!M483="Houquan C",208,IF(Atletas!M483="Zuiquan C",209,IF(Atletas!M483="Ditangquan D",210,IF(Atletas!M483="Houquan D",211,IF(Atletas!M483="Zuiquan D",212,IF(Atletas!M483="Ditangquan E",213,IF(Atletas!M483="Houquan E",214,IF(Atletas!M483="Zuiquan E",215,IF(Atletas!M483="Ditangquan F",216,IF(Atletas!M483="Houquan F",217,IF(Atletas!M483="Zuiquan F",218,"")))))))))))))))))))))</f>
        <v/>
      </c>
      <c r="BO487" s="52" t="str">
        <f>IF(Atletas!N483="","",IF(Atletas!W483&lt;&gt;"",10000,0)+IF(Atletas!B483="Feminino",1000,IF(Atletas!B483="Masculino",2000,""))+IF(Atletas!N483="Yang A",301,IF(Atletas!N483="Chen A",30,IF(Atletas!N483="Sun A",303,IF(Atletas!N483="Wu A",304,IF(Atletas!N483="Wu-Hao A",305,IF(Atletas!N483="Outro Taijiquan A",306,IF(Atletas!N483="Yang B",307,IF(Atletas!N483="Chen B",308,IF(Atletas!N483="Sun B",309,IF(Atletas!N483="Wu B",310,IF(Atletas!N483="Wu-Hao B",311,IF(Atletas!N483="Outro Taijiquan B",312,IF(Atletas!N483="Yang C",313,IF(Atletas!N483="Chen C",314,IF(Atletas!N483="Sun C",315,IF(Atletas!N483="Wu C",316,IF(Atletas!N483="Wu-Hao C",317,IF(Atletas!N483="Outro Taijiquan C",318,IF(Atletas!N483="Yang D",319,IF(Atletas!N483="Chen D",320,IF(Atletas!N483="Sun D",321,IF(Atletas!N483="Wu D",322,IF(Atletas!N483="Wu-Hao D",323,IF(Atletas!N483="Outro Taijiquan D",324,IF(Atletas!N483="Yang E",325,IF(Atletas!N483="Chen E",326,IF(Atletas!N483="Sun E",327,IF(Atletas!N483="Wu E",328,IF(Atletas!N483="Wu-Hao E",329,IF(Atletas!N483="Outro Taijiquan E",330,IF(Atletas!N483="Yang F",331,IF(Atletas!N483="Chen F",332,IF(Atletas!N483="Sun F",333,IF(Atletas!N483="Wu F",334,IF(Atletas!N483="Wu-Hao F",335,IF(Atletas!N483="Outro Taijiquan F",336,"")))))))))))))))))))))))))))))))))))))</f>
        <v/>
      </c>
      <c r="BP487" s="52" t="str">
        <f>IF(Atletas!O483="","",IF(Atletas!W483&lt;&gt;"",10000,0)+IF(Atletas!B483="Feminino",1000,IF(Atletas!B483="Masculino",2000,""))+IF(OR(Atletas!O483="Yang 26 A",Atletas!O483="Yang 40 A"),401,IF(OR(Atletas!O483="Chen 25 A",Atletas!O483="Chen 36 A",Atletas!O483="Chen 56 A"),402,IF(Atletas!O483="Sun 73 A",403,IF(Atletas!O483="Wu 45 A",404,IF(Atletas!O483="Wu-Hao 46 A",405,IF(OR(Atletas!O483="Taijiquan 16 A",Atletas!O483="Taijiquan 24 A",Atletas!O483="Taijiquan 32 A",Atletas!O483="Taijiquan 42 A"),406,IF(OR(Atletas!O483="Yang 26 B",Atletas!O483="Yang 40 B"),407,IF(OR(Atletas!O483="Chen 25 B",Atletas!O483="Chen 36 B",Atletas!O483="Chen 56 B"),408,IF(Atletas!O483="Sun 73 B",409,IF(Atletas!O483="Wu 45 B",410,IF(Atletas!O483="Wu-Hao 46 B",411,IF(OR(Atletas!O483="Taijiquan 16 B",Atletas!O483="Taijiquan 24 B",Atletas!O483="Taijiquan 32 B",Atletas!O483="Taijiquan 42 B"),412,IF(OR(Atletas!O483="Yang 26 C",Atletas!O483="Yang 40 C"),413,IF(OR(Atletas!O483="Chen 25 C",Atletas!O483="Chen 36 C",Atletas!O483="Chen 56 C"),414,IF(Atletas!O483="Sun 73 C",415,IF(Atletas!O483="Wu 45 C",416,IF(Atletas!O483="Wu-Hao 46 C",417,IF(OR(Atletas!O483="Taijiquan 16 C",Atletas!O483="Taijiquan 24 C",Atletas!O483="Taijiquan 32 C",Atletas!O483="Taijiquan 42 C"),418,0)))))))))))))))))))</f>
        <v/>
      </c>
      <c r="BQ487" s="52" t="str">
        <f>IF(Atletas!O483="","",IF(Atletas!W483&lt;&gt;"",10000,0)+IF(Atletas!B483="Feminino",1000,IF(Atletas!B483="Masculino",2000,""))+IF(OR(Atletas!O483="Yang 26 D",Atletas!O483="Yang 40 D"),419,IF(OR(Atletas!O483="Chen 25 D",Atletas!O483="Chen 36 D",Atletas!O483="Chen 56 D"),420,IF(Atletas!O483="Sun 73 D",421,IF(Atletas!O483="Wu 45 D",422,IF(Atletas!O483="Wu-Hao 46 D",423,IF(OR(Atletas!O483="Taijiquan 16 D",Atletas!O483="Taijiquan 24 D",Atletas!O483="Taijiquan 32 D",Atletas!O483="Taijiquan 42 D"),424,IF(OR(Atletas!O483="Yang 26 E",Atletas!O483="Yang 40 E"),425,IF(OR(Atletas!O483="Chen 25 E",Atletas!O483="Chen 36 E",Atletas!O483="Chen 56 E"),426,IF(Atletas!O483="Sun 73 E",427,IF(Atletas!O483="Wu 45 E",428,IF(Atletas!O483="Wu-Hao 46 E",429,IF(OR(Atletas!O483="Taijiquan 16 E",Atletas!O483="Taijiquan 24 E",Atletas!O483="Taijiquan 32 E",Atletas!O483="Taijiquan 42 E"),430,IF(OR(Atletas!O483="Yang 26 F",Atletas!O483="Yang 40 F"),431,IF(OR(Atletas!O483="Chen 25 F",Atletas!O483="Chen 36 F",Atletas!O483="Chen 56 F"),432,IF(Atletas!O483="Sun 73 F",433,IF(Atletas!O483="Wu 45 F",434,IF(Atletas!O483="Wu-Hao 46 F",435,IF(OR(Atletas!O483="Taijiquan 16 F",Atletas!O483="Taijiquan 24 F",Atletas!O483="Taijiquan 32 F",Atletas!O483="Taijiquan 42 F"),436,0)))))))))))))))))))</f>
        <v/>
      </c>
      <c r="BR487" s="52" t="str">
        <f>IF(Atletas!P483="","",IF(Atletas!W483&lt;&gt;"",10000,0)+IF(Atletas!B483="Feminino",1000,IF(Atletas!B483="Masculino",2000,""))+IF(Atletas!P483="Xingyiquan A",501,IF(Atletas!P483="Baguazhang A",502,IF(Atletas!P483="Outro Estilo Interno A",503,IF(Atletas!P483="Xingyiquan B",504,IF(Atletas!P483="Baguazhang B",505,IF(Atletas!P483="Outro Estilo Interno B",506,IF(Atletas!P483="Xingyiquan C",507,IF(Atletas!P483="Baguazhang C",508,IF(Atletas!P483="Outro Estilo Interno C",509,IF(Atletas!P483="Xingyiquan D",510,IF(Atletas!P483="Baguazhang D",511,IF(Atletas!P483="Outro Estilo Interno D",512,IF(Atletas!P483="Xingyiquan E",513,IF(Atletas!P483="Baguazhang E",514,IF(Atletas!P483="Outro Estilo Interno E",515,IF(Atletas!P483="Xingyiquan F",516,IF(Atletas!P483="Baguazhang F",517,IF(Atletas!P483="Outro Estilo Interno F",518, "")))))))))))))))))))</f>
        <v/>
      </c>
      <c r="BS487" s="52" t="str">
        <f>IF(Atletas!Q483="","",IF(Atletas!W483&lt;&gt;"",10000,0)+IF(Atletas!B483="Feminino",1000,IF(Atletas!B483="Masculino",2000,""))+IF(Atletas!Q483="Dao A",601,IF(Atletas!Q483="Jian A",602,IF(Atletas!Q483="Bishou A",603,IF(Atletas!Q483="Shan A",604,IF(Atletas!Q483="Outra Arma Curta A",605,IF(Atletas!Q483="Dao B",606,IF(Atletas!Q483="Jian B",607,IF(Atletas!Q483="Bishou B",608,IF(Atletas!Q483="Shan B",609,IF(Atletas!Q483="Outra Arma Curta B",610,IF(Atletas!Q483="Dao C",611,IF(Atletas!Q483="Jian C",612,IF(Atletas!Q483="Bishou C",613,IF(Atletas!Q483="Shan C",614,IF(Atletas!Q483="Outra Arma Curta C",615,IF(Atletas!Q483="Dao D",616,IF(Atletas!Q483="Jian D",617,IF(Atletas!Q483="Bishou D",618,IF(Atletas!Q483="Shan D",619,IF(Atletas!Q483="Outra Arma Curta D",620,IF(Atletas!Q483="Dao E",621,IF(Atletas!Q483="Jian E",622,IF(Atletas!Q483="Bishou E",623,IF(Atletas!Q483="Shan E",624,IF(Atletas!Q483="Outra Arma Curta E",625,IF(Atletas!Q483="Dao F",626,IF(Atletas!Q483="Jian F",627,IF(Atletas!Q483="Bishou F",628,IF(Atletas!Q483="Shan F",629,IF(Atletas!Q483="Outra Arma Curta F",630, "")))))))))))))))))))))))))))))))</f>
        <v/>
      </c>
      <c r="BT487" s="52" t="str">
        <f>IF(Atletas!R483="","",IF(Atletas!W483&lt;&gt;"",10000,0)+IF(Atletas!B483="Feminino",1000,IF(Atletas!B483="Masculino",2000,""))+IF(Atletas!R483="Gun A",701,IF(Atletas!R483="Qiang A",702,IF(Atletas!R483="Pudao / Guandao A",703,IF(Atletas!R483="Outra Arma Longa A",704,IF(Atletas!R483="Gun B",705,IF(Atletas!R483="Qiang B",706,IF(Atletas!R483="Pudao / Guandao B",707,IF(Atletas!R483="Outra Arma Longa B",708,IF(Atletas!R483="Gun C",709,IF(Atletas!R483="Qiang C",710,IF(Atletas!R483="Pudao / Guandao C",711,IF(Atletas!R483="Outra Arma Longa C",712,IF(Atletas!R483="Gun D",713,IF(Atletas!R483="Qiang D",714,IF(Atletas!R483="Pudao / Guandao D",715,IF(Atletas!R483="Outra Arma Longa D",716,IF(Atletas!R483="Gun E",717,IF(Atletas!R483="Qiang E",718,IF(Atletas!R483="Pudao / Guandao E",719,IF(Atletas!R483="Outra Arma Longa E",720,IF(Atletas!R483="Gun F",721,IF(Atletas!R483="Qiang F",722,IF(Atletas!R483="Pudao / Guandao F",723,IF(Atletas!R483="Outra Arma Longa F",724,"")))))))))))))))))))))))))</f>
        <v/>
      </c>
      <c r="BU487" s="52" t="str">
        <f>IF(Atletas!S483="","",IF(Atletas!W483&lt;&gt;"",10000,0)+IF(Atletas!B483="Feminino",1000,IF(Atletas!B483="Masculino",2000,""))+IF(Atletas!S483="Arma Dupla A",801,IF(Atletas!S483="Arma Maleável A",802,IF(Atletas!S483="Arma Dupla B",803,IF(Atletas!S483="Arma Maleável B",804,IF(Atletas!S483="Arma Dupla C",805,IF(Atletas!S483="Arma Maleável C",806,IF(Atletas!S483="Arma Dupla D",807,IF(Atletas!S483="Arma Maleável D",808,IF(Atletas!S483="Arma Dupla E",809,IF(Atletas!S483="Arma Maleável E",810,IF(Atletas!S483="Arma Dupla F",811,IF(Atletas!S483="Arma Maleável F",812, "")))))))))))))</f>
        <v/>
      </c>
      <c r="BV487" s="52" t="str">
        <f>IF(Atletas!T483="","",IF(Atletas!W483&lt;&gt;"",10000,0)+IF(Atletas!B483="Feminino",1000,IF(Atletas!B483="Masculino",2000,""))+IF(Atletas!T483="Taijijian Yang A",901,IF(Atletas!T483="Taijijian Chen A",902,IF(Atletas!T483="Taijijian Sun A",903,IF(Atletas!T483="Taijijian Wu A",904,IF(Atletas!T483="Taijijian Wu-Hao A",905,IF(Atletas!T483="Taijijian 32 A",906,IF(Atletas!T483="Taijijian 42 A",907,IF(Atletas!T483="Taijijian Yang B",908,IF(Atletas!T483="Taijijian Chen B",909,IF(Atletas!T483="Taijijian Sun B",910,IF(Atletas!T483="Taijijian Wu B",911,IF(Atletas!T483="Taijijian Wu-Hao B",912,IF(Atletas!T483="Taijijian 32 B",913,IF(Atletas!T483="Taijijian 42 B",914,IF(Atletas!T483="Taijijian Yang C",915,IF(Atletas!T483="Taijijian Chen C",916,IF(Atletas!T483="Taijijian Sun C",917,IF(Atletas!T483="Taijijian Wu C",918,IF(Atletas!T483="Taijijian Wu-Hao C",919,IF(Atletas!T483="Taijijian 32 C",920,IF(Atletas!T483="Taijijian 42 C",921,IF(Atletas!T483="Taijijian Yang D",922,IF(Atletas!T483="Taijijian Chen D",923,IF(Atletas!T483="Taijijian Sun D",924,IF(Atletas!T483="Taijijian Wu D",925,IF(Atletas!T483="Taijijian Wu-Hao D",926,IF(Atletas!T483="Taijijian 32 D",927,IF(Atletas!T483="Taijijian 42 D",928,IF(Atletas!T483="Taijijian Yang E",929,IF(Atletas!T483="Taijijian Chen E",930,IF(Atletas!T483="Taijijian Sun E",931,IF(Atletas!T483="Taijijian Wu E",932,IF(Atletas!T483="Taijijian Wu-Hao E",933,IF(Atletas!T483="Taijijian 32 E",934,IF(Atletas!T483="Taijijian 42 E",935,IF(Atletas!T483="Taijijian Yang F",936,IF(Atletas!T483="Taijijian Chen F",937,IF(Atletas!T483="Taijijian Sun F",938,IF(Atletas!T483="Taijijian Wu F",939,IF(Atletas!T483="Taijijian Wu-Hao F",940,IF(Atletas!T483="Taijijian 32 F",941,IF(Atletas!T483="Taijijian 42 F",942,"")))))))))))))))))))))))))))))))))))))))))))</f>
        <v/>
      </c>
      <c r="BW487" s="52" t="str">
        <f>IF(Atletas!U483="","",IF(Atletas!W483&lt;&gt;"",10000,0)+IF(Atletas!B483="Feminino",1000,IF(Atletas!B483="Masculino",2000,""))+IF(Atletas!T483="Taijijian 42 F",942,IF(Atletas!U483="Taijidao A",943,IF(Atletas!U483="Taijishan A",944,IF(Atletas!U483="Taijiqiang A",945,IF(Atletas!U483="Taijidao B",946,IF(Atletas!U483="Taijishan B",947,IF(Atletas!U483="Taijiqiang B",948,IF(Atletas!U483="Taijidao C",949,IF(Atletas!U483="Taijishan C",950,IF(Atletas!U483="Taijiqiang C",951,IF(Atletas!U483="Taijidao D",952,IF(Atletas!U483="Taijishan D",953,IF(Atletas!U483="Taijiqiang D",954,IF(Atletas!U483="Taijidao E",955,IF(Atletas!U483="Taijishan E",956,IF(Atletas!U483="Taijiqiang E",957,IF(Atletas!U483="Taijidao F",958,IF(Atletas!U483="Taijishan F",959,IF(Atletas!U483="Taijiqiang F",960))))))))))))))))))))</f>
        <v/>
      </c>
      <c r="CF487" s="52" t="str">
        <f xml:space="preserve"> IF(Atletas!V483="","",IF(Atletas!V483="Duilian de Mãos AB - Equipe 1",1,IF(Atletas!V483="Duilian de Mãos AB - Equipe 2",2,IF(Atletas!V483="Duilian de Armas AB - Equipe 1",3,IF(Atletas!V483="Duilian de Armas AB - Equipe 2",4,IF(Atletas!V483="Duilian de Tuishou - Equipe 1",5,IF(Atletas!V483="Duilian de Tuishou - Equipe 2",6,IF(Atletas!V483="Grupo Externo AB - Equipe 1",7,IF(Atletas!V483="Grupo Externo AB - Equipe 2",8,IF(Atletas!V483="Grupo Interno AB - Equipe 1",9,IF(Atletas!V483="Grupo Interno AB - Equipe 2",10,IF(Atletas!V483="Duilian de Mãos CD - Equipe 1",11,IF(Atletas!V483="Duilian de Mãos CD - Equipe 2",12,IF(Atletas!V483="Duilian de Armas CD - Equipe 1",13,IF(Atletas!V483="Duilian de Armas CD - Equipe 2",14,IF(Atletas!V483="Duilian de Tuishou - Equipe 1",15,IF(Atletas!V483="Duilian de Tuishou - Equipe 2",16,IF(Atletas!V483="Grupo Externo CDEF - Equipe 1",17,IF(Atletas!V483="Grupo Externo CDEF - Equipe 2",18,IF(Atletas!V483="Grupo Interno CDEF - Equipe 1",19,IF(Atletas!V483="Grupo Interno CDEF - Equipe 2",20,IF(Atletas!V483="Duilian de Mãos EF - Equipe 1",21,IF(Atletas!V483="Duilian de Mãos EF - Equipe 2",22,IF(Atletas!V483="Duilian de Armas EF - Equipe 1",23,IF(Atletas!V483="Duilian de Armas EF - Equipe 2",24,IF(Atletas!V483="Duilian de Tuishou - Equipe 1",25,IF(Atletas!V483="Duilian de Tuishou - Equipe 2",26,"")))))))))))))))))))))))))))</f>
        <v/>
      </c>
    </row>
    <row r="488" spans="36:84">
      <c r="AJ488" s="46" t="str">
        <f>IF(Atletas!D484="","",IF(Atletas!B484="Feminino",100,IF(Atletas!B484="Masculino",200,""))+(IF(Atletas!D484="Infantil 39kg",1,IF(Atletas!D484="Infantil 42kg",2,IF(Atletas!D484="Infantil 45kg",3,IF(Atletas!D484="Infantil 48kg",4,IF(Atletas!D484="Infantil 52kg",5,IF(Atletas!D484="Infantil 56kg",6,IF(Atletas!D484="Infantil 60kg",7,IF(Atletas!D484="Juvenil 48kg",8,IF(Atletas!D484="Juvenil 52kg",9,IF(Atletas!D484="Juvenil 56kg",10,IF(Atletas!D484="Juvenil 60kg",11,IF(Atletas!D484="Juvenil 65kg",12,IF(Atletas!D484="Juvenil 70kg",13,IF(Atletas!D484="Juvenil 75kg",14,IF(Atletas!D484="Juvenil 80kg",15,IF(Atletas!D484="Adulto 48kg",16,IF(Atletas!D484="Adulto 52kg",17,IF(Atletas!D484="Adulto 56kg",18,IF(Atletas!D484="Adulto 60kg",19,IF(Atletas!D484="Adulto 65kg",20,IF(Atletas!D484="Adulto 70kg",21,IF(Atletas!D484="Adulto 75kg",22,IF(Atletas!D484="Adulto 80kg",23,IF(Atletas!D484="Adulto 85kg",24,IF(Atletas!D484="Adulto 90kg",25,IF(Atletas!D484="Adulto +90kg",26,""))))))))))))))))))))))))))))</f>
        <v/>
      </c>
      <c r="AO488" s="10" t="str">
        <f>IF(Atletas!E484="","",IF(Atletas!B484="Feminino",100,IF(Atletas!B484="Masculino",200,""))+(IF(Atletas!E484="Juvenil 44kg",1,IF(Atletas!E484="Juvenil 48kg",2,IF(Atletas!E484="Juvenil 52kg",3,IF(Atletas!E484="Juvenil 56kg",4,IF(Atletas!E484="Juvenil 60kg",5,IF(Atletas!E484="Juvenil 65kg",6,IF(Atletas!E484="Juvenil 70kg",7,IF(Atletas!E484="Juvenil 75kg",8,IF(Atletas!E484="Juvenil 82kg",9,IF(Atletas!E484="Juvenil 90kg",10,IF(Atletas!E484="Juvenil 100kg",11,IF(Atletas!E484="Adulto 48kg",12,IF(Atletas!E484="Adulto 52kg",13,IF(Atletas!E484="Adulto 56kg",14,IF(Atletas!E484="Adulto 60kg",15,IF(Atletas!E484="Adulto 65kg",16,IF(Atletas!E484="Adulto 70kg",17,IF(Atletas!E484="Adulto 75kg",18,IF(Atletas!E484="Adulto 82kg",19,IF(Atletas!E484="Adulto 90kg",20,IF(Atletas!E484="Adulto 100kg",21,IF(Atletas!E484="Adulto +100kg",22,""))))))))))))))))))))))))</f>
        <v/>
      </c>
      <c r="AT488" s="10" t="str">
        <f>IF(Atletas!F484="","",IF(Atletas!B484="Feminino",100,IF(Atletas!B484="Masculino",200,""))+(IF(Atletas!F484="Adulto 48kg",1,IF(Atletas!F484="Adulto 56kg",2,IF(Atletas!F484="Adulto 65kg",3,IF(Atletas!F484="Adulto 75kg",4,IF(Atletas!F484="Adulto +75kg",5,IF(Atletas!F484="Adulto 52kg",6,IF(Atletas!F484="Adulto 60kg",7,IF(Atletas!F484="Adulto 70kg",8,IF(Atletas!F484="Adulto 80kg",9,IF(Atletas!F484="Adulto 90kg",10,IF(Atletas!F484="Adulto +90kg",11,"")))))))))))))</f>
        <v/>
      </c>
      <c r="AY488" s="46" t="str">
        <f>IF(Atletas!G484="","",IF(Atletas!B484="Feminino",100,IF(Atletas!B484="Masculino",200,""))+(IF(Atletas!G484="Changquan Mirim",1,IF(Atletas!G484="Nanquan Mirim",2,IF(Atletas!G484="Taijiquan Mirim",3,IF(Atletas!G484="Changquan Grupo C",4,IF(Atletas!G484="Nanquan Grupo C",5,IF(Atletas!G484="Taijiquan Grupo C",6,IF(Atletas!G484="Changquan Grupo B",7,IF(Atletas!G484="Nanquan Grupo B",8,IF(Atletas!G484="Taijiquan Grupo B",9,IF(Atletas!G484="Changquan Grupo A",10,IF(Atletas!G484="Nanquan Grupo A",11,IF(Atletas!G484="Taijiquan Grupo A",12,IF(Atletas!G484="Changquan Opcional",13,IF(Atletas!G484="Nanquan Opcional",14,IF(Atletas!G484="Taijiquan Opcional",15,IF(Atletas!G484="Changquan Adulto",16,IF(Atletas!G484="Nanquan Adulto",17,IF(Atletas!G484="Taijiquan Adulto",18,""))))))))))))))))))))</f>
        <v/>
      </c>
      <c r="AZ488" s="46" t="str">
        <f>IF(Atletas!H484="","",IF(Atletas!B484="Feminino",100,IF(Atletas!B484="Masculino",200,""))+(IF(Atletas!H484="Daoshu Mirim",19,IF(Atletas!H484="Jianshu Mirim",20,IF(Atletas!H484="Nandao Mirim",21,IF(Atletas!H484="Taijijian Mirim",22,IF(Atletas!H484="Daoshu Grupo C",23,IF(Atletas!H484="Jianshu Grupo C",24,IF(Atletas!H484="Nandao Grupo C",25,IF(Atletas!H484="Taijijian Grupo C",26,IF(Atletas!H484="Daoshu Grupo B",27,IF(Atletas!H484="Jianshu Grupo B",28,IF(Atletas!H484="Nandao Grupo B",29,IF(Atletas!H484="Taijijian Grupo B",30,IF(Atletas!H484="Daoshu Grupo A",31,IF(Atletas!H484="Jianshu Grupo A",32,IF(Atletas!H484="Nandao Grupo A",33,IF(Atletas!H484="Taijijian Grupo A",34,IF(Atletas!H484="Daoshu Opcional",35,IF(Atletas!H484="Jianshu Opcional",36,IF(Atletas!H484="Nandao Opcional",37,IF(Atletas!H484="Taijijian Opcional",38,IF(Atletas!H484="Daoshu Adulto",39,IF(Atletas!H484="Jianshu Adulto",40,IF(Atletas!H484="Nandao Adulto",41,IF(Atletas!H484="Taijijian Adulto",42,""))))))))))))))))))))))))))</f>
        <v/>
      </c>
      <c r="BA488" s="46" t="str">
        <f>IF(Atletas!I484="","",IF(Atletas!B484="Feminino",100,IF(Atletas!B484="Masculino",200,""))+(IF(Atletas!I484="Gunshu Mirim",43,IF(Atletas!I484="Qiangshu Mirim",44,IF(Atletas!I484="Nangun Mirim",45,IF(Atletas!I484="Gunshu Grupo C",46,IF(Atletas!I484="Qiangshu Grupo C",47,IF(Atletas!I484="Nangun Grupo C",48,IF(Atletas!I484="Gunshu Grupo B",49,IF(Atletas!I484="Qiangshu Grupo B",50,IF(Atletas!I484="Nangun Grupo B",51,IF(Atletas!I484="Gunshu Grupo A",52,IF(Atletas!I484="Qiangshu Grupo A",53,IF(Atletas!I484="Nangun Grupo A",54,IF(Atletas!I484="Gunshu Opcional",55,IF(Atletas!I484="Qiangshu Opcional",56,IF(Atletas!I484="Nangun Opcional",57,IF(Atletas!I484="Gunshu Adulto",58,IF(Atletas!I484="Qiangshu Adulto",59,IF(Atletas!I484="Nangun Adulto",60,""))))))))))))))))))))</f>
        <v/>
      </c>
      <c r="BF488" s="52" t="str">
        <f>IF(Atletas!J484="","",IF(Atletas!B484="Feminino",100,IF(Atletas!B484="Masculino",200,""))+(IF(Atletas!J484="Equipe 1 Grupo B",1,IF(Atletas!J484="Equipe 2 Grupo B",2,IF(Atletas!J484="Equipe 1 Grupo A",3,IF(Atletas!J484="Equipe 2 Grupo A",4,IF(Atletas!J484="Equipe 1 Adulto",5,IF(Atletas!J484="Equipe 2 Adulto",6,""))))))))</f>
        <v/>
      </c>
      <c r="BK488" s="52" t="str">
        <f>IF(Atletas!K484="","",IF(Atletas!W484&lt;&gt;"",10000,0)+(IF(Atletas!B484="Feminino",1000,IF(Atletas!B484="Masculino",2000,""))+IF(Atletas!K484="Choylayfut A",1,IF(Atletas!K484="Hunggar A",2,IF(Atletas!K484="Wuzuquan A",3,IF(Atletas!K484="Wingchun A",4,IF(Atletas!K484="Outra Mão de Sul A",5,IF(Atletas!K484="Choylayfut B",6,IF(Atletas!K484="Hunggar B",7,IF(Atletas!K484="Wuzuquan B",8,IF(Atletas!K484="Wingchun B",9,IF(Atletas!K484="Outra Mão de Sul B",10,IF(Atletas!K484="Choylayfut C",11,IF(Atletas!K484="Hunggar C",12,IF(Atletas!K484="Wuzuquan C",13,IF(Atletas!K484="Wingchun C",14,IF(Atletas!K484="Outra Mão de Sul C",15,IF(Atletas!K484="Choylayfut D",16,IF(Atletas!K484="Hunggar D",17,IF(Atletas!K484="Wuzuquan D",18,IF(Atletas!K484="Wingchun D",19,IF(Atletas!K484="Outra Mão de Sul D",20,IF(Atletas!K484="Choylayfut E",21,IF(Atletas!K484="Hunggar E",22,IF(Atletas!K484="Wuzuquan E",23,IF(Atletas!K484="Wingchun E",24,IF(Atletas!K484="Outra Mão de Sul E",25,IF(Atletas!K484="Choylayfut F",26,IF(Atletas!K484="Hunggar F",27,IF(Atletas!K484="Wuzuquan F",28,IF(Atletas!K484="Wingchun F",29,IF(Atletas!K484="Outra Mão de Sul F",30,""))))))))))))))))))))))))))))))))</f>
        <v/>
      </c>
      <c r="BL488" s="52" t="str">
        <f>IF(Atletas!L484="","",IF(Atletas!W484&lt;&gt;"",10000,0)+(IF(Atletas!B484="Feminino",1000,IF(Atletas!B484="Masculino",2000,""))+(IF(Atletas!L484="Chaquan A",101,IF(Atletas!L484="Emeiquan A",102,IF(Atletas!L484="Fanziquan A",103,IF(Atletas!L484="Huaquan A",104,IF(Atletas!L484="Hongquan A",105,IF(Atletas!L484="Paochui A",106,IF(Atletas!L484="Piguaquan A",107,IF(Atletas!L484="Shaolinquan A",108,IF(Atletas!L484="Tanglangquan A",109,IF(Atletas!L484="Yinzhaophai A",110,IF(Atletas!L484="Tongbeiquan A",111,IF(Atletas!L484="Wudangquan A",112,IF(Atletas!L484="Outros Estilos A",113,IF(Atletas!L484="Chaquan B",114,IF(Atletas!L484="Emeiquan B",115,IF(Atletas!L484="Fanziquan B",116,IF(Atletas!L484="Huaquan B",117,IF(Atletas!L484="Hongquan B",118,IF(Atletas!L484="Paochui B",119,IF(Atletas!L484="Piguaquan B",120,IF(Atletas!L484="Shaolinquan B",121,IF(Atletas!L484="Tanglangquan B",122,IF(Atletas!L484="Yinzhaophai B",123,IF(Atletas!L484="Tongbeiquan B",124,IF(Atletas!L484="Wudangquan B",125,IF(Atletas!L484="Outros Estilos B",126,IF(Atletas!L484="Chaquan C",127,IF(Atletas!L484="Emeiquan C",128,IF(Atletas!L484="Fanziquan C",129,IF(Atletas!L484="Huaquan C",130,IF(Atletas!L484="Hongquan C",131,IF(Atletas!L484="Paochui C",132,IF(Atletas!L484="Piguaquan C",133,IF(Atletas!L484="Shaolinquan C",134,IF(Atletas!L484="Tanglangquan C",135,IF(Atletas!L484="Yinzhaophai C",136,IF(Atletas!L484="Tongbeiquan C",137,IF(Atletas!L484="Wudangquan C",138,IF(Atletas!L484="Outros Estilos C",139,0))))))))))))))))))))))))))))))))))))))))))</f>
        <v/>
      </c>
      <c r="BM488" s="52" t="str">
        <f>IF(Atletas!L484="","",IF(Atletas!W484&lt;&gt;"",10000,0)+(IF(Atletas!B484="Feminino",1000,IF(Atletas!B484="Masculino",2000,""))+(IF(Atletas!L484="Chaquan D",140,IF(Atletas!L484="Emeiquan D",141,IF(Atletas!L484="Fanziquan D",142,IF(Atletas!L484="Huaquan D",143,IF(Atletas!L484="Hongquan D",144,IF(Atletas!L484="Paochui D",145,IF(Atletas!L484="Piguaquan D",146,IF(Atletas!L484="Shaolinquan D",147,IF(Atletas!L484="Tanglangquan D",148,IF(Atletas!L484="Yinzhaophai D",149,IF(Atletas!L484="Tongbeiquan D",150,IF(Atletas!L484="Wudangquan D",151,IF(Atletas!L484="Outros Estilos D",152,IF(Atletas!L484="Chaquan E",153,IF(Atletas!L484="Emeiquan E",154,IF(Atletas!L484="Fanziquan E",155,IF(Atletas!L484="Huaquan E",156,IF(Atletas!L484="Hongquan E",157,IF(Atletas!L484="Paochui E",158,IF(Atletas!L484="Piguaquan E",159,IF(Atletas!L484="Shaolinquan E",160,IF(Atletas!L484="Tanglangquan E",161,IF(Atletas!L484="Yinzhaophai E",162,IF(Atletas!L484="Tongbeiquan E",163,IF(Atletas!L484="Wudangquan E",164,IF(Atletas!L484="Outros Estilos E",165,IF(Atletas!L484="Chaquan F",166,IF(Atletas!L484="Emeiquan F",167,IF(Atletas!L484="Fanziquan F",168,IF(Atletas!L484="Huaquan F",169,IF(Atletas!L484="Hongquan F",170,IF(Atletas!L484="Paochui F",171,IF(Atletas!L484="Piguaquan F",172,IF(Atletas!L484="Shaolinquan F",173,IF(Atletas!L484="Tanglangquan F",174,IF(Atletas!L484="Yinzhaophai F",175,IF(Atletas!L484="Tongbeiquan F",176,IF(Atletas!L484="Wudangquan F",177,IF(Atletas!L484="Outros Estilos F",178,0))))))))))))))))))))))))))))))))))))))))))</f>
        <v/>
      </c>
      <c r="BN488" s="52" t="str">
        <f>IF(Atletas!M484="","",IF(Atletas!W484&lt;&gt;"",10000,0)+(IF(Atletas!B484="Feminino",1000,IF(Atletas!B484="Masculino",2000,""))+(IF(Atletas!M484="Ditangquan A",201,IF(Atletas!M484="Houquan A",202,IF(Atletas!M484="Zuiquan A",203,IF(Atletas!M484="Ditangquan B",204,IF(Atletas!M484="Houquan B",205,IF(Atletas!M484="Zuiquan B",206,IF(Atletas!M484="Ditangquan C",207,IF(Atletas!M484="Houquan C",208,IF(Atletas!M484="Zuiquan C",209,IF(Atletas!M484="Ditangquan D",210,IF(Atletas!M484="Houquan D",211,IF(Atletas!M484="Zuiquan D",212,IF(Atletas!M484="Ditangquan E",213,IF(Atletas!M484="Houquan E",214,IF(Atletas!M484="Zuiquan E",215,IF(Atletas!M484="Ditangquan F",216,IF(Atletas!M484="Houquan F",217,IF(Atletas!M484="Zuiquan F",218,"")))))))))))))))))))))</f>
        <v/>
      </c>
      <c r="BO488" s="52" t="str">
        <f>IF(Atletas!N484="","",IF(Atletas!W484&lt;&gt;"",10000,0)+IF(Atletas!B484="Feminino",1000,IF(Atletas!B484="Masculino",2000,""))+IF(Atletas!N484="Yang A",301,IF(Atletas!N484="Chen A",30,IF(Atletas!N484="Sun A",303,IF(Atletas!N484="Wu A",304,IF(Atletas!N484="Wu-Hao A",305,IF(Atletas!N484="Outro Taijiquan A",306,IF(Atletas!N484="Yang B",307,IF(Atletas!N484="Chen B",308,IF(Atletas!N484="Sun B",309,IF(Atletas!N484="Wu B",310,IF(Atletas!N484="Wu-Hao B",311,IF(Atletas!N484="Outro Taijiquan B",312,IF(Atletas!N484="Yang C",313,IF(Atletas!N484="Chen C",314,IF(Atletas!N484="Sun C",315,IF(Atletas!N484="Wu C",316,IF(Atletas!N484="Wu-Hao C",317,IF(Atletas!N484="Outro Taijiquan C",318,IF(Atletas!N484="Yang D",319,IF(Atletas!N484="Chen D",320,IF(Atletas!N484="Sun D",321,IF(Atletas!N484="Wu D",322,IF(Atletas!N484="Wu-Hao D",323,IF(Atletas!N484="Outro Taijiquan D",324,IF(Atletas!N484="Yang E",325,IF(Atletas!N484="Chen E",326,IF(Atletas!N484="Sun E",327,IF(Atletas!N484="Wu E",328,IF(Atletas!N484="Wu-Hao E",329,IF(Atletas!N484="Outro Taijiquan E",330,IF(Atletas!N484="Yang F",331,IF(Atletas!N484="Chen F",332,IF(Atletas!N484="Sun F",333,IF(Atletas!N484="Wu F",334,IF(Atletas!N484="Wu-Hao F",335,IF(Atletas!N484="Outro Taijiquan F",336,"")))))))))))))))))))))))))))))))))))))</f>
        <v/>
      </c>
      <c r="BP488" s="52" t="str">
        <f>IF(Atletas!O484="","",IF(Atletas!W484&lt;&gt;"",10000,0)+IF(Atletas!B484="Feminino",1000,IF(Atletas!B484="Masculino",2000,""))+IF(OR(Atletas!O484="Yang 26 A",Atletas!O484="Yang 40 A"),401,IF(OR(Atletas!O484="Chen 25 A",Atletas!O484="Chen 36 A",Atletas!O484="Chen 56 A"),402,IF(Atletas!O484="Sun 73 A",403,IF(Atletas!O484="Wu 45 A",404,IF(Atletas!O484="Wu-Hao 46 A",405,IF(OR(Atletas!O484="Taijiquan 16 A",Atletas!O484="Taijiquan 24 A",Atletas!O484="Taijiquan 32 A",Atletas!O484="Taijiquan 42 A"),406,IF(OR(Atletas!O484="Yang 26 B",Atletas!O484="Yang 40 B"),407,IF(OR(Atletas!O484="Chen 25 B",Atletas!O484="Chen 36 B",Atletas!O484="Chen 56 B"),408,IF(Atletas!O484="Sun 73 B",409,IF(Atletas!O484="Wu 45 B",410,IF(Atletas!O484="Wu-Hao 46 B",411,IF(OR(Atletas!O484="Taijiquan 16 B",Atletas!O484="Taijiquan 24 B",Atletas!O484="Taijiquan 32 B",Atletas!O484="Taijiquan 42 B"),412,IF(OR(Atletas!O484="Yang 26 C",Atletas!O484="Yang 40 C"),413,IF(OR(Atletas!O484="Chen 25 C",Atletas!O484="Chen 36 C",Atletas!O484="Chen 56 C"),414,IF(Atletas!O484="Sun 73 C",415,IF(Atletas!O484="Wu 45 C",416,IF(Atletas!O484="Wu-Hao 46 C",417,IF(OR(Atletas!O484="Taijiquan 16 C",Atletas!O484="Taijiquan 24 C",Atletas!O484="Taijiquan 32 C",Atletas!O484="Taijiquan 42 C"),418,0)))))))))))))))))))</f>
        <v/>
      </c>
      <c r="BQ488" s="52" t="str">
        <f>IF(Atletas!O484="","",IF(Atletas!W484&lt;&gt;"",10000,0)+IF(Atletas!B484="Feminino",1000,IF(Atletas!B484="Masculino",2000,""))+IF(OR(Atletas!O484="Yang 26 D",Atletas!O484="Yang 40 D"),419,IF(OR(Atletas!O484="Chen 25 D",Atletas!O484="Chen 36 D",Atletas!O484="Chen 56 D"),420,IF(Atletas!O484="Sun 73 D",421,IF(Atletas!O484="Wu 45 D",422,IF(Atletas!O484="Wu-Hao 46 D",423,IF(OR(Atletas!O484="Taijiquan 16 D",Atletas!O484="Taijiquan 24 D",Atletas!O484="Taijiquan 32 D",Atletas!O484="Taijiquan 42 D"),424,IF(OR(Atletas!O484="Yang 26 E",Atletas!O484="Yang 40 E"),425,IF(OR(Atletas!O484="Chen 25 E",Atletas!O484="Chen 36 E",Atletas!O484="Chen 56 E"),426,IF(Atletas!O484="Sun 73 E",427,IF(Atletas!O484="Wu 45 E",428,IF(Atletas!O484="Wu-Hao 46 E",429,IF(OR(Atletas!O484="Taijiquan 16 E",Atletas!O484="Taijiquan 24 E",Atletas!O484="Taijiquan 32 E",Atletas!O484="Taijiquan 42 E"),430,IF(OR(Atletas!O484="Yang 26 F",Atletas!O484="Yang 40 F"),431,IF(OR(Atletas!O484="Chen 25 F",Atletas!O484="Chen 36 F",Atletas!O484="Chen 56 F"),432,IF(Atletas!O484="Sun 73 F",433,IF(Atletas!O484="Wu 45 F",434,IF(Atletas!O484="Wu-Hao 46 F",435,IF(OR(Atletas!O484="Taijiquan 16 F",Atletas!O484="Taijiquan 24 F",Atletas!O484="Taijiquan 32 F",Atletas!O484="Taijiquan 42 F"),436,0)))))))))))))))))))</f>
        <v/>
      </c>
      <c r="BR488" s="52" t="str">
        <f>IF(Atletas!P484="","",IF(Atletas!W484&lt;&gt;"",10000,0)+IF(Atletas!B484="Feminino",1000,IF(Atletas!B484="Masculino",2000,""))+IF(Atletas!P484="Xingyiquan A",501,IF(Atletas!P484="Baguazhang A",502,IF(Atletas!P484="Outro Estilo Interno A",503,IF(Atletas!P484="Xingyiquan B",504,IF(Atletas!P484="Baguazhang B",505,IF(Atletas!P484="Outro Estilo Interno B",506,IF(Atletas!P484="Xingyiquan C",507,IF(Atletas!P484="Baguazhang C",508,IF(Atletas!P484="Outro Estilo Interno C",509,IF(Atletas!P484="Xingyiquan D",510,IF(Atletas!P484="Baguazhang D",511,IF(Atletas!P484="Outro Estilo Interno D",512,IF(Atletas!P484="Xingyiquan E",513,IF(Atletas!P484="Baguazhang E",514,IF(Atletas!P484="Outro Estilo Interno E",515,IF(Atletas!P484="Xingyiquan F",516,IF(Atletas!P484="Baguazhang F",517,IF(Atletas!P484="Outro Estilo Interno F",518, "")))))))))))))))))))</f>
        <v/>
      </c>
      <c r="BS488" s="52" t="str">
        <f>IF(Atletas!Q484="","",IF(Atletas!W484&lt;&gt;"",10000,0)+IF(Atletas!B484="Feminino",1000,IF(Atletas!B484="Masculino",2000,""))+IF(Atletas!Q484="Dao A",601,IF(Atletas!Q484="Jian A",602,IF(Atletas!Q484="Bishou A",603,IF(Atletas!Q484="Shan A",604,IF(Atletas!Q484="Outra Arma Curta A",605,IF(Atletas!Q484="Dao B",606,IF(Atletas!Q484="Jian B",607,IF(Atletas!Q484="Bishou B",608,IF(Atletas!Q484="Shan B",609,IF(Atletas!Q484="Outra Arma Curta B",610,IF(Atletas!Q484="Dao C",611,IF(Atletas!Q484="Jian C",612,IF(Atletas!Q484="Bishou C",613,IF(Atletas!Q484="Shan C",614,IF(Atletas!Q484="Outra Arma Curta C",615,IF(Atletas!Q484="Dao D",616,IF(Atletas!Q484="Jian D",617,IF(Atletas!Q484="Bishou D",618,IF(Atletas!Q484="Shan D",619,IF(Atletas!Q484="Outra Arma Curta D",620,IF(Atletas!Q484="Dao E",621,IF(Atletas!Q484="Jian E",622,IF(Atletas!Q484="Bishou E",623,IF(Atletas!Q484="Shan E",624,IF(Atletas!Q484="Outra Arma Curta E",625,IF(Atletas!Q484="Dao F",626,IF(Atletas!Q484="Jian F",627,IF(Atletas!Q484="Bishou F",628,IF(Atletas!Q484="Shan F",629,IF(Atletas!Q484="Outra Arma Curta F",630, "")))))))))))))))))))))))))))))))</f>
        <v/>
      </c>
      <c r="BT488" s="52" t="str">
        <f>IF(Atletas!R484="","",IF(Atletas!W484&lt;&gt;"",10000,0)+IF(Atletas!B484="Feminino",1000,IF(Atletas!B484="Masculino",2000,""))+IF(Atletas!R484="Gun A",701,IF(Atletas!R484="Qiang A",702,IF(Atletas!R484="Pudao / Guandao A",703,IF(Atletas!R484="Outra Arma Longa A",704,IF(Atletas!R484="Gun B",705,IF(Atletas!R484="Qiang B",706,IF(Atletas!R484="Pudao / Guandao B",707,IF(Atletas!R484="Outra Arma Longa B",708,IF(Atletas!R484="Gun C",709,IF(Atletas!R484="Qiang C",710,IF(Atletas!R484="Pudao / Guandao C",711,IF(Atletas!R484="Outra Arma Longa C",712,IF(Atletas!R484="Gun D",713,IF(Atletas!R484="Qiang D",714,IF(Atletas!R484="Pudao / Guandao D",715,IF(Atletas!R484="Outra Arma Longa D",716,IF(Atletas!R484="Gun E",717,IF(Atletas!R484="Qiang E",718,IF(Atletas!R484="Pudao / Guandao E",719,IF(Atletas!R484="Outra Arma Longa E",720,IF(Atletas!R484="Gun F",721,IF(Atletas!R484="Qiang F",722,IF(Atletas!R484="Pudao / Guandao F",723,IF(Atletas!R484="Outra Arma Longa F",724,"")))))))))))))))))))))))))</f>
        <v/>
      </c>
      <c r="BU488" s="52" t="str">
        <f>IF(Atletas!S484="","",IF(Atletas!W484&lt;&gt;"",10000,0)+IF(Atletas!B484="Feminino",1000,IF(Atletas!B484="Masculino",2000,""))+IF(Atletas!S484="Arma Dupla A",801,IF(Atletas!S484="Arma Maleável A",802,IF(Atletas!S484="Arma Dupla B",803,IF(Atletas!S484="Arma Maleável B",804,IF(Atletas!S484="Arma Dupla C",805,IF(Atletas!S484="Arma Maleável C",806,IF(Atletas!S484="Arma Dupla D",807,IF(Atletas!S484="Arma Maleável D",808,IF(Atletas!S484="Arma Dupla E",809,IF(Atletas!S484="Arma Maleável E",810,IF(Atletas!S484="Arma Dupla F",811,IF(Atletas!S484="Arma Maleável F",812, "")))))))))))))</f>
        <v/>
      </c>
      <c r="BV488" s="52" t="str">
        <f>IF(Atletas!T484="","",IF(Atletas!W484&lt;&gt;"",10000,0)+IF(Atletas!B484="Feminino",1000,IF(Atletas!B484="Masculino",2000,""))+IF(Atletas!T484="Taijijian Yang A",901,IF(Atletas!T484="Taijijian Chen A",902,IF(Atletas!T484="Taijijian Sun A",903,IF(Atletas!T484="Taijijian Wu A",904,IF(Atletas!T484="Taijijian Wu-Hao A",905,IF(Atletas!T484="Taijijian 32 A",906,IF(Atletas!T484="Taijijian 42 A",907,IF(Atletas!T484="Taijijian Yang B",908,IF(Atletas!T484="Taijijian Chen B",909,IF(Atletas!T484="Taijijian Sun B",910,IF(Atletas!T484="Taijijian Wu B",911,IF(Atletas!T484="Taijijian Wu-Hao B",912,IF(Atletas!T484="Taijijian 32 B",913,IF(Atletas!T484="Taijijian 42 B",914,IF(Atletas!T484="Taijijian Yang C",915,IF(Atletas!T484="Taijijian Chen C",916,IF(Atletas!T484="Taijijian Sun C",917,IF(Atletas!T484="Taijijian Wu C",918,IF(Atletas!T484="Taijijian Wu-Hao C",919,IF(Atletas!T484="Taijijian 32 C",920,IF(Atletas!T484="Taijijian 42 C",921,IF(Atletas!T484="Taijijian Yang D",922,IF(Atletas!T484="Taijijian Chen D",923,IF(Atletas!T484="Taijijian Sun D",924,IF(Atletas!T484="Taijijian Wu D",925,IF(Atletas!T484="Taijijian Wu-Hao D",926,IF(Atletas!T484="Taijijian 32 D",927,IF(Atletas!T484="Taijijian 42 D",928,IF(Atletas!T484="Taijijian Yang E",929,IF(Atletas!T484="Taijijian Chen E",930,IF(Atletas!T484="Taijijian Sun E",931,IF(Atletas!T484="Taijijian Wu E",932,IF(Atletas!T484="Taijijian Wu-Hao E",933,IF(Atletas!T484="Taijijian 32 E",934,IF(Atletas!T484="Taijijian 42 E",935,IF(Atletas!T484="Taijijian Yang F",936,IF(Atletas!T484="Taijijian Chen F",937,IF(Atletas!T484="Taijijian Sun F",938,IF(Atletas!T484="Taijijian Wu F",939,IF(Atletas!T484="Taijijian Wu-Hao F",940,IF(Atletas!T484="Taijijian 32 F",941,IF(Atletas!T484="Taijijian 42 F",942,"")))))))))))))))))))))))))))))))))))))))))))</f>
        <v/>
      </c>
      <c r="BW488" s="52" t="str">
        <f>IF(Atletas!U484="","",IF(Atletas!W484&lt;&gt;"",10000,0)+IF(Atletas!B484="Feminino",1000,IF(Atletas!B484="Masculino",2000,""))+IF(Atletas!T484="Taijijian 42 F",942,IF(Atletas!U484="Taijidao A",943,IF(Atletas!U484="Taijishan A",944,IF(Atletas!U484="Taijiqiang A",945,IF(Atletas!U484="Taijidao B",946,IF(Atletas!U484="Taijishan B",947,IF(Atletas!U484="Taijiqiang B",948,IF(Atletas!U484="Taijidao C",949,IF(Atletas!U484="Taijishan C",950,IF(Atletas!U484="Taijiqiang C",951,IF(Atletas!U484="Taijidao D",952,IF(Atletas!U484="Taijishan D",953,IF(Atletas!U484="Taijiqiang D",954,IF(Atletas!U484="Taijidao E",955,IF(Atletas!U484="Taijishan E",956,IF(Atletas!U484="Taijiqiang E",957,IF(Atletas!U484="Taijidao F",958,IF(Atletas!U484="Taijishan F",959,IF(Atletas!U484="Taijiqiang F",960))))))))))))))))))))</f>
        <v/>
      </c>
      <c r="CF488" s="52" t="str">
        <f xml:space="preserve"> IF(Atletas!V484="","",IF(Atletas!V484="Duilian de Mãos AB - Equipe 1",1,IF(Atletas!V484="Duilian de Mãos AB - Equipe 2",2,IF(Atletas!V484="Duilian de Armas AB - Equipe 1",3,IF(Atletas!V484="Duilian de Armas AB - Equipe 2",4,IF(Atletas!V484="Duilian de Tuishou - Equipe 1",5,IF(Atletas!V484="Duilian de Tuishou - Equipe 2",6,IF(Atletas!V484="Grupo Externo AB - Equipe 1",7,IF(Atletas!V484="Grupo Externo AB - Equipe 2",8,IF(Atletas!V484="Grupo Interno AB - Equipe 1",9,IF(Atletas!V484="Grupo Interno AB - Equipe 2",10,IF(Atletas!V484="Duilian de Mãos CD - Equipe 1",11,IF(Atletas!V484="Duilian de Mãos CD - Equipe 2",12,IF(Atletas!V484="Duilian de Armas CD - Equipe 1",13,IF(Atletas!V484="Duilian de Armas CD - Equipe 2",14,IF(Atletas!V484="Duilian de Tuishou - Equipe 1",15,IF(Atletas!V484="Duilian de Tuishou - Equipe 2",16,IF(Atletas!V484="Grupo Externo CDEF - Equipe 1",17,IF(Atletas!V484="Grupo Externo CDEF - Equipe 2",18,IF(Atletas!V484="Grupo Interno CDEF - Equipe 1",19,IF(Atletas!V484="Grupo Interno CDEF - Equipe 2",20,IF(Atletas!V484="Duilian de Mãos EF - Equipe 1",21,IF(Atletas!V484="Duilian de Mãos EF - Equipe 2",22,IF(Atletas!V484="Duilian de Armas EF - Equipe 1",23,IF(Atletas!V484="Duilian de Armas EF - Equipe 2",24,IF(Atletas!V484="Duilian de Tuishou - Equipe 1",25,IF(Atletas!V484="Duilian de Tuishou - Equipe 2",26,"")))))))))))))))))))))))))))</f>
        <v/>
      </c>
    </row>
    <row r="489" spans="36:84">
      <c r="AJ489" s="46" t="str">
        <f>IF(Atletas!D485="","",IF(Atletas!B485="Feminino",100,IF(Atletas!B485="Masculino",200,""))+(IF(Atletas!D485="Infantil 39kg",1,IF(Atletas!D485="Infantil 42kg",2,IF(Atletas!D485="Infantil 45kg",3,IF(Atletas!D485="Infantil 48kg",4,IF(Atletas!D485="Infantil 52kg",5,IF(Atletas!D485="Infantil 56kg",6,IF(Atletas!D485="Infantil 60kg",7,IF(Atletas!D485="Juvenil 48kg",8,IF(Atletas!D485="Juvenil 52kg",9,IF(Atletas!D485="Juvenil 56kg",10,IF(Atletas!D485="Juvenil 60kg",11,IF(Atletas!D485="Juvenil 65kg",12,IF(Atletas!D485="Juvenil 70kg",13,IF(Atletas!D485="Juvenil 75kg",14,IF(Atletas!D485="Juvenil 80kg",15,IF(Atletas!D485="Adulto 48kg",16,IF(Atletas!D485="Adulto 52kg",17,IF(Atletas!D485="Adulto 56kg",18,IF(Atletas!D485="Adulto 60kg",19,IF(Atletas!D485="Adulto 65kg",20,IF(Atletas!D485="Adulto 70kg",21,IF(Atletas!D485="Adulto 75kg",22,IF(Atletas!D485="Adulto 80kg",23,IF(Atletas!D485="Adulto 85kg",24,IF(Atletas!D485="Adulto 90kg",25,IF(Atletas!D485="Adulto +90kg",26,""))))))))))))))))))))))))))))</f>
        <v/>
      </c>
      <c r="AO489" s="10" t="str">
        <f>IF(Atletas!E485="","",IF(Atletas!B485="Feminino",100,IF(Atletas!B485="Masculino",200,""))+(IF(Atletas!E485="Juvenil 44kg",1,IF(Atletas!E485="Juvenil 48kg",2,IF(Atletas!E485="Juvenil 52kg",3,IF(Atletas!E485="Juvenil 56kg",4,IF(Atletas!E485="Juvenil 60kg",5,IF(Atletas!E485="Juvenil 65kg",6,IF(Atletas!E485="Juvenil 70kg",7,IF(Atletas!E485="Juvenil 75kg",8,IF(Atletas!E485="Juvenil 82kg",9,IF(Atletas!E485="Juvenil 90kg",10,IF(Atletas!E485="Juvenil 100kg",11,IF(Atletas!E485="Adulto 48kg",12,IF(Atletas!E485="Adulto 52kg",13,IF(Atletas!E485="Adulto 56kg",14,IF(Atletas!E485="Adulto 60kg",15,IF(Atletas!E485="Adulto 65kg",16,IF(Atletas!E485="Adulto 70kg",17,IF(Atletas!E485="Adulto 75kg",18,IF(Atletas!E485="Adulto 82kg",19,IF(Atletas!E485="Adulto 90kg",20,IF(Atletas!E485="Adulto 100kg",21,IF(Atletas!E485="Adulto +100kg",22,""))))))))))))))))))))))))</f>
        <v/>
      </c>
      <c r="AT489" s="10" t="str">
        <f>IF(Atletas!F485="","",IF(Atletas!B485="Feminino",100,IF(Atletas!B485="Masculino",200,""))+(IF(Atletas!F485="Adulto 48kg",1,IF(Atletas!F485="Adulto 56kg",2,IF(Atletas!F485="Adulto 65kg",3,IF(Atletas!F485="Adulto 75kg",4,IF(Atletas!F485="Adulto +75kg",5,IF(Atletas!F485="Adulto 52kg",6,IF(Atletas!F485="Adulto 60kg",7,IF(Atletas!F485="Adulto 70kg",8,IF(Atletas!F485="Adulto 80kg",9,IF(Atletas!F485="Adulto 90kg",10,IF(Atletas!F485="Adulto +90kg",11,"")))))))))))))</f>
        <v/>
      </c>
      <c r="AY489" s="46" t="str">
        <f>IF(Atletas!G485="","",IF(Atletas!B485="Feminino",100,IF(Atletas!B485="Masculino",200,""))+(IF(Atletas!G485="Changquan Mirim",1,IF(Atletas!G485="Nanquan Mirim",2,IF(Atletas!G485="Taijiquan Mirim",3,IF(Atletas!G485="Changquan Grupo C",4,IF(Atletas!G485="Nanquan Grupo C",5,IF(Atletas!G485="Taijiquan Grupo C",6,IF(Atletas!G485="Changquan Grupo B",7,IF(Atletas!G485="Nanquan Grupo B",8,IF(Atletas!G485="Taijiquan Grupo B",9,IF(Atletas!G485="Changquan Grupo A",10,IF(Atletas!G485="Nanquan Grupo A",11,IF(Atletas!G485="Taijiquan Grupo A",12,IF(Atletas!G485="Changquan Opcional",13,IF(Atletas!G485="Nanquan Opcional",14,IF(Atletas!G485="Taijiquan Opcional",15,IF(Atletas!G485="Changquan Adulto",16,IF(Atletas!G485="Nanquan Adulto",17,IF(Atletas!G485="Taijiquan Adulto",18,""))))))))))))))))))))</f>
        <v/>
      </c>
      <c r="AZ489" s="46" t="str">
        <f>IF(Atletas!H485="","",IF(Atletas!B485="Feminino",100,IF(Atletas!B485="Masculino",200,""))+(IF(Atletas!H485="Daoshu Mirim",19,IF(Atletas!H485="Jianshu Mirim",20,IF(Atletas!H485="Nandao Mirim",21,IF(Atletas!H485="Taijijian Mirim",22,IF(Atletas!H485="Daoshu Grupo C",23,IF(Atletas!H485="Jianshu Grupo C",24,IF(Atletas!H485="Nandao Grupo C",25,IF(Atletas!H485="Taijijian Grupo C",26,IF(Atletas!H485="Daoshu Grupo B",27,IF(Atletas!H485="Jianshu Grupo B",28,IF(Atletas!H485="Nandao Grupo B",29,IF(Atletas!H485="Taijijian Grupo B",30,IF(Atletas!H485="Daoshu Grupo A",31,IF(Atletas!H485="Jianshu Grupo A",32,IF(Atletas!H485="Nandao Grupo A",33,IF(Atletas!H485="Taijijian Grupo A",34,IF(Atletas!H485="Daoshu Opcional",35,IF(Atletas!H485="Jianshu Opcional",36,IF(Atletas!H485="Nandao Opcional",37,IF(Atletas!H485="Taijijian Opcional",38,IF(Atletas!H485="Daoshu Adulto",39,IF(Atletas!H485="Jianshu Adulto",40,IF(Atletas!H485="Nandao Adulto",41,IF(Atletas!H485="Taijijian Adulto",42,""))))))))))))))))))))))))))</f>
        <v/>
      </c>
      <c r="BA489" s="46" t="str">
        <f>IF(Atletas!I485="","",IF(Atletas!B485="Feminino",100,IF(Atletas!B485="Masculino",200,""))+(IF(Atletas!I485="Gunshu Mirim",43,IF(Atletas!I485="Qiangshu Mirim",44,IF(Atletas!I485="Nangun Mirim",45,IF(Atletas!I485="Gunshu Grupo C",46,IF(Atletas!I485="Qiangshu Grupo C",47,IF(Atletas!I485="Nangun Grupo C",48,IF(Atletas!I485="Gunshu Grupo B",49,IF(Atletas!I485="Qiangshu Grupo B",50,IF(Atletas!I485="Nangun Grupo B",51,IF(Atletas!I485="Gunshu Grupo A",52,IF(Atletas!I485="Qiangshu Grupo A",53,IF(Atletas!I485="Nangun Grupo A",54,IF(Atletas!I485="Gunshu Opcional",55,IF(Atletas!I485="Qiangshu Opcional",56,IF(Atletas!I485="Nangun Opcional",57,IF(Atletas!I485="Gunshu Adulto",58,IF(Atletas!I485="Qiangshu Adulto",59,IF(Atletas!I485="Nangun Adulto",60,""))))))))))))))))))))</f>
        <v/>
      </c>
      <c r="BF489" s="52" t="str">
        <f>IF(Atletas!J485="","",IF(Atletas!B485="Feminino",100,IF(Atletas!B485="Masculino",200,""))+(IF(Atletas!J485="Equipe 1 Grupo B",1,IF(Atletas!J485="Equipe 2 Grupo B",2,IF(Atletas!J485="Equipe 1 Grupo A",3,IF(Atletas!J485="Equipe 2 Grupo A",4,IF(Atletas!J485="Equipe 1 Adulto",5,IF(Atletas!J485="Equipe 2 Adulto",6,""))))))))</f>
        <v/>
      </c>
      <c r="BK489" s="52" t="str">
        <f>IF(Atletas!K485="","",IF(Atletas!W485&lt;&gt;"",10000,0)+(IF(Atletas!B485="Feminino",1000,IF(Atletas!B485="Masculino",2000,""))+IF(Atletas!K485="Choylayfut A",1,IF(Atletas!K485="Hunggar A",2,IF(Atletas!K485="Wuzuquan A",3,IF(Atletas!K485="Wingchun A",4,IF(Atletas!K485="Outra Mão de Sul A",5,IF(Atletas!K485="Choylayfut B",6,IF(Atletas!K485="Hunggar B",7,IF(Atletas!K485="Wuzuquan B",8,IF(Atletas!K485="Wingchun B",9,IF(Atletas!K485="Outra Mão de Sul B",10,IF(Atletas!K485="Choylayfut C",11,IF(Atletas!K485="Hunggar C",12,IF(Atletas!K485="Wuzuquan C",13,IF(Atletas!K485="Wingchun C",14,IF(Atletas!K485="Outra Mão de Sul C",15,IF(Atletas!K485="Choylayfut D",16,IF(Atletas!K485="Hunggar D",17,IF(Atletas!K485="Wuzuquan D",18,IF(Atletas!K485="Wingchun D",19,IF(Atletas!K485="Outra Mão de Sul D",20,IF(Atletas!K485="Choylayfut E",21,IF(Atletas!K485="Hunggar E",22,IF(Atletas!K485="Wuzuquan E",23,IF(Atletas!K485="Wingchun E",24,IF(Atletas!K485="Outra Mão de Sul E",25,IF(Atletas!K485="Choylayfut F",26,IF(Atletas!K485="Hunggar F",27,IF(Atletas!K485="Wuzuquan F",28,IF(Atletas!K485="Wingchun F",29,IF(Atletas!K485="Outra Mão de Sul F",30,""))))))))))))))))))))))))))))))))</f>
        <v/>
      </c>
      <c r="BL489" s="52" t="str">
        <f>IF(Atletas!L485="","",IF(Atletas!W485&lt;&gt;"",10000,0)+(IF(Atletas!B485="Feminino",1000,IF(Atletas!B485="Masculino",2000,""))+(IF(Atletas!L485="Chaquan A",101,IF(Atletas!L485="Emeiquan A",102,IF(Atletas!L485="Fanziquan A",103,IF(Atletas!L485="Huaquan A",104,IF(Atletas!L485="Hongquan A",105,IF(Atletas!L485="Paochui A",106,IF(Atletas!L485="Piguaquan A",107,IF(Atletas!L485="Shaolinquan A",108,IF(Atletas!L485="Tanglangquan A",109,IF(Atletas!L485="Yinzhaophai A",110,IF(Atletas!L485="Tongbeiquan A",111,IF(Atletas!L485="Wudangquan A",112,IF(Atletas!L485="Outros Estilos A",113,IF(Atletas!L485="Chaquan B",114,IF(Atletas!L485="Emeiquan B",115,IF(Atletas!L485="Fanziquan B",116,IF(Atletas!L485="Huaquan B",117,IF(Atletas!L485="Hongquan B",118,IF(Atletas!L485="Paochui B",119,IF(Atletas!L485="Piguaquan B",120,IF(Atletas!L485="Shaolinquan B",121,IF(Atletas!L485="Tanglangquan B",122,IF(Atletas!L485="Yinzhaophai B",123,IF(Atletas!L485="Tongbeiquan B",124,IF(Atletas!L485="Wudangquan B",125,IF(Atletas!L485="Outros Estilos B",126,IF(Atletas!L485="Chaquan C",127,IF(Atletas!L485="Emeiquan C",128,IF(Atletas!L485="Fanziquan C",129,IF(Atletas!L485="Huaquan C",130,IF(Atletas!L485="Hongquan C",131,IF(Atletas!L485="Paochui C",132,IF(Atletas!L485="Piguaquan C",133,IF(Atletas!L485="Shaolinquan C",134,IF(Atletas!L485="Tanglangquan C",135,IF(Atletas!L485="Yinzhaophai C",136,IF(Atletas!L485="Tongbeiquan C",137,IF(Atletas!L485="Wudangquan C",138,IF(Atletas!L485="Outros Estilos C",139,0))))))))))))))))))))))))))))))))))))))))))</f>
        <v/>
      </c>
      <c r="BM489" s="52" t="str">
        <f>IF(Atletas!L485="","",IF(Atletas!W485&lt;&gt;"",10000,0)+(IF(Atletas!B485="Feminino",1000,IF(Atletas!B485="Masculino",2000,""))+(IF(Atletas!L485="Chaquan D",140,IF(Atletas!L485="Emeiquan D",141,IF(Atletas!L485="Fanziquan D",142,IF(Atletas!L485="Huaquan D",143,IF(Atletas!L485="Hongquan D",144,IF(Atletas!L485="Paochui D",145,IF(Atletas!L485="Piguaquan D",146,IF(Atletas!L485="Shaolinquan D",147,IF(Atletas!L485="Tanglangquan D",148,IF(Atletas!L485="Yinzhaophai D",149,IF(Atletas!L485="Tongbeiquan D",150,IF(Atletas!L485="Wudangquan D",151,IF(Atletas!L485="Outros Estilos D",152,IF(Atletas!L485="Chaquan E",153,IF(Atletas!L485="Emeiquan E",154,IF(Atletas!L485="Fanziquan E",155,IF(Atletas!L485="Huaquan E",156,IF(Atletas!L485="Hongquan E",157,IF(Atletas!L485="Paochui E",158,IF(Atletas!L485="Piguaquan E",159,IF(Atletas!L485="Shaolinquan E",160,IF(Atletas!L485="Tanglangquan E",161,IF(Atletas!L485="Yinzhaophai E",162,IF(Atletas!L485="Tongbeiquan E",163,IF(Atletas!L485="Wudangquan E",164,IF(Atletas!L485="Outros Estilos E",165,IF(Atletas!L485="Chaquan F",166,IF(Atletas!L485="Emeiquan F",167,IF(Atletas!L485="Fanziquan F",168,IF(Atletas!L485="Huaquan F",169,IF(Atletas!L485="Hongquan F",170,IF(Atletas!L485="Paochui F",171,IF(Atletas!L485="Piguaquan F",172,IF(Atletas!L485="Shaolinquan F",173,IF(Atletas!L485="Tanglangquan F",174,IF(Atletas!L485="Yinzhaophai F",175,IF(Atletas!L485="Tongbeiquan F",176,IF(Atletas!L485="Wudangquan F",177,IF(Atletas!L485="Outros Estilos F",178,0))))))))))))))))))))))))))))))))))))))))))</f>
        <v/>
      </c>
      <c r="BN489" s="52" t="str">
        <f>IF(Atletas!M485="","",IF(Atletas!W485&lt;&gt;"",10000,0)+(IF(Atletas!B485="Feminino",1000,IF(Atletas!B485="Masculino",2000,""))+(IF(Atletas!M485="Ditangquan A",201,IF(Atletas!M485="Houquan A",202,IF(Atletas!M485="Zuiquan A",203,IF(Atletas!M485="Ditangquan B",204,IF(Atletas!M485="Houquan B",205,IF(Atletas!M485="Zuiquan B",206,IF(Atletas!M485="Ditangquan C",207,IF(Atletas!M485="Houquan C",208,IF(Atletas!M485="Zuiquan C",209,IF(Atletas!M485="Ditangquan D",210,IF(Atletas!M485="Houquan D",211,IF(Atletas!M485="Zuiquan D",212,IF(Atletas!M485="Ditangquan E",213,IF(Atletas!M485="Houquan E",214,IF(Atletas!M485="Zuiquan E",215,IF(Atletas!M485="Ditangquan F",216,IF(Atletas!M485="Houquan F",217,IF(Atletas!M485="Zuiquan F",218,"")))))))))))))))))))))</f>
        <v/>
      </c>
      <c r="BO489" s="52" t="str">
        <f>IF(Atletas!N485="","",IF(Atletas!W485&lt;&gt;"",10000,0)+IF(Atletas!B485="Feminino",1000,IF(Atletas!B485="Masculino",2000,""))+IF(Atletas!N485="Yang A",301,IF(Atletas!N485="Chen A",30,IF(Atletas!N485="Sun A",303,IF(Atletas!N485="Wu A",304,IF(Atletas!N485="Wu-Hao A",305,IF(Atletas!N485="Outro Taijiquan A",306,IF(Atletas!N485="Yang B",307,IF(Atletas!N485="Chen B",308,IF(Atletas!N485="Sun B",309,IF(Atletas!N485="Wu B",310,IF(Atletas!N485="Wu-Hao B",311,IF(Atletas!N485="Outro Taijiquan B",312,IF(Atletas!N485="Yang C",313,IF(Atletas!N485="Chen C",314,IF(Atletas!N485="Sun C",315,IF(Atletas!N485="Wu C",316,IF(Atletas!N485="Wu-Hao C",317,IF(Atletas!N485="Outro Taijiquan C",318,IF(Atletas!N485="Yang D",319,IF(Atletas!N485="Chen D",320,IF(Atletas!N485="Sun D",321,IF(Atletas!N485="Wu D",322,IF(Atletas!N485="Wu-Hao D",323,IF(Atletas!N485="Outro Taijiquan D",324,IF(Atletas!N485="Yang E",325,IF(Atletas!N485="Chen E",326,IF(Atletas!N485="Sun E",327,IF(Atletas!N485="Wu E",328,IF(Atletas!N485="Wu-Hao E",329,IF(Atletas!N485="Outro Taijiquan E",330,IF(Atletas!N485="Yang F",331,IF(Atletas!N485="Chen F",332,IF(Atletas!N485="Sun F",333,IF(Atletas!N485="Wu F",334,IF(Atletas!N485="Wu-Hao F",335,IF(Atletas!N485="Outro Taijiquan F",336,"")))))))))))))))))))))))))))))))))))))</f>
        <v/>
      </c>
      <c r="BP489" s="52" t="str">
        <f>IF(Atletas!O485="","",IF(Atletas!W485&lt;&gt;"",10000,0)+IF(Atletas!B485="Feminino",1000,IF(Atletas!B485="Masculino",2000,""))+IF(OR(Atletas!O485="Yang 26 A",Atletas!O485="Yang 40 A"),401,IF(OR(Atletas!O485="Chen 25 A",Atletas!O485="Chen 36 A",Atletas!O485="Chen 56 A"),402,IF(Atletas!O485="Sun 73 A",403,IF(Atletas!O485="Wu 45 A",404,IF(Atletas!O485="Wu-Hao 46 A",405,IF(OR(Atletas!O485="Taijiquan 16 A",Atletas!O485="Taijiquan 24 A",Atletas!O485="Taijiquan 32 A",Atletas!O485="Taijiquan 42 A"),406,IF(OR(Atletas!O485="Yang 26 B",Atletas!O485="Yang 40 B"),407,IF(OR(Atletas!O485="Chen 25 B",Atletas!O485="Chen 36 B",Atletas!O485="Chen 56 B"),408,IF(Atletas!O485="Sun 73 B",409,IF(Atletas!O485="Wu 45 B",410,IF(Atletas!O485="Wu-Hao 46 B",411,IF(OR(Atletas!O485="Taijiquan 16 B",Atletas!O485="Taijiquan 24 B",Atletas!O485="Taijiquan 32 B",Atletas!O485="Taijiquan 42 B"),412,IF(OR(Atletas!O485="Yang 26 C",Atletas!O485="Yang 40 C"),413,IF(OR(Atletas!O485="Chen 25 C",Atletas!O485="Chen 36 C",Atletas!O485="Chen 56 C"),414,IF(Atletas!O485="Sun 73 C",415,IF(Atletas!O485="Wu 45 C",416,IF(Atletas!O485="Wu-Hao 46 C",417,IF(OR(Atletas!O485="Taijiquan 16 C",Atletas!O485="Taijiquan 24 C",Atletas!O485="Taijiquan 32 C",Atletas!O485="Taijiquan 42 C"),418,0)))))))))))))))))))</f>
        <v/>
      </c>
      <c r="BQ489" s="52" t="str">
        <f>IF(Atletas!O485="","",IF(Atletas!W485&lt;&gt;"",10000,0)+IF(Atletas!B485="Feminino",1000,IF(Atletas!B485="Masculino",2000,""))+IF(OR(Atletas!O485="Yang 26 D",Atletas!O485="Yang 40 D"),419,IF(OR(Atletas!O485="Chen 25 D",Atletas!O485="Chen 36 D",Atletas!O485="Chen 56 D"),420,IF(Atletas!O485="Sun 73 D",421,IF(Atletas!O485="Wu 45 D",422,IF(Atletas!O485="Wu-Hao 46 D",423,IF(OR(Atletas!O485="Taijiquan 16 D",Atletas!O485="Taijiquan 24 D",Atletas!O485="Taijiquan 32 D",Atletas!O485="Taijiquan 42 D"),424,IF(OR(Atletas!O485="Yang 26 E",Atletas!O485="Yang 40 E"),425,IF(OR(Atletas!O485="Chen 25 E",Atletas!O485="Chen 36 E",Atletas!O485="Chen 56 E"),426,IF(Atletas!O485="Sun 73 E",427,IF(Atletas!O485="Wu 45 E",428,IF(Atletas!O485="Wu-Hao 46 E",429,IF(OR(Atletas!O485="Taijiquan 16 E",Atletas!O485="Taijiquan 24 E",Atletas!O485="Taijiquan 32 E",Atletas!O485="Taijiquan 42 E"),430,IF(OR(Atletas!O485="Yang 26 F",Atletas!O485="Yang 40 F"),431,IF(OR(Atletas!O485="Chen 25 F",Atletas!O485="Chen 36 F",Atletas!O485="Chen 56 F"),432,IF(Atletas!O485="Sun 73 F",433,IF(Atletas!O485="Wu 45 F",434,IF(Atletas!O485="Wu-Hao 46 F",435,IF(OR(Atletas!O485="Taijiquan 16 F",Atletas!O485="Taijiquan 24 F",Atletas!O485="Taijiquan 32 F",Atletas!O485="Taijiquan 42 F"),436,0)))))))))))))))))))</f>
        <v/>
      </c>
      <c r="BR489" s="52" t="str">
        <f>IF(Atletas!P485="","",IF(Atletas!W485&lt;&gt;"",10000,0)+IF(Atletas!B485="Feminino",1000,IF(Atletas!B485="Masculino",2000,""))+IF(Atletas!P485="Xingyiquan A",501,IF(Atletas!P485="Baguazhang A",502,IF(Atletas!P485="Outro Estilo Interno A",503,IF(Atletas!P485="Xingyiquan B",504,IF(Atletas!P485="Baguazhang B",505,IF(Atletas!P485="Outro Estilo Interno B",506,IF(Atletas!P485="Xingyiquan C",507,IF(Atletas!P485="Baguazhang C",508,IF(Atletas!P485="Outro Estilo Interno C",509,IF(Atletas!P485="Xingyiquan D",510,IF(Atletas!P485="Baguazhang D",511,IF(Atletas!P485="Outro Estilo Interno D",512,IF(Atletas!P485="Xingyiquan E",513,IF(Atletas!P485="Baguazhang E",514,IF(Atletas!P485="Outro Estilo Interno E",515,IF(Atletas!P485="Xingyiquan F",516,IF(Atletas!P485="Baguazhang F",517,IF(Atletas!P485="Outro Estilo Interno F",518, "")))))))))))))))))))</f>
        <v/>
      </c>
      <c r="BS489" s="52" t="str">
        <f>IF(Atletas!Q485="","",IF(Atletas!W485&lt;&gt;"",10000,0)+IF(Atletas!B485="Feminino",1000,IF(Atletas!B485="Masculino",2000,""))+IF(Atletas!Q485="Dao A",601,IF(Atletas!Q485="Jian A",602,IF(Atletas!Q485="Bishou A",603,IF(Atletas!Q485="Shan A",604,IF(Atletas!Q485="Outra Arma Curta A",605,IF(Atletas!Q485="Dao B",606,IF(Atletas!Q485="Jian B",607,IF(Atletas!Q485="Bishou B",608,IF(Atletas!Q485="Shan B",609,IF(Atletas!Q485="Outra Arma Curta B",610,IF(Atletas!Q485="Dao C",611,IF(Atletas!Q485="Jian C",612,IF(Atletas!Q485="Bishou C",613,IF(Atletas!Q485="Shan C",614,IF(Atletas!Q485="Outra Arma Curta C",615,IF(Atletas!Q485="Dao D",616,IF(Atletas!Q485="Jian D",617,IF(Atletas!Q485="Bishou D",618,IF(Atletas!Q485="Shan D",619,IF(Atletas!Q485="Outra Arma Curta D",620,IF(Atletas!Q485="Dao E",621,IF(Atletas!Q485="Jian E",622,IF(Atletas!Q485="Bishou E",623,IF(Atletas!Q485="Shan E",624,IF(Atletas!Q485="Outra Arma Curta E",625,IF(Atletas!Q485="Dao F",626,IF(Atletas!Q485="Jian F",627,IF(Atletas!Q485="Bishou F",628,IF(Atletas!Q485="Shan F",629,IF(Atletas!Q485="Outra Arma Curta F",630, "")))))))))))))))))))))))))))))))</f>
        <v/>
      </c>
      <c r="BT489" s="52" t="str">
        <f>IF(Atletas!R485="","",IF(Atletas!W485&lt;&gt;"",10000,0)+IF(Atletas!B485="Feminino",1000,IF(Atletas!B485="Masculino",2000,""))+IF(Atletas!R485="Gun A",701,IF(Atletas!R485="Qiang A",702,IF(Atletas!R485="Pudao / Guandao A",703,IF(Atletas!R485="Outra Arma Longa A",704,IF(Atletas!R485="Gun B",705,IF(Atletas!R485="Qiang B",706,IF(Atletas!R485="Pudao / Guandao B",707,IF(Atletas!R485="Outra Arma Longa B",708,IF(Atletas!R485="Gun C",709,IF(Atletas!R485="Qiang C",710,IF(Atletas!R485="Pudao / Guandao C",711,IF(Atletas!R485="Outra Arma Longa C",712,IF(Atletas!R485="Gun D",713,IF(Atletas!R485="Qiang D",714,IF(Atletas!R485="Pudao / Guandao D",715,IF(Atletas!R485="Outra Arma Longa D",716,IF(Atletas!R485="Gun E",717,IF(Atletas!R485="Qiang E",718,IF(Atletas!R485="Pudao / Guandao E",719,IF(Atletas!R485="Outra Arma Longa E",720,IF(Atletas!R485="Gun F",721,IF(Atletas!R485="Qiang F",722,IF(Atletas!R485="Pudao / Guandao F",723,IF(Atletas!R485="Outra Arma Longa F",724,"")))))))))))))))))))))))))</f>
        <v/>
      </c>
      <c r="BU489" s="52" t="str">
        <f>IF(Atletas!S485="","",IF(Atletas!W485&lt;&gt;"",10000,0)+IF(Atletas!B485="Feminino",1000,IF(Atletas!B485="Masculino",2000,""))+IF(Atletas!S485="Arma Dupla A",801,IF(Atletas!S485="Arma Maleável A",802,IF(Atletas!S485="Arma Dupla B",803,IF(Atletas!S485="Arma Maleável B",804,IF(Atletas!S485="Arma Dupla C",805,IF(Atletas!S485="Arma Maleável C",806,IF(Atletas!S485="Arma Dupla D",807,IF(Atletas!S485="Arma Maleável D",808,IF(Atletas!S485="Arma Dupla E",809,IF(Atletas!S485="Arma Maleável E",810,IF(Atletas!S485="Arma Dupla F",811,IF(Atletas!S485="Arma Maleável F",812, "")))))))))))))</f>
        <v/>
      </c>
      <c r="BV489" s="52" t="str">
        <f>IF(Atletas!T485="","",IF(Atletas!W485&lt;&gt;"",10000,0)+IF(Atletas!B485="Feminino",1000,IF(Atletas!B485="Masculino",2000,""))+IF(Atletas!T485="Taijijian Yang A",901,IF(Atletas!T485="Taijijian Chen A",902,IF(Atletas!T485="Taijijian Sun A",903,IF(Atletas!T485="Taijijian Wu A",904,IF(Atletas!T485="Taijijian Wu-Hao A",905,IF(Atletas!T485="Taijijian 32 A",906,IF(Atletas!T485="Taijijian 42 A",907,IF(Atletas!T485="Taijijian Yang B",908,IF(Atletas!T485="Taijijian Chen B",909,IF(Atletas!T485="Taijijian Sun B",910,IF(Atletas!T485="Taijijian Wu B",911,IF(Atletas!T485="Taijijian Wu-Hao B",912,IF(Atletas!T485="Taijijian 32 B",913,IF(Atletas!T485="Taijijian 42 B",914,IF(Atletas!T485="Taijijian Yang C",915,IF(Atletas!T485="Taijijian Chen C",916,IF(Atletas!T485="Taijijian Sun C",917,IF(Atletas!T485="Taijijian Wu C",918,IF(Atletas!T485="Taijijian Wu-Hao C",919,IF(Atletas!T485="Taijijian 32 C",920,IF(Atletas!T485="Taijijian 42 C",921,IF(Atletas!T485="Taijijian Yang D",922,IF(Atletas!T485="Taijijian Chen D",923,IF(Atletas!T485="Taijijian Sun D",924,IF(Atletas!T485="Taijijian Wu D",925,IF(Atletas!T485="Taijijian Wu-Hao D",926,IF(Atletas!T485="Taijijian 32 D",927,IF(Atletas!T485="Taijijian 42 D",928,IF(Atletas!T485="Taijijian Yang E",929,IF(Atletas!T485="Taijijian Chen E",930,IF(Atletas!T485="Taijijian Sun E",931,IF(Atletas!T485="Taijijian Wu E",932,IF(Atletas!T485="Taijijian Wu-Hao E",933,IF(Atletas!T485="Taijijian 32 E",934,IF(Atletas!T485="Taijijian 42 E",935,IF(Atletas!T485="Taijijian Yang F",936,IF(Atletas!T485="Taijijian Chen F",937,IF(Atletas!T485="Taijijian Sun F",938,IF(Atletas!T485="Taijijian Wu F",939,IF(Atletas!T485="Taijijian Wu-Hao F",940,IF(Atletas!T485="Taijijian 32 F",941,IF(Atletas!T485="Taijijian 42 F",942,"")))))))))))))))))))))))))))))))))))))))))))</f>
        <v/>
      </c>
      <c r="BW489" s="52" t="str">
        <f>IF(Atletas!U485="","",IF(Atletas!W485&lt;&gt;"",10000,0)+IF(Atletas!B485="Feminino",1000,IF(Atletas!B485="Masculino",2000,""))+IF(Atletas!T485="Taijijian 42 F",942,IF(Atletas!U485="Taijidao A",943,IF(Atletas!U485="Taijishan A",944,IF(Atletas!U485="Taijiqiang A",945,IF(Atletas!U485="Taijidao B",946,IF(Atletas!U485="Taijishan B",947,IF(Atletas!U485="Taijiqiang B",948,IF(Atletas!U485="Taijidao C",949,IF(Atletas!U485="Taijishan C",950,IF(Atletas!U485="Taijiqiang C",951,IF(Atletas!U485="Taijidao D",952,IF(Atletas!U485="Taijishan D",953,IF(Atletas!U485="Taijiqiang D",954,IF(Atletas!U485="Taijidao E",955,IF(Atletas!U485="Taijishan E",956,IF(Atletas!U485="Taijiqiang E",957,IF(Atletas!U485="Taijidao F",958,IF(Atletas!U485="Taijishan F",959,IF(Atletas!U485="Taijiqiang F",960))))))))))))))))))))</f>
        <v/>
      </c>
      <c r="CF489" s="52" t="str">
        <f xml:space="preserve"> IF(Atletas!V485="","",IF(Atletas!V485="Duilian de Mãos AB - Equipe 1",1,IF(Atletas!V485="Duilian de Mãos AB - Equipe 2",2,IF(Atletas!V485="Duilian de Armas AB - Equipe 1",3,IF(Atletas!V485="Duilian de Armas AB - Equipe 2",4,IF(Atletas!V485="Duilian de Tuishou - Equipe 1",5,IF(Atletas!V485="Duilian de Tuishou - Equipe 2",6,IF(Atletas!V485="Grupo Externo AB - Equipe 1",7,IF(Atletas!V485="Grupo Externo AB - Equipe 2",8,IF(Atletas!V485="Grupo Interno AB - Equipe 1",9,IF(Atletas!V485="Grupo Interno AB - Equipe 2",10,IF(Atletas!V485="Duilian de Mãos CD - Equipe 1",11,IF(Atletas!V485="Duilian de Mãos CD - Equipe 2",12,IF(Atletas!V485="Duilian de Armas CD - Equipe 1",13,IF(Atletas!V485="Duilian de Armas CD - Equipe 2",14,IF(Atletas!V485="Duilian de Tuishou - Equipe 1",15,IF(Atletas!V485="Duilian de Tuishou - Equipe 2",16,IF(Atletas!V485="Grupo Externo CDEF - Equipe 1",17,IF(Atletas!V485="Grupo Externo CDEF - Equipe 2",18,IF(Atletas!V485="Grupo Interno CDEF - Equipe 1",19,IF(Atletas!V485="Grupo Interno CDEF - Equipe 2",20,IF(Atletas!V485="Duilian de Mãos EF - Equipe 1",21,IF(Atletas!V485="Duilian de Mãos EF - Equipe 2",22,IF(Atletas!V485="Duilian de Armas EF - Equipe 1",23,IF(Atletas!V485="Duilian de Armas EF - Equipe 2",24,IF(Atletas!V485="Duilian de Tuishou - Equipe 1",25,IF(Atletas!V485="Duilian de Tuishou - Equipe 2",26,"")))))))))))))))))))))))))))</f>
        <v/>
      </c>
    </row>
    <row r="490" spans="36:84">
      <c r="AJ490" s="46" t="str">
        <f>IF(Atletas!D486="","",IF(Atletas!B486="Feminino",100,IF(Atletas!B486="Masculino",200,""))+(IF(Atletas!D486="Infantil 39kg",1,IF(Atletas!D486="Infantil 42kg",2,IF(Atletas!D486="Infantil 45kg",3,IF(Atletas!D486="Infantil 48kg",4,IF(Atletas!D486="Infantil 52kg",5,IF(Atletas!D486="Infantil 56kg",6,IF(Atletas!D486="Infantil 60kg",7,IF(Atletas!D486="Juvenil 48kg",8,IF(Atletas!D486="Juvenil 52kg",9,IF(Atletas!D486="Juvenil 56kg",10,IF(Atletas!D486="Juvenil 60kg",11,IF(Atletas!D486="Juvenil 65kg",12,IF(Atletas!D486="Juvenil 70kg",13,IF(Atletas!D486="Juvenil 75kg",14,IF(Atletas!D486="Juvenil 80kg",15,IF(Atletas!D486="Adulto 48kg",16,IF(Atletas!D486="Adulto 52kg",17,IF(Atletas!D486="Adulto 56kg",18,IF(Atletas!D486="Adulto 60kg",19,IF(Atletas!D486="Adulto 65kg",20,IF(Atletas!D486="Adulto 70kg",21,IF(Atletas!D486="Adulto 75kg",22,IF(Atletas!D486="Adulto 80kg",23,IF(Atletas!D486="Adulto 85kg",24,IF(Atletas!D486="Adulto 90kg",25,IF(Atletas!D486="Adulto +90kg",26,""))))))))))))))))))))))))))))</f>
        <v/>
      </c>
      <c r="AO490" s="10" t="str">
        <f>IF(Atletas!E486="","",IF(Atletas!B486="Feminino",100,IF(Atletas!B486="Masculino",200,""))+(IF(Atletas!E486="Juvenil 44kg",1,IF(Atletas!E486="Juvenil 48kg",2,IF(Atletas!E486="Juvenil 52kg",3,IF(Atletas!E486="Juvenil 56kg",4,IF(Atletas!E486="Juvenil 60kg",5,IF(Atletas!E486="Juvenil 65kg",6,IF(Atletas!E486="Juvenil 70kg",7,IF(Atletas!E486="Juvenil 75kg",8,IF(Atletas!E486="Juvenil 82kg",9,IF(Atletas!E486="Juvenil 90kg",10,IF(Atletas!E486="Juvenil 100kg",11,IF(Atletas!E486="Adulto 48kg",12,IF(Atletas!E486="Adulto 52kg",13,IF(Atletas!E486="Adulto 56kg",14,IF(Atletas!E486="Adulto 60kg",15,IF(Atletas!E486="Adulto 65kg",16,IF(Atletas!E486="Adulto 70kg",17,IF(Atletas!E486="Adulto 75kg",18,IF(Atletas!E486="Adulto 82kg",19,IF(Atletas!E486="Adulto 90kg",20,IF(Atletas!E486="Adulto 100kg",21,IF(Atletas!E486="Adulto +100kg",22,""))))))))))))))))))))))))</f>
        <v/>
      </c>
      <c r="AT490" s="10" t="str">
        <f>IF(Atletas!F486="","",IF(Atletas!B486="Feminino",100,IF(Atletas!B486="Masculino",200,""))+(IF(Atletas!F486="Adulto 48kg",1,IF(Atletas!F486="Adulto 56kg",2,IF(Atletas!F486="Adulto 65kg",3,IF(Atletas!F486="Adulto 75kg",4,IF(Atletas!F486="Adulto +75kg",5,IF(Atletas!F486="Adulto 52kg",6,IF(Atletas!F486="Adulto 60kg",7,IF(Atletas!F486="Adulto 70kg",8,IF(Atletas!F486="Adulto 80kg",9,IF(Atletas!F486="Adulto 90kg",10,IF(Atletas!F486="Adulto +90kg",11,"")))))))))))))</f>
        <v/>
      </c>
      <c r="AY490" s="46" t="str">
        <f>IF(Atletas!G486="","",IF(Atletas!B486="Feminino",100,IF(Atletas!B486="Masculino",200,""))+(IF(Atletas!G486="Changquan Mirim",1,IF(Atletas!G486="Nanquan Mirim",2,IF(Atletas!G486="Taijiquan Mirim",3,IF(Atletas!G486="Changquan Grupo C",4,IF(Atletas!G486="Nanquan Grupo C",5,IF(Atletas!G486="Taijiquan Grupo C",6,IF(Atletas!G486="Changquan Grupo B",7,IF(Atletas!G486="Nanquan Grupo B",8,IF(Atletas!G486="Taijiquan Grupo B",9,IF(Atletas!G486="Changquan Grupo A",10,IF(Atletas!G486="Nanquan Grupo A",11,IF(Atletas!G486="Taijiquan Grupo A",12,IF(Atletas!G486="Changquan Opcional",13,IF(Atletas!G486="Nanquan Opcional",14,IF(Atletas!G486="Taijiquan Opcional",15,IF(Atletas!G486="Changquan Adulto",16,IF(Atletas!G486="Nanquan Adulto",17,IF(Atletas!G486="Taijiquan Adulto",18,""))))))))))))))))))))</f>
        <v/>
      </c>
      <c r="AZ490" s="46" t="str">
        <f>IF(Atletas!H486="","",IF(Atletas!B486="Feminino",100,IF(Atletas!B486="Masculino",200,""))+(IF(Atletas!H486="Daoshu Mirim",19,IF(Atletas!H486="Jianshu Mirim",20,IF(Atletas!H486="Nandao Mirim",21,IF(Atletas!H486="Taijijian Mirim",22,IF(Atletas!H486="Daoshu Grupo C",23,IF(Atletas!H486="Jianshu Grupo C",24,IF(Atletas!H486="Nandao Grupo C",25,IF(Atletas!H486="Taijijian Grupo C",26,IF(Atletas!H486="Daoshu Grupo B",27,IF(Atletas!H486="Jianshu Grupo B",28,IF(Atletas!H486="Nandao Grupo B",29,IF(Atletas!H486="Taijijian Grupo B",30,IF(Atletas!H486="Daoshu Grupo A",31,IF(Atletas!H486="Jianshu Grupo A",32,IF(Atletas!H486="Nandao Grupo A",33,IF(Atletas!H486="Taijijian Grupo A",34,IF(Atletas!H486="Daoshu Opcional",35,IF(Atletas!H486="Jianshu Opcional",36,IF(Atletas!H486="Nandao Opcional",37,IF(Atletas!H486="Taijijian Opcional",38,IF(Atletas!H486="Daoshu Adulto",39,IF(Atletas!H486="Jianshu Adulto",40,IF(Atletas!H486="Nandao Adulto",41,IF(Atletas!H486="Taijijian Adulto",42,""))))))))))))))))))))))))))</f>
        <v/>
      </c>
      <c r="BA490" s="46" t="str">
        <f>IF(Atletas!I486="","",IF(Atletas!B486="Feminino",100,IF(Atletas!B486="Masculino",200,""))+(IF(Atletas!I486="Gunshu Mirim",43,IF(Atletas!I486="Qiangshu Mirim",44,IF(Atletas!I486="Nangun Mirim",45,IF(Atletas!I486="Gunshu Grupo C",46,IF(Atletas!I486="Qiangshu Grupo C",47,IF(Atletas!I486="Nangun Grupo C",48,IF(Atletas!I486="Gunshu Grupo B",49,IF(Atletas!I486="Qiangshu Grupo B",50,IF(Atletas!I486="Nangun Grupo B",51,IF(Atletas!I486="Gunshu Grupo A",52,IF(Atletas!I486="Qiangshu Grupo A",53,IF(Atletas!I486="Nangun Grupo A",54,IF(Atletas!I486="Gunshu Opcional",55,IF(Atletas!I486="Qiangshu Opcional",56,IF(Atletas!I486="Nangun Opcional",57,IF(Atletas!I486="Gunshu Adulto",58,IF(Atletas!I486="Qiangshu Adulto",59,IF(Atletas!I486="Nangun Adulto",60,""))))))))))))))))))))</f>
        <v/>
      </c>
      <c r="BF490" s="52" t="str">
        <f>IF(Atletas!J486="","",IF(Atletas!B486="Feminino",100,IF(Atletas!B486="Masculino",200,""))+(IF(Atletas!J486="Equipe 1 Grupo B",1,IF(Atletas!J486="Equipe 2 Grupo B",2,IF(Atletas!J486="Equipe 1 Grupo A",3,IF(Atletas!J486="Equipe 2 Grupo A",4,IF(Atletas!J486="Equipe 1 Adulto",5,IF(Atletas!J486="Equipe 2 Adulto",6,""))))))))</f>
        <v/>
      </c>
      <c r="BK490" s="52" t="str">
        <f>IF(Atletas!K486="","",IF(Atletas!W486&lt;&gt;"",10000,0)+(IF(Atletas!B486="Feminino",1000,IF(Atletas!B486="Masculino",2000,""))+IF(Atletas!K486="Choylayfut A",1,IF(Atletas!K486="Hunggar A",2,IF(Atletas!K486="Wuzuquan A",3,IF(Atletas!K486="Wingchun A",4,IF(Atletas!K486="Outra Mão de Sul A",5,IF(Atletas!K486="Choylayfut B",6,IF(Atletas!K486="Hunggar B",7,IF(Atletas!K486="Wuzuquan B",8,IF(Atletas!K486="Wingchun B",9,IF(Atletas!K486="Outra Mão de Sul B",10,IF(Atletas!K486="Choylayfut C",11,IF(Atletas!K486="Hunggar C",12,IF(Atletas!K486="Wuzuquan C",13,IF(Atletas!K486="Wingchun C",14,IF(Atletas!K486="Outra Mão de Sul C",15,IF(Atletas!K486="Choylayfut D",16,IF(Atletas!K486="Hunggar D",17,IF(Atletas!K486="Wuzuquan D",18,IF(Atletas!K486="Wingchun D",19,IF(Atletas!K486="Outra Mão de Sul D",20,IF(Atletas!K486="Choylayfut E",21,IF(Atletas!K486="Hunggar E",22,IF(Atletas!K486="Wuzuquan E",23,IF(Atletas!K486="Wingchun E",24,IF(Atletas!K486="Outra Mão de Sul E",25,IF(Atletas!K486="Choylayfut F",26,IF(Atletas!K486="Hunggar F",27,IF(Atletas!K486="Wuzuquan F",28,IF(Atletas!K486="Wingchun F",29,IF(Atletas!K486="Outra Mão de Sul F",30,""))))))))))))))))))))))))))))))))</f>
        <v/>
      </c>
      <c r="BL490" s="52" t="str">
        <f>IF(Atletas!L486="","",IF(Atletas!W486&lt;&gt;"",10000,0)+(IF(Atletas!B486="Feminino",1000,IF(Atletas!B486="Masculino",2000,""))+(IF(Atletas!L486="Chaquan A",101,IF(Atletas!L486="Emeiquan A",102,IF(Atletas!L486="Fanziquan A",103,IF(Atletas!L486="Huaquan A",104,IF(Atletas!L486="Hongquan A",105,IF(Atletas!L486="Paochui A",106,IF(Atletas!L486="Piguaquan A",107,IF(Atletas!L486="Shaolinquan A",108,IF(Atletas!L486="Tanglangquan A",109,IF(Atletas!L486="Yinzhaophai A",110,IF(Atletas!L486="Tongbeiquan A",111,IF(Atletas!L486="Wudangquan A",112,IF(Atletas!L486="Outros Estilos A",113,IF(Atletas!L486="Chaquan B",114,IF(Atletas!L486="Emeiquan B",115,IF(Atletas!L486="Fanziquan B",116,IF(Atletas!L486="Huaquan B",117,IF(Atletas!L486="Hongquan B",118,IF(Atletas!L486="Paochui B",119,IF(Atletas!L486="Piguaquan B",120,IF(Atletas!L486="Shaolinquan B",121,IF(Atletas!L486="Tanglangquan B",122,IF(Atletas!L486="Yinzhaophai B",123,IF(Atletas!L486="Tongbeiquan B",124,IF(Atletas!L486="Wudangquan B",125,IF(Atletas!L486="Outros Estilos B",126,IF(Atletas!L486="Chaquan C",127,IF(Atletas!L486="Emeiquan C",128,IF(Atletas!L486="Fanziquan C",129,IF(Atletas!L486="Huaquan C",130,IF(Atletas!L486="Hongquan C",131,IF(Atletas!L486="Paochui C",132,IF(Atletas!L486="Piguaquan C",133,IF(Atletas!L486="Shaolinquan C",134,IF(Atletas!L486="Tanglangquan C",135,IF(Atletas!L486="Yinzhaophai C",136,IF(Atletas!L486="Tongbeiquan C",137,IF(Atletas!L486="Wudangquan C",138,IF(Atletas!L486="Outros Estilos C",139,0))))))))))))))))))))))))))))))))))))))))))</f>
        <v/>
      </c>
      <c r="BM490" s="52" t="str">
        <f>IF(Atletas!L486="","",IF(Atletas!W486&lt;&gt;"",10000,0)+(IF(Atletas!B486="Feminino",1000,IF(Atletas!B486="Masculino",2000,""))+(IF(Atletas!L486="Chaquan D",140,IF(Atletas!L486="Emeiquan D",141,IF(Atletas!L486="Fanziquan D",142,IF(Atletas!L486="Huaquan D",143,IF(Atletas!L486="Hongquan D",144,IF(Atletas!L486="Paochui D",145,IF(Atletas!L486="Piguaquan D",146,IF(Atletas!L486="Shaolinquan D",147,IF(Atletas!L486="Tanglangquan D",148,IF(Atletas!L486="Yinzhaophai D",149,IF(Atletas!L486="Tongbeiquan D",150,IF(Atletas!L486="Wudangquan D",151,IF(Atletas!L486="Outros Estilos D",152,IF(Atletas!L486="Chaquan E",153,IF(Atletas!L486="Emeiquan E",154,IF(Atletas!L486="Fanziquan E",155,IF(Atletas!L486="Huaquan E",156,IF(Atletas!L486="Hongquan E",157,IF(Atletas!L486="Paochui E",158,IF(Atletas!L486="Piguaquan E",159,IF(Atletas!L486="Shaolinquan E",160,IF(Atletas!L486="Tanglangquan E",161,IF(Atletas!L486="Yinzhaophai E",162,IF(Atletas!L486="Tongbeiquan E",163,IF(Atletas!L486="Wudangquan E",164,IF(Atletas!L486="Outros Estilos E",165,IF(Atletas!L486="Chaquan F",166,IF(Atletas!L486="Emeiquan F",167,IF(Atletas!L486="Fanziquan F",168,IF(Atletas!L486="Huaquan F",169,IF(Atletas!L486="Hongquan F",170,IF(Atletas!L486="Paochui F",171,IF(Atletas!L486="Piguaquan F",172,IF(Atletas!L486="Shaolinquan F",173,IF(Atletas!L486="Tanglangquan F",174,IF(Atletas!L486="Yinzhaophai F",175,IF(Atletas!L486="Tongbeiquan F",176,IF(Atletas!L486="Wudangquan F",177,IF(Atletas!L486="Outros Estilos F",178,0))))))))))))))))))))))))))))))))))))))))))</f>
        <v/>
      </c>
      <c r="BN490" s="52" t="str">
        <f>IF(Atletas!M486="","",IF(Atletas!W486&lt;&gt;"",10000,0)+(IF(Atletas!B486="Feminino",1000,IF(Atletas!B486="Masculino",2000,""))+(IF(Atletas!M486="Ditangquan A",201,IF(Atletas!M486="Houquan A",202,IF(Atletas!M486="Zuiquan A",203,IF(Atletas!M486="Ditangquan B",204,IF(Atletas!M486="Houquan B",205,IF(Atletas!M486="Zuiquan B",206,IF(Atletas!M486="Ditangquan C",207,IF(Atletas!M486="Houquan C",208,IF(Atletas!M486="Zuiquan C",209,IF(Atletas!M486="Ditangquan D",210,IF(Atletas!M486="Houquan D",211,IF(Atletas!M486="Zuiquan D",212,IF(Atletas!M486="Ditangquan E",213,IF(Atletas!M486="Houquan E",214,IF(Atletas!M486="Zuiquan E",215,IF(Atletas!M486="Ditangquan F",216,IF(Atletas!M486="Houquan F",217,IF(Atletas!M486="Zuiquan F",218,"")))))))))))))))))))))</f>
        <v/>
      </c>
      <c r="BO490" s="52" t="str">
        <f>IF(Atletas!N486="","",IF(Atletas!W486&lt;&gt;"",10000,0)+IF(Atletas!B486="Feminino",1000,IF(Atletas!B486="Masculino",2000,""))+IF(Atletas!N486="Yang A",301,IF(Atletas!N486="Chen A",30,IF(Atletas!N486="Sun A",303,IF(Atletas!N486="Wu A",304,IF(Atletas!N486="Wu-Hao A",305,IF(Atletas!N486="Outro Taijiquan A",306,IF(Atletas!N486="Yang B",307,IF(Atletas!N486="Chen B",308,IF(Atletas!N486="Sun B",309,IF(Atletas!N486="Wu B",310,IF(Atletas!N486="Wu-Hao B",311,IF(Atletas!N486="Outro Taijiquan B",312,IF(Atletas!N486="Yang C",313,IF(Atletas!N486="Chen C",314,IF(Atletas!N486="Sun C",315,IF(Atletas!N486="Wu C",316,IF(Atletas!N486="Wu-Hao C",317,IF(Atletas!N486="Outro Taijiquan C",318,IF(Atletas!N486="Yang D",319,IF(Atletas!N486="Chen D",320,IF(Atletas!N486="Sun D",321,IF(Atletas!N486="Wu D",322,IF(Atletas!N486="Wu-Hao D",323,IF(Atletas!N486="Outro Taijiquan D",324,IF(Atletas!N486="Yang E",325,IF(Atletas!N486="Chen E",326,IF(Atletas!N486="Sun E",327,IF(Atletas!N486="Wu E",328,IF(Atletas!N486="Wu-Hao E",329,IF(Atletas!N486="Outro Taijiquan E",330,IF(Atletas!N486="Yang F",331,IF(Atletas!N486="Chen F",332,IF(Atletas!N486="Sun F",333,IF(Atletas!N486="Wu F",334,IF(Atletas!N486="Wu-Hao F",335,IF(Atletas!N486="Outro Taijiquan F",336,"")))))))))))))))))))))))))))))))))))))</f>
        <v/>
      </c>
      <c r="BP490" s="52" t="str">
        <f>IF(Atletas!O486="","",IF(Atletas!W486&lt;&gt;"",10000,0)+IF(Atletas!B486="Feminino",1000,IF(Atletas!B486="Masculino",2000,""))+IF(OR(Atletas!O486="Yang 26 A",Atletas!O486="Yang 40 A"),401,IF(OR(Atletas!O486="Chen 25 A",Atletas!O486="Chen 36 A",Atletas!O486="Chen 56 A"),402,IF(Atletas!O486="Sun 73 A",403,IF(Atletas!O486="Wu 45 A",404,IF(Atletas!O486="Wu-Hao 46 A",405,IF(OR(Atletas!O486="Taijiquan 16 A",Atletas!O486="Taijiquan 24 A",Atletas!O486="Taijiquan 32 A",Atletas!O486="Taijiquan 42 A"),406,IF(OR(Atletas!O486="Yang 26 B",Atletas!O486="Yang 40 B"),407,IF(OR(Atletas!O486="Chen 25 B",Atletas!O486="Chen 36 B",Atletas!O486="Chen 56 B"),408,IF(Atletas!O486="Sun 73 B",409,IF(Atletas!O486="Wu 45 B",410,IF(Atletas!O486="Wu-Hao 46 B",411,IF(OR(Atletas!O486="Taijiquan 16 B",Atletas!O486="Taijiquan 24 B",Atletas!O486="Taijiquan 32 B",Atletas!O486="Taijiquan 42 B"),412,IF(OR(Atletas!O486="Yang 26 C",Atletas!O486="Yang 40 C"),413,IF(OR(Atletas!O486="Chen 25 C",Atletas!O486="Chen 36 C",Atletas!O486="Chen 56 C"),414,IF(Atletas!O486="Sun 73 C",415,IF(Atletas!O486="Wu 45 C",416,IF(Atletas!O486="Wu-Hao 46 C",417,IF(OR(Atletas!O486="Taijiquan 16 C",Atletas!O486="Taijiquan 24 C",Atletas!O486="Taijiquan 32 C",Atletas!O486="Taijiquan 42 C"),418,0)))))))))))))))))))</f>
        <v/>
      </c>
      <c r="BQ490" s="52" t="str">
        <f>IF(Atletas!O486="","",IF(Atletas!W486&lt;&gt;"",10000,0)+IF(Atletas!B486="Feminino",1000,IF(Atletas!B486="Masculino",2000,""))+IF(OR(Atletas!O486="Yang 26 D",Atletas!O486="Yang 40 D"),419,IF(OR(Atletas!O486="Chen 25 D",Atletas!O486="Chen 36 D",Atletas!O486="Chen 56 D"),420,IF(Atletas!O486="Sun 73 D",421,IF(Atletas!O486="Wu 45 D",422,IF(Atletas!O486="Wu-Hao 46 D",423,IF(OR(Atletas!O486="Taijiquan 16 D",Atletas!O486="Taijiquan 24 D",Atletas!O486="Taijiquan 32 D",Atletas!O486="Taijiquan 42 D"),424,IF(OR(Atletas!O486="Yang 26 E",Atletas!O486="Yang 40 E"),425,IF(OR(Atletas!O486="Chen 25 E",Atletas!O486="Chen 36 E",Atletas!O486="Chen 56 E"),426,IF(Atletas!O486="Sun 73 E",427,IF(Atletas!O486="Wu 45 E",428,IF(Atletas!O486="Wu-Hao 46 E",429,IF(OR(Atletas!O486="Taijiquan 16 E",Atletas!O486="Taijiquan 24 E",Atletas!O486="Taijiquan 32 E",Atletas!O486="Taijiquan 42 E"),430,IF(OR(Atletas!O486="Yang 26 F",Atletas!O486="Yang 40 F"),431,IF(OR(Atletas!O486="Chen 25 F",Atletas!O486="Chen 36 F",Atletas!O486="Chen 56 F"),432,IF(Atletas!O486="Sun 73 F",433,IF(Atletas!O486="Wu 45 F",434,IF(Atletas!O486="Wu-Hao 46 F",435,IF(OR(Atletas!O486="Taijiquan 16 F",Atletas!O486="Taijiquan 24 F",Atletas!O486="Taijiquan 32 F",Atletas!O486="Taijiquan 42 F"),436,0)))))))))))))))))))</f>
        <v/>
      </c>
      <c r="BR490" s="52" t="str">
        <f>IF(Atletas!P486="","",IF(Atletas!W486&lt;&gt;"",10000,0)+IF(Atletas!B486="Feminino",1000,IF(Atletas!B486="Masculino",2000,""))+IF(Atletas!P486="Xingyiquan A",501,IF(Atletas!P486="Baguazhang A",502,IF(Atletas!P486="Outro Estilo Interno A",503,IF(Atletas!P486="Xingyiquan B",504,IF(Atletas!P486="Baguazhang B",505,IF(Atletas!P486="Outro Estilo Interno B",506,IF(Atletas!P486="Xingyiquan C",507,IF(Atletas!P486="Baguazhang C",508,IF(Atletas!P486="Outro Estilo Interno C",509,IF(Atletas!P486="Xingyiquan D",510,IF(Atletas!P486="Baguazhang D",511,IF(Atletas!P486="Outro Estilo Interno D",512,IF(Atletas!P486="Xingyiquan E",513,IF(Atletas!P486="Baguazhang E",514,IF(Atletas!P486="Outro Estilo Interno E",515,IF(Atletas!P486="Xingyiquan F",516,IF(Atletas!P486="Baguazhang F",517,IF(Atletas!P486="Outro Estilo Interno F",518, "")))))))))))))))))))</f>
        <v/>
      </c>
      <c r="BS490" s="52" t="str">
        <f>IF(Atletas!Q486="","",IF(Atletas!W486&lt;&gt;"",10000,0)+IF(Atletas!B486="Feminino",1000,IF(Atletas!B486="Masculino",2000,""))+IF(Atletas!Q486="Dao A",601,IF(Atletas!Q486="Jian A",602,IF(Atletas!Q486="Bishou A",603,IF(Atletas!Q486="Shan A",604,IF(Atletas!Q486="Outra Arma Curta A",605,IF(Atletas!Q486="Dao B",606,IF(Atletas!Q486="Jian B",607,IF(Atletas!Q486="Bishou B",608,IF(Atletas!Q486="Shan B",609,IF(Atletas!Q486="Outra Arma Curta B",610,IF(Atletas!Q486="Dao C",611,IF(Atletas!Q486="Jian C",612,IF(Atletas!Q486="Bishou C",613,IF(Atletas!Q486="Shan C",614,IF(Atletas!Q486="Outra Arma Curta C",615,IF(Atletas!Q486="Dao D",616,IF(Atletas!Q486="Jian D",617,IF(Atletas!Q486="Bishou D",618,IF(Atletas!Q486="Shan D",619,IF(Atletas!Q486="Outra Arma Curta D",620,IF(Atletas!Q486="Dao E",621,IF(Atletas!Q486="Jian E",622,IF(Atletas!Q486="Bishou E",623,IF(Atletas!Q486="Shan E",624,IF(Atletas!Q486="Outra Arma Curta E",625,IF(Atletas!Q486="Dao F",626,IF(Atletas!Q486="Jian F",627,IF(Atletas!Q486="Bishou F",628,IF(Atletas!Q486="Shan F",629,IF(Atletas!Q486="Outra Arma Curta F",630, "")))))))))))))))))))))))))))))))</f>
        <v/>
      </c>
      <c r="BT490" s="52" t="str">
        <f>IF(Atletas!R486="","",IF(Atletas!W486&lt;&gt;"",10000,0)+IF(Atletas!B486="Feminino",1000,IF(Atletas!B486="Masculino",2000,""))+IF(Atletas!R486="Gun A",701,IF(Atletas!R486="Qiang A",702,IF(Atletas!R486="Pudao / Guandao A",703,IF(Atletas!R486="Outra Arma Longa A",704,IF(Atletas!R486="Gun B",705,IF(Atletas!R486="Qiang B",706,IF(Atletas!R486="Pudao / Guandao B",707,IF(Atletas!R486="Outra Arma Longa B",708,IF(Atletas!R486="Gun C",709,IF(Atletas!R486="Qiang C",710,IF(Atletas!R486="Pudao / Guandao C",711,IF(Atletas!R486="Outra Arma Longa C",712,IF(Atletas!R486="Gun D",713,IF(Atletas!R486="Qiang D",714,IF(Atletas!R486="Pudao / Guandao D",715,IF(Atletas!R486="Outra Arma Longa D",716,IF(Atletas!R486="Gun E",717,IF(Atletas!R486="Qiang E",718,IF(Atletas!R486="Pudao / Guandao E",719,IF(Atletas!R486="Outra Arma Longa E",720,IF(Atletas!R486="Gun F",721,IF(Atletas!R486="Qiang F",722,IF(Atletas!R486="Pudao / Guandao F",723,IF(Atletas!R486="Outra Arma Longa F",724,"")))))))))))))))))))))))))</f>
        <v/>
      </c>
      <c r="BU490" s="52" t="str">
        <f>IF(Atletas!S486="","",IF(Atletas!W486&lt;&gt;"",10000,0)+IF(Atletas!B486="Feminino",1000,IF(Atletas!B486="Masculino",2000,""))+IF(Atletas!S486="Arma Dupla A",801,IF(Atletas!S486="Arma Maleável A",802,IF(Atletas!S486="Arma Dupla B",803,IF(Atletas!S486="Arma Maleável B",804,IF(Atletas!S486="Arma Dupla C",805,IF(Atletas!S486="Arma Maleável C",806,IF(Atletas!S486="Arma Dupla D",807,IF(Atletas!S486="Arma Maleável D",808,IF(Atletas!S486="Arma Dupla E",809,IF(Atletas!S486="Arma Maleável E",810,IF(Atletas!S486="Arma Dupla F",811,IF(Atletas!S486="Arma Maleável F",812, "")))))))))))))</f>
        <v/>
      </c>
      <c r="BV490" s="52" t="str">
        <f>IF(Atletas!T486="","",IF(Atletas!W486&lt;&gt;"",10000,0)+IF(Atletas!B486="Feminino",1000,IF(Atletas!B486="Masculino",2000,""))+IF(Atletas!T486="Taijijian Yang A",901,IF(Atletas!T486="Taijijian Chen A",902,IF(Atletas!T486="Taijijian Sun A",903,IF(Atletas!T486="Taijijian Wu A",904,IF(Atletas!T486="Taijijian Wu-Hao A",905,IF(Atletas!T486="Taijijian 32 A",906,IF(Atletas!T486="Taijijian 42 A",907,IF(Atletas!T486="Taijijian Yang B",908,IF(Atletas!T486="Taijijian Chen B",909,IF(Atletas!T486="Taijijian Sun B",910,IF(Atletas!T486="Taijijian Wu B",911,IF(Atletas!T486="Taijijian Wu-Hao B",912,IF(Atletas!T486="Taijijian 32 B",913,IF(Atletas!T486="Taijijian 42 B",914,IF(Atletas!T486="Taijijian Yang C",915,IF(Atletas!T486="Taijijian Chen C",916,IF(Atletas!T486="Taijijian Sun C",917,IF(Atletas!T486="Taijijian Wu C",918,IF(Atletas!T486="Taijijian Wu-Hao C",919,IF(Atletas!T486="Taijijian 32 C",920,IF(Atletas!T486="Taijijian 42 C",921,IF(Atletas!T486="Taijijian Yang D",922,IF(Atletas!T486="Taijijian Chen D",923,IF(Atletas!T486="Taijijian Sun D",924,IF(Atletas!T486="Taijijian Wu D",925,IF(Atletas!T486="Taijijian Wu-Hao D",926,IF(Atletas!T486="Taijijian 32 D",927,IF(Atletas!T486="Taijijian 42 D",928,IF(Atletas!T486="Taijijian Yang E",929,IF(Atletas!T486="Taijijian Chen E",930,IF(Atletas!T486="Taijijian Sun E",931,IF(Atletas!T486="Taijijian Wu E",932,IF(Atletas!T486="Taijijian Wu-Hao E",933,IF(Atletas!T486="Taijijian 32 E",934,IF(Atletas!T486="Taijijian 42 E",935,IF(Atletas!T486="Taijijian Yang F",936,IF(Atletas!T486="Taijijian Chen F",937,IF(Atletas!T486="Taijijian Sun F",938,IF(Atletas!T486="Taijijian Wu F",939,IF(Atletas!T486="Taijijian Wu-Hao F",940,IF(Atletas!T486="Taijijian 32 F",941,IF(Atletas!T486="Taijijian 42 F",942,"")))))))))))))))))))))))))))))))))))))))))))</f>
        <v/>
      </c>
      <c r="BW490" s="52" t="str">
        <f>IF(Atletas!U486="","",IF(Atletas!W486&lt;&gt;"",10000,0)+IF(Atletas!B486="Feminino",1000,IF(Atletas!B486="Masculino",2000,""))+IF(Atletas!T486="Taijijian 42 F",942,IF(Atletas!U486="Taijidao A",943,IF(Atletas!U486="Taijishan A",944,IF(Atletas!U486="Taijiqiang A",945,IF(Atletas!U486="Taijidao B",946,IF(Atletas!U486="Taijishan B",947,IF(Atletas!U486="Taijiqiang B",948,IF(Atletas!U486="Taijidao C",949,IF(Atletas!U486="Taijishan C",950,IF(Atletas!U486="Taijiqiang C",951,IF(Atletas!U486="Taijidao D",952,IF(Atletas!U486="Taijishan D",953,IF(Atletas!U486="Taijiqiang D",954,IF(Atletas!U486="Taijidao E",955,IF(Atletas!U486="Taijishan E",956,IF(Atletas!U486="Taijiqiang E",957,IF(Atletas!U486="Taijidao F",958,IF(Atletas!U486="Taijishan F",959,IF(Atletas!U486="Taijiqiang F",960))))))))))))))))))))</f>
        <v/>
      </c>
      <c r="CF490" s="52" t="str">
        <f xml:space="preserve"> IF(Atletas!V486="","",IF(Atletas!V486="Duilian de Mãos AB - Equipe 1",1,IF(Atletas!V486="Duilian de Mãos AB - Equipe 2",2,IF(Atletas!V486="Duilian de Armas AB - Equipe 1",3,IF(Atletas!V486="Duilian de Armas AB - Equipe 2",4,IF(Atletas!V486="Duilian de Tuishou - Equipe 1",5,IF(Atletas!V486="Duilian de Tuishou - Equipe 2",6,IF(Atletas!V486="Grupo Externo AB - Equipe 1",7,IF(Atletas!V486="Grupo Externo AB - Equipe 2",8,IF(Atletas!V486="Grupo Interno AB - Equipe 1",9,IF(Atletas!V486="Grupo Interno AB - Equipe 2",10,IF(Atletas!V486="Duilian de Mãos CD - Equipe 1",11,IF(Atletas!V486="Duilian de Mãos CD - Equipe 2",12,IF(Atletas!V486="Duilian de Armas CD - Equipe 1",13,IF(Atletas!V486="Duilian de Armas CD - Equipe 2",14,IF(Atletas!V486="Duilian de Tuishou - Equipe 1",15,IF(Atletas!V486="Duilian de Tuishou - Equipe 2",16,IF(Atletas!V486="Grupo Externo CDEF - Equipe 1",17,IF(Atletas!V486="Grupo Externo CDEF - Equipe 2",18,IF(Atletas!V486="Grupo Interno CDEF - Equipe 1",19,IF(Atletas!V486="Grupo Interno CDEF - Equipe 2",20,IF(Atletas!V486="Duilian de Mãos EF - Equipe 1",21,IF(Atletas!V486="Duilian de Mãos EF - Equipe 2",22,IF(Atletas!V486="Duilian de Armas EF - Equipe 1",23,IF(Atletas!V486="Duilian de Armas EF - Equipe 2",24,IF(Atletas!V486="Duilian de Tuishou - Equipe 1",25,IF(Atletas!V486="Duilian de Tuishou - Equipe 2",26,"")))))))))))))))))))))))))))</f>
        <v/>
      </c>
    </row>
    <row r="491" spans="36:84">
      <c r="AJ491" s="46" t="str">
        <f>IF(Atletas!D487="","",IF(Atletas!B487="Feminino",100,IF(Atletas!B487="Masculino",200,""))+(IF(Atletas!D487="Infantil 39kg",1,IF(Atletas!D487="Infantil 42kg",2,IF(Atletas!D487="Infantil 45kg",3,IF(Atletas!D487="Infantil 48kg",4,IF(Atletas!D487="Infantil 52kg",5,IF(Atletas!D487="Infantil 56kg",6,IF(Atletas!D487="Infantil 60kg",7,IF(Atletas!D487="Juvenil 48kg",8,IF(Atletas!D487="Juvenil 52kg",9,IF(Atletas!D487="Juvenil 56kg",10,IF(Atletas!D487="Juvenil 60kg",11,IF(Atletas!D487="Juvenil 65kg",12,IF(Atletas!D487="Juvenil 70kg",13,IF(Atletas!D487="Juvenil 75kg",14,IF(Atletas!D487="Juvenil 80kg",15,IF(Atletas!D487="Adulto 48kg",16,IF(Atletas!D487="Adulto 52kg",17,IF(Atletas!D487="Adulto 56kg",18,IF(Atletas!D487="Adulto 60kg",19,IF(Atletas!D487="Adulto 65kg",20,IF(Atletas!D487="Adulto 70kg",21,IF(Atletas!D487="Adulto 75kg",22,IF(Atletas!D487="Adulto 80kg",23,IF(Atletas!D487="Adulto 85kg",24,IF(Atletas!D487="Adulto 90kg",25,IF(Atletas!D487="Adulto +90kg",26,""))))))))))))))))))))))))))))</f>
        <v/>
      </c>
      <c r="AO491" s="10" t="str">
        <f>IF(Atletas!E487="","",IF(Atletas!B487="Feminino",100,IF(Atletas!B487="Masculino",200,""))+(IF(Atletas!E487="Juvenil 44kg",1,IF(Atletas!E487="Juvenil 48kg",2,IF(Atletas!E487="Juvenil 52kg",3,IF(Atletas!E487="Juvenil 56kg",4,IF(Atletas!E487="Juvenil 60kg",5,IF(Atletas!E487="Juvenil 65kg",6,IF(Atletas!E487="Juvenil 70kg",7,IF(Atletas!E487="Juvenil 75kg",8,IF(Atletas!E487="Juvenil 82kg",9,IF(Atletas!E487="Juvenil 90kg",10,IF(Atletas!E487="Juvenil 100kg",11,IF(Atletas!E487="Adulto 48kg",12,IF(Atletas!E487="Adulto 52kg",13,IF(Atletas!E487="Adulto 56kg",14,IF(Atletas!E487="Adulto 60kg",15,IF(Atletas!E487="Adulto 65kg",16,IF(Atletas!E487="Adulto 70kg",17,IF(Atletas!E487="Adulto 75kg",18,IF(Atletas!E487="Adulto 82kg",19,IF(Atletas!E487="Adulto 90kg",20,IF(Atletas!E487="Adulto 100kg",21,IF(Atletas!E487="Adulto +100kg",22,""))))))))))))))))))))))))</f>
        <v/>
      </c>
      <c r="AT491" s="10" t="str">
        <f>IF(Atletas!F487="","",IF(Atletas!B487="Feminino",100,IF(Atletas!B487="Masculino",200,""))+(IF(Atletas!F487="Adulto 48kg",1,IF(Atletas!F487="Adulto 56kg",2,IF(Atletas!F487="Adulto 65kg",3,IF(Atletas!F487="Adulto 75kg",4,IF(Atletas!F487="Adulto +75kg",5,IF(Atletas!F487="Adulto 52kg",6,IF(Atletas!F487="Adulto 60kg",7,IF(Atletas!F487="Adulto 70kg",8,IF(Atletas!F487="Adulto 80kg",9,IF(Atletas!F487="Adulto 90kg",10,IF(Atletas!F487="Adulto +90kg",11,"")))))))))))))</f>
        <v/>
      </c>
      <c r="AY491" s="46" t="str">
        <f>IF(Atletas!G487="","",IF(Atletas!B487="Feminino",100,IF(Atletas!B487="Masculino",200,""))+(IF(Atletas!G487="Changquan Mirim",1,IF(Atletas!G487="Nanquan Mirim",2,IF(Atletas!G487="Taijiquan Mirim",3,IF(Atletas!G487="Changquan Grupo C",4,IF(Atletas!G487="Nanquan Grupo C",5,IF(Atletas!G487="Taijiquan Grupo C",6,IF(Atletas!G487="Changquan Grupo B",7,IF(Atletas!G487="Nanquan Grupo B",8,IF(Atletas!G487="Taijiquan Grupo B",9,IF(Atletas!G487="Changquan Grupo A",10,IF(Atletas!G487="Nanquan Grupo A",11,IF(Atletas!G487="Taijiquan Grupo A",12,IF(Atletas!G487="Changquan Opcional",13,IF(Atletas!G487="Nanquan Opcional",14,IF(Atletas!G487="Taijiquan Opcional",15,IF(Atletas!G487="Changquan Adulto",16,IF(Atletas!G487="Nanquan Adulto",17,IF(Atletas!G487="Taijiquan Adulto",18,""))))))))))))))))))))</f>
        <v/>
      </c>
      <c r="AZ491" s="46" t="str">
        <f>IF(Atletas!H487="","",IF(Atletas!B487="Feminino",100,IF(Atletas!B487="Masculino",200,""))+(IF(Atletas!H487="Daoshu Mirim",19,IF(Atletas!H487="Jianshu Mirim",20,IF(Atletas!H487="Nandao Mirim",21,IF(Atletas!H487="Taijijian Mirim",22,IF(Atletas!H487="Daoshu Grupo C",23,IF(Atletas!H487="Jianshu Grupo C",24,IF(Atletas!H487="Nandao Grupo C",25,IF(Atletas!H487="Taijijian Grupo C",26,IF(Atletas!H487="Daoshu Grupo B",27,IF(Atletas!H487="Jianshu Grupo B",28,IF(Atletas!H487="Nandao Grupo B",29,IF(Atletas!H487="Taijijian Grupo B",30,IF(Atletas!H487="Daoshu Grupo A",31,IF(Atletas!H487="Jianshu Grupo A",32,IF(Atletas!H487="Nandao Grupo A",33,IF(Atletas!H487="Taijijian Grupo A",34,IF(Atletas!H487="Daoshu Opcional",35,IF(Atletas!H487="Jianshu Opcional",36,IF(Atletas!H487="Nandao Opcional",37,IF(Atletas!H487="Taijijian Opcional",38,IF(Atletas!H487="Daoshu Adulto",39,IF(Atletas!H487="Jianshu Adulto",40,IF(Atletas!H487="Nandao Adulto",41,IF(Atletas!H487="Taijijian Adulto",42,""))))))))))))))))))))))))))</f>
        <v/>
      </c>
      <c r="BA491" s="46" t="str">
        <f>IF(Atletas!I487="","",IF(Atletas!B487="Feminino",100,IF(Atletas!B487="Masculino",200,""))+(IF(Atletas!I487="Gunshu Mirim",43,IF(Atletas!I487="Qiangshu Mirim",44,IF(Atletas!I487="Nangun Mirim",45,IF(Atletas!I487="Gunshu Grupo C",46,IF(Atletas!I487="Qiangshu Grupo C",47,IF(Atletas!I487="Nangun Grupo C",48,IF(Atletas!I487="Gunshu Grupo B",49,IF(Atletas!I487="Qiangshu Grupo B",50,IF(Atletas!I487="Nangun Grupo B",51,IF(Atletas!I487="Gunshu Grupo A",52,IF(Atletas!I487="Qiangshu Grupo A",53,IF(Atletas!I487="Nangun Grupo A",54,IF(Atletas!I487="Gunshu Opcional",55,IF(Atletas!I487="Qiangshu Opcional",56,IF(Atletas!I487="Nangun Opcional",57,IF(Atletas!I487="Gunshu Adulto",58,IF(Atletas!I487="Qiangshu Adulto",59,IF(Atletas!I487="Nangun Adulto",60,""))))))))))))))))))))</f>
        <v/>
      </c>
      <c r="BF491" s="52" t="str">
        <f>IF(Atletas!J487="","",IF(Atletas!B487="Feminino",100,IF(Atletas!B487="Masculino",200,""))+(IF(Atletas!J487="Equipe 1 Grupo B",1,IF(Atletas!J487="Equipe 2 Grupo B",2,IF(Atletas!J487="Equipe 1 Grupo A",3,IF(Atletas!J487="Equipe 2 Grupo A",4,IF(Atletas!J487="Equipe 1 Adulto",5,IF(Atletas!J487="Equipe 2 Adulto",6,""))))))))</f>
        <v/>
      </c>
      <c r="BK491" s="52" t="str">
        <f>IF(Atletas!K487="","",IF(Atletas!W487&lt;&gt;"",10000,0)+(IF(Atletas!B487="Feminino",1000,IF(Atletas!B487="Masculino",2000,""))+IF(Atletas!K487="Choylayfut A",1,IF(Atletas!K487="Hunggar A",2,IF(Atletas!K487="Wuzuquan A",3,IF(Atletas!K487="Wingchun A",4,IF(Atletas!K487="Outra Mão de Sul A",5,IF(Atletas!K487="Choylayfut B",6,IF(Atletas!K487="Hunggar B",7,IF(Atletas!K487="Wuzuquan B",8,IF(Atletas!K487="Wingchun B",9,IF(Atletas!K487="Outra Mão de Sul B",10,IF(Atletas!K487="Choylayfut C",11,IF(Atletas!K487="Hunggar C",12,IF(Atletas!K487="Wuzuquan C",13,IF(Atletas!K487="Wingchun C",14,IF(Atletas!K487="Outra Mão de Sul C",15,IF(Atletas!K487="Choylayfut D",16,IF(Atletas!K487="Hunggar D",17,IF(Atletas!K487="Wuzuquan D",18,IF(Atletas!K487="Wingchun D",19,IF(Atletas!K487="Outra Mão de Sul D",20,IF(Atletas!K487="Choylayfut E",21,IF(Atletas!K487="Hunggar E",22,IF(Atletas!K487="Wuzuquan E",23,IF(Atletas!K487="Wingchun E",24,IF(Atletas!K487="Outra Mão de Sul E",25,IF(Atletas!K487="Choylayfut F",26,IF(Atletas!K487="Hunggar F",27,IF(Atletas!K487="Wuzuquan F",28,IF(Atletas!K487="Wingchun F",29,IF(Atletas!K487="Outra Mão de Sul F",30,""))))))))))))))))))))))))))))))))</f>
        <v/>
      </c>
      <c r="BL491" s="52" t="str">
        <f>IF(Atletas!L487="","",IF(Atletas!W487&lt;&gt;"",10000,0)+(IF(Atletas!B487="Feminino",1000,IF(Atletas!B487="Masculino",2000,""))+(IF(Atletas!L487="Chaquan A",101,IF(Atletas!L487="Emeiquan A",102,IF(Atletas!L487="Fanziquan A",103,IF(Atletas!L487="Huaquan A",104,IF(Atletas!L487="Hongquan A",105,IF(Atletas!L487="Paochui A",106,IF(Atletas!L487="Piguaquan A",107,IF(Atletas!L487="Shaolinquan A",108,IF(Atletas!L487="Tanglangquan A",109,IF(Atletas!L487="Yinzhaophai A",110,IF(Atletas!L487="Tongbeiquan A",111,IF(Atletas!L487="Wudangquan A",112,IF(Atletas!L487="Outros Estilos A",113,IF(Atletas!L487="Chaquan B",114,IF(Atletas!L487="Emeiquan B",115,IF(Atletas!L487="Fanziquan B",116,IF(Atletas!L487="Huaquan B",117,IF(Atletas!L487="Hongquan B",118,IF(Atletas!L487="Paochui B",119,IF(Atletas!L487="Piguaquan B",120,IF(Atletas!L487="Shaolinquan B",121,IF(Atletas!L487="Tanglangquan B",122,IF(Atletas!L487="Yinzhaophai B",123,IF(Atletas!L487="Tongbeiquan B",124,IF(Atletas!L487="Wudangquan B",125,IF(Atletas!L487="Outros Estilos B",126,IF(Atletas!L487="Chaquan C",127,IF(Atletas!L487="Emeiquan C",128,IF(Atletas!L487="Fanziquan C",129,IF(Atletas!L487="Huaquan C",130,IF(Atletas!L487="Hongquan C",131,IF(Atletas!L487="Paochui C",132,IF(Atletas!L487="Piguaquan C",133,IF(Atletas!L487="Shaolinquan C",134,IF(Atletas!L487="Tanglangquan C",135,IF(Atletas!L487="Yinzhaophai C",136,IF(Atletas!L487="Tongbeiquan C",137,IF(Atletas!L487="Wudangquan C",138,IF(Atletas!L487="Outros Estilos C",139,0))))))))))))))))))))))))))))))))))))))))))</f>
        <v/>
      </c>
      <c r="BM491" s="52" t="str">
        <f>IF(Atletas!L487="","",IF(Atletas!W487&lt;&gt;"",10000,0)+(IF(Atletas!B487="Feminino",1000,IF(Atletas!B487="Masculino",2000,""))+(IF(Atletas!L487="Chaquan D",140,IF(Atletas!L487="Emeiquan D",141,IF(Atletas!L487="Fanziquan D",142,IF(Atletas!L487="Huaquan D",143,IF(Atletas!L487="Hongquan D",144,IF(Atletas!L487="Paochui D",145,IF(Atletas!L487="Piguaquan D",146,IF(Atletas!L487="Shaolinquan D",147,IF(Atletas!L487="Tanglangquan D",148,IF(Atletas!L487="Yinzhaophai D",149,IF(Atletas!L487="Tongbeiquan D",150,IF(Atletas!L487="Wudangquan D",151,IF(Atletas!L487="Outros Estilos D",152,IF(Atletas!L487="Chaquan E",153,IF(Atletas!L487="Emeiquan E",154,IF(Atletas!L487="Fanziquan E",155,IF(Atletas!L487="Huaquan E",156,IF(Atletas!L487="Hongquan E",157,IF(Atletas!L487="Paochui E",158,IF(Atletas!L487="Piguaquan E",159,IF(Atletas!L487="Shaolinquan E",160,IF(Atletas!L487="Tanglangquan E",161,IF(Atletas!L487="Yinzhaophai E",162,IF(Atletas!L487="Tongbeiquan E",163,IF(Atletas!L487="Wudangquan E",164,IF(Atletas!L487="Outros Estilos E",165,IF(Atletas!L487="Chaquan F",166,IF(Atletas!L487="Emeiquan F",167,IF(Atletas!L487="Fanziquan F",168,IF(Atletas!L487="Huaquan F",169,IF(Atletas!L487="Hongquan F",170,IF(Atletas!L487="Paochui F",171,IF(Atletas!L487="Piguaquan F",172,IF(Atletas!L487="Shaolinquan F",173,IF(Atletas!L487="Tanglangquan F",174,IF(Atletas!L487="Yinzhaophai F",175,IF(Atletas!L487="Tongbeiquan F",176,IF(Atletas!L487="Wudangquan F",177,IF(Atletas!L487="Outros Estilos F",178,0))))))))))))))))))))))))))))))))))))))))))</f>
        <v/>
      </c>
      <c r="BN491" s="52" t="str">
        <f>IF(Atletas!M487="","",IF(Atletas!W487&lt;&gt;"",10000,0)+(IF(Atletas!B487="Feminino",1000,IF(Atletas!B487="Masculino",2000,""))+(IF(Atletas!M487="Ditangquan A",201,IF(Atletas!M487="Houquan A",202,IF(Atletas!M487="Zuiquan A",203,IF(Atletas!M487="Ditangquan B",204,IF(Atletas!M487="Houquan B",205,IF(Atletas!M487="Zuiquan B",206,IF(Atletas!M487="Ditangquan C",207,IF(Atletas!M487="Houquan C",208,IF(Atletas!M487="Zuiquan C",209,IF(Atletas!M487="Ditangquan D",210,IF(Atletas!M487="Houquan D",211,IF(Atletas!M487="Zuiquan D",212,IF(Atletas!M487="Ditangquan E",213,IF(Atletas!M487="Houquan E",214,IF(Atletas!M487="Zuiquan E",215,IF(Atletas!M487="Ditangquan F",216,IF(Atletas!M487="Houquan F",217,IF(Atletas!M487="Zuiquan F",218,"")))))))))))))))))))))</f>
        <v/>
      </c>
      <c r="BO491" s="52" t="str">
        <f>IF(Atletas!N487="","",IF(Atletas!W487&lt;&gt;"",10000,0)+IF(Atletas!B487="Feminino",1000,IF(Atletas!B487="Masculino",2000,""))+IF(Atletas!N487="Yang A",301,IF(Atletas!N487="Chen A",30,IF(Atletas!N487="Sun A",303,IF(Atletas!N487="Wu A",304,IF(Atletas!N487="Wu-Hao A",305,IF(Atletas!N487="Outro Taijiquan A",306,IF(Atletas!N487="Yang B",307,IF(Atletas!N487="Chen B",308,IF(Atletas!N487="Sun B",309,IF(Atletas!N487="Wu B",310,IF(Atletas!N487="Wu-Hao B",311,IF(Atletas!N487="Outro Taijiquan B",312,IF(Atletas!N487="Yang C",313,IF(Atletas!N487="Chen C",314,IF(Atletas!N487="Sun C",315,IF(Atletas!N487="Wu C",316,IF(Atletas!N487="Wu-Hao C",317,IF(Atletas!N487="Outro Taijiquan C",318,IF(Atletas!N487="Yang D",319,IF(Atletas!N487="Chen D",320,IF(Atletas!N487="Sun D",321,IF(Atletas!N487="Wu D",322,IF(Atletas!N487="Wu-Hao D",323,IF(Atletas!N487="Outro Taijiquan D",324,IF(Atletas!N487="Yang E",325,IF(Atletas!N487="Chen E",326,IF(Atletas!N487="Sun E",327,IF(Atletas!N487="Wu E",328,IF(Atletas!N487="Wu-Hao E",329,IF(Atletas!N487="Outro Taijiquan E",330,IF(Atletas!N487="Yang F",331,IF(Atletas!N487="Chen F",332,IF(Atletas!N487="Sun F",333,IF(Atletas!N487="Wu F",334,IF(Atletas!N487="Wu-Hao F",335,IF(Atletas!N487="Outro Taijiquan F",336,"")))))))))))))))))))))))))))))))))))))</f>
        <v/>
      </c>
      <c r="BP491" s="52" t="str">
        <f>IF(Atletas!O487="","",IF(Atletas!W487&lt;&gt;"",10000,0)+IF(Atletas!B487="Feminino",1000,IF(Atletas!B487="Masculino",2000,""))+IF(OR(Atletas!O487="Yang 26 A",Atletas!O487="Yang 40 A"),401,IF(OR(Atletas!O487="Chen 25 A",Atletas!O487="Chen 36 A",Atletas!O487="Chen 56 A"),402,IF(Atletas!O487="Sun 73 A",403,IF(Atletas!O487="Wu 45 A",404,IF(Atletas!O487="Wu-Hao 46 A",405,IF(OR(Atletas!O487="Taijiquan 16 A",Atletas!O487="Taijiquan 24 A",Atletas!O487="Taijiquan 32 A",Atletas!O487="Taijiquan 42 A"),406,IF(OR(Atletas!O487="Yang 26 B",Atletas!O487="Yang 40 B"),407,IF(OR(Atletas!O487="Chen 25 B",Atletas!O487="Chen 36 B",Atletas!O487="Chen 56 B"),408,IF(Atletas!O487="Sun 73 B",409,IF(Atletas!O487="Wu 45 B",410,IF(Atletas!O487="Wu-Hao 46 B",411,IF(OR(Atletas!O487="Taijiquan 16 B",Atletas!O487="Taijiquan 24 B",Atletas!O487="Taijiquan 32 B",Atletas!O487="Taijiquan 42 B"),412,IF(OR(Atletas!O487="Yang 26 C",Atletas!O487="Yang 40 C"),413,IF(OR(Atletas!O487="Chen 25 C",Atletas!O487="Chen 36 C",Atletas!O487="Chen 56 C"),414,IF(Atletas!O487="Sun 73 C",415,IF(Atletas!O487="Wu 45 C",416,IF(Atletas!O487="Wu-Hao 46 C",417,IF(OR(Atletas!O487="Taijiquan 16 C",Atletas!O487="Taijiquan 24 C",Atletas!O487="Taijiquan 32 C",Atletas!O487="Taijiquan 42 C"),418,0)))))))))))))))))))</f>
        <v/>
      </c>
      <c r="BQ491" s="52" t="str">
        <f>IF(Atletas!O487="","",IF(Atletas!W487&lt;&gt;"",10000,0)+IF(Atletas!B487="Feminino",1000,IF(Atletas!B487="Masculino",2000,""))+IF(OR(Atletas!O487="Yang 26 D",Atletas!O487="Yang 40 D"),419,IF(OR(Atletas!O487="Chen 25 D",Atletas!O487="Chen 36 D",Atletas!O487="Chen 56 D"),420,IF(Atletas!O487="Sun 73 D",421,IF(Atletas!O487="Wu 45 D",422,IF(Atletas!O487="Wu-Hao 46 D",423,IF(OR(Atletas!O487="Taijiquan 16 D",Atletas!O487="Taijiquan 24 D",Atletas!O487="Taijiquan 32 D",Atletas!O487="Taijiquan 42 D"),424,IF(OR(Atletas!O487="Yang 26 E",Atletas!O487="Yang 40 E"),425,IF(OR(Atletas!O487="Chen 25 E",Atletas!O487="Chen 36 E",Atletas!O487="Chen 56 E"),426,IF(Atletas!O487="Sun 73 E",427,IF(Atletas!O487="Wu 45 E",428,IF(Atletas!O487="Wu-Hao 46 E",429,IF(OR(Atletas!O487="Taijiquan 16 E",Atletas!O487="Taijiquan 24 E",Atletas!O487="Taijiquan 32 E",Atletas!O487="Taijiquan 42 E"),430,IF(OR(Atletas!O487="Yang 26 F",Atletas!O487="Yang 40 F"),431,IF(OR(Atletas!O487="Chen 25 F",Atletas!O487="Chen 36 F",Atletas!O487="Chen 56 F"),432,IF(Atletas!O487="Sun 73 F",433,IF(Atletas!O487="Wu 45 F",434,IF(Atletas!O487="Wu-Hao 46 F",435,IF(OR(Atletas!O487="Taijiquan 16 F",Atletas!O487="Taijiquan 24 F",Atletas!O487="Taijiquan 32 F",Atletas!O487="Taijiquan 42 F"),436,0)))))))))))))))))))</f>
        <v/>
      </c>
      <c r="BR491" s="52" t="str">
        <f>IF(Atletas!P487="","",IF(Atletas!W487&lt;&gt;"",10000,0)+IF(Atletas!B487="Feminino",1000,IF(Atletas!B487="Masculino",2000,""))+IF(Atletas!P487="Xingyiquan A",501,IF(Atletas!P487="Baguazhang A",502,IF(Atletas!P487="Outro Estilo Interno A",503,IF(Atletas!P487="Xingyiquan B",504,IF(Atletas!P487="Baguazhang B",505,IF(Atletas!P487="Outro Estilo Interno B",506,IF(Atletas!P487="Xingyiquan C",507,IF(Atletas!P487="Baguazhang C",508,IF(Atletas!P487="Outro Estilo Interno C",509,IF(Atletas!P487="Xingyiquan D",510,IF(Atletas!P487="Baguazhang D",511,IF(Atletas!P487="Outro Estilo Interno D",512,IF(Atletas!P487="Xingyiquan E",513,IF(Atletas!P487="Baguazhang E",514,IF(Atletas!P487="Outro Estilo Interno E",515,IF(Atletas!P487="Xingyiquan F",516,IF(Atletas!P487="Baguazhang F",517,IF(Atletas!P487="Outro Estilo Interno F",518, "")))))))))))))))))))</f>
        <v/>
      </c>
      <c r="BS491" s="52" t="str">
        <f>IF(Atletas!Q487="","",IF(Atletas!W487&lt;&gt;"",10000,0)+IF(Atletas!B487="Feminino",1000,IF(Atletas!B487="Masculino",2000,""))+IF(Atletas!Q487="Dao A",601,IF(Atletas!Q487="Jian A",602,IF(Atletas!Q487="Bishou A",603,IF(Atletas!Q487="Shan A",604,IF(Atletas!Q487="Outra Arma Curta A",605,IF(Atletas!Q487="Dao B",606,IF(Atletas!Q487="Jian B",607,IF(Atletas!Q487="Bishou B",608,IF(Atletas!Q487="Shan B",609,IF(Atletas!Q487="Outra Arma Curta B",610,IF(Atletas!Q487="Dao C",611,IF(Atletas!Q487="Jian C",612,IF(Atletas!Q487="Bishou C",613,IF(Atletas!Q487="Shan C",614,IF(Atletas!Q487="Outra Arma Curta C",615,IF(Atletas!Q487="Dao D",616,IF(Atletas!Q487="Jian D",617,IF(Atletas!Q487="Bishou D",618,IF(Atletas!Q487="Shan D",619,IF(Atletas!Q487="Outra Arma Curta D",620,IF(Atletas!Q487="Dao E",621,IF(Atletas!Q487="Jian E",622,IF(Atletas!Q487="Bishou E",623,IF(Atletas!Q487="Shan E",624,IF(Atletas!Q487="Outra Arma Curta E",625,IF(Atletas!Q487="Dao F",626,IF(Atletas!Q487="Jian F",627,IF(Atletas!Q487="Bishou F",628,IF(Atletas!Q487="Shan F",629,IF(Atletas!Q487="Outra Arma Curta F",630, "")))))))))))))))))))))))))))))))</f>
        <v/>
      </c>
      <c r="BT491" s="52" t="str">
        <f>IF(Atletas!R487="","",IF(Atletas!W487&lt;&gt;"",10000,0)+IF(Atletas!B487="Feminino",1000,IF(Atletas!B487="Masculino",2000,""))+IF(Atletas!R487="Gun A",701,IF(Atletas!R487="Qiang A",702,IF(Atletas!R487="Pudao / Guandao A",703,IF(Atletas!R487="Outra Arma Longa A",704,IF(Atletas!R487="Gun B",705,IF(Atletas!R487="Qiang B",706,IF(Atletas!R487="Pudao / Guandao B",707,IF(Atletas!R487="Outra Arma Longa B",708,IF(Atletas!R487="Gun C",709,IF(Atletas!R487="Qiang C",710,IF(Atletas!R487="Pudao / Guandao C",711,IF(Atletas!R487="Outra Arma Longa C",712,IF(Atletas!R487="Gun D",713,IF(Atletas!R487="Qiang D",714,IF(Atletas!R487="Pudao / Guandao D",715,IF(Atletas!R487="Outra Arma Longa D",716,IF(Atletas!R487="Gun E",717,IF(Atletas!R487="Qiang E",718,IF(Atletas!R487="Pudao / Guandao E",719,IF(Atletas!R487="Outra Arma Longa E",720,IF(Atletas!R487="Gun F",721,IF(Atletas!R487="Qiang F",722,IF(Atletas!R487="Pudao / Guandao F",723,IF(Atletas!R487="Outra Arma Longa F",724,"")))))))))))))))))))))))))</f>
        <v/>
      </c>
      <c r="BU491" s="52" t="str">
        <f>IF(Atletas!S487="","",IF(Atletas!W487&lt;&gt;"",10000,0)+IF(Atletas!B487="Feminino",1000,IF(Atletas!B487="Masculino",2000,""))+IF(Atletas!S487="Arma Dupla A",801,IF(Atletas!S487="Arma Maleável A",802,IF(Atletas!S487="Arma Dupla B",803,IF(Atletas!S487="Arma Maleável B",804,IF(Atletas!S487="Arma Dupla C",805,IF(Atletas!S487="Arma Maleável C",806,IF(Atletas!S487="Arma Dupla D",807,IF(Atletas!S487="Arma Maleável D",808,IF(Atletas!S487="Arma Dupla E",809,IF(Atletas!S487="Arma Maleável E",810,IF(Atletas!S487="Arma Dupla F",811,IF(Atletas!S487="Arma Maleável F",812, "")))))))))))))</f>
        <v/>
      </c>
      <c r="BV491" s="52" t="str">
        <f>IF(Atletas!T487="","",IF(Atletas!W487&lt;&gt;"",10000,0)+IF(Atletas!B487="Feminino",1000,IF(Atletas!B487="Masculino",2000,""))+IF(Atletas!T487="Taijijian Yang A",901,IF(Atletas!T487="Taijijian Chen A",902,IF(Atletas!T487="Taijijian Sun A",903,IF(Atletas!T487="Taijijian Wu A",904,IF(Atletas!T487="Taijijian Wu-Hao A",905,IF(Atletas!T487="Taijijian 32 A",906,IF(Atletas!T487="Taijijian 42 A",907,IF(Atletas!T487="Taijijian Yang B",908,IF(Atletas!T487="Taijijian Chen B",909,IF(Atletas!T487="Taijijian Sun B",910,IF(Atletas!T487="Taijijian Wu B",911,IF(Atletas!T487="Taijijian Wu-Hao B",912,IF(Atletas!T487="Taijijian 32 B",913,IF(Atletas!T487="Taijijian 42 B",914,IF(Atletas!T487="Taijijian Yang C",915,IF(Atletas!T487="Taijijian Chen C",916,IF(Atletas!T487="Taijijian Sun C",917,IF(Atletas!T487="Taijijian Wu C",918,IF(Atletas!T487="Taijijian Wu-Hao C",919,IF(Atletas!T487="Taijijian 32 C",920,IF(Atletas!T487="Taijijian 42 C",921,IF(Atletas!T487="Taijijian Yang D",922,IF(Atletas!T487="Taijijian Chen D",923,IF(Atletas!T487="Taijijian Sun D",924,IF(Atletas!T487="Taijijian Wu D",925,IF(Atletas!T487="Taijijian Wu-Hao D",926,IF(Atletas!T487="Taijijian 32 D",927,IF(Atletas!T487="Taijijian 42 D",928,IF(Atletas!T487="Taijijian Yang E",929,IF(Atletas!T487="Taijijian Chen E",930,IF(Atletas!T487="Taijijian Sun E",931,IF(Atletas!T487="Taijijian Wu E",932,IF(Atletas!T487="Taijijian Wu-Hao E",933,IF(Atletas!T487="Taijijian 32 E",934,IF(Atletas!T487="Taijijian 42 E",935,IF(Atletas!T487="Taijijian Yang F",936,IF(Atletas!T487="Taijijian Chen F",937,IF(Atletas!T487="Taijijian Sun F",938,IF(Atletas!T487="Taijijian Wu F",939,IF(Atletas!T487="Taijijian Wu-Hao F",940,IF(Atletas!T487="Taijijian 32 F",941,IF(Atletas!T487="Taijijian 42 F",942,"")))))))))))))))))))))))))))))))))))))))))))</f>
        <v/>
      </c>
      <c r="BW491" s="52" t="str">
        <f>IF(Atletas!U487="","",IF(Atletas!W487&lt;&gt;"",10000,0)+IF(Atletas!B487="Feminino",1000,IF(Atletas!B487="Masculino",2000,""))+IF(Atletas!T487="Taijijian 42 F",942,IF(Atletas!U487="Taijidao A",943,IF(Atletas!U487="Taijishan A",944,IF(Atletas!U487="Taijiqiang A",945,IF(Atletas!U487="Taijidao B",946,IF(Atletas!U487="Taijishan B",947,IF(Atletas!U487="Taijiqiang B",948,IF(Atletas!U487="Taijidao C",949,IF(Atletas!U487="Taijishan C",950,IF(Atletas!U487="Taijiqiang C",951,IF(Atletas!U487="Taijidao D",952,IF(Atletas!U487="Taijishan D",953,IF(Atletas!U487="Taijiqiang D",954,IF(Atletas!U487="Taijidao E",955,IF(Atletas!U487="Taijishan E",956,IF(Atletas!U487="Taijiqiang E",957,IF(Atletas!U487="Taijidao F",958,IF(Atletas!U487="Taijishan F",959,IF(Atletas!U487="Taijiqiang F",960))))))))))))))))))))</f>
        <v/>
      </c>
      <c r="CF491" s="52" t="str">
        <f xml:space="preserve"> IF(Atletas!V487="","",IF(Atletas!V487="Duilian de Mãos AB - Equipe 1",1,IF(Atletas!V487="Duilian de Mãos AB - Equipe 2",2,IF(Atletas!V487="Duilian de Armas AB - Equipe 1",3,IF(Atletas!V487="Duilian de Armas AB - Equipe 2",4,IF(Atletas!V487="Duilian de Tuishou - Equipe 1",5,IF(Atletas!V487="Duilian de Tuishou - Equipe 2",6,IF(Atletas!V487="Grupo Externo AB - Equipe 1",7,IF(Atletas!V487="Grupo Externo AB - Equipe 2",8,IF(Atletas!V487="Grupo Interno AB - Equipe 1",9,IF(Atletas!V487="Grupo Interno AB - Equipe 2",10,IF(Atletas!V487="Duilian de Mãos CD - Equipe 1",11,IF(Atletas!V487="Duilian de Mãos CD - Equipe 2",12,IF(Atletas!V487="Duilian de Armas CD - Equipe 1",13,IF(Atletas!V487="Duilian de Armas CD - Equipe 2",14,IF(Atletas!V487="Duilian de Tuishou - Equipe 1",15,IF(Atletas!V487="Duilian de Tuishou - Equipe 2",16,IF(Atletas!V487="Grupo Externo CDEF - Equipe 1",17,IF(Atletas!V487="Grupo Externo CDEF - Equipe 2",18,IF(Atletas!V487="Grupo Interno CDEF - Equipe 1",19,IF(Atletas!V487="Grupo Interno CDEF - Equipe 2",20,IF(Atletas!V487="Duilian de Mãos EF - Equipe 1",21,IF(Atletas!V487="Duilian de Mãos EF - Equipe 2",22,IF(Atletas!V487="Duilian de Armas EF - Equipe 1",23,IF(Atletas!V487="Duilian de Armas EF - Equipe 2",24,IF(Atletas!V487="Duilian de Tuishou - Equipe 1",25,IF(Atletas!V487="Duilian de Tuishou - Equipe 2",26,"")))))))))))))))))))))))))))</f>
        <v/>
      </c>
    </row>
    <row r="492" spans="36:84">
      <c r="AJ492" s="46" t="str">
        <f>IF(Atletas!D488="","",IF(Atletas!B488="Feminino",100,IF(Atletas!B488="Masculino",200,""))+(IF(Atletas!D488="Infantil 39kg",1,IF(Atletas!D488="Infantil 42kg",2,IF(Atletas!D488="Infantil 45kg",3,IF(Atletas!D488="Infantil 48kg",4,IF(Atletas!D488="Infantil 52kg",5,IF(Atletas!D488="Infantil 56kg",6,IF(Atletas!D488="Infantil 60kg",7,IF(Atletas!D488="Juvenil 48kg",8,IF(Atletas!D488="Juvenil 52kg",9,IF(Atletas!D488="Juvenil 56kg",10,IF(Atletas!D488="Juvenil 60kg",11,IF(Atletas!D488="Juvenil 65kg",12,IF(Atletas!D488="Juvenil 70kg",13,IF(Atletas!D488="Juvenil 75kg",14,IF(Atletas!D488="Juvenil 80kg",15,IF(Atletas!D488="Adulto 48kg",16,IF(Atletas!D488="Adulto 52kg",17,IF(Atletas!D488="Adulto 56kg",18,IF(Atletas!D488="Adulto 60kg",19,IF(Atletas!D488="Adulto 65kg",20,IF(Atletas!D488="Adulto 70kg",21,IF(Atletas!D488="Adulto 75kg",22,IF(Atletas!D488="Adulto 80kg",23,IF(Atletas!D488="Adulto 85kg",24,IF(Atletas!D488="Adulto 90kg",25,IF(Atletas!D488="Adulto +90kg",26,""))))))))))))))))))))))))))))</f>
        <v/>
      </c>
      <c r="AO492" s="10" t="str">
        <f>IF(Atletas!E488="","",IF(Atletas!B488="Feminino",100,IF(Atletas!B488="Masculino",200,""))+(IF(Atletas!E488="Juvenil 44kg",1,IF(Atletas!E488="Juvenil 48kg",2,IF(Atletas!E488="Juvenil 52kg",3,IF(Atletas!E488="Juvenil 56kg",4,IF(Atletas!E488="Juvenil 60kg",5,IF(Atletas!E488="Juvenil 65kg",6,IF(Atletas!E488="Juvenil 70kg",7,IF(Atletas!E488="Juvenil 75kg",8,IF(Atletas!E488="Juvenil 82kg",9,IF(Atletas!E488="Juvenil 90kg",10,IF(Atletas!E488="Juvenil 100kg",11,IF(Atletas!E488="Adulto 48kg",12,IF(Atletas!E488="Adulto 52kg",13,IF(Atletas!E488="Adulto 56kg",14,IF(Atletas!E488="Adulto 60kg",15,IF(Atletas!E488="Adulto 65kg",16,IF(Atletas!E488="Adulto 70kg",17,IF(Atletas!E488="Adulto 75kg",18,IF(Atletas!E488="Adulto 82kg",19,IF(Atletas!E488="Adulto 90kg",20,IF(Atletas!E488="Adulto 100kg",21,IF(Atletas!E488="Adulto +100kg",22,""))))))))))))))))))))))))</f>
        <v/>
      </c>
      <c r="AT492" s="10" t="str">
        <f>IF(Atletas!F488="","",IF(Atletas!B488="Feminino",100,IF(Atletas!B488="Masculino",200,""))+(IF(Atletas!F488="Adulto 48kg",1,IF(Atletas!F488="Adulto 56kg",2,IF(Atletas!F488="Adulto 65kg",3,IF(Atletas!F488="Adulto 75kg",4,IF(Atletas!F488="Adulto +75kg",5,IF(Atletas!F488="Adulto 52kg",6,IF(Atletas!F488="Adulto 60kg",7,IF(Atletas!F488="Adulto 70kg",8,IF(Atletas!F488="Adulto 80kg",9,IF(Atletas!F488="Adulto 90kg",10,IF(Atletas!F488="Adulto +90kg",11,"")))))))))))))</f>
        <v/>
      </c>
      <c r="AY492" s="46" t="str">
        <f>IF(Atletas!G488="","",IF(Atletas!B488="Feminino",100,IF(Atletas!B488="Masculino",200,""))+(IF(Atletas!G488="Changquan Mirim",1,IF(Atletas!G488="Nanquan Mirim",2,IF(Atletas!G488="Taijiquan Mirim",3,IF(Atletas!G488="Changquan Grupo C",4,IF(Atletas!G488="Nanquan Grupo C",5,IF(Atletas!G488="Taijiquan Grupo C",6,IF(Atletas!G488="Changquan Grupo B",7,IF(Atletas!G488="Nanquan Grupo B",8,IF(Atletas!G488="Taijiquan Grupo B",9,IF(Atletas!G488="Changquan Grupo A",10,IF(Atletas!G488="Nanquan Grupo A",11,IF(Atletas!G488="Taijiquan Grupo A",12,IF(Atletas!G488="Changquan Opcional",13,IF(Atletas!G488="Nanquan Opcional",14,IF(Atletas!G488="Taijiquan Opcional",15,IF(Atletas!G488="Changquan Adulto",16,IF(Atletas!G488="Nanquan Adulto",17,IF(Atletas!G488="Taijiquan Adulto",18,""))))))))))))))))))))</f>
        <v/>
      </c>
      <c r="AZ492" s="46" t="str">
        <f>IF(Atletas!H488="","",IF(Atletas!B488="Feminino",100,IF(Atletas!B488="Masculino",200,""))+(IF(Atletas!H488="Daoshu Mirim",19,IF(Atletas!H488="Jianshu Mirim",20,IF(Atletas!H488="Nandao Mirim",21,IF(Atletas!H488="Taijijian Mirim",22,IF(Atletas!H488="Daoshu Grupo C",23,IF(Atletas!H488="Jianshu Grupo C",24,IF(Atletas!H488="Nandao Grupo C",25,IF(Atletas!H488="Taijijian Grupo C",26,IF(Atletas!H488="Daoshu Grupo B",27,IF(Atletas!H488="Jianshu Grupo B",28,IF(Atletas!H488="Nandao Grupo B",29,IF(Atletas!H488="Taijijian Grupo B",30,IF(Atletas!H488="Daoshu Grupo A",31,IF(Atletas!H488="Jianshu Grupo A",32,IF(Atletas!H488="Nandao Grupo A",33,IF(Atletas!H488="Taijijian Grupo A",34,IF(Atletas!H488="Daoshu Opcional",35,IF(Atletas!H488="Jianshu Opcional",36,IF(Atletas!H488="Nandao Opcional",37,IF(Atletas!H488="Taijijian Opcional",38,IF(Atletas!H488="Daoshu Adulto",39,IF(Atletas!H488="Jianshu Adulto",40,IF(Atletas!H488="Nandao Adulto",41,IF(Atletas!H488="Taijijian Adulto",42,""))))))))))))))))))))))))))</f>
        <v/>
      </c>
      <c r="BA492" s="46" t="str">
        <f>IF(Atletas!I488="","",IF(Atletas!B488="Feminino",100,IF(Atletas!B488="Masculino",200,""))+(IF(Atletas!I488="Gunshu Mirim",43,IF(Atletas!I488="Qiangshu Mirim",44,IF(Atletas!I488="Nangun Mirim",45,IF(Atletas!I488="Gunshu Grupo C",46,IF(Atletas!I488="Qiangshu Grupo C",47,IF(Atletas!I488="Nangun Grupo C",48,IF(Atletas!I488="Gunshu Grupo B",49,IF(Atletas!I488="Qiangshu Grupo B",50,IF(Atletas!I488="Nangun Grupo B",51,IF(Atletas!I488="Gunshu Grupo A",52,IF(Atletas!I488="Qiangshu Grupo A",53,IF(Atletas!I488="Nangun Grupo A",54,IF(Atletas!I488="Gunshu Opcional",55,IF(Atletas!I488="Qiangshu Opcional",56,IF(Atletas!I488="Nangun Opcional",57,IF(Atletas!I488="Gunshu Adulto",58,IF(Atletas!I488="Qiangshu Adulto",59,IF(Atletas!I488="Nangun Adulto",60,""))))))))))))))))))))</f>
        <v/>
      </c>
      <c r="BF492" s="52" t="str">
        <f>IF(Atletas!J488="","",IF(Atletas!B488="Feminino",100,IF(Atletas!B488="Masculino",200,""))+(IF(Atletas!J488="Equipe 1 Grupo B",1,IF(Atletas!J488="Equipe 2 Grupo B",2,IF(Atletas!J488="Equipe 1 Grupo A",3,IF(Atletas!J488="Equipe 2 Grupo A",4,IF(Atletas!J488="Equipe 1 Adulto",5,IF(Atletas!J488="Equipe 2 Adulto",6,""))))))))</f>
        <v/>
      </c>
      <c r="BK492" s="52" t="str">
        <f>IF(Atletas!K488="","",IF(Atletas!W488&lt;&gt;"",10000,0)+(IF(Atletas!B488="Feminino",1000,IF(Atletas!B488="Masculino",2000,""))+IF(Atletas!K488="Choylayfut A",1,IF(Atletas!K488="Hunggar A",2,IF(Atletas!K488="Wuzuquan A",3,IF(Atletas!K488="Wingchun A",4,IF(Atletas!K488="Outra Mão de Sul A",5,IF(Atletas!K488="Choylayfut B",6,IF(Atletas!K488="Hunggar B",7,IF(Atletas!K488="Wuzuquan B",8,IF(Atletas!K488="Wingchun B",9,IF(Atletas!K488="Outra Mão de Sul B",10,IF(Atletas!K488="Choylayfut C",11,IF(Atletas!K488="Hunggar C",12,IF(Atletas!K488="Wuzuquan C",13,IF(Atletas!K488="Wingchun C",14,IF(Atletas!K488="Outra Mão de Sul C",15,IF(Atletas!K488="Choylayfut D",16,IF(Atletas!K488="Hunggar D",17,IF(Atletas!K488="Wuzuquan D",18,IF(Atletas!K488="Wingchun D",19,IF(Atletas!K488="Outra Mão de Sul D",20,IF(Atletas!K488="Choylayfut E",21,IF(Atletas!K488="Hunggar E",22,IF(Atletas!K488="Wuzuquan E",23,IF(Atletas!K488="Wingchun E",24,IF(Atletas!K488="Outra Mão de Sul E",25,IF(Atletas!K488="Choylayfut F",26,IF(Atletas!K488="Hunggar F",27,IF(Atletas!K488="Wuzuquan F",28,IF(Atletas!K488="Wingchun F",29,IF(Atletas!K488="Outra Mão de Sul F",30,""))))))))))))))))))))))))))))))))</f>
        <v/>
      </c>
      <c r="BL492" s="52" t="str">
        <f>IF(Atletas!L488="","",IF(Atletas!W488&lt;&gt;"",10000,0)+(IF(Atletas!B488="Feminino",1000,IF(Atletas!B488="Masculino",2000,""))+(IF(Atletas!L488="Chaquan A",101,IF(Atletas!L488="Emeiquan A",102,IF(Atletas!L488="Fanziquan A",103,IF(Atletas!L488="Huaquan A",104,IF(Atletas!L488="Hongquan A",105,IF(Atletas!L488="Paochui A",106,IF(Atletas!L488="Piguaquan A",107,IF(Atletas!L488="Shaolinquan A",108,IF(Atletas!L488="Tanglangquan A",109,IF(Atletas!L488="Yinzhaophai A",110,IF(Atletas!L488="Tongbeiquan A",111,IF(Atletas!L488="Wudangquan A",112,IF(Atletas!L488="Outros Estilos A",113,IF(Atletas!L488="Chaquan B",114,IF(Atletas!L488="Emeiquan B",115,IF(Atletas!L488="Fanziquan B",116,IF(Atletas!L488="Huaquan B",117,IF(Atletas!L488="Hongquan B",118,IF(Atletas!L488="Paochui B",119,IF(Atletas!L488="Piguaquan B",120,IF(Atletas!L488="Shaolinquan B",121,IF(Atletas!L488="Tanglangquan B",122,IF(Atletas!L488="Yinzhaophai B",123,IF(Atletas!L488="Tongbeiquan B",124,IF(Atletas!L488="Wudangquan B",125,IF(Atletas!L488="Outros Estilos B",126,IF(Atletas!L488="Chaquan C",127,IF(Atletas!L488="Emeiquan C",128,IF(Atletas!L488="Fanziquan C",129,IF(Atletas!L488="Huaquan C",130,IF(Atletas!L488="Hongquan C",131,IF(Atletas!L488="Paochui C",132,IF(Atletas!L488="Piguaquan C",133,IF(Atletas!L488="Shaolinquan C",134,IF(Atletas!L488="Tanglangquan C",135,IF(Atletas!L488="Yinzhaophai C",136,IF(Atletas!L488="Tongbeiquan C",137,IF(Atletas!L488="Wudangquan C",138,IF(Atletas!L488="Outros Estilos C",139,0))))))))))))))))))))))))))))))))))))))))))</f>
        <v/>
      </c>
      <c r="BM492" s="52" t="str">
        <f>IF(Atletas!L488="","",IF(Atletas!W488&lt;&gt;"",10000,0)+(IF(Atletas!B488="Feminino",1000,IF(Atletas!B488="Masculino",2000,""))+(IF(Atletas!L488="Chaquan D",140,IF(Atletas!L488="Emeiquan D",141,IF(Atletas!L488="Fanziquan D",142,IF(Atletas!L488="Huaquan D",143,IF(Atletas!L488="Hongquan D",144,IF(Atletas!L488="Paochui D",145,IF(Atletas!L488="Piguaquan D",146,IF(Atletas!L488="Shaolinquan D",147,IF(Atletas!L488="Tanglangquan D",148,IF(Atletas!L488="Yinzhaophai D",149,IF(Atletas!L488="Tongbeiquan D",150,IF(Atletas!L488="Wudangquan D",151,IF(Atletas!L488="Outros Estilos D",152,IF(Atletas!L488="Chaquan E",153,IF(Atletas!L488="Emeiquan E",154,IF(Atletas!L488="Fanziquan E",155,IF(Atletas!L488="Huaquan E",156,IF(Atletas!L488="Hongquan E",157,IF(Atletas!L488="Paochui E",158,IF(Atletas!L488="Piguaquan E",159,IF(Atletas!L488="Shaolinquan E",160,IF(Atletas!L488="Tanglangquan E",161,IF(Atletas!L488="Yinzhaophai E",162,IF(Atletas!L488="Tongbeiquan E",163,IF(Atletas!L488="Wudangquan E",164,IF(Atletas!L488="Outros Estilos E",165,IF(Atletas!L488="Chaquan F",166,IF(Atletas!L488="Emeiquan F",167,IF(Atletas!L488="Fanziquan F",168,IF(Atletas!L488="Huaquan F",169,IF(Atletas!L488="Hongquan F",170,IF(Atletas!L488="Paochui F",171,IF(Atletas!L488="Piguaquan F",172,IF(Atletas!L488="Shaolinquan F",173,IF(Atletas!L488="Tanglangquan F",174,IF(Atletas!L488="Yinzhaophai F",175,IF(Atletas!L488="Tongbeiquan F",176,IF(Atletas!L488="Wudangquan F",177,IF(Atletas!L488="Outros Estilos F",178,0))))))))))))))))))))))))))))))))))))))))))</f>
        <v/>
      </c>
      <c r="BN492" s="52" t="str">
        <f>IF(Atletas!M488="","",IF(Atletas!W488&lt;&gt;"",10000,0)+(IF(Atletas!B488="Feminino",1000,IF(Atletas!B488="Masculino",2000,""))+(IF(Atletas!M488="Ditangquan A",201,IF(Atletas!M488="Houquan A",202,IF(Atletas!M488="Zuiquan A",203,IF(Atletas!M488="Ditangquan B",204,IF(Atletas!M488="Houquan B",205,IF(Atletas!M488="Zuiquan B",206,IF(Atletas!M488="Ditangquan C",207,IF(Atletas!M488="Houquan C",208,IF(Atletas!M488="Zuiquan C",209,IF(Atletas!M488="Ditangquan D",210,IF(Atletas!M488="Houquan D",211,IF(Atletas!M488="Zuiquan D",212,IF(Atletas!M488="Ditangquan E",213,IF(Atletas!M488="Houquan E",214,IF(Atletas!M488="Zuiquan E",215,IF(Atletas!M488="Ditangquan F",216,IF(Atletas!M488="Houquan F",217,IF(Atletas!M488="Zuiquan F",218,"")))))))))))))))))))))</f>
        <v/>
      </c>
      <c r="BO492" s="52" t="str">
        <f>IF(Atletas!N488="","",IF(Atletas!W488&lt;&gt;"",10000,0)+IF(Atletas!B488="Feminino",1000,IF(Atletas!B488="Masculino",2000,""))+IF(Atletas!N488="Yang A",301,IF(Atletas!N488="Chen A",30,IF(Atletas!N488="Sun A",303,IF(Atletas!N488="Wu A",304,IF(Atletas!N488="Wu-Hao A",305,IF(Atletas!N488="Outro Taijiquan A",306,IF(Atletas!N488="Yang B",307,IF(Atletas!N488="Chen B",308,IF(Atletas!N488="Sun B",309,IF(Atletas!N488="Wu B",310,IF(Atletas!N488="Wu-Hao B",311,IF(Atletas!N488="Outro Taijiquan B",312,IF(Atletas!N488="Yang C",313,IF(Atletas!N488="Chen C",314,IF(Atletas!N488="Sun C",315,IF(Atletas!N488="Wu C",316,IF(Atletas!N488="Wu-Hao C",317,IF(Atletas!N488="Outro Taijiquan C",318,IF(Atletas!N488="Yang D",319,IF(Atletas!N488="Chen D",320,IF(Atletas!N488="Sun D",321,IF(Atletas!N488="Wu D",322,IF(Atletas!N488="Wu-Hao D",323,IF(Atletas!N488="Outro Taijiquan D",324,IF(Atletas!N488="Yang E",325,IF(Atletas!N488="Chen E",326,IF(Atletas!N488="Sun E",327,IF(Atletas!N488="Wu E",328,IF(Atletas!N488="Wu-Hao E",329,IF(Atletas!N488="Outro Taijiquan E",330,IF(Atletas!N488="Yang F",331,IF(Atletas!N488="Chen F",332,IF(Atletas!N488="Sun F",333,IF(Atletas!N488="Wu F",334,IF(Atletas!N488="Wu-Hao F",335,IF(Atletas!N488="Outro Taijiquan F",336,"")))))))))))))))))))))))))))))))))))))</f>
        <v/>
      </c>
      <c r="BP492" s="52" t="str">
        <f>IF(Atletas!O488="","",IF(Atletas!W488&lt;&gt;"",10000,0)+IF(Atletas!B488="Feminino",1000,IF(Atletas!B488="Masculino",2000,""))+IF(OR(Atletas!O488="Yang 26 A",Atletas!O488="Yang 40 A"),401,IF(OR(Atletas!O488="Chen 25 A",Atletas!O488="Chen 36 A",Atletas!O488="Chen 56 A"),402,IF(Atletas!O488="Sun 73 A",403,IF(Atletas!O488="Wu 45 A",404,IF(Atletas!O488="Wu-Hao 46 A",405,IF(OR(Atletas!O488="Taijiquan 16 A",Atletas!O488="Taijiquan 24 A",Atletas!O488="Taijiquan 32 A",Atletas!O488="Taijiquan 42 A"),406,IF(OR(Atletas!O488="Yang 26 B",Atletas!O488="Yang 40 B"),407,IF(OR(Atletas!O488="Chen 25 B",Atletas!O488="Chen 36 B",Atletas!O488="Chen 56 B"),408,IF(Atletas!O488="Sun 73 B",409,IF(Atletas!O488="Wu 45 B",410,IF(Atletas!O488="Wu-Hao 46 B",411,IF(OR(Atletas!O488="Taijiquan 16 B",Atletas!O488="Taijiquan 24 B",Atletas!O488="Taijiquan 32 B",Atletas!O488="Taijiquan 42 B"),412,IF(OR(Atletas!O488="Yang 26 C",Atletas!O488="Yang 40 C"),413,IF(OR(Atletas!O488="Chen 25 C",Atletas!O488="Chen 36 C",Atletas!O488="Chen 56 C"),414,IF(Atletas!O488="Sun 73 C",415,IF(Atletas!O488="Wu 45 C",416,IF(Atletas!O488="Wu-Hao 46 C",417,IF(OR(Atletas!O488="Taijiquan 16 C",Atletas!O488="Taijiquan 24 C",Atletas!O488="Taijiquan 32 C",Atletas!O488="Taijiquan 42 C"),418,0)))))))))))))))))))</f>
        <v/>
      </c>
      <c r="BQ492" s="52" t="str">
        <f>IF(Atletas!O488="","",IF(Atletas!W488&lt;&gt;"",10000,0)+IF(Atletas!B488="Feminino",1000,IF(Atletas!B488="Masculino",2000,""))+IF(OR(Atletas!O488="Yang 26 D",Atletas!O488="Yang 40 D"),419,IF(OR(Atletas!O488="Chen 25 D",Atletas!O488="Chen 36 D",Atletas!O488="Chen 56 D"),420,IF(Atletas!O488="Sun 73 D",421,IF(Atletas!O488="Wu 45 D",422,IF(Atletas!O488="Wu-Hao 46 D",423,IF(OR(Atletas!O488="Taijiquan 16 D",Atletas!O488="Taijiquan 24 D",Atletas!O488="Taijiquan 32 D",Atletas!O488="Taijiquan 42 D"),424,IF(OR(Atletas!O488="Yang 26 E",Atletas!O488="Yang 40 E"),425,IF(OR(Atletas!O488="Chen 25 E",Atletas!O488="Chen 36 E",Atletas!O488="Chen 56 E"),426,IF(Atletas!O488="Sun 73 E",427,IF(Atletas!O488="Wu 45 E",428,IF(Atletas!O488="Wu-Hao 46 E",429,IF(OR(Atletas!O488="Taijiquan 16 E",Atletas!O488="Taijiquan 24 E",Atletas!O488="Taijiquan 32 E",Atletas!O488="Taijiquan 42 E"),430,IF(OR(Atletas!O488="Yang 26 F",Atletas!O488="Yang 40 F"),431,IF(OR(Atletas!O488="Chen 25 F",Atletas!O488="Chen 36 F",Atletas!O488="Chen 56 F"),432,IF(Atletas!O488="Sun 73 F",433,IF(Atletas!O488="Wu 45 F",434,IF(Atletas!O488="Wu-Hao 46 F",435,IF(OR(Atletas!O488="Taijiquan 16 F",Atletas!O488="Taijiquan 24 F",Atletas!O488="Taijiquan 32 F",Atletas!O488="Taijiquan 42 F"),436,0)))))))))))))))))))</f>
        <v/>
      </c>
      <c r="BR492" s="52" t="str">
        <f>IF(Atletas!P488="","",IF(Atletas!W488&lt;&gt;"",10000,0)+IF(Atletas!B488="Feminino",1000,IF(Atletas!B488="Masculino",2000,""))+IF(Atletas!P488="Xingyiquan A",501,IF(Atletas!P488="Baguazhang A",502,IF(Atletas!P488="Outro Estilo Interno A",503,IF(Atletas!P488="Xingyiquan B",504,IF(Atletas!P488="Baguazhang B",505,IF(Atletas!P488="Outro Estilo Interno B",506,IF(Atletas!P488="Xingyiquan C",507,IF(Atletas!P488="Baguazhang C",508,IF(Atletas!P488="Outro Estilo Interno C",509,IF(Atletas!P488="Xingyiquan D",510,IF(Atletas!P488="Baguazhang D",511,IF(Atletas!P488="Outro Estilo Interno D",512,IF(Atletas!P488="Xingyiquan E",513,IF(Atletas!P488="Baguazhang E",514,IF(Atletas!P488="Outro Estilo Interno E",515,IF(Atletas!P488="Xingyiquan F",516,IF(Atletas!P488="Baguazhang F",517,IF(Atletas!P488="Outro Estilo Interno F",518, "")))))))))))))))))))</f>
        <v/>
      </c>
      <c r="BS492" s="52" t="str">
        <f>IF(Atletas!Q488="","",IF(Atletas!W488&lt;&gt;"",10000,0)+IF(Atletas!B488="Feminino",1000,IF(Atletas!B488="Masculino",2000,""))+IF(Atletas!Q488="Dao A",601,IF(Atletas!Q488="Jian A",602,IF(Atletas!Q488="Bishou A",603,IF(Atletas!Q488="Shan A",604,IF(Atletas!Q488="Outra Arma Curta A",605,IF(Atletas!Q488="Dao B",606,IF(Atletas!Q488="Jian B",607,IF(Atletas!Q488="Bishou B",608,IF(Atletas!Q488="Shan B",609,IF(Atletas!Q488="Outra Arma Curta B",610,IF(Atletas!Q488="Dao C",611,IF(Atletas!Q488="Jian C",612,IF(Atletas!Q488="Bishou C",613,IF(Atletas!Q488="Shan C",614,IF(Atletas!Q488="Outra Arma Curta C",615,IF(Atletas!Q488="Dao D",616,IF(Atletas!Q488="Jian D",617,IF(Atletas!Q488="Bishou D",618,IF(Atletas!Q488="Shan D",619,IF(Atletas!Q488="Outra Arma Curta D",620,IF(Atletas!Q488="Dao E",621,IF(Atletas!Q488="Jian E",622,IF(Atletas!Q488="Bishou E",623,IF(Atletas!Q488="Shan E",624,IF(Atletas!Q488="Outra Arma Curta E",625,IF(Atletas!Q488="Dao F",626,IF(Atletas!Q488="Jian F",627,IF(Atletas!Q488="Bishou F",628,IF(Atletas!Q488="Shan F",629,IF(Atletas!Q488="Outra Arma Curta F",630, "")))))))))))))))))))))))))))))))</f>
        <v/>
      </c>
      <c r="BT492" s="52" t="str">
        <f>IF(Atletas!R488="","",IF(Atletas!W488&lt;&gt;"",10000,0)+IF(Atletas!B488="Feminino",1000,IF(Atletas!B488="Masculino",2000,""))+IF(Atletas!R488="Gun A",701,IF(Atletas!R488="Qiang A",702,IF(Atletas!R488="Pudao / Guandao A",703,IF(Atletas!R488="Outra Arma Longa A",704,IF(Atletas!R488="Gun B",705,IF(Atletas!R488="Qiang B",706,IF(Atletas!R488="Pudao / Guandao B",707,IF(Atletas!R488="Outra Arma Longa B",708,IF(Atletas!R488="Gun C",709,IF(Atletas!R488="Qiang C",710,IF(Atletas!R488="Pudao / Guandao C",711,IF(Atletas!R488="Outra Arma Longa C",712,IF(Atletas!R488="Gun D",713,IF(Atletas!R488="Qiang D",714,IF(Atletas!R488="Pudao / Guandao D",715,IF(Atletas!R488="Outra Arma Longa D",716,IF(Atletas!R488="Gun E",717,IF(Atletas!R488="Qiang E",718,IF(Atletas!R488="Pudao / Guandao E",719,IF(Atletas!R488="Outra Arma Longa E",720,IF(Atletas!R488="Gun F",721,IF(Atletas!R488="Qiang F",722,IF(Atletas!R488="Pudao / Guandao F",723,IF(Atletas!R488="Outra Arma Longa F",724,"")))))))))))))))))))))))))</f>
        <v/>
      </c>
      <c r="BU492" s="52" t="str">
        <f>IF(Atletas!S488="","",IF(Atletas!W488&lt;&gt;"",10000,0)+IF(Atletas!B488="Feminino",1000,IF(Atletas!B488="Masculino",2000,""))+IF(Atletas!S488="Arma Dupla A",801,IF(Atletas!S488="Arma Maleável A",802,IF(Atletas!S488="Arma Dupla B",803,IF(Atletas!S488="Arma Maleável B",804,IF(Atletas!S488="Arma Dupla C",805,IF(Atletas!S488="Arma Maleável C",806,IF(Atletas!S488="Arma Dupla D",807,IF(Atletas!S488="Arma Maleável D",808,IF(Atletas!S488="Arma Dupla E",809,IF(Atletas!S488="Arma Maleável E",810,IF(Atletas!S488="Arma Dupla F",811,IF(Atletas!S488="Arma Maleável F",812, "")))))))))))))</f>
        <v/>
      </c>
      <c r="BV492" s="52" t="str">
        <f>IF(Atletas!T488="","",IF(Atletas!W488&lt;&gt;"",10000,0)+IF(Atletas!B488="Feminino",1000,IF(Atletas!B488="Masculino",2000,""))+IF(Atletas!T488="Taijijian Yang A",901,IF(Atletas!T488="Taijijian Chen A",902,IF(Atletas!T488="Taijijian Sun A",903,IF(Atletas!T488="Taijijian Wu A",904,IF(Atletas!T488="Taijijian Wu-Hao A",905,IF(Atletas!T488="Taijijian 32 A",906,IF(Atletas!T488="Taijijian 42 A",907,IF(Atletas!T488="Taijijian Yang B",908,IF(Atletas!T488="Taijijian Chen B",909,IF(Atletas!T488="Taijijian Sun B",910,IF(Atletas!T488="Taijijian Wu B",911,IF(Atletas!T488="Taijijian Wu-Hao B",912,IF(Atletas!T488="Taijijian 32 B",913,IF(Atletas!T488="Taijijian 42 B",914,IF(Atletas!T488="Taijijian Yang C",915,IF(Atletas!T488="Taijijian Chen C",916,IF(Atletas!T488="Taijijian Sun C",917,IF(Atletas!T488="Taijijian Wu C",918,IF(Atletas!T488="Taijijian Wu-Hao C",919,IF(Atletas!T488="Taijijian 32 C",920,IF(Atletas!T488="Taijijian 42 C",921,IF(Atletas!T488="Taijijian Yang D",922,IF(Atletas!T488="Taijijian Chen D",923,IF(Atletas!T488="Taijijian Sun D",924,IF(Atletas!T488="Taijijian Wu D",925,IF(Atletas!T488="Taijijian Wu-Hao D",926,IF(Atletas!T488="Taijijian 32 D",927,IF(Atletas!T488="Taijijian 42 D",928,IF(Atletas!T488="Taijijian Yang E",929,IF(Atletas!T488="Taijijian Chen E",930,IF(Atletas!T488="Taijijian Sun E",931,IF(Atletas!T488="Taijijian Wu E",932,IF(Atletas!T488="Taijijian Wu-Hao E",933,IF(Atletas!T488="Taijijian 32 E",934,IF(Atletas!T488="Taijijian 42 E",935,IF(Atletas!T488="Taijijian Yang F",936,IF(Atletas!T488="Taijijian Chen F",937,IF(Atletas!T488="Taijijian Sun F",938,IF(Atletas!T488="Taijijian Wu F",939,IF(Atletas!T488="Taijijian Wu-Hao F",940,IF(Atletas!T488="Taijijian 32 F",941,IF(Atletas!T488="Taijijian 42 F",942,"")))))))))))))))))))))))))))))))))))))))))))</f>
        <v/>
      </c>
      <c r="BW492" s="52" t="str">
        <f>IF(Atletas!U488="","",IF(Atletas!W488&lt;&gt;"",10000,0)+IF(Atletas!B488="Feminino",1000,IF(Atletas!B488="Masculino",2000,""))+IF(Atletas!T488="Taijijian 42 F",942,IF(Atletas!U488="Taijidao A",943,IF(Atletas!U488="Taijishan A",944,IF(Atletas!U488="Taijiqiang A",945,IF(Atletas!U488="Taijidao B",946,IF(Atletas!U488="Taijishan B",947,IF(Atletas!U488="Taijiqiang B",948,IF(Atletas!U488="Taijidao C",949,IF(Atletas!U488="Taijishan C",950,IF(Atletas!U488="Taijiqiang C",951,IF(Atletas!U488="Taijidao D",952,IF(Atletas!U488="Taijishan D",953,IF(Atletas!U488="Taijiqiang D",954,IF(Atletas!U488="Taijidao E",955,IF(Atletas!U488="Taijishan E",956,IF(Atletas!U488="Taijiqiang E",957,IF(Atletas!U488="Taijidao F",958,IF(Atletas!U488="Taijishan F",959,IF(Atletas!U488="Taijiqiang F",960))))))))))))))))))))</f>
        <v/>
      </c>
      <c r="CF492" s="52" t="str">
        <f xml:space="preserve"> IF(Atletas!V488="","",IF(Atletas!V488="Duilian de Mãos AB - Equipe 1",1,IF(Atletas!V488="Duilian de Mãos AB - Equipe 2",2,IF(Atletas!V488="Duilian de Armas AB - Equipe 1",3,IF(Atletas!V488="Duilian de Armas AB - Equipe 2",4,IF(Atletas!V488="Duilian de Tuishou - Equipe 1",5,IF(Atletas!V488="Duilian de Tuishou - Equipe 2",6,IF(Atletas!V488="Grupo Externo AB - Equipe 1",7,IF(Atletas!V488="Grupo Externo AB - Equipe 2",8,IF(Atletas!V488="Grupo Interno AB - Equipe 1",9,IF(Atletas!V488="Grupo Interno AB - Equipe 2",10,IF(Atletas!V488="Duilian de Mãos CD - Equipe 1",11,IF(Atletas!V488="Duilian de Mãos CD - Equipe 2",12,IF(Atletas!V488="Duilian de Armas CD - Equipe 1",13,IF(Atletas!V488="Duilian de Armas CD - Equipe 2",14,IF(Atletas!V488="Duilian de Tuishou - Equipe 1",15,IF(Atletas!V488="Duilian de Tuishou - Equipe 2",16,IF(Atletas!V488="Grupo Externo CDEF - Equipe 1",17,IF(Atletas!V488="Grupo Externo CDEF - Equipe 2",18,IF(Atletas!V488="Grupo Interno CDEF - Equipe 1",19,IF(Atletas!V488="Grupo Interno CDEF - Equipe 2",20,IF(Atletas!V488="Duilian de Mãos EF - Equipe 1",21,IF(Atletas!V488="Duilian de Mãos EF - Equipe 2",22,IF(Atletas!V488="Duilian de Armas EF - Equipe 1",23,IF(Atletas!V488="Duilian de Armas EF - Equipe 2",24,IF(Atletas!V488="Duilian de Tuishou - Equipe 1",25,IF(Atletas!V488="Duilian de Tuishou - Equipe 2",26,"")))))))))))))))))))))))))))</f>
        <v/>
      </c>
    </row>
    <row r="493" spans="36:84">
      <c r="AJ493" s="46" t="str">
        <f>IF(Atletas!D489="","",IF(Atletas!B489="Feminino",100,IF(Atletas!B489="Masculino",200,""))+(IF(Atletas!D489="Infantil 39kg",1,IF(Atletas!D489="Infantil 42kg",2,IF(Atletas!D489="Infantil 45kg",3,IF(Atletas!D489="Infantil 48kg",4,IF(Atletas!D489="Infantil 52kg",5,IF(Atletas!D489="Infantil 56kg",6,IF(Atletas!D489="Infantil 60kg",7,IF(Atletas!D489="Juvenil 48kg",8,IF(Atletas!D489="Juvenil 52kg",9,IF(Atletas!D489="Juvenil 56kg",10,IF(Atletas!D489="Juvenil 60kg",11,IF(Atletas!D489="Juvenil 65kg",12,IF(Atletas!D489="Juvenil 70kg",13,IF(Atletas!D489="Juvenil 75kg",14,IF(Atletas!D489="Juvenil 80kg",15,IF(Atletas!D489="Adulto 48kg",16,IF(Atletas!D489="Adulto 52kg",17,IF(Atletas!D489="Adulto 56kg",18,IF(Atletas!D489="Adulto 60kg",19,IF(Atletas!D489="Adulto 65kg",20,IF(Atletas!D489="Adulto 70kg",21,IF(Atletas!D489="Adulto 75kg",22,IF(Atletas!D489="Adulto 80kg",23,IF(Atletas!D489="Adulto 85kg",24,IF(Atletas!D489="Adulto 90kg",25,IF(Atletas!D489="Adulto +90kg",26,""))))))))))))))))))))))))))))</f>
        <v/>
      </c>
      <c r="AO493" s="10" t="str">
        <f>IF(Atletas!E489="","",IF(Atletas!B489="Feminino",100,IF(Atletas!B489="Masculino",200,""))+(IF(Atletas!E489="Juvenil 44kg",1,IF(Atletas!E489="Juvenil 48kg",2,IF(Atletas!E489="Juvenil 52kg",3,IF(Atletas!E489="Juvenil 56kg",4,IF(Atletas!E489="Juvenil 60kg",5,IF(Atletas!E489="Juvenil 65kg",6,IF(Atletas!E489="Juvenil 70kg",7,IF(Atletas!E489="Juvenil 75kg",8,IF(Atletas!E489="Juvenil 82kg",9,IF(Atletas!E489="Juvenil 90kg",10,IF(Atletas!E489="Juvenil 100kg",11,IF(Atletas!E489="Adulto 48kg",12,IF(Atletas!E489="Adulto 52kg",13,IF(Atletas!E489="Adulto 56kg",14,IF(Atletas!E489="Adulto 60kg",15,IF(Atletas!E489="Adulto 65kg",16,IF(Atletas!E489="Adulto 70kg",17,IF(Atletas!E489="Adulto 75kg",18,IF(Atletas!E489="Adulto 82kg",19,IF(Atletas!E489="Adulto 90kg",20,IF(Atletas!E489="Adulto 100kg",21,IF(Atletas!E489="Adulto +100kg",22,""))))))))))))))))))))))))</f>
        <v/>
      </c>
      <c r="AT493" s="10" t="str">
        <f>IF(Atletas!F489="","",IF(Atletas!B489="Feminino",100,IF(Atletas!B489="Masculino",200,""))+(IF(Atletas!F489="Adulto 48kg",1,IF(Atletas!F489="Adulto 56kg",2,IF(Atletas!F489="Adulto 65kg",3,IF(Atletas!F489="Adulto 75kg",4,IF(Atletas!F489="Adulto +75kg",5,IF(Atletas!F489="Adulto 52kg",6,IF(Atletas!F489="Adulto 60kg",7,IF(Atletas!F489="Adulto 70kg",8,IF(Atletas!F489="Adulto 80kg",9,IF(Atletas!F489="Adulto 90kg",10,IF(Atletas!F489="Adulto +90kg",11,"")))))))))))))</f>
        <v/>
      </c>
      <c r="AY493" s="46" t="str">
        <f>IF(Atletas!G489="","",IF(Atletas!B489="Feminino",100,IF(Atletas!B489="Masculino",200,""))+(IF(Atletas!G489="Changquan Mirim",1,IF(Atletas!G489="Nanquan Mirim",2,IF(Atletas!G489="Taijiquan Mirim",3,IF(Atletas!G489="Changquan Grupo C",4,IF(Atletas!G489="Nanquan Grupo C",5,IF(Atletas!G489="Taijiquan Grupo C",6,IF(Atletas!G489="Changquan Grupo B",7,IF(Atletas!G489="Nanquan Grupo B",8,IF(Atletas!G489="Taijiquan Grupo B",9,IF(Atletas!G489="Changquan Grupo A",10,IF(Atletas!G489="Nanquan Grupo A",11,IF(Atletas!G489="Taijiquan Grupo A",12,IF(Atletas!G489="Changquan Opcional",13,IF(Atletas!G489="Nanquan Opcional",14,IF(Atletas!G489="Taijiquan Opcional",15,IF(Atletas!G489="Changquan Adulto",16,IF(Atletas!G489="Nanquan Adulto",17,IF(Atletas!G489="Taijiquan Adulto",18,""))))))))))))))))))))</f>
        <v/>
      </c>
      <c r="AZ493" s="46" t="str">
        <f>IF(Atletas!H489="","",IF(Atletas!B489="Feminino",100,IF(Atletas!B489="Masculino",200,""))+(IF(Atletas!H489="Daoshu Mirim",19,IF(Atletas!H489="Jianshu Mirim",20,IF(Atletas!H489="Nandao Mirim",21,IF(Atletas!H489="Taijijian Mirim",22,IF(Atletas!H489="Daoshu Grupo C",23,IF(Atletas!H489="Jianshu Grupo C",24,IF(Atletas!H489="Nandao Grupo C",25,IF(Atletas!H489="Taijijian Grupo C",26,IF(Atletas!H489="Daoshu Grupo B",27,IF(Atletas!H489="Jianshu Grupo B",28,IF(Atletas!H489="Nandao Grupo B",29,IF(Atletas!H489="Taijijian Grupo B",30,IF(Atletas!H489="Daoshu Grupo A",31,IF(Atletas!H489="Jianshu Grupo A",32,IF(Atletas!H489="Nandao Grupo A",33,IF(Atletas!H489="Taijijian Grupo A",34,IF(Atletas!H489="Daoshu Opcional",35,IF(Atletas!H489="Jianshu Opcional",36,IF(Atletas!H489="Nandao Opcional",37,IF(Atletas!H489="Taijijian Opcional",38,IF(Atletas!H489="Daoshu Adulto",39,IF(Atletas!H489="Jianshu Adulto",40,IF(Atletas!H489="Nandao Adulto",41,IF(Atletas!H489="Taijijian Adulto",42,""))))))))))))))))))))))))))</f>
        <v/>
      </c>
      <c r="BA493" s="46" t="str">
        <f>IF(Atletas!I489="","",IF(Atletas!B489="Feminino",100,IF(Atletas!B489="Masculino",200,""))+(IF(Atletas!I489="Gunshu Mirim",43,IF(Atletas!I489="Qiangshu Mirim",44,IF(Atletas!I489="Nangun Mirim",45,IF(Atletas!I489="Gunshu Grupo C",46,IF(Atletas!I489="Qiangshu Grupo C",47,IF(Atletas!I489="Nangun Grupo C",48,IF(Atletas!I489="Gunshu Grupo B",49,IF(Atletas!I489="Qiangshu Grupo B",50,IF(Atletas!I489="Nangun Grupo B",51,IF(Atletas!I489="Gunshu Grupo A",52,IF(Atletas!I489="Qiangshu Grupo A",53,IF(Atletas!I489="Nangun Grupo A",54,IF(Atletas!I489="Gunshu Opcional",55,IF(Atletas!I489="Qiangshu Opcional",56,IF(Atletas!I489="Nangun Opcional",57,IF(Atletas!I489="Gunshu Adulto",58,IF(Atletas!I489="Qiangshu Adulto",59,IF(Atletas!I489="Nangun Adulto",60,""))))))))))))))))))))</f>
        <v/>
      </c>
      <c r="BF493" s="52" t="str">
        <f>IF(Atletas!J489="","",IF(Atletas!B489="Feminino",100,IF(Atletas!B489="Masculino",200,""))+(IF(Atletas!J489="Equipe 1 Grupo B",1,IF(Atletas!J489="Equipe 2 Grupo B",2,IF(Atletas!J489="Equipe 1 Grupo A",3,IF(Atletas!J489="Equipe 2 Grupo A",4,IF(Atletas!J489="Equipe 1 Adulto",5,IF(Atletas!J489="Equipe 2 Adulto",6,""))))))))</f>
        <v/>
      </c>
      <c r="BK493" s="52" t="str">
        <f>IF(Atletas!K489="","",IF(Atletas!W489&lt;&gt;"",10000,0)+(IF(Atletas!B489="Feminino",1000,IF(Atletas!B489="Masculino",2000,""))+IF(Atletas!K489="Choylayfut A",1,IF(Atletas!K489="Hunggar A",2,IF(Atletas!K489="Wuzuquan A",3,IF(Atletas!K489="Wingchun A",4,IF(Atletas!K489="Outra Mão de Sul A",5,IF(Atletas!K489="Choylayfut B",6,IF(Atletas!K489="Hunggar B",7,IF(Atletas!K489="Wuzuquan B",8,IF(Atletas!K489="Wingchun B",9,IF(Atletas!K489="Outra Mão de Sul B",10,IF(Atletas!K489="Choylayfut C",11,IF(Atletas!K489="Hunggar C",12,IF(Atletas!K489="Wuzuquan C",13,IF(Atletas!K489="Wingchun C",14,IF(Atletas!K489="Outra Mão de Sul C",15,IF(Atletas!K489="Choylayfut D",16,IF(Atletas!K489="Hunggar D",17,IF(Atletas!K489="Wuzuquan D",18,IF(Atletas!K489="Wingchun D",19,IF(Atletas!K489="Outra Mão de Sul D",20,IF(Atletas!K489="Choylayfut E",21,IF(Atletas!K489="Hunggar E",22,IF(Atletas!K489="Wuzuquan E",23,IF(Atletas!K489="Wingchun E",24,IF(Atletas!K489="Outra Mão de Sul E",25,IF(Atletas!K489="Choylayfut F",26,IF(Atletas!K489="Hunggar F",27,IF(Atletas!K489="Wuzuquan F",28,IF(Atletas!K489="Wingchun F",29,IF(Atletas!K489="Outra Mão de Sul F",30,""))))))))))))))))))))))))))))))))</f>
        <v/>
      </c>
      <c r="BL493" s="52" t="str">
        <f>IF(Atletas!L489="","",IF(Atletas!W489&lt;&gt;"",10000,0)+(IF(Atletas!B489="Feminino",1000,IF(Atletas!B489="Masculino",2000,""))+(IF(Atletas!L489="Chaquan A",101,IF(Atletas!L489="Emeiquan A",102,IF(Atletas!L489="Fanziquan A",103,IF(Atletas!L489="Huaquan A",104,IF(Atletas!L489="Hongquan A",105,IF(Atletas!L489="Paochui A",106,IF(Atletas!L489="Piguaquan A",107,IF(Atletas!L489="Shaolinquan A",108,IF(Atletas!L489="Tanglangquan A",109,IF(Atletas!L489="Yinzhaophai A",110,IF(Atletas!L489="Tongbeiquan A",111,IF(Atletas!L489="Wudangquan A",112,IF(Atletas!L489="Outros Estilos A",113,IF(Atletas!L489="Chaquan B",114,IF(Atletas!L489="Emeiquan B",115,IF(Atletas!L489="Fanziquan B",116,IF(Atletas!L489="Huaquan B",117,IF(Atletas!L489="Hongquan B",118,IF(Atletas!L489="Paochui B",119,IF(Atletas!L489="Piguaquan B",120,IF(Atletas!L489="Shaolinquan B",121,IF(Atletas!L489="Tanglangquan B",122,IF(Atletas!L489="Yinzhaophai B",123,IF(Atletas!L489="Tongbeiquan B",124,IF(Atletas!L489="Wudangquan B",125,IF(Atletas!L489="Outros Estilos B",126,IF(Atletas!L489="Chaquan C",127,IF(Atletas!L489="Emeiquan C",128,IF(Atletas!L489="Fanziquan C",129,IF(Atletas!L489="Huaquan C",130,IF(Atletas!L489="Hongquan C",131,IF(Atletas!L489="Paochui C",132,IF(Atletas!L489="Piguaquan C",133,IF(Atletas!L489="Shaolinquan C",134,IF(Atletas!L489="Tanglangquan C",135,IF(Atletas!L489="Yinzhaophai C",136,IF(Atletas!L489="Tongbeiquan C",137,IF(Atletas!L489="Wudangquan C",138,IF(Atletas!L489="Outros Estilos C",139,0))))))))))))))))))))))))))))))))))))))))))</f>
        <v/>
      </c>
      <c r="BM493" s="52" t="str">
        <f>IF(Atletas!L489="","",IF(Atletas!W489&lt;&gt;"",10000,0)+(IF(Atletas!B489="Feminino",1000,IF(Atletas!B489="Masculino",2000,""))+(IF(Atletas!L489="Chaquan D",140,IF(Atletas!L489="Emeiquan D",141,IF(Atletas!L489="Fanziquan D",142,IF(Atletas!L489="Huaquan D",143,IF(Atletas!L489="Hongquan D",144,IF(Atletas!L489="Paochui D",145,IF(Atletas!L489="Piguaquan D",146,IF(Atletas!L489="Shaolinquan D",147,IF(Atletas!L489="Tanglangquan D",148,IF(Atletas!L489="Yinzhaophai D",149,IF(Atletas!L489="Tongbeiquan D",150,IF(Atletas!L489="Wudangquan D",151,IF(Atletas!L489="Outros Estilos D",152,IF(Atletas!L489="Chaquan E",153,IF(Atletas!L489="Emeiquan E",154,IF(Atletas!L489="Fanziquan E",155,IF(Atletas!L489="Huaquan E",156,IF(Atletas!L489="Hongquan E",157,IF(Atletas!L489="Paochui E",158,IF(Atletas!L489="Piguaquan E",159,IF(Atletas!L489="Shaolinquan E",160,IF(Atletas!L489="Tanglangquan E",161,IF(Atletas!L489="Yinzhaophai E",162,IF(Atletas!L489="Tongbeiquan E",163,IF(Atletas!L489="Wudangquan E",164,IF(Atletas!L489="Outros Estilos E",165,IF(Atletas!L489="Chaquan F",166,IF(Atletas!L489="Emeiquan F",167,IF(Atletas!L489="Fanziquan F",168,IF(Atletas!L489="Huaquan F",169,IF(Atletas!L489="Hongquan F",170,IF(Atletas!L489="Paochui F",171,IF(Atletas!L489="Piguaquan F",172,IF(Atletas!L489="Shaolinquan F",173,IF(Atletas!L489="Tanglangquan F",174,IF(Atletas!L489="Yinzhaophai F",175,IF(Atletas!L489="Tongbeiquan F",176,IF(Atletas!L489="Wudangquan F",177,IF(Atletas!L489="Outros Estilos F",178,0))))))))))))))))))))))))))))))))))))))))))</f>
        <v/>
      </c>
      <c r="BN493" s="52" t="str">
        <f>IF(Atletas!M489="","",IF(Atletas!W489&lt;&gt;"",10000,0)+(IF(Atletas!B489="Feminino",1000,IF(Atletas!B489="Masculino",2000,""))+(IF(Atletas!M489="Ditangquan A",201,IF(Atletas!M489="Houquan A",202,IF(Atletas!M489="Zuiquan A",203,IF(Atletas!M489="Ditangquan B",204,IF(Atletas!M489="Houquan B",205,IF(Atletas!M489="Zuiquan B",206,IF(Atletas!M489="Ditangquan C",207,IF(Atletas!M489="Houquan C",208,IF(Atletas!M489="Zuiquan C",209,IF(Atletas!M489="Ditangquan D",210,IF(Atletas!M489="Houquan D",211,IF(Atletas!M489="Zuiquan D",212,IF(Atletas!M489="Ditangquan E",213,IF(Atletas!M489="Houquan E",214,IF(Atletas!M489="Zuiquan E",215,IF(Atletas!M489="Ditangquan F",216,IF(Atletas!M489="Houquan F",217,IF(Atletas!M489="Zuiquan F",218,"")))))))))))))))))))))</f>
        <v/>
      </c>
      <c r="BO493" s="52" t="str">
        <f>IF(Atletas!N489="","",IF(Atletas!W489&lt;&gt;"",10000,0)+IF(Atletas!B489="Feminino",1000,IF(Atletas!B489="Masculino",2000,""))+IF(Atletas!N489="Yang A",301,IF(Atletas!N489="Chen A",30,IF(Atletas!N489="Sun A",303,IF(Atletas!N489="Wu A",304,IF(Atletas!N489="Wu-Hao A",305,IF(Atletas!N489="Outro Taijiquan A",306,IF(Atletas!N489="Yang B",307,IF(Atletas!N489="Chen B",308,IF(Atletas!N489="Sun B",309,IF(Atletas!N489="Wu B",310,IF(Atletas!N489="Wu-Hao B",311,IF(Atletas!N489="Outro Taijiquan B",312,IF(Atletas!N489="Yang C",313,IF(Atletas!N489="Chen C",314,IF(Atletas!N489="Sun C",315,IF(Atletas!N489="Wu C",316,IF(Atletas!N489="Wu-Hao C",317,IF(Atletas!N489="Outro Taijiquan C",318,IF(Atletas!N489="Yang D",319,IF(Atletas!N489="Chen D",320,IF(Atletas!N489="Sun D",321,IF(Atletas!N489="Wu D",322,IF(Atletas!N489="Wu-Hao D",323,IF(Atletas!N489="Outro Taijiquan D",324,IF(Atletas!N489="Yang E",325,IF(Atletas!N489="Chen E",326,IF(Atletas!N489="Sun E",327,IF(Atletas!N489="Wu E",328,IF(Atletas!N489="Wu-Hao E",329,IF(Atletas!N489="Outro Taijiquan E",330,IF(Atletas!N489="Yang F",331,IF(Atletas!N489="Chen F",332,IF(Atletas!N489="Sun F",333,IF(Atletas!N489="Wu F",334,IF(Atletas!N489="Wu-Hao F",335,IF(Atletas!N489="Outro Taijiquan F",336,"")))))))))))))))))))))))))))))))))))))</f>
        <v/>
      </c>
      <c r="BP493" s="52" t="str">
        <f>IF(Atletas!O489="","",IF(Atletas!W489&lt;&gt;"",10000,0)+IF(Atletas!B489="Feminino",1000,IF(Atletas!B489="Masculino",2000,""))+IF(OR(Atletas!O489="Yang 26 A",Atletas!O489="Yang 40 A"),401,IF(OR(Atletas!O489="Chen 25 A",Atletas!O489="Chen 36 A",Atletas!O489="Chen 56 A"),402,IF(Atletas!O489="Sun 73 A",403,IF(Atletas!O489="Wu 45 A",404,IF(Atletas!O489="Wu-Hao 46 A",405,IF(OR(Atletas!O489="Taijiquan 16 A",Atletas!O489="Taijiquan 24 A",Atletas!O489="Taijiquan 32 A",Atletas!O489="Taijiquan 42 A"),406,IF(OR(Atletas!O489="Yang 26 B",Atletas!O489="Yang 40 B"),407,IF(OR(Atletas!O489="Chen 25 B",Atletas!O489="Chen 36 B",Atletas!O489="Chen 56 B"),408,IF(Atletas!O489="Sun 73 B",409,IF(Atletas!O489="Wu 45 B",410,IF(Atletas!O489="Wu-Hao 46 B",411,IF(OR(Atletas!O489="Taijiquan 16 B",Atletas!O489="Taijiquan 24 B",Atletas!O489="Taijiquan 32 B",Atletas!O489="Taijiquan 42 B"),412,IF(OR(Atletas!O489="Yang 26 C",Atletas!O489="Yang 40 C"),413,IF(OR(Atletas!O489="Chen 25 C",Atletas!O489="Chen 36 C",Atletas!O489="Chen 56 C"),414,IF(Atletas!O489="Sun 73 C",415,IF(Atletas!O489="Wu 45 C",416,IF(Atletas!O489="Wu-Hao 46 C",417,IF(OR(Atletas!O489="Taijiquan 16 C",Atletas!O489="Taijiquan 24 C",Atletas!O489="Taijiquan 32 C",Atletas!O489="Taijiquan 42 C"),418,0)))))))))))))))))))</f>
        <v/>
      </c>
      <c r="BQ493" s="52" t="str">
        <f>IF(Atletas!O489="","",IF(Atletas!W489&lt;&gt;"",10000,0)+IF(Atletas!B489="Feminino",1000,IF(Atletas!B489="Masculino",2000,""))+IF(OR(Atletas!O489="Yang 26 D",Atletas!O489="Yang 40 D"),419,IF(OR(Atletas!O489="Chen 25 D",Atletas!O489="Chen 36 D",Atletas!O489="Chen 56 D"),420,IF(Atletas!O489="Sun 73 D",421,IF(Atletas!O489="Wu 45 D",422,IF(Atletas!O489="Wu-Hao 46 D",423,IF(OR(Atletas!O489="Taijiquan 16 D",Atletas!O489="Taijiquan 24 D",Atletas!O489="Taijiquan 32 D",Atletas!O489="Taijiquan 42 D"),424,IF(OR(Atletas!O489="Yang 26 E",Atletas!O489="Yang 40 E"),425,IF(OR(Atletas!O489="Chen 25 E",Atletas!O489="Chen 36 E",Atletas!O489="Chen 56 E"),426,IF(Atletas!O489="Sun 73 E",427,IF(Atletas!O489="Wu 45 E",428,IF(Atletas!O489="Wu-Hao 46 E",429,IF(OR(Atletas!O489="Taijiquan 16 E",Atletas!O489="Taijiquan 24 E",Atletas!O489="Taijiquan 32 E",Atletas!O489="Taijiquan 42 E"),430,IF(OR(Atletas!O489="Yang 26 F",Atletas!O489="Yang 40 F"),431,IF(OR(Atletas!O489="Chen 25 F",Atletas!O489="Chen 36 F",Atletas!O489="Chen 56 F"),432,IF(Atletas!O489="Sun 73 F",433,IF(Atletas!O489="Wu 45 F",434,IF(Atletas!O489="Wu-Hao 46 F",435,IF(OR(Atletas!O489="Taijiquan 16 F",Atletas!O489="Taijiquan 24 F",Atletas!O489="Taijiquan 32 F",Atletas!O489="Taijiquan 42 F"),436,0)))))))))))))))))))</f>
        <v/>
      </c>
      <c r="BR493" s="52" t="str">
        <f>IF(Atletas!P489="","",IF(Atletas!W489&lt;&gt;"",10000,0)+IF(Atletas!B489="Feminino",1000,IF(Atletas!B489="Masculino",2000,""))+IF(Atletas!P489="Xingyiquan A",501,IF(Atletas!P489="Baguazhang A",502,IF(Atletas!P489="Outro Estilo Interno A",503,IF(Atletas!P489="Xingyiquan B",504,IF(Atletas!P489="Baguazhang B",505,IF(Atletas!P489="Outro Estilo Interno B",506,IF(Atletas!P489="Xingyiquan C",507,IF(Atletas!P489="Baguazhang C",508,IF(Atletas!P489="Outro Estilo Interno C",509,IF(Atletas!P489="Xingyiquan D",510,IF(Atletas!P489="Baguazhang D",511,IF(Atletas!P489="Outro Estilo Interno D",512,IF(Atletas!P489="Xingyiquan E",513,IF(Atletas!P489="Baguazhang E",514,IF(Atletas!P489="Outro Estilo Interno E",515,IF(Atletas!P489="Xingyiquan F",516,IF(Atletas!P489="Baguazhang F",517,IF(Atletas!P489="Outro Estilo Interno F",518, "")))))))))))))))))))</f>
        <v/>
      </c>
      <c r="BS493" s="52" t="str">
        <f>IF(Atletas!Q489="","",IF(Atletas!W489&lt;&gt;"",10000,0)+IF(Atletas!B489="Feminino",1000,IF(Atletas!B489="Masculino",2000,""))+IF(Atletas!Q489="Dao A",601,IF(Atletas!Q489="Jian A",602,IF(Atletas!Q489="Bishou A",603,IF(Atletas!Q489="Shan A",604,IF(Atletas!Q489="Outra Arma Curta A",605,IF(Atletas!Q489="Dao B",606,IF(Atletas!Q489="Jian B",607,IF(Atletas!Q489="Bishou B",608,IF(Atletas!Q489="Shan B",609,IF(Atletas!Q489="Outra Arma Curta B",610,IF(Atletas!Q489="Dao C",611,IF(Atletas!Q489="Jian C",612,IF(Atletas!Q489="Bishou C",613,IF(Atletas!Q489="Shan C",614,IF(Atletas!Q489="Outra Arma Curta C",615,IF(Atletas!Q489="Dao D",616,IF(Atletas!Q489="Jian D",617,IF(Atletas!Q489="Bishou D",618,IF(Atletas!Q489="Shan D",619,IF(Atletas!Q489="Outra Arma Curta D",620,IF(Atletas!Q489="Dao E",621,IF(Atletas!Q489="Jian E",622,IF(Atletas!Q489="Bishou E",623,IF(Atletas!Q489="Shan E",624,IF(Atletas!Q489="Outra Arma Curta E",625,IF(Atletas!Q489="Dao F",626,IF(Atletas!Q489="Jian F",627,IF(Atletas!Q489="Bishou F",628,IF(Atletas!Q489="Shan F",629,IF(Atletas!Q489="Outra Arma Curta F",630, "")))))))))))))))))))))))))))))))</f>
        <v/>
      </c>
      <c r="BT493" s="52" t="str">
        <f>IF(Atletas!R489="","",IF(Atletas!W489&lt;&gt;"",10000,0)+IF(Atletas!B489="Feminino",1000,IF(Atletas!B489="Masculino",2000,""))+IF(Atletas!R489="Gun A",701,IF(Atletas!R489="Qiang A",702,IF(Atletas!R489="Pudao / Guandao A",703,IF(Atletas!R489="Outra Arma Longa A",704,IF(Atletas!R489="Gun B",705,IF(Atletas!R489="Qiang B",706,IF(Atletas!R489="Pudao / Guandao B",707,IF(Atletas!R489="Outra Arma Longa B",708,IF(Atletas!R489="Gun C",709,IF(Atletas!R489="Qiang C",710,IF(Atletas!R489="Pudao / Guandao C",711,IF(Atletas!R489="Outra Arma Longa C",712,IF(Atletas!R489="Gun D",713,IF(Atletas!R489="Qiang D",714,IF(Atletas!R489="Pudao / Guandao D",715,IF(Atletas!R489="Outra Arma Longa D",716,IF(Atletas!R489="Gun E",717,IF(Atletas!R489="Qiang E",718,IF(Atletas!R489="Pudao / Guandao E",719,IF(Atletas!R489="Outra Arma Longa E",720,IF(Atletas!R489="Gun F",721,IF(Atletas!R489="Qiang F",722,IF(Atletas!R489="Pudao / Guandao F",723,IF(Atletas!R489="Outra Arma Longa F",724,"")))))))))))))))))))))))))</f>
        <v/>
      </c>
      <c r="BU493" s="52" t="str">
        <f>IF(Atletas!S489="","",IF(Atletas!W489&lt;&gt;"",10000,0)+IF(Atletas!B489="Feminino",1000,IF(Atletas!B489="Masculino",2000,""))+IF(Atletas!S489="Arma Dupla A",801,IF(Atletas!S489="Arma Maleável A",802,IF(Atletas!S489="Arma Dupla B",803,IF(Atletas!S489="Arma Maleável B",804,IF(Atletas!S489="Arma Dupla C",805,IF(Atletas!S489="Arma Maleável C",806,IF(Atletas!S489="Arma Dupla D",807,IF(Atletas!S489="Arma Maleável D",808,IF(Atletas!S489="Arma Dupla E",809,IF(Atletas!S489="Arma Maleável E",810,IF(Atletas!S489="Arma Dupla F",811,IF(Atletas!S489="Arma Maleável F",812, "")))))))))))))</f>
        <v/>
      </c>
      <c r="BV493" s="52" t="str">
        <f>IF(Atletas!T489="","",IF(Atletas!W489&lt;&gt;"",10000,0)+IF(Atletas!B489="Feminino",1000,IF(Atletas!B489="Masculino",2000,""))+IF(Atletas!T489="Taijijian Yang A",901,IF(Atletas!T489="Taijijian Chen A",902,IF(Atletas!T489="Taijijian Sun A",903,IF(Atletas!T489="Taijijian Wu A",904,IF(Atletas!T489="Taijijian Wu-Hao A",905,IF(Atletas!T489="Taijijian 32 A",906,IF(Atletas!T489="Taijijian 42 A",907,IF(Atletas!T489="Taijijian Yang B",908,IF(Atletas!T489="Taijijian Chen B",909,IF(Atletas!T489="Taijijian Sun B",910,IF(Atletas!T489="Taijijian Wu B",911,IF(Atletas!T489="Taijijian Wu-Hao B",912,IF(Atletas!T489="Taijijian 32 B",913,IF(Atletas!T489="Taijijian 42 B",914,IF(Atletas!T489="Taijijian Yang C",915,IF(Atletas!T489="Taijijian Chen C",916,IF(Atletas!T489="Taijijian Sun C",917,IF(Atletas!T489="Taijijian Wu C",918,IF(Atletas!T489="Taijijian Wu-Hao C",919,IF(Atletas!T489="Taijijian 32 C",920,IF(Atletas!T489="Taijijian 42 C",921,IF(Atletas!T489="Taijijian Yang D",922,IF(Atletas!T489="Taijijian Chen D",923,IF(Atletas!T489="Taijijian Sun D",924,IF(Atletas!T489="Taijijian Wu D",925,IF(Atletas!T489="Taijijian Wu-Hao D",926,IF(Atletas!T489="Taijijian 32 D",927,IF(Atletas!T489="Taijijian 42 D",928,IF(Atletas!T489="Taijijian Yang E",929,IF(Atletas!T489="Taijijian Chen E",930,IF(Atletas!T489="Taijijian Sun E",931,IF(Atletas!T489="Taijijian Wu E",932,IF(Atletas!T489="Taijijian Wu-Hao E",933,IF(Atletas!T489="Taijijian 32 E",934,IF(Atletas!T489="Taijijian 42 E",935,IF(Atletas!T489="Taijijian Yang F",936,IF(Atletas!T489="Taijijian Chen F",937,IF(Atletas!T489="Taijijian Sun F",938,IF(Atletas!T489="Taijijian Wu F",939,IF(Atletas!T489="Taijijian Wu-Hao F",940,IF(Atletas!T489="Taijijian 32 F",941,IF(Atletas!T489="Taijijian 42 F",942,"")))))))))))))))))))))))))))))))))))))))))))</f>
        <v/>
      </c>
      <c r="BW493" s="52" t="str">
        <f>IF(Atletas!U489="","",IF(Atletas!W489&lt;&gt;"",10000,0)+IF(Atletas!B489="Feminino",1000,IF(Atletas!B489="Masculino",2000,""))+IF(Atletas!T489="Taijijian 42 F",942,IF(Atletas!U489="Taijidao A",943,IF(Atletas!U489="Taijishan A",944,IF(Atletas!U489="Taijiqiang A",945,IF(Atletas!U489="Taijidao B",946,IF(Atletas!U489="Taijishan B",947,IF(Atletas!U489="Taijiqiang B",948,IF(Atletas!U489="Taijidao C",949,IF(Atletas!U489="Taijishan C",950,IF(Atletas!U489="Taijiqiang C",951,IF(Atletas!U489="Taijidao D",952,IF(Atletas!U489="Taijishan D",953,IF(Atletas!U489="Taijiqiang D",954,IF(Atletas!U489="Taijidao E",955,IF(Atletas!U489="Taijishan E",956,IF(Atletas!U489="Taijiqiang E",957,IF(Atletas!U489="Taijidao F",958,IF(Atletas!U489="Taijishan F",959,IF(Atletas!U489="Taijiqiang F",960))))))))))))))))))))</f>
        <v/>
      </c>
      <c r="CF493" s="52" t="str">
        <f xml:space="preserve"> IF(Atletas!V489="","",IF(Atletas!V489="Duilian de Mãos AB - Equipe 1",1,IF(Atletas!V489="Duilian de Mãos AB - Equipe 2",2,IF(Atletas!V489="Duilian de Armas AB - Equipe 1",3,IF(Atletas!V489="Duilian de Armas AB - Equipe 2",4,IF(Atletas!V489="Duilian de Tuishou - Equipe 1",5,IF(Atletas!V489="Duilian de Tuishou - Equipe 2",6,IF(Atletas!V489="Grupo Externo AB - Equipe 1",7,IF(Atletas!V489="Grupo Externo AB - Equipe 2",8,IF(Atletas!V489="Grupo Interno AB - Equipe 1",9,IF(Atletas!V489="Grupo Interno AB - Equipe 2",10,IF(Atletas!V489="Duilian de Mãos CD - Equipe 1",11,IF(Atletas!V489="Duilian de Mãos CD - Equipe 2",12,IF(Atletas!V489="Duilian de Armas CD - Equipe 1",13,IF(Atletas!V489="Duilian de Armas CD - Equipe 2",14,IF(Atletas!V489="Duilian de Tuishou - Equipe 1",15,IF(Atletas!V489="Duilian de Tuishou - Equipe 2",16,IF(Atletas!V489="Grupo Externo CDEF - Equipe 1",17,IF(Atletas!V489="Grupo Externo CDEF - Equipe 2",18,IF(Atletas!V489="Grupo Interno CDEF - Equipe 1",19,IF(Atletas!V489="Grupo Interno CDEF - Equipe 2",20,IF(Atletas!V489="Duilian de Mãos EF - Equipe 1",21,IF(Atletas!V489="Duilian de Mãos EF - Equipe 2",22,IF(Atletas!V489="Duilian de Armas EF - Equipe 1",23,IF(Atletas!V489="Duilian de Armas EF - Equipe 2",24,IF(Atletas!V489="Duilian de Tuishou - Equipe 1",25,IF(Atletas!V489="Duilian de Tuishou - Equipe 2",26,"")))))))))))))))))))))))))))</f>
        <v/>
      </c>
    </row>
    <row r="494" spans="36:84">
      <c r="AJ494" s="46" t="str">
        <f>IF(Atletas!D490="","",IF(Atletas!B490="Feminino",100,IF(Atletas!B490="Masculino",200,""))+(IF(Atletas!D490="Infantil 39kg",1,IF(Atletas!D490="Infantil 42kg",2,IF(Atletas!D490="Infantil 45kg",3,IF(Atletas!D490="Infantil 48kg",4,IF(Atletas!D490="Infantil 52kg",5,IF(Atletas!D490="Infantil 56kg",6,IF(Atletas!D490="Infantil 60kg",7,IF(Atletas!D490="Juvenil 48kg",8,IF(Atletas!D490="Juvenil 52kg",9,IF(Atletas!D490="Juvenil 56kg",10,IF(Atletas!D490="Juvenil 60kg",11,IF(Atletas!D490="Juvenil 65kg",12,IF(Atletas!D490="Juvenil 70kg",13,IF(Atletas!D490="Juvenil 75kg",14,IF(Atletas!D490="Juvenil 80kg",15,IF(Atletas!D490="Adulto 48kg",16,IF(Atletas!D490="Adulto 52kg",17,IF(Atletas!D490="Adulto 56kg",18,IF(Atletas!D490="Adulto 60kg",19,IF(Atletas!D490="Adulto 65kg",20,IF(Atletas!D490="Adulto 70kg",21,IF(Atletas!D490="Adulto 75kg",22,IF(Atletas!D490="Adulto 80kg",23,IF(Atletas!D490="Adulto 85kg",24,IF(Atletas!D490="Adulto 90kg",25,IF(Atletas!D490="Adulto +90kg",26,""))))))))))))))))))))))))))))</f>
        <v/>
      </c>
      <c r="AO494" s="10" t="str">
        <f>IF(Atletas!E490="","",IF(Atletas!B490="Feminino",100,IF(Atletas!B490="Masculino",200,""))+(IF(Atletas!E490="Juvenil 44kg",1,IF(Atletas!E490="Juvenil 48kg",2,IF(Atletas!E490="Juvenil 52kg",3,IF(Atletas!E490="Juvenil 56kg",4,IF(Atletas!E490="Juvenil 60kg",5,IF(Atletas!E490="Juvenil 65kg",6,IF(Atletas!E490="Juvenil 70kg",7,IF(Atletas!E490="Juvenil 75kg",8,IF(Atletas!E490="Juvenil 82kg",9,IF(Atletas!E490="Juvenil 90kg",10,IF(Atletas!E490="Juvenil 100kg",11,IF(Atletas!E490="Adulto 48kg",12,IF(Atletas!E490="Adulto 52kg",13,IF(Atletas!E490="Adulto 56kg",14,IF(Atletas!E490="Adulto 60kg",15,IF(Atletas!E490="Adulto 65kg",16,IF(Atletas!E490="Adulto 70kg",17,IF(Atletas!E490="Adulto 75kg",18,IF(Atletas!E490="Adulto 82kg",19,IF(Atletas!E490="Adulto 90kg",20,IF(Atletas!E490="Adulto 100kg",21,IF(Atletas!E490="Adulto +100kg",22,""))))))))))))))))))))))))</f>
        <v/>
      </c>
      <c r="AT494" s="10" t="str">
        <f>IF(Atletas!F490="","",IF(Atletas!B490="Feminino",100,IF(Atletas!B490="Masculino",200,""))+(IF(Atletas!F490="Adulto 48kg",1,IF(Atletas!F490="Adulto 56kg",2,IF(Atletas!F490="Adulto 65kg",3,IF(Atletas!F490="Adulto 75kg",4,IF(Atletas!F490="Adulto +75kg",5,IF(Atletas!F490="Adulto 52kg",6,IF(Atletas!F490="Adulto 60kg",7,IF(Atletas!F490="Adulto 70kg",8,IF(Atletas!F490="Adulto 80kg",9,IF(Atletas!F490="Adulto 90kg",10,IF(Atletas!F490="Adulto +90kg",11,"")))))))))))))</f>
        <v/>
      </c>
      <c r="AY494" s="46" t="str">
        <f>IF(Atletas!G490="","",IF(Atletas!B490="Feminino",100,IF(Atletas!B490="Masculino",200,""))+(IF(Atletas!G490="Changquan Mirim",1,IF(Atletas!G490="Nanquan Mirim",2,IF(Atletas!G490="Taijiquan Mirim",3,IF(Atletas!G490="Changquan Grupo C",4,IF(Atletas!G490="Nanquan Grupo C",5,IF(Atletas!G490="Taijiquan Grupo C",6,IF(Atletas!G490="Changquan Grupo B",7,IF(Atletas!G490="Nanquan Grupo B",8,IF(Atletas!G490="Taijiquan Grupo B",9,IF(Atletas!G490="Changquan Grupo A",10,IF(Atletas!G490="Nanquan Grupo A",11,IF(Atletas!G490="Taijiquan Grupo A",12,IF(Atletas!G490="Changquan Opcional",13,IF(Atletas!G490="Nanquan Opcional",14,IF(Atletas!G490="Taijiquan Opcional",15,IF(Atletas!G490="Changquan Adulto",16,IF(Atletas!G490="Nanquan Adulto",17,IF(Atletas!G490="Taijiquan Adulto",18,""))))))))))))))))))))</f>
        <v/>
      </c>
      <c r="AZ494" s="46" t="str">
        <f>IF(Atletas!H490="","",IF(Atletas!B490="Feminino",100,IF(Atletas!B490="Masculino",200,""))+(IF(Atletas!H490="Daoshu Mirim",19,IF(Atletas!H490="Jianshu Mirim",20,IF(Atletas!H490="Nandao Mirim",21,IF(Atletas!H490="Taijijian Mirim",22,IF(Atletas!H490="Daoshu Grupo C",23,IF(Atletas!H490="Jianshu Grupo C",24,IF(Atletas!H490="Nandao Grupo C",25,IF(Atletas!H490="Taijijian Grupo C",26,IF(Atletas!H490="Daoshu Grupo B",27,IF(Atletas!H490="Jianshu Grupo B",28,IF(Atletas!H490="Nandao Grupo B",29,IF(Atletas!H490="Taijijian Grupo B",30,IF(Atletas!H490="Daoshu Grupo A",31,IF(Atletas!H490="Jianshu Grupo A",32,IF(Atletas!H490="Nandao Grupo A",33,IF(Atletas!H490="Taijijian Grupo A",34,IF(Atletas!H490="Daoshu Opcional",35,IF(Atletas!H490="Jianshu Opcional",36,IF(Atletas!H490="Nandao Opcional",37,IF(Atletas!H490="Taijijian Opcional",38,IF(Atletas!H490="Daoshu Adulto",39,IF(Atletas!H490="Jianshu Adulto",40,IF(Atletas!H490="Nandao Adulto",41,IF(Atletas!H490="Taijijian Adulto",42,""))))))))))))))))))))))))))</f>
        <v/>
      </c>
      <c r="BA494" s="46" t="str">
        <f>IF(Atletas!I490="","",IF(Atletas!B490="Feminino",100,IF(Atletas!B490="Masculino",200,""))+(IF(Atletas!I490="Gunshu Mirim",43,IF(Atletas!I490="Qiangshu Mirim",44,IF(Atletas!I490="Nangun Mirim",45,IF(Atletas!I490="Gunshu Grupo C",46,IF(Atletas!I490="Qiangshu Grupo C",47,IF(Atletas!I490="Nangun Grupo C",48,IF(Atletas!I490="Gunshu Grupo B",49,IF(Atletas!I490="Qiangshu Grupo B",50,IF(Atletas!I490="Nangun Grupo B",51,IF(Atletas!I490="Gunshu Grupo A",52,IF(Atletas!I490="Qiangshu Grupo A",53,IF(Atletas!I490="Nangun Grupo A",54,IF(Atletas!I490="Gunshu Opcional",55,IF(Atletas!I490="Qiangshu Opcional",56,IF(Atletas!I490="Nangun Opcional",57,IF(Atletas!I490="Gunshu Adulto",58,IF(Atletas!I490="Qiangshu Adulto",59,IF(Atletas!I490="Nangun Adulto",60,""))))))))))))))))))))</f>
        <v/>
      </c>
      <c r="BF494" s="52" t="str">
        <f>IF(Atletas!J490="","",IF(Atletas!B490="Feminino",100,IF(Atletas!B490="Masculino",200,""))+(IF(Atletas!J490="Equipe 1 Grupo B",1,IF(Atletas!J490="Equipe 2 Grupo B",2,IF(Atletas!J490="Equipe 1 Grupo A",3,IF(Atletas!J490="Equipe 2 Grupo A",4,IF(Atletas!J490="Equipe 1 Adulto",5,IF(Atletas!J490="Equipe 2 Adulto",6,""))))))))</f>
        <v/>
      </c>
      <c r="BK494" s="52" t="str">
        <f>IF(Atletas!K490="","",IF(Atletas!W490&lt;&gt;"",10000,0)+(IF(Atletas!B490="Feminino",1000,IF(Atletas!B490="Masculino",2000,""))+IF(Atletas!K490="Choylayfut A",1,IF(Atletas!K490="Hunggar A",2,IF(Atletas!K490="Wuzuquan A",3,IF(Atletas!K490="Wingchun A",4,IF(Atletas!K490="Outra Mão de Sul A",5,IF(Atletas!K490="Choylayfut B",6,IF(Atletas!K490="Hunggar B",7,IF(Atletas!K490="Wuzuquan B",8,IF(Atletas!K490="Wingchun B",9,IF(Atletas!K490="Outra Mão de Sul B",10,IF(Atletas!K490="Choylayfut C",11,IF(Atletas!K490="Hunggar C",12,IF(Atletas!K490="Wuzuquan C",13,IF(Atletas!K490="Wingchun C",14,IF(Atletas!K490="Outra Mão de Sul C",15,IF(Atletas!K490="Choylayfut D",16,IF(Atletas!K490="Hunggar D",17,IF(Atletas!K490="Wuzuquan D",18,IF(Atletas!K490="Wingchun D",19,IF(Atletas!K490="Outra Mão de Sul D",20,IF(Atletas!K490="Choylayfut E",21,IF(Atletas!K490="Hunggar E",22,IF(Atletas!K490="Wuzuquan E",23,IF(Atletas!K490="Wingchun E",24,IF(Atletas!K490="Outra Mão de Sul E",25,IF(Atletas!K490="Choylayfut F",26,IF(Atletas!K490="Hunggar F",27,IF(Atletas!K490="Wuzuquan F",28,IF(Atletas!K490="Wingchun F",29,IF(Atletas!K490="Outra Mão de Sul F",30,""))))))))))))))))))))))))))))))))</f>
        <v/>
      </c>
      <c r="BL494" s="52" t="str">
        <f>IF(Atletas!L490="","",IF(Atletas!W490&lt;&gt;"",10000,0)+(IF(Atletas!B490="Feminino",1000,IF(Atletas!B490="Masculino",2000,""))+(IF(Atletas!L490="Chaquan A",101,IF(Atletas!L490="Emeiquan A",102,IF(Atletas!L490="Fanziquan A",103,IF(Atletas!L490="Huaquan A",104,IF(Atletas!L490="Hongquan A",105,IF(Atletas!L490="Paochui A",106,IF(Atletas!L490="Piguaquan A",107,IF(Atletas!L490="Shaolinquan A",108,IF(Atletas!L490="Tanglangquan A",109,IF(Atletas!L490="Yinzhaophai A",110,IF(Atletas!L490="Tongbeiquan A",111,IF(Atletas!L490="Wudangquan A",112,IF(Atletas!L490="Outros Estilos A",113,IF(Atletas!L490="Chaquan B",114,IF(Atletas!L490="Emeiquan B",115,IF(Atletas!L490="Fanziquan B",116,IF(Atletas!L490="Huaquan B",117,IF(Atletas!L490="Hongquan B",118,IF(Atletas!L490="Paochui B",119,IF(Atletas!L490="Piguaquan B",120,IF(Atletas!L490="Shaolinquan B",121,IF(Atletas!L490="Tanglangquan B",122,IF(Atletas!L490="Yinzhaophai B",123,IF(Atletas!L490="Tongbeiquan B",124,IF(Atletas!L490="Wudangquan B",125,IF(Atletas!L490="Outros Estilos B",126,IF(Atletas!L490="Chaquan C",127,IF(Atletas!L490="Emeiquan C",128,IF(Atletas!L490="Fanziquan C",129,IF(Atletas!L490="Huaquan C",130,IF(Atletas!L490="Hongquan C",131,IF(Atletas!L490="Paochui C",132,IF(Atletas!L490="Piguaquan C",133,IF(Atletas!L490="Shaolinquan C",134,IF(Atletas!L490="Tanglangquan C",135,IF(Atletas!L490="Yinzhaophai C",136,IF(Atletas!L490="Tongbeiquan C",137,IF(Atletas!L490="Wudangquan C",138,IF(Atletas!L490="Outros Estilos C",139,0))))))))))))))))))))))))))))))))))))))))))</f>
        <v/>
      </c>
      <c r="BM494" s="52" t="str">
        <f>IF(Atletas!L490="","",IF(Atletas!W490&lt;&gt;"",10000,0)+(IF(Atletas!B490="Feminino",1000,IF(Atletas!B490="Masculino",2000,""))+(IF(Atletas!L490="Chaquan D",140,IF(Atletas!L490="Emeiquan D",141,IF(Atletas!L490="Fanziquan D",142,IF(Atletas!L490="Huaquan D",143,IF(Atletas!L490="Hongquan D",144,IF(Atletas!L490="Paochui D",145,IF(Atletas!L490="Piguaquan D",146,IF(Atletas!L490="Shaolinquan D",147,IF(Atletas!L490="Tanglangquan D",148,IF(Atletas!L490="Yinzhaophai D",149,IF(Atletas!L490="Tongbeiquan D",150,IF(Atletas!L490="Wudangquan D",151,IF(Atletas!L490="Outros Estilos D",152,IF(Atletas!L490="Chaquan E",153,IF(Atletas!L490="Emeiquan E",154,IF(Atletas!L490="Fanziquan E",155,IF(Atletas!L490="Huaquan E",156,IF(Atletas!L490="Hongquan E",157,IF(Atletas!L490="Paochui E",158,IF(Atletas!L490="Piguaquan E",159,IF(Atletas!L490="Shaolinquan E",160,IF(Atletas!L490="Tanglangquan E",161,IF(Atletas!L490="Yinzhaophai E",162,IF(Atletas!L490="Tongbeiquan E",163,IF(Atletas!L490="Wudangquan E",164,IF(Atletas!L490="Outros Estilos E",165,IF(Atletas!L490="Chaquan F",166,IF(Atletas!L490="Emeiquan F",167,IF(Atletas!L490="Fanziquan F",168,IF(Atletas!L490="Huaquan F",169,IF(Atletas!L490="Hongquan F",170,IF(Atletas!L490="Paochui F",171,IF(Atletas!L490="Piguaquan F",172,IF(Atletas!L490="Shaolinquan F",173,IF(Atletas!L490="Tanglangquan F",174,IF(Atletas!L490="Yinzhaophai F",175,IF(Atletas!L490="Tongbeiquan F",176,IF(Atletas!L490="Wudangquan F",177,IF(Atletas!L490="Outros Estilos F",178,0))))))))))))))))))))))))))))))))))))))))))</f>
        <v/>
      </c>
      <c r="BN494" s="52" t="str">
        <f>IF(Atletas!M490="","",IF(Atletas!W490&lt;&gt;"",10000,0)+(IF(Atletas!B490="Feminino",1000,IF(Atletas!B490="Masculino",2000,""))+(IF(Atletas!M490="Ditangquan A",201,IF(Atletas!M490="Houquan A",202,IF(Atletas!M490="Zuiquan A",203,IF(Atletas!M490="Ditangquan B",204,IF(Atletas!M490="Houquan B",205,IF(Atletas!M490="Zuiquan B",206,IF(Atletas!M490="Ditangquan C",207,IF(Atletas!M490="Houquan C",208,IF(Atletas!M490="Zuiquan C",209,IF(Atletas!M490="Ditangquan D",210,IF(Atletas!M490="Houquan D",211,IF(Atletas!M490="Zuiquan D",212,IF(Atletas!M490="Ditangquan E",213,IF(Atletas!M490="Houquan E",214,IF(Atletas!M490="Zuiquan E",215,IF(Atletas!M490="Ditangquan F",216,IF(Atletas!M490="Houquan F",217,IF(Atletas!M490="Zuiquan F",218,"")))))))))))))))))))))</f>
        <v/>
      </c>
      <c r="BO494" s="52" t="str">
        <f>IF(Atletas!N490="","",IF(Atletas!W490&lt;&gt;"",10000,0)+IF(Atletas!B490="Feminino",1000,IF(Atletas!B490="Masculino",2000,""))+IF(Atletas!N490="Yang A",301,IF(Atletas!N490="Chen A",30,IF(Atletas!N490="Sun A",303,IF(Atletas!N490="Wu A",304,IF(Atletas!N490="Wu-Hao A",305,IF(Atletas!N490="Outro Taijiquan A",306,IF(Atletas!N490="Yang B",307,IF(Atletas!N490="Chen B",308,IF(Atletas!N490="Sun B",309,IF(Atletas!N490="Wu B",310,IF(Atletas!N490="Wu-Hao B",311,IF(Atletas!N490="Outro Taijiquan B",312,IF(Atletas!N490="Yang C",313,IF(Atletas!N490="Chen C",314,IF(Atletas!N490="Sun C",315,IF(Atletas!N490="Wu C",316,IF(Atletas!N490="Wu-Hao C",317,IF(Atletas!N490="Outro Taijiquan C",318,IF(Atletas!N490="Yang D",319,IF(Atletas!N490="Chen D",320,IF(Atletas!N490="Sun D",321,IF(Atletas!N490="Wu D",322,IF(Atletas!N490="Wu-Hao D",323,IF(Atletas!N490="Outro Taijiquan D",324,IF(Atletas!N490="Yang E",325,IF(Atletas!N490="Chen E",326,IF(Atletas!N490="Sun E",327,IF(Atletas!N490="Wu E",328,IF(Atletas!N490="Wu-Hao E",329,IF(Atletas!N490="Outro Taijiquan E",330,IF(Atletas!N490="Yang F",331,IF(Atletas!N490="Chen F",332,IF(Atletas!N490="Sun F",333,IF(Atletas!N490="Wu F",334,IF(Atletas!N490="Wu-Hao F",335,IF(Atletas!N490="Outro Taijiquan F",336,"")))))))))))))))))))))))))))))))))))))</f>
        <v/>
      </c>
      <c r="BP494" s="52" t="str">
        <f>IF(Atletas!O490="","",IF(Atletas!W490&lt;&gt;"",10000,0)+IF(Atletas!B490="Feminino",1000,IF(Atletas!B490="Masculino",2000,""))+IF(OR(Atletas!O490="Yang 26 A",Atletas!O490="Yang 40 A"),401,IF(OR(Atletas!O490="Chen 25 A",Atletas!O490="Chen 36 A",Atletas!O490="Chen 56 A"),402,IF(Atletas!O490="Sun 73 A",403,IF(Atletas!O490="Wu 45 A",404,IF(Atletas!O490="Wu-Hao 46 A",405,IF(OR(Atletas!O490="Taijiquan 16 A",Atletas!O490="Taijiquan 24 A",Atletas!O490="Taijiquan 32 A",Atletas!O490="Taijiquan 42 A"),406,IF(OR(Atletas!O490="Yang 26 B",Atletas!O490="Yang 40 B"),407,IF(OR(Atletas!O490="Chen 25 B",Atletas!O490="Chen 36 B",Atletas!O490="Chen 56 B"),408,IF(Atletas!O490="Sun 73 B",409,IF(Atletas!O490="Wu 45 B",410,IF(Atletas!O490="Wu-Hao 46 B",411,IF(OR(Atletas!O490="Taijiquan 16 B",Atletas!O490="Taijiquan 24 B",Atletas!O490="Taijiquan 32 B",Atletas!O490="Taijiquan 42 B"),412,IF(OR(Atletas!O490="Yang 26 C",Atletas!O490="Yang 40 C"),413,IF(OR(Atletas!O490="Chen 25 C",Atletas!O490="Chen 36 C",Atletas!O490="Chen 56 C"),414,IF(Atletas!O490="Sun 73 C",415,IF(Atletas!O490="Wu 45 C",416,IF(Atletas!O490="Wu-Hao 46 C",417,IF(OR(Atletas!O490="Taijiquan 16 C",Atletas!O490="Taijiquan 24 C",Atletas!O490="Taijiquan 32 C",Atletas!O490="Taijiquan 42 C"),418,0)))))))))))))))))))</f>
        <v/>
      </c>
      <c r="BQ494" s="52" t="str">
        <f>IF(Atletas!O490="","",IF(Atletas!W490&lt;&gt;"",10000,0)+IF(Atletas!B490="Feminino",1000,IF(Atletas!B490="Masculino",2000,""))+IF(OR(Atletas!O490="Yang 26 D",Atletas!O490="Yang 40 D"),419,IF(OR(Atletas!O490="Chen 25 D",Atletas!O490="Chen 36 D",Atletas!O490="Chen 56 D"),420,IF(Atletas!O490="Sun 73 D",421,IF(Atletas!O490="Wu 45 D",422,IF(Atletas!O490="Wu-Hao 46 D",423,IF(OR(Atletas!O490="Taijiquan 16 D",Atletas!O490="Taijiquan 24 D",Atletas!O490="Taijiquan 32 D",Atletas!O490="Taijiquan 42 D"),424,IF(OR(Atletas!O490="Yang 26 E",Atletas!O490="Yang 40 E"),425,IF(OR(Atletas!O490="Chen 25 E",Atletas!O490="Chen 36 E",Atletas!O490="Chen 56 E"),426,IF(Atletas!O490="Sun 73 E",427,IF(Atletas!O490="Wu 45 E",428,IF(Atletas!O490="Wu-Hao 46 E",429,IF(OR(Atletas!O490="Taijiquan 16 E",Atletas!O490="Taijiquan 24 E",Atletas!O490="Taijiquan 32 E",Atletas!O490="Taijiquan 42 E"),430,IF(OR(Atletas!O490="Yang 26 F",Atletas!O490="Yang 40 F"),431,IF(OR(Atletas!O490="Chen 25 F",Atletas!O490="Chen 36 F",Atletas!O490="Chen 56 F"),432,IF(Atletas!O490="Sun 73 F",433,IF(Atletas!O490="Wu 45 F",434,IF(Atletas!O490="Wu-Hao 46 F",435,IF(OR(Atletas!O490="Taijiquan 16 F",Atletas!O490="Taijiquan 24 F",Atletas!O490="Taijiquan 32 F",Atletas!O490="Taijiquan 42 F"),436,0)))))))))))))))))))</f>
        <v/>
      </c>
      <c r="BR494" s="52" t="str">
        <f>IF(Atletas!P490="","",IF(Atletas!W490&lt;&gt;"",10000,0)+IF(Atletas!B490="Feminino",1000,IF(Atletas!B490="Masculino",2000,""))+IF(Atletas!P490="Xingyiquan A",501,IF(Atletas!P490="Baguazhang A",502,IF(Atletas!P490="Outro Estilo Interno A",503,IF(Atletas!P490="Xingyiquan B",504,IF(Atletas!P490="Baguazhang B",505,IF(Atletas!P490="Outro Estilo Interno B",506,IF(Atletas!P490="Xingyiquan C",507,IF(Atletas!P490="Baguazhang C",508,IF(Atletas!P490="Outro Estilo Interno C",509,IF(Atletas!P490="Xingyiquan D",510,IF(Atletas!P490="Baguazhang D",511,IF(Atletas!P490="Outro Estilo Interno D",512,IF(Atletas!P490="Xingyiquan E",513,IF(Atletas!P490="Baguazhang E",514,IF(Atletas!P490="Outro Estilo Interno E",515,IF(Atletas!P490="Xingyiquan F",516,IF(Atletas!P490="Baguazhang F",517,IF(Atletas!P490="Outro Estilo Interno F",518, "")))))))))))))))))))</f>
        <v/>
      </c>
      <c r="BS494" s="52" t="str">
        <f>IF(Atletas!Q490="","",IF(Atletas!W490&lt;&gt;"",10000,0)+IF(Atletas!B490="Feminino",1000,IF(Atletas!B490="Masculino",2000,""))+IF(Atletas!Q490="Dao A",601,IF(Atletas!Q490="Jian A",602,IF(Atletas!Q490="Bishou A",603,IF(Atletas!Q490="Shan A",604,IF(Atletas!Q490="Outra Arma Curta A",605,IF(Atletas!Q490="Dao B",606,IF(Atletas!Q490="Jian B",607,IF(Atletas!Q490="Bishou B",608,IF(Atletas!Q490="Shan B",609,IF(Atletas!Q490="Outra Arma Curta B",610,IF(Atletas!Q490="Dao C",611,IF(Atletas!Q490="Jian C",612,IF(Atletas!Q490="Bishou C",613,IF(Atletas!Q490="Shan C",614,IF(Atletas!Q490="Outra Arma Curta C",615,IF(Atletas!Q490="Dao D",616,IF(Atletas!Q490="Jian D",617,IF(Atletas!Q490="Bishou D",618,IF(Atletas!Q490="Shan D",619,IF(Atletas!Q490="Outra Arma Curta D",620,IF(Atletas!Q490="Dao E",621,IF(Atletas!Q490="Jian E",622,IF(Atletas!Q490="Bishou E",623,IF(Atletas!Q490="Shan E",624,IF(Atletas!Q490="Outra Arma Curta E",625,IF(Atletas!Q490="Dao F",626,IF(Atletas!Q490="Jian F",627,IF(Atletas!Q490="Bishou F",628,IF(Atletas!Q490="Shan F",629,IF(Atletas!Q490="Outra Arma Curta F",630, "")))))))))))))))))))))))))))))))</f>
        <v/>
      </c>
      <c r="BT494" s="52" t="str">
        <f>IF(Atletas!R490="","",IF(Atletas!W490&lt;&gt;"",10000,0)+IF(Atletas!B490="Feminino",1000,IF(Atletas!B490="Masculino",2000,""))+IF(Atletas!R490="Gun A",701,IF(Atletas!R490="Qiang A",702,IF(Atletas!R490="Pudao / Guandao A",703,IF(Atletas!R490="Outra Arma Longa A",704,IF(Atletas!R490="Gun B",705,IF(Atletas!R490="Qiang B",706,IF(Atletas!R490="Pudao / Guandao B",707,IF(Atletas!R490="Outra Arma Longa B",708,IF(Atletas!R490="Gun C",709,IF(Atletas!R490="Qiang C",710,IF(Atletas!R490="Pudao / Guandao C",711,IF(Atletas!R490="Outra Arma Longa C",712,IF(Atletas!R490="Gun D",713,IF(Atletas!R490="Qiang D",714,IF(Atletas!R490="Pudao / Guandao D",715,IF(Atletas!R490="Outra Arma Longa D",716,IF(Atletas!R490="Gun E",717,IF(Atletas!R490="Qiang E",718,IF(Atletas!R490="Pudao / Guandao E",719,IF(Atletas!R490="Outra Arma Longa E",720,IF(Atletas!R490="Gun F",721,IF(Atletas!R490="Qiang F",722,IF(Atletas!R490="Pudao / Guandao F",723,IF(Atletas!R490="Outra Arma Longa F",724,"")))))))))))))))))))))))))</f>
        <v/>
      </c>
      <c r="BU494" s="52" t="str">
        <f>IF(Atletas!S490="","",IF(Atletas!W490&lt;&gt;"",10000,0)+IF(Atletas!B490="Feminino",1000,IF(Atletas!B490="Masculino",2000,""))+IF(Atletas!S490="Arma Dupla A",801,IF(Atletas!S490="Arma Maleável A",802,IF(Atletas!S490="Arma Dupla B",803,IF(Atletas!S490="Arma Maleável B",804,IF(Atletas!S490="Arma Dupla C",805,IF(Atletas!S490="Arma Maleável C",806,IF(Atletas!S490="Arma Dupla D",807,IF(Atletas!S490="Arma Maleável D",808,IF(Atletas!S490="Arma Dupla E",809,IF(Atletas!S490="Arma Maleável E",810,IF(Atletas!S490="Arma Dupla F",811,IF(Atletas!S490="Arma Maleável F",812, "")))))))))))))</f>
        <v/>
      </c>
      <c r="BV494" s="52" t="str">
        <f>IF(Atletas!T490="","",IF(Atletas!W490&lt;&gt;"",10000,0)+IF(Atletas!B490="Feminino",1000,IF(Atletas!B490="Masculino",2000,""))+IF(Atletas!T490="Taijijian Yang A",901,IF(Atletas!T490="Taijijian Chen A",902,IF(Atletas!T490="Taijijian Sun A",903,IF(Atletas!T490="Taijijian Wu A",904,IF(Atletas!T490="Taijijian Wu-Hao A",905,IF(Atletas!T490="Taijijian 32 A",906,IF(Atletas!T490="Taijijian 42 A",907,IF(Atletas!T490="Taijijian Yang B",908,IF(Atletas!T490="Taijijian Chen B",909,IF(Atletas!T490="Taijijian Sun B",910,IF(Atletas!T490="Taijijian Wu B",911,IF(Atletas!T490="Taijijian Wu-Hao B",912,IF(Atletas!T490="Taijijian 32 B",913,IF(Atletas!T490="Taijijian 42 B",914,IF(Atletas!T490="Taijijian Yang C",915,IF(Atletas!T490="Taijijian Chen C",916,IF(Atletas!T490="Taijijian Sun C",917,IF(Atletas!T490="Taijijian Wu C",918,IF(Atletas!T490="Taijijian Wu-Hao C",919,IF(Atletas!T490="Taijijian 32 C",920,IF(Atletas!T490="Taijijian 42 C",921,IF(Atletas!T490="Taijijian Yang D",922,IF(Atletas!T490="Taijijian Chen D",923,IF(Atletas!T490="Taijijian Sun D",924,IF(Atletas!T490="Taijijian Wu D",925,IF(Atletas!T490="Taijijian Wu-Hao D",926,IF(Atletas!T490="Taijijian 32 D",927,IF(Atletas!T490="Taijijian 42 D",928,IF(Atletas!T490="Taijijian Yang E",929,IF(Atletas!T490="Taijijian Chen E",930,IF(Atletas!T490="Taijijian Sun E",931,IF(Atletas!T490="Taijijian Wu E",932,IF(Atletas!T490="Taijijian Wu-Hao E",933,IF(Atletas!T490="Taijijian 32 E",934,IF(Atletas!T490="Taijijian 42 E",935,IF(Atletas!T490="Taijijian Yang F",936,IF(Atletas!T490="Taijijian Chen F",937,IF(Atletas!T490="Taijijian Sun F",938,IF(Atletas!T490="Taijijian Wu F",939,IF(Atletas!T490="Taijijian Wu-Hao F",940,IF(Atletas!T490="Taijijian 32 F",941,IF(Atletas!T490="Taijijian 42 F",942,"")))))))))))))))))))))))))))))))))))))))))))</f>
        <v/>
      </c>
      <c r="BW494" s="52" t="str">
        <f>IF(Atletas!U490="","",IF(Atletas!W490&lt;&gt;"",10000,0)+IF(Atletas!B490="Feminino",1000,IF(Atletas!B490="Masculino",2000,""))+IF(Atletas!T490="Taijijian 42 F",942,IF(Atletas!U490="Taijidao A",943,IF(Atletas!U490="Taijishan A",944,IF(Atletas!U490="Taijiqiang A",945,IF(Atletas!U490="Taijidao B",946,IF(Atletas!U490="Taijishan B",947,IF(Atletas!U490="Taijiqiang B",948,IF(Atletas!U490="Taijidao C",949,IF(Atletas!U490="Taijishan C",950,IF(Atletas!U490="Taijiqiang C",951,IF(Atletas!U490="Taijidao D",952,IF(Atletas!U490="Taijishan D",953,IF(Atletas!U490="Taijiqiang D",954,IF(Atletas!U490="Taijidao E",955,IF(Atletas!U490="Taijishan E",956,IF(Atletas!U490="Taijiqiang E",957,IF(Atletas!U490="Taijidao F",958,IF(Atletas!U490="Taijishan F",959,IF(Atletas!U490="Taijiqiang F",960))))))))))))))))))))</f>
        <v/>
      </c>
      <c r="CF494" s="52" t="str">
        <f xml:space="preserve"> IF(Atletas!V490="","",IF(Atletas!V490="Duilian de Mãos AB - Equipe 1",1,IF(Atletas!V490="Duilian de Mãos AB - Equipe 2",2,IF(Atletas!V490="Duilian de Armas AB - Equipe 1",3,IF(Atletas!V490="Duilian de Armas AB - Equipe 2",4,IF(Atletas!V490="Duilian de Tuishou - Equipe 1",5,IF(Atletas!V490="Duilian de Tuishou - Equipe 2",6,IF(Atletas!V490="Grupo Externo AB - Equipe 1",7,IF(Atletas!V490="Grupo Externo AB - Equipe 2",8,IF(Atletas!V490="Grupo Interno AB - Equipe 1",9,IF(Atletas!V490="Grupo Interno AB - Equipe 2",10,IF(Atletas!V490="Duilian de Mãos CD - Equipe 1",11,IF(Atletas!V490="Duilian de Mãos CD - Equipe 2",12,IF(Atletas!V490="Duilian de Armas CD - Equipe 1",13,IF(Atletas!V490="Duilian de Armas CD - Equipe 2",14,IF(Atletas!V490="Duilian de Tuishou - Equipe 1",15,IF(Atletas!V490="Duilian de Tuishou - Equipe 2",16,IF(Atletas!V490="Grupo Externo CDEF - Equipe 1",17,IF(Atletas!V490="Grupo Externo CDEF - Equipe 2",18,IF(Atletas!V490="Grupo Interno CDEF - Equipe 1",19,IF(Atletas!V490="Grupo Interno CDEF - Equipe 2",20,IF(Atletas!V490="Duilian de Mãos EF - Equipe 1",21,IF(Atletas!V490="Duilian de Mãos EF - Equipe 2",22,IF(Atletas!V490="Duilian de Armas EF - Equipe 1",23,IF(Atletas!V490="Duilian de Armas EF - Equipe 2",24,IF(Atletas!V490="Duilian de Tuishou - Equipe 1",25,IF(Atletas!V490="Duilian de Tuishou - Equipe 2",26,"")))))))))))))))))))))))))))</f>
        <v/>
      </c>
    </row>
    <row r="495" spans="36:84">
      <c r="AJ495" s="46" t="str">
        <f>IF(Atletas!D491="","",IF(Atletas!B491="Feminino",100,IF(Atletas!B491="Masculino",200,""))+(IF(Atletas!D491="Infantil 39kg",1,IF(Atletas!D491="Infantil 42kg",2,IF(Atletas!D491="Infantil 45kg",3,IF(Atletas!D491="Infantil 48kg",4,IF(Atletas!D491="Infantil 52kg",5,IF(Atletas!D491="Infantil 56kg",6,IF(Atletas!D491="Infantil 60kg",7,IF(Atletas!D491="Juvenil 48kg",8,IF(Atletas!D491="Juvenil 52kg",9,IF(Atletas!D491="Juvenil 56kg",10,IF(Atletas!D491="Juvenil 60kg",11,IF(Atletas!D491="Juvenil 65kg",12,IF(Atletas!D491="Juvenil 70kg",13,IF(Atletas!D491="Juvenil 75kg",14,IF(Atletas!D491="Juvenil 80kg",15,IF(Atletas!D491="Adulto 48kg",16,IF(Atletas!D491="Adulto 52kg",17,IF(Atletas!D491="Adulto 56kg",18,IF(Atletas!D491="Adulto 60kg",19,IF(Atletas!D491="Adulto 65kg",20,IF(Atletas!D491="Adulto 70kg",21,IF(Atletas!D491="Adulto 75kg",22,IF(Atletas!D491="Adulto 80kg",23,IF(Atletas!D491="Adulto 85kg",24,IF(Atletas!D491="Adulto 90kg",25,IF(Atletas!D491="Adulto +90kg",26,""))))))))))))))))))))))))))))</f>
        <v/>
      </c>
      <c r="AO495" s="10" t="str">
        <f>IF(Atletas!E491="","",IF(Atletas!B491="Feminino",100,IF(Atletas!B491="Masculino",200,""))+(IF(Atletas!E491="Juvenil 44kg",1,IF(Atletas!E491="Juvenil 48kg",2,IF(Atletas!E491="Juvenil 52kg",3,IF(Atletas!E491="Juvenil 56kg",4,IF(Atletas!E491="Juvenil 60kg",5,IF(Atletas!E491="Juvenil 65kg",6,IF(Atletas!E491="Juvenil 70kg",7,IF(Atletas!E491="Juvenil 75kg",8,IF(Atletas!E491="Juvenil 82kg",9,IF(Atletas!E491="Juvenil 90kg",10,IF(Atletas!E491="Juvenil 100kg",11,IF(Atletas!E491="Adulto 48kg",12,IF(Atletas!E491="Adulto 52kg",13,IF(Atletas!E491="Adulto 56kg",14,IF(Atletas!E491="Adulto 60kg",15,IF(Atletas!E491="Adulto 65kg",16,IF(Atletas!E491="Adulto 70kg",17,IF(Atletas!E491="Adulto 75kg",18,IF(Atletas!E491="Adulto 82kg",19,IF(Atletas!E491="Adulto 90kg",20,IF(Atletas!E491="Adulto 100kg",21,IF(Atletas!E491="Adulto +100kg",22,""))))))))))))))))))))))))</f>
        <v/>
      </c>
      <c r="AT495" s="10" t="str">
        <f>IF(Atletas!F491="","",IF(Atletas!B491="Feminino",100,IF(Atletas!B491="Masculino",200,""))+(IF(Atletas!F491="Adulto 48kg",1,IF(Atletas!F491="Adulto 56kg",2,IF(Atletas!F491="Adulto 65kg",3,IF(Atletas!F491="Adulto 75kg",4,IF(Atletas!F491="Adulto +75kg",5,IF(Atletas!F491="Adulto 52kg",6,IF(Atletas!F491="Adulto 60kg",7,IF(Atletas!F491="Adulto 70kg",8,IF(Atletas!F491="Adulto 80kg",9,IF(Atletas!F491="Adulto 90kg",10,IF(Atletas!F491="Adulto +90kg",11,"")))))))))))))</f>
        <v/>
      </c>
      <c r="AY495" s="46" t="str">
        <f>IF(Atletas!G491="","",IF(Atletas!B491="Feminino",100,IF(Atletas!B491="Masculino",200,""))+(IF(Atletas!G491="Changquan Mirim",1,IF(Atletas!G491="Nanquan Mirim",2,IF(Atletas!G491="Taijiquan Mirim",3,IF(Atletas!G491="Changquan Grupo C",4,IF(Atletas!G491="Nanquan Grupo C",5,IF(Atletas!G491="Taijiquan Grupo C",6,IF(Atletas!G491="Changquan Grupo B",7,IF(Atletas!G491="Nanquan Grupo B",8,IF(Atletas!G491="Taijiquan Grupo B",9,IF(Atletas!G491="Changquan Grupo A",10,IF(Atletas!G491="Nanquan Grupo A",11,IF(Atletas!G491="Taijiquan Grupo A",12,IF(Atletas!G491="Changquan Opcional",13,IF(Atletas!G491="Nanquan Opcional",14,IF(Atletas!G491="Taijiquan Opcional",15,IF(Atletas!G491="Changquan Adulto",16,IF(Atletas!G491="Nanquan Adulto",17,IF(Atletas!G491="Taijiquan Adulto",18,""))))))))))))))))))))</f>
        <v/>
      </c>
      <c r="AZ495" s="46" t="str">
        <f>IF(Atletas!H491="","",IF(Atletas!B491="Feminino",100,IF(Atletas!B491="Masculino",200,""))+(IF(Atletas!H491="Daoshu Mirim",19,IF(Atletas!H491="Jianshu Mirim",20,IF(Atletas!H491="Nandao Mirim",21,IF(Atletas!H491="Taijijian Mirim",22,IF(Atletas!H491="Daoshu Grupo C",23,IF(Atletas!H491="Jianshu Grupo C",24,IF(Atletas!H491="Nandao Grupo C",25,IF(Atletas!H491="Taijijian Grupo C",26,IF(Atletas!H491="Daoshu Grupo B",27,IF(Atletas!H491="Jianshu Grupo B",28,IF(Atletas!H491="Nandao Grupo B",29,IF(Atletas!H491="Taijijian Grupo B",30,IF(Atletas!H491="Daoshu Grupo A",31,IF(Atletas!H491="Jianshu Grupo A",32,IF(Atletas!H491="Nandao Grupo A",33,IF(Atletas!H491="Taijijian Grupo A",34,IF(Atletas!H491="Daoshu Opcional",35,IF(Atletas!H491="Jianshu Opcional",36,IF(Atletas!H491="Nandao Opcional",37,IF(Atletas!H491="Taijijian Opcional",38,IF(Atletas!H491="Daoshu Adulto",39,IF(Atletas!H491="Jianshu Adulto",40,IF(Atletas!H491="Nandao Adulto",41,IF(Atletas!H491="Taijijian Adulto",42,""))))))))))))))))))))))))))</f>
        <v/>
      </c>
      <c r="BA495" s="46" t="str">
        <f>IF(Atletas!I491="","",IF(Atletas!B491="Feminino",100,IF(Atletas!B491="Masculino",200,""))+(IF(Atletas!I491="Gunshu Mirim",43,IF(Atletas!I491="Qiangshu Mirim",44,IF(Atletas!I491="Nangun Mirim",45,IF(Atletas!I491="Gunshu Grupo C",46,IF(Atletas!I491="Qiangshu Grupo C",47,IF(Atletas!I491="Nangun Grupo C",48,IF(Atletas!I491="Gunshu Grupo B",49,IF(Atletas!I491="Qiangshu Grupo B",50,IF(Atletas!I491="Nangun Grupo B",51,IF(Atletas!I491="Gunshu Grupo A",52,IF(Atletas!I491="Qiangshu Grupo A",53,IF(Atletas!I491="Nangun Grupo A",54,IF(Atletas!I491="Gunshu Opcional",55,IF(Atletas!I491="Qiangshu Opcional",56,IF(Atletas!I491="Nangun Opcional",57,IF(Atletas!I491="Gunshu Adulto",58,IF(Atletas!I491="Qiangshu Adulto",59,IF(Atletas!I491="Nangun Adulto",60,""))))))))))))))))))))</f>
        <v/>
      </c>
      <c r="BF495" s="52" t="str">
        <f>IF(Atletas!J491="","",IF(Atletas!B491="Feminino",100,IF(Atletas!B491="Masculino",200,""))+(IF(Atletas!J491="Equipe 1 Grupo B",1,IF(Atletas!J491="Equipe 2 Grupo B",2,IF(Atletas!J491="Equipe 1 Grupo A",3,IF(Atletas!J491="Equipe 2 Grupo A",4,IF(Atletas!J491="Equipe 1 Adulto",5,IF(Atletas!J491="Equipe 2 Adulto",6,""))))))))</f>
        <v/>
      </c>
      <c r="BK495" s="52" t="str">
        <f>IF(Atletas!K491="","",IF(Atletas!W491&lt;&gt;"",10000,0)+(IF(Atletas!B491="Feminino",1000,IF(Atletas!B491="Masculino",2000,""))+IF(Atletas!K491="Choylayfut A",1,IF(Atletas!K491="Hunggar A",2,IF(Atletas!K491="Wuzuquan A",3,IF(Atletas!K491="Wingchun A",4,IF(Atletas!K491="Outra Mão de Sul A",5,IF(Atletas!K491="Choylayfut B",6,IF(Atletas!K491="Hunggar B",7,IF(Atletas!K491="Wuzuquan B",8,IF(Atletas!K491="Wingchun B",9,IF(Atletas!K491="Outra Mão de Sul B",10,IF(Atletas!K491="Choylayfut C",11,IF(Atletas!K491="Hunggar C",12,IF(Atletas!K491="Wuzuquan C",13,IF(Atletas!K491="Wingchun C",14,IF(Atletas!K491="Outra Mão de Sul C",15,IF(Atletas!K491="Choylayfut D",16,IF(Atletas!K491="Hunggar D",17,IF(Atletas!K491="Wuzuquan D",18,IF(Atletas!K491="Wingchun D",19,IF(Atletas!K491="Outra Mão de Sul D",20,IF(Atletas!K491="Choylayfut E",21,IF(Atletas!K491="Hunggar E",22,IF(Atletas!K491="Wuzuquan E",23,IF(Atletas!K491="Wingchun E",24,IF(Atletas!K491="Outra Mão de Sul E",25,IF(Atletas!K491="Choylayfut F",26,IF(Atletas!K491="Hunggar F",27,IF(Atletas!K491="Wuzuquan F",28,IF(Atletas!K491="Wingchun F",29,IF(Atletas!K491="Outra Mão de Sul F",30,""))))))))))))))))))))))))))))))))</f>
        <v/>
      </c>
      <c r="BL495" s="52" t="str">
        <f>IF(Atletas!L491="","",IF(Atletas!W491&lt;&gt;"",10000,0)+(IF(Atletas!B491="Feminino",1000,IF(Atletas!B491="Masculino",2000,""))+(IF(Atletas!L491="Chaquan A",101,IF(Atletas!L491="Emeiquan A",102,IF(Atletas!L491="Fanziquan A",103,IF(Atletas!L491="Huaquan A",104,IF(Atletas!L491="Hongquan A",105,IF(Atletas!L491="Paochui A",106,IF(Atletas!L491="Piguaquan A",107,IF(Atletas!L491="Shaolinquan A",108,IF(Atletas!L491="Tanglangquan A",109,IF(Atletas!L491="Yinzhaophai A",110,IF(Atletas!L491="Tongbeiquan A",111,IF(Atletas!L491="Wudangquan A",112,IF(Atletas!L491="Outros Estilos A",113,IF(Atletas!L491="Chaquan B",114,IF(Atletas!L491="Emeiquan B",115,IF(Atletas!L491="Fanziquan B",116,IF(Atletas!L491="Huaquan B",117,IF(Atletas!L491="Hongquan B",118,IF(Atletas!L491="Paochui B",119,IF(Atletas!L491="Piguaquan B",120,IF(Atletas!L491="Shaolinquan B",121,IF(Atletas!L491="Tanglangquan B",122,IF(Atletas!L491="Yinzhaophai B",123,IF(Atletas!L491="Tongbeiquan B",124,IF(Atletas!L491="Wudangquan B",125,IF(Atletas!L491="Outros Estilos B",126,IF(Atletas!L491="Chaquan C",127,IF(Atletas!L491="Emeiquan C",128,IF(Atletas!L491="Fanziquan C",129,IF(Atletas!L491="Huaquan C",130,IF(Atletas!L491="Hongquan C",131,IF(Atletas!L491="Paochui C",132,IF(Atletas!L491="Piguaquan C",133,IF(Atletas!L491="Shaolinquan C",134,IF(Atletas!L491="Tanglangquan C",135,IF(Atletas!L491="Yinzhaophai C",136,IF(Atletas!L491="Tongbeiquan C",137,IF(Atletas!L491="Wudangquan C",138,IF(Atletas!L491="Outros Estilos C",139,0))))))))))))))))))))))))))))))))))))))))))</f>
        <v/>
      </c>
      <c r="BM495" s="52" t="str">
        <f>IF(Atletas!L491="","",IF(Atletas!W491&lt;&gt;"",10000,0)+(IF(Atletas!B491="Feminino",1000,IF(Atletas!B491="Masculino",2000,""))+(IF(Atletas!L491="Chaquan D",140,IF(Atletas!L491="Emeiquan D",141,IF(Atletas!L491="Fanziquan D",142,IF(Atletas!L491="Huaquan D",143,IF(Atletas!L491="Hongquan D",144,IF(Atletas!L491="Paochui D",145,IF(Atletas!L491="Piguaquan D",146,IF(Atletas!L491="Shaolinquan D",147,IF(Atletas!L491="Tanglangquan D",148,IF(Atletas!L491="Yinzhaophai D",149,IF(Atletas!L491="Tongbeiquan D",150,IF(Atletas!L491="Wudangquan D",151,IF(Atletas!L491="Outros Estilos D",152,IF(Atletas!L491="Chaquan E",153,IF(Atletas!L491="Emeiquan E",154,IF(Atletas!L491="Fanziquan E",155,IF(Atletas!L491="Huaquan E",156,IF(Atletas!L491="Hongquan E",157,IF(Atletas!L491="Paochui E",158,IF(Atletas!L491="Piguaquan E",159,IF(Atletas!L491="Shaolinquan E",160,IF(Atletas!L491="Tanglangquan E",161,IF(Atletas!L491="Yinzhaophai E",162,IF(Atletas!L491="Tongbeiquan E",163,IF(Atletas!L491="Wudangquan E",164,IF(Atletas!L491="Outros Estilos E",165,IF(Atletas!L491="Chaquan F",166,IF(Atletas!L491="Emeiquan F",167,IF(Atletas!L491="Fanziquan F",168,IF(Atletas!L491="Huaquan F",169,IF(Atletas!L491="Hongquan F",170,IF(Atletas!L491="Paochui F",171,IF(Atletas!L491="Piguaquan F",172,IF(Atletas!L491="Shaolinquan F",173,IF(Atletas!L491="Tanglangquan F",174,IF(Atletas!L491="Yinzhaophai F",175,IF(Atletas!L491="Tongbeiquan F",176,IF(Atletas!L491="Wudangquan F",177,IF(Atletas!L491="Outros Estilos F",178,0))))))))))))))))))))))))))))))))))))))))))</f>
        <v/>
      </c>
      <c r="BN495" s="52" t="str">
        <f>IF(Atletas!M491="","",IF(Atletas!W491&lt;&gt;"",10000,0)+(IF(Atletas!B491="Feminino",1000,IF(Atletas!B491="Masculino",2000,""))+(IF(Atletas!M491="Ditangquan A",201,IF(Atletas!M491="Houquan A",202,IF(Atletas!M491="Zuiquan A",203,IF(Atletas!M491="Ditangquan B",204,IF(Atletas!M491="Houquan B",205,IF(Atletas!M491="Zuiquan B",206,IF(Atletas!M491="Ditangquan C",207,IF(Atletas!M491="Houquan C",208,IF(Atletas!M491="Zuiquan C",209,IF(Atletas!M491="Ditangquan D",210,IF(Atletas!M491="Houquan D",211,IF(Atletas!M491="Zuiquan D",212,IF(Atletas!M491="Ditangquan E",213,IF(Atletas!M491="Houquan E",214,IF(Atletas!M491="Zuiquan E",215,IF(Atletas!M491="Ditangquan F",216,IF(Atletas!M491="Houquan F",217,IF(Atletas!M491="Zuiquan F",218,"")))))))))))))))))))))</f>
        <v/>
      </c>
      <c r="BO495" s="52" t="str">
        <f>IF(Atletas!N491="","",IF(Atletas!W491&lt;&gt;"",10000,0)+IF(Atletas!B491="Feminino",1000,IF(Atletas!B491="Masculino",2000,""))+IF(Atletas!N491="Yang A",301,IF(Atletas!N491="Chen A",30,IF(Atletas!N491="Sun A",303,IF(Atletas!N491="Wu A",304,IF(Atletas!N491="Wu-Hao A",305,IF(Atletas!N491="Outro Taijiquan A",306,IF(Atletas!N491="Yang B",307,IF(Atletas!N491="Chen B",308,IF(Atletas!N491="Sun B",309,IF(Atletas!N491="Wu B",310,IF(Atletas!N491="Wu-Hao B",311,IF(Atletas!N491="Outro Taijiquan B",312,IF(Atletas!N491="Yang C",313,IF(Atletas!N491="Chen C",314,IF(Atletas!N491="Sun C",315,IF(Atletas!N491="Wu C",316,IF(Atletas!N491="Wu-Hao C",317,IF(Atletas!N491="Outro Taijiquan C",318,IF(Atletas!N491="Yang D",319,IF(Atletas!N491="Chen D",320,IF(Atletas!N491="Sun D",321,IF(Atletas!N491="Wu D",322,IF(Atletas!N491="Wu-Hao D",323,IF(Atletas!N491="Outro Taijiquan D",324,IF(Atletas!N491="Yang E",325,IF(Atletas!N491="Chen E",326,IF(Atletas!N491="Sun E",327,IF(Atletas!N491="Wu E",328,IF(Atletas!N491="Wu-Hao E",329,IF(Atletas!N491="Outro Taijiquan E",330,IF(Atletas!N491="Yang F",331,IF(Atletas!N491="Chen F",332,IF(Atletas!N491="Sun F",333,IF(Atletas!N491="Wu F",334,IF(Atletas!N491="Wu-Hao F",335,IF(Atletas!N491="Outro Taijiquan F",336,"")))))))))))))))))))))))))))))))))))))</f>
        <v/>
      </c>
      <c r="BP495" s="52" t="str">
        <f>IF(Atletas!O491="","",IF(Atletas!W491&lt;&gt;"",10000,0)+IF(Atletas!B491="Feminino",1000,IF(Atletas!B491="Masculino",2000,""))+IF(OR(Atletas!O491="Yang 26 A",Atletas!O491="Yang 40 A"),401,IF(OR(Atletas!O491="Chen 25 A",Atletas!O491="Chen 36 A",Atletas!O491="Chen 56 A"),402,IF(Atletas!O491="Sun 73 A",403,IF(Atletas!O491="Wu 45 A",404,IF(Atletas!O491="Wu-Hao 46 A",405,IF(OR(Atletas!O491="Taijiquan 16 A",Atletas!O491="Taijiquan 24 A",Atletas!O491="Taijiquan 32 A",Atletas!O491="Taijiquan 42 A"),406,IF(OR(Atletas!O491="Yang 26 B",Atletas!O491="Yang 40 B"),407,IF(OR(Atletas!O491="Chen 25 B",Atletas!O491="Chen 36 B",Atletas!O491="Chen 56 B"),408,IF(Atletas!O491="Sun 73 B",409,IF(Atletas!O491="Wu 45 B",410,IF(Atletas!O491="Wu-Hao 46 B",411,IF(OR(Atletas!O491="Taijiquan 16 B",Atletas!O491="Taijiquan 24 B",Atletas!O491="Taijiquan 32 B",Atletas!O491="Taijiquan 42 B"),412,IF(OR(Atletas!O491="Yang 26 C",Atletas!O491="Yang 40 C"),413,IF(OR(Atletas!O491="Chen 25 C",Atletas!O491="Chen 36 C",Atletas!O491="Chen 56 C"),414,IF(Atletas!O491="Sun 73 C",415,IF(Atletas!O491="Wu 45 C",416,IF(Atletas!O491="Wu-Hao 46 C",417,IF(OR(Atletas!O491="Taijiquan 16 C",Atletas!O491="Taijiquan 24 C",Atletas!O491="Taijiquan 32 C",Atletas!O491="Taijiquan 42 C"),418,0)))))))))))))))))))</f>
        <v/>
      </c>
      <c r="BQ495" s="52" t="str">
        <f>IF(Atletas!O491="","",IF(Atletas!W491&lt;&gt;"",10000,0)+IF(Atletas!B491="Feminino",1000,IF(Atletas!B491="Masculino",2000,""))+IF(OR(Atletas!O491="Yang 26 D",Atletas!O491="Yang 40 D"),419,IF(OR(Atletas!O491="Chen 25 D",Atletas!O491="Chen 36 D",Atletas!O491="Chen 56 D"),420,IF(Atletas!O491="Sun 73 D",421,IF(Atletas!O491="Wu 45 D",422,IF(Atletas!O491="Wu-Hao 46 D",423,IF(OR(Atletas!O491="Taijiquan 16 D",Atletas!O491="Taijiquan 24 D",Atletas!O491="Taijiquan 32 D",Atletas!O491="Taijiquan 42 D"),424,IF(OR(Atletas!O491="Yang 26 E",Atletas!O491="Yang 40 E"),425,IF(OR(Atletas!O491="Chen 25 E",Atletas!O491="Chen 36 E",Atletas!O491="Chen 56 E"),426,IF(Atletas!O491="Sun 73 E",427,IF(Atletas!O491="Wu 45 E",428,IF(Atletas!O491="Wu-Hao 46 E",429,IF(OR(Atletas!O491="Taijiquan 16 E",Atletas!O491="Taijiquan 24 E",Atletas!O491="Taijiquan 32 E",Atletas!O491="Taijiquan 42 E"),430,IF(OR(Atletas!O491="Yang 26 F",Atletas!O491="Yang 40 F"),431,IF(OR(Atletas!O491="Chen 25 F",Atletas!O491="Chen 36 F",Atletas!O491="Chen 56 F"),432,IF(Atletas!O491="Sun 73 F",433,IF(Atletas!O491="Wu 45 F",434,IF(Atletas!O491="Wu-Hao 46 F",435,IF(OR(Atletas!O491="Taijiquan 16 F",Atletas!O491="Taijiquan 24 F",Atletas!O491="Taijiquan 32 F",Atletas!O491="Taijiquan 42 F"),436,0)))))))))))))))))))</f>
        <v/>
      </c>
      <c r="BR495" s="52" t="str">
        <f>IF(Atletas!P491="","",IF(Atletas!W491&lt;&gt;"",10000,0)+IF(Atletas!B491="Feminino",1000,IF(Atletas!B491="Masculino",2000,""))+IF(Atletas!P491="Xingyiquan A",501,IF(Atletas!P491="Baguazhang A",502,IF(Atletas!P491="Outro Estilo Interno A",503,IF(Atletas!P491="Xingyiquan B",504,IF(Atletas!P491="Baguazhang B",505,IF(Atletas!P491="Outro Estilo Interno B",506,IF(Atletas!P491="Xingyiquan C",507,IF(Atletas!P491="Baguazhang C",508,IF(Atletas!P491="Outro Estilo Interno C",509,IF(Atletas!P491="Xingyiquan D",510,IF(Atletas!P491="Baguazhang D",511,IF(Atletas!P491="Outro Estilo Interno D",512,IF(Atletas!P491="Xingyiquan E",513,IF(Atletas!P491="Baguazhang E",514,IF(Atletas!P491="Outro Estilo Interno E",515,IF(Atletas!P491="Xingyiquan F",516,IF(Atletas!P491="Baguazhang F",517,IF(Atletas!P491="Outro Estilo Interno F",518, "")))))))))))))))))))</f>
        <v/>
      </c>
      <c r="BS495" s="52" t="str">
        <f>IF(Atletas!Q491="","",IF(Atletas!W491&lt;&gt;"",10000,0)+IF(Atletas!B491="Feminino",1000,IF(Atletas!B491="Masculino",2000,""))+IF(Atletas!Q491="Dao A",601,IF(Atletas!Q491="Jian A",602,IF(Atletas!Q491="Bishou A",603,IF(Atletas!Q491="Shan A",604,IF(Atletas!Q491="Outra Arma Curta A",605,IF(Atletas!Q491="Dao B",606,IF(Atletas!Q491="Jian B",607,IF(Atletas!Q491="Bishou B",608,IF(Atletas!Q491="Shan B",609,IF(Atletas!Q491="Outra Arma Curta B",610,IF(Atletas!Q491="Dao C",611,IF(Atletas!Q491="Jian C",612,IF(Atletas!Q491="Bishou C",613,IF(Atletas!Q491="Shan C",614,IF(Atletas!Q491="Outra Arma Curta C",615,IF(Atletas!Q491="Dao D",616,IF(Atletas!Q491="Jian D",617,IF(Atletas!Q491="Bishou D",618,IF(Atletas!Q491="Shan D",619,IF(Atletas!Q491="Outra Arma Curta D",620,IF(Atletas!Q491="Dao E",621,IF(Atletas!Q491="Jian E",622,IF(Atletas!Q491="Bishou E",623,IF(Atletas!Q491="Shan E",624,IF(Atletas!Q491="Outra Arma Curta E",625,IF(Atletas!Q491="Dao F",626,IF(Atletas!Q491="Jian F",627,IF(Atletas!Q491="Bishou F",628,IF(Atletas!Q491="Shan F",629,IF(Atletas!Q491="Outra Arma Curta F",630, "")))))))))))))))))))))))))))))))</f>
        <v/>
      </c>
      <c r="BT495" s="52" t="str">
        <f>IF(Atletas!R491="","",IF(Atletas!W491&lt;&gt;"",10000,0)+IF(Atletas!B491="Feminino",1000,IF(Atletas!B491="Masculino",2000,""))+IF(Atletas!R491="Gun A",701,IF(Atletas!R491="Qiang A",702,IF(Atletas!R491="Pudao / Guandao A",703,IF(Atletas!R491="Outra Arma Longa A",704,IF(Atletas!R491="Gun B",705,IF(Atletas!R491="Qiang B",706,IF(Atletas!R491="Pudao / Guandao B",707,IF(Atletas!R491="Outra Arma Longa B",708,IF(Atletas!R491="Gun C",709,IF(Atletas!R491="Qiang C",710,IF(Atletas!R491="Pudao / Guandao C",711,IF(Atletas!R491="Outra Arma Longa C",712,IF(Atletas!R491="Gun D",713,IF(Atletas!R491="Qiang D",714,IF(Atletas!R491="Pudao / Guandao D",715,IF(Atletas!R491="Outra Arma Longa D",716,IF(Atletas!R491="Gun E",717,IF(Atletas!R491="Qiang E",718,IF(Atletas!R491="Pudao / Guandao E",719,IF(Atletas!R491="Outra Arma Longa E",720,IF(Atletas!R491="Gun F",721,IF(Atletas!R491="Qiang F",722,IF(Atletas!R491="Pudao / Guandao F",723,IF(Atletas!R491="Outra Arma Longa F",724,"")))))))))))))))))))))))))</f>
        <v/>
      </c>
      <c r="BU495" s="52" t="str">
        <f>IF(Atletas!S491="","",IF(Atletas!W491&lt;&gt;"",10000,0)+IF(Atletas!B491="Feminino",1000,IF(Atletas!B491="Masculino",2000,""))+IF(Atletas!S491="Arma Dupla A",801,IF(Atletas!S491="Arma Maleável A",802,IF(Atletas!S491="Arma Dupla B",803,IF(Atletas!S491="Arma Maleável B",804,IF(Atletas!S491="Arma Dupla C",805,IF(Atletas!S491="Arma Maleável C",806,IF(Atletas!S491="Arma Dupla D",807,IF(Atletas!S491="Arma Maleável D",808,IF(Atletas!S491="Arma Dupla E",809,IF(Atletas!S491="Arma Maleável E",810,IF(Atletas!S491="Arma Dupla F",811,IF(Atletas!S491="Arma Maleável F",812, "")))))))))))))</f>
        <v/>
      </c>
      <c r="BV495" s="52" t="str">
        <f>IF(Atletas!T491="","",IF(Atletas!W491&lt;&gt;"",10000,0)+IF(Atletas!B491="Feminino",1000,IF(Atletas!B491="Masculino",2000,""))+IF(Atletas!T491="Taijijian Yang A",901,IF(Atletas!T491="Taijijian Chen A",902,IF(Atletas!T491="Taijijian Sun A",903,IF(Atletas!T491="Taijijian Wu A",904,IF(Atletas!T491="Taijijian Wu-Hao A",905,IF(Atletas!T491="Taijijian 32 A",906,IF(Atletas!T491="Taijijian 42 A",907,IF(Atletas!T491="Taijijian Yang B",908,IF(Atletas!T491="Taijijian Chen B",909,IF(Atletas!T491="Taijijian Sun B",910,IF(Atletas!T491="Taijijian Wu B",911,IF(Atletas!T491="Taijijian Wu-Hao B",912,IF(Atletas!T491="Taijijian 32 B",913,IF(Atletas!T491="Taijijian 42 B",914,IF(Atletas!T491="Taijijian Yang C",915,IF(Atletas!T491="Taijijian Chen C",916,IF(Atletas!T491="Taijijian Sun C",917,IF(Atletas!T491="Taijijian Wu C",918,IF(Atletas!T491="Taijijian Wu-Hao C",919,IF(Atletas!T491="Taijijian 32 C",920,IF(Atletas!T491="Taijijian 42 C",921,IF(Atletas!T491="Taijijian Yang D",922,IF(Atletas!T491="Taijijian Chen D",923,IF(Atletas!T491="Taijijian Sun D",924,IF(Atletas!T491="Taijijian Wu D",925,IF(Atletas!T491="Taijijian Wu-Hao D",926,IF(Atletas!T491="Taijijian 32 D",927,IF(Atletas!T491="Taijijian 42 D",928,IF(Atletas!T491="Taijijian Yang E",929,IF(Atletas!T491="Taijijian Chen E",930,IF(Atletas!T491="Taijijian Sun E",931,IF(Atletas!T491="Taijijian Wu E",932,IF(Atletas!T491="Taijijian Wu-Hao E",933,IF(Atletas!T491="Taijijian 32 E",934,IF(Atletas!T491="Taijijian 42 E",935,IF(Atletas!T491="Taijijian Yang F",936,IF(Atletas!T491="Taijijian Chen F",937,IF(Atletas!T491="Taijijian Sun F",938,IF(Atletas!T491="Taijijian Wu F",939,IF(Atletas!T491="Taijijian Wu-Hao F",940,IF(Atletas!T491="Taijijian 32 F",941,IF(Atletas!T491="Taijijian 42 F",942,"")))))))))))))))))))))))))))))))))))))))))))</f>
        <v/>
      </c>
      <c r="BW495" s="52" t="str">
        <f>IF(Atletas!U491="","",IF(Atletas!W491&lt;&gt;"",10000,0)+IF(Atletas!B491="Feminino",1000,IF(Atletas!B491="Masculino",2000,""))+IF(Atletas!T491="Taijijian 42 F",942,IF(Atletas!U491="Taijidao A",943,IF(Atletas!U491="Taijishan A",944,IF(Atletas!U491="Taijiqiang A",945,IF(Atletas!U491="Taijidao B",946,IF(Atletas!U491="Taijishan B",947,IF(Atletas!U491="Taijiqiang B",948,IF(Atletas!U491="Taijidao C",949,IF(Atletas!U491="Taijishan C",950,IF(Atletas!U491="Taijiqiang C",951,IF(Atletas!U491="Taijidao D",952,IF(Atletas!U491="Taijishan D",953,IF(Atletas!U491="Taijiqiang D",954,IF(Atletas!U491="Taijidao E",955,IF(Atletas!U491="Taijishan E",956,IF(Atletas!U491="Taijiqiang E",957,IF(Atletas!U491="Taijidao F",958,IF(Atletas!U491="Taijishan F",959,IF(Atletas!U491="Taijiqiang F",960))))))))))))))))))))</f>
        <v/>
      </c>
      <c r="CF495" s="52" t="str">
        <f xml:space="preserve"> IF(Atletas!V491="","",IF(Atletas!V491="Duilian de Mãos AB - Equipe 1",1,IF(Atletas!V491="Duilian de Mãos AB - Equipe 2",2,IF(Atletas!V491="Duilian de Armas AB - Equipe 1",3,IF(Atletas!V491="Duilian de Armas AB - Equipe 2",4,IF(Atletas!V491="Duilian de Tuishou - Equipe 1",5,IF(Atletas!V491="Duilian de Tuishou - Equipe 2",6,IF(Atletas!V491="Grupo Externo AB - Equipe 1",7,IF(Atletas!V491="Grupo Externo AB - Equipe 2",8,IF(Atletas!V491="Grupo Interno AB - Equipe 1",9,IF(Atletas!V491="Grupo Interno AB - Equipe 2",10,IF(Atletas!V491="Duilian de Mãos CD - Equipe 1",11,IF(Atletas!V491="Duilian de Mãos CD - Equipe 2",12,IF(Atletas!V491="Duilian de Armas CD - Equipe 1",13,IF(Atletas!V491="Duilian de Armas CD - Equipe 2",14,IF(Atletas!V491="Duilian de Tuishou - Equipe 1",15,IF(Atletas!V491="Duilian de Tuishou - Equipe 2",16,IF(Atletas!V491="Grupo Externo CDEF - Equipe 1",17,IF(Atletas!V491="Grupo Externo CDEF - Equipe 2",18,IF(Atletas!V491="Grupo Interno CDEF - Equipe 1",19,IF(Atletas!V491="Grupo Interno CDEF - Equipe 2",20,IF(Atletas!V491="Duilian de Mãos EF - Equipe 1",21,IF(Atletas!V491="Duilian de Mãos EF - Equipe 2",22,IF(Atletas!V491="Duilian de Armas EF - Equipe 1",23,IF(Atletas!V491="Duilian de Armas EF - Equipe 2",24,IF(Atletas!V491="Duilian de Tuishou - Equipe 1",25,IF(Atletas!V491="Duilian de Tuishou - Equipe 2",26,"")))))))))))))))))))))))))))</f>
        <v/>
      </c>
    </row>
    <row r="496" spans="36:84">
      <c r="AJ496" s="46" t="str">
        <f>IF(Atletas!D492="","",IF(Atletas!B492="Feminino",100,IF(Atletas!B492="Masculino",200,""))+(IF(Atletas!D492="Infantil 39kg",1,IF(Atletas!D492="Infantil 42kg",2,IF(Atletas!D492="Infantil 45kg",3,IF(Atletas!D492="Infantil 48kg",4,IF(Atletas!D492="Infantil 52kg",5,IF(Atletas!D492="Infantil 56kg",6,IF(Atletas!D492="Infantil 60kg",7,IF(Atletas!D492="Juvenil 48kg",8,IF(Atletas!D492="Juvenil 52kg",9,IF(Atletas!D492="Juvenil 56kg",10,IF(Atletas!D492="Juvenil 60kg",11,IF(Atletas!D492="Juvenil 65kg",12,IF(Atletas!D492="Juvenil 70kg",13,IF(Atletas!D492="Juvenil 75kg",14,IF(Atletas!D492="Juvenil 80kg",15,IF(Atletas!D492="Adulto 48kg",16,IF(Atletas!D492="Adulto 52kg",17,IF(Atletas!D492="Adulto 56kg",18,IF(Atletas!D492="Adulto 60kg",19,IF(Atletas!D492="Adulto 65kg",20,IF(Atletas!D492="Adulto 70kg",21,IF(Atletas!D492="Adulto 75kg",22,IF(Atletas!D492="Adulto 80kg",23,IF(Atletas!D492="Adulto 85kg",24,IF(Atletas!D492="Adulto 90kg",25,IF(Atletas!D492="Adulto +90kg",26,""))))))))))))))))))))))))))))</f>
        <v/>
      </c>
      <c r="AO496" s="10" t="str">
        <f>IF(Atletas!E492="","",IF(Atletas!B492="Feminino",100,IF(Atletas!B492="Masculino",200,""))+(IF(Atletas!E492="Juvenil 44kg",1,IF(Atletas!E492="Juvenil 48kg",2,IF(Atletas!E492="Juvenil 52kg",3,IF(Atletas!E492="Juvenil 56kg",4,IF(Atletas!E492="Juvenil 60kg",5,IF(Atletas!E492="Juvenil 65kg",6,IF(Atletas!E492="Juvenil 70kg",7,IF(Atletas!E492="Juvenil 75kg",8,IF(Atletas!E492="Juvenil 82kg",9,IF(Atletas!E492="Juvenil 90kg",10,IF(Atletas!E492="Juvenil 100kg",11,IF(Atletas!E492="Adulto 48kg",12,IF(Atletas!E492="Adulto 52kg",13,IF(Atletas!E492="Adulto 56kg",14,IF(Atletas!E492="Adulto 60kg",15,IF(Atletas!E492="Adulto 65kg",16,IF(Atletas!E492="Adulto 70kg",17,IF(Atletas!E492="Adulto 75kg",18,IF(Atletas!E492="Adulto 82kg",19,IF(Atletas!E492="Adulto 90kg",20,IF(Atletas!E492="Adulto 100kg",21,IF(Atletas!E492="Adulto +100kg",22,""))))))))))))))))))))))))</f>
        <v/>
      </c>
      <c r="AT496" s="10" t="str">
        <f>IF(Atletas!F492="","",IF(Atletas!B492="Feminino",100,IF(Atletas!B492="Masculino",200,""))+(IF(Atletas!F492="Adulto 48kg",1,IF(Atletas!F492="Adulto 56kg",2,IF(Atletas!F492="Adulto 65kg",3,IF(Atletas!F492="Adulto 75kg",4,IF(Atletas!F492="Adulto +75kg",5,IF(Atletas!F492="Adulto 52kg",6,IF(Atletas!F492="Adulto 60kg",7,IF(Atletas!F492="Adulto 70kg",8,IF(Atletas!F492="Adulto 80kg",9,IF(Atletas!F492="Adulto 90kg",10,IF(Atletas!F492="Adulto +90kg",11,"")))))))))))))</f>
        <v/>
      </c>
      <c r="AY496" s="46" t="str">
        <f>IF(Atletas!G492="","",IF(Atletas!B492="Feminino",100,IF(Atletas!B492="Masculino",200,""))+(IF(Atletas!G492="Changquan Mirim",1,IF(Atletas!G492="Nanquan Mirim",2,IF(Atletas!G492="Taijiquan Mirim",3,IF(Atletas!G492="Changquan Grupo C",4,IF(Atletas!G492="Nanquan Grupo C",5,IF(Atletas!G492="Taijiquan Grupo C",6,IF(Atletas!G492="Changquan Grupo B",7,IF(Atletas!G492="Nanquan Grupo B",8,IF(Atletas!G492="Taijiquan Grupo B",9,IF(Atletas!G492="Changquan Grupo A",10,IF(Atletas!G492="Nanquan Grupo A",11,IF(Atletas!G492="Taijiquan Grupo A",12,IF(Atletas!G492="Changquan Opcional",13,IF(Atletas!G492="Nanquan Opcional",14,IF(Atletas!G492="Taijiquan Opcional",15,IF(Atletas!G492="Changquan Adulto",16,IF(Atletas!G492="Nanquan Adulto",17,IF(Atletas!G492="Taijiquan Adulto",18,""))))))))))))))))))))</f>
        <v/>
      </c>
      <c r="AZ496" s="46" t="str">
        <f>IF(Atletas!H492="","",IF(Atletas!B492="Feminino",100,IF(Atletas!B492="Masculino",200,""))+(IF(Atletas!H492="Daoshu Mirim",19,IF(Atletas!H492="Jianshu Mirim",20,IF(Atletas!H492="Nandao Mirim",21,IF(Atletas!H492="Taijijian Mirim",22,IF(Atletas!H492="Daoshu Grupo C",23,IF(Atletas!H492="Jianshu Grupo C",24,IF(Atletas!H492="Nandao Grupo C",25,IF(Atletas!H492="Taijijian Grupo C",26,IF(Atletas!H492="Daoshu Grupo B",27,IF(Atletas!H492="Jianshu Grupo B",28,IF(Atletas!H492="Nandao Grupo B",29,IF(Atletas!H492="Taijijian Grupo B",30,IF(Atletas!H492="Daoshu Grupo A",31,IF(Atletas!H492="Jianshu Grupo A",32,IF(Atletas!H492="Nandao Grupo A",33,IF(Atletas!H492="Taijijian Grupo A",34,IF(Atletas!H492="Daoshu Opcional",35,IF(Atletas!H492="Jianshu Opcional",36,IF(Atletas!H492="Nandao Opcional",37,IF(Atletas!H492="Taijijian Opcional",38,IF(Atletas!H492="Daoshu Adulto",39,IF(Atletas!H492="Jianshu Adulto",40,IF(Atletas!H492="Nandao Adulto",41,IF(Atletas!H492="Taijijian Adulto",42,""))))))))))))))))))))))))))</f>
        <v/>
      </c>
      <c r="BA496" s="46" t="str">
        <f>IF(Atletas!I492="","",IF(Atletas!B492="Feminino",100,IF(Atletas!B492="Masculino",200,""))+(IF(Atletas!I492="Gunshu Mirim",43,IF(Atletas!I492="Qiangshu Mirim",44,IF(Atletas!I492="Nangun Mirim",45,IF(Atletas!I492="Gunshu Grupo C",46,IF(Atletas!I492="Qiangshu Grupo C",47,IF(Atletas!I492="Nangun Grupo C",48,IF(Atletas!I492="Gunshu Grupo B",49,IF(Atletas!I492="Qiangshu Grupo B",50,IF(Atletas!I492="Nangun Grupo B",51,IF(Atletas!I492="Gunshu Grupo A",52,IF(Atletas!I492="Qiangshu Grupo A",53,IF(Atletas!I492="Nangun Grupo A",54,IF(Atletas!I492="Gunshu Opcional",55,IF(Atletas!I492="Qiangshu Opcional",56,IF(Atletas!I492="Nangun Opcional",57,IF(Atletas!I492="Gunshu Adulto",58,IF(Atletas!I492="Qiangshu Adulto",59,IF(Atletas!I492="Nangun Adulto",60,""))))))))))))))))))))</f>
        <v/>
      </c>
      <c r="BF496" s="52" t="str">
        <f>IF(Atletas!J492="","",IF(Atletas!B492="Feminino",100,IF(Atletas!B492="Masculino",200,""))+(IF(Atletas!J492="Equipe 1 Grupo B",1,IF(Atletas!J492="Equipe 2 Grupo B",2,IF(Atletas!J492="Equipe 1 Grupo A",3,IF(Atletas!J492="Equipe 2 Grupo A",4,IF(Atletas!J492="Equipe 1 Adulto",5,IF(Atletas!J492="Equipe 2 Adulto",6,""))))))))</f>
        <v/>
      </c>
      <c r="BK496" s="52" t="str">
        <f>IF(Atletas!K492="","",IF(Atletas!W492&lt;&gt;"",10000,0)+(IF(Atletas!B492="Feminino",1000,IF(Atletas!B492="Masculino",2000,""))+IF(Atletas!K492="Choylayfut A",1,IF(Atletas!K492="Hunggar A",2,IF(Atletas!K492="Wuzuquan A",3,IF(Atletas!K492="Wingchun A",4,IF(Atletas!K492="Outra Mão de Sul A",5,IF(Atletas!K492="Choylayfut B",6,IF(Atletas!K492="Hunggar B",7,IF(Atletas!K492="Wuzuquan B",8,IF(Atletas!K492="Wingchun B",9,IF(Atletas!K492="Outra Mão de Sul B",10,IF(Atletas!K492="Choylayfut C",11,IF(Atletas!K492="Hunggar C",12,IF(Atletas!K492="Wuzuquan C",13,IF(Atletas!K492="Wingchun C",14,IF(Atletas!K492="Outra Mão de Sul C",15,IF(Atletas!K492="Choylayfut D",16,IF(Atletas!K492="Hunggar D",17,IF(Atletas!K492="Wuzuquan D",18,IF(Atletas!K492="Wingchun D",19,IF(Atletas!K492="Outra Mão de Sul D",20,IF(Atletas!K492="Choylayfut E",21,IF(Atletas!K492="Hunggar E",22,IF(Atletas!K492="Wuzuquan E",23,IF(Atletas!K492="Wingchun E",24,IF(Atletas!K492="Outra Mão de Sul E",25,IF(Atletas!K492="Choylayfut F",26,IF(Atletas!K492="Hunggar F",27,IF(Atletas!K492="Wuzuquan F",28,IF(Atletas!K492="Wingchun F",29,IF(Atletas!K492="Outra Mão de Sul F",30,""))))))))))))))))))))))))))))))))</f>
        <v/>
      </c>
      <c r="BL496" s="52" t="str">
        <f>IF(Atletas!L492="","",IF(Atletas!W492&lt;&gt;"",10000,0)+(IF(Atletas!B492="Feminino",1000,IF(Atletas!B492="Masculino",2000,""))+(IF(Atletas!L492="Chaquan A",101,IF(Atletas!L492="Emeiquan A",102,IF(Atletas!L492="Fanziquan A",103,IF(Atletas!L492="Huaquan A",104,IF(Atletas!L492="Hongquan A",105,IF(Atletas!L492="Paochui A",106,IF(Atletas!L492="Piguaquan A",107,IF(Atletas!L492="Shaolinquan A",108,IF(Atletas!L492="Tanglangquan A",109,IF(Atletas!L492="Yinzhaophai A",110,IF(Atletas!L492="Tongbeiquan A",111,IF(Atletas!L492="Wudangquan A",112,IF(Atletas!L492="Outros Estilos A",113,IF(Atletas!L492="Chaquan B",114,IF(Atletas!L492="Emeiquan B",115,IF(Atletas!L492="Fanziquan B",116,IF(Atletas!L492="Huaquan B",117,IF(Atletas!L492="Hongquan B",118,IF(Atletas!L492="Paochui B",119,IF(Atletas!L492="Piguaquan B",120,IF(Atletas!L492="Shaolinquan B",121,IF(Atletas!L492="Tanglangquan B",122,IF(Atletas!L492="Yinzhaophai B",123,IF(Atletas!L492="Tongbeiquan B",124,IF(Atletas!L492="Wudangquan B",125,IF(Atletas!L492="Outros Estilos B",126,IF(Atletas!L492="Chaquan C",127,IF(Atletas!L492="Emeiquan C",128,IF(Atletas!L492="Fanziquan C",129,IF(Atletas!L492="Huaquan C",130,IF(Atletas!L492="Hongquan C",131,IF(Atletas!L492="Paochui C",132,IF(Atletas!L492="Piguaquan C",133,IF(Atletas!L492="Shaolinquan C",134,IF(Atletas!L492="Tanglangquan C",135,IF(Atletas!L492="Yinzhaophai C",136,IF(Atletas!L492="Tongbeiquan C",137,IF(Atletas!L492="Wudangquan C",138,IF(Atletas!L492="Outros Estilos C",139,0))))))))))))))))))))))))))))))))))))))))))</f>
        <v/>
      </c>
      <c r="BM496" s="52" t="str">
        <f>IF(Atletas!L492="","",IF(Atletas!W492&lt;&gt;"",10000,0)+(IF(Atletas!B492="Feminino",1000,IF(Atletas!B492="Masculino",2000,""))+(IF(Atletas!L492="Chaquan D",140,IF(Atletas!L492="Emeiquan D",141,IF(Atletas!L492="Fanziquan D",142,IF(Atletas!L492="Huaquan D",143,IF(Atletas!L492="Hongquan D",144,IF(Atletas!L492="Paochui D",145,IF(Atletas!L492="Piguaquan D",146,IF(Atletas!L492="Shaolinquan D",147,IF(Atletas!L492="Tanglangquan D",148,IF(Atletas!L492="Yinzhaophai D",149,IF(Atletas!L492="Tongbeiquan D",150,IF(Atletas!L492="Wudangquan D",151,IF(Atletas!L492="Outros Estilos D",152,IF(Atletas!L492="Chaquan E",153,IF(Atletas!L492="Emeiquan E",154,IF(Atletas!L492="Fanziquan E",155,IF(Atletas!L492="Huaquan E",156,IF(Atletas!L492="Hongquan E",157,IF(Atletas!L492="Paochui E",158,IF(Atletas!L492="Piguaquan E",159,IF(Atletas!L492="Shaolinquan E",160,IF(Atletas!L492="Tanglangquan E",161,IF(Atletas!L492="Yinzhaophai E",162,IF(Atletas!L492="Tongbeiquan E",163,IF(Atletas!L492="Wudangquan E",164,IF(Atletas!L492="Outros Estilos E",165,IF(Atletas!L492="Chaquan F",166,IF(Atletas!L492="Emeiquan F",167,IF(Atletas!L492="Fanziquan F",168,IF(Atletas!L492="Huaquan F",169,IF(Atletas!L492="Hongquan F",170,IF(Atletas!L492="Paochui F",171,IF(Atletas!L492="Piguaquan F",172,IF(Atletas!L492="Shaolinquan F",173,IF(Atletas!L492="Tanglangquan F",174,IF(Atletas!L492="Yinzhaophai F",175,IF(Atletas!L492="Tongbeiquan F",176,IF(Atletas!L492="Wudangquan F",177,IF(Atletas!L492="Outros Estilos F",178,0))))))))))))))))))))))))))))))))))))))))))</f>
        <v/>
      </c>
      <c r="BN496" s="52" t="str">
        <f>IF(Atletas!M492="","",IF(Atletas!W492&lt;&gt;"",10000,0)+(IF(Atletas!B492="Feminino",1000,IF(Atletas!B492="Masculino",2000,""))+(IF(Atletas!M492="Ditangquan A",201,IF(Atletas!M492="Houquan A",202,IF(Atletas!M492="Zuiquan A",203,IF(Atletas!M492="Ditangquan B",204,IF(Atletas!M492="Houquan B",205,IF(Atletas!M492="Zuiquan B",206,IF(Atletas!M492="Ditangquan C",207,IF(Atletas!M492="Houquan C",208,IF(Atletas!M492="Zuiquan C",209,IF(Atletas!M492="Ditangquan D",210,IF(Atletas!M492="Houquan D",211,IF(Atletas!M492="Zuiquan D",212,IF(Atletas!M492="Ditangquan E",213,IF(Atletas!M492="Houquan E",214,IF(Atletas!M492="Zuiquan E",215,IF(Atletas!M492="Ditangquan F",216,IF(Atletas!M492="Houquan F",217,IF(Atletas!M492="Zuiquan F",218,"")))))))))))))))))))))</f>
        <v/>
      </c>
      <c r="BO496" s="52" t="str">
        <f>IF(Atletas!N492="","",IF(Atletas!W492&lt;&gt;"",10000,0)+IF(Atletas!B492="Feminino",1000,IF(Atletas!B492="Masculino",2000,""))+IF(Atletas!N492="Yang A",301,IF(Atletas!N492="Chen A",30,IF(Atletas!N492="Sun A",303,IF(Atletas!N492="Wu A",304,IF(Atletas!N492="Wu-Hao A",305,IF(Atletas!N492="Outro Taijiquan A",306,IF(Atletas!N492="Yang B",307,IF(Atletas!N492="Chen B",308,IF(Atletas!N492="Sun B",309,IF(Atletas!N492="Wu B",310,IF(Atletas!N492="Wu-Hao B",311,IF(Atletas!N492="Outro Taijiquan B",312,IF(Atletas!N492="Yang C",313,IF(Atletas!N492="Chen C",314,IF(Atletas!N492="Sun C",315,IF(Atletas!N492="Wu C",316,IF(Atletas!N492="Wu-Hao C",317,IF(Atletas!N492="Outro Taijiquan C",318,IF(Atletas!N492="Yang D",319,IF(Atletas!N492="Chen D",320,IF(Atletas!N492="Sun D",321,IF(Atletas!N492="Wu D",322,IF(Atletas!N492="Wu-Hao D",323,IF(Atletas!N492="Outro Taijiquan D",324,IF(Atletas!N492="Yang E",325,IF(Atletas!N492="Chen E",326,IF(Atletas!N492="Sun E",327,IF(Atletas!N492="Wu E",328,IF(Atletas!N492="Wu-Hao E",329,IF(Atletas!N492="Outro Taijiquan E",330,IF(Atletas!N492="Yang F",331,IF(Atletas!N492="Chen F",332,IF(Atletas!N492="Sun F",333,IF(Atletas!N492="Wu F",334,IF(Atletas!N492="Wu-Hao F",335,IF(Atletas!N492="Outro Taijiquan F",336,"")))))))))))))))))))))))))))))))))))))</f>
        <v/>
      </c>
      <c r="BP496" s="52" t="str">
        <f>IF(Atletas!O492="","",IF(Atletas!W492&lt;&gt;"",10000,0)+IF(Atletas!B492="Feminino",1000,IF(Atletas!B492="Masculino",2000,""))+IF(OR(Atletas!O492="Yang 26 A",Atletas!O492="Yang 40 A"),401,IF(OR(Atletas!O492="Chen 25 A",Atletas!O492="Chen 36 A",Atletas!O492="Chen 56 A"),402,IF(Atletas!O492="Sun 73 A",403,IF(Atletas!O492="Wu 45 A",404,IF(Atletas!O492="Wu-Hao 46 A",405,IF(OR(Atletas!O492="Taijiquan 16 A",Atletas!O492="Taijiquan 24 A",Atletas!O492="Taijiquan 32 A",Atletas!O492="Taijiquan 42 A"),406,IF(OR(Atletas!O492="Yang 26 B",Atletas!O492="Yang 40 B"),407,IF(OR(Atletas!O492="Chen 25 B",Atletas!O492="Chen 36 B",Atletas!O492="Chen 56 B"),408,IF(Atletas!O492="Sun 73 B",409,IF(Atletas!O492="Wu 45 B",410,IF(Atletas!O492="Wu-Hao 46 B",411,IF(OR(Atletas!O492="Taijiquan 16 B",Atletas!O492="Taijiquan 24 B",Atletas!O492="Taijiquan 32 B",Atletas!O492="Taijiquan 42 B"),412,IF(OR(Atletas!O492="Yang 26 C",Atletas!O492="Yang 40 C"),413,IF(OR(Atletas!O492="Chen 25 C",Atletas!O492="Chen 36 C",Atletas!O492="Chen 56 C"),414,IF(Atletas!O492="Sun 73 C",415,IF(Atletas!O492="Wu 45 C",416,IF(Atletas!O492="Wu-Hao 46 C",417,IF(OR(Atletas!O492="Taijiquan 16 C",Atletas!O492="Taijiquan 24 C",Atletas!O492="Taijiquan 32 C",Atletas!O492="Taijiquan 42 C"),418,0)))))))))))))))))))</f>
        <v/>
      </c>
      <c r="BQ496" s="52" t="str">
        <f>IF(Atletas!O492="","",IF(Atletas!W492&lt;&gt;"",10000,0)+IF(Atletas!B492="Feminino",1000,IF(Atletas!B492="Masculino",2000,""))+IF(OR(Atletas!O492="Yang 26 D",Atletas!O492="Yang 40 D"),419,IF(OR(Atletas!O492="Chen 25 D",Atletas!O492="Chen 36 D",Atletas!O492="Chen 56 D"),420,IF(Atletas!O492="Sun 73 D",421,IF(Atletas!O492="Wu 45 D",422,IF(Atletas!O492="Wu-Hao 46 D",423,IF(OR(Atletas!O492="Taijiquan 16 D",Atletas!O492="Taijiquan 24 D",Atletas!O492="Taijiquan 32 D",Atletas!O492="Taijiquan 42 D"),424,IF(OR(Atletas!O492="Yang 26 E",Atletas!O492="Yang 40 E"),425,IF(OR(Atletas!O492="Chen 25 E",Atletas!O492="Chen 36 E",Atletas!O492="Chen 56 E"),426,IF(Atletas!O492="Sun 73 E",427,IF(Atletas!O492="Wu 45 E",428,IF(Atletas!O492="Wu-Hao 46 E",429,IF(OR(Atletas!O492="Taijiquan 16 E",Atletas!O492="Taijiquan 24 E",Atletas!O492="Taijiquan 32 E",Atletas!O492="Taijiquan 42 E"),430,IF(OR(Atletas!O492="Yang 26 F",Atletas!O492="Yang 40 F"),431,IF(OR(Atletas!O492="Chen 25 F",Atletas!O492="Chen 36 F",Atletas!O492="Chen 56 F"),432,IF(Atletas!O492="Sun 73 F",433,IF(Atletas!O492="Wu 45 F",434,IF(Atletas!O492="Wu-Hao 46 F",435,IF(OR(Atletas!O492="Taijiquan 16 F",Atletas!O492="Taijiquan 24 F",Atletas!O492="Taijiquan 32 F",Atletas!O492="Taijiquan 42 F"),436,0)))))))))))))))))))</f>
        <v/>
      </c>
      <c r="BR496" s="52" t="str">
        <f>IF(Atletas!P492="","",IF(Atletas!W492&lt;&gt;"",10000,0)+IF(Atletas!B492="Feminino",1000,IF(Atletas!B492="Masculino",2000,""))+IF(Atletas!P492="Xingyiquan A",501,IF(Atletas!P492="Baguazhang A",502,IF(Atletas!P492="Outro Estilo Interno A",503,IF(Atletas!P492="Xingyiquan B",504,IF(Atletas!P492="Baguazhang B",505,IF(Atletas!P492="Outro Estilo Interno B",506,IF(Atletas!P492="Xingyiquan C",507,IF(Atletas!P492="Baguazhang C",508,IF(Atletas!P492="Outro Estilo Interno C",509,IF(Atletas!P492="Xingyiquan D",510,IF(Atletas!P492="Baguazhang D",511,IF(Atletas!P492="Outro Estilo Interno D",512,IF(Atletas!P492="Xingyiquan E",513,IF(Atletas!P492="Baguazhang E",514,IF(Atletas!P492="Outro Estilo Interno E",515,IF(Atletas!P492="Xingyiquan F",516,IF(Atletas!P492="Baguazhang F",517,IF(Atletas!P492="Outro Estilo Interno F",518, "")))))))))))))))))))</f>
        <v/>
      </c>
      <c r="BS496" s="52" t="str">
        <f>IF(Atletas!Q492="","",IF(Atletas!W492&lt;&gt;"",10000,0)+IF(Atletas!B492="Feminino",1000,IF(Atletas!B492="Masculino",2000,""))+IF(Atletas!Q492="Dao A",601,IF(Atletas!Q492="Jian A",602,IF(Atletas!Q492="Bishou A",603,IF(Atletas!Q492="Shan A",604,IF(Atletas!Q492="Outra Arma Curta A",605,IF(Atletas!Q492="Dao B",606,IF(Atletas!Q492="Jian B",607,IF(Atletas!Q492="Bishou B",608,IF(Atletas!Q492="Shan B",609,IF(Atletas!Q492="Outra Arma Curta B",610,IF(Atletas!Q492="Dao C",611,IF(Atletas!Q492="Jian C",612,IF(Atletas!Q492="Bishou C",613,IF(Atletas!Q492="Shan C",614,IF(Atletas!Q492="Outra Arma Curta C",615,IF(Atletas!Q492="Dao D",616,IF(Atletas!Q492="Jian D",617,IF(Atletas!Q492="Bishou D",618,IF(Atletas!Q492="Shan D",619,IF(Atletas!Q492="Outra Arma Curta D",620,IF(Atletas!Q492="Dao E",621,IF(Atletas!Q492="Jian E",622,IF(Atletas!Q492="Bishou E",623,IF(Atletas!Q492="Shan E",624,IF(Atletas!Q492="Outra Arma Curta E",625,IF(Atletas!Q492="Dao F",626,IF(Atletas!Q492="Jian F",627,IF(Atletas!Q492="Bishou F",628,IF(Atletas!Q492="Shan F",629,IF(Atletas!Q492="Outra Arma Curta F",630, "")))))))))))))))))))))))))))))))</f>
        <v/>
      </c>
      <c r="BT496" s="52" t="str">
        <f>IF(Atletas!R492="","",IF(Atletas!W492&lt;&gt;"",10000,0)+IF(Atletas!B492="Feminino",1000,IF(Atletas!B492="Masculino",2000,""))+IF(Atletas!R492="Gun A",701,IF(Atletas!R492="Qiang A",702,IF(Atletas!R492="Pudao / Guandao A",703,IF(Atletas!R492="Outra Arma Longa A",704,IF(Atletas!R492="Gun B",705,IF(Atletas!R492="Qiang B",706,IF(Atletas!R492="Pudao / Guandao B",707,IF(Atletas!R492="Outra Arma Longa B",708,IF(Atletas!R492="Gun C",709,IF(Atletas!R492="Qiang C",710,IF(Atletas!R492="Pudao / Guandao C",711,IF(Atletas!R492="Outra Arma Longa C",712,IF(Atletas!R492="Gun D",713,IF(Atletas!R492="Qiang D",714,IF(Atletas!R492="Pudao / Guandao D",715,IF(Atletas!R492="Outra Arma Longa D",716,IF(Atletas!R492="Gun E",717,IF(Atletas!R492="Qiang E",718,IF(Atletas!R492="Pudao / Guandao E",719,IF(Atletas!R492="Outra Arma Longa E",720,IF(Atletas!R492="Gun F",721,IF(Atletas!R492="Qiang F",722,IF(Atletas!R492="Pudao / Guandao F",723,IF(Atletas!R492="Outra Arma Longa F",724,"")))))))))))))))))))))))))</f>
        <v/>
      </c>
      <c r="BU496" s="52" t="str">
        <f>IF(Atletas!S492="","",IF(Atletas!W492&lt;&gt;"",10000,0)+IF(Atletas!B492="Feminino",1000,IF(Atletas!B492="Masculino",2000,""))+IF(Atletas!S492="Arma Dupla A",801,IF(Atletas!S492="Arma Maleável A",802,IF(Atletas!S492="Arma Dupla B",803,IF(Atletas!S492="Arma Maleável B",804,IF(Atletas!S492="Arma Dupla C",805,IF(Atletas!S492="Arma Maleável C",806,IF(Atletas!S492="Arma Dupla D",807,IF(Atletas!S492="Arma Maleável D",808,IF(Atletas!S492="Arma Dupla E",809,IF(Atletas!S492="Arma Maleável E",810,IF(Atletas!S492="Arma Dupla F",811,IF(Atletas!S492="Arma Maleável F",812, "")))))))))))))</f>
        <v/>
      </c>
      <c r="BV496" s="52" t="str">
        <f>IF(Atletas!T492="","",IF(Atletas!W492&lt;&gt;"",10000,0)+IF(Atletas!B492="Feminino",1000,IF(Atletas!B492="Masculino",2000,""))+IF(Atletas!T492="Taijijian Yang A",901,IF(Atletas!T492="Taijijian Chen A",902,IF(Atletas!T492="Taijijian Sun A",903,IF(Atletas!T492="Taijijian Wu A",904,IF(Atletas!T492="Taijijian Wu-Hao A",905,IF(Atletas!T492="Taijijian 32 A",906,IF(Atletas!T492="Taijijian 42 A",907,IF(Atletas!T492="Taijijian Yang B",908,IF(Atletas!T492="Taijijian Chen B",909,IF(Atletas!T492="Taijijian Sun B",910,IF(Atletas!T492="Taijijian Wu B",911,IF(Atletas!T492="Taijijian Wu-Hao B",912,IF(Atletas!T492="Taijijian 32 B",913,IF(Atletas!T492="Taijijian 42 B",914,IF(Atletas!T492="Taijijian Yang C",915,IF(Atletas!T492="Taijijian Chen C",916,IF(Atletas!T492="Taijijian Sun C",917,IF(Atletas!T492="Taijijian Wu C",918,IF(Atletas!T492="Taijijian Wu-Hao C",919,IF(Atletas!T492="Taijijian 32 C",920,IF(Atletas!T492="Taijijian 42 C",921,IF(Atletas!T492="Taijijian Yang D",922,IF(Atletas!T492="Taijijian Chen D",923,IF(Atletas!T492="Taijijian Sun D",924,IF(Atletas!T492="Taijijian Wu D",925,IF(Atletas!T492="Taijijian Wu-Hao D",926,IF(Atletas!T492="Taijijian 32 D",927,IF(Atletas!T492="Taijijian 42 D",928,IF(Atletas!T492="Taijijian Yang E",929,IF(Atletas!T492="Taijijian Chen E",930,IF(Atletas!T492="Taijijian Sun E",931,IF(Atletas!T492="Taijijian Wu E",932,IF(Atletas!T492="Taijijian Wu-Hao E",933,IF(Atletas!T492="Taijijian 32 E",934,IF(Atletas!T492="Taijijian 42 E",935,IF(Atletas!T492="Taijijian Yang F",936,IF(Atletas!T492="Taijijian Chen F",937,IF(Atletas!T492="Taijijian Sun F",938,IF(Atletas!T492="Taijijian Wu F",939,IF(Atletas!T492="Taijijian Wu-Hao F",940,IF(Atletas!T492="Taijijian 32 F",941,IF(Atletas!T492="Taijijian 42 F",942,"")))))))))))))))))))))))))))))))))))))))))))</f>
        <v/>
      </c>
      <c r="BW496" s="52" t="str">
        <f>IF(Atletas!U492="","",IF(Atletas!W492&lt;&gt;"",10000,0)+IF(Atletas!B492="Feminino",1000,IF(Atletas!B492="Masculino",2000,""))+IF(Atletas!T492="Taijijian 42 F",942,IF(Atletas!U492="Taijidao A",943,IF(Atletas!U492="Taijishan A",944,IF(Atletas!U492="Taijiqiang A",945,IF(Atletas!U492="Taijidao B",946,IF(Atletas!U492="Taijishan B",947,IF(Atletas!U492="Taijiqiang B",948,IF(Atletas!U492="Taijidao C",949,IF(Atletas!U492="Taijishan C",950,IF(Atletas!U492="Taijiqiang C",951,IF(Atletas!U492="Taijidao D",952,IF(Atletas!U492="Taijishan D",953,IF(Atletas!U492="Taijiqiang D",954,IF(Atletas!U492="Taijidao E",955,IF(Atletas!U492="Taijishan E",956,IF(Atletas!U492="Taijiqiang E",957,IF(Atletas!U492="Taijidao F",958,IF(Atletas!U492="Taijishan F",959,IF(Atletas!U492="Taijiqiang F",960))))))))))))))))))))</f>
        <v/>
      </c>
      <c r="CF496" s="52" t="str">
        <f xml:space="preserve"> IF(Atletas!V492="","",IF(Atletas!V492="Duilian de Mãos AB - Equipe 1",1,IF(Atletas!V492="Duilian de Mãos AB - Equipe 2",2,IF(Atletas!V492="Duilian de Armas AB - Equipe 1",3,IF(Atletas!V492="Duilian de Armas AB - Equipe 2",4,IF(Atletas!V492="Duilian de Tuishou - Equipe 1",5,IF(Atletas!V492="Duilian de Tuishou - Equipe 2",6,IF(Atletas!V492="Grupo Externo AB - Equipe 1",7,IF(Atletas!V492="Grupo Externo AB - Equipe 2",8,IF(Atletas!V492="Grupo Interno AB - Equipe 1",9,IF(Atletas!V492="Grupo Interno AB - Equipe 2",10,IF(Atletas!V492="Duilian de Mãos CD - Equipe 1",11,IF(Atletas!V492="Duilian de Mãos CD - Equipe 2",12,IF(Atletas!V492="Duilian de Armas CD - Equipe 1",13,IF(Atletas!V492="Duilian de Armas CD - Equipe 2",14,IF(Atletas!V492="Duilian de Tuishou - Equipe 1",15,IF(Atletas!V492="Duilian de Tuishou - Equipe 2",16,IF(Atletas!V492="Grupo Externo CDEF - Equipe 1",17,IF(Atletas!V492="Grupo Externo CDEF - Equipe 2",18,IF(Atletas!V492="Grupo Interno CDEF - Equipe 1",19,IF(Atletas!V492="Grupo Interno CDEF - Equipe 2",20,IF(Atletas!V492="Duilian de Mãos EF - Equipe 1",21,IF(Atletas!V492="Duilian de Mãos EF - Equipe 2",22,IF(Atletas!V492="Duilian de Armas EF - Equipe 1",23,IF(Atletas!V492="Duilian de Armas EF - Equipe 2",24,IF(Atletas!V492="Duilian de Tuishou - Equipe 1",25,IF(Atletas!V492="Duilian de Tuishou - Equipe 2",26,"")))))))))))))))))))))))))))</f>
        <v/>
      </c>
    </row>
    <row r="497" spans="36:84">
      <c r="AJ497" s="46" t="str">
        <f>IF(Atletas!D493="","",IF(Atletas!B493="Feminino",100,IF(Atletas!B493="Masculino",200,""))+(IF(Atletas!D493="Infantil 39kg",1,IF(Atletas!D493="Infantil 42kg",2,IF(Atletas!D493="Infantil 45kg",3,IF(Atletas!D493="Infantil 48kg",4,IF(Atletas!D493="Infantil 52kg",5,IF(Atletas!D493="Infantil 56kg",6,IF(Atletas!D493="Infantil 60kg",7,IF(Atletas!D493="Juvenil 48kg",8,IF(Atletas!D493="Juvenil 52kg",9,IF(Atletas!D493="Juvenil 56kg",10,IF(Atletas!D493="Juvenil 60kg",11,IF(Atletas!D493="Juvenil 65kg",12,IF(Atletas!D493="Juvenil 70kg",13,IF(Atletas!D493="Juvenil 75kg",14,IF(Atletas!D493="Juvenil 80kg",15,IF(Atletas!D493="Adulto 48kg",16,IF(Atletas!D493="Adulto 52kg",17,IF(Atletas!D493="Adulto 56kg",18,IF(Atletas!D493="Adulto 60kg",19,IF(Atletas!D493="Adulto 65kg",20,IF(Atletas!D493="Adulto 70kg",21,IF(Atletas!D493="Adulto 75kg",22,IF(Atletas!D493="Adulto 80kg",23,IF(Atletas!D493="Adulto 85kg",24,IF(Atletas!D493="Adulto 90kg",25,IF(Atletas!D493="Adulto +90kg",26,""))))))))))))))))))))))))))))</f>
        <v/>
      </c>
      <c r="AO497" s="10" t="str">
        <f>IF(Atletas!E493="","",IF(Atletas!B493="Feminino",100,IF(Atletas!B493="Masculino",200,""))+(IF(Atletas!E493="Juvenil 44kg",1,IF(Atletas!E493="Juvenil 48kg",2,IF(Atletas!E493="Juvenil 52kg",3,IF(Atletas!E493="Juvenil 56kg",4,IF(Atletas!E493="Juvenil 60kg",5,IF(Atletas!E493="Juvenil 65kg",6,IF(Atletas!E493="Juvenil 70kg",7,IF(Atletas!E493="Juvenil 75kg",8,IF(Atletas!E493="Juvenil 82kg",9,IF(Atletas!E493="Juvenil 90kg",10,IF(Atletas!E493="Juvenil 100kg",11,IF(Atletas!E493="Adulto 48kg",12,IF(Atletas!E493="Adulto 52kg",13,IF(Atletas!E493="Adulto 56kg",14,IF(Atletas!E493="Adulto 60kg",15,IF(Atletas!E493="Adulto 65kg",16,IF(Atletas!E493="Adulto 70kg",17,IF(Atletas!E493="Adulto 75kg",18,IF(Atletas!E493="Adulto 82kg",19,IF(Atletas!E493="Adulto 90kg",20,IF(Atletas!E493="Adulto 100kg",21,IF(Atletas!E493="Adulto +100kg",22,""))))))))))))))))))))))))</f>
        <v/>
      </c>
      <c r="AT497" s="10" t="str">
        <f>IF(Atletas!F493="","",IF(Atletas!B493="Feminino",100,IF(Atletas!B493="Masculino",200,""))+(IF(Atletas!F493="Adulto 48kg",1,IF(Atletas!F493="Adulto 56kg",2,IF(Atletas!F493="Adulto 65kg",3,IF(Atletas!F493="Adulto 75kg",4,IF(Atletas!F493="Adulto +75kg",5,IF(Atletas!F493="Adulto 52kg",6,IF(Atletas!F493="Adulto 60kg",7,IF(Atletas!F493="Adulto 70kg",8,IF(Atletas!F493="Adulto 80kg",9,IF(Atletas!F493="Adulto 90kg",10,IF(Atletas!F493="Adulto +90kg",11,"")))))))))))))</f>
        <v/>
      </c>
      <c r="AY497" s="46" t="str">
        <f>IF(Atletas!G493="","",IF(Atletas!B493="Feminino",100,IF(Atletas!B493="Masculino",200,""))+(IF(Atletas!G493="Changquan Mirim",1,IF(Atletas!G493="Nanquan Mirim",2,IF(Atletas!G493="Taijiquan Mirim",3,IF(Atletas!G493="Changquan Grupo C",4,IF(Atletas!G493="Nanquan Grupo C",5,IF(Atletas!G493="Taijiquan Grupo C",6,IF(Atletas!G493="Changquan Grupo B",7,IF(Atletas!G493="Nanquan Grupo B",8,IF(Atletas!G493="Taijiquan Grupo B",9,IF(Atletas!G493="Changquan Grupo A",10,IF(Atletas!G493="Nanquan Grupo A",11,IF(Atletas!G493="Taijiquan Grupo A",12,IF(Atletas!G493="Changquan Opcional",13,IF(Atletas!G493="Nanquan Opcional",14,IF(Atletas!G493="Taijiquan Opcional",15,IF(Atletas!G493="Changquan Adulto",16,IF(Atletas!G493="Nanquan Adulto",17,IF(Atletas!G493="Taijiquan Adulto",18,""))))))))))))))))))))</f>
        <v/>
      </c>
      <c r="AZ497" s="46" t="str">
        <f>IF(Atletas!H493="","",IF(Atletas!B493="Feminino",100,IF(Atletas!B493="Masculino",200,""))+(IF(Atletas!H493="Daoshu Mirim",19,IF(Atletas!H493="Jianshu Mirim",20,IF(Atletas!H493="Nandao Mirim",21,IF(Atletas!H493="Taijijian Mirim",22,IF(Atletas!H493="Daoshu Grupo C",23,IF(Atletas!H493="Jianshu Grupo C",24,IF(Atletas!H493="Nandao Grupo C",25,IF(Atletas!H493="Taijijian Grupo C",26,IF(Atletas!H493="Daoshu Grupo B",27,IF(Atletas!H493="Jianshu Grupo B",28,IF(Atletas!H493="Nandao Grupo B",29,IF(Atletas!H493="Taijijian Grupo B",30,IF(Atletas!H493="Daoshu Grupo A",31,IF(Atletas!H493="Jianshu Grupo A",32,IF(Atletas!H493="Nandao Grupo A",33,IF(Atletas!H493="Taijijian Grupo A",34,IF(Atletas!H493="Daoshu Opcional",35,IF(Atletas!H493="Jianshu Opcional",36,IF(Atletas!H493="Nandao Opcional",37,IF(Atletas!H493="Taijijian Opcional",38,IF(Atletas!H493="Daoshu Adulto",39,IF(Atletas!H493="Jianshu Adulto",40,IF(Atletas!H493="Nandao Adulto",41,IF(Atletas!H493="Taijijian Adulto",42,""))))))))))))))))))))))))))</f>
        <v/>
      </c>
      <c r="BA497" s="46" t="str">
        <f>IF(Atletas!I493="","",IF(Atletas!B493="Feminino",100,IF(Atletas!B493="Masculino",200,""))+(IF(Atletas!I493="Gunshu Mirim",43,IF(Atletas!I493="Qiangshu Mirim",44,IF(Atletas!I493="Nangun Mirim",45,IF(Atletas!I493="Gunshu Grupo C",46,IF(Atletas!I493="Qiangshu Grupo C",47,IF(Atletas!I493="Nangun Grupo C",48,IF(Atletas!I493="Gunshu Grupo B",49,IF(Atletas!I493="Qiangshu Grupo B",50,IF(Atletas!I493="Nangun Grupo B",51,IF(Atletas!I493="Gunshu Grupo A",52,IF(Atletas!I493="Qiangshu Grupo A",53,IF(Atletas!I493="Nangun Grupo A",54,IF(Atletas!I493="Gunshu Opcional",55,IF(Atletas!I493="Qiangshu Opcional",56,IF(Atletas!I493="Nangun Opcional",57,IF(Atletas!I493="Gunshu Adulto",58,IF(Atletas!I493="Qiangshu Adulto",59,IF(Atletas!I493="Nangun Adulto",60,""))))))))))))))))))))</f>
        <v/>
      </c>
      <c r="BF497" s="52" t="str">
        <f>IF(Atletas!J493="","",IF(Atletas!B493="Feminino",100,IF(Atletas!B493="Masculino",200,""))+(IF(Atletas!J493="Equipe 1 Grupo B",1,IF(Atletas!J493="Equipe 2 Grupo B",2,IF(Atletas!J493="Equipe 1 Grupo A",3,IF(Atletas!J493="Equipe 2 Grupo A",4,IF(Atletas!J493="Equipe 1 Adulto",5,IF(Atletas!J493="Equipe 2 Adulto",6,""))))))))</f>
        <v/>
      </c>
      <c r="BK497" s="52" t="str">
        <f>IF(Atletas!K493="","",IF(Atletas!W493&lt;&gt;"",10000,0)+(IF(Atletas!B493="Feminino",1000,IF(Atletas!B493="Masculino",2000,""))+IF(Atletas!K493="Choylayfut A",1,IF(Atletas!K493="Hunggar A",2,IF(Atletas!K493="Wuzuquan A",3,IF(Atletas!K493="Wingchun A",4,IF(Atletas!K493="Outra Mão de Sul A",5,IF(Atletas!K493="Choylayfut B",6,IF(Atletas!K493="Hunggar B",7,IF(Atletas!K493="Wuzuquan B",8,IF(Atletas!K493="Wingchun B",9,IF(Atletas!K493="Outra Mão de Sul B",10,IF(Atletas!K493="Choylayfut C",11,IF(Atletas!K493="Hunggar C",12,IF(Atletas!K493="Wuzuquan C",13,IF(Atletas!K493="Wingchun C",14,IF(Atletas!K493="Outra Mão de Sul C",15,IF(Atletas!K493="Choylayfut D",16,IF(Atletas!K493="Hunggar D",17,IF(Atletas!K493="Wuzuquan D",18,IF(Atletas!K493="Wingchun D",19,IF(Atletas!K493="Outra Mão de Sul D",20,IF(Atletas!K493="Choylayfut E",21,IF(Atletas!K493="Hunggar E",22,IF(Atletas!K493="Wuzuquan E",23,IF(Atletas!K493="Wingchun E",24,IF(Atletas!K493="Outra Mão de Sul E",25,IF(Atletas!K493="Choylayfut F",26,IF(Atletas!K493="Hunggar F",27,IF(Atletas!K493="Wuzuquan F",28,IF(Atletas!K493="Wingchun F",29,IF(Atletas!K493="Outra Mão de Sul F",30,""))))))))))))))))))))))))))))))))</f>
        <v/>
      </c>
      <c r="BL497" s="52" t="str">
        <f>IF(Atletas!L493="","",IF(Atletas!W493&lt;&gt;"",10000,0)+(IF(Atletas!B493="Feminino",1000,IF(Atletas!B493="Masculino",2000,""))+(IF(Atletas!L493="Chaquan A",101,IF(Atletas!L493="Emeiquan A",102,IF(Atletas!L493="Fanziquan A",103,IF(Atletas!L493="Huaquan A",104,IF(Atletas!L493="Hongquan A",105,IF(Atletas!L493="Paochui A",106,IF(Atletas!L493="Piguaquan A",107,IF(Atletas!L493="Shaolinquan A",108,IF(Atletas!L493="Tanglangquan A",109,IF(Atletas!L493="Yinzhaophai A",110,IF(Atletas!L493="Tongbeiquan A",111,IF(Atletas!L493="Wudangquan A",112,IF(Atletas!L493="Outros Estilos A",113,IF(Atletas!L493="Chaquan B",114,IF(Atletas!L493="Emeiquan B",115,IF(Atletas!L493="Fanziquan B",116,IF(Atletas!L493="Huaquan B",117,IF(Atletas!L493="Hongquan B",118,IF(Atletas!L493="Paochui B",119,IF(Atletas!L493="Piguaquan B",120,IF(Atletas!L493="Shaolinquan B",121,IF(Atletas!L493="Tanglangquan B",122,IF(Atletas!L493="Yinzhaophai B",123,IF(Atletas!L493="Tongbeiquan B",124,IF(Atletas!L493="Wudangquan B",125,IF(Atletas!L493="Outros Estilos B",126,IF(Atletas!L493="Chaquan C",127,IF(Atletas!L493="Emeiquan C",128,IF(Atletas!L493="Fanziquan C",129,IF(Atletas!L493="Huaquan C",130,IF(Atletas!L493="Hongquan C",131,IF(Atletas!L493="Paochui C",132,IF(Atletas!L493="Piguaquan C",133,IF(Atletas!L493="Shaolinquan C",134,IF(Atletas!L493="Tanglangquan C",135,IF(Atletas!L493="Yinzhaophai C",136,IF(Atletas!L493="Tongbeiquan C",137,IF(Atletas!L493="Wudangquan C",138,IF(Atletas!L493="Outros Estilos C",139,0))))))))))))))))))))))))))))))))))))))))))</f>
        <v/>
      </c>
      <c r="BM497" s="52" t="str">
        <f>IF(Atletas!L493="","",IF(Atletas!W493&lt;&gt;"",10000,0)+(IF(Atletas!B493="Feminino",1000,IF(Atletas!B493="Masculino",2000,""))+(IF(Atletas!L493="Chaquan D",140,IF(Atletas!L493="Emeiquan D",141,IF(Atletas!L493="Fanziquan D",142,IF(Atletas!L493="Huaquan D",143,IF(Atletas!L493="Hongquan D",144,IF(Atletas!L493="Paochui D",145,IF(Atletas!L493="Piguaquan D",146,IF(Atletas!L493="Shaolinquan D",147,IF(Atletas!L493="Tanglangquan D",148,IF(Atletas!L493="Yinzhaophai D",149,IF(Atletas!L493="Tongbeiquan D",150,IF(Atletas!L493="Wudangquan D",151,IF(Atletas!L493="Outros Estilos D",152,IF(Atletas!L493="Chaquan E",153,IF(Atletas!L493="Emeiquan E",154,IF(Atletas!L493="Fanziquan E",155,IF(Atletas!L493="Huaquan E",156,IF(Atletas!L493="Hongquan E",157,IF(Atletas!L493="Paochui E",158,IF(Atletas!L493="Piguaquan E",159,IF(Atletas!L493="Shaolinquan E",160,IF(Atletas!L493="Tanglangquan E",161,IF(Atletas!L493="Yinzhaophai E",162,IF(Atletas!L493="Tongbeiquan E",163,IF(Atletas!L493="Wudangquan E",164,IF(Atletas!L493="Outros Estilos E",165,IF(Atletas!L493="Chaquan F",166,IF(Atletas!L493="Emeiquan F",167,IF(Atletas!L493="Fanziquan F",168,IF(Atletas!L493="Huaquan F",169,IF(Atletas!L493="Hongquan F",170,IF(Atletas!L493="Paochui F",171,IF(Atletas!L493="Piguaquan F",172,IF(Atletas!L493="Shaolinquan F",173,IF(Atletas!L493="Tanglangquan F",174,IF(Atletas!L493="Yinzhaophai F",175,IF(Atletas!L493="Tongbeiquan F",176,IF(Atletas!L493="Wudangquan F",177,IF(Atletas!L493="Outros Estilos F",178,0))))))))))))))))))))))))))))))))))))))))))</f>
        <v/>
      </c>
      <c r="BN497" s="52" t="str">
        <f>IF(Atletas!M493="","",IF(Atletas!W493&lt;&gt;"",10000,0)+(IF(Atletas!B493="Feminino",1000,IF(Atletas!B493="Masculino",2000,""))+(IF(Atletas!M493="Ditangquan A",201,IF(Atletas!M493="Houquan A",202,IF(Atletas!M493="Zuiquan A",203,IF(Atletas!M493="Ditangquan B",204,IF(Atletas!M493="Houquan B",205,IF(Atletas!M493="Zuiquan B",206,IF(Atletas!M493="Ditangquan C",207,IF(Atletas!M493="Houquan C",208,IF(Atletas!M493="Zuiquan C",209,IF(Atletas!M493="Ditangquan D",210,IF(Atletas!M493="Houquan D",211,IF(Atletas!M493="Zuiquan D",212,IF(Atletas!M493="Ditangquan E",213,IF(Atletas!M493="Houquan E",214,IF(Atletas!M493="Zuiquan E",215,IF(Atletas!M493="Ditangquan F",216,IF(Atletas!M493="Houquan F",217,IF(Atletas!M493="Zuiquan F",218,"")))))))))))))))))))))</f>
        <v/>
      </c>
      <c r="BO497" s="52" t="str">
        <f>IF(Atletas!N493="","",IF(Atletas!W493&lt;&gt;"",10000,0)+IF(Atletas!B493="Feminino",1000,IF(Atletas!B493="Masculino",2000,""))+IF(Atletas!N493="Yang A",301,IF(Atletas!N493="Chen A",30,IF(Atletas!N493="Sun A",303,IF(Atletas!N493="Wu A",304,IF(Atletas!N493="Wu-Hao A",305,IF(Atletas!N493="Outro Taijiquan A",306,IF(Atletas!N493="Yang B",307,IF(Atletas!N493="Chen B",308,IF(Atletas!N493="Sun B",309,IF(Atletas!N493="Wu B",310,IF(Atletas!N493="Wu-Hao B",311,IF(Atletas!N493="Outro Taijiquan B",312,IF(Atletas!N493="Yang C",313,IF(Atletas!N493="Chen C",314,IF(Atletas!N493="Sun C",315,IF(Atletas!N493="Wu C",316,IF(Atletas!N493="Wu-Hao C",317,IF(Atletas!N493="Outro Taijiquan C",318,IF(Atletas!N493="Yang D",319,IF(Atletas!N493="Chen D",320,IF(Atletas!N493="Sun D",321,IF(Atletas!N493="Wu D",322,IF(Atletas!N493="Wu-Hao D",323,IF(Atletas!N493="Outro Taijiquan D",324,IF(Atletas!N493="Yang E",325,IF(Atletas!N493="Chen E",326,IF(Atletas!N493="Sun E",327,IF(Atletas!N493="Wu E",328,IF(Atletas!N493="Wu-Hao E",329,IF(Atletas!N493="Outro Taijiquan E",330,IF(Atletas!N493="Yang F",331,IF(Atletas!N493="Chen F",332,IF(Atletas!N493="Sun F",333,IF(Atletas!N493="Wu F",334,IF(Atletas!N493="Wu-Hao F",335,IF(Atletas!N493="Outro Taijiquan F",336,"")))))))))))))))))))))))))))))))))))))</f>
        <v/>
      </c>
      <c r="BP497" s="52" t="str">
        <f>IF(Atletas!O493="","",IF(Atletas!W493&lt;&gt;"",10000,0)+IF(Atletas!B493="Feminino",1000,IF(Atletas!B493="Masculino",2000,""))+IF(OR(Atletas!O493="Yang 26 A",Atletas!O493="Yang 40 A"),401,IF(OR(Atletas!O493="Chen 25 A",Atletas!O493="Chen 36 A",Atletas!O493="Chen 56 A"),402,IF(Atletas!O493="Sun 73 A",403,IF(Atletas!O493="Wu 45 A",404,IF(Atletas!O493="Wu-Hao 46 A",405,IF(OR(Atletas!O493="Taijiquan 16 A",Atletas!O493="Taijiquan 24 A",Atletas!O493="Taijiquan 32 A",Atletas!O493="Taijiquan 42 A"),406,IF(OR(Atletas!O493="Yang 26 B",Atletas!O493="Yang 40 B"),407,IF(OR(Atletas!O493="Chen 25 B",Atletas!O493="Chen 36 B",Atletas!O493="Chen 56 B"),408,IF(Atletas!O493="Sun 73 B",409,IF(Atletas!O493="Wu 45 B",410,IF(Atletas!O493="Wu-Hao 46 B",411,IF(OR(Atletas!O493="Taijiquan 16 B",Atletas!O493="Taijiquan 24 B",Atletas!O493="Taijiquan 32 B",Atletas!O493="Taijiquan 42 B"),412,IF(OR(Atletas!O493="Yang 26 C",Atletas!O493="Yang 40 C"),413,IF(OR(Atletas!O493="Chen 25 C",Atletas!O493="Chen 36 C",Atletas!O493="Chen 56 C"),414,IF(Atletas!O493="Sun 73 C",415,IF(Atletas!O493="Wu 45 C",416,IF(Atletas!O493="Wu-Hao 46 C",417,IF(OR(Atletas!O493="Taijiquan 16 C",Atletas!O493="Taijiquan 24 C",Atletas!O493="Taijiquan 32 C",Atletas!O493="Taijiquan 42 C"),418,0)))))))))))))))))))</f>
        <v/>
      </c>
      <c r="BQ497" s="52" t="str">
        <f>IF(Atletas!O493="","",IF(Atletas!W493&lt;&gt;"",10000,0)+IF(Atletas!B493="Feminino",1000,IF(Atletas!B493="Masculino",2000,""))+IF(OR(Atletas!O493="Yang 26 D",Atletas!O493="Yang 40 D"),419,IF(OR(Atletas!O493="Chen 25 D",Atletas!O493="Chen 36 D",Atletas!O493="Chen 56 D"),420,IF(Atletas!O493="Sun 73 D",421,IF(Atletas!O493="Wu 45 D",422,IF(Atletas!O493="Wu-Hao 46 D",423,IF(OR(Atletas!O493="Taijiquan 16 D",Atletas!O493="Taijiquan 24 D",Atletas!O493="Taijiquan 32 D",Atletas!O493="Taijiquan 42 D"),424,IF(OR(Atletas!O493="Yang 26 E",Atletas!O493="Yang 40 E"),425,IF(OR(Atletas!O493="Chen 25 E",Atletas!O493="Chen 36 E",Atletas!O493="Chen 56 E"),426,IF(Atletas!O493="Sun 73 E",427,IF(Atletas!O493="Wu 45 E",428,IF(Atletas!O493="Wu-Hao 46 E",429,IF(OR(Atletas!O493="Taijiquan 16 E",Atletas!O493="Taijiquan 24 E",Atletas!O493="Taijiquan 32 E",Atletas!O493="Taijiquan 42 E"),430,IF(OR(Atletas!O493="Yang 26 F",Atletas!O493="Yang 40 F"),431,IF(OR(Atletas!O493="Chen 25 F",Atletas!O493="Chen 36 F",Atletas!O493="Chen 56 F"),432,IF(Atletas!O493="Sun 73 F",433,IF(Atletas!O493="Wu 45 F",434,IF(Atletas!O493="Wu-Hao 46 F",435,IF(OR(Atletas!O493="Taijiquan 16 F",Atletas!O493="Taijiquan 24 F",Atletas!O493="Taijiquan 32 F",Atletas!O493="Taijiquan 42 F"),436,0)))))))))))))))))))</f>
        <v/>
      </c>
      <c r="BR497" s="52" t="str">
        <f>IF(Atletas!P493="","",IF(Atletas!W493&lt;&gt;"",10000,0)+IF(Atletas!B493="Feminino",1000,IF(Atletas!B493="Masculino",2000,""))+IF(Atletas!P493="Xingyiquan A",501,IF(Atletas!P493="Baguazhang A",502,IF(Atletas!P493="Outro Estilo Interno A",503,IF(Atletas!P493="Xingyiquan B",504,IF(Atletas!P493="Baguazhang B",505,IF(Atletas!P493="Outro Estilo Interno B",506,IF(Atletas!P493="Xingyiquan C",507,IF(Atletas!P493="Baguazhang C",508,IF(Atletas!P493="Outro Estilo Interno C",509,IF(Atletas!P493="Xingyiquan D",510,IF(Atletas!P493="Baguazhang D",511,IF(Atletas!P493="Outro Estilo Interno D",512,IF(Atletas!P493="Xingyiquan E",513,IF(Atletas!P493="Baguazhang E",514,IF(Atletas!P493="Outro Estilo Interno E",515,IF(Atletas!P493="Xingyiquan F",516,IF(Atletas!P493="Baguazhang F",517,IF(Atletas!P493="Outro Estilo Interno F",518, "")))))))))))))))))))</f>
        <v/>
      </c>
      <c r="BS497" s="52" t="str">
        <f>IF(Atletas!Q493="","",IF(Atletas!W493&lt;&gt;"",10000,0)+IF(Atletas!B493="Feminino",1000,IF(Atletas!B493="Masculino",2000,""))+IF(Atletas!Q493="Dao A",601,IF(Atletas!Q493="Jian A",602,IF(Atletas!Q493="Bishou A",603,IF(Atletas!Q493="Shan A",604,IF(Atletas!Q493="Outra Arma Curta A",605,IF(Atletas!Q493="Dao B",606,IF(Atletas!Q493="Jian B",607,IF(Atletas!Q493="Bishou B",608,IF(Atletas!Q493="Shan B",609,IF(Atletas!Q493="Outra Arma Curta B",610,IF(Atletas!Q493="Dao C",611,IF(Atletas!Q493="Jian C",612,IF(Atletas!Q493="Bishou C",613,IF(Atletas!Q493="Shan C",614,IF(Atletas!Q493="Outra Arma Curta C",615,IF(Atletas!Q493="Dao D",616,IF(Atletas!Q493="Jian D",617,IF(Atletas!Q493="Bishou D",618,IF(Atletas!Q493="Shan D",619,IF(Atletas!Q493="Outra Arma Curta D",620,IF(Atletas!Q493="Dao E",621,IF(Atletas!Q493="Jian E",622,IF(Atletas!Q493="Bishou E",623,IF(Atletas!Q493="Shan E",624,IF(Atletas!Q493="Outra Arma Curta E",625,IF(Atletas!Q493="Dao F",626,IF(Atletas!Q493="Jian F",627,IF(Atletas!Q493="Bishou F",628,IF(Atletas!Q493="Shan F",629,IF(Atletas!Q493="Outra Arma Curta F",630, "")))))))))))))))))))))))))))))))</f>
        <v/>
      </c>
      <c r="BT497" s="52" t="str">
        <f>IF(Atletas!R493="","",IF(Atletas!W493&lt;&gt;"",10000,0)+IF(Atletas!B493="Feminino",1000,IF(Atletas!B493="Masculino",2000,""))+IF(Atletas!R493="Gun A",701,IF(Atletas!R493="Qiang A",702,IF(Atletas!R493="Pudao / Guandao A",703,IF(Atletas!R493="Outra Arma Longa A",704,IF(Atletas!R493="Gun B",705,IF(Atletas!R493="Qiang B",706,IF(Atletas!R493="Pudao / Guandao B",707,IF(Atletas!R493="Outra Arma Longa B",708,IF(Atletas!R493="Gun C",709,IF(Atletas!R493="Qiang C",710,IF(Atletas!R493="Pudao / Guandao C",711,IF(Atletas!R493="Outra Arma Longa C",712,IF(Atletas!R493="Gun D",713,IF(Atletas!R493="Qiang D",714,IF(Atletas!R493="Pudao / Guandao D",715,IF(Atletas!R493="Outra Arma Longa D",716,IF(Atletas!R493="Gun E",717,IF(Atletas!R493="Qiang E",718,IF(Atletas!R493="Pudao / Guandao E",719,IF(Atletas!R493="Outra Arma Longa E",720,IF(Atletas!R493="Gun F",721,IF(Atletas!R493="Qiang F",722,IF(Atletas!R493="Pudao / Guandao F",723,IF(Atletas!R493="Outra Arma Longa F",724,"")))))))))))))))))))))))))</f>
        <v/>
      </c>
      <c r="BU497" s="52" t="str">
        <f>IF(Atletas!S493="","",IF(Atletas!W493&lt;&gt;"",10000,0)+IF(Atletas!B493="Feminino",1000,IF(Atletas!B493="Masculino",2000,""))+IF(Atletas!S493="Arma Dupla A",801,IF(Atletas!S493="Arma Maleável A",802,IF(Atletas!S493="Arma Dupla B",803,IF(Atletas!S493="Arma Maleável B",804,IF(Atletas!S493="Arma Dupla C",805,IF(Atletas!S493="Arma Maleável C",806,IF(Atletas!S493="Arma Dupla D",807,IF(Atletas!S493="Arma Maleável D",808,IF(Atletas!S493="Arma Dupla E",809,IF(Atletas!S493="Arma Maleável E",810,IF(Atletas!S493="Arma Dupla F",811,IF(Atletas!S493="Arma Maleável F",812, "")))))))))))))</f>
        <v/>
      </c>
      <c r="BV497" s="52" t="str">
        <f>IF(Atletas!T493="","",IF(Atletas!W493&lt;&gt;"",10000,0)+IF(Atletas!B493="Feminino",1000,IF(Atletas!B493="Masculino",2000,""))+IF(Atletas!T493="Taijijian Yang A",901,IF(Atletas!T493="Taijijian Chen A",902,IF(Atletas!T493="Taijijian Sun A",903,IF(Atletas!T493="Taijijian Wu A",904,IF(Atletas!T493="Taijijian Wu-Hao A",905,IF(Atletas!T493="Taijijian 32 A",906,IF(Atletas!T493="Taijijian 42 A",907,IF(Atletas!T493="Taijijian Yang B",908,IF(Atletas!T493="Taijijian Chen B",909,IF(Atletas!T493="Taijijian Sun B",910,IF(Atletas!T493="Taijijian Wu B",911,IF(Atletas!T493="Taijijian Wu-Hao B",912,IF(Atletas!T493="Taijijian 32 B",913,IF(Atletas!T493="Taijijian 42 B",914,IF(Atletas!T493="Taijijian Yang C",915,IF(Atletas!T493="Taijijian Chen C",916,IF(Atletas!T493="Taijijian Sun C",917,IF(Atletas!T493="Taijijian Wu C",918,IF(Atletas!T493="Taijijian Wu-Hao C",919,IF(Atletas!T493="Taijijian 32 C",920,IF(Atletas!T493="Taijijian 42 C",921,IF(Atletas!T493="Taijijian Yang D",922,IF(Atletas!T493="Taijijian Chen D",923,IF(Atletas!T493="Taijijian Sun D",924,IF(Atletas!T493="Taijijian Wu D",925,IF(Atletas!T493="Taijijian Wu-Hao D",926,IF(Atletas!T493="Taijijian 32 D",927,IF(Atletas!T493="Taijijian 42 D",928,IF(Atletas!T493="Taijijian Yang E",929,IF(Atletas!T493="Taijijian Chen E",930,IF(Atletas!T493="Taijijian Sun E",931,IF(Atletas!T493="Taijijian Wu E",932,IF(Atletas!T493="Taijijian Wu-Hao E",933,IF(Atletas!T493="Taijijian 32 E",934,IF(Atletas!T493="Taijijian 42 E",935,IF(Atletas!T493="Taijijian Yang F",936,IF(Atletas!T493="Taijijian Chen F",937,IF(Atletas!T493="Taijijian Sun F",938,IF(Atletas!T493="Taijijian Wu F",939,IF(Atletas!T493="Taijijian Wu-Hao F",940,IF(Atletas!T493="Taijijian 32 F",941,IF(Atletas!T493="Taijijian 42 F",942,"")))))))))))))))))))))))))))))))))))))))))))</f>
        <v/>
      </c>
      <c r="BW497" s="52" t="str">
        <f>IF(Atletas!U493="","",IF(Atletas!W493&lt;&gt;"",10000,0)+IF(Atletas!B493="Feminino",1000,IF(Atletas!B493="Masculino",2000,""))+IF(Atletas!T493="Taijijian 42 F",942,IF(Atletas!U493="Taijidao A",943,IF(Atletas!U493="Taijishan A",944,IF(Atletas!U493="Taijiqiang A",945,IF(Atletas!U493="Taijidao B",946,IF(Atletas!U493="Taijishan B",947,IF(Atletas!U493="Taijiqiang B",948,IF(Atletas!U493="Taijidao C",949,IF(Atletas!U493="Taijishan C",950,IF(Atletas!U493="Taijiqiang C",951,IF(Atletas!U493="Taijidao D",952,IF(Atletas!U493="Taijishan D",953,IF(Atletas!U493="Taijiqiang D",954,IF(Atletas!U493="Taijidao E",955,IF(Atletas!U493="Taijishan E",956,IF(Atletas!U493="Taijiqiang E",957,IF(Atletas!U493="Taijidao F",958,IF(Atletas!U493="Taijishan F",959,IF(Atletas!U493="Taijiqiang F",960))))))))))))))))))))</f>
        <v/>
      </c>
      <c r="CF497" s="52" t="str">
        <f xml:space="preserve"> IF(Atletas!V493="","",IF(Atletas!V493="Duilian de Mãos AB - Equipe 1",1,IF(Atletas!V493="Duilian de Mãos AB - Equipe 2",2,IF(Atletas!V493="Duilian de Armas AB - Equipe 1",3,IF(Atletas!V493="Duilian de Armas AB - Equipe 2",4,IF(Atletas!V493="Duilian de Tuishou - Equipe 1",5,IF(Atletas!V493="Duilian de Tuishou - Equipe 2",6,IF(Atletas!V493="Grupo Externo AB - Equipe 1",7,IF(Atletas!V493="Grupo Externo AB - Equipe 2",8,IF(Atletas!V493="Grupo Interno AB - Equipe 1",9,IF(Atletas!V493="Grupo Interno AB - Equipe 2",10,IF(Atletas!V493="Duilian de Mãos CD - Equipe 1",11,IF(Atletas!V493="Duilian de Mãos CD - Equipe 2",12,IF(Atletas!V493="Duilian de Armas CD - Equipe 1",13,IF(Atletas!V493="Duilian de Armas CD - Equipe 2",14,IF(Atletas!V493="Duilian de Tuishou - Equipe 1",15,IF(Atletas!V493="Duilian de Tuishou - Equipe 2",16,IF(Atletas!V493="Grupo Externo CDEF - Equipe 1",17,IF(Atletas!V493="Grupo Externo CDEF - Equipe 2",18,IF(Atletas!V493="Grupo Interno CDEF - Equipe 1",19,IF(Atletas!V493="Grupo Interno CDEF - Equipe 2",20,IF(Atletas!V493="Duilian de Mãos EF - Equipe 1",21,IF(Atletas!V493="Duilian de Mãos EF - Equipe 2",22,IF(Atletas!V493="Duilian de Armas EF - Equipe 1",23,IF(Atletas!V493="Duilian de Armas EF - Equipe 2",24,IF(Atletas!V493="Duilian de Tuishou - Equipe 1",25,IF(Atletas!V493="Duilian de Tuishou - Equipe 2",26,"")))))))))))))))))))))))))))</f>
        <v/>
      </c>
    </row>
    <row r="498" spans="36:84">
      <c r="AJ498" s="46" t="str">
        <f>IF(Atletas!D494="","",IF(Atletas!B494="Feminino",100,IF(Atletas!B494="Masculino",200,""))+(IF(Atletas!D494="Infantil 39kg",1,IF(Atletas!D494="Infantil 42kg",2,IF(Atletas!D494="Infantil 45kg",3,IF(Atletas!D494="Infantil 48kg",4,IF(Atletas!D494="Infantil 52kg",5,IF(Atletas!D494="Infantil 56kg",6,IF(Atletas!D494="Infantil 60kg",7,IF(Atletas!D494="Juvenil 48kg",8,IF(Atletas!D494="Juvenil 52kg",9,IF(Atletas!D494="Juvenil 56kg",10,IF(Atletas!D494="Juvenil 60kg",11,IF(Atletas!D494="Juvenil 65kg",12,IF(Atletas!D494="Juvenil 70kg",13,IF(Atletas!D494="Juvenil 75kg",14,IF(Atletas!D494="Juvenil 80kg",15,IF(Atletas!D494="Adulto 48kg",16,IF(Atletas!D494="Adulto 52kg",17,IF(Atletas!D494="Adulto 56kg",18,IF(Atletas!D494="Adulto 60kg",19,IF(Atletas!D494="Adulto 65kg",20,IF(Atletas!D494="Adulto 70kg",21,IF(Atletas!D494="Adulto 75kg",22,IF(Atletas!D494="Adulto 80kg",23,IF(Atletas!D494="Adulto 85kg",24,IF(Atletas!D494="Adulto 90kg",25,IF(Atletas!D494="Adulto +90kg",26,""))))))))))))))))))))))))))))</f>
        <v/>
      </c>
      <c r="AO498" s="10" t="str">
        <f>IF(Atletas!E494="","",IF(Atletas!B494="Feminino",100,IF(Atletas!B494="Masculino",200,""))+(IF(Atletas!E494="Juvenil 44kg",1,IF(Atletas!E494="Juvenil 48kg",2,IF(Atletas!E494="Juvenil 52kg",3,IF(Atletas!E494="Juvenil 56kg",4,IF(Atletas!E494="Juvenil 60kg",5,IF(Atletas!E494="Juvenil 65kg",6,IF(Atletas!E494="Juvenil 70kg",7,IF(Atletas!E494="Juvenil 75kg",8,IF(Atletas!E494="Juvenil 82kg",9,IF(Atletas!E494="Juvenil 90kg",10,IF(Atletas!E494="Juvenil 100kg",11,IF(Atletas!E494="Adulto 48kg",12,IF(Atletas!E494="Adulto 52kg",13,IF(Atletas!E494="Adulto 56kg",14,IF(Atletas!E494="Adulto 60kg",15,IF(Atletas!E494="Adulto 65kg",16,IF(Atletas!E494="Adulto 70kg",17,IF(Atletas!E494="Adulto 75kg",18,IF(Atletas!E494="Adulto 82kg",19,IF(Atletas!E494="Adulto 90kg",20,IF(Atletas!E494="Adulto 100kg",21,IF(Atletas!E494="Adulto +100kg",22,""))))))))))))))))))))))))</f>
        <v/>
      </c>
      <c r="AT498" s="10" t="str">
        <f>IF(Atletas!F494="","",IF(Atletas!B494="Feminino",100,IF(Atletas!B494="Masculino",200,""))+(IF(Atletas!F494="Adulto 48kg",1,IF(Atletas!F494="Adulto 56kg",2,IF(Atletas!F494="Adulto 65kg",3,IF(Atletas!F494="Adulto 75kg",4,IF(Atletas!F494="Adulto +75kg",5,IF(Atletas!F494="Adulto 52kg",6,IF(Atletas!F494="Adulto 60kg",7,IF(Atletas!F494="Adulto 70kg",8,IF(Atletas!F494="Adulto 80kg",9,IF(Atletas!F494="Adulto 90kg",10,IF(Atletas!F494="Adulto +90kg",11,"")))))))))))))</f>
        <v/>
      </c>
      <c r="AY498" s="46" t="str">
        <f>IF(Atletas!G494="","",IF(Atletas!B494="Feminino",100,IF(Atletas!B494="Masculino",200,""))+(IF(Atletas!G494="Changquan Mirim",1,IF(Atletas!G494="Nanquan Mirim",2,IF(Atletas!G494="Taijiquan Mirim",3,IF(Atletas!G494="Changquan Grupo C",4,IF(Atletas!G494="Nanquan Grupo C",5,IF(Atletas!G494="Taijiquan Grupo C",6,IF(Atletas!G494="Changquan Grupo B",7,IF(Atletas!G494="Nanquan Grupo B",8,IF(Atletas!G494="Taijiquan Grupo B",9,IF(Atletas!G494="Changquan Grupo A",10,IF(Atletas!G494="Nanquan Grupo A",11,IF(Atletas!G494="Taijiquan Grupo A",12,IF(Atletas!G494="Changquan Opcional",13,IF(Atletas!G494="Nanquan Opcional",14,IF(Atletas!G494="Taijiquan Opcional",15,IF(Atletas!G494="Changquan Adulto",16,IF(Atletas!G494="Nanquan Adulto",17,IF(Atletas!G494="Taijiquan Adulto",18,""))))))))))))))))))))</f>
        <v/>
      </c>
      <c r="AZ498" s="46" t="str">
        <f>IF(Atletas!H494="","",IF(Atletas!B494="Feminino",100,IF(Atletas!B494="Masculino",200,""))+(IF(Atletas!H494="Daoshu Mirim",19,IF(Atletas!H494="Jianshu Mirim",20,IF(Atletas!H494="Nandao Mirim",21,IF(Atletas!H494="Taijijian Mirim",22,IF(Atletas!H494="Daoshu Grupo C",23,IF(Atletas!H494="Jianshu Grupo C",24,IF(Atletas!H494="Nandao Grupo C",25,IF(Atletas!H494="Taijijian Grupo C",26,IF(Atletas!H494="Daoshu Grupo B",27,IF(Atletas!H494="Jianshu Grupo B",28,IF(Atletas!H494="Nandao Grupo B",29,IF(Atletas!H494="Taijijian Grupo B",30,IF(Atletas!H494="Daoshu Grupo A",31,IF(Atletas!H494="Jianshu Grupo A",32,IF(Atletas!H494="Nandao Grupo A",33,IF(Atletas!H494="Taijijian Grupo A",34,IF(Atletas!H494="Daoshu Opcional",35,IF(Atletas!H494="Jianshu Opcional",36,IF(Atletas!H494="Nandao Opcional",37,IF(Atletas!H494="Taijijian Opcional",38,IF(Atletas!H494="Daoshu Adulto",39,IF(Atletas!H494="Jianshu Adulto",40,IF(Atletas!H494="Nandao Adulto",41,IF(Atletas!H494="Taijijian Adulto",42,""))))))))))))))))))))))))))</f>
        <v/>
      </c>
      <c r="BA498" s="46" t="str">
        <f>IF(Atletas!I494="","",IF(Atletas!B494="Feminino",100,IF(Atletas!B494="Masculino",200,""))+(IF(Atletas!I494="Gunshu Mirim",43,IF(Atletas!I494="Qiangshu Mirim",44,IF(Atletas!I494="Nangun Mirim",45,IF(Atletas!I494="Gunshu Grupo C",46,IF(Atletas!I494="Qiangshu Grupo C",47,IF(Atletas!I494="Nangun Grupo C",48,IF(Atletas!I494="Gunshu Grupo B",49,IF(Atletas!I494="Qiangshu Grupo B",50,IF(Atletas!I494="Nangun Grupo B",51,IF(Atletas!I494="Gunshu Grupo A",52,IF(Atletas!I494="Qiangshu Grupo A",53,IF(Atletas!I494="Nangun Grupo A",54,IF(Atletas!I494="Gunshu Opcional",55,IF(Atletas!I494="Qiangshu Opcional",56,IF(Atletas!I494="Nangun Opcional",57,IF(Atletas!I494="Gunshu Adulto",58,IF(Atletas!I494="Qiangshu Adulto",59,IF(Atletas!I494="Nangun Adulto",60,""))))))))))))))))))))</f>
        <v/>
      </c>
      <c r="BF498" s="52" t="str">
        <f>IF(Atletas!J494="","",IF(Atletas!B494="Feminino",100,IF(Atletas!B494="Masculino",200,""))+(IF(Atletas!J494="Equipe 1 Grupo B",1,IF(Atletas!J494="Equipe 2 Grupo B",2,IF(Atletas!J494="Equipe 1 Grupo A",3,IF(Atletas!J494="Equipe 2 Grupo A",4,IF(Atletas!J494="Equipe 1 Adulto",5,IF(Atletas!J494="Equipe 2 Adulto",6,""))))))))</f>
        <v/>
      </c>
      <c r="BK498" s="52" t="str">
        <f>IF(Atletas!K494="","",IF(Atletas!W494&lt;&gt;"",10000,0)+(IF(Atletas!B494="Feminino",1000,IF(Atletas!B494="Masculino",2000,""))+IF(Atletas!K494="Choylayfut A",1,IF(Atletas!K494="Hunggar A",2,IF(Atletas!K494="Wuzuquan A",3,IF(Atletas!K494="Wingchun A",4,IF(Atletas!K494="Outra Mão de Sul A",5,IF(Atletas!K494="Choylayfut B",6,IF(Atletas!K494="Hunggar B",7,IF(Atletas!K494="Wuzuquan B",8,IF(Atletas!K494="Wingchun B",9,IF(Atletas!K494="Outra Mão de Sul B",10,IF(Atletas!K494="Choylayfut C",11,IF(Atletas!K494="Hunggar C",12,IF(Atletas!K494="Wuzuquan C",13,IF(Atletas!K494="Wingchun C",14,IF(Atletas!K494="Outra Mão de Sul C",15,IF(Atletas!K494="Choylayfut D",16,IF(Atletas!K494="Hunggar D",17,IF(Atletas!K494="Wuzuquan D",18,IF(Atletas!K494="Wingchun D",19,IF(Atletas!K494="Outra Mão de Sul D",20,IF(Atletas!K494="Choylayfut E",21,IF(Atletas!K494="Hunggar E",22,IF(Atletas!K494="Wuzuquan E",23,IF(Atletas!K494="Wingchun E",24,IF(Atletas!K494="Outra Mão de Sul E",25,IF(Atletas!K494="Choylayfut F",26,IF(Atletas!K494="Hunggar F",27,IF(Atletas!K494="Wuzuquan F",28,IF(Atletas!K494="Wingchun F",29,IF(Atletas!K494="Outra Mão de Sul F",30,""))))))))))))))))))))))))))))))))</f>
        <v/>
      </c>
      <c r="BL498" s="52" t="str">
        <f>IF(Atletas!L494="","",IF(Atletas!W494&lt;&gt;"",10000,0)+(IF(Atletas!B494="Feminino",1000,IF(Atletas!B494="Masculino",2000,""))+(IF(Atletas!L494="Chaquan A",101,IF(Atletas!L494="Emeiquan A",102,IF(Atletas!L494="Fanziquan A",103,IF(Atletas!L494="Huaquan A",104,IF(Atletas!L494="Hongquan A",105,IF(Atletas!L494="Paochui A",106,IF(Atletas!L494="Piguaquan A",107,IF(Atletas!L494="Shaolinquan A",108,IF(Atletas!L494="Tanglangquan A",109,IF(Atletas!L494="Yinzhaophai A",110,IF(Atletas!L494="Tongbeiquan A",111,IF(Atletas!L494="Wudangquan A",112,IF(Atletas!L494="Outros Estilos A",113,IF(Atletas!L494="Chaquan B",114,IF(Atletas!L494="Emeiquan B",115,IF(Atletas!L494="Fanziquan B",116,IF(Atletas!L494="Huaquan B",117,IF(Atletas!L494="Hongquan B",118,IF(Atletas!L494="Paochui B",119,IF(Atletas!L494="Piguaquan B",120,IF(Atletas!L494="Shaolinquan B",121,IF(Atletas!L494="Tanglangquan B",122,IF(Atletas!L494="Yinzhaophai B",123,IF(Atletas!L494="Tongbeiquan B",124,IF(Atletas!L494="Wudangquan B",125,IF(Atletas!L494="Outros Estilos B",126,IF(Atletas!L494="Chaquan C",127,IF(Atletas!L494="Emeiquan C",128,IF(Atletas!L494="Fanziquan C",129,IF(Atletas!L494="Huaquan C",130,IF(Atletas!L494="Hongquan C",131,IF(Atletas!L494="Paochui C",132,IF(Atletas!L494="Piguaquan C",133,IF(Atletas!L494="Shaolinquan C",134,IF(Atletas!L494="Tanglangquan C",135,IF(Atletas!L494="Yinzhaophai C",136,IF(Atletas!L494="Tongbeiquan C",137,IF(Atletas!L494="Wudangquan C",138,IF(Atletas!L494="Outros Estilos C",139,0))))))))))))))))))))))))))))))))))))))))))</f>
        <v/>
      </c>
      <c r="BM498" s="52" t="str">
        <f>IF(Atletas!L494="","",IF(Atletas!W494&lt;&gt;"",10000,0)+(IF(Atletas!B494="Feminino",1000,IF(Atletas!B494="Masculino",2000,""))+(IF(Atletas!L494="Chaquan D",140,IF(Atletas!L494="Emeiquan D",141,IF(Atletas!L494="Fanziquan D",142,IF(Atletas!L494="Huaquan D",143,IF(Atletas!L494="Hongquan D",144,IF(Atletas!L494="Paochui D",145,IF(Atletas!L494="Piguaquan D",146,IF(Atletas!L494="Shaolinquan D",147,IF(Atletas!L494="Tanglangquan D",148,IF(Atletas!L494="Yinzhaophai D",149,IF(Atletas!L494="Tongbeiquan D",150,IF(Atletas!L494="Wudangquan D",151,IF(Atletas!L494="Outros Estilos D",152,IF(Atletas!L494="Chaquan E",153,IF(Atletas!L494="Emeiquan E",154,IF(Atletas!L494="Fanziquan E",155,IF(Atletas!L494="Huaquan E",156,IF(Atletas!L494="Hongquan E",157,IF(Atletas!L494="Paochui E",158,IF(Atletas!L494="Piguaquan E",159,IF(Atletas!L494="Shaolinquan E",160,IF(Atletas!L494="Tanglangquan E",161,IF(Atletas!L494="Yinzhaophai E",162,IF(Atletas!L494="Tongbeiquan E",163,IF(Atletas!L494="Wudangquan E",164,IF(Atletas!L494="Outros Estilos E",165,IF(Atletas!L494="Chaquan F",166,IF(Atletas!L494="Emeiquan F",167,IF(Atletas!L494="Fanziquan F",168,IF(Atletas!L494="Huaquan F",169,IF(Atletas!L494="Hongquan F",170,IF(Atletas!L494="Paochui F",171,IF(Atletas!L494="Piguaquan F",172,IF(Atletas!L494="Shaolinquan F",173,IF(Atletas!L494="Tanglangquan F",174,IF(Atletas!L494="Yinzhaophai F",175,IF(Atletas!L494="Tongbeiquan F",176,IF(Atletas!L494="Wudangquan F",177,IF(Atletas!L494="Outros Estilos F",178,0))))))))))))))))))))))))))))))))))))))))))</f>
        <v/>
      </c>
      <c r="BN498" s="52" t="str">
        <f>IF(Atletas!M494="","",IF(Atletas!W494&lt;&gt;"",10000,0)+(IF(Atletas!B494="Feminino",1000,IF(Atletas!B494="Masculino",2000,""))+(IF(Atletas!M494="Ditangquan A",201,IF(Atletas!M494="Houquan A",202,IF(Atletas!M494="Zuiquan A",203,IF(Atletas!M494="Ditangquan B",204,IF(Atletas!M494="Houquan B",205,IF(Atletas!M494="Zuiquan B",206,IF(Atletas!M494="Ditangquan C",207,IF(Atletas!M494="Houquan C",208,IF(Atletas!M494="Zuiquan C",209,IF(Atletas!M494="Ditangquan D",210,IF(Atletas!M494="Houquan D",211,IF(Atletas!M494="Zuiquan D",212,IF(Atletas!M494="Ditangquan E",213,IF(Atletas!M494="Houquan E",214,IF(Atletas!M494="Zuiquan E",215,IF(Atletas!M494="Ditangquan F",216,IF(Atletas!M494="Houquan F",217,IF(Atletas!M494="Zuiquan F",218,"")))))))))))))))))))))</f>
        <v/>
      </c>
      <c r="BO498" s="52" t="str">
        <f>IF(Atletas!N494="","",IF(Atletas!W494&lt;&gt;"",10000,0)+IF(Atletas!B494="Feminino",1000,IF(Atletas!B494="Masculino",2000,""))+IF(Atletas!N494="Yang A",301,IF(Atletas!N494="Chen A",30,IF(Atletas!N494="Sun A",303,IF(Atletas!N494="Wu A",304,IF(Atletas!N494="Wu-Hao A",305,IF(Atletas!N494="Outro Taijiquan A",306,IF(Atletas!N494="Yang B",307,IF(Atletas!N494="Chen B",308,IF(Atletas!N494="Sun B",309,IF(Atletas!N494="Wu B",310,IF(Atletas!N494="Wu-Hao B",311,IF(Atletas!N494="Outro Taijiquan B",312,IF(Atletas!N494="Yang C",313,IF(Atletas!N494="Chen C",314,IF(Atletas!N494="Sun C",315,IF(Atletas!N494="Wu C",316,IF(Atletas!N494="Wu-Hao C",317,IF(Atletas!N494="Outro Taijiquan C",318,IF(Atletas!N494="Yang D",319,IF(Atletas!N494="Chen D",320,IF(Atletas!N494="Sun D",321,IF(Atletas!N494="Wu D",322,IF(Atletas!N494="Wu-Hao D",323,IF(Atletas!N494="Outro Taijiquan D",324,IF(Atletas!N494="Yang E",325,IF(Atletas!N494="Chen E",326,IF(Atletas!N494="Sun E",327,IF(Atletas!N494="Wu E",328,IF(Atletas!N494="Wu-Hao E",329,IF(Atletas!N494="Outro Taijiquan E",330,IF(Atletas!N494="Yang F",331,IF(Atletas!N494="Chen F",332,IF(Atletas!N494="Sun F",333,IF(Atletas!N494="Wu F",334,IF(Atletas!N494="Wu-Hao F",335,IF(Atletas!N494="Outro Taijiquan F",336,"")))))))))))))))))))))))))))))))))))))</f>
        <v/>
      </c>
      <c r="BP498" s="52" t="str">
        <f>IF(Atletas!O494="","",IF(Atletas!W494&lt;&gt;"",10000,0)+IF(Atletas!B494="Feminino",1000,IF(Atletas!B494="Masculino",2000,""))+IF(OR(Atletas!O494="Yang 26 A",Atletas!O494="Yang 40 A"),401,IF(OR(Atletas!O494="Chen 25 A",Atletas!O494="Chen 36 A",Atletas!O494="Chen 56 A"),402,IF(Atletas!O494="Sun 73 A",403,IF(Atletas!O494="Wu 45 A",404,IF(Atletas!O494="Wu-Hao 46 A",405,IF(OR(Atletas!O494="Taijiquan 16 A",Atletas!O494="Taijiquan 24 A",Atletas!O494="Taijiquan 32 A",Atletas!O494="Taijiquan 42 A"),406,IF(OR(Atletas!O494="Yang 26 B",Atletas!O494="Yang 40 B"),407,IF(OR(Atletas!O494="Chen 25 B",Atletas!O494="Chen 36 B",Atletas!O494="Chen 56 B"),408,IF(Atletas!O494="Sun 73 B",409,IF(Atletas!O494="Wu 45 B",410,IF(Atletas!O494="Wu-Hao 46 B",411,IF(OR(Atletas!O494="Taijiquan 16 B",Atletas!O494="Taijiquan 24 B",Atletas!O494="Taijiquan 32 B",Atletas!O494="Taijiquan 42 B"),412,IF(OR(Atletas!O494="Yang 26 C",Atletas!O494="Yang 40 C"),413,IF(OR(Atletas!O494="Chen 25 C",Atletas!O494="Chen 36 C",Atletas!O494="Chen 56 C"),414,IF(Atletas!O494="Sun 73 C",415,IF(Atletas!O494="Wu 45 C",416,IF(Atletas!O494="Wu-Hao 46 C",417,IF(OR(Atletas!O494="Taijiquan 16 C",Atletas!O494="Taijiquan 24 C",Atletas!O494="Taijiquan 32 C",Atletas!O494="Taijiquan 42 C"),418,0)))))))))))))))))))</f>
        <v/>
      </c>
      <c r="BQ498" s="52" t="str">
        <f>IF(Atletas!O494="","",IF(Atletas!W494&lt;&gt;"",10000,0)+IF(Atletas!B494="Feminino",1000,IF(Atletas!B494="Masculino",2000,""))+IF(OR(Atletas!O494="Yang 26 D",Atletas!O494="Yang 40 D"),419,IF(OR(Atletas!O494="Chen 25 D",Atletas!O494="Chen 36 D",Atletas!O494="Chen 56 D"),420,IF(Atletas!O494="Sun 73 D",421,IF(Atletas!O494="Wu 45 D",422,IF(Atletas!O494="Wu-Hao 46 D",423,IF(OR(Atletas!O494="Taijiquan 16 D",Atletas!O494="Taijiquan 24 D",Atletas!O494="Taijiquan 32 D",Atletas!O494="Taijiquan 42 D"),424,IF(OR(Atletas!O494="Yang 26 E",Atletas!O494="Yang 40 E"),425,IF(OR(Atletas!O494="Chen 25 E",Atletas!O494="Chen 36 E",Atletas!O494="Chen 56 E"),426,IF(Atletas!O494="Sun 73 E",427,IF(Atletas!O494="Wu 45 E",428,IF(Atletas!O494="Wu-Hao 46 E",429,IF(OR(Atletas!O494="Taijiquan 16 E",Atletas!O494="Taijiquan 24 E",Atletas!O494="Taijiquan 32 E",Atletas!O494="Taijiquan 42 E"),430,IF(OR(Atletas!O494="Yang 26 F",Atletas!O494="Yang 40 F"),431,IF(OR(Atletas!O494="Chen 25 F",Atletas!O494="Chen 36 F",Atletas!O494="Chen 56 F"),432,IF(Atletas!O494="Sun 73 F",433,IF(Atletas!O494="Wu 45 F",434,IF(Atletas!O494="Wu-Hao 46 F",435,IF(OR(Atletas!O494="Taijiquan 16 F",Atletas!O494="Taijiquan 24 F",Atletas!O494="Taijiquan 32 F",Atletas!O494="Taijiquan 42 F"),436,0)))))))))))))))))))</f>
        <v/>
      </c>
      <c r="BR498" s="52" t="str">
        <f>IF(Atletas!P494="","",IF(Atletas!W494&lt;&gt;"",10000,0)+IF(Atletas!B494="Feminino",1000,IF(Atletas!B494="Masculino",2000,""))+IF(Atletas!P494="Xingyiquan A",501,IF(Atletas!P494="Baguazhang A",502,IF(Atletas!P494="Outro Estilo Interno A",503,IF(Atletas!P494="Xingyiquan B",504,IF(Atletas!P494="Baguazhang B",505,IF(Atletas!P494="Outro Estilo Interno B",506,IF(Atletas!P494="Xingyiquan C",507,IF(Atletas!P494="Baguazhang C",508,IF(Atletas!P494="Outro Estilo Interno C",509,IF(Atletas!P494="Xingyiquan D",510,IF(Atletas!P494="Baguazhang D",511,IF(Atletas!P494="Outro Estilo Interno D",512,IF(Atletas!P494="Xingyiquan E",513,IF(Atletas!P494="Baguazhang E",514,IF(Atletas!P494="Outro Estilo Interno E",515,IF(Atletas!P494="Xingyiquan F",516,IF(Atletas!P494="Baguazhang F",517,IF(Atletas!P494="Outro Estilo Interno F",518, "")))))))))))))))))))</f>
        <v/>
      </c>
      <c r="BS498" s="52" t="str">
        <f>IF(Atletas!Q494="","",IF(Atletas!W494&lt;&gt;"",10000,0)+IF(Atletas!B494="Feminino",1000,IF(Atletas!B494="Masculino",2000,""))+IF(Atletas!Q494="Dao A",601,IF(Atletas!Q494="Jian A",602,IF(Atletas!Q494="Bishou A",603,IF(Atletas!Q494="Shan A",604,IF(Atletas!Q494="Outra Arma Curta A",605,IF(Atletas!Q494="Dao B",606,IF(Atletas!Q494="Jian B",607,IF(Atletas!Q494="Bishou B",608,IF(Atletas!Q494="Shan B",609,IF(Atletas!Q494="Outra Arma Curta B",610,IF(Atletas!Q494="Dao C",611,IF(Atletas!Q494="Jian C",612,IF(Atletas!Q494="Bishou C",613,IF(Atletas!Q494="Shan C",614,IF(Atletas!Q494="Outra Arma Curta C",615,IF(Atletas!Q494="Dao D",616,IF(Atletas!Q494="Jian D",617,IF(Atletas!Q494="Bishou D",618,IF(Atletas!Q494="Shan D",619,IF(Atletas!Q494="Outra Arma Curta D",620,IF(Atletas!Q494="Dao E",621,IF(Atletas!Q494="Jian E",622,IF(Atletas!Q494="Bishou E",623,IF(Atletas!Q494="Shan E",624,IF(Atletas!Q494="Outra Arma Curta E",625,IF(Atletas!Q494="Dao F",626,IF(Atletas!Q494="Jian F",627,IF(Atletas!Q494="Bishou F",628,IF(Atletas!Q494="Shan F",629,IF(Atletas!Q494="Outra Arma Curta F",630, "")))))))))))))))))))))))))))))))</f>
        <v/>
      </c>
      <c r="BT498" s="52" t="str">
        <f>IF(Atletas!R494="","",IF(Atletas!W494&lt;&gt;"",10000,0)+IF(Atletas!B494="Feminino",1000,IF(Atletas!B494="Masculino",2000,""))+IF(Atletas!R494="Gun A",701,IF(Atletas!R494="Qiang A",702,IF(Atletas!R494="Pudao / Guandao A",703,IF(Atletas!R494="Outra Arma Longa A",704,IF(Atletas!R494="Gun B",705,IF(Atletas!R494="Qiang B",706,IF(Atletas!R494="Pudao / Guandao B",707,IF(Atletas!R494="Outra Arma Longa B",708,IF(Atletas!R494="Gun C",709,IF(Atletas!R494="Qiang C",710,IF(Atletas!R494="Pudao / Guandao C",711,IF(Atletas!R494="Outra Arma Longa C",712,IF(Atletas!R494="Gun D",713,IF(Atletas!R494="Qiang D",714,IF(Atletas!R494="Pudao / Guandao D",715,IF(Atletas!R494="Outra Arma Longa D",716,IF(Atletas!R494="Gun E",717,IF(Atletas!R494="Qiang E",718,IF(Atletas!R494="Pudao / Guandao E",719,IF(Atletas!R494="Outra Arma Longa E",720,IF(Atletas!R494="Gun F",721,IF(Atletas!R494="Qiang F",722,IF(Atletas!R494="Pudao / Guandao F",723,IF(Atletas!R494="Outra Arma Longa F",724,"")))))))))))))))))))))))))</f>
        <v/>
      </c>
      <c r="BU498" s="52" t="str">
        <f>IF(Atletas!S494="","",IF(Atletas!W494&lt;&gt;"",10000,0)+IF(Atletas!B494="Feminino",1000,IF(Atletas!B494="Masculino",2000,""))+IF(Atletas!S494="Arma Dupla A",801,IF(Atletas!S494="Arma Maleável A",802,IF(Atletas!S494="Arma Dupla B",803,IF(Atletas!S494="Arma Maleável B",804,IF(Atletas!S494="Arma Dupla C",805,IF(Atletas!S494="Arma Maleável C",806,IF(Atletas!S494="Arma Dupla D",807,IF(Atletas!S494="Arma Maleável D",808,IF(Atletas!S494="Arma Dupla E",809,IF(Atletas!S494="Arma Maleável E",810,IF(Atletas!S494="Arma Dupla F",811,IF(Atletas!S494="Arma Maleável F",812, "")))))))))))))</f>
        <v/>
      </c>
      <c r="BV498" s="52" t="str">
        <f>IF(Atletas!T494="","",IF(Atletas!W494&lt;&gt;"",10000,0)+IF(Atletas!B494="Feminino",1000,IF(Atletas!B494="Masculino",2000,""))+IF(Atletas!T494="Taijijian Yang A",901,IF(Atletas!T494="Taijijian Chen A",902,IF(Atletas!T494="Taijijian Sun A",903,IF(Atletas!T494="Taijijian Wu A",904,IF(Atletas!T494="Taijijian Wu-Hao A",905,IF(Atletas!T494="Taijijian 32 A",906,IF(Atletas!T494="Taijijian 42 A",907,IF(Atletas!T494="Taijijian Yang B",908,IF(Atletas!T494="Taijijian Chen B",909,IF(Atletas!T494="Taijijian Sun B",910,IF(Atletas!T494="Taijijian Wu B",911,IF(Atletas!T494="Taijijian Wu-Hao B",912,IF(Atletas!T494="Taijijian 32 B",913,IF(Atletas!T494="Taijijian 42 B",914,IF(Atletas!T494="Taijijian Yang C",915,IF(Atletas!T494="Taijijian Chen C",916,IF(Atletas!T494="Taijijian Sun C",917,IF(Atletas!T494="Taijijian Wu C",918,IF(Atletas!T494="Taijijian Wu-Hao C",919,IF(Atletas!T494="Taijijian 32 C",920,IF(Atletas!T494="Taijijian 42 C",921,IF(Atletas!T494="Taijijian Yang D",922,IF(Atletas!T494="Taijijian Chen D",923,IF(Atletas!T494="Taijijian Sun D",924,IF(Atletas!T494="Taijijian Wu D",925,IF(Atletas!T494="Taijijian Wu-Hao D",926,IF(Atletas!T494="Taijijian 32 D",927,IF(Atletas!T494="Taijijian 42 D",928,IF(Atletas!T494="Taijijian Yang E",929,IF(Atletas!T494="Taijijian Chen E",930,IF(Atletas!T494="Taijijian Sun E",931,IF(Atletas!T494="Taijijian Wu E",932,IF(Atletas!T494="Taijijian Wu-Hao E",933,IF(Atletas!T494="Taijijian 32 E",934,IF(Atletas!T494="Taijijian 42 E",935,IF(Atletas!T494="Taijijian Yang F",936,IF(Atletas!T494="Taijijian Chen F",937,IF(Atletas!T494="Taijijian Sun F",938,IF(Atletas!T494="Taijijian Wu F",939,IF(Atletas!T494="Taijijian Wu-Hao F",940,IF(Atletas!T494="Taijijian 32 F",941,IF(Atletas!T494="Taijijian 42 F",942,"")))))))))))))))))))))))))))))))))))))))))))</f>
        <v/>
      </c>
      <c r="BW498" s="52" t="str">
        <f>IF(Atletas!U494="","",IF(Atletas!W494&lt;&gt;"",10000,0)+IF(Atletas!B494="Feminino",1000,IF(Atletas!B494="Masculino",2000,""))+IF(Atletas!T494="Taijijian 42 F",942,IF(Atletas!U494="Taijidao A",943,IF(Atletas!U494="Taijishan A",944,IF(Atletas!U494="Taijiqiang A",945,IF(Atletas!U494="Taijidao B",946,IF(Atletas!U494="Taijishan B",947,IF(Atletas!U494="Taijiqiang B",948,IF(Atletas!U494="Taijidao C",949,IF(Atletas!U494="Taijishan C",950,IF(Atletas!U494="Taijiqiang C",951,IF(Atletas!U494="Taijidao D",952,IF(Atletas!U494="Taijishan D",953,IF(Atletas!U494="Taijiqiang D",954,IF(Atletas!U494="Taijidao E",955,IF(Atletas!U494="Taijishan E",956,IF(Atletas!U494="Taijiqiang E",957,IF(Atletas!U494="Taijidao F",958,IF(Atletas!U494="Taijishan F",959,IF(Atletas!U494="Taijiqiang F",960))))))))))))))))))))</f>
        <v/>
      </c>
      <c r="CF498" s="52" t="str">
        <f xml:space="preserve"> IF(Atletas!V494="","",IF(Atletas!V494="Duilian de Mãos AB - Equipe 1",1,IF(Atletas!V494="Duilian de Mãos AB - Equipe 2",2,IF(Atletas!V494="Duilian de Armas AB - Equipe 1",3,IF(Atletas!V494="Duilian de Armas AB - Equipe 2",4,IF(Atletas!V494="Duilian de Tuishou - Equipe 1",5,IF(Atletas!V494="Duilian de Tuishou - Equipe 2",6,IF(Atletas!V494="Grupo Externo AB - Equipe 1",7,IF(Atletas!V494="Grupo Externo AB - Equipe 2",8,IF(Atletas!V494="Grupo Interno AB - Equipe 1",9,IF(Atletas!V494="Grupo Interno AB - Equipe 2",10,IF(Atletas!V494="Duilian de Mãos CD - Equipe 1",11,IF(Atletas!V494="Duilian de Mãos CD - Equipe 2",12,IF(Atletas!V494="Duilian de Armas CD - Equipe 1",13,IF(Atletas!V494="Duilian de Armas CD - Equipe 2",14,IF(Atletas!V494="Duilian de Tuishou - Equipe 1",15,IF(Atletas!V494="Duilian de Tuishou - Equipe 2",16,IF(Atletas!V494="Grupo Externo CDEF - Equipe 1",17,IF(Atletas!V494="Grupo Externo CDEF - Equipe 2",18,IF(Atletas!V494="Grupo Interno CDEF - Equipe 1",19,IF(Atletas!V494="Grupo Interno CDEF - Equipe 2",20,IF(Atletas!V494="Duilian de Mãos EF - Equipe 1",21,IF(Atletas!V494="Duilian de Mãos EF - Equipe 2",22,IF(Atletas!V494="Duilian de Armas EF - Equipe 1",23,IF(Atletas!V494="Duilian de Armas EF - Equipe 2",24,IF(Atletas!V494="Duilian de Tuishou - Equipe 1",25,IF(Atletas!V494="Duilian de Tuishou - Equipe 2",26,"")))))))))))))))))))))))))))</f>
        <v/>
      </c>
    </row>
    <row r="499" spans="36:84">
      <c r="AJ499" s="46" t="str">
        <f>IF(Atletas!D495="","",IF(Atletas!B495="Feminino",100,IF(Atletas!B495="Masculino",200,""))+(IF(Atletas!D495="Infantil 39kg",1,IF(Atletas!D495="Infantil 42kg",2,IF(Atletas!D495="Infantil 45kg",3,IF(Atletas!D495="Infantil 48kg",4,IF(Atletas!D495="Infantil 52kg",5,IF(Atletas!D495="Infantil 56kg",6,IF(Atletas!D495="Infantil 60kg",7,IF(Atletas!D495="Juvenil 48kg",8,IF(Atletas!D495="Juvenil 52kg",9,IF(Atletas!D495="Juvenil 56kg",10,IF(Atletas!D495="Juvenil 60kg",11,IF(Atletas!D495="Juvenil 65kg",12,IF(Atletas!D495="Juvenil 70kg",13,IF(Atletas!D495="Juvenil 75kg",14,IF(Atletas!D495="Juvenil 80kg",15,IF(Atletas!D495="Adulto 48kg",16,IF(Atletas!D495="Adulto 52kg",17,IF(Atletas!D495="Adulto 56kg",18,IF(Atletas!D495="Adulto 60kg",19,IF(Atletas!D495="Adulto 65kg",20,IF(Atletas!D495="Adulto 70kg",21,IF(Atletas!D495="Adulto 75kg",22,IF(Atletas!D495="Adulto 80kg",23,IF(Atletas!D495="Adulto 85kg",24,IF(Atletas!D495="Adulto 90kg",25,IF(Atletas!D495="Adulto +90kg",26,""))))))))))))))))))))))))))))</f>
        <v/>
      </c>
      <c r="AO499" s="10" t="str">
        <f>IF(Atletas!E495="","",IF(Atletas!B495="Feminino",100,IF(Atletas!B495="Masculino",200,""))+(IF(Atletas!E495="Juvenil 44kg",1,IF(Atletas!E495="Juvenil 48kg",2,IF(Atletas!E495="Juvenil 52kg",3,IF(Atletas!E495="Juvenil 56kg",4,IF(Atletas!E495="Juvenil 60kg",5,IF(Atletas!E495="Juvenil 65kg",6,IF(Atletas!E495="Juvenil 70kg",7,IF(Atletas!E495="Juvenil 75kg",8,IF(Atletas!E495="Juvenil 82kg",9,IF(Atletas!E495="Juvenil 90kg",10,IF(Atletas!E495="Juvenil 100kg",11,IF(Atletas!E495="Adulto 48kg",12,IF(Atletas!E495="Adulto 52kg",13,IF(Atletas!E495="Adulto 56kg",14,IF(Atletas!E495="Adulto 60kg",15,IF(Atletas!E495="Adulto 65kg",16,IF(Atletas!E495="Adulto 70kg",17,IF(Atletas!E495="Adulto 75kg",18,IF(Atletas!E495="Adulto 82kg",19,IF(Atletas!E495="Adulto 90kg",20,IF(Atletas!E495="Adulto 100kg",21,IF(Atletas!E495="Adulto +100kg",22,""))))))))))))))))))))))))</f>
        <v/>
      </c>
      <c r="AT499" s="10" t="str">
        <f>IF(Atletas!F495="","",IF(Atletas!B495="Feminino",100,IF(Atletas!B495="Masculino",200,""))+(IF(Atletas!F495="Adulto 48kg",1,IF(Atletas!F495="Adulto 56kg",2,IF(Atletas!F495="Adulto 65kg",3,IF(Atletas!F495="Adulto 75kg",4,IF(Atletas!F495="Adulto +75kg",5,IF(Atletas!F495="Adulto 52kg",6,IF(Atletas!F495="Adulto 60kg",7,IF(Atletas!F495="Adulto 70kg",8,IF(Atletas!F495="Adulto 80kg",9,IF(Atletas!F495="Adulto 90kg",10,IF(Atletas!F495="Adulto +90kg",11,"")))))))))))))</f>
        <v/>
      </c>
      <c r="AY499" s="46" t="str">
        <f>IF(Atletas!G495="","",IF(Atletas!B495="Feminino",100,IF(Atletas!B495="Masculino",200,""))+(IF(Atletas!G495="Changquan Mirim",1,IF(Atletas!G495="Nanquan Mirim",2,IF(Atletas!G495="Taijiquan Mirim",3,IF(Atletas!G495="Changquan Grupo C",4,IF(Atletas!G495="Nanquan Grupo C",5,IF(Atletas!G495="Taijiquan Grupo C",6,IF(Atletas!G495="Changquan Grupo B",7,IF(Atletas!G495="Nanquan Grupo B",8,IF(Atletas!G495="Taijiquan Grupo B",9,IF(Atletas!G495="Changquan Grupo A",10,IF(Atletas!G495="Nanquan Grupo A",11,IF(Atletas!G495="Taijiquan Grupo A",12,IF(Atletas!G495="Changquan Opcional",13,IF(Atletas!G495="Nanquan Opcional",14,IF(Atletas!G495="Taijiquan Opcional",15,IF(Atletas!G495="Changquan Adulto",16,IF(Atletas!G495="Nanquan Adulto",17,IF(Atletas!G495="Taijiquan Adulto",18,""))))))))))))))))))))</f>
        <v/>
      </c>
      <c r="AZ499" s="46" t="str">
        <f>IF(Atletas!H495="","",IF(Atletas!B495="Feminino",100,IF(Atletas!B495="Masculino",200,""))+(IF(Atletas!H495="Daoshu Mirim",19,IF(Atletas!H495="Jianshu Mirim",20,IF(Atletas!H495="Nandao Mirim",21,IF(Atletas!H495="Taijijian Mirim",22,IF(Atletas!H495="Daoshu Grupo C",23,IF(Atletas!H495="Jianshu Grupo C",24,IF(Atletas!H495="Nandao Grupo C",25,IF(Atletas!H495="Taijijian Grupo C",26,IF(Atletas!H495="Daoshu Grupo B",27,IF(Atletas!H495="Jianshu Grupo B",28,IF(Atletas!H495="Nandao Grupo B",29,IF(Atletas!H495="Taijijian Grupo B",30,IF(Atletas!H495="Daoshu Grupo A",31,IF(Atletas!H495="Jianshu Grupo A",32,IF(Atletas!H495="Nandao Grupo A",33,IF(Atletas!H495="Taijijian Grupo A",34,IF(Atletas!H495="Daoshu Opcional",35,IF(Atletas!H495="Jianshu Opcional",36,IF(Atletas!H495="Nandao Opcional",37,IF(Atletas!H495="Taijijian Opcional",38,IF(Atletas!H495="Daoshu Adulto",39,IF(Atletas!H495="Jianshu Adulto",40,IF(Atletas!H495="Nandao Adulto",41,IF(Atletas!H495="Taijijian Adulto",42,""))))))))))))))))))))))))))</f>
        <v/>
      </c>
      <c r="BA499" s="46" t="str">
        <f>IF(Atletas!I495="","",IF(Atletas!B495="Feminino",100,IF(Atletas!B495="Masculino",200,""))+(IF(Atletas!I495="Gunshu Mirim",43,IF(Atletas!I495="Qiangshu Mirim",44,IF(Atletas!I495="Nangun Mirim",45,IF(Atletas!I495="Gunshu Grupo C",46,IF(Atletas!I495="Qiangshu Grupo C",47,IF(Atletas!I495="Nangun Grupo C",48,IF(Atletas!I495="Gunshu Grupo B",49,IF(Atletas!I495="Qiangshu Grupo B",50,IF(Atletas!I495="Nangun Grupo B",51,IF(Atletas!I495="Gunshu Grupo A",52,IF(Atletas!I495="Qiangshu Grupo A",53,IF(Atletas!I495="Nangun Grupo A",54,IF(Atletas!I495="Gunshu Opcional",55,IF(Atletas!I495="Qiangshu Opcional",56,IF(Atletas!I495="Nangun Opcional",57,IF(Atletas!I495="Gunshu Adulto",58,IF(Atletas!I495="Qiangshu Adulto",59,IF(Atletas!I495="Nangun Adulto",60,""))))))))))))))))))))</f>
        <v/>
      </c>
      <c r="BF499" s="52" t="str">
        <f>IF(Atletas!J495="","",IF(Atletas!B495="Feminino",100,IF(Atletas!B495="Masculino",200,""))+(IF(Atletas!J495="Equipe 1 Grupo B",1,IF(Atletas!J495="Equipe 2 Grupo B",2,IF(Atletas!J495="Equipe 1 Grupo A",3,IF(Atletas!J495="Equipe 2 Grupo A",4,IF(Atletas!J495="Equipe 1 Adulto",5,IF(Atletas!J495="Equipe 2 Adulto",6,""))))))))</f>
        <v/>
      </c>
      <c r="BK499" s="52" t="str">
        <f>IF(Atletas!K495="","",IF(Atletas!W495&lt;&gt;"",10000,0)+(IF(Atletas!B495="Feminino",1000,IF(Atletas!B495="Masculino",2000,""))+IF(Atletas!K495="Choylayfut A",1,IF(Atletas!K495="Hunggar A",2,IF(Atletas!K495="Wuzuquan A",3,IF(Atletas!K495="Wingchun A",4,IF(Atletas!K495="Outra Mão de Sul A",5,IF(Atletas!K495="Choylayfut B",6,IF(Atletas!K495="Hunggar B",7,IF(Atletas!K495="Wuzuquan B",8,IF(Atletas!K495="Wingchun B",9,IF(Atletas!K495="Outra Mão de Sul B",10,IF(Atletas!K495="Choylayfut C",11,IF(Atletas!K495="Hunggar C",12,IF(Atletas!K495="Wuzuquan C",13,IF(Atletas!K495="Wingchun C",14,IF(Atletas!K495="Outra Mão de Sul C",15,IF(Atletas!K495="Choylayfut D",16,IF(Atletas!K495="Hunggar D",17,IF(Atletas!K495="Wuzuquan D",18,IF(Atletas!K495="Wingchun D",19,IF(Atletas!K495="Outra Mão de Sul D",20,IF(Atletas!K495="Choylayfut E",21,IF(Atletas!K495="Hunggar E",22,IF(Atletas!K495="Wuzuquan E",23,IF(Atletas!K495="Wingchun E",24,IF(Atletas!K495="Outra Mão de Sul E",25,IF(Atletas!K495="Choylayfut F",26,IF(Atletas!K495="Hunggar F",27,IF(Atletas!K495="Wuzuquan F",28,IF(Atletas!K495="Wingchun F",29,IF(Atletas!K495="Outra Mão de Sul F",30,""))))))))))))))))))))))))))))))))</f>
        <v/>
      </c>
      <c r="BL499" s="52" t="str">
        <f>IF(Atletas!L495="","",IF(Atletas!W495&lt;&gt;"",10000,0)+(IF(Atletas!B495="Feminino",1000,IF(Atletas!B495="Masculino",2000,""))+(IF(Atletas!L495="Chaquan A",101,IF(Atletas!L495="Emeiquan A",102,IF(Atletas!L495="Fanziquan A",103,IF(Atletas!L495="Huaquan A",104,IF(Atletas!L495="Hongquan A",105,IF(Atletas!L495="Paochui A",106,IF(Atletas!L495="Piguaquan A",107,IF(Atletas!L495="Shaolinquan A",108,IF(Atletas!L495="Tanglangquan A",109,IF(Atletas!L495="Yinzhaophai A",110,IF(Atletas!L495="Tongbeiquan A",111,IF(Atletas!L495="Wudangquan A",112,IF(Atletas!L495="Outros Estilos A",113,IF(Atletas!L495="Chaquan B",114,IF(Atletas!L495="Emeiquan B",115,IF(Atletas!L495="Fanziquan B",116,IF(Atletas!L495="Huaquan B",117,IF(Atletas!L495="Hongquan B",118,IF(Atletas!L495="Paochui B",119,IF(Atletas!L495="Piguaquan B",120,IF(Atletas!L495="Shaolinquan B",121,IF(Atletas!L495="Tanglangquan B",122,IF(Atletas!L495="Yinzhaophai B",123,IF(Atletas!L495="Tongbeiquan B",124,IF(Atletas!L495="Wudangquan B",125,IF(Atletas!L495="Outros Estilos B",126,IF(Atletas!L495="Chaquan C",127,IF(Atletas!L495="Emeiquan C",128,IF(Atletas!L495="Fanziquan C",129,IF(Atletas!L495="Huaquan C",130,IF(Atletas!L495="Hongquan C",131,IF(Atletas!L495="Paochui C",132,IF(Atletas!L495="Piguaquan C",133,IF(Atletas!L495="Shaolinquan C",134,IF(Atletas!L495="Tanglangquan C",135,IF(Atletas!L495="Yinzhaophai C",136,IF(Atletas!L495="Tongbeiquan C",137,IF(Atletas!L495="Wudangquan C",138,IF(Atletas!L495="Outros Estilos C",139,0))))))))))))))))))))))))))))))))))))))))))</f>
        <v/>
      </c>
      <c r="BM499" s="52" t="str">
        <f>IF(Atletas!L495="","",IF(Atletas!W495&lt;&gt;"",10000,0)+(IF(Atletas!B495="Feminino",1000,IF(Atletas!B495="Masculino",2000,""))+(IF(Atletas!L495="Chaquan D",140,IF(Atletas!L495="Emeiquan D",141,IF(Atletas!L495="Fanziquan D",142,IF(Atletas!L495="Huaquan D",143,IF(Atletas!L495="Hongquan D",144,IF(Atletas!L495="Paochui D",145,IF(Atletas!L495="Piguaquan D",146,IF(Atletas!L495="Shaolinquan D",147,IF(Atletas!L495="Tanglangquan D",148,IF(Atletas!L495="Yinzhaophai D",149,IF(Atletas!L495="Tongbeiquan D",150,IF(Atletas!L495="Wudangquan D",151,IF(Atletas!L495="Outros Estilos D",152,IF(Atletas!L495="Chaquan E",153,IF(Atletas!L495="Emeiquan E",154,IF(Atletas!L495="Fanziquan E",155,IF(Atletas!L495="Huaquan E",156,IF(Atletas!L495="Hongquan E",157,IF(Atletas!L495="Paochui E",158,IF(Atletas!L495="Piguaquan E",159,IF(Atletas!L495="Shaolinquan E",160,IF(Atletas!L495="Tanglangquan E",161,IF(Atletas!L495="Yinzhaophai E",162,IF(Atletas!L495="Tongbeiquan E",163,IF(Atletas!L495="Wudangquan E",164,IF(Atletas!L495="Outros Estilos E",165,IF(Atletas!L495="Chaquan F",166,IF(Atletas!L495="Emeiquan F",167,IF(Atletas!L495="Fanziquan F",168,IF(Atletas!L495="Huaquan F",169,IF(Atletas!L495="Hongquan F",170,IF(Atletas!L495="Paochui F",171,IF(Atletas!L495="Piguaquan F",172,IF(Atletas!L495="Shaolinquan F",173,IF(Atletas!L495="Tanglangquan F",174,IF(Atletas!L495="Yinzhaophai F",175,IF(Atletas!L495="Tongbeiquan F",176,IF(Atletas!L495="Wudangquan F",177,IF(Atletas!L495="Outros Estilos F",178,0))))))))))))))))))))))))))))))))))))))))))</f>
        <v/>
      </c>
      <c r="BN499" s="52" t="str">
        <f>IF(Atletas!M495="","",IF(Atletas!W495&lt;&gt;"",10000,0)+(IF(Atletas!B495="Feminino",1000,IF(Atletas!B495="Masculino",2000,""))+(IF(Atletas!M495="Ditangquan A",201,IF(Atletas!M495="Houquan A",202,IF(Atletas!M495="Zuiquan A",203,IF(Atletas!M495="Ditangquan B",204,IF(Atletas!M495="Houquan B",205,IF(Atletas!M495="Zuiquan B",206,IF(Atletas!M495="Ditangquan C",207,IF(Atletas!M495="Houquan C",208,IF(Atletas!M495="Zuiquan C",209,IF(Atletas!M495="Ditangquan D",210,IF(Atletas!M495="Houquan D",211,IF(Atletas!M495="Zuiquan D",212,IF(Atletas!M495="Ditangquan E",213,IF(Atletas!M495="Houquan E",214,IF(Atletas!M495="Zuiquan E",215,IF(Atletas!M495="Ditangquan F",216,IF(Atletas!M495="Houquan F",217,IF(Atletas!M495="Zuiquan F",218,"")))))))))))))))))))))</f>
        <v/>
      </c>
      <c r="BO499" s="52" t="str">
        <f>IF(Atletas!N495="","",IF(Atletas!W495&lt;&gt;"",10000,0)+IF(Atletas!B495="Feminino",1000,IF(Atletas!B495="Masculino",2000,""))+IF(Atletas!N495="Yang A",301,IF(Atletas!N495="Chen A",30,IF(Atletas!N495="Sun A",303,IF(Atletas!N495="Wu A",304,IF(Atletas!N495="Wu-Hao A",305,IF(Atletas!N495="Outro Taijiquan A",306,IF(Atletas!N495="Yang B",307,IF(Atletas!N495="Chen B",308,IF(Atletas!N495="Sun B",309,IF(Atletas!N495="Wu B",310,IF(Atletas!N495="Wu-Hao B",311,IF(Atletas!N495="Outro Taijiquan B",312,IF(Atletas!N495="Yang C",313,IF(Atletas!N495="Chen C",314,IF(Atletas!N495="Sun C",315,IF(Atletas!N495="Wu C",316,IF(Atletas!N495="Wu-Hao C",317,IF(Atletas!N495="Outro Taijiquan C",318,IF(Atletas!N495="Yang D",319,IF(Atletas!N495="Chen D",320,IF(Atletas!N495="Sun D",321,IF(Atletas!N495="Wu D",322,IF(Atletas!N495="Wu-Hao D",323,IF(Atletas!N495="Outro Taijiquan D",324,IF(Atletas!N495="Yang E",325,IF(Atletas!N495="Chen E",326,IF(Atletas!N495="Sun E",327,IF(Atletas!N495="Wu E",328,IF(Atletas!N495="Wu-Hao E",329,IF(Atletas!N495="Outro Taijiquan E",330,IF(Atletas!N495="Yang F",331,IF(Atletas!N495="Chen F",332,IF(Atletas!N495="Sun F",333,IF(Atletas!N495="Wu F",334,IF(Atletas!N495="Wu-Hao F",335,IF(Atletas!N495="Outro Taijiquan F",336,"")))))))))))))))))))))))))))))))))))))</f>
        <v/>
      </c>
      <c r="BP499" s="52" t="str">
        <f>IF(Atletas!O495="","",IF(Atletas!W495&lt;&gt;"",10000,0)+IF(Atletas!B495="Feminino",1000,IF(Atletas!B495="Masculino",2000,""))+IF(OR(Atletas!O495="Yang 26 A",Atletas!O495="Yang 40 A"),401,IF(OR(Atletas!O495="Chen 25 A",Atletas!O495="Chen 36 A",Atletas!O495="Chen 56 A"),402,IF(Atletas!O495="Sun 73 A",403,IF(Atletas!O495="Wu 45 A",404,IF(Atletas!O495="Wu-Hao 46 A",405,IF(OR(Atletas!O495="Taijiquan 16 A",Atletas!O495="Taijiquan 24 A",Atletas!O495="Taijiquan 32 A",Atletas!O495="Taijiquan 42 A"),406,IF(OR(Atletas!O495="Yang 26 B",Atletas!O495="Yang 40 B"),407,IF(OR(Atletas!O495="Chen 25 B",Atletas!O495="Chen 36 B",Atletas!O495="Chen 56 B"),408,IF(Atletas!O495="Sun 73 B",409,IF(Atletas!O495="Wu 45 B",410,IF(Atletas!O495="Wu-Hao 46 B",411,IF(OR(Atletas!O495="Taijiquan 16 B",Atletas!O495="Taijiquan 24 B",Atletas!O495="Taijiquan 32 B",Atletas!O495="Taijiquan 42 B"),412,IF(OR(Atletas!O495="Yang 26 C",Atletas!O495="Yang 40 C"),413,IF(OR(Atletas!O495="Chen 25 C",Atletas!O495="Chen 36 C",Atletas!O495="Chen 56 C"),414,IF(Atletas!O495="Sun 73 C",415,IF(Atletas!O495="Wu 45 C",416,IF(Atletas!O495="Wu-Hao 46 C",417,IF(OR(Atletas!O495="Taijiquan 16 C",Atletas!O495="Taijiquan 24 C",Atletas!O495="Taijiquan 32 C",Atletas!O495="Taijiquan 42 C"),418,0)))))))))))))))))))</f>
        <v/>
      </c>
      <c r="BQ499" s="52" t="str">
        <f>IF(Atletas!O495="","",IF(Atletas!W495&lt;&gt;"",10000,0)+IF(Atletas!B495="Feminino",1000,IF(Atletas!B495="Masculino",2000,""))+IF(OR(Atletas!O495="Yang 26 D",Atletas!O495="Yang 40 D"),419,IF(OR(Atletas!O495="Chen 25 D",Atletas!O495="Chen 36 D",Atletas!O495="Chen 56 D"),420,IF(Atletas!O495="Sun 73 D",421,IF(Atletas!O495="Wu 45 D",422,IF(Atletas!O495="Wu-Hao 46 D",423,IF(OR(Atletas!O495="Taijiquan 16 D",Atletas!O495="Taijiquan 24 D",Atletas!O495="Taijiquan 32 D",Atletas!O495="Taijiquan 42 D"),424,IF(OR(Atletas!O495="Yang 26 E",Atletas!O495="Yang 40 E"),425,IF(OR(Atletas!O495="Chen 25 E",Atletas!O495="Chen 36 E",Atletas!O495="Chen 56 E"),426,IF(Atletas!O495="Sun 73 E",427,IF(Atletas!O495="Wu 45 E",428,IF(Atletas!O495="Wu-Hao 46 E",429,IF(OR(Atletas!O495="Taijiquan 16 E",Atletas!O495="Taijiquan 24 E",Atletas!O495="Taijiquan 32 E",Atletas!O495="Taijiquan 42 E"),430,IF(OR(Atletas!O495="Yang 26 F",Atletas!O495="Yang 40 F"),431,IF(OR(Atletas!O495="Chen 25 F",Atletas!O495="Chen 36 F",Atletas!O495="Chen 56 F"),432,IF(Atletas!O495="Sun 73 F",433,IF(Atletas!O495="Wu 45 F",434,IF(Atletas!O495="Wu-Hao 46 F",435,IF(OR(Atletas!O495="Taijiquan 16 F",Atletas!O495="Taijiquan 24 F",Atletas!O495="Taijiquan 32 F",Atletas!O495="Taijiquan 42 F"),436,0)))))))))))))))))))</f>
        <v/>
      </c>
      <c r="BR499" s="52" t="str">
        <f>IF(Atletas!P495="","",IF(Atletas!W495&lt;&gt;"",10000,0)+IF(Atletas!B495="Feminino",1000,IF(Atletas!B495="Masculino",2000,""))+IF(Atletas!P495="Xingyiquan A",501,IF(Atletas!P495="Baguazhang A",502,IF(Atletas!P495="Outro Estilo Interno A",503,IF(Atletas!P495="Xingyiquan B",504,IF(Atletas!P495="Baguazhang B",505,IF(Atletas!P495="Outro Estilo Interno B",506,IF(Atletas!P495="Xingyiquan C",507,IF(Atletas!P495="Baguazhang C",508,IF(Atletas!P495="Outro Estilo Interno C",509,IF(Atletas!P495="Xingyiquan D",510,IF(Atletas!P495="Baguazhang D",511,IF(Atletas!P495="Outro Estilo Interno D",512,IF(Atletas!P495="Xingyiquan E",513,IF(Atletas!P495="Baguazhang E",514,IF(Atletas!P495="Outro Estilo Interno E",515,IF(Atletas!P495="Xingyiquan F",516,IF(Atletas!P495="Baguazhang F",517,IF(Atletas!P495="Outro Estilo Interno F",518, "")))))))))))))))))))</f>
        <v/>
      </c>
      <c r="BS499" s="52" t="str">
        <f>IF(Atletas!Q495="","",IF(Atletas!W495&lt;&gt;"",10000,0)+IF(Atletas!B495="Feminino",1000,IF(Atletas!B495="Masculino",2000,""))+IF(Atletas!Q495="Dao A",601,IF(Atletas!Q495="Jian A",602,IF(Atletas!Q495="Bishou A",603,IF(Atletas!Q495="Shan A",604,IF(Atletas!Q495="Outra Arma Curta A",605,IF(Atletas!Q495="Dao B",606,IF(Atletas!Q495="Jian B",607,IF(Atletas!Q495="Bishou B",608,IF(Atletas!Q495="Shan B",609,IF(Atletas!Q495="Outra Arma Curta B",610,IF(Atletas!Q495="Dao C",611,IF(Atletas!Q495="Jian C",612,IF(Atletas!Q495="Bishou C",613,IF(Atletas!Q495="Shan C",614,IF(Atletas!Q495="Outra Arma Curta C",615,IF(Atletas!Q495="Dao D",616,IF(Atletas!Q495="Jian D",617,IF(Atletas!Q495="Bishou D",618,IF(Atletas!Q495="Shan D",619,IF(Atletas!Q495="Outra Arma Curta D",620,IF(Atletas!Q495="Dao E",621,IF(Atletas!Q495="Jian E",622,IF(Atletas!Q495="Bishou E",623,IF(Atletas!Q495="Shan E",624,IF(Atletas!Q495="Outra Arma Curta E",625,IF(Atletas!Q495="Dao F",626,IF(Atletas!Q495="Jian F",627,IF(Atletas!Q495="Bishou F",628,IF(Atletas!Q495="Shan F",629,IF(Atletas!Q495="Outra Arma Curta F",630, "")))))))))))))))))))))))))))))))</f>
        <v/>
      </c>
      <c r="BT499" s="52" t="str">
        <f>IF(Atletas!R495="","",IF(Atletas!W495&lt;&gt;"",10000,0)+IF(Atletas!B495="Feminino",1000,IF(Atletas!B495="Masculino",2000,""))+IF(Atletas!R495="Gun A",701,IF(Atletas!R495="Qiang A",702,IF(Atletas!R495="Pudao / Guandao A",703,IF(Atletas!R495="Outra Arma Longa A",704,IF(Atletas!R495="Gun B",705,IF(Atletas!R495="Qiang B",706,IF(Atletas!R495="Pudao / Guandao B",707,IF(Atletas!R495="Outra Arma Longa B",708,IF(Atletas!R495="Gun C",709,IF(Atletas!R495="Qiang C",710,IF(Atletas!R495="Pudao / Guandao C",711,IF(Atletas!R495="Outra Arma Longa C",712,IF(Atletas!R495="Gun D",713,IF(Atletas!R495="Qiang D",714,IF(Atletas!R495="Pudao / Guandao D",715,IF(Atletas!R495="Outra Arma Longa D",716,IF(Atletas!R495="Gun E",717,IF(Atletas!R495="Qiang E",718,IF(Atletas!R495="Pudao / Guandao E",719,IF(Atletas!R495="Outra Arma Longa E",720,IF(Atletas!R495="Gun F",721,IF(Atletas!R495="Qiang F",722,IF(Atletas!R495="Pudao / Guandao F",723,IF(Atletas!R495="Outra Arma Longa F",724,"")))))))))))))))))))))))))</f>
        <v/>
      </c>
      <c r="BU499" s="52" t="str">
        <f>IF(Atletas!S495="","",IF(Atletas!W495&lt;&gt;"",10000,0)+IF(Atletas!B495="Feminino",1000,IF(Atletas!B495="Masculino",2000,""))+IF(Atletas!S495="Arma Dupla A",801,IF(Atletas!S495="Arma Maleável A",802,IF(Atletas!S495="Arma Dupla B",803,IF(Atletas!S495="Arma Maleável B",804,IF(Atletas!S495="Arma Dupla C",805,IF(Atletas!S495="Arma Maleável C",806,IF(Atletas!S495="Arma Dupla D",807,IF(Atletas!S495="Arma Maleável D",808,IF(Atletas!S495="Arma Dupla E",809,IF(Atletas!S495="Arma Maleável E",810,IF(Atletas!S495="Arma Dupla F",811,IF(Atletas!S495="Arma Maleável F",812, "")))))))))))))</f>
        <v/>
      </c>
      <c r="BV499" s="52" t="str">
        <f>IF(Atletas!T495="","",IF(Atletas!W495&lt;&gt;"",10000,0)+IF(Atletas!B495="Feminino",1000,IF(Atletas!B495="Masculino",2000,""))+IF(Atletas!T495="Taijijian Yang A",901,IF(Atletas!T495="Taijijian Chen A",902,IF(Atletas!T495="Taijijian Sun A",903,IF(Atletas!T495="Taijijian Wu A",904,IF(Atletas!T495="Taijijian Wu-Hao A",905,IF(Atletas!T495="Taijijian 32 A",906,IF(Atletas!T495="Taijijian 42 A",907,IF(Atletas!T495="Taijijian Yang B",908,IF(Atletas!T495="Taijijian Chen B",909,IF(Atletas!T495="Taijijian Sun B",910,IF(Atletas!T495="Taijijian Wu B",911,IF(Atletas!T495="Taijijian Wu-Hao B",912,IF(Atletas!T495="Taijijian 32 B",913,IF(Atletas!T495="Taijijian 42 B",914,IF(Atletas!T495="Taijijian Yang C",915,IF(Atletas!T495="Taijijian Chen C",916,IF(Atletas!T495="Taijijian Sun C",917,IF(Atletas!T495="Taijijian Wu C",918,IF(Atletas!T495="Taijijian Wu-Hao C",919,IF(Atletas!T495="Taijijian 32 C",920,IF(Atletas!T495="Taijijian 42 C",921,IF(Atletas!T495="Taijijian Yang D",922,IF(Atletas!T495="Taijijian Chen D",923,IF(Atletas!T495="Taijijian Sun D",924,IF(Atletas!T495="Taijijian Wu D",925,IF(Atletas!T495="Taijijian Wu-Hao D",926,IF(Atletas!T495="Taijijian 32 D",927,IF(Atletas!T495="Taijijian 42 D",928,IF(Atletas!T495="Taijijian Yang E",929,IF(Atletas!T495="Taijijian Chen E",930,IF(Atletas!T495="Taijijian Sun E",931,IF(Atletas!T495="Taijijian Wu E",932,IF(Atletas!T495="Taijijian Wu-Hao E",933,IF(Atletas!T495="Taijijian 32 E",934,IF(Atletas!T495="Taijijian 42 E",935,IF(Atletas!T495="Taijijian Yang F",936,IF(Atletas!T495="Taijijian Chen F",937,IF(Atletas!T495="Taijijian Sun F",938,IF(Atletas!T495="Taijijian Wu F",939,IF(Atletas!T495="Taijijian Wu-Hao F",940,IF(Atletas!T495="Taijijian 32 F",941,IF(Atletas!T495="Taijijian 42 F",942,"")))))))))))))))))))))))))))))))))))))))))))</f>
        <v/>
      </c>
      <c r="BW499" s="52" t="str">
        <f>IF(Atletas!U495="","",IF(Atletas!W495&lt;&gt;"",10000,0)+IF(Atletas!B495="Feminino",1000,IF(Atletas!B495="Masculino",2000,""))+IF(Atletas!T495="Taijijian 42 F",942,IF(Atletas!U495="Taijidao A",943,IF(Atletas!U495="Taijishan A",944,IF(Atletas!U495="Taijiqiang A",945,IF(Atletas!U495="Taijidao B",946,IF(Atletas!U495="Taijishan B",947,IF(Atletas!U495="Taijiqiang B",948,IF(Atletas!U495="Taijidao C",949,IF(Atletas!U495="Taijishan C",950,IF(Atletas!U495="Taijiqiang C",951,IF(Atletas!U495="Taijidao D",952,IF(Atletas!U495="Taijishan D",953,IF(Atletas!U495="Taijiqiang D",954,IF(Atletas!U495="Taijidao E",955,IF(Atletas!U495="Taijishan E",956,IF(Atletas!U495="Taijiqiang E",957,IF(Atletas!U495="Taijidao F",958,IF(Atletas!U495="Taijishan F",959,IF(Atletas!U495="Taijiqiang F",960))))))))))))))))))))</f>
        <v/>
      </c>
      <c r="CF499" s="52" t="str">
        <f xml:space="preserve"> IF(Atletas!V495="","",IF(Atletas!V495="Duilian de Mãos AB - Equipe 1",1,IF(Atletas!V495="Duilian de Mãos AB - Equipe 2",2,IF(Atletas!V495="Duilian de Armas AB - Equipe 1",3,IF(Atletas!V495="Duilian de Armas AB - Equipe 2",4,IF(Atletas!V495="Duilian de Tuishou - Equipe 1",5,IF(Atletas!V495="Duilian de Tuishou - Equipe 2",6,IF(Atletas!V495="Grupo Externo AB - Equipe 1",7,IF(Atletas!V495="Grupo Externo AB - Equipe 2",8,IF(Atletas!V495="Grupo Interno AB - Equipe 1",9,IF(Atletas!V495="Grupo Interno AB - Equipe 2",10,IF(Atletas!V495="Duilian de Mãos CD - Equipe 1",11,IF(Atletas!V495="Duilian de Mãos CD - Equipe 2",12,IF(Atletas!V495="Duilian de Armas CD - Equipe 1",13,IF(Atletas!V495="Duilian de Armas CD - Equipe 2",14,IF(Atletas!V495="Duilian de Tuishou - Equipe 1",15,IF(Atletas!V495="Duilian de Tuishou - Equipe 2",16,IF(Atletas!V495="Grupo Externo CDEF - Equipe 1",17,IF(Atletas!V495="Grupo Externo CDEF - Equipe 2",18,IF(Atletas!V495="Grupo Interno CDEF - Equipe 1",19,IF(Atletas!V495="Grupo Interno CDEF - Equipe 2",20,IF(Atletas!V495="Duilian de Mãos EF - Equipe 1",21,IF(Atletas!V495="Duilian de Mãos EF - Equipe 2",22,IF(Atletas!V495="Duilian de Armas EF - Equipe 1",23,IF(Atletas!V495="Duilian de Armas EF - Equipe 2",24,IF(Atletas!V495="Duilian de Tuishou - Equipe 1",25,IF(Atletas!V495="Duilian de Tuishou - Equipe 2",26,"")))))))))))))))))))))))))))</f>
        <v/>
      </c>
    </row>
    <row r="500" spans="36:84">
      <c r="AJ500" s="46" t="str">
        <f>IF(Atletas!D496="","",IF(Atletas!B496="Feminino",100,IF(Atletas!B496="Masculino",200,""))+(IF(Atletas!D496="Infantil 39kg",1,IF(Atletas!D496="Infantil 42kg",2,IF(Atletas!D496="Infantil 45kg",3,IF(Atletas!D496="Infantil 48kg",4,IF(Atletas!D496="Infantil 52kg",5,IF(Atletas!D496="Infantil 56kg",6,IF(Atletas!D496="Infantil 60kg",7,IF(Atletas!D496="Juvenil 48kg",8,IF(Atletas!D496="Juvenil 52kg",9,IF(Atletas!D496="Juvenil 56kg",10,IF(Atletas!D496="Juvenil 60kg",11,IF(Atletas!D496="Juvenil 65kg",12,IF(Atletas!D496="Juvenil 70kg",13,IF(Atletas!D496="Juvenil 75kg",14,IF(Atletas!D496="Juvenil 80kg",15,IF(Atletas!D496="Adulto 48kg",16,IF(Atletas!D496="Adulto 52kg",17,IF(Atletas!D496="Adulto 56kg",18,IF(Atletas!D496="Adulto 60kg",19,IF(Atletas!D496="Adulto 65kg",20,IF(Atletas!D496="Adulto 70kg",21,IF(Atletas!D496="Adulto 75kg",22,IF(Atletas!D496="Adulto 80kg",23,IF(Atletas!D496="Adulto 85kg",24,IF(Atletas!D496="Adulto 90kg",25,IF(Atletas!D496="Adulto +90kg",26,""))))))))))))))))))))))))))))</f>
        <v/>
      </c>
      <c r="AO500" s="10" t="str">
        <f>IF(Atletas!E496="","",IF(Atletas!B496="Feminino",100,IF(Atletas!B496="Masculino",200,""))+(IF(Atletas!E496="Juvenil 44kg",1,IF(Atletas!E496="Juvenil 48kg",2,IF(Atletas!E496="Juvenil 52kg",3,IF(Atletas!E496="Juvenil 56kg",4,IF(Atletas!E496="Juvenil 60kg",5,IF(Atletas!E496="Juvenil 65kg",6,IF(Atletas!E496="Juvenil 70kg",7,IF(Atletas!E496="Juvenil 75kg",8,IF(Atletas!E496="Juvenil 82kg",9,IF(Atletas!E496="Juvenil 90kg",10,IF(Atletas!E496="Juvenil 100kg",11,IF(Atletas!E496="Adulto 48kg",12,IF(Atletas!E496="Adulto 52kg",13,IF(Atletas!E496="Adulto 56kg",14,IF(Atletas!E496="Adulto 60kg",15,IF(Atletas!E496="Adulto 65kg",16,IF(Atletas!E496="Adulto 70kg",17,IF(Atletas!E496="Adulto 75kg",18,IF(Atletas!E496="Adulto 82kg",19,IF(Atletas!E496="Adulto 90kg",20,IF(Atletas!E496="Adulto 100kg",21,IF(Atletas!E496="Adulto +100kg",22,""))))))))))))))))))))))))</f>
        <v/>
      </c>
      <c r="AT500" s="10" t="str">
        <f>IF(Atletas!F496="","",IF(Atletas!B496="Feminino",100,IF(Atletas!B496="Masculino",200,""))+(IF(Atletas!F496="Adulto 48kg",1,IF(Atletas!F496="Adulto 56kg",2,IF(Atletas!F496="Adulto 65kg",3,IF(Atletas!F496="Adulto 75kg",4,IF(Atletas!F496="Adulto +75kg",5,IF(Atletas!F496="Adulto 52kg",6,IF(Atletas!F496="Adulto 60kg",7,IF(Atletas!F496="Adulto 70kg",8,IF(Atletas!F496="Adulto 80kg",9,IF(Atletas!F496="Adulto 90kg",10,IF(Atletas!F496="Adulto +90kg",11,"")))))))))))))</f>
        <v/>
      </c>
      <c r="AY500" s="46" t="str">
        <f>IF(Atletas!G496="","",IF(Atletas!B496="Feminino",100,IF(Atletas!B496="Masculino",200,""))+(IF(Atletas!G496="Changquan Mirim",1,IF(Atletas!G496="Nanquan Mirim",2,IF(Atletas!G496="Taijiquan Mirim",3,IF(Atletas!G496="Changquan Grupo C",4,IF(Atletas!G496="Nanquan Grupo C",5,IF(Atletas!G496="Taijiquan Grupo C",6,IF(Atletas!G496="Changquan Grupo B",7,IF(Atletas!G496="Nanquan Grupo B",8,IF(Atletas!G496="Taijiquan Grupo B",9,IF(Atletas!G496="Changquan Grupo A",10,IF(Atletas!G496="Nanquan Grupo A",11,IF(Atletas!G496="Taijiquan Grupo A",12,IF(Atletas!G496="Changquan Opcional",13,IF(Atletas!G496="Nanquan Opcional",14,IF(Atletas!G496="Taijiquan Opcional",15,IF(Atletas!G496="Changquan Adulto",16,IF(Atletas!G496="Nanquan Adulto",17,IF(Atletas!G496="Taijiquan Adulto",18,""))))))))))))))))))))</f>
        <v/>
      </c>
      <c r="AZ500" s="46" t="str">
        <f>IF(Atletas!H496="","",IF(Atletas!B496="Feminino",100,IF(Atletas!B496="Masculino",200,""))+(IF(Atletas!H496="Daoshu Mirim",19,IF(Atletas!H496="Jianshu Mirim",20,IF(Atletas!H496="Nandao Mirim",21,IF(Atletas!H496="Taijijian Mirim",22,IF(Atletas!H496="Daoshu Grupo C",23,IF(Atletas!H496="Jianshu Grupo C",24,IF(Atletas!H496="Nandao Grupo C",25,IF(Atletas!H496="Taijijian Grupo C",26,IF(Atletas!H496="Daoshu Grupo B",27,IF(Atletas!H496="Jianshu Grupo B",28,IF(Atletas!H496="Nandao Grupo B",29,IF(Atletas!H496="Taijijian Grupo B",30,IF(Atletas!H496="Daoshu Grupo A",31,IF(Atletas!H496="Jianshu Grupo A",32,IF(Atletas!H496="Nandao Grupo A",33,IF(Atletas!H496="Taijijian Grupo A",34,IF(Atletas!H496="Daoshu Opcional",35,IF(Atletas!H496="Jianshu Opcional",36,IF(Atletas!H496="Nandao Opcional",37,IF(Atletas!H496="Taijijian Opcional",38,IF(Atletas!H496="Daoshu Adulto",39,IF(Atletas!H496="Jianshu Adulto",40,IF(Atletas!H496="Nandao Adulto",41,IF(Atletas!H496="Taijijian Adulto",42,""))))))))))))))))))))))))))</f>
        <v/>
      </c>
      <c r="BA500" s="46" t="str">
        <f>IF(Atletas!I496="","",IF(Atletas!B496="Feminino",100,IF(Atletas!B496="Masculino",200,""))+(IF(Atletas!I496="Gunshu Mirim",43,IF(Atletas!I496="Qiangshu Mirim",44,IF(Atletas!I496="Nangun Mirim",45,IF(Atletas!I496="Gunshu Grupo C",46,IF(Atletas!I496="Qiangshu Grupo C",47,IF(Atletas!I496="Nangun Grupo C",48,IF(Atletas!I496="Gunshu Grupo B",49,IF(Atletas!I496="Qiangshu Grupo B",50,IF(Atletas!I496="Nangun Grupo B",51,IF(Atletas!I496="Gunshu Grupo A",52,IF(Atletas!I496="Qiangshu Grupo A",53,IF(Atletas!I496="Nangun Grupo A",54,IF(Atletas!I496="Gunshu Opcional",55,IF(Atletas!I496="Qiangshu Opcional",56,IF(Atletas!I496="Nangun Opcional",57,IF(Atletas!I496="Gunshu Adulto",58,IF(Atletas!I496="Qiangshu Adulto",59,IF(Atletas!I496="Nangun Adulto",60,""))))))))))))))))))))</f>
        <v/>
      </c>
      <c r="BF500" s="52" t="str">
        <f>IF(Atletas!J496="","",IF(Atletas!B496="Feminino",100,IF(Atletas!B496="Masculino",200,""))+(IF(Atletas!J496="Equipe 1 Grupo B",1,IF(Atletas!J496="Equipe 2 Grupo B",2,IF(Atletas!J496="Equipe 1 Grupo A",3,IF(Atletas!J496="Equipe 2 Grupo A",4,IF(Atletas!J496="Equipe 1 Adulto",5,IF(Atletas!J496="Equipe 2 Adulto",6,""))))))))</f>
        <v/>
      </c>
      <c r="BK500" s="52" t="str">
        <f>IF(Atletas!K496="","",IF(Atletas!W496&lt;&gt;"",10000,0)+(IF(Atletas!B496="Feminino",1000,IF(Atletas!B496="Masculino",2000,""))+IF(Atletas!K496="Choylayfut A",1,IF(Atletas!K496="Hunggar A",2,IF(Atletas!K496="Wuzuquan A",3,IF(Atletas!K496="Wingchun A",4,IF(Atletas!K496="Outra Mão de Sul A",5,IF(Atletas!K496="Choylayfut B",6,IF(Atletas!K496="Hunggar B",7,IF(Atletas!K496="Wuzuquan B",8,IF(Atletas!K496="Wingchun B",9,IF(Atletas!K496="Outra Mão de Sul B",10,IF(Atletas!K496="Choylayfut C",11,IF(Atletas!K496="Hunggar C",12,IF(Atletas!K496="Wuzuquan C",13,IF(Atletas!K496="Wingchun C",14,IF(Atletas!K496="Outra Mão de Sul C",15,IF(Atletas!K496="Choylayfut D",16,IF(Atletas!K496="Hunggar D",17,IF(Atletas!K496="Wuzuquan D",18,IF(Atletas!K496="Wingchun D",19,IF(Atletas!K496="Outra Mão de Sul D",20,IF(Atletas!K496="Choylayfut E",21,IF(Atletas!K496="Hunggar E",22,IF(Atletas!K496="Wuzuquan E",23,IF(Atletas!K496="Wingchun E",24,IF(Atletas!K496="Outra Mão de Sul E",25,IF(Atletas!K496="Choylayfut F",26,IF(Atletas!K496="Hunggar F",27,IF(Atletas!K496="Wuzuquan F",28,IF(Atletas!K496="Wingchun F",29,IF(Atletas!K496="Outra Mão de Sul F",30,""))))))))))))))))))))))))))))))))</f>
        <v/>
      </c>
      <c r="BL500" s="52" t="str">
        <f>IF(Atletas!L496="","",IF(Atletas!W496&lt;&gt;"",10000,0)+(IF(Atletas!B496="Feminino",1000,IF(Atletas!B496="Masculino",2000,""))+(IF(Atletas!L496="Chaquan A",101,IF(Atletas!L496="Emeiquan A",102,IF(Atletas!L496="Fanziquan A",103,IF(Atletas!L496="Huaquan A",104,IF(Atletas!L496="Hongquan A",105,IF(Atletas!L496="Paochui A",106,IF(Atletas!L496="Piguaquan A",107,IF(Atletas!L496="Shaolinquan A",108,IF(Atletas!L496="Tanglangquan A",109,IF(Atletas!L496="Yinzhaophai A",110,IF(Atletas!L496="Tongbeiquan A",111,IF(Atletas!L496="Wudangquan A",112,IF(Atletas!L496="Outros Estilos A",113,IF(Atletas!L496="Chaquan B",114,IF(Atletas!L496="Emeiquan B",115,IF(Atletas!L496="Fanziquan B",116,IF(Atletas!L496="Huaquan B",117,IF(Atletas!L496="Hongquan B",118,IF(Atletas!L496="Paochui B",119,IF(Atletas!L496="Piguaquan B",120,IF(Atletas!L496="Shaolinquan B",121,IF(Atletas!L496="Tanglangquan B",122,IF(Atletas!L496="Yinzhaophai B",123,IF(Atletas!L496="Tongbeiquan B",124,IF(Atletas!L496="Wudangquan B",125,IF(Atletas!L496="Outros Estilos B",126,IF(Atletas!L496="Chaquan C",127,IF(Atletas!L496="Emeiquan C",128,IF(Atletas!L496="Fanziquan C",129,IF(Atletas!L496="Huaquan C",130,IF(Atletas!L496="Hongquan C",131,IF(Atletas!L496="Paochui C",132,IF(Atletas!L496="Piguaquan C",133,IF(Atletas!L496="Shaolinquan C",134,IF(Atletas!L496="Tanglangquan C",135,IF(Atletas!L496="Yinzhaophai C",136,IF(Atletas!L496="Tongbeiquan C",137,IF(Atletas!L496="Wudangquan C",138,IF(Atletas!L496="Outros Estilos C",139,0))))))))))))))))))))))))))))))))))))))))))</f>
        <v/>
      </c>
      <c r="BM500" s="52" t="str">
        <f>IF(Atletas!L496="","",IF(Atletas!W496&lt;&gt;"",10000,0)+(IF(Atletas!B496="Feminino",1000,IF(Atletas!B496="Masculino",2000,""))+(IF(Atletas!L496="Chaquan D",140,IF(Atletas!L496="Emeiquan D",141,IF(Atletas!L496="Fanziquan D",142,IF(Atletas!L496="Huaquan D",143,IF(Atletas!L496="Hongquan D",144,IF(Atletas!L496="Paochui D",145,IF(Atletas!L496="Piguaquan D",146,IF(Atletas!L496="Shaolinquan D",147,IF(Atletas!L496="Tanglangquan D",148,IF(Atletas!L496="Yinzhaophai D",149,IF(Atletas!L496="Tongbeiquan D",150,IF(Atletas!L496="Wudangquan D",151,IF(Atletas!L496="Outros Estilos D",152,IF(Atletas!L496="Chaquan E",153,IF(Atletas!L496="Emeiquan E",154,IF(Atletas!L496="Fanziquan E",155,IF(Atletas!L496="Huaquan E",156,IF(Atletas!L496="Hongquan E",157,IF(Atletas!L496="Paochui E",158,IF(Atletas!L496="Piguaquan E",159,IF(Atletas!L496="Shaolinquan E",160,IF(Atletas!L496="Tanglangquan E",161,IF(Atletas!L496="Yinzhaophai E",162,IF(Atletas!L496="Tongbeiquan E",163,IF(Atletas!L496="Wudangquan E",164,IF(Atletas!L496="Outros Estilos E",165,IF(Atletas!L496="Chaquan F",166,IF(Atletas!L496="Emeiquan F",167,IF(Atletas!L496="Fanziquan F",168,IF(Atletas!L496="Huaquan F",169,IF(Atletas!L496="Hongquan F",170,IF(Atletas!L496="Paochui F",171,IF(Atletas!L496="Piguaquan F",172,IF(Atletas!L496="Shaolinquan F",173,IF(Atletas!L496="Tanglangquan F",174,IF(Atletas!L496="Yinzhaophai F",175,IF(Atletas!L496="Tongbeiquan F",176,IF(Atletas!L496="Wudangquan F",177,IF(Atletas!L496="Outros Estilos F",178,0))))))))))))))))))))))))))))))))))))))))))</f>
        <v/>
      </c>
      <c r="BN500" s="52" t="str">
        <f>IF(Atletas!M496="","",IF(Atletas!W496&lt;&gt;"",10000,0)+(IF(Atletas!B496="Feminino",1000,IF(Atletas!B496="Masculino",2000,""))+(IF(Atletas!M496="Ditangquan A",201,IF(Atletas!M496="Houquan A",202,IF(Atletas!M496="Zuiquan A",203,IF(Atletas!M496="Ditangquan B",204,IF(Atletas!M496="Houquan B",205,IF(Atletas!M496="Zuiquan B",206,IF(Atletas!M496="Ditangquan C",207,IF(Atletas!M496="Houquan C",208,IF(Atletas!M496="Zuiquan C",209,IF(Atletas!M496="Ditangquan D",210,IF(Atletas!M496="Houquan D",211,IF(Atletas!M496="Zuiquan D",212,IF(Atletas!M496="Ditangquan E",213,IF(Atletas!M496="Houquan E",214,IF(Atletas!M496="Zuiquan E",215,IF(Atletas!M496="Ditangquan F",216,IF(Atletas!M496="Houquan F",217,IF(Atletas!M496="Zuiquan F",218,"")))))))))))))))))))))</f>
        <v/>
      </c>
      <c r="BO500" s="52" t="str">
        <f>IF(Atletas!N496="","",IF(Atletas!W496&lt;&gt;"",10000,0)+IF(Atletas!B496="Feminino",1000,IF(Atletas!B496="Masculino",2000,""))+IF(Atletas!N496="Yang A",301,IF(Atletas!N496="Chen A",30,IF(Atletas!N496="Sun A",303,IF(Atletas!N496="Wu A",304,IF(Atletas!N496="Wu-Hao A",305,IF(Atletas!N496="Outro Taijiquan A",306,IF(Atletas!N496="Yang B",307,IF(Atletas!N496="Chen B",308,IF(Atletas!N496="Sun B",309,IF(Atletas!N496="Wu B",310,IF(Atletas!N496="Wu-Hao B",311,IF(Atletas!N496="Outro Taijiquan B",312,IF(Atletas!N496="Yang C",313,IF(Atletas!N496="Chen C",314,IF(Atletas!N496="Sun C",315,IF(Atletas!N496="Wu C",316,IF(Atletas!N496="Wu-Hao C",317,IF(Atletas!N496="Outro Taijiquan C",318,IF(Atletas!N496="Yang D",319,IF(Atletas!N496="Chen D",320,IF(Atletas!N496="Sun D",321,IF(Atletas!N496="Wu D",322,IF(Atletas!N496="Wu-Hao D",323,IF(Atletas!N496="Outro Taijiquan D",324,IF(Atletas!N496="Yang E",325,IF(Atletas!N496="Chen E",326,IF(Atletas!N496="Sun E",327,IF(Atletas!N496="Wu E",328,IF(Atletas!N496="Wu-Hao E",329,IF(Atletas!N496="Outro Taijiquan E",330,IF(Atletas!N496="Yang F",331,IF(Atletas!N496="Chen F",332,IF(Atletas!N496="Sun F",333,IF(Atletas!N496="Wu F",334,IF(Atletas!N496="Wu-Hao F",335,IF(Atletas!N496="Outro Taijiquan F",336,"")))))))))))))))))))))))))))))))))))))</f>
        <v/>
      </c>
      <c r="BP500" s="52" t="str">
        <f>IF(Atletas!O496="","",IF(Atletas!W496&lt;&gt;"",10000,0)+IF(Atletas!B496="Feminino",1000,IF(Atletas!B496="Masculino",2000,""))+IF(OR(Atletas!O496="Yang 26 A",Atletas!O496="Yang 40 A"),401,IF(OR(Atletas!O496="Chen 25 A",Atletas!O496="Chen 36 A",Atletas!O496="Chen 56 A"),402,IF(Atletas!O496="Sun 73 A",403,IF(Atletas!O496="Wu 45 A",404,IF(Atletas!O496="Wu-Hao 46 A",405,IF(OR(Atletas!O496="Taijiquan 16 A",Atletas!O496="Taijiquan 24 A",Atletas!O496="Taijiquan 32 A",Atletas!O496="Taijiquan 42 A"),406,IF(OR(Atletas!O496="Yang 26 B",Atletas!O496="Yang 40 B"),407,IF(OR(Atletas!O496="Chen 25 B",Atletas!O496="Chen 36 B",Atletas!O496="Chen 56 B"),408,IF(Atletas!O496="Sun 73 B",409,IF(Atletas!O496="Wu 45 B",410,IF(Atletas!O496="Wu-Hao 46 B",411,IF(OR(Atletas!O496="Taijiquan 16 B",Atletas!O496="Taijiquan 24 B",Atletas!O496="Taijiquan 32 B",Atletas!O496="Taijiquan 42 B"),412,IF(OR(Atletas!O496="Yang 26 C",Atletas!O496="Yang 40 C"),413,IF(OR(Atletas!O496="Chen 25 C",Atletas!O496="Chen 36 C",Atletas!O496="Chen 56 C"),414,IF(Atletas!O496="Sun 73 C",415,IF(Atletas!O496="Wu 45 C",416,IF(Atletas!O496="Wu-Hao 46 C",417,IF(OR(Atletas!O496="Taijiquan 16 C",Atletas!O496="Taijiquan 24 C",Atletas!O496="Taijiquan 32 C",Atletas!O496="Taijiquan 42 C"),418,0)))))))))))))))))))</f>
        <v/>
      </c>
      <c r="BQ500" s="52" t="str">
        <f>IF(Atletas!O496="","",IF(Atletas!W496&lt;&gt;"",10000,0)+IF(Atletas!B496="Feminino",1000,IF(Atletas!B496="Masculino",2000,""))+IF(OR(Atletas!O496="Yang 26 D",Atletas!O496="Yang 40 D"),419,IF(OR(Atletas!O496="Chen 25 D",Atletas!O496="Chen 36 D",Atletas!O496="Chen 56 D"),420,IF(Atletas!O496="Sun 73 D",421,IF(Atletas!O496="Wu 45 D",422,IF(Atletas!O496="Wu-Hao 46 D",423,IF(OR(Atletas!O496="Taijiquan 16 D",Atletas!O496="Taijiquan 24 D",Atletas!O496="Taijiquan 32 D",Atletas!O496="Taijiquan 42 D"),424,IF(OR(Atletas!O496="Yang 26 E",Atletas!O496="Yang 40 E"),425,IF(OR(Atletas!O496="Chen 25 E",Atletas!O496="Chen 36 E",Atletas!O496="Chen 56 E"),426,IF(Atletas!O496="Sun 73 E",427,IF(Atletas!O496="Wu 45 E",428,IF(Atletas!O496="Wu-Hao 46 E",429,IF(OR(Atletas!O496="Taijiquan 16 E",Atletas!O496="Taijiquan 24 E",Atletas!O496="Taijiquan 32 E",Atletas!O496="Taijiquan 42 E"),430,IF(OR(Atletas!O496="Yang 26 F",Atletas!O496="Yang 40 F"),431,IF(OR(Atletas!O496="Chen 25 F",Atletas!O496="Chen 36 F",Atletas!O496="Chen 56 F"),432,IF(Atletas!O496="Sun 73 F",433,IF(Atletas!O496="Wu 45 F",434,IF(Atletas!O496="Wu-Hao 46 F",435,IF(OR(Atletas!O496="Taijiquan 16 F",Atletas!O496="Taijiquan 24 F",Atletas!O496="Taijiquan 32 F",Atletas!O496="Taijiquan 42 F"),436,0)))))))))))))))))))</f>
        <v/>
      </c>
      <c r="BR500" s="52" t="str">
        <f>IF(Atletas!P496="","",IF(Atletas!W496&lt;&gt;"",10000,0)+IF(Atletas!B496="Feminino",1000,IF(Atletas!B496="Masculino",2000,""))+IF(Atletas!P496="Xingyiquan A",501,IF(Atletas!P496="Baguazhang A",502,IF(Atletas!P496="Outro Estilo Interno A",503,IF(Atletas!P496="Xingyiquan B",504,IF(Atletas!P496="Baguazhang B",505,IF(Atletas!P496="Outro Estilo Interno B",506,IF(Atletas!P496="Xingyiquan C",507,IF(Atletas!P496="Baguazhang C",508,IF(Atletas!P496="Outro Estilo Interno C",509,IF(Atletas!P496="Xingyiquan D",510,IF(Atletas!P496="Baguazhang D",511,IF(Atletas!P496="Outro Estilo Interno D",512,IF(Atletas!P496="Xingyiquan E",513,IF(Atletas!P496="Baguazhang E",514,IF(Atletas!P496="Outro Estilo Interno E",515,IF(Atletas!P496="Xingyiquan F",516,IF(Atletas!P496="Baguazhang F",517,IF(Atletas!P496="Outro Estilo Interno F",518, "")))))))))))))))))))</f>
        <v/>
      </c>
      <c r="BS500" s="52" t="str">
        <f>IF(Atletas!Q496="","",IF(Atletas!W496&lt;&gt;"",10000,0)+IF(Atletas!B496="Feminino",1000,IF(Atletas!B496="Masculino",2000,""))+IF(Atletas!Q496="Dao A",601,IF(Atletas!Q496="Jian A",602,IF(Atletas!Q496="Bishou A",603,IF(Atletas!Q496="Shan A",604,IF(Atletas!Q496="Outra Arma Curta A",605,IF(Atletas!Q496="Dao B",606,IF(Atletas!Q496="Jian B",607,IF(Atletas!Q496="Bishou B",608,IF(Atletas!Q496="Shan B",609,IF(Atletas!Q496="Outra Arma Curta B",610,IF(Atletas!Q496="Dao C",611,IF(Atletas!Q496="Jian C",612,IF(Atletas!Q496="Bishou C",613,IF(Atletas!Q496="Shan C",614,IF(Atletas!Q496="Outra Arma Curta C",615,IF(Atletas!Q496="Dao D",616,IF(Atletas!Q496="Jian D",617,IF(Atletas!Q496="Bishou D",618,IF(Atletas!Q496="Shan D",619,IF(Atletas!Q496="Outra Arma Curta D",620,IF(Atletas!Q496="Dao E",621,IF(Atletas!Q496="Jian E",622,IF(Atletas!Q496="Bishou E",623,IF(Atletas!Q496="Shan E",624,IF(Atletas!Q496="Outra Arma Curta E",625,IF(Atletas!Q496="Dao F",626,IF(Atletas!Q496="Jian F",627,IF(Atletas!Q496="Bishou F",628,IF(Atletas!Q496="Shan F",629,IF(Atletas!Q496="Outra Arma Curta F",630, "")))))))))))))))))))))))))))))))</f>
        <v/>
      </c>
      <c r="BT500" s="52" t="str">
        <f>IF(Atletas!R496="","",IF(Atletas!W496&lt;&gt;"",10000,0)+IF(Atletas!B496="Feminino",1000,IF(Atletas!B496="Masculino",2000,""))+IF(Atletas!R496="Gun A",701,IF(Atletas!R496="Qiang A",702,IF(Atletas!R496="Pudao / Guandao A",703,IF(Atletas!R496="Outra Arma Longa A",704,IF(Atletas!R496="Gun B",705,IF(Atletas!R496="Qiang B",706,IF(Atletas!R496="Pudao / Guandao B",707,IF(Atletas!R496="Outra Arma Longa B",708,IF(Atletas!R496="Gun C",709,IF(Atletas!R496="Qiang C",710,IF(Atletas!R496="Pudao / Guandao C",711,IF(Atletas!R496="Outra Arma Longa C",712,IF(Atletas!R496="Gun D",713,IF(Atletas!R496="Qiang D",714,IF(Atletas!R496="Pudao / Guandao D",715,IF(Atletas!R496="Outra Arma Longa D",716,IF(Atletas!R496="Gun E",717,IF(Atletas!R496="Qiang E",718,IF(Atletas!R496="Pudao / Guandao E",719,IF(Atletas!R496="Outra Arma Longa E",720,IF(Atletas!R496="Gun F",721,IF(Atletas!R496="Qiang F",722,IF(Atletas!R496="Pudao / Guandao F",723,IF(Atletas!R496="Outra Arma Longa F",724,"")))))))))))))))))))))))))</f>
        <v/>
      </c>
      <c r="BU500" s="52" t="str">
        <f>IF(Atletas!S496="","",IF(Atletas!W496&lt;&gt;"",10000,0)+IF(Atletas!B496="Feminino",1000,IF(Atletas!B496="Masculino",2000,""))+IF(Atletas!S496="Arma Dupla A",801,IF(Atletas!S496="Arma Maleável A",802,IF(Atletas!S496="Arma Dupla B",803,IF(Atletas!S496="Arma Maleável B",804,IF(Atletas!S496="Arma Dupla C",805,IF(Atletas!S496="Arma Maleável C",806,IF(Atletas!S496="Arma Dupla D",807,IF(Atletas!S496="Arma Maleável D",808,IF(Atletas!S496="Arma Dupla E",809,IF(Atletas!S496="Arma Maleável E",810,IF(Atletas!S496="Arma Dupla F",811,IF(Atletas!S496="Arma Maleável F",812, "")))))))))))))</f>
        <v/>
      </c>
      <c r="BV500" s="52" t="str">
        <f>IF(Atletas!T496="","",IF(Atletas!W496&lt;&gt;"",10000,0)+IF(Atletas!B496="Feminino",1000,IF(Atletas!B496="Masculino",2000,""))+IF(Atletas!T496="Taijijian Yang A",901,IF(Atletas!T496="Taijijian Chen A",902,IF(Atletas!T496="Taijijian Sun A",903,IF(Atletas!T496="Taijijian Wu A",904,IF(Atletas!T496="Taijijian Wu-Hao A",905,IF(Atletas!T496="Taijijian 32 A",906,IF(Atletas!T496="Taijijian 42 A",907,IF(Atletas!T496="Taijijian Yang B",908,IF(Atletas!T496="Taijijian Chen B",909,IF(Atletas!T496="Taijijian Sun B",910,IF(Atletas!T496="Taijijian Wu B",911,IF(Atletas!T496="Taijijian Wu-Hao B",912,IF(Atletas!T496="Taijijian 32 B",913,IF(Atletas!T496="Taijijian 42 B",914,IF(Atletas!T496="Taijijian Yang C",915,IF(Atletas!T496="Taijijian Chen C",916,IF(Atletas!T496="Taijijian Sun C",917,IF(Atletas!T496="Taijijian Wu C",918,IF(Atletas!T496="Taijijian Wu-Hao C",919,IF(Atletas!T496="Taijijian 32 C",920,IF(Atletas!T496="Taijijian 42 C",921,IF(Atletas!T496="Taijijian Yang D",922,IF(Atletas!T496="Taijijian Chen D",923,IF(Atletas!T496="Taijijian Sun D",924,IF(Atletas!T496="Taijijian Wu D",925,IF(Atletas!T496="Taijijian Wu-Hao D",926,IF(Atletas!T496="Taijijian 32 D",927,IF(Atletas!T496="Taijijian 42 D",928,IF(Atletas!T496="Taijijian Yang E",929,IF(Atletas!T496="Taijijian Chen E",930,IF(Atletas!T496="Taijijian Sun E",931,IF(Atletas!T496="Taijijian Wu E",932,IF(Atletas!T496="Taijijian Wu-Hao E",933,IF(Atletas!T496="Taijijian 32 E",934,IF(Atletas!T496="Taijijian 42 E",935,IF(Atletas!T496="Taijijian Yang F",936,IF(Atletas!T496="Taijijian Chen F",937,IF(Atletas!T496="Taijijian Sun F",938,IF(Atletas!T496="Taijijian Wu F",939,IF(Atletas!T496="Taijijian Wu-Hao F",940,IF(Atletas!T496="Taijijian 32 F",941,IF(Atletas!T496="Taijijian 42 F",942,"")))))))))))))))))))))))))))))))))))))))))))</f>
        <v/>
      </c>
      <c r="BW500" s="52" t="str">
        <f>IF(Atletas!U496="","",IF(Atletas!W496&lt;&gt;"",10000,0)+IF(Atletas!B496="Feminino",1000,IF(Atletas!B496="Masculino",2000,""))+IF(Atletas!T496="Taijijian 42 F",942,IF(Atletas!U496="Taijidao A",943,IF(Atletas!U496="Taijishan A",944,IF(Atletas!U496="Taijiqiang A",945,IF(Atletas!U496="Taijidao B",946,IF(Atletas!U496="Taijishan B",947,IF(Atletas!U496="Taijiqiang B",948,IF(Atletas!U496="Taijidao C",949,IF(Atletas!U496="Taijishan C",950,IF(Atletas!U496="Taijiqiang C",951,IF(Atletas!U496="Taijidao D",952,IF(Atletas!U496="Taijishan D",953,IF(Atletas!U496="Taijiqiang D",954,IF(Atletas!U496="Taijidao E",955,IF(Atletas!U496="Taijishan E",956,IF(Atletas!U496="Taijiqiang E",957,IF(Atletas!U496="Taijidao F",958,IF(Atletas!U496="Taijishan F",959,IF(Atletas!U496="Taijiqiang F",960))))))))))))))))))))</f>
        <v/>
      </c>
      <c r="CF500" s="52" t="str">
        <f xml:space="preserve"> IF(Atletas!V496="","",IF(Atletas!V496="Duilian de Mãos AB - Equipe 1",1,IF(Atletas!V496="Duilian de Mãos AB - Equipe 2",2,IF(Atletas!V496="Duilian de Armas AB - Equipe 1",3,IF(Atletas!V496="Duilian de Armas AB - Equipe 2",4,IF(Atletas!V496="Duilian de Tuishou - Equipe 1",5,IF(Atletas!V496="Duilian de Tuishou - Equipe 2",6,IF(Atletas!V496="Grupo Externo AB - Equipe 1",7,IF(Atletas!V496="Grupo Externo AB - Equipe 2",8,IF(Atletas!V496="Grupo Interno AB - Equipe 1",9,IF(Atletas!V496="Grupo Interno AB - Equipe 2",10,IF(Atletas!V496="Duilian de Mãos CD - Equipe 1",11,IF(Atletas!V496="Duilian de Mãos CD - Equipe 2",12,IF(Atletas!V496="Duilian de Armas CD - Equipe 1",13,IF(Atletas!V496="Duilian de Armas CD - Equipe 2",14,IF(Atletas!V496="Duilian de Tuishou - Equipe 1",15,IF(Atletas!V496="Duilian de Tuishou - Equipe 2",16,IF(Atletas!V496="Grupo Externo CDEF - Equipe 1",17,IF(Atletas!V496="Grupo Externo CDEF - Equipe 2",18,IF(Atletas!V496="Grupo Interno CDEF - Equipe 1",19,IF(Atletas!V496="Grupo Interno CDEF - Equipe 2",20,IF(Atletas!V496="Duilian de Mãos EF - Equipe 1",21,IF(Atletas!V496="Duilian de Mãos EF - Equipe 2",22,IF(Atletas!V496="Duilian de Armas EF - Equipe 1",23,IF(Atletas!V496="Duilian de Armas EF - Equipe 2",24,IF(Atletas!V496="Duilian de Tuishou - Equipe 1",25,IF(Atletas!V496="Duilian de Tuishou - Equipe 2",26,"")))))))))))))))))))))))))))</f>
        <v/>
      </c>
    </row>
    <row r="501" spans="36:84">
      <c r="AJ501" s="46" t="str">
        <f>IF(Atletas!D497="","",IF(Atletas!B497="Feminino",100,IF(Atletas!B497="Masculino",200,""))+(IF(Atletas!D497="Infantil 39kg",1,IF(Atletas!D497="Infantil 42kg",2,IF(Atletas!D497="Infantil 45kg",3,IF(Atletas!D497="Infantil 48kg",4,IF(Atletas!D497="Infantil 52kg",5,IF(Atletas!D497="Infantil 56kg",6,IF(Atletas!D497="Infantil 60kg",7,IF(Atletas!D497="Juvenil 48kg",8,IF(Atletas!D497="Juvenil 52kg",9,IF(Atletas!D497="Juvenil 56kg",10,IF(Atletas!D497="Juvenil 60kg",11,IF(Atletas!D497="Juvenil 65kg",12,IF(Atletas!D497="Juvenil 70kg",13,IF(Atletas!D497="Juvenil 75kg",14,IF(Atletas!D497="Juvenil 80kg",15,IF(Atletas!D497="Adulto 48kg",16,IF(Atletas!D497="Adulto 52kg",17,IF(Atletas!D497="Adulto 56kg",18,IF(Atletas!D497="Adulto 60kg",19,IF(Atletas!D497="Adulto 65kg",20,IF(Atletas!D497="Adulto 70kg",21,IF(Atletas!D497="Adulto 75kg",22,IF(Atletas!D497="Adulto 80kg",23,IF(Atletas!D497="Adulto 85kg",24,IF(Atletas!D497="Adulto 90kg",25,IF(Atletas!D497="Adulto +90kg",26,""))))))))))))))))))))))))))))</f>
        <v/>
      </c>
      <c r="AO501" s="10" t="str">
        <f>IF(Atletas!E497="","",IF(Atletas!B497="Feminino",100,IF(Atletas!B497="Masculino",200,""))+(IF(Atletas!E497="Juvenil 44kg",1,IF(Atletas!E497="Juvenil 48kg",2,IF(Atletas!E497="Juvenil 52kg",3,IF(Atletas!E497="Juvenil 56kg",4,IF(Atletas!E497="Juvenil 60kg",5,IF(Atletas!E497="Juvenil 65kg",6,IF(Atletas!E497="Juvenil 70kg",7,IF(Atletas!E497="Juvenil 75kg",8,IF(Atletas!E497="Juvenil 82kg",9,IF(Atletas!E497="Juvenil 90kg",10,IF(Atletas!E497="Juvenil 100kg",11,IF(Atletas!E497="Adulto 48kg",12,IF(Atletas!E497="Adulto 52kg",13,IF(Atletas!E497="Adulto 56kg",14,IF(Atletas!E497="Adulto 60kg",15,IF(Atletas!E497="Adulto 65kg",16,IF(Atletas!E497="Adulto 70kg",17,IF(Atletas!E497="Adulto 75kg",18,IF(Atletas!E497="Adulto 82kg",19,IF(Atletas!E497="Adulto 90kg",20,IF(Atletas!E497="Adulto 100kg",21,IF(Atletas!E497="Adulto +100kg",22,""))))))))))))))))))))))))</f>
        <v/>
      </c>
      <c r="AT501" s="10" t="str">
        <f>IF(Atletas!F497="","",IF(Atletas!B497="Feminino",100,IF(Atletas!B497="Masculino",200,""))+(IF(Atletas!F497="Adulto 48kg",1,IF(Atletas!F497="Adulto 56kg",2,IF(Atletas!F497="Adulto 65kg",3,IF(Atletas!F497="Adulto 75kg",4,IF(Atletas!F497="Adulto +75kg",5,IF(Atletas!F497="Adulto 52kg",6,IF(Atletas!F497="Adulto 60kg",7,IF(Atletas!F497="Adulto 70kg",8,IF(Atletas!F497="Adulto 80kg",9,IF(Atletas!F497="Adulto 90kg",10,IF(Atletas!F497="Adulto +90kg",11,"")))))))))))))</f>
        <v/>
      </c>
      <c r="AY501" s="46" t="str">
        <f>IF(Atletas!G497="","",IF(Atletas!B497="Feminino",100,IF(Atletas!B497="Masculino",200,""))+(IF(Atletas!G497="Changquan Mirim",1,IF(Atletas!G497="Nanquan Mirim",2,IF(Atletas!G497="Taijiquan Mirim",3,IF(Atletas!G497="Changquan Grupo C",4,IF(Atletas!G497="Nanquan Grupo C",5,IF(Atletas!G497="Taijiquan Grupo C",6,IF(Atletas!G497="Changquan Grupo B",7,IF(Atletas!G497="Nanquan Grupo B",8,IF(Atletas!G497="Taijiquan Grupo B",9,IF(Atletas!G497="Changquan Grupo A",10,IF(Atletas!G497="Nanquan Grupo A",11,IF(Atletas!G497="Taijiquan Grupo A",12,IF(Atletas!G497="Changquan Opcional",13,IF(Atletas!G497="Nanquan Opcional",14,IF(Atletas!G497="Taijiquan Opcional",15,IF(Atletas!G497="Changquan Adulto",16,IF(Atletas!G497="Nanquan Adulto",17,IF(Atletas!G497="Taijiquan Adulto",18,""))))))))))))))))))))</f>
        <v/>
      </c>
      <c r="AZ501" s="46" t="str">
        <f>IF(Atletas!H497="","",IF(Atletas!B497="Feminino",100,IF(Atletas!B497="Masculino",200,""))+(IF(Atletas!H497="Daoshu Mirim",19,IF(Atletas!H497="Jianshu Mirim",20,IF(Atletas!H497="Nandao Mirim",21,IF(Atletas!H497="Taijijian Mirim",22,IF(Atletas!H497="Daoshu Grupo C",23,IF(Atletas!H497="Jianshu Grupo C",24,IF(Atletas!H497="Nandao Grupo C",25,IF(Atletas!H497="Taijijian Grupo C",26,IF(Atletas!H497="Daoshu Grupo B",27,IF(Atletas!H497="Jianshu Grupo B",28,IF(Atletas!H497="Nandao Grupo B",29,IF(Atletas!H497="Taijijian Grupo B",30,IF(Atletas!H497="Daoshu Grupo A",31,IF(Atletas!H497="Jianshu Grupo A",32,IF(Atletas!H497="Nandao Grupo A",33,IF(Atletas!H497="Taijijian Grupo A",34,IF(Atletas!H497="Daoshu Opcional",35,IF(Atletas!H497="Jianshu Opcional",36,IF(Atletas!H497="Nandao Opcional",37,IF(Atletas!H497="Taijijian Opcional",38,IF(Atletas!H497="Daoshu Adulto",39,IF(Atletas!H497="Jianshu Adulto",40,IF(Atletas!H497="Nandao Adulto",41,IF(Atletas!H497="Taijijian Adulto",42,""))))))))))))))))))))))))))</f>
        <v/>
      </c>
      <c r="BA501" s="46" t="str">
        <f>IF(Atletas!I497="","",IF(Atletas!B497="Feminino",100,IF(Atletas!B497="Masculino",200,""))+(IF(Atletas!I497="Gunshu Mirim",43,IF(Atletas!I497="Qiangshu Mirim",44,IF(Atletas!I497="Nangun Mirim",45,IF(Atletas!I497="Gunshu Grupo C",46,IF(Atletas!I497="Qiangshu Grupo C",47,IF(Atletas!I497="Nangun Grupo C",48,IF(Atletas!I497="Gunshu Grupo B",49,IF(Atletas!I497="Qiangshu Grupo B",50,IF(Atletas!I497="Nangun Grupo B",51,IF(Atletas!I497="Gunshu Grupo A",52,IF(Atletas!I497="Qiangshu Grupo A",53,IF(Atletas!I497="Nangun Grupo A",54,IF(Atletas!I497="Gunshu Opcional",55,IF(Atletas!I497="Qiangshu Opcional",56,IF(Atletas!I497="Nangun Opcional",57,IF(Atletas!I497="Gunshu Adulto",58,IF(Atletas!I497="Qiangshu Adulto",59,IF(Atletas!I497="Nangun Adulto",60,""))))))))))))))))))))</f>
        <v/>
      </c>
      <c r="BF501" s="52" t="str">
        <f>IF(Atletas!J497="","",IF(Atletas!B497="Feminino",100,IF(Atletas!B497="Masculino",200,""))+(IF(Atletas!J497="Equipe 1 Grupo B",1,IF(Atletas!J497="Equipe 2 Grupo B",2,IF(Atletas!J497="Equipe 1 Grupo A",3,IF(Atletas!J497="Equipe 2 Grupo A",4,IF(Atletas!J497="Equipe 1 Adulto",5,IF(Atletas!J497="Equipe 2 Adulto",6,""))))))))</f>
        <v/>
      </c>
      <c r="BK501" s="52" t="str">
        <f>IF(Atletas!K497="","",IF(Atletas!W497&lt;&gt;"",10000,0)+(IF(Atletas!B497="Feminino",1000,IF(Atletas!B497="Masculino",2000,""))+IF(Atletas!K497="Choylayfut A",1,IF(Atletas!K497="Hunggar A",2,IF(Atletas!K497="Wuzuquan A",3,IF(Atletas!K497="Wingchun A",4,IF(Atletas!K497="Outra Mão de Sul A",5,IF(Atletas!K497="Choylayfut B",6,IF(Atletas!K497="Hunggar B",7,IF(Atletas!K497="Wuzuquan B",8,IF(Atletas!K497="Wingchun B",9,IF(Atletas!K497="Outra Mão de Sul B",10,IF(Atletas!K497="Choylayfut C",11,IF(Atletas!K497="Hunggar C",12,IF(Atletas!K497="Wuzuquan C",13,IF(Atletas!K497="Wingchun C",14,IF(Atletas!K497="Outra Mão de Sul C",15,IF(Atletas!K497="Choylayfut D",16,IF(Atletas!K497="Hunggar D",17,IF(Atletas!K497="Wuzuquan D",18,IF(Atletas!K497="Wingchun D",19,IF(Atletas!K497="Outra Mão de Sul D",20,IF(Atletas!K497="Choylayfut E",21,IF(Atletas!K497="Hunggar E",22,IF(Atletas!K497="Wuzuquan E",23,IF(Atletas!K497="Wingchun E",24,IF(Atletas!K497="Outra Mão de Sul E",25,IF(Atletas!K497="Choylayfut F",26,IF(Atletas!K497="Hunggar F",27,IF(Atletas!K497="Wuzuquan F",28,IF(Atletas!K497="Wingchun F",29,IF(Atletas!K497="Outra Mão de Sul F",30,""))))))))))))))))))))))))))))))))</f>
        <v/>
      </c>
      <c r="BL501" s="52" t="str">
        <f>IF(Atletas!L497="","",IF(Atletas!W497&lt;&gt;"",10000,0)+(IF(Atletas!B497="Feminino",1000,IF(Atletas!B497="Masculino",2000,""))+(IF(Atletas!L497="Chaquan A",101,IF(Atletas!L497="Emeiquan A",102,IF(Atletas!L497="Fanziquan A",103,IF(Atletas!L497="Huaquan A",104,IF(Atletas!L497="Hongquan A",105,IF(Atletas!L497="Paochui A",106,IF(Atletas!L497="Piguaquan A",107,IF(Atletas!L497="Shaolinquan A",108,IF(Atletas!L497="Tanglangquan A",109,IF(Atletas!L497="Yinzhaophai A",110,IF(Atletas!L497="Tongbeiquan A",111,IF(Atletas!L497="Wudangquan A",112,IF(Atletas!L497="Outros Estilos A",113,IF(Atletas!L497="Chaquan B",114,IF(Atletas!L497="Emeiquan B",115,IF(Atletas!L497="Fanziquan B",116,IF(Atletas!L497="Huaquan B",117,IF(Atletas!L497="Hongquan B",118,IF(Atletas!L497="Paochui B",119,IF(Atletas!L497="Piguaquan B",120,IF(Atletas!L497="Shaolinquan B",121,IF(Atletas!L497="Tanglangquan B",122,IF(Atletas!L497="Yinzhaophai B",123,IF(Atletas!L497="Tongbeiquan B",124,IF(Atletas!L497="Wudangquan B",125,IF(Atletas!L497="Outros Estilos B",126,IF(Atletas!L497="Chaquan C",127,IF(Atletas!L497="Emeiquan C",128,IF(Atletas!L497="Fanziquan C",129,IF(Atletas!L497="Huaquan C",130,IF(Atletas!L497="Hongquan C",131,IF(Atletas!L497="Paochui C",132,IF(Atletas!L497="Piguaquan C",133,IF(Atletas!L497="Shaolinquan C",134,IF(Atletas!L497="Tanglangquan C",135,IF(Atletas!L497="Yinzhaophai C",136,IF(Atletas!L497="Tongbeiquan C",137,IF(Atletas!L497="Wudangquan C",138,IF(Atletas!L497="Outros Estilos C",139,0))))))))))))))))))))))))))))))))))))))))))</f>
        <v/>
      </c>
      <c r="BM501" s="52" t="str">
        <f>IF(Atletas!L497="","",IF(Atletas!W497&lt;&gt;"",10000,0)+(IF(Atletas!B497="Feminino",1000,IF(Atletas!B497="Masculino",2000,""))+(IF(Atletas!L497="Chaquan D",140,IF(Atletas!L497="Emeiquan D",141,IF(Atletas!L497="Fanziquan D",142,IF(Atletas!L497="Huaquan D",143,IF(Atletas!L497="Hongquan D",144,IF(Atletas!L497="Paochui D",145,IF(Atletas!L497="Piguaquan D",146,IF(Atletas!L497="Shaolinquan D",147,IF(Atletas!L497="Tanglangquan D",148,IF(Atletas!L497="Yinzhaophai D",149,IF(Atletas!L497="Tongbeiquan D",150,IF(Atletas!L497="Wudangquan D",151,IF(Atletas!L497="Outros Estilos D",152,IF(Atletas!L497="Chaquan E",153,IF(Atletas!L497="Emeiquan E",154,IF(Atletas!L497="Fanziquan E",155,IF(Atletas!L497="Huaquan E",156,IF(Atletas!L497="Hongquan E",157,IF(Atletas!L497="Paochui E",158,IF(Atletas!L497="Piguaquan E",159,IF(Atletas!L497="Shaolinquan E",160,IF(Atletas!L497="Tanglangquan E",161,IF(Atletas!L497="Yinzhaophai E",162,IF(Atletas!L497="Tongbeiquan E",163,IF(Atletas!L497="Wudangquan E",164,IF(Atletas!L497="Outros Estilos E",165,IF(Atletas!L497="Chaquan F",166,IF(Atletas!L497="Emeiquan F",167,IF(Atletas!L497="Fanziquan F",168,IF(Atletas!L497="Huaquan F",169,IF(Atletas!L497="Hongquan F",170,IF(Atletas!L497="Paochui F",171,IF(Atletas!L497="Piguaquan F",172,IF(Atletas!L497="Shaolinquan F",173,IF(Atletas!L497="Tanglangquan F",174,IF(Atletas!L497="Yinzhaophai F",175,IF(Atletas!L497="Tongbeiquan F",176,IF(Atletas!L497="Wudangquan F",177,IF(Atletas!L497="Outros Estilos F",178,0))))))))))))))))))))))))))))))))))))))))))</f>
        <v/>
      </c>
      <c r="BN501" s="52" t="str">
        <f>IF(Atletas!M497="","",IF(Atletas!W497&lt;&gt;"",10000,0)+(IF(Atletas!B497="Feminino",1000,IF(Atletas!B497="Masculino",2000,""))+(IF(Atletas!M497="Ditangquan A",201,IF(Atletas!M497="Houquan A",202,IF(Atletas!M497="Zuiquan A",203,IF(Atletas!M497="Ditangquan B",204,IF(Atletas!M497="Houquan B",205,IF(Atletas!M497="Zuiquan B",206,IF(Atletas!M497="Ditangquan C",207,IF(Atletas!M497="Houquan C",208,IF(Atletas!M497="Zuiquan C",209,IF(Atletas!M497="Ditangquan D",210,IF(Atletas!M497="Houquan D",211,IF(Atletas!M497="Zuiquan D",212,IF(Atletas!M497="Ditangquan E",213,IF(Atletas!M497="Houquan E",214,IF(Atletas!M497="Zuiquan E",215,IF(Atletas!M497="Ditangquan F",216,IF(Atletas!M497="Houquan F",217,IF(Atletas!M497="Zuiquan F",218,"")))))))))))))))))))))</f>
        <v/>
      </c>
      <c r="BO501" s="52" t="str">
        <f>IF(Atletas!N497="","",IF(Atletas!W497&lt;&gt;"",10000,0)+IF(Atletas!B497="Feminino",1000,IF(Atletas!B497="Masculino",2000,""))+IF(Atletas!N497="Yang A",301,IF(Atletas!N497="Chen A",30,IF(Atletas!N497="Sun A",303,IF(Atletas!N497="Wu A",304,IF(Atletas!N497="Wu-Hao A",305,IF(Atletas!N497="Outro Taijiquan A",306,IF(Atletas!N497="Yang B",307,IF(Atletas!N497="Chen B",308,IF(Atletas!N497="Sun B",309,IF(Atletas!N497="Wu B",310,IF(Atletas!N497="Wu-Hao B",311,IF(Atletas!N497="Outro Taijiquan B",312,IF(Atletas!N497="Yang C",313,IF(Atletas!N497="Chen C",314,IF(Atletas!N497="Sun C",315,IF(Atletas!N497="Wu C",316,IF(Atletas!N497="Wu-Hao C",317,IF(Atletas!N497="Outro Taijiquan C",318,IF(Atletas!N497="Yang D",319,IF(Atletas!N497="Chen D",320,IF(Atletas!N497="Sun D",321,IF(Atletas!N497="Wu D",322,IF(Atletas!N497="Wu-Hao D",323,IF(Atletas!N497="Outro Taijiquan D",324,IF(Atletas!N497="Yang E",325,IF(Atletas!N497="Chen E",326,IF(Atletas!N497="Sun E",327,IF(Atletas!N497="Wu E",328,IF(Atletas!N497="Wu-Hao E",329,IF(Atletas!N497="Outro Taijiquan E",330,IF(Atletas!N497="Yang F",331,IF(Atletas!N497="Chen F",332,IF(Atletas!N497="Sun F",333,IF(Atletas!N497="Wu F",334,IF(Atletas!N497="Wu-Hao F",335,IF(Atletas!N497="Outro Taijiquan F",336,"")))))))))))))))))))))))))))))))))))))</f>
        <v/>
      </c>
      <c r="BP501" s="52" t="str">
        <f>IF(Atletas!O497="","",IF(Atletas!W497&lt;&gt;"",10000,0)+IF(Atletas!B497="Feminino",1000,IF(Atletas!B497="Masculino",2000,""))+IF(OR(Atletas!O497="Yang 26 A",Atletas!O497="Yang 40 A"),401,IF(OR(Atletas!O497="Chen 25 A",Atletas!O497="Chen 36 A",Atletas!O497="Chen 56 A"),402,IF(Atletas!O497="Sun 73 A",403,IF(Atletas!O497="Wu 45 A",404,IF(Atletas!O497="Wu-Hao 46 A",405,IF(OR(Atletas!O497="Taijiquan 16 A",Atletas!O497="Taijiquan 24 A",Atletas!O497="Taijiquan 32 A",Atletas!O497="Taijiquan 42 A"),406,IF(OR(Atletas!O497="Yang 26 B",Atletas!O497="Yang 40 B"),407,IF(OR(Atletas!O497="Chen 25 B",Atletas!O497="Chen 36 B",Atletas!O497="Chen 56 B"),408,IF(Atletas!O497="Sun 73 B",409,IF(Atletas!O497="Wu 45 B",410,IF(Atletas!O497="Wu-Hao 46 B",411,IF(OR(Atletas!O497="Taijiquan 16 B",Atletas!O497="Taijiquan 24 B",Atletas!O497="Taijiquan 32 B",Atletas!O497="Taijiquan 42 B"),412,IF(OR(Atletas!O497="Yang 26 C",Atletas!O497="Yang 40 C"),413,IF(OR(Atletas!O497="Chen 25 C",Atletas!O497="Chen 36 C",Atletas!O497="Chen 56 C"),414,IF(Atletas!O497="Sun 73 C",415,IF(Atletas!O497="Wu 45 C",416,IF(Atletas!O497="Wu-Hao 46 C",417,IF(OR(Atletas!O497="Taijiquan 16 C",Atletas!O497="Taijiquan 24 C",Atletas!O497="Taijiquan 32 C",Atletas!O497="Taijiquan 42 C"),418,0)))))))))))))))))))</f>
        <v/>
      </c>
      <c r="BQ501" s="52" t="str">
        <f>IF(Atletas!O497="","",IF(Atletas!W497&lt;&gt;"",10000,0)+IF(Atletas!B497="Feminino",1000,IF(Atletas!B497="Masculino",2000,""))+IF(OR(Atletas!O497="Yang 26 D",Atletas!O497="Yang 40 D"),419,IF(OR(Atletas!O497="Chen 25 D",Atletas!O497="Chen 36 D",Atletas!O497="Chen 56 D"),420,IF(Atletas!O497="Sun 73 D",421,IF(Atletas!O497="Wu 45 D",422,IF(Atletas!O497="Wu-Hao 46 D",423,IF(OR(Atletas!O497="Taijiquan 16 D",Atletas!O497="Taijiquan 24 D",Atletas!O497="Taijiquan 32 D",Atletas!O497="Taijiquan 42 D"),424,IF(OR(Atletas!O497="Yang 26 E",Atletas!O497="Yang 40 E"),425,IF(OR(Atletas!O497="Chen 25 E",Atletas!O497="Chen 36 E",Atletas!O497="Chen 56 E"),426,IF(Atletas!O497="Sun 73 E",427,IF(Atletas!O497="Wu 45 E",428,IF(Atletas!O497="Wu-Hao 46 E",429,IF(OR(Atletas!O497="Taijiquan 16 E",Atletas!O497="Taijiquan 24 E",Atletas!O497="Taijiquan 32 E",Atletas!O497="Taijiquan 42 E"),430,IF(OR(Atletas!O497="Yang 26 F",Atletas!O497="Yang 40 F"),431,IF(OR(Atletas!O497="Chen 25 F",Atletas!O497="Chen 36 F",Atletas!O497="Chen 56 F"),432,IF(Atletas!O497="Sun 73 F",433,IF(Atletas!O497="Wu 45 F",434,IF(Atletas!O497="Wu-Hao 46 F",435,IF(OR(Atletas!O497="Taijiquan 16 F",Atletas!O497="Taijiquan 24 F",Atletas!O497="Taijiquan 32 F",Atletas!O497="Taijiquan 42 F"),436,0)))))))))))))))))))</f>
        <v/>
      </c>
      <c r="BR501" s="52" t="str">
        <f>IF(Atletas!P497="","",IF(Atletas!W497&lt;&gt;"",10000,0)+IF(Atletas!B497="Feminino",1000,IF(Atletas!B497="Masculino",2000,""))+IF(Atletas!P497="Xingyiquan A",501,IF(Atletas!P497="Baguazhang A",502,IF(Atletas!P497="Outro Estilo Interno A",503,IF(Atletas!P497="Xingyiquan B",504,IF(Atletas!P497="Baguazhang B",505,IF(Atletas!P497="Outro Estilo Interno B",506,IF(Atletas!P497="Xingyiquan C",507,IF(Atletas!P497="Baguazhang C",508,IF(Atletas!P497="Outro Estilo Interno C",509,IF(Atletas!P497="Xingyiquan D",510,IF(Atletas!P497="Baguazhang D",511,IF(Atletas!P497="Outro Estilo Interno D",512,IF(Atletas!P497="Xingyiquan E",513,IF(Atletas!P497="Baguazhang E",514,IF(Atletas!P497="Outro Estilo Interno E",515,IF(Atletas!P497="Xingyiquan F",516,IF(Atletas!P497="Baguazhang F",517,IF(Atletas!P497="Outro Estilo Interno F",518, "")))))))))))))))))))</f>
        <v/>
      </c>
      <c r="BS501" s="52" t="str">
        <f>IF(Atletas!Q497="","",IF(Atletas!W497&lt;&gt;"",10000,0)+IF(Atletas!B497="Feminino",1000,IF(Atletas!B497="Masculino",2000,""))+IF(Atletas!Q497="Dao A",601,IF(Atletas!Q497="Jian A",602,IF(Atletas!Q497="Bishou A",603,IF(Atletas!Q497="Shan A",604,IF(Atletas!Q497="Outra Arma Curta A",605,IF(Atletas!Q497="Dao B",606,IF(Atletas!Q497="Jian B",607,IF(Atletas!Q497="Bishou B",608,IF(Atletas!Q497="Shan B",609,IF(Atletas!Q497="Outra Arma Curta B",610,IF(Atletas!Q497="Dao C",611,IF(Atletas!Q497="Jian C",612,IF(Atletas!Q497="Bishou C",613,IF(Atletas!Q497="Shan C",614,IF(Atletas!Q497="Outra Arma Curta C",615,IF(Atletas!Q497="Dao D",616,IF(Atletas!Q497="Jian D",617,IF(Atletas!Q497="Bishou D",618,IF(Atletas!Q497="Shan D",619,IF(Atletas!Q497="Outra Arma Curta D",620,IF(Atletas!Q497="Dao E",621,IF(Atletas!Q497="Jian E",622,IF(Atletas!Q497="Bishou E",623,IF(Atletas!Q497="Shan E",624,IF(Atletas!Q497="Outra Arma Curta E",625,IF(Atletas!Q497="Dao F",626,IF(Atletas!Q497="Jian F",627,IF(Atletas!Q497="Bishou F",628,IF(Atletas!Q497="Shan F",629,IF(Atletas!Q497="Outra Arma Curta F",630, "")))))))))))))))))))))))))))))))</f>
        <v/>
      </c>
      <c r="BT501" s="52" t="str">
        <f>IF(Atletas!R497="","",IF(Atletas!W497&lt;&gt;"",10000,0)+IF(Atletas!B497="Feminino",1000,IF(Atletas!B497="Masculino",2000,""))+IF(Atletas!R497="Gun A",701,IF(Atletas!R497="Qiang A",702,IF(Atletas!R497="Pudao / Guandao A",703,IF(Atletas!R497="Outra Arma Longa A",704,IF(Atletas!R497="Gun B",705,IF(Atletas!R497="Qiang B",706,IF(Atletas!R497="Pudao / Guandao B",707,IF(Atletas!R497="Outra Arma Longa B",708,IF(Atletas!R497="Gun C",709,IF(Atletas!R497="Qiang C",710,IF(Atletas!R497="Pudao / Guandao C",711,IF(Atletas!R497="Outra Arma Longa C",712,IF(Atletas!R497="Gun D",713,IF(Atletas!R497="Qiang D",714,IF(Atletas!R497="Pudao / Guandao D",715,IF(Atletas!R497="Outra Arma Longa D",716,IF(Atletas!R497="Gun E",717,IF(Atletas!R497="Qiang E",718,IF(Atletas!R497="Pudao / Guandao E",719,IF(Atletas!R497="Outra Arma Longa E",720,IF(Atletas!R497="Gun F",721,IF(Atletas!R497="Qiang F",722,IF(Atletas!R497="Pudao / Guandao F",723,IF(Atletas!R497="Outra Arma Longa F",724,"")))))))))))))))))))))))))</f>
        <v/>
      </c>
      <c r="BU501" s="52" t="str">
        <f>IF(Atletas!S497="","",IF(Atletas!W497&lt;&gt;"",10000,0)+IF(Atletas!B497="Feminino",1000,IF(Atletas!B497="Masculino",2000,""))+IF(Atletas!S497="Arma Dupla A",801,IF(Atletas!S497="Arma Maleável A",802,IF(Atletas!S497="Arma Dupla B",803,IF(Atletas!S497="Arma Maleável B",804,IF(Atletas!S497="Arma Dupla C",805,IF(Atletas!S497="Arma Maleável C",806,IF(Atletas!S497="Arma Dupla D",807,IF(Atletas!S497="Arma Maleável D",808,IF(Atletas!S497="Arma Dupla E",809,IF(Atletas!S497="Arma Maleável E",810,IF(Atletas!S497="Arma Dupla F",811,IF(Atletas!S497="Arma Maleável F",812, "")))))))))))))</f>
        <v/>
      </c>
      <c r="BV501" s="52" t="str">
        <f>IF(Atletas!T497="","",IF(Atletas!W497&lt;&gt;"",10000,0)+IF(Atletas!B497="Feminino",1000,IF(Atletas!B497="Masculino",2000,""))+IF(Atletas!T497="Taijijian Yang A",901,IF(Atletas!T497="Taijijian Chen A",902,IF(Atletas!T497="Taijijian Sun A",903,IF(Atletas!T497="Taijijian Wu A",904,IF(Atletas!T497="Taijijian Wu-Hao A",905,IF(Atletas!T497="Taijijian 32 A",906,IF(Atletas!T497="Taijijian 42 A",907,IF(Atletas!T497="Taijijian Yang B",908,IF(Atletas!T497="Taijijian Chen B",909,IF(Atletas!T497="Taijijian Sun B",910,IF(Atletas!T497="Taijijian Wu B",911,IF(Atletas!T497="Taijijian Wu-Hao B",912,IF(Atletas!T497="Taijijian 32 B",913,IF(Atletas!T497="Taijijian 42 B",914,IF(Atletas!T497="Taijijian Yang C",915,IF(Atletas!T497="Taijijian Chen C",916,IF(Atletas!T497="Taijijian Sun C",917,IF(Atletas!T497="Taijijian Wu C",918,IF(Atletas!T497="Taijijian Wu-Hao C",919,IF(Atletas!T497="Taijijian 32 C",920,IF(Atletas!T497="Taijijian 42 C",921,IF(Atletas!T497="Taijijian Yang D",922,IF(Atletas!T497="Taijijian Chen D",923,IF(Atletas!T497="Taijijian Sun D",924,IF(Atletas!T497="Taijijian Wu D",925,IF(Atletas!T497="Taijijian Wu-Hao D",926,IF(Atletas!T497="Taijijian 32 D",927,IF(Atletas!T497="Taijijian 42 D",928,IF(Atletas!T497="Taijijian Yang E",929,IF(Atletas!T497="Taijijian Chen E",930,IF(Atletas!T497="Taijijian Sun E",931,IF(Atletas!T497="Taijijian Wu E",932,IF(Atletas!T497="Taijijian Wu-Hao E",933,IF(Atletas!T497="Taijijian 32 E",934,IF(Atletas!T497="Taijijian 42 E",935,IF(Atletas!T497="Taijijian Yang F",936,IF(Atletas!T497="Taijijian Chen F",937,IF(Atletas!T497="Taijijian Sun F",938,IF(Atletas!T497="Taijijian Wu F",939,IF(Atletas!T497="Taijijian Wu-Hao F",940,IF(Atletas!T497="Taijijian 32 F",941,IF(Atletas!T497="Taijijian 42 F",942,"")))))))))))))))))))))))))))))))))))))))))))</f>
        <v/>
      </c>
      <c r="BW501" s="52" t="str">
        <f>IF(Atletas!U497="","",IF(Atletas!W497&lt;&gt;"",10000,0)+IF(Atletas!B497="Feminino",1000,IF(Atletas!B497="Masculino",2000,""))+IF(Atletas!T497="Taijijian 42 F",942,IF(Atletas!U497="Taijidao A",943,IF(Atletas!U497="Taijishan A",944,IF(Atletas!U497="Taijiqiang A",945,IF(Atletas!U497="Taijidao B",946,IF(Atletas!U497="Taijishan B",947,IF(Atletas!U497="Taijiqiang B",948,IF(Atletas!U497="Taijidao C",949,IF(Atletas!U497="Taijishan C",950,IF(Atletas!U497="Taijiqiang C",951,IF(Atletas!U497="Taijidao D",952,IF(Atletas!U497="Taijishan D",953,IF(Atletas!U497="Taijiqiang D",954,IF(Atletas!U497="Taijidao E",955,IF(Atletas!U497="Taijishan E",956,IF(Atletas!U497="Taijiqiang E",957,IF(Atletas!U497="Taijidao F",958,IF(Atletas!U497="Taijishan F",959,IF(Atletas!U497="Taijiqiang F",960))))))))))))))))))))</f>
        <v/>
      </c>
      <c r="CF501" s="52" t="str">
        <f xml:space="preserve"> IF(Atletas!V497="","",IF(Atletas!V497="Duilian de Mãos AB - Equipe 1",1,IF(Atletas!V497="Duilian de Mãos AB - Equipe 2",2,IF(Atletas!V497="Duilian de Armas AB - Equipe 1",3,IF(Atletas!V497="Duilian de Armas AB - Equipe 2",4,IF(Atletas!V497="Duilian de Tuishou - Equipe 1",5,IF(Atletas!V497="Duilian de Tuishou - Equipe 2",6,IF(Atletas!V497="Grupo Externo AB - Equipe 1",7,IF(Atletas!V497="Grupo Externo AB - Equipe 2",8,IF(Atletas!V497="Grupo Interno AB - Equipe 1",9,IF(Atletas!V497="Grupo Interno AB - Equipe 2",10,IF(Atletas!V497="Duilian de Mãos CD - Equipe 1",11,IF(Atletas!V497="Duilian de Mãos CD - Equipe 2",12,IF(Atletas!V497="Duilian de Armas CD - Equipe 1",13,IF(Atletas!V497="Duilian de Armas CD - Equipe 2",14,IF(Atletas!V497="Duilian de Tuishou - Equipe 1",15,IF(Atletas!V497="Duilian de Tuishou - Equipe 2",16,IF(Atletas!V497="Grupo Externo CDEF - Equipe 1",17,IF(Atletas!V497="Grupo Externo CDEF - Equipe 2",18,IF(Atletas!V497="Grupo Interno CDEF - Equipe 1",19,IF(Atletas!V497="Grupo Interno CDEF - Equipe 2",20,IF(Atletas!V497="Duilian de Mãos EF - Equipe 1",21,IF(Atletas!V497="Duilian de Mãos EF - Equipe 2",22,IF(Atletas!V497="Duilian de Armas EF - Equipe 1",23,IF(Atletas!V497="Duilian de Armas EF - Equipe 2",24,IF(Atletas!V497="Duilian de Tuishou - Equipe 1",25,IF(Atletas!V497="Duilian de Tuishou - Equipe 2",26,"")))))))))))))))))))))))))))</f>
        <v/>
      </c>
    </row>
    <row r="502" spans="36:84">
      <c r="AJ502" s="46" t="str">
        <f>IF(Atletas!D498="","",IF(Atletas!B498="Feminino",100,IF(Atletas!B498="Masculino",200,""))+(IF(Atletas!D498="Infantil 39kg",1,IF(Atletas!D498="Infantil 42kg",2,IF(Atletas!D498="Infantil 45kg",3,IF(Atletas!D498="Infantil 48kg",4,IF(Atletas!D498="Infantil 52kg",5,IF(Atletas!D498="Infantil 56kg",6,IF(Atletas!D498="Infantil 60kg",7,IF(Atletas!D498="Juvenil 48kg",8,IF(Atletas!D498="Juvenil 52kg",9,IF(Atletas!D498="Juvenil 56kg",10,IF(Atletas!D498="Juvenil 60kg",11,IF(Atletas!D498="Juvenil 65kg",12,IF(Atletas!D498="Juvenil 70kg",13,IF(Atletas!D498="Juvenil 75kg",14,IF(Atletas!D498="Juvenil 80kg",15,IF(Atletas!D498="Adulto 48kg",16,IF(Atletas!D498="Adulto 52kg",17,IF(Atletas!D498="Adulto 56kg",18,IF(Atletas!D498="Adulto 60kg",19,IF(Atletas!D498="Adulto 65kg",20,IF(Atletas!D498="Adulto 70kg",21,IF(Atletas!D498="Adulto 75kg",22,IF(Atletas!D498="Adulto 80kg",23,IF(Atletas!D498="Adulto 85kg",24,IF(Atletas!D498="Adulto 90kg",25,IF(Atletas!D498="Adulto +90kg",26,""))))))))))))))))))))))))))))</f>
        <v/>
      </c>
      <c r="AO502" s="10" t="str">
        <f>IF(Atletas!E498="","",IF(Atletas!B498="Feminino",100,IF(Atletas!B498="Masculino",200,""))+(IF(Atletas!E498="Juvenil 44kg",1,IF(Atletas!E498="Juvenil 48kg",2,IF(Atletas!E498="Juvenil 52kg",3,IF(Atletas!E498="Juvenil 56kg",4,IF(Atletas!E498="Juvenil 60kg",5,IF(Atletas!E498="Juvenil 65kg",6,IF(Atletas!E498="Juvenil 70kg",7,IF(Atletas!E498="Juvenil 75kg",8,IF(Atletas!E498="Juvenil 82kg",9,IF(Atletas!E498="Juvenil 90kg",10,IF(Atletas!E498="Juvenil 100kg",11,IF(Atletas!E498="Adulto 48kg",12,IF(Atletas!E498="Adulto 52kg",13,IF(Atletas!E498="Adulto 56kg",14,IF(Atletas!E498="Adulto 60kg",15,IF(Atletas!E498="Adulto 65kg",16,IF(Atletas!E498="Adulto 70kg",17,IF(Atletas!E498="Adulto 75kg",18,IF(Atletas!E498="Adulto 82kg",19,IF(Atletas!E498="Adulto 90kg",20,IF(Atletas!E498="Adulto 100kg",21,IF(Atletas!E498="Adulto +100kg",22,""))))))))))))))))))))))))</f>
        <v/>
      </c>
      <c r="AT502" s="10" t="str">
        <f>IF(Atletas!F498="","",IF(Atletas!B498="Feminino",100,IF(Atletas!B498="Masculino",200,""))+(IF(Atletas!F498="Adulto 48kg",1,IF(Atletas!F498="Adulto 56kg",2,IF(Atletas!F498="Adulto 65kg",3,IF(Atletas!F498="Adulto 75kg",4,IF(Atletas!F498="Adulto +75kg",5,IF(Atletas!F498="Adulto 52kg",6,IF(Atletas!F498="Adulto 60kg",7,IF(Atletas!F498="Adulto 70kg",8,IF(Atletas!F498="Adulto 80kg",9,IF(Atletas!F498="Adulto 90kg",10,IF(Atletas!F498="Adulto +90kg",11,"")))))))))))))</f>
        <v/>
      </c>
      <c r="AY502" s="46" t="str">
        <f>IF(Atletas!G498="","",IF(Atletas!B498="Feminino",100,IF(Atletas!B498="Masculino",200,""))+(IF(Atletas!G498="Changquan Mirim",1,IF(Atletas!G498="Nanquan Mirim",2,IF(Atletas!G498="Taijiquan Mirim",3,IF(Atletas!G498="Changquan Grupo C",4,IF(Atletas!G498="Nanquan Grupo C",5,IF(Atletas!G498="Taijiquan Grupo C",6,IF(Atletas!G498="Changquan Grupo B",7,IF(Atletas!G498="Nanquan Grupo B",8,IF(Atletas!G498="Taijiquan Grupo B",9,IF(Atletas!G498="Changquan Grupo A",10,IF(Atletas!G498="Nanquan Grupo A",11,IF(Atletas!G498="Taijiquan Grupo A",12,IF(Atletas!G498="Changquan Opcional",13,IF(Atletas!G498="Nanquan Opcional",14,IF(Atletas!G498="Taijiquan Opcional",15,IF(Atletas!G498="Changquan Adulto",16,IF(Atletas!G498="Nanquan Adulto",17,IF(Atletas!G498="Taijiquan Adulto",18,""))))))))))))))))))))</f>
        <v/>
      </c>
      <c r="AZ502" s="46" t="str">
        <f>IF(Atletas!H498="","",IF(Atletas!B498="Feminino",100,IF(Atletas!B498="Masculino",200,""))+(IF(Atletas!H498="Daoshu Mirim",19,IF(Atletas!H498="Jianshu Mirim",20,IF(Atletas!H498="Nandao Mirim",21,IF(Atletas!H498="Taijijian Mirim",22,IF(Atletas!H498="Daoshu Grupo C",23,IF(Atletas!H498="Jianshu Grupo C",24,IF(Atletas!H498="Nandao Grupo C",25,IF(Atletas!H498="Taijijian Grupo C",26,IF(Atletas!H498="Daoshu Grupo B",27,IF(Atletas!H498="Jianshu Grupo B",28,IF(Atletas!H498="Nandao Grupo B",29,IF(Atletas!H498="Taijijian Grupo B",30,IF(Atletas!H498="Daoshu Grupo A",31,IF(Atletas!H498="Jianshu Grupo A",32,IF(Atletas!H498="Nandao Grupo A",33,IF(Atletas!H498="Taijijian Grupo A",34,IF(Atletas!H498="Daoshu Opcional",35,IF(Atletas!H498="Jianshu Opcional",36,IF(Atletas!H498="Nandao Opcional",37,IF(Atletas!H498="Taijijian Opcional",38,IF(Atletas!H498="Daoshu Adulto",39,IF(Atletas!H498="Jianshu Adulto",40,IF(Atletas!H498="Nandao Adulto",41,IF(Atletas!H498="Taijijian Adulto",42,""))))))))))))))))))))))))))</f>
        <v/>
      </c>
      <c r="BA502" s="46" t="str">
        <f>IF(Atletas!I498="","",IF(Atletas!B498="Feminino",100,IF(Atletas!B498="Masculino",200,""))+(IF(Atletas!I498="Gunshu Mirim",43,IF(Atletas!I498="Qiangshu Mirim",44,IF(Atletas!I498="Nangun Mirim",45,IF(Atletas!I498="Gunshu Grupo C",46,IF(Atletas!I498="Qiangshu Grupo C",47,IF(Atletas!I498="Nangun Grupo C",48,IF(Atletas!I498="Gunshu Grupo B",49,IF(Atletas!I498="Qiangshu Grupo B",50,IF(Atletas!I498="Nangun Grupo B",51,IF(Atletas!I498="Gunshu Grupo A",52,IF(Atletas!I498="Qiangshu Grupo A",53,IF(Atletas!I498="Nangun Grupo A",54,IF(Atletas!I498="Gunshu Opcional",55,IF(Atletas!I498="Qiangshu Opcional",56,IF(Atletas!I498="Nangun Opcional",57,IF(Atletas!I498="Gunshu Adulto",58,IF(Atletas!I498="Qiangshu Adulto",59,IF(Atletas!I498="Nangun Adulto",60,""))))))))))))))))))))</f>
        <v/>
      </c>
      <c r="BF502" s="52" t="str">
        <f>IF(Atletas!J498="","",IF(Atletas!B498="Feminino",100,IF(Atletas!B498="Masculino",200,""))+(IF(Atletas!J498="Equipe 1 Grupo B",1,IF(Atletas!J498="Equipe 2 Grupo B",2,IF(Atletas!J498="Equipe 1 Grupo A",3,IF(Atletas!J498="Equipe 2 Grupo A",4,IF(Atletas!J498="Equipe 1 Adulto",5,IF(Atletas!J498="Equipe 2 Adulto",6,""))))))))</f>
        <v/>
      </c>
      <c r="BK502" s="52" t="str">
        <f>IF(Atletas!K498="","",IF(Atletas!W498&lt;&gt;"",10000,0)+(IF(Atletas!B498="Feminino",1000,IF(Atletas!B498="Masculino",2000,""))+IF(Atletas!K498="Choylayfut A",1,IF(Atletas!K498="Hunggar A",2,IF(Atletas!K498="Wuzuquan A",3,IF(Atletas!K498="Wingchun A",4,IF(Atletas!K498="Outra Mão de Sul A",5,IF(Atletas!K498="Choylayfut B",6,IF(Atletas!K498="Hunggar B",7,IF(Atletas!K498="Wuzuquan B",8,IF(Atletas!K498="Wingchun B",9,IF(Atletas!K498="Outra Mão de Sul B",10,IF(Atletas!K498="Choylayfut C",11,IF(Atletas!K498="Hunggar C",12,IF(Atletas!K498="Wuzuquan C",13,IF(Atletas!K498="Wingchun C",14,IF(Atletas!K498="Outra Mão de Sul C",15,IF(Atletas!K498="Choylayfut D",16,IF(Atletas!K498="Hunggar D",17,IF(Atletas!K498="Wuzuquan D",18,IF(Atletas!K498="Wingchun D",19,IF(Atletas!K498="Outra Mão de Sul D",20,IF(Atletas!K498="Choylayfut E",21,IF(Atletas!K498="Hunggar E",22,IF(Atletas!K498="Wuzuquan E",23,IF(Atletas!K498="Wingchun E",24,IF(Atletas!K498="Outra Mão de Sul E",25,IF(Atletas!K498="Choylayfut F",26,IF(Atletas!K498="Hunggar F",27,IF(Atletas!K498="Wuzuquan F",28,IF(Atletas!K498="Wingchun F",29,IF(Atletas!K498="Outra Mão de Sul F",30,""))))))))))))))))))))))))))))))))</f>
        <v/>
      </c>
      <c r="BL502" s="52" t="str">
        <f>IF(Atletas!L498="","",IF(Atletas!W498&lt;&gt;"",10000,0)+(IF(Atletas!B498="Feminino",1000,IF(Atletas!B498="Masculino",2000,""))+(IF(Atletas!L498="Chaquan A",101,IF(Atletas!L498="Emeiquan A",102,IF(Atletas!L498="Fanziquan A",103,IF(Atletas!L498="Huaquan A",104,IF(Atletas!L498="Hongquan A",105,IF(Atletas!L498="Paochui A",106,IF(Atletas!L498="Piguaquan A",107,IF(Atletas!L498="Shaolinquan A",108,IF(Atletas!L498="Tanglangquan A",109,IF(Atletas!L498="Yinzhaophai A",110,IF(Atletas!L498="Tongbeiquan A",111,IF(Atletas!L498="Wudangquan A",112,IF(Atletas!L498="Outros Estilos A",113,IF(Atletas!L498="Chaquan B",114,IF(Atletas!L498="Emeiquan B",115,IF(Atletas!L498="Fanziquan B",116,IF(Atletas!L498="Huaquan B",117,IF(Atletas!L498="Hongquan B",118,IF(Atletas!L498="Paochui B",119,IF(Atletas!L498="Piguaquan B",120,IF(Atletas!L498="Shaolinquan B",121,IF(Atletas!L498="Tanglangquan B",122,IF(Atletas!L498="Yinzhaophai B",123,IF(Atletas!L498="Tongbeiquan B",124,IF(Atletas!L498="Wudangquan B",125,IF(Atletas!L498="Outros Estilos B",126,IF(Atletas!L498="Chaquan C",127,IF(Atletas!L498="Emeiquan C",128,IF(Atletas!L498="Fanziquan C",129,IF(Atletas!L498="Huaquan C",130,IF(Atletas!L498="Hongquan C",131,IF(Atletas!L498="Paochui C",132,IF(Atletas!L498="Piguaquan C",133,IF(Atletas!L498="Shaolinquan C",134,IF(Atletas!L498="Tanglangquan C",135,IF(Atletas!L498="Yinzhaophai C",136,IF(Atletas!L498="Tongbeiquan C",137,IF(Atletas!L498="Wudangquan C",138,IF(Atletas!L498="Outros Estilos C",139,0))))))))))))))))))))))))))))))))))))))))))</f>
        <v/>
      </c>
      <c r="BM502" s="52" t="str">
        <f>IF(Atletas!L498="","",IF(Atletas!W498&lt;&gt;"",10000,0)+(IF(Atletas!B498="Feminino",1000,IF(Atletas!B498="Masculino",2000,""))+(IF(Atletas!L498="Chaquan D",140,IF(Atletas!L498="Emeiquan D",141,IF(Atletas!L498="Fanziquan D",142,IF(Atletas!L498="Huaquan D",143,IF(Atletas!L498="Hongquan D",144,IF(Atletas!L498="Paochui D",145,IF(Atletas!L498="Piguaquan D",146,IF(Atletas!L498="Shaolinquan D",147,IF(Atletas!L498="Tanglangquan D",148,IF(Atletas!L498="Yinzhaophai D",149,IF(Atletas!L498="Tongbeiquan D",150,IF(Atletas!L498="Wudangquan D",151,IF(Atletas!L498="Outros Estilos D",152,IF(Atletas!L498="Chaquan E",153,IF(Atletas!L498="Emeiquan E",154,IF(Atletas!L498="Fanziquan E",155,IF(Atletas!L498="Huaquan E",156,IF(Atletas!L498="Hongquan E",157,IF(Atletas!L498="Paochui E",158,IF(Atletas!L498="Piguaquan E",159,IF(Atletas!L498="Shaolinquan E",160,IF(Atletas!L498="Tanglangquan E",161,IF(Atletas!L498="Yinzhaophai E",162,IF(Atletas!L498="Tongbeiquan E",163,IF(Atletas!L498="Wudangquan E",164,IF(Atletas!L498="Outros Estilos E",165,IF(Atletas!L498="Chaquan F",166,IF(Atletas!L498="Emeiquan F",167,IF(Atletas!L498="Fanziquan F",168,IF(Atletas!L498="Huaquan F",169,IF(Atletas!L498="Hongquan F",170,IF(Atletas!L498="Paochui F",171,IF(Atletas!L498="Piguaquan F",172,IF(Atletas!L498="Shaolinquan F",173,IF(Atletas!L498="Tanglangquan F",174,IF(Atletas!L498="Yinzhaophai F",175,IF(Atletas!L498="Tongbeiquan F",176,IF(Atletas!L498="Wudangquan F",177,IF(Atletas!L498="Outros Estilos F",178,0))))))))))))))))))))))))))))))))))))))))))</f>
        <v/>
      </c>
      <c r="BN502" s="52" t="str">
        <f>IF(Atletas!M498="","",IF(Atletas!W498&lt;&gt;"",10000,0)+(IF(Atletas!B498="Feminino",1000,IF(Atletas!B498="Masculino",2000,""))+(IF(Atletas!M498="Ditangquan A",201,IF(Atletas!M498="Houquan A",202,IF(Atletas!M498="Zuiquan A",203,IF(Atletas!M498="Ditangquan B",204,IF(Atletas!M498="Houquan B",205,IF(Atletas!M498="Zuiquan B",206,IF(Atletas!M498="Ditangquan C",207,IF(Atletas!M498="Houquan C",208,IF(Atletas!M498="Zuiquan C",209,IF(Atletas!M498="Ditangquan D",210,IF(Atletas!M498="Houquan D",211,IF(Atletas!M498="Zuiquan D",212,IF(Atletas!M498="Ditangquan E",213,IF(Atletas!M498="Houquan E",214,IF(Atletas!M498="Zuiquan E",215,IF(Atletas!M498="Ditangquan F",216,IF(Atletas!M498="Houquan F",217,IF(Atletas!M498="Zuiquan F",218,"")))))))))))))))))))))</f>
        <v/>
      </c>
      <c r="BO502" s="52" t="str">
        <f>IF(Atletas!N498="","",IF(Atletas!W498&lt;&gt;"",10000,0)+IF(Atletas!B498="Feminino",1000,IF(Atletas!B498="Masculino",2000,""))+IF(Atletas!N498="Yang A",301,IF(Atletas!N498="Chen A",30,IF(Atletas!N498="Sun A",303,IF(Atletas!N498="Wu A",304,IF(Atletas!N498="Wu-Hao A",305,IF(Atletas!N498="Outro Taijiquan A",306,IF(Atletas!N498="Yang B",307,IF(Atletas!N498="Chen B",308,IF(Atletas!N498="Sun B",309,IF(Atletas!N498="Wu B",310,IF(Atletas!N498="Wu-Hao B",311,IF(Atletas!N498="Outro Taijiquan B",312,IF(Atletas!N498="Yang C",313,IF(Atletas!N498="Chen C",314,IF(Atletas!N498="Sun C",315,IF(Atletas!N498="Wu C",316,IF(Atletas!N498="Wu-Hao C",317,IF(Atletas!N498="Outro Taijiquan C",318,IF(Atletas!N498="Yang D",319,IF(Atletas!N498="Chen D",320,IF(Atletas!N498="Sun D",321,IF(Atletas!N498="Wu D",322,IF(Atletas!N498="Wu-Hao D",323,IF(Atletas!N498="Outro Taijiquan D",324,IF(Atletas!N498="Yang E",325,IF(Atletas!N498="Chen E",326,IF(Atletas!N498="Sun E",327,IF(Atletas!N498="Wu E",328,IF(Atletas!N498="Wu-Hao E",329,IF(Atletas!N498="Outro Taijiquan E",330,IF(Atletas!N498="Yang F",331,IF(Atletas!N498="Chen F",332,IF(Atletas!N498="Sun F",333,IF(Atletas!N498="Wu F",334,IF(Atletas!N498="Wu-Hao F",335,IF(Atletas!N498="Outro Taijiquan F",336,"")))))))))))))))))))))))))))))))))))))</f>
        <v/>
      </c>
      <c r="BP502" s="52" t="str">
        <f>IF(Atletas!O498="","",IF(Atletas!W498&lt;&gt;"",10000,0)+IF(Atletas!B498="Feminino",1000,IF(Atletas!B498="Masculino",2000,""))+IF(OR(Atletas!O498="Yang 26 A",Atletas!O498="Yang 40 A"),401,IF(OR(Atletas!O498="Chen 25 A",Atletas!O498="Chen 36 A",Atletas!O498="Chen 56 A"),402,IF(Atletas!O498="Sun 73 A",403,IF(Atletas!O498="Wu 45 A",404,IF(Atletas!O498="Wu-Hao 46 A",405,IF(OR(Atletas!O498="Taijiquan 16 A",Atletas!O498="Taijiquan 24 A",Atletas!O498="Taijiquan 32 A",Atletas!O498="Taijiquan 42 A"),406,IF(OR(Atletas!O498="Yang 26 B",Atletas!O498="Yang 40 B"),407,IF(OR(Atletas!O498="Chen 25 B",Atletas!O498="Chen 36 B",Atletas!O498="Chen 56 B"),408,IF(Atletas!O498="Sun 73 B",409,IF(Atletas!O498="Wu 45 B",410,IF(Atletas!O498="Wu-Hao 46 B",411,IF(OR(Atletas!O498="Taijiquan 16 B",Atletas!O498="Taijiquan 24 B",Atletas!O498="Taijiquan 32 B",Atletas!O498="Taijiquan 42 B"),412,IF(OR(Atletas!O498="Yang 26 C",Atletas!O498="Yang 40 C"),413,IF(OR(Atletas!O498="Chen 25 C",Atletas!O498="Chen 36 C",Atletas!O498="Chen 56 C"),414,IF(Atletas!O498="Sun 73 C",415,IF(Atletas!O498="Wu 45 C",416,IF(Atletas!O498="Wu-Hao 46 C",417,IF(OR(Atletas!O498="Taijiquan 16 C",Atletas!O498="Taijiquan 24 C",Atletas!O498="Taijiquan 32 C",Atletas!O498="Taijiquan 42 C"),418,0)))))))))))))))))))</f>
        <v/>
      </c>
      <c r="BQ502" s="52" t="str">
        <f>IF(Atletas!O498="","",IF(Atletas!W498&lt;&gt;"",10000,0)+IF(Atletas!B498="Feminino",1000,IF(Atletas!B498="Masculino",2000,""))+IF(OR(Atletas!O498="Yang 26 D",Atletas!O498="Yang 40 D"),419,IF(OR(Atletas!O498="Chen 25 D",Atletas!O498="Chen 36 D",Atletas!O498="Chen 56 D"),420,IF(Atletas!O498="Sun 73 D",421,IF(Atletas!O498="Wu 45 D",422,IF(Atletas!O498="Wu-Hao 46 D",423,IF(OR(Atletas!O498="Taijiquan 16 D",Atletas!O498="Taijiquan 24 D",Atletas!O498="Taijiquan 32 D",Atletas!O498="Taijiquan 42 D"),424,IF(OR(Atletas!O498="Yang 26 E",Atletas!O498="Yang 40 E"),425,IF(OR(Atletas!O498="Chen 25 E",Atletas!O498="Chen 36 E",Atletas!O498="Chen 56 E"),426,IF(Atletas!O498="Sun 73 E",427,IF(Atletas!O498="Wu 45 E",428,IF(Atletas!O498="Wu-Hao 46 E",429,IF(OR(Atletas!O498="Taijiquan 16 E",Atletas!O498="Taijiquan 24 E",Atletas!O498="Taijiquan 32 E",Atletas!O498="Taijiquan 42 E"),430,IF(OR(Atletas!O498="Yang 26 F",Atletas!O498="Yang 40 F"),431,IF(OR(Atletas!O498="Chen 25 F",Atletas!O498="Chen 36 F",Atletas!O498="Chen 56 F"),432,IF(Atletas!O498="Sun 73 F",433,IF(Atletas!O498="Wu 45 F",434,IF(Atletas!O498="Wu-Hao 46 F",435,IF(OR(Atletas!O498="Taijiquan 16 F",Atletas!O498="Taijiquan 24 F",Atletas!O498="Taijiquan 32 F",Atletas!O498="Taijiquan 42 F"),436,0)))))))))))))))))))</f>
        <v/>
      </c>
      <c r="BR502" s="52" t="str">
        <f>IF(Atletas!P498="","",IF(Atletas!W498&lt;&gt;"",10000,0)+IF(Atletas!B498="Feminino",1000,IF(Atletas!B498="Masculino",2000,""))+IF(Atletas!P498="Xingyiquan A",501,IF(Atletas!P498="Baguazhang A",502,IF(Atletas!P498="Outro Estilo Interno A",503,IF(Atletas!P498="Xingyiquan B",504,IF(Atletas!P498="Baguazhang B",505,IF(Atletas!P498="Outro Estilo Interno B",506,IF(Atletas!P498="Xingyiquan C",507,IF(Atletas!P498="Baguazhang C",508,IF(Atletas!P498="Outro Estilo Interno C",509,IF(Atletas!P498="Xingyiquan D",510,IF(Atletas!P498="Baguazhang D",511,IF(Atletas!P498="Outro Estilo Interno D",512,IF(Atletas!P498="Xingyiquan E",513,IF(Atletas!P498="Baguazhang E",514,IF(Atletas!P498="Outro Estilo Interno E",515,IF(Atletas!P498="Xingyiquan F",516,IF(Atletas!P498="Baguazhang F",517,IF(Atletas!P498="Outro Estilo Interno F",518, "")))))))))))))))))))</f>
        <v/>
      </c>
      <c r="BS502" s="52" t="str">
        <f>IF(Atletas!Q498="","",IF(Atletas!W498&lt;&gt;"",10000,0)+IF(Atletas!B498="Feminino",1000,IF(Atletas!B498="Masculino",2000,""))+IF(Atletas!Q498="Dao A",601,IF(Atletas!Q498="Jian A",602,IF(Atletas!Q498="Bishou A",603,IF(Atletas!Q498="Shan A",604,IF(Atletas!Q498="Outra Arma Curta A",605,IF(Atletas!Q498="Dao B",606,IF(Atletas!Q498="Jian B",607,IF(Atletas!Q498="Bishou B",608,IF(Atletas!Q498="Shan B",609,IF(Atletas!Q498="Outra Arma Curta B",610,IF(Atletas!Q498="Dao C",611,IF(Atletas!Q498="Jian C",612,IF(Atletas!Q498="Bishou C",613,IF(Atletas!Q498="Shan C",614,IF(Atletas!Q498="Outra Arma Curta C",615,IF(Atletas!Q498="Dao D",616,IF(Atletas!Q498="Jian D",617,IF(Atletas!Q498="Bishou D",618,IF(Atletas!Q498="Shan D",619,IF(Atletas!Q498="Outra Arma Curta D",620,IF(Atletas!Q498="Dao E",621,IF(Atletas!Q498="Jian E",622,IF(Atletas!Q498="Bishou E",623,IF(Atletas!Q498="Shan E",624,IF(Atletas!Q498="Outra Arma Curta E",625,IF(Atletas!Q498="Dao F",626,IF(Atletas!Q498="Jian F",627,IF(Atletas!Q498="Bishou F",628,IF(Atletas!Q498="Shan F",629,IF(Atletas!Q498="Outra Arma Curta F",630, "")))))))))))))))))))))))))))))))</f>
        <v/>
      </c>
      <c r="BT502" s="52" t="str">
        <f>IF(Atletas!R498="","",IF(Atletas!W498&lt;&gt;"",10000,0)+IF(Atletas!B498="Feminino",1000,IF(Atletas!B498="Masculino",2000,""))+IF(Atletas!R498="Gun A",701,IF(Atletas!R498="Qiang A",702,IF(Atletas!R498="Pudao / Guandao A",703,IF(Atletas!R498="Outra Arma Longa A",704,IF(Atletas!R498="Gun B",705,IF(Atletas!R498="Qiang B",706,IF(Atletas!R498="Pudao / Guandao B",707,IF(Atletas!R498="Outra Arma Longa B",708,IF(Atletas!R498="Gun C",709,IF(Atletas!R498="Qiang C",710,IF(Atletas!R498="Pudao / Guandao C",711,IF(Atletas!R498="Outra Arma Longa C",712,IF(Atletas!R498="Gun D",713,IF(Atletas!R498="Qiang D",714,IF(Atletas!R498="Pudao / Guandao D",715,IF(Atletas!R498="Outra Arma Longa D",716,IF(Atletas!R498="Gun E",717,IF(Atletas!R498="Qiang E",718,IF(Atletas!R498="Pudao / Guandao E",719,IF(Atletas!R498="Outra Arma Longa E",720,IF(Atletas!R498="Gun F",721,IF(Atletas!R498="Qiang F",722,IF(Atletas!R498="Pudao / Guandao F",723,IF(Atletas!R498="Outra Arma Longa F",724,"")))))))))))))))))))))))))</f>
        <v/>
      </c>
      <c r="BU502" s="52" t="str">
        <f>IF(Atletas!S498="","",IF(Atletas!W498&lt;&gt;"",10000,0)+IF(Atletas!B498="Feminino",1000,IF(Atletas!B498="Masculino",2000,""))+IF(Atletas!S498="Arma Dupla A",801,IF(Atletas!S498="Arma Maleável A",802,IF(Atletas!S498="Arma Dupla B",803,IF(Atletas!S498="Arma Maleável B",804,IF(Atletas!S498="Arma Dupla C",805,IF(Atletas!S498="Arma Maleável C",806,IF(Atletas!S498="Arma Dupla D",807,IF(Atletas!S498="Arma Maleável D",808,IF(Atletas!S498="Arma Dupla E",809,IF(Atletas!S498="Arma Maleável E",810,IF(Atletas!S498="Arma Dupla F",811,IF(Atletas!S498="Arma Maleável F",812, "")))))))))))))</f>
        <v/>
      </c>
      <c r="BV502" s="52" t="str">
        <f>IF(Atletas!T498="","",IF(Atletas!W498&lt;&gt;"",10000,0)+IF(Atletas!B498="Feminino",1000,IF(Atletas!B498="Masculino",2000,""))+IF(Atletas!T498="Taijijian Yang A",901,IF(Atletas!T498="Taijijian Chen A",902,IF(Atletas!T498="Taijijian Sun A",903,IF(Atletas!T498="Taijijian Wu A",904,IF(Atletas!T498="Taijijian Wu-Hao A",905,IF(Atletas!T498="Taijijian 32 A",906,IF(Atletas!T498="Taijijian 42 A",907,IF(Atletas!T498="Taijijian Yang B",908,IF(Atletas!T498="Taijijian Chen B",909,IF(Atletas!T498="Taijijian Sun B",910,IF(Atletas!T498="Taijijian Wu B",911,IF(Atletas!T498="Taijijian Wu-Hao B",912,IF(Atletas!T498="Taijijian 32 B",913,IF(Atletas!T498="Taijijian 42 B",914,IF(Atletas!T498="Taijijian Yang C",915,IF(Atletas!T498="Taijijian Chen C",916,IF(Atletas!T498="Taijijian Sun C",917,IF(Atletas!T498="Taijijian Wu C",918,IF(Atletas!T498="Taijijian Wu-Hao C",919,IF(Atletas!T498="Taijijian 32 C",920,IF(Atletas!T498="Taijijian 42 C",921,IF(Atletas!T498="Taijijian Yang D",922,IF(Atletas!T498="Taijijian Chen D",923,IF(Atletas!T498="Taijijian Sun D",924,IF(Atletas!T498="Taijijian Wu D",925,IF(Atletas!T498="Taijijian Wu-Hao D",926,IF(Atletas!T498="Taijijian 32 D",927,IF(Atletas!T498="Taijijian 42 D",928,IF(Atletas!T498="Taijijian Yang E",929,IF(Atletas!T498="Taijijian Chen E",930,IF(Atletas!T498="Taijijian Sun E",931,IF(Atletas!T498="Taijijian Wu E",932,IF(Atletas!T498="Taijijian Wu-Hao E",933,IF(Atletas!T498="Taijijian 32 E",934,IF(Atletas!T498="Taijijian 42 E",935,IF(Atletas!T498="Taijijian Yang F",936,IF(Atletas!T498="Taijijian Chen F",937,IF(Atletas!T498="Taijijian Sun F",938,IF(Atletas!T498="Taijijian Wu F",939,IF(Atletas!T498="Taijijian Wu-Hao F",940,IF(Atletas!T498="Taijijian 32 F",941,IF(Atletas!T498="Taijijian 42 F",942,"")))))))))))))))))))))))))))))))))))))))))))</f>
        <v/>
      </c>
      <c r="BW502" s="52" t="str">
        <f>IF(Atletas!U498="","",IF(Atletas!W498&lt;&gt;"",10000,0)+IF(Atletas!B498="Feminino",1000,IF(Atletas!B498="Masculino",2000,""))+IF(Atletas!T498="Taijijian 42 F",942,IF(Atletas!U498="Taijidao A",943,IF(Atletas!U498="Taijishan A",944,IF(Atletas!U498="Taijiqiang A",945,IF(Atletas!U498="Taijidao B",946,IF(Atletas!U498="Taijishan B",947,IF(Atletas!U498="Taijiqiang B",948,IF(Atletas!U498="Taijidao C",949,IF(Atletas!U498="Taijishan C",950,IF(Atletas!U498="Taijiqiang C",951,IF(Atletas!U498="Taijidao D",952,IF(Atletas!U498="Taijishan D",953,IF(Atletas!U498="Taijiqiang D",954,IF(Atletas!U498="Taijidao E",955,IF(Atletas!U498="Taijishan E",956,IF(Atletas!U498="Taijiqiang E",957,IF(Atletas!U498="Taijidao F",958,IF(Atletas!U498="Taijishan F",959,IF(Atletas!U498="Taijiqiang F",960))))))))))))))))))))</f>
        <v/>
      </c>
      <c r="CF502" s="52" t="str">
        <f xml:space="preserve"> IF(Atletas!V498="","",IF(Atletas!V498="Duilian de Mãos AB - Equipe 1",1,IF(Atletas!V498="Duilian de Mãos AB - Equipe 2",2,IF(Atletas!V498="Duilian de Armas AB - Equipe 1",3,IF(Atletas!V498="Duilian de Armas AB - Equipe 2",4,IF(Atletas!V498="Duilian de Tuishou - Equipe 1",5,IF(Atletas!V498="Duilian de Tuishou - Equipe 2",6,IF(Atletas!V498="Grupo Externo AB - Equipe 1",7,IF(Atletas!V498="Grupo Externo AB - Equipe 2",8,IF(Atletas!V498="Grupo Interno AB - Equipe 1",9,IF(Atletas!V498="Grupo Interno AB - Equipe 2",10,IF(Atletas!V498="Duilian de Mãos CD - Equipe 1",11,IF(Atletas!V498="Duilian de Mãos CD - Equipe 2",12,IF(Atletas!V498="Duilian de Armas CD - Equipe 1",13,IF(Atletas!V498="Duilian de Armas CD - Equipe 2",14,IF(Atletas!V498="Duilian de Tuishou - Equipe 1",15,IF(Atletas!V498="Duilian de Tuishou - Equipe 2",16,IF(Atletas!V498="Grupo Externo CDEF - Equipe 1",17,IF(Atletas!V498="Grupo Externo CDEF - Equipe 2",18,IF(Atletas!V498="Grupo Interno CDEF - Equipe 1",19,IF(Atletas!V498="Grupo Interno CDEF - Equipe 2",20,IF(Atletas!V498="Duilian de Mãos EF - Equipe 1",21,IF(Atletas!V498="Duilian de Mãos EF - Equipe 2",22,IF(Atletas!V498="Duilian de Armas EF - Equipe 1",23,IF(Atletas!V498="Duilian de Armas EF - Equipe 2",24,IF(Atletas!V498="Duilian de Tuishou - Equipe 1",25,IF(Atletas!V498="Duilian de Tuishou - Equipe 2",26,"")))))))))))))))))))))))))))</f>
        <v/>
      </c>
    </row>
    <row r="503" spans="36:84">
      <c r="AJ503" s="46" t="str">
        <f>IF(Atletas!D499="","",IF(Atletas!B499="Feminino",100,IF(Atletas!B499="Masculino",200,""))+(IF(Atletas!D499="Infantil 39kg",1,IF(Atletas!D499="Infantil 42kg",2,IF(Atletas!D499="Infantil 45kg",3,IF(Atletas!D499="Infantil 48kg",4,IF(Atletas!D499="Infantil 52kg",5,IF(Atletas!D499="Infantil 56kg",6,IF(Atletas!D499="Infantil 60kg",7,IF(Atletas!D499="Juvenil 48kg",8,IF(Atletas!D499="Juvenil 52kg",9,IF(Atletas!D499="Juvenil 56kg",10,IF(Atletas!D499="Juvenil 60kg",11,IF(Atletas!D499="Juvenil 65kg",12,IF(Atletas!D499="Juvenil 70kg",13,IF(Atletas!D499="Juvenil 75kg",14,IF(Atletas!D499="Juvenil 80kg",15,IF(Atletas!D499="Adulto 48kg",16,IF(Atletas!D499="Adulto 52kg",17,IF(Atletas!D499="Adulto 56kg",18,IF(Atletas!D499="Adulto 60kg",19,IF(Atletas!D499="Adulto 65kg",20,IF(Atletas!D499="Adulto 70kg",21,IF(Atletas!D499="Adulto 75kg",22,IF(Atletas!D499="Adulto 80kg",23,IF(Atletas!D499="Adulto 85kg",24,IF(Atletas!D499="Adulto 90kg",25,IF(Atletas!D499="Adulto +90kg",26,""))))))))))))))))))))))))))))</f>
        <v/>
      </c>
      <c r="AO503" s="10" t="str">
        <f>IF(Atletas!E499="","",IF(Atletas!B499="Feminino",100,IF(Atletas!B499="Masculino",200,""))+(IF(Atletas!E499="Juvenil 44kg",1,IF(Atletas!E499="Juvenil 48kg",2,IF(Atletas!E499="Juvenil 52kg",3,IF(Atletas!E499="Juvenil 56kg",4,IF(Atletas!E499="Juvenil 60kg",5,IF(Atletas!E499="Juvenil 65kg",6,IF(Atletas!E499="Juvenil 70kg",7,IF(Atletas!E499="Juvenil 75kg",8,IF(Atletas!E499="Juvenil 82kg",9,IF(Atletas!E499="Juvenil 90kg",10,IF(Atletas!E499="Juvenil 100kg",11,IF(Atletas!E499="Adulto 48kg",12,IF(Atletas!E499="Adulto 52kg",13,IF(Atletas!E499="Adulto 56kg",14,IF(Atletas!E499="Adulto 60kg",15,IF(Atletas!E499="Adulto 65kg",16,IF(Atletas!E499="Adulto 70kg",17,IF(Atletas!E499="Adulto 75kg",18,IF(Atletas!E499="Adulto 82kg",19,IF(Atletas!E499="Adulto 90kg",20,IF(Atletas!E499="Adulto 100kg",21,IF(Atletas!E499="Adulto +100kg",22,""))))))))))))))))))))))))</f>
        <v/>
      </c>
      <c r="AT503" s="10" t="str">
        <f>IF(Atletas!F499="","",IF(Atletas!B499="Feminino",100,IF(Atletas!B499="Masculino",200,""))+(IF(Atletas!F499="Adulto 48kg",1,IF(Atletas!F499="Adulto 56kg",2,IF(Atletas!F499="Adulto 65kg",3,IF(Atletas!F499="Adulto 75kg",4,IF(Atletas!F499="Adulto +75kg",5,IF(Atletas!F499="Adulto 52kg",6,IF(Atletas!F499="Adulto 60kg",7,IF(Atletas!F499="Adulto 70kg",8,IF(Atletas!F499="Adulto 80kg",9,IF(Atletas!F499="Adulto 90kg",10,IF(Atletas!F499="Adulto +90kg",11,"")))))))))))))</f>
        <v/>
      </c>
      <c r="AY503" s="46" t="str">
        <f>IF(Atletas!G499="","",IF(Atletas!B499="Feminino",100,IF(Atletas!B499="Masculino",200,""))+(IF(Atletas!G499="Changquan Mirim",1,IF(Atletas!G499="Nanquan Mirim",2,IF(Atletas!G499="Taijiquan Mirim",3,IF(Atletas!G499="Changquan Grupo C",4,IF(Atletas!G499="Nanquan Grupo C",5,IF(Atletas!G499="Taijiquan Grupo C",6,IF(Atletas!G499="Changquan Grupo B",7,IF(Atletas!G499="Nanquan Grupo B",8,IF(Atletas!G499="Taijiquan Grupo B",9,IF(Atletas!G499="Changquan Grupo A",10,IF(Atletas!G499="Nanquan Grupo A",11,IF(Atletas!G499="Taijiquan Grupo A",12,IF(Atletas!G499="Changquan Opcional",13,IF(Atletas!G499="Nanquan Opcional",14,IF(Atletas!G499="Taijiquan Opcional",15,IF(Atletas!G499="Changquan Adulto",16,IF(Atletas!G499="Nanquan Adulto",17,IF(Atletas!G499="Taijiquan Adulto",18,""))))))))))))))))))))</f>
        <v/>
      </c>
      <c r="AZ503" s="46" t="str">
        <f>IF(Atletas!H499="","",IF(Atletas!B499="Feminino",100,IF(Atletas!B499="Masculino",200,""))+(IF(Atletas!H499="Daoshu Mirim",19,IF(Atletas!H499="Jianshu Mirim",20,IF(Atletas!H499="Nandao Mirim",21,IF(Atletas!H499="Taijijian Mirim",22,IF(Atletas!H499="Daoshu Grupo C",23,IF(Atletas!H499="Jianshu Grupo C",24,IF(Atletas!H499="Nandao Grupo C",25,IF(Atletas!H499="Taijijian Grupo C",26,IF(Atletas!H499="Daoshu Grupo B",27,IF(Atletas!H499="Jianshu Grupo B",28,IF(Atletas!H499="Nandao Grupo B",29,IF(Atletas!H499="Taijijian Grupo B",30,IF(Atletas!H499="Daoshu Grupo A",31,IF(Atletas!H499="Jianshu Grupo A",32,IF(Atletas!H499="Nandao Grupo A",33,IF(Atletas!H499="Taijijian Grupo A",34,IF(Atletas!H499="Daoshu Opcional",35,IF(Atletas!H499="Jianshu Opcional",36,IF(Atletas!H499="Nandao Opcional",37,IF(Atletas!H499="Taijijian Opcional",38,IF(Atletas!H499="Daoshu Adulto",39,IF(Atletas!H499="Jianshu Adulto",40,IF(Atletas!H499="Nandao Adulto",41,IF(Atletas!H499="Taijijian Adulto",42,""))))))))))))))))))))))))))</f>
        <v/>
      </c>
      <c r="BA503" s="46" t="str">
        <f>IF(Atletas!I499="","",IF(Atletas!B499="Feminino",100,IF(Atletas!B499="Masculino",200,""))+(IF(Atletas!I499="Gunshu Mirim",43,IF(Atletas!I499="Qiangshu Mirim",44,IF(Atletas!I499="Nangun Mirim",45,IF(Atletas!I499="Gunshu Grupo C",46,IF(Atletas!I499="Qiangshu Grupo C",47,IF(Atletas!I499="Nangun Grupo C",48,IF(Atletas!I499="Gunshu Grupo B",49,IF(Atletas!I499="Qiangshu Grupo B",50,IF(Atletas!I499="Nangun Grupo B",51,IF(Atletas!I499="Gunshu Grupo A",52,IF(Atletas!I499="Qiangshu Grupo A",53,IF(Atletas!I499="Nangun Grupo A",54,IF(Atletas!I499="Gunshu Opcional",55,IF(Atletas!I499="Qiangshu Opcional",56,IF(Atletas!I499="Nangun Opcional",57,IF(Atletas!I499="Gunshu Adulto",58,IF(Atletas!I499="Qiangshu Adulto",59,IF(Atletas!I499="Nangun Adulto",60,""))))))))))))))))))))</f>
        <v/>
      </c>
      <c r="BF503" s="52" t="str">
        <f>IF(Atletas!J499="","",IF(Atletas!B499="Feminino",100,IF(Atletas!B499="Masculino",200,""))+(IF(Atletas!J499="Equipe 1 Grupo B",1,IF(Atletas!J499="Equipe 2 Grupo B",2,IF(Atletas!J499="Equipe 1 Grupo A",3,IF(Atletas!J499="Equipe 2 Grupo A",4,IF(Atletas!J499="Equipe 1 Adulto",5,IF(Atletas!J499="Equipe 2 Adulto",6,""))))))))</f>
        <v/>
      </c>
      <c r="BK503" s="52" t="str">
        <f>IF(Atletas!K499="","",IF(Atletas!W499&lt;&gt;"",10000,0)+(IF(Atletas!B499="Feminino",1000,IF(Atletas!B499="Masculino",2000,""))+IF(Atletas!K499="Choylayfut A",1,IF(Atletas!K499="Hunggar A",2,IF(Atletas!K499="Wuzuquan A",3,IF(Atletas!K499="Wingchun A",4,IF(Atletas!K499="Outra Mão de Sul A",5,IF(Atletas!K499="Choylayfut B",6,IF(Atletas!K499="Hunggar B",7,IF(Atletas!K499="Wuzuquan B",8,IF(Atletas!K499="Wingchun B",9,IF(Atletas!K499="Outra Mão de Sul B",10,IF(Atletas!K499="Choylayfut C",11,IF(Atletas!K499="Hunggar C",12,IF(Atletas!K499="Wuzuquan C",13,IF(Atletas!K499="Wingchun C",14,IF(Atletas!K499="Outra Mão de Sul C",15,IF(Atletas!K499="Choylayfut D",16,IF(Atletas!K499="Hunggar D",17,IF(Atletas!K499="Wuzuquan D",18,IF(Atletas!K499="Wingchun D",19,IF(Atletas!K499="Outra Mão de Sul D",20,IF(Atletas!K499="Choylayfut E",21,IF(Atletas!K499="Hunggar E",22,IF(Atletas!K499="Wuzuquan E",23,IF(Atletas!K499="Wingchun E",24,IF(Atletas!K499="Outra Mão de Sul E",25,IF(Atletas!K499="Choylayfut F",26,IF(Atletas!K499="Hunggar F",27,IF(Atletas!K499="Wuzuquan F",28,IF(Atletas!K499="Wingchun F",29,IF(Atletas!K499="Outra Mão de Sul F",30,""))))))))))))))))))))))))))))))))</f>
        <v/>
      </c>
      <c r="BL503" s="52" t="str">
        <f>IF(Atletas!L499="","",IF(Atletas!W499&lt;&gt;"",10000,0)+(IF(Atletas!B499="Feminino",1000,IF(Atletas!B499="Masculino",2000,""))+(IF(Atletas!L499="Chaquan A",101,IF(Atletas!L499="Emeiquan A",102,IF(Atletas!L499="Fanziquan A",103,IF(Atletas!L499="Huaquan A",104,IF(Atletas!L499="Hongquan A",105,IF(Atletas!L499="Paochui A",106,IF(Atletas!L499="Piguaquan A",107,IF(Atletas!L499="Shaolinquan A",108,IF(Atletas!L499="Tanglangquan A",109,IF(Atletas!L499="Yinzhaophai A",110,IF(Atletas!L499="Tongbeiquan A",111,IF(Atletas!L499="Wudangquan A",112,IF(Atletas!L499="Outros Estilos A",113,IF(Atletas!L499="Chaquan B",114,IF(Atletas!L499="Emeiquan B",115,IF(Atletas!L499="Fanziquan B",116,IF(Atletas!L499="Huaquan B",117,IF(Atletas!L499="Hongquan B",118,IF(Atletas!L499="Paochui B",119,IF(Atletas!L499="Piguaquan B",120,IF(Atletas!L499="Shaolinquan B",121,IF(Atletas!L499="Tanglangquan B",122,IF(Atletas!L499="Yinzhaophai B",123,IF(Atletas!L499="Tongbeiquan B",124,IF(Atletas!L499="Wudangquan B",125,IF(Atletas!L499="Outros Estilos B",126,IF(Atletas!L499="Chaquan C",127,IF(Atletas!L499="Emeiquan C",128,IF(Atletas!L499="Fanziquan C",129,IF(Atletas!L499="Huaquan C",130,IF(Atletas!L499="Hongquan C",131,IF(Atletas!L499="Paochui C",132,IF(Atletas!L499="Piguaquan C",133,IF(Atletas!L499="Shaolinquan C",134,IF(Atletas!L499="Tanglangquan C",135,IF(Atletas!L499="Yinzhaophai C",136,IF(Atletas!L499="Tongbeiquan C",137,IF(Atletas!L499="Wudangquan C",138,IF(Atletas!L499="Outros Estilos C",139,0))))))))))))))))))))))))))))))))))))))))))</f>
        <v/>
      </c>
      <c r="BM503" s="52" t="str">
        <f>IF(Atletas!L499="","",IF(Atletas!W499&lt;&gt;"",10000,0)+(IF(Atletas!B499="Feminino",1000,IF(Atletas!B499="Masculino",2000,""))+(IF(Atletas!L499="Chaquan D",140,IF(Atletas!L499="Emeiquan D",141,IF(Atletas!L499="Fanziquan D",142,IF(Atletas!L499="Huaquan D",143,IF(Atletas!L499="Hongquan D",144,IF(Atletas!L499="Paochui D",145,IF(Atletas!L499="Piguaquan D",146,IF(Atletas!L499="Shaolinquan D",147,IF(Atletas!L499="Tanglangquan D",148,IF(Atletas!L499="Yinzhaophai D",149,IF(Atletas!L499="Tongbeiquan D",150,IF(Atletas!L499="Wudangquan D",151,IF(Atletas!L499="Outros Estilos D",152,IF(Atletas!L499="Chaquan E",153,IF(Atletas!L499="Emeiquan E",154,IF(Atletas!L499="Fanziquan E",155,IF(Atletas!L499="Huaquan E",156,IF(Atletas!L499="Hongquan E",157,IF(Atletas!L499="Paochui E",158,IF(Atletas!L499="Piguaquan E",159,IF(Atletas!L499="Shaolinquan E",160,IF(Atletas!L499="Tanglangquan E",161,IF(Atletas!L499="Yinzhaophai E",162,IF(Atletas!L499="Tongbeiquan E",163,IF(Atletas!L499="Wudangquan E",164,IF(Atletas!L499="Outros Estilos E",165,IF(Atletas!L499="Chaquan F",166,IF(Atletas!L499="Emeiquan F",167,IF(Atletas!L499="Fanziquan F",168,IF(Atletas!L499="Huaquan F",169,IF(Atletas!L499="Hongquan F",170,IF(Atletas!L499="Paochui F",171,IF(Atletas!L499="Piguaquan F",172,IF(Atletas!L499="Shaolinquan F",173,IF(Atletas!L499="Tanglangquan F",174,IF(Atletas!L499="Yinzhaophai F",175,IF(Atletas!L499="Tongbeiquan F",176,IF(Atletas!L499="Wudangquan F",177,IF(Atletas!L499="Outros Estilos F",178,0))))))))))))))))))))))))))))))))))))))))))</f>
        <v/>
      </c>
      <c r="BN503" s="52" t="str">
        <f>IF(Atletas!M499="","",IF(Atletas!W499&lt;&gt;"",10000,0)+(IF(Atletas!B499="Feminino",1000,IF(Atletas!B499="Masculino",2000,""))+(IF(Atletas!M499="Ditangquan A",201,IF(Atletas!M499="Houquan A",202,IF(Atletas!M499="Zuiquan A",203,IF(Atletas!M499="Ditangquan B",204,IF(Atletas!M499="Houquan B",205,IF(Atletas!M499="Zuiquan B",206,IF(Atletas!M499="Ditangquan C",207,IF(Atletas!M499="Houquan C",208,IF(Atletas!M499="Zuiquan C",209,IF(Atletas!M499="Ditangquan D",210,IF(Atletas!M499="Houquan D",211,IF(Atletas!M499="Zuiquan D",212,IF(Atletas!M499="Ditangquan E",213,IF(Atletas!M499="Houquan E",214,IF(Atletas!M499="Zuiquan E",215,IF(Atletas!M499="Ditangquan F",216,IF(Atletas!M499="Houquan F",217,IF(Atletas!M499="Zuiquan F",218,"")))))))))))))))))))))</f>
        <v/>
      </c>
      <c r="BO503" s="52" t="str">
        <f>IF(Atletas!N499="","",IF(Atletas!W499&lt;&gt;"",10000,0)+IF(Atletas!B499="Feminino",1000,IF(Atletas!B499="Masculino",2000,""))+IF(Atletas!N499="Yang A",301,IF(Atletas!N499="Chen A",30,IF(Atletas!N499="Sun A",303,IF(Atletas!N499="Wu A",304,IF(Atletas!N499="Wu-Hao A",305,IF(Atletas!N499="Outro Taijiquan A",306,IF(Atletas!N499="Yang B",307,IF(Atletas!N499="Chen B",308,IF(Atletas!N499="Sun B",309,IF(Atletas!N499="Wu B",310,IF(Atletas!N499="Wu-Hao B",311,IF(Atletas!N499="Outro Taijiquan B",312,IF(Atletas!N499="Yang C",313,IF(Atletas!N499="Chen C",314,IF(Atletas!N499="Sun C",315,IF(Atletas!N499="Wu C",316,IF(Atletas!N499="Wu-Hao C",317,IF(Atletas!N499="Outro Taijiquan C",318,IF(Atletas!N499="Yang D",319,IF(Atletas!N499="Chen D",320,IF(Atletas!N499="Sun D",321,IF(Atletas!N499="Wu D",322,IF(Atletas!N499="Wu-Hao D",323,IF(Atletas!N499="Outro Taijiquan D",324,IF(Atletas!N499="Yang E",325,IF(Atletas!N499="Chen E",326,IF(Atletas!N499="Sun E",327,IF(Atletas!N499="Wu E",328,IF(Atletas!N499="Wu-Hao E",329,IF(Atletas!N499="Outro Taijiquan E",330,IF(Atletas!N499="Yang F",331,IF(Atletas!N499="Chen F",332,IF(Atletas!N499="Sun F",333,IF(Atletas!N499="Wu F",334,IF(Atletas!N499="Wu-Hao F",335,IF(Atletas!N499="Outro Taijiquan F",336,"")))))))))))))))))))))))))))))))))))))</f>
        <v/>
      </c>
      <c r="BP503" s="52" t="str">
        <f>IF(Atletas!O499="","",IF(Atletas!W499&lt;&gt;"",10000,0)+IF(Atletas!B499="Feminino",1000,IF(Atletas!B499="Masculino",2000,""))+IF(OR(Atletas!O499="Yang 26 A",Atletas!O499="Yang 40 A"),401,IF(OR(Atletas!O499="Chen 25 A",Atletas!O499="Chen 36 A",Atletas!O499="Chen 56 A"),402,IF(Atletas!O499="Sun 73 A",403,IF(Atletas!O499="Wu 45 A",404,IF(Atletas!O499="Wu-Hao 46 A",405,IF(OR(Atletas!O499="Taijiquan 16 A",Atletas!O499="Taijiquan 24 A",Atletas!O499="Taijiquan 32 A",Atletas!O499="Taijiquan 42 A"),406,IF(OR(Atletas!O499="Yang 26 B",Atletas!O499="Yang 40 B"),407,IF(OR(Atletas!O499="Chen 25 B",Atletas!O499="Chen 36 B",Atletas!O499="Chen 56 B"),408,IF(Atletas!O499="Sun 73 B",409,IF(Atletas!O499="Wu 45 B",410,IF(Atletas!O499="Wu-Hao 46 B",411,IF(OR(Atletas!O499="Taijiquan 16 B",Atletas!O499="Taijiquan 24 B",Atletas!O499="Taijiquan 32 B",Atletas!O499="Taijiquan 42 B"),412,IF(OR(Atletas!O499="Yang 26 C",Atletas!O499="Yang 40 C"),413,IF(OR(Atletas!O499="Chen 25 C",Atletas!O499="Chen 36 C",Atletas!O499="Chen 56 C"),414,IF(Atletas!O499="Sun 73 C",415,IF(Atletas!O499="Wu 45 C",416,IF(Atletas!O499="Wu-Hao 46 C",417,IF(OR(Atletas!O499="Taijiquan 16 C",Atletas!O499="Taijiquan 24 C",Atletas!O499="Taijiquan 32 C",Atletas!O499="Taijiquan 42 C"),418,0)))))))))))))))))))</f>
        <v/>
      </c>
      <c r="BQ503" s="52" t="str">
        <f>IF(Atletas!O499="","",IF(Atletas!W499&lt;&gt;"",10000,0)+IF(Atletas!B499="Feminino",1000,IF(Atletas!B499="Masculino",2000,""))+IF(OR(Atletas!O499="Yang 26 D",Atletas!O499="Yang 40 D"),419,IF(OR(Atletas!O499="Chen 25 D",Atletas!O499="Chen 36 D",Atletas!O499="Chen 56 D"),420,IF(Atletas!O499="Sun 73 D",421,IF(Atletas!O499="Wu 45 D",422,IF(Atletas!O499="Wu-Hao 46 D",423,IF(OR(Atletas!O499="Taijiquan 16 D",Atletas!O499="Taijiquan 24 D",Atletas!O499="Taijiquan 32 D",Atletas!O499="Taijiquan 42 D"),424,IF(OR(Atletas!O499="Yang 26 E",Atletas!O499="Yang 40 E"),425,IF(OR(Atletas!O499="Chen 25 E",Atletas!O499="Chen 36 E",Atletas!O499="Chen 56 E"),426,IF(Atletas!O499="Sun 73 E",427,IF(Atletas!O499="Wu 45 E",428,IF(Atletas!O499="Wu-Hao 46 E",429,IF(OR(Atletas!O499="Taijiquan 16 E",Atletas!O499="Taijiquan 24 E",Atletas!O499="Taijiquan 32 E",Atletas!O499="Taijiquan 42 E"),430,IF(OR(Atletas!O499="Yang 26 F",Atletas!O499="Yang 40 F"),431,IF(OR(Atletas!O499="Chen 25 F",Atletas!O499="Chen 36 F",Atletas!O499="Chen 56 F"),432,IF(Atletas!O499="Sun 73 F",433,IF(Atletas!O499="Wu 45 F",434,IF(Atletas!O499="Wu-Hao 46 F",435,IF(OR(Atletas!O499="Taijiquan 16 F",Atletas!O499="Taijiquan 24 F",Atletas!O499="Taijiquan 32 F",Atletas!O499="Taijiquan 42 F"),436,0)))))))))))))))))))</f>
        <v/>
      </c>
      <c r="BR503" s="52" t="str">
        <f>IF(Atletas!P499="","",IF(Atletas!W499&lt;&gt;"",10000,0)+IF(Atletas!B499="Feminino",1000,IF(Atletas!B499="Masculino",2000,""))+IF(Atletas!P499="Xingyiquan A",501,IF(Atletas!P499="Baguazhang A",502,IF(Atletas!P499="Outro Estilo Interno A",503,IF(Atletas!P499="Xingyiquan B",504,IF(Atletas!P499="Baguazhang B",505,IF(Atletas!P499="Outro Estilo Interno B",506,IF(Atletas!P499="Xingyiquan C",507,IF(Atletas!P499="Baguazhang C",508,IF(Atletas!P499="Outro Estilo Interno C",509,IF(Atletas!P499="Xingyiquan D",510,IF(Atletas!P499="Baguazhang D",511,IF(Atletas!P499="Outro Estilo Interno D",512,IF(Atletas!P499="Xingyiquan E",513,IF(Atletas!P499="Baguazhang E",514,IF(Atletas!P499="Outro Estilo Interno E",515,IF(Atletas!P499="Xingyiquan F",516,IF(Atletas!P499="Baguazhang F",517,IF(Atletas!P499="Outro Estilo Interno F",518, "")))))))))))))))))))</f>
        <v/>
      </c>
      <c r="BS503" s="52" t="str">
        <f>IF(Atletas!Q499="","",IF(Atletas!W499&lt;&gt;"",10000,0)+IF(Atletas!B499="Feminino",1000,IF(Atletas!B499="Masculino",2000,""))+IF(Atletas!Q499="Dao A",601,IF(Atletas!Q499="Jian A",602,IF(Atletas!Q499="Bishou A",603,IF(Atletas!Q499="Shan A",604,IF(Atletas!Q499="Outra Arma Curta A",605,IF(Atletas!Q499="Dao B",606,IF(Atletas!Q499="Jian B",607,IF(Atletas!Q499="Bishou B",608,IF(Atletas!Q499="Shan B",609,IF(Atletas!Q499="Outra Arma Curta B",610,IF(Atletas!Q499="Dao C",611,IF(Atletas!Q499="Jian C",612,IF(Atletas!Q499="Bishou C",613,IF(Atletas!Q499="Shan C",614,IF(Atletas!Q499="Outra Arma Curta C",615,IF(Atletas!Q499="Dao D",616,IF(Atletas!Q499="Jian D",617,IF(Atletas!Q499="Bishou D",618,IF(Atletas!Q499="Shan D",619,IF(Atletas!Q499="Outra Arma Curta D",620,IF(Atletas!Q499="Dao E",621,IF(Atletas!Q499="Jian E",622,IF(Atletas!Q499="Bishou E",623,IF(Atletas!Q499="Shan E",624,IF(Atletas!Q499="Outra Arma Curta E",625,IF(Atletas!Q499="Dao F",626,IF(Atletas!Q499="Jian F",627,IF(Atletas!Q499="Bishou F",628,IF(Atletas!Q499="Shan F",629,IF(Atletas!Q499="Outra Arma Curta F",630, "")))))))))))))))))))))))))))))))</f>
        <v/>
      </c>
      <c r="BT503" s="52" t="str">
        <f>IF(Atletas!R499="","",IF(Atletas!W499&lt;&gt;"",10000,0)+IF(Atletas!B499="Feminino",1000,IF(Atletas!B499="Masculino",2000,""))+IF(Atletas!R499="Gun A",701,IF(Atletas!R499="Qiang A",702,IF(Atletas!R499="Pudao / Guandao A",703,IF(Atletas!R499="Outra Arma Longa A",704,IF(Atletas!R499="Gun B",705,IF(Atletas!R499="Qiang B",706,IF(Atletas!R499="Pudao / Guandao B",707,IF(Atletas!R499="Outra Arma Longa B",708,IF(Atletas!R499="Gun C",709,IF(Atletas!R499="Qiang C",710,IF(Atletas!R499="Pudao / Guandao C",711,IF(Atletas!R499="Outra Arma Longa C",712,IF(Atletas!R499="Gun D",713,IF(Atletas!R499="Qiang D",714,IF(Atletas!R499="Pudao / Guandao D",715,IF(Atletas!R499="Outra Arma Longa D",716,IF(Atletas!R499="Gun E",717,IF(Atletas!R499="Qiang E",718,IF(Atletas!R499="Pudao / Guandao E",719,IF(Atletas!R499="Outra Arma Longa E",720,IF(Atletas!R499="Gun F",721,IF(Atletas!R499="Qiang F",722,IF(Atletas!R499="Pudao / Guandao F",723,IF(Atletas!R499="Outra Arma Longa F",724,"")))))))))))))))))))))))))</f>
        <v/>
      </c>
      <c r="BU503" s="52" t="str">
        <f>IF(Atletas!S499="","",IF(Atletas!W499&lt;&gt;"",10000,0)+IF(Atletas!B499="Feminino",1000,IF(Atletas!B499="Masculino",2000,""))+IF(Atletas!S499="Arma Dupla A",801,IF(Atletas!S499="Arma Maleável A",802,IF(Atletas!S499="Arma Dupla B",803,IF(Atletas!S499="Arma Maleável B",804,IF(Atletas!S499="Arma Dupla C",805,IF(Atletas!S499="Arma Maleável C",806,IF(Atletas!S499="Arma Dupla D",807,IF(Atletas!S499="Arma Maleável D",808,IF(Atletas!S499="Arma Dupla E",809,IF(Atletas!S499="Arma Maleável E",810,IF(Atletas!S499="Arma Dupla F",811,IF(Atletas!S499="Arma Maleável F",812, "")))))))))))))</f>
        <v/>
      </c>
      <c r="BV503" s="52" t="str">
        <f>IF(Atletas!T499="","",IF(Atletas!W499&lt;&gt;"",10000,0)+IF(Atletas!B499="Feminino",1000,IF(Atletas!B499="Masculino",2000,""))+IF(Atletas!T499="Taijijian Yang A",901,IF(Atletas!T499="Taijijian Chen A",902,IF(Atletas!T499="Taijijian Sun A",903,IF(Atletas!T499="Taijijian Wu A",904,IF(Atletas!T499="Taijijian Wu-Hao A",905,IF(Atletas!T499="Taijijian 32 A",906,IF(Atletas!T499="Taijijian 42 A",907,IF(Atletas!T499="Taijijian Yang B",908,IF(Atletas!T499="Taijijian Chen B",909,IF(Atletas!T499="Taijijian Sun B",910,IF(Atletas!T499="Taijijian Wu B",911,IF(Atletas!T499="Taijijian Wu-Hao B",912,IF(Atletas!T499="Taijijian 32 B",913,IF(Atletas!T499="Taijijian 42 B",914,IF(Atletas!T499="Taijijian Yang C",915,IF(Atletas!T499="Taijijian Chen C",916,IF(Atletas!T499="Taijijian Sun C",917,IF(Atletas!T499="Taijijian Wu C",918,IF(Atletas!T499="Taijijian Wu-Hao C",919,IF(Atletas!T499="Taijijian 32 C",920,IF(Atletas!T499="Taijijian 42 C",921,IF(Atletas!T499="Taijijian Yang D",922,IF(Atletas!T499="Taijijian Chen D",923,IF(Atletas!T499="Taijijian Sun D",924,IF(Atletas!T499="Taijijian Wu D",925,IF(Atletas!T499="Taijijian Wu-Hao D",926,IF(Atletas!T499="Taijijian 32 D",927,IF(Atletas!T499="Taijijian 42 D",928,IF(Atletas!T499="Taijijian Yang E",929,IF(Atletas!T499="Taijijian Chen E",930,IF(Atletas!T499="Taijijian Sun E",931,IF(Atletas!T499="Taijijian Wu E",932,IF(Atletas!T499="Taijijian Wu-Hao E",933,IF(Atletas!T499="Taijijian 32 E",934,IF(Atletas!T499="Taijijian 42 E",935,IF(Atletas!T499="Taijijian Yang F",936,IF(Atletas!T499="Taijijian Chen F",937,IF(Atletas!T499="Taijijian Sun F",938,IF(Atletas!T499="Taijijian Wu F",939,IF(Atletas!T499="Taijijian Wu-Hao F",940,IF(Atletas!T499="Taijijian 32 F",941,IF(Atletas!T499="Taijijian 42 F",942,"")))))))))))))))))))))))))))))))))))))))))))</f>
        <v/>
      </c>
      <c r="BW503" s="52" t="str">
        <f>IF(Atletas!U499="","",IF(Atletas!W499&lt;&gt;"",10000,0)+IF(Atletas!B499="Feminino",1000,IF(Atletas!B499="Masculino",2000,""))+IF(Atletas!T499="Taijijian 42 F",942,IF(Atletas!U499="Taijidao A",943,IF(Atletas!U499="Taijishan A",944,IF(Atletas!U499="Taijiqiang A",945,IF(Atletas!U499="Taijidao B",946,IF(Atletas!U499="Taijishan B",947,IF(Atletas!U499="Taijiqiang B",948,IF(Atletas!U499="Taijidao C",949,IF(Atletas!U499="Taijishan C",950,IF(Atletas!U499="Taijiqiang C",951,IF(Atletas!U499="Taijidao D",952,IF(Atletas!U499="Taijishan D",953,IF(Atletas!U499="Taijiqiang D",954,IF(Atletas!U499="Taijidao E",955,IF(Atletas!U499="Taijishan E",956,IF(Atletas!U499="Taijiqiang E",957,IF(Atletas!U499="Taijidao F",958,IF(Atletas!U499="Taijishan F",959,IF(Atletas!U499="Taijiqiang F",960))))))))))))))))))))</f>
        <v/>
      </c>
      <c r="CF503" s="52" t="str">
        <f xml:space="preserve"> IF(Atletas!V499="","",IF(Atletas!V499="Duilian de Mãos AB - Equipe 1",1,IF(Atletas!V499="Duilian de Mãos AB - Equipe 2",2,IF(Atletas!V499="Duilian de Armas AB - Equipe 1",3,IF(Atletas!V499="Duilian de Armas AB - Equipe 2",4,IF(Atletas!V499="Duilian de Tuishou - Equipe 1",5,IF(Atletas!V499="Duilian de Tuishou - Equipe 2",6,IF(Atletas!V499="Grupo Externo AB - Equipe 1",7,IF(Atletas!V499="Grupo Externo AB - Equipe 2",8,IF(Atletas!V499="Grupo Interno AB - Equipe 1",9,IF(Atletas!V499="Grupo Interno AB - Equipe 2",10,IF(Atletas!V499="Duilian de Mãos CD - Equipe 1",11,IF(Atletas!V499="Duilian de Mãos CD - Equipe 2",12,IF(Atletas!V499="Duilian de Armas CD - Equipe 1",13,IF(Atletas!V499="Duilian de Armas CD - Equipe 2",14,IF(Atletas!V499="Duilian de Tuishou - Equipe 1",15,IF(Atletas!V499="Duilian de Tuishou - Equipe 2",16,IF(Atletas!V499="Grupo Externo CDEF - Equipe 1",17,IF(Atletas!V499="Grupo Externo CDEF - Equipe 2",18,IF(Atletas!V499="Grupo Interno CDEF - Equipe 1",19,IF(Atletas!V499="Grupo Interno CDEF - Equipe 2",20,IF(Atletas!V499="Duilian de Mãos EF - Equipe 1",21,IF(Atletas!V499="Duilian de Mãos EF - Equipe 2",22,IF(Atletas!V499="Duilian de Armas EF - Equipe 1",23,IF(Atletas!V499="Duilian de Armas EF - Equipe 2",24,IF(Atletas!V499="Duilian de Tuishou - Equipe 1",25,IF(Atletas!V499="Duilian de Tuishou - Equipe 2",26,"")))))))))))))))))))))))))))</f>
        <v/>
      </c>
    </row>
    <row r="504" spans="36:84">
      <c r="AJ504" s="46" t="str">
        <f>IF(Atletas!D500="","",IF(Atletas!B500="Feminino",100,IF(Atletas!B500="Masculino",200,""))+(IF(Atletas!D500="Infantil 39kg",1,IF(Atletas!D500="Infantil 42kg",2,IF(Atletas!D500="Infantil 45kg",3,IF(Atletas!D500="Infantil 48kg",4,IF(Atletas!D500="Infantil 52kg",5,IF(Atletas!D500="Infantil 56kg",6,IF(Atletas!D500="Infantil 60kg",7,IF(Atletas!D500="Juvenil 48kg",8,IF(Atletas!D500="Juvenil 52kg",9,IF(Atletas!D500="Juvenil 56kg",10,IF(Atletas!D500="Juvenil 60kg",11,IF(Atletas!D500="Juvenil 65kg",12,IF(Atletas!D500="Juvenil 70kg",13,IF(Atletas!D500="Juvenil 75kg",14,IF(Atletas!D500="Juvenil 80kg",15,IF(Atletas!D500="Adulto 48kg",16,IF(Atletas!D500="Adulto 52kg",17,IF(Atletas!D500="Adulto 56kg",18,IF(Atletas!D500="Adulto 60kg",19,IF(Atletas!D500="Adulto 65kg",20,IF(Atletas!D500="Adulto 70kg",21,IF(Atletas!D500="Adulto 75kg",22,IF(Atletas!D500="Adulto 80kg",23,IF(Atletas!D500="Adulto 85kg",24,IF(Atletas!D500="Adulto 90kg",25,IF(Atletas!D500="Adulto +90kg",26,""))))))))))))))))))))))))))))</f>
        <v/>
      </c>
      <c r="AO504" s="10" t="str">
        <f>IF(Atletas!E500="","",IF(Atletas!B500="Feminino",100,IF(Atletas!B500="Masculino",200,""))+(IF(Atletas!E500="Juvenil 44kg",1,IF(Atletas!E500="Juvenil 48kg",2,IF(Atletas!E500="Juvenil 52kg",3,IF(Atletas!E500="Juvenil 56kg",4,IF(Atletas!E500="Juvenil 60kg",5,IF(Atletas!E500="Juvenil 65kg",6,IF(Atletas!E500="Juvenil 70kg",7,IF(Atletas!E500="Juvenil 75kg",8,IF(Atletas!E500="Juvenil 82kg",9,IF(Atletas!E500="Juvenil 90kg",10,IF(Atletas!E500="Juvenil 100kg",11,IF(Atletas!E500="Adulto 48kg",12,IF(Atletas!E500="Adulto 52kg",13,IF(Atletas!E500="Adulto 56kg",14,IF(Atletas!E500="Adulto 60kg",15,IF(Atletas!E500="Adulto 65kg",16,IF(Atletas!E500="Adulto 70kg",17,IF(Atletas!E500="Adulto 75kg",18,IF(Atletas!E500="Adulto 82kg",19,IF(Atletas!E500="Adulto 90kg",20,IF(Atletas!E500="Adulto 100kg",21,IF(Atletas!E500="Adulto +100kg",22,""))))))))))))))))))))))))</f>
        <v/>
      </c>
      <c r="AT504" s="10" t="str">
        <f>IF(Atletas!F500="","",IF(Atletas!B500="Feminino",100,IF(Atletas!B500="Masculino",200,""))+(IF(Atletas!F500="Adulto 48kg",1,IF(Atletas!F500="Adulto 56kg",2,IF(Atletas!F500="Adulto 65kg",3,IF(Atletas!F500="Adulto 75kg",4,IF(Atletas!F500="Adulto +75kg",5,IF(Atletas!F500="Adulto 52kg",6,IF(Atletas!F500="Adulto 60kg",7,IF(Atletas!F500="Adulto 70kg",8,IF(Atletas!F500="Adulto 80kg",9,IF(Atletas!F500="Adulto 90kg",10,IF(Atletas!F500="Adulto +90kg",11,"")))))))))))))</f>
        <v/>
      </c>
      <c r="AY504" s="46" t="str">
        <f>IF(Atletas!G500="","",IF(Atletas!B500="Feminino",100,IF(Atletas!B500="Masculino",200,""))+(IF(Atletas!G500="Changquan Mirim",1,IF(Atletas!G500="Nanquan Mirim",2,IF(Atletas!G500="Taijiquan Mirim",3,IF(Atletas!G500="Changquan Grupo C",4,IF(Atletas!G500="Nanquan Grupo C",5,IF(Atletas!G500="Taijiquan Grupo C",6,IF(Atletas!G500="Changquan Grupo B",7,IF(Atletas!G500="Nanquan Grupo B",8,IF(Atletas!G500="Taijiquan Grupo B",9,IF(Atletas!G500="Changquan Grupo A",10,IF(Atletas!G500="Nanquan Grupo A",11,IF(Atletas!G500="Taijiquan Grupo A",12,IF(Atletas!G500="Changquan Opcional",13,IF(Atletas!G500="Nanquan Opcional",14,IF(Atletas!G500="Taijiquan Opcional",15,IF(Atletas!G500="Changquan Adulto",16,IF(Atletas!G500="Nanquan Adulto",17,IF(Atletas!G500="Taijiquan Adulto",18,""))))))))))))))))))))</f>
        <v/>
      </c>
      <c r="AZ504" s="46" t="str">
        <f>IF(Atletas!H500="","",IF(Atletas!B500="Feminino",100,IF(Atletas!B500="Masculino",200,""))+(IF(Atletas!H500="Daoshu Mirim",19,IF(Atletas!H500="Jianshu Mirim",20,IF(Atletas!H500="Nandao Mirim",21,IF(Atletas!H500="Taijijian Mirim",22,IF(Atletas!H500="Daoshu Grupo C",23,IF(Atletas!H500="Jianshu Grupo C",24,IF(Atletas!H500="Nandao Grupo C",25,IF(Atletas!H500="Taijijian Grupo C",26,IF(Atletas!H500="Daoshu Grupo B",27,IF(Atletas!H500="Jianshu Grupo B",28,IF(Atletas!H500="Nandao Grupo B",29,IF(Atletas!H500="Taijijian Grupo B",30,IF(Atletas!H500="Daoshu Grupo A",31,IF(Atletas!H500="Jianshu Grupo A",32,IF(Atletas!H500="Nandao Grupo A",33,IF(Atletas!H500="Taijijian Grupo A",34,IF(Atletas!H500="Daoshu Opcional",35,IF(Atletas!H500="Jianshu Opcional",36,IF(Atletas!H500="Nandao Opcional",37,IF(Atletas!H500="Taijijian Opcional",38,IF(Atletas!H500="Daoshu Adulto",39,IF(Atletas!H500="Jianshu Adulto",40,IF(Atletas!H500="Nandao Adulto",41,IF(Atletas!H500="Taijijian Adulto",42,""))))))))))))))))))))))))))</f>
        <v/>
      </c>
      <c r="BA504" s="46" t="str">
        <f>IF(Atletas!I500="","",IF(Atletas!B500="Feminino",100,IF(Atletas!B500="Masculino",200,""))+(IF(Atletas!I500="Gunshu Mirim",43,IF(Atletas!I500="Qiangshu Mirim",44,IF(Atletas!I500="Nangun Mirim",45,IF(Atletas!I500="Gunshu Grupo C",46,IF(Atletas!I500="Qiangshu Grupo C",47,IF(Atletas!I500="Nangun Grupo C",48,IF(Atletas!I500="Gunshu Grupo B",49,IF(Atletas!I500="Qiangshu Grupo B",50,IF(Atletas!I500="Nangun Grupo B",51,IF(Atletas!I500="Gunshu Grupo A",52,IF(Atletas!I500="Qiangshu Grupo A",53,IF(Atletas!I500="Nangun Grupo A",54,IF(Atletas!I500="Gunshu Opcional",55,IF(Atletas!I500="Qiangshu Opcional",56,IF(Atletas!I500="Nangun Opcional",57,IF(Atletas!I500="Gunshu Adulto",58,IF(Atletas!I500="Qiangshu Adulto",59,IF(Atletas!I500="Nangun Adulto",60,""))))))))))))))))))))</f>
        <v/>
      </c>
      <c r="BF504" s="52" t="str">
        <f>IF(Atletas!J500="","",IF(Atletas!B500="Feminino",100,IF(Atletas!B500="Masculino",200,""))+(IF(Atletas!J500="Equipe 1 Grupo B",1,IF(Atletas!J500="Equipe 2 Grupo B",2,IF(Atletas!J500="Equipe 1 Grupo A",3,IF(Atletas!J500="Equipe 2 Grupo A",4,IF(Atletas!J500="Equipe 1 Adulto",5,IF(Atletas!J500="Equipe 2 Adulto",6,""))))))))</f>
        <v/>
      </c>
      <c r="BK504" s="52" t="str">
        <f>IF(Atletas!K500="","",IF(Atletas!W500&lt;&gt;"",10000,0)+(IF(Atletas!B500="Feminino",1000,IF(Atletas!B500="Masculino",2000,""))+IF(Atletas!K500="Choylayfut A",1,IF(Atletas!K500="Hunggar A",2,IF(Atletas!K500="Wuzuquan A",3,IF(Atletas!K500="Wingchun A",4,IF(Atletas!K500="Outra Mão de Sul A",5,IF(Atletas!K500="Choylayfut B",6,IF(Atletas!K500="Hunggar B",7,IF(Atletas!K500="Wuzuquan B",8,IF(Atletas!K500="Wingchun B",9,IF(Atletas!K500="Outra Mão de Sul B",10,IF(Atletas!K500="Choylayfut C",11,IF(Atletas!K500="Hunggar C",12,IF(Atletas!K500="Wuzuquan C",13,IF(Atletas!K500="Wingchun C",14,IF(Atletas!K500="Outra Mão de Sul C",15,IF(Atletas!K500="Choylayfut D",16,IF(Atletas!K500="Hunggar D",17,IF(Atletas!K500="Wuzuquan D",18,IF(Atletas!K500="Wingchun D",19,IF(Atletas!K500="Outra Mão de Sul D",20,IF(Atletas!K500="Choylayfut E",21,IF(Atletas!K500="Hunggar E",22,IF(Atletas!K500="Wuzuquan E",23,IF(Atletas!K500="Wingchun E",24,IF(Atletas!K500="Outra Mão de Sul E",25,IF(Atletas!K500="Choylayfut F",26,IF(Atletas!K500="Hunggar F",27,IF(Atletas!K500="Wuzuquan F",28,IF(Atletas!K500="Wingchun F",29,IF(Atletas!K500="Outra Mão de Sul F",30,""))))))))))))))))))))))))))))))))</f>
        <v/>
      </c>
      <c r="BL504" s="52" t="str">
        <f>IF(Atletas!L500="","",IF(Atletas!W500&lt;&gt;"",10000,0)+(IF(Atletas!B500="Feminino",1000,IF(Atletas!B500="Masculino",2000,""))+(IF(Atletas!L500="Chaquan A",101,IF(Atletas!L500="Emeiquan A",102,IF(Atletas!L500="Fanziquan A",103,IF(Atletas!L500="Huaquan A",104,IF(Atletas!L500="Hongquan A",105,IF(Atletas!L500="Paochui A",106,IF(Atletas!L500="Piguaquan A",107,IF(Atletas!L500="Shaolinquan A",108,IF(Atletas!L500="Tanglangquan A",109,IF(Atletas!L500="Yinzhaophai A",110,IF(Atletas!L500="Tongbeiquan A",111,IF(Atletas!L500="Wudangquan A",112,IF(Atletas!L500="Outros Estilos A",113,IF(Atletas!L500="Chaquan B",114,IF(Atletas!L500="Emeiquan B",115,IF(Atletas!L500="Fanziquan B",116,IF(Atletas!L500="Huaquan B",117,IF(Atletas!L500="Hongquan B",118,IF(Atletas!L500="Paochui B",119,IF(Atletas!L500="Piguaquan B",120,IF(Atletas!L500="Shaolinquan B",121,IF(Atletas!L500="Tanglangquan B",122,IF(Atletas!L500="Yinzhaophai B",123,IF(Atletas!L500="Tongbeiquan B",124,IF(Atletas!L500="Wudangquan B",125,IF(Atletas!L500="Outros Estilos B",126,IF(Atletas!L500="Chaquan C",127,IF(Atletas!L500="Emeiquan C",128,IF(Atletas!L500="Fanziquan C",129,IF(Atletas!L500="Huaquan C",130,IF(Atletas!L500="Hongquan C",131,IF(Atletas!L500="Paochui C",132,IF(Atletas!L500="Piguaquan C",133,IF(Atletas!L500="Shaolinquan C",134,IF(Atletas!L500="Tanglangquan C",135,IF(Atletas!L500="Yinzhaophai C",136,IF(Atletas!L500="Tongbeiquan C",137,IF(Atletas!L500="Wudangquan C",138,IF(Atletas!L500="Outros Estilos C",139,0))))))))))))))))))))))))))))))))))))))))))</f>
        <v/>
      </c>
      <c r="BM504" s="52" t="str">
        <f>IF(Atletas!L500="","",IF(Atletas!W500&lt;&gt;"",10000,0)+(IF(Atletas!B500="Feminino",1000,IF(Atletas!B500="Masculino",2000,""))+(IF(Atletas!L500="Chaquan D",140,IF(Atletas!L500="Emeiquan D",141,IF(Atletas!L500="Fanziquan D",142,IF(Atletas!L500="Huaquan D",143,IF(Atletas!L500="Hongquan D",144,IF(Atletas!L500="Paochui D",145,IF(Atletas!L500="Piguaquan D",146,IF(Atletas!L500="Shaolinquan D",147,IF(Atletas!L500="Tanglangquan D",148,IF(Atletas!L500="Yinzhaophai D",149,IF(Atletas!L500="Tongbeiquan D",150,IF(Atletas!L500="Wudangquan D",151,IF(Atletas!L500="Outros Estilos D",152,IF(Atletas!L500="Chaquan E",153,IF(Atletas!L500="Emeiquan E",154,IF(Atletas!L500="Fanziquan E",155,IF(Atletas!L500="Huaquan E",156,IF(Atletas!L500="Hongquan E",157,IF(Atletas!L500="Paochui E",158,IF(Atletas!L500="Piguaquan E",159,IF(Atletas!L500="Shaolinquan E",160,IF(Atletas!L500="Tanglangquan E",161,IF(Atletas!L500="Yinzhaophai E",162,IF(Atletas!L500="Tongbeiquan E",163,IF(Atletas!L500="Wudangquan E",164,IF(Atletas!L500="Outros Estilos E",165,IF(Atletas!L500="Chaquan F",166,IF(Atletas!L500="Emeiquan F",167,IF(Atletas!L500="Fanziquan F",168,IF(Atletas!L500="Huaquan F",169,IF(Atletas!L500="Hongquan F",170,IF(Atletas!L500="Paochui F",171,IF(Atletas!L500="Piguaquan F",172,IF(Atletas!L500="Shaolinquan F",173,IF(Atletas!L500="Tanglangquan F",174,IF(Atletas!L500="Yinzhaophai F",175,IF(Atletas!L500="Tongbeiquan F",176,IF(Atletas!L500="Wudangquan F",177,IF(Atletas!L500="Outros Estilos F",178,0))))))))))))))))))))))))))))))))))))))))))</f>
        <v/>
      </c>
      <c r="BN504" s="52" t="str">
        <f>IF(Atletas!M500="","",IF(Atletas!W500&lt;&gt;"",10000,0)+(IF(Atletas!B500="Feminino",1000,IF(Atletas!B500="Masculino",2000,""))+(IF(Atletas!M500="Ditangquan A",201,IF(Atletas!M500="Houquan A",202,IF(Atletas!M500="Zuiquan A",203,IF(Atletas!M500="Ditangquan B",204,IF(Atletas!M500="Houquan B",205,IF(Atletas!M500="Zuiquan B",206,IF(Atletas!M500="Ditangquan C",207,IF(Atletas!M500="Houquan C",208,IF(Atletas!M500="Zuiquan C",209,IF(Atletas!M500="Ditangquan D",210,IF(Atletas!M500="Houquan D",211,IF(Atletas!M500="Zuiquan D",212,IF(Atletas!M500="Ditangquan E",213,IF(Atletas!M500="Houquan E",214,IF(Atletas!M500="Zuiquan E",215,IF(Atletas!M500="Ditangquan F",216,IF(Atletas!M500="Houquan F",217,IF(Atletas!M500="Zuiquan F",218,"")))))))))))))))))))))</f>
        <v/>
      </c>
      <c r="BO504" s="52" t="str">
        <f>IF(Atletas!N500="","",IF(Atletas!W500&lt;&gt;"",10000,0)+IF(Atletas!B500="Feminino",1000,IF(Atletas!B500="Masculino",2000,""))+IF(Atletas!N500="Yang A",301,IF(Atletas!N500="Chen A",30,IF(Atletas!N500="Sun A",303,IF(Atletas!N500="Wu A",304,IF(Atletas!N500="Wu-Hao A",305,IF(Atletas!N500="Outro Taijiquan A",306,IF(Atletas!N500="Yang B",307,IF(Atletas!N500="Chen B",308,IF(Atletas!N500="Sun B",309,IF(Atletas!N500="Wu B",310,IF(Atletas!N500="Wu-Hao B",311,IF(Atletas!N500="Outro Taijiquan B",312,IF(Atletas!N500="Yang C",313,IF(Atletas!N500="Chen C",314,IF(Atletas!N500="Sun C",315,IF(Atletas!N500="Wu C",316,IF(Atletas!N500="Wu-Hao C",317,IF(Atletas!N500="Outro Taijiquan C",318,IF(Atletas!N500="Yang D",319,IF(Atletas!N500="Chen D",320,IF(Atletas!N500="Sun D",321,IF(Atletas!N500="Wu D",322,IF(Atletas!N500="Wu-Hao D",323,IF(Atletas!N500="Outro Taijiquan D",324,IF(Atletas!N500="Yang E",325,IF(Atletas!N500="Chen E",326,IF(Atletas!N500="Sun E",327,IF(Atletas!N500="Wu E",328,IF(Atletas!N500="Wu-Hao E",329,IF(Atletas!N500="Outro Taijiquan E",330,IF(Atletas!N500="Yang F",331,IF(Atletas!N500="Chen F",332,IF(Atletas!N500="Sun F",333,IF(Atletas!N500="Wu F",334,IF(Atletas!N500="Wu-Hao F",335,IF(Atletas!N500="Outro Taijiquan F",336,"")))))))))))))))))))))))))))))))))))))</f>
        <v/>
      </c>
      <c r="BP504" s="52" t="str">
        <f>IF(Atletas!O500="","",IF(Atletas!W500&lt;&gt;"",10000,0)+IF(Atletas!B500="Feminino",1000,IF(Atletas!B500="Masculino",2000,""))+IF(OR(Atletas!O500="Yang 26 A",Atletas!O500="Yang 40 A"),401,IF(OR(Atletas!O500="Chen 25 A",Atletas!O500="Chen 36 A",Atletas!O500="Chen 56 A"),402,IF(Atletas!O500="Sun 73 A",403,IF(Atletas!O500="Wu 45 A",404,IF(Atletas!O500="Wu-Hao 46 A",405,IF(OR(Atletas!O500="Taijiquan 16 A",Atletas!O500="Taijiquan 24 A",Atletas!O500="Taijiquan 32 A",Atletas!O500="Taijiquan 42 A"),406,IF(OR(Atletas!O500="Yang 26 B",Atletas!O500="Yang 40 B"),407,IF(OR(Atletas!O500="Chen 25 B",Atletas!O500="Chen 36 B",Atletas!O500="Chen 56 B"),408,IF(Atletas!O500="Sun 73 B",409,IF(Atletas!O500="Wu 45 B",410,IF(Atletas!O500="Wu-Hao 46 B",411,IF(OR(Atletas!O500="Taijiquan 16 B",Atletas!O500="Taijiquan 24 B",Atletas!O500="Taijiquan 32 B",Atletas!O500="Taijiquan 42 B"),412,IF(OR(Atletas!O500="Yang 26 C",Atletas!O500="Yang 40 C"),413,IF(OR(Atletas!O500="Chen 25 C",Atletas!O500="Chen 36 C",Atletas!O500="Chen 56 C"),414,IF(Atletas!O500="Sun 73 C",415,IF(Atletas!O500="Wu 45 C",416,IF(Atletas!O500="Wu-Hao 46 C",417,IF(OR(Atletas!O500="Taijiquan 16 C",Atletas!O500="Taijiquan 24 C",Atletas!O500="Taijiquan 32 C",Atletas!O500="Taijiquan 42 C"),418,0)))))))))))))))))))</f>
        <v/>
      </c>
      <c r="BQ504" s="52" t="str">
        <f>IF(Atletas!O500="","",IF(Atletas!W500&lt;&gt;"",10000,0)+IF(Atletas!B500="Feminino",1000,IF(Atletas!B500="Masculino",2000,""))+IF(OR(Atletas!O500="Yang 26 D",Atletas!O500="Yang 40 D"),419,IF(OR(Atletas!O500="Chen 25 D",Atletas!O500="Chen 36 D",Atletas!O500="Chen 56 D"),420,IF(Atletas!O500="Sun 73 D",421,IF(Atletas!O500="Wu 45 D",422,IF(Atletas!O500="Wu-Hao 46 D",423,IF(OR(Atletas!O500="Taijiquan 16 D",Atletas!O500="Taijiquan 24 D",Atletas!O500="Taijiquan 32 D",Atletas!O500="Taijiquan 42 D"),424,IF(OR(Atletas!O500="Yang 26 E",Atletas!O500="Yang 40 E"),425,IF(OR(Atletas!O500="Chen 25 E",Atletas!O500="Chen 36 E",Atletas!O500="Chen 56 E"),426,IF(Atletas!O500="Sun 73 E",427,IF(Atletas!O500="Wu 45 E",428,IF(Atletas!O500="Wu-Hao 46 E",429,IF(OR(Atletas!O500="Taijiquan 16 E",Atletas!O500="Taijiquan 24 E",Atletas!O500="Taijiquan 32 E",Atletas!O500="Taijiquan 42 E"),430,IF(OR(Atletas!O500="Yang 26 F",Atletas!O500="Yang 40 F"),431,IF(OR(Atletas!O500="Chen 25 F",Atletas!O500="Chen 36 F",Atletas!O500="Chen 56 F"),432,IF(Atletas!O500="Sun 73 F",433,IF(Atletas!O500="Wu 45 F",434,IF(Atletas!O500="Wu-Hao 46 F",435,IF(OR(Atletas!O500="Taijiquan 16 F",Atletas!O500="Taijiquan 24 F",Atletas!O500="Taijiquan 32 F",Atletas!O500="Taijiquan 42 F"),436,0)))))))))))))))))))</f>
        <v/>
      </c>
      <c r="BR504" s="52" t="str">
        <f>IF(Atletas!P500="","",IF(Atletas!W500&lt;&gt;"",10000,0)+IF(Atletas!B500="Feminino",1000,IF(Atletas!B500="Masculino",2000,""))+IF(Atletas!P500="Xingyiquan A",501,IF(Atletas!P500="Baguazhang A",502,IF(Atletas!P500="Outro Estilo Interno A",503,IF(Atletas!P500="Xingyiquan B",504,IF(Atletas!P500="Baguazhang B",505,IF(Atletas!P500="Outro Estilo Interno B",506,IF(Atletas!P500="Xingyiquan C",507,IF(Atletas!P500="Baguazhang C",508,IF(Atletas!P500="Outro Estilo Interno C",509,IF(Atletas!P500="Xingyiquan D",510,IF(Atletas!P500="Baguazhang D",511,IF(Atletas!P500="Outro Estilo Interno D",512,IF(Atletas!P500="Xingyiquan E",513,IF(Atletas!P500="Baguazhang E",514,IF(Atletas!P500="Outro Estilo Interno E",515,IF(Atletas!P500="Xingyiquan F",516,IF(Atletas!P500="Baguazhang F",517,IF(Atletas!P500="Outro Estilo Interno F",518, "")))))))))))))))))))</f>
        <v/>
      </c>
      <c r="BS504" s="52" t="str">
        <f>IF(Atletas!Q500="","",IF(Atletas!W500&lt;&gt;"",10000,0)+IF(Atletas!B500="Feminino",1000,IF(Atletas!B500="Masculino",2000,""))+IF(Atletas!Q500="Dao A",601,IF(Atletas!Q500="Jian A",602,IF(Atletas!Q500="Bishou A",603,IF(Atletas!Q500="Shan A",604,IF(Atletas!Q500="Outra Arma Curta A",605,IF(Atletas!Q500="Dao B",606,IF(Atletas!Q500="Jian B",607,IF(Atletas!Q500="Bishou B",608,IF(Atletas!Q500="Shan B",609,IF(Atletas!Q500="Outra Arma Curta B",610,IF(Atletas!Q500="Dao C",611,IF(Atletas!Q500="Jian C",612,IF(Atletas!Q500="Bishou C",613,IF(Atletas!Q500="Shan C",614,IF(Atletas!Q500="Outra Arma Curta C",615,IF(Atletas!Q500="Dao D",616,IF(Atletas!Q500="Jian D",617,IF(Atletas!Q500="Bishou D",618,IF(Atletas!Q500="Shan D",619,IF(Atletas!Q500="Outra Arma Curta D",620,IF(Atletas!Q500="Dao E",621,IF(Atletas!Q500="Jian E",622,IF(Atletas!Q500="Bishou E",623,IF(Atletas!Q500="Shan E",624,IF(Atletas!Q500="Outra Arma Curta E",625,IF(Atletas!Q500="Dao F",626,IF(Atletas!Q500="Jian F",627,IF(Atletas!Q500="Bishou F",628,IF(Atletas!Q500="Shan F",629,IF(Atletas!Q500="Outra Arma Curta F",630, "")))))))))))))))))))))))))))))))</f>
        <v/>
      </c>
      <c r="BT504" s="52" t="str">
        <f>IF(Atletas!R500="","",IF(Atletas!W500&lt;&gt;"",10000,0)+IF(Atletas!B500="Feminino",1000,IF(Atletas!B500="Masculino",2000,""))+IF(Atletas!R500="Gun A",701,IF(Atletas!R500="Qiang A",702,IF(Atletas!R500="Pudao / Guandao A",703,IF(Atletas!R500="Outra Arma Longa A",704,IF(Atletas!R500="Gun B",705,IF(Atletas!R500="Qiang B",706,IF(Atletas!R500="Pudao / Guandao B",707,IF(Atletas!R500="Outra Arma Longa B",708,IF(Atletas!R500="Gun C",709,IF(Atletas!R500="Qiang C",710,IF(Atletas!R500="Pudao / Guandao C",711,IF(Atletas!R500="Outra Arma Longa C",712,IF(Atletas!R500="Gun D",713,IF(Atletas!R500="Qiang D",714,IF(Atletas!R500="Pudao / Guandao D",715,IF(Atletas!R500="Outra Arma Longa D",716,IF(Atletas!R500="Gun E",717,IF(Atletas!R500="Qiang E",718,IF(Atletas!R500="Pudao / Guandao E",719,IF(Atletas!R500="Outra Arma Longa E",720,IF(Atletas!R500="Gun F",721,IF(Atletas!R500="Qiang F",722,IF(Atletas!R500="Pudao / Guandao F",723,IF(Atletas!R500="Outra Arma Longa F",724,"")))))))))))))))))))))))))</f>
        <v/>
      </c>
      <c r="BU504" s="52" t="str">
        <f>IF(Atletas!S500="","",IF(Atletas!W500&lt;&gt;"",10000,0)+IF(Atletas!B500="Feminino",1000,IF(Atletas!B500="Masculino",2000,""))+IF(Atletas!S500="Arma Dupla A",801,IF(Atletas!S500="Arma Maleável A",802,IF(Atletas!S500="Arma Dupla B",803,IF(Atletas!S500="Arma Maleável B",804,IF(Atletas!S500="Arma Dupla C",805,IF(Atletas!S500="Arma Maleável C",806,IF(Atletas!S500="Arma Dupla D",807,IF(Atletas!S500="Arma Maleável D",808,IF(Atletas!S500="Arma Dupla E",809,IF(Atletas!S500="Arma Maleável E",810,IF(Atletas!S500="Arma Dupla F",811,IF(Atletas!S500="Arma Maleável F",812, "")))))))))))))</f>
        <v/>
      </c>
      <c r="BV504" s="52" t="str">
        <f>IF(Atletas!T500="","",IF(Atletas!W500&lt;&gt;"",10000,0)+IF(Atletas!B500="Feminino",1000,IF(Atletas!B500="Masculino",2000,""))+IF(Atletas!T500="Taijijian Yang A",901,IF(Atletas!T500="Taijijian Chen A",902,IF(Atletas!T500="Taijijian Sun A",903,IF(Atletas!T500="Taijijian Wu A",904,IF(Atletas!T500="Taijijian Wu-Hao A",905,IF(Atletas!T500="Taijijian 32 A",906,IF(Atletas!T500="Taijijian 42 A",907,IF(Atletas!T500="Taijijian Yang B",908,IF(Atletas!T500="Taijijian Chen B",909,IF(Atletas!T500="Taijijian Sun B",910,IF(Atletas!T500="Taijijian Wu B",911,IF(Atletas!T500="Taijijian Wu-Hao B",912,IF(Atletas!T500="Taijijian 32 B",913,IF(Atletas!T500="Taijijian 42 B",914,IF(Atletas!T500="Taijijian Yang C",915,IF(Atletas!T500="Taijijian Chen C",916,IF(Atletas!T500="Taijijian Sun C",917,IF(Atletas!T500="Taijijian Wu C",918,IF(Atletas!T500="Taijijian Wu-Hao C",919,IF(Atletas!T500="Taijijian 32 C",920,IF(Atletas!T500="Taijijian 42 C",921,IF(Atletas!T500="Taijijian Yang D",922,IF(Atletas!T500="Taijijian Chen D",923,IF(Atletas!T500="Taijijian Sun D",924,IF(Atletas!T500="Taijijian Wu D",925,IF(Atletas!T500="Taijijian Wu-Hao D",926,IF(Atletas!T500="Taijijian 32 D",927,IF(Atletas!T500="Taijijian 42 D",928,IF(Atletas!T500="Taijijian Yang E",929,IF(Atletas!T500="Taijijian Chen E",930,IF(Atletas!T500="Taijijian Sun E",931,IF(Atletas!T500="Taijijian Wu E",932,IF(Atletas!T500="Taijijian Wu-Hao E",933,IF(Atletas!T500="Taijijian 32 E",934,IF(Atletas!T500="Taijijian 42 E",935,IF(Atletas!T500="Taijijian Yang F",936,IF(Atletas!T500="Taijijian Chen F",937,IF(Atletas!T500="Taijijian Sun F",938,IF(Atletas!T500="Taijijian Wu F",939,IF(Atletas!T500="Taijijian Wu-Hao F",940,IF(Atletas!T500="Taijijian 32 F",941,IF(Atletas!T500="Taijijian 42 F",942,"")))))))))))))))))))))))))))))))))))))))))))</f>
        <v/>
      </c>
      <c r="BW504" s="52" t="str">
        <f>IF(Atletas!U500="","",IF(Atletas!W500&lt;&gt;"",10000,0)+IF(Atletas!B500="Feminino",1000,IF(Atletas!B500="Masculino",2000,""))+IF(Atletas!T500="Taijijian 42 F",942,IF(Atletas!U500="Taijidao A",943,IF(Atletas!U500="Taijishan A",944,IF(Atletas!U500="Taijiqiang A",945,IF(Atletas!U500="Taijidao B",946,IF(Atletas!U500="Taijishan B",947,IF(Atletas!U500="Taijiqiang B",948,IF(Atletas!U500="Taijidao C",949,IF(Atletas!U500="Taijishan C",950,IF(Atletas!U500="Taijiqiang C",951,IF(Atletas!U500="Taijidao D",952,IF(Atletas!U500="Taijishan D",953,IF(Atletas!U500="Taijiqiang D",954,IF(Atletas!U500="Taijidao E",955,IF(Atletas!U500="Taijishan E",956,IF(Atletas!U500="Taijiqiang E",957,IF(Atletas!U500="Taijidao F",958,IF(Atletas!U500="Taijishan F",959,IF(Atletas!U500="Taijiqiang F",960))))))))))))))))))))</f>
        <v/>
      </c>
      <c r="CF504" s="52" t="str">
        <f xml:space="preserve"> IF(Atletas!V500="","",IF(Atletas!V500="Duilian de Mãos AB - Equipe 1",1,IF(Atletas!V500="Duilian de Mãos AB - Equipe 2",2,IF(Atletas!V500="Duilian de Armas AB - Equipe 1",3,IF(Atletas!V500="Duilian de Armas AB - Equipe 2",4,IF(Atletas!V500="Duilian de Tuishou - Equipe 1",5,IF(Atletas!V500="Duilian de Tuishou - Equipe 2",6,IF(Atletas!V500="Grupo Externo AB - Equipe 1",7,IF(Atletas!V500="Grupo Externo AB - Equipe 2",8,IF(Atletas!V500="Grupo Interno AB - Equipe 1",9,IF(Atletas!V500="Grupo Interno AB - Equipe 2",10,IF(Atletas!V500="Duilian de Mãos CD - Equipe 1",11,IF(Atletas!V500="Duilian de Mãos CD - Equipe 2",12,IF(Atletas!V500="Duilian de Armas CD - Equipe 1",13,IF(Atletas!V500="Duilian de Armas CD - Equipe 2",14,IF(Atletas!V500="Duilian de Tuishou - Equipe 1",15,IF(Atletas!V500="Duilian de Tuishou - Equipe 2",16,IF(Atletas!V500="Grupo Externo CDEF - Equipe 1",17,IF(Atletas!V500="Grupo Externo CDEF - Equipe 2",18,IF(Atletas!V500="Grupo Interno CDEF - Equipe 1",19,IF(Atletas!V500="Grupo Interno CDEF - Equipe 2",20,IF(Atletas!V500="Duilian de Mãos EF - Equipe 1",21,IF(Atletas!V500="Duilian de Mãos EF - Equipe 2",22,IF(Atletas!V500="Duilian de Armas EF - Equipe 1",23,IF(Atletas!V500="Duilian de Armas EF - Equipe 2",24,IF(Atletas!V500="Duilian de Tuishou - Equipe 1",25,IF(Atletas!V500="Duilian de Tuishou - Equipe 2",26,"")))))))))))))))))))))))))))</f>
        <v/>
      </c>
    </row>
    <row r="505" spans="36:84">
      <c r="AJ505" s="46" t="str">
        <f>IF(Atletas!D501="","",IF(Atletas!B501="Feminino",100,IF(Atletas!B501="Masculino",200,""))+(IF(Atletas!D501="Infantil 39kg",1,IF(Atletas!D501="Infantil 42kg",2,IF(Atletas!D501="Infantil 45kg",3,IF(Atletas!D501="Infantil 48kg",4,IF(Atletas!D501="Infantil 52kg",5,IF(Atletas!D501="Infantil 56kg",6,IF(Atletas!D501="Infantil 60kg",7,IF(Atletas!D501="Juvenil 48kg",8,IF(Atletas!D501="Juvenil 52kg",9,IF(Atletas!D501="Juvenil 56kg",10,IF(Atletas!D501="Juvenil 60kg",11,IF(Atletas!D501="Juvenil 65kg",12,IF(Atletas!D501="Juvenil 70kg",13,IF(Atletas!D501="Juvenil 75kg",14,IF(Atletas!D501="Juvenil 80kg",15,IF(Atletas!D501="Adulto 48kg",16,IF(Atletas!D501="Adulto 52kg",17,IF(Atletas!D501="Adulto 56kg",18,IF(Atletas!D501="Adulto 60kg",19,IF(Atletas!D501="Adulto 65kg",20,IF(Atletas!D501="Adulto 70kg",21,IF(Atletas!D501="Adulto 75kg",22,IF(Atletas!D501="Adulto 80kg",23,IF(Atletas!D501="Adulto 85kg",24,IF(Atletas!D501="Adulto 90kg",25,IF(Atletas!D501="Adulto +90kg",26,""))))))))))))))))))))))))))))</f>
        <v/>
      </c>
      <c r="AO505" s="10" t="str">
        <f>IF(Atletas!E501="","",IF(Atletas!B501="Feminino",100,IF(Atletas!B501="Masculino",200,""))+(IF(Atletas!E501="Juvenil 44kg",1,IF(Atletas!E501="Juvenil 48kg",2,IF(Atletas!E501="Juvenil 52kg",3,IF(Atletas!E501="Juvenil 56kg",4,IF(Atletas!E501="Juvenil 60kg",5,IF(Atletas!E501="Juvenil 65kg",6,IF(Atletas!E501="Juvenil 70kg",7,IF(Atletas!E501="Juvenil 75kg",8,IF(Atletas!E501="Juvenil 82kg",9,IF(Atletas!E501="Juvenil 90kg",10,IF(Atletas!E501="Juvenil 100kg",11,IF(Atletas!E501="Adulto 48kg",12,IF(Atletas!E501="Adulto 52kg",13,IF(Atletas!E501="Adulto 56kg",14,IF(Atletas!E501="Adulto 60kg",15,IF(Atletas!E501="Adulto 65kg",16,IF(Atletas!E501="Adulto 70kg",17,IF(Atletas!E501="Adulto 75kg",18,IF(Atletas!E501="Adulto 82kg",19,IF(Atletas!E501="Adulto 90kg",20,IF(Atletas!E501="Adulto 100kg",21,IF(Atletas!E501="Adulto +100kg",22,""))))))))))))))))))))))))</f>
        <v/>
      </c>
      <c r="AT505" s="10" t="str">
        <f>IF(Atletas!F501="","",IF(Atletas!B501="Feminino",100,IF(Atletas!B501="Masculino",200,""))+(IF(Atletas!F501="Adulto 48kg",1,IF(Atletas!F501="Adulto 56kg",2,IF(Atletas!F501="Adulto 65kg",3,IF(Atletas!F501="Adulto 75kg",4,IF(Atletas!F501="Adulto +75kg",5,IF(Atletas!F501="Adulto 52kg",6,IF(Atletas!F501="Adulto 60kg",7,IF(Atletas!F501="Adulto 70kg",8,IF(Atletas!F501="Adulto 80kg",9,IF(Atletas!F501="Adulto 90kg",10,IF(Atletas!F501="Adulto +90kg",11,"")))))))))))))</f>
        <v/>
      </c>
      <c r="AY505" s="46" t="str">
        <f>IF(Atletas!G501="","",IF(Atletas!B501="Feminino",100,IF(Atletas!B501="Masculino",200,""))+(IF(Atletas!G501="Changquan Mirim",1,IF(Atletas!G501="Nanquan Mirim",2,IF(Atletas!G501="Taijiquan Mirim",3,IF(Atletas!G501="Changquan Grupo C",4,IF(Atletas!G501="Nanquan Grupo C",5,IF(Atletas!G501="Taijiquan Grupo C",6,IF(Atletas!G501="Changquan Grupo B",7,IF(Atletas!G501="Nanquan Grupo B",8,IF(Atletas!G501="Taijiquan Grupo B",9,IF(Atletas!G501="Changquan Grupo A",10,IF(Atletas!G501="Nanquan Grupo A",11,IF(Atletas!G501="Taijiquan Grupo A",12,IF(Atletas!G501="Changquan Opcional",13,IF(Atletas!G501="Nanquan Opcional",14,IF(Atletas!G501="Taijiquan Opcional",15,IF(Atletas!G501="Changquan Adulto",16,IF(Atletas!G501="Nanquan Adulto",17,IF(Atletas!G501="Taijiquan Adulto",18,""))))))))))))))))))))</f>
        <v/>
      </c>
      <c r="AZ505" s="46" t="str">
        <f>IF(Atletas!H501="","",IF(Atletas!B501="Feminino",100,IF(Atletas!B501="Masculino",200,""))+(IF(Atletas!H501="Daoshu Mirim",19,IF(Atletas!H501="Jianshu Mirim",20,IF(Atletas!H501="Nandao Mirim",21,IF(Atletas!H501="Taijijian Mirim",22,IF(Atletas!H501="Daoshu Grupo C",23,IF(Atletas!H501="Jianshu Grupo C",24,IF(Atletas!H501="Nandao Grupo C",25,IF(Atletas!H501="Taijijian Grupo C",26,IF(Atletas!H501="Daoshu Grupo B",27,IF(Atletas!H501="Jianshu Grupo B",28,IF(Atletas!H501="Nandao Grupo B",29,IF(Atletas!H501="Taijijian Grupo B",30,IF(Atletas!H501="Daoshu Grupo A",31,IF(Atletas!H501="Jianshu Grupo A",32,IF(Atletas!H501="Nandao Grupo A",33,IF(Atletas!H501="Taijijian Grupo A",34,IF(Atletas!H501="Daoshu Opcional",35,IF(Atletas!H501="Jianshu Opcional",36,IF(Atletas!H501="Nandao Opcional",37,IF(Atletas!H501="Taijijian Opcional",38,IF(Atletas!H501="Daoshu Adulto",39,IF(Atletas!H501="Jianshu Adulto",40,IF(Atletas!H501="Nandao Adulto",41,IF(Atletas!H501="Taijijian Adulto",42,""))))))))))))))))))))))))))</f>
        <v/>
      </c>
      <c r="BA505" s="46" t="str">
        <f>IF(Atletas!I501="","",IF(Atletas!B501="Feminino",100,IF(Atletas!B501="Masculino",200,""))+(IF(Atletas!I501="Gunshu Mirim",43,IF(Atletas!I501="Qiangshu Mirim",44,IF(Atletas!I501="Nangun Mirim",45,IF(Atletas!I501="Gunshu Grupo C",46,IF(Atletas!I501="Qiangshu Grupo C",47,IF(Atletas!I501="Nangun Grupo C",48,IF(Atletas!I501="Gunshu Grupo B",49,IF(Atletas!I501="Qiangshu Grupo B",50,IF(Atletas!I501="Nangun Grupo B",51,IF(Atletas!I501="Gunshu Grupo A",52,IF(Atletas!I501="Qiangshu Grupo A",53,IF(Atletas!I501="Nangun Grupo A",54,IF(Atletas!I501="Gunshu Opcional",55,IF(Atletas!I501="Qiangshu Opcional",56,IF(Atletas!I501="Nangun Opcional",57,IF(Atletas!I501="Gunshu Adulto",58,IF(Atletas!I501="Qiangshu Adulto",59,IF(Atletas!I501="Nangun Adulto",60,""))))))))))))))))))))</f>
        <v/>
      </c>
      <c r="BF505" s="52" t="str">
        <f>IF(Atletas!J501="","",IF(Atletas!B501="Feminino",100,IF(Atletas!B501="Masculino",200,""))+(IF(Atletas!J501="Equipe 1 Grupo B",1,IF(Atletas!J501="Equipe 2 Grupo B",2,IF(Atletas!J501="Equipe 1 Grupo A",3,IF(Atletas!J501="Equipe 2 Grupo A",4,IF(Atletas!J501="Equipe 1 Adulto",5,IF(Atletas!J501="Equipe 2 Adulto",6,""))))))))</f>
        <v/>
      </c>
      <c r="BK505" s="52" t="str">
        <f>IF(Atletas!K501="","",IF(Atletas!W501&lt;&gt;"",10000,0)+(IF(Atletas!B501="Feminino",1000,IF(Atletas!B501="Masculino",2000,""))+IF(Atletas!K501="Choylayfut A",1,IF(Atletas!K501="Hunggar A",2,IF(Atletas!K501="Wuzuquan A",3,IF(Atletas!K501="Wingchun A",4,IF(Atletas!K501="Outra Mão de Sul A",5,IF(Atletas!K501="Choylayfut B",6,IF(Atletas!K501="Hunggar B",7,IF(Atletas!K501="Wuzuquan B",8,IF(Atletas!K501="Wingchun B",9,IF(Atletas!K501="Outra Mão de Sul B",10,IF(Atletas!K501="Choylayfut C",11,IF(Atletas!K501="Hunggar C",12,IF(Atletas!K501="Wuzuquan C",13,IF(Atletas!K501="Wingchun C",14,IF(Atletas!K501="Outra Mão de Sul C",15,IF(Atletas!K501="Choylayfut D",16,IF(Atletas!K501="Hunggar D",17,IF(Atletas!K501="Wuzuquan D",18,IF(Atletas!K501="Wingchun D",19,IF(Atletas!K501="Outra Mão de Sul D",20,IF(Atletas!K501="Choylayfut E",21,IF(Atletas!K501="Hunggar E",22,IF(Atletas!K501="Wuzuquan E",23,IF(Atletas!K501="Wingchun E",24,IF(Atletas!K501="Outra Mão de Sul E",25,IF(Atletas!K501="Choylayfut F",26,IF(Atletas!K501="Hunggar F",27,IF(Atletas!K501="Wuzuquan F",28,IF(Atletas!K501="Wingchun F",29,IF(Atletas!K501="Outra Mão de Sul F",30,""))))))))))))))))))))))))))))))))</f>
        <v/>
      </c>
      <c r="BL505" s="52" t="str">
        <f>IF(Atletas!L501="","",IF(Atletas!W501&lt;&gt;"",10000,0)+(IF(Atletas!B501="Feminino",1000,IF(Atletas!B501="Masculino",2000,""))+(IF(Atletas!L501="Chaquan A",101,IF(Atletas!L501="Emeiquan A",102,IF(Atletas!L501="Fanziquan A",103,IF(Atletas!L501="Huaquan A",104,IF(Atletas!L501="Hongquan A",105,IF(Atletas!L501="Paochui A",106,IF(Atletas!L501="Piguaquan A",107,IF(Atletas!L501="Shaolinquan A",108,IF(Atletas!L501="Tanglangquan A",109,IF(Atletas!L501="Yinzhaophai A",110,IF(Atletas!L501="Tongbeiquan A",111,IF(Atletas!L501="Wudangquan A",112,IF(Atletas!L501="Outros Estilos A",113,IF(Atletas!L501="Chaquan B",114,IF(Atletas!L501="Emeiquan B",115,IF(Atletas!L501="Fanziquan B",116,IF(Atletas!L501="Huaquan B",117,IF(Atletas!L501="Hongquan B",118,IF(Atletas!L501="Paochui B",119,IF(Atletas!L501="Piguaquan B",120,IF(Atletas!L501="Shaolinquan B",121,IF(Atletas!L501="Tanglangquan B",122,IF(Atletas!L501="Yinzhaophai B",123,IF(Atletas!L501="Tongbeiquan B",124,IF(Atletas!L501="Wudangquan B",125,IF(Atletas!L501="Outros Estilos B",126,IF(Atletas!L501="Chaquan C",127,IF(Atletas!L501="Emeiquan C",128,IF(Atletas!L501="Fanziquan C",129,IF(Atletas!L501="Huaquan C",130,IF(Atletas!L501="Hongquan C",131,IF(Atletas!L501="Paochui C",132,IF(Atletas!L501="Piguaquan C",133,IF(Atletas!L501="Shaolinquan C",134,IF(Atletas!L501="Tanglangquan C",135,IF(Atletas!L501="Yinzhaophai C",136,IF(Atletas!L501="Tongbeiquan C",137,IF(Atletas!L501="Wudangquan C",138,IF(Atletas!L501="Outros Estilos C",139,0))))))))))))))))))))))))))))))))))))))))))</f>
        <v/>
      </c>
      <c r="BM505" s="52" t="str">
        <f>IF(Atletas!L501="","",IF(Atletas!W501&lt;&gt;"",10000,0)+(IF(Atletas!B501="Feminino",1000,IF(Atletas!B501="Masculino",2000,""))+(IF(Atletas!L501="Chaquan D",140,IF(Atletas!L501="Emeiquan D",141,IF(Atletas!L501="Fanziquan D",142,IF(Atletas!L501="Huaquan D",143,IF(Atletas!L501="Hongquan D",144,IF(Atletas!L501="Paochui D",145,IF(Atletas!L501="Piguaquan D",146,IF(Atletas!L501="Shaolinquan D",147,IF(Atletas!L501="Tanglangquan D",148,IF(Atletas!L501="Yinzhaophai D",149,IF(Atletas!L501="Tongbeiquan D",150,IF(Atletas!L501="Wudangquan D",151,IF(Atletas!L501="Outros Estilos D",152,IF(Atletas!L501="Chaquan E",153,IF(Atletas!L501="Emeiquan E",154,IF(Atletas!L501="Fanziquan E",155,IF(Atletas!L501="Huaquan E",156,IF(Atletas!L501="Hongquan E",157,IF(Atletas!L501="Paochui E",158,IF(Atletas!L501="Piguaquan E",159,IF(Atletas!L501="Shaolinquan E",160,IF(Atletas!L501="Tanglangquan E",161,IF(Atletas!L501="Yinzhaophai E",162,IF(Atletas!L501="Tongbeiquan E",163,IF(Atletas!L501="Wudangquan E",164,IF(Atletas!L501="Outros Estilos E",165,IF(Atletas!L501="Chaquan F",166,IF(Atletas!L501="Emeiquan F",167,IF(Atletas!L501="Fanziquan F",168,IF(Atletas!L501="Huaquan F",169,IF(Atletas!L501="Hongquan F",170,IF(Atletas!L501="Paochui F",171,IF(Atletas!L501="Piguaquan F",172,IF(Atletas!L501="Shaolinquan F",173,IF(Atletas!L501="Tanglangquan F",174,IF(Atletas!L501="Yinzhaophai F",175,IF(Atletas!L501="Tongbeiquan F",176,IF(Atletas!L501="Wudangquan F",177,IF(Atletas!L501="Outros Estilos F",178,0))))))))))))))))))))))))))))))))))))))))))</f>
        <v/>
      </c>
      <c r="BN505" s="52" t="str">
        <f>IF(Atletas!M501="","",IF(Atletas!W501&lt;&gt;"",10000,0)+(IF(Atletas!B501="Feminino",1000,IF(Atletas!B501="Masculino",2000,""))+(IF(Atletas!M501="Ditangquan A",201,IF(Atletas!M501="Houquan A",202,IF(Atletas!M501="Zuiquan A",203,IF(Atletas!M501="Ditangquan B",204,IF(Atletas!M501="Houquan B",205,IF(Atletas!M501="Zuiquan B",206,IF(Atletas!M501="Ditangquan C",207,IF(Atletas!M501="Houquan C",208,IF(Atletas!M501="Zuiquan C",209,IF(Atletas!M501="Ditangquan D",210,IF(Atletas!M501="Houquan D",211,IF(Atletas!M501="Zuiquan D",212,IF(Atletas!M501="Ditangquan E",213,IF(Atletas!M501="Houquan E",214,IF(Atletas!M501="Zuiquan E",215,IF(Atletas!M501="Ditangquan F",216,IF(Atletas!M501="Houquan F",217,IF(Atletas!M501="Zuiquan F",218,"")))))))))))))))))))))</f>
        <v/>
      </c>
      <c r="BO505" s="52" t="str">
        <f>IF(Atletas!N501="","",IF(Atletas!W501&lt;&gt;"",10000,0)+IF(Atletas!B501="Feminino",1000,IF(Atletas!B501="Masculino",2000,""))+IF(Atletas!N501="Yang A",301,IF(Atletas!N501="Chen A",30,IF(Atletas!N501="Sun A",303,IF(Atletas!N501="Wu A",304,IF(Atletas!N501="Wu-Hao A",305,IF(Atletas!N501="Outro Taijiquan A",306,IF(Atletas!N501="Yang B",307,IF(Atletas!N501="Chen B",308,IF(Atletas!N501="Sun B",309,IF(Atletas!N501="Wu B",310,IF(Atletas!N501="Wu-Hao B",311,IF(Atletas!N501="Outro Taijiquan B",312,IF(Atletas!N501="Yang C",313,IF(Atletas!N501="Chen C",314,IF(Atletas!N501="Sun C",315,IF(Atletas!N501="Wu C",316,IF(Atletas!N501="Wu-Hao C",317,IF(Atletas!N501="Outro Taijiquan C",318,IF(Atletas!N501="Yang D",319,IF(Atletas!N501="Chen D",320,IF(Atletas!N501="Sun D",321,IF(Atletas!N501="Wu D",322,IF(Atletas!N501="Wu-Hao D",323,IF(Atletas!N501="Outro Taijiquan D",324,IF(Atletas!N501="Yang E",325,IF(Atletas!N501="Chen E",326,IF(Atletas!N501="Sun E",327,IF(Atletas!N501="Wu E",328,IF(Atletas!N501="Wu-Hao E",329,IF(Atletas!N501="Outro Taijiquan E",330,IF(Atletas!N501="Yang F",331,IF(Atletas!N501="Chen F",332,IF(Atletas!N501="Sun F",333,IF(Atletas!N501="Wu F",334,IF(Atletas!N501="Wu-Hao F",335,IF(Atletas!N501="Outro Taijiquan F",336,"")))))))))))))))))))))))))))))))))))))</f>
        <v/>
      </c>
      <c r="BP505" s="52" t="str">
        <f>IF(Atletas!O501="","",IF(Atletas!W501&lt;&gt;"",10000,0)+IF(Atletas!B501="Feminino",1000,IF(Atletas!B501="Masculino",2000,""))+IF(OR(Atletas!O501="Yang 26 A",Atletas!O501="Yang 40 A"),401,IF(OR(Atletas!O501="Chen 25 A",Atletas!O501="Chen 36 A",Atletas!O501="Chen 56 A"),402,IF(Atletas!O501="Sun 73 A",403,IF(Atletas!O501="Wu 45 A",404,IF(Atletas!O501="Wu-Hao 46 A",405,IF(OR(Atletas!O501="Taijiquan 16 A",Atletas!O501="Taijiquan 24 A",Atletas!O501="Taijiquan 32 A",Atletas!O501="Taijiquan 42 A"),406,IF(OR(Atletas!O501="Yang 26 B",Atletas!O501="Yang 40 B"),407,IF(OR(Atletas!O501="Chen 25 B",Atletas!O501="Chen 36 B",Atletas!O501="Chen 56 B"),408,IF(Atletas!O501="Sun 73 B",409,IF(Atletas!O501="Wu 45 B",410,IF(Atletas!O501="Wu-Hao 46 B",411,IF(OR(Atletas!O501="Taijiquan 16 B",Atletas!O501="Taijiquan 24 B",Atletas!O501="Taijiquan 32 B",Atletas!O501="Taijiquan 42 B"),412,IF(OR(Atletas!O501="Yang 26 C",Atletas!O501="Yang 40 C"),413,IF(OR(Atletas!O501="Chen 25 C",Atletas!O501="Chen 36 C",Atletas!O501="Chen 56 C"),414,IF(Atletas!O501="Sun 73 C",415,IF(Atletas!O501="Wu 45 C",416,IF(Atletas!O501="Wu-Hao 46 C",417,IF(OR(Atletas!O501="Taijiquan 16 C",Atletas!O501="Taijiquan 24 C",Atletas!O501="Taijiquan 32 C",Atletas!O501="Taijiquan 42 C"),418,0)))))))))))))))))))</f>
        <v/>
      </c>
      <c r="BQ505" s="52" t="str">
        <f>IF(Atletas!O501="","",IF(Atletas!W501&lt;&gt;"",10000,0)+IF(Atletas!B501="Feminino",1000,IF(Atletas!B501="Masculino",2000,""))+IF(OR(Atletas!O501="Yang 26 D",Atletas!O501="Yang 40 D"),419,IF(OR(Atletas!O501="Chen 25 D",Atletas!O501="Chen 36 D",Atletas!O501="Chen 56 D"),420,IF(Atletas!O501="Sun 73 D",421,IF(Atletas!O501="Wu 45 D",422,IF(Atletas!O501="Wu-Hao 46 D",423,IF(OR(Atletas!O501="Taijiquan 16 D",Atletas!O501="Taijiquan 24 D",Atletas!O501="Taijiquan 32 D",Atletas!O501="Taijiquan 42 D"),424,IF(OR(Atletas!O501="Yang 26 E",Atletas!O501="Yang 40 E"),425,IF(OR(Atletas!O501="Chen 25 E",Atletas!O501="Chen 36 E",Atletas!O501="Chen 56 E"),426,IF(Atletas!O501="Sun 73 E",427,IF(Atletas!O501="Wu 45 E",428,IF(Atletas!O501="Wu-Hao 46 E",429,IF(OR(Atletas!O501="Taijiquan 16 E",Atletas!O501="Taijiquan 24 E",Atletas!O501="Taijiquan 32 E",Atletas!O501="Taijiquan 42 E"),430,IF(OR(Atletas!O501="Yang 26 F",Atletas!O501="Yang 40 F"),431,IF(OR(Atletas!O501="Chen 25 F",Atletas!O501="Chen 36 F",Atletas!O501="Chen 56 F"),432,IF(Atletas!O501="Sun 73 F",433,IF(Atletas!O501="Wu 45 F",434,IF(Atletas!O501="Wu-Hao 46 F",435,IF(OR(Atletas!O501="Taijiquan 16 F",Atletas!O501="Taijiquan 24 F",Atletas!O501="Taijiquan 32 F",Atletas!O501="Taijiquan 42 F"),436,0)))))))))))))))))))</f>
        <v/>
      </c>
      <c r="BR505" s="52" t="str">
        <f>IF(Atletas!P501="","",IF(Atletas!W501&lt;&gt;"",10000,0)+IF(Atletas!B501="Feminino",1000,IF(Atletas!B501="Masculino",2000,""))+IF(Atletas!P501="Xingyiquan A",501,IF(Atletas!P501="Baguazhang A",502,IF(Atletas!P501="Outro Estilo Interno A",503,IF(Atletas!P501="Xingyiquan B",504,IF(Atletas!P501="Baguazhang B",505,IF(Atletas!P501="Outro Estilo Interno B",506,IF(Atletas!P501="Xingyiquan C",507,IF(Atletas!P501="Baguazhang C",508,IF(Atletas!P501="Outro Estilo Interno C",509,IF(Atletas!P501="Xingyiquan D",510,IF(Atletas!P501="Baguazhang D",511,IF(Atletas!P501="Outro Estilo Interno D",512,IF(Atletas!P501="Xingyiquan E",513,IF(Atletas!P501="Baguazhang E",514,IF(Atletas!P501="Outro Estilo Interno E",515,IF(Atletas!P501="Xingyiquan F",516,IF(Atletas!P501="Baguazhang F",517,IF(Atletas!P501="Outro Estilo Interno F",518, "")))))))))))))))))))</f>
        <v/>
      </c>
      <c r="BS505" s="52" t="str">
        <f>IF(Atletas!Q501="","",IF(Atletas!W501&lt;&gt;"",10000,0)+IF(Atletas!B501="Feminino",1000,IF(Atletas!B501="Masculino",2000,""))+IF(Atletas!Q501="Dao A",601,IF(Atletas!Q501="Jian A",602,IF(Atletas!Q501="Bishou A",603,IF(Atletas!Q501="Shan A",604,IF(Atletas!Q501="Outra Arma Curta A",605,IF(Atletas!Q501="Dao B",606,IF(Atletas!Q501="Jian B",607,IF(Atletas!Q501="Bishou B",608,IF(Atletas!Q501="Shan B",609,IF(Atletas!Q501="Outra Arma Curta B",610,IF(Atletas!Q501="Dao C",611,IF(Atletas!Q501="Jian C",612,IF(Atletas!Q501="Bishou C",613,IF(Atletas!Q501="Shan C",614,IF(Atletas!Q501="Outra Arma Curta C",615,IF(Atletas!Q501="Dao D",616,IF(Atletas!Q501="Jian D",617,IF(Atletas!Q501="Bishou D",618,IF(Atletas!Q501="Shan D",619,IF(Atletas!Q501="Outra Arma Curta D",620,IF(Atletas!Q501="Dao E",621,IF(Atletas!Q501="Jian E",622,IF(Atletas!Q501="Bishou E",623,IF(Atletas!Q501="Shan E",624,IF(Atletas!Q501="Outra Arma Curta E",625,IF(Atletas!Q501="Dao F",626,IF(Atletas!Q501="Jian F",627,IF(Atletas!Q501="Bishou F",628,IF(Atletas!Q501="Shan F",629,IF(Atletas!Q501="Outra Arma Curta F",630, "")))))))))))))))))))))))))))))))</f>
        <v/>
      </c>
      <c r="BT505" s="52" t="str">
        <f>IF(Atletas!R501="","",IF(Atletas!W501&lt;&gt;"",10000,0)+IF(Atletas!B501="Feminino",1000,IF(Atletas!B501="Masculino",2000,""))+IF(Atletas!R501="Gun A",701,IF(Atletas!R501="Qiang A",702,IF(Atletas!R501="Pudao / Guandao A",703,IF(Atletas!R501="Outra Arma Longa A",704,IF(Atletas!R501="Gun B",705,IF(Atletas!R501="Qiang B",706,IF(Atletas!R501="Pudao / Guandao B",707,IF(Atletas!R501="Outra Arma Longa B",708,IF(Atletas!R501="Gun C",709,IF(Atletas!R501="Qiang C",710,IF(Atletas!R501="Pudao / Guandao C",711,IF(Atletas!R501="Outra Arma Longa C",712,IF(Atletas!R501="Gun D",713,IF(Atletas!R501="Qiang D",714,IF(Atletas!R501="Pudao / Guandao D",715,IF(Atletas!R501="Outra Arma Longa D",716,IF(Atletas!R501="Gun E",717,IF(Atletas!R501="Qiang E",718,IF(Atletas!R501="Pudao / Guandao E",719,IF(Atletas!R501="Outra Arma Longa E",720,IF(Atletas!R501="Gun F",721,IF(Atletas!R501="Qiang F",722,IF(Atletas!R501="Pudao / Guandao F",723,IF(Atletas!R501="Outra Arma Longa F",724,"")))))))))))))))))))))))))</f>
        <v/>
      </c>
      <c r="BU505" s="52" t="str">
        <f>IF(Atletas!S501="","",IF(Atletas!W501&lt;&gt;"",10000,0)+IF(Atletas!B501="Feminino",1000,IF(Atletas!B501="Masculino",2000,""))+IF(Atletas!S501="Arma Dupla A",801,IF(Atletas!S501="Arma Maleável A",802,IF(Atletas!S501="Arma Dupla B",803,IF(Atletas!S501="Arma Maleável B",804,IF(Atletas!S501="Arma Dupla C",805,IF(Atletas!S501="Arma Maleável C",806,IF(Atletas!S501="Arma Dupla D",807,IF(Atletas!S501="Arma Maleável D",808,IF(Atletas!S501="Arma Dupla E",809,IF(Atletas!S501="Arma Maleável E",810,IF(Atletas!S501="Arma Dupla F",811,IF(Atletas!S501="Arma Maleável F",812, "")))))))))))))</f>
        <v/>
      </c>
      <c r="BV505" s="52" t="str">
        <f>IF(Atletas!T501="","",IF(Atletas!W501&lt;&gt;"",10000,0)+IF(Atletas!B501="Feminino",1000,IF(Atletas!B501="Masculino",2000,""))+IF(Atletas!T501="Taijijian Yang A",901,IF(Atletas!T501="Taijijian Chen A",902,IF(Atletas!T501="Taijijian Sun A",903,IF(Atletas!T501="Taijijian Wu A",904,IF(Atletas!T501="Taijijian Wu-Hao A",905,IF(Atletas!T501="Taijijian 32 A",906,IF(Atletas!T501="Taijijian 42 A",907,IF(Atletas!T501="Taijijian Yang B",908,IF(Atletas!T501="Taijijian Chen B",909,IF(Atletas!T501="Taijijian Sun B",910,IF(Atletas!T501="Taijijian Wu B",911,IF(Atletas!T501="Taijijian Wu-Hao B",912,IF(Atletas!T501="Taijijian 32 B",913,IF(Atletas!T501="Taijijian 42 B",914,IF(Atletas!T501="Taijijian Yang C",915,IF(Atletas!T501="Taijijian Chen C",916,IF(Atletas!T501="Taijijian Sun C",917,IF(Atletas!T501="Taijijian Wu C",918,IF(Atletas!T501="Taijijian Wu-Hao C",919,IF(Atletas!T501="Taijijian 32 C",920,IF(Atletas!T501="Taijijian 42 C",921,IF(Atletas!T501="Taijijian Yang D",922,IF(Atletas!T501="Taijijian Chen D",923,IF(Atletas!T501="Taijijian Sun D",924,IF(Atletas!T501="Taijijian Wu D",925,IF(Atletas!T501="Taijijian Wu-Hao D",926,IF(Atletas!T501="Taijijian 32 D",927,IF(Atletas!T501="Taijijian 42 D",928,IF(Atletas!T501="Taijijian Yang E",929,IF(Atletas!T501="Taijijian Chen E",930,IF(Atletas!T501="Taijijian Sun E",931,IF(Atletas!T501="Taijijian Wu E",932,IF(Atletas!T501="Taijijian Wu-Hao E",933,IF(Atletas!T501="Taijijian 32 E",934,IF(Atletas!T501="Taijijian 42 E",935,IF(Atletas!T501="Taijijian Yang F",936,IF(Atletas!T501="Taijijian Chen F",937,IF(Atletas!T501="Taijijian Sun F",938,IF(Atletas!T501="Taijijian Wu F",939,IF(Atletas!T501="Taijijian Wu-Hao F",940,IF(Atletas!T501="Taijijian 32 F",941,IF(Atletas!T501="Taijijian 42 F",942,"")))))))))))))))))))))))))))))))))))))))))))</f>
        <v/>
      </c>
      <c r="BW505" s="52" t="str">
        <f>IF(Atletas!U501="","",IF(Atletas!W501&lt;&gt;"",10000,0)+IF(Atletas!B501="Feminino",1000,IF(Atletas!B501="Masculino",2000,""))+IF(Atletas!T501="Taijijian 42 F",942,IF(Atletas!U501="Taijidao A",943,IF(Atletas!U501="Taijishan A",944,IF(Atletas!U501="Taijiqiang A",945,IF(Atletas!U501="Taijidao B",946,IF(Atletas!U501="Taijishan B",947,IF(Atletas!U501="Taijiqiang B",948,IF(Atletas!U501="Taijidao C",949,IF(Atletas!U501="Taijishan C",950,IF(Atletas!U501="Taijiqiang C",951,IF(Atletas!U501="Taijidao D",952,IF(Atletas!U501="Taijishan D",953,IF(Atletas!U501="Taijiqiang D",954,IF(Atletas!U501="Taijidao E",955,IF(Atletas!U501="Taijishan E",956,IF(Atletas!U501="Taijiqiang E",957,IF(Atletas!U501="Taijidao F",958,IF(Atletas!U501="Taijishan F",959,IF(Atletas!U501="Taijiqiang F",960))))))))))))))))))))</f>
        <v/>
      </c>
      <c r="CF505" s="52" t="str">
        <f xml:space="preserve"> IF(Atletas!V501="","",IF(Atletas!V501="Duilian de Mãos AB - Equipe 1",1,IF(Atletas!V501="Duilian de Mãos AB - Equipe 2",2,IF(Atletas!V501="Duilian de Armas AB - Equipe 1",3,IF(Atletas!V501="Duilian de Armas AB - Equipe 2",4,IF(Atletas!V501="Duilian de Tuishou - Equipe 1",5,IF(Atletas!V501="Duilian de Tuishou - Equipe 2",6,IF(Atletas!V501="Grupo Externo AB - Equipe 1",7,IF(Atletas!V501="Grupo Externo AB - Equipe 2",8,IF(Atletas!V501="Grupo Interno AB - Equipe 1",9,IF(Atletas!V501="Grupo Interno AB - Equipe 2",10,IF(Atletas!V501="Duilian de Mãos CD - Equipe 1",11,IF(Atletas!V501="Duilian de Mãos CD - Equipe 2",12,IF(Atletas!V501="Duilian de Armas CD - Equipe 1",13,IF(Atletas!V501="Duilian de Armas CD - Equipe 2",14,IF(Atletas!V501="Duilian de Tuishou - Equipe 1",15,IF(Atletas!V501="Duilian de Tuishou - Equipe 2",16,IF(Atletas!V501="Grupo Externo CDEF - Equipe 1",17,IF(Atletas!V501="Grupo Externo CDEF - Equipe 2",18,IF(Atletas!V501="Grupo Interno CDEF - Equipe 1",19,IF(Atletas!V501="Grupo Interno CDEF - Equipe 2",20,IF(Atletas!V501="Duilian de Mãos EF - Equipe 1",21,IF(Atletas!V501="Duilian de Mãos EF - Equipe 2",22,IF(Atletas!V501="Duilian de Armas EF - Equipe 1",23,IF(Atletas!V501="Duilian de Armas EF - Equipe 2",24,IF(Atletas!V501="Duilian de Tuishou - Equipe 1",25,IF(Atletas!V501="Duilian de Tuishou - Equipe 2",26,"")))))))))))))))))))))))))))</f>
        <v/>
      </c>
    </row>
    <row r="506" spans="36:84">
      <c r="AJ506" s="46" t="str">
        <f>IF(Atletas!D502="","",IF(Atletas!B502="Feminino",100,IF(Atletas!B502="Masculino",200,""))+(IF(Atletas!D502="Infantil 39kg",1,IF(Atletas!D502="Infantil 42kg",2,IF(Atletas!D502="Infantil 45kg",3,IF(Atletas!D502="Infantil 48kg",4,IF(Atletas!D502="Infantil 52kg",5,IF(Atletas!D502="Infantil 56kg",6,IF(Atletas!D502="Infantil 60kg",7,IF(Atletas!D502="Juvenil 48kg",8,IF(Atletas!D502="Juvenil 52kg",9,IF(Atletas!D502="Juvenil 56kg",10,IF(Atletas!D502="Juvenil 60kg",11,IF(Atletas!D502="Juvenil 65kg",12,IF(Atletas!D502="Juvenil 70kg",13,IF(Atletas!D502="Juvenil 75kg",14,IF(Atletas!D502="Juvenil 80kg",15,IF(Atletas!D502="Adulto 48kg",16,IF(Atletas!D502="Adulto 52kg",17,IF(Atletas!D502="Adulto 56kg",18,IF(Atletas!D502="Adulto 60kg",19,IF(Atletas!D502="Adulto 65kg",20,IF(Atletas!D502="Adulto 70kg",21,IF(Atletas!D502="Adulto 75kg",22,IF(Atletas!D502="Adulto 80kg",23,IF(Atletas!D502="Adulto 85kg",24,IF(Atletas!D502="Adulto 90kg",25,IF(Atletas!D502="Adulto +90kg",26,""))))))))))))))))))))))))))))</f>
        <v/>
      </c>
      <c r="AO506" s="10" t="str">
        <f>IF(Atletas!E502="","",IF(Atletas!B502="Feminino",100,IF(Atletas!B502="Masculino",200,""))+(IF(Atletas!E502="Juvenil 44kg",1,IF(Atletas!E502="Juvenil 48kg",2,IF(Atletas!E502="Juvenil 52kg",3,IF(Atletas!E502="Juvenil 56kg",4,IF(Atletas!E502="Juvenil 60kg",5,IF(Atletas!E502="Juvenil 65kg",6,IF(Atletas!E502="Juvenil 70kg",7,IF(Atletas!E502="Juvenil 75kg",8,IF(Atletas!E502="Juvenil 82kg",9,IF(Atletas!E502="Juvenil 90kg",10,IF(Atletas!E502="Juvenil 100kg",11,IF(Atletas!E502="Adulto 48kg",12,IF(Atletas!E502="Adulto 52kg",13,IF(Atletas!E502="Adulto 56kg",14,IF(Atletas!E502="Adulto 60kg",15,IF(Atletas!E502="Adulto 65kg",16,IF(Atletas!E502="Adulto 70kg",17,IF(Atletas!E502="Adulto 75kg",18,IF(Atletas!E502="Adulto 82kg",19,IF(Atletas!E502="Adulto 90kg",20,IF(Atletas!E502="Adulto 100kg",21,IF(Atletas!E502="Adulto +100kg",22,""))))))))))))))))))))))))</f>
        <v/>
      </c>
      <c r="AT506" s="10" t="str">
        <f>IF(Atletas!F502="","",IF(Atletas!B502="Feminino",100,IF(Atletas!B502="Masculino",200,""))+(IF(Atletas!F502="Adulto 48kg",1,IF(Atletas!F502="Adulto 56kg",2,IF(Atletas!F502="Adulto 65kg",3,IF(Atletas!F502="Adulto 75kg",4,IF(Atletas!F502="Adulto +75kg",5,IF(Atletas!F502="Adulto 52kg",6,IF(Atletas!F502="Adulto 60kg",7,IF(Atletas!F502="Adulto 70kg",8,IF(Atletas!F502="Adulto 80kg",9,IF(Atletas!F502="Adulto 90kg",10,IF(Atletas!F502="Adulto +90kg",11,"")))))))))))))</f>
        <v/>
      </c>
      <c r="AY506" s="46" t="str">
        <f>IF(Atletas!G502="","",IF(Atletas!B502="Feminino",100,IF(Atletas!B502="Masculino",200,""))+(IF(Atletas!G502="Changquan Mirim",1,IF(Atletas!G502="Nanquan Mirim",2,IF(Atletas!G502="Taijiquan Mirim",3,IF(Atletas!G502="Changquan Grupo C",4,IF(Atletas!G502="Nanquan Grupo C",5,IF(Atletas!G502="Taijiquan Grupo C",6,IF(Atletas!G502="Changquan Grupo B",7,IF(Atletas!G502="Nanquan Grupo B",8,IF(Atletas!G502="Taijiquan Grupo B",9,IF(Atletas!G502="Changquan Grupo A",10,IF(Atletas!G502="Nanquan Grupo A",11,IF(Atletas!G502="Taijiquan Grupo A",12,IF(Atletas!G502="Changquan Opcional",13,IF(Atletas!G502="Nanquan Opcional",14,IF(Atletas!G502="Taijiquan Opcional",15,IF(Atletas!G502="Changquan Adulto",16,IF(Atletas!G502="Nanquan Adulto",17,IF(Atletas!G502="Taijiquan Adulto",18,""))))))))))))))))))))</f>
        <v/>
      </c>
      <c r="AZ506" s="46" t="str">
        <f>IF(Atletas!H502="","",IF(Atletas!B502="Feminino",100,IF(Atletas!B502="Masculino",200,""))+(IF(Atletas!H502="Daoshu Mirim",19,IF(Atletas!H502="Jianshu Mirim",20,IF(Atletas!H502="Nandao Mirim",21,IF(Atletas!H502="Taijijian Mirim",22,IF(Atletas!H502="Daoshu Grupo C",23,IF(Atletas!H502="Jianshu Grupo C",24,IF(Atletas!H502="Nandao Grupo C",25,IF(Atletas!H502="Taijijian Grupo C",26,IF(Atletas!H502="Daoshu Grupo B",27,IF(Atletas!H502="Jianshu Grupo B",28,IF(Atletas!H502="Nandao Grupo B",29,IF(Atletas!H502="Taijijian Grupo B",30,IF(Atletas!H502="Daoshu Grupo A",31,IF(Atletas!H502="Jianshu Grupo A",32,IF(Atletas!H502="Nandao Grupo A",33,IF(Atletas!H502="Taijijian Grupo A",34,IF(Atletas!H502="Daoshu Opcional",35,IF(Atletas!H502="Jianshu Opcional",36,IF(Atletas!H502="Nandao Opcional",37,IF(Atletas!H502="Taijijian Opcional",38,IF(Atletas!H502="Daoshu Adulto",39,IF(Atletas!H502="Jianshu Adulto",40,IF(Atletas!H502="Nandao Adulto",41,IF(Atletas!H502="Taijijian Adulto",42,""))))))))))))))))))))))))))</f>
        <v/>
      </c>
      <c r="BA506" s="46" t="str">
        <f>IF(Atletas!I502="","",IF(Atletas!B502="Feminino",100,IF(Atletas!B502="Masculino",200,""))+(IF(Atletas!I502="Gunshu Mirim",43,IF(Atletas!I502="Qiangshu Mirim",44,IF(Atletas!I502="Nangun Mirim",45,IF(Atletas!I502="Gunshu Grupo C",46,IF(Atletas!I502="Qiangshu Grupo C",47,IF(Atletas!I502="Nangun Grupo C",48,IF(Atletas!I502="Gunshu Grupo B",49,IF(Atletas!I502="Qiangshu Grupo B",50,IF(Atletas!I502="Nangun Grupo B",51,IF(Atletas!I502="Gunshu Grupo A",52,IF(Atletas!I502="Qiangshu Grupo A",53,IF(Atletas!I502="Nangun Grupo A",54,IF(Atletas!I502="Gunshu Opcional",55,IF(Atletas!I502="Qiangshu Opcional",56,IF(Atletas!I502="Nangun Opcional",57,IF(Atletas!I502="Gunshu Adulto",58,IF(Atletas!I502="Qiangshu Adulto",59,IF(Atletas!I502="Nangun Adulto",60,""))))))))))))))))))))</f>
        <v/>
      </c>
      <c r="BF506" s="52" t="str">
        <f>IF(Atletas!J502="","",IF(Atletas!B502="Feminino",100,IF(Atletas!B502="Masculino",200,""))+(IF(Atletas!J502="Equipe 1 Grupo B",1,IF(Atletas!J502="Equipe 2 Grupo B",2,IF(Atletas!J502="Equipe 1 Grupo A",3,IF(Atletas!J502="Equipe 2 Grupo A",4,IF(Atletas!J502="Equipe 1 Adulto",5,IF(Atletas!J502="Equipe 2 Adulto",6,""))))))))</f>
        <v/>
      </c>
      <c r="BK506" s="52" t="str">
        <f>IF(Atletas!K502="","",IF(Atletas!W502&lt;&gt;"",10000,0)+(IF(Atletas!B502="Feminino",1000,IF(Atletas!B502="Masculino",2000,""))+IF(Atletas!K502="Choylayfut A",1,IF(Atletas!K502="Hunggar A",2,IF(Atletas!K502="Wuzuquan A",3,IF(Atletas!K502="Wingchun A",4,IF(Atletas!K502="Outra Mão de Sul A",5,IF(Atletas!K502="Choylayfut B",6,IF(Atletas!K502="Hunggar B",7,IF(Atletas!K502="Wuzuquan B",8,IF(Atletas!K502="Wingchun B",9,IF(Atletas!K502="Outra Mão de Sul B",10,IF(Atletas!K502="Choylayfut C",11,IF(Atletas!K502="Hunggar C",12,IF(Atletas!K502="Wuzuquan C",13,IF(Atletas!K502="Wingchun C",14,IF(Atletas!K502="Outra Mão de Sul C",15,IF(Atletas!K502="Choylayfut D",16,IF(Atletas!K502="Hunggar D",17,IF(Atletas!K502="Wuzuquan D",18,IF(Atletas!K502="Wingchun D",19,IF(Atletas!K502="Outra Mão de Sul D",20,IF(Atletas!K502="Choylayfut E",21,IF(Atletas!K502="Hunggar E",22,IF(Atletas!K502="Wuzuquan E",23,IF(Atletas!K502="Wingchun E",24,IF(Atletas!K502="Outra Mão de Sul E",25,IF(Atletas!K502="Choylayfut F",26,IF(Atletas!K502="Hunggar F",27,IF(Atletas!K502="Wuzuquan F",28,IF(Atletas!K502="Wingchun F",29,IF(Atletas!K502="Outra Mão de Sul F",30,""))))))))))))))))))))))))))))))))</f>
        <v/>
      </c>
      <c r="BL506" s="52" t="str">
        <f>IF(Atletas!L502="","",IF(Atletas!W502&lt;&gt;"",10000,0)+(IF(Atletas!B502="Feminino",1000,IF(Atletas!B502="Masculino",2000,""))+(IF(Atletas!L502="Chaquan A",101,IF(Atletas!L502="Emeiquan A",102,IF(Atletas!L502="Fanziquan A",103,IF(Atletas!L502="Huaquan A",104,IF(Atletas!L502="Hongquan A",105,IF(Atletas!L502="Paochui A",106,IF(Atletas!L502="Piguaquan A",107,IF(Atletas!L502="Shaolinquan A",108,IF(Atletas!L502="Tanglangquan A",109,IF(Atletas!L502="Yinzhaophai A",110,IF(Atletas!L502="Tongbeiquan A",111,IF(Atletas!L502="Wudangquan A",112,IF(Atletas!L502="Outros Estilos A",113,IF(Atletas!L502="Chaquan B",114,IF(Atletas!L502="Emeiquan B",115,IF(Atletas!L502="Fanziquan B",116,IF(Atletas!L502="Huaquan B",117,IF(Atletas!L502="Hongquan B",118,IF(Atletas!L502="Paochui B",119,IF(Atletas!L502="Piguaquan B",120,IF(Atletas!L502="Shaolinquan B",121,IF(Atletas!L502="Tanglangquan B",122,IF(Atletas!L502="Yinzhaophai B",123,IF(Atletas!L502="Tongbeiquan B",124,IF(Atletas!L502="Wudangquan B",125,IF(Atletas!L502="Outros Estilos B",126,IF(Atletas!L502="Chaquan C",127,IF(Atletas!L502="Emeiquan C",128,IF(Atletas!L502="Fanziquan C",129,IF(Atletas!L502="Huaquan C",130,IF(Atletas!L502="Hongquan C",131,IF(Atletas!L502="Paochui C",132,IF(Atletas!L502="Piguaquan C",133,IF(Atletas!L502="Shaolinquan C",134,IF(Atletas!L502="Tanglangquan C",135,IF(Atletas!L502="Yinzhaophai C",136,IF(Atletas!L502="Tongbeiquan C",137,IF(Atletas!L502="Wudangquan C",138,IF(Atletas!L502="Outros Estilos C",139,0))))))))))))))))))))))))))))))))))))))))))</f>
        <v/>
      </c>
      <c r="BM506" s="52" t="str">
        <f>IF(Atletas!L502="","",IF(Atletas!W502&lt;&gt;"",10000,0)+(IF(Atletas!B502="Feminino",1000,IF(Atletas!B502="Masculino",2000,""))+(IF(Atletas!L502="Chaquan D",140,IF(Atletas!L502="Emeiquan D",141,IF(Atletas!L502="Fanziquan D",142,IF(Atletas!L502="Huaquan D",143,IF(Atletas!L502="Hongquan D",144,IF(Atletas!L502="Paochui D",145,IF(Atletas!L502="Piguaquan D",146,IF(Atletas!L502="Shaolinquan D",147,IF(Atletas!L502="Tanglangquan D",148,IF(Atletas!L502="Yinzhaophai D",149,IF(Atletas!L502="Tongbeiquan D",150,IF(Atletas!L502="Wudangquan D",151,IF(Atletas!L502="Outros Estilos D",152,IF(Atletas!L502="Chaquan E",153,IF(Atletas!L502="Emeiquan E",154,IF(Atletas!L502="Fanziquan E",155,IF(Atletas!L502="Huaquan E",156,IF(Atletas!L502="Hongquan E",157,IF(Atletas!L502="Paochui E",158,IF(Atletas!L502="Piguaquan E",159,IF(Atletas!L502="Shaolinquan E",160,IF(Atletas!L502="Tanglangquan E",161,IF(Atletas!L502="Yinzhaophai E",162,IF(Atletas!L502="Tongbeiquan E",163,IF(Atletas!L502="Wudangquan E",164,IF(Atletas!L502="Outros Estilos E",165,IF(Atletas!L502="Chaquan F",166,IF(Atletas!L502="Emeiquan F",167,IF(Atletas!L502="Fanziquan F",168,IF(Atletas!L502="Huaquan F",169,IF(Atletas!L502="Hongquan F",170,IF(Atletas!L502="Paochui F",171,IF(Atletas!L502="Piguaquan F",172,IF(Atletas!L502="Shaolinquan F",173,IF(Atletas!L502="Tanglangquan F",174,IF(Atletas!L502="Yinzhaophai F",175,IF(Atletas!L502="Tongbeiquan F",176,IF(Atletas!L502="Wudangquan F",177,IF(Atletas!L502="Outros Estilos F",178,0))))))))))))))))))))))))))))))))))))))))))</f>
        <v/>
      </c>
      <c r="BN506" s="52" t="str">
        <f>IF(Atletas!M502="","",IF(Atletas!W502&lt;&gt;"",10000,0)+(IF(Atletas!B502="Feminino",1000,IF(Atletas!B502="Masculino",2000,""))+(IF(Atletas!M502="Ditangquan A",201,IF(Atletas!M502="Houquan A",202,IF(Atletas!M502="Zuiquan A",203,IF(Atletas!M502="Ditangquan B",204,IF(Atletas!M502="Houquan B",205,IF(Atletas!M502="Zuiquan B",206,IF(Atletas!M502="Ditangquan C",207,IF(Atletas!M502="Houquan C",208,IF(Atletas!M502="Zuiquan C",209,IF(Atletas!M502="Ditangquan D",210,IF(Atletas!M502="Houquan D",211,IF(Atletas!M502="Zuiquan D",212,IF(Atletas!M502="Ditangquan E",213,IF(Atletas!M502="Houquan E",214,IF(Atletas!M502="Zuiquan E",215,IF(Atletas!M502="Ditangquan F",216,IF(Atletas!M502="Houquan F",217,IF(Atletas!M502="Zuiquan F",218,"")))))))))))))))))))))</f>
        <v/>
      </c>
      <c r="BO506" s="52" t="str">
        <f>IF(Atletas!N502="","",IF(Atletas!W502&lt;&gt;"",10000,0)+IF(Atletas!B502="Feminino",1000,IF(Atletas!B502="Masculino",2000,""))+IF(Atletas!N502="Yang A",301,IF(Atletas!N502="Chen A",30,IF(Atletas!N502="Sun A",303,IF(Atletas!N502="Wu A",304,IF(Atletas!N502="Wu-Hao A",305,IF(Atletas!N502="Outro Taijiquan A",306,IF(Atletas!N502="Yang B",307,IF(Atletas!N502="Chen B",308,IF(Atletas!N502="Sun B",309,IF(Atletas!N502="Wu B",310,IF(Atletas!N502="Wu-Hao B",311,IF(Atletas!N502="Outro Taijiquan B",312,IF(Atletas!N502="Yang C",313,IF(Atletas!N502="Chen C",314,IF(Atletas!N502="Sun C",315,IF(Atletas!N502="Wu C",316,IF(Atletas!N502="Wu-Hao C",317,IF(Atletas!N502="Outro Taijiquan C",318,IF(Atletas!N502="Yang D",319,IF(Atletas!N502="Chen D",320,IF(Atletas!N502="Sun D",321,IF(Atletas!N502="Wu D",322,IF(Atletas!N502="Wu-Hao D",323,IF(Atletas!N502="Outro Taijiquan D",324,IF(Atletas!N502="Yang E",325,IF(Atletas!N502="Chen E",326,IF(Atletas!N502="Sun E",327,IF(Atletas!N502="Wu E",328,IF(Atletas!N502="Wu-Hao E",329,IF(Atletas!N502="Outro Taijiquan E",330,IF(Atletas!N502="Yang F",331,IF(Atletas!N502="Chen F",332,IF(Atletas!N502="Sun F",333,IF(Atletas!N502="Wu F",334,IF(Atletas!N502="Wu-Hao F",335,IF(Atletas!N502="Outro Taijiquan F",336,"")))))))))))))))))))))))))))))))))))))</f>
        <v/>
      </c>
      <c r="BP506" s="52" t="str">
        <f>IF(Atletas!O502="","",IF(Atletas!W502&lt;&gt;"",10000,0)+IF(Atletas!B502="Feminino",1000,IF(Atletas!B502="Masculino",2000,""))+IF(OR(Atletas!O502="Yang 26 A",Atletas!O502="Yang 40 A"),401,IF(OR(Atletas!O502="Chen 25 A",Atletas!O502="Chen 36 A",Atletas!O502="Chen 56 A"),402,IF(Atletas!O502="Sun 73 A",403,IF(Atletas!O502="Wu 45 A",404,IF(Atletas!O502="Wu-Hao 46 A",405,IF(OR(Atletas!O502="Taijiquan 16 A",Atletas!O502="Taijiquan 24 A",Atletas!O502="Taijiquan 32 A",Atletas!O502="Taijiquan 42 A"),406,IF(OR(Atletas!O502="Yang 26 B",Atletas!O502="Yang 40 B"),407,IF(OR(Atletas!O502="Chen 25 B",Atletas!O502="Chen 36 B",Atletas!O502="Chen 56 B"),408,IF(Atletas!O502="Sun 73 B",409,IF(Atletas!O502="Wu 45 B",410,IF(Atletas!O502="Wu-Hao 46 B",411,IF(OR(Atletas!O502="Taijiquan 16 B",Atletas!O502="Taijiquan 24 B",Atletas!O502="Taijiquan 32 B",Atletas!O502="Taijiquan 42 B"),412,IF(OR(Atletas!O502="Yang 26 C",Atletas!O502="Yang 40 C"),413,IF(OR(Atletas!O502="Chen 25 C",Atletas!O502="Chen 36 C",Atletas!O502="Chen 56 C"),414,IF(Atletas!O502="Sun 73 C",415,IF(Atletas!O502="Wu 45 C",416,IF(Atletas!O502="Wu-Hao 46 C",417,IF(OR(Atletas!O502="Taijiquan 16 C",Atletas!O502="Taijiquan 24 C",Atletas!O502="Taijiquan 32 C",Atletas!O502="Taijiquan 42 C"),418,0)))))))))))))))))))</f>
        <v/>
      </c>
      <c r="BQ506" s="52" t="str">
        <f>IF(Atletas!O502="","",IF(Atletas!W502&lt;&gt;"",10000,0)+IF(Atletas!B502="Feminino",1000,IF(Atletas!B502="Masculino",2000,""))+IF(OR(Atletas!O502="Yang 26 D",Atletas!O502="Yang 40 D"),419,IF(OR(Atletas!O502="Chen 25 D",Atletas!O502="Chen 36 D",Atletas!O502="Chen 56 D"),420,IF(Atletas!O502="Sun 73 D",421,IF(Atletas!O502="Wu 45 D",422,IF(Atletas!O502="Wu-Hao 46 D",423,IF(OR(Atletas!O502="Taijiquan 16 D",Atletas!O502="Taijiquan 24 D",Atletas!O502="Taijiquan 32 D",Atletas!O502="Taijiquan 42 D"),424,IF(OR(Atletas!O502="Yang 26 E",Atletas!O502="Yang 40 E"),425,IF(OR(Atletas!O502="Chen 25 E",Atletas!O502="Chen 36 E",Atletas!O502="Chen 56 E"),426,IF(Atletas!O502="Sun 73 E",427,IF(Atletas!O502="Wu 45 E",428,IF(Atletas!O502="Wu-Hao 46 E",429,IF(OR(Atletas!O502="Taijiquan 16 E",Atletas!O502="Taijiquan 24 E",Atletas!O502="Taijiquan 32 E",Atletas!O502="Taijiquan 42 E"),430,IF(OR(Atletas!O502="Yang 26 F",Atletas!O502="Yang 40 F"),431,IF(OR(Atletas!O502="Chen 25 F",Atletas!O502="Chen 36 F",Atletas!O502="Chen 56 F"),432,IF(Atletas!O502="Sun 73 F",433,IF(Atletas!O502="Wu 45 F",434,IF(Atletas!O502="Wu-Hao 46 F",435,IF(OR(Atletas!O502="Taijiquan 16 F",Atletas!O502="Taijiquan 24 F",Atletas!O502="Taijiquan 32 F",Atletas!O502="Taijiquan 42 F"),436,0)))))))))))))))))))</f>
        <v/>
      </c>
      <c r="BR506" s="52" t="str">
        <f>IF(Atletas!P502="","",IF(Atletas!W502&lt;&gt;"",10000,0)+IF(Atletas!B502="Feminino",1000,IF(Atletas!B502="Masculino",2000,""))+IF(Atletas!P502="Xingyiquan A",501,IF(Atletas!P502="Baguazhang A",502,IF(Atletas!P502="Outro Estilo Interno A",503,IF(Atletas!P502="Xingyiquan B",504,IF(Atletas!P502="Baguazhang B",505,IF(Atletas!P502="Outro Estilo Interno B",506,IF(Atletas!P502="Xingyiquan C",507,IF(Atletas!P502="Baguazhang C",508,IF(Atletas!P502="Outro Estilo Interno C",509,IF(Atletas!P502="Xingyiquan D",510,IF(Atletas!P502="Baguazhang D",511,IF(Atletas!P502="Outro Estilo Interno D",512,IF(Atletas!P502="Xingyiquan E",513,IF(Atletas!P502="Baguazhang E",514,IF(Atletas!P502="Outro Estilo Interno E",515,IF(Atletas!P502="Xingyiquan F",516,IF(Atletas!P502="Baguazhang F",517,IF(Atletas!P502="Outro Estilo Interno F",518, "")))))))))))))))))))</f>
        <v/>
      </c>
      <c r="BS506" s="52" t="str">
        <f>IF(Atletas!Q502="","",IF(Atletas!W502&lt;&gt;"",10000,0)+IF(Atletas!B502="Feminino",1000,IF(Atletas!B502="Masculino",2000,""))+IF(Atletas!Q502="Dao A",601,IF(Atletas!Q502="Jian A",602,IF(Atletas!Q502="Bishou A",603,IF(Atletas!Q502="Shan A",604,IF(Atletas!Q502="Outra Arma Curta A",605,IF(Atletas!Q502="Dao B",606,IF(Atletas!Q502="Jian B",607,IF(Atletas!Q502="Bishou B",608,IF(Atletas!Q502="Shan B",609,IF(Atletas!Q502="Outra Arma Curta B",610,IF(Atletas!Q502="Dao C",611,IF(Atletas!Q502="Jian C",612,IF(Atletas!Q502="Bishou C",613,IF(Atletas!Q502="Shan C",614,IF(Atletas!Q502="Outra Arma Curta C",615,IF(Atletas!Q502="Dao D",616,IF(Atletas!Q502="Jian D",617,IF(Atletas!Q502="Bishou D",618,IF(Atletas!Q502="Shan D",619,IF(Atletas!Q502="Outra Arma Curta D",620,IF(Atletas!Q502="Dao E",621,IF(Atletas!Q502="Jian E",622,IF(Atletas!Q502="Bishou E",623,IF(Atletas!Q502="Shan E",624,IF(Atletas!Q502="Outra Arma Curta E",625,IF(Atletas!Q502="Dao F",626,IF(Atletas!Q502="Jian F",627,IF(Atletas!Q502="Bishou F",628,IF(Atletas!Q502="Shan F",629,IF(Atletas!Q502="Outra Arma Curta F",630, "")))))))))))))))))))))))))))))))</f>
        <v/>
      </c>
      <c r="BT506" s="52" t="str">
        <f>IF(Atletas!R502="","",IF(Atletas!W502&lt;&gt;"",10000,0)+IF(Atletas!B502="Feminino",1000,IF(Atletas!B502="Masculino",2000,""))+IF(Atletas!R502="Gun A",701,IF(Atletas!R502="Qiang A",702,IF(Atletas!R502="Pudao / Guandao A",703,IF(Atletas!R502="Outra Arma Longa A",704,IF(Atletas!R502="Gun B",705,IF(Atletas!R502="Qiang B",706,IF(Atletas!R502="Pudao / Guandao B",707,IF(Atletas!R502="Outra Arma Longa B",708,IF(Atletas!R502="Gun C",709,IF(Atletas!R502="Qiang C",710,IF(Atletas!R502="Pudao / Guandao C",711,IF(Atletas!R502="Outra Arma Longa C",712,IF(Atletas!R502="Gun D",713,IF(Atletas!R502="Qiang D",714,IF(Atletas!R502="Pudao / Guandao D",715,IF(Atletas!R502="Outra Arma Longa D",716,IF(Atletas!R502="Gun E",717,IF(Atletas!R502="Qiang E",718,IF(Atletas!R502="Pudao / Guandao E",719,IF(Atletas!R502="Outra Arma Longa E",720,IF(Atletas!R502="Gun F",721,IF(Atletas!R502="Qiang F",722,IF(Atletas!R502="Pudao / Guandao F",723,IF(Atletas!R502="Outra Arma Longa F",724,"")))))))))))))))))))))))))</f>
        <v/>
      </c>
      <c r="BU506" s="52" t="str">
        <f>IF(Atletas!S502="","",IF(Atletas!W502&lt;&gt;"",10000,0)+IF(Atletas!B502="Feminino",1000,IF(Atletas!B502="Masculino",2000,""))+IF(Atletas!S502="Arma Dupla A",801,IF(Atletas!S502="Arma Maleável A",802,IF(Atletas!S502="Arma Dupla B",803,IF(Atletas!S502="Arma Maleável B",804,IF(Atletas!S502="Arma Dupla C",805,IF(Atletas!S502="Arma Maleável C",806,IF(Atletas!S502="Arma Dupla D",807,IF(Atletas!S502="Arma Maleável D",808,IF(Atletas!S502="Arma Dupla E",809,IF(Atletas!S502="Arma Maleável E",810,IF(Atletas!S502="Arma Dupla F",811,IF(Atletas!S502="Arma Maleável F",812, "")))))))))))))</f>
        <v/>
      </c>
      <c r="BV506" s="52" t="str">
        <f>IF(Atletas!T502="","",IF(Atletas!W502&lt;&gt;"",10000,0)+IF(Atletas!B502="Feminino",1000,IF(Atletas!B502="Masculino",2000,""))+IF(Atletas!T502="Taijijian Yang A",901,IF(Atletas!T502="Taijijian Chen A",902,IF(Atletas!T502="Taijijian Sun A",903,IF(Atletas!T502="Taijijian Wu A",904,IF(Atletas!T502="Taijijian Wu-Hao A",905,IF(Atletas!T502="Taijijian 32 A",906,IF(Atletas!T502="Taijijian 42 A",907,IF(Atletas!T502="Taijijian Yang B",908,IF(Atletas!T502="Taijijian Chen B",909,IF(Atletas!T502="Taijijian Sun B",910,IF(Atletas!T502="Taijijian Wu B",911,IF(Atletas!T502="Taijijian Wu-Hao B",912,IF(Atletas!T502="Taijijian 32 B",913,IF(Atletas!T502="Taijijian 42 B",914,IF(Atletas!T502="Taijijian Yang C",915,IF(Atletas!T502="Taijijian Chen C",916,IF(Atletas!T502="Taijijian Sun C",917,IF(Atletas!T502="Taijijian Wu C",918,IF(Atletas!T502="Taijijian Wu-Hao C",919,IF(Atletas!T502="Taijijian 32 C",920,IF(Atletas!T502="Taijijian 42 C",921,IF(Atletas!T502="Taijijian Yang D",922,IF(Atletas!T502="Taijijian Chen D",923,IF(Atletas!T502="Taijijian Sun D",924,IF(Atletas!T502="Taijijian Wu D",925,IF(Atletas!T502="Taijijian Wu-Hao D",926,IF(Atletas!T502="Taijijian 32 D",927,IF(Atletas!T502="Taijijian 42 D",928,IF(Atletas!T502="Taijijian Yang E",929,IF(Atletas!T502="Taijijian Chen E",930,IF(Atletas!T502="Taijijian Sun E",931,IF(Atletas!T502="Taijijian Wu E",932,IF(Atletas!T502="Taijijian Wu-Hao E",933,IF(Atletas!T502="Taijijian 32 E",934,IF(Atletas!T502="Taijijian 42 E",935,IF(Atletas!T502="Taijijian Yang F",936,IF(Atletas!T502="Taijijian Chen F",937,IF(Atletas!T502="Taijijian Sun F",938,IF(Atletas!T502="Taijijian Wu F",939,IF(Atletas!T502="Taijijian Wu-Hao F",940,IF(Atletas!T502="Taijijian 32 F",941,IF(Atletas!T502="Taijijian 42 F",942,"")))))))))))))))))))))))))))))))))))))))))))</f>
        <v/>
      </c>
      <c r="BW506" s="52" t="str">
        <f>IF(Atletas!U502="","",IF(Atletas!W502&lt;&gt;"",10000,0)+IF(Atletas!B502="Feminino",1000,IF(Atletas!B502="Masculino",2000,""))+IF(Atletas!T502="Taijijian 42 F",942,IF(Atletas!U502="Taijidao A",943,IF(Atletas!U502="Taijishan A",944,IF(Atletas!U502="Taijiqiang A",945,IF(Atletas!U502="Taijidao B",946,IF(Atletas!U502="Taijishan B",947,IF(Atletas!U502="Taijiqiang B",948,IF(Atletas!U502="Taijidao C",949,IF(Atletas!U502="Taijishan C",950,IF(Atletas!U502="Taijiqiang C",951,IF(Atletas!U502="Taijidao D",952,IF(Atletas!U502="Taijishan D",953,IF(Atletas!U502="Taijiqiang D",954,IF(Atletas!U502="Taijidao E",955,IF(Atletas!U502="Taijishan E",956,IF(Atletas!U502="Taijiqiang E",957,IF(Atletas!U502="Taijidao F",958,IF(Atletas!U502="Taijishan F",959,IF(Atletas!U502="Taijiqiang F",960))))))))))))))))))))</f>
        <v/>
      </c>
      <c r="CF506" s="52" t="str">
        <f xml:space="preserve"> IF(Atletas!V502="","",IF(Atletas!V502="Duilian de Mãos AB - Equipe 1",1,IF(Atletas!V502="Duilian de Mãos AB - Equipe 2",2,IF(Atletas!V502="Duilian de Armas AB - Equipe 1",3,IF(Atletas!V502="Duilian de Armas AB - Equipe 2",4,IF(Atletas!V502="Duilian de Tuishou - Equipe 1",5,IF(Atletas!V502="Duilian de Tuishou - Equipe 2",6,IF(Atletas!V502="Grupo Externo AB - Equipe 1",7,IF(Atletas!V502="Grupo Externo AB - Equipe 2",8,IF(Atletas!V502="Grupo Interno AB - Equipe 1",9,IF(Atletas!V502="Grupo Interno AB - Equipe 2",10,IF(Atletas!V502="Duilian de Mãos CD - Equipe 1",11,IF(Atletas!V502="Duilian de Mãos CD - Equipe 2",12,IF(Atletas!V502="Duilian de Armas CD - Equipe 1",13,IF(Atletas!V502="Duilian de Armas CD - Equipe 2",14,IF(Atletas!V502="Duilian de Tuishou - Equipe 1",15,IF(Atletas!V502="Duilian de Tuishou - Equipe 2",16,IF(Atletas!V502="Grupo Externo CDEF - Equipe 1",17,IF(Atletas!V502="Grupo Externo CDEF - Equipe 2",18,IF(Atletas!V502="Grupo Interno CDEF - Equipe 1",19,IF(Atletas!V502="Grupo Interno CDEF - Equipe 2",20,IF(Atletas!V502="Duilian de Mãos EF - Equipe 1",21,IF(Atletas!V502="Duilian de Mãos EF - Equipe 2",22,IF(Atletas!V502="Duilian de Armas EF - Equipe 1",23,IF(Atletas!V502="Duilian de Armas EF - Equipe 2",24,IF(Atletas!V502="Duilian de Tuishou - Equipe 1",25,IF(Atletas!V502="Duilian de Tuishou - Equipe 2",26,"")))))))))))))))))))))))))))</f>
        <v/>
      </c>
    </row>
    <row r="507" spans="36:84">
      <c r="AJ507" s="46" t="str">
        <f>IF(Atletas!D503="","",IF(Atletas!B503="Feminino",100,IF(Atletas!B503="Masculino",200,""))+(IF(Atletas!D503="Infantil 39kg",1,IF(Atletas!D503="Infantil 42kg",2,IF(Atletas!D503="Infantil 45kg",3,IF(Atletas!D503="Infantil 48kg",4,IF(Atletas!D503="Infantil 52kg",5,IF(Atletas!D503="Infantil 56kg",6,IF(Atletas!D503="Infantil 60kg",7,IF(Atletas!D503="Juvenil 48kg",8,IF(Atletas!D503="Juvenil 52kg",9,IF(Atletas!D503="Juvenil 56kg",10,IF(Atletas!D503="Juvenil 60kg",11,IF(Atletas!D503="Juvenil 65kg",12,IF(Atletas!D503="Juvenil 70kg",13,IF(Atletas!D503="Juvenil 75kg",14,IF(Atletas!D503="Juvenil 80kg",15,IF(Atletas!D503="Adulto 48kg",16,IF(Atletas!D503="Adulto 52kg",17,IF(Atletas!D503="Adulto 56kg",18,IF(Atletas!D503="Adulto 60kg",19,IF(Atletas!D503="Adulto 65kg",20,IF(Atletas!D503="Adulto 70kg",21,IF(Atletas!D503="Adulto 75kg",22,IF(Atletas!D503="Adulto 80kg",23,IF(Atletas!D503="Adulto 85kg",24,IF(Atletas!D503="Adulto 90kg",25,IF(Atletas!D503="Adulto +90kg",26,""))))))))))))))))))))))))))))</f>
        <v/>
      </c>
      <c r="AO507" s="10" t="str">
        <f>IF(Atletas!E503="","",IF(Atletas!B503="Feminino",100,IF(Atletas!B503="Masculino",200,""))+(IF(Atletas!E503="Juvenil 44kg",1,IF(Atletas!E503="Juvenil 48kg",2,IF(Atletas!E503="Juvenil 52kg",3,IF(Atletas!E503="Juvenil 56kg",4,IF(Atletas!E503="Juvenil 60kg",5,IF(Atletas!E503="Juvenil 65kg",6,IF(Atletas!E503="Juvenil 70kg",7,IF(Atletas!E503="Juvenil 75kg",8,IF(Atletas!E503="Juvenil 82kg",9,IF(Atletas!E503="Juvenil 90kg",10,IF(Atletas!E503="Juvenil 100kg",11,IF(Atletas!E503="Adulto 48kg",12,IF(Atletas!E503="Adulto 52kg",13,IF(Atletas!E503="Adulto 56kg",14,IF(Atletas!E503="Adulto 60kg",15,IF(Atletas!E503="Adulto 65kg",16,IF(Atletas!E503="Adulto 70kg",17,IF(Atletas!E503="Adulto 75kg",18,IF(Atletas!E503="Adulto 82kg",19,IF(Atletas!E503="Adulto 90kg",20,IF(Atletas!E503="Adulto 100kg",21,IF(Atletas!E503="Adulto +100kg",22,""))))))))))))))))))))))))</f>
        <v/>
      </c>
      <c r="AT507" s="10" t="str">
        <f>IF(Atletas!F503="","",IF(Atletas!B503="Feminino",100,IF(Atletas!B503="Masculino",200,""))+(IF(Atletas!F503="Adulto 48kg",1,IF(Atletas!F503="Adulto 56kg",2,IF(Atletas!F503="Adulto 65kg",3,IF(Atletas!F503="Adulto 75kg",4,IF(Atletas!F503="Adulto +75kg",5,IF(Atletas!F503="Adulto 52kg",6,IF(Atletas!F503="Adulto 60kg",7,IF(Atletas!F503="Adulto 70kg",8,IF(Atletas!F503="Adulto 80kg",9,IF(Atletas!F503="Adulto 90kg",10,IF(Atletas!F503="Adulto +90kg",11,"")))))))))))))</f>
        <v/>
      </c>
      <c r="AY507" s="46" t="str">
        <f>IF(Atletas!G503="","",IF(Atletas!B503="Feminino",100,IF(Atletas!B503="Masculino",200,""))+(IF(Atletas!G503="Changquan Mirim",1,IF(Atletas!G503="Nanquan Mirim",2,IF(Atletas!G503="Taijiquan Mirim",3,IF(Atletas!G503="Changquan Grupo C",4,IF(Atletas!G503="Nanquan Grupo C",5,IF(Atletas!G503="Taijiquan Grupo C",6,IF(Atletas!G503="Changquan Grupo B",7,IF(Atletas!G503="Nanquan Grupo B",8,IF(Atletas!G503="Taijiquan Grupo B",9,IF(Atletas!G503="Changquan Grupo A",10,IF(Atletas!G503="Nanquan Grupo A",11,IF(Atletas!G503="Taijiquan Grupo A",12,IF(Atletas!G503="Changquan Opcional",13,IF(Atletas!G503="Nanquan Opcional",14,IF(Atletas!G503="Taijiquan Opcional",15,IF(Atletas!G503="Changquan Adulto",16,IF(Atletas!G503="Nanquan Adulto",17,IF(Atletas!G503="Taijiquan Adulto",18,""))))))))))))))))))))</f>
        <v/>
      </c>
      <c r="AZ507" s="46" t="str">
        <f>IF(Atletas!H503="","",IF(Atletas!B503="Feminino",100,IF(Atletas!B503="Masculino",200,""))+(IF(Atletas!H503="Daoshu Mirim",19,IF(Atletas!H503="Jianshu Mirim",20,IF(Atletas!H503="Nandao Mirim",21,IF(Atletas!H503="Taijijian Mirim",22,IF(Atletas!H503="Daoshu Grupo C",23,IF(Atletas!H503="Jianshu Grupo C",24,IF(Atletas!H503="Nandao Grupo C",25,IF(Atletas!H503="Taijijian Grupo C",26,IF(Atletas!H503="Daoshu Grupo B",27,IF(Atletas!H503="Jianshu Grupo B",28,IF(Atletas!H503="Nandao Grupo B",29,IF(Atletas!H503="Taijijian Grupo B",30,IF(Atletas!H503="Daoshu Grupo A",31,IF(Atletas!H503="Jianshu Grupo A",32,IF(Atletas!H503="Nandao Grupo A",33,IF(Atletas!H503="Taijijian Grupo A",34,IF(Atletas!H503="Daoshu Opcional",35,IF(Atletas!H503="Jianshu Opcional",36,IF(Atletas!H503="Nandao Opcional",37,IF(Atletas!H503="Taijijian Opcional",38,IF(Atletas!H503="Daoshu Adulto",39,IF(Atletas!H503="Jianshu Adulto",40,IF(Atletas!H503="Nandao Adulto",41,IF(Atletas!H503="Taijijian Adulto",42,""))))))))))))))))))))))))))</f>
        <v/>
      </c>
      <c r="BA507" s="46" t="str">
        <f>IF(Atletas!I503="","",IF(Atletas!B503="Feminino",100,IF(Atletas!B503="Masculino",200,""))+(IF(Atletas!I503="Gunshu Mirim",43,IF(Atletas!I503="Qiangshu Mirim",44,IF(Atletas!I503="Nangun Mirim",45,IF(Atletas!I503="Gunshu Grupo C",46,IF(Atletas!I503="Qiangshu Grupo C",47,IF(Atletas!I503="Nangun Grupo C",48,IF(Atletas!I503="Gunshu Grupo B",49,IF(Atletas!I503="Qiangshu Grupo B",50,IF(Atletas!I503="Nangun Grupo B",51,IF(Atletas!I503="Gunshu Grupo A",52,IF(Atletas!I503="Qiangshu Grupo A",53,IF(Atletas!I503="Nangun Grupo A",54,IF(Atletas!I503="Gunshu Opcional",55,IF(Atletas!I503="Qiangshu Opcional",56,IF(Atletas!I503="Nangun Opcional",57,IF(Atletas!I503="Gunshu Adulto",58,IF(Atletas!I503="Qiangshu Adulto",59,IF(Atletas!I503="Nangun Adulto",60,""))))))))))))))))))))</f>
        <v/>
      </c>
      <c r="BF507" s="52" t="str">
        <f>IF(Atletas!J503="","",IF(Atletas!B503="Feminino",100,IF(Atletas!B503="Masculino",200,""))+(IF(Atletas!J503="Equipe 1 Grupo B",1,IF(Atletas!J503="Equipe 2 Grupo B",2,IF(Atletas!J503="Equipe 1 Grupo A",3,IF(Atletas!J503="Equipe 2 Grupo A",4,IF(Atletas!J503="Equipe 1 Adulto",5,IF(Atletas!J503="Equipe 2 Adulto",6,""))))))))</f>
        <v/>
      </c>
      <c r="BK507" s="52" t="str">
        <f>IF(Atletas!K503="","",IF(Atletas!W503&lt;&gt;"",10000,0)+(IF(Atletas!B503="Feminino",1000,IF(Atletas!B503="Masculino",2000,""))+IF(Atletas!K503="Choylayfut A",1,IF(Atletas!K503="Hunggar A",2,IF(Atletas!K503="Wuzuquan A",3,IF(Atletas!K503="Wingchun A",4,IF(Atletas!K503="Outra Mão de Sul A",5,IF(Atletas!K503="Choylayfut B",6,IF(Atletas!K503="Hunggar B",7,IF(Atletas!K503="Wuzuquan B",8,IF(Atletas!K503="Wingchun B",9,IF(Atletas!K503="Outra Mão de Sul B",10,IF(Atletas!K503="Choylayfut C",11,IF(Atletas!K503="Hunggar C",12,IF(Atletas!K503="Wuzuquan C",13,IF(Atletas!K503="Wingchun C",14,IF(Atletas!K503="Outra Mão de Sul C",15,IF(Atletas!K503="Choylayfut D",16,IF(Atletas!K503="Hunggar D",17,IF(Atletas!K503="Wuzuquan D",18,IF(Atletas!K503="Wingchun D",19,IF(Atletas!K503="Outra Mão de Sul D",20,IF(Atletas!K503="Choylayfut E",21,IF(Atletas!K503="Hunggar E",22,IF(Atletas!K503="Wuzuquan E",23,IF(Atletas!K503="Wingchun E",24,IF(Atletas!K503="Outra Mão de Sul E",25,IF(Atletas!K503="Choylayfut F",26,IF(Atletas!K503="Hunggar F",27,IF(Atletas!K503="Wuzuquan F",28,IF(Atletas!K503="Wingchun F",29,IF(Atletas!K503="Outra Mão de Sul F",30,""))))))))))))))))))))))))))))))))</f>
        <v/>
      </c>
      <c r="BL507" s="52" t="str">
        <f>IF(Atletas!L503="","",IF(Atletas!W503&lt;&gt;"",10000,0)+(IF(Atletas!B503="Feminino",1000,IF(Atletas!B503="Masculino",2000,""))+(IF(Atletas!L503="Chaquan A",101,IF(Atletas!L503="Emeiquan A",102,IF(Atletas!L503="Fanziquan A",103,IF(Atletas!L503="Huaquan A",104,IF(Atletas!L503="Hongquan A",105,IF(Atletas!L503="Paochui A",106,IF(Atletas!L503="Piguaquan A",107,IF(Atletas!L503="Shaolinquan A",108,IF(Atletas!L503="Tanglangquan A",109,IF(Atletas!L503="Yinzhaophai A",110,IF(Atletas!L503="Tongbeiquan A",111,IF(Atletas!L503="Wudangquan A",112,IF(Atletas!L503="Outros Estilos A",113,IF(Atletas!L503="Chaquan B",114,IF(Atletas!L503="Emeiquan B",115,IF(Atletas!L503="Fanziquan B",116,IF(Atletas!L503="Huaquan B",117,IF(Atletas!L503="Hongquan B",118,IF(Atletas!L503="Paochui B",119,IF(Atletas!L503="Piguaquan B",120,IF(Atletas!L503="Shaolinquan B",121,IF(Atletas!L503="Tanglangquan B",122,IF(Atletas!L503="Yinzhaophai B",123,IF(Atletas!L503="Tongbeiquan B",124,IF(Atletas!L503="Wudangquan B",125,IF(Atletas!L503="Outros Estilos B",126,IF(Atletas!L503="Chaquan C",127,IF(Atletas!L503="Emeiquan C",128,IF(Atletas!L503="Fanziquan C",129,IF(Atletas!L503="Huaquan C",130,IF(Atletas!L503="Hongquan C",131,IF(Atletas!L503="Paochui C",132,IF(Atletas!L503="Piguaquan C",133,IF(Atletas!L503="Shaolinquan C",134,IF(Atletas!L503="Tanglangquan C",135,IF(Atletas!L503="Yinzhaophai C",136,IF(Atletas!L503="Tongbeiquan C",137,IF(Atletas!L503="Wudangquan C",138,IF(Atletas!L503="Outros Estilos C",139,0))))))))))))))))))))))))))))))))))))))))))</f>
        <v/>
      </c>
      <c r="BM507" s="52" t="str">
        <f>IF(Atletas!L503="","",IF(Atletas!W503&lt;&gt;"",10000,0)+(IF(Atletas!B503="Feminino",1000,IF(Atletas!B503="Masculino",2000,""))+(IF(Atletas!L503="Chaquan D",140,IF(Atletas!L503="Emeiquan D",141,IF(Atletas!L503="Fanziquan D",142,IF(Atletas!L503="Huaquan D",143,IF(Atletas!L503="Hongquan D",144,IF(Atletas!L503="Paochui D",145,IF(Atletas!L503="Piguaquan D",146,IF(Atletas!L503="Shaolinquan D",147,IF(Atletas!L503="Tanglangquan D",148,IF(Atletas!L503="Yinzhaophai D",149,IF(Atletas!L503="Tongbeiquan D",150,IF(Atletas!L503="Wudangquan D",151,IF(Atletas!L503="Outros Estilos D",152,IF(Atletas!L503="Chaquan E",153,IF(Atletas!L503="Emeiquan E",154,IF(Atletas!L503="Fanziquan E",155,IF(Atletas!L503="Huaquan E",156,IF(Atletas!L503="Hongquan E",157,IF(Atletas!L503="Paochui E",158,IF(Atletas!L503="Piguaquan E",159,IF(Atletas!L503="Shaolinquan E",160,IF(Atletas!L503="Tanglangquan E",161,IF(Atletas!L503="Yinzhaophai E",162,IF(Atletas!L503="Tongbeiquan E",163,IF(Atletas!L503="Wudangquan E",164,IF(Atletas!L503="Outros Estilos E",165,IF(Atletas!L503="Chaquan F",166,IF(Atletas!L503="Emeiquan F",167,IF(Atletas!L503="Fanziquan F",168,IF(Atletas!L503="Huaquan F",169,IF(Atletas!L503="Hongquan F",170,IF(Atletas!L503="Paochui F",171,IF(Atletas!L503="Piguaquan F",172,IF(Atletas!L503="Shaolinquan F",173,IF(Atletas!L503="Tanglangquan F",174,IF(Atletas!L503="Yinzhaophai F",175,IF(Atletas!L503="Tongbeiquan F",176,IF(Atletas!L503="Wudangquan F",177,IF(Atletas!L503="Outros Estilos F",178,0))))))))))))))))))))))))))))))))))))))))))</f>
        <v/>
      </c>
      <c r="BN507" s="52" t="str">
        <f>IF(Atletas!M503="","",IF(Atletas!W503&lt;&gt;"",10000,0)+(IF(Atletas!B503="Feminino",1000,IF(Atletas!B503="Masculino",2000,""))+(IF(Atletas!M503="Ditangquan A",201,IF(Atletas!M503="Houquan A",202,IF(Atletas!M503="Zuiquan A",203,IF(Atletas!M503="Ditangquan B",204,IF(Atletas!M503="Houquan B",205,IF(Atletas!M503="Zuiquan B",206,IF(Atletas!M503="Ditangquan C",207,IF(Atletas!M503="Houquan C",208,IF(Atletas!M503="Zuiquan C",209,IF(Atletas!M503="Ditangquan D",210,IF(Atletas!M503="Houquan D",211,IF(Atletas!M503="Zuiquan D",212,IF(Atletas!M503="Ditangquan E",213,IF(Atletas!M503="Houquan E",214,IF(Atletas!M503="Zuiquan E",215,IF(Atletas!M503="Ditangquan F",216,IF(Atletas!M503="Houquan F",217,IF(Atletas!M503="Zuiquan F",218,"")))))))))))))))))))))</f>
        <v/>
      </c>
      <c r="BO507" s="52" t="str">
        <f>IF(Atletas!N503="","",IF(Atletas!W503&lt;&gt;"",10000,0)+IF(Atletas!B503="Feminino",1000,IF(Atletas!B503="Masculino",2000,""))+IF(Atletas!N503="Yang A",301,IF(Atletas!N503="Chen A",30,IF(Atletas!N503="Sun A",303,IF(Atletas!N503="Wu A",304,IF(Atletas!N503="Wu-Hao A",305,IF(Atletas!N503="Outro Taijiquan A",306,IF(Atletas!N503="Yang B",307,IF(Atletas!N503="Chen B",308,IF(Atletas!N503="Sun B",309,IF(Atletas!N503="Wu B",310,IF(Atletas!N503="Wu-Hao B",311,IF(Atletas!N503="Outro Taijiquan B",312,IF(Atletas!N503="Yang C",313,IF(Atletas!N503="Chen C",314,IF(Atletas!N503="Sun C",315,IF(Atletas!N503="Wu C",316,IF(Atletas!N503="Wu-Hao C",317,IF(Atletas!N503="Outro Taijiquan C",318,IF(Atletas!N503="Yang D",319,IF(Atletas!N503="Chen D",320,IF(Atletas!N503="Sun D",321,IF(Atletas!N503="Wu D",322,IF(Atletas!N503="Wu-Hao D",323,IF(Atletas!N503="Outro Taijiquan D",324,IF(Atletas!N503="Yang E",325,IF(Atletas!N503="Chen E",326,IF(Atletas!N503="Sun E",327,IF(Atletas!N503="Wu E",328,IF(Atletas!N503="Wu-Hao E",329,IF(Atletas!N503="Outro Taijiquan E",330,IF(Atletas!N503="Yang F",331,IF(Atletas!N503="Chen F",332,IF(Atletas!N503="Sun F",333,IF(Atletas!N503="Wu F",334,IF(Atletas!N503="Wu-Hao F",335,IF(Atletas!N503="Outro Taijiquan F",336,"")))))))))))))))))))))))))))))))))))))</f>
        <v/>
      </c>
      <c r="BP507" s="52" t="str">
        <f>IF(Atletas!O503="","",IF(Atletas!W503&lt;&gt;"",10000,0)+IF(Atletas!B503="Feminino",1000,IF(Atletas!B503="Masculino",2000,""))+IF(OR(Atletas!O503="Yang 26 A",Atletas!O503="Yang 40 A"),401,IF(OR(Atletas!O503="Chen 25 A",Atletas!O503="Chen 36 A",Atletas!O503="Chen 56 A"),402,IF(Atletas!O503="Sun 73 A",403,IF(Atletas!O503="Wu 45 A",404,IF(Atletas!O503="Wu-Hao 46 A",405,IF(OR(Atletas!O503="Taijiquan 16 A",Atletas!O503="Taijiquan 24 A",Atletas!O503="Taijiquan 32 A",Atletas!O503="Taijiquan 42 A"),406,IF(OR(Atletas!O503="Yang 26 B",Atletas!O503="Yang 40 B"),407,IF(OR(Atletas!O503="Chen 25 B",Atletas!O503="Chen 36 B",Atletas!O503="Chen 56 B"),408,IF(Atletas!O503="Sun 73 B",409,IF(Atletas!O503="Wu 45 B",410,IF(Atletas!O503="Wu-Hao 46 B",411,IF(OR(Atletas!O503="Taijiquan 16 B",Atletas!O503="Taijiquan 24 B",Atletas!O503="Taijiquan 32 B",Atletas!O503="Taijiquan 42 B"),412,IF(OR(Atletas!O503="Yang 26 C",Atletas!O503="Yang 40 C"),413,IF(OR(Atletas!O503="Chen 25 C",Atletas!O503="Chen 36 C",Atletas!O503="Chen 56 C"),414,IF(Atletas!O503="Sun 73 C",415,IF(Atletas!O503="Wu 45 C",416,IF(Atletas!O503="Wu-Hao 46 C",417,IF(OR(Atletas!O503="Taijiquan 16 C",Atletas!O503="Taijiquan 24 C",Atletas!O503="Taijiquan 32 C",Atletas!O503="Taijiquan 42 C"),418,0)))))))))))))))))))</f>
        <v/>
      </c>
      <c r="BQ507" s="52" t="str">
        <f>IF(Atletas!O503="","",IF(Atletas!W503&lt;&gt;"",10000,0)+IF(Atletas!B503="Feminino",1000,IF(Atletas!B503="Masculino",2000,""))+IF(OR(Atletas!O503="Yang 26 D",Atletas!O503="Yang 40 D"),419,IF(OR(Atletas!O503="Chen 25 D",Atletas!O503="Chen 36 D",Atletas!O503="Chen 56 D"),420,IF(Atletas!O503="Sun 73 D",421,IF(Atletas!O503="Wu 45 D",422,IF(Atletas!O503="Wu-Hao 46 D",423,IF(OR(Atletas!O503="Taijiquan 16 D",Atletas!O503="Taijiquan 24 D",Atletas!O503="Taijiquan 32 D",Atletas!O503="Taijiquan 42 D"),424,IF(OR(Atletas!O503="Yang 26 E",Atletas!O503="Yang 40 E"),425,IF(OR(Atletas!O503="Chen 25 E",Atletas!O503="Chen 36 E",Atletas!O503="Chen 56 E"),426,IF(Atletas!O503="Sun 73 E",427,IF(Atletas!O503="Wu 45 E",428,IF(Atletas!O503="Wu-Hao 46 E",429,IF(OR(Atletas!O503="Taijiquan 16 E",Atletas!O503="Taijiquan 24 E",Atletas!O503="Taijiquan 32 E",Atletas!O503="Taijiquan 42 E"),430,IF(OR(Atletas!O503="Yang 26 F",Atletas!O503="Yang 40 F"),431,IF(OR(Atletas!O503="Chen 25 F",Atletas!O503="Chen 36 F",Atletas!O503="Chen 56 F"),432,IF(Atletas!O503="Sun 73 F",433,IF(Atletas!O503="Wu 45 F",434,IF(Atletas!O503="Wu-Hao 46 F",435,IF(OR(Atletas!O503="Taijiquan 16 F",Atletas!O503="Taijiquan 24 F",Atletas!O503="Taijiquan 32 F",Atletas!O503="Taijiquan 42 F"),436,0)))))))))))))))))))</f>
        <v/>
      </c>
      <c r="BR507" s="52" t="str">
        <f>IF(Atletas!P503="","",IF(Atletas!W503&lt;&gt;"",10000,0)+IF(Atletas!B503="Feminino",1000,IF(Atletas!B503="Masculino",2000,""))+IF(Atletas!P503="Xingyiquan A",501,IF(Atletas!P503="Baguazhang A",502,IF(Atletas!P503="Outro Estilo Interno A",503,IF(Atletas!P503="Xingyiquan B",504,IF(Atletas!P503="Baguazhang B",505,IF(Atletas!P503="Outro Estilo Interno B",506,IF(Atletas!P503="Xingyiquan C",507,IF(Atletas!P503="Baguazhang C",508,IF(Atletas!P503="Outro Estilo Interno C",509,IF(Atletas!P503="Xingyiquan D",510,IF(Atletas!P503="Baguazhang D",511,IF(Atletas!P503="Outro Estilo Interno D",512,IF(Atletas!P503="Xingyiquan E",513,IF(Atletas!P503="Baguazhang E",514,IF(Atletas!P503="Outro Estilo Interno E",515,IF(Atletas!P503="Xingyiquan F",516,IF(Atletas!P503="Baguazhang F",517,IF(Atletas!P503="Outro Estilo Interno F",518, "")))))))))))))))))))</f>
        <v/>
      </c>
      <c r="BS507" s="52" t="str">
        <f>IF(Atletas!Q503="","",IF(Atletas!W503&lt;&gt;"",10000,0)+IF(Atletas!B503="Feminino",1000,IF(Atletas!B503="Masculino",2000,""))+IF(Atletas!Q503="Dao A",601,IF(Atletas!Q503="Jian A",602,IF(Atletas!Q503="Bishou A",603,IF(Atletas!Q503="Shan A",604,IF(Atletas!Q503="Outra Arma Curta A",605,IF(Atletas!Q503="Dao B",606,IF(Atletas!Q503="Jian B",607,IF(Atletas!Q503="Bishou B",608,IF(Atletas!Q503="Shan B",609,IF(Atletas!Q503="Outra Arma Curta B",610,IF(Atletas!Q503="Dao C",611,IF(Atletas!Q503="Jian C",612,IF(Atletas!Q503="Bishou C",613,IF(Atletas!Q503="Shan C",614,IF(Atletas!Q503="Outra Arma Curta C",615,IF(Atletas!Q503="Dao D",616,IF(Atletas!Q503="Jian D",617,IF(Atletas!Q503="Bishou D",618,IF(Atletas!Q503="Shan D",619,IF(Atletas!Q503="Outra Arma Curta D",620,IF(Atletas!Q503="Dao E",621,IF(Atletas!Q503="Jian E",622,IF(Atletas!Q503="Bishou E",623,IF(Atletas!Q503="Shan E",624,IF(Atletas!Q503="Outra Arma Curta E",625,IF(Atletas!Q503="Dao F",626,IF(Atletas!Q503="Jian F",627,IF(Atletas!Q503="Bishou F",628,IF(Atletas!Q503="Shan F",629,IF(Atletas!Q503="Outra Arma Curta F",630, "")))))))))))))))))))))))))))))))</f>
        <v/>
      </c>
      <c r="BT507" s="52" t="str">
        <f>IF(Atletas!R503="","",IF(Atletas!W503&lt;&gt;"",10000,0)+IF(Atletas!B503="Feminino",1000,IF(Atletas!B503="Masculino",2000,""))+IF(Atletas!R503="Gun A",701,IF(Atletas!R503="Qiang A",702,IF(Atletas!R503="Pudao / Guandao A",703,IF(Atletas!R503="Outra Arma Longa A",704,IF(Atletas!R503="Gun B",705,IF(Atletas!R503="Qiang B",706,IF(Atletas!R503="Pudao / Guandao B",707,IF(Atletas!R503="Outra Arma Longa B",708,IF(Atletas!R503="Gun C",709,IF(Atletas!R503="Qiang C",710,IF(Atletas!R503="Pudao / Guandao C",711,IF(Atletas!R503="Outra Arma Longa C",712,IF(Atletas!R503="Gun D",713,IF(Atletas!R503="Qiang D",714,IF(Atletas!R503="Pudao / Guandao D",715,IF(Atletas!R503="Outra Arma Longa D",716,IF(Atletas!R503="Gun E",717,IF(Atletas!R503="Qiang E",718,IF(Atletas!R503="Pudao / Guandao E",719,IF(Atletas!R503="Outra Arma Longa E",720,IF(Atletas!R503="Gun F",721,IF(Atletas!R503="Qiang F",722,IF(Atletas!R503="Pudao / Guandao F",723,IF(Atletas!R503="Outra Arma Longa F",724,"")))))))))))))))))))))))))</f>
        <v/>
      </c>
      <c r="BU507" s="52" t="str">
        <f>IF(Atletas!S503="","",IF(Atletas!W503&lt;&gt;"",10000,0)+IF(Atletas!B503="Feminino",1000,IF(Atletas!B503="Masculino",2000,""))+IF(Atletas!S503="Arma Dupla A",801,IF(Atletas!S503="Arma Maleável A",802,IF(Atletas!S503="Arma Dupla B",803,IF(Atletas!S503="Arma Maleável B",804,IF(Atletas!S503="Arma Dupla C",805,IF(Atletas!S503="Arma Maleável C",806,IF(Atletas!S503="Arma Dupla D",807,IF(Atletas!S503="Arma Maleável D",808,IF(Atletas!S503="Arma Dupla E",809,IF(Atletas!S503="Arma Maleável E",810,IF(Atletas!S503="Arma Dupla F",811,IF(Atletas!S503="Arma Maleável F",812, "")))))))))))))</f>
        <v/>
      </c>
      <c r="BV507" s="52" t="str">
        <f>IF(Atletas!T503="","",IF(Atletas!W503&lt;&gt;"",10000,0)+IF(Atletas!B503="Feminino",1000,IF(Atletas!B503="Masculino",2000,""))+IF(Atletas!T503="Taijijian Yang A",901,IF(Atletas!T503="Taijijian Chen A",902,IF(Atletas!T503="Taijijian Sun A",903,IF(Atletas!T503="Taijijian Wu A",904,IF(Atletas!T503="Taijijian Wu-Hao A",905,IF(Atletas!T503="Taijijian 32 A",906,IF(Atletas!T503="Taijijian 42 A",907,IF(Atletas!T503="Taijijian Yang B",908,IF(Atletas!T503="Taijijian Chen B",909,IF(Atletas!T503="Taijijian Sun B",910,IF(Atletas!T503="Taijijian Wu B",911,IF(Atletas!T503="Taijijian Wu-Hao B",912,IF(Atletas!T503="Taijijian 32 B",913,IF(Atletas!T503="Taijijian 42 B",914,IF(Atletas!T503="Taijijian Yang C",915,IF(Atletas!T503="Taijijian Chen C",916,IF(Atletas!T503="Taijijian Sun C",917,IF(Atletas!T503="Taijijian Wu C",918,IF(Atletas!T503="Taijijian Wu-Hao C",919,IF(Atletas!T503="Taijijian 32 C",920,IF(Atletas!T503="Taijijian 42 C",921,IF(Atletas!T503="Taijijian Yang D",922,IF(Atletas!T503="Taijijian Chen D",923,IF(Atletas!T503="Taijijian Sun D",924,IF(Atletas!T503="Taijijian Wu D",925,IF(Atletas!T503="Taijijian Wu-Hao D",926,IF(Atletas!T503="Taijijian 32 D",927,IF(Atletas!T503="Taijijian 42 D",928,IF(Atletas!T503="Taijijian Yang E",929,IF(Atletas!T503="Taijijian Chen E",930,IF(Atletas!T503="Taijijian Sun E",931,IF(Atletas!T503="Taijijian Wu E",932,IF(Atletas!T503="Taijijian Wu-Hao E",933,IF(Atletas!T503="Taijijian 32 E",934,IF(Atletas!T503="Taijijian 42 E",935,IF(Atletas!T503="Taijijian Yang F",936,IF(Atletas!T503="Taijijian Chen F",937,IF(Atletas!T503="Taijijian Sun F",938,IF(Atletas!T503="Taijijian Wu F",939,IF(Atletas!T503="Taijijian Wu-Hao F",940,IF(Atletas!T503="Taijijian 32 F",941,IF(Atletas!T503="Taijijian 42 F",942,"")))))))))))))))))))))))))))))))))))))))))))</f>
        <v/>
      </c>
      <c r="BW507" s="52" t="str">
        <f>IF(Atletas!U503="","",IF(Atletas!W503&lt;&gt;"",10000,0)+IF(Atletas!B503="Feminino",1000,IF(Atletas!B503="Masculino",2000,""))+IF(Atletas!T503="Taijijian 42 F",942,IF(Atletas!U503="Taijidao A",943,IF(Atletas!U503="Taijishan A",944,IF(Atletas!U503="Taijiqiang A",945,IF(Atletas!U503="Taijidao B",946,IF(Atletas!U503="Taijishan B",947,IF(Atletas!U503="Taijiqiang B",948,IF(Atletas!U503="Taijidao C",949,IF(Atletas!U503="Taijishan C",950,IF(Atletas!U503="Taijiqiang C",951,IF(Atletas!U503="Taijidao D",952,IF(Atletas!U503="Taijishan D",953,IF(Atletas!U503="Taijiqiang D",954,IF(Atletas!U503="Taijidao E",955,IF(Atletas!U503="Taijishan E",956,IF(Atletas!U503="Taijiqiang E",957,IF(Atletas!U503="Taijidao F",958,IF(Atletas!U503="Taijishan F",959,IF(Atletas!U503="Taijiqiang F",960))))))))))))))))))))</f>
        <v/>
      </c>
      <c r="CF507" s="52" t="str">
        <f xml:space="preserve"> IF(Atletas!V503="","",IF(Atletas!V503="Duilian de Mãos AB - Equipe 1",1,IF(Atletas!V503="Duilian de Mãos AB - Equipe 2",2,IF(Atletas!V503="Duilian de Armas AB - Equipe 1",3,IF(Atletas!V503="Duilian de Armas AB - Equipe 2",4,IF(Atletas!V503="Duilian de Tuishou - Equipe 1",5,IF(Atletas!V503="Duilian de Tuishou - Equipe 2",6,IF(Atletas!V503="Grupo Externo AB - Equipe 1",7,IF(Atletas!V503="Grupo Externo AB - Equipe 2",8,IF(Atletas!V503="Grupo Interno AB - Equipe 1",9,IF(Atletas!V503="Grupo Interno AB - Equipe 2",10,IF(Atletas!V503="Duilian de Mãos CD - Equipe 1",11,IF(Atletas!V503="Duilian de Mãos CD - Equipe 2",12,IF(Atletas!V503="Duilian de Armas CD - Equipe 1",13,IF(Atletas!V503="Duilian de Armas CD - Equipe 2",14,IF(Atletas!V503="Duilian de Tuishou - Equipe 1",15,IF(Atletas!V503="Duilian de Tuishou - Equipe 2",16,IF(Atletas!V503="Grupo Externo CDEF - Equipe 1",17,IF(Atletas!V503="Grupo Externo CDEF - Equipe 2",18,IF(Atletas!V503="Grupo Interno CDEF - Equipe 1",19,IF(Atletas!V503="Grupo Interno CDEF - Equipe 2",20,IF(Atletas!V503="Duilian de Mãos EF - Equipe 1",21,IF(Atletas!V503="Duilian de Mãos EF - Equipe 2",22,IF(Atletas!V503="Duilian de Armas EF - Equipe 1",23,IF(Atletas!V503="Duilian de Armas EF - Equipe 2",24,IF(Atletas!V503="Duilian de Tuishou - Equipe 1",25,IF(Atletas!V503="Duilian de Tuishou - Equipe 2",26,"")))))))))))))))))))))))))))</f>
        <v/>
      </c>
    </row>
    <row r="508" spans="36:84">
      <c r="AJ508" s="46" t="str">
        <f>IF(Atletas!D504="","",IF(Atletas!B504="Feminino",100,IF(Atletas!B504="Masculino",200,""))+(IF(Atletas!D504="Infantil 39kg",1,IF(Atletas!D504="Infantil 42kg",2,IF(Atletas!D504="Infantil 45kg",3,IF(Atletas!D504="Infantil 48kg",4,IF(Atletas!D504="Infantil 52kg",5,IF(Atletas!D504="Infantil 56kg",6,IF(Atletas!D504="Infantil 60kg",7,IF(Atletas!D504="Juvenil 48kg",8,IF(Atletas!D504="Juvenil 52kg",9,IF(Atletas!D504="Juvenil 56kg",10,IF(Atletas!D504="Juvenil 60kg",11,IF(Atletas!D504="Juvenil 65kg",12,IF(Atletas!D504="Juvenil 70kg",13,IF(Atletas!D504="Juvenil 75kg",14,IF(Atletas!D504="Juvenil 80kg",15,IF(Atletas!D504="Adulto 48kg",16,IF(Atletas!D504="Adulto 52kg",17,IF(Atletas!D504="Adulto 56kg",18,IF(Atletas!D504="Adulto 60kg",19,IF(Atletas!D504="Adulto 65kg",20,IF(Atletas!D504="Adulto 70kg",21,IF(Atletas!D504="Adulto 75kg",22,IF(Atletas!D504="Adulto 80kg",23,IF(Atletas!D504="Adulto 85kg",24,IF(Atletas!D504="Adulto 90kg",25,IF(Atletas!D504="Adulto +90kg",26,""))))))))))))))))))))))))))))</f>
        <v/>
      </c>
      <c r="AO508" s="10" t="str">
        <f>IF(Atletas!E504="","",IF(Atletas!B504="Feminino",100,IF(Atletas!B504="Masculino",200,""))+(IF(Atletas!E504="Juvenil 44kg",1,IF(Atletas!E504="Juvenil 48kg",2,IF(Atletas!E504="Juvenil 52kg",3,IF(Atletas!E504="Juvenil 56kg",4,IF(Atletas!E504="Juvenil 60kg",5,IF(Atletas!E504="Juvenil 65kg",6,IF(Atletas!E504="Juvenil 70kg",7,IF(Atletas!E504="Juvenil 75kg",8,IF(Atletas!E504="Juvenil 82kg",9,IF(Atletas!E504="Juvenil 90kg",10,IF(Atletas!E504="Juvenil 100kg",11,IF(Atletas!E504="Adulto 48kg",12,IF(Atletas!E504="Adulto 52kg",13,IF(Atletas!E504="Adulto 56kg",14,IF(Atletas!E504="Adulto 60kg",15,IF(Atletas!E504="Adulto 65kg",16,IF(Atletas!E504="Adulto 70kg",17,IF(Atletas!E504="Adulto 75kg",18,IF(Atletas!E504="Adulto 82kg",19,IF(Atletas!E504="Adulto 90kg",20,IF(Atletas!E504="Adulto 100kg",21,IF(Atletas!E504="Adulto +100kg",22,""))))))))))))))))))))))))</f>
        <v/>
      </c>
      <c r="AT508" s="10" t="str">
        <f>IF(Atletas!F504="","",IF(Atletas!B504="Feminino",100,IF(Atletas!B504="Masculino",200,""))+(IF(Atletas!F504="Adulto 48kg",1,IF(Atletas!F504="Adulto 56kg",2,IF(Atletas!F504="Adulto 65kg",3,IF(Atletas!F504="Adulto 75kg",4,IF(Atletas!F504="Adulto +75kg",5,IF(Atletas!F504="Adulto 52kg",6,IF(Atletas!F504="Adulto 60kg",7,IF(Atletas!F504="Adulto 70kg",8,IF(Atletas!F504="Adulto 80kg",9,IF(Atletas!F504="Adulto 90kg",10,IF(Atletas!F504="Adulto +90kg",11,"")))))))))))))</f>
        <v/>
      </c>
      <c r="AY508" s="46" t="str">
        <f>IF(Atletas!G504="","",IF(Atletas!B504="Feminino",100,IF(Atletas!B504="Masculino",200,""))+(IF(Atletas!G504="Changquan Mirim",1,IF(Atletas!G504="Nanquan Mirim",2,IF(Atletas!G504="Taijiquan Mirim",3,IF(Atletas!G504="Changquan Grupo C",4,IF(Atletas!G504="Nanquan Grupo C",5,IF(Atletas!G504="Taijiquan Grupo C",6,IF(Atletas!G504="Changquan Grupo B",7,IF(Atletas!G504="Nanquan Grupo B",8,IF(Atletas!G504="Taijiquan Grupo B",9,IF(Atletas!G504="Changquan Grupo A",10,IF(Atletas!G504="Nanquan Grupo A",11,IF(Atletas!G504="Taijiquan Grupo A",12,IF(Atletas!G504="Changquan Opcional",13,IF(Atletas!G504="Nanquan Opcional",14,IF(Atletas!G504="Taijiquan Opcional",15,IF(Atletas!G504="Changquan Adulto",16,IF(Atletas!G504="Nanquan Adulto",17,IF(Atletas!G504="Taijiquan Adulto",18,""))))))))))))))))))))</f>
        <v/>
      </c>
      <c r="AZ508" s="46" t="str">
        <f>IF(Atletas!H504="","",IF(Atletas!B504="Feminino",100,IF(Atletas!B504="Masculino",200,""))+(IF(Atletas!H504="Daoshu Mirim",19,IF(Atletas!H504="Jianshu Mirim",20,IF(Atletas!H504="Nandao Mirim",21,IF(Atletas!H504="Taijijian Mirim",22,IF(Atletas!H504="Daoshu Grupo C",23,IF(Atletas!H504="Jianshu Grupo C",24,IF(Atletas!H504="Nandao Grupo C",25,IF(Atletas!H504="Taijijian Grupo C",26,IF(Atletas!H504="Daoshu Grupo B",27,IF(Atletas!H504="Jianshu Grupo B",28,IF(Atletas!H504="Nandao Grupo B",29,IF(Atletas!H504="Taijijian Grupo B",30,IF(Atletas!H504="Daoshu Grupo A",31,IF(Atletas!H504="Jianshu Grupo A",32,IF(Atletas!H504="Nandao Grupo A",33,IF(Atletas!H504="Taijijian Grupo A",34,IF(Atletas!H504="Daoshu Opcional",35,IF(Atletas!H504="Jianshu Opcional",36,IF(Atletas!H504="Nandao Opcional",37,IF(Atletas!H504="Taijijian Opcional",38,IF(Atletas!H504="Daoshu Adulto",39,IF(Atletas!H504="Jianshu Adulto",40,IF(Atletas!H504="Nandao Adulto",41,IF(Atletas!H504="Taijijian Adulto",42,""))))))))))))))))))))))))))</f>
        <v/>
      </c>
      <c r="BA508" s="46" t="str">
        <f>IF(Atletas!I504="","",IF(Atletas!B504="Feminino",100,IF(Atletas!B504="Masculino",200,""))+(IF(Atletas!I504="Gunshu Mirim",43,IF(Atletas!I504="Qiangshu Mirim",44,IF(Atletas!I504="Nangun Mirim",45,IF(Atletas!I504="Gunshu Grupo C",46,IF(Atletas!I504="Qiangshu Grupo C",47,IF(Atletas!I504="Nangun Grupo C",48,IF(Atletas!I504="Gunshu Grupo B",49,IF(Atletas!I504="Qiangshu Grupo B",50,IF(Atletas!I504="Nangun Grupo B",51,IF(Atletas!I504="Gunshu Grupo A",52,IF(Atletas!I504="Qiangshu Grupo A",53,IF(Atletas!I504="Nangun Grupo A",54,IF(Atletas!I504="Gunshu Opcional",55,IF(Atletas!I504="Qiangshu Opcional",56,IF(Atletas!I504="Nangun Opcional",57,IF(Atletas!I504="Gunshu Adulto",58,IF(Atletas!I504="Qiangshu Adulto",59,IF(Atletas!I504="Nangun Adulto",60,""))))))))))))))))))))</f>
        <v/>
      </c>
      <c r="BF508" s="52" t="str">
        <f>IF(Atletas!J504="","",IF(Atletas!B504="Feminino",100,IF(Atletas!B504="Masculino",200,""))+(IF(Atletas!J504="Equipe 1 Grupo B",1,IF(Atletas!J504="Equipe 2 Grupo B",2,IF(Atletas!J504="Equipe 1 Grupo A",3,IF(Atletas!J504="Equipe 2 Grupo A",4,IF(Atletas!J504="Equipe 1 Adulto",5,IF(Atletas!J504="Equipe 2 Adulto",6,""))))))))</f>
        <v/>
      </c>
      <c r="BK508" s="52" t="str">
        <f>IF(Atletas!K504="","",IF(Atletas!W504&lt;&gt;"",10000,0)+(IF(Atletas!B504="Feminino",1000,IF(Atletas!B504="Masculino",2000,""))+IF(Atletas!K504="Choylayfut A",1,IF(Atletas!K504="Hunggar A",2,IF(Atletas!K504="Wuzuquan A",3,IF(Atletas!K504="Wingchun A",4,IF(Atletas!K504="Outra Mão de Sul A",5,IF(Atletas!K504="Choylayfut B",6,IF(Atletas!K504="Hunggar B",7,IF(Atletas!K504="Wuzuquan B",8,IF(Atletas!K504="Wingchun B",9,IF(Atletas!K504="Outra Mão de Sul B",10,IF(Atletas!K504="Choylayfut C",11,IF(Atletas!K504="Hunggar C",12,IF(Atletas!K504="Wuzuquan C",13,IF(Atletas!K504="Wingchun C",14,IF(Atletas!K504="Outra Mão de Sul C",15,IF(Atletas!K504="Choylayfut D",16,IF(Atletas!K504="Hunggar D",17,IF(Atletas!K504="Wuzuquan D",18,IF(Atletas!K504="Wingchun D",19,IF(Atletas!K504="Outra Mão de Sul D",20,IF(Atletas!K504="Choylayfut E",21,IF(Atletas!K504="Hunggar E",22,IF(Atletas!K504="Wuzuquan E",23,IF(Atletas!K504="Wingchun E",24,IF(Atletas!K504="Outra Mão de Sul E",25,IF(Atletas!K504="Choylayfut F",26,IF(Atletas!K504="Hunggar F",27,IF(Atletas!K504="Wuzuquan F",28,IF(Atletas!K504="Wingchun F",29,IF(Atletas!K504="Outra Mão de Sul F",30,""))))))))))))))))))))))))))))))))</f>
        <v/>
      </c>
      <c r="BL508" s="52" t="str">
        <f>IF(Atletas!L504="","",IF(Atletas!W504&lt;&gt;"",10000,0)+(IF(Atletas!B504="Feminino",1000,IF(Atletas!B504="Masculino",2000,""))+(IF(Atletas!L504="Chaquan A",101,IF(Atletas!L504="Emeiquan A",102,IF(Atletas!L504="Fanziquan A",103,IF(Atletas!L504="Huaquan A",104,IF(Atletas!L504="Hongquan A",105,IF(Atletas!L504="Paochui A",106,IF(Atletas!L504="Piguaquan A",107,IF(Atletas!L504="Shaolinquan A",108,IF(Atletas!L504="Tanglangquan A",109,IF(Atletas!L504="Yinzhaophai A",110,IF(Atletas!L504="Tongbeiquan A",111,IF(Atletas!L504="Wudangquan A",112,IF(Atletas!L504="Outros Estilos A",113,IF(Atletas!L504="Chaquan B",114,IF(Atletas!L504="Emeiquan B",115,IF(Atletas!L504="Fanziquan B",116,IF(Atletas!L504="Huaquan B",117,IF(Atletas!L504="Hongquan B",118,IF(Atletas!L504="Paochui B",119,IF(Atletas!L504="Piguaquan B",120,IF(Atletas!L504="Shaolinquan B",121,IF(Atletas!L504="Tanglangquan B",122,IF(Atletas!L504="Yinzhaophai B",123,IF(Atletas!L504="Tongbeiquan B",124,IF(Atletas!L504="Wudangquan B",125,IF(Atletas!L504="Outros Estilos B",126,IF(Atletas!L504="Chaquan C",127,IF(Atletas!L504="Emeiquan C",128,IF(Atletas!L504="Fanziquan C",129,IF(Atletas!L504="Huaquan C",130,IF(Atletas!L504="Hongquan C",131,IF(Atletas!L504="Paochui C",132,IF(Atletas!L504="Piguaquan C",133,IF(Atletas!L504="Shaolinquan C",134,IF(Atletas!L504="Tanglangquan C",135,IF(Atletas!L504="Yinzhaophai C",136,IF(Atletas!L504="Tongbeiquan C",137,IF(Atletas!L504="Wudangquan C",138,IF(Atletas!L504="Outros Estilos C",139,0))))))))))))))))))))))))))))))))))))))))))</f>
        <v/>
      </c>
      <c r="BM508" s="52" t="str">
        <f>IF(Atletas!L504="","",IF(Atletas!W504&lt;&gt;"",10000,0)+(IF(Atletas!B504="Feminino",1000,IF(Atletas!B504="Masculino",2000,""))+(IF(Atletas!L504="Chaquan D",140,IF(Atletas!L504="Emeiquan D",141,IF(Atletas!L504="Fanziquan D",142,IF(Atletas!L504="Huaquan D",143,IF(Atletas!L504="Hongquan D",144,IF(Atletas!L504="Paochui D",145,IF(Atletas!L504="Piguaquan D",146,IF(Atletas!L504="Shaolinquan D",147,IF(Atletas!L504="Tanglangquan D",148,IF(Atletas!L504="Yinzhaophai D",149,IF(Atletas!L504="Tongbeiquan D",150,IF(Atletas!L504="Wudangquan D",151,IF(Atletas!L504="Outros Estilos D",152,IF(Atletas!L504="Chaquan E",153,IF(Atletas!L504="Emeiquan E",154,IF(Atletas!L504="Fanziquan E",155,IF(Atletas!L504="Huaquan E",156,IF(Atletas!L504="Hongquan E",157,IF(Atletas!L504="Paochui E",158,IF(Atletas!L504="Piguaquan E",159,IF(Atletas!L504="Shaolinquan E",160,IF(Atletas!L504="Tanglangquan E",161,IF(Atletas!L504="Yinzhaophai E",162,IF(Atletas!L504="Tongbeiquan E",163,IF(Atletas!L504="Wudangquan E",164,IF(Atletas!L504="Outros Estilos E",165,IF(Atletas!L504="Chaquan F",166,IF(Atletas!L504="Emeiquan F",167,IF(Atletas!L504="Fanziquan F",168,IF(Atletas!L504="Huaquan F",169,IF(Atletas!L504="Hongquan F",170,IF(Atletas!L504="Paochui F",171,IF(Atletas!L504="Piguaquan F",172,IF(Atletas!L504="Shaolinquan F",173,IF(Atletas!L504="Tanglangquan F",174,IF(Atletas!L504="Yinzhaophai F",175,IF(Atletas!L504="Tongbeiquan F",176,IF(Atletas!L504="Wudangquan F",177,IF(Atletas!L504="Outros Estilos F",178,0))))))))))))))))))))))))))))))))))))))))))</f>
        <v/>
      </c>
      <c r="BN508" s="52" t="str">
        <f>IF(Atletas!M504="","",IF(Atletas!W504&lt;&gt;"",10000,0)+(IF(Atletas!B504="Feminino",1000,IF(Atletas!B504="Masculino",2000,""))+(IF(Atletas!M504="Ditangquan A",201,IF(Atletas!M504="Houquan A",202,IF(Atletas!M504="Zuiquan A",203,IF(Atletas!M504="Ditangquan B",204,IF(Atletas!M504="Houquan B",205,IF(Atletas!M504="Zuiquan B",206,IF(Atletas!M504="Ditangquan C",207,IF(Atletas!M504="Houquan C",208,IF(Atletas!M504="Zuiquan C",209,IF(Atletas!M504="Ditangquan D",210,IF(Atletas!M504="Houquan D",211,IF(Atletas!M504="Zuiquan D",212,IF(Atletas!M504="Ditangquan E",213,IF(Atletas!M504="Houquan E",214,IF(Atletas!M504="Zuiquan E",215,IF(Atletas!M504="Ditangquan F",216,IF(Atletas!M504="Houquan F",217,IF(Atletas!M504="Zuiquan F",218,"")))))))))))))))))))))</f>
        <v/>
      </c>
      <c r="BO508" s="52" t="str">
        <f>IF(Atletas!N504="","",IF(Atletas!W504&lt;&gt;"",10000,0)+IF(Atletas!B504="Feminino",1000,IF(Atletas!B504="Masculino",2000,""))+IF(Atletas!N504="Yang A",301,IF(Atletas!N504="Chen A",30,IF(Atletas!N504="Sun A",303,IF(Atletas!N504="Wu A",304,IF(Atletas!N504="Wu-Hao A",305,IF(Atletas!N504="Outro Taijiquan A",306,IF(Atletas!N504="Yang B",307,IF(Atletas!N504="Chen B",308,IF(Atletas!N504="Sun B",309,IF(Atletas!N504="Wu B",310,IF(Atletas!N504="Wu-Hao B",311,IF(Atletas!N504="Outro Taijiquan B",312,IF(Atletas!N504="Yang C",313,IF(Atletas!N504="Chen C",314,IF(Atletas!N504="Sun C",315,IF(Atletas!N504="Wu C",316,IF(Atletas!N504="Wu-Hao C",317,IF(Atletas!N504="Outro Taijiquan C",318,IF(Atletas!N504="Yang D",319,IF(Atletas!N504="Chen D",320,IF(Atletas!N504="Sun D",321,IF(Atletas!N504="Wu D",322,IF(Atletas!N504="Wu-Hao D",323,IF(Atletas!N504="Outro Taijiquan D",324,IF(Atletas!N504="Yang E",325,IF(Atletas!N504="Chen E",326,IF(Atletas!N504="Sun E",327,IF(Atletas!N504="Wu E",328,IF(Atletas!N504="Wu-Hao E",329,IF(Atletas!N504="Outro Taijiquan E",330,IF(Atletas!N504="Yang F",331,IF(Atletas!N504="Chen F",332,IF(Atletas!N504="Sun F",333,IF(Atletas!N504="Wu F",334,IF(Atletas!N504="Wu-Hao F",335,IF(Atletas!N504="Outro Taijiquan F",336,"")))))))))))))))))))))))))))))))))))))</f>
        <v/>
      </c>
      <c r="BP508" s="52" t="str">
        <f>IF(Atletas!O504="","",IF(Atletas!W504&lt;&gt;"",10000,0)+IF(Atletas!B504="Feminino",1000,IF(Atletas!B504="Masculino",2000,""))+IF(OR(Atletas!O504="Yang 26 A",Atletas!O504="Yang 40 A"),401,IF(OR(Atletas!O504="Chen 25 A",Atletas!O504="Chen 36 A",Atletas!O504="Chen 56 A"),402,IF(Atletas!O504="Sun 73 A",403,IF(Atletas!O504="Wu 45 A",404,IF(Atletas!O504="Wu-Hao 46 A",405,IF(OR(Atletas!O504="Taijiquan 16 A",Atletas!O504="Taijiquan 24 A",Atletas!O504="Taijiquan 32 A",Atletas!O504="Taijiquan 42 A"),406,IF(OR(Atletas!O504="Yang 26 B",Atletas!O504="Yang 40 B"),407,IF(OR(Atletas!O504="Chen 25 B",Atletas!O504="Chen 36 B",Atletas!O504="Chen 56 B"),408,IF(Atletas!O504="Sun 73 B",409,IF(Atletas!O504="Wu 45 B",410,IF(Atletas!O504="Wu-Hao 46 B",411,IF(OR(Atletas!O504="Taijiquan 16 B",Atletas!O504="Taijiquan 24 B",Atletas!O504="Taijiquan 32 B",Atletas!O504="Taijiquan 42 B"),412,IF(OR(Atletas!O504="Yang 26 C",Atletas!O504="Yang 40 C"),413,IF(OR(Atletas!O504="Chen 25 C",Atletas!O504="Chen 36 C",Atletas!O504="Chen 56 C"),414,IF(Atletas!O504="Sun 73 C",415,IF(Atletas!O504="Wu 45 C",416,IF(Atletas!O504="Wu-Hao 46 C",417,IF(OR(Atletas!O504="Taijiquan 16 C",Atletas!O504="Taijiquan 24 C",Atletas!O504="Taijiquan 32 C",Atletas!O504="Taijiquan 42 C"),418,0)))))))))))))))))))</f>
        <v/>
      </c>
      <c r="BQ508" s="52" t="str">
        <f>IF(Atletas!O504="","",IF(Atletas!W504&lt;&gt;"",10000,0)+IF(Atletas!B504="Feminino",1000,IF(Atletas!B504="Masculino",2000,""))+IF(OR(Atletas!O504="Yang 26 D",Atletas!O504="Yang 40 D"),419,IF(OR(Atletas!O504="Chen 25 D",Atletas!O504="Chen 36 D",Atletas!O504="Chen 56 D"),420,IF(Atletas!O504="Sun 73 D",421,IF(Atletas!O504="Wu 45 D",422,IF(Atletas!O504="Wu-Hao 46 D",423,IF(OR(Atletas!O504="Taijiquan 16 D",Atletas!O504="Taijiquan 24 D",Atletas!O504="Taijiquan 32 D",Atletas!O504="Taijiquan 42 D"),424,IF(OR(Atletas!O504="Yang 26 E",Atletas!O504="Yang 40 E"),425,IF(OR(Atletas!O504="Chen 25 E",Atletas!O504="Chen 36 E",Atletas!O504="Chen 56 E"),426,IF(Atletas!O504="Sun 73 E",427,IF(Atletas!O504="Wu 45 E",428,IF(Atletas!O504="Wu-Hao 46 E",429,IF(OR(Atletas!O504="Taijiquan 16 E",Atletas!O504="Taijiquan 24 E",Atletas!O504="Taijiquan 32 E",Atletas!O504="Taijiquan 42 E"),430,IF(OR(Atletas!O504="Yang 26 F",Atletas!O504="Yang 40 F"),431,IF(OR(Atletas!O504="Chen 25 F",Atletas!O504="Chen 36 F",Atletas!O504="Chen 56 F"),432,IF(Atletas!O504="Sun 73 F",433,IF(Atletas!O504="Wu 45 F",434,IF(Atletas!O504="Wu-Hao 46 F",435,IF(OR(Atletas!O504="Taijiquan 16 F",Atletas!O504="Taijiquan 24 F",Atletas!O504="Taijiquan 32 F",Atletas!O504="Taijiquan 42 F"),436,0)))))))))))))))))))</f>
        <v/>
      </c>
      <c r="BR508" s="52" t="str">
        <f>IF(Atletas!P504="","",IF(Atletas!W504&lt;&gt;"",10000,0)+IF(Atletas!B504="Feminino",1000,IF(Atletas!B504="Masculino",2000,""))+IF(Atletas!P504="Xingyiquan A",501,IF(Atletas!P504="Baguazhang A",502,IF(Atletas!P504="Outro Estilo Interno A",503,IF(Atletas!P504="Xingyiquan B",504,IF(Atletas!P504="Baguazhang B",505,IF(Atletas!P504="Outro Estilo Interno B",506,IF(Atletas!P504="Xingyiquan C",507,IF(Atletas!P504="Baguazhang C",508,IF(Atletas!P504="Outro Estilo Interno C",509,IF(Atletas!P504="Xingyiquan D",510,IF(Atletas!P504="Baguazhang D",511,IF(Atletas!P504="Outro Estilo Interno D",512,IF(Atletas!P504="Xingyiquan E",513,IF(Atletas!P504="Baguazhang E",514,IF(Atletas!P504="Outro Estilo Interno E",515,IF(Atletas!P504="Xingyiquan F",516,IF(Atletas!P504="Baguazhang F",517,IF(Atletas!P504="Outro Estilo Interno F",518, "")))))))))))))))))))</f>
        <v/>
      </c>
      <c r="BS508" s="52" t="str">
        <f>IF(Atletas!Q504="","",IF(Atletas!W504&lt;&gt;"",10000,0)+IF(Atletas!B504="Feminino",1000,IF(Atletas!B504="Masculino",2000,""))+IF(Atletas!Q504="Dao A",601,IF(Atletas!Q504="Jian A",602,IF(Atletas!Q504="Bishou A",603,IF(Atletas!Q504="Shan A",604,IF(Atletas!Q504="Outra Arma Curta A",605,IF(Atletas!Q504="Dao B",606,IF(Atletas!Q504="Jian B",607,IF(Atletas!Q504="Bishou B",608,IF(Atletas!Q504="Shan B",609,IF(Atletas!Q504="Outra Arma Curta B",610,IF(Atletas!Q504="Dao C",611,IF(Atletas!Q504="Jian C",612,IF(Atletas!Q504="Bishou C",613,IF(Atletas!Q504="Shan C",614,IF(Atletas!Q504="Outra Arma Curta C",615,IF(Atletas!Q504="Dao D",616,IF(Atletas!Q504="Jian D",617,IF(Atletas!Q504="Bishou D",618,IF(Atletas!Q504="Shan D",619,IF(Atletas!Q504="Outra Arma Curta D",620,IF(Atletas!Q504="Dao E",621,IF(Atletas!Q504="Jian E",622,IF(Atletas!Q504="Bishou E",623,IF(Atletas!Q504="Shan E",624,IF(Atletas!Q504="Outra Arma Curta E",625,IF(Atletas!Q504="Dao F",626,IF(Atletas!Q504="Jian F",627,IF(Atletas!Q504="Bishou F",628,IF(Atletas!Q504="Shan F",629,IF(Atletas!Q504="Outra Arma Curta F",630, "")))))))))))))))))))))))))))))))</f>
        <v/>
      </c>
      <c r="BT508" s="52" t="str">
        <f>IF(Atletas!R504="","",IF(Atletas!W504&lt;&gt;"",10000,0)+IF(Atletas!B504="Feminino",1000,IF(Atletas!B504="Masculino",2000,""))+IF(Atletas!R504="Gun A",701,IF(Atletas!R504="Qiang A",702,IF(Atletas!R504="Pudao / Guandao A",703,IF(Atletas!R504="Outra Arma Longa A",704,IF(Atletas!R504="Gun B",705,IF(Atletas!R504="Qiang B",706,IF(Atletas!R504="Pudao / Guandao B",707,IF(Atletas!R504="Outra Arma Longa B",708,IF(Atletas!R504="Gun C",709,IF(Atletas!R504="Qiang C",710,IF(Atletas!R504="Pudao / Guandao C",711,IF(Atletas!R504="Outra Arma Longa C",712,IF(Atletas!R504="Gun D",713,IF(Atletas!R504="Qiang D",714,IF(Atletas!R504="Pudao / Guandao D",715,IF(Atletas!R504="Outra Arma Longa D",716,IF(Atletas!R504="Gun E",717,IF(Atletas!R504="Qiang E",718,IF(Atletas!R504="Pudao / Guandao E",719,IF(Atletas!R504="Outra Arma Longa E",720,IF(Atletas!R504="Gun F",721,IF(Atletas!R504="Qiang F",722,IF(Atletas!R504="Pudao / Guandao F",723,IF(Atletas!R504="Outra Arma Longa F",724,"")))))))))))))))))))))))))</f>
        <v/>
      </c>
      <c r="BU508" s="52" t="str">
        <f>IF(Atletas!S504="","",IF(Atletas!W504&lt;&gt;"",10000,0)+IF(Atletas!B504="Feminino",1000,IF(Atletas!B504="Masculino",2000,""))+IF(Atletas!S504="Arma Dupla A",801,IF(Atletas!S504="Arma Maleável A",802,IF(Atletas!S504="Arma Dupla B",803,IF(Atletas!S504="Arma Maleável B",804,IF(Atletas!S504="Arma Dupla C",805,IF(Atletas!S504="Arma Maleável C",806,IF(Atletas!S504="Arma Dupla D",807,IF(Atletas!S504="Arma Maleável D",808,IF(Atletas!S504="Arma Dupla E",809,IF(Atletas!S504="Arma Maleável E",810,IF(Atletas!S504="Arma Dupla F",811,IF(Atletas!S504="Arma Maleável F",812, "")))))))))))))</f>
        <v/>
      </c>
      <c r="BV508" s="52" t="str">
        <f>IF(Atletas!T504="","",IF(Atletas!W504&lt;&gt;"",10000,0)+IF(Atletas!B504="Feminino",1000,IF(Atletas!B504="Masculino",2000,""))+IF(Atletas!T504="Taijijian Yang A",901,IF(Atletas!T504="Taijijian Chen A",902,IF(Atletas!T504="Taijijian Sun A",903,IF(Atletas!T504="Taijijian Wu A",904,IF(Atletas!T504="Taijijian Wu-Hao A",905,IF(Atletas!T504="Taijijian 32 A",906,IF(Atletas!T504="Taijijian 42 A",907,IF(Atletas!T504="Taijijian Yang B",908,IF(Atletas!T504="Taijijian Chen B",909,IF(Atletas!T504="Taijijian Sun B",910,IF(Atletas!T504="Taijijian Wu B",911,IF(Atletas!T504="Taijijian Wu-Hao B",912,IF(Atletas!T504="Taijijian 32 B",913,IF(Atletas!T504="Taijijian 42 B",914,IF(Atletas!T504="Taijijian Yang C",915,IF(Atletas!T504="Taijijian Chen C",916,IF(Atletas!T504="Taijijian Sun C",917,IF(Atletas!T504="Taijijian Wu C",918,IF(Atletas!T504="Taijijian Wu-Hao C",919,IF(Atletas!T504="Taijijian 32 C",920,IF(Atletas!T504="Taijijian 42 C",921,IF(Atletas!T504="Taijijian Yang D",922,IF(Atletas!T504="Taijijian Chen D",923,IF(Atletas!T504="Taijijian Sun D",924,IF(Atletas!T504="Taijijian Wu D",925,IF(Atletas!T504="Taijijian Wu-Hao D",926,IF(Atletas!T504="Taijijian 32 D",927,IF(Atletas!T504="Taijijian 42 D",928,IF(Atletas!T504="Taijijian Yang E",929,IF(Atletas!T504="Taijijian Chen E",930,IF(Atletas!T504="Taijijian Sun E",931,IF(Atletas!T504="Taijijian Wu E",932,IF(Atletas!T504="Taijijian Wu-Hao E",933,IF(Atletas!T504="Taijijian 32 E",934,IF(Atletas!T504="Taijijian 42 E",935,IF(Atletas!T504="Taijijian Yang F",936,IF(Atletas!T504="Taijijian Chen F",937,IF(Atletas!T504="Taijijian Sun F",938,IF(Atletas!T504="Taijijian Wu F",939,IF(Atletas!T504="Taijijian Wu-Hao F",940,IF(Atletas!T504="Taijijian 32 F",941,IF(Atletas!T504="Taijijian 42 F",942,"")))))))))))))))))))))))))))))))))))))))))))</f>
        <v/>
      </c>
      <c r="BW508" s="52" t="str">
        <f>IF(Atletas!U504="","",IF(Atletas!W504&lt;&gt;"",10000,0)+IF(Atletas!B504="Feminino",1000,IF(Atletas!B504="Masculino",2000,""))+IF(Atletas!T504="Taijijian 42 F",942,IF(Atletas!U504="Taijidao A",943,IF(Atletas!U504="Taijishan A",944,IF(Atletas!U504="Taijiqiang A",945,IF(Atletas!U504="Taijidao B",946,IF(Atletas!U504="Taijishan B",947,IF(Atletas!U504="Taijiqiang B",948,IF(Atletas!U504="Taijidao C",949,IF(Atletas!U504="Taijishan C",950,IF(Atletas!U504="Taijiqiang C",951,IF(Atletas!U504="Taijidao D",952,IF(Atletas!U504="Taijishan D",953,IF(Atletas!U504="Taijiqiang D",954,IF(Atletas!U504="Taijidao E",955,IF(Atletas!U504="Taijishan E",956,IF(Atletas!U504="Taijiqiang E",957,IF(Atletas!U504="Taijidao F",958,IF(Atletas!U504="Taijishan F",959,IF(Atletas!U504="Taijiqiang F",960))))))))))))))))))))</f>
        <v/>
      </c>
      <c r="CF508" s="52" t="str">
        <f xml:space="preserve"> IF(Atletas!V504="","",IF(Atletas!V504="Duilian de Mãos AB - Equipe 1",1,IF(Atletas!V504="Duilian de Mãos AB - Equipe 2",2,IF(Atletas!V504="Duilian de Armas AB - Equipe 1",3,IF(Atletas!V504="Duilian de Armas AB - Equipe 2",4,IF(Atletas!V504="Duilian de Tuishou - Equipe 1",5,IF(Atletas!V504="Duilian de Tuishou - Equipe 2",6,IF(Atletas!V504="Grupo Externo AB - Equipe 1",7,IF(Atletas!V504="Grupo Externo AB - Equipe 2",8,IF(Atletas!V504="Grupo Interno AB - Equipe 1",9,IF(Atletas!V504="Grupo Interno AB - Equipe 2",10,IF(Atletas!V504="Duilian de Mãos CD - Equipe 1",11,IF(Atletas!V504="Duilian de Mãos CD - Equipe 2",12,IF(Atletas!V504="Duilian de Armas CD - Equipe 1",13,IF(Atletas!V504="Duilian de Armas CD - Equipe 2",14,IF(Atletas!V504="Duilian de Tuishou - Equipe 1",15,IF(Atletas!V504="Duilian de Tuishou - Equipe 2",16,IF(Atletas!V504="Grupo Externo CDEF - Equipe 1",17,IF(Atletas!V504="Grupo Externo CDEF - Equipe 2",18,IF(Atletas!V504="Grupo Interno CDEF - Equipe 1",19,IF(Atletas!V504="Grupo Interno CDEF - Equipe 2",20,IF(Atletas!V504="Duilian de Mãos EF - Equipe 1",21,IF(Atletas!V504="Duilian de Mãos EF - Equipe 2",22,IF(Atletas!V504="Duilian de Armas EF - Equipe 1",23,IF(Atletas!V504="Duilian de Armas EF - Equipe 2",24,IF(Atletas!V504="Duilian de Tuishou - Equipe 1",25,IF(Atletas!V504="Duilian de Tuishou - Equipe 2",26,"")))))))))))))))))))))))))))</f>
        <v/>
      </c>
    </row>
    <row r="509" spans="36:84">
      <c r="AJ509" s="46" t="str">
        <f>IF(Atletas!D505="","",IF(Atletas!B505="Feminino",100,IF(Atletas!B505="Masculino",200,""))+(IF(Atletas!D505="Infantil 39kg",1,IF(Atletas!D505="Infantil 42kg",2,IF(Atletas!D505="Infantil 45kg",3,IF(Atletas!D505="Infantil 48kg",4,IF(Atletas!D505="Infantil 52kg",5,IF(Atletas!D505="Infantil 56kg",6,IF(Atletas!D505="Infantil 60kg",7,IF(Atletas!D505="Juvenil 48kg",8,IF(Atletas!D505="Juvenil 52kg",9,IF(Atletas!D505="Juvenil 56kg",10,IF(Atletas!D505="Juvenil 60kg",11,IF(Atletas!D505="Juvenil 65kg",12,IF(Atletas!D505="Juvenil 70kg",13,IF(Atletas!D505="Juvenil 75kg",14,IF(Atletas!D505="Juvenil 80kg",15,IF(Atletas!D505="Adulto 48kg",16,IF(Atletas!D505="Adulto 52kg",17,IF(Atletas!D505="Adulto 56kg",18,IF(Atletas!D505="Adulto 60kg",19,IF(Atletas!D505="Adulto 65kg",20,IF(Atletas!D505="Adulto 70kg",21,IF(Atletas!D505="Adulto 75kg",22,IF(Atletas!D505="Adulto 80kg",23,IF(Atletas!D505="Adulto 85kg",24,IF(Atletas!D505="Adulto 90kg",25,IF(Atletas!D505="Adulto +90kg",26,""))))))))))))))))))))))))))))</f>
        <v/>
      </c>
      <c r="AO509" s="10" t="str">
        <f>IF(Atletas!E505="","",IF(Atletas!B505="Feminino",100,IF(Atletas!B505="Masculino",200,""))+(IF(Atletas!E505="Juvenil 44kg",1,IF(Atletas!E505="Juvenil 48kg",2,IF(Atletas!E505="Juvenil 52kg",3,IF(Atletas!E505="Juvenil 56kg",4,IF(Atletas!E505="Juvenil 60kg",5,IF(Atletas!E505="Juvenil 65kg",6,IF(Atletas!E505="Juvenil 70kg",7,IF(Atletas!E505="Juvenil 75kg",8,IF(Atletas!E505="Juvenil 82kg",9,IF(Atletas!E505="Juvenil 90kg",10,IF(Atletas!E505="Juvenil 100kg",11,IF(Atletas!E505="Adulto 48kg",12,IF(Atletas!E505="Adulto 52kg",13,IF(Atletas!E505="Adulto 56kg",14,IF(Atletas!E505="Adulto 60kg",15,IF(Atletas!E505="Adulto 65kg",16,IF(Atletas!E505="Adulto 70kg",17,IF(Atletas!E505="Adulto 75kg",18,IF(Atletas!E505="Adulto 82kg",19,IF(Atletas!E505="Adulto 90kg",20,IF(Atletas!E505="Adulto 100kg",21,IF(Atletas!E505="Adulto +100kg",22,""))))))))))))))))))))))))</f>
        <v/>
      </c>
      <c r="AT509" s="10" t="str">
        <f>IF(Atletas!F505="","",IF(Atletas!B505="Feminino",100,IF(Atletas!B505="Masculino",200,""))+(IF(Atletas!F505="Adulto 48kg",1,IF(Atletas!F505="Adulto 56kg",2,IF(Atletas!F505="Adulto 65kg",3,IF(Atletas!F505="Adulto 75kg",4,IF(Atletas!F505="Adulto +75kg",5,IF(Atletas!F505="Adulto 52kg",6,IF(Atletas!F505="Adulto 60kg",7,IF(Atletas!F505="Adulto 70kg",8,IF(Atletas!F505="Adulto 80kg",9,IF(Atletas!F505="Adulto 90kg",10,IF(Atletas!F505="Adulto +90kg",11,"")))))))))))))</f>
        <v/>
      </c>
      <c r="AY509" s="46" t="str">
        <f>IF(Atletas!G505="","",IF(Atletas!B505="Feminino",100,IF(Atletas!B505="Masculino",200,""))+(IF(Atletas!G505="Changquan Mirim",1,IF(Atletas!G505="Nanquan Mirim",2,IF(Atletas!G505="Taijiquan Mirim",3,IF(Atletas!G505="Changquan Grupo C",4,IF(Atletas!G505="Nanquan Grupo C",5,IF(Atletas!G505="Taijiquan Grupo C",6,IF(Atletas!G505="Changquan Grupo B",7,IF(Atletas!G505="Nanquan Grupo B",8,IF(Atletas!G505="Taijiquan Grupo B",9,IF(Atletas!G505="Changquan Grupo A",10,IF(Atletas!G505="Nanquan Grupo A",11,IF(Atletas!G505="Taijiquan Grupo A",12,IF(Atletas!G505="Changquan Opcional",13,IF(Atletas!G505="Nanquan Opcional",14,IF(Atletas!G505="Taijiquan Opcional",15,IF(Atletas!G505="Changquan Adulto",16,IF(Atletas!G505="Nanquan Adulto",17,IF(Atletas!G505="Taijiquan Adulto",18,""))))))))))))))))))))</f>
        <v/>
      </c>
      <c r="AZ509" s="46" t="str">
        <f>IF(Atletas!H505="","",IF(Atletas!B505="Feminino",100,IF(Atletas!B505="Masculino",200,""))+(IF(Atletas!H505="Daoshu Mirim",19,IF(Atletas!H505="Jianshu Mirim",20,IF(Atletas!H505="Nandao Mirim",21,IF(Atletas!H505="Taijijian Mirim",22,IF(Atletas!H505="Daoshu Grupo C",23,IF(Atletas!H505="Jianshu Grupo C",24,IF(Atletas!H505="Nandao Grupo C",25,IF(Atletas!H505="Taijijian Grupo C",26,IF(Atletas!H505="Daoshu Grupo B",27,IF(Atletas!H505="Jianshu Grupo B",28,IF(Atletas!H505="Nandao Grupo B",29,IF(Atletas!H505="Taijijian Grupo B",30,IF(Atletas!H505="Daoshu Grupo A",31,IF(Atletas!H505="Jianshu Grupo A",32,IF(Atletas!H505="Nandao Grupo A",33,IF(Atletas!H505="Taijijian Grupo A",34,IF(Atletas!H505="Daoshu Opcional",35,IF(Atletas!H505="Jianshu Opcional",36,IF(Atletas!H505="Nandao Opcional",37,IF(Atletas!H505="Taijijian Opcional",38,IF(Atletas!H505="Daoshu Adulto",39,IF(Atletas!H505="Jianshu Adulto",40,IF(Atletas!H505="Nandao Adulto",41,IF(Atletas!H505="Taijijian Adulto",42,""))))))))))))))))))))))))))</f>
        <v/>
      </c>
      <c r="BA509" s="46" t="str">
        <f>IF(Atletas!I505="","",IF(Atletas!B505="Feminino",100,IF(Atletas!B505="Masculino",200,""))+(IF(Atletas!I505="Gunshu Mirim",43,IF(Atletas!I505="Qiangshu Mirim",44,IF(Atletas!I505="Nangun Mirim",45,IF(Atletas!I505="Gunshu Grupo C",46,IF(Atletas!I505="Qiangshu Grupo C",47,IF(Atletas!I505="Nangun Grupo C",48,IF(Atletas!I505="Gunshu Grupo B",49,IF(Atletas!I505="Qiangshu Grupo B",50,IF(Atletas!I505="Nangun Grupo B",51,IF(Atletas!I505="Gunshu Grupo A",52,IF(Atletas!I505="Qiangshu Grupo A",53,IF(Atletas!I505="Nangun Grupo A",54,IF(Atletas!I505="Gunshu Opcional",55,IF(Atletas!I505="Qiangshu Opcional",56,IF(Atletas!I505="Nangun Opcional",57,IF(Atletas!I505="Gunshu Adulto",58,IF(Atletas!I505="Qiangshu Adulto",59,IF(Atletas!I505="Nangun Adulto",60,""))))))))))))))))))))</f>
        <v/>
      </c>
      <c r="BF509" s="52" t="str">
        <f>IF(Atletas!J505="","",IF(Atletas!B505="Feminino",100,IF(Atletas!B505="Masculino",200,""))+(IF(Atletas!J505="Equipe 1 Grupo B",1,IF(Atletas!J505="Equipe 2 Grupo B",2,IF(Atletas!J505="Equipe 1 Grupo A",3,IF(Atletas!J505="Equipe 2 Grupo A",4,IF(Atletas!J505="Equipe 1 Adulto",5,IF(Atletas!J505="Equipe 2 Adulto",6,""))))))))</f>
        <v/>
      </c>
      <c r="BK509" s="52" t="str">
        <f>IF(Atletas!K505="","",IF(Atletas!W505&lt;&gt;"",10000,0)+(IF(Atletas!B505="Feminino",1000,IF(Atletas!B505="Masculino",2000,""))+IF(Atletas!K505="Choylayfut A",1,IF(Atletas!K505="Hunggar A",2,IF(Atletas!K505="Wuzuquan A",3,IF(Atletas!K505="Wingchun A",4,IF(Atletas!K505="Outra Mão de Sul A",5,IF(Atletas!K505="Choylayfut B",6,IF(Atletas!K505="Hunggar B",7,IF(Atletas!K505="Wuzuquan B",8,IF(Atletas!K505="Wingchun B",9,IF(Atletas!K505="Outra Mão de Sul B",10,IF(Atletas!K505="Choylayfut C",11,IF(Atletas!K505="Hunggar C",12,IF(Atletas!K505="Wuzuquan C",13,IF(Atletas!K505="Wingchun C",14,IF(Atletas!K505="Outra Mão de Sul C",15,IF(Atletas!K505="Choylayfut D",16,IF(Atletas!K505="Hunggar D",17,IF(Atletas!K505="Wuzuquan D",18,IF(Atletas!K505="Wingchun D",19,IF(Atletas!K505="Outra Mão de Sul D",20,IF(Atletas!K505="Choylayfut E",21,IF(Atletas!K505="Hunggar E",22,IF(Atletas!K505="Wuzuquan E",23,IF(Atletas!K505="Wingchun E",24,IF(Atletas!K505="Outra Mão de Sul E",25,IF(Atletas!K505="Choylayfut F",26,IF(Atletas!K505="Hunggar F",27,IF(Atletas!K505="Wuzuquan F",28,IF(Atletas!K505="Wingchun F",29,IF(Atletas!K505="Outra Mão de Sul F",30,""))))))))))))))))))))))))))))))))</f>
        <v/>
      </c>
      <c r="BL509" s="52" t="str">
        <f>IF(Atletas!L505="","",IF(Atletas!W505&lt;&gt;"",10000,0)+(IF(Atletas!B505="Feminino",1000,IF(Atletas!B505="Masculino",2000,""))+(IF(Atletas!L505="Chaquan A",101,IF(Atletas!L505="Emeiquan A",102,IF(Atletas!L505="Fanziquan A",103,IF(Atletas!L505="Huaquan A",104,IF(Atletas!L505="Hongquan A",105,IF(Atletas!L505="Paochui A",106,IF(Atletas!L505="Piguaquan A",107,IF(Atletas!L505="Shaolinquan A",108,IF(Atletas!L505="Tanglangquan A",109,IF(Atletas!L505="Yinzhaophai A",110,IF(Atletas!L505="Tongbeiquan A",111,IF(Atletas!L505="Wudangquan A",112,IF(Atletas!L505="Outros Estilos A",113,IF(Atletas!L505="Chaquan B",114,IF(Atletas!L505="Emeiquan B",115,IF(Atletas!L505="Fanziquan B",116,IF(Atletas!L505="Huaquan B",117,IF(Atletas!L505="Hongquan B",118,IF(Atletas!L505="Paochui B",119,IF(Atletas!L505="Piguaquan B",120,IF(Atletas!L505="Shaolinquan B",121,IF(Atletas!L505="Tanglangquan B",122,IF(Atletas!L505="Yinzhaophai B",123,IF(Atletas!L505="Tongbeiquan B",124,IF(Atletas!L505="Wudangquan B",125,IF(Atletas!L505="Outros Estilos B",126,IF(Atletas!L505="Chaquan C",127,IF(Atletas!L505="Emeiquan C",128,IF(Atletas!L505="Fanziquan C",129,IF(Atletas!L505="Huaquan C",130,IF(Atletas!L505="Hongquan C",131,IF(Atletas!L505="Paochui C",132,IF(Atletas!L505="Piguaquan C",133,IF(Atletas!L505="Shaolinquan C",134,IF(Atletas!L505="Tanglangquan C",135,IF(Atletas!L505="Yinzhaophai C",136,IF(Atletas!L505="Tongbeiquan C",137,IF(Atletas!L505="Wudangquan C",138,IF(Atletas!L505="Outros Estilos C",139,0))))))))))))))))))))))))))))))))))))))))))</f>
        <v/>
      </c>
      <c r="BM509" s="52" t="str">
        <f>IF(Atletas!L505="","",IF(Atletas!W505&lt;&gt;"",10000,0)+(IF(Atletas!B505="Feminino",1000,IF(Atletas!B505="Masculino",2000,""))+(IF(Atletas!L505="Chaquan D",140,IF(Atletas!L505="Emeiquan D",141,IF(Atletas!L505="Fanziquan D",142,IF(Atletas!L505="Huaquan D",143,IF(Atletas!L505="Hongquan D",144,IF(Atletas!L505="Paochui D",145,IF(Atletas!L505="Piguaquan D",146,IF(Atletas!L505="Shaolinquan D",147,IF(Atletas!L505="Tanglangquan D",148,IF(Atletas!L505="Yinzhaophai D",149,IF(Atletas!L505="Tongbeiquan D",150,IF(Atletas!L505="Wudangquan D",151,IF(Atletas!L505="Outros Estilos D",152,IF(Atletas!L505="Chaquan E",153,IF(Atletas!L505="Emeiquan E",154,IF(Atletas!L505="Fanziquan E",155,IF(Atletas!L505="Huaquan E",156,IF(Atletas!L505="Hongquan E",157,IF(Atletas!L505="Paochui E",158,IF(Atletas!L505="Piguaquan E",159,IF(Atletas!L505="Shaolinquan E",160,IF(Atletas!L505="Tanglangquan E",161,IF(Atletas!L505="Yinzhaophai E",162,IF(Atletas!L505="Tongbeiquan E",163,IF(Atletas!L505="Wudangquan E",164,IF(Atletas!L505="Outros Estilos E",165,IF(Atletas!L505="Chaquan F",166,IF(Atletas!L505="Emeiquan F",167,IF(Atletas!L505="Fanziquan F",168,IF(Atletas!L505="Huaquan F",169,IF(Atletas!L505="Hongquan F",170,IF(Atletas!L505="Paochui F",171,IF(Atletas!L505="Piguaquan F",172,IF(Atletas!L505="Shaolinquan F",173,IF(Atletas!L505="Tanglangquan F",174,IF(Atletas!L505="Yinzhaophai F",175,IF(Atletas!L505="Tongbeiquan F",176,IF(Atletas!L505="Wudangquan F",177,IF(Atletas!L505="Outros Estilos F",178,0))))))))))))))))))))))))))))))))))))))))))</f>
        <v/>
      </c>
      <c r="BN509" s="52" t="str">
        <f>IF(Atletas!M505="","",IF(Atletas!W505&lt;&gt;"",10000,0)+(IF(Atletas!B505="Feminino",1000,IF(Atletas!B505="Masculino",2000,""))+(IF(Atletas!M505="Ditangquan A",201,IF(Atletas!M505="Houquan A",202,IF(Atletas!M505="Zuiquan A",203,IF(Atletas!M505="Ditangquan B",204,IF(Atletas!M505="Houquan B",205,IF(Atletas!M505="Zuiquan B",206,IF(Atletas!M505="Ditangquan C",207,IF(Atletas!M505="Houquan C",208,IF(Atletas!M505="Zuiquan C",209,IF(Atletas!M505="Ditangquan D",210,IF(Atletas!M505="Houquan D",211,IF(Atletas!M505="Zuiquan D",212,IF(Atletas!M505="Ditangquan E",213,IF(Atletas!M505="Houquan E",214,IF(Atletas!M505="Zuiquan E",215,IF(Atletas!M505="Ditangquan F",216,IF(Atletas!M505="Houquan F",217,IF(Atletas!M505="Zuiquan F",218,"")))))))))))))))))))))</f>
        <v/>
      </c>
      <c r="BO509" s="52" t="str">
        <f>IF(Atletas!N505="","",IF(Atletas!W505&lt;&gt;"",10000,0)+IF(Atletas!B505="Feminino",1000,IF(Atletas!B505="Masculino",2000,""))+IF(Atletas!N505="Yang A",301,IF(Atletas!N505="Chen A",30,IF(Atletas!N505="Sun A",303,IF(Atletas!N505="Wu A",304,IF(Atletas!N505="Wu-Hao A",305,IF(Atletas!N505="Outro Taijiquan A",306,IF(Atletas!N505="Yang B",307,IF(Atletas!N505="Chen B",308,IF(Atletas!N505="Sun B",309,IF(Atletas!N505="Wu B",310,IF(Atletas!N505="Wu-Hao B",311,IF(Atletas!N505="Outro Taijiquan B",312,IF(Atletas!N505="Yang C",313,IF(Atletas!N505="Chen C",314,IF(Atletas!N505="Sun C",315,IF(Atletas!N505="Wu C",316,IF(Atletas!N505="Wu-Hao C",317,IF(Atletas!N505="Outro Taijiquan C",318,IF(Atletas!N505="Yang D",319,IF(Atletas!N505="Chen D",320,IF(Atletas!N505="Sun D",321,IF(Atletas!N505="Wu D",322,IF(Atletas!N505="Wu-Hao D",323,IF(Atletas!N505="Outro Taijiquan D",324,IF(Atletas!N505="Yang E",325,IF(Atletas!N505="Chen E",326,IF(Atletas!N505="Sun E",327,IF(Atletas!N505="Wu E",328,IF(Atletas!N505="Wu-Hao E",329,IF(Atletas!N505="Outro Taijiquan E",330,IF(Atletas!N505="Yang F",331,IF(Atletas!N505="Chen F",332,IF(Atletas!N505="Sun F",333,IF(Atletas!N505="Wu F",334,IF(Atletas!N505="Wu-Hao F",335,IF(Atletas!N505="Outro Taijiquan F",336,"")))))))))))))))))))))))))))))))))))))</f>
        <v/>
      </c>
      <c r="BP509" s="52" t="str">
        <f>IF(Atletas!O505="","",IF(Atletas!W505&lt;&gt;"",10000,0)+IF(Atletas!B505="Feminino",1000,IF(Atletas!B505="Masculino",2000,""))+IF(OR(Atletas!O505="Yang 26 A",Atletas!O505="Yang 40 A"),401,IF(OR(Atletas!O505="Chen 25 A",Atletas!O505="Chen 36 A",Atletas!O505="Chen 56 A"),402,IF(Atletas!O505="Sun 73 A",403,IF(Atletas!O505="Wu 45 A",404,IF(Atletas!O505="Wu-Hao 46 A",405,IF(OR(Atletas!O505="Taijiquan 16 A",Atletas!O505="Taijiquan 24 A",Atletas!O505="Taijiquan 32 A",Atletas!O505="Taijiquan 42 A"),406,IF(OR(Atletas!O505="Yang 26 B",Atletas!O505="Yang 40 B"),407,IF(OR(Atletas!O505="Chen 25 B",Atletas!O505="Chen 36 B",Atletas!O505="Chen 56 B"),408,IF(Atletas!O505="Sun 73 B",409,IF(Atletas!O505="Wu 45 B",410,IF(Atletas!O505="Wu-Hao 46 B",411,IF(OR(Atletas!O505="Taijiquan 16 B",Atletas!O505="Taijiquan 24 B",Atletas!O505="Taijiquan 32 B",Atletas!O505="Taijiquan 42 B"),412,IF(OR(Atletas!O505="Yang 26 C",Atletas!O505="Yang 40 C"),413,IF(OR(Atletas!O505="Chen 25 C",Atletas!O505="Chen 36 C",Atletas!O505="Chen 56 C"),414,IF(Atletas!O505="Sun 73 C",415,IF(Atletas!O505="Wu 45 C",416,IF(Atletas!O505="Wu-Hao 46 C",417,IF(OR(Atletas!O505="Taijiquan 16 C",Atletas!O505="Taijiquan 24 C",Atletas!O505="Taijiquan 32 C",Atletas!O505="Taijiquan 42 C"),418,0)))))))))))))))))))</f>
        <v/>
      </c>
      <c r="BQ509" s="52" t="str">
        <f>IF(Atletas!O505="","",IF(Atletas!W505&lt;&gt;"",10000,0)+IF(Atletas!B505="Feminino",1000,IF(Atletas!B505="Masculino",2000,""))+IF(OR(Atletas!O505="Yang 26 D",Atletas!O505="Yang 40 D"),419,IF(OR(Atletas!O505="Chen 25 D",Atletas!O505="Chen 36 D",Atletas!O505="Chen 56 D"),420,IF(Atletas!O505="Sun 73 D",421,IF(Atletas!O505="Wu 45 D",422,IF(Atletas!O505="Wu-Hao 46 D",423,IF(OR(Atletas!O505="Taijiquan 16 D",Atletas!O505="Taijiquan 24 D",Atletas!O505="Taijiquan 32 D",Atletas!O505="Taijiquan 42 D"),424,IF(OR(Atletas!O505="Yang 26 E",Atletas!O505="Yang 40 E"),425,IF(OR(Atletas!O505="Chen 25 E",Atletas!O505="Chen 36 E",Atletas!O505="Chen 56 E"),426,IF(Atletas!O505="Sun 73 E",427,IF(Atletas!O505="Wu 45 E",428,IF(Atletas!O505="Wu-Hao 46 E",429,IF(OR(Atletas!O505="Taijiquan 16 E",Atletas!O505="Taijiquan 24 E",Atletas!O505="Taijiquan 32 E",Atletas!O505="Taijiquan 42 E"),430,IF(OR(Atletas!O505="Yang 26 F",Atletas!O505="Yang 40 F"),431,IF(OR(Atletas!O505="Chen 25 F",Atletas!O505="Chen 36 F",Atletas!O505="Chen 56 F"),432,IF(Atletas!O505="Sun 73 F",433,IF(Atletas!O505="Wu 45 F",434,IF(Atletas!O505="Wu-Hao 46 F",435,IF(OR(Atletas!O505="Taijiquan 16 F",Atletas!O505="Taijiquan 24 F",Atletas!O505="Taijiquan 32 F",Atletas!O505="Taijiquan 42 F"),436,0)))))))))))))))))))</f>
        <v/>
      </c>
      <c r="BR509" s="52" t="str">
        <f>IF(Atletas!P505="","",IF(Atletas!W505&lt;&gt;"",10000,0)+IF(Atletas!B505="Feminino",1000,IF(Atletas!B505="Masculino",2000,""))+IF(Atletas!P505="Xingyiquan A",501,IF(Atletas!P505="Baguazhang A",502,IF(Atletas!P505="Outro Estilo Interno A",503,IF(Atletas!P505="Xingyiquan B",504,IF(Atletas!P505="Baguazhang B",505,IF(Atletas!P505="Outro Estilo Interno B",506,IF(Atletas!P505="Xingyiquan C",507,IF(Atletas!P505="Baguazhang C",508,IF(Atletas!P505="Outro Estilo Interno C",509,IF(Atletas!P505="Xingyiquan D",510,IF(Atletas!P505="Baguazhang D",511,IF(Atletas!P505="Outro Estilo Interno D",512,IF(Atletas!P505="Xingyiquan E",513,IF(Atletas!P505="Baguazhang E",514,IF(Atletas!P505="Outro Estilo Interno E",515,IF(Atletas!P505="Xingyiquan F",516,IF(Atletas!P505="Baguazhang F",517,IF(Atletas!P505="Outro Estilo Interno F",518, "")))))))))))))))))))</f>
        <v/>
      </c>
      <c r="BS509" s="52" t="str">
        <f>IF(Atletas!Q505="","",IF(Atletas!W505&lt;&gt;"",10000,0)+IF(Atletas!B505="Feminino",1000,IF(Atletas!B505="Masculino",2000,""))+IF(Atletas!Q505="Dao A",601,IF(Atletas!Q505="Jian A",602,IF(Atletas!Q505="Bishou A",603,IF(Atletas!Q505="Shan A",604,IF(Atletas!Q505="Outra Arma Curta A",605,IF(Atletas!Q505="Dao B",606,IF(Atletas!Q505="Jian B",607,IF(Atletas!Q505="Bishou B",608,IF(Atletas!Q505="Shan B",609,IF(Atletas!Q505="Outra Arma Curta B",610,IF(Atletas!Q505="Dao C",611,IF(Atletas!Q505="Jian C",612,IF(Atletas!Q505="Bishou C",613,IF(Atletas!Q505="Shan C",614,IF(Atletas!Q505="Outra Arma Curta C",615,IF(Atletas!Q505="Dao D",616,IF(Atletas!Q505="Jian D",617,IF(Atletas!Q505="Bishou D",618,IF(Atletas!Q505="Shan D",619,IF(Atletas!Q505="Outra Arma Curta D",620,IF(Atletas!Q505="Dao E",621,IF(Atletas!Q505="Jian E",622,IF(Atletas!Q505="Bishou E",623,IF(Atletas!Q505="Shan E",624,IF(Atletas!Q505="Outra Arma Curta E",625,IF(Atletas!Q505="Dao F",626,IF(Atletas!Q505="Jian F",627,IF(Atletas!Q505="Bishou F",628,IF(Atletas!Q505="Shan F",629,IF(Atletas!Q505="Outra Arma Curta F",630, "")))))))))))))))))))))))))))))))</f>
        <v/>
      </c>
      <c r="BT509" s="52" t="str">
        <f>IF(Atletas!R505="","",IF(Atletas!W505&lt;&gt;"",10000,0)+IF(Atletas!B505="Feminino",1000,IF(Atletas!B505="Masculino",2000,""))+IF(Atletas!R505="Gun A",701,IF(Atletas!R505="Qiang A",702,IF(Atletas!R505="Pudao / Guandao A",703,IF(Atletas!R505="Outra Arma Longa A",704,IF(Atletas!R505="Gun B",705,IF(Atletas!R505="Qiang B",706,IF(Atletas!R505="Pudao / Guandao B",707,IF(Atletas!R505="Outra Arma Longa B",708,IF(Atletas!R505="Gun C",709,IF(Atletas!R505="Qiang C",710,IF(Atletas!R505="Pudao / Guandao C",711,IF(Atletas!R505="Outra Arma Longa C",712,IF(Atletas!R505="Gun D",713,IF(Atletas!R505="Qiang D",714,IF(Atletas!R505="Pudao / Guandao D",715,IF(Atletas!R505="Outra Arma Longa D",716,IF(Atletas!R505="Gun E",717,IF(Atletas!R505="Qiang E",718,IF(Atletas!R505="Pudao / Guandao E",719,IF(Atletas!R505="Outra Arma Longa E",720,IF(Atletas!R505="Gun F",721,IF(Atletas!R505="Qiang F",722,IF(Atletas!R505="Pudao / Guandao F",723,IF(Atletas!R505="Outra Arma Longa F",724,"")))))))))))))))))))))))))</f>
        <v/>
      </c>
      <c r="BU509" s="52" t="str">
        <f>IF(Atletas!S505="","",IF(Atletas!W505&lt;&gt;"",10000,0)+IF(Atletas!B505="Feminino",1000,IF(Atletas!B505="Masculino",2000,""))+IF(Atletas!S505="Arma Dupla A",801,IF(Atletas!S505="Arma Maleável A",802,IF(Atletas!S505="Arma Dupla B",803,IF(Atletas!S505="Arma Maleável B",804,IF(Atletas!S505="Arma Dupla C",805,IF(Atletas!S505="Arma Maleável C",806,IF(Atletas!S505="Arma Dupla D",807,IF(Atletas!S505="Arma Maleável D",808,IF(Atletas!S505="Arma Dupla E",809,IF(Atletas!S505="Arma Maleável E",810,IF(Atletas!S505="Arma Dupla F",811,IF(Atletas!S505="Arma Maleável F",812, "")))))))))))))</f>
        <v/>
      </c>
      <c r="BV509" s="52" t="str">
        <f>IF(Atletas!T505="","",IF(Atletas!W505&lt;&gt;"",10000,0)+IF(Atletas!B505="Feminino",1000,IF(Atletas!B505="Masculino",2000,""))+IF(Atletas!T505="Taijijian Yang A",901,IF(Atletas!T505="Taijijian Chen A",902,IF(Atletas!T505="Taijijian Sun A",903,IF(Atletas!T505="Taijijian Wu A",904,IF(Atletas!T505="Taijijian Wu-Hao A",905,IF(Atletas!T505="Taijijian 32 A",906,IF(Atletas!T505="Taijijian 42 A",907,IF(Atletas!T505="Taijijian Yang B",908,IF(Atletas!T505="Taijijian Chen B",909,IF(Atletas!T505="Taijijian Sun B",910,IF(Atletas!T505="Taijijian Wu B",911,IF(Atletas!T505="Taijijian Wu-Hao B",912,IF(Atletas!T505="Taijijian 32 B",913,IF(Atletas!T505="Taijijian 42 B",914,IF(Atletas!T505="Taijijian Yang C",915,IF(Atletas!T505="Taijijian Chen C",916,IF(Atletas!T505="Taijijian Sun C",917,IF(Atletas!T505="Taijijian Wu C",918,IF(Atletas!T505="Taijijian Wu-Hao C",919,IF(Atletas!T505="Taijijian 32 C",920,IF(Atletas!T505="Taijijian 42 C",921,IF(Atletas!T505="Taijijian Yang D",922,IF(Atletas!T505="Taijijian Chen D",923,IF(Atletas!T505="Taijijian Sun D",924,IF(Atletas!T505="Taijijian Wu D",925,IF(Atletas!T505="Taijijian Wu-Hao D",926,IF(Atletas!T505="Taijijian 32 D",927,IF(Atletas!T505="Taijijian 42 D",928,IF(Atletas!T505="Taijijian Yang E",929,IF(Atletas!T505="Taijijian Chen E",930,IF(Atletas!T505="Taijijian Sun E",931,IF(Atletas!T505="Taijijian Wu E",932,IF(Atletas!T505="Taijijian Wu-Hao E",933,IF(Atletas!T505="Taijijian 32 E",934,IF(Atletas!T505="Taijijian 42 E",935,IF(Atletas!T505="Taijijian Yang F",936,IF(Atletas!T505="Taijijian Chen F",937,IF(Atletas!T505="Taijijian Sun F",938,IF(Atletas!T505="Taijijian Wu F",939,IF(Atletas!T505="Taijijian Wu-Hao F",940,IF(Atletas!T505="Taijijian 32 F",941,IF(Atletas!T505="Taijijian 42 F",942,"")))))))))))))))))))))))))))))))))))))))))))</f>
        <v/>
      </c>
      <c r="BW509" s="52" t="str">
        <f>IF(Atletas!U505="","",IF(Atletas!W505&lt;&gt;"",10000,0)+IF(Atletas!B505="Feminino",1000,IF(Atletas!B505="Masculino",2000,""))+IF(Atletas!T505="Taijijian 42 F",942,IF(Atletas!U505="Taijidao A",943,IF(Atletas!U505="Taijishan A",944,IF(Atletas!U505="Taijiqiang A",945,IF(Atletas!U505="Taijidao B",946,IF(Atletas!U505="Taijishan B",947,IF(Atletas!U505="Taijiqiang B",948,IF(Atletas!U505="Taijidao C",949,IF(Atletas!U505="Taijishan C",950,IF(Atletas!U505="Taijiqiang C",951,IF(Atletas!U505="Taijidao D",952,IF(Atletas!U505="Taijishan D",953,IF(Atletas!U505="Taijiqiang D",954,IF(Atletas!U505="Taijidao E",955,IF(Atletas!U505="Taijishan E",956,IF(Atletas!U505="Taijiqiang E",957,IF(Atletas!U505="Taijidao F",958,IF(Atletas!U505="Taijishan F",959,IF(Atletas!U505="Taijiqiang F",960))))))))))))))))))))</f>
        <v/>
      </c>
      <c r="CF509" s="52" t="str">
        <f xml:space="preserve"> IF(Atletas!V505="","",IF(Atletas!V505="Duilian de Mãos AB - Equipe 1",1,IF(Atletas!V505="Duilian de Mãos AB - Equipe 2",2,IF(Atletas!V505="Duilian de Armas AB - Equipe 1",3,IF(Atletas!V505="Duilian de Armas AB - Equipe 2",4,IF(Atletas!V505="Duilian de Tuishou - Equipe 1",5,IF(Atletas!V505="Duilian de Tuishou - Equipe 2",6,IF(Atletas!V505="Grupo Externo AB - Equipe 1",7,IF(Atletas!V505="Grupo Externo AB - Equipe 2",8,IF(Atletas!V505="Grupo Interno AB - Equipe 1",9,IF(Atletas!V505="Grupo Interno AB - Equipe 2",10,IF(Atletas!V505="Duilian de Mãos CD - Equipe 1",11,IF(Atletas!V505="Duilian de Mãos CD - Equipe 2",12,IF(Atletas!V505="Duilian de Armas CD - Equipe 1",13,IF(Atletas!V505="Duilian de Armas CD - Equipe 2",14,IF(Atletas!V505="Duilian de Tuishou - Equipe 1",15,IF(Atletas!V505="Duilian de Tuishou - Equipe 2",16,IF(Atletas!V505="Grupo Externo CDEF - Equipe 1",17,IF(Atletas!V505="Grupo Externo CDEF - Equipe 2",18,IF(Atletas!V505="Grupo Interno CDEF - Equipe 1",19,IF(Atletas!V505="Grupo Interno CDEF - Equipe 2",20,IF(Atletas!V505="Duilian de Mãos EF - Equipe 1",21,IF(Atletas!V505="Duilian de Mãos EF - Equipe 2",22,IF(Atletas!V505="Duilian de Armas EF - Equipe 1",23,IF(Atletas!V505="Duilian de Armas EF - Equipe 2",24,IF(Atletas!V505="Duilian de Tuishou - Equipe 1",25,IF(Atletas!V505="Duilian de Tuishou - Equipe 2",26,"")))))))))))))))))))))))))))</f>
        <v/>
      </c>
    </row>
    <row r="510" spans="36:84">
      <c r="AJ510" s="46" t="str">
        <f>IF(Atletas!D506="","",IF(Atletas!B506="Feminino",100,IF(Atletas!B506="Masculino",200,""))+(IF(Atletas!D506="Infantil 39kg",1,IF(Atletas!D506="Infantil 42kg",2,IF(Atletas!D506="Infantil 45kg",3,IF(Atletas!D506="Infantil 48kg",4,IF(Atletas!D506="Infantil 52kg",5,IF(Atletas!D506="Infantil 56kg",6,IF(Atletas!D506="Infantil 60kg",7,IF(Atletas!D506="Juvenil 48kg",8,IF(Atletas!D506="Juvenil 52kg",9,IF(Atletas!D506="Juvenil 56kg",10,IF(Atletas!D506="Juvenil 60kg",11,IF(Atletas!D506="Juvenil 65kg",12,IF(Atletas!D506="Juvenil 70kg",13,IF(Atletas!D506="Juvenil 75kg",14,IF(Atletas!D506="Juvenil 80kg",15,IF(Atletas!D506="Adulto 48kg",16,IF(Atletas!D506="Adulto 52kg",17,IF(Atletas!D506="Adulto 56kg",18,IF(Atletas!D506="Adulto 60kg",19,IF(Atletas!D506="Adulto 65kg",20,IF(Atletas!D506="Adulto 70kg",21,IF(Atletas!D506="Adulto 75kg",22,IF(Atletas!D506="Adulto 80kg",23,IF(Atletas!D506="Adulto 85kg",24,IF(Atletas!D506="Adulto 90kg",25,IF(Atletas!D506="Adulto +90kg",26,""))))))))))))))))))))))))))))</f>
        <v/>
      </c>
      <c r="AO510" s="10" t="str">
        <f>IF(Atletas!E506="","",IF(Atletas!B506="Feminino",100,IF(Atletas!B506="Masculino",200,""))+(IF(Atletas!E506="Juvenil 44kg",1,IF(Atletas!E506="Juvenil 48kg",2,IF(Atletas!E506="Juvenil 52kg",3,IF(Atletas!E506="Juvenil 56kg",4,IF(Atletas!E506="Juvenil 60kg",5,IF(Atletas!E506="Juvenil 65kg",6,IF(Atletas!E506="Juvenil 70kg",7,IF(Atletas!E506="Juvenil 75kg",8,IF(Atletas!E506="Juvenil 82kg",9,IF(Atletas!E506="Juvenil 90kg",10,IF(Atletas!E506="Juvenil 100kg",11,IF(Atletas!E506="Adulto 48kg",12,IF(Atletas!E506="Adulto 52kg",13,IF(Atletas!E506="Adulto 56kg",14,IF(Atletas!E506="Adulto 60kg",15,IF(Atletas!E506="Adulto 65kg",16,IF(Atletas!E506="Adulto 70kg",17,IF(Atletas!E506="Adulto 75kg",18,IF(Atletas!E506="Adulto 82kg",19,IF(Atletas!E506="Adulto 90kg",20,IF(Atletas!E506="Adulto 100kg",21,IF(Atletas!E506="Adulto +100kg",22,""))))))))))))))))))))))))</f>
        <v/>
      </c>
      <c r="AT510" s="10" t="str">
        <f>IF(Atletas!F506="","",IF(Atletas!B506="Feminino",100,IF(Atletas!B506="Masculino",200,""))+(IF(Atletas!F506="Adulto 48kg",1,IF(Atletas!F506="Adulto 56kg",2,IF(Atletas!F506="Adulto 65kg",3,IF(Atletas!F506="Adulto 75kg",4,IF(Atletas!F506="Adulto +75kg",5,IF(Atletas!F506="Adulto 52kg",6,IF(Atletas!F506="Adulto 60kg",7,IF(Atletas!F506="Adulto 70kg",8,IF(Atletas!F506="Adulto 80kg",9,IF(Atletas!F506="Adulto 90kg",10,IF(Atletas!F506="Adulto +90kg",11,"")))))))))))))</f>
        <v/>
      </c>
      <c r="AY510" s="46" t="str">
        <f>IF(Atletas!G506="","",IF(Atletas!B506="Feminino",100,IF(Atletas!B506="Masculino",200,""))+(IF(Atletas!G506="Changquan Mirim",1,IF(Atletas!G506="Nanquan Mirim",2,IF(Atletas!G506="Taijiquan Mirim",3,IF(Atletas!G506="Changquan Grupo C",4,IF(Atletas!G506="Nanquan Grupo C",5,IF(Atletas!G506="Taijiquan Grupo C",6,IF(Atletas!G506="Changquan Grupo B",7,IF(Atletas!G506="Nanquan Grupo B",8,IF(Atletas!G506="Taijiquan Grupo B",9,IF(Atletas!G506="Changquan Grupo A",10,IF(Atletas!G506="Nanquan Grupo A",11,IF(Atletas!G506="Taijiquan Grupo A",12,IF(Atletas!G506="Changquan Opcional",13,IF(Atletas!G506="Nanquan Opcional",14,IF(Atletas!G506="Taijiquan Opcional",15,IF(Atletas!G506="Changquan Adulto",16,IF(Atletas!G506="Nanquan Adulto",17,IF(Atletas!G506="Taijiquan Adulto",18,""))))))))))))))))))))</f>
        <v/>
      </c>
      <c r="AZ510" s="46" t="str">
        <f>IF(Atletas!H506="","",IF(Atletas!B506="Feminino",100,IF(Atletas!B506="Masculino",200,""))+(IF(Atletas!H506="Daoshu Mirim",19,IF(Atletas!H506="Jianshu Mirim",20,IF(Atletas!H506="Nandao Mirim",21,IF(Atletas!H506="Taijijian Mirim",22,IF(Atletas!H506="Daoshu Grupo C",23,IF(Atletas!H506="Jianshu Grupo C",24,IF(Atletas!H506="Nandao Grupo C",25,IF(Atletas!H506="Taijijian Grupo C",26,IF(Atletas!H506="Daoshu Grupo B",27,IF(Atletas!H506="Jianshu Grupo B",28,IF(Atletas!H506="Nandao Grupo B",29,IF(Atletas!H506="Taijijian Grupo B",30,IF(Atletas!H506="Daoshu Grupo A",31,IF(Atletas!H506="Jianshu Grupo A",32,IF(Atletas!H506="Nandao Grupo A",33,IF(Atletas!H506="Taijijian Grupo A",34,IF(Atletas!H506="Daoshu Opcional",35,IF(Atletas!H506="Jianshu Opcional",36,IF(Atletas!H506="Nandao Opcional",37,IF(Atletas!H506="Taijijian Opcional",38,IF(Atletas!H506="Daoshu Adulto",39,IF(Atletas!H506="Jianshu Adulto",40,IF(Atletas!H506="Nandao Adulto",41,IF(Atletas!H506="Taijijian Adulto",42,""))))))))))))))))))))))))))</f>
        <v/>
      </c>
      <c r="BA510" s="46" t="str">
        <f>IF(Atletas!I506="","",IF(Atletas!B506="Feminino",100,IF(Atletas!B506="Masculino",200,""))+(IF(Atletas!I506="Gunshu Mirim",43,IF(Atletas!I506="Qiangshu Mirim",44,IF(Atletas!I506="Nangun Mirim",45,IF(Atletas!I506="Gunshu Grupo C",46,IF(Atletas!I506="Qiangshu Grupo C",47,IF(Atletas!I506="Nangun Grupo C",48,IF(Atletas!I506="Gunshu Grupo B",49,IF(Atletas!I506="Qiangshu Grupo B",50,IF(Atletas!I506="Nangun Grupo B",51,IF(Atletas!I506="Gunshu Grupo A",52,IF(Atletas!I506="Qiangshu Grupo A",53,IF(Atletas!I506="Nangun Grupo A",54,IF(Atletas!I506="Gunshu Opcional",55,IF(Atletas!I506="Qiangshu Opcional",56,IF(Atletas!I506="Nangun Opcional",57,IF(Atletas!I506="Gunshu Adulto",58,IF(Atletas!I506="Qiangshu Adulto",59,IF(Atletas!I506="Nangun Adulto",60,""))))))))))))))))))))</f>
        <v/>
      </c>
      <c r="BF510" s="52" t="str">
        <f>IF(Atletas!J506="","",IF(Atletas!B506="Feminino",100,IF(Atletas!B506="Masculino",200,""))+(IF(Atletas!J506="Equipe 1 Grupo B",1,IF(Atletas!J506="Equipe 2 Grupo B",2,IF(Atletas!J506="Equipe 1 Grupo A",3,IF(Atletas!J506="Equipe 2 Grupo A",4,IF(Atletas!J506="Equipe 1 Adulto",5,IF(Atletas!J506="Equipe 2 Adulto",6,""))))))))</f>
        <v/>
      </c>
      <c r="BK510" s="52" t="str">
        <f>IF(Atletas!K506="","",IF(Atletas!W506&lt;&gt;"",10000,0)+(IF(Atletas!B506="Feminino",1000,IF(Atletas!B506="Masculino",2000,""))+IF(Atletas!K506="Choylayfut A",1,IF(Atletas!K506="Hunggar A",2,IF(Atletas!K506="Wuzuquan A",3,IF(Atletas!K506="Wingchun A",4,IF(Atletas!K506="Outra Mão de Sul A",5,IF(Atletas!K506="Choylayfut B",6,IF(Atletas!K506="Hunggar B",7,IF(Atletas!K506="Wuzuquan B",8,IF(Atletas!K506="Wingchun B",9,IF(Atletas!K506="Outra Mão de Sul B",10,IF(Atletas!K506="Choylayfut C",11,IF(Atletas!K506="Hunggar C",12,IF(Atletas!K506="Wuzuquan C",13,IF(Atletas!K506="Wingchun C",14,IF(Atletas!K506="Outra Mão de Sul C",15,IF(Atletas!K506="Choylayfut D",16,IF(Atletas!K506="Hunggar D",17,IF(Atletas!K506="Wuzuquan D",18,IF(Atletas!K506="Wingchun D",19,IF(Atletas!K506="Outra Mão de Sul D",20,IF(Atletas!K506="Choylayfut E",21,IF(Atletas!K506="Hunggar E",22,IF(Atletas!K506="Wuzuquan E",23,IF(Atletas!K506="Wingchun E",24,IF(Atletas!K506="Outra Mão de Sul E",25,IF(Atletas!K506="Choylayfut F",26,IF(Atletas!K506="Hunggar F",27,IF(Atletas!K506="Wuzuquan F",28,IF(Atletas!K506="Wingchun F",29,IF(Atletas!K506="Outra Mão de Sul F",30,""))))))))))))))))))))))))))))))))</f>
        <v/>
      </c>
      <c r="BL510" s="52" t="str">
        <f>IF(Atletas!L506="","",IF(Atletas!W506&lt;&gt;"",10000,0)+(IF(Atletas!B506="Feminino",1000,IF(Atletas!B506="Masculino",2000,""))+(IF(Atletas!L506="Chaquan A",101,IF(Atletas!L506="Emeiquan A",102,IF(Atletas!L506="Fanziquan A",103,IF(Atletas!L506="Huaquan A",104,IF(Atletas!L506="Hongquan A",105,IF(Atletas!L506="Paochui A",106,IF(Atletas!L506="Piguaquan A",107,IF(Atletas!L506="Shaolinquan A",108,IF(Atletas!L506="Tanglangquan A",109,IF(Atletas!L506="Yinzhaophai A",110,IF(Atletas!L506="Tongbeiquan A",111,IF(Atletas!L506="Wudangquan A",112,IF(Atletas!L506="Outros Estilos A",113,IF(Atletas!L506="Chaquan B",114,IF(Atletas!L506="Emeiquan B",115,IF(Atletas!L506="Fanziquan B",116,IF(Atletas!L506="Huaquan B",117,IF(Atletas!L506="Hongquan B",118,IF(Atletas!L506="Paochui B",119,IF(Atletas!L506="Piguaquan B",120,IF(Atletas!L506="Shaolinquan B",121,IF(Atletas!L506="Tanglangquan B",122,IF(Atletas!L506="Yinzhaophai B",123,IF(Atletas!L506="Tongbeiquan B",124,IF(Atletas!L506="Wudangquan B",125,IF(Atletas!L506="Outros Estilos B",126,IF(Atletas!L506="Chaquan C",127,IF(Atletas!L506="Emeiquan C",128,IF(Atletas!L506="Fanziquan C",129,IF(Atletas!L506="Huaquan C",130,IF(Atletas!L506="Hongquan C",131,IF(Atletas!L506="Paochui C",132,IF(Atletas!L506="Piguaquan C",133,IF(Atletas!L506="Shaolinquan C",134,IF(Atletas!L506="Tanglangquan C",135,IF(Atletas!L506="Yinzhaophai C",136,IF(Atletas!L506="Tongbeiquan C",137,IF(Atletas!L506="Wudangquan C",138,IF(Atletas!L506="Outros Estilos C",139,0))))))))))))))))))))))))))))))))))))))))))</f>
        <v/>
      </c>
      <c r="BM510" s="52" t="str">
        <f>IF(Atletas!L506="","",IF(Atletas!W506&lt;&gt;"",10000,0)+(IF(Atletas!B506="Feminino",1000,IF(Atletas!B506="Masculino",2000,""))+(IF(Atletas!L506="Chaquan D",140,IF(Atletas!L506="Emeiquan D",141,IF(Atletas!L506="Fanziquan D",142,IF(Atletas!L506="Huaquan D",143,IF(Atletas!L506="Hongquan D",144,IF(Atletas!L506="Paochui D",145,IF(Atletas!L506="Piguaquan D",146,IF(Atletas!L506="Shaolinquan D",147,IF(Atletas!L506="Tanglangquan D",148,IF(Atletas!L506="Yinzhaophai D",149,IF(Atletas!L506="Tongbeiquan D",150,IF(Atletas!L506="Wudangquan D",151,IF(Atletas!L506="Outros Estilos D",152,IF(Atletas!L506="Chaquan E",153,IF(Atletas!L506="Emeiquan E",154,IF(Atletas!L506="Fanziquan E",155,IF(Atletas!L506="Huaquan E",156,IF(Atletas!L506="Hongquan E",157,IF(Atletas!L506="Paochui E",158,IF(Atletas!L506="Piguaquan E",159,IF(Atletas!L506="Shaolinquan E",160,IF(Atletas!L506="Tanglangquan E",161,IF(Atletas!L506="Yinzhaophai E",162,IF(Atletas!L506="Tongbeiquan E",163,IF(Atletas!L506="Wudangquan E",164,IF(Atletas!L506="Outros Estilos E",165,IF(Atletas!L506="Chaquan F",166,IF(Atletas!L506="Emeiquan F",167,IF(Atletas!L506="Fanziquan F",168,IF(Atletas!L506="Huaquan F",169,IF(Atletas!L506="Hongquan F",170,IF(Atletas!L506="Paochui F",171,IF(Atletas!L506="Piguaquan F",172,IF(Atletas!L506="Shaolinquan F",173,IF(Atletas!L506="Tanglangquan F",174,IF(Atletas!L506="Yinzhaophai F",175,IF(Atletas!L506="Tongbeiquan F",176,IF(Atletas!L506="Wudangquan F",177,IF(Atletas!L506="Outros Estilos F",178,0))))))))))))))))))))))))))))))))))))))))))</f>
        <v/>
      </c>
      <c r="BN510" s="52" t="str">
        <f>IF(Atletas!M506="","",IF(Atletas!W506&lt;&gt;"",10000,0)+(IF(Atletas!B506="Feminino",1000,IF(Atletas!B506="Masculino",2000,""))+(IF(Atletas!M506="Ditangquan A",201,IF(Atletas!M506="Houquan A",202,IF(Atletas!M506="Zuiquan A",203,IF(Atletas!M506="Ditangquan B",204,IF(Atletas!M506="Houquan B",205,IF(Atletas!M506="Zuiquan B",206,IF(Atletas!M506="Ditangquan C",207,IF(Atletas!M506="Houquan C",208,IF(Atletas!M506="Zuiquan C",209,IF(Atletas!M506="Ditangquan D",210,IF(Atletas!M506="Houquan D",211,IF(Atletas!M506="Zuiquan D",212,IF(Atletas!M506="Ditangquan E",213,IF(Atletas!M506="Houquan E",214,IF(Atletas!M506="Zuiquan E",215,IF(Atletas!M506="Ditangquan F",216,IF(Atletas!M506="Houquan F",217,IF(Atletas!M506="Zuiquan F",218,"")))))))))))))))))))))</f>
        <v/>
      </c>
      <c r="BO510" s="52" t="str">
        <f>IF(Atletas!N506="","",IF(Atletas!W506&lt;&gt;"",10000,0)+IF(Atletas!B506="Feminino",1000,IF(Atletas!B506="Masculino",2000,""))+IF(Atletas!N506="Yang A",301,IF(Atletas!N506="Chen A",30,IF(Atletas!N506="Sun A",303,IF(Atletas!N506="Wu A",304,IF(Atletas!N506="Wu-Hao A",305,IF(Atletas!N506="Outro Taijiquan A",306,IF(Atletas!N506="Yang B",307,IF(Atletas!N506="Chen B",308,IF(Atletas!N506="Sun B",309,IF(Atletas!N506="Wu B",310,IF(Atletas!N506="Wu-Hao B",311,IF(Atletas!N506="Outro Taijiquan B",312,IF(Atletas!N506="Yang C",313,IF(Atletas!N506="Chen C",314,IF(Atletas!N506="Sun C",315,IF(Atletas!N506="Wu C",316,IF(Atletas!N506="Wu-Hao C",317,IF(Atletas!N506="Outro Taijiquan C",318,IF(Atletas!N506="Yang D",319,IF(Atletas!N506="Chen D",320,IF(Atletas!N506="Sun D",321,IF(Atletas!N506="Wu D",322,IF(Atletas!N506="Wu-Hao D",323,IF(Atletas!N506="Outro Taijiquan D",324,IF(Atletas!N506="Yang E",325,IF(Atletas!N506="Chen E",326,IF(Atletas!N506="Sun E",327,IF(Atletas!N506="Wu E",328,IF(Atletas!N506="Wu-Hao E",329,IF(Atletas!N506="Outro Taijiquan E",330,IF(Atletas!N506="Yang F",331,IF(Atletas!N506="Chen F",332,IF(Atletas!N506="Sun F",333,IF(Atletas!N506="Wu F",334,IF(Atletas!N506="Wu-Hao F",335,IF(Atletas!N506="Outro Taijiquan F",336,"")))))))))))))))))))))))))))))))))))))</f>
        <v/>
      </c>
      <c r="BP510" s="52" t="str">
        <f>IF(Atletas!O506="","",IF(Atletas!W506&lt;&gt;"",10000,0)+IF(Atletas!B506="Feminino",1000,IF(Atletas!B506="Masculino",2000,""))+IF(OR(Atletas!O506="Yang 26 A",Atletas!O506="Yang 40 A"),401,IF(OR(Atletas!O506="Chen 25 A",Atletas!O506="Chen 36 A",Atletas!O506="Chen 56 A"),402,IF(Atletas!O506="Sun 73 A",403,IF(Atletas!O506="Wu 45 A",404,IF(Atletas!O506="Wu-Hao 46 A",405,IF(OR(Atletas!O506="Taijiquan 16 A",Atletas!O506="Taijiquan 24 A",Atletas!O506="Taijiquan 32 A",Atletas!O506="Taijiquan 42 A"),406,IF(OR(Atletas!O506="Yang 26 B",Atletas!O506="Yang 40 B"),407,IF(OR(Atletas!O506="Chen 25 B",Atletas!O506="Chen 36 B",Atletas!O506="Chen 56 B"),408,IF(Atletas!O506="Sun 73 B",409,IF(Atletas!O506="Wu 45 B",410,IF(Atletas!O506="Wu-Hao 46 B",411,IF(OR(Atletas!O506="Taijiquan 16 B",Atletas!O506="Taijiquan 24 B",Atletas!O506="Taijiquan 32 B",Atletas!O506="Taijiquan 42 B"),412,IF(OR(Atletas!O506="Yang 26 C",Atletas!O506="Yang 40 C"),413,IF(OR(Atletas!O506="Chen 25 C",Atletas!O506="Chen 36 C",Atletas!O506="Chen 56 C"),414,IF(Atletas!O506="Sun 73 C",415,IF(Atletas!O506="Wu 45 C",416,IF(Atletas!O506="Wu-Hao 46 C",417,IF(OR(Atletas!O506="Taijiquan 16 C",Atletas!O506="Taijiquan 24 C",Atletas!O506="Taijiquan 32 C",Atletas!O506="Taijiquan 42 C"),418,0)))))))))))))))))))</f>
        <v/>
      </c>
      <c r="BQ510" s="52" t="str">
        <f>IF(Atletas!O506="","",IF(Atletas!W506&lt;&gt;"",10000,0)+IF(Atletas!B506="Feminino",1000,IF(Atletas!B506="Masculino",2000,""))+IF(OR(Atletas!O506="Yang 26 D",Atletas!O506="Yang 40 D"),419,IF(OR(Atletas!O506="Chen 25 D",Atletas!O506="Chen 36 D",Atletas!O506="Chen 56 D"),420,IF(Atletas!O506="Sun 73 D",421,IF(Atletas!O506="Wu 45 D",422,IF(Atletas!O506="Wu-Hao 46 D",423,IF(OR(Atletas!O506="Taijiquan 16 D",Atletas!O506="Taijiquan 24 D",Atletas!O506="Taijiquan 32 D",Atletas!O506="Taijiquan 42 D"),424,IF(OR(Atletas!O506="Yang 26 E",Atletas!O506="Yang 40 E"),425,IF(OR(Atletas!O506="Chen 25 E",Atletas!O506="Chen 36 E",Atletas!O506="Chen 56 E"),426,IF(Atletas!O506="Sun 73 E",427,IF(Atletas!O506="Wu 45 E",428,IF(Atletas!O506="Wu-Hao 46 E",429,IF(OR(Atletas!O506="Taijiquan 16 E",Atletas!O506="Taijiquan 24 E",Atletas!O506="Taijiquan 32 E",Atletas!O506="Taijiquan 42 E"),430,IF(OR(Atletas!O506="Yang 26 F",Atletas!O506="Yang 40 F"),431,IF(OR(Atletas!O506="Chen 25 F",Atletas!O506="Chen 36 F",Atletas!O506="Chen 56 F"),432,IF(Atletas!O506="Sun 73 F",433,IF(Atletas!O506="Wu 45 F",434,IF(Atletas!O506="Wu-Hao 46 F",435,IF(OR(Atletas!O506="Taijiquan 16 F",Atletas!O506="Taijiquan 24 F",Atletas!O506="Taijiquan 32 F",Atletas!O506="Taijiquan 42 F"),436,0)))))))))))))))))))</f>
        <v/>
      </c>
      <c r="BR510" s="52" t="str">
        <f>IF(Atletas!P506="","",IF(Atletas!W506&lt;&gt;"",10000,0)+IF(Atletas!B506="Feminino",1000,IF(Atletas!B506="Masculino",2000,""))+IF(Atletas!P506="Xingyiquan A",501,IF(Atletas!P506="Baguazhang A",502,IF(Atletas!P506="Outro Estilo Interno A",503,IF(Atletas!P506="Xingyiquan B",504,IF(Atletas!P506="Baguazhang B",505,IF(Atletas!P506="Outro Estilo Interno B",506,IF(Atletas!P506="Xingyiquan C",507,IF(Atletas!P506="Baguazhang C",508,IF(Atletas!P506="Outro Estilo Interno C",509,IF(Atletas!P506="Xingyiquan D",510,IF(Atletas!P506="Baguazhang D",511,IF(Atletas!P506="Outro Estilo Interno D",512,IF(Atletas!P506="Xingyiquan E",513,IF(Atletas!P506="Baguazhang E",514,IF(Atletas!P506="Outro Estilo Interno E",515,IF(Atletas!P506="Xingyiquan F",516,IF(Atletas!P506="Baguazhang F",517,IF(Atletas!P506="Outro Estilo Interno F",518, "")))))))))))))))))))</f>
        <v/>
      </c>
      <c r="BS510" s="52" t="str">
        <f>IF(Atletas!Q506="","",IF(Atletas!W506&lt;&gt;"",10000,0)+IF(Atletas!B506="Feminino",1000,IF(Atletas!B506="Masculino",2000,""))+IF(Atletas!Q506="Dao A",601,IF(Atletas!Q506="Jian A",602,IF(Atletas!Q506="Bishou A",603,IF(Atletas!Q506="Shan A",604,IF(Atletas!Q506="Outra Arma Curta A",605,IF(Atletas!Q506="Dao B",606,IF(Atletas!Q506="Jian B",607,IF(Atletas!Q506="Bishou B",608,IF(Atletas!Q506="Shan B",609,IF(Atletas!Q506="Outra Arma Curta B",610,IF(Atletas!Q506="Dao C",611,IF(Atletas!Q506="Jian C",612,IF(Atletas!Q506="Bishou C",613,IF(Atletas!Q506="Shan C",614,IF(Atletas!Q506="Outra Arma Curta C",615,IF(Atletas!Q506="Dao D",616,IF(Atletas!Q506="Jian D",617,IF(Atletas!Q506="Bishou D",618,IF(Atletas!Q506="Shan D",619,IF(Atletas!Q506="Outra Arma Curta D",620,IF(Atletas!Q506="Dao E",621,IF(Atletas!Q506="Jian E",622,IF(Atletas!Q506="Bishou E",623,IF(Atletas!Q506="Shan E",624,IF(Atletas!Q506="Outra Arma Curta E",625,IF(Atletas!Q506="Dao F",626,IF(Atletas!Q506="Jian F",627,IF(Atletas!Q506="Bishou F",628,IF(Atletas!Q506="Shan F",629,IF(Atletas!Q506="Outra Arma Curta F",630, "")))))))))))))))))))))))))))))))</f>
        <v/>
      </c>
      <c r="BT510" s="52" t="str">
        <f>IF(Atletas!R506="","",IF(Atletas!W506&lt;&gt;"",10000,0)+IF(Atletas!B506="Feminino",1000,IF(Atletas!B506="Masculino",2000,""))+IF(Atletas!R506="Gun A",701,IF(Atletas!R506="Qiang A",702,IF(Atletas!R506="Pudao / Guandao A",703,IF(Atletas!R506="Outra Arma Longa A",704,IF(Atletas!R506="Gun B",705,IF(Atletas!R506="Qiang B",706,IF(Atletas!R506="Pudao / Guandao B",707,IF(Atletas!R506="Outra Arma Longa B",708,IF(Atletas!R506="Gun C",709,IF(Atletas!R506="Qiang C",710,IF(Atletas!R506="Pudao / Guandao C",711,IF(Atletas!R506="Outra Arma Longa C",712,IF(Atletas!R506="Gun D",713,IF(Atletas!R506="Qiang D",714,IF(Atletas!R506="Pudao / Guandao D",715,IF(Atletas!R506="Outra Arma Longa D",716,IF(Atletas!R506="Gun E",717,IF(Atletas!R506="Qiang E",718,IF(Atletas!R506="Pudao / Guandao E",719,IF(Atletas!R506="Outra Arma Longa E",720,IF(Atletas!R506="Gun F",721,IF(Atletas!R506="Qiang F",722,IF(Atletas!R506="Pudao / Guandao F",723,IF(Atletas!R506="Outra Arma Longa F",724,"")))))))))))))))))))))))))</f>
        <v/>
      </c>
      <c r="BU510" s="52" t="str">
        <f>IF(Atletas!S506="","",IF(Atletas!W506&lt;&gt;"",10000,0)+IF(Atletas!B506="Feminino",1000,IF(Atletas!B506="Masculino",2000,""))+IF(Atletas!S506="Arma Dupla A",801,IF(Atletas!S506="Arma Maleável A",802,IF(Atletas!S506="Arma Dupla B",803,IF(Atletas!S506="Arma Maleável B",804,IF(Atletas!S506="Arma Dupla C",805,IF(Atletas!S506="Arma Maleável C",806,IF(Atletas!S506="Arma Dupla D",807,IF(Atletas!S506="Arma Maleável D",808,IF(Atletas!S506="Arma Dupla E",809,IF(Atletas!S506="Arma Maleável E",810,IF(Atletas!S506="Arma Dupla F",811,IF(Atletas!S506="Arma Maleável F",812, "")))))))))))))</f>
        <v/>
      </c>
      <c r="BV510" s="52" t="str">
        <f>IF(Atletas!T506="","",IF(Atletas!W506&lt;&gt;"",10000,0)+IF(Atletas!B506="Feminino",1000,IF(Atletas!B506="Masculino",2000,""))+IF(Atletas!T506="Taijijian Yang A",901,IF(Atletas!T506="Taijijian Chen A",902,IF(Atletas!T506="Taijijian Sun A",903,IF(Atletas!T506="Taijijian Wu A",904,IF(Atletas!T506="Taijijian Wu-Hao A",905,IF(Atletas!T506="Taijijian 32 A",906,IF(Atletas!T506="Taijijian 42 A",907,IF(Atletas!T506="Taijijian Yang B",908,IF(Atletas!T506="Taijijian Chen B",909,IF(Atletas!T506="Taijijian Sun B",910,IF(Atletas!T506="Taijijian Wu B",911,IF(Atletas!T506="Taijijian Wu-Hao B",912,IF(Atletas!T506="Taijijian 32 B",913,IF(Atletas!T506="Taijijian 42 B",914,IF(Atletas!T506="Taijijian Yang C",915,IF(Atletas!T506="Taijijian Chen C",916,IF(Atletas!T506="Taijijian Sun C",917,IF(Atletas!T506="Taijijian Wu C",918,IF(Atletas!T506="Taijijian Wu-Hao C",919,IF(Atletas!T506="Taijijian 32 C",920,IF(Atletas!T506="Taijijian 42 C",921,IF(Atletas!T506="Taijijian Yang D",922,IF(Atletas!T506="Taijijian Chen D",923,IF(Atletas!T506="Taijijian Sun D",924,IF(Atletas!T506="Taijijian Wu D",925,IF(Atletas!T506="Taijijian Wu-Hao D",926,IF(Atletas!T506="Taijijian 32 D",927,IF(Atletas!T506="Taijijian 42 D",928,IF(Atletas!T506="Taijijian Yang E",929,IF(Atletas!T506="Taijijian Chen E",930,IF(Atletas!T506="Taijijian Sun E",931,IF(Atletas!T506="Taijijian Wu E",932,IF(Atletas!T506="Taijijian Wu-Hao E",933,IF(Atletas!T506="Taijijian 32 E",934,IF(Atletas!T506="Taijijian 42 E",935,IF(Atletas!T506="Taijijian Yang F",936,IF(Atletas!T506="Taijijian Chen F",937,IF(Atletas!T506="Taijijian Sun F",938,IF(Atletas!T506="Taijijian Wu F",939,IF(Atletas!T506="Taijijian Wu-Hao F",940,IF(Atletas!T506="Taijijian 32 F",941,IF(Atletas!T506="Taijijian 42 F",942,"")))))))))))))))))))))))))))))))))))))))))))</f>
        <v/>
      </c>
      <c r="BW510" s="52" t="str">
        <f>IF(Atletas!U506="","",IF(Atletas!W506&lt;&gt;"",10000,0)+IF(Atletas!B506="Feminino",1000,IF(Atletas!B506="Masculino",2000,""))+IF(Atletas!T506="Taijijian 42 F",942,IF(Atletas!U506="Taijidao A",943,IF(Atletas!U506="Taijishan A",944,IF(Atletas!U506="Taijiqiang A",945,IF(Atletas!U506="Taijidao B",946,IF(Atletas!U506="Taijishan B",947,IF(Atletas!U506="Taijiqiang B",948,IF(Atletas!U506="Taijidao C",949,IF(Atletas!U506="Taijishan C",950,IF(Atletas!U506="Taijiqiang C",951,IF(Atletas!U506="Taijidao D",952,IF(Atletas!U506="Taijishan D",953,IF(Atletas!U506="Taijiqiang D",954,IF(Atletas!U506="Taijidao E",955,IF(Atletas!U506="Taijishan E",956,IF(Atletas!U506="Taijiqiang E",957,IF(Atletas!U506="Taijidao F",958,IF(Atletas!U506="Taijishan F",959,IF(Atletas!U506="Taijiqiang F",960))))))))))))))))))))</f>
        <v/>
      </c>
      <c r="CF510" s="52" t="str">
        <f xml:space="preserve"> IF(Atletas!V506="","",IF(Atletas!V506="Duilian de Mãos AB - Equipe 1",1,IF(Atletas!V506="Duilian de Mãos AB - Equipe 2",2,IF(Atletas!V506="Duilian de Armas AB - Equipe 1",3,IF(Atletas!V506="Duilian de Armas AB - Equipe 2",4,IF(Atletas!V506="Duilian de Tuishou - Equipe 1",5,IF(Atletas!V506="Duilian de Tuishou - Equipe 2",6,IF(Atletas!V506="Grupo Externo AB - Equipe 1",7,IF(Atletas!V506="Grupo Externo AB - Equipe 2",8,IF(Atletas!V506="Grupo Interno AB - Equipe 1",9,IF(Atletas!V506="Grupo Interno AB - Equipe 2",10,IF(Atletas!V506="Duilian de Mãos CD - Equipe 1",11,IF(Atletas!V506="Duilian de Mãos CD - Equipe 2",12,IF(Atletas!V506="Duilian de Armas CD - Equipe 1",13,IF(Atletas!V506="Duilian de Armas CD - Equipe 2",14,IF(Atletas!V506="Duilian de Tuishou - Equipe 1",15,IF(Atletas!V506="Duilian de Tuishou - Equipe 2",16,IF(Atletas!V506="Grupo Externo CDEF - Equipe 1",17,IF(Atletas!V506="Grupo Externo CDEF - Equipe 2",18,IF(Atletas!V506="Grupo Interno CDEF - Equipe 1",19,IF(Atletas!V506="Grupo Interno CDEF - Equipe 2",20,IF(Atletas!V506="Duilian de Mãos EF - Equipe 1",21,IF(Atletas!V506="Duilian de Mãos EF - Equipe 2",22,IF(Atletas!V506="Duilian de Armas EF - Equipe 1",23,IF(Atletas!V506="Duilian de Armas EF - Equipe 2",24,IF(Atletas!V506="Duilian de Tuishou - Equipe 1",25,IF(Atletas!V506="Duilian de Tuishou - Equipe 2",26,"")))))))))))))))))))))))))))</f>
        <v/>
      </c>
    </row>
    <row r="511" spans="36:84">
      <c r="AJ511" s="46" t="str">
        <f>IF(Atletas!D507="","",IF(Atletas!B507="Feminino",100,IF(Atletas!B507="Masculino",200,""))+(IF(Atletas!D507="Infantil 39kg",1,IF(Atletas!D507="Infantil 42kg",2,IF(Atletas!D507="Infantil 45kg",3,IF(Atletas!D507="Infantil 48kg",4,IF(Atletas!D507="Infantil 52kg",5,IF(Atletas!D507="Infantil 56kg",6,IF(Atletas!D507="Infantil 60kg",7,IF(Atletas!D507="Juvenil 48kg",8,IF(Atletas!D507="Juvenil 52kg",9,IF(Atletas!D507="Juvenil 56kg",10,IF(Atletas!D507="Juvenil 60kg",11,IF(Atletas!D507="Juvenil 65kg",12,IF(Atletas!D507="Juvenil 70kg",13,IF(Atletas!D507="Juvenil 75kg",14,IF(Atletas!D507="Juvenil 80kg",15,IF(Atletas!D507="Adulto 48kg",16,IF(Atletas!D507="Adulto 52kg",17,IF(Atletas!D507="Adulto 56kg",18,IF(Atletas!D507="Adulto 60kg",19,IF(Atletas!D507="Adulto 65kg",20,IF(Atletas!D507="Adulto 70kg",21,IF(Atletas!D507="Adulto 75kg",22,IF(Atletas!D507="Adulto 80kg",23,IF(Atletas!D507="Adulto 85kg",24,IF(Atletas!D507="Adulto 90kg",25,IF(Atletas!D507="Adulto +90kg",26,""))))))))))))))))))))))))))))</f>
        <v/>
      </c>
      <c r="AO511" s="10" t="str">
        <f>IF(Atletas!E507="","",IF(Atletas!B507="Feminino",100,IF(Atletas!B507="Masculino",200,""))+(IF(Atletas!E507="Juvenil 44kg",1,IF(Atletas!E507="Juvenil 48kg",2,IF(Atletas!E507="Juvenil 52kg",3,IF(Atletas!E507="Juvenil 56kg",4,IF(Atletas!E507="Juvenil 60kg",5,IF(Atletas!E507="Juvenil 65kg",6,IF(Atletas!E507="Juvenil 70kg",7,IF(Atletas!E507="Juvenil 75kg",8,IF(Atletas!E507="Juvenil 82kg",9,IF(Atletas!E507="Juvenil 90kg",10,IF(Atletas!E507="Juvenil 100kg",11,IF(Atletas!E507="Adulto 48kg",12,IF(Atletas!E507="Adulto 52kg",13,IF(Atletas!E507="Adulto 56kg",14,IF(Atletas!E507="Adulto 60kg",15,IF(Atletas!E507="Adulto 65kg",16,IF(Atletas!E507="Adulto 70kg",17,IF(Atletas!E507="Adulto 75kg",18,IF(Atletas!E507="Adulto 82kg",19,IF(Atletas!E507="Adulto 90kg",20,IF(Atletas!E507="Adulto 100kg",21,IF(Atletas!E507="Adulto +100kg",22,""))))))))))))))))))))))))</f>
        <v/>
      </c>
      <c r="AT511" s="10" t="str">
        <f>IF(Atletas!F507="","",IF(Atletas!B507="Feminino",100,IF(Atletas!B507="Masculino",200,""))+(IF(Atletas!F507="Adulto 48kg",1,IF(Atletas!F507="Adulto 56kg",2,IF(Atletas!F507="Adulto 65kg",3,IF(Atletas!F507="Adulto 75kg",4,IF(Atletas!F507="Adulto +75kg",5,IF(Atletas!F507="Adulto 52kg",6,IF(Atletas!F507="Adulto 60kg",7,IF(Atletas!F507="Adulto 70kg",8,IF(Atletas!F507="Adulto 80kg",9,IF(Atletas!F507="Adulto 90kg",10,IF(Atletas!F507="Adulto +90kg",11,"")))))))))))))</f>
        <v/>
      </c>
      <c r="AY511" s="46" t="str">
        <f>IF(Atletas!G507="","",IF(Atletas!B507="Feminino",100,IF(Atletas!B507="Masculino",200,""))+(IF(Atletas!G507="Changquan Mirim",1,IF(Atletas!G507="Nanquan Mirim",2,IF(Atletas!G507="Taijiquan Mirim",3,IF(Atletas!G507="Changquan Grupo C",4,IF(Atletas!G507="Nanquan Grupo C",5,IF(Atletas!G507="Taijiquan Grupo C",6,IF(Atletas!G507="Changquan Grupo B",7,IF(Atletas!G507="Nanquan Grupo B",8,IF(Atletas!G507="Taijiquan Grupo B",9,IF(Atletas!G507="Changquan Grupo A",10,IF(Atletas!G507="Nanquan Grupo A",11,IF(Atletas!G507="Taijiquan Grupo A",12,IF(Atletas!G507="Changquan Opcional",13,IF(Atletas!G507="Nanquan Opcional",14,IF(Atletas!G507="Taijiquan Opcional",15,IF(Atletas!G507="Changquan Adulto",16,IF(Atletas!G507="Nanquan Adulto",17,IF(Atletas!G507="Taijiquan Adulto",18,""))))))))))))))))))))</f>
        <v/>
      </c>
      <c r="AZ511" s="46" t="str">
        <f>IF(Atletas!H507="","",IF(Atletas!B507="Feminino",100,IF(Atletas!B507="Masculino",200,""))+(IF(Atletas!H507="Daoshu Mirim",19,IF(Atletas!H507="Jianshu Mirim",20,IF(Atletas!H507="Nandao Mirim",21,IF(Atletas!H507="Taijijian Mirim",22,IF(Atletas!H507="Daoshu Grupo C",23,IF(Atletas!H507="Jianshu Grupo C",24,IF(Atletas!H507="Nandao Grupo C",25,IF(Atletas!H507="Taijijian Grupo C",26,IF(Atletas!H507="Daoshu Grupo B",27,IF(Atletas!H507="Jianshu Grupo B",28,IF(Atletas!H507="Nandao Grupo B",29,IF(Atletas!H507="Taijijian Grupo B",30,IF(Atletas!H507="Daoshu Grupo A",31,IF(Atletas!H507="Jianshu Grupo A",32,IF(Atletas!H507="Nandao Grupo A",33,IF(Atletas!H507="Taijijian Grupo A",34,IF(Atletas!H507="Daoshu Opcional",35,IF(Atletas!H507="Jianshu Opcional",36,IF(Atletas!H507="Nandao Opcional",37,IF(Atletas!H507="Taijijian Opcional",38,IF(Atletas!H507="Daoshu Adulto",39,IF(Atletas!H507="Jianshu Adulto",40,IF(Atletas!H507="Nandao Adulto",41,IF(Atletas!H507="Taijijian Adulto",42,""))))))))))))))))))))))))))</f>
        <v/>
      </c>
      <c r="BA511" s="46" t="str">
        <f>IF(Atletas!I507="","",IF(Atletas!B507="Feminino",100,IF(Atletas!B507="Masculino",200,""))+(IF(Atletas!I507="Gunshu Mirim",43,IF(Atletas!I507="Qiangshu Mirim",44,IF(Atletas!I507="Nangun Mirim",45,IF(Atletas!I507="Gunshu Grupo C",46,IF(Atletas!I507="Qiangshu Grupo C",47,IF(Atletas!I507="Nangun Grupo C",48,IF(Atletas!I507="Gunshu Grupo B",49,IF(Atletas!I507="Qiangshu Grupo B",50,IF(Atletas!I507="Nangun Grupo B",51,IF(Atletas!I507="Gunshu Grupo A",52,IF(Atletas!I507="Qiangshu Grupo A",53,IF(Atletas!I507="Nangun Grupo A",54,IF(Atletas!I507="Gunshu Opcional",55,IF(Atletas!I507="Qiangshu Opcional",56,IF(Atletas!I507="Nangun Opcional",57,IF(Atletas!I507="Gunshu Adulto",58,IF(Atletas!I507="Qiangshu Adulto",59,IF(Atletas!I507="Nangun Adulto",60,""))))))))))))))))))))</f>
        <v/>
      </c>
      <c r="BF511" s="52" t="str">
        <f>IF(Atletas!J507="","",IF(Atletas!B507="Feminino",100,IF(Atletas!B507="Masculino",200,""))+(IF(Atletas!J507="Equipe 1 Grupo B",1,IF(Atletas!J507="Equipe 2 Grupo B",2,IF(Atletas!J507="Equipe 1 Grupo A",3,IF(Atletas!J507="Equipe 2 Grupo A",4,IF(Atletas!J507="Equipe 1 Adulto",5,IF(Atletas!J507="Equipe 2 Adulto",6,""))))))))</f>
        <v/>
      </c>
      <c r="BK511" s="52" t="str">
        <f>IF(Atletas!K507="","",IF(Atletas!W507&lt;&gt;"",10000,0)+(IF(Atletas!B507="Feminino",1000,IF(Atletas!B507="Masculino",2000,""))+IF(Atletas!K507="Choylayfut A",1,IF(Atletas!K507="Hunggar A",2,IF(Atletas!K507="Wuzuquan A",3,IF(Atletas!K507="Wingchun A",4,IF(Atletas!K507="Outra Mão de Sul A",5,IF(Atletas!K507="Choylayfut B",6,IF(Atletas!K507="Hunggar B",7,IF(Atletas!K507="Wuzuquan B",8,IF(Atletas!K507="Wingchun B",9,IF(Atletas!K507="Outra Mão de Sul B",10,IF(Atletas!K507="Choylayfut C",11,IF(Atletas!K507="Hunggar C",12,IF(Atletas!K507="Wuzuquan C",13,IF(Atletas!K507="Wingchun C",14,IF(Atletas!K507="Outra Mão de Sul C",15,IF(Atletas!K507="Choylayfut D",16,IF(Atletas!K507="Hunggar D",17,IF(Atletas!K507="Wuzuquan D",18,IF(Atletas!K507="Wingchun D",19,IF(Atletas!K507="Outra Mão de Sul D",20,IF(Atletas!K507="Choylayfut E",21,IF(Atletas!K507="Hunggar E",22,IF(Atletas!K507="Wuzuquan E",23,IF(Atletas!K507="Wingchun E",24,IF(Atletas!K507="Outra Mão de Sul E",25,IF(Atletas!K507="Choylayfut F",26,IF(Atletas!K507="Hunggar F",27,IF(Atletas!K507="Wuzuquan F",28,IF(Atletas!K507="Wingchun F",29,IF(Atletas!K507="Outra Mão de Sul F",30,""))))))))))))))))))))))))))))))))</f>
        <v/>
      </c>
      <c r="BL511" s="52" t="str">
        <f>IF(Atletas!L507="","",IF(Atletas!W507&lt;&gt;"",10000,0)+(IF(Atletas!B507="Feminino",1000,IF(Atletas!B507="Masculino",2000,""))+(IF(Atletas!L507="Chaquan A",101,IF(Atletas!L507="Emeiquan A",102,IF(Atletas!L507="Fanziquan A",103,IF(Atletas!L507="Huaquan A",104,IF(Atletas!L507="Hongquan A",105,IF(Atletas!L507="Paochui A",106,IF(Atletas!L507="Piguaquan A",107,IF(Atletas!L507="Shaolinquan A",108,IF(Atletas!L507="Tanglangquan A",109,IF(Atletas!L507="Yinzhaophai A",110,IF(Atletas!L507="Tongbeiquan A",111,IF(Atletas!L507="Wudangquan A",112,IF(Atletas!L507="Outros Estilos A",113,IF(Atletas!L507="Chaquan B",114,IF(Atletas!L507="Emeiquan B",115,IF(Atletas!L507="Fanziquan B",116,IF(Atletas!L507="Huaquan B",117,IF(Atletas!L507="Hongquan B",118,IF(Atletas!L507="Paochui B",119,IF(Atletas!L507="Piguaquan B",120,IF(Atletas!L507="Shaolinquan B",121,IF(Atletas!L507="Tanglangquan B",122,IF(Atletas!L507="Yinzhaophai B",123,IF(Atletas!L507="Tongbeiquan B",124,IF(Atletas!L507="Wudangquan B",125,IF(Atletas!L507="Outros Estilos B",126,IF(Atletas!L507="Chaquan C",127,IF(Atletas!L507="Emeiquan C",128,IF(Atletas!L507="Fanziquan C",129,IF(Atletas!L507="Huaquan C",130,IF(Atletas!L507="Hongquan C",131,IF(Atletas!L507="Paochui C",132,IF(Atletas!L507="Piguaquan C",133,IF(Atletas!L507="Shaolinquan C",134,IF(Atletas!L507="Tanglangquan C",135,IF(Atletas!L507="Yinzhaophai C",136,IF(Atletas!L507="Tongbeiquan C",137,IF(Atletas!L507="Wudangquan C",138,IF(Atletas!L507="Outros Estilos C",139,0))))))))))))))))))))))))))))))))))))))))))</f>
        <v/>
      </c>
      <c r="BM511" s="52" t="str">
        <f>IF(Atletas!L507="","",IF(Atletas!W507&lt;&gt;"",10000,0)+(IF(Atletas!B507="Feminino",1000,IF(Atletas!B507="Masculino",2000,""))+(IF(Atletas!L507="Chaquan D",140,IF(Atletas!L507="Emeiquan D",141,IF(Atletas!L507="Fanziquan D",142,IF(Atletas!L507="Huaquan D",143,IF(Atletas!L507="Hongquan D",144,IF(Atletas!L507="Paochui D",145,IF(Atletas!L507="Piguaquan D",146,IF(Atletas!L507="Shaolinquan D",147,IF(Atletas!L507="Tanglangquan D",148,IF(Atletas!L507="Yinzhaophai D",149,IF(Atletas!L507="Tongbeiquan D",150,IF(Atletas!L507="Wudangquan D",151,IF(Atletas!L507="Outros Estilos D",152,IF(Atletas!L507="Chaquan E",153,IF(Atletas!L507="Emeiquan E",154,IF(Atletas!L507="Fanziquan E",155,IF(Atletas!L507="Huaquan E",156,IF(Atletas!L507="Hongquan E",157,IF(Atletas!L507="Paochui E",158,IF(Atletas!L507="Piguaquan E",159,IF(Atletas!L507="Shaolinquan E",160,IF(Atletas!L507="Tanglangquan E",161,IF(Atletas!L507="Yinzhaophai E",162,IF(Atletas!L507="Tongbeiquan E",163,IF(Atletas!L507="Wudangquan E",164,IF(Atletas!L507="Outros Estilos E",165,IF(Atletas!L507="Chaquan F",166,IF(Atletas!L507="Emeiquan F",167,IF(Atletas!L507="Fanziquan F",168,IF(Atletas!L507="Huaquan F",169,IF(Atletas!L507="Hongquan F",170,IF(Atletas!L507="Paochui F",171,IF(Atletas!L507="Piguaquan F",172,IF(Atletas!L507="Shaolinquan F",173,IF(Atletas!L507="Tanglangquan F",174,IF(Atletas!L507="Yinzhaophai F",175,IF(Atletas!L507="Tongbeiquan F",176,IF(Atletas!L507="Wudangquan F",177,IF(Atletas!L507="Outros Estilos F",178,0))))))))))))))))))))))))))))))))))))))))))</f>
        <v/>
      </c>
      <c r="BN511" s="52" t="str">
        <f>IF(Atletas!M507="","",IF(Atletas!W507&lt;&gt;"",10000,0)+(IF(Atletas!B507="Feminino",1000,IF(Atletas!B507="Masculino",2000,""))+(IF(Atletas!M507="Ditangquan A",201,IF(Atletas!M507="Houquan A",202,IF(Atletas!M507="Zuiquan A",203,IF(Atletas!M507="Ditangquan B",204,IF(Atletas!M507="Houquan B",205,IF(Atletas!M507="Zuiquan B",206,IF(Atletas!M507="Ditangquan C",207,IF(Atletas!M507="Houquan C",208,IF(Atletas!M507="Zuiquan C",209,IF(Atletas!M507="Ditangquan D",210,IF(Atletas!M507="Houquan D",211,IF(Atletas!M507="Zuiquan D",212,IF(Atletas!M507="Ditangquan E",213,IF(Atletas!M507="Houquan E",214,IF(Atletas!M507="Zuiquan E",215,IF(Atletas!M507="Ditangquan F",216,IF(Atletas!M507="Houquan F",217,IF(Atletas!M507="Zuiquan F",218,"")))))))))))))))))))))</f>
        <v/>
      </c>
      <c r="BO511" s="52" t="str">
        <f>IF(Atletas!N507="","",IF(Atletas!W507&lt;&gt;"",10000,0)+IF(Atletas!B507="Feminino",1000,IF(Atletas!B507="Masculino",2000,""))+IF(Atletas!N507="Yang A",301,IF(Atletas!N507="Chen A",30,IF(Atletas!N507="Sun A",303,IF(Atletas!N507="Wu A",304,IF(Atletas!N507="Wu-Hao A",305,IF(Atletas!N507="Outro Taijiquan A",306,IF(Atletas!N507="Yang B",307,IF(Atletas!N507="Chen B",308,IF(Atletas!N507="Sun B",309,IF(Atletas!N507="Wu B",310,IF(Atletas!N507="Wu-Hao B",311,IF(Atletas!N507="Outro Taijiquan B",312,IF(Atletas!N507="Yang C",313,IF(Atletas!N507="Chen C",314,IF(Atletas!N507="Sun C",315,IF(Atletas!N507="Wu C",316,IF(Atletas!N507="Wu-Hao C",317,IF(Atletas!N507="Outro Taijiquan C",318,IF(Atletas!N507="Yang D",319,IF(Atletas!N507="Chen D",320,IF(Atletas!N507="Sun D",321,IF(Atletas!N507="Wu D",322,IF(Atletas!N507="Wu-Hao D",323,IF(Atletas!N507="Outro Taijiquan D",324,IF(Atletas!N507="Yang E",325,IF(Atletas!N507="Chen E",326,IF(Atletas!N507="Sun E",327,IF(Atletas!N507="Wu E",328,IF(Atletas!N507="Wu-Hao E",329,IF(Atletas!N507="Outro Taijiquan E",330,IF(Atletas!N507="Yang F",331,IF(Atletas!N507="Chen F",332,IF(Atletas!N507="Sun F",333,IF(Atletas!N507="Wu F",334,IF(Atletas!N507="Wu-Hao F",335,IF(Atletas!N507="Outro Taijiquan F",336,"")))))))))))))))))))))))))))))))))))))</f>
        <v/>
      </c>
      <c r="BP511" s="52" t="str">
        <f>IF(Atletas!O507="","",IF(Atletas!W507&lt;&gt;"",10000,0)+IF(Atletas!B507="Feminino",1000,IF(Atletas!B507="Masculino",2000,""))+IF(OR(Atletas!O507="Yang 26 A",Atletas!O507="Yang 40 A"),401,IF(OR(Atletas!O507="Chen 25 A",Atletas!O507="Chen 36 A",Atletas!O507="Chen 56 A"),402,IF(Atletas!O507="Sun 73 A",403,IF(Atletas!O507="Wu 45 A",404,IF(Atletas!O507="Wu-Hao 46 A",405,IF(OR(Atletas!O507="Taijiquan 16 A",Atletas!O507="Taijiquan 24 A",Atletas!O507="Taijiquan 32 A",Atletas!O507="Taijiquan 42 A"),406,IF(OR(Atletas!O507="Yang 26 B",Atletas!O507="Yang 40 B"),407,IF(OR(Atletas!O507="Chen 25 B",Atletas!O507="Chen 36 B",Atletas!O507="Chen 56 B"),408,IF(Atletas!O507="Sun 73 B",409,IF(Atletas!O507="Wu 45 B",410,IF(Atletas!O507="Wu-Hao 46 B",411,IF(OR(Atletas!O507="Taijiquan 16 B",Atletas!O507="Taijiquan 24 B",Atletas!O507="Taijiquan 32 B",Atletas!O507="Taijiquan 42 B"),412,IF(OR(Atletas!O507="Yang 26 C",Atletas!O507="Yang 40 C"),413,IF(OR(Atletas!O507="Chen 25 C",Atletas!O507="Chen 36 C",Atletas!O507="Chen 56 C"),414,IF(Atletas!O507="Sun 73 C",415,IF(Atletas!O507="Wu 45 C",416,IF(Atletas!O507="Wu-Hao 46 C",417,IF(OR(Atletas!O507="Taijiquan 16 C",Atletas!O507="Taijiquan 24 C",Atletas!O507="Taijiquan 32 C",Atletas!O507="Taijiquan 42 C"),418,0)))))))))))))))))))</f>
        <v/>
      </c>
      <c r="BQ511" s="52" t="str">
        <f>IF(Atletas!O507="","",IF(Atletas!W507&lt;&gt;"",10000,0)+IF(Atletas!B507="Feminino",1000,IF(Atletas!B507="Masculino",2000,""))+IF(OR(Atletas!O507="Yang 26 D",Atletas!O507="Yang 40 D"),419,IF(OR(Atletas!O507="Chen 25 D",Atletas!O507="Chen 36 D",Atletas!O507="Chen 56 D"),420,IF(Atletas!O507="Sun 73 D",421,IF(Atletas!O507="Wu 45 D",422,IF(Atletas!O507="Wu-Hao 46 D",423,IF(OR(Atletas!O507="Taijiquan 16 D",Atletas!O507="Taijiquan 24 D",Atletas!O507="Taijiquan 32 D",Atletas!O507="Taijiquan 42 D"),424,IF(OR(Atletas!O507="Yang 26 E",Atletas!O507="Yang 40 E"),425,IF(OR(Atletas!O507="Chen 25 E",Atletas!O507="Chen 36 E",Atletas!O507="Chen 56 E"),426,IF(Atletas!O507="Sun 73 E",427,IF(Atletas!O507="Wu 45 E",428,IF(Atletas!O507="Wu-Hao 46 E",429,IF(OR(Atletas!O507="Taijiquan 16 E",Atletas!O507="Taijiquan 24 E",Atletas!O507="Taijiquan 32 E",Atletas!O507="Taijiquan 42 E"),430,IF(OR(Atletas!O507="Yang 26 F",Atletas!O507="Yang 40 F"),431,IF(OR(Atletas!O507="Chen 25 F",Atletas!O507="Chen 36 F",Atletas!O507="Chen 56 F"),432,IF(Atletas!O507="Sun 73 F",433,IF(Atletas!O507="Wu 45 F",434,IF(Atletas!O507="Wu-Hao 46 F",435,IF(OR(Atletas!O507="Taijiquan 16 F",Atletas!O507="Taijiquan 24 F",Atletas!O507="Taijiquan 32 F",Atletas!O507="Taijiquan 42 F"),436,0)))))))))))))))))))</f>
        <v/>
      </c>
      <c r="BR511" s="52" t="str">
        <f>IF(Atletas!P507="","",IF(Atletas!W507&lt;&gt;"",10000,0)+IF(Atletas!B507="Feminino",1000,IF(Atletas!B507="Masculino",2000,""))+IF(Atletas!P507="Xingyiquan A",501,IF(Atletas!P507="Baguazhang A",502,IF(Atletas!P507="Outro Estilo Interno A",503,IF(Atletas!P507="Xingyiquan B",504,IF(Atletas!P507="Baguazhang B",505,IF(Atletas!P507="Outro Estilo Interno B",506,IF(Atletas!P507="Xingyiquan C",507,IF(Atletas!P507="Baguazhang C",508,IF(Atletas!P507="Outro Estilo Interno C",509,IF(Atletas!P507="Xingyiquan D",510,IF(Atletas!P507="Baguazhang D",511,IF(Atletas!P507="Outro Estilo Interno D",512,IF(Atletas!P507="Xingyiquan E",513,IF(Atletas!P507="Baguazhang E",514,IF(Atletas!P507="Outro Estilo Interno E",515,IF(Atletas!P507="Xingyiquan F",516,IF(Atletas!P507="Baguazhang F",517,IF(Atletas!P507="Outro Estilo Interno F",518, "")))))))))))))))))))</f>
        <v/>
      </c>
      <c r="BS511" s="52" t="str">
        <f>IF(Atletas!Q507="","",IF(Atletas!W507&lt;&gt;"",10000,0)+IF(Atletas!B507="Feminino",1000,IF(Atletas!B507="Masculino",2000,""))+IF(Atletas!Q507="Dao A",601,IF(Atletas!Q507="Jian A",602,IF(Atletas!Q507="Bishou A",603,IF(Atletas!Q507="Shan A",604,IF(Atletas!Q507="Outra Arma Curta A",605,IF(Atletas!Q507="Dao B",606,IF(Atletas!Q507="Jian B",607,IF(Atletas!Q507="Bishou B",608,IF(Atletas!Q507="Shan B",609,IF(Atletas!Q507="Outra Arma Curta B",610,IF(Atletas!Q507="Dao C",611,IF(Atletas!Q507="Jian C",612,IF(Atletas!Q507="Bishou C",613,IF(Atletas!Q507="Shan C",614,IF(Atletas!Q507="Outra Arma Curta C",615,IF(Atletas!Q507="Dao D",616,IF(Atletas!Q507="Jian D",617,IF(Atletas!Q507="Bishou D",618,IF(Atletas!Q507="Shan D",619,IF(Atletas!Q507="Outra Arma Curta D",620,IF(Atletas!Q507="Dao E",621,IF(Atletas!Q507="Jian E",622,IF(Atletas!Q507="Bishou E",623,IF(Atletas!Q507="Shan E",624,IF(Atletas!Q507="Outra Arma Curta E",625,IF(Atletas!Q507="Dao F",626,IF(Atletas!Q507="Jian F",627,IF(Atletas!Q507="Bishou F",628,IF(Atletas!Q507="Shan F",629,IF(Atletas!Q507="Outra Arma Curta F",630, "")))))))))))))))))))))))))))))))</f>
        <v/>
      </c>
      <c r="BT511" s="52" t="str">
        <f>IF(Atletas!R507="","",IF(Atletas!W507&lt;&gt;"",10000,0)+IF(Atletas!B507="Feminino",1000,IF(Atletas!B507="Masculino",2000,""))+IF(Atletas!R507="Gun A",701,IF(Atletas!R507="Qiang A",702,IF(Atletas!R507="Pudao / Guandao A",703,IF(Atletas!R507="Outra Arma Longa A",704,IF(Atletas!R507="Gun B",705,IF(Atletas!R507="Qiang B",706,IF(Atletas!R507="Pudao / Guandao B",707,IF(Atletas!R507="Outra Arma Longa B",708,IF(Atletas!R507="Gun C",709,IF(Atletas!R507="Qiang C",710,IF(Atletas!R507="Pudao / Guandao C",711,IF(Atletas!R507="Outra Arma Longa C",712,IF(Atletas!R507="Gun D",713,IF(Atletas!R507="Qiang D",714,IF(Atletas!R507="Pudao / Guandao D",715,IF(Atletas!R507="Outra Arma Longa D",716,IF(Atletas!R507="Gun E",717,IF(Atletas!R507="Qiang E",718,IF(Atletas!R507="Pudao / Guandao E",719,IF(Atletas!R507="Outra Arma Longa E",720,IF(Atletas!R507="Gun F",721,IF(Atletas!R507="Qiang F",722,IF(Atletas!R507="Pudao / Guandao F",723,IF(Atletas!R507="Outra Arma Longa F",724,"")))))))))))))))))))))))))</f>
        <v/>
      </c>
      <c r="BU511" s="52" t="str">
        <f>IF(Atletas!S507="","",IF(Atletas!W507&lt;&gt;"",10000,0)+IF(Atletas!B507="Feminino",1000,IF(Atletas!B507="Masculino",2000,""))+IF(Atletas!S507="Arma Dupla A",801,IF(Atletas!S507="Arma Maleável A",802,IF(Atletas!S507="Arma Dupla B",803,IF(Atletas!S507="Arma Maleável B",804,IF(Atletas!S507="Arma Dupla C",805,IF(Atletas!S507="Arma Maleável C",806,IF(Atletas!S507="Arma Dupla D",807,IF(Atletas!S507="Arma Maleável D",808,IF(Atletas!S507="Arma Dupla E",809,IF(Atletas!S507="Arma Maleável E",810,IF(Atletas!S507="Arma Dupla F",811,IF(Atletas!S507="Arma Maleável F",812, "")))))))))))))</f>
        <v/>
      </c>
      <c r="BV511" s="52" t="str">
        <f>IF(Atletas!T507="","",IF(Atletas!W507&lt;&gt;"",10000,0)+IF(Atletas!B507="Feminino",1000,IF(Atletas!B507="Masculino",2000,""))+IF(Atletas!T507="Taijijian Yang A",901,IF(Atletas!T507="Taijijian Chen A",902,IF(Atletas!T507="Taijijian Sun A",903,IF(Atletas!T507="Taijijian Wu A",904,IF(Atletas!T507="Taijijian Wu-Hao A",905,IF(Atletas!T507="Taijijian 32 A",906,IF(Atletas!T507="Taijijian 42 A",907,IF(Atletas!T507="Taijijian Yang B",908,IF(Atletas!T507="Taijijian Chen B",909,IF(Atletas!T507="Taijijian Sun B",910,IF(Atletas!T507="Taijijian Wu B",911,IF(Atletas!T507="Taijijian Wu-Hao B",912,IF(Atletas!T507="Taijijian 32 B",913,IF(Atletas!T507="Taijijian 42 B",914,IF(Atletas!T507="Taijijian Yang C",915,IF(Atletas!T507="Taijijian Chen C",916,IF(Atletas!T507="Taijijian Sun C",917,IF(Atletas!T507="Taijijian Wu C",918,IF(Atletas!T507="Taijijian Wu-Hao C",919,IF(Atletas!T507="Taijijian 32 C",920,IF(Atletas!T507="Taijijian 42 C",921,IF(Atletas!T507="Taijijian Yang D",922,IF(Atletas!T507="Taijijian Chen D",923,IF(Atletas!T507="Taijijian Sun D",924,IF(Atletas!T507="Taijijian Wu D",925,IF(Atletas!T507="Taijijian Wu-Hao D",926,IF(Atletas!T507="Taijijian 32 D",927,IF(Atletas!T507="Taijijian 42 D",928,IF(Atletas!T507="Taijijian Yang E",929,IF(Atletas!T507="Taijijian Chen E",930,IF(Atletas!T507="Taijijian Sun E",931,IF(Atletas!T507="Taijijian Wu E",932,IF(Atletas!T507="Taijijian Wu-Hao E",933,IF(Atletas!T507="Taijijian 32 E",934,IF(Atletas!T507="Taijijian 42 E",935,IF(Atletas!T507="Taijijian Yang F",936,IF(Atletas!T507="Taijijian Chen F",937,IF(Atletas!T507="Taijijian Sun F",938,IF(Atletas!T507="Taijijian Wu F",939,IF(Atletas!T507="Taijijian Wu-Hao F",940,IF(Atletas!T507="Taijijian 32 F",941,IF(Atletas!T507="Taijijian 42 F",942,"")))))))))))))))))))))))))))))))))))))))))))</f>
        <v/>
      </c>
      <c r="BW511" s="52" t="str">
        <f>IF(Atletas!U507="","",IF(Atletas!W507&lt;&gt;"",10000,0)+IF(Atletas!B507="Feminino",1000,IF(Atletas!B507="Masculino",2000,""))+IF(Atletas!T507="Taijijian 42 F",942,IF(Atletas!U507="Taijidao A",943,IF(Atletas!U507="Taijishan A",944,IF(Atletas!U507="Taijiqiang A",945,IF(Atletas!U507="Taijidao B",946,IF(Atletas!U507="Taijishan B",947,IF(Atletas!U507="Taijiqiang B",948,IF(Atletas!U507="Taijidao C",949,IF(Atletas!U507="Taijishan C",950,IF(Atletas!U507="Taijiqiang C",951,IF(Atletas!U507="Taijidao D",952,IF(Atletas!U507="Taijishan D",953,IF(Atletas!U507="Taijiqiang D",954,IF(Atletas!U507="Taijidao E",955,IF(Atletas!U507="Taijishan E",956,IF(Atletas!U507="Taijiqiang E",957,IF(Atletas!U507="Taijidao F",958,IF(Atletas!U507="Taijishan F",959,IF(Atletas!U507="Taijiqiang F",960))))))))))))))))))))</f>
        <v/>
      </c>
      <c r="CF511" s="52" t="str">
        <f xml:space="preserve"> IF(Atletas!V507="","",IF(Atletas!V507="Duilian de Mãos AB - Equipe 1",1,IF(Atletas!V507="Duilian de Mãos AB - Equipe 2",2,IF(Atletas!V507="Duilian de Armas AB - Equipe 1",3,IF(Atletas!V507="Duilian de Armas AB - Equipe 2",4,IF(Atletas!V507="Duilian de Tuishou - Equipe 1",5,IF(Atletas!V507="Duilian de Tuishou - Equipe 2",6,IF(Atletas!V507="Grupo Externo AB - Equipe 1",7,IF(Atletas!V507="Grupo Externo AB - Equipe 2",8,IF(Atletas!V507="Grupo Interno AB - Equipe 1",9,IF(Atletas!V507="Grupo Interno AB - Equipe 2",10,IF(Atletas!V507="Duilian de Mãos CD - Equipe 1",11,IF(Atletas!V507="Duilian de Mãos CD - Equipe 2",12,IF(Atletas!V507="Duilian de Armas CD - Equipe 1",13,IF(Atletas!V507="Duilian de Armas CD - Equipe 2",14,IF(Atletas!V507="Duilian de Tuishou - Equipe 1",15,IF(Atletas!V507="Duilian de Tuishou - Equipe 2",16,IF(Atletas!V507="Grupo Externo CDEF - Equipe 1",17,IF(Atletas!V507="Grupo Externo CDEF - Equipe 2",18,IF(Atletas!V507="Grupo Interno CDEF - Equipe 1",19,IF(Atletas!V507="Grupo Interno CDEF - Equipe 2",20,IF(Atletas!V507="Duilian de Mãos EF - Equipe 1",21,IF(Atletas!V507="Duilian de Mãos EF - Equipe 2",22,IF(Atletas!V507="Duilian de Armas EF - Equipe 1",23,IF(Atletas!V507="Duilian de Armas EF - Equipe 2",24,IF(Atletas!V507="Duilian de Tuishou - Equipe 1",25,IF(Atletas!V507="Duilian de Tuishou - Equipe 2",26,"")))))))))))))))))))))))))))</f>
        <v/>
      </c>
    </row>
    <row r="512" spans="36:84">
      <c r="AJ512" s="46" t="str">
        <f>IF(Atletas!D508="","",IF(Atletas!B508="Feminino",100,IF(Atletas!B508="Masculino",200,""))+(IF(Atletas!D508="Infantil 39kg",1,IF(Atletas!D508="Infantil 42kg",2,IF(Atletas!D508="Infantil 45kg",3,IF(Atletas!D508="Infantil 48kg",4,IF(Atletas!D508="Infantil 52kg",5,IF(Atletas!D508="Infantil 56kg",6,IF(Atletas!D508="Infantil 60kg",7,IF(Atletas!D508="Juvenil 48kg",8,IF(Atletas!D508="Juvenil 52kg",9,IF(Atletas!D508="Juvenil 56kg",10,IF(Atletas!D508="Juvenil 60kg",11,IF(Atletas!D508="Juvenil 65kg",12,IF(Atletas!D508="Juvenil 70kg",13,IF(Atletas!D508="Juvenil 75kg",14,IF(Atletas!D508="Juvenil 80kg",15,IF(Atletas!D508="Adulto 48kg",16,IF(Atletas!D508="Adulto 52kg",17,IF(Atletas!D508="Adulto 56kg",18,IF(Atletas!D508="Adulto 60kg",19,IF(Atletas!D508="Adulto 65kg",20,IF(Atletas!D508="Adulto 70kg",21,IF(Atletas!D508="Adulto 75kg",22,IF(Atletas!D508="Adulto 80kg",23,IF(Atletas!D508="Adulto 85kg",24,IF(Atletas!D508="Adulto 90kg",25,IF(Atletas!D508="Adulto +90kg",26,""))))))))))))))))))))))))))))</f>
        <v/>
      </c>
      <c r="AO512" s="10" t="str">
        <f>IF(Atletas!E508="","",IF(Atletas!B508="Feminino",100,IF(Atletas!B508="Masculino",200,""))+(IF(Atletas!E508="Juvenil 44kg",1,IF(Atletas!E508="Juvenil 48kg",2,IF(Atletas!E508="Juvenil 52kg",3,IF(Atletas!E508="Juvenil 56kg",4,IF(Atletas!E508="Juvenil 60kg",5,IF(Atletas!E508="Juvenil 65kg",6,IF(Atletas!E508="Juvenil 70kg",7,IF(Atletas!E508="Juvenil 75kg",8,IF(Atletas!E508="Juvenil 82kg",9,IF(Atletas!E508="Juvenil 90kg",10,IF(Atletas!E508="Juvenil 100kg",11,IF(Atletas!E508="Adulto 48kg",12,IF(Atletas!E508="Adulto 52kg",13,IF(Atletas!E508="Adulto 56kg",14,IF(Atletas!E508="Adulto 60kg",15,IF(Atletas!E508="Adulto 65kg",16,IF(Atletas!E508="Adulto 70kg",17,IF(Atletas!E508="Adulto 75kg",18,IF(Atletas!E508="Adulto 82kg",19,IF(Atletas!E508="Adulto 90kg",20,IF(Atletas!E508="Adulto 100kg",21,IF(Atletas!E508="Adulto +100kg",22,""))))))))))))))))))))))))</f>
        <v/>
      </c>
      <c r="AT512" s="10" t="str">
        <f>IF(Atletas!F508="","",IF(Atletas!B508="Feminino",100,IF(Atletas!B508="Masculino",200,""))+(IF(Atletas!F508="Adulto 48kg",1,IF(Atletas!F508="Adulto 56kg",2,IF(Atletas!F508="Adulto 65kg",3,IF(Atletas!F508="Adulto 75kg",4,IF(Atletas!F508="Adulto +75kg",5,IF(Atletas!F508="Adulto 52kg",6,IF(Atletas!F508="Adulto 60kg",7,IF(Atletas!F508="Adulto 70kg",8,IF(Atletas!F508="Adulto 80kg",9,IF(Atletas!F508="Adulto 90kg",10,IF(Atletas!F508="Adulto +90kg",11,"")))))))))))))</f>
        <v/>
      </c>
      <c r="AY512" s="46" t="str">
        <f>IF(Atletas!G508="","",IF(Atletas!B508="Feminino",100,IF(Atletas!B508="Masculino",200,""))+(IF(Atletas!G508="Changquan Mirim",1,IF(Atletas!G508="Nanquan Mirim",2,IF(Atletas!G508="Taijiquan Mirim",3,IF(Atletas!G508="Changquan Grupo C",4,IF(Atletas!G508="Nanquan Grupo C",5,IF(Atletas!G508="Taijiquan Grupo C",6,IF(Atletas!G508="Changquan Grupo B",7,IF(Atletas!G508="Nanquan Grupo B",8,IF(Atletas!G508="Taijiquan Grupo B",9,IF(Atletas!G508="Changquan Grupo A",10,IF(Atletas!G508="Nanquan Grupo A",11,IF(Atletas!G508="Taijiquan Grupo A",12,IF(Atletas!G508="Changquan Opcional",13,IF(Atletas!G508="Nanquan Opcional",14,IF(Atletas!G508="Taijiquan Opcional",15,IF(Atletas!G508="Changquan Adulto",16,IF(Atletas!G508="Nanquan Adulto",17,IF(Atletas!G508="Taijiquan Adulto",18,""))))))))))))))))))))</f>
        <v/>
      </c>
      <c r="AZ512" s="46" t="str">
        <f>IF(Atletas!H508="","",IF(Atletas!B508="Feminino",100,IF(Atletas!B508="Masculino",200,""))+(IF(Atletas!H508="Daoshu Mirim",19,IF(Atletas!H508="Jianshu Mirim",20,IF(Atletas!H508="Nandao Mirim",21,IF(Atletas!H508="Taijijian Mirim",22,IF(Atletas!H508="Daoshu Grupo C",23,IF(Atletas!H508="Jianshu Grupo C",24,IF(Atletas!H508="Nandao Grupo C",25,IF(Atletas!H508="Taijijian Grupo C",26,IF(Atletas!H508="Daoshu Grupo B",27,IF(Atletas!H508="Jianshu Grupo B",28,IF(Atletas!H508="Nandao Grupo B",29,IF(Atletas!H508="Taijijian Grupo B",30,IF(Atletas!H508="Daoshu Grupo A",31,IF(Atletas!H508="Jianshu Grupo A",32,IF(Atletas!H508="Nandao Grupo A",33,IF(Atletas!H508="Taijijian Grupo A",34,IF(Atletas!H508="Daoshu Opcional",35,IF(Atletas!H508="Jianshu Opcional",36,IF(Atletas!H508="Nandao Opcional",37,IF(Atletas!H508="Taijijian Opcional",38,IF(Atletas!H508="Daoshu Adulto",39,IF(Atletas!H508="Jianshu Adulto",40,IF(Atletas!H508="Nandao Adulto",41,IF(Atletas!H508="Taijijian Adulto",42,""))))))))))))))))))))))))))</f>
        <v/>
      </c>
      <c r="BA512" s="46" t="str">
        <f>IF(Atletas!I508="","",IF(Atletas!B508="Feminino",100,IF(Atletas!B508="Masculino",200,""))+(IF(Atletas!I508="Gunshu Mirim",43,IF(Atletas!I508="Qiangshu Mirim",44,IF(Atletas!I508="Nangun Mirim",45,IF(Atletas!I508="Gunshu Grupo C",46,IF(Atletas!I508="Qiangshu Grupo C",47,IF(Atletas!I508="Nangun Grupo C",48,IF(Atletas!I508="Gunshu Grupo B",49,IF(Atletas!I508="Qiangshu Grupo B",50,IF(Atletas!I508="Nangun Grupo B",51,IF(Atletas!I508="Gunshu Grupo A",52,IF(Atletas!I508="Qiangshu Grupo A",53,IF(Atletas!I508="Nangun Grupo A",54,IF(Atletas!I508="Gunshu Opcional",55,IF(Atletas!I508="Qiangshu Opcional",56,IF(Atletas!I508="Nangun Opcional",57,IF(Atletas!I508="Gunshu Adulto",58,IF(Atletas!I508="Qiangshu Adulto",59,IF(Atletas!I508="Nangun Adulto",60,""))))))))))))))))))))</f>
        <v/>
      </c>
      <c r="BF512" s="52" t="str">
        <f>IF(Atletas!J508="","",IF(Atletas!B508="Feminino",100,IF(Atletas!B508="Masculino",200,""))+(IF(Atletas!J508="Equipe 1 Grupo B",1,IF(Atletas!J508="Equipe 2 Grupo B",2,IF(Atletas!J508="Equipe 1 Grupo A",3,IF(Atletas!J508="Equipe 2 Grupo A",4,IF(Atletas!J508="Equipe 1 Adulto",5,IF(Atletas!J508="Equipe 2 Adulto",6,""))))))))</f>
        <v/>
      </c>
      <c r="BK512" s="52" t="str">
        <f>IF(Atletas!K508="","",IF(Atletas!W508&lt;&gt;"",10000,0)+(IF(Atletas!B508="Feminino",1000,IF(Atletas!B508="Masculino",2000,""))+IF(Atletas!K508="Choylayfut A",1,IF(Atletas!K508="Hunggar A",2,IF(Atletas!K508="Wuzuquan A",3,IF(Atletas!K508="Wingchun A",4,IF(Atletas!K508="Outra Mão de Sul A",5,IF(Atletas!K508="Choylayfut B",6,IF(Atletas!K508="Hunggar B",7,IF(Atletas!K508="Wuzuquan B",8,IF(Atletas!K508="Wingchun B",9,IF(Atletas!K508="Outra Mão de Sul B",10,IF(Atletas!K508="Choylayfut C",11,IF(Atletas!K508="Hunggar C",12,IF(Atletas!K508="Wuzuquan C",13,IF(Atletas!K508="Wingchun C",14,IF(Atletas!K508="Outra Mão de Sul C",15,IF(Atletas!K508="Choylayfut D",16,IF(Atletas!K508="Hunggar D",17,IF(Atletas!K508="Wuzuquan D",18,IF(Atletas!K508="Wingchun D",19,IF(Atletas!K508="Outra Mão de Sul D",20,IF(Atletas!K508="Choylayfut E",21,IF(Atletas!K508="Hunggar E",22,IF(Atletas!K508="Wuzuquan E",23,IF(Atletas!K508="Wingchun E",24,IF(Atletas!K508="Outra Mão de Sul E",25,IF(Atletas!K508="Choylayfut F",26,IF(Atletas!K508="Hunggar F",27,IF(Atletas!K508="Wuzuquan F",28,IF(Atletas!K508="Wingchun F",29,IF(Atletas!K508="Outra Mão de Sul F",30,""))))))))))))))))))))))))))))))))</f>
        <v/>
      </c>
      <c r="BL512" s="52" t="str">
        <f>IF(Atletas!L508="","",IF(Atletas!W508&lt;&gt;"",10000,0)+(IF(Atletas!B508="Feminino",1000,IF(Atletas!B508="Masculino",2000,""))+(IF(Atletas!L508="Chaquan A",101,IF(Atletas!L508="Emeiquan A",102,IF(Atletas!L508="Fanziquan A",103,IF(Atletas!L508="Huaquan A",104,IF(Atletas!L508="Hongquan A",105,IF(Atletas!L508="Paochui A",106,IF(Atletas!L508="Piguaquan A",107,IF(Atletas!L508="Shaolinquan A",108,IF(Atletas!L508="Tanglangquan A",109,IF(Atletas!L508="Yinzhaophai A",110,IF(Atletas!L508="Tongbeiquan A",111,IF(Atletas!L508="Wudangquan A",112,IF(Atletas!L508="Outros Estilos A",113,IF(Atletas!L508="Chaquan B",114,IF(Atletas!L508="Emeiquan B",115,IF(Atletas!L508="Fanziquan B",116,IF(Atletas!L508="Huaquan B",117,IF(Atletas!L508="Hongquan B",118,IF(Atletas!L508="Paochui B",119,IF(Atletas!L508="Piguaquan B",120,IF(Atletas!L508="Shaolinquan B",121,IF(Atletas!L508="Tanglangquan B",122,IF(Atletas!L508="Yinzhaophai B",123,IF(Atletas!L508="Tongbeiquan B",124,IF(Atletas!L508="Wudangquan B",125,IF(Atletas!L508="Outros Estilos B",126,IF(Atletas!L508="Chaquan C",127,IF(Atletas!L508="Emeiquan C",128,IF(Atletas!L508="Fanziquan C",129,IF(Atletas!L508="Huaquan C",130,IF(Atletas!L508="Hongquan C",131,IF(Atletas!L508="Paochui C",132,IF(Atletas!L508="Piguaquan C",133,IF(Atletas!L508="Shaolinquan C",134,IF(Atletas!L508="Tanglangquan C",135,IF(Atletas!L508="Yinzhaophai C",136,IF(Atletas!L508="Tongbeiquan C",137,IF(Atletas!L508="Wudangquan C",138,IF(Atletas!L508="Outros Estilos C",139,0))))))))))))))))))))))))))))))))))))))))))</f>
        <v/>
      </c>
      <c r="BM512" s="52" t="str">
        <f>IF(Atletas!L508="","",IF(Atletas!W508&lt;&gt;"",10000,0)+(IF(Atletas!B508="Feminino",1000,IF(Atletas!B508="Masculino",2000,""))+(IF(Atletas!L508="Chaquan D",140,IF(Atletas!L508="Emeiquan D",141,IF(Atletas!L508="Fanziquan D",142,IF(Atletas!L508="Huaquan D",143,IF(Atletas!L508="Hongquan D",144,IF(Atletas!L508="Paochui D",145,IF(Atletas!L508="Piguaquan D",146,IF(Atletas!L508="Shaolinquan D",147,IF(Atletas!L508="Tanglangquan D",148,IF(Atletas!L508="Yinzhaophai D",149,IF(Atletas!L508="Tongbeiquan D",150,IF(Atletas!L508="Wudangquan D",151,IF(Atletas!L508="Outros Estilos D",152,IF(Atletas!L508="Chaquan E",153,IF(Atletas!L508="Emeiquan E",154,IF(Atletas!L508="Fanziquan E",155,IF(Atletas!L508="Huaquan E",156,IF(Atletas!L508="Hongquan E",157,IF(Atletas!L508="Paochui E",158,IF(Atletas!L508="Piguaquan E",159,IF(Atletas!L508="Shaolinquan E",160,IF(Atletas!L508="Tanglangquan E",161,IF(Atletas!L508="Yinzhaophai E",162,IF(Atletas!L508="Tongbeiquan E",163,IF(Atletas!L508="Wudangquan E",164,IF(Atletas!L508="Outros Estilos E",165,IF(Atletas!L508="Chaquan F",166,IF(Atletas!L508="Emeiquan F",167,IF(Atletas!L508="Fanziquan F",168,IF(Atletas!L508="Huaquan F",169,IF(Atletas!L508="Hongquan F",170,IF(Atletas!L508="Paochui F",171,IF(Atletas!L508="Piguaquan F",172,IF(Atletas!L508="Shaolinquan F",173,IF(Atletas!L508="Tanglangquan F",174,IF(Atletas!L508="Yinzhaophai F",175,IF(Atletas!L508="Tongbeiquan F",176,IF(Atletas!L508="Wudangquan F",177,IF(Atletas!L508="Outros Estilos F",178,0))))))))))))))))))))))))))))))))))))))))))</f>
        <v/>
      </c>
      <c r="BN512" s="52" t="str">
        <f>IF(Atletas!M508="","",IF(Atletas!W508&lt;&gt;"",10000,0)+(IF(Atletas!B508="Feminino",1000,IF(Atletas!B508="Masculino",2000,""))+(IF(Atletas!M508="Ditangquan A",201,IF(Atletas!M508="Houquan A",202,IF(Atletas!M508="Zuiquan A",203,IF(Atletas!M508="Ditangquan B",204,IF(Atletas!M508="Houquan B",205,IF(Atletas!M508="Zuiquan B",206,IF(Atletas!M508="Ditangquan C",207,IF(Atletas!M508="Houquan C",208,IF(Atletas!M508="Zuiquan C",209,IF(Atletas!M508="Ditangquan D",210,IF(Atletas!M508="Houquan D",211,IF(Atletas!M508="Zuiquan D",212,IF(Atletas!M508="Ditangquan E",213,IF(Atletas!M508="Houquan E",214,IF(Atletas!M508="Zuiquan E",215,IF(Atletas!M508="Ditangquan F",216,IF(Atletas!M508="Houquan F",217,IF(Atletas!M508="Zuiquan F",218,"")))))))))))))))))))))</f>
        <v/>
      </c>
      <c r="BO512" s="52" t="str">
        <f>IF(Atletas!N508="","",IF(Atletas!W508&lt;&gt;"",10000,0)+IF(Atletas!B508="Feminino",1000,IF(Atletas!B508="Masculino",2000,""))+IF(Atletas!N508="Yang A",301,IF(Atletas!N508="Chen A",30,IF(Atletas!N508="Sun A",303,IF(Atletas!N508="Wu A",304,IF(Atletas!N508="Wu-Hao A",305,IF(Atletas!N508="Outro Taijiquan A",306,IF(Atletas!N508="Yang B",307,IF(Atletas!N508="Chen B",308,IF(Atletas!N508="Sun B",309,IF(Atletas!N508="Wu B",310,IF(Atletas!N508="Wu-Hao B",311,IF(Atletas!N508="Outro Taijiquan B",312,IF(Atletas!N508="Yang C",313,IF(Atletas!N508="Chen C",314,IF(Atletas!N508="Sun C",315,IF(Atletas!N508="Wu C",316,IF(Atletas!N508="Wu-Hao C",317,IF(Atletas!N508="Outro Taijiquan C",318,IF(Atletas!N508="Yang D",319,IF(Atletas!N508="Chen D",320,IF(Atletas!N508="Sun D",321,IF(Atletas!N508="Wu D",322,IF(Atletas!N508="Wu-Hao D",323,IF(Atletas!N508="Outro Taijiquan D",324,IF(Atletas!N508="Yang E",325,IF(Atletas!N508="Chen E",326,IF(Atletas!N508="Sun E",327,IF(Atletas!N508="Wu E",328,IF(Atletas!N508="Wu-Hao E",329,IF(Atletas!N508="Outro Taijiquan E",330,IF(Atletas!N508="Yang F",331,IF(Atletas!N508="Chen F",332,IF(Atletas!N508="Sun F",333,IF(Atletas!N508="Wu F",334,IF(Atletas!N508="Wu-Hao F",335,IF(Atletas!N508="Outro Taijiquan F",336,"")))))))))))))))))))))))))))))))))))))</f>
        <v/>
      </c>
      <c r="BP512" s="52" t="str">
        <f>IF(Atletas!O508="","",IF(Atletas!W508&lt;&gt;"",10000,0)+IF(Atletas!B508="Feminino",1000,IF(Atletas!B508="Masculino",2000,""))+IF(OR(Atletas!O508="Yang 26 A",Atletas!O508="Yang 40 A"),401,IF(OR(Atletas!O508="Chen 25 A",Atletas!O508="Chen 36 A",Atletas!O508="Chen 56 A"),402,IF(Atletas!O508="Sun 73 A",403,IF(Atletas!O508="Wu 45 A",404,IF(Atletas!O508="Wu-Hao 46 A",405,IF(OR(Atletas!O508="Taijiquan 16 A",Atletas!O508="Taijiquan 24 A",Atletas!O508="Taijiquan 32 A",Atletas!O508="Taijiquan 42 A"),406,IF(OR(Atletas!O508="Yang 26 B",Atletas!O508="Yang 40 B"),407,IF(OR(Atletas!O508="Chen 25 B",Atletas!O508="Chen 36 B",Atletas!O508="Chen 56 B"),408,IF(Atletas!O508="Sun 73 B",409,IF(Atletas!O508="Wu 45 B",410,IF(Atletas!O508="Wu-Hao 46 B",411,IF(OR(Atletas!O508="Taijiquan 16 B",Atletas!O508="Taijiquan 24 B",Atletas!O508="Taijiquan 32 B",Atletas!O508="Taijiquan 42 B"),412,IF(OR(Atletas!O508="Yang 26 C",Atletas!O508="Yang 40 C"),413,IF(OR(Atletas!O508="Chen 25 C",Atletas!O508="Chen 36 C",Atletas!O508="Chen 56 C"),414,IF(Atletas!O508="Sun 73 C",415,IF(Atletas!O508="Wu 45 C",416,IF(Atletas!O508="Wu-Hao 46 C",417,IF(OR(Atletas!O508="Taijiquan 16 C",Atletas!O508="Taijiquan 24 C",Atletas!O508="Taijiquan 32 C",Atletas!O508="Taijiquan 42 C"),418,0)))))))))))))))))))</f>
        <v/>
      </c>
      <c r="BQ512" s="52" t="str">
        <f>IF(Atletas!O508="","",IF(Atletas!W508&lt;&gt;"",10000,0)+IF(Atletas!B508="Feminino",1000,IF(Atletas!B508="Masculino",2000,""))+IF(OR(Atletas!O508="Yang 26 D",Atletas!O508="Yang 40 D"),419,IF(OR(Atletas!O508="Chen 25 D",Atletas!O508="Chen 36 D",Atletas!O508="Chen 56 D"),420,IF(Atletas!O508="Sun 73 D",421,IF(Atletas!O508="Wu 45 D",422,IF(Atletas!O508="Wu-Hao 46 D",423,IF(OR(Atletas!O508="Taijiquan 16 D",Atletas!O508="Taijiquan 24 D",Atletas!O508="Taijiquan 32 D",Atletas!O508="Taijiquan 42 D"),424,IF(OR(Atletas!O508="Yang 26 E",Atletas!O508="Yang 40 E"),425,IF(OR(Atletas!O508="Chen 25 E",Atletas!O508="Chen 36 E",Atletas!O508="Chen 56 E"),426,IF(Atletas!O508="Sun 73 E",427,IF(Atletas!O508="Wu 45 E",428,IF(Atletas!O508="Wu-Hao 46 E",429,IF(OR(Atletas!O508="Taijiquan 16 E",Atletas!O508="Taijiquan 24 E",Atletas!O508="Taijiquan 32 E",Atletas!O508="Taijiquan 42 E"),430,IF(OR(Atletas!O508="Yang 26 F",Atletas!O508="Yang 40 F"),431,IF(OR(Atletas!O508="Chen 25 F",Atletas!O508="Chen 36 F",Atletas!O508="Chen 56 F"),432,IF(Atletas!O508="Sun 73 F",433,IF(Atletas!O508="Wu 45 F",434,IF(Atletas!O508="Wu-Hao 46 F",435,IF(OR(Atletas!O508="Taijiquan 16 F",Atletas!O508="Taijiquan 24 F",Atletas!O508="Taijiquan 32 F",Atletas!O508="Taijiquan 42 F"),436,0)))))))))))))))))))</f>
        <v/>
      </c>
      <c r="BR512" s="52" t="str">
        <f>IF(Atletas!P508="","",IF(Atletas!W508&lt;&gt;"",10000,0)+IF(Atletas!B508="Feminino",1000,IF(Atletas!B508="Masculino",2000,""))+IF(Atletas!P508="Xingyiquan A",501,IF(Atletas!P508="Baguazhang A",502,IF(Atletas!P508="Outro Estilo Interno A",503,IF(Atletas!P508="Xingyiquan B",504,IF(Atletas!P508="Baguazhang B",505,IF(Atletas!P508="Outro Estilo Interno B",506,IF(Atletas!P508="Xingyiquan C",507,IF(Atletas!P508="Baguazhang C",508,IF(Atletas!P508="Outro Estilo Interno C",509,IF(Atletas!P508="Xingyiquan D",510,IF(Atletas!P508="Baguazhang D",511,IF(Atletas!P508="Outro Estilo Interno D",512,IF(Atletas!P508="Xingyiquan E",513,IF(Atletas!P508="Baguazhang E",514,IF(Atletas!P508="Outro Estilo Interno E",515,IF(Atletas!P508="Xingyiquan F",516,IF(Atletas!P508="Baguazhang F",517,IF(Atletas!P508="Outro Estilo Interno F",518, "")))))))))))))))))))</f>
        <v/>
      </c>
      <c r="BS512" s="52" t="str">
        <f>IF(Atletas!Q508="","",IF(Atletas!W508&lt;&gt;"",10000,0)+IF(Atletas!B508="Feminino",1000,IF(Atletas!B508="Masculino",2000,""))+IF(Atletas!Q508="Dao A",601,IF(Atletas!Q508="Jian A",602,IF(Atletas!Q508="Bishou A",603,IF(Atletas!Q508="Shan A",604,IF(Atletas!Q508="Outra Arma Curta A",605,IF(Atletas!Q508="Dao B",606,IF(Atletas!Q508="Jian B",607,IF(Atletas!Q508="Bishou B",608,IF(Atletas!Q508="Shan B",609,IF(Atletas!Q508="Outra Arma Curta B",610,IF(Atletas!Q508="Dao C",611,IF(Atletas!Q508="Jian C",612,IF(Atletas!Q508="Bishou C",613,IF(Atletas!Q508="Shan C",614,IF(Atletas!Q508="Outra Arma Curta C",615,IF(Atletas!Q508="Dao D",616,IF(Atletas!Q508="Jian D",617,IF(Atletas!Q508="Bishou D",618,IF(Atletas!Q508="Shan D",619,IF(Atletas!Q508="Outra Arma Curta D",620,IF(Atletas!Q508="Dao E",621,IF(Atletas!Q508="Jian E",622,IF(Atletas!Q508="Bishou E",623,IF(Atletas!Q508="Shan E",624,IF(Atletas!Q508="Outra Arma Curta E",625,IF(Atletas!Q508="Dao F",626,IF(Atletas!Q508="Jian F",627,IF(Atletas!Q508="Bishou F",628,IF(Atletas!Q508="Shan F",629,IF(Atletas!Q508="Outra Arma Curta F",630, "")))))))))))))))))))))))))))))))</f>
        <v/>
      </c>
      <c r="BT512" s="52" t="str">
        <f>IF(Atletas!R508="","",IF(Atletas!W508&lt;&gt;"",10000,0)+IF(Atletas!B508="Feminino",1000,IF(Atletas!B508="Masculino",2000,""))+IF(Atletas!R508="Gun A",701,IF(Atletas!R508="Qiang A",702,IF(Atletas!R508="Pudao / Guandao A",703,IF(Atletas!R508="Outra Arma Longa A",704,IF(Atletas!R508="Gun B",705,IF(Atletas!R508="Qiang B",706,IF(Atletas!R508="Pudao / Guandao B",707,IF(Atletas!R508="Outra Arma Longa B",708,IF(Atletas!R508="Gun C",709,IF(Atletas!R508="Qiang C",710,IF(Atletas!R508="Pudao / Guandao C",711,IF(Atletas!R508="Outra Arma Longa C",712,IF(Atletas!R508="Gun D",713,IF(Atletas!R508="Qiang D",714,IF(Atletas!R508="Pudao / Guandao D",715,IF(Atletas!R508="Outra Arma Longa D",716,IF(Atletas!R508="Gun E",717,IF(Atletas!R508="Qiang E",718,IF(Atletas!R508="Pudao / Guandao E",719,IF(Atletas!R508="Outra Arma Longa E",720,IF(Atletas!R508="Gun F",721,IF(Atletas!R508="Qiang F",722,IF(Atletas!R508="Pudao / Guandao F",723,IF(Atletas!R508="Outra Arma Longa F",724,"")))))))))))))))))))))))))</f>
        <v/>
      </c>
      <c r="BU512" s="52" t="str">
        <f>IF(Atletas!S508="","",IF(Atletas!W508&lt;&gt;"",10000,0)+IF(Atletas!B508="Feminino",1000,IF(Atletas!B508="Masculino",2000,""))+IF(Atletas!S508="Arma Dupla A",801,IF(Atletas!S508="Arma Maleável A",802,IF(Atletas!S508="Arma Dupla B",803,IF(Atletas!S508="Arma Maleável B",804,IF(Atletas!S508="Arma Dupla C",805,IF(Atletas!S508="Arma Maleável C",806,IF(Atletas!S508="Arma Dupla D",807,IF(Atletas!S508="Arma Maleável D",808,IF(Atletas!S508="Arma Dupla E",809,IF(Atletas!S508="Arma Maleável E",810,IF(Atletas!S508="Arma Dupla F",811,IF(Atletas!S508="Arma Maleável F",812, "")))))))))))))</f>
        <v/>
      </c>
      <c r="BV512" s="52" t="str">
        <f>IF(Atletas!T508="","",IF(Atletas!W508&lt;&gt;"",10000,0)+IF(Atletas!B508="Feminino",1000,IF(Atletas!B508="Masculino",2000,""))+IF(Atletas!T508="Taijijian Yang A",901,IF(Atletas!T508="Taijijian Chen A",902,IF(Atletas!T508="Taijijian Sun A",903,IF(Atletas!T508="Taijijian Wu A",904,IF(Atletas!T508="Taijijian Wu-Hao A",905,IF(Atletas!T508="Taijijian 32 A",906,IF(Atletas!T508="Taijijian 42 A",907,IF(Atletas!T508="Taijijian Yang B",908,IF(Atletas!T508="Taijijian Chen B",909,IF(Atletas!T508="Taijijian Sun B",910,IF(Atletas!T508="Taijijian Wu B",911,IF(Atletas!T508="Taijijian Wu-Hao B",912,IF(Atletas!T508="Taijijian 32 B",913,IF(Atletas!T508="Taijijian 42 B",914,IF(Atletas!T508="Taijijian Yang C",915,IF(Atletas!T508="Taijijian Chen C",916,IF(Atletas!T508="Taijijian Sun C",917,IF(Atletas!T508="Taijijian Wu C",918,IF(Atletas!T508="Taijijian Wu-Hao C",919,IF(Atletas!T508="Taijijian 32 C",920,IF(Atletas!T508="Taijijian 42 C",921,IF(Atletas!T508="Taijijian Yang D",922,IF(Atletas!T508="Taijijian Chen D",923,IF(Atletas!T508="Taijijian Sun D",924,IF(Atletas!T508="Taijijian Wu D",925,IF(Atletas!T508="Taijijian Wu-Hao D",926,IF(Atletas!T508="Taijijian 32 D",927,IF(Atletas!T508="Taijijian 42 D",928,IF(Atletas!T508="Taijijian Yang E",929,IF(Atletas!T508="Taijijian Chen E",930,IF(Atletas!T508="Taijijian Sun E",931,IF(Atletas!T508="Taijijian Wu E",932,IF(Atletas!T508="Taijijian Wu-Hao E",933,IF(Atletas!T508="Taijijian 32 E",934,IF(Atletas!T508="Taijijian 42 E",935,IF(Atletas!T508="Taijijian Yang F",936,IF(Atletas!T508="Taijijian Chen F",937,IF(Atletas!T508="Taijijian Sun F",938,IF(Atletas!T508="Taijijian Wu F",939,IF(Atletas!T508="Taijijian Wu-Hao F",940,IF(Atletas!T508="Taijijian 32 F",941,IF(Atletas!T508="Taijijian 42 F",942,"")))))))))))))))))))))))))))))))))))))))))))</f>
        <v/>
      </c>
      <c r="BW512" s="52" t="str">
        <f>IF(Atletas!U508="","",IF(Atletas!W508&lt;&gt;"",10000,0)+IF(Atletas!B508="Feminino",1000,IF(Atletas!B508="Masculino",2000,""))+IF(Atletas!T508="Taijijian 42 F",942,IF(Atletas!U508="Taijidao A",943,IF(Atletas!U508="Taijishan A",944,IF(Atletas!U508="Taijiqiang A",945,IF(Atletas!U508="Taijidao B",946,IF(Atletas!U508="Taijishan B",947,IF(Atletas!U508="Taijiqiang B",948,IF(Atletas!U508="Taijidao C",949,IF(Atletas!U508="Taijishan C",950,IF(Atletas!U508="Taijiqiang C",951,IF(Atletas!U508="Taijidao D",952,IF(Atletas!U508="Taijishan D",953,IF(Atletas!U508="Taijiqiang D",954,IF(Atletas!U508="Taijidao E",955,IF(Atletas!U508="Taijishan E",956,IF(Atletas!U508="Taijiqiang E",957,IF(Atletas!U508="Taijidao F",958,IF(Atletas!U508="Taijishan F",959,IF(Atletas!U508="Taijiqiang F",960))))))))))))))))))))</f>
        <v/>
      </c>
      <c r="CF512" s="52" t="str">
        <f xml:space="preserve"> IF(Atletas!V508="","",IF(Atletas!V508="Duilian de Mãos AB - Equipe 1",1,IF(Atletas!V508="Duilian de Mãos AB - Equipe 2",2,IF(Atletas!V508="Duilian de Armas AB - Equipe 1",3,IF(Atletas!V508="Duilian de Armas AB - Equipe 2",4,IF(Atletas!V508="Duilian de Tuishou - Equipe 1",5,IF(Atletas!V508="Duilian de Tuishou - Equipe 2",6,IF(Atletas!V508="Grupo Externo AB - Equipe 1",7,IF(Atletas!V508="Grupo Externo AB - Equipe 2",8,IF(Atletas!V508="Grupo Interno AB - Equipe 1",9,IF(Atletas!V508="Grupo Interno AB - Equipe 2",10,IF(Atletas!V508="Duilian de Mãos CD - Equipe 1",11,IF(Atletas!V508="Duilian de Mãos CD - Equipe 2",12,IF(Atletas!V508="Duilian de Armas CD - Equipe 1",13,IF(Atletas!V508="Duilian de Armas CD - Equipe 2",14,IF(Atletas!V508="Duilian de Tuishou - Equipe 1",15,IF(Atletas!V508="Duilian de Tuishou - Equipe 2",16,IF(Atletas!V508="Grupo Externo CDEF - Equipe 1",17,IF(Atletas!V508="Grupo Externo CDEF - Equipe 2",18,IF(Atletas!V508="Grupo Interno CDEF - Equipe 1",19,IF(Atletas!V508="Grupo Interno CDEF - Equipe 2",20,IF(Atletas!V508="Duilian de Mãos EF - Equipe 1",21,IF(Atletas!V508="Duilian de Mãos EF - Equipe 2",22,IF(Atletas!V508="Duilian de Armas EF - Equipe 1",23,IF(Atletas!V508="Duilian de Armas EF - Equipe 2",24,IF(Atletas!V508="Duilian de Tuishou - Equipe 1",25,IF(Atletas!V508="Duilian de Tuishou - Equipe 2",26,"")))))))))))))))))))))))))))</f>
        <v/>
      </c>
    </row>
    <row r="513" spans="36:84">
      <c r="AJ513" s="46" t="str">
        <f>IF(Atletas!D509="","",IF(Atletas!B509="Feminino",100,IF(Atletas!B509="Masculino",200,""))+(IF(Atletas!D509="Infantil 39kg",1,IF(Atletas!D509="Infantil 42kg",2,IF(Atletas!D509="Infantil 45kg",3,IF(Atletas!D509="Infantil 48kg",4,IF(Atletas!D509="Infantil 52kg",5,IF(Atletas!D509="Infantil 56kg",6,IF(Atletas!D509="Infantil 60kg",7,IF(Atletas!D509="Juvenil 48kg",8,IF(Atletas!D509="Juvenil 52kg",9,IF(Atletas!D509="Juvenil 56kg",10,IF(Atletas!D509="Juvenil 60kg",11,IF(Atletas!D509="Juvenil 65kg",12,IF(Atletas!D509="Juvenil 70kg",13,IF(Atletas!D509="Juvenil 75kg",14,IF(Atletas!D509="Juvenil 80kg",15,IF(Atletas!D509="Adulto 48kg",16,IF(Atletas!D509="Adulto 52kg",17,IF(Atletas!D509="Adulto 56kg",18,IF(Atletas!D509="Adulto 60kg",19,IF(Atletas!D509="Adulto 65kg",20,IF(Atletas!D509="Adulto 70kg",21,IF(Atletas!D509="Adulto 75kg",22,IF(Atletas!D509="Adulto 80kg",23,IF(Atletas!D509="Adulto 85kg",24,IF(Atletas!D509="Adulto 90kg",25,IF(Atletas!D509="Adulto +90kg",26,""))))))))))))))))))))))))))))</f>
        <v/>
      </c>
      <c r="AO513" s="10" t="str">
        <f>IF(Atletas!E509="","",IF(Atletas!B509="Feminino",100,IF(Atletas!B509="Masculino",200,""))+(IF(Atletas!E509="Juvenil 44kg",1,IF(Atletas!E509="Juvenil 48kg",2,IF(Atletas!E509="Juvenil 52kg",3,IF(Atletas!E509="Juvenil 56kg",4,IF(Atletas!E509="Juvenil 60kg",5,IF(Atletas!E509="Juvenil 65kg",6,IF(Atletas!E509="Juvenil 70kg",7,IF(Atletas!E509="Juvenil 75kg",8,IF(Atletas!E509="Juvenil 82kg",9,IF(Atletas!E509="Juvenil 90kg",10,IF(Atletas!E509="Juvenil 100kg",11,IF(Atletas!E509="Adulto 48kg",12,IF(Atletas!E509="Adulto 52kg",13,IF(Atletas!E509="Adulto 56kg",14,IF(Atletas!E509="Adulto 60kg",15,IF(Atletas!E509="Adulto 65kg",16,IF(Atletas!E509="Adulto 70kg",17,IF(Atletas!E509="Adulto 75kg",18,IF(Atletas!E509="Adulto 82kg",19,IF(Atletas!E509="Adulto 90kg",20,IF(Atletas!E509="Adulto 100kg",21,IF(Atletas!E509="Adulto +100kg",22,""))))))))))))))))))))))))</f>
        <v/>
      </c>
      <c r="AT513" s="10" t="str">
        <f>IF(Atletas!F509="","",IF(Atletas!B509="Feminino",100,IF(Atletas!B509="Masculino",200,""))+(IF(Atletas!F509="Adulto 48kg",1,IF(Atletas!F509="Adulto 56kg",2,IF(Atletas!F509="Adulto 65kg",3,IF(Atletas!F509="Adulto 75kg",4,IF(Atletas!F509="Adulto +75kg",5,IF(Atletas!F509="Adulto 52kg",6,IF(Atletas!F509="Adulto 60kg",7,IF(Atletas!F509="Adulto 70kg",8,IF(Atletas!F509="Adulto 80kg",9,IF(Atletas!F509="Adulto 90kg",10,IF(Atletas!F509="Adulto +90kg",11,"")))))))))))))</f>
        <v/>
      </c>
      <c r="AY513" s="46" t="str">
        <f>IF(Atletas!G509="","",IF(Atletas!B509="Feminino",100,IF(Atletas!B509="Masculino",200,""))+(IF(Atletas!G509="Changquan Mirim",1,IF(Atletas!G509="Nanquan Mirim",2,IF(Atletas!G509="Taijiquan Mirim",3,IF(Atletas!G509="Changquan Grupo C",4,IF(Atletas!G509="Nanquan Grupo C",5,IF(Atletas!G509="Taijiquan Grupo C",6,IF(Atletas!G509="Changquan Grupo B",7,IF(Atletas!G509="Nanquan Grupo B",8,IF(Atletas!G509="Taijiquan Grupo B",9,IF(Atletas!G509="Changquan Grupo A",10,IF(Atletas!G509="Nanquan Grupo A",11,IF(Atletas!G509="Taijiquan Grupo A",12,IF(Atletas!G509="Changquan Opcional",13,IF(Atletas!G509="Nanquan Opcional",14,IF(Atletas!G509="Taijiquan Opcional",15,IF(Atletas!G509="Changquan Adulto",16,IF(Atletas!G509="Nanquan Adulto",17,IF(Atletas!G509="Taijiquan Adulto",18,""))))))))))))))))))))</f>
        <v/>
      </c>
      <c r="AZ513" s="46" t="str">
        <f>IF(Atletas!H509="","",IF(Atletas!B509="Feminino",100,IF(Atletas!B509="Masculino",200,""))+(IF(Atletas!H509="Daoshu Mirim",19,IF(Atletas!H509="Jianshu Mirim",20,IF(Atletas!H509="Nandao Mirim",21,IF(Atletas!H509="Taijijian Mirim",22,IF(Atletas!H509="Daoshu Grupo C",23,IF(Atletas!H509="Jianshu Grupo C",24,IF(Atletas!H509="Nandao Grupo C",25,IF(Atletas!H509="Taijijian Grupo C",26,IF(Atletas!H509="Daoshu Grupo B",27,IF(Atletas!H509="Jianshu Grupo B",28,IF(Atletas!H509="Nandao Grupo B",29,IF(Atletas!H509="Taijijian Grupo B",30,IF(Atletas!H509="Daoshu Grupo A",31,IF(Atletas!H509="Jianshu Grupo A",32,IF(Atletas!H509="Nandao Grupo A",33,IF(Atletas!H509="Taijijian Grupo A",34,IF(Atletas!H509="Daoshu Opcional",35,IF(Atletas!H509="Jianshu Opcional",36,IF(Atletas!H509="Nandao Opcional",37,IF(Atletas!H509="Taijijian Opcional",38,IF(Atletas!H509="Daoshu Adulto",39,IF(Atletas!H509="Jianshu Adulto",40,IF(Atletas!H509="Nandao Adulto",41,IF(Atletas!H509="Taijijian Adulto",42,""))))))))))))))))))))))))))</f>
        <v/>
      </c>
      <c r="BA513" s="46" t="str">
        <f>IF(Atletas!I509="","",IF(Atletas!B509="Feminino",100,IF(Atletas!B509="Masculino",200,""))+(IF(Atletas!I509="Gunshu Mirim",43,IF(Atletas!I509="Qiangshu Mirim",44,IF(Atletas!I509="Nangun Mirim",45,IF(Atletas!I509="Gunshu Grupo C",46,IF(Atletas!I509="Qiangshu Grupo C",47,IF(Atletas!I509="Nangun Grupo C",48,IF(Atletas!I509="Gunshu Grupo B",49,IF(Atletas!I509="Qiangshu Grupo B",50,IF(Atletas!I509="Nangun Grupo B",51,IF(Atletas!I509="Gunshu Grupo A",52,IF(Atletas!I509="Qiangshu Grupo A",53,IF(Atletas!I509="Nangun Grupo A",54,IF(Atletas!I509="Gunshu Opcional",55,IF(Atletas!I509="Qiangshu Opcional",56,IF(Atletas!I509="Nangun Opcional",57,IF(Atletas!I509="Gunshu Adulto",58,IF(Atletas!I509="Qiangshu Adulto",59,IF(Atletas!I509="Nangun Adulto",60,""))))))))))))))))))))</f>
        <v/>
      </c>
      <c r="BF513" s="52" t="str">
        <f>IF(Atletas!J509="","",IF(Atletas!B509="Feminino",100,IF(Atletas!B509="Masculino",200,""))+(IF(Atletas!J509="Equipe 1 Grupo B",1,IF(Atletas!J509="Equipe 2 Grupo B",2,IF(Atletas!J509="Equipe 1 Grupo A",3,IF(Atletas!J509="Equipe 2 Grupo A",4,IF(Atletas!J509="Equipe 1 Adulto",5,IF(Atletas!J509="Equipe 2 Adulto",6,""))))))))</f>
        <v/>
      </c>
      <c r="BK513" s="52" t="str">
        <f>IF(Atletas!K509="","",IF(Atletas!W509&lt;&gt;"",10000,0)+(IF(Atletas!B509="Feminino",1000,IF(Atletas!B509="Masculino",2000,""))+IF(Atletas!K509="Choylayfut A",1,IF(Atletas!K509="Hunggar A",2,IF(Atletas!K509="Wuzuquan A",3,IF(Atletas!K509="Wingchun A",4,IF(Atletas!K509="Outra Mão de Sul A",5,IF(Atletas!K509="Choylayfut B",6,IF(Atletas!K509="Hunggar B",7,IF(Atletas!K509="Wuzuquan B",8,IF(Atletas!K509="Wingchun B",9,IF(Atletas!K509="Outra Mão de Sul B",10,IF(Atletas!K509="Choylayfut C",11,IF(Atletas!K509="Hunggar C",12,IF(Atletas!K509="Wuzuquan C",13,IF(Atletas!K509="Wingchun C",14,IF(Atletas!K509="Outra Mão de Sul C",15,IF(Atletas!K509="Choylayfut D",16,IF(Atletas!K509="Hunggar D",17,IF(Atletas!K509="Wuzuquan D",18,IF(Atletas!K509="Wingchun D",19,IF(Atletas!K509="Outra Mão de Sul D",20,IF(Atletas!K509="Choylayfut E",21,IF(Atletas!K509="Hunggar E",22,IF(Atletas!K509="Wuzuquan E",23,IF(Atletas!K509="Wingchun E",24,IF(Atletas!K509="Outra Mão de Sul E",25,IF(Atletas!K509="Choylayfut F",26,IF(Atletas!K509="Hunggar F",27,IF(Atletas!K509="Wuzuquan F",28,IF(Atletas!K509="Wingchun F",29,IF(Atletas!K509="Outra Mão de Sul F",30,""))))))))))))))))))))))))))))))))</f>
        <v/>
      </c>
      <c r="BL513" s="52" t="str">
        <f>IF(Atletas!L509="","",IF(Atletas!W509&lt;&gt;"",10000,0)+(IF(Atletas!B509="Feminino",1000,IF(Atletas!B509="Masculino",2000,""))+(IF(Atletas!L509="Chaquan A",101,IF(Atletas!L509="Emeiquan A",102,IF(Atletas!L509="Fanziquan A",103,IF(Atletas!L509="Huaquan A",104,IF(Atletas!L509="Hongquan A",105,IF(Atletas!L509="Paochui A",106,IF(Atletas!L509="Piguaquan A",107,IF(Atletas!L509="Shaolinquan A",108,IF(Atletas!L509="Tanglangquan A",109,IF(Atletas!L509="Yinzhaophai A",110,IF(Atletas!L509="Tongbeiquan A",111,IF(Atletas!L509="Wudangquan A",112,IF(Atletas!L509="Outros Estilos A",113,IF(Atletas!L509="Chaquan B",114,IF(Atletas!L509="Emeiquan B",115,IF(Atletas!L509="Fanziquan B",116,IF(Atletas!L509="Huaquan B",117,IF(Atletas!L509="Hongquan B",118,IF(Atletas!L509="Paochui B",119,IF(Atletas!L509="Piguaquan B",120,IF(Atletas!L509="Shaolinquan B",121,IF(Atletas!L509="Tanglangquan B",122,IF(Atletas!L509="Yinzhaophai B",123,IF(Atletas!L509="Tongbeiquan B",124,IF(Atletas!L509="Wudangquan B",125,IF(Atletas!L509="Outros Estilos B",126,IF(Atletas!L509="Chaquan C",127,IF(Atletas!L509="Emeiquan C",128,IF(Atletas!L509="Fanziquan C",129,IF(Atletas!L509="Huaquan C",130,IF(Atletas!L509="Hongquan C",131,IF(Atletas!L509="Paochui C",132,IF(Atletas!L509="Piguaquan C",133,IF(Atletas!L509="Shaolinquan C",134,IF(Atletas!L509="Tanglangquan C",135,IF(Atletas!L509="Yinzhaophai C",136,IF(Atletas!L509="Tongbeiquan C",137,IF(Atletas!L509="Wudangquan C",138,IF(Atletas!L509="Outros Estilos C",139,0))))))))))))))))))))))))))))))))))))))))))</f>
        <v/>
      </c>
      <c r="BM513" s="52" t="str">
        <f>IF(Atletas!L509="","",IF(Atletas!W509&lt;&gt;"",10000,0)+(IF(Atletas!B509="Feminino",1000,IF(Atletas!B509="Masculino",2000,""))+(IF(Atletas!L509="Chaquan D",140,IF(Atletas!L509="Emeiquan D",141,IF(Atletas!L509="Fanziquan D",142,IF(Atletas!L509="Huaquan D",143,IF(Atletas!L509="Hongquan D",144,IF(Atletas!L509="Paochui D",145,IF(Atletas!L509="Piguaquan D",146,IF(Atletas!L509="Shaolinquan D",147,IF(Atletas!L509="Tanglangquan D",148,IF(Atletas!L509="Yinzhaophai D",149,IF(Atletas!L509="Tongbeiquan D",150,IF(Atletas!L509="Wudangquan D",151,IF(Atletas!L509="Outros Estilos D",152,IF(Atletas!L509="Chaquan E",153,IF(Atletas!L509="Emeiquan E",154,IF(Atletas!L509="Fanziquan E",155,IF(Atletas!L509="Huaquan E",156,IF(Atletas!L509="Hongquan E",157,IF(Atletas!L509="Paochui E",158,IF(Atletas!L509="Piguaquan E",159,IF(Atletas!L509="Shaolinquan E",160,IF(Atletas!L509="Tanglangquan E",161,IF(Atletas!L509="Yinzhaophai E",162,IF(Atletas!L509="Tongbeiquan E",163,IF(Atletas!L509="Wudangquan E",164,IF(Atletas!L509="Outros Estilos E",165,IF(Atletas!L509="Chaquan F",166,IF(Atletas!L509="Emeiquan F",167,IF(Atletas!L509="Fanziquan F",168,IF(Atletas!L509="Huaquan F",169,IF(Atletas!L509="Hongquan F",170,IF(Atletas!L509="Paochui F",171,IF(Atletas!L509="Piguaquan F",172,IF(Atletas!L509="Shaolinquan F",173,IF(Atletas!L509="Tanglangquan F",174,IF(Atletas!L509="Yinzhaophai F",175,IF(Atletas!L509="Tongbeiquan F",176,IF(Atletas!L509="Wudangquan F",177,IF(Atletas!L509="Outros Estilos F",178,0))))))))))))))))))))))))))))))))))))))))))</f>
        <v/>
      </c>
      <c r="BN513" s="52" t="str">
        <f>IF(Atletas!M509="","",IF(Atletas!W509&lt;&gt;"",10000,0)+(IF(Atletas!B509="Feminino",1000,IF(Atletas!B509="Masculino",2000,""))+(IF(Atletas!M509="Ditangquan A",201,IF(Atletas!M509="Houquan A",202,IF(Atletas!M509="Zuiquan A",203,IF(Atletas!M509="Ditangquan B",204,IF(Atletas!M509="Houquan B",205,IF(Atletas!M509="Zuiquan B",206,IF(Atletas!M509="Ditangquan C",207,IF(Atletas!M509="Houquan C",208,IF(Atletas!M509="Zuiquan C",209,IF(Atletas!M509="Ditangquan D",210,IF(Atletas!M509="Houquan D",211,IF(Atletas!M509="Zuiquan D",212,IF(Atletas!M509="Ditangquan E",213,IF(Atletas!M509="Houquan E",214,IF(Atletas!M509="Zuiquan E",215,IF(Atletas!M509="Ditangquan F",216,IF(Atletas!M509="Houquan F",217,IF(Atletas!M509="Zuiquan F",218,"")))))))))))))))))))))</f>
        <v/>
      </c>
      <c r="BO513" s="52" t="str">
        <f>IF(Atletas!N509="","",IF(Atletas!W509&lt;&gt;"",10000,0)+IF(Atletas!B509="Feminino",1000,IF(Atletas!B509="Masculino",2000,""))+IF(Atletas!N509="Yang A",301,IF(Atletas!N509="Chen A",30,IF(Atletas!N509="Sun A",303,IF(Atletas!N509="Wu A",304,IF(Atletas!N509="Wu-Hao A",305,IF(Atletas!N509="Outro Taijiquan A",306,IF(Atletas!N509="Yang B",307,IF(Atletas!N509="Chen B",308,IF(Atletas!N509="Sun B",309,IF(Atletas!N509="Wu B",310,IF(Atletas!N509="Wu-Hao B",311,IF(Atletas!N509="Outro Taijiquan B",312,IF(Atletas!N509="Yang C",313,IF(Atletas!N509="Chen C",314,IF(Atletas!N509="Sun C",315,IF(Atletas!N509="Wu C",316,IF(Atletas!N509="Wu-Hao C",317,IF(Atletas!N509="Outro Taijiquan C",318,IF(Atletas!N509="Yang D",319,IF(Atletas!N509="Chen D",320,IF(Atletas!N509="Sun D",321,IF(Atletas!N509="Wu D",322,IF(Atletas!N509="Wu-Hao D",323,IF(Atletas!N509="Outro Taijiquan D",324,IF(Atletas!N509="Yang E",325,IF(Atletas!N509="Chen E",326,IF(Atletas!N509="Sun E",327,IF(Atletas!N509="Wu E",328,IF(Atletas!N509="Wu-Hao E",329,IF(Atletas!N509="Outro Taijiquan E",330,IF(Atletas!N509="Yang F",331,IF(Atletas!N509="Chen F",332,IF(Atletas!N509="Sun F",333,IF(Atletas!N509="Wu F",334,IF(Atletas!N509="Wu-Hao F",335,IF(Atletas!N509="Outro Taijiquan F",336,"")))))))))))))))))))))))))))))))))))))</f>
        <v/>
      </c>
      <c r="BP513" s="52" t="str">
        <f>IF(Atletas!O509="","",IF(Atletas!W509&lt;&gt;"",10000,0)+IF(Atletas!B509="Feminino",1000,IF(Atletas!B509="Masculino",2000,""))+IF(OR(Atletas!O509="Yang 26 A",Atletas!O509="Yang 40 A"),401,IF(OR(Atletas!O509="Chen 25 A",Atletas!O509="Chen 36 A",Atletas!O509="Chen 56 A"),402,IF(Atletas!O509="Sun 73 A",403,IF(Atletas!O509="Wu 45 A",404,IF(Atletas!O509="Wu-Hao 46 A",405,IF(OR(Atletas!O509="Taijiquan 16 A",Atletas!O509="Taijiquan 24 A",Atletas!O509="Taijiquan 32 A",Atletas!O509="Taijiquan 42 A"),406,IF(OR(Atletas!O509="Yang 26 B",Atletas!O509="Yang 40 B"),407,IF(OR(Atletas!O509="Chen 25 B",Atletas!O509="Chen 36 B",Atletas!O509="Chen 56 B"),408,IF(Atletas!O509="Sun 73 B",409,IF(Atletas!O509="Wu 45 B",410,IF(Atletas!O509="Wu-Hao 46 B",411,IF(OR(Atletas!O509="Taijiquan 16 B",Atletas!O509="Taijiquan 24 B",Atletas!O509="Taijiquan 32 B",Atletas!O509="Taijiquan 42 B"),412,IF(OR(Atletas!O509="Yang 26 C",Atletas!O509="Yang 40 C"),413,IF(OR(Atletas!O509="Chen 25 C",Atletas!O509="Chen 36 C",Atletas!O509="Chen 56 C"),414,IF(Atletas!O509="Sun 73 C",415,IF(Atletas!O509="Wu 45 C",416,IF(Atletas!O509="Wu-Hao 46 C",417,IF(OR(Atletas!O509="Taijiquan 16 C",Atletas!O509="Taijiquan 24 C",Atletas!O509="Taijiquan 32 C",Atletas!O509="Taijiquan 42 C"),418,0)))))))))))))))))))</f>
        <v/>
      </c>
      <c r="BQ513" s="52" t="str">
        <f>IF(Atletas!O509="","",IF(Atletas!W509&lt;&gt;"",10000,0)+IF(Atletas!B509="Feminino",1000,IF(Atletas!B509="Masculino",2000,""))+IF(OR(Atletas!O509="Yang 26 D",Atletas!O509="Yang 40 D"),419,IF(OR(Atletas!O509="Chen 25 D",Atletas!O509="Chen 36 D",Atletas!O509="Chen 56 D"),420,IF(Atletas!O509="Sun 73 D",421,IF(Atletas!O509="Wu 45 D",422,IF(Atletas!O509="Wu-Hao 46 D",423,IF(OR(Atletas!O509="Taijiquan 16 D",Atletas!O509="Taijiquan 24 D",Atletas!O509="Taijiquan 32 D",Atletas!O509="Taijiquan 42 D"),424,IF(OR(Atletas!O509="Yang 26 E",Atletas!O509="Yang 40 E"),425,IF(OR(Atletas!O509="Chen 25 E",Atletas!O509="Chen 36 E",Atletas!O509="Chen 56 E"),426,IF(Atletas!O509="Sun 73 E",427,IF(Atletas!O509="Wu 45 E",428,IF(Atletas!O509="Wu-Hao 46 E",429,IF(OR(Atletas!O509="Taijiquan 16 E",Atletas!O509="Taijiquan 24 E",Atletas!O509="Taijiquan 32 E",Atletas!O509="Taijiquan 42 E"),430,IF(OR(Atletas!O509="Yang 26 F",Atletas!O509="Yang 40 F"),431,IF(OR(Atletas!O509="Chen 25 F",Atletas!O509="Chen 36 F",Atletas!O509="Chen 56 F"),432,IF(Atletas!O509="Sun 73 F",433,IF(Atletas!O509="Wu 45 F",434,IF(Atletas!O509="Wu-Hao 46 F",435,IF(OR(Atletas!O509="Taijiquan 16 F",Atletas!O509="Taijiquan 24 F",Atletas!O509="Taijiquan 32 F",Atletas!O509="Taijiquan 42 F"),436,0)))))))))))))))))))</f>
        <v/>
      </c>
      <c r="BR513" s="52" t="str">
        <f>IF(Atletas!P509="","",IF(Atletas!W509&lt;&gt;"",10000,0)+IF(Atletas!B509="Feminino",1000,IF(Atletas!B509="Masculino",2000,""))+IF(Atletas!P509="Xingyiquan A",501,IF(Atletas!P509="Baguazhang A",502,IF(Atletas!P509="Outro Estilo Interno A",503,IF(Atletas!P509="Xingyiquan B",504,IF(Atletas!P509="Baguazhang B",505,IF(Atletas!P509="Outro Estilo Interno B",506,IF(Atletas!P509="Xingyiquan C",507,IF(Atletas!P509="Baguazhang C",508,IF(Atletas!P509="Outro Estilo Interno C",509,IF(Atletas!P509="Xingyiquan D",510,IF(Atletas!P509="Baguazhang D",511,IF(Atletas!P509="Outro Estilo Interno D",512,IF(Atletas!P509="Xingyiquan E",513,IF(Atletas!P509="Baguazhang E",514,IF(Atletas!P509="Outro Estilo Interno E",515,IF(Atletas!P509="Xingyiquan F",516,IF(Atletas!P509="Baguazhang F",517,IF(Atletas!P509="Outro Estilo Interno F",518, "")))))))))))))))))))</f>
        <v/>
      </c>
      <c r="BS513" s="52" t="str">
        <f>IF(Atletas!Q509="","",IF(Atletas!W509&lt;&gt;"",10000,0)+IF(Atletas!B509="Feminino",1000,IF(Atletas!B509="Masculino",2000,""))+IF(Atletas!Q509="Dao A",601,IF(Atletas!Q509="Jian A",602,IF(Atletas!Q509="Bishou A",603,IF(Atletas!Q509="Shan A",604,IF(Atletas!Q509="Outra Arma Curta A",605,IF(Atletas!Q509="Dao B",606,IF(Atletas!Q509="Jian B",607,IF(Atletas!Q509="Bishou B",608,IF(Atletas!Q509="Shan B",609,IF(Atletas!Q509="Outra Arma Curta B",610,IF(Atletas!Q509="Dao C",611,IF(Atletas!Q509="Jian C",612,IF(Atletas!Q509="Bishou C",613,IF(Atletas!Q509="Shan C",614,IF(Atletas!Q509="Outra Arma Curta C",615,IF(Atletas!Q509="Dao D",616,IF(Atletas!Q509="Jian D",617,IF(Atletas!Q509="Bishou D",618,IF(Atletas!Q509="Shan D",619,IF(Atletas!Q509="Outra Arma Curta D",620,IF(Atletas!Q509="Dao E",621,IF(Atletas!Q509="Jian E",622,IF(Atletas!Q509="Bishou E",623,IF(Atletas!Q509="Shan E",624,IF(Atletas!Q509="Outra Arma Curta E",625,IF(Atletas!Q509="Dao F",626,IF(Atletas!Q509="Jian F",627,IF(Atletas!Q509="Bishou F",628,IF(Atletas!Q509="Shan F",629,IF(Atletas!Q509="Outra Arma Curta F",630, "")))))))))))))))))))))))))))))))</f>
        <v/>
      </c>
      <c r="BT513" s="52" t="str">
        <f>IF(Atletas!R509="","",IF(Atletas!W509&lt;&gt;"",10000,0)+IF(Atletas!B509="Feminino",1000,IF(Atletas!B509="Masculino",2000,""))+IF(Atletas!R509="Gun A",701,IF(Atletas!R509="Qiang A",702,IF(Atletas!R509="Pudao / Guandao A",703,IF(Atletas!R509="Outra Arma Longa A",704,IF(Atletas!R509="Gun B",705,IF(Atletas!R509="Qiang B",706,IF(Atletas!R509="Pudao / Guandao B",707,IF(Atletas!R509="Outra Arma Longa B",708,IF(Atletas!R509="Gun C",709,IF(Atletas!R509="Qiang C",710,IF(Atletas!R509="Pudao / Guandao C",711,IF(Atletas!R509="Outra Arma Longa C",712,IF(Atletas!R509="Gun D",713,IF(Atletas!R509="Qiang D",714,IF(Atletas!R509="Pudao / Guandao D",715,IF(Atletas!R509="Outra Arma Longa D",716,IF(Atletas!R509="Gun E",717,IF(Atletas!R509="Qiang E",718,IF(Atletas!R509="Pudao / Guandao E",719,IF(Atletas!R509="Outra Arma Longa E",720,IF(Atletas!R509="Gun F",721,IF(Atletas!R509="Qiang F",722,IF(Atletas!R509="Pudao / Guandao F",723,IF(Atletas!R509="Outra Arma Longa F",724,"")))))))))))))))))))))))))</f>
        <v/>
      </c>
      <c r="BU513" s="52" t="str">
        <f>IF(Atletas!S509="","",IF(Atletas!W509&lt;&gt;"",10000,0)+IF(Atletas!B509="Feminino",1000,IF(Atletas!B509="Masculino",2000,""))+IF(Atletas!S509="Arma Dupla A",801,IF(Atletas!S509="Arma Maleável A",802,IF(Atletas!S509="Arma Dupla B",803,IF(Atletas!S509="Arma Maleável B",804,IF(Atletas!S509="Arma Dupla C",805,IF(Atletas!S509="Arma Maleável C",806,IF(Atletas!S509="Arma Dupla D",807,IF(Atletas!S509="Arma Maleável D",808,IF(Atletas!S509="Arma Dupla E",809,IF(Atletas!S509="Arma Maleável E",810,IF(Atletas!S509="Arma Dupla F",811,IF(Atletas!S509="Arma Maleável F",812, "")))))))))))))</f>
        <v/>
      </c>
      <c r="BV513" s="52" t="str">
        <f>IF(Atletas!T509="","",IF(Atletas!W509&lt;&gt;"",10000,0)+IF(Atletas!B509="Feminino",1000,IF(Atletas!B509="Masculino",2000,""))+IF(Atletas!T509="Taijijian Yang A",901,IF(Atletas!T509="Taijijian Chen A",902,IF(Atletas!T509="Taijijian Sun A",903,IF(Atletas!T509="Taijijian Wu A",904,IF(Atletas!T509="Taijijian Wu-Hao A",905,IF(Atletas!T509="Taijijian 32 A",906,IF(Atletas!T509="Taijijian 42 A",907,IF(Atletas!T509="Taijijian Yang B",908,IF(Atletas!T509="Taijijian Chen B",909,IF(Atletas!T509="Taijijian Sun B",910,IF(Atletas!T509="Taijijian Wu B",911,IF(Atletas!T509="Taijijian Wu-Hao B",912,IF(Atletas!T509="Taijijian 32 B",913,IF(Atletas!T509="Taijijian 42 B",914,IF(Atletas!T509="Taijijian Yang C",915,IF(Atletas!T509="Taijijian Chen C",916,IF(Atletas!T509="Taijijian Sun C",917,IF(Atletas!T509="Taijijian Wu C",918,IF(Atletas!T509="Taijijian Wu-Hao C",919,IF(Atletas!T509="Taijijian 32 C",920,IF(Atletas!T509="Taijijian 42 C",921,IF(Atletas!T509="Taijijian Yang D",922,IF(Atletas!T509="Taijijian Chen D",923,IF(Atletas!T509="Taijijian Sun D",924,IF(Atletas!T509="Taijijian Wu D",925,IF(Atletas!T509="Taijijian Wu-Hao D",926,IF(Atletas!T509="Taijijian 32 D",927,IF(Atletas!T509="Taijijian 42 D",928,IF(Atletas!T509="Taijijian Yang E",929,IF(Atletas!T509="Taijijian Chen E",930,IF(Atletas!T509="Taijijian Sun E",931,IF(Atletas!T509="Taijijian Wu E",932,IF(Atletas!T509="Taijijian Wu-Hao E",933,IF(Atletas!T509="Taijijian 32 E",934,IF(Atletas!T509="Taijijian 42 E",935,IF(Atletas!T509="Taijijian Yang F",936,IF(Atletas!T509="Taijijian Chen F",937,IF(Atletas!T509="Taijijian Sun F",938,IF(Atletas!T509="Taijijian Wu F",939,IF(Atletas!T509="Taijijian Wu-Hao F",940,IF(Atletas!T509="Taijijian 32 F",941,IF(Atletas!T509="Taijijian 42 F",942,"")))))))))))))))))))))))))))))))))))))))))))</f>
        <v/>
      </c>
      <c r="BW513" s="52" t="str">
        <f>IF(Atletas!U509="","",IF(Atletas!W509&lt;&gt;"",10000,0)+IF(Atletas!B509="Feminino",1000,IF(Atletas!B509="Masculino",2000,""))+IF(Atletas!T509="Taijijian 42 F",942,IF(Atletas!U509="Taijidao A",943,IF(Atletas!U509="Taijishan A",944,IF(Atletas!U509="Taijiqiang A",945,IF(Atletas!U509="Taijidao B",946,IF(Atletas!U509="Taijishan B",947,IF(Atletas!U509="Taijiqiang B",948,IF(Atletas!U509="Taijidao C",949,IF(Atletas!U509="Taijishan C",950,IF(Atletas!U509="Taijiqiang C",951,IF(Atletas!U509="Taijidao D",952,IF(Atletas!U509="Taijishan D",953,IF(Atletas!U509="Taijiqiang D",954,IF(Atletas!U509="Taijidao E",955,IF(Atletas!U509="Taijishan E",956,IF(Atletas!U509="Taijiqiang E",957,IF(Atletas!U509="Taijidao F",958,IF(Atletas!U509="Taijishan F",959,IF(Atletas!U509="Taijiqiang F",960))))))))))))))))))))</f>
        <v/>
      </c>
      <c r="CF513" s="52" t="str">
        <f xml:space="preserve"> IF(Atletas!V509="","",IF(Atletas!V509="Duilian de Mãos AB - Equipe 1",1,IF(Atletas!V509="Duilian de Mãos AB - Equipe 2",2,IF(Atletas!V509="Duilian de Armas AB - Equipe 1",3,IF(Atletas!V509="Duilian de Armas AB - Equipe 2",4,IF(Atletas!V509="Duilian de Tuishou - Equipe 1",5,IF(Atletas!V509="Duilian de Tuishou - Equipe 2",6,IF(Atletas!V509="Grupo Externo AB - Equipe 1",7,IF(Atletas!V509="Grupo Externo AB - Equipe 2",8,IF(Atletas!V509="Grupo Interno AB - Equipe 1",9,IF(Atletas!V509="Grupo Interno AB - Equipe 2",10,IF(Atletas!V509="Duilian de Mãos CD - Equipe 1",11,IF(Atletas!V509="Duilian de Mãos CD - Equipe 2",12,IF(Atletas!V509="Duilian de Armas CD - Equipe 1",13,IF(Atletas!V509="Duilian de Armas CD - Equipe 2",14,IF(Atletas!V509="Duilian de Tuishou - Equipe 1",15,IF(Atletas!V509="Duilian de Tuishou - Equipe 2",16,IF(Atletas!V509="Grupo Externo CDEF - Equipe 1",17,IF(Atletas!V509="Grupo Externo CDEF - Equipe 2",18,IF(Atletas!V509="Grupo Interno CDEF - Equipe 1",19,IF(Atletas!V509="Grupo Interno CDEF - Equipe 2",20,IF(Atletas!V509="Duilian de Mãos EF - Equipe 1",21,IF(Atletas!V509="Duilian de Mãos EF - Equipe 2",22,IF(Atletas!V509="Duilian de Armas EF - Equipe 1",23,IF(Atletas!V509="Duilian de Armas EF - Equipe 2",24,IF(Atletas!V509="Duilian de Tuishou - Equipe 1",25,IF(Atletas!V509="Duilian de Tuishou - Equipe 2",26,"")))))))))))))))))))))))))))</f>
        <v/>
      </c>
    </row>
    <row r="514" spans="36:84">
      <c r="AJ514" s="46" t="str">
        <f>IF(Atletas!D510="","",IF(Atletas!B510="Feminino",100,IF(Atletas!B510="Masculino",200,""))+(IF(Atletas!D510="Infantil 39kg",1,IF(Atletas!D510="Infantil 42kg",2,IF(Atletas!D510="Infantil 45kg",3,IF(Atletas!D510="Infantil 48kg",4,IF(Atletas!D510="Infantil 52kg",5,IF(Atletas!D510="Infantil 56kg",6,IF(Atletas!D510="Infantil 60kg",7,IF(Atletas!D510="Juvenil 48kg",8,IF(Atletas!D510="Juvenil 52kg",9,IF(Atletas!D510="Juvenil 56kg",10,IF(Atletas!D510="Juvenil 60kg",11,IF(Atletas!D510="Juvenil 65kg",12,IF(Atletas!D510="Juvenil 70kg",13,IF(Atletas!D510="Juvenil 75kg",14,IF(Atletas!D510="Juvenil 80kg",15,IF(Atletas!D510="Adulto 48kg",16,IF(Atletas!D510="Adulto 52kg",17,IF(Atletas!D510="Adulto 56kg",18,IF(Atletas!D510="Adulto 60kg",19,IF(Atletas!D510="Adulto 65kg",20,IF(Atletas!D510="Adulto 70kg",21,IF(Atletas!D510="Adulto 75kg",22,IF(Atletas!D510="Adulto 80kg",23,IF(Atletas!D510="Adulto 85kg",24,IF(Atletas!D510="Adulto 90kg",25,IF(Atletas!D510="Adulto +90kg",26,""))))))))))))))))))))))))))))</f>
        <v/>
      </c>
      <c r="AO514" s="10" t="str">
        <f>IF(Atletas!E510="","",IF(Atletas!B510="Feminino",100,IF(Atletas!B510="Masculino",200,""))+(IF(Atletas!E510="Juvenil 44kg",1,IF(Atletas!E510="Juvenil 48kg",2,IF(Atletas!E510="Juvenil 52kg",3,IF(Atletas!E510="Juvenil 56kg",4,IF(Atletas!E510="Juvenil 60kg",5,IF(Atletas!E510="Juvenil 65kg",6,IF(Atletas!E510="Juvenil 70kg",7,IF(Atletas!E510="Juvenil 75kg",8,IF(Atletas!E510="Juvenil 82kg",9,IF(Atletas!E510="Juvenil 90kg",10,IF(Atletas!E510="Juvenil 100kg",11,IF(Atletas!E510="Adulto 48kg",12,IF(Atletas!E510="Adulto 52kg",13,IF(Atletas!E510="Adulto 56kg",14,IF(Atletas!E510="Adulto 60kg",15,IF(Atletas!E510="Adulto 65kg",16,IF(Atletas!E510="Adulto 70kg",17,IF(Atletas!E510="Adulto 75kg",18,IF(Atletas!E510="Adulto 82kg",19,IF(Atletas!E510="Adulto 90kg",20,IF(Atletas!E510="Adulto 100kg",21,IF(Atletas!E510="Adulto +100kg",22,""))))))))))))))))))))))))</f>
        <v/>
      </c>
      <c r="AT514" s="10" t="str">
        <f>IF(Atletas!F510="","",IF(Atletas!B510="Feminino",100,IF(Atletas!B510="Masculino",200,""))+(IF(Atletas!F510="Adulto 48kg",1,IF(Atletas!F510="Adulto 56kg",2,IF(Atletas!F510="Adulto 65kg",3,IF(Atletas!F510="Adulto 75kg",4,IF(Atletas!F510="Adulto +75kg",5,IF(Atletas!F510="Adulto 52kg",6,IF(Atletas!F510="Adulto 60kg",7,IF(Atletas!F510="Adulto 70kg",8,IF(Atletas!F510="Adulto 80kg",9,IF(Atletas!F510="Adulto 90kg",10,IF(Atletas!F510="Adulto +90kg",11,"")))))))))))))</f>
        <v/>
      </c>
      <c r="AY514" s="46" t="str">
        <f>IF(Atletas!G510="","",IF(Atletas!B510="Feminino",100,IF(Atletas!B510="Masculino",200,""))+(IF(Atletas!G510="Changquan Mirim",1,IF(Atletas!G510="Nanquan Mirim",2,IF(Atletas!G510="Taijiquan Mirim",3,IF(Atletas!G510="Changquan Grupo C",4,IF(Atletas!G510="Nanquan Grupo C",5,IF(Atletas!G510="Taijiquan Grupo C",6,IF(Atletas!G510="Changquan Grupo B",7,IF(Atletas!G510="Nanquan Grupo B",8,IF(Atletas!G510="Taijiquan Grupo B",9,IF(Atletas!G510="Changquan Grupo A",10,IF(Atletas!G510="Nanquan Grupo A",11,IF(Atletas!G510="Taijiquan Grupo A",12,IF(Atletas!G510="Changquan Opcional",13,IF(Atletas!G510="Nanquan Opcional",14,IF(Atletas!G510="Taijiquan Opcional",15,IF(Atletas!G510="Changquan Adulto",16,IF(Atletas!G510="Nanquan Adulto",17,IF(Atletas!G510="Taijiquan Adulto",18,""))))))))))))))))))))</f>
        <v/>
      </c>
      <c r="AZ514" s="46" t="str">
        <f>IF(Atletas!H510="","",IF(Atletas!B510="Feminino",100,IF(Atletas!B510="Masculino",200,""))+(IF(Atletas!H510="Daoshu Mirim",19,IF(Atletas!H510="Jianshu Mirim",20,IF(Atletas!H510="Nandao Mirim",21,IF(Atletas!H510="Taijijian Mirim",22,IF(Atletas!H510="Daoshu Grupo C",23,IF(Atletas!H510="Jianshu Grupo C",24,IF(Atletas!H510="Nandao Grupo C",25,IF(Atletas!H510="Taijijian Grupo C",26,IF(Atletas!H510="Daoshu Grupo B",27,IF(Atletas!H510="Jianshu Grupo B",28,IF(Atletas!H510="Nandao Grupo B",29,IF(Atletas!H510="Taijijian Grupo B",30,IF(Atletas!H510="Daoshu Grupo A",31,IF(Atletas!H510="Jianshu Grupo A",32,IF(Atletas!H510="Nandao Grupo A",33,IF(Atletas!H510="Taijijian Grupo A",34,IF(Atletas!H510="Daoshu Opcional",35,IF(Atletas!H510="Jianshu Opcional",36,IF(Atletas!H510="Nandao Opcional",37,IF(Atletas!H510="Taijijian Opcional",38,IF(Atletas!H510="Daoshu Adulto",39,IF(Atletas!H510="Jianshu Adulto",40,IF(Atletas!H510="Nandao Adulto",41,IF(Atletas!H510="Taijijian Adulto",42,""))))))))))))))))))))))))))</f>
        <v/>
      </c>
      <c r="BA514" s="46" t="str">
        <f>IF(Atletas!I510="","",IF(Atletas!B510="Feminino",100,IF(Atletas!B510="Masculino",200,""))+(IF(Atletas!I510="Gunshu Mirim",43,IF(Atletas!I510="Qiangshu Mirim",44,IF(Atletas!I510="Nangun Mirim",45,IF(Atletas!I510="Gunshu Grupo C",46,IF(Atletas!I510="Qiangshu Grupo C",47,IF(Atletas!I510="Nangun Grupo C",48,IF(Atletas!I510="Gunshu Grupo B",49,IF(Atletas!I510="Qiangshu Grupo B",50,IF(Atletas!I510="Nangun Grupo B",51,IF(Atletas!I510="Gunshu Grupo A",52,IF(Atletas!I510="Qiangshu Grupo A",53,IF(Atletas!I510="Nangun Grupo A",54,IF(Atletas!I510="Gunshu Opcional",55,IF(Atletas!I510="Qiangshu Opcional",56,IF(Atletas!I510="Nangun Opcional",57,IF(Atletas!I510="Gunshu Adulto",58,IF(Atletas!I510="Qiangshu Adulto",59,IF(Atletas!I510="Nangun Adulto",60,""))))))))))))))))))))</f>
        <v/>
      </c>
      <c r="BF514" s="52" t="str">
        <f>IF(Atletas!J510="","",IF(Atletas!B510="Feminino",100,IF(Atletas!B510="Masculino",200,""))+(IF(Atletas!J510="Equipe 1 Grupo B",1,IF(Atletas!J510="Equipe 2 Grupo B",2,IF(Atletas!J510="Equipe 1 Grupo A",3,IF(Atletas!J510="Equipe 2 Grupo A",4,IF(Atletas!J510="Equipe 1 Adulto",5,IF(Atletas!J510="Equipe 2 Adulto",6,""))))))))</f>
        <v/>
      </c>
      <c r="BK514" s="52" t="str">
        <f>IF(Atletas!K510="","",IF(Atletas!W510&lt;&gt;"",10000,0)+(IF(Atletas!B510="Feminino",1000,IF(Atletas!B510="Masculino",2000,""))+IF(Atletas!K510="Choylayfut A",1,IF(Atletas!K510="Hunggar A",2,IF(Atletas!K510="Wuzuquan A",3,IF(Atletas!K510="Wingchun A",4,IF(Atletas!K510="Outra Mão de Sul A",5,IF(Atletas!K510="Choylayfut B",6,IF(Atletas!K510="Hunggar B",7,IF(Atletas!K510="Wuzuquan B",8,IF(Atletas!K510="Wingchun B",9,IF(Atletas!K510="Outra Mão de Sul B",10,IF(Atletas!K510="Choylayfut C",11,IF(Atletas!K510="Hunggar C",12,IF(Atletas!K510="Wuzuquan C",13,IF(Atletas!K510="Wingchun C",14,IF(Atletas!K510="Outra Mão de Sul C",15,IF(Atletas!K510="Choylayfut D",16,IF(Atletas!K510="Hunggar D",17,IF(Atletas!K510="Wuzuquan D",18,IF(Atletas!K510="Wingchun D",19,IF(Atletas!K510="Outra Mão de Sul D",20,IF(Atletas!K510="Choylayfut E",21,IF(Atletas!K510="Hunggar E",22,IF(Atletas!K510="Wuzuquan E",23,IF(Atletas!K510="Wingchun E",24,IF(Atletas!K510="Outra Mão de Sul E",25,IF(Atletas!K510="Choylayfut F",26,IF(Atletas!K510="Hunggar F",27,IF(Atletas!K510="Wuzuquan F",28,IF(Atletas!K510="Wingchun F",29,IF(Atletas!K510="Outra Mão de Sul F",30,""))))))))))))))))))))))))))))))))</f>
        <v/>
      </c>
      <c r="BL514" s="52" t="str">
        <f>IF(Atletas!L510="","",IF(Atletas!W510&lt;&gt;"",10000,0)+(IF(Atletas!B510="Feminino",1000,IF(Atletas!B510="Masculino",2000,""))+(IF(Atletas!L510="Chaquan A",101,IF(Atletas!L510="Emeiquan A",102,IF(Atletas!L510="Fanziquan A",103,IF(Atletas!L510="Huaquan A",104,IF(Atletas!L510="Hongquan A",105,IF(Atletas!L510="Paochui A",106,IF(Atletas!L510="Piguaquan A",107,IF(Atletas!L510="Shaolinquan A",108,IF(Atletas!L510="Tanglangquan A",109,IF(Atletas!L510="Yinzhaophai A",110,IF(Atletas!L510="Tongbeiquan A",111,IF(Atletas!L510="Wudangquan A",112,IF(Atletas!L510="Outros Estilos A",113,IF(Atletas!L510="Chaquan B",114,IF(Atletas!L510="Emeiquan B",115,IF(Atletas!L510="Fanziquan B",116,IF(Atletas!L510="Huaquan B",117,IF(Atletas!L510="Hongquan B",118,IF(Atletas!L510="Paochui B",119,IF(Atletas!L510="Piguaquan B",120,IF(Atletas!L510="Shaolinquan B",121,IF(Atletas!L510="Tanglangquan B",122,IF(Atletas!L510="Yinzhaophai B",123,IF(Atletas!L510="Tongbeiquan B",124,IF(Atletas!L510="Wudangquan B",125,IF(Atletas!L510="Outros Estilos B",126,IF(Atletas!L510="Chaquan C",127,IF(Atletas!L510="Emeiquan C",128,IF(Atletas!L510="Fanziquan C",129,IF(Atletas!L510="Huaquan C",130,IF(Atletas!L510="Hongquan C",131,IF(Atletas!L510="Paochui C",132,IF(Atletas!L510="Piguaquan C",133,IF(Atletas!L510="Shaolinquan C",134,IF(Atletas!L510="Tanglangquan C",135,IF(Atletas!L510="Yinzhaophai C",136,IF(Atletas!L510="Tongbeiquan C",137,IF(Atletas!L510="Wudangquan C",138,IF(Atletas!L510="Outros Estilos C",139,0))))))))))))))))))))))))))))))))))))))))))</f>
        <v/>
      </c>
      <c r="BM514" s="52" t="str">
        <f>IF(Atletas!L510="","",IF(Atletas!W510&lt;&gt;"",10000,0)+(IF(Atletas!B510="Feminino",1000,IF(Atletas!B510="Masculino",2000,""))+(IF(Atletas!L510="Chaquan D",140,IF(Atletas!L510="Emeiquan D",141,IF(Atletas!L510="Fanziquan D",142,IF(Atletas!L510="Huaquan D",143,IF(Atletas!L510="Hongquan D",144,IF(Atletas!L510="Paochui D",145,IF(Atletas!L510="Piguaquan D",146,IF(Atletas!L510="Shaolinquan D",147,IF(Atletas!L510="Tanglangquan D",148,IF(Atletas!L510="Yinzhaophai D",149,IF(Atletas!L510="Tongbeiquan D",150,IF(Atletas!L510="Wudangquan D",151,IF(Atletas!L510="Outros Estilos D",152,IF(Atletas!L510="Chaquan E",153,IF(Atletas!L510="Emeiquan E",154,IF(Atletas!L510="Fanziquan E",155,IF(Atletas!L510="Huaquan E",156,IF(Atletas!L510="Hongquan E",157,IF(Atletas!L510="Paochui E",158,IF(Atletas!L510="Piguaquan E",159,IF(Atletas!L510="Shaolinquan E",160,IF(Atletas!L510="Tanglangquan E",161,IF(Atletas!L510="Yinzhaophai E",162,IF(Atletas!L510="Tongbeiquan E",163,IF(Atletas!L510="Wudangquan E",164,IF(Atletas!L510="Outros Estilos E",165,IF(Atletas!L510="Chaquan F",166,IF(Atletas!L510="Emeiquan F",167,IF(Atletas!L510="Fanziquan F",168,IF(Atletas!L510="Huaquan F",169,IF(Atletas!L510="Hongquan F",170,IF(Atletas!L510="Paochui F",171,IF(Atletas!L510="Piguaquan F",172,IF(Atletas!L510="Shaolinquan F",173,IF(Atletas!L510="Tanglangquan F",174,IF(Atletas!L510="Yinzhaophai F",175,IF(Atletas!L510="Tongbeiquan F",176,IF(Atletas!L510="Wudangquan F",177,IF(Atletas!L510="Outros Estilos F",178,0))))))))))))))))))))))))))))))))))))))))))</f>
        <v/>
      </c>
      <c r="BN514" s="52" t="str">
        <f>IF(Atletas!M510="","",IF(Atletas!W510&lt;&gt;"",10000,0)+(IF(Atletas!B510="Feminino",1000,IF(Atletas!B510="Masculino",2000,""))+(IF(Atletas!M510="Ditangquan A",201,IF(Atletas!M510="Houquan A",202,IF(Atletas!M510="Zuiquan A",203,IF(Atletas!M510="Ditangquan B",204,IF(Atletas!M510="Houquan B",205,IF(Atletas!M510="Zuiquan B",206,IF(Atletas!M510="Ditangquan C",207,IF(Atletas!M510="Houquan C",208,IF(Atletas!M510="Zuiquan C",209,IF(Atletas!M510="Ditangquan D",210,IF(Atletas!M510="Houquan D",211,IF(Atletas!M510="Zuiquan D",212,IF(Atletas!M510="Ditangquan E",213,IF(Atletas!M510="Houquan E",214,IF(Atletas!M510="Zuiquan E",215,IF(Atletas!M510="Ditangquan F",216,IF(Atletas!M510="Houquan F",217,IF(Atletas!M510="Zuiquan F",218,"")))))))))))))))))))))</f>
        <v/>
      </c>
      <c r="BO514" s="52" t="str">
        <f>IF(Atletas!N510="","",IF(Atletas!W510&lt;&gt;"",10000,0)+IF(Atletas!B510="Feminino",1000,IF(Atletas!B510="Masculino",2000,""))+IF(Atletas!N510="Yang A",301,IF(Atletas!N510="Chen A",30,IF(Atletas!N510="Sun A",303,IF(Atletas!N510="Wu A",304,IF(Atletas!N510="Wu-Hao A",305,IF(Atletas!N510="Outro Taijiquan A",306,IF(Atletas!N510="Yang B",307,IF(Atletas!N510="Chen B",308,IF(Atletas!N510="Sun B",309,IF(Atletas!N510="Wu B",310,IF(Atletas!N510="Wu-Hao B",311,IF(Atletas!N510="Outro Taijiquan B",312,IF(Atletas!N510="Yang C",313,IF(Atletas!N510="Chen C",314,IF(Atletas!N510="Sun C",315,IF(Atletas!N510="Wu C",316,IF(Atletas!N510="Wu-Hao C",317,IF(Atletas!N510="Outro Taijiquan C",318,IF(Atletas!N510="Yang D",319,IF(Atletas!N510="Chen D",320,IF(Atletas!N510="Sun D",321,IF(Atletas!N510="Wu D",322,IF(Atletas!N510="Wu-Hao D",323,IF(Atletas!N510="Outro Taijiquan D",324,IF(Atletas!N510="Yang E",325,IF(Atletas!N510="Chen E",326,IF(Atletas!N510="Sun E",327,IF(Atletas!N510="Wu E",328,IF(Atletas!N510="Wu-Hao E",329,IF(Atletas!N510="Outro Taijiquan E",330,IF(Atletas!N510="Yang F",331,IF(Atletas!N510="Chen F",332,IF(Atletas!N510="Sun F",333,IF(Atletas!N510="Wu F",334,IF(Atletas!N510="Wu-Hao F",335,IF(Atletas!N510="Outro Taijiquan F",336,"")))))))))))))))))))))))))))))))))))))</f>
        <v/>
      </c>
      <c r="BP514" s="52" t="str">
        <f>IF(Atletas!O510="","",IF(Atletas!W510&lt;&gt;"",10000,0)+IF(Atletas!B510="Feminino",1000,IF(Atletas!B510="Masculino",2000,""))+IF(OR(Atletas!O510="Yang 26 A",Atletas!O510="Yang 40 A"),401,IF(OR(Atletas!O510="Chen 25 A",Atletas!O510="Chen 36 A",Atletas!O510="Chen 56 A"),402,IF(Atletas!O510="Sun 73 A",403,IF(Atletas!O510="Wu 45 A",404,IF(Atletas!O510="Wu-Hao 46 A",405,IF(OR(Atletas!O510="Taijiquan 16 A",Atletas!O510="Taijiquan 24 A",Atletas!O510="Taijiquan 32 A",Atletas!O510="Taijiquan 42 A"),406,IF(OR(Atletas!O510="Yang 26 B",Atletas!O510="Yang 40 B"),407,IF(OR(Atletas!O510="Chen 25 B",Atletas!O510="Chen 36 B",Atletas!O510="Chen 56 B"),408,IF(Atletas!O510="Sun 73 B",409,IF(Atletas!O510="Wu 45 B",410,IF(Atletas!O510="Wu-Hao 46 B",411,IF(OR(Atletas!O510="Taijiquan 16 B",Atletas!O510="Taijiquan 24 B",Atletas!O510="Taijiquan 32 B",Atletas!O510="Taijiquan 42 B"),412,IF(OR(Atletas!O510="Yang 26 C",Atletas!O510="Yang 40 C"),413,IF(OR(Atletas!O510="Chen 25 C",Atletas!O510="Chen 36 C",Atletas!O510="Chen 56 C"),414,IF(Atletas!O510="Sun 73 C",415,IF(Atletas!O510="Wu 45 C",416,IF(Atletas!O510="Wu-Hao 46 C",417,IF(OR(Atletas!O510="Taijiquan 16 C",Atletas!O510="Taijiquan 24 C",Atletas!O510="Taijiquan 32 C",Atletas!O510="Taijiquan 42 C"),418,0)))))))))))))))))))</f>
        <v/>
      </c>
      <c r="BQ514" s="52" t="str">
        <f>IF(Atletas!O510="","",IF(Atletas!W510&lt;&gt;"",10000,0)+IF(Atletas!B510="Feminino",1000,IF(Atletas!B510="Masculino",2000,""))+IF(OR(Atletas!O510="Yang 26 D",Atletas!O510="Yang 40 D"),419,IF(OR(Atletas!O510="Chen 25 D",Atletas!O510="Chen 36 D",Atletas!O510="Chen 56 D"),420,IF(Atletas!O510="Sun 73 D",421,IF(Atletas!O510="Wu 45 D",422,IF(Atletas!O510="Wu-Hao 46 D",423,IF(OR(Atletas!O510="Taijiquan 16 D",Atletas!O510="Taijiquan 24 D",Atletas!O510="Taijiquan 32 D",Atletas!O510="Taijiquan 42 D"),424,IF(OR(Atletas!O510="Yang 26 E",Atletas!O510="Yang 40 E"),425,IF(OR(Atletas!O510="Chen 25 E",Atletas!O510="Chen 36 E",Atletas!O510="Chen 56 E"),426,IF(Atletas!O510="Sun 73 E",427,IF(Atletas!O510="Wu 45 E",428,IF(Atletas!O510="Wu-Hao 46 E",429,IF(OR(Atletas!O510="Taijiquan 16 E",Atletas!O510="Taijiquan 24 E",Atletas!O510="Taijiquan 32 E",Atletas!O510="Taijiquan 42 E"),430,IF(OR(Atletas!O510="Yang 26 F",Atletas!O510="Yang 40 F"),431,IF(OR(Atletas!O510="Chen 25 F",Atletas!O510="Chen 36 F",Atletas!O510="Chen 56 F"),432,IF(Atletas!O510="Sun 73 F",433,IF(Atletas!O510="Wu 45 F",434,IF(Atletas!O510="Wu-Hao 46 F",435,IF(OR(Atletas!O510="Taijiquan 16 F",Atletas!O510="Taijiquan 24 F",Atletas!O510="Taijiquan 32 F",Atletas!O510="Taijiquan 42 F"),436,0)))))))))))))))))))</f>
        <v/>
      </c>
      <c r="BR514" s="52" t="str">
        <f>IF(Atletas!P510="","",IF(Atletas!W510&lt;&gt;"",10000,0)+IF(Atletas!B510="Feminino",1000,IF(Atletas!B510="Masculino",2000,""))+IF(Atletas!P510="Xingyiquan A",501,IF(Atletas!P510="Baguazhang A",502,IF(Atletas!P510="Outro Estilo Interno A",503,IF(Atletas!P510="Xingyiquan B",504,IF(Atletas!P510="Baguazhang B",505,IF(Atletas!P510="Outro Estilo Interno B",506,IF(Atletas!P510="Xingyiquan C",507,IF(Atletas!P510="Baguazhang C",508,IF(Atletas!P510="Outro Estilo Interno C",509,IF(Atletas!P510="Xingyiquan D",510,IF(Atletas!P510="Baguazhang D",511,IF(Atletas!P510="Outro Estilo Interno D",512,IF(Atletas!P510="Xingyiquan E",513,IF(Atletas!P510="Baguazhang E",514,IF(Atletas!P510="Outro Estilo Interno E",515,IF(Atletas!P510="Xingyiquan F",516,IF(Atletas!P510="Baguazhang F",517,IF(Atletas!P510="Outro Estilo Interno F",518, "")))))))))))))))))))</f>
        <v/>
      </c>
      <c r="BS514" s="52" t="str">
        <f>IF(Atletas!Q510="","",IF(Atletas!W510&lt;&gt;"",10000,0)+IF(Atletas!B510="Feminino",1000,IF(Atletas!B510="Masculino",2000,""))+IF(Atletas!Q510="Dao A",601,IF(Atletas!Q510="Jian A",602,IF(Atletas!Q510="Bishou A",603,IF(Atletas!Q510="Shan A",604,IF(Atletas!Q510="Outra Arma Curta A",605,IF(Atletas!Q510="Dao B",606,IF(Atletas!Q510="Jian B",607,IF(Atletas!Q510="Bishou B",608,IF(Atletas!Q510="Shan B",609,IF(Atletas!Q510="Outra Arma Curta B",610,IF(Atletas!Q510="Dao C",611,IF(Atletas!Q510="Jian C",612,IF(Atletas!Q510="Bishou C",613,IF(Atletas!Q510="Shan C",614,IF(Atletas!Q510="Outra Arma Curta C",615,IF(Atletas!Q510="Dao D",616,IF(Atletas!Q510="Jian D",617,IF(Atletas!Q510="Bishou D",618,IF(Atletas!Q510="Shan D",619,IF(Atletas!Q510="Outra Arma Curta D",620,IF(Atletas!Q510="Dao E",621,IF(Atletas!Q510="Jian E",622,IF(Atletas!Q510="Bishou E",623,IF(Atletas!Q510="Shan E",624,IF(Atletas!Q510="Outra Arma Curta E",625,IF(Atletas!Q510="Dao F",626,IF(Atletas!Q510="Jian F",627,IF(Atletas!Q510="Bishou F",628,IF(Atletas!Q510="Shan F",629,IF(Atletas!Q510="Outra Arma Curta F",630, "")))))))))))))))))))))))))))))))</f>
        <v/>
      </c>
      <c r="BT514" s="52" t="str">
        <f>IF(Atletas!R510="","",IF(Atletas!W510&lt;&gt;"",10000,0)+IF(Atletas!B510="Feminino",1000,IF(Atletas!B510="Masculino",2000,""))+IF(Atletas!R510="Gun A",701,IF(Atletas!R510="Qiang A",702,IF(Atletas!R510="Pudao / Guandao A",703,IF(Atletas!R510="Outra Arma Longa A",704,IF(Atletas!R510="Gun B",705,IF(Atletas!R510="Qiang B",706,IF(Atletas!R510="Pudao / Guandao B",707,IF(Atletas!R510="Outra Arma Longa B",708,IF(Atletas!R510="Gun C",709,IF(Atletas!R510="Qiang C",710,IF(Atletas!R510="Pudao / Guandao C",711,IF(Atletas!R510="Outra Arma Longa C",712,IF(Atletas!R510="Gun D",713,IF(Atletas!R510="Qiang D",714,IF(Atletas!R510="Pudao / Guandao D",715,IF(Atletas!R510="Outra Arma Longa D",716,IF(Atletas!R510="Gun E",717,IF(Atletas!R510="Qiang E",718,IF(Atletas!R510="Pudao / Guandao E",719,IF(Atletas!R510="Outra Arma Longa E",720,IF(Atletas!R510="Gun F",721,IF(Atletas!R510="Qiang F",722,IF(Atletas!R510="Pudao / Guandao F",723,IF(Atletas!R510="Outra Arma Longa F",724,"")))))))))))))))))))))))))</f>
        <v/>
      </c>
      <c r="BU514" s="52" t="str">
        <f>IF(Atletas!S510="","",IF(Atletas!W510&lt;&gt;"",10000,0)+IF(Atletas!B510="Feminino",1000,IF(Atletas!B510="Masculino",2000,""))+IF(Atletas!S510="Arma Dupla A",801,IF(Atletas!S510="Arma Maleável A",802,IF(Atletas!S510="Arma Dupla B",803,IF(Atletas!S510="Arma Maleável B",804,IF(Atletas!S510="Arma Dupla C",805,IF(Atletas!S510="Arma Maleável C",806,IF(Atletas!S510="Arma Dupla D",807,IF(Atletas!S510="Arma Maleável D",808,IF(Atletas!S510="Arma Dupla E",809,IF(Atletas!S510="Arma Maleável E",810,IF(Atletas!S510="Arma Dupla F",811,IF(Atletas!S510="Arma Maleável F",812, "")))))))))))))</f>
        <v/>
      </c>
      <c r="BV514" s="52" t="str">
        <f>IF(Atletas!T510="","",IF(Atletas!W510&lt;&gt;"",10000,0)+IF(Atletas!B510="Feminino",1000,IF(Atletas!B510="Masculino",2000,""))+IF(Atletas!T510="Taijijian Yang A",901,IF(Atletas!T510="Taijijian Chen A",902,IF(Atletas!T510="Taijijian Sun A",903,IF(Atletas!T510="Taijijian Wu A",904,IF(Atletas!T510="Taijijian Wu-Hao A",905,IF(Atletas!T510="Taijijian 32 A",906,IF(Atletas!T510="Taijijian 42 A",907,IF(Atletas!T510="Taijijian Yang B",908,IF(Atletas!T510="Taijijian Chen B",909,IF(Atletas!T510="Taijijian Sun B",910,IF(Atletas!T510="Taijijian Wu B",911,IF(Atletas!T510="Taijijian Wu-Hao B",912,IF(Atletas!T510="Taijijian 32 B",913,IF(Atletas!T510="Taijijian 42 B",914,IF(Atletas!T510="Taijijian Yang C",915,IF(Atletas!T510="Taijijian Chen C",916,IF(Atletas!T510="Taijijian Sun C",917,IF(Atletas!T510="Taijijian Wu C",918,IF(Atletas!T510="Taijijian Wu-Hao C",919,IF(Atletas!T510="Taijijian 32 C",920,IF(Atletas!T510="Taijijian 42 C",921,IF(Atletas!T510="Taijijian Yang D",922,IF(Atletas!T510="Taijijian Chen D",923,IF(Atletas!T510="Taijijian Sun D",924,IF(Atletas!T510="Taijijian Wu D",925,IF(Atletas!T510="Taijijian Wu-Hao D",926,IF(Atletas!T510="Taijijian 32 D",927,IF(Atletas!T510="Taijijian 42 D",928,IF(Atletas!T510="Taijijian Yang E",929,IF(Atletas!T510="Taijijian Chen E",930,IF(Atletas!T510="Taijijian Sun E",931,IF(Atletas!T510="Taijijian Wu E",932,IF(Atletas!T510="Taijijian Wu-Hao E",933,IF(Atletas!T510="Taijijian 32 E",934,IF(Atletas!T510="Taijijian 42 E",935,IF(Atletas!T510="Taijijian Yang F",936,IF(Atletas!T510="Taijijian Chen F",937,IF(Atletas!T510="Taijijian Sun F",938,IF(Atletas!T510="Taijijian Wu F",939,IF(Atletas!T510="Taijijian Wu-Hao F",940,IF(Atletas!T510="Taijijian 32 F",941,IF(Atletas!T510="Taijijian 42 F",942,"")))))))))))))))))))))))))))))))))))))))))))</f>
        <v/>
      </c>
      <c r="BW514" s="52" t="str">
        <f>IF(Atletas!U510="","",IF(Atletas!W510&lt;&gt;"",10000,0)+IF(Atletas!B510="Feminino",1000,IF(Atletas!B510="Masculino",2000,""))+IF(Atletas!T510="Taijijian 42 F",942,IF(Atletas!U510="Taijidao A",943,IF(Atletas!U510="Taijishan A",944,IF(Atletas!U510="Taijiqiang A",945,IF(Atletas!U510="Taijidao B",946,IF(Atletas!U510="Taijishan B",947,IF(Atletas!U510="Taijiqiang B",948,IF(Atletas!U510="Taijidao C",949,IF(Atletas!U510="Taijishan C",950,IF(Atletas!U510="Taijiqiang C",951,IF(Atletas!U510="Taijidao D",952,IF(Atletas!U510="Taijishan D",953,IF(Atletas!U510="Taijiqiang D",954,IF(Atletas!U510="Taijidao E",955,IF(Atletas!U510="Taijishan E",956,IF(Atletas!U510="Taijiqiang E",957,IF(Atletas!U510="Taijidao F",958,IF(Atletas!U510="Taijishan F",959,IF(Atletas!U510="Taijiqiang F",960))))))))))))))))))))</f>
        <v/>
      </c>
      <c r="CF514" s="52" t="str">
        <f xml:space="preserve"> IF(Atletas!V510="","",IF(Atletas!V510="Duilian de Mãos AB - Equipe 1",1,IF(Atletas!V510="Duilian de Mãos AB - Equipe 2",2,IF(Atletas!V510="Duilian de Armas AB - Equipe 1",3,IF(Atletas!V510="Duilian de Armas AB - Equipe 2",4,IF(Atletas!V510="Duilian de Tuishou - Equipe 1",5,IF(Atletas!V510="Duilian de Tuishou - Equipe 2",6,IF(Atletas!V510="Grupo Externo AB - Equipe 1",7,IF(Atletas!V510="Grupo Externo AB - Equipe 2",8,IF(Atletas!V510="Grupo Interno AB - Equipe 1",9,IF(Atletas!V510="Grupo Interno AB - Equipe 2",10,IF(Atletas!V510="Duilian de Mãos CD - Equipe 1",11,IF(Atletas!V510="Duilian de Mãos CD - Equipe 2",12,IF(Atletas!V510="Duilian de Armas CD - Equipe 1",13,IF(Atletas!V510="Duilian de Armas CD - Equipe 2",14,IF(Atletas!V510="Duilian de Tuishou - Equipe 1",15,IF(Atletas!V510="Duilian de Tuishou - Equipe 2",16,IF(Atletas!V510="Grupo Externo CDEF - Equipe 1",17,IF(Atletas!V510="Grupo Externo CDEF - Equipe 2",18,IF(Atletas!V510="Grupo Interno CDEF - Equipe 1",19,IF(Atletas!V510="Grupo Interno CDEF - Equipe 2",20,IF(Atletas!V510="Duilian de Mãos EF - Equipe 1",21,IF(Atletas!V510="Duilian de Mãos EF - Equipe 2",22,IF(Atletas!V510="Duilian de Armas EF - Equipe 1",23,IF(Atletas!V510="Duilian de Armas EF - Equipe 2",24,IF(Atletas!V510="Duilian de Tuishou - Equipe 1",25,IF(Atletas!V510="Duilian de Tuishou - Equipe 2",26,"")))))))))))))))))))))))))))</f>
        <v/>
      </c>
    </row>
    <row r="515" spans="36:84">
      <c r="AJ515" s="46" t="str">
        <f>IF(Atletas!D511="","",IF(Atletas!B511="Feminino",100,IF(Atletas!B511="Masculino",200,""))+(IF(Atletas!D511="Infantil 39kg",1,IF(Atletas!D511="Infantil 42kg",2,IF(Atletas!D511="Infantil 45kg",3,IF(Atletas!D511="Infantil 48kg",4,IF(Atletas!D511="Infantil 52kg",5,IF(Atletas!D511="Infantil 56kg",6,IF(Atletas!D511="Infantil 60kg",7,IF(Atletas!D511="Juvenil 48kg",8,IF(Atletas!D511="Juvenil 52kg",9,IF(Atletas!D511="Juvenil 56kg",10,IF(Atletas!D511="Juvenil 60kg",11,IF(Atletas!D511="Juvenil 65kg",12,IF(Atletas!D511="Juvenil 70kg",13,IF(Atletas!D511="Juvenil 75kg",14,IF(Atletas!D511="Juvenil 80kg",15,IF(Atletas!D511="Adulto 48kg",16,IF(Atletas!D511="Adulto 52kg",17,IF(Atletas!D511="Adulto 56kg",18,IF(Atletas!D511="Adulto 60kg",19,IF(Atletas!D511="Adulto 65kg",20,IF(Atletas!D511="Adulto 70kg",21,IF(Atletas!D511="Adulto 75kg",22,IF(Atletas!D511="Adulto 80kg",23,IF(Atletas!D511="Adulto 85kg",24,IF(Atletas!D511="Adulto 90kg",25,IF(Atletas!D511="Adulto +90kg",26,""))))))))))))))))))))))))))))</f>
        <v/>
      </c>
      <c r="AO515" s="10" t="str">
        <f>IF(Atletas!E511="","",IF(Atletas!B511="Feminino",100,IF(Atletas!B511="Masculino",200,""))+(IF(Atletas!E511="Juvenil 44kg",1,IF(Atletas!E511="Juvenil 48kg",2,IF(Atletas!E511="Juvenil 52kg",3,IF(Atletas!E511="Juvenil 56kg",4,IF(Atletas!E511="Juvenil 60kg",5,IF(Atletas!E511="Juvenil 65kg",6,IF(Atletas!E511="Juvenil 70kg",7,IF(Atletas!E511="Juvenil 75kg",8,IF(Atletas!E511="Juvenil 82kg",9,IF(Atletas!E511="Juvenil 90kg",10,IF(Atletas!E511="Juvenil 100kg",11,IF(Atletas!E511="Adulto 48kg",12,IF(Atletas!E511="Adulto 52kg",13,IF(Atletas!E511="Adulto 56kg",14,IF(Atletas!E511="Adulto 60kg",15,IF(Atletas!E511="Adulto 65kg",16,IF(Atletas!E511="Adulto 70kg",17,IF(Atletas!E511="Adulto 75kg",18,IF(Atletas!E511="Adulto 82kg",19,IF(Atletas!E511="Adulto 90kg",20,IF(Atletas!E511="Adulto 100kg",21,IF(Atletas!E511="Adulto +100kg",22,""))))))))))))))))))))))))</f>
        <v/>
      </c>
      <c r="AT515" s="10" t="str">
        <f>IF(Atletas!F511="","",IF(Atletas!B511="Feminino",100,IF(Atletas!B511="Masculino",200,""))+(IF(Atletas!F511="Adulto 48kg",1,IF(Atletas!F511="Adulto 56kg",2,IF(Atletas!F511="Adulto 65kg",3,IF(Atletas!F511="Adulto 75kg",4,IF(Atletas!F511="Adulto +75kg",5,IF(Atletas!F511="Adulto 52kg",6,IF(Atletas!F511="Adulto 60kg",7,IF(Atletas!F511="Adulto 70kg",8,IF(Atletas!F511="Adulto 80kg",9,IF(Atletas!F511="Adulto 90kg",10,IF(Atletas!F511="Adulto +90kg",11,"")))))))))))))</f>
        <v/>
      </c>
      <c r="AY515" s="46" t="str">
        <f>IF(Atletas!G511="","",IF(Atletas!B511="Feminino",100,IF(Atletas!B511="Masculino",200,""))+(IF(Atletas!G511="Changquan Mirim",1,IF(Atletas!G511="Nanquan Mirim",2,IF(Atletas!G511="Taijiquan Mirim",3,IF(Atletas!G511="Changquan Grupo C",4,IF(Atletas!G511="Nanquan Grupo C",5,IF(Atletas!G511="Taijiquan Grupo C",6,IF(Atletas!G511="Changquan Grupo B",7,IF(Atletas!G511="Nanquan Grupo B",8,IF(Atletas!G511="Taijiquan Grupo B",9,IF(Atletas!G511="Changquan Grupo A",10,IF(Atletas!G511="Nanquan Grupo A",11,IF(Atletas!G511="Taijiquan Grupo A",12,IF(Atletas!G511="Changquan Opcional",13,IF(Atletas!G511="Nanquan Opcional",14,IF(Atletas!G511="Taijiquan Opcional",15,IF(Atletas!G511="Changquan Adulto",16,IF(Atletas!G511="Nanquan Adulto",17,IF(Atletas!G511="Taijiquan Adulto",18,""))))))))))))))))))))</f>
        <v/>
      </c>
      <c r="AZ515" s="46" t="str">
        <f>IF(Atletas!H511="","",IF(Atletas!B511="Feminino",100,IF(Atletas!B511="Masculino",200,""))+(IF(Atletas!H511="Daoshu Mirim",19,IF(Atletas!H511="Jianshu Mirim",20,IF(Atletas!H511="Nandao Mirim",21,IF(Atletas!H511="Taijijian Mirim",22,IF(Atletas!H511="Daoshu Grupo C",23,IF(Atletas!H511="Jianshu Grupo C",24,IF(Atletas!H511="Nandao Grupo C",25,IF(Atletas!H511="Taijijian Grupo C",26,IF(Atletas!H511="Daoshu Grupo B",27,IF(Atletas!H511="Jianshu Grupo B",28,IF(Atletas!H511="Nandao Grupo B",29,IF(Atletas!H511="Taijijian Grupo B",30,IF(Atletas!H511="Daoshu Grupo A",31,IF(Atletas!H511="Jianshu Grupo A",32,IF(Atletas!H511="Nandao Grupo A",33,IF(Atletas!H511="Taijijian Grupo A",34,IF(Atletas!H511="Daoshu Opcional",35,IF(Atletas!H511="Jianshu Opcional",36,IF(Atletas!H511="Nandao Opcional",37,IF(Atletas!H511="Taijijian Opcional",38,IF(Atletas!H511="Daoshu Adulto",39,IF(Atletas!H511="Jianshu Adulto",40,IF(Atletas!H511="Nandao Adulto",41,IF(Atletas!H511="Taijijian Adulto",42,""))))))))))))))))))))))))))</f>
        <v/>
      </c>
      <c r="BA515" s="46" t="str">
        <f>IF(Atletas!I511="","",IF(Atletas!B511="Feminino",100,IF(Atletas!B511="Masculino",200,""))+(IF(Atletas!I511="Gunshu Mirim",43,IF(Atletas!I511="Qiangshu Mirim",44,IF(Atletas!I511="Nangun Mirim",45,IF(Atletas!I511="Gunshu Grupo C",46,IF(Atletas!I511="Qiangshu Grupo C",47,IF(Atletas!I511="Nangun Grupo C",48,IF(Atletas!I511="Gunshu Grupo B",49,IF(Atletas!I511="Qiangshu Grupo B",50,IF(Atletas!I511="Nangun Grupo B",51,IF(Atletas!I511="Gunshu Grupo A",52,IF(Atletas!I511="Qiangshu Grupo A",53,IF(Atletas!I511="Nangun Grupo A",54,IF(Atletas!I511="Gunshu Opcional",55,IF(Atletas!I511="Qiangshu Opcional",56,IF(Atletas!I511="Nangun Opcional",57,IF(Atletas!I511="Gunshu Adulto",58,IF(Atletas!I511="Qiangshu Adulto",59,IF(Atletas!I511="Nangun Adulto",60,""))))))))))))))))))))</f>
        <v/>
      </c>
      <c r="BF515" s="52" t="str">
        <f>IF(Atletas!J511="","",IF(Atletas!B511="Feminino",100,IF(Atletas!B511="Masculino",200,""))+(IF(Atletas!J511="Equipe 1 Grupo B",1,IF(Atletas!J511="Equipe 2 Grupo B",2,IF(Atletas!J511="Equipe 1 Grupo A",3,IF(Atletas!J511="Equipe 2 Grupo A",4,IF(Atletas!J511="Equipe 1 Adulto",5,IF(Atletas!J511="Equipe 2 Adulto",6,""))))))))</f>
        <v/>
      </c>
      <c r="BK515" s="52" t="str">
        <f>IF(Atletas!K511="","",IF(Atletas!W511&lt;&gt;"",10000,0)+(IF(Atletas!B511="Feminino",1000,IF(Atletas!B511="Masculino",2000,""))+IF(Atletas!K511="Choylayfut A",1,IF(Atletas!K511="Hunggar A",2,IF(Atletas!K511="Wuzuquan A",3,IF(Atletas!K511="Wingchun A",4,IF(Atletas!K511="Outra Mão de Sul A",5,IF(Atletas!K511="Choylayfut B",6,IF(Atletas!K511="Hunggar B",7,IF(Atletas!K511="Wuzuquan B",8,IF(Atletas!K511="Wingchun B",9,IF(Atletas!K511="Outra Mão de Sul B",10,IF(Atletas!K511="Choylayfut C",11,IF(Atletas!K511="Hunggar C",12,IF(Atletas!K511="Wuzuquan C",13,IF(Atletas!K511="Wingchun C",14,IF(Atletas!K511="Outra Mão de Sul C",15,IF(Atletas!K511="Choylayfut D",16,IF(Atletas!K511="Hunggar D",17,IF(Atletas!K511="Wuzuquan D",18,IF(Atletas!K511="Wingchun D",19,IF(Atletas!K511="Outra Mão de Sul D",20,IF(Atletas!K511="Choylayfut E",21,IF(Atletas!K511="Hunggar E",22,IF(Atletas!K511="Wuzuquan E",23,IF(Atletas!K511="Wingchun E",24,IF(Atletas!K511="Outra Mão de Sul E",25,IF(Atletas!K511="Choylayfut F",26,IF(Atletas!K511="Hunggar F",27,IF(Atletas!K511="Wuzuquan F",28,IF(Atletas!K511="Wingchun F",29,IF(Atletas!K511="Outra Mão de Sul F",30,""))))))))))))))))))))))))))))))))</f>
        <v/>
      </c>
      <c r="BL515" s="52" t="str">
        <f>IF(Atletas!L511="","",IF(Atletas!W511&lt;&gt;"",10000,0)+(IF(Atletas!B511="Feminino",1000,IF(Atletas!B511="Masculino",2000,""))+(IF(Atletas!L511="Chaquan A",101,IF(Atletas!L511="Emeiquan A",102,IF(Atletas!L511="Fanziquan A",103,IF(Atletas!L511="Huaquan A",104,IF(Atletas!L511="Hongquan A",105,IF(Atletas!L511="Paochui A",106,IF(Atletas!L511="Piguaquan A",107,IF(Atletas!L511="Shaolinquan A",108,IF(Atletas!L511="Tanglangquan A",109,IF(Atletas!L511="Yinzhaophai A",110,IF(Atletas!L511="Tongbeiquan A",111,IF(Atletas!L511="Wudangquan A",112,IF(Atletas!L511="Outros Estilos A",113,IF(Atletas!L511="Chaquan B",114,IF(Atletas!L511="Emeiquan B",115,IF(Atletas!L511="Fanziquan B",116,IF(Atletas!L511="Huaquan B",117,IF(Atletas!L511="Hongquan B",118,IF(Atletas!L511="Paochui B",119,IF(Atletas!L511="Piguaquan B",120,IF(Atletas!L511="Shaolinquan B",121,IF(Atletas!L511="Tanglangquan B",122,IF(Atletas!L511="Yinzhaophai B",123,IF(Atletas!L511="Tongbeiquan B",124,IF(Atletas!L511="Wudangquan B",125,IF(Atletas!L511="Outros Estilos B",126,IF(Atletas!L511="Chaquan C",127,IF(Atletas!L511="Emeiquan C",128,IF(Atletas!L511="Fanziquan C",129,IF(Atletas!L511="Huaquan C",130,IF(Atletas!L511="Hongquan C",131,IF(Atletas!L511="Paochui C",132,IF(Atletas!L511="Piguaquan C",133,IF(Atletas!L511="Shaolinquan C",134,IF(Atletas!L511="Tanglangquan C",135,IF(Atletas!L511="Yinzhaophai C",136,IF(Atletas!L511="Tongbeiquan C",137,IF(Atletas!L511="Wudangquan C",138,IF(Atletas!L511="Outros Estilos C",139,0))))))))))))))))))))))))))))))))))))))))))</f>
        <v/>
      </c>
      <c r="BM515" s="52" t="str">
        <f>IF(Atletas!L511="","",IF(Atletas!W511&lt;&gt;"",10000,0)+(IF(Atletas!B511="Feminino",1000,IF(Atletas!B511="Masculino",2000,""))+(IF(Atletas!L511="Chaquan D",140,IF(Atletas!L511="Emeiquan D",141,IF(Atletas!L511="Fanziquan D",142,IF(Atletas!L511="Huaquan D",143,IF(Atletas!L511="Hongquan D",144,IF(Atletas!L511="Paochui D",145,IF(Atletas!L511="Piguaquan D",146,IF(Atletas!L511="Shaolinquan D",147,IF(Atletas!L511="Tanglangquan D",148,IF(Atletas!L511="Yinzhaophai D",149,IF(Atletas!L511="Tongbeiquan D",150,IF(Atletas!L511="Wudangquan D",151,IF(Atletas!L511="Outros Estilos D",152,IF(Atletas!L511="Chaquan E",153,IF(Atletas!L511="Emeiquan E",154,IF(Atletas!L511="Fanziquan E",155,IF(Atletas!L511="Huaquan E",156,IF(Atletas!L511="Hongquan E",157,IF(Atletas!L511="Paochui E",158,IF(Atletas!L511="Piguaquan E",159,IF(Atletas!L511="Shaolinquan E",160,IF(Atletas!L511="Tanglangquan E",161,IF(Atletas!L511="Yinzhaophai E",162,IF(Atletas!L511="Tongbeiquan E",163,IF(Atletas!L511="Wudangquan E",164,IF(Atletas!L511="Outros Estilos E",165,IF(Atletas!L511="Chaquan F",166,IF(Atletas!L511="Emeiquan F",167,IF(Atletas!L511="Fanziquan F",168,IF(Atletas!L511="Huaquan F",169,IF(Atletas!L511="Hongquan F",170,IF(Atletas!L511="Paochui F",171,IF(Atletas!L511="Piguaquan F",172,IF(Atletas!L511="Shaolinquan F",173,IF(Atletas!L511="Tanglangquan F",174,IF(Atletas!L511="Yinzhaophai F",175,IF(Atletas!L511="Tongbeiquan F",176,IF(Atletas!L511="Wudangquan F",177,IF(Atletas!L511="Outros Estilos F",178,0))))))))))))))))))))))))))))))))))))))))))</f>
        <v/>
      </c>
      <c r="BN515" s="52" t="str">
        <f>IF(Atletas!M511="","",IF(Atletas!W511&lt;&gt;"",10000,0)+(IF(Atletas!B511="Feminino",1000,IF(Atletas!B511="Masculino",2000,""))+(IF(Atletas!M511="Ditangquan A",201,IF(Atletas!M511="Houquan A",202,IF(Atletas!M511="Zuiquan A",203,IF(Atletas!M511="Ditangquan B",204,IF(Atletas!M511="Houquan B",205,IF(Atletas!M511="Zuiquan B",206,IF(Atletas!M511="Ditangquan C",207,IF(Atletas!M511="Houquan C",208,IF(Atletas!M511="Zuiquan C",209,IF(Atletas!M511="Ditangquan D",210,IF(Atletas!M511="Houquan D",211,IF(Atletas!M511="Zuiquan D",212,IF(Atletas!M511="Ditangquan E",213,IF(Atletas!M511="Houquan E",214,IF(Atletas!M511="Zuiquan E",215,IF(Atletas!M511="Ditangquan F",216,IF(Atletas!M511="Houquan F",217,IF(Atletas!M511="Zuiquan F",218,"")))))))))))))))))))))</f>
        <v/>
      </c>
      <c r="BO515" s="52" t="str">
        <f>IF(Atletas!N511="","",IF(Atletas!W511&lt;&gt;"",10000,0)+IF(Atletas!B511="Feminino",1000,IF(Atletas!B511="Masculino",2000,""))+IF(Atletas!N511="Yang A",301,IF(Atletas!N511="Chen A",30,IF(Atletas!N511="Sun A",303,IF(Atletas!N511="Wu A",304,IF(Atletas!N511="Wu-Hao A",305,IF(Atletas!N511="Outro Taijiquan A",306,IF(Atletas!N511="Yang B",307,IF(Atletas!N511="Chen B",308,IF(Atletas!N511="Sun B",309,IF(Atletas!N511="Wu B",310,IF(Atletas!N511="Wu-Hao B",311,IF(Atletas!N511="Outro Taijiquan B",312,IF(Atletas!N511="Yang C",313,IF(Atletas!N511="Chen C",314,IF(Atletas!N511="Sun C",315,IF(Atletas!N511="Wu C",316,IF(Atletas!N511="Wu-Hao C",317,IF(Atletas!N511="Outro Taijiquan C",318,IF(Atletas!N511="Yang D",319,IF(Atletas!N511="Chen D",320,IF(Atletas!N511="Sun D",321,IF(Atletas!N511="Wu D",322,IF(Atletas!N511="Wu-Hao D",323,IF(Atletas!N511="Outro Taijiquan D",324,IF(Atletas!N511="Yang E",325,IF(Atletas!N511="Chen E",326,IF(Atletas!N511="Sun E",327,IF(Atletas!N511="Wu E",328,IF(Atletas!N511="Wu-Hao E",329,IF(Atletas!N511="Outro Taijiquan E",330,IF(Atletas!N511="Yang F",331,IF(Atletas!N511="Chen F",332,IF(Atletas!N511="Sun F",333,IF(Atletas!N511="Wu F",334,IF(Atletas!N511="Wu-Hao F",335,IF(Atletas!N511="Outro Taijiquan F",336,"")))))))))))))))))))))))))))))))))))))</f>
        <v/>
      </c>
      <c r="BP515" s="52" t="str">
        <f>IF(Atletas!O511="","",IF(Atletas!W511&lt;&gt;"",10000,0)+IF(Atletas!B511="Feminino",1000,IF(Atletas!B511="Masculino",2000,""))+IF(OR(Atletas!O511="Yang 26 A",Atletas!O511="Yang 40 A"),401,IF(OR(Atletas!O511="Chen 25 A",Atletas!O511="Chen 36 A",Atletas!O511="Chen 56 A"),402,IF(Atletas!O511="Sun 73 A",403,IF(Atletas!O511="Wu 45 A",404,IF(Atletas!O511="Wu-Hao 46 A",405,IF(OR(Atletas!O511="Taijiquan 16 A",Atletas!O511="Taijiquan 24 A",Atletas!O511="Taijiquan 32 A",Atletas!O511="Taijiquan 42 A"),406,IF(OR(Atletas!O511="Yang 26 B",Atletas!O511="Yang 40 B"),407,IF(OR(Atletas!O511="Chen 25 B",Atletas!O511="Chen 36 B",Atletas!O511="Chen 56 B"),408,IF(Atletas!O511="Sun 73 B",409,IF(Atletas!O511="Wu 45 B",410,IF(Atletas!O511="Wu-Hao 46 B",411,IF(OR(Atletas!O511="Taijiquan 16 B",Atletas!O511="Taijiquan 24 B",Atletas!O511="Taijiquan 32 B",Atletas!O511="Taijiquan 42 B"),412,IF(OR(Atletas!O511="Yang 26 C",Atletas!O511="Yang 40 C"),413,IF(OR(Atletas!O511="Chen 25 C",Atletas!O511="Chen 36 C",Atletas!O511="Chen 56 C"),414,IF(Atletas!O511="Sun 73 C",415,IF(Atletas!O511="Wu 45 C",416,IF(Atletas!O511="Wu-Hao 46 C",417,IF(OR(Atletas!O511="Taijiquan 16 C",Atletas!O511="Taijiquan 24 C",Atletas!O511="Taijiquan 32 C",Atletas!O511="Taijiquan 42 C"),418,0)))))))))))))))))))</f>
        <v/>
      </c>
      <c r="BQ515" s="52" t="str">
        <f>IF(Atletas!O511="","",IF(Atletas!W511&lt;&gt;"",10000,0)+IF(Atletas!B511="Feminino",1000,IF(Atletas!B511="Masculino",2000,""))+IF(OR(Atletas!O511="Yang 26 D",Atletas!O511="Yang 40 D"),419,IF(OR(Atletas!O511="Chen 25 D",Atletas!O511="Chen 36 D",Atletas!O511="Chen 56 D"),420,IF(Atletas!O511="Sun 73 D",421,IF(Atletas!O511="Wu 45 D",422,IF(Atletas!O511="Wu-Hao 46 D",423,IF(OR(Atletas!O511="Taijiquan 16 D",Atletas!O511="Taijiquan 24 D",Atletas!O511="Taijiquan 32 D",Atletas!O511="Taijiquan 42 D"),424,IF(OR(Atletas!O511="Yang 26 E",Atletas!O511="Yang 40 E"),425,IF(OR(Atletas!O511="Chen 25 E",Atletas!O511="Chen 36 E",Atletas!O511="Chen 56 E"),426,IF(Atletas!O511="Sun 73 E",427,IF(Atletas!O511="Wu 45 E",428,IF(Atletas!O511="Wu-Hao 46 E",429,IF(OR(Atletas!O511="Taijiquan 16 E",Atletas!O511="Taijiquan 24 E",Atletas!O511="Taijiquan 32 E",Atletas!O511="Taijiquan 42 E"),430,IF(OR(Atletas!O511="Yang 26 F",Atletas!O511="Yang 40 F"),431,IF(OR(Atletas!O511="Chen 25 F",Atletas!O511="Chen 36 F",Atletas!O511="Chen 56 F"),432,IF(Atletas!O511="Sun 73 F",433,IF(Atletas!O511="Wu 45 F",434,IF(Atletas!O511="Wu-Hao 46 F",435,IF(OR(Atletas!O511="Taijiquan 16 F",Atletas!O511="Taijiquan 24 F",Atletas!O511="Taijiquan 32 F",Atletas!O511="Taijiquan 42 F"),436,0)))))))))))))))))))</f>
        <v/>
      </c>
      <c r="BR515" s="52" t="str">
        <f>IF(Atletas!P511="","",IF(Atletas!W511&lt;&gt;"",10000,0)+IF(Atletas!B511="Feminino",1000,IF(Atletas!B511="Masculino",2000,""))+IF(Atletas!P511="Xingyiquan A",501,IF(Atletas!P511="Baguazhang A",502,IF(Atletas!P511="Outro Estilo Interno A",503,IF(Atletas!P511="Xingyiquan B",504,IF(Atletas!P511="Baguazhang B",505,IF(Atletas!P511="Outro Estilo Interno B",506,IF(Atletas!P511="Xingyiquan C",507,IF(Atletas!P511="Baguazhang C",508,IF(Atletas!P511="Outro Estilo Interno C",509,IF(Atletas!P511="Xingyiquan D",510,IF(Atletas!P511="Baguazhang D",511,IF(Atletas!P511="Outro Estilo Interno D",512,IF(Atletas!P511="Xingyiquan E",513,IF(Atletas!P511="Baguazhang E",514,IF(Atletas!P511="Outro Estilo Interno E",515,IF(Atletas!P511="Xingyiquan F",516,IF(Atletas!P511="Baguazhang F",517,IF(Atletas!P511="Outro Estilo Interno F",518, "")))))))))))))))))))</f>
        <v/>
      </c>
      <c r="BS515" s="52" t="str">
        <f>IF(Atletas!Q511="","",IF(Atletas!W511&lt;&gt;"",10000,0)+IF(Atletas!B511="Feminino",1000,IF(Atletas!B511="Masculino",2000,""))+IF(Atletas!Q511="Dao A",601,IF(Atletas!Q511="Jian A",602,IF(Atletas!Q511="Bishou A",603,IF(Atletas!Q511="Shan A",604,IF(Atletas!Q511="Outra Arma Curta A",605,IF(Atletas!Q511="Dao B",606,IF(Atletas!Q511="Jian B",607,IF(Atletas!Q511="Bishou B",608,IF(Atletas!Q511="Shan B",609,IF(Atletas!Q511="Outra Arma Curta B",610,IF(Atletas!Q511="Dao C",611,IF(Atletas!Q511="Jian C",612,IF(Atletas!Q511="Bishou C",613,IF(Atletas!Q511="Shan C",614,IF(Atletas!Q511="Outra Arma Curta C",615,IF(Atletas!Q511="Dao D",616,IF(Atletas!Q511="Jian D",617,IF(Atletas!Q511="Bishou D",618,IF(Atletas!Q511="Shan D",619,IF(Atletas!Q511="Outra Arma Curta D",620,IF(Atletas!Q511="Dao E",621,IF(Atletas!Q511="Jian E",622,IF(Atletas!Q511="Bishou E",623,IF(Atletas!Q511="Shan E",624,IF(Atletas!Q511="Outra Arma Curta E",625,IF(Atletas!Q511="Dao F",626,IF(Atletas!Q511="Jian F",627,IF(Atletas!Q511="Bishou F",628,IF(Atletas!Q511="Shan F",629,IF(Atletas!Q511="Outra Arma Curta F",630, "")))))))))))))))))))))))))))))))</f>
        <v/>
      </c>
      <c r="BT515" s="52" t="str">
        <f>IF(Atletas!R511="","",IF(Atletas!W511&lt;&gt;"",10000,0)+IF(Atletas!B511="Feminino",1000,IF(Atletas!B511="Masculino",2000,""))+IF(Atletas!R511="Gun A",701,IF(Atletas!R511="Qiang A",702,IF(Atletas!R511="Pudao / Guandao A",703,IF(Atletas!R511="Outra Arma Longa A",704,IF(Atletas!R511="Gun B",705,IF(Atletas!R511="Qiang B",706,IF(Atletas!R511="Pudao / Guandao B",707,IF(Atletas!R511="Outra Arma Longa B",708,IF(Atletas!R511="Gun C",709,IF(Atletas!R511="Qiang C",710,IF(Atletas!R511="Pudao / Guandao C",711,IF(Atletas!R511="Outra Arma Longa C",712,IF(Atletas!R511="Gun D",713,IF(Atletas!R511="Qiang D",714,IF(Atletas!R511="Pudao / Guandao D",715,IF(Atletas!R511="Outra Arma Longa D",716,IF(Atletas!R511="Gun E",717,IF(Atletas!R511="Qiang E",718,IF(Atletas!R511="Pudao / Guandao E",719,IF(Atletas!R511="Outra Arma Longa E",720,IF(Atletas!R511="Gun F",721,IF(Atletas!R511="Qiang F",722,IF(Atletas!R511="Pudao / Guandao F",723,IF(Atletas!R511="Outra Arma Longa F",724,"")))))))))))))))))))))))))</f>
        <v/>
      </c>
      <c r="BU515" s="52" t="str">
        <f>IF(Atletas!S511="","",IF(Atletas!W511&lt;&gt;"",10000,0)+IF(Atletas!B511="Feminino",1000,IF(Atletas!B511="Masculino",2000,""))+IF(Atletas!S511="Arma Dupla A",801,IF(Atletas!S511="Arma Maleável A",802,IF(Atletas!S511="Arma Dupla B",803,IF(Atletas!S511="Arma Maleável B",804,IF(Atletas!S511="Arma Dupla C",805,IF(Atletas!S511="Arma Maleável C",806,IF(Atletas!S511="Arma Dupla D",807,IF(Atletas!S511="Arma Maleável D",808,IF(Atletas!S511="Arma Dupla E",809,IF(Atletas!S511="Arma Maleável E",810,IF(Atletas!S511="Arma Dupla F",811,IF(Atletas!S511="Arma Maleável F",812, "")))))))))))))</f>
        <v/>
      </c>
      <c r="BV515" s="52" t="str">
        <f>IF(Atletas!T511="","",IF(Atletas!W511&lt;&gt;"",10000,0)+IF(Atletas!B511="Feminino",1000,IF(Atletas!B511="Masculino",2000,""))+IF(Atletas!T511="Taijijian Yang A",901,IF(Atletas!T511="Taijijian Chen A",902,IF(Atletas!T511="Taijijian Sun A",903,IF(Atletas!T511="Taijijian Wu A",904,IF(Atletas!T511="Taijijian Wu-Hao A",905,IF(Atletas!T511="Taijijian 32 A",906,IF(Atletas!T511="Taijijian 42 A",907,IF(Atletas!T511="Taijijian Yang B",908,IF(Atletas!T511="Taijijian Chen B",909,IF(Atletas!T511="Taijijian Sun B",910,IF(Atletas!T511="Taijijian Wu B",911,IF(Atletas!T511="Taijijian Wu-Hao B",912,IF(Atletas!T511="Taijijian 32 B",913,IF(Atletas!T511="Taijijian 42 B",914,IF(Atletas!T511="Taijijian Yang C",915,IF(Atletas!T511="Taijijian Chen C",916,IF(Atletas!T511="Taijijian Sun C",917,IF(Atletas!T511="Taijijian Wu C",918,IF(Atletas!T511="Taijijian Wu-Hao C",919,IF(Atletas!T511="Taijijian 32 C",920,IF(Atletas!T511="Taijijian 42 C",921,IF(Atletas!T511="Taijijian Yang D",922,IF(Atletas!T511="Taijijian Chen D",923,IF(Atletas!T511="Taijijian Sun D",924,IF(Atletas!T511="Taijijian Wu D",925,IF(Atletas!T511="Taijijian Wu-Hao D",926,IF(Atletas!T511="Taijijian 32 D",927,IF(Atletas!T511="Taijijian 42 D",928,IF(Atletas!T511="Taijijian Yang E",929,IF(Atletas!T511="Taijijian Chen E",930,IF(Atletas!T511="Taijijian Sun E",931,IF(Atletas!T511="Taijijian Wu E",932,IF(Atletas!T511="Taijijian Wu-Hao E",933,IF(Atletas!T511="Taijijian 32 E",934,IF(Atletas!T511="Taijijian 42 E",935,IF(Atletas!T511="Taijijian Yang F",936,IF(Atletas!T511="Taijijian Chen F",937,IF(Atletas!T511="Taijijian Sun F",938,IF(Atletas!T511="Taijijian Wu F",939,IF(Atletas!T511="Taijijian Wu-Hao F",940,IF(Atletas!T511="Taijijian 32 F",941,IF(Atletas!T511="Taijijian 42 F",942,"")))))))))))))))))))))))))))))))))))))))))))</f>
        <v/>
      </c>
      <c r="BW515" s="52" t="str">
        <f>IF(Atletas!U511="","",IF(Atletas!W511&lt;&gt;"",10000,0)+IF(Atletas!B511="Feminino",1000,IF(Atletas!B511="Masculino",2000,""))+IF(Atletas!T511="Taijijian 42 F",942,IF(Atletas!U511="Taijidao A",943,IF(Atletas!U511="Taijishan A",944,IF(Atletas!U511="Taijiqiang A",945,IF(Atletas!U511="Taijidao B",946,IF(Atletas!U511="Taijishan B",947,IF(Atletas!U511="Taijiqiang B",948,IF(Atletas!U511="Taijidao C",949,IF(Atletas!U511="Taijishan C",950,IF(Atletas!U511="Taijiqiang C",951,IF(Atletas!U511="Taijidao D",952,IF(Atletas!U511="Taijishan D",953,IF(Atletas!U511="Taijiqiang D",954,IF(Atletas!U511="Taijidao E",955,IF(Atletas!U511="Taijishan E",956,IF(Atletas!U511="Taijiqiang E",957,IF(Atletas!U511="Taijidao F",958,IF(Atletas!U511="Taijishan F",959,IF(Atletas!U511="Taijiqiang F",960))))))))))))))))))))</f>
        <v/>
      </c>
      <c r="CF515" s="52" t="str">
        <f xml:space="preserve"> IF(Atletas!V511="","",IF(Atletas!V511="Duilian de Mãos AB - Equipe 1",1,IF(Atletas!V511="Duilian de Mãos AB - Equipe 2",2,IF(Atletas!V511="Duilian de Armas AB - Equipe 1",3,IF(Atletas!V511="Duilian de Armas AB - Equipe 2",4,IF(Atletas!V511="Duilian de Tuishou - Equipe 1",5,IF(Atletas!V511="Duilian de Tuishou - Equipe 2",6,IF(Atletas!V511="Grupo Externo AB - Equipe 1",7,IF(Atletas!V511="Grupo Externo AB - Equipe 2",8,IF(Atletas!V511="Grupo Interno AB - Equipe 1",9,IF(Atletas!V511="Grupo Interno AB - Equipe 2",10,IF(Atletas!V511="Duilian de Mãos CD - Equipe 1",11,IF(Atletas!V511="Duilian de Mãos CD - Equipe 2",12,IF(Atletas!V511="Duilian de Armas CD - Equipe 1",13,IF(Atletas!V511="Duilian de Armas CD - Equipe 2",14,IF(Atletas!V511="Duilian de Tuishou - Equipe 1",15,IF(Atletas!V511="Duilian de Tuishou - Equipe 2",16,IF(Atletas!V511="Grupo Externo CDEF - Equipe 1",17,IF(Atletas!V511="Grupo Externo CDEF - Equipe 2",18,IF(Atletas!V511="Grupo Interno CDEF - Equipe 1",19,IF(Atletas!V511="Grupo Interno CDEF - Equipe 2",20,IF(Atletas!V511="Duilian de Mãos EF - Equipe 1",21,IF(Atletas!V511="Duilian de Mãos EF - Equipe 2",22,IF(Atletas!V511="Duilian de Armas EF - Equipe 1",23,IF(Atletas!V511="Duilian de Armas EF - Equipe 2",24,IF(Atletas!V511="Duilian de Tuishou - Equipe 1",25,IF(Atletas!V511="Duilian de Tuishou - Equipe 2",26,"")))))))))))))))))))))))))))</f>
        <v/>
      </c>
    </row>
    <row r="516" spans="36:84">
      <c r="AJ516" s="46" t="str">
        <f>IF(Atletas!D512="","",IF(Atletas!B512="Feminino",100,IF(Atletas!B512="Masculino",200,""))+(IF(Atletas!D512="Infantil 39kg",1,IF(Atletas!D512="Infantil 42kg",2,IF(Atletas!D512="Infantil 45kg",3,IF(Atletas!D512="Infantil 48kg",4,IF(Atletas!D512="Infantil 52kg",5,IF(Atletas!D512="Infantil 56kg",6,IF(Atletas!D512="Infantil 60kg",7,IF(Atletas!D512="Juvenil 48kg",8,IF(Atletas!D512="Juvenil 52kg",9,IF(Atletas!D512="Juvenil 56kg",10,IF(Atletas!D512="Juvenil 60kg",11,IF(Atletas!D512="Juvenil 65kg",12,IF(Atletas!D512="Juvenil 70kg",13,IF(Atletas!D512="Juvenil 75kg",14,IF(Atletas!D512="Juvenil 80kg",15,IF(Atletas!D512="Adulto 48kg",16,IF(Atletas!D512="Adulto 52kg",17,IF(Atletas!D512="Adulto 56kg",18,IF(Atletas!D512="Adulto 60kg",19,IF(Atletas!D512="Adulto 65kg",20,IF(Atletas!D512="Adulto 70kg",21,IF(Atletas!D512="Adulto 75kg",22,IF(Atletas!D512="Adulto 80kg",23,IF(Atletas!D512="Adulto 85kg",24,IF(Atletas!D512="Adulto 90kg",25,IF(Atletas!D512="Adulto +90kg",26,""))))))))))))))))))))))))))))</f>
        <v/>
      </c>
      <c r="AO516" s="10" t="str">
        <f>IF(Atletas!E512="","",IF(Atletas!B512="Feminino",100,IF(Atletas!B512="Masculino",200,""))+(IF(Atletas!E512="Juvenil 44kg",1,IF(Atletas!E512="Juvenil 48kg",2,IF(Atletas!E512="Juvenil 52kg",3,IF(Atletas!E512="Juvenil 56kg",4,IF(Atletas!E512="Juvenil 60kg",5,IF(Atletas!E512="Juvenil 65kg",6,IF(Atletas!E512="Juvenil 70kg",7,IF(Atletas!E512="Juvenil 75kg",8,IF(Atletas!E512="Juvenil 82kg",9,IF(Atletas!E512="Juvenil 90kg",10,IF(Atletas!E512="Juvenil 100kg",11,IF(Atletas!E512="Adulto 48kg",12,IF(Atletas!E512="Adulto 52kg",13,IF(Atletas!E512="Adulto 56kg",14,IF(Atletas!E512="Adulto 60kg",15,IF(Atletas!E512="Adulto 65kg",16,IF(Atletas!E512="Adulto 70kg",17,IF(Atletas!E512="Adulto 75kg",18,IF(Atletas!E512="Adulto 82kg",19,IF(Atletas!E512="Adulto 90kg",20,IF(Atletas!E512="Adulto 100kg",21,IF(Atletas!E512="Adulto +100kg",22,""))))))))))))))))))))))))</f>
        <v/>
      </c>
      <c r="AT516" s="10" t="str">
        <f>IF(Atletas!F512="","",IF(Atletas!B512="Feminino",100,IF(Atletas!B512="Masculino",200,""))+(IF(Atletas!F512="Adulto 48kg",1,IF(Atletas!F512="Adulto 56kg",2,IF(Atletas!F512="Adulto 65kg",3,IF(Atletas!F512="Adulto 75kg",4,IF(Atletas!F512="Adulto +75kg",5,IF(Atletas!F512="Adulto 52kg",6,IF(Atletas!F512="Adulto 60kg",7,IF(Atletas!F512="Adulto 70kg",8,IF(Atletas!F512="Adulto 80kg",9,IF(Atletas!F512="Adulto 90kg",10,IF(Atletas!F512="Adulto +90kg",11,"")))))))))))))</f>
        <v/>
      </c>
      <c r="AY516" s="46" t="str">
        <f>IF(Atletas!G512="","",IF(Atletas!B512="Feminino",100,IF(Atletas!B512="Masculino",200,""))+(IF(Atletas!G512="Changquan Mirim",1,IF(Atletas!G512="Nanquan Mirim",2,IF(Atletas!G512="Taijiquan Mirim",3,IF(Atletas!G512="Changquan Grupo C",4,IF(Atletas!G512="Nanquan Grupo C",5,IF(Atletas!G512="Taijiquan Grupo C",6,IF(Atletas!G512="Changquan Grupo B",7,IF(Atletas!G512="Nanquan Grupo B",8,IF(Atletas!G512="Taijiquan Grupo B",9,IF(Atletas!G512="Changquan Grupo A",10,IF(Atletas!G512="Nanquan Grupo A",11,IF(Atletas!G512="Taijiquan Grupo A",12,IF(Atletas!G512="Changquan Opcional",13,IF(Atletas!G512="Nanquan Opcional",14,IF(Atletas!G512="Taijiquan Opcional",15,IF(Atletas!G512="Changquan Adulto",16,IF(Atletas!G512="Nanquan Adulto",17,IF(Atletas!G512="Taijiquan Adulto",18,""))))))))))))))))))))</f>
        <v/>
      </c>
      <c r="AZ516" s="46" t="str">
        <f>IF(Atletas!H512="","",IF(Atletas!B512="Feminino",100,IF(Atletas!B512="Masculino",200,""))+(IF(Atletas!H512="Daoshu Mirim",19,IF(Atletas!H512="Jianshu Mirim",20,IF(Atletas!H512="Nandao Mirim",21,IF(Atletas!H512="Taijijian Mirim",22,IF(Atletas!H512="Daoshu Grupo C",23,IF(Atletas!H512="Jianshu Grupo C",24,IF(Atletas!H512="Nandao Grupo C",25,IF(Atletas!H512="Taijijian Grupo C",26,IF(Atletas!H512="Daoshu Grupo B",27,IF(Atletas!H512="Jianshu Grupo B",28,IF(Atletas!H512="Nandao Grupo B",29,IF(Atletas!H512="Taijijian Grupo B",30,IF(Atletas!H512="Daoshu Grupo A",31,IF(Atletas!H512="Jianshu Grupo A",32,IF(Atletas!H512="Nandao Grupo A",33,IF(Atletas!H512="Taijijian Grupo A",34,IF(Atletas!H512="Daoshu Opcional",35,IF(Atletas!H512="Jianshu Opcional",36,IF(Atletas!H512="Nandao Opcional",37,IF(Atletas!H512="Taijijian Opcional",38,IF(Atletas!H512="Daoshu Adulto",39,IF(Atletas!H512="Jianshu Adulto",40,IF(Atletas!H512="Nandao Adulto",41,IF(Atletas!H512="Taijijian Adulto",42,""))))))))))))))))))))))))))</f>
        <v/>
      </c>
      <c r="BA516" s="46" t="str">
        <f>IF(Atletas!I512="","",IF(Atletas!B512="Feminino",100,IF(Atletas!B512="Masculino",200,""))+(IF(Atletas!I512="Gunshu Mirim",43,IF(Atletas!I512="Qiangshu Mirim",44,IF(Atletas!I512="Nangun Mirim",45,IF(Atletas!I512="Gunshu Grupo C",46,IF(Atletas!I512="Qiangshu Grupo C",47,IF(Atletas!I512="Nangun Grupo C",48,IF(Atletas!I512="Gunshu Grupo B",49,IF(Atletas!I512="Qiangshu Grupo B",50,IF(Atletas!I512="Nangun Grupo B",51,IF(Atletas!I512="Gunshu Grupo A",52,IF(Atletas!I512="Qiangshu Grupo A",53,IF(Atletas!I512="Nangun Grupo A",54,IF(Atletas!I512="Gunshu Opcional",55,IF(Atletas!I512="Qiangshu Opcional",56,IF(Atletas!I512="Nangun Opcional",57,IF(Atletas!I512="Gunshu Adulto",58,IF(Atletas!I512="Qiangshu Adulto",59,IF(Atletas!I512="Nangun Adulto",60,""))))))))))))))))))))</f>
        <v/>
      </c>
      <c r="BF516" s="52" t="str">
        <f>IF(Atletas!J512="","",IF(Atletas!B512="Feminino",100,IF(Atletas!B512="Masculino",200,""))+(IF(Atletas!J512="Equipe 1 Grupo B",1,IF(Atletas!J512="Equipe 2 Grupo B",2,IF(Atletas!J512="Equipe 1 Grupo A",3,IF(Atletas!J512="Equipe 2 Grupo A",4,IF(Atletas!J512="Equipe 1 Adulto",5,IF(Atletas!J512="Equipe 2 Adulto",6,""))))))))</f>
        <v/>
      </c>
      <c r="BK516" s="52" t="str">
        <f>IF(Atletas!K512="","",IF(Atletas!W512&lt;&gt;"",10000,0)+(IF(Atletas!B512="Feminino",1000,IF(Atletas!B512="Masculino",2000,""))+IF(Atletas!K512="Choylayfut A",1,IF(Atletas!K512="Hunggar A",2,IF(Atletas!K512="Wuzuquan A",3,IF(Atletas!K512="Wingchun A",4,IF(Atletas!K512="Outra Mão de Sul A",5,IF(Atletas!K512="Choylayfut B",6,IF(Atletas!K512="Hunggar B",7,IF(Atletas!K512="Wuzuquan B",8,IF(Atletas!K512="Wingchun B",9,IF(Atletas!K512="Outra Mão de Sul B",10,IF(Atletas!K512="Choylayfut C",11,IF(Atletas!K512="Hunggar C",12,IF(Atletas!K512="Wuzuquan C",13,IF(Atletas!K512="Wingchun C",14,IF(Atletas!K512="Outra Mão de Sul C",15,IF(Atletas!K512="Choylayfut D",16,IF(Atletas!K512="Hunggar D",17,IF(Atletas!K512="Wuzuquan D",18,IF(Atletas!K512="Wingchun D",19,IF(Atletas!K512="Outra Mão de Sul D",20,IF(Atletas!K512="Choylayfut E",21,IF(Atletas!K512="Hunggar E",22,IF(Atletas!K512="Wuzuquan E",23,IF(Atletas!K512="Wingchun E",24,IF(Atletas!K512="Outra Mão de Sul E",25,IF(Atletas!K512="Choylayfut F",26,IF(Atletas!K512="Hunggar F",27,IF(Atletas!K512="Wuzuquan F",28,IF(Atletas!K512="Wingchun F",29,IF(Atletas!K512="Outra Mão de Sul F",30,""))))))))))))))))))))))))))))))))</f>
        <v/>
      </c>
      <c r="BL516" s="52" t="str">
        <f>IF(Atletas!L512="","",IF(Atletas!W512&lt;&gt;"",10000,0)+(IF(Atletas!B512="Feminino",1000,IF(Atletas!B512="Masculino",2000,""))+(IF(Atletas!L512="Chaquan A",101,IF(Atletas!L512="Emeiquan A",102,IF(Atletas!L512="Fanziquan A",103,IF(Atletas!L512="Huaquan A",104,IF(Atletas!L512="Hongquan A",105,IF(Atletas!L512="Paochui A",106,IF(Atletas!L512="Piguaquan A",107,IF(Atletas!L512="Shaolinquan A",108,IF(Atletas!L512="Tanglangquan A",109,IF(Atletas!L512="Yinzhaophai A",110,IF(Atletas!L512="Tongbeiquan A",111,IF(Atletas!L512="Wudangquan A",112,IF(Atletas!L512="Outros Estilos A",113,IF(Atletas!L512="Chaquan B",114,IF(Atletas!L512="Emeiquan B",115,IF(Atletas!L512="Fanziquan B",116,IF(Atletas!L512="Huaquan B",117,IF(Atletas!L512="Hongquan B",118,IF(Atletas!L512="Paochui B",119,IF(Atletas!L512="Piguaquan B",120,IF(Atletas!L512="Shaolinquan B",121,IF(Atletas!L512="Tanglangquan B",122,IF(Atletas!L512="Yinzhaophai B",123,IF(Atletas!L512="Tongbeiquan B",124,IF(Atletas!L512="Wudangquan B",125,IF(Atletas!L512="Outros Estilos B",126,IF(Atletas!L512="Chaquan C",127,IF(Atletas!L512="Emeiquan C",128,IF(Atletas!L512="Fanziquan C",129,IF(Atletas!L512="Huaquan C",130,IF(Atletas!L512="Hongquan C",131,IF(Atletas!L512="Paochui C",132,IF(Atletas!L512="Piguaquan C",133,IF(Atletas!L512="Shaolinquan C",134,IF(Atletas!L512="Tanglangquan C",135,IF(Atletas!L512="Yinzhaophai C",136,IF(Atletas!L512="Tongbeiquan C",137,IF(Atletas!L512="Wudangquan C",138,IF(Atletas!L512="Outros Estilos C",139,0))))))))))))))))))))))))))))))))))))))))))</f>
        <v/>
      </c>
      <c r="BM516" s="52" t="str">
        <f>IF(Atletas!L512="","",IF(Atletas!W512&lt;&gt;"",10000,0)+(IF(Atletas!B512="Feminino",1000,IF(Atletas!B512="Masculino",2000,""))+(IF(Atletas!L512="Chaquan D",140,IF(Atletas!L512="Emeiquan D",141,IF(Atletas!L512="Fanziquan D",142,IF(Atletas!L512="Huaquan D",143,IF(Atletas!L512="Hongquan D",144,IF(Atletas!L512="Paochui D",145,IF(Atletas!L512="Piguaquan D",146,IF(Atletas!L512="Shaolinquan D",147,IF(Atletas!L512="Tanglangquan D",148,IF(Atletas!L512="Yinzhaophai D",149,IF(Atletas!L512="Tongbeiquan D",150,IF(Atletas!L512="Wudangquan D",151,IF(Atletas!L512="Outros Estilos D",152,IF(Atletas!L512="Chaquan E",153,IF(Atletas!L512="Emeiquan E",154,IF(Atletas!L512="Fanziquan E",155,IF(Atletas!L512="Huaquan E",156,IF(Atletas!L512="Hongquan E",157,IF(Atletas!L512="Paochui E",158,IF(Atletas!L512="Piguaquan E",159,IF(Atletas!L512="Shaolinquan E",160,IF(Atletas!L512="Tanglangquan E",161,IF(Atletas!L512="Yinzhaophai E",162,IF(Atletas!L512="Tongbeiquan E",163,IF(Atletas!L512="Wudangquan E",164,IF(Atletas!L512="Outros Estilos E",165,IF(Atletas!L512="Chaquan F",166,IF(Atletas!L512="Emeiquan F",167,IF(Atletas!L512="Fanziquan F",168,IF(Atletas!L512="Huaquan F",169,IF(Atletas!L512="Hongquan F",170,IF(Atletas!L512="Paochui F",171,IF(Atletas!L512="Piguaquan F",172,IF(Atletas!L512="Shaolinquan F",173,IF(Atletas!L512="Tanglangquan F",174,IF(Atletas!L512="Yinzhaophai F",175,IF(Atletas!L512="Tongbeiquan F",176,IF(Atletas!L512="Wudangquan F",177,IF(Atletas!L512="Outros Estilos F",178,0))))))))))))))))))))))))))))))))))))))))))</f>
        <v/>
      </c>
      <c r="BN516" s="52" t="str">
        <f>IF(Atletas!M512="","",IF(Atletas!W512&lt;&gt;"",10000,0)+(IF(Atletas!B512="Feminino",1000,IF(Atletas!B512="Masculino",2000,""))+(IF(Atletas!M512="Ditangquan A",201,IF(Atletas!M512="Houquan A",202,IF(Atletas!M512="Zuiquan A",203,IF(Atletas!M512="Ditangquan B",204,IF(Atletas!M512="Houquan B",205,IF(Atletas!M512="Zuiquan B",206,IF(Atletas!M512="Ditangquan C",207,IF(Atletas!M512="Houquan C",208,IF(Atletas!M512="Zuiquan C",209,IF(Atletas!M512="Ditangquan D",210,IF(Atletas!M512="Houquan D",211,IF(Atletas!M512="Zuiquan D",212,IF(Atletas!M512="Ditangquan E",213,IF(Atletas!M512="Houquan E",214,IF(Atletas!M512="Zuiquan E",215,IF(Atletas!M512="Ditangquan F",216,IF(Atletas!M512="Houquan F",217,IF(Atletas!M512="Zuiquan F",218,"")))))))))))))))))))))</f>
        <v/>
      </c>
      <c r="BO516" s="52" t="str">
        <f>IF(Atletas!N512="","",IF(Atletas!W512&lt;&gt;"",10000,0)+IF(Atletas!B512="Feminino",1000,IF(Atletas!B512="Masculino",2000,""))+IF(Atletas!N512="Yang A",301,IF(Atletas!N512="Chen A",30,IF(Atletas!N512="Sun A",303,IF(Atletas!N512="Wu A",304,IF(Atletas!N512="Wu-Hao A",305,IF(Atletas!N512="Outro Taijiquan A",306,IF(Atletas!N512="Yang B",307,IF(Atletas!N512="Chen B",308,IF(Atletas!N512="Sun B",309,IF(Atletas!N512="Wu B",310,IF(Atletas!N512="Wu-Hao B",311,IF(Atletas!N512="Outro Taijiquan B",312,IF(Atletas!N512="Yang C",313,IF(Atletas!N512="Chen C",314,IF(Atletas!N512="Sun C",315,IF(Atletas!N512="Wu C",316,IF(Atletas!N512="Wu-Hao C",317,IF(Atletas!N512="Outro Taijiquan C",318,IF(Atletas!N512="Yang D",319,IF(Atletas!N512="Chen D",320,IF(Atletas!N512="Sun D",321,IF(Atletas!N512="Wu D",322,IF(Atletas!N512="Wu-Hao D",323,IF(Atletas!N512="Outro Taijiquan D",324,IF(Atletas!N512="Yang E",325,IF(Atletas!N512="Chen E",326,IF(Atletas!N512="Sun E",327,IF(Atletas!N512="Wu E",328,IF(Atletas!N512="Wu-Hao E",329,IF(Atletas!N512="Outro Taijiquan E",330,IF(Atletas!N512="Yang F",331,IF(Atletas!N512="Chen F",332,IF(Atletas!N512="Sun F",333,IF(Atletas!N512="Wu F",334,IF(Atletas!N512="Wu-Hao F",335,IF(Atletas!N512="Outro Taijiquan F",336,"")))))))))))))))))))))))))))))))))))))</f>
        <v/>
      </c>
      <c r="BP516" s="52" t="str">
        <f>IF(Atletas!O512="","",IF(Atletas!W512&lt;&gt;"",10000,0)+IF(Atletas!B512="Feminino",1000,IF(Atletas!B512="Masculino",2000,""))+IF(OR(Atletas!O512="Yang 26 A",Atletas!O512="Yang 40 A"),401,IF(OR(Atletas!O512="Chen 25 A",Atletas!O512="Chen 36 A",Atletas!O512="Chen 56 A"),402,IF(Atletas!O512="Sun 73 A",403,IF(Atletas!O512="Wu 45 A",404,IF(Atletas!O512="Wu-Hao 46 A",405,IF(OR(Atletas!O512="Taijiquan 16 A",Atletas!O512="Taijiquan 24 A",Atletas!O512="Taijiquan 32 A",Atletas!O512="Taijiquan 42 A"),406,IF(OR(Atletas!O512="Yang 26 B",Atletas!O512="Yang 40 B"),407,IF(OR(Atletas!O512="Chen 25 B",Atletas!O512="Chen 36 B",Atletas!O512="Chen 56 B"),408,IF(Atletas!O512="Sun 73 B",409,IF(Atletas!O512="Wu 45 B",410,IF(Atletas!O512="Wu-Hao 46 B",411,IF(OR(Atletas!O512="Taijiquan 16 B",Atletas!O512="Taijiquan 24 B",Atletas!O512="Taijiquan 32 B",Atletas!O512="Taijiquan 42 B"),412,IF(OR(Atletas!O512="Yang 26 C",Atletas!O512="Yang 40 C"),413,IF(OR(Atletas!O512="Chen 25 C",Atletas!O512="Chen 36 C",Atletas!O512="Chen 56 C"),414,IF(Atletas!O512="Sun 73 C",415,IF(Atletas!O512="Wu 45 C",416,IF(Atletas!O512="Wu-Hao 46 C",417,IF(OR(Atletas!O512="Taijiquan 16 C",Atletas!O512="Taijiquan 24 C",Atletas!O512="Taijiquan 32 C",Atletas!O512="Taijiquan 42 C"),418,0)))))))))))))))))))</f>
        <v/>
      </c>
      <c r="BQ516" s="52" t="str">
        <f>IF(Atletas!O512="","",IF(Atletas!W512&lt;&gt;"",10000,0)+IF(Atletas!B512="Feminino",1000,IF(Atletas!B512="Masculino",2000,""))+IF(OR(Atletas!O512="Yang 26 D",Atletas!O512="Yang 40 D"),419,IF(OR(Atletas!O512="Chen 25 D",Atletas!O512="Chen 36 D",Atletas!O512="Chen 56 D"),420,IF(Atletas!O512="Sun 73 D",421,IF(Atletas!O512="Wu 45 D",422,IF(Atletas!O512="Wu-Hao 46 D",423,IF(OR(Atletas!O512="Taijiquan 16 D",Atletas!O512="Taijiquan 24 D",Atletas!O512="Taijiquan 32 D",Atletas!O512="Taijiquan 42 D"),424,IF(OR(Atletas!O512="Yang 26 E",Atletas!O512="Yang 40 E"),425,IF(OR(Atletas!O512="Chen 25 E",Atletas!O512="Chen 36 E",Atletas!O512="Chen 56 E"),426,IF(Atletas!O512="Sun 73 E",427,IF(Atletas!O512="Wu 45 E",428,IF(Atletas!O512="Wu-Hao 46 E",429,IF(OR(Atletas!O512="Taijiquan 16 E",Atletas!O512="Taijiquan 24 E",Atletas!O512="Taijiquan 32 E",Atletas!O512="Taijiquan 42 E"),430,IF(OR(Atletas!O512="Yang 26 F",Atletas!O512="Yang 40 F"),431,IF(OR(Atletas!O512="Chen 25 F",Atletas!O512="Chen 36 F",Atletas!O512="Chen 56 F"),432,IF(Atletas!O512="Sun 73 F",433,IF(Atletas!O512="Wu 45 F",434,IF(Atletas!O512="Wu-Hao 46 F",435,IF(OR(Atletas!O512="Taijiquan 16 F",Atletas!O512="Taijiquan 24 F",Atletas!O512="Taijiquan 32 F",Atletas!O512="Taijiquan 42 F"),436,0)))))))))))))))))))</f>
        <v/>
      </c>
      <c r="BR516" s="52" t="str">
        <f>IF(Atletas!P512="","",IF(Atletas!W512&lt;&gt;"",10000,0)+IF(Atletas!B512="Feminino",1000,IF(Atletas!B512="Masculino",2000,""))+IF(Atletas!P512="Xingyiquan A",501,IF(Atletas!P512="Baguazhang A",502,IF(Atletas!P512="Outro Estilo Interno A",503,IF(Atletas!P512="Xingyiquan B",504,IF(Atletas!P512="Baguazhang B",505,IF(Atletas!P512="Outro Estilo Interno B",506,IF(Atletas!P512="Xingyiquan C",507,IF(Atletas!P512="Baguazhang C",508,IF(Atletas!P512="Outro Estilo Interno C",509,IF(Atletas!P512="Xingyiquan D",510,IF(Atletas!P512="Baguazhang D",511,IF(Atletas!P512="Outro Estilo Interno D",512,IF(Atletas!P512="Xingyiquan E",513,IF(Atletas!P512="Baguazhang E",514,IF(Atletas!P512="Outro Estilo Interno E",515,IF(Atletas!P512="Xingyiquan F",516,IF(Atletas!P512="Baguazhang F",517,IF(Atletas!P512="Outro Estilo Interno F",518, "")))))))))))))))))))</f>
        <v/>
      </c>
      <c r="BS516" s="52" t="str">
        <f>IF(Atletas!Q512="","",IF(Atletas!W512&lt;&gt;"",10000,0)+IF(Atletas!B512="Feminino",1000,IF(Atletas!B512="Masculino",2000,""))+IF(Atletas!Q512="Dao A",601,IF(Atletas!Q512="Jian A",602,IF(Atletas!Q512="Bishou A",603,IF(Atletas!Q512="Shan A",604,IF(Atletas!Q512="Outra Arma Curta A",605,IF(Atletas!Q512="Dao B",606,IF(Atletas!Q512="Jian B",607,IF(Atletas!Q512="Bishou B",608,IF(Atletas!Q512="Shan B",609,IF(Atletas!Q512="Outra Arma Curta B",610,IF(Atletas!Q512="Dao C",611,IF(Atletas!Q512="Jian C",612,IF(Atletas!Q512="Bishou C",613,IF(Atletas!Q512="Shan C",614,IF(Atletas!Q512="Outra Arma Curta C",615,IF(Atletas!Q512="Dao D",616,IF(Atletas!Q512="Jian D",617,IF(Atletas!Q512="Bishou D",618,IF(Atletas!Q512="Shan D",619,IF(Atletas!Q512="Outra Arma Curta D",620,IF(Atletas!Q512="Dao E",621,IF(Atletas!Q512="Jian E",622,IF(Atletas!Q512="Bishou E",623,IF(Atletas!Q512="Shan E",624,IF(Atletas!Q512="Outra Arma Curta E",625,IF(Atletas!Q512="Dao F",626,IF(Atletas!Q512="Jian F",627,IF(Atletas!Q512="Bishou F",628,IF(Atletas!Q512="Shan F",629,IF(Atletas!Q512="Outra Arma Curta F",630, "")))))))))))))))))))))))))))))))</f>
        <v/>
      </c>
      <c r="BT516" s="52" t="str">
        <f>IF(Atletas!R512="","",IF(Atletas!W512&lt;&gt;"",10000,0)+IF(Atletas!B512="Feminino",1000,IF(Atletas!B512="Masculino",2000,""))+IF(Atletas!R512="Gun A",701,IF(Atletas!R512="Qiang A",702,IF(Atletas!R512="Pudao / Guandao A",703,IF(Atletas!R512="Outra Arma Longa A",704,IF(Atletas!R512="Gun B",705,IF(Atletas!R512="Qiang B",706,IF(Atletas!R512="Pudao / Guandao B",707,IF(Atletas!R512="Outra Arma Longa B",708,IF(Atletas!R512="Gun C",709,IF(Atletas!R512="Qiang C",710,IF(Atletas!R512="Pudao / Guandao C",711,IF(Atletas!R512="Outra Arma Longa C",712,IF(Atletas!R512="Gun D",713,IF(Atletas!R512="Qiang D",714,IF(Atletas!R512="Pudao / Guandao D",715,IF(Atletas!R512="Outra Arma Longa D",716,IF(Atletas!R512="Gun E",717,IF(Atletas!R512="Qiang E",718,IF(Atletas!R512="Pudao / Guandao E",719,IF(Atletas!R512="Outra Arma Longa E",720,IF(Atletas!R512="Gun F",721,IF(Atletas!R512="Qiang F",722,IF(Atletas!R512="Pudao / Guandao F",723,IF(Atletas!R512="Outra Arma Longa F",724,"")))))))))))))))))))))))))</f>
        <v/>
      </c>
      <c r="BU516" s="52" t="str">
        <f>IF(Atletas!S512="","",IF(Atletas!W512&lt;&gt;"",10000,0)+IF(Atletas!B512="Feminino",1000,IF(Atletas!B512="Masculino",2000,""))+IF(Atletas!S512="Arma Dupla A",801,IF(Atletas!S512="Arma Maleável A",802,IF(Atletas!S512="Arma Dupla B",803,IF(Atletas!S512="Arma Maleável B",804,IF(Atletas!S512="Arma Dupla C",805,IF(Atletas!S512="Arma Maleável C",806,IF(Atletas!S512="Arma Dupla D",807,IF(Atletas!S512="Arma Maleável D",808,IF(Atletas!S512="Arma Dupla E",809,IF(Atletas!S512="Arma Maleável E",810,IF(Atletas!S512="Arma Dupla F",811,IF(Atletas!S512="Arma Maleável F",812, "")))))))))))))</f>
        <v/>
      </c>
      <c r="BV516" s="52" t="str">
        <f>IF(Atletas!T512="","",IF(Atletas!W512&lt;&gt;"",10000,0)+IF(Atletas!B512="Feminino",1000,IF(Atletas!B512="Masculino",2000,""))+IF(Atletas!T512="Taijijian Yang A",901,IF(Atletas!T512="Taijijian Chen A",902,IF(Atletas!T512="Taijijian Sun A",903,IF(Atletas!T512="Taijijian Wu A",904,IF(Atletas!T512="Taijijian Wu-Hao A",905,IF(Atletas!T512="Taijijian 32 A",906,IF(Atletas!T512="Taijijian 42 A",907,IF(Atletas!T512="Taijijian Yang B",908,IF(Atletas!T512="Taijijian Chen B",909,IF(Atletas!T512="Taijijian Sun B",910,IF(Atletas!T512="Taijijian Wu B",911,IF(Atletas!T512="Taijijian Wu-Hao B",912,IF(Atletas!T512="Taijijian 32 B",913,IF(Atletas!T512="Taijijian 42 B",914,IF(Atletas!T512="Taijijian Yang C",915,IF(Atletas!T512="Taijijian Chen C",916,IF(Atletas!T512="Taijijian Sun C",917,IF(Atletas!T512="Taijijian Wu C",918,IF(Atletas!T512="Taijijian Wu-Hao C",919,IF(Atletas!T512="Taijijian 32 C",920,IF(Atletas!T512="Taijijian 42 C",921,IF(Atletas!T512="Taijijian Yang D",922,IF(Atletas!T512="Taijijian Chen D",923,IF(Atletas!T512="Taijijian Sun D",924,IF(Atletas!T512="Taijijian Wu D",925,IF(Atletas!T512="Taijijian Wu-Hao D",926,IF(Atletas!T512="Taijijian 32 D",927,IF(Atletas!T512="Taijijian 42 D",928,IF(Atletas!T512="Taijijian Yang E",929,IF(Atletas!T512="Taijijian Chen E",930,IF(Atletas!T512="Taijijian Sun E",931,IF(Atletas!T512="Taijijian Wu E",932,IF(Atletas!T512="Taijijian Wu-Hao E",933,IF(Atletas!T512="Taijijian 32 E",934,IF(Atletas!T512="Taijijian 42 E",935,IF(Atletas!T512="Taijijian Yang F",936,IF(Atletas!T512="Taijijian Chen F",937,IF(Atletas!T512="Taijijian Sun F",938,IF(Atletas!T512="Taijijian Wu F",939,IF(Atletas!T512="Taijijian Wu-Hao F",940,IF(Atletas!T512="Taijijian 32 F",941,IF(Atletas!T512="Taijijian 42 F",942,"")))))))))))))))))))))))))))))))))))))))))))</f>
        <v/>
      </c>
      <c r="BW516" s="52" t="str">
        <f>IF(Atletas!U512="","",IF(Atletas!W512&lt;&gt;"",10000,0)+IF(Atletas!B512="Feminino",1000,IF(Atletas!B512="Masculino",2000,""))+IF(Atletas!T512="Taijijian 42 F",942,IF(Atletas!U512="Taijidao A",943,IF(Atletas!U512="Taijishan A",944,IF(Atletas!U512="Taijiqiang A",945,IF(Atletas!U512="Taijidao B",946,IF(Atletas!U512="Taijishan B",947,IF(Atletas!U512="Taijiqiang B",948,IF(Atletas!U512="Taijidao C",949,IF(Atletas!U512="Taijishan C",950,IF(Atletas!U512="Taijiqiang C",951,IF(Atletas!U512="Taijidao D",952,IF(Atletas!U512="Taijishan D",953,IF(Atletas!U512="Taijiqiang D",954,IF(Atletas!U512="Taijidao E",955,IF(Atletas!U512="Taijishan E",956,IF(Atletas!U512="Taijiqiang E",957,IF(Atletas!U512="Taijidao F",958,IF(Atletas!U512="Taijishan F",959,IF(Atletas!U512="Taijiqiang F",960))))))))))))))))))))</f>
        <v/>
      </c>
      <c r="CF516" s="52" t="str">
        <f xml:space="preserve"> IF(Atletas!V512="","",IF(Atletas!V512="Duilian de Mãos AB - Equipe 1",1,IF(Atletas!V512="Duilian de Mãos AB - Equipe 2",2,IF(Atletas!V512="Duilian de Armas AB - Equipe 1",3,IF(Atletas!V512="Duilian de Armas AB - Equipe 2",4,IF(Atletas!V512="Duilian de Tuishou - Equipe 1",5,IF(Atletas!V512="Duilian de Tuishou - Equipe 2",6,IF(Atletas!V512="Grupo Externo AB - Equipe 1",7,IF(Atletas!V512="Grupo Externo AB - Equipe 2",8,IF(Atletas!V512="Grupo Interno AB - Equipe 1",9,IF(Atletas!V512="Grupo Interno AB - Equipe 2",10,IF(Atletas!V512="Duilian de Mãos CD - Equipe 1",11,IF(Atletas!V512="Duilian de Mãos CD - Equipe 2",12,IF(Atletas!V512="Duilian de Armas CD - Equipe 1",13,IF(Atletas!V512="Duilian de Armas CD - Equipe 2",14,IF(Atletas!V512="Duilian de Tuishou - Equipe 1",15,IF(Atletas!V512="Duilian de Tuishou - Equipe 2",16,IF(Atletas!V512="Grupo Externo CDEF - Equipe 1",17,IF(Atletas!V512="Grupo Externo CDEF - Equipe 2",18,IF(Atletas!V512="Grupo Interno CDEF - Equipe 1",19,IF(Atletas!V512="Grupo Interno CDEF - Equipe 2",20,IF(Atletas!V512="Duilian de Mãos EF - Equipe 1",21,IF(Atletas!V512="Duilian de Mãos EF - Equipe 2",22,IF(Atletas!V512="Duilian de Armas EF - Equipe 1",23,IF(Atletas!V512="Duilian de Armas EF - Equipe 2",24,IF(Atletas!V512="Duilian de Tuishou - Equipe 1",25,IF(Atletas!V512="Duilian de Tuishou - Equipe 2",26,"")))))))))))))))))))))))))))</f>
        <v/>
      </c>
    </row>
    <row r="517" spans="36:84">
      <c r="AJ517" s="46" t="str">
        <f>IF(Atletas!D513="","",IF(Atletas!B513="Feminino",100,IF(Atletas!B513="Masculino",200,""))+(IF(Atletas!D513="Infantil 39kg",1,IF(Atletas!D513="Infantil 42kg",2,IF(Atletas!D513="Infantil 45kg",3,IF(Atletas!D513="Infantil 48kg",4,IF(Atletas!D513="Infantil 52kg",5,IF(Atletas!D513="Infantil 56kg",6,IF(Atletas!D513="Infantil 60kg",7,IF(Atletas!D513="Juvenil 48kg",8,IF(Atletas!D513="Juvenil 52kg",9,IF(Atletas!D513="Juvenil 56kg",10,IF(Atletas!D513="Juvenil 60kg",11,IF(Atletas!D513="Juvenil 65kg",12,IF(Atletas!D513="Juvenil 70kg",13,IF(Atletas!D513="Juvenil 75kg",14,IF(Atletas!D513="Juvenil 80kg",15,IF(Atletas!D513="Adulto 48kg",16,IF(Atletas!D513="Adulto 52kg",17,IF(Atletas!D513="Adulto 56kg",18,IF(Atletas!D513="Adulto 60kg",19,IF(Atletas!D513="Adulto 65kg",20,IF(Atletas!D513="Adulto 70kg",21,IF(Atletas!D513="Adulto 75kg",22,IF(Atletas!D513="Adulto 80kg",23,IF(Atletas!D513="Adulto 85kg",24,IF(Atletas!D513="Adulto 90kg",25,IF(Atletas!D513="Adulto +90kg",26,""))))))))))))))))))))))))))))</f>
        <v/>
      </c>
      <c r="AO517" s="10" t="str">
        <f>IF(Atletas!E513="","",IF(Atletas!B513="Feminino",100,IF(Atletas!B513="Masculino",200,""))+(IF(Atletas!E513="Juvenil 44kg",1,IF(Atletas!E513="Juvenil 48kg",2,IF(Atletas!E513="Juvenil 52kg",3,IF(Atletas!E513="Juvenil 56kg",4,IF(Atletas!E513="Juvenil 60kg",5,IF(Atletas!E513="Juvenil 65kg",6,IF(Atletas!E513="Juvenil 70kg",7,IF(Atletas!E513="Juvenil 75kg",8,IF(Atletas!E513="Juvenil 82kg",9,IF(Atletas!E513="Juvenil 90kg",10,IF(Atletas!E513="Juvenil 100kg",11,IF(Atletas!E513="Adulto 48kg",12,IF(Atletas!E513="Adulto 52kg",13,IF(Atletas!E513="Adulto 56kg",14,IF(Atletas!E513="Adulto 60kg",15,IF(Atletas!E513="Adulto 65kg",16,IF(Atletas!E513="Adulto 70kg",17,IF(Atletas!E513="Adulto 75kg",18,IF(Atletas!E513="Adulto 82kg",19,IF(Atletas!E513="Adulto 90kg",20,IF(Atletas!E513="Adulto 100kg",21,IF(Atletas!E513="Adulto +100kg",22,""))))))))))))))))))))))))</f>
        <v/>
      </c>
      <c r="AT517" s="10" t="str">
        <f>IF(Atletas!F513="","",IF(Atletas!B513="Feminino",100,IF(Atletas!B513="Masculino",200,""))+(IF(Atletas!F513="Adulto 48kg",1,IF(Atletas!F513="Adulto 56kg",2,IF(Atletas!F513="Adulto 65kg",3,IF(Atletas!F513="Adulto 75kg",4,IF(Atletas!F513="Adulto +75kg",5,IF(Atletas!F513="Adulto 52kg",6,IF(Atletas!F513="Adulto 60kg",7,IF(Atletas!F513="Adulto 70kg",8,IF(Atletas!F513="Adulto 80kg",9,IF(Atletas!F513="Adulto 90kg",10,IF(Atletas!F513="Adulto +90kg",11,"")))))))))))))</f>
        <v/>
      </c>
      <c r="AY517" s="46" t="str">
        <f>IF(Atletas!G513="","",IF(Atletas!B513="Feminino",100,IF(Atletas!B513="Masculino",200,""))+(IF(Atletas!G513="Changquan Mirim",1,IF(Atletas!G513="Nanquan Mirim",2,IF(Atletas!G513="Taijiquan Mirim",3,IF(Atletas!G513="Changquan Grupo C",4,IF(Atletas!G513="Nanquan Grupo C",5,IF(Atletas!G513="Taijiquan Grupo C",6,IF(Atletas!G513="Changquan Grupo B",7,IF(Atletas!G513="Nanquan Grupo B",8,IF(Atletas!G513="Taijiquan Grupo B",9,IF(Atletas!G513="Changquan Grupo A",10,IF(Atletas!G513="Nanquan Grupo A",11,IF(Atletas!G513="Taijiquan Grupo A",12,IF(Atletas!G513="Changquan Opcional",13,IF(Atletas!G513="Nanquan Opcional",14,IF(Atletas!G513="Taijiquan Opcional",15,IF(Atletas!G513="Changquan Adulto",16,IF(Atletas!G513="Nanquan Adulto",17,IF(Atletas!G513="Taijiquan Adulto",18,""))))))))))))))))))))</f>
        <v/>
      </c>
      <c r="AZ517" s="46" t="str">
        <f>IF(Atletas!H513="","",IF(Atletas!B513="Feminino",100,IF(Atletas!B513="Masculino",200,""))+(IF(Atletas!H513="Daoshu Mirim",19,IF(Atletas!H513="Jianshu Mirim",20,IF(Atletas!H513="Nandao Mirim",21,IF(Atletas!H513="Taijijian Mirim",22,IF(Atletas!H513="Daoshu Grupo C",23,IF(Atletas!H513="Jianshu Grupo C",24,IF(Atletas!H513="Nandao Grupo C",25,IF(Atletas!H513="Taijijian Grupo C",26,IF(Atletas!H513="Daoshu Grupo B",27,IF(Atletas!H513="Jianshu Grupo B",28,IF(Atletas!H513="Nandao Grupo B",29,IF(Atletas!H513="Taijijian Grupo B",30,IF(Atletas!H513="Daoshu Grupo A",31,IF(Atletas!H513="Jianshu Grupo A",32,IF(Atletas!H513="Nandao Grupo A",33,IF(Atletas!H513="Taijijian Grupo A",34,IF(Atletas!H513="Daoshu Opcional",35,IF(Atletas!H513="Jianshu Opcional",36,IF(Atletas!H513="Nandao Opcional",37,IF(Atletas!H513="Taijijian Opcional",38,IF(Atletas!H513="Daoshu Adulto",39,IF(Atletas!H513="Jianshu Adulto",40,IF(Atletas!H513="Nandao Adulto",41,IF(Atletas!H513="Taijijian Adulto",42,""))))))))))))))))))))))))))</f>
        <v/>
      </c>
      <c r="BA517" s="46" t="str">
        <f>IF(Atletas!I513="","",IF(Atletas!B513="Feminino",100,IF(Atletas!B513="Masculino",200,""))+(IF(Atletas!I513="Gunshu Mirim",43,IF(Atletas!I513="Qiangshu Mirim",44,IF(Atletas!I513="Nangun Mirim",45,IF(Atletas!I513="Gunshu Grupo C",46,IF(Atletas!I513="Qiangshu Grupo C",47,IF(Atletas!I513="Nangun Grupo C",48,IF(Atletas!I513="Gunshu Grupo B",49,IF(Atletas!I513="Qiangshu Grupo B",50,IF(Atletas!I513="Nangun Grupo B",51,IF(Atletas!I513="Gunshu Grupo A",52,IF(Atletas!I513="Qiangshu Grupo A",53,IF(Atletas!I513="Nangun Grupo A",54,IF(Atletas!I513="Gunshu Opcional",55,IF(Atletas!I513="Qiangshu Opcional",56,IF(Atletas!I513="Nangun Opcional",57,IF(Atletas!I513="Gunshu Adulto",58,IF(Atletas!I513="Qiangshu Adulto",59,IF(Atletas!I513="Nangun Adulto",60,""))))))))))))))))))))</f>
        <v/>
      </c>
      <c r="BF517" s="52" t="str">
        <f>IF(Atletas!J513="","",IF(Atletas!B513="Feminino",100,IF(Atletas!B513="Masculino",200,""))+(IF(Atletas!J513="Equipe 1 Grupo B",1,IF(Atletas!J513="Equipe 2 Grupo B",2,IF(Atletas!J513="Equipe 1 Grupo A",3,IF(Atletas!J513="Equipe 2 Grupo A",4,IF(Atletas!J513="Equipe 1 Adulto",5,IF(Atletas!J513="Equipe 2 Adulto",6,""))))))))</f>
        <v/>
      </c>
      <c r="BK517" s="52" t="str">
        <f>IF(Atletas!K513="","",IF(Atletas!W513&lt;&gt;"",10000,0)+(IF(Atletas!B513="Feminino",1000,IF(Atletas!B513="Masculino",2000,""))+IF(Atletas!K513="Choylayfut A",1,IF(Atletas!K513="Hunggar A",2,IF(Atletas!K513="Wuzuquan A",3,IF(Atletas!K513="Wingchun A",4,IF(Atletas!K513="Outra Mão de Sul A",5,IF(Atletas!K513="Choylayfut B",6,IF(Atletas!K513="Hunggar B",7,IF(Atletas!K513="Wuzuquan B",8,IF(Atletas!K513="Wingchun B",9,IF(Atletas!K513="Outra Mão de Sul B",10,IF(Atletas!K513="Choylayfut C",11,IF(Atletas!K513="Hunggar C",12,IF(Atletas!K513="Wuzuquan C",13,IF(Atletas!K513="Wingchun C",14,IF(Atletas!K513="Outra Mão de Sul C",15,IF(Atletas!K513="Choylayfut D",16,IF(Atletas!K513="Hunggar D",17,IF(Atletas!K513="Wuzuquan D",18,IF(Atletas!K513="Wingchun D",19,IF(Atletas!K513="Outra Mão de Sul D",20,IF(Atletas!K513="Choylayfut E",21,IF(Atletas!K513="Hunggar E",22,IF(Atletas!K513="Wuzuquan E",23,IF(Atletas!K513="Wingchun E",24,IF(Atletas!K513="Outra Mão de Sul E",25,IF(Atletas!K513="Choylayfut F",26,IF(Atletas!K513="Hunggar F",27,IF(Atletas!K513="Wuzuquan F",28,IF(Atletas!K513="Wingchun F",29,IF(Atletas!K513="Outra Mão de Sul F",30,""))))))))))))))))))))))))))))))))</f>
        <v/>
      </c>
      <c r="BL517" s="52" t="str">
        <f>IF(Atletas!L513="","",IF(Atletas!W513&lt;&gt;"",10000,0)+(IF(Atletas!B513="Feminino",1000,IF(Atletas!B513="Masculino",2000,""))+(IF(Atletas!L513="Chaquan A",101,IF(Atletas!L513="Emeiquan A",102,IF(Atletas!L513="Fanziquan A",103,IF(Atletas!L513="Huaquan A",104,IF(Atletas!L513="Hongquan A",105,IF(Atletas!L513="Paochui A",106,IF(Atletas!L513="Piguaquan A",107,IF(Atletas!L513="Shaolinquan A",108,IF(Atletas!L513="Tanglangquan A",109,IF(Atletas!L513="Yinzhaophai A",110,IF(Atletas!L513="Tongbeiquan A",111,IF(Atletas!L513="Wudangquan A",112,IF(Atletas!L513="Outros Estilos A",113,IF(Atletas!L513="Chaquan B",114,IF(Atletas!L513="Emeiquan B",115,IF(Atletas!L513="Fanziquan B",116,IF(Atletas!L513="Huaquan B",117,IF(Atletas!L513="Hongquan B",118,IF(Atletas!L513="Paochui B",119,IF(Atletas!L513="Piguaquan B",120,IF(Atletas!L513="Shaolinquan B",121,IF(Atletas!L513="Tanglangquan B",122,IF(Atletas!L513="Yinzhaophai B",123,IF(Atletas!L513="Tongbeiquan B",124,IF(Atletas!L513="Wudangquan B",125,IF(Atletas!L513="Outros Estilos B",126,IF(Atletas!L513="Chaquan C",127,IF(Atletas!L513="Emeiquan C",128,IF(Atletas!L513="Fanziquan C",129,IF(Atletas!L513="Huaquan C",130,IF(Atletas!L513="Hongquan C",131,IF(Atletas!L513="Paochui C",132,IF(Atletas!L513="Piguaquan C",133,IF(Atletas!L513="Shaolinquan C",134,IF(Atletas!L513="Tanglangquan C",135,IF(Atletas!L513="Yinzhaophai C",136,IF(Atletas!L513="Tongbeiquan C",137,IF(Atletas!L513="Wudangquan C",138,IF(Atletas!L513="Outros Estilos C",139,0))))))))))))))))))))))))))))))))))))))))))</f>
        <v/>
      </c>
      <c r="BM517" s="52" t="str">
        <f>IF(Atletas!L513="","",IF(Atletas!W513&lt;&gt;"",10000,0)+(IF(Atletas!B513="Feminino",1000,IF(Atletas!B513="Masculino",2000,""))+(IF(Atletas!L513="Chaquan D",140,IF(Atletas!L513="Emeiquan D",141,IF(Atletas!L513="Fanziquan D",142,IF(Atletas!L513="Huaquan D",143,IF(Atletas!L513="Hongquan D",144,IF(Atletas!L513="Paochui D",145,IF(Atletas!L513="Piguaquan D",146,IF(Atletas!L513="Shaolinquan D",147,IF(Atletas!L513="Tanglangquan D",148,IF(Atletas!L513="Yinzhaophai D",149,IF(Atletas!L513="Tongbeiquan D",150,IF(Atletas!L513="Wudangquan D",151,IF(Atletas!L513="Outros Estilos D",152,IF(Atletas!L513="Chaquan E",153,IF(Atletas!L513="Emeiquan E",154,IF(Atletas!L513="Fanziquan E",155,IF(Atletas!L513="Huaquan E",156,IF(Atletas!L513="Hongquan E",157,IF(Atletas!L513="Paochui E",158,IF(Atletas!L513="Piguaquan E",159,IF(Atletas!L513="Shaolinquan E",160,IF(Atletas!L513="Tanglangquan E",161,IF(Atletas!L513="Yinzhaophai E",162,IF(Atletas!L513="Tongbeiquan E",163,IF(Atletas!L513="Wudangquan E",164,IF(Atletas!L513="Outros Estilos E",165,IF(Atletas!L513="Chaquan F",166,IF(Atletas!L513="Emeiquan F",167,IF(Atletas!L513="Fanziquan F",168,IF(Atletas!L513="Huaquan F",169,IF(Atletas!L513="Hongquan F",170,IF(Atletas!L513="Paochui F",171,IF(Atletas!L513="Piguaquan F",172,IF(Atletas!L513="Shaolinquan F",173,IF(Atletas!L513="Tanglangquan F",174,IF(Atletas!L513="Yinzhaophai F",175,IF(Atletas!L513="Tongbeiquan F",176,IF(Atletas!L513="Wudangquan F",177,IF(Atletas!L513="Outros Estilos F",178,0))))))))))))))))))))))))))))))))))))))))))</f>
        <v/>
      </c>
      <c r="BN517" s="52" t="str">
        <f>IF(Atletas!M513="","",IF(Atletas!W513&lt;&gt;"",10000,0)+(IF(Atletas!B513="Feminino",1000,IF(Atletas!B513="Masculino",2000,""))+(IF(Atletas!M513="Ditangquan A",201,IF(Atletas!M513="Houquan A",202,IF(Atletas!M513="Zuiquan A",203,IF(Atletas!M513="Ditangquan B",204,IF(Atletas!M513="Houquan B",205,IF(Atletas!M513="Zuiquan B",206,IF(Atletas!M513="Ditangquan C",207,IF(Atletas!M513="Houquan C",208,IF(Atletas!M513="Zuiquan C",209,IF(Atletas!M513="Ditangquan D",210,IF(Atletas!M513="Houquan D",211,IF(Atletas!M513="Zuiquan D",212,IF(Atletas!M513="Ditangquan E",213,IF(Atletas!M513="Houquan E",214,IF(Atletas!M513="Zuiquan E",215,IF(Atletas!M513="Ditangquan F",216,IF(Atletas!M513="Houquan F",217,IF(Atletas!M513="Zuiquan F",218,"")))))))))))))))))))))</f>
        <v/>
      </c>
      <c r="BO517" s="52" t="str">
        <f>IF(Atletas!N513="","",IF(Atletas!W513&lt;&gt;"",10000,0)+IF(Atletas!B513="Feminino",1000,IF(Atletas!B513="Masculino",2000,""))+IF(Atletas!N513="Yang A",301,IF(Atletas!N513="Chen A",30,IF(Atletas!N513="Sun A",303,IF(Atletas!N513="Wu A",304,IF(Atletas!N513="Wu-Hao A",305,IF(Atletas!N513="Outro Taijiquan A",306,IF(Atletas!N513="Yang B",307,IF(Atletas!N513="Chen B",308,IF(Atletas!N513="Sun B",309,IF(Atletas!N513="Wu B",310,IF(Atletas!N513="Wu-Hao B",311,IF(Atletas!N513="Outro Taijiquan B",312,IF(Atletas!N513="Yang C",313,IF(Atletas!N513="Chen C",314,IF(Atletas!N513="Sun C",315,IF(Atletas!N513="Wu C",316,IF(Atletas!N513="Wu-Hao C",317,IF(Atletas!N513="Outro Taijiquan C",318,IF(Atletas!N513="Yang D",319,IF(Atletas!N513="Chen D",320,IF(Atletas!N513="Sun D",321,IF(Atletas!N513="Wu D",322,IF(Atletas!N513="Wu-Hao D",323,IF(Atletas!N513="Outro Taijiquan D",324,IF(Atletas!N513="Yang E",325,IF(Atletas!N513="Chen E",326,IF(Atletas!N513="Sun E",327,IF(Atletas!N513="Wu E",328,IF(Atletas!N513="Wu-Hao E",329,IF(Atletas!N513="Outro Taijiquan E",330,IF(Atletas!N513="Yang F",331,IF(Atletas!N513="Chen F",332,IF(Atletas!N513="Sun F",333,IF(Atletas!N513="Wu F",334,IF(Atletas!N513="Wu-Hao F",335,IF(Atletas!N513="Outro Taijiquan F",336,"")))))))))))))))))))))))))))))))))))))</f>
        <v/>
      </c>
      <c r="BP517" s="52" t="str">
        <f>IF(Atletas!O513="","",IF(Atletas!W513&lt;&gt;"",10000,0)+IF(Atletas!B513="Feminino",1000,IF(Atletas!B513="Masculino",2000,""))+IF(OR(Atletas!O513="Yang 26 A",Atletas!O513="Yang 40 A"),401,IF(OR(Atletas!O513="Chen 25 A",Atletas!O513="Chen 36 A",Atletas!O513="Chen 56 A"),402,IF(Atletas!O513="Sun 73 A",403,IF(Atletas!O513="Wu 45 A",404,IF(Atletas!O513="Wu-Hao 46 A",405,IF(OR(Atletas!O513="Taijiquan 16 A",Atletas!O513="Taijiquan 24 A",Atletas!O513="Taijiquan 32 A",Atletas!O513="Taijiquan 42 A"),406,IF(OR(Atletas!O513="Yang 26 B",Atletas!O513="Yang 40 B"),407,IF(OR(Atletas!O513="Chen 25 B",Atletas!O513="Chen 36 B",Atletas!O513="Chen 56 B"),408,IF(Atletas!O513="Sun 73 B",409,IF(Atletas!O513="Wu 45 B",410,IF(Atletas!O513="Wu-Hao 46 B",411,IF(OR(Atletas!O513="Taijiquan 16 B",Atletas!O513="Taijiquan 24 B",Atletas!O513="Taijiquan 32 B",Atletas!O513="Taijiquan 42 B"),412,IF(OR(Atletas!O513="Yang 26 C",Atletas!O513="Yang 40 C"),413,IF(OR(Atletas!O513="Chen 25 C",Atletas!O513="Chen 36 C",Atletas!O513="Chen 56 C"),414,IF(Atletas!O513="Sun 73 C",415,IF(Atletas!O513="Wu 45 C",416,IF(Atletas!O513="Wu-Hao 46 C",417,IF(OR(Atletas!O513="Taijiquan 16 C",Atletas!O513="Taijiquan 24 C",Atletas!O513="Taijiquan 32 C",Atletas!O513="Taijiquan 42 C"),418,0)))))))))))))))))))</f>
        <v/>
      </c>
      <c r="BQ517" s="52" t="str">
        <f>IF(Atletas!O513="","",IF(Atletas!W513&lt;&gt;"",10000,0)+IF(Atletas!B513="Feminino",1000,IF(Atletas!B513="Masculino",2000,""))+IF(OR(Atletas!O513="Yang 26 D",Atletas!O513="Yang 40 D"),419,IF(OR(Atletas!O513="Chen 25 D",Atletas!O513="Chen 36 D",Atletas!O513="Chen 56 D"),420,IF(Atletas!O513="Sun 73 D",421,IF(Atletas!O513="Wu 45 D",422,IF(Atletas!O513="Wu-Hao 46 D",423,IF(OR(Atletas!O513="Taijiquan 16 D",Atletas!O513="Taijiquan 24 D",Atletas!O513="Taijiquan 32 D",Atletas!O513="Taijiquan 42 D"),424,IF(OR(Atletas!O513="Yang 26 E",Atletas!O513="Yang 40 E"),425,IF(OR(Atletas!O513="Chen 25 E",Atletas!O513="Chen 36 E",Atletas!O513="Chen 56 E"),426,IF(Atletas!O513="Sun 73 E",427,IF(Atletas!O513="Wu 45 E",428,IF(Atletas!O513="Wu-Hao 46 E",429,IF(OR(Atletas!O513="Taijiquan 16 E",Atletas!O513="Taijiquan 24 E",Atletas!O513="Taijiquan 32 E",Atletas!O513="Taijiquan 42 E"),430,IF(OR(Atletas!O513="Yang 26 F",Atletas!O513="Yang 40 F"),431,IF(OR(Atletas!O513="Chen 25 F",Atletas!O513="Chen 36 F",Atletas!O513="Chen 56 F"),432,IF(Atletas!O513="Sun 73 F",433,IF(Atletas!O513="Wu 45 F",434,IF(Atletas!O513="Wu-Hao 46 F",435,IF(OR(Atletas!O513="Taijiquan 16 F",Atletas!O513="Taijiquan 24 F",Atletas!O513="Taijiquan 32 F",Atletas!O513="Taijiquan 42 F"),436,0)))))))))))))))))))</f>
        <v/>
      </c>
      <c r="BR517" s="52" t="str">
        <f>IF(Atletas!P513="","",IF(Atletas!W513&lt;&gt;"",10000,0)+IF(Atletas!B513="Feminino",1000,IF(Atletas!B513="Masculino",2000,""))+IF(Atletas!P513="Xingyiquan A",501,IF(Atletas!P513="Baguazhang A",502,IF(Atletas!P513="Outro Estilo Interno A",503,IF(Atletas!P513="Xingyiquan B",504,IF(Atletas!P513="Baguazhang B",505,IF(Atletas!P513="Outro Estilo Interno B",506,IF(Atletas!P513="Xingyiquan C",507,IF(Atletas!P513="Baguazhang C",508,IF(Atletas!P513="Outro Estilo Interno C",509,IF(Atletas!P513="Xingyiquan D",510,IF(Atletas!P513="Baguazhang D",511,IF(Atletas!P513="Outro Estilo Interno D",512,IF(Atletas!P513="Xingyiquan E",513,IF(Atletas!P513="Baguazhang E",514,IF(Atletas!P513="Outro Estilo Interno E",515,IF(Atletas!P513="Xingyiquan F",516,IF(Atletas!P513="Baguazhang F",517,IF(Atletas!P513="Outro Estilo Interno F",518, "")))))))))))))))))))</f>
        <v/>
      </c>
      <c r="BS517" s="52" t="str">
        <f>IF(Atletas!Q513="","",IF(Atletas!W513&lt;&gt;"",10000,0)+IF(Atletas!B513="Feminino",1000,IF(Atletas!B513="Masculino",2000,""))+IF(Atletas!Q513="Dao A",601,IF(Atletas!Q513="Jian A",602,IF(Atletas!Q513="Bishou A",603,IF(Atletas!Q513="Shan A",604,IF(Atletas!Q513="Outra Arma Curta A",605,IF(Atletas!Q513="Dao B",606,IF(Atletas!Q513="Jian B",607,IF(Atletas!Q513="Bishou B",608,IF(Atletas!Q513="Shan B",609,IF(Atletas!Q513="Outra Arma Curta B",610,IF(Atletas!Q513="Dao C",611,IF(Atletas!Q513="Jian C",612,IF(Atletas!Q513="Bishou C",613,IF(Atletas!Q513="Shan C",614,IF(Atletas!Q513="Outra Arma Curta C",615,IF(Atletas!Q513="Dao D",616,IF(Atletas!Q513="Jian D",617,IF(Atletas!Q513="Bishou D",618,IF(Atletas!Q513="Shan D",619,IF(Atletas!Q513="Outra Arma Curta D",620,IF(Atletas!Q513="Dao E",621,IF(Atletas!Q513="Jian E",622,IF(Atletas!Q513="Bishou E",623,IF(Atletas!Q513="Shan E",624,IF(Atletas!Q513="Outra Arma Curta E",625,IF(Atletas!Q513="Dao F",626,IF(Atletas!Q513="Jian F",627,IF(Atletas!Q513="Bishou F",628,IF(Atletas!Q513="Shan F",629,IF(Atletas!Q513="Outra Arma Curta F",630, "")))))))))))))))))))))))))))))))</f>
        <v/>
      </c>
      <c r="BT517" s="52" t="str">
        <f>IF(Atletas!R513="","",IF(Atletas!W513&lt;&gt;"",10000,0)+IF(Atletas!B513="Feminino",1000,IF(Atletas!B513="Masculino",2000,""))+IF(Atletas!R513="Gun A",701,IF(Atletas!R513="Qiang A",702,IF(Atletas!R513="Pudao / Guandao A",703,IF(Atletas!R513="Outra Arma Longa A",704,IF(Atletas!R513="Gun B",705,IF(Atletas!R513="Qiang B",706,IF(Atletas!R513="Pudao / Guandao B",707,IF(Atletas!R513="Outra Arma Longa B",708,IF(Atletas!R513="Gun C",709,IF(Atletas!R513="Qiang C",710,IF(Atletas!R513="Pudao / Guandao C",711,IF(Atletas!R513="Outra Arma Longa C",712,IF(Atletas!R513="Gun D",713,IF(Atletas!R513="Qiang D",714,IF(Atletas!R513="Pudao / Guandao D",715,IF(Atletas!R513="Outra Arma Longa D",716,IF(Atletas!R513="Gun E",717,IF(Atletas!R513="Qiang E",718,IF(Atletas!R513="Pudao / Guandao E",719,IF(Atletas!R513="Outra Arma Longa E",720,IF(Atletas!R513="Gun F",721,IF(Atletas!R513="Qiang F",722,IF(Atletas!R513="Pudao / Guandao F",723,IF(Atletas!R513="Outra Arma Longa F",724,"")))))))))))))))))))))))))</f>
        <v/>
      </c>
      <c r="BU517" s="52" t="str">
        <f>IF(Atletas!S513="","",IF(Atletas!W513&lt;&gt;"",10000,0)+IF(Atletas!B513="Feminino",1000,IF(Atletas!B513="Masculino",2000,""))+IF(Atletas!S513="Arma Dupla A",801,IF(Atletas!S513="Arma Maleável A",802,IF(Atletas!S513="Arma Dupla B",803,IF(Atletas!S513="Arma Maleável B",804,IF(Atletas!S513="Arma Dupla C",805,IF(Atletas!S513="Arma Maleável C",806,IF(Atletas!S513="Arma Dupla D",807,IF(Atletas!S513="Arma Maleável D",808,IF(Atletas!S513="Arma Dupla E",809,IF(Atletas!S513="Arma Maleável E",810,IF(Atletas!S513="Arma Dupla F",811,IF(Atletas!S513="Arma Maleável F",812, "")))))))))))))</f>
        <v/>
      </c>
      <c r="BV517" s="52" t="str">
        <f>IF(Atletas!T513="","",IF(Atletas!W513&lt;&gt;"",10000,0)+IF(Atletas!B513="Feminino",1000,IF(Atletas!B513="Masculino",2000,""))+IF(Atletas!T513="Taijijian Yang A",901,IF(Atletas!T513="Taijijian Chen A",902,IF(Atletas!T513="Taijijian Sun A",903,IF(Atletas!T513="Taijijian Wu A",904,IF(Atletas!T513="Taijijian Wu-Hao A",905,IF(Atletas!T513="Taijijian 32 A",906,IF(Atletas!T513="Taijijian 42 A",907,IF(Atletas!T513="Taijijian Yang B",908,IF(Atletas!T513="Taijijian Chen B",909,IF(Atletas!T513="Taijijian Sun B",910,IF(Atletas!T513="Taijijian Wu B",911,IF(Atletas!T513="Taijijian Wu-Hao B",912,IF(Atletas!T513="Taijijian 32 B",913,IF(Atletas!T513="Taijijian 42 B",914,IF(Atletas!T513="Taijijian Yang C",915,IF(Atletas!T513="Taijijian Chen C",916,IF(Atletas!T513="Taijijian Sun C",917,IF(Atletas!T513="Taijijian Wu C",918,IF(Atletas!T513="Taijijian Wu-Hao C",919,IF(Atletas!T513="Taijijian 32 C",920,IF(Atletas!T513="Taijijian 42 C",921,IF(Atletas!T513="Taijijian Yang D",922,IF(Atletas!T513="Taijijian Chen D",923,IF(Atletas!T513="Taijijian Sun D",924,IF(Atletas!T513="Taijijian Wu D",925,IF(Atletas!T513="Taijijian Wu-Hao D",926,IF(Atletas!T513="Taijijian 32 D",927,IF(Atletas!T513="Taijijian 42 D",928,IF(Atletas!T513="Taijijian Yang E",929,IF(Atletas!T513="Taijijian Chen E",930,IF(Atletas!T513="Taijijian Sun E",931,IF(Atletas!T513="Taijijian Wu E",932,IF(Atletas!T513="Taijijian Wu-Hao E",933,IF(Atletas!T513="Taijijian 32 E",934,IF(Atletas!T513="Taijijian 42 E",935,IF(Atletas!T513="Taijijian Yang F",936,IF(Atletas!T513="Taijijian Chen F",937,IF(Atletas!T513="Taijijian Sun F",938,IF(Atletas!T513="Taijijian Wu F",939,IF(Atletas!T513="Taijijian Wu-Hao F",940,IF(Atletas!T513="Taijijian 32 F",941,IF(Atletas!T513="Taijijian 42 F",942,"")))))))))))))))))))))))))))))))))))))))))))</f>
        <v/>
      </c>
      <c r="BW517" s="52" t="str">
        <f>IF(Atletas!U513="","",IF(Atletas!W513&lt;&gt;"",10000,0)+IF(Atletas!B513="Feminino",1000,IF(Atletas!B513="Masculino",2000,""))+IF(Atletas!T513="Taijijian 42 F",942,IF(Atletas!U513="Taijidao A",943,IF(Atletas!U513="Taijishan A",944,IF(Atletas!U513="Taijiqiang A",945,IF(Atletas!U513="Taijidao B",946,IF(Atletas!U513="Taijishan B",947,IF(Atletas!U513="Taijiqiang B",948,IF(Atletas!U513="Taijidao C",949,IF(Atletas!U513="Taijishan C",950,IF(Atletas!U513="Taijiqiang C",951,IF(Atletas!U513="Taijidao D",952,IF(Atletas!U513="Taijishan D",953,IF(Atletas!U513="Taijiqiang D",954,IF(Atletas!U513="Taijidao E",955,IF(Atletas!U513="Taijishan E",956,IF(Atletas!U513="Taijiqiang E",957,IF(Atletas!U513="Taijidao F",958,IF(Atletas!U513="Taijishan F",959,IF(Atletas!U513="Taijiqiang F",960))))))))))))))))))))</f>
        <v/>
      </c>
      <c r="CF517" s="52" t="str">
        <f xml:space="preserve"> IF(Atletas!V513="","",IF(Atletas!V513="Duilian de Mãos AB - Equipe 1",1,IF(Atletas!V513="Duilian de Mãos AB - Equipe 2",2,IF(Atletas!V513="Duilian de Armas AB - Equipe 1",3,IF(Atletas!V513="Duilian de Armas AB - Equipe 2",4,IF(Atletas!V513="Duilian de Tuishou - Equipe 1",5,IF(Atletas!V513="Duilian de Tuishou - Equipe 2",6,IF(Atletas!V513="Grupo Externo AB - Equipe 1",7,IF(Atletas!V513="Grupo Externo AB - Equipe 2",8,IF(Atletas!V513="Grupo Interno AB - Equipe 1",9,IF(Atletas!V513="Grupo Interno AB - Equipe 2",10,IF(Atletas!V513="Duilian de Mãos CD - Equipe 1",11,IF(Atletas!V513="Duilian de Mãos CD - Equipe 2",12,IF(Atletas!V513="Duilian de Armas CD - Equipe 1",13,IF(Atletas!V513="Duilian de Armas CD - Equipe 2",14,IF(Atletas!V513="Duilian de Tuishou - Equipe 1",15,IF(Atletas!V513="Duilian de Tuishou - Equipe 2",16,IF(Atletas!V513="Grupo Externo CDEF - Equipe 1",17,IF(Atletas!V513="Grupo Externo CDEF - Equipe 2",18,IF(Atletas!V513="Grupo Interno CDEF - Equipe 1",19,IF(Atletas!V513="Grupo Interno CDEF - Equipe 2",20,IF(Atletas!V513="Duilian de Mãos EF - Equipe 1",21,IF(Atletas!V513="Duilian de Mãos EF - Equipe 2",22,IF(Atletas!V513="Duilian de Armas EF - Equipe 1",23,IF(Atletas!V513="Duilian de Armas EF - Equipe 2",24,IF(Atletas!V513="Duilian de Tuishou - Equipe 1",25,IF(Atletas!V513="Duilian de Tuishou - Equipe 2",26,"")))))))))))))))))))))))))))</f>
        <v/>
      </c>
    </row>
    <row r="518" spans="36:84">
      <c r="AJ518" s="46" t="str">
        <f>IF(Atletas!D514="","",IF(Atletas!B514="Feminino",100,IF(Atletas!B514="Masculino",200,""))+(IF(Atletas!D514="Infantil 39kg",1,IF(Atletas!D514="Infantil 42kg",2,IF(Atletas!D514="Infantil 45kg",3,IF(Atletas!D514="Infantil 48kg",4,IF(Atletas!D514="Infantil 52kg",5,IF(Atletas!D514="Infantil 56kg",6,IF(Atletas!D514="Infantil 60kg",7,IF(Atletas!D514="Juvenil 48kg",8,IF(Atletas!D514="Juvenil 52kg",9,IF(Atletas!D514="Juvenil 56kg",10,IF(Atletas!D514="Juvenil 60kg",11,IF(Atletas!D514="Juvenil 65kg",12,IF(Atletas!D514="Juvenil 70kg",13,IF(Atletas!D514="Juvenil 75kg",14,IF(Atletas!D514="Juvenil 80kg",15,IF(Atletas!D514="Adulto 48kg",16,IF(Atletas!D514="Adulto 52kg",17,IF(Atletas!D514="Adulto 56kg",18,IF(Atletas!D514="Adulto 60kg",19,IF(Atletas!D514="Adulto 65kg",20,IF(Atletas!D514="Adulto 70kg",21,IF(Atletas!D514="Adulto 75kg",22,IF(Atletas!D514="Adulto 80kg",23,IF(Atletas!D514="Adulto 85kg",24,IF(Atletas!D514="Adulto 90kg",25,IF(Atletas!D514="Adulto +90kg",26,""))))))))))))))))))))))))))))</f>
        <v/>
      </c>
      <c r="AO518" s="10" t="str">
        <f>IF(Atletas!E514="","",IF(Atletas!B514="Feminino",100,IF(Atletas!B514="Masculino",200,""))+(IF(Atletas!E514="Juvenil 44kg",1,IF(Atletas!E514="Juvenil 48kg",2,IF(Atletas!E514="Juvenil 52kg",3,IF(Atletas!E514="Juvenil 56kg",4,IF(Atletas!E514="Juvenil 60kg",5,IF(Atletas!E514="Juvenil 65kg",6,IF(Atletas!E514="Juvenil 70kg",7,IF(Atletas!E514="Juvenil 75kg",8,IF(Atletas!E514="Juvenil 82kg",9,IF(Atletas!E514="Juvenil 90kg",10,IF(Atletas!E514="Juvenil 100kg",11,IF(Atletas!E514="Adulto 48kg",12,IF(Atletas!E514="Adulto 52kg",13,IF(Atletas!E514="Adulto 56kg",14,IF(Atletas!E514="Adulto 60kg",15,IF(Atletas!E514="Adulto 65kg",16,IF(Atletas!E514="Adulto 70kg",17,IF(Atletas!E514="Adulto 75kg",18,IF(Atletas!E514="Adulto 82kg",19,IF(Atletas!E514="Adulto 90kg",20,IF(Atletas!E514="Adulto 100kg",21,IF(Atletas!E514="Adulto +100kg",22,""))))))))))))))))))))))))</f>
        <v/>
      </c>
      <c r="AT518" s="10" t="str">
        <f>IF(Atletas!F514="","",IF(Atletas!B514="Feminino",100,IF(Atletas!B514="Masculino",200,""))+(IF(Atletas!F514="Adulto 48kg",1,IF(Atletas!F514="Adulto 56kg",2,IF(Atletas!F514="Adulto 65kg",3,IF(Atletas!F514="Adulto 75kg",4,IF(Atletas!F514="Adulto +75kg",5,IF(Atletas!F514="Adulto 52kg",6,IF(Atletas!F514="Adulto 60kg",7,IF(Atletas!F514="Adulto 70kg",8,IF(Atletas!F514="Adulto 80kg",9,IF(Atletas!F514="Adulto 90kg",10,IF(Atletas!F514="Adulto +90kg",11,"")))))))))))))</f>
        <v/>
      </c>
      <c r="AY518" s="46" t="str">
        <f>IF(Atletas!G514="","",IF(Atletas!B514="Feminino",100,IF(Atletas!B514="Masculino",200,""))+(IF(Atletas!G514="Changquan Mirim",1,IF(Atletas!G514="Nanquan Mirim",2,IF(Atletas!G514="Taijiquan Mirim",3,IF(Atletas!G514="Changquan Grupo C",4,IF(Atletas!G514="Nanquan Grupo C",5,IF(Atletas!G514="Taijiquan Grupo C",6,IF(Atletas!G514="Changquan Grupo B",7,IF(Atletas!G514="Nanquan Grupo B",8,IF(Atletas!G514="Taijiquan Grupo B",9,IF(Atletas!G514="Changquan Grupo A",10,IF(Atletas!G514="Nanquan Grupo A",11,IF(Atletas!G514="Taijiquan Grupo A",12,IF(Atletas!G514="Changquan Opcional",13,IF(Atletas!G514="Nanquan Opcional",14,IF(Atletas!G514="Taijiquan Opcional",15,IF(Atletas!G514="Changquan Adulto",16,IF(Atletas!G514="Nanquan Adulto",17,IF(Atletas!G514="Taijiquan Adulto",18,""))))))))))))))))))))</f>
        <v/>
      </c>
      <c r="AZ518" s="46" t="str">
        <f>IF(Atletas!H514="","",IF(Atletas!B514="Feminino",100,IF(Atletas!B514="Masculino",200,""))+(IF(Atletas!H514="Daoshu Mirim",19,IF(Atletas!H514="Jianshu Mirim",20,IF(Atletas!H514="Nandao Mirim",21,IF(Atletas!H514="Taijijian Mirim",22,IF(Atletas!H514="Daoshu Grupo C",23,IF(Atletas!H514="Jianshu Grupo C",24,IF(Atletas!H514="Nandao Grupo C",25,IF(Atletas!H514="Taijijian Grupo C",26,IF(Atletas!H514="Daoshu Grupo B",27,IF(Atletas!H514="Jianshu Grupo B",28,IF(Atletas!H514="Nandao Grupo B",29,IF(Atletas!H514="Taijijian Grupo B",30,IF(Atletas!H514="Daoshu Grupo A",31,IF(Atletas!H514="Jianshu Grupo A",32,IF(Atletas!H514="Nandao Grupo A",33,IF(Atletas!H514="Taijijian Grupo A",34,IF(Atletas!H514="Daoshu Opcional",35,IF(Atletas!H514="Jianshu Opcional",36,IF(Atletas!H514="Nandao Opcional",37,IF(Atletas!H514="Taijijian Opcional",38,IF(Atletas!H514="Daoshu Adulto",39,IF(Atletas!H514="Jianshu Adulto",40,IF(Atletas!H514="Nandao Adulto",41,IF(Atletas!H514="Taijijian Adulto",42,""))))))))))))))))))))))))))</f>
        <v/>
      </c>
      <c r="BA518" s="46" t="str">
        <f>IF(Atletas!I514="","",IF(Atletas!B514="Feminino",100,IF(Atletas!B514="Masculino",200,""))+(IF(Atletas!I514="Gunshu Mirim",43,IF(Atletas!I514="Qiangshu Mirim",44,IF(Atletas!I514="Nangun Mirim",45,IF(Atletas!I514="Gunshu Grupo C",46,IF(Atletas!I514="Qiangshu Grupo C",47,IF(Atletas!I514="Nangun Grupo C",48,IF(Atletas!I514="Gunshu Grupo B",49,IF(Atletas!I514="Qiangshu Grupo B",50,IF(Atletas!I514="Nangun Grupo B",51,IF(Atletas!I514="Gunshu Grupo A",52,IF(Atletas!I514="Qiangshu Grupo A",53,IF(Atletas!I514="Nangun Grupo A",54,IF(Atletas!I514="Gunshu Opcional",55,IF(Atletas!I514="Qiangshu Opcional",56,IF(Atletas!I514="Nangun Opcional",57,IF(Atletas!I514="Gunshu Adulto",58,IF(Atletas!I514="Qiangshu Adulto",59,IF(Atletas!I514="Nangun Adulto",60,""))))))))))))))))))))</f>
        <v/>
      </c>
      <c r="BF518" s="52" t="str">
        <f>IF(Atletas!J514="","",IF(Atletas!B514="Feminino",100,IF(Atletas!B514="Masculino",200,""))+(IF(Atletas!J514="Equipe 1 Grupo B",1,IF(Atletas!J514="Equipe 2 Grupo B",2,IF(Atletas!J514="Equipe 1 Grupo A",3,IF(Atletas!J514="Equipe 2 Grupo A",4,IF(Atletas!J514="Equipe 1 Adulto",5,IF(Atletas!J514="Equipe 2 Adulto",6,""))))))))</f>
        <v/>
      </c>
      <c r="BK518" s="52" t="str">
        <f>IF(Atletas!K514="","",IF(Atletas!W514&lt;&gt;"",10000,0)+(IF(Atletas!B514="Feminino",1000,IF(Atletas!B514="Masculino",2000,""))+IF(Atletas!K514="Choylayfut A",1,IF(Atletas!K514="Hunggar A",2,IF(Atletas!K514="Wuzuquan A",3,IF(Atletas!K514="Wingchun A",4,IF(Atletas!K514="Outra Mão de Sul A",5,IF(Atletas!K514="Choylayfut B",6,IF(Atletas!K514="Hunggar B",7,IF(Atletas!K514="Wuzuquan B",8,IF(Atletas!K514="Wingchun B",9,IF(Atletas!K514="Outra Mão de Sul B",10,IF(Atletas!K514="Choylayfut C",11,IF(Atletas!K514="Hunggar C",12,IF(Atletas!K514="Wuzuquan C",13,IF(Atletas!K514="Wingchun C",14,IF(Atletas!K514="Outra Mão de Sul C",15,IF(Atletas!K514="Choylayfut D",16,IF(Atletas!K514="Hunggar D",17,IF(Atletas!K514="Wuzuquan D",18,IF(Atletas!K514="Wingchun D",19,IF(Atletas!K514="Outra Mão de Sul D",20,IF(Atletas!K514="Choylayfut E",21,IF(Atletas!K514="Hunggar E",22,IF(Atletas!K514="Wuzuquan E",23,IF(Atletas!K514="Wingchun E",24,IF(Atletas!K514="Outra Mão de Sul E",25,IF(Atletas!K514="Choylayfut F",26,IF(Atletas!K514="Hunggar F",27,IF(Atletas!K514="Wuzuquan F",28,IF(Atletas!K514="Wingchun F",29,IF(Atletas!K514="Outra Mão de Sul F",30,""))))))))))))))))))))))))))))))))</f>
        <v/>
      </c>
      <c r="BL518" s="52" t="str">
        <f>IF(Atletas!L514="","",IF(Atletas!W514&lt;&gt;"",10000,0)+(IF(Atletas!B514="Feminino",1000,IF(Atletas!B514="Masculino",2000,""))+(IF(Atletas!L514="Chaquan A",101,IF(Atletas!L514="Emeiquan A",102,IF(Atletas!L514="Fanziquan A",103,IF(Atletas!L514="Huaquan A",104,IF(Atletas!L514="Hongquan A",105,IF(Atletas!L514="Paochui A",106,IF(Atletas!L514="Piguaquan A",107,IF(Atletas!L514="Shaolinquan A",108,IF(Atletas!L514="Tanglangquan A",109,IF(Atletas!L514="Yinzhaophai A",110,IF(Atletas!L514="Tongbeiquan A",111,IF(Atletas!L514="Wudangquan A",112,IF(Atletas!L514="Outros Estilos A",113,IF(Atletas!L514="Chaquan B",114,IF(Atletas!L514="Emeiquan B",115,IF(Atletas!L514="Fanziquan B",116,IF(Atletas!L514="Huaquan B",117,IF(Atletas!L514="Hongquan B",118,IF(Atletas!L514="Paochui B",119,IF(Atletas!L514="Piguaquan B",120,IF(Atletas!L514="Shaolinquan B",121,IF(Atletas!L514="Tanglangquan B",122,IF(Atletas!L514="Yinzhaophai B",123,IF(Atletas!L514="Tongbeiquan B",124,IF(Atletas!L514="Wudangquan B",125,IF(Atletas!L514="Outros Estilos B",126,IF(Atletas!L514="Chaquan C",127,IF(Atletas!L514="Emeiquan C",128,IF(Atletas!L514="Fanziquan C",129,IF(Atletas!L514="Huaquan C",130,IF(Atletas!L514="Hongquan C",131,IF(Atletas!L514="Paochui C",132,IF(Atletas!L514="Piguaquan C",133,IF(Atletas!L514="Shaolinquan C",134,IF(Atletas!L514="Tanglangquan C",135,IF(Atletas!L514="Yinzhaophai C",136,IF(Atletas!L514="Tongbeiquan C",137,IF(Atletas!L514="Wudangquan C",138,IF(Atletas!L514="Outros Estilos C",139,0))))))))))))))))))))))))))))))))))))))))))</f>
        <v/>
      </c>
      <c r="BM518" s="52" t="str">
        <f>IF(Atletas!L514="","",IF(Atletas!W514&lt;&gt;"",10000,0)+(IF(Atletas!B514="Feminino",1000,IF(Atletas!B514="Masculino",2000,""))+(IF(Atletas!L514="Chaquan D",140,IF(Atletas!L514="Emeiquan D",141,IF(Atletas!L514="Fanziquan D",142,IF(Atletas!L514="Huaquan D",143,IF(Atletas!L514="Hongquan D",144,IF(Atletas!L514="Paochui D",145,IF(Atletas!L514="Piguaquan D",146,IF(Atletas!L514="Shaolinquan D",147,IF(Atletas!L514="Tanglangquan D",148,IF(Atletas!L514="Yinzhaophai D",149,IF(Atletas!L514="Tongbeiquan D",150,IF(Atletas!L514="Wudangquan D",151,IF(Atletas!L514="Outros Estilos D",152,IF(Atletas!L514="Chaquan E",153,IF(Atletas!L514="Emeiquan E",154,IF(Atletas!L514="Fanziquan E",155,IF(Atletas!L514="Huaquan E",156,IF(Atletas!L514="Hongquan E",157,IF(Atletas!L514="Paochui E",158,IF(Atletas!L514="Piguaquan E",159,IF(Atletas!L514="Shaolinquan E",160,IF(Atletas!L514="Tanglangquan E",161,IF(Atletas!L514="Yinzhaophai E",162,IF(Atletas!L514="Tongbeiquan E",163,IF(Atletas!L514="Wudangquan E",164,IF(Atletas!L514="Outros Estilos E",165,IF(Atletas!L514="Chaquan F",166,IF(Atletas!L514="Emeiquan F",167,IF(Atletas!L514="Fanziquan F",168,IF(Atletas!L514="Huaquan F",169,IF(Atletas!L514="Hongquan F",170,IF(Atletas!L514="Paochui F",171,IF(Atletas!L514="Piguaquan F",172,IF(Atletas!L514="Shaolinquan F",173,IF(Atletas!L514="Tanglangquan F",174,IF(Atletas!L514="Yinzhaophai F",175,IF(Atletas!L514="Tongbeiquan F",176,IF(Atletas!L514="Wudangquan F",177,IF(Atletas!L514="Outros Estilos F",178,0))))))))))))))))))))))))))))))))))))))))))</f>
        <v/>
      </c>
      <c r="BN518" s="52" t="str">
        <f>IF(Atletas!M514="","",IF(Atletas!W514&lt;&gt;"",10000,0)+(IF(Atletas!B514="Feminino",1000,IF(Atletas!B514="Masculino",2000,""))+(IF(Atletas!M514="Ditangquan A",201,IF(Atletas!M514="Houquan A",202,IF(Atletas!M514="Zuiquan A",203,IF(Atletas!M514="Ditangquan B",204,IF(Atletas!M514="Houquan B",205,IF(Atletas!M514="Zuiquan B",206,IF(Atletas!M514="Ditangquan C",207,IF(Atletas!M514="Houquan C",208,IF(Atletas!M514="Zuiquan C",209,IF(Atletas!M514="Ditangquan D",210,IF(Atletas!M514="Houquan D",211,IF(Atletas!M514="Zuiquan D",212,IF(Atletas!M514="Ditangquan E",213,IF(Atletas!M514="Houquan E",214,IF(Atletas!M514="Zuiquan E",215,IF(Atletas!M514="Ditangquan F",216,IF(Atletas!M514="Houquan F",217,IF(Atletas!M514="Zuiquan F",218,"")))))))))))))))))))))</f>
        <v/>
      </c>
      <c r="BO518" s="52" t="str">
        <f>IF(Atletas!N514="","",IF(Atletas!W514&lt;&gt;"",10000,0)+IF(Atletas!B514="Feminino",1000,IF(Atletas!B514="Masculino",2000,""))+IF(Atletas!N514="Yang A",301,IF(Atletas!N514="Chen A",30,IF(Atletas!N514="Sun A",303,IF(Atletas!N514="Wu A",304,IF(Atletas!N514="Wu-Hao A",305,IF(Atletas!N514="Outro Taijiquan A",306,IF(Atletas!N514="Yang B",307,IF(Atletas!N514="Chen B",308,IF(Atletas!N514="Sun B",309,IF(Atletas!N514="Wu B",310,IF(Atletas!N514="Wu-Hao B",311,IF(Atletas!N514="Outro Taijiquan B",312,IF(Atletas!N514="Yang C",313,IF(Atletas!N514="Chen C",314,IF(Atletas!N514="Sun C",315,IF(Atletas!N514="Wu C",316,IF(Atletas!N514="Wu-Hao C",317,IF(Atletas!N514="Outro Taijiquan C",318,IF(Atletas!N514="Yang D",319,IF(Atletas!N514="Chen D",320,IF(Atletas!N514="Sun D",321,IF(Atletas!N514="Wu D",322,IF(Atletas!N514="Wu-Hao D",323,IF(Atletas!N514="Outro Taijiquan D",324,IF(Atletas!N514="Yang E",325,IF(Atletas!N514="Chen E",326,IF(Atletas!N514="Sun E",327,IF(Atletas!N514="Wu E",328,IF(Atletas!N514="Wu-Hao E",329,IF(Atletas!N514="Outro Taijiquan E",330,IF(Atletas!N514="Yang F",331,IF(Atletas!N514="Chen F",332,IF(Atletas!N514="Sun F",333,IF(Atletas!N514="Wu F",334,IF(Atletas!N514="Wu-Hao F",335,IF(Atletas!N514="Outro Taijiquan F",336,"")))))))))))))))))))))))))))))))))))))</f>
        <v/>
      </c>
      <c r="BP518" s="52" t="str">
        <f>IF(Atletas!O514="","",IF(Atletas!W514&lt;&gt;"",10000,0)+IF(Atletas!B514="Feminino",1000,IF(Atletas!B514="Masculino",2000,""))+IF(OR(Atletas!O514="Yang 26 A",Atletas!O514="Yang 40 A"),401,IF(OR(Atletas!O514="Chen 25 A",Atletas!O514="Chen 36 A",Atletas!O514="Chen 56 A"),402,IF(Atletas!O514="Sun 73 A",403,IF(Atletas!O514="Wu 45 A",404,IF(Atletas!O514="Wu-Hao 46 A",405,IF(OR(Atletas!O514="Taijiquan 16 A",Atletas!O514="Taijiquan 24 A",Atletas!O514="Taijiquan 32 A",Atletas!O514="Taijiquan 42 A"),406,IF(OR(Atletas!O514="Yang 26 B",Atletas!O514="Yang 40 B"),407,IF(OR(Atletas!O514="Chen 25 B",Atletas!O514="Chen 36 B",Atletas!O514="Chen 56 B"),408,IF(Atletas!O514="Sun 73 B",409,IF(Atletas!O514="Wu 45 B",410,IF(Atletas!O514="Wu-Hao 46 B",411,IF(OR(Atletas!O514="Taijiquan 16 B",Atletas!O514="Taijiquan 24 B",Atletas!O514="Taijiquan 32 B",Atletas!O514="Taijiquan 42 B"),412,IF(OR(Atletas!O514="Yang 26 C",Atletas!O514="Yang 40 C"),413,IF(OR(Atletas!O514="Chen 25 C",Atletas!O514="Chen 36 C",Atletas!O514="Chen 56 C"),414,IF(Atletas!O514="Sun 73 C",415,IF(Atletas!O514="Wu 45 C",416,IF(Atletas!O514="Wu-Hao 46 C",417,IF(OR(Atletas!O514="Taijiquan 16 C",Atletas!O514="Taijiquan 24 C",Atletas!O514="Taijiquan 32 C",Atletas!O514="Taijiquan 42 C"),418,0)))))))))))))))))))</f>
        <v/>
      </c>
      <c r="BQ518" s="52" t="str">
        <f>IF(Atletas!O514="","",IF(Atletas!W514&lt;&gt;"",10000,0)+IF(Atletas!B514="Feminino",1000,IF(Atletas!B514="Masculino",2000,""))+IF(OR(Atletas!O514="Yang 26 D",Atletas!O514="Yang 40 D"),419,IF(OR(Atletas!O514="Chen 25 D",Atletas!O514="Chen 36 D",Atletas!O514="Chen 56 D"),420,IF(Atletas!O514="Sun 73 D",421,IF(Atletas!O514="Wu 45 D",422,IF(Atletas!O514="Wu-Hao 46 D",423,IF(OR(Atletas!O514="Taijiquan 16 D",Atletas!O514="Taijiquan 24 D",Atletas!O514="Taijiquan 32 D",Atletas!O514="Taijiquan 42 D"),424,IF(OR(Atletas!O514="Yang 26 E",Atletas!O514="Yang 40 E"),425,IF(OR(Atletas!O514="Chen 25 E",Atletas!O514="Chen 36 E",Atletas!O514="Chen 56 E"),426,IF(Atletas!O514="Sun 73 E",427,IF(Atletas!O514="Wu 45 E",428,IF(Atletas!O514="Wu-Hao 46 E",429,IF(OR(Atletas!O514="Taijiquan 16 E",Atletas!O514="Taijiquan 24 E",Atletas!O514="Taijiquan 32 E",Atletas!O514="Taijiquan 42 E"),430,IF(OR(Atletas!O514="Yang 26 F",Atletas!O514="Yang 40 F"),431,IF(OR(Atletas!O514="Chen 25 F",Atletas!O514="Chen 36 F",Atletas!O514="Chen 56 F"),432,IF(Atletas!O514="Sun 73 F",433,IF(Atletas!O514="Wu 45 F",434,IF(Atletas!O514="Wu-Hao 46 F",435,IF(OR(Atletas!O514="Taijiquan 16 F",Atletas!O514="Taijiquan 24 F",Atletas!O514="Taijiquan 32 F",Atletas!O514="Taijiquan 42 F"),436,0)))))))))))))))))))</f>
        <v/>
      </c>
      <c r="BR518" s="52" t="str">
        <f>IF(Atletas!P514="","",IF(Atletas!W514&lt;&gt;"",10000,0)+IF(Atletas!B514="Feminino",1000,IF(Atletas!B514="Masculino",2000,""))+IF(Atletas!P514="Xingyiquan A",501,IF(Atletas!P514="Baguazhang A",502,IF(Atletas!P514="Outro Estilo Interno A",503,IF(Atletas!P514="Xingyiquan B",504,IF(Atletas!P514="Baguazhang B",505,IF(Atletas!P514="Outro Estilo Interno B",506,IF(Atletas!P514="Xingyiquan C",507,IF(Atletas!P514="Baguazhang C",508,IF(Atletas!P514="Outro Estilo Interno C",509,IF(Atletas!P514="Xingyiquan D",510,IF(Atletas!P514="Baguazhang D",511,IF(Atletas!P514="Outro Estilo Interno D",512,IF(Atletas!P514="Xingyiquan E",513,IF(Atletas!P514="Baguazhang E",514,IF(Atletas!P514="Outro Estilo Interno E",515,IF(Atletas!P514="Xingyiquan F",516,IF(Atletas!P514="Baguazhang F",517,IF(Atletas!P514="Outro Estilo Interno F",518, "")))))))))))))))))))</f>
        <v/>
      </c>
      <c r="BS518" s="52" t="str">
        <f>IF(Atletas!Q514="","",IF(Atletas!W514&lt;&gt;"",10000,0)+IF(Atletas!B514="Feminino",1000,IF(Atletas!B514="Masculino",2000,""))+IF(Atletas!Q514="Dao A",601,IF(Atletas!Q514="Jian A",602,IF(Atletas!Q514="Bishou A",603,IF(Atletas!Q514="Shan A",604,IF(Atletas!Q514="Outra Arma Curta A",605,IF(Atletas!Q514="Dao B",606,IF(Atletas!Q514="Jian B",607,IF(Atletas!Q514="Bishou B",608,IF(Atletas!Q514="Shan B",609,IF(Atletas!Q514="Outra Arma Curta B",610,IF(Atletas!Q514="Dao C",611,IF(Atletas!Q514="Jian C",612,IF(Atletas!Q514="Bishou C",613,IF(Atletas!Q514="Shan C",614,IF(Atletas!Q514="Outra Arma Curta C",615,IF(Atletas!Q514="Dao D",616,IF(Atletas!Q514="Jian D",617,IF(Atletas!Q514="Bishou D",618,IF(Atletas!Q514="Shan D",619,IF(Atletas!Q514="Outra Arma Curta D",620,IF(Atletas!Q514="Dao E",621,IF(Atletas!Q514="Jian E",622,IF(Atletas!Q514="Bishou E",623,IF(Atletas!Q514="Shan E",624,IF(Atletas!Q514="Outra Arma Curta E",625,IF(Atletas!Q514="Dao F",626,IF(Atletas!Q514="Jian F",627,IF(Atletas!Q514="Bishou F",628,IF(Atletas!Q514="Shan F",629,IF(Atletas!Q514="Outra Arma Curta F",630, "")))))))))))))))))))))))))))))))</f>
        <v/>
      </c>
      <c r="BT518" s="52" t="str">
        <f>IF(Atletas!R514="","",IF(Atletas!W514&lt;&gt;"",10000,0)+IF(Atletas!B514="Feminino",1000,IF(Atletas!B514="Masculino",2000,""))+IF(Atletas!R514="Gun A",701,IF(Atletas!R514="Qiang A",702,IF(Atletas!R514="Pudao / Guandao A",703,IF(Atletas!R514="Outra Arma Longa A",704,IF(Atletas!R514="Gun B",705,IF(Atletas!R514="Qiang B",706,IF(Atletas!R514="Pudao / Guandao B",707,IF(Atletas!R514="Outra Arma Longa B",708,IF(Atletas!R514="Gun C",709,IF(Atletas!R514="Qiang C",710,IF(Atletas!R514="Pudao / Guandao C",711,IF(Atletas!R514="Outra Arma Longa C",712,IF(Atletas!R514="Gun D",713,IF(Atletas!R514="Qiang D",714,IF(Atletas!R514="Pudao / Guandao D",715,IF(Atletas!R514="Outra Arma Longa D",716,IF(Atletas!R514="Gun E",717,IF(Atletas!R514="Qiang E",718,IF(Atletas!R514="Pudao / Guandao E",719,IF(Atletas!R514="Outra Arma Longa E",720,IF(Atletas!R514="Gun F",721,IF(Atletas!R514="Qiang F",722,IF(Atletas!R514="Pudao / Guandao F",723,IF(Atletas!R514="Outra Arma Longa F",724,"")))))))))))))))))))))))))</f>
        <v/>
      </c>
      <c r="BU518" s="52" t="str">
        <f>IF(Atletas!S514="","",IF(Atletas!W514&lt;&gt;"",10000,0)+IF(Atletas!B514="Feminino",1000,IF(Atletas!B514="Masculino",2000,""))+IF(Atletas!S514="Arma Dupla A",801,IF(Atletas!S514="Arma Maleável A",802,IF(Atletas!S514="Arma Dupla B",803,IF(Atletas!S514="Arma Maleável B",804,IF(Atletas!S514="Arma Dupla C",805,IF(Atletas!S514="Arma Maleável C",806,IF(Atletas!S514="Arma Dupla D",807,IF(Atletas!S514="Arma Maleável D",808,IF(Atletas!S514="Arma Dupla E",809,IF(Atletas!S514="Arma Maleável E",810,IF(Atletas!S514="Arma Dupla F",811,IF(Atletas!S514="Arma Maleável F",812, "")))))))))))))</f>
        <v/>
      </c>
      <c r="BV518" s="52" t="str">
        <f>IF(Atletas!T514="","",IF(Atletas!W514&lt;&gt;"",10000,0)+IF(Atletas!B514="Feminino",1000,IF(Atletas!B514="Masculino",2000,""))+IF(Atletas!T514="Taijijian Yang A",901,IF(Atletas!T514="Taijijian Chen A",902,IF(Atletas!T514="Taijijian Sun A",903,IF(Atletas!T514="Taijijian Wu A",904,IF(Atletas!T514="Taijijian Wu-Hao A",905,IF(Atletas!T514="Taijijian 32 A",906,IF(Atletas!T514="Taijijian 42 A",907,IF(Atletas!T514="Taijijian Yang B",908,IF(Atletas!T514="Taijijian Chen B",909,IF(Atletas!T514="Taijijian Sun B",910,IF(Atletas!T514="Taijijian Wu B",911,IF(Atletas!T514="Taijijian Wu-Hao B",912,IF(Atletas!T514="Taijijian 32 B",913,IF(Atletas!T514="Taijijian 42 B",914,IF(Atletas!T514="Taijijian Yang C",915,IF(Atletas!T514="Taijijian Chen C",916,IF(Atletas!T514="Taijijian Sun C",917,IF(Atletas!T514="Taijijian Wu C",918,IF(Atletas!T514="Taijijian Wu-Hao C",919,IF(Atletas!T514="Taijijian 32 C",920,IF(Atletas!T514="Taijijian 42 C",921,IF(Atletas!T514="Taijijian Yang D",922,IF(Atletas!T514="Taijijian Chen D",923,IF(Atletas!T514="Taijijian Sun D",924,IF(Atletas!T514="Taijijian Wu D",925,IF(Atletas!T514="Taijijian Wu-Hao D",926,IF(Atletas!T514="Taijijian 32 D",927,IF(Atletas!T514="Taijijian 42 D",928,IF(Atletas!T514="Taijijian Yang E",929,IF(Atletas!T514="Taijijian Chen E",930,IF(Atletas!T514="Taijijian Sun E",931,IF(Atletas!T514="Taijijian Wu E",932,IF(Atletas!T514="Taijijian Wu-Hao E",933,IF(Atletas!T514="Taijijian 32 E",934,IF(Atletas!T514="Taijijian 42 E",935,IF(Atletas!T514="Taijijian Yang F",936,IF(Atletas!T514="Taijijian Chen F",937,IF(Atletas!T514="Taijijian Sun F",938,IF(Atletas!T514="Taijijian Wu F",939,IF(Atletas!T514="Taijijian Wu-Hao F",940,IF(Atletas!T514="Taijijian 32 F",941,IF(Atletas!T514="Taijijian 42 F",942,"")))))))))))))))))))))))))))))))))))))))))))</f>
        <v/>
      </c>
      <c r="BW518" s="52" t="str">
        <f>IF(Atletas!U514="","",IF(Atletas!W514&lt;&gt;"",10000,0)+IF(Atletas!B514="Feminino",1000,IF(Atletas!B514="Masculino",2000,""))+IF(Atletas!T514="Taijijian 42 F",942,IF(Atletas!U514="Taijidao A",943,IF(Atletas!U514="Taijishan A",944,IF(Atletas!U514="Taijiqiang A",945,IF(Atletas!U514="Taijidao B",946,IF(Atletas!U514="Taijishan B",947,IF(Atletas!U514="Taijiqiang B",948,IF(Atletas!U514="Taijidao C",949,IF(Atletas!U514="Taijishan C",950,IF(Atletas!U514="Taijiqiang C",951,IF(Atletas!U514="Taijidao D",952,IF(Atletas!U514="Taijishan D",953,IF(Atletas!U514="Taijiqiang D",954,IF(Atletas!U514="Taijidao E",955,IF(Atletas!U514="Taijishan E",956,IF(Atletas!U514="Taijiqiang E",957,IF(Atletas!U514="Taijidao F",958,IF(Atletas!U514="Taijishan F",959,IF(Atletas!U514="Taijiqiang F",960))))))))))))))))))))</f>
        <v/>
      </c>
      <c r="CF518" s="52" t="str">
        <f xml:space="preserve"> IF(Atletas!V514="","",IF(Atletas!V514="Duilian de Mãos AB - Equipe 1",1,IF(Atletas!V514="Duilian de Mãos AB - Equipe 2",2,IF(Atletas!V514="Duilian de Armas AB - Equipe 1",3,IF(Atletas!V514="Duilian de Armas AB - Equipe 2",4,IF(Atletas!V514="Duilian de Tuishou - Equipe 1",5,IF(Atletas!V514="Duilian de Tuishou - Equipe 2",6,IF(Atletas!V514="Grupo Externo AB - Equipe 1",7,IF(Atletas!V514="Grupo Externo AB - Equipe 2",8,IF(Atletas!V514="Grupo Interno AB - Equipe 1",9,IF(Atletas!V514="Grupo Interno AB - Equipe 2",10,IF(Atletas!V514="Duilian de Mãos CD - Equipe 1",11,IF(Atletas!V514="Duilian de Mãos CD - Equipe 2",12,IF(Atletas!V514="Duilian de Armas CD - Equipe 1",13,IF(Atletas!V514="Duilian de Armas CD - Equipe 2",14,IF(Atletas!V514="Duilian de Tuishou - Equipe 1",15,IF(Atletas!V514="Duilian de Tuishou - Equipe 2",16,IF(Atletas!V514="Grupo Externo CDEF - Equipe 1",17,IF(Atletas!V514="Grupo Externo CDEF - Equipe 2",18,IF(Atletas!V514="Grupo Interno CDEF - Equipe 1",19,IF(Atletas!V514="Grupo Interno CDEF - Equipe 2",20,IF(Atletas!V514="Duilian de Mãos EF - Equipe 1",21,IF(Atletas!V514="Duilian de Mãos EF - Equipe 2",22,IF(Atletas!V514="Duilian de Armas EF - Equipe 1",23,IF(Atletas!V514="Duilian de Armas EF - Equipe 2",24,IF(Atletas!V514="Duilian de Tuishou - Equipe 1",25,IF(Atletas!V514="Duilian de Tuishou - Equipe 2",26,"")))))))))))))))))))))))))))</f>
        <v/>
      </c>
    </row>
    <row r="519" spans="36:84">
      <c r="AJ519" s="46" t="str">
        <f>IF(Atletas!D515="","",IF(Atletas!B515="Feminino",100,IF(Atletas!B515="Masculino",200,""))+(IF(Atletas!D515="Infantil 39kg",1,IF(Atletas!D515="Infantil 42kg",2,IF(Atletas!D515="Infantil 45kg",3,IF(Atletas!D515="Infantil 48kg",4,IF(Atletas!D515="Infantil 52kg",5,IF(Atletas!D515="Infantil 56kg",6,IF(Atletas!D515="Infantil 60kg",7,IF(Atletas!D515="Juvenil 48kg",8,IF(Atletas!D515="Juvenil 52kg",9,IF(Atletas!D515="Juvenil 56kg",10,IF(Atletas!D515="Juvenil 60kg",11,IF(Atletas!D515="Juvenil 65kg",12,IF(Atletas!D515="Juvenil 70kg",13,IF(Atletas!D515="Juvenil 75kg",14,IF(Atletas!D515="Juvenil 80kg",15,IF(Atletas!D515="Adulto 48kg",16,IF(Atletas!D515="Adulto 52kg",17,IF(Atletas!D515="Adulto 56kg",18,IF(Atletas!D515="Adulto 60kg",19,IF(Atletas!D515="Adulto 65kg",20,IF(Atletas!D515="Adulto 70kg",21,IF(Atletas!D515="Adulto 75kg",22,IF(Atletas!D515="Adulto 80kg",23,IF(Atletas!D515="Adulto 85kg",24,IF(Atletas!D515="Adulto 90kg",25,IF(Atletas!D515="Adulto +90kg",26,""))))))))))))))))))))))))))))</f>
        <v/>
      </c>
      <c r="AO519" s="10" t="str">
        <f>IF(Atletas!E515="","",IF(Atletas!B515="Feminino",100,IF(Atletas!B515="Masculino",200,""))+(IF(Atletas!E515="Juvenil 44kg",1,IF(Atletas!E515="Juvenil 48kg",2,IF(Atletas!E515="Juvenil 52kg",3,IF(Atletas!E515="Juvenil 56kg",4,IF(Atletas!E515="Juvenil 60kg",5,IF(Atletas!E515="Juvenil 65kg",6,IF(Atletas!E515="Juvenil 70kg",7,IF(Atletas!E515="Juvenil 75kg",8,IF(Atletas!E515="Juvenil 82kg",9,IF(Atletas!E515="Juvenil 90kg",10,IF(Atletas!E515="Juvenil 100kg",11,IF(Atletas!E515="Adulto 48kg",12,IF(Atletas!E515="Adulto 52kg",13,IF(Atletas!E515="Adulto 56kg",14,IF(Atletas!E515="Adulto 60kg",15,IF(Atletas!E515="Adulto 65kg",16,IF(Atletas!E515="Adulto 70kg",17,IF(Atletas!E515="Adulto 75kg",18,IF(Atletas!E515="Adulto 82kg",19,IF(Atletas!E515="Adulto 90kg",20,IF(Atletas!E515="Adulto 100kg",21,IF(Atletas!E515="Adulto +100kg",22,""))))))))))))))))))))))))</f>
        <v/>
      </c>
      <c r="AT519" s="10" t="str">
        <f>IF(Atletas!F515="","",IF(Atletas!B515="Feminino",100,IF(Atletas!B515="Masculino",200,""))+(IF(Atletas!F515="Adulto 48kg",1,IF(Atletas!F515="Adulto 56kg",2,IF(Atletas!F515="Adulto 65kg",3,IF(Atletas!F515="Adulto 75kg",4,IF(Atletas!F515="Adulto +75kg",5,IF(Atletas!F515="Adulto 52kg",6,IF(Atletas!F515="Adulto 60kg",7,IF(Atletas!F515="Adulto 70kg",8,IF(Atletas!F515="Adulto 80kg",9,IF(Atletas!F515="Adulto 90kg",10,IF(Atletas!F515="Adulto +90kg",11,"")))))))))))))</f>
        <v/>
      </c>
      <c r="AY519" s="46" t="str">
        <f>IF(Atletas!G515="","",IF(Atletas!B515="Feminino",100,IF(Atletas!B515="Masculino",200,""))+(IF(Atletas!G515="Changquan Mirim",1,IF(Atletas!G515="Nanquan Mirim",2,IF(Atletas!G515="Taijiquan Mirim",3,IF(Atletas!G515="Changquan Grupo C",4,IF(Atletas!G515="Nanquan Grupo C",5,IF(Atletas!G515="Taijiquan Grupo C",6,IF(Atletas!G515="Changquan Grupo B",7,IF(Atletas!G515="Nanquan Grupo B",8,IF(Atletas!G515="Taijiquan Grupo B",9,IF(Atletas!G515="Changquan Grupo A",10,IF(Atletas!G515="Nanquan Grupo A",11,IF(Atletas!G515="Taijiquan Grupo A",12,IF(Atletas!G515="Changquan Opcional",13,IF(Atletas!G515="Nanquan Opcional",14,IF(Atletas!G515="Taijiquan Opcional",15,IF(Atletas!G515="Changquan Adulto",16,IF(Atletas!G515="Nanquan Adulto",17,IF(Atletas!G515="Taijiquan Adulto",18,""))))))))))))))))))))</f>
        <v/>
      </c>
      <c r="AZ519" s="46" t="str">
        <f>IF(Atletas!H515="","",IF(Atletas!B515="Feminino",100,IF(Atletas!B515="Masculino",200,""))+(IF(Atletas!H515="Daoshu Mirim",19,IF(Atletas!H515="Jianshu Mirim",20,IF(Atletas!H515="Nandao Mirim",21,IF(Atletas!H515="Taijijian Mirim",22,IF(Atletas!H515="Daoshu Grupo C",23,IF(Atletas!H515="Jianshu Grupo C",24,IF(Atletas!H515="Nandao Grupo C",25,IF(Atletas!H515="Taijijian Grupo C",26,IF(Atletas!H515="Daoshu Grupo B",27,IF(Atletas!H515="Jianshu Grupo B",28,IF(Atletas!H515="Nandao Grupo B",29,IF(Atletas!H515="Taijijian Grupo B",30,IF(Atletas!H515="Daoshu Grupo A",31,IF(Atletas!H515="Jianshu Grupo A",32,IF(Atletas!H515="Nandao Grupo A",33,IF(Atletas!H515="Taijijian Grupo A",34,IF(Atletas!H515="Daoshu Opcional",35,IF(Atletas!H515="Jianshu Opcional",36,IF(Atletas!H515="Nandao Opcional",37,IF(Atletas!H515="Taijijian Opcional",38,IF(Atletas!H515="Daoshu Adulto",39,IF(Atletas!H515="Jianshu Adulto",40,IF(Atletas!H515="Nandao Adulto",41,IF(Atletas!H515="Taijijian Adulto",42,""))))))))))))))))))))))))))</f>
        <v/>
      </c>
      <c r="BA519" s="46" t="str">
        <f>IF(Atletas!I515="","",IF(Atletas!B515="Feminino",100,IF(Atletas!B515="Masculino",200,""))+(IF(Atletas!I515="Gunshu Mirim",43,IF(Atletas!I515="Qiangshu Mirim",44,IF(Atletas!I515="Nangun Mirim",45,IF(Atletas!I515="Gunshu Grupo C",46,IF(Atletas!I515="Qiangshu Grupo C",47,IF(Atletas!I515="Nangun Grupo C",48,IF(Atletas!I515="Gunshu Grupo B",49,IF(Atletas!I515="Qiangshu Grupo B",50,IF(Atletas!I515="Nangun Grupo B",51,IF(Atletas!I515="Gunshu Grupo A",52,IF(Atletas!I515="Qiangshu Grupo A",53,IF(Atletas!I515="Nangun Grupo A",54,IF(Atletas!I515="Gunshu Opcional",55,IF(Atletas!I515="Qiangshu Opcional",56,IF(Atletas!I515="Nangun Opcional",57,IF(Atletas!I515="Gunshu Adulto",58,IF(Atletas!I515="Qiangshu Adulto",59,IF(Atletas!I515="Nangun Adulto",60,""))))))))))))))))))))</f>
        <v/>
      </c>
      <c r="BF519" s="52" t="str">
        <f>IF(Atletas!J515="","",IF(Atletas!B515="Feminino",100,IF(Atletas!B515="Masculino",200,""))+(IF(Atletas!J515="Equipe 1 Grupo B",1,IF(Atletas!J515="Equipe 2 Grupo B",2,IF(Atletas!J515="Equipe 1 Grupo A",3,IF(Atletas!J515="Equipe 2 Grupo A",4,IF(Atletas!J515="Equipe 1 Adulto",5,IF(Atletas!J515="Equipe 2 Adulto",6,""))))))))</f>
        <v/>
      </c>
      <c r="BK519" s="52" t="str">
        <f>IF(Atletas!K515="","",IF(Atletas!W515&lt;&gt;"",10000,0)+(IF(Atletas!B515="Feminino",1000,IF(Atletas!B515="Masculino",2000,""))+IF(Atletas!K515="Choylayfut A",1,IF(Atletas!K515="Hunggar A",2,IF(Atletas!K515="Wuzuquan A",3,IF(Atletas!K515="Wingchun A",4,IF(Atletas!K515="Outra Mão de Sul A",5,IF(Atletas!K515="Choylayfut B",6,IF(Atletas!K515="Hunggar B",7,IF(Atletas!K515="Wuzuquan B",8,IF(Atletas!K515="Wingchun B",9,IF(Atletas!K515="Outra Mão de Sul B",10,IF(Atletas!K515="Choylayfut C",11,IF(Atletas!K515="Hunggar C",12,IF(Atletas!K515="Wuzuquan C",13,IF(Atletas!K515="Wingchun C",14,IF(Atletas!K515="Outra Mão de Sul C",15,IF(Atletas!K515="Choylayfut D",16,IF(Atletas!K515="Hunggar D",17,IF(Atletas!K515="Wuzuquan D",18,IF(Atletas!K515="Wingchun D",19,IF(Atletas!K515="Outra Mão de Sul D",20,IF(Atletas!K515="Choylayfut E",21,IF(Atletas!K515="Hunggar E",22,IF(Atletas!K515="Wuzuquan E",23,IF(Atletas!K515="Wingchun E",24,IF(Atletas!K515="Outra Mão de Sul E",25,IF(Atletas!K515="Choylayfut F",26,IF(Atletas!K515="Hunggar F",27,IF(Atletas!K515="Wuzuquan F",28,IF(Atletas!K515="Wingchun F",29,IF(Atletas!K515="Outra Mão de Sul F",30,""))))))))))))))))))))))))))))))))</f>
        <v/>
      </c>
      <c r="BL519" s="52" t="str">
        <f>IF(Atletas!L515="","",IF(Atletas!W515&lt;&gt;"",10000,0)+(IF(Atletas!B515="Feminino",1000,IF(Atletas!B515="Masculino",2000,""))+(IF(Atletas!L515="Chaquan A",101,IF(Atletas!L515="Emeiquan A",102,IF(Atletas!L515="Fanziquan A",103,IF(Atletas!L515="Huaquan A",104,IF(Atletas!L515="Hongquan A",105,IF(Atletas!L515="Paochui A",106,IF(Atletas!L515="Piguaquan A",107,IF(Atletas!L515="Shaolinquan A",108,IF(Atletas!L515="Tanglangquan A",109,IF(Atletas!L515="Yinzhaophai A",110,IF(Atletas!L515="Tongbeiquan A",111,IF(Atletas!L515="Wudangquan A",112,IF(Atletas!L515="Outros Estilos A",113,IF(Atletas!L515="Chaquan B",114,IF(Atletas!L515="Emeiquan B",115,IF(Atletas!L515="Fanziquan B",116,IF(Atletas!L515="Huaquan B",117,IF(Atletas!L515="Hongquan B",118,IF(Atletas!L515="Paochui B",119,IF(Atletas!L515="Piguaquan B",120,IF(Atletas!L515="Shaolinquan B",121,IF(Atletas!L515="Tanglangquan B",122,IF(Atletas!L515="Yinzhaophai B",123,IF(Atletas!L515="Tongbeiquan B",124,IF(Atletas!L515="Wudangquan B",125,IF(Atletas!L515="Outros Estilos B",126,IF(Atletas!L515="Chaquan C",127,IF(Atletas!L515="Emeiquan C",128,IF(Atletas!L515="Fanziquan C",129,IF(Atletas!L515="Huaquan C",130,IF(Atletas!L515="Hongquan C",131,IF(Atletas!L515="Paochui C",132,IF(Atletas!L515="Piguaquan C",133,IF(Atletas!L515="Shaolinquan C",134,IF(Atletas!L515="Tanglangquan C",135,IF(Atletas!L515="Yinzhaophai C",136,IF(Atletas!L515="Tongbeiquan C",137,IF(Atletas!L515="Wudangquan C",138,IF(Atletas!L515="Outros Estilos C",139,0))))))))))))))))))))))))))))))))))))))))))</f>
        <v/>
      </c>
      <c r="BM519" s="52" t="str">
        <f>IF(Atletas!L515="","",IF(Atletas!W515&lt;&gt;"",10000,0)+(IF(Atletas!B515="Feminino",1000,IF(Atletas!B515="Masculino",2000,""))+(IF(Atletas!L515="Chaquan D",140,IF(Atletas!L515="Emeiquan D",141,IF(Atletas!L515="Fanziquan D",142,IF(Atletas!L515="Huaquan D",143,IF(Atletas!L515="Hongquan D",144,IF(Atletas!L515="Paochui D",145,IF(Atletas!L515="Piguaquan D",146,IF(Atletas!L515="Shaolinquan D",147,IF(Atletas!L515="Tanglangquan D",148,IF(Atletas!L515="Yinzhaophai D",149,IF(Atletas!L515="Tongbeiquan D",150,IF(Atletas!L515="Wudangquan D",151,IF(Atletas!L515="Outros Estilos D",152,IF(Atletas!L515="Chaquan E",153,IF(Atletas!L515="Emeiquan E",154,IF(Atletas!L515="Fanziquan E",155,IF(Atletas!L515="Huaquan E",156,IF(Atletas!L515="Hongquan E",157,IF(Atletas!L515="Paochui E",158,IF(Atletas!L515="Piguaquan E",159,IF(Atletas!L515="Shaolinquan E",160,IF(Atletas!L515="Tanglangquan E",161,IF(Atletas!L515="Yinzhaophai E",162,IF(Atletas!L515="Tongbeiquan E",163,IF(Atletas!L515="Wudangquan E",164,IF(Atletas!L515="Outros Estilos E",165,IF(Atletas!L515="Chaquan F",166,IF(Atletas!L515="Emeiquan F",167,IF(Atletas!L515="Fanziquan F",168,IF(Atletas!L515="Huaquan F",169,IF(Atletas!L515="Hongquan F",170,IF(Atletas!L515="Paochui F",171,IF(Atletas!L515="Piguaquan F",172,IF(Atletas!L515="Shaolinquan F",173,IF(Atletas!L515="Tanglangquan F",174,IF(Atletas!L515="Yinzhaophai F",175,IF(Atletas!L515="Tongbeiquan F",176,IF(Atletas!L515="Wudangquan F",177,IF(Atletas!L515="Outros Estilos F",178,0))))))))))))))))))))))))))))))))))))))))))</f>
        <v/>
      </c>
      <c r="BN519" s="52" t="str">
        <f>IF(Atletas!M515="","",IF(Atletas!W515&lt;&gt;"",10000,0)+(IF(Atletas!B515="Feminino",1000,IF(Atletas!B515="Masculino",2000,""))+(IF(Atletas!M515="Ditangquan A",201,IF(Atletas!M515="Houquan A",202,IF(Atletas!M515="Zuiquan A",203,IF(Atletas!M515="Ditangquan B",204,IF(Atletas!M515="Houquan B",205,IF(Atletas!M515="Zuiquan B",206,IF(Atletas!M515="Ditangquan C",207,IF(Atletas!M515="Houquan C",208,IF(Atletas!M515="Zuiquan C",209,IF(Atletas!M515="Ditangquan D",210,IF(Atletas!M515="Houquan D",211,IF(Atletas!M515="Zuiquan D",212,IF(Atletas!M515="Ditangquan E",213,IF(Atletas!M515="Houquan E",214,IF(Atletas!M515="Zuiquan E",215,IF(Atletas!M515="Ditangquan F",216,IF(Atletas!M515="Houquan F",217,IF(Atletas!M515="Zuiquan F",218,"")))))))))))))))))))))</f>
        <v/>
      </c>
      <c r="BO519" s="52" t="str">
        <f>IF(Atletas!N515="","",IF(Atletas!W515&lt;&gt;"",10000,0)+IF(Atletas!B515="Feminino",1000,IF(Atletas!B515="Masculino",2000,""))+IF(Atletas!N515="Yang A",301,IF(Atletas!N515="Chen A",30,IF(Atletas!N515="Sun A",303,IF(Atletas!N515="Wu A",304,IF(Atletas!N515="Wu-Hao A",305,IF(Atletas!N515="Outro Taijiquan A",306,IF(Atletas!N515="Yang B",307,IF(Atletas!N515="Chen B",308,IF(Atletas!N515="Sun B",309,IF(Atletas!N515="Wu B",310,IF(Atletas!N515="Wu-Hao B",311,IF(Atletas!N515="Outro Taijiquan B",312,IF(Atletas!N515="Yang C",313,IF(Atletas!N515="Chen C",314,IF(Atletas!N515="Sun C",315,IF(Atletas!N515="Wu C",316,IF(Atletas!N515="Wu-Hao C",317,IF(Atletas!N515="Outro Taijiquan C",318,IF(Atletas!N515="Yang D",319,IF(Atletas!N515="Chen D",320,IF(Atletas!N515="Sun D",321,IF(Atletas!N515="Wu D",322,IF(Atletas!N515="Wu-Hao D",323,IF(Atletas!N515="Outro Taijiquan D",324,IF(Atletas!N515="Yang E",325,IF(Atletas!N515="Chen E",326,IF(Atletas!N515="Sun E",327,IF(Atletas!N515="Wu E",328,IF(Atletas!N515="Wu-Hao E",329,IF(Atletas!N515="Outro Taijiquan E",330,IF(Atletas!N515="Yang F",331,IF(Atletas!N515="Chen F",332,IF(Atletas!N515="Sun F",333,IF(Atletas!N515="Wu F",334,IF(Atletas!N515="Wu-Hao F",335,IF(Atletas!N515="Outro Taijiquan F",336,"")))))))))))))))))))))))))))))))))))))</f>
        <v/>
      </c>
      <c r="BP519" s="52" t="str">
        <f>IF(Atletas!O515="","",IF(Atletas!W515&lt;&gt;"",10000,0)+IF(Atletas!B515="Feminino",1000,IF(Atletas!B515="Masculino",2000,""))+IF(OR(Atletas!O515="Yang 26 A",Atletas!O515="Yang 40 A"),401,IF(OR(Atletas!O515="Chen 25 A",Atletas!O515="Chen 36 A",Atletas!O515="Chen 56 A"),402,IF(Atletas!O515="Sun 73 A",403,IF(Atletas!O515="Wu 45 A",404,IF(Atletas!O515="Wu-Hao 46 A",405,IF(OR(Atletas!O515="Taijiquan 16 A",Atletas!O515="Taijiquan 24 A",Atletas!O515="Taijiquan 32 A",Atletas!O515="Taijiquan 42 A"),406,IF(OR(Atletas!O515="Yang 26 B",Atletas!O515="Yang 40 B"),407,IF(OR(Atletas!O515="Chen 25 B",Atletas!O515="Chen 36 B",Atletas!O515="Chen 56 B"),408,IF(Atletas!O515="Sun 73 B",409,IF(Atletas!O515="Wu 45 B",410,IF(Atletas!O515="Wu-Hao 46 B",411,IF(OR(Atletas!O515="Taijiquan 16 B",Atletas!O515="Taijiquan 24 B",Atletas!O515="Taijiquan 32 B",Atletas!O515="Taijiquan 42 B"),412,IF(OR(Atletas!O515="Yang 26 C",Atletas!O515="Yang 40 C"),413,IF(OR(Atletas!O515="Chen 25 C",Atletas!O515="Chen 36 C",Atletas!O515="Chen 56 C"),414,IF(Atletas!O515="Sun 73 C",415,IF(Atletas!O515="Wu 45 C",416,IF(Atletas!O515="Wu-Hao 46 C",417,IF(OR(Atletas!O515="Taijiquan 16 C",Atletas!O515="Taijiquan 24 C",Atletas!O515="Taijiquan 32 C",Atletas!O515="Taijiquan 42 C"),418,0)))))))))))))))))))</f>
        <v/>
      </c>
      <c r="BQ519" s="52" t="str">
        <f>IF(Atletas!O515="","",IF(Atletas!W515&lt;&gt;"",10000,0)+IF(Atletas!B515="Feminino",1000,IF(Atletas!B515="Masculino",2000,""))+IF(OR(Atletas!O515="Yang 26 D",Atletas!O515="Yang 40 D"),419,IF(OR(Atletas!O515="Chen 25 D",Atletas!O515="Chen 36 D",Atletas!O515="Chen 56 D"),420,IF(Atletas!O515="Sun 73 D",421,IF(Atletas!O515="Wu 45 D",422,IF(Atletas!O515="Wu-Hao 46 D",423,IF(OR(Atletas!O515="Taijiquan 16 D",Atletas!O515="Taijiquan 24 D",Atletas!O515="Taijiquan 32 D",Atletas!O515="Taijiquan 42 D"),424,IF(OR(Atletas!O515="Yang 26 E",Atletas!O515="Yang 40 E"),425,IF(OR(Atletas!O515="Chen 25 E",Atletas!O515="Chen 36 E",Atletas!O515="Chen 56 E"),426,IF(Atletas!O515="Sun 73 E",427,IF(Atletas!O515="Wu 45 E",428,IF(Atletas!O515="Wu-Hao 46 E",429,IF(OR(Atletas!O515="Taijiquan 16 E",Atletas!O515="Taijiquan 24 E",Atletas!O515="Taijiquan 32 E",Atletas!O515="Taijiquan 42 E"),430,IF(OR(Atletas!O515="Yang 26 F",Atletas!O515="Yang 40 F"),431,IF(OR(Atletas!O515="Chen 25 F",Atletas!O515="Chen 36 F",Atletas!O515="Chen 56 F"),432,IF(Atletas!O515="Sun 73 F",433,IF(Atletas!O515="Wu 45 F",434,IF(Atletas!O515="Wu-Hao 46 F",435,IF(OR(Atletas!O515="Taijiquan 16 F",Atletas!O515="Taijiquan 24 F",Atletas!O515="Taijiquan 32 F",Atletas!O515="Taijiquan 42 F"),436,0)))))))))))))))))))</f>
        <v/>
      </c>
      <c r="BR519" s="52" t="str">
        <f>IF(Atletas!P515="","",IF(Atletas!W515&lt;&gt;"",10000,0)+IF(Atletas!B515="Feminino",1000,IF(Atletas!B515="Masculino",2000,""))+IF(Atletas!P515="Xingyiquan A",501,IF(Atletas!P515="Baguazhang A",502,IF(Atletas!P515="Outro Estilo Interno A",503,IF(Atletas!P515="Xingyiquan B",504,IF(Atletas!P515="Baguazhang B",505,IF(Atletas!P515="Outro Estilo Interno B",506,IF(Atletas!P515="Xingyiquan C",507,IF(Atletas!P515="Baguazhang C",508,IF(Atletas!P515="Outro Estilo Interno C",509,IF(Atletas!P515="Xingyiquan D",510,IF(Atletas!P515="Baguazhang D",511,IF(Atletas!P515="Outro Estilo Interno D",512,IF(Atletas!P515="Xingyiquan E",513,IF(Atletas!P515="Baguazhang E",514,IF(Atletas!P515="Outro Estilo Interno E",515,IF(Atletas!P515="Xingyiquan F",516,IF(Atletas!P515="Baguazhang F",517,IF(Atletas!P515="Outro Estilo Interno F",518, "")))))))))))))))))))</f>
        <v/>
      </c>
      <c r="BS519" s="52" t="str">
        <f>IF(Atletas!Q515="","",IF(Atletas!W515&lt;&gt;"",10000,0)+IF(Atletas!B515="Feminino",1000,IF(Atletas!B515="Masculino",2000,""))+IF(Atletas!Q515="Dao A",601,IF(Atletas!Q515="Jian A",602,IF(Atletas!Q515="Bishou A",603,IF(Atletas!Q515="Shan A",604,IF(Atletas!Q515="Outra Arma Curta A",605,IF(Atletas!Q515="Dao B",606,IF(Atletas!Q515="Jian B",607,IF(Atletas!Q515="Bishou B",608,IF(Atletas!Q515="Shan B",609,IF(Atletas!Q515="Outra Arma Curta B",610,IF(Atletas!Q515="Dao C",611,IF(Atletas!Q515="Jian C",612,IF(Atletas!Q515="Bishou C",613,IF(Atletas!Q515="Shan C",614,IF(Atletas!Q515="Outra Arma Curta C",615,IF(Atletas!Q515="Dao D",616,IF(Atletas!Q515="Jian D",617,IF(Atletas!Q515="Bishou D",618,IF(Atletas!Q515="Shan D",619,IF(Atletas!Q515="Outra Arma Curta D",620,IF(Atletas!Q515="Dao E",621,IF(Atletas!Q515="Jian E",622,IF(Atletas!Q515="Bishou E",623,IF(Atletas!Q515="Shan E",624,IF(Atletas!Q515="Outra Arma Curta E",625,IF(Atletas!Q515="Dao F",626,IF(Atletas!Q515="Jian F",627,IF(Atletas!Q515="Bishou F",628,IF(Atletas!Q515="Shan F",629,IF(Atletas!Q515="Outra Arma Curta F",630, "")))))))))))))))))))))))))))))))</f>
        <v/>
      </c>
      <c r="BT519" s="52" t="str">
        <f>IF(Atletas!R515="","",IF(Atletas!W515&lt;&gt;"",10000,0)+IF(Atletas!B515="Feminino",1000,IF(Atletas!B515="Masculino",2000,""))+IF(Atletas!R515="Gun A",701,IF(Atletas!R515="Qiang A",702,IF(Atletas!R515="Pudao / Guandao A",703,IF(Atletas!R515="Outra Arma Longa A",704,IF(Atletas!R515="Gun B",705,IF(Atletas!R515="Qiang B",706,IF(Atletas!R515="Pudao / Guandao B",707,IF(Atletas!R515="Outra Arma Longa B",708,IF(Atletas!R515="Gun C",709,IF(Atletas!R515="Qiang C",710,IF(Atletas!R515="Pudao / Guandao C",711,IF(Atletas!R515="Outra Arma Longa C",712,IF(Atletas!R515="Gun D",713,IF(Atletas!R515="Qiang D",714,IF(Atletas!R515="Pudao / Guandao D",715,IF(Atletas!R515="Outra Arma Longa D",716,IF(Atletas!R515="Gun E",717,IF(Atletas!R515="Qiang E",718,IF(Atletas!R515="Pudao / Guandao E",719,IF(Atletas!R515="Outra Arma Longa E",720,IF(Atletas!R515="Gun F",721,IF(Atletas!R515="Qiang F",722,IF(Atletas!R515="Pudao / Guandao F",723,IF(Atletas!R515="Outra Arma Longa F",724,"")))))))))))))))))))))))))</f>
        <v/>
      </c>
      <c r="BU519" s="52" t="str">
        <f>IF(Atletas!S515="","",IF(Atletas!W515&lt;&gt;"",10000,0)+IF(Atletas!B515="Feminino",1000,IF(Atletas!B515="Masculino",2000,""))+IF(Atletas!S515="Arma Dupla A",801,IF(Atletas!S515="Arma Maleável A",802,IF(Atletas!S515="Arma Dupla B",803,IF(Atletas!S515="Arma Maleável B",804,IF(Atletas!S515="Arma Dupla C",805,IF(Atletas!S515="Arma Maleável C",806,IF(Atletas!S515="Arma Dupla D",807,IF(Atletas!S515="Arma Maleável D",808,IF(Atletas!S515="Arma Dupla E",809,IF(Atletas!S515="Arma Maleável E",810,IF(Atletas!S515="Arma Dupla F",811,IF(Atletas!S515="Arma Maleável F",812, "")))))))))))))</f>
        <v/>
      </c>
      <c r="BV519" s="52" t="str">
        <f>IF(Atletas!T515="","",IF(Atletas!W515&lt;&gt;"",10000,0)+IF(Atletas!B515="Feminino",1000,IF(Atletas!B515="Masculino",2000,""))+IF(Atletas!T515="Taijijian Yang A",901,IF(Atletas!T515="Taijijian Chen A",902,IF(Atletas!T515="Taijijian Sun A",903,IF(Atletas!T515="Taijijian Wu A",904,IF(Atletas!T515="Taijijian Wu-Hao A",905,IF(Atletas!T515="Taijijian 32 A",906,IF(Atletas!T515="Taijijian 42 A",907,IF(Atletas!T515="Taijijian Yang B",908,IF(Atletas!T515="Taijijian Chen B",909,IF(Atletas!T515="Taijijian Sun B",910,IF(Atletas!T515="Taijijian Wu B",911,IF(Atletas!T515="Taijijian Wu-Hao B",912,IF(Atletas!T515="Taijijian 32 B",913,IF(Atletas!T515="Taijijian 42 B",914,IF(Atletas!T515="Taijijian Yang C",915,IF(Atletas!T515="Taijijian Chen C",916,IF(Atletas!T515="Taijijian Sun C",917,IF(Atletas!T515="Taijijian Wu C",918,IF(Atletas!T515="Taijijian Wu-Hao C",919,IF(Atletas!T515="Taijijian 32 C",920,IF(Atletas!T515="Taijijian 42 C",921,IF(Atletas!T515="Taijijian Yang D",922,IF(Atletas!T515="Taijijian Chen D",923,IF(Atletas!T515="Taijijian Sun D",924,IF(Atletas!T515="Taijijian Wu D",925,IF(Atletas!T515="Taijijian Wu-Hao D",926,IF(Atletas!T515="Taijijian 32 D",927,IF(Atletas!T515="Taijijian 42 D",928,IF(Atletas!T515="Taijijian Yang E",929,IF(Atletas!T515="Taijijian Chen E",930,IF(Atletas!T515="Taijijian Sun E",931,IF(Atletas!T515="Taijijian Wu E",932,IF(Atletas!T515="Taijijian Wu-Hao E",933,IF(Atletas!T515="Taijijian 32 E",934,IF(Atletas!T515="Taijijian 42 E",935,IF(Atletas!T515="Taijijian Yang F",936,IF(Atletas!T515="Taijijian Chen F",937,IF(Atletas!T515="Taijijian Sun F",938,IF(Atletas!T515="Taijijian Wu F",939,IF(Atletas!T515="Taijijian Wu-Hao F",940,IF(Atletas!T515="Taijijian 32 F",941,IF(Atletas!T515="Taijijian 42 F",942,"")))))))))))))))))))))))))))))))))))))))))))</f>
        <v/>
      </c>
      <c r="BW519" s="52" t="str">
        <f>IF(Atletas!U515="","",IF(Atletas!W515&lt;&gt;"",10000,0)+IF(Atletas!B515="Feminino",1000,IF(Atletas!B515="Masculino",2000,""))+IF(Atletas!T515="Taijijian 42 F",942,IF(Atletas!U515="Taijidao A",943,IF(Atletas!U515="Taijishan A",944,IF(Atletas!U515="Taijiqiang A",945,IF(Atletas!U515="Taijidao B",946,IF(Atletas!U515="Taijishan B",947,IF(Atletas!U515="Taijiqiang B",948,IF(Atletas!U515="Taijidao C",949,IF(Atletas!U515="Taijishan C",950,IF(Atletas!U515="Taijiqiang C",951,IF(Atletas!U515="Taijidao D",952,IF(Atletas!U515="Taijishan D",953,IF(Atletas!U515="Taijiqiang D",954,IF(Atletas!U515="Taijidao E",955,IF(Atletas!U515="Taijishan E",956,IF(Atletas!U515="Taijiqiang E",957,IF(Atletas!U515="Taijidao F",958,IF(Atletas!U515="Taijishan F",959,IF(Atletas!U515="Taijiqiang F",960))))))))))))))))))))</f>
        <v/>
      </c>
      <c r="CF519" s="52" t="str">
        <f xml:space="preserve"> IF(Atletas!V515="","",IF(Atletas!V515="Duilian de Mãos AB - Equipe 1",1,IF(Atletas!V515="Duilian de Mãos AB - Equipe 2",2,IF(Atletas!V515="Duilian de Armas AB - Equipe 1",3,IF(Atletas!V515="Duilian de Armas AB - Equipe 2",4,IF(Atletas!V515="Duilian de Tuishou - Equipe 1",5,IF(Atletas!V515="Duilian de Tuishou - Equipe 2",6,IF(Atletas!V515="Grupo Externo AB - Equipe 1",7,IF(Atletas!V515="Grupo Externo AB - Equipe 2",8,IF(Atletas!V515="Grupo Interno AB - Equipe 1",9,IF(Atletas!V515="Grupo Interno AB - Equipe 2",10,IF(Atletas!V515="Duilian de Mãos CD - Equipe 1",11,IF(Atletas!V515="Duilian de Mãos CD - Equipe 2",12,IF(Atletas!V515="Duilian de Armas CD - Equipe 1",13,IF(Atletas!V515="Duilian de Armas CD - Equipe 2",14,IF(Atletas!V515="Duilian de Tuishou - Equipe 1",15,IF(Atletas!V515="Duilian de Tuishou - Equipe 2",16,IF(Atletas!V515="Grupo Externo CDEF - Equipe 1",17,IF(Atletas!V515="Grupo Externo CDEF - Equipe 2",18,IF(Atletas!V515="Grupo Interno CDEF - Equipe 1",19,IF(Atletas!V515="Grupo Interno CDEF - Equipe 2",20,IF(Atletas!V515="Duilian de Mãos EF - Equipe 1",21,IF(Atletas!V515="Duilian de Mãos EF - Equipe 2",22,IF(Atletas!V515="Duilian de Armas EF - Equipe 1",23,IF(Atletas!V515="Duilian de Armas EF - Equipe 2",24,IF(Atletas!V515="Duilian de Tuishou - Equipe 1",25,IF(Atletas!V515="Duilian de Tuishou - Equipe 2",26,"")))))))))))))))))))))))))))</f>
        <v/>
      </c>
    </row>
    <row r="520" spans="36:84">
      <c r="AJ520" s="46" t="str">
        <f>IF(Atletas!D516="","",IF(Atletas!B516="Feminino",100,IF(Atletas!B516="Masculino",200,""))+(IF(Atletas!D516="Infantil 39kg",1,IF(Atletas!D516="Infantil 42kg",2,IF(Atletas!D516="Infantil 45kg",3,IF(Atletas!D516="Infantil 48kg",4,IF(Atletas!D516="Infantil 52kg",5,IF(Atletas!D516="Infantil 56kg",6,IF(Atletas!D516="Infantil 60kg",7,IF(Atletas!D516="Juvenil 48kg",8,IF(Atletas!D516="Juvenil 52kg",9,IF(Atletas!D516="Juvenil 56kg",10,IF(Atletas!D516="Juvenil 60kg",11,IF(Atletas!D516="Juvenil 65kg",12,IF(Atletas!D516="Juvenil 70kg",13,IF(Atletas!D516="Juvenil 75kg",14,IF(Atletas!D516="Juvenil 80kg",15,IF(Atletas!D516="Adulto 48kg",16,IF(Atletas!D516="Adulto 52kg",17,IF(Atletas!D516="Adulto 56kg",18,IF(Atletas!D516="Adulto 60kg",19,IF(Atletas!D516="Adulto 65kg",20,IF(Atletas!D516="Adulto 70kg",21,IF(Atletas!D516="Adulto 75kg",22,IF(Atletas!D516="Adulto 80kg",23,IF(Atletas!D516="Adulto 85kg",24,IF(Atletas!D516="Adulto 90kg",25,IF(Atletas!D516="Adulto +90kg",26,""))))))))))))))))))))))))))))</f>
        <v/>
      </c>
      <c r="AO520" s="10" t="str">
        <f>IF(Atletas!E516="","",IF(Atletas!B516="Feminino",100,IF(Atletas!B516="Masculino",200,""))+(IF(Atletas!E516="Juvenil 44kg",1,IF(Atletas!E516="Juvenil 48kg",2,IF(Atletas!E516="Juvenil 52kg",3,IF(Atletas!E516="Juvenil 56kg",4,IF(Atletas!E516="Juvenil 60kg",5,IF(Atletas!E516="Juvenil 65kg",6,IF(Atletas!E516="Juvenil 70kg",7,IF(Atletas!E516="Juvenil 75kg",8,IF(Atletas!E516="Juvenil 82kg",9,IF(Atletas!E516="Juvenil 90kg",10,IF(Atletas!E516="Juvenil 100kg",11,IF(Atletas!E516="Adulto 48kg",12,IF(Atletas!E516="Adulto 52kg",13,IF(Atletas!E516="Adulto 56kg",14,IF(Atletas!E516="Adulto 60kg",15,IF(Atletas!E516="Adulto 65kg",16,IF(Atletas!E516="Adulto 70kg",17,IF(Atletas!E516="Adulto 75kg",18,IF(Atletas!E516="Adulto 82kg",19,IF(Atletas!E516="Adulto 90kg",20,IF(Atletas!E516="Adulto 100kg",21,IF(Atletas!E516="Adulto +100kg",22,""))))))))))))))))))))))))</f>
        <v/>
      </c>
      <c r="AT520" s="10" t="str">
        <f>IF(Atletas!F516="","",IF(Atletas!B516="Feminino",100,IF(Atletas!B516="Masculino",200,""))+(IF(Atletas!F516="Adulto 48kg",1,IF(Atletas!F516="Adulto 56kg",2,IF(Atletas!F516="Adulto 65kg",3,IF(Atletas!F516="Adulto 75kg",4,IF(Atletas!F516="Adulto +75kg",5,IF(Atletas!F516="Adulto 52kg",6,IF(Atletas!F516="Adulto 60kg",7,IF(Atletas!F516="Adulto 70kg",8,IF(Atletas!F516="Adulto 80kg",9,IF(Atletas!F516="Adulto 90kg",10,IF(Atletas!F516="Adulto +90kg",11,"")))))))))))))</f>
        <v/>
      </c>
      <c r="AY520" s="46" t="str">
        <f>IF(Atletas!G516="","",IF(Atletas!B516="Feminino",100,IF(Atletas!B516="Masculino",200,""))+(IF(Atletas!G516="Changquan Mirim",1,IF(Atletas!G516="Nanquan Mirim",2,IF(Atletas!G516="Taijiquan Mirim",3,IF(Atletas!G516="Changquan Grupo C",4,IF(Atletas!G516="Nanquan Grupo C",5,IF(Atletas!G516="Taijiquan Grupo C",6,IF(Atletas!G516="Changquan Grupo B",7,IF(Atletas!G516="Nanquan Grupo B",8,IF(Atletas!G516="Taijiquan Grupo B",9,IF(Atletas!G516="Changquan Grupo A",10,IF(Atletas!G516="Nanquan Grupo A",11,IF(Atletas!G516="Taijiquan Grupo A",12,IF(Atletas!G516="Changquan Opcional",13,IF(Atletas!G516="Nanquan Opcional",14,IF(Atletas!G516="Taijiquan Opcional",15,IF(Atletas!G516="Changquan Adulto",16,IF(Atletas!G516="Nanquan Adulto",17,IF(Atletas!G516="Taijiquan Adulto",18,""))))))))))))))))))))</f>
        <v/>
      </c>
      <c r="AZ520" s="46" t="str">
        <f>IF(Atletas!H516="","",IF(Atletas!B516="Feminino",100,IF(Atletas!B516="Masculino",200,""))+(IF(Atletas!H516="Daoshu Mirim",19,IF(Atletas!H516="Jianshu Mirim",20,IF(Atletas!H516="Nandao Mirim",21,IF(Atletas!H516="Taijijian Mirim",22,IF(Atletas!H516="Daoshu Grupo C",23,IF(Atletas!H516="Jianshu Grupo C",24,IF(Atletas!H516="Nandao Grupo C",25,IF(Atletas!H516="Taijijian Grupo C",26,IF(Atletas!H516="Daoshu Grupo B",27,IF(Atletas!H516="Jianshu Grupo B",28,IF(Atletas!H516="Nandao Grupo B",29,IF(Atletas!H516="Taijijian Grupo B",30,IF(Atletas!H516="Daoshu Grupo A",31,IF(Atletas!H516="Jianshu Grupo A",32,IF(Atletas!H516="Nandao Grupo A",33,IF(Atletas!H516="Taijijian Grupo A",34,IF(Atletas!H516="Daoshu Opcional",35,IF(Atletas!H516="Jianshu Opcional",36,IF(Atletas!H516="Nandao Opcional",37,IF(Atletas!H516="Taijijian Opcional",38,IF(Atletas!H516="Daoshu Adulto",39,IF(Atletas!H516="Jianshu Adulto",40,IF(Atletas!H516="Nandao Adulto",41,IF(Atletas!H516="Taijijian Adulto",42,""))))))))))))))))))))))))))</f>
        <v/>
      </c>
      <c r="BA520" s="46" t="str">
        <f>IF(Atletas!I516="","",IF(Atletas!B516="Feminino",100,IF(Atletas!B516="Masculino",200,""))+(IF(Atletas!I516="Gunshu Mirim",43,IF(Atletas!I516="Qiangshu Mirim",44,IF(Atletas!I516="Nangun Mirim",45,IF(Atletas!I516="Gunshu Grupo C",46,IF(Atletas!I516="Qiangshu Grupo C",47,IF(Atletas!I516="Nangun Grupo C",48,IF(Atletas!I516="Gunshu Grupo B",49,IF(Atletas!I516="Qiangshu Grupo B",50,IF(Atletas!I516="Nangun Grupo B",51,IF(Atletas!I516="Gunshu Grupo A",52,IF(Atletas!I516="Qiangshu Grupo A",53,IF(Atletas!I516="Nangun Grupo A",54,IF(Atletas!I516="Gunshu Opcional",55,IF(Atletas!I516="Qiangshu Opcional",56,IF(Atletas!I516="Nangun Opcional",57,IF(Atletas!I516="Gunshu Adulto",58,IF(Atletas!I516="Qiangshu Adulto",59,IF(Atletas!I516="Nangun Adulto",60,""))))))))))))))))))))</f>
        <v/>
      </c>
      <c r="BF520" s="52" t="str">
        <f>IF(Atletas!J516="","",IF(Atletas!B516="Feminino",100,IF(Atletas!B516="Masculino",200,""))+(IF(Atletas!J516="Equipe 1 Grupo B",1,IF(Atletas!J516="Equipe 2 Grupo B",2,IF(Atletas!J516="Equipe 1 Grupo A",3,IF(Atletas!J516="Equipe 2 Grupo A",4,IF(Atletas!J516="Equipe 1 Adulto",5,IF(Atletas!J516="Equipe 2 Adulto",6,""))))))))</f>
        <v/>
      </c>
      <c r="BK520" s="52" t="str">
        <f>IF(Atletas!K516="","",IF(Atletas!W516&lt;&gt;"",10000,0)+(IF(Atletas!B516="Feminino",1000,IF(Atletas!B516="Masculino",2000,""))+IF(Atletas!K516="Choylayfut A",1,IF(Atletas!K516="Hunggar A",2,IF(Atletas!K516="Wuzuquan A",3,IF(Atletas!K516="Wingchun A",4,IF(Atletas!K516="Outra Mão de Sul A",5,IF(Atletas!K516="Choylayfut B",6,IF(Atletas!K516="Hunggar B",7,IF(Atletas!K516="Wuzuquan B",8,IF(Atletas!K516="Wingchun B",9,IF(Atletas!K516="Outra Mão de Sul B",10,IF(Atletas!K516="Choylayfut C",11,IF(Atletas!K516="Hunggar C",12,IF(Atletas!K516="Wuzuquan C",13,IF(Atletas!K516="Wingchun C",14,IF(Atletas!K516="Outra Mão de Sul C",15,IF(Atletas!K516="Choylayfut D",16,IF(Atletas!K516="Hunggar D",17,IF(Atletas!K516="Wuzuquan D",18,IF(Atletas!K516="Wingchun D",19,IF(Atletas!K516="Outra Mão de Sul D",20,IF(Atletas!K516="Choylayfut E",21,IF(Atletas!K516="Hunggar E",22,IF(Atletas!K516="Wuzuquan E",23,IF(Atletas!K516="Wingchun E",24,IF(Atletas!K516="Outra Mão de Sul E",25,IF(Atletas!K516="Choylayfut F",26,IF(Atletas!K516="Hunggar F",27,IF(Atletas!K516="Wuzuquan F",28,IF(Atletas!K516="Wingchun F",29,IF(Atletas!K516="Outra Mão de Sul F",30,""))))))))))))))))))))))))))))))))</f>
        <v/>
      </c>
      <c r="BL520" s="52" t="str">
        <f>IF(Atletas!L516="","",IF(Atletas!W516&lt;&gt;"",10000,0)+(IF(Atletas!B516="Feminino",1000,IF(Atletas!B516="Masculino",2000,""))+(IF(Atletas!L516="Chaquan A",101,IF(Atletas!L516="Emeiquan A",102,IF(Atletas!L516="Fanziquan A",103,IF(Atletas!L516="Huaquan A",104,IF(Atletas!L516="Hongquan A",105,IF(Atletas!L516="Paochui A",106,IF(Atletas!L516="Piguaquan A",107,IF(Atletas!L516="Shaolinquan A",108,IF(Atletas!L516="Tanglangquan A",109,IF(Atletas!L516="Yinzhaophai A",110,IF(Atletas!L516="Tongbeiquan A",111,IF(Atletas!L516="Wudangquan A",112,IF(Atletas!L516="Outros Estilos A",113,IF(Atletas!L516="Chaquan B",114,IF(Atletas!L516="Emeiquan B",115,IF(Atletas!L516="Fanziquan B",116,IF(Atletas!L516="Huaquan B",117,IF(Atletas!L516="Hongquan B",118,IF(Atletas!L516="Paochui B",119,IF(Atletas!L516="Piguaquan B",120,IF(Atletas!L516="Shaolinquan B",121,IF(Atletas!L516="Tanglangquan B",122,IF(Atletas!L516="Yinzhaophai B",123,IF(Atletas!L516="Tongbeiquan B",124,IF(Atletas!L516="Wudangquan B",125,IF(Atletas!L516="Outros Estilos B",126,IF(Atletas!L516="Chaquan C",127,IF(Atletas!L516="Emeiquan C",128,IF(Atletas!L516="Fanziquan C",129,IF(Atletas!L516="Huaquan C",130,IF(Atletas!L516="Hongquan C",131,IF(Atletas!L516="Paochui C",132,IF(Atletas!L516="Piguaquan C",133,IF(Atletas!L516="Shaolinquan C",134,IF(Atletas!L516="Tanglangquan C",135,IF(Atletas!L516="Yinzhaophai C",136,IF(Atletas!L516="Tongbeiquan C",137,IF(Atletas!L516="Wudangquan C",138,IF(Atletas!L516="Outros Estilos C",139,0))))))))))))))))))))))))))))))))))))))))))</f>
        <v/>
      </c>
      <c r="BM520" s="52" t="str">
        <f>IF(Atletas!L516="","",IF(Atletas!W516&lt;&gt;"",10000,0)+(IF(Atletas!B516="Feminino",1000,IF(Atletas!B516="Masculino",2000,""))+(IF(Atletas!L516="Chaquan D",140,IF(Atletas!L516="Emeiquan D",141,IF(Atletas!L516="Fanziquan D",142,IF(Atletas!L516="Huaquan D",143,IF(Atletas!L516="Hongquan D",144,IF(Atletas!L516="Paochui D",145,IF(Atletas!L516="Piguaquan D",146,IF(Atletas!L516="Shaolinquan D",147,IF(Atletas!L516="Tanglangquan D",148,IF(Atletas!L516="Yinzhaophai D",149,IF(Atletas!L516="Tongbeiquan D",150,IF(Atletas!L516="Wudangquan D",151,IF(Atletas!L516="Outros Estilos D",152,IF(Atletas!L516="Chaquan E",153,IF(Atletas!L516="Emeiquan E",154,IF(Atletas!L516="Fanziquan E",155,IF(Atletas!L516="Huaquan E",156,IF(Atletas!L516="Hongquan E",157,IF(Atletas!L516="Paochui E",158,IF(Atletas!L516="Piguaquan E",159,IF(Atletas!L516="Shaolinquan E",160,IF(Atletas!L516="Tanglangquan E",161,IF(Atletas!L516="Yinzhaophai E",162,IF(Atletas!L516="Tongbeiquan E",163,IF(Atletas!L516="Wudangquan E",164,IF(Atletas!L516="Outros Estilos E",165,IF(Atletas!L516="Chaquan F",166,IF(Atletas!L516="Emeiquan F",167,IF(Atletas!L516="Fanziquan F",168,IF(Atletas!L516="Huaquan F",169,IF(Atletas!L516="Hongquan F",170,IF(Atletas!L516="Paochui F",171,IF(Atletas!L516="Piguaquan F",172,IF(Atletas!L516="Shaolinquan F",173,IF(Atletas!L516="Tanglangquan F",174,IF(Atletas!L516="Yinzhaophai F",175,IF(Atletas!L516="Tongbeiquan F",176,IF(Atletas!L516="Wudangquan F",177,IF(Atletas!L516="Outros Estilos F",178,0))))))))))))))))))))))))))))))))))))))))))</f>
        <v/>
      </c>
      <c r="BN520" s="52" t="str">
        <f>IF(Atletas!M516="","",IF(Atletas!W516&lt;&gt;"",10000,0)+(IF(Atletas!B516="Feminino",1000,IF(Atletas!B516="Masculino",2000,""))+(IF(Atletas!M516="Ditangquan A",201,IF(Atletas!M516="Houquan A",202,IF(Atletas!M516="Zuiquan A",203,IF(Atletas!M516="Ditangquan B",204,IF(Atletas!M516="Houquan B",205,IF(Atletas!M516="Zuiquan B",206,IF(Atletas!M516="Ditangquan C",207,IF(Atletas!M516="Houquan C",208,IF(Atletas!M516="Zuiquan C",209,IF(Atletas!M516="Ditangquan D",210,IF(Atletas!M516="Houquan D",211,IF(Atletas!M516="Zuiquan D",212,IF(Atletas!M516="Ditangquan E",213,IF(Atletas!M516="Houquan E",214,IF(Atletas!M516="Zuiquan E",215,IF(Atletas!M516="Ditangquan F",216,IF(Atletas!M516="Houquan F",217,IF(Atletas!M516="Zuiquan F",218,"")))))))))))))))))))))</f>
        <v/>
      </c>
      <c r="BO520" s="52" t="str">
        <f>IF(Atletas!N516="","",IF(Atletas!W516&lt;&gt;"",10000,0)+IF(Atletas!B516="Feminino",1000,IF(Atletas!B516="Masculino",2000,""))+IF(Atletas!N516="Yang A",301,IF(Atletas!N516="Chen A",30,IF(Atletas!N516="Sun A",303,IF(Atletas!N516="Wu A",304,IF(Atletas!N516="Wu-Hao A",305,IF(Atletas!N516="Outro Taijiquan A",306,IF(Atletas!N516="Yang B",307,IF(Atletas!N516="Chen B",308,IF(Atletas!N516="Sun B",309,IF(Atletas!N516="Wu B",310,IF(Atletas!N516="Wu-Hao B",311,IF(Atletas!N516="Outro Taijiquan B",312,IF(Atletas!N516="Yang C",313,IF(Atletas!N516="Chen C",314,IF(Atletas!N516="Sun C",315,IF(Atletas!N516="Wu C",316,IF(Atletas!N516="Wu-Hao C",317,IF(Atletas!N516="Outro Taijiquan C",318,IF(Atletas!N516="Yang D",319,IF(Atletas!N516="Chen D",320,IF(Atletas!N516="Sun D",321,IF(Atletas!N516="Wu D",322,IF(Atletas!N516="Wu-Hao D",323,IF(Atletas!N516="Outro Taijiquan D",324,IF(Atletas!N516="Yang E",325,IF(Atletas!N516="Chen E",326,IF(Atletas!N516="Sun E",327,IF(Atletas!N516="Wu E",328,IF(Atletas!N516="Wu-Hao E",329,IF(Atletas!N516="Outro Taijiquan E",330,IF(Atletas!N516="Yang F",331,IF(Atletas!N516="Chen F",332,IF(Atletas!N516="Sun F",333,IF(Atletas!N516="Wu F",334,IF(Atletas!N516="Wu-Hao F",335,IF(Atletas!N516="Outro Taijiquan F",336,"")))))))))))))))))))))))))))))))))))))</f>
        <v/>
      </c>
      <c r="BP520" s="52" t="str">
        <f>IF(Atletas!O516="","",IF(Atletas!W516&lt;&gt;"",10000,0)+IF(Atletas!B516="Feminino",1000,IF(Atletas!B516="Masculino",2000,""))+IF(OR(Atletas!O516="Yang 26 A",Atletas!O516="Yang 40 A"),401,IF(OR(Atletas!O516="Chen 25 A",Atletas!O516="Chen 36 A",Atletas!O516="Chen 56 A"),402,IF(Atletas!O516="Sun 73 A",403,IF(Atletas!O516="Wu 45 A",404,IF(Atletas!O516="Wu-Hao 46 A",405,IF(OR(Atletas!O516="Taijiquan 16 A",Atletas!O516="Taijiquan 24 A",Atletas!O516="Taijiquan 32 A",Atletas!O516="Taijiquan 42 A"),406,IF(OR(Atletas!O516="Yang 26 B",Atletas!O516="Yang 40 B"),407,IF(OR(Atletas!O516="Chen 25 B",Atletas!O516="Chen 36 B",Atletas!O516="Chen 56 B"),408,IF(Atletas!O516="Sun 73 B",409,IF(Atletas!O516="Wu 45 B",410,IF(Atletas!O516="Wu-Hao 46 B",411,IF(OR(Atletas!O516="Taijiquan 16 B",Atletas!O516="Taijiquan 24 B",Atletas!O516="Taijiquan 32 B",Atletas!O516="Taijiquan 42 B"),412,IF(OR(Atletas!O516="Yang 26 C",Atletas!O516="Yang 40 C"),413,IF(OR(Atletas!O516="Chen 25 C",Atletas!O516="Chen 36 C",Atletas!O516="Chen 56 C"),414,IF(Atletas!O516="Sun 73 C",415,IF(Atletas!O516="Wu 45 C",416,IF(Atletas!O516="Wu-Hao 46 C",417,IF(OR(Atletas!O516="Taijiquan 16 C",Atletas!O516="Taijiquan 24 C",Atletas!O516="Taijiquan 32 C",Atletas!O516="Taijiquan 42 C"),418,0)))))))))))))))))))</f>
        <v/>
      </c>
      <c r="BQ520" s="52" t="str">
        <f>IF(Atletas!O516="","",IF(Atletas!W516&lt;&gt;"",10000,0)+IF(Atletas!B516="Feminino",1000,IF(Atletas!B516="Masculino",2000,""))+IF(OR(Atletas!O516="Yang 26 D",Atletas!O516="Yang 40 D"),419,IF(OR(Atletas!O516="Chen 25 D",Atletas!O516="Chen 36 D",Atletas!O516="Chen 56 D"),420,IF(Atletas!O516="Sun 73 D",421,IF(Atletas!O516="Wu 45 D",422,IF(Atletas!O516="Wu-Hao 46 D",423,IF(OR(Atletas!O516="Taijiquan 16 D",Atletas!O516="Taijiquan 24 D",Atletas!O516="Taijiquan 32 D",Atletas!O516="Taijiquan 42 D"),424,IF(OR(Atletas!O516="Yang 26 E",Atletas!O516="Yang 40 E"),425,IF(OR(Atletas!O516="Chen 25 E",Atletas!O516="Chen 36 E",Atletas!O516="Chen 56 E"),426,IF(Atletas!O516="Sun 73 E",427,IF(Atletas!O516="Wu 45 E",428,IF(Atletas!O516="Wu-Hao 46 E",429,IF(OR(Atletas!O516="Taijiquan 16 E",Atletas!O516="Taijiquan 24 E",Atletas!O516="Taijiquan 32 E",Atletas!O516="Taijiquan 42 E"),430,IF(OR(Atletas!O516="Yang 26 F",Atletas!O516="Yang 40 F"),431,IF(OR(Atletas!O516="Chen 25 F",Atletas!O516="Chen 36 F",Atletas!O516="Chen 56 F"),432,IF(Atletas!O516="Sun 73 F",433,IF(Atletas!O516="Wu 45 F",434,IF(Atletas!O516="Wu-Hao 46 F",435,IF(OR(Atletas!O516="Taijiquan 16 F",Atletas!O516="Taijiquan 24 F",Atletas!O516="Taijiquan 32 F",Atletas!O516="Taijiquan 42 F"),436,0)))))))))))))))))))</f>
        <v/>
      </c>
      <c r="BR520" s="52" t="str">
        <f>IF(Atletas!P516="","",IF(Atletas!W516&lt;&gt;"",10000,0)+IF(Atletas!B516="Feminino",1000,IF(Atletas!B516="Masculino",2000,""))+IF(Atletas!P516="Xingyiquan A",501,IF(Atletas!P516="Baguazhang A",502,IF(Atletas!P516="Outro Estilo Interno A",503,IF(Atletas!P516="Xingyiquan B",504,IF(Atletas!P516="Baguazhang B",505,IF(Atletas!P516="Outro Estilo Interno B",506,IF(Atletas!P516="Xingyiquan C",507,IF(Atletas!P516="Baguazhang C",508,IF(Atletas!P516="Outro Estilo Interno C",509,IF(Atletas!P516="Xingyiquan D",510,IF(Atletas!P516="Baguazhang D",511,IF(Atletas!P516="Outro Estilo Interno D",512,IF(Atletas!P516="Xingyiquan E",513,IF(Atletas!P516="Baguazhang E",514,IF(Atletas!P516="Outro Estilo Interno E",515,IF(Atletas!P516="Xingyiquan F",516,IF(Atletas!P516="Baguazhang F",517,IF(Atletas!P516="Outro Estilo Interno F",518, "")))))))))))))))))))</f>
        <v/>
      </c>
      <c r="BS520" s="52" t="str">
        <f>IF(Atletas!Q516="","",IF(Atletas!W516&lt;&gt;"",10000,0)+IF(Atletas!B516="Feminino",1000,IF(Atletas!B516="Masculino",2000,""))+IF(Atletas!Q516="Dao A",601,IF(Atletas!Q516="Jian A",602,IF(Atletas!Q516="Bishou A",603,IF(Atletas!Q516="Shan A",604,IF(Atletas!Q516="Outra Arma Curta A",605,IF(Atletas!Q516="Dao B",606,IF(Atletas!Q516="Jian B",607,IF(Atletas!Q516="Bishou B",608,IF(Atletas!Q516="Shan B",609,IF(Atletas!Q516="Outra Arma Curta B",610,IF(Atletas!Q516="Dao C",611,IF(Atletas!Q516="Jian C",612,IF(Atletas!Q516="Bishou C",613,IF(Atletas!Q516="Shan C",614,IF(Atletas!Q516="Outra Arma Curta C",615,IF(Atletas!Q516="Dao D",616,IF(Atletas!Q516="Jian D",617,IF(Atletas!Q516="Bishou D",618,IF(Atletas!Q516="Shan D",619,IF(Atletas!Q516="Outra Arma Curta D",620,IF(Atletas!Q516="Dao E",621,IF(Atletas!Q516="Jian E",622,IF(Atletas!Q516="Bishou E",623,IF(Atletas!Q516="Shan E",624,IF(Atletas!Q516="Outra Arma Curta E",625,IF(Atletas!Q516="Dao F",626,IF(Atletas!Q516="Jian F",627,IF(Atletas!Q516="Bishou F",628,IF(Atletas!Q516="Shan F",629,IF(Atletas!Q516="Outra Arma Curta F",630, "")))))))))))))))))))))))))))))))</f>
        <v/>
      </c>
      <c r="BT520" s="52" t="str">
        <f>IF(Atletas!R516="","",IF(Atletas!W516&lt;&gt;"",10000,0)+IF(Atletas!B516="Feminino",1000,IF(Atletas!B516="Masculino",2000,""))+IF(Atletas!R516="Gun A",701,IF(Atletas!R516="Qiang A",702,IF(Atletas!R516="Pudao / Guandao A",703,IF(Atletas!R516="Outra Arma Longa A",704,IF(Atletas!R516="Gun B",705,IF(Atletas!R516="Qiang B",706,IF(Atletas!R516="Pudao / Guandao B",707,IF(Atletas!R516="Outra Arma Longa B",708,IF(Atletas!R516="Gun C",709,IF(Atletas!R516="Qiang C",710,IF(Atletas!R516="Pudao / Guandao C",711,IF(Atletas!R516="Outra Arma Longa C",712,IF(Atletas!R516="Gun D",713,IF(Atletas!R516="Qiang D",714,IF(Atletas!R516="Pudao / Guandao D",715,IF(Atletas!R516="Outra Arma Longa D",716,IF(Atletas!R516="Gun E",717,IF(Atletas!R516="Qiang E",718,IF(Atletas!R516="Pudao / Guandao E",719,IF(Atletas!R516="Outra Arma Longa E",720,IF(Atletas!R516="Gun F",721,IF(Atletas!R516="Qiang F",722,IF(Atletas!R516="Pudao / Guandao F",723,IF(Atletas!R516="Outra Arma Longa F",724,"")))))))))))))))))))))))))</f>
        <v/>
      </c>
      <c r="BU520" s="52" t="str">
        <f>IF(Atletas!S516="","",IF(Atletas!W516&lt;&gt;"",10000,0)+IF(Atletas!B516="Feminino",1000,IF(Atletas!B516="Masculino",2000,""))+IF(Atletas!S516="Arma Dupla A",801,IF(Atletas!S516="Arma Maleável A",802,IF(Atletas!S516="Arma Dupla B",803,IF(Atletas!S516="Arma Maleável B",804,IF(Atletas!S516="Arma Dupla C",805,IF(Atletas!S516="Arma Maleável C",806,IF(Atletas!S516="Arma Dupla D",807,IF(Atletas!S516="Arma Maleável D",808,IF(Atletas!S516="Arma Dupla E",809,IF(Atletas!S516="Arma Maleável E",810,IF(Atletas!S516="Arma Dupla F",811,IF(Atletas!S516="Arma Maleável F",812, "")))))))))))))</f>
        <v/>
      </c>
      <c r="BV520" s="52" t="str">
        <f>IF(Atletas!T516="","",IF(Atletas!W516&lt;&gt;"",10000,0)+IF(Atletas!B516="Feminino",1000,IF(Atletas!B516="Masculino",2000,""))+IF(Atletas!T516="Taijijian Yang A",901,IF(Atletas!T516="Taijijian Chen A",902,IF(Atletas!T516="Taijijian Sun A",903,IF(Atletas!T516="Taijijian Wu A",904,IF(Atletas!T516="Taijijian Wu-Hao A",905,IF(Atletas!T516="Taijijian 32 A",906,IF(Atletas!T516="Taijijian 42 A",907,IF(Atletas!T516="Taijijian Yang B",908,IF(Atletas!T516="Taijijian Chen B",909,IF(Atletas!T516="Taijijian Sun B",910,IF(Atletas!T516="Taijijian Wu B",911,IF(Atletas!T516="Taijijian Wu-Hao B",912,IF(Atletas!T516="Taijijian 32 B",913,IF(Atletas!T516="Taijijian 42 B",914,IF(Atletas!T516="Taijijian Yang C",915,IF(Atletas!T516="Taijijian Chen C",916,IF(Atletas!T516="Taijijian Sun C",917,IF(Atletas!T516="Taijijian Wu C",918,IF(Atletas!T516="Taijijian Wu-Hao C",919,IF(Atletas!T516="Taijijian 32 C",920,IF(Atletas!T516="Taijijian 42 C",921,IF(Atletas!T516="Taijijian Yang D",922,IF(Atletas!T516="Taijijian Chen D",923,IF(Atletas!T516="Taijijian Sun D",924,IF(Atletas!T516="Taijijian Wu D",925,IF(Atletas!T516="Taijijian Wu-Hao D",926,IF(Atletas!T516="Taijijian 32 D",927,IF(Atletas!T516="Taijijian 42 D",928,IF(Atletas!T516="Taijijian Yang E",929,IF(Atletas!T516="Taijijian Chen E",930,IF(Atletas!T516="Taijijian Sun E",931,IF(Atletas!T516="Taijijian Wu E",932,IF(Atletas!T516="Taijijian Wu-Hao E",933,IF(Atletas!T516="Taijijian 32 E",934,IF(Atletas!T516="Taijijian 42 E",935,IF(Atletas!T516="Taijijian Yang F",936,IF(Atletas!T516="Taijijian Chen F",937,IF(Atletas!T516="Taijijian Sun F",938,IF(Atletas!T516="Taijijian Wu F",939,IF(Atletas!T516="Taijijian Wu-Hao F",940,IF(Atletas!T516="Taijijian 32 F",941,IF(Atletas!T516="Taijijian 42 F",942,"")))))))))))))))))))))))))))))))))))))))))))</f>
        <v/>
      </c>
      <c r="BW520" s="52" t="str">
        <f>IF(Atletas!U516="","",IF(Atletas!W516&lt;&gt;"",10000,0)+IF(Atletas!B516="Feminino",1000,IF(Atletas!B516="Masculino",2000,""))+IF(Atletas!T516="Taijijian 42 F",942,IF(Atletas!U516="Taijidao A",943,IF(Atletas!U516="Taijishan A",944,IF(Atletas!U516="Taijiqiang A",945,IF(Atletas!U516="Taijidao B",946,IF(Atletas!U516="Taijishan B",947,IF(Atletas!U516="Taijiqiang B",948,IF(Atletas!U516="Taijidao C",949,IF(Atletas!U516="Taijishan C",950,IF(Atletas!U516="Taijiqiang C",951,IF(Atletas!U516="Taijidao D",952,IF(Atletas!U516="Taijishan D",953,IF(Atletas!U516="Taijiqiang D",954,IF(Atletas!U516="Taijidao E",955,IF(Atletas!U516="Taijishan E",956,IF(Atletas!U516="Taijiqiang E",957,IF(Atletas!U516="Taijidao F",958,IF(Atletas!U516="Taijishan F",959,IF(Atletas!U516="Taijiqiang F",960))))))))))))))))))))</f>
        <v/>
      </c>
      <c r="CF520" s="52" t="str">
        <f xml:space="preserve"> IF(Atletas!V516="","",IF(Atletas!V516="Duilian de Mãos AB - Equipe 1",1,IF(Atletas!V516="Duilian de Mãos AB - Equipe 2",2,IF(Atletas!V516="Duilian de Armas AB - Equipe 1",3,IF(Atletas!V516="Duilian de Armas AB - Equipe 2",4,IF(Atletas!V516="Duilian de Tuishou - Equipe 1",5,IF(Atletas!V516="Duilian de Tuishou - Equipe 2",6,IF(Atletas!V516="Grupo Externo AB - Equipe 1",7,IF(Atletas!V516="Grupo Externo AB - Equipe 2",8,IF(Atletas!V516="Grupo Interno AB - Equipe 1",9,IF(Atletas!V516="Grupo Interno AB - Equipe 2",10,IF(Atletas!V516="Duilian de Mãos CD - Equipe 1",11,IF(Atletas!V516="Duilian de Mãos CD - Equipe 2",12,IF(Atletas!V516="Duilian de Armas CD - Equipe 1",13,IF(Atletas!V516="Duilian de Armas CD - Equipe 2",14,IF(Atletas!V516="Duilian de Tuishou - Equipe 1",15,IF(Atletas!V516="Duilian de Tuishou - Equipe 2",16,IF(Atletas!V516="Grupo Externo CDEF - Equipe 1",17,IF(Atletas!V516="Grupo Externo CDEF - Equipe 2",18,IF(Atletas!V516="Grupo Interno CDEF - Equipe 1",19,IF(Atletas!V516="Grupo Interno CDEF - Equipe 2",20,IF(Atletas!V516="Duilian de Mãos EF - Equipe 1",21,IF(Atletas!V516="Duilian de Mãos EF - Equipe 2",22,IF(Atletas!V516="Duilian de Armas EF - Equipe 1",23,IF(Atletas!V516="Duilian de Armas EF - Equipe 2",24,IF(Atletas!V516="Duilian de Tuishou - Equipe 1",25,IF(Atletas!V516="Duilian de Tuishou - Equipe 2",26,"")))))))))))))))))))))))))))</f>
        <v/>
      </c>
    </row>
    <row r="521" spans="36:84">
      <c r="AJ521" s="46" t="str">
        <f>IF(Atletas!D517="","",IF(Atletas!B517="Feminino",100,IF(Atletas!B517="Masculino",200,""))+(IF(Atletas!D517="Infantil 39kg",1,IF(Atletas!D517="Infantil 42kg",2,IF(Atletas!D517="Infantil 45kg",3,IF(Atletas!D517="Infantil 48kg",4,IF(Atletas!D517="Infantil 52kg",5,IF(Atletas!D517="Infantil 56kg",6,IF(Atletas!D517="Infantil 60kg",7,IF(Atletas!D517="Juvenil 48kg",8,IF(Atletas!D517="Juvenil 52kg",9,IF(Atletas!D517="Juvenil 56kg",10,IF(Atletas!D517="Juvenil 60kg",11,IF(Atletas!D517="Juvenil 65kg",12,IF(Atletas!D517="Juvenil 70kg",13,IF(Atletas!D517="Juvenil 75kg",14,IF(Atletas!D517="Juvenil 80kg",15,IF(Atletas!D517="Adulto 48kg",16,IF(Atletas!D517="Adulto 52kg",17,IF(Atletas!D517="Adulto 56kg",18,IF(Atletas!D517="Adulto 60kg",19,IF(Atletas!D517="Adulto 65kg",20,IF(Atletas!D517="Adulto 70kg",21,IF(Atletas!D517="Adulto 75kg",22,IF(Atletas!D517="Adulto 80kg",23,IF(Atletas!D517="Adulto 85kg",24,IF(Atletas!D517="Adulto 90kg",25,IF(Atletas!D517="Adulto +90kg",26,""))))))))))))))))))))))))))))</f>
        <v/>
      </c>
      <c r="AO521" s="10" t="str">
        <f>IF(Atletas!E517="","",IF(Atletas!B517="Feminino",100,IF(Atletas!B517="Masculino",200,""))+(IF(Atletas!E517="Juvenil 44kg",1,IF(Atletas!E517="Juvenil 48kg",2,IF(Atletas!E517="Juvenil 52kg",3,IF(Atletas!E517="Juvenil 56kg",4,IF(Atletas!E517="Juvenil 60kg",5,IF(Atletas!E517="Juvenil 65kg",6,IF(Atletas!E517="Juvenil 70kg",7,IF(Atletas!E517="Juvenil 75kg",8,IF(Atletas!E517="Juvenil 82kg",9,IF(Atletas!E517="Juvenil 90kg",10,IF(Atletas!E517="Juvenil 100kg",11,IF(Atletas!E517="Adulto 48kg",12,IF(Atletas!E517="Adulto 52kg",13,IF(Atletas!E517="Adulto 56kg",14,IF(Atletas!E517="Adulto 60kg",15,IF(Atletas!E517="Adulto 65kg",16,IF(Atletas!E517="Adulto 70kg",17,IF(Atletas!E517="Adulto 75kg",18,IF(Atletas!E517="Adulto 82kg",19,IF(Atletas!E517="Adulto 90kg",20,IF(Atletas!E517="Adulto 100kg",21,IF(Atletas!E517="Adulto +100kg",22,""))))))))))))))))))))))))</f>
        <v/>
      </c>
      <c r="AT521" s="10" t="str">
        <f>IF(Atletas!F517="","",IF(Atletas!B517="Feminino",100,IF(Atletas!B517="Masculino",200,""))+(IF(Atletas!F517="Adulto 48kg",1,IF(Atletas!F517="Adulto 56kg",2,IF(Atletas!F517="Adulto 65kg",3,IF(Atletas!F517="Adulto 75kg",4,IF(Atletas!F517="Adulto +75kg",5,IF(Atletas!F517="Adulto 52kg",6,IF(Atletas!F517="Adulto 60kg",7,IF(Atletas!F517="Adulto 70kg",8,IF(Atletas!F517="Adulto 80kg",9,IF(Atletas!F517="Adulto 90kg",10,IF(Atletas!F517="Adulto +90kg",11,"")))))))))))))</f>
        <v/>
      </c>
      <c r="AY521" s="46" t="str">
        <f>IF(Atletas!G517="","",IF(Atletas!B517="Feminino",100,IF(Atletas!B517="Masculino",200,""))+(IF(Atletas!G517="Changquan Mirim",1,IF(Atletas!G517="Nanquan Mirim",2,IF(Atletas!G517="Taijiquan Mirim",3,IF(Atletas!G517="Changquan Grupo C",4,IF(Atletas!G517="Nanquan Grupo C",5,IF(Atletas!G517="Taijiquan Grupo C",6,IF(Atletas!G517="Changquan Grupo B",7,IF(Atletas!G517="Nanquan Grupo B",8,IF(Atletas!G517="Taijiquan Grupo B",9,IF(Atletas!G517="Changquan Grupo A",10,IF(Atletas!G517="Nanquan Grupo A",11,IF(Atletas!G517="Taijiquan Grupo A",12,IF(Atletas!G517="Changquan Opcional",13,IF(Atletas!G517="Nanquan Opcional",14,IF(Atletas!G517="Taijiquan Opcional",15,IF(Atletas!G517="Changquan Adulto",16,IF(Atletas!G517="Nanquan Adulto",17,IF(Atletas!G517="Taijiquan Adulto",18,""))))))))))))))))))))</f>
        <v/>
      </c>
      <c r="AZ521" s="46" t="str">
        <f>IF(Atletas!H517="","",IF(Atletas!B517="Feminino",100,IF(Atletas!B517="Masculino",200,""))+(IF(Atletas!H517="Daoshu Mirim",19,IF(Atletas!H517="Jianshu Mirim",20,IF(Atletas!H517="Nandao Mirim",21,IF(Atletas!H517="Taijijian Mirim",22,IF(Atletas!H517="Daoshu Grupo C",23,IF(Atletas!H517="Jianshu Grupo C",24,IF(Atletas!H517="Nandao Grupo C",25,IF(Atletas!H517="Taijijian Grupo C",26,IF(Atletas!H517="Daoshu Grupo B",27,IF(Atletas!H517="Jianshu Grupo B",28,IF(Atletas!H517="Nandao Grupo B",29,IF(Atletas!H517="Taijijian Grupo B",30,IF(Atletas!H517="Daoshu Grupo A",31,IF(Atletas!H517="Jianshu Grupo A",32,IF(Atletas!H517="Nandao Grupo A",33,IF(Atletas!H517="Taijijian Grupo A",34,IF(Atletas!H517="Daoshu Opcional",35,IF(Atletas!H517="Jianshu Opcional",36,IF(Atletas!H517="Nandao Opcional",37,IF(Atletas!H517="Taijijian Opcional",38,IF(Atletas!H517="Daoshu Adulto",39,IF(Atletas!H517="Jianshu Adulto",40,IF(Atletas!H517="Nandao Adulto",41,IF(Atletas!H517="Taijijian Adulto",42,""))))))))))))))))))))))))))</f>
        <v/>
      </c>
      <c r="BA521" s="46" t="str">
        <f>IF(Atletas!I517="","",IF(Atletas!B517="Feminino",100,IF(Atletas!B517="Masculino",200,""))+(IF(Atletas!I517="Gunshu Mirim",43,IF(Atletas!I517="Qiangshu Mirim",44,IF(Atletas!I517="Nangun Mirim",45,IF(Atletas!I517="Gunshu Grupo C",46,IF(Atletas!I517="Qiangshu Grupo C",47,IF(Atletas!I517="Nangun Grupo C",48,IF(Atletas!I517="Gunshu Grupo B",49,IF(Atletas!I517="Qiangshu Grupo B",50,IF(Atletas!I517="Nangun Grupo B",51,IF(Atletas!I517="Gunshu Grupo A",52,IF(Atletas!I517="Qiangshu Grupo A",53,IF(Atletas!I517="Nangun Grupo A",54,IF(Atletas!I517="Gunshu Opcional",55,IF(Atletas!I517="Qiangshu Opcional",56,IF(Atletas!I517="Nangun Opcional",57,IF(Atletas!I517="Gunshu Adulto",58,IF(Atletas!I517="Qiangshu Adulto",59,IF(Atletas!I517="Nangun Adulto",60,""))))))))))))))))))))</f>
        <v/>
      </c>
      <c r="BF521" s="52" t="str">
        <f>IF(Atletas!J517="","",IF(Atletas!B517="Feminino",100,IF(Atletas!B517="Masculino",200,""))+(IF(Atletas!J517="Equipe 1 Grupo B",1,IF(Atletas!J517="Equipe 2 Grupo B",2,IF(Atletas!J517="Equipe 1 Grupo A",3,IF(Atletas!J517="Equipe 2 Grupo A",4,IF(Atletas!J517="Equipe 1 Adulto",5,IF(Atletas!J517="Equipe 2 Adulto",6,""))))))))</f>
        <v/>
      </c>
      <c r="BK521" s="52" t="str">
        <f>IF(Atletas!K517="","",IF(Atletas!W517&lt;&gt;"",10000,0)+(IF(Atletas!B517="Feminino",1000,IF(Atletas!B517="Masculino",2000,""))+IF(Atletas!K517="Choylayfut A",1,IF(Atletas!K517="Hunggar A",2,IF(Atletas!K517="Wuzuquan A",3,IF(Atletas!K517="Wingchun A",4,IF(Atletas!K517="Outra Mão de Sul A",5,IF(Atletas!K517="Choylayfut B",6,IF(Atletas!K517="Hunggar B",7,IF(Atletas!K517="Wuzuquan B",8,IF(Atletas!K517="Wingchun B",9,IF(Atletas!K517="Outra Mão de Sul B",10,IF(Atletas!K517="Choylayfut C",11,IF(Atletas!K517="Hunggar C",12,IF(Atletas!K517="Wuzuquan C",13,IF(Atletas!K517="Wingchun C",14,IF(Atletas!K517="Outra Mão de Sul C",15,IF(Atletas!K517="Choylayfut D",16,IF(Atletas!K517="Hunggar D",17,IF(Atletas!K517="Wuzuquan D",18,IF(Atletas!K517="Wingchun D",19,IF(Atletas!K517="Outra Mão de Sul D",20,IF(Atletas!K517="Choylayfut E",21,IF(Atletas!K517="Hunggar E",22,IF(Atletas!K517="Wuzuquan E",23,IF(Atletas!K517="Wingchun E",24,IF(Atletas!K517="Outra Mão de Sul E",25,IF(Atletas!K517="Choylayfut F",26,IF(Atletas!K517="Hunggar F",27,IF(Atletas!K517="Wuzuquan F",28,IF(Atletas!K517="Wingchun F",29,IF(Atletas!K517="Outra Mão de Sul F",30,""))))))))))))))))))))))))))))))))</f>
        <v/>
      </c>
      <c r="BL521" s="52" t="str">
        <f>IF(Atletas!L517="","",IF(Atletas!W517&lt;&gt;"",10000,0)+(IF(Atletas!B517="Feminino",1000,IF(Atletas!B517="Masculino",2000,""))+(IF(Atletas!L517="Chaquan A",101,IF(Atletas!L517="Emeiquan A",102,IF(Atletas!L517="Fanziquan A",103,IF(Atletas!L517="Huaquan A",104,IF(Atletas!L517="Hongquan A",105,IF(Atletas!L517="Paochui A",106,IF(Atletas!L517="Piguaquan A",107,IF(Atletas!L517="Shaolinquan A",108,IF(Atletas!L517="Tanglangquan A",109,IF(Atletas!L517="Yinzhaophai A",110,IF(Atletas!L517="Tongbeiquan A",111,IF(Atletas!L517="Wudangquan A",112,IF(Atletas!L517="Outros Estilos A",113,IF(Atletas!L517="Chaquan B",114,IF(Atletas!L517="Emeiquan B",115,IF(Atletas!L517="Fanziquan B",116,IF(Atletas!L517="Huaquan B",117,IF(Atletas!L517="Hongquan B",118,IF(Atletas!L517="Paochui B",119,IF(Atletas!L517="Piguaquan B",120,IF(Atletas!L517="Shaolinquan B",121,IF(Atletas!L517="Tanglangquan B",122,IF(Atletas!L517="Yinzhaophai B",123,IF(Atletas!L517="Tongbeiquan B",124,IF(Atletas!L517="Wudangquan B",125,IF(Atletas!L517="Outros Estilos B",126,IF(Atletas!L517="Chaquan C",127,IF(Atletas!L517="Emeiquan C",128,IF(Atletas!L517="Fanziquan C",129,IF(Atletas!L517="Huaquan C",130,IF(Atletas!L517="Hongquan C",131,IF(Atletas!L517="Paochui C",132,IF(Atletas!L517="Piguaquan C",133,IF(Atletas!L517="Shaolinquan C",134,IF(Atletas!L517="Tanglangquan C",135,IF(Atletas!L517="Yinzhaophai C",136,IF(Atletas!L517="Tongbeiquan C",137,IF(Atletas!L517="Wudangquan C",138,IF(Atletas!L517="Outros Estilos C",139,0))))))))))))))))))))))))))))))))))))))))))</f>
        <v/>
      </c>
      <c r="BM521" s="52" t="str">
        <f>IF(Atletas!L517="","",IF(Atletas!W517&lt;&gt;"",10000,0)+(IF(Atletas!B517="Feminino",1000,IF(Atletas!B517="Masculino",2000,""))+(IF(Atletas!L517="Chaquan D",140,IF(Atletas!L517="Emeiquan D",141,IF(Atletas!L517="Fanziquan D",142,IF(Atletas!L517="Huaquan D",143,IF(Atletas!L517="Hongquan D",144,IF(Atletas!L517="Paochui D",145,IF(Atletas!L517="Piguaquan D",146,IF(Atletas!L517="Shaolinquan D",147,IF(Atletas!L517="Tanglangquan D",148,IF(Atletas!L517="Yinzhaophai D",149,IF(Atletas!L517="Tongbeiquan D",150,IF(Atletas!L517="Wudangquan D",151,IF(Atletas!L517="Outros Estilos D",152,IF(Atletas!L517="Chaquan E",153,IF(Atletas!L517="Emeiquan E",154,IF(Atletas!L517="Fanziquan E",155,IF(Atletas!L517="Huaquan E",156,IF(Atletas!L517="Hongquan E",157,IF(Atletas!L517="Paochui E",158,IF(Atletas!L517="Piguaquan E",159,IF(Atletas!L517="Shaolinquan E",160,IF(Atletas!L517="Tanglangquan E",161,IF(Atletas!L517="Yinzhaophai E",162,IF(Atletas!L517="Tongbeiquan E",163,IF(Atletas!L517="Wudangquan E",164,IF(Atletas!L517="Outros Estilos E",165,IF(Atletas!L517="Chaquan F",166,IF(Atletas!L517="Emeiquan F",167,IF(Atletas!L517="Fanziquan F",168,IF(Atletas!L517="Huaquan F",169,IF(Atletas!L517="Hongquan F",170,IF(Atletas!L517="Paochui F",171,IF(Atletas!L517="Piguaquan F",172,IF(Atletas!L517="Shaolinquan F",173,IF(Atletas!L517="Tanglangquan F",174,IF(Atletas!L517="Yinzhaophai F",175,IF(Atletas!L517="Tongbeiquan F",176,IF(Atletas!L517="Wudangquan F",177,IF(Atletas!L517="Outros Estilos F",178,0))))))))))))))))))))))))))))))))))))))))))</f>
        <v/>
      </c>
      <c r="BN521" s="52" t="str">
        <f>IF(Atletas!M517="","",IF(Atletas!W517&lt;&gt;"",10000,0)+(IF(Atletas!B517="Feminino",1000,IF(Atletas!B517="Masculino",2000,""))+(IF(Atletas!M517="Ditangquan A",201,IF(Atletas!M517="Houquan A",202,IF(Atletas!M517="Zuiquan A",203,IF(Atletas!M517="Ditangquan B",204,IF(Atletas!M517="Houquan B",205,IF(Atletas!M517="Zuiquan B",206,IF(Atletas!M517="Ditangquan C",207,IF(Atletas!M517="Houquan C",208,IF(Atletas!M517="Zuiquan C",209,IF(Atletas!M517="Ditangquan D",210,IF(Atletas!M517="Houquan D",211,IF(Atletas!M517="Zuiquan D",212,IF(Atletas!M517="Ditangquan E",213,IF(Atletas!M517="Houquan E",214,IF(Atletas!M517="Zuiquan E",215,IF(Atletas!M517="Ditangquan F",216,IF(Atletas!M517="Houquan F",217,IF(Atletas!M517="Zuiquan F",218,"")))))))))))))))))))))</f>
        <v/>
      </c>
      <c r="BO521" s="52" t="str">
        <f>IF(Atletas!N517="","",IF(Atletas!W517&lt;&gt;"",10000,0)+IF(Atletas!B517="Feminino",1000,IF(Atletas!B517="Masculino",2000,""))+IF(Atletas!N517="Yang A",301,IF(Atletas!N517="Chen A",30,IF(Atletas!N517="Sun A",303,IF(Atletas!N517="Wu A",304,IF(Atletas!N517="Wu-Hao A",305,IF(Atletas!N517="Outro Taijiquan A",306,IF(Atletas!N517="Yang B",307,IF(Atletas!N517="Chen B",308,IF(Atletas!N517="Sun B",309,IF(Atletas!N517="Wu B",310,IF(Atletas!N517="Wu-Hao B",311,IF(Atletas!N517="Outro Taijiquan B",312,IF(Atletas!N517="Yang C",313,IF(Atletas!N517="Chen C",314,IF(Atletas!N517="Sun C",315,IF(Atletas!N517="Wu C",316,IF(Atletas!N517="Wu-Hao C",317,IF(Atletas!N517="Outro Taijiquan C",318,IF(Atletas!N517="Yang D",319,IF(Atletas!N517="Chen D",320,IF(Atletas!N517="Sun D",321,IF(Atletas!N517="Wu D",322,IF(Atletas!N517="Wu-Hao D",323,IF(Atletas!N517="Outro Taijiquan D",324,IF(Atletas!N517="Yang E",325,IF(Atletas!N517="Chen E",326,IF(Atletas!N517="Sun E",327,IF(Atletas!N517="Wu E",328,IF(Atletas!N517="Wu-Hao E",329,IF(Atletas!N517="Outro Taijiquan E",330,IF(Atletas!N517="Yang F",331,IF(Atletas!N517="Chen F",332,IF(Atletas!N517="Sun F",333,IF(Atletas!N517="Wu F",334,IF(Atletas!N517="Wu-Hao F",335,IF(Atletas!N517="Outro Taijiquan F",336,"")))))))))))))))))))))))))))))))))))))</f>
        <v/>
      </c>
      <c r="BP521" s="52" t="str">
        <f>IF(Atletas!O517="","",IF(Atletas!W517&lt;&gt;"",10000,0)+IF(Atletas!B517="Feminino",1000,IF(Atletas!B517="Masculino",2000,""))+IF(OR(Atletas!O517="Yang 26 A",Atletas!O517="Yang 40 A"),401,IF(OR(Atletas!O517="Chen 25 A",Atletas!O517="Chen 36 A",Atletas!O517="Chen 56 A"),402,IF(Atletas!O517="Sun 73 A",403,IF(Atletas!O517="Wu 45 A",404,IF(Atletas!O517="Wu-Hao 46 A",405,IF(OR(Atletas!O517="Taijiquan 16 A",Atletas!O517="Taijiquan 24 A",Atletas!O517="Taijiquan 32 A",Atletas!O517="Taijiquan 42 A"),406,IF(OR(Atletas!O517="Yang 26 B",Atletas!O517="Yang 40 B"),407,IF(OR(Atletas!O517="Chen 25 B",Atletas!O517="Chen 36 B",Atletas!O517="Chen 56 B"),408,IF(Atletas!O517="Sun 73 B",409,IF(Atletas!O517="Wu 45 B",410,IF(Atletas!O517="Wu-Hao 46 B",411,IF(OR(Atletas!O517="Taijiquan 16 B",Atletas!O517="Taijiquan 24 B",Atletas!O517="Taijiquan 32 B",Atletas!O517="Taijiquan 42 B"),412,IF(OR(Atletas!O517="Yang 26 C",Atletas!O517="Yang 40 C"),413,IF(OR(Atletas!O517="Chen 25 C",Atletas!O517="Chen 36 C",Atletas!O517="Chen 56 C"),414,IF(Atletas!O517="Sun 73 C",415,IF(Atletas!O517="Wu 45 C",416,IF(Atletas!O517="Wu-Hao 46 C",417,IF(OR(Atletas!O517="Taijiquan 16 C",Atletas!O517="Taijiquan 24 C",Atletas!O517="Taijiquan 32 C",Atletas!O517="Taijiquan 42 C"),418,0)))))))))))))))))))</f>
        <v/>
      </c>
      <c r="BQ521" s="52" t="str">
        <f>IF(Atletas!O517="","",IF(Atletas!W517&lt;&gt;"",10000,0)+IF(Atletas!B517="Feminino",1000,IF(Atletas!B517="Masculino",2000,""))+IF(OR(Atletas!O517="Yang 26 D",Atletas!O517="Yang 40 D"),419,IF(OR(Atletas!O517="Chen 25 D",Atletas!O517="Chen 36 D",Atletas!O517="Chen 56 D"),420,IF(Atletas!O517="Sun 73 D",421,IF(Atletas!O517="Wu 45 D",422,IF(Atletas!O517="Wu-Hao 46 D",423,IF(OR(Atletas!O517="Taijiquan 16 D",Atletas!O517="Taijiquan 24 D",Atletas!O517="Taijiquan 32 D",Atletas!O517="Taijiquan 42 D"),424,IF(OR(Atletas!O517="Yang 26 E",Atletas!O517="Yang 40 E"),425,IF(OR(Atletas!O517="Chen 25 E",Atletas!O517="Chen 36 E",Atletas!O517="Chen 56 E"),426,IF(Atletas!O517="Sun 73 E",427,IF(Atletas!O517="Wu 45 E",428,IF(Atletas!O517="Wu-Hao 46 E",429,IF(OR(Atletas!O517="Taijiquan 16 E",Atletas!O517="Taijiquan 24 E",Atletas!O517="Taijiquan 32 E",Atletas!O517="Taijiquan 42 E"),430,IF(OR(Atletas!O517="Yang 26 F",Atletas!O517="Yang 40 F"),431,IF(OR(Atletas!O517="Chen 25 F",Atletas!O517="Chen 36 F",Atletas!O517="Chen 56 F"),432,IF(Atletas!O517="Sun 73 F",433,IF(Atletas!O517="Wu 45 F",434,IF(Atletas!O517="Wu-Hao 46 F",435,IF(OR(Atletas!O517="Taijiquan 16 F",Atletas!O517="Taijiquan 24 F",Atletas!O517="Taijiquan 32 F",Atletas!O517="Taijiquan 42 F"),436,0)))))))))))))))))))</f>
        <v/>
      </c>
      <c r="BR521" s="52" t="str">
        <f>IF(Atletas!P517="","",IF(Atletas!W517&lt;&gt;"",10000,0)+IF(Atletas!B517="Feminino",1000,IF(Atletas!B517="Masculino",2000,""))+IF(Atletas!P517="Xingyiquan A",501,IF(Atletas!P517="Baguazhang A",502,IF(Atletas!P517="Outro Estilo Interno A",503,IF(Atletas!P517="Xingyiquan B",504,IF(Atletas!P517="Baguazhang B",505,IF(Atletas!P517="Outro Estilo Interno B",506,IF(Atletas!P517="Xingyiquan C",507,IF(Atletas!P517="Baguazhang C",508,IF(Atletas!P517="Outro Estilo Interno C",509,IF(Atletas!P517="Xingyiquan D",510,IF(Atletas!P517="Baguazhang D",511,IF(Atletas!P517="Outro Estilo Interno D",512,IF(Atletas!P517="Xingyiquan E",513,IF(Atletas!P517="Baguazhang E",514,IF(Atletas!P517="Outro Estilo Interno E",515,IF(Atletas!P517="Xingyiquan F",516,IF(Atletas!P517="Baguazhang F",517,IF(Atletas!P517="Outro Estilo Interno F",518, "")))))))))))))))))))</f>
        <v/>
      </c>
      <c r="BS521" s="52" t="str">
        <f>IF(Atletas!Q517="","",IF(Atletas!W517&lt;&gt;"",10000,0)+IF(Atletas!B517="Feminino",1000,IF(Atletas!B517="Masculino",2000,""))+IF(Atletas!Q517="Dao A",601,IF(Atletas!Q517="Jian A",602,IF(Atletas!Q517="Bishou A",603,IF(Atletas!Q517="Shan A",604,IF(Atletas!Q517="Outra Arma Curta A",605,IF(Atletas!Q517="Dao B",606,IF(Atletas!Q517="Jian B",607,IF(Atletas!Q517="Bishou B",608,IF(Atletas!Q517="Shan B",609,IF(Atletas!Q517="Outra Arma Curta B",610,IF(Atletas!Q517="Dao C",611,IF(Atletas!Q517="Jian C",612,IF(Atletas!Q517="Bishou C",613,IF(Atletas!Q517="Shan C",614,IF(Atletas!Q517="Outra Arma Curta C",615,IF(Atletas!Q517="Dao D",616,IF(Atletas!Q517="Jian D",617,IF(Atletas!Q517="Bishou D",618,IF(Atletas!Q517="Shan D",619,IF(Atletas!Q517="Outra Arma Curta D",620,IF(Atletas!Q517="Dao E",621,IF(Atletas!Q517="Jian E",622,IF(Atletas!Q517="Bishou E",623,IF(Atletas!Q517="Shan E",624,IF(Atletas!Q517="Outra Arma Curta E",625,IF(Atletas!Q517="Dao F",626,IF(Atletas!Q517="Jian F",627,IF(Atletas!Q517="Bishou F",628,IF(Atletas!Q517="Shan F",629,IF(Atletas!Q517="Outra Arma Curta F",630, "")))))))))))))))))))))))))))))))</f>
        <v/>
      </c>
      <c r="BT521" s="52" t="str">
        <f>IF(Atletas!R517="","",IF(Atletas!W517&lt;&gt;"",10000,0)+IF(Atletas!B517="Feminino",1000,IF(Atletas!B517="Masculino",2000,""))+IF(Atletas!R517="Gun A",701,IF(Atletas!R517="Qiang A",702,IF(Atletas!R517="Pudao / Guandao A",703,IF(Atletas!R517="Outra Arma Longa A",704,IF(Atletas!R517="Gun B",705,IF(Atletas!R517="Qiang B",706,IF(Atletas!R517="Pudao / Guandao B",707,IF(Atletas!R517="Outra Arma Longa B",708,IF(Atletas!R517="Gun C",709,IF(Atletas!R517="Qiang C",710,IF(Atletas!R517="Pudao / Guandao C",711,IF(Atletas!R517="Outra Arma Longa C",712,IF(Atletas!R517="Gun D",713,IF(Atletas!R517="Qiang D",714,IF(Atletas!R517="Pudao / Guandao D",715,IF(Atletas!R517="Outra Arma Longa D",716,IF(Atletas!R517="Gun E",717,IF(Atletas!R517="Qiang E",718,IF(Atletas!R517="Pudao / Guandao E",719,IF(Atletas!R517="Outra Arma Longa E",720,IF(Atletas!R517="Gun F",721,IF(Atletas!R517="Qiang F",722,IF(Atletas!R517="Pudao / Guandao F",723,IF(Atletas!R517="Outra Arma Longa F",724,"")))))))))))))))))))))))))</f>
        <v/>
      </c>
      <c r="BU521" s="52" t="str">
        <f>IF(Atletas!S517="","",IF(Atletas!W517&lt;&gt;"",10000,0)+IF(Atletas!B517="Feminino",1000,IF(Atletas!B517="Masculino",2000,""))+IF(Atletas!S517="Arma Dupla A",801,IF(Atletas!S517="Arma Maleável A",802,IF(Atletas!S517="Arma Dupla B",803,IF(Atletas!S517="Arma Maleável B",804,IF(Atletas!S517="Arma Dupla C",805,IF(Atletas!S517="Arma Maleável C",806,IF(Atletas!S517="Arma Dupla D",807,IF(Atletas!S517="Arma Maleável D",808,IF(Atletas!S517="Arma Dupla E",809,IF(Atletas!S517="Arma Maleável E",810,IF(Atletas!S517="Arma Dupla F",811,IF(Atletas!S517="Arma Maleável F",812, "")))))))))))))</f>
        <v/>
      </c>
      <c r="BV521" s="52" t="str">
        <f>IF(Atletas!T517="","",IF(Atletas!W517&lt;&gt;"",10000,0)+IF(Atletas!B517="Feminino",1000,IF(Atletas!B517="Masculino",2000,""))+IF(Atletas!T517="Taijijian Yang A",901,IF(Atletas!T517="Taijijian Chen A",902,IF(Atletas!T517="Taijijian Sun A",903,IF(Atletas!T517="Taijijian Wu A",904,IF(Atletas!T517="Taijijian Wu-Hao A",905,IF(Atletas!T517="Taijijian 32 A",906,IF(Atletas!T517="Taijijian 42 A",907,IF(Atletas!T517="Taijijian Yang B",908,IF(Atletas!T517="Taijijian Chen B",909,IF(Atletas!T517="Taijijian Sun B",910,IF(Atletas!T517="Taijijian Wu B",911,IF(Atletas!T517="Taijijian Wu-Hao B",912,IF(Atletas!T517="Taijijian 32 B",913,IF(Atletas!T517="Taijijian 42 B",914,IF(Atletas!T517="Taijijian Yang C",915,IF(Atletas!T517="Taijijian Chen C",916,IF(Atletas!T517="Taijijian Sun C",917,IF(Atletas!T517="Taijijian Wu C",918,IF(Atletas!T517="Taijijian Wu-Hao C",919,IF(Atletas!T517="Taijijian 32 C",920,IF(Atletas!T517="Taijijian 42 C",921,IF(Atletas!T517="Taijijian Yang D",922,IF(Atletas!T517="Taijijian Chen D",923,IF(Atletas!T517="Taijijian Sun D",924,IF(Atletas!T517="Taijijian Wu D",925,IF(Atletas!T517="Taijijian Wu-Hao D",926,IF(Atletas!T517="Taijijian 32 D",927,IF(Atletas!T517="Taijijian 42 D",928,IF(Atletas!T517="Taijijian Yang E",929,IF(Atletas!T517="Taijijian Chen E",930,IF(Atletas!T517="Taijijian Sun E",931,IF(Atletas!T517="Taijijian Wu E",932,IF(Atletas!T517="Taijijian Wu-Hao E",933,IF(Atletas!T517="Taijijian 32 E",934,IF(Atletas!T517="Taijijian 42 E",935,IF(Atletas!T517="Taijijian Yang F",936,IF(Atletas!T517="Taijijian Chen F",937,IF(Atletas!T517="Taijijian Sun F",938,IF(Atletas!T517="Taijijian Wu F",939,IF(Atletas!T517="Taijijian Wu-Hao F",940,IF(Atletas!T517="Taijijian 32 F",941,IF(Atletas!T517="Taijijian 42 F",942,"")))))))))))))))))))))))))))))))))))))))))))</f>
        <v/>
      </c>
      <c r="BW521" s="52" t="str">
        <f>IF(Atletas!U517="","",IF(Atletas!W517&lt;&gt;"",10000,0)+IF(Atletas!B517="Feminino",1000,IF(Atletas!B517="Masculino",2000,""))+IF(Atletas!T517="Taijijian 42 F",942,IF(Atletas!U517="Taijidao A",943,IF(Atletas!U517="Taijishan A",944,IF(Atletas!U517="Taijiqiang A",945,IF(Atletas!U517="Taijidao B",946,IF(Atletas!U517="Taijishan B",947,IF(Atletas!U517="Taijiqiang B",948,IF(Atletas!U517="Taijidao C",949,IF(Atletas!U517="Taijishan C",950,IF(Atletas!U517="Taijiqiang C",951,IF(Atletas!U517="Taijidao D",952,IF(Atletas!U517="Taijishan D",953,IF(Atletas!U517="Taijiqiang D",954,IF(Atletas!U517="Taijidao E",955,IF(Atletas!U517="Taijishan E",956,IF(Atletas!U517="Taijiqiang E",957,IF(Atletas!U517="Taijidao F",958,IF(Atletas!U517="Taijishan F",959,IF(Atletas!U517="Taijiqiang F",960))))))))))))))))))))</f>
        <v/>
      </c>
      <c r="CF521" s="52" t="str">
        <f xml:space="preserve"> IF(Atletas!V517="","",IF(Atletas!V517="Duilian de Mãos AB - Equipe 1",1,IF(Atletas!V517="Duilian de Mãos AB - Equipe 2",2,IF(Atletas!V517="Duilian de Armas AB - Equipe 1",3,IF(Atletas!V517="Duilian de Armas AB - Equipe 2",4,IF(Atletas!V517="Duilian de Tuishou - Equipe 1",5,IF(Atletas!V517="Duilian de Tuishou - Equipe 2",6,IF(Atletas!V517="Grupo Externo AB - Equipe 1",7,IF(Atletas!V517="Grupo Externo AB - Equipe 2",8,IF(Atletas!V517="Grupo Interno AB - Equipe 1",9,IF(Atletas!V517="Grupo Interno AB - Equipe 2",10,IF(Atletas!V517="Duilian de Mãos CD - Equipe 1",11,IF(Atletas!V517="Duilian de Mãos CD - Equipe 2",12,IF(Atletas!V517="Duilian de Armas CD - Equipe 1",13,IF(Atletas!V517="Duilian de Armas CD - Equipe 2",14,IF(Atletas!V517="Duilian de Tuishou - Equipe 1",15,IF(Atletas!V517="Duilian de Tuishou - Equipe 2",16,IF(Atletas!V517="Grupo Externo CDEF - Equipe 1",17,IF(Atletas!V517="Grupo Externo CDEF - Equipe 2",18,IF(Atletas!V517="Grupo Interno CDEF - Equipe 1",19,IF(Atletas!V517="Grupo Interno CDEF - Equipe 2",20,IF(Atletas!V517="Duilian de Mãos EF - Equipe 1",21,IF(Atletas!V517="Duilian de Mãos EF - Equipe 2",22,IF(Atletas!V517="Duilian de Armas EF - Equipe 1",23,IF(Atletas!V517="Duilian de Armas EF - Equipe 2",24,IF(Atletas!V517="Duilian de Tuishou - Equipe 1",25,IF(Atletas!V517="Duilian de Tuishou - Equipe 2",26,"")))))))))))))))))))))))))))</f>
        <v/>
      </c>
    </row>
    <row r="522" spans="36:84">
      <c r="AJ522" s="46" t="str">
        <f>IF(Atletas!D518="","",IF(Atletas!B518="Feminino",100,IF(Atletas!B518="Masculino",200,""))+(IF(Atletas!D518="Infantil 39kg",1,IF(Atletas!D518="Infantil 42kg",2,IF(Atletas!D518="Infantil 45kg",3,IF(Atletas!D518="Infantil 48kg",4,IF(Atletas!D518="Infantil 52kg",5,IF(Atletas!D518="Infantil 56kg",6,IF(Atletas!D518="Infantil 60kg",7,IF(Atletas!D518="Juvenil 48kg",8,IF(Atletas!D518="Juvenil 52kg",9,IF(Atletas!D518="Juvenil 56kg",10,IF(Atletas!D518="Juvenil 60kg",11,IF(Atletas!D518="Juvenil 65kg",12,IF(Atletas!D518="Juvenil 70kg",13,IF(Atletas!D518="Juvenil 75kg",14,IF(Atletas!D518="Juvenil 80kg",15,IF(Atletas!D518="Adulto 48kg",16,IF(Atletas!D518="Adulto 52kg",17,IF(Atletas!D518="Adulto 56kg",18,IF(Atletas!D518="Adulto 60kg",19,IF(Atletas!D518="Adulto 65kg",20,IF(Atletas!D518="Adulto 70kg",21,IF(Atletas!D518="Adulto 75kg",22,IF(Atletas!D518="Adulto 80kg",23,IF(Atletas!D518="Adulto 85kg",24,IF(Atletas!D518="Adulto 90kg",25,IF(Atletas!D518="Adulto +90kg",26,""))))))))))))))))))))))))))))</f>
        <v/>
      </c>
      <c r="AO522" s="10" t="str">
        <f>IF(Atletas!E518="","",IF(Atletas!B518="Feminino",100,IF(Atletas!B518="Masculino",200,""))+(IF(Atletas!E518="Juvenil 44kg",1,IF(Atletas!E518="Juvenil 48kg",2,IF(Atletas!E518="Juvenil 52kg",3,IF(Atletas!E518="Juvenil 56kg",4,IF(Atletas!E518="Juvenil 60kg",5,IF(Atletas!E518="Juvenil 65kg",6,IF(Atletas!E518="Juvenil 70kg",7,IF(Atletas!E518="Juvenil 75kg",8,IF(Atletas!E518="Juvenil 82kg",9,IF(Atletas!E518="Juvenil 90kg",10,IF(Atletas!E518="Juvenil 100kg",11,IF(Atletas!E518="Adulto 48kg",12,IF(Atletas!E518="Adulto 52kg",13,IF(Atletas!E518="Adulto 56kg",14,IF(Atletas!E518="Adulto 60kg",15,IF(Atletas!E518="Adulto 65kg",16,IF(Atletas!E518="Adulto 70kg",17,IF(Atletas!E518="Adulto 75kg",18,IF(Atletas!E518="Adulto 82kg",19,IF(Atletas!E518="Adulto 90kg",20,IF(Atletas!E518="Adulto 100kg",21,IF(Atletas!E518="Adulto +100kg",22,""))))))))))))))))))))))))</f>
        <v/>
      </c>
      <c r="AT522" s="10" t="str">
        <f>IF(Atletas!F518="","",IF(Atletas!B518="Feminino",100,IF(Atletas!B518="Masculino",200,""))+(IF(Atletas!F518="Adulto 48kg",1,IF(Atletas!F518="Adulto 56kg",2,IF(Atletas!F518="Adulto 65kg",3,IF(Atletas!F518="Adulto 75kg",4,IF(Atletas!F518="Adulto +75kg",5,IF(Atletas!F518="Adulto 52kg",6,IF(Atletas!F518="Adulto 60kg",7,IF(Atletas!F518="Adulto 70kg",8,IF(Atletas!F518="Adulto 80kg",9,IF(Atletas!F518="Adulto 90kg",10,IF(Atletas!F518="Adulto +90kg",11,"")))))))))))))</f>
        <v/>
      </c>
      <c r="AY522" s="46" t="str">
        <f>IF(Atletas!G518="","",IF(Atletas!B518="Feminino",100,IF(Atletas!B518="Masculino",200,""))+(IF(Atletas!G518="Changquan Mirim",1,IF(Atletas!G518="Nanquan Mirim",2,IF(Atletas!G518="Taijiquan Mirim",3,IF(Atletas!G518="Changquan Grupo C",4,IF(Atletas!G518="Nanquan Grupo C",5,IF(Atletas!G518="Taijiquan Grupo C",6,IF(Atletas!G518="Changquan Grupo B",7,IF(Atletas!G518="Nanquan Grupo B",8,IF(Atletas!G518="Taijiquan Grupo B",9,IF(Atletas!G518="Changquan Grupo A",10,IF(Atletas!G518="Nanquan Grupo A",11,IF(Atletas!G518="Taijiquan Grupo A",12,IF(Atletas!G518="Changquan Opcional",13,IF(Atletas!G518="Nanquan Opcional",14,IF(Atletas!G518="Taijiquan Opcional",15,IF(Atletas!G518="Changquan Adulto",16,IF(Atletas!G518="Nanquan Adulto",17,IF(Atletas!G518="Taijiquan Adulto",18,""))))))))))))))))))))</f>
        <v/>
      </c>
      <c r="AZ522" s="46" t="str">
        <f>IF(Atletas!H518="","",IF(Atletas!B518="Feminino",100,IF(Atletas!B518="Masculino",200,""))+(IF(Atletas!H518="Daoshu Mirim",19,IF(Atletas!H518="Jianshu Mirim",20,IF(Atletas!H518="Nandao Mirim",21,IF(Atletas!H518="Taijijian Mirim",22,IF(Atletas!H518="Daoshu Grupo C",23,IF(Atletas!H518="Jianshu Grupo C",24,IF(Atletas!H518="Nandao Grupo C",25,IF(Atletas!H518="Taijijian Grupo C",26,IF(Atletas!H518="Daoshu Grupo B",27,IF(Atletas!H518="Jianshu Grupo B",28,IF(Atletas!H518="Nandao Grupo B",29,IF(Atletas!H518="Taijijian Grupo B",30,IF(Atletas!H518="Daoshu Grupo A",31,IF(Atletas!H518="Jianshu Grupo A",32,IF(Atletas!H518="Nandao Grupo A",33,IF(Atletas!H518="Taijijian Grupo A",34,IF(Atletas!H518="Daoshu Opcional",35,IF(Atletas!H518="Jianshu Opcional",36,IF(Atletas!H518="Nandao Opcional",37,IF(Atletas!H518="Taijijian Opcional",38,IF(Atletas!H518="Daoshu Adulto",39,IF(Atletas!H518="Jianshu Adulto",40,IF(Atletas!H518="Nandao Adulto",41,IF(Atletas!H518="Taijijian Adulto",42,""))))))))))))))))))))))))))</f>
        <v/>
      </c>
      <c r="BA522" s="46" t="str">
        <f>IF(Atletas!I518="","",IF(Atletas!B518="Feminino",100,IF(Atletas!B518="Masculino",200,""))+(IF(Atletas!I518="Gunshu Mirim",43,IF(Atletas!I518="Qiangshu Mirim",44,IF(Atletas!I518="Nangun Mirim",45,IF(Atletas!I518="Gunshu Grupo C",46,IF(Atletas!I518="Qiangshu Grupo C",47,IF(Atletas!I518="Nangun Grupo C",48,IF(Atletas!I518="Gunshu Grupo B",49,IF(Atletas!I518="Qiangshu Grupo B",50,IF(Atletas!I518="Nangun Grupo B",51,IF(Atletas!I518="Gunshu Grupo A",52,IF(Atletas!I518="Qiangshu Grupo A",53,IF(Atletas!I518="Nangun Grupo A",54,IF(Atletas!I518="Gunshu Opcional",55,IF(Atletas!I518="Qiangshu Opcional",56,IF(Atletas!I518="Nangun Opcional",57,IF(Atletas!I518="Gunshu Adulto",58,IF(Atletas!I518="Qiangshu Adulto",59,IF(Atletas!I518="Nangun Adulto",60,""))))))))))))))))))))</f>
        <v/>
      </c>
      <c r="BF522" s="52" t="str">
        <f>IF(Atletas!J518="","",IF(Atletas!B518="Feminino",100,IF(Atletas!B518="Masculino",200,""))+(IF(Atletas!J518="Equipe 1 Grupo B",1,IF(Atletas!J518="Equipe 2 Grupo B",2,IF(Atletas!J518="Equipe 1 Grupo A",3,IF(Atletas!J518="Equipe 2 Grupo A",4,IF(Atletas!J518="Equipe 1 Adulto",5,IF(Atletas!J518="Equipe 2 Adulto",6,""))))))))</f>
        <v/>
      </c>
      <c r="BK522" s="52" t="str">
        <f>IF(Atletas!K518="","",IF(Atletas!W518&lt;&gt;"",10000,0)+(IF(Atletas!B518="Feminino",1000,IF(Atletas!B518="Masculino",2000,""))+IF(Atletas!K518="Choylayfut A",1,IF(Atletas!K518="Hunggar A",2,IF(Atletas!K518="Wuzuquan A",3,IF(Atletas!K518="Wingchun A",4,IF(Atletas!K518="Outra Mão de Sul A",5,IF(Atletas!K518="Choylayfut B",6,IF(Atletas!K518="Hunggar B",7,IF(Atletas!K518="Wuzuquan B",8,IF(Atletas!K518="Wingchun B",9,IF(Atletas!K518="Outra Mão de Sul B",10,IF(Atletas!K518="Choylayfut C",11,IF(Atletas!K518="Hunggar C",12,IF(Atletas!K518="Wuzuquan C",13,IF(Atletas!K518="Wingchun C",14,IF(Atletas!K518="Outra Mão de Sul C",15,IF(Atletas!K518="Choylayfut D",16,IF(Atletas!K518="Hunggar D",17,IF(Atletas!K518="Wuzuquan D",18,IF(Atletas!K518="Wingchun D",19,IF(Atletas!K518="Outra Mão de Sul D",20,IF(Atletas!K518="Choylayfut E",21,IF(Atletas!K518="Hunggar E",22,IF(Atletas!K518="Wuzuquan E",23,IF(Atletas!K518="Wingchun E",24,IF(Atletas!K518="Outra Mão de Sul E",25,IF(Atletas!K518="Choylayfut F",26,IF(Atletas!K518="Hunggar F",27,IF(Atletas!K518="Wuzuquan F",28,IF(Atletas!K518="Wingchun F",29,IF(Atletas!K518="Outra Mão de Sul F",30,""))))))))))))))))))))))))))))))))</f>
        <v/>
      </c>
      <c r="BL522" s="52" t="str">
        <f>IF(Atletas!L518="","",IF(Atletas!W518&lt;&gt;"",10000,0)+(IF(Atletas!B518="Feminino",1000,IF(Atletas!B518="Masculino",2000,""))+(IF(Atletas!L518="Chaquan A",101,IF(Atletas!L518="Emeiquan A",102,IF(Atletas!L518="Fanziquan A",103,IF(Atletas!L518="Huaquan A",104,IF(Atletas!L518="Hongquan A",105,IF(Atletas!L518="Paochui A",106,IF(Atletas!L518="Piguaquan A",107,IF(Atletas!L518="Shaolinquan A",108,IF(Atletas!L518="Tanglangquan A",109,IF(Atletas!L518="Yinzhaophai A",110,IF(Atletas!L518="Tongbeiquan A",111,IF(Atletas!L518="Wudangquan A",112,IF(Atletas!L518="Outros Estilos A",113,IF(Atletas!L518="Chaquan B",114,IF(Atletas!L518="Emeiquan B",115,IF(Atletas!L518="Fanziquan B",116,IF(Atletas!L518="Huaquan B",117,IF(Atletas!L518="Hongquan B",118,IF(Atletas!L518="Paochui B",119,IF(Atletas!L518="Piguaquan B",120,IF(Atletas!L518="Shaolinquan B",121,IF(Atletas!L518="Tanglangquan B",122,IF(Atletas!L518="Yinzhaophai B",123,IF(Atletas!L518="Tongbeiquan B",124,IF(Atletas!L518="Wudangquan B",125,IF(Atletas!L518="Outros Estilos B",126,IF(Atletas!L518="Chaquan C",127,IF(Atletas!L518="Emeiquan C",128,IF(Atletas!L518="Fanziquan C",129,IF(Atletas!L518="Huaquan C",130,IF(Atletas!L518="Hongquan C",131,IF(Atletas!L518="Paochui C",132,IF(Atletas!L518="Piguaquan C",133,IF(Atletas!L518="Shaolinquan C",134,IF(Atletas!L518="Tanglangquan C",135,IF(Atletas!L518="Yinzhaophai C",136,IF(Atletas!L518="Tongbeiquan C",137,IF(Atletas!L518="Wudangquan C",138,IF(Atletas!L518="Outros Estilos C",139,0))))))))))))))))))))))))))))))))))))))))))</f>
        <v/>
      </c>
      <c r="BM522" s="52" t="str">
        <f>IF(Atletas!L518="","",IF(Atletas!W518&lt;&gt;"",10000,0)+(IF(Atletas!B518="Feminino",1000,IF(Atletas!B518="Masculino",2000,""))+(IF(Atletas!L518="Chaquan D",140,IF(Atletas!L518="Emeiquan D",141,IF(Atletas!L518="Fanziquan D",142,IF(Atletas!L518="Huaquan D",143,IF(Atletas!L518="Hongquan D",144,IF(Atletas!L518="Paochui D",145,IF(Atletas!L518="Piguaquan D",146,IF(Atletas!L518="Shaolinquan D",147,IF(Atletas!L518="Tanglangquan D",148,IF(Atletas!L518="Yinzhaophai D",149,IF(Atletas!L518="Tongbeiquan D",150,IF(Atletas!L518="Wudangquan D",151,IF(Atletas!L518="Outros Estilos D",152,IF(Atletas!L518="Chaquan E",153,IF(Atletas!L518="Emeiquan E",154,IF(Atletas!L518="Fanziquan E",155,IF(Atletas!L518="Huaquan E",156,IF(Atletas!L518="Hongquan E",157,IF(Atletas!L518="Paochui E",158,IF(Atletas!L518="Piguaquan E",159,IF(Atletas!L518="Shaolinquan E",160,IF(Atletas!L518="Tanglangquan E",161,IF(Atletas!L518="Yinzhaophai E",162,IF(Atletas!L518="Tongbeiquan E",163,IF(Atletas!L518="Wudangquan E",164,IF(Atletas!L518="Outros Estilos E",165,IF(Atletas!L518="Chaquan F",166,IF(Atletas!L518="Emeiquan F",167,IF(Atletas!L518="Fanziquan F",168,IF(Atletas!L518="Huaquan F",169,IF(Atletas!L518="Hongquan F",170,IF(Atletas!L518="Paochui F",171,IF(Atletas!L518="Piguaquan F",172,IF(Atletas!L518="Shaolinquan F",173,IF(Atletas!L518="Tanglangquan F",174,IF(Atletas!L518="Yinzhaophai F",175,IF(Atletas!L518="Tongbeiquan F",176,IF(Atletas!L518="Wudangquan F",177,IF(Atletas!L518="Outros Estilos F",178,0))))))))))))))))))))))))))))))))))))))))))</f>
        <v/>
      </c>
      <c r="BN522" s="52" t="str">
        <f>IF(Atletas!M518="","",IF(Atletas!W518&lt;&gt;"",10000,0)+(IF(Atletas!B518="Feminino",1000,IF(Atletas!B518="Masculino",2000,""))+(IF(Atletas!M518="Ditangquan A",201,IF(Atletas!M518="Houquan A",202,IF(Atletas!M518="Zuiquan A",203,IF(Atletas!M518="Ditangquan B",204,IF(Atletas!M518="Houquan B",205,IF(Atletas!M518="Zuiquan B",206,IF(Atletas!M518="Ditangquan C",207,IF(Atletas!M518="Houquan C",208,IF(Atletas!M518="Zuiquan C",209,IF(Atletas!M518="Ditangquan D",210,IF(Atletas!M518="Houquan D",211,IF(Atletas!M518="Zuiquan D",212,IF(Atletas!M518="Ditangquan E",213,IF(Atletas!M518="Houquan E",214,IF(Atletas!M518="Zuiquan E",215,IF(Atletas!M518="Ditangquan F",216,IF(Atletas!M518="Houquan F",217,IF(Atletas!M518="Zuiquan F",218,"")))))))))))))))))))))</f>
        <v/>
      </c>
      <c r="BO522" s="52" t="str">
        <f>IF(Atletas!N518="","",IF(Atletas!W518&lt;&gt;"",10000,0)+IF(Atletas!B518="Feminino",1000,IF(Atletas!B518="Masculino",2000,""))+IF(Atletas!N518="Yang A",301,IF(Atletas!N518="Chen A",30,IF(Atletas!N518="Sun A",303,IF(Atletas!N518="Wu A",304,IF(Atletas!N518="Wu-Hao A",305,IF(Atletas!N518="Outro Taijiquan A",306,IF(Atletas!N518="Yang B",307,IF(Atletas!N518="Chen B",308,IF(Atletas!N518="Sun B",309,IF(Atletas!N518="Wu B",310,IF(Atletas!N518="Wu-Hao B",311,IF(Atletas!N518="Outro Taijiquan B",312,IF(Atletas!N518="Yang C",313,IF(Atletas!N518="Chen C",314,IF(Atletas!N518="Sun C",315,IF(Atletas!N518="Wu C",316,IF(Atletas!N518="Wu-Hao C",317,IF(Atletas!N518="Outro Taijiquan C",318,IF(Atletas!N518="Yang D",319,IF(Atletas!N518="Chen D",320,IF(Atletas!N518="Sun D",321,IF(Atletas!N518="Wu D",322,IF(Atletas!N518="Wu-Hao D",323,IF(Atletas!N518="Outro Taijiquan D",324,IF(Atletas!N518="Yang E",325,IF(Atletas!N518="Chen E",326,IF(Atletas!N518="Sun E",327,IF(Atletas!N518="Wu E",328,IF(Atletas!N518="Wu-Hao E",329,IF(Atletas!N518="Outro Taijiquan E",330,IF(Atletas!N518="Yang F",331,IF(Atletas!N518="Chen F",332,IF(Atletas!N518="Sun F",333,IF(Atletas!N518="Wu F",334,IF(Atletas!N518="Wu-Hao F",335,IF(Atletas!N518="Outro Taijiquan F",336,"")))))))))))))))))))))))))))))))))))))</f>
        <v/>
      </c>
      <c r="BP522" s="52" t="str">
        <f>IF(Atletas!O518="","",IF(Atletas!W518&lt;&gt;"",10000,0)+IF(Atletas!B518="Feminino",1000,IF(Atletas!B518="Masculino",2000,""))+IF(OR(Atletas!O518="Yang 26 A",Atletas!O518="Yang 40 A"),401,IF(OR(Atletas!O518="Chen 25 A",Atletas!O518="Chen 36 A",Atletas!O518="Chen 56 A"),402,IF(Atletas!O518="Sun 73 A",403,IF(Atletas!O518="Wu 45 A",404,IF(Atletas!O518="Wu-Hao 46 A",405,IF(OR(Atletas!O518="Taijiquan 16 A",Atletas!O518="Taijiquan 24 A",Atletas!O518="Taijiquan 32 A",Atletas!O518="Taijiquan 42 A"),406,IF(OR(Atletas!O518="Yang 26 B",Atletas!O518="Yang 40 B"),407,IF(OR(Atletas!O518="Chen 25 B",Atletas!O518="Chen 36 B",Atletas!O518="Chen 56 B"),408,IF(Atletas!O518="Sun 73 B",409,IF(Atletas!O518="Wu 45 B",410,IF(Atletas!O518="Wu-Hao 46 B",411,IF(OR(Atletas!O518="Taijiquan 16 B",Atletas!O518="Taijiquan 24 B",Atletas!O518="Taijiquan 32 B",Atletas!O518="Taijiquan 42 B"),412,IF(OR(Atletas!O518="Yang 26 C",Atletas!O518="Yang 40 C"),413,IF(OR(Atletas!O518="Chen 25 C",Atletas!O518="Chen 36 C",Atletas!O518="Chen 56 C"),414,IF(Atletas!O518="Sun 73 C",415,IF(Atletas!O518="Wu 45 C",416,IF(Atletas!O518="Wu-Hao 46 C",417,IF(OR(Atletas!O518="Taijiquan 16 C",Atletas!O518="Taijiquan 24 C",Atletas!O518="Taijiquan 32 C",Atletas!O518="Taijiquan 42 C"),418,0)))))))))))))))))))</f>
        <v/>
      </c>
      <c r="BQ522" s="52" t="str">
        <f>IF(Atletas!O518="","",IF(Atletas!W518&lt;&gt;"",10000,0)+IF(Atletas!B518="Feminino",1000,IF(Atletas!B518="Masculino",2000,""))+IF(OR(Atletas!O518="Yang 26 D",Atletas!O518="Yang 40 D"),419,IF(OR(Atletas!O518="Chen 25 D",Atletas!O518="Chen 36 D",Atletas!O518="Chen 56 D"),420,IF(Atletas!O518="Sun 73 D",421,IF(Atletas!O518="Wu 45 D",422,IF(Atletas!O518="Wu-Hao 46 D",423,IF(OR(Atletas!O518="Taijiquan 16 D",Atletas!O518="Taijiquan 24 D",Atletas!O518="Taijiquan 32 D",Atletas!O518="Taijiquan 42 D"),424,IF(OR(Atletas!O518="Yang 26 E",Atletas!O518="Yang 40 E"),425,IF(OR(Atletas!O518="Chen 25 E",Atletas!O518="Chen 36 E",Atletas!O518="Chen 56 E"),426,IF(Atletas!O518="Sun 73 E",427,IF(Atletas!O518="Wu 45 E",428,IF(Atletas!O518="Wu-Hao 46 E",429,IF(OR(Atletas!O518="Taijiquan 16 E",Atletas!O518="Taijiquan 24 E",Atletas!O518="Taijiquan 32 E",Atletas!O518="Taijiquan 42 E"),430,IF(OR(Atletas!O518="Yang 26 F",Atletas!O518="Yang 40 F"),431,IF(OR(Atletas!O518="Chen 25 F",Atletas!O518="Chen 36 F",Atletas!O518="Chen 56 F"),432,IF(Atletas!O518="Sun 73 F",433,IF(Atletas!O518="Wu 45 F",434,IF(Atletas!O518="Wu-Hao 46 F",435,IF(OR(Atletas!O518="Taijiquan 16 F",Atletas!O518="Taijiquan 24 F",Atletas!O518="Taijiquan 32 F",Atletas!O518="Taijiquan 42 F"),436,0)))))))))))))))))))</f>
        <v/>
      </c>
      <c r="BR522" s="52" t="str">
        <f>IF(Atletas!P518="","",IF(Atletas!W518&lt;&gt;"",10000,0)+IF(Atletas!B518="Feminino",1000,IF(Atletas!B518="Masculino",2000,""))+IF(Atletas!P518="Xingyiquan A",501,IF(Atletas!P518="Baguazhang A",502,IF(Atletas!P518="Outro Estilo Interno A",503,IF(Atletas!P518="Xingyiquan B",504,IF(Atletas!P518="Baguazhang B",505,IF(Atletas!P518="Outro Estilo Interno B",506,IF(Atletas!P518="Xingyiquan C",507,IF(Atletas!P518="Baguazhang C",508,IF(Atletas!P518="Outro Estilo Interno C",509,IF(Atletas!P518="Xingyiquan D",510,IF(Atletas!P518="Baguazhang D",511,IF(Atletas!P518="Outro Estilo Interno D",512,IF(Atletas!P518="Xingyiquan E",513,IF(Atletas!P518="Baguazhang E",514,IF(Atletas!P518="Outro Estilo Interno E",515,IF(Atletas!P518="Xingyiquan F",516,IF(Atletas!P518="Baguazhang F",517,IF(Atletas!P518="Outro Estilo Interno F",518, "")))))))))))))))))))</f>
        <v/>
      </c>
      <c r="BS522" s="52" t="str">
        <f>IF(Atletas!Q518="","",IF(Atletas!W518&lt;&gt;"",10000,0)+IF(Atletas!B518="Feminino",1000,IF(Atletas!B518="Masculino",2000,""))+IF(Atletas!Q518="Dao A",601,IF(Atletas!Q518="Jian A",602,IF(Atletas!Q518="Bishou A",603,IF(Atletas!Q518="Shan A",604,IF(Atletas!Q518="Outra Arma Curta A",605,IF(Atletas!Q518="Dao B",606,IF(Atletas!Q518="Jian B",607,IF(Atletas!Q518="Bishou B",608,IF(Atletas!Q518="Shan B",609,IF(Atletas!Q518="Outra Arma Curta B",610,IF(Atletas!Q518="Dao C",611,IF(Atletas!Q518="Jian C",612,IF(Atletas!Q518="Bishou C",613,IF(Atletas!Q518="Shan C",614,IF(Atletas!Q518="Outra Arma Curta C",615,IF(Atletas!Q518="Dao D",616,IF(Atletas!Q518="Jian D",617,IF(Atletas!Q518="Bishou D",618,IF(Atletas!Q518="Shan D",619,IF(Atletas!Q518="Outra Arma Curta D",620,IF(Atletas!Q518="Dao E",621,IF(Atletas!Q518="Jian E",622,IF(Atletas!Q518="Bishou E",623,IF(Atletas!Q518="Shan E",624,IF(Atletas!Q518="Outra Arma Curta E",625,IF(Atletas!Q518="Dao F",626,IF(Atletas!Q518="Jian F",627,IF(Atletas!Q518="Bishou F",628,IF(Atletas!Q518="Shan F",629,IF(Atletas!Q518="Outra Arma Curta F",630, "")))))))))))))))))))))))))))))))</f>
        <v/>
      </c>
      <c r="BT522" s="52" t="str">
        <f>IF(Atletas!R518="","",IF(Atletas!W518&lt;&gt;"",10000,0)+IF(Atletas!B518="Feminino",1000,IF(Atletas!B518="Masculino",2000,""))+IF(Atletas!R518="Gun A",701,IF(Atletas!R518="Qiang A",702,IF(Atletas!R518="Pudao / Guandao A",703,IF(Atletas!R518="Outra Arma Longa A",704,IF(Atletas!R518="Gun B",705,IF(Atletas!R518="Qiang B",706,IF(Atletas!R518="Pudao / Guandao B",707,IF(Atletas!R518="Outra Arma Longa B",708,IF(Atletas!R518="Gun C",709,IF(Atletas!R518="Qiang C",710,IF(Atletas!R518="Pudao / Guandao C",711,IF(Atletas!R518="Outra Arma Longa C",712,IF(Atletas!R518="Gun D",713,IF(Atletas!R518="Qiang D",714,IF(Atletas!R518="Pudao / Guandao D",715,IF(Atletas!R518="Outra Arma Longa D",716,IF(Atletas!R518="Gun E",717,IF(Atletas!R518="Qiang E",718,IF(Atletas!R518="Pudao / Guandao E",719,IF(Atletas!R518="Outra Arma Longa E",720,IF(Atletas!R518="Gun F",721,IF(Atletas!R518="Qiang F",722,IF(Atletas!R518="Pudao / Guandao F",723,IF(Atletas!R518="Outra Arma Longa F",724,"")))))))))))))))))))))))))</f>
        <v/>
      </c>
      <c r="BU522" s="52" t="str">
        <f>IF(Atletas!S518="","",IF(Atletas!W518&lt;&gt;"",10000,0)+IF(Atletas!B518="Feminino",1000,IF(Atletas!B518="Masculino",2000,""))+IF(Atletas!S518="Arma Dupla A",801,IF(Atletas!S518="Arma Maleável A",802,IF(Atletas!S518="Arma Dupla B",803,IF(Atletas!S518="Arma Maleável B",804,IF(Atletas!S518="Arma Dupla C",805,IF(Atletas!S518="Arma Maleável C",806,IF(Atletas!S518="Arma Dupla D",807,IF(Atletas!S518="Arma Maleável D",808,IF(Atletas!S518="Arma Dupla E",809,IF(Atletas!S518="Arma Maleável E",810,IF(Atletas!S518="Arma Dupla F",811,IF(Atletas!S518="Arma Maleável F",812, "")))))))))))))</f>
        <v/>
      </c>
      <c r="BV522" s="52" t="str">
        <f>IF(Atletas!T518="","",IF(Atletas!W518&lt;&gt;"",10000,0)+IF(Atletas!B518="Feminino",1000,IF(Atletas!B518="Masculino",2000,""))+IF(Atletas!T518="Taijijian Yang A",901,IF(Atletas!T518="Taijijian Chen A",902,IF(Atletas!T518="Taijijian Sun A",903,IF(Atletas!T518="Taijijian Wu A",904,IF(Atletas!T518="Taijijian Wu-Hao A",905,IF(Atletas!T518="Taijijian 32 A",906,IF(Atletas!T518="Taijijian 42 A",907,IF(Atletas!T518="Taijijian Yang B",908,IF(Atletas!T518="Taijijian Chen B",909,IF(Atletas!T518="Taijijian Sun B",910,IF(Atletas!T518="Taijijian Wu B",911,IF(Atletas!T518="Taijijian Wu-Hao B",912,IF(Atletas!T518="Taijijian 32 B",913,IF(Atletas!T518="Taijijian 42 B",914,IF(Atletas!T518="Taijijian Yang C",915,IF(Atletas!T518="Taijijian Chen C",916,IF(Atletas!T518="Taijijian Sun C",917,IF(Atletas!T518="Taijijian Wu C",918,IF(Atletas!T518="Taijijian Wu-Hao C",919,IF(Atletas!T518="Taijijian 32 C",920,IF(Atletas!T518="Taijijian 42 C",921,IF(Atletas!T518="Taijijian Yang D",922,IF(Atletas!T518="Taijijian Chen D",923,IF(Atletas!T518="Taijijian Sun D",924,IF(Atletas!T518="Taijijian Wu D",925,IF(Atletas!T518="Taijijian Wu-Hao D",926,IF(Atletas!T518="Taijijian 32 D",927,IF(Atletas!T518="Taijijian 42 D",928,IF(Atletas!T518="Taijijian Yang E",929,IF(Atletas!T518="Taijijian Chen E",930,IF(Atletas!T518="Taijijian Sun E",931,IF(Atletas!T518="Taijijian Wu E",932,IF(Atletas!T518="Taijijian Wu-Hao E",933,IF(Atletas!T518="Taijijian 32 E",934,IF(Atletas!T518="Taijijian 42 E",935,IF(Atletas!T518="Taijijian Yang F",936,IF(Atletas!T518="Taijijian Chen F",937,IF(Atletas!T518="Taijijian Sun F",938,IF(Atletas!T518="Taijijian Wu F",939,IF(Atletas!T518="Taijijian Wu-Hao F",940,IF(Atletas!T518="Taijijian 32 F",941,IF(Atletas!T518="Taijijian 42 F",942,"")))))))))))))))))))))))))))))))))))))))))))</f>
        <v/>
      </c>
      <c r="BW522" s="52" t="str">
        <f>IF(Atletas!U518="","",IF(Atletas!W518&lt;&gt;"",10000,0)+IF(Atletas!B518="Feminino",1000,IF(Atletas!B518="Masculino",2000,""))+IF(Atletas!T518="Taijijian 42 F",942,IF(Atletas!U518="Taijidao A",943,IF(Atletas!U518="Taijishan A",944,IF(Atletas!U518="Taijiqiang A",945,IF(Atletas!U518="Taijidao B",946,IF(Atletas!U518="Taijishan B",947,IF(Atletas!U518="Taijiqiang B",948,IF(Atletas!U518="Taijidao C",949,IF(Atletas!U518="Taijishan C",950,IF(Atletas!U518="Taijiqiang C",951,IF(Atletas!U518="Taijidao D",952,IF(Atletas!U518="Taijishan D",953,IF(Atletas!U518="Taijiqiang D",954,IF(Atletas!U518="Taijidao E",955,IF(Atletas!U518="Taijishan E",956,IF(Atletas!U518="Taijiqiang E",957,IF(Atletas!U518="Taijidao F",958,IF(Atletas!U518="Taijishan F",959,IF(Atletas!U518="Taijiqiang F",960))))))))))))))))))))</f>
        <v/>
      </c>
      <c r="CF522" s="52" t="str">
        <f xml:space="preserve"> IF(Atletas!V518="","",IF(Atletas!V518="Duilian de Mãos AB - Equipe 1",1,IF(Atletas!V518="Duilian de Mãos AB - Equipe 2",2,IF(Atletas!V518="Duilian de Armas AB - Equipe 1",3,IF(Atletas!V518="Duilian de Armas AB - Equipe 2",4,IF(Atletas!V518="Duilian de Tuishou - Equipe 1",5,IF(Atletas!V518="Duilian de Tuishou - Equipe 2",6,IF(Atletas!V518="Grupo Externo AB - Equipe 1",7,IF(Atletas!V518="Grupo Externo AB - Equipe 2",8,IF(Atletas!V518="Grupo Interno AB - Equipe 1",9,IF(Atletas!V518="Grupo Interno AB - Equipe 2",10,IF(Atletas!V518="Duilian de Mãos CD - Equipe 1",11,IF(Atletas!V518="Duilian de Mãos CD - Equipe 2",12,IF(Atletas!V518="Duilian de Armas CD - Equipe 1",13,IF(Atletas!V518="Duilian de Armas CD - Equipe 2",14,IF(Atletas!V518="Duilian de Tuishou - Equipe 1",15,IF(Atletas!V518="Duilian de Tuishou - Equipe 2",16,IF(Atletas!V518="Grupo Externo CDEF - Equipe 1",17,IF(Atletas!V518="Grupo Externo CDEF - Equipe 2",18,IF(Atletas!V518="Grupo Interno CDEF - Equipe 1",19,IF(Atletas!V518="Grupo Interno CDEF - Equipe 2",20,IF(Atletas!V518="Duilian de Mãos EF - Equipe 1",21,IF(Atletas!V518="Duilian de Mãos EF - Equipe 2",22,IF(Atletas!V518="Duilian de Armas EF - Equipe 1",23,IF(Atletas!V518="Duilian de Armas EF - Equipe 2",24,IF(Atletas!V518="Duilian de Tuishou - Equipe 1",25,IF(Atletas!V518="Duilian de Tuishou - Equipe 2",26,"")))))))))))))))))))))))))))</f>
        <v/>
      </c>
    </row>
    <row r="523" spans="36:84">
      <c r="AJ523" s="46" t="str">
        <f>IF(Atletas!D519="","",IF(Atletas!B519="Feminino",100,IF(Atletas!B519="Masculino",200,""))+(IF(Atletas!D519="Infantil 39kg",1,IF(Atletas!D519="Infantil 42kg",2,IF(Atletas!D519="Infantil 45kg",3,IF(Atletas!D519="Infantil 48kg",4,IF(Atletas!D519="Infantil 52kg",5,IF(Atletas!D519="Infantil 56kg",6,IF(Atletas!D519="Infantil 60kg",7,IF(Atletas!D519="Juvenil 48kg",8,IF(Atletas!D519="Juvenil 52kg",9,IF(Atletas!D519="Juvenil 56kg",10,IF(Atletas!D519="Juvenil 60kg",11,IF(Atletas!D519="Juvenil 65kg",12,IF(Atletas!D519="Juvenil 70kg",13,IF(Atletas!D519="Juvenil 75kg",14,IF(Atletas!D519="Juvenil 80kg",15,IF(Atletas!D519="Adulto 48kg",16,IF(Atletas!D519="Adulto 52kg",17,IF(Atletas!D519="Adulto 56kg",18,IF(Atletas!D519="Adulto 60kg",19,IF(Atletas!D519="Adulto 65kg",20,IF(Atletas!D519="Adulto 70kg",21,IF(Atletas!D519="Adulto 75kg",22,IF(Atletas!D519="Adulto 80kg",23,IF(Atletas!D519="Adulto 85kg",24,IF(Atletas!D519="Adulto 90kg",25,IF(Atletas!D519="Adulto +90kg",26,""))))))))))))))))))))))))))))</f>
        <v/>
      </c>
      <c r="AO523" s="10" t="str">
        <f>IF(Atletas!E519="","",IF(Atletas!B519="Feminino",100,IF(Atletas!B519="Masculino",200,""))+(IF(Atletas!E519="Juvenil 44kg",1,IF(Atletas!E519="Juvenil 48kg",2,IF(Atletas!E519="Juvenil 52kg",3,IF(Atletas!E519="Juvenil 56kg",4,IF(Atletas!E519="Juvenil 60kg",5,IF(Atletas!E519="Juvenil 65kg",6,IF(Atletas!E519="Juvenil 70kg",7,IF(Atletas!E519="Juvenil 75kg",8,IF(Atletas!E519="Juvenil 82kg",9,IF(Atletas!E519="Juvenil 90kg",10,IF(Atletas!E519="Juvenil 100kg",11,IF(Atletas!E519="Adulto 48kg",12,IF(Atletas!E519="Adulto 52kg",13,IF(Atletas!E519="Adulto 56kg",14,IF(Atletas!E519="Adulto 60kg",15,IF(Atletas!E519="Adulto 65kg",16,IF(Atletas!E519="Adulto 70kg",17,IF(Atletas!E519="Adulto 75kg",18,IF(Atletas!E519="Adulto 82kg",19,IF(Atletas!E519="Adulto 90kg",20,IF(Atletas!E519="Adulto 100kg",21,IF(Atletas!E519="Adulto +100kg",22,""))))))))))))))))))))))))</f>
        <v/>
      </c>
      <c r="AT523" s="10" t="str">
        <f>IF(Atletas!F519="","",IF(Atletas!B519="Feminino",100,IF(Atletas!B519="Masculino",200,""))+(IF(Atletas!F519="Adulto 48kg",1,IF(Atletas!F519="Adulto 56kg",2,IF(Atletas!F519="Adulto 65kg",3,IF(Atletas!F519="Adulto 75kg",4,IF(Atletas!F519="Adulto +75kg",5,IF(Atletas!F519="Adulto 52kg",6,IF(Atletas!F519="Adulto 60kg",7,IF(Atletas!F519="Adulto 70kg",8,IF(Atletas!F519="Adulto 80kg",9,IF(Atletas!F519="Adulto 90kg",10,IF(Atletas!F519="Adulto +90kg",11,"")))))))))))))</f>
        <v/>
      </c>
      <c r="AY523" s="46" t="str">
        <f>IF(Atletas!G519="","",IF(Atletas!B519="Feminino",100,IF(Atletas!B519="Masculino",200,""))+(IF(Atletas!G519="Changquan Mirim",1,IF(Atletas!G519="Nanquan Mirim",2,IF(Atletas!G519="Taijiquan Mirim",3,IF(Atletas!G519="Changquan Grupo C",4,IF(Atletas!G519="Nanquan Grupo C",5,IF(Atletas!G519="Taijiquan Grupo C",6,IF(Atletas!G519="Changquan Grupo B",7,IF(Atletas!G519="Nanquan Grupo B",8,IF(Atletas!G519="Taijiquan Grupo B",9,IF(Atletas!G519="Changquan Grupo A",10,IF(Atletas!G519="Nanquan Grupo A",11,IF(Atletas!G519="Taijiquan Grupo A",12,IF(Atletas!G519="Changquan Opcional",13,IF(Atletas!G519="Nanquan Opcional",14,IF(Atletas!G519="Taijiquan Opcional",15,IF(Atletas!G519="Changquan Adulto",16,IF(Atletas!G519="Nanquan Adulto",17,IF(Atletas!G519="Taijiquan Adulto",18,""))))))))))))))))))))</f>
        <v/>
      </c>
      <c r="AZ523" s="46" t="str">
        <f>IF(Atletas!H519="","",IF(Atletas!B519="Feminino",100,IF(Atletas!B519="Masculino",200,""))+(IF(Atletas!H519="Daoshu Mirim",19,IF(Atletas!H519="Jianshu Mirim",20,IF(Atletas!H519="Nandao Mirim",21,IF(Atletas!H519="Taijijian Mirim",22,IF(Atletas!H519="Daoshu Grupo C",23,IF(Atletas!H519="Jianshu Grupo C",24,IF(Atletas!H519="Nandao Grupo C",25,IF(Atletas!H519="Taijijian Grupo C",26,IF(Atletas!H519="Daoshu Grupo B",27,IF(Atletas!H519="Jianshu Grupo B",28,IF(Atletas!H519="Nandao Grupo B",29,IF(Atletas!H519="Taijijian Grupo B",30,IF(Atletas!H519="Daoshu Grupo A",31,IF(Atletas!H519="Jianshu Grupo A",32,IF(Atletas!H519="Nandao Grupo A",33,IF(Atletas!H519="Taijijian Grupo A",34,IF(Atletas!H519="Daoshu Opcional",35,IF(Atletas!H519="Jianshu Opcional",36,IF(Atletas!H519="Nandao Opcional",37,IF(Atletas!H519="Taijijian Opcional",38,IF(Atletas!H519="Daoshu Adulto",39,IF(Atletas!H519="Jianshu Adulto",40,IF(Atletas!H519="Nandao Adulto",41,IF(Atletas!H519="Taijijian Adulto",42,""))))))))))))))))))))))))))</f>
        <v/>
      </c>
      <c r="BA523" s="46" t="str">
        <f>IF(Atletas!I519="","",IF(Atletas!B519="Feminino",100,IF(Atletas!B519="Masculino",200,""))+(IF(Atletas!I519="Gunshu Mirim",43,IF(Atletas!I519="Qiangshu Mirim",44,IF(Atletas!I519="Nangun Mirim",45,IF(Atletas!I519="Gunshu Grupo C",46,IF(Atletas!I519="Qiangshu Grupo C",47,IF(Atletas!I519="Nangun Grupo C",48,IF(Atletas!I519="Gunshu Grupo B",49,IF(Atletas!I519="Qiangshu Grupo B",50,IF(Atletas!I519="Nangun Grupo B",51,IF(Atletas!I519="Gunshu Grupo A",52,IF(Atletas!I519="Qiangshu Grupo A",53,IF(Atletas!I519="Nangun Grupo A",54,IF(Atletas!I519="Gunshu Opcional",55,IF(Atletas!I519="Qiangshu Opcional",56,IF(Atletas!I519="Nangun Opcional",57,IF(Atletas!I519="Gunshu Adulto",58,IF(Atletas!I519="Qiangshu Adulto",59,IF(Atletas!I519="Nangun Adulto",60,""))))))))))))))))))))</f>
        <v/>
      </c>
      <c r="BF523" s="52" t="str">
        <f>IF(Atletas!J519="","",IF(Atletas!B519="Feminino",100,IF(Atletas!B519="Masculino",200,""))+(IF(Atletas!J519="Equipe 1 Grupo B",1,IF(Atletas!J519="Equipe 2 Grupo B",2,IF(Atletas!J519="Equipe 1 Grupo A",3,IF(Atletas!J519="Equipe 2 Grupo A",4,IF(Atletas!J519="Equipe 1 Adulto",5,IF(Atletas!J519="Equipe 2 Adulto",6,""))))))))</f>
        <v/>
      </c>
      <c r="BK523" s="52" t="str">
        <f>IF(Atletas!K519="","",IF(Atletas!W519&lt;&gt;"",10000,0)+(IF(Atletas!B519="Feminino",1000,IF(Atletas!B519="Masculino",2000,""))+IF(Atletas!K519="Choylayfut A",1,IF(Atletas!K519="Hunggar A",2,IF(Atletas!K519="Wuzuquan A",3,IF(Atletas!K519="Wingchun A",4,IF(Atletas!K519="Outra Mão de Sul A",5,IF(Atletas!K519="Choylayfut B",6,IF(Atletas!K519="Hunggar B",7,IF(Atletas!K519="Wuzuquan B",8,IF(Atletas!K519="Wingchun B",9,IF(Atletas!K519="Outra Mão de Sul B",10,IF(Atletas!K519="Choylayfut C",11,IF(Atletas!K519="Hunggar C",12,IF(Atletas!K519="Wuzuquan C",13,IF(Atletas!K519="Wingchun C",14,IF(Atletas!K519="Outra Mão de Sul C",15,IF(Atletas!K519="Choylayfut D",16,IF(Atletas!K519="Hunggar D",17,IF(Atletas!K519="Wuzuquan D",18,IF(Atletas!K519="Wingchun D",19,IF(Atletas!K519="Outra Mão de Sul D",20,IF(Atletas!K519="Choylayfut E",21,IF(Atletas!K519="Hunggar E",22,IF(Atletas!K519="Wuzuquan E",23,IF(Atletas!K519="Wingchun E",24,IF(Atletas!K519="Outra Mão de Sul E",25,IF(Atletas!K519="Choylayfut F",26,IF(Atletas!K519="Hunggar F",27,IF(Atletas!K519="Wuzuquan F",28,IF(Atletas!K519="Wingchun F",29,IF(Atletas!K519="Outra Mão de Sul F",30,""))))))))))))))))))))))))))))))))</f>
        <v/>
      </c>
      <c r="BL523" s="52" t="str">
        <f>IF(Atletas!L519="","",IF(Atletas!W519&lt;&gt;"",10000,0)+(IF(Atletas!B519="Feminino",1000,IF(Atletas!B519="Masculino",2000,""))+(IF(Atletas!L519="Chaquan A",101,IF(Atletas!L519="Emeiquan A",102,IF(Atletas!L519="Fanziquan A",103,IF(Atletas!L519="Huaquan A",104,IF(Atletas!L519="Hongquan A",105,IF(Atletas!L519="Paochui A",106,IF(Atletas!L519="Piguaquan A",107,IF(Atletas!L519="Shaolinquan A",108,IF(Atletas!L519="Tanglangquan A",109,IF(Atletas!L519="Yinzhaophai A",110,IF(Atletas!L519="Tongbeiquan A",111,IF(Atletas!L519="Wudangquan A",112,IF(Atletas!L519="Outros Estilos A",113,IF(Atletas!L519="Chaquan B",114,IF(Atletas!L519="Emeiquan B",115,IF(Atletas!L519="Fanziquan B",116,IF(Atletas!L519="Huaquan B",117,IF(Atletas!L519="Hongquan B",118,IF(Atletas!L519="Paochui B",119,IF(Atletas!L519="Piguaquan B",120,IF(Atletas!L519="Shaolinquan B",121,IF(Atletas!L519="Tanglangquan B",122,IF(Atletas!L519="Yinzhaophai B",123,IF(Atletas!L519="Tongbeiquan B",124,IF(Atletas!L519="Wudangquan B",125,IF(Atletas!L519="Outros Estilos B",126,IF(Atletas!L519="Chaquan C",127,IF(Atletas!L519="Emeiquan C",128,IF(Atletas!L519="Fanziquan C",129,IF(Atletas!L519="Huaquan C",130,IF(Atletas!L519="Hongquan C",131,IF(Atletas!L519="Paochui C",132,IF(Atletas!L519="Piguaquan C",133,IF(Atletas!L519="Shaolinquan C",134,IF(Atletas!L519="Tanglangquan C",135,IF(Atletas!L519="Yinzhaophai C",136,IF(Atletas!L519="Tongbeiquan C",137,IF(Atletas!L519="Wudangquan C",138,IF(Atletas!L519="Outros Estilos C",139,0))))))))))))))))))))))))))))))))))))))))))</f>
        <v/>
      </c>
      <c r="BM523" s="52" t="str">
        <f>IF(Atletas!L519="","",IF(Atletas!W519&lt;&gt;"",10000,0)+(IF(Atletas!B519="Feminino",1000,IF(Atletas!B519="Masculino",2000,""))+(IF(Atletas!L519="Chaquan D",140,IF(Atletas!L519="Emeiquan D",141,IF(Atletas!L519="Fanziquan D",142,IF(Atletas!L519="Huaquan D",143,IF(Atletas!L519="Hongquan D",144,IF(Atletas!L519="Paochui D",145,IF(Atletas!L519="Piguaquan D",146,IF(Atletas!L519="Shaolinquan D",147,IF(Atletas!L519="Tanglangquan D",148,IF(Atletas!L519="Yinzhaophai D",149,IF(Atletas!L519="Tongbeiquan D",150,IF(Atletas!L519="Wudangquan D",151,IF(Atletas!L519="Outros Estilos D",152,IF(Atletas!L519="Chaquan E",153,IF(Atletas!L519="Emeiquan E",154,IF(Atletas!L519="Fanziquan E",155,IF(Atletas!L519="Huaquan E",156,IF(Atletas!L519="Hongquan E",157,IF(Atletas!L519="Paochui E",158,IF(Atletas!L519="Piguaquan E",159,IF(Atletas!L519="Shaolinquan E",160,IF(Atletas!L519="Tanglangquan E",161,IF(Atletas!L519="Yinzhaophai E",162,IF(Atletas!L519="Tongbeiquan E",163,IF(Atletas!L519="Wudangquan E",164,IF(Atletas!L519="Outros Estilos E",165,IF(Atletas!L519="Chaquan F",166,IF(Atletas!L519="Emeiquan F",167,IF(Atletas!L519="Fanziquan F",168,IF(Atletas!L519="Huaquan F",169,IF(Atletas!L519="Hongquan F",170,IF(Atletas!L519="Paochui F",171,IF(Atletas!L519="Piguaquan F",172,IF(Atletas!L519="Shaolinquan F",173,IF(Atletas!L519="Tanglangquan F",174,IF(Atletas!L519="Yinzhaophai F",175,IF(Atletas!L519="Tongbeiquan F",176,IF(Atletas!L519="Wudangquan F",177,IF(Atletas!L519="Outros Estilos F",178,0))))))))))))))))))))))))))))))))))))))))))</f>
        <v/>
      </c>
      <c r="BN523" s="52" t="str">
        <f>IF(Atletas!M519="","",IF(Atletas!W519&lt;&gt;"",10000,0)+(IF(Atletas!B519="Feminino",1000,IF(Atletas!B519="Masculino",2000,""))+(IF(Atletas!M519="Ditangquan A",201,IF(Atletas!M519="Houquan A",202,IF(Atletas!M519="Zuiquan A",203,IF(Atletas!M519="Ditangquan B",204,IF(Atletas!M519="Houquan B",205,IF(Atletas!M519="Zuiquan B",206,IF(Atletas!M519="Ditangquan C",207,IF(Atletas!M519="Houquan C",208,IF(Atletas!M519="Zuiquan C",209,IF(Atletas!M519="Ditangquan D",210,IF(Atletas!M519="Houquan D",211,IF(Atletas!M519="Zuiquan D",212,IF(Atletas!M519="Ditangquan E",213,IF(Atletas!M519="Houquan E",214,IF(Atletas!M519="Zuiquan E",215,IF(Atletas!M519="Ditangquan F",216,IF(Atletas!M519="Houquan F",217,IF(Atletas!M519="Zuiquan F",218,"")))))))))))))))))))))</f>
        <v/>
      </c>
      <c r="BO523" s="52" t="str">
        <f>IF(Atletas!N519="","",IF(Atletas!W519&lt;&gt;"",10000,0)+IF(Atletas!B519="Feminino",1000,IF(Atletas!B519="Masculino",2000,""))+IF(Atletas!N519="Yang A",301,IF(Atletas!N519="Chen A",30,IF(Atletas!N519="Sun A",303,IF(Atletas!N519="Wu A",304,IF(Atletas!N519="Wu-Hao A",305,IF(Atletas!N519="Outro Taijiquan A",306,IF(Atletas!N519="Yang B",307,IF(Atletas!N519="Chen B",308,IF(Atletas!N519="Sun B",309,IF(Atletas!N519="Wu B",310,IF(Atletas!N519="Wu-Hao B",311,IF(Atletas!N519="Outro Taijiquan B",312,IF(Atletas!N519="Yang C",313,IF(Atletas!N519="Chen C",314,IF(Atletas!N519="Sun C",315,IF(Atletas!N519="Wu C",316,IF(Atletas!N519="Wu-Hao C",317,IF(Atletas!N519="Outro Taijiquan C",318,IF(Atletas!N519="Yang D",319,IF(Atletas!N519="Chen D",320,IF(Atletas!N519="Sun D",321,IF(Atletas!N519="Wu D",322,IF(Atletas!N519="Wu-Hao D",323,IF(Atletas!N519="Outro Taijiquan D",324,IF(Atletas!N519="Yang E",325,IF(Atletas!N519="Chen E",326,IF(Atletas!N519="Sun E",327,IF(Atletas!N519="Wu E",328,IF(Atletas!N519="Wu-Hao E",329,IF(Atletas!N519="Outro Taijiquan E",330,IF(Atletas!N519="Yang F",331,IF(Atletas!N519="Chen F",332,IF(Atletas!N519="Sun F",333,IF(Atletas!N519="Wu F",334,IF(Atletas!N519="Wu-Hao F",335,IF(Atletas!N519="Outro Taijiquan F",336,"")))))))))))))))))))))))))))))))))))))</f>
        <v/>
      </c>
      <c r="BP523" s="52" t="str">
        <f>IF(Atletas!O519="","",IF(Atletas!W519&lt;&gt;"",10000,0)+IF(Atletas!B519="Feminino",1000,IF(Atletas!B519="Masculino",2000,""))+IF(OR(Atletas!O519="Yang 26 A",Atletas!O519="Yang 40 A"),401,IF(OR(Atletas!O519="Chen 25 A",Atletas!O519="Chen 36 A",Atletas!O519="Chen 56 A"),402,IF(Atletas!O519="Sun 73 A",403,IF(Atletas!O519="Wu 45 A",404,IF(Atletas!O519="Wu-Hao 46 A",405,IF(OR(Atletas!O519="Taijiquan 16 A",Atletas!O519="Taijiquan 24 A",Atletas!O519="Taijiquan 32 A",Atletas!O519="Taijiquan 42 A"),406,IF(OR(Atletas!O519="Yang 26 B",Atletas!O519="Yang 40 B"),407,IF(OR(Atletas!O519="Chen 25 B",Atletas!O519="Chen 36 B",Atletas!O519="Chen 56 B"),408,IF(Atletas!O519="Sun 73 B",409,IF(Atletas!O519="Wu 45 B",410,IF(Atletas!O519="Wu-Hao 46 B",411,IF(OR(Atletas!O519="Taijiquan 16 B",Atletas!O519="Taijiquan 24 B",Atletas!O519="Taijiquan 32 B",Atletas!O519="Taijiquan 42 B"),412,IF(OR(Atletas!O519="Yang 26 C",Atletas!O519="Yang 40 C"),413,IF(OR(Atletas!O519="Chen 25 C",Atletas!O519="Chen 36 C",Atletas!O519="Chen 56 C"),414,IF(Atletas!O519="Sun 73 C",415,IF(Atletas!O519="Wu 45 C",416,IF(Atletas!O519="Wu-Hao 46 C",417,IF(OR(Atletas!O519="Taijiquan 16 C",Atletas!O519="Taijiquan 24 C",Atletas!O519="Taijiquan 32 C",Atletas!O519="Taijiquan 42 C"),418,0)))))))))))))))))))</f>
        <v/>
      </c>
      <c r="BQ523" s="52" t="str">
        <f>IF(Atletas!O519="","",IF(Atletas!W519&lt;&gt;"",10000,0)+IF(Atletas!B519="Feminino",1000,IF(Atletas!B519="Masculino",2000,""))+IF(OR(Atletas!O519="Yang 26 D",Atletas!O519="Yang 40 D"),419,IF(OR(Atletas!O519="Chen 25 D",Atletas!O519="Chen 36 D",Atletas!O519="Chen 56 D"),420,IF(Atletas!O519="Sun 73 D",421,IF(Atletas!O519="Wu 45 D",422,IF(Atletas!O519="Wu-Hao 46 D",423,IF(OR(Atletas!O519="Taijiquan 16 D",Atletas!O519="Taijiquan 24 D",Atletas!O519="Taijiquan 32 D",Atletas!O519="Taijiquan 42 D"),424,IF(OR(Atletas!O519="Yang 26 E",Atletas!O519="Yang 40 E"),425,IF(OR(Atletas!O519="Chen 25 E",Atletas!O519="Chen 36 E",Atletas!O519="Chen 56 E"),426,IF(Atletas!O519="Sun 73 E",427,IF(Atletas!O519="Wu 45 E",428,IF(Atletas!O519="Wu-Hao 46 E",429,IF(OR(Atletas!O519="Taijiquan 16 E",Atletas!O519="Taijiquan 24 E",Atletas!O519="Taijiquan 32 E",Atletas!O519="Taijiquan 42 E"),430,IF(OR(Atletas!O519="Yang 26 F",Atletas!O519="Yang 40 F"),431,IF(OR(Atletas!O519="Chen 25 F",Atletas!O519="Chen 36 F",Atletas!O519="Chen 56 F"),432,IF(Atletas!O519="Sun 73 F",433,IF(Atletas!O519="Wu 45 F",434,IF(Atletas!O519="Wu-Hao 46 F",435,IF(OR(Atletas!O519="Taijiquan 16 F",Atletas!O519="Taijiquan 24 F",Atletas!O519="Taijiquan 32 F",Atletas!O519="Taijiquan 42 F"),436,0)))))))))))))))))))</f>
        <v/>
      </c>
      <c r="BR523" s="52" t="str">
        <f>IF(Atletas!P519="","",IF(Atletas!W519&lt;&gt;"",10000,0)+IF(Atletas!B519="Feminino",1000,IF(Atletas!B519="Masculino",2000,""))+IF(Atletas!P519="Xingyiquan A",501,IF(Atletas!P519="Baguazhang A",502,IF(Atletas!P519="Outro Estilo Interno A",503,IF(Atletas!P519="Xingyiquan B",504,IF(Atletas!P519="Baguazhang B",505,IF(Atletas!P519="Outro Estilo Interno B",506,IF(Atletas!P519="Xingyiquan C",507,IF(Atletas!P519="Baguazhang C",508,IF(Atletas!P519="Outro Estilo Interno C",509,IF(Atletas!P519="Xingyiquan D",510,IF(Atletas!P519="Baguazhang D",511,IF(Atletas!P519="Outro Estilo Interno D",512,IF(Atletas!P519="Xingyiquan E",513,IF(Atletas!P519="Baguazhang E",514,IF(Atletas!P519="Outro Estilo Interno E",515,IF(Atletas!P519="Xingyiquan F",516,IF(Atletas!P519="Baguazhang F",517,IF(Atletas!P519="Outro Estilo Interno F",518, "")))))))))))))))))))</f>
        <v/>
      </c>
      <c r="BS523" s="52" t="str">
        <f>IF(Atletas!Q519="","",IF(Atletas!W519&lt;&gt;"",10000,0)+IF(Atletas!B519="Feminino",1000,IF(Atletas!B519="Masculino",2000,""))+IF(Atletas!Q519="Dao A",601,IF(Atletas!Q519="Jian A",602,IF(Atletas!Q519="Bishou A",603,IF(Atletas!Q519="Shan A",604,IF(Atletas!Q519="Outra Arma Curta A",605,IF(Atletas!Q519="Dao B",606,IF(Atletas!Q519="Jian B",607,IF(Atletas!Q519="Bishou B",608,IF(Atletas!Q519="Shan B",609,IF(Atletas!Q519="Outra Arma Curta B",610,IF(Atletas!Q519="Dao C",611,IF(Atletas!Q519="Jian C",612,IF(Atletas!Q519="Bishou C",613,IF(Atletas!Q519="Shan C",614,IF(Atletas!Q519="Outra Arma Curta C",615,IF(Atletas!Q519="Dao D",616,IF(Atletas!Q519="Jian D",617,IF(Atletas!Q519="Bishou D",618,IF(Atletas!Q519="Shan D",619,IF(Atletas!Q519="Outra Arma Curta D",620,IF(Atletas!Q519="Dao E",621,IF(Atletas!Q519="Jian E",622,IF(Atletas!Q519="Bishou E",623,IF(Atletas!Q519="Shan E",624,IF(Atletas!Q519="Outra Arma Curta E",625,IF(Atletas!Q519="Dao F",626,IF(Atletas!Q519="Jian F",627,IF(Atletas!Q519="Bishou F",628,IF(Atletas!Q519="Shan F",629,IF(Atletas!Q519="Outra Arma Curta F",630, "")))))))))))))))))))))))))))))))</f>
        <v/>
      </c>
      <c r="BT523" s="52" t="str">
        <f>IF(Atletas!R519="","",IF(Atletas!W519&lt;&gt;"",10000,0)+IF(Atletas!B519="Feminino",1000,IF(Atletas!B519="Masculino",2000,""))+IF(Atletas!R519="Gun A",701,IF(Atletas!R519="Qiang A",702,IF(Atletas!R519="Pudao / Guandao A",703,IF(Atletas!R519="Outra Arma Longa A",704,IF(Atletas!R519="Gun B",705,IF(Atletas!R519="Qiang B",706,IF(Atletas!R519="Pudao / Guandao B",707,IF(Atletas!R519="Outra Arma Longa B",708,IF(Atletas!R519="Gun C",709,IF(Atletas!R519="Qiang C",710,IF(Atletas!R519="Pudao / Guandao C",711,IF(Atletas!R519="Outra Arma Longa C",712,IF(Atletas!R519="Gun D",713,IF(Atletas!R519="Qiang D",714,IF(Atletas!R519="Pudao / Guandao D",715,IF(Atletas!R519="Outra Arma Longa D",716,IF(Atletas!R519="Gun E",717,IF(Atletas!R519="Qiang E",718,IF(Atletas!R519="Pudao / Guandao E",719,IF(Atletas!R519="Outra Arma Longa E",720,IF(Atletas!R519="Gun F",721,IF(Atletas!R519="Qiang F",722,IF(Atletas!R519="Pudao / Guandao F",723,IF(Atletas!R519="Outra Arma Longa F",724,"")))))))))))))))))))))))))</f>
        <v/>
      </c>
      <c r="BU523" s="52" t="str">
        <f>IF(Atletas!S519="","",IF(Atletas!W519&lt;&gt;"",10000,0)+IF(Atletas!B519="Feminino",1000,IF(Atletas!B519="Masculino",2000,""))+IF(Atletas!S519="Arma Dupla A",801,IF(Atletas!S519="Arma Maleável A",802,IF(Atletas!S519="Arma Dupla B",803,IF(Atletas!S519="Arma Maleável B",804,IF(Atletas!S519="Arma Dupla C",805,IF(Atletas!S519="Arma Maleável C",806,IF(Atletas!S519="Arma Dupla D",807,IF(Atletas!S519="Arma Maleável D",808,IF(Atletas!S519="Arma Dupla E",809,IF(Atletas!S519="Arma Maleável E",810,IF(Atletas!S519="Arma Dupla F",811,IF(Atletas!S519="Arma Maleável F",812, "")))))))))))))</f>
        <v/>
      </c>
      <c r="BV523" s="52" t="str">
        <f>IF(Atletas!T519="","",IF(Atletas!W519&lt;&gt;"",10000,0)+IF(Atletas!B519="Feminino",1000,IF(Atletas!B519="Masculino",2000,""))+IF(Atletas!T519="Taijijian Yang A",901,IF(Atletas!T519="Taijijian Chen A",902,IF(Atletas!T519="Taijijian Sun A",903,IF(Atletas!T519="Taijijian Wu A",904,IF(Atletas!T519="Taijijian Wu-Hao A",905,IF(Atletas!T519="Taijijian 32 A",906,IF(Atletas!T519="Taijijian 42 A",907,IF(Atletas!T519="Taijijian Yang B",908,IF(Atletas!T519="Taijijian Chen B",909,IF(Atletas!T519="Taijijian Sun B",910,IF(Atletas!T519="Taijijian Wu B",911,IF(Atletas!T519="Taijijian Wu-Hao B",912,IF(Atletas!T519="Taijijian 32 B",913,IF(Atletas!T519="Taijijian 42 B",914,IF(Atletas!T519="Taijijian Yang C",915,IF(Atletas!T519="Taijijian Chen C",916,IF(Atletas!T519="Taijijian Sun C",917,IF(Atletas!T519="Taijijian Wu C",918,IF(Atletas!T519="Taijijian Wu-Hao C",919,IF(Atletas!T519="Taijijian 32 C",920,IF(Atletas!T519="Taijijian 42 C",921,IF(Atletas!T519="Taijijian Yang D",922,IF(Atletas!T519="Taijijian Chen D",923,IF(Atletas!T519="Taijijian Sun D",924,IF(Atletas!T519="Taijijian Wu D",925,IF(Atletas!T519="Taijijian Wu-Hao D",926,IF(Atletas!T519="Taijijian 32 D",927,IF(Atletas!T519="Taijijian 42 D",928,IF(Atletas!T519="Taijijian Yang E",929,IF(Atletas!T519="Taijijian Chen E",930,IF(Atletas!T519="Taijijian Sun E",931,IF(Atletas!T519="Taijijian Wu E",932,IF(Atletas!T519="Taijijian Wu-Hao E",933,IF(Atletas!T519="Taijijian 32 E",934,IF(Atletas!T519="Taijijian 42 E",935,IF(Atletas!T519="Taijijian Yang F",936,IF(Atletas!T519="Taijijian Chen F",937,IF(Atletas!T519="Taijijian Sun F",938,IF(Atletas!T519="Taijijian Wu F",939,IF(Atletas!T519="Taijijian Wu-Hao F",940,IF(Atletas!T519="Taijijian 32 F",941,IF(Atletas!T519="Taijijian 42 F",942,"")))))))))))))))))))))))))))))))))))))))))))</f>
        <v/>
      </c>
      <c r="BW523" s="52" t="str">
        <f>IF(Atletas!U519="","",IF(Atletas!W519&lt;&gt;"",10000,0)+IF(Atletas!B519="Feminino",1000,IF(Atletas!B519="Masculino",2000,""))+IF(Atletas!T519="Taijijian 42 F",942,IF(Atletas!U519="Taijidao A",943,IF(Atletas!U519="Taijishan A",944,IF(Atletas!U519="Taijiqiang A",945,IF(Atletas!U519="Taijidao B",946,IF(Atletas!U519="Taijishan B",947,IF(Atletas!U519="Taijiqiang B",948,IF(Atletas!U519="Taijidao C",949,IF(Atletas!U519="Taijishan C",950,IF(Atletas!U519="Taijiqiang C",951,IF(Atletas!U519="Taijidao D",952,IF(Atletas!U519="Taijishan D",953,IF(Atletas!U519="Taijiqiang D",954,IF(Atletas!U519="Taijidao E",955,IF(Atletas!U519="Taijishan E",956,IF(Atletas!U519="Taijiqiang E",957,IF(Atletas!U519="Taijidao F",958,IF(Atletas!U519="Taijishan F",959,IF(Atletas!U519="Taijiqiang F",960))))))))))))))))))))</f>
        <v/>
      </c>
      <c r="CF523" s="52" t="str">
        <f xml:space="preserve"> IF(Atletas!V519="","",IF(Atletas!V519="Duilian de Mãos AB - Equipe 1",1,IF(Atletas!V519="Duilian de Mãos AB - Equipe 2",2,IF(Atletas!V519="Duilian de Armas AB - Equipe 1",3,IF(Atletas!V519="Duilian de Armas AB - Equipe 2",4,IF(Atletas!V519="Duilian de Tuishou - Equipe 1",5,IF(Atletas!V519="Duilian de Tuishou - Equipe 2",6,IF(Atletas!V519="Grupo Externo AB - Equipe 1",7,IF(Atletas!V519="Grupo Externo AB - Equipe 2",8,IF(Atletas!V519="Grupo Interno AB - Equipe 1",9,IF(Atletas!V519="Grupo Interno AB - Equipe 2",10,IF(Atletas!V519="Duilian de Mãos CD - Equipe 1",11,IF(Atletas!V519="Duilian de Mãos CD - Equipe 2",12,IF(Atletas!V519="Duilian de Armas CD - Equipe 1",13,IF(Atletas!V519="Duilian de Armas CD - Equipe 2",14,IF(Atletas!V519="Duilian de Tuishou - Equipe 1",15,IF(Atletas!V519="Duilian de Tuishou - Equipe 2",16,IF(Atletas!V519="Grupo Externo CDEF - Equipe 1",17,IF(Atletas!V519="Grupo Externo CDEF - Equipe 2",18,IF(Atletas!V519="Grupo Interno CDEF - Equipe 1",19,IF(Atletas!V519="Grupo Interno CDEF - Equipe 2",20,IF(Atletas!V519="Duilian de Mãos EF - Equipe 1",21,IF(Atletas!V519="Duilian de Mãos EF - Equipe 2",22,IF(Atletas!V519="Duilian de Armas EF - Equipe 1",23,IF(Atletas!V519="Duilian de Armas EF - Equipe 2",24,IF(Atletas!V519="Duilian de Tuishou - Equipe 1",25,IF(Atletas!V519="Duilian de Tuishou - Equipe 2",26,"")))))))))))))))))))))))))))</f>
        <v/>
      </c>
    </row>
    <row r="524" spans="36:84">
      <c r="AJ524" s="46" t="str">
        <f>IF(Atletas!D520="","",IF(Atletas!B520="Feminino",100,IF(Atletas!B520="Masculino",200,""))+(IF(Atletas!D520="Infantil 39kg",1,IF(Atletas!D520="Infantil 42kg",2,IF(Atletas!D520="Infantil 45kg",3,IF(Atletas!D520="Infantil 48kg",4,IF(Atletas!D520="Infantil 52kg",5,IF(Atletas!D520="Infantil 56kg",6,IF(Atletas!D520="Infantil 60kg",7,IF(Atletas!D520="Juvenil 48kg",8,IF(Atletas!D520="Juvenil 52kg",9,IF(Atletas!D520="Juvenil 56kg",10,IF(Atletas!D520="Juvenil 60kg",11,IF(Atletas!D520="Juvenil 65kg",12,IF(Atletas!D520="Juvenil 70kg",13,IF(Atletas!D520="Juvenil 75kg",14,IF(Atletas!D520="Juvenil 80kg",15,IF(Atletas!D520="Adulto 48kg",16,IF(Atletas!D520="Adulto 52kg",17,IF(Atletas!D520="Adulto 56kg",18,IF(Atletas!D520="Adulto 60kg",19,IF(Atletas!D520="Adulto 65kg",20,IF(Atletas!D520="Adulto 70kg",21,IF(Atletas!D520="Adulto 75kg",22,IF(Atletas!D520="Adulto 80kg",23,IF(Atletas!D520="Adulto 85kg",24,IF(Atletas!D520="Adulto 90kg",25,IF(Atletas!D520="Adulto +90kg",26,""))))))))))))))))))))))))))))</f>
        <v/>
      </c>
      <c r="AO524" s="10" t="str">
        <f>IF(Atletas!E520="","",IF(Atletas!B520="Feminino",100,IF(Atletas!B520="Masculino",200,""))+(IF(Atletas!E520="Juvenil 44kg",1,IF(Atletas!E520="Juvenil 48kg",2,IF(Atletas!E520="Juvenil 52kg",3,IF(Atletas!E520="Juvenil 56kg",4,IF(Atletas!E520="Juvenil 60kg",5,IF(Atletas!E520="Juvenil 65kg",6,IF(Atletas!E520="Juvenil 70kg",7,IF(Atletas!E520="Juvenil 75kg",8,IF(Atletas!E520="Juvenil 82kg",9,IF(Atletas!E520="Juvenil 90kg",10,IF(Atletas!E520="Juvenil 100kg",11,IF(Atletas!E520="Adulto 48kg",12,IF(Atletas!E520="Adulto 52kg",13,IF(Atletas!E520="Adulto 56kg",14,IF(Atletas!E520="Adulto 60kg",15,IF(Atletas!E520="Adulto 65kg",16,IF(Atletas!E520="Adulto 70kg",17,IF(Atletas!E520="Adulto 75kg",18,IF(Atletas!E520="Adulto 82kg",19,IF(Atletas!E520="Adulto 90kg",20,IF(Atletas!E520="Adulto 100kg",21,IF(Atletas!E520="Adulto +100kg",22,""))))))))))))))))))))))))</f>
        <v/>
      </c>
      <c r="AT524" s="10" t="str">
        <f>IF(Atletas!F520="","",IF(Atletas!B520="Feminino",100,IF(Atletas!B520="Masculino",200,""))+(IF(Atletas!F520="Adulto 48kg",1,IF(Atletas!F520="Adulto 56kg",2,IF(Atletas!F520="Adulto 65kg",3,IF(Atletas!F520="Adulto 75kg",4,IF(Atletas!F520="Adulto +75kg",5,IF(Atletas!F520="Adulto 52kg",6,IF(Atletas!F520="Adulto 60kg",7,IF(Atletas!F520="Adulto 70kg",8,IF(Atletas!F520="Adulto 80kg",9,IF(Atletas!F520="Adulto 90kg",10,IF(Atletas!F520="Adulto +90kg",11,"")))))))))))))</f>
        <v/>
      </c>
      <c r="AY524" s="46" t="str">
        <f>IF(Atletas!G520="","",IF(Atletas!B520="Feminino",100,IF(Atletas!B520="Masculino",200,""))+(IF(Atletas!G520="Changquan Mirim",1,IF(Atletas!G520="Nanquan Mirim",2,IF(Atletas!G520="Taijiquan Mirim",3,IF(Atletas!G520="Changquan Grupo C",4,IF(Atletas!G520="Nanquan Grupo C",5,IF(Atletas!G520="Taijiquan Grupo C",6,IF(Atletas!G520="Changquan Grupo B",7,IF(Atletas!G520="Nanquan Grupo B",8,IF(Atletas!G520="Taijiquan Grupo B",9,IF(Atletas!G520="Changquan Grupo A",10,IF(Atletas!G520="Nanquan Grupo A",11,IF(Atletas!G520="Taijiquan Grupo A",12,IF(Atletas!G520="Changquan Opcional",13,IF(Atletas!G520="Nanquan Opcional",14,IF(Atletas!G520="Taijiquan Opcional",15,IF(Atletas!G520="Changquan Adulto",16,IF(Atletas!G520="Nanquan Adulto",17,IF(Atletas!G520="Taijiquan Adulto",18,""))))))))))))))))))))</f>
        <v/>
      </c>
      <c r="AZ524" s="46" t="str">
        <f>IF(Atletas!H520="","",IF(Atletas!B520="Feminino",100,IF(Atletas!B520="Masculino",200,""))+(IF(Atletas!H520="Daoshu Mirim",19,IF(Atletas!H520="Jianshu Mirim",20,IF(Atletas!H520="Nandao Mirim",21,IF(Atletas!H520="Taijijian Mirim",22,IF(Atletas!H520="Daoshu Grupo C",23,IF(Atletas!H520="Jianshu Grupo C",24,IF(Atletas!H520="Nandao Grupo C",25,IF(Atletas!H520="Taijijian Grupo C",26,IF(Atletas!H520="Daoshu Grupo B",27,IF(Atletas!H520="Jianshu Grupo B",28,IF(Atletas!H520="Nandao Grupo B",29,IF(Atletas!H520="Taijijian Grupo B",30,IF(Atletas!H520="Daoshu Grupo A",31,IF(Atletas!H520="Jianshu Grupo A",32,IF(Atletas!H520="Nandao Grupo A",33,IF(Atletas!H520="Taijijian Grupo A",34,IF(Atletas!H520="Daoshu Opcional",35,IF(Atletas!H520="Jianshu Opcional",36,IF(Atletas!H520="Nandao Opcional",37,IF(Atletas!H520="Taijijian Opcional",38,IF(Atletas!H520="Daoshu Adulto",39,IF(Atletas!H520="Jianshu Adulto",40,IF(Atletas!H520="Nandao Adulto",41,IF(Atletas!H520="Taijijian Adulto",42,""))))))))))))))))))))))))))</f>
        <v/>
      </c>
      <c r="BA524" s="46" t="str">
        <f>IF(Atletas!I520="","",IF(Atletas!B520="Feminino",100,IF(Atletas!B520="Masculino",200,""))+(IF(Atletas!I520="Gunshu Mirim",43,IF(Atletas!I520="Qiangshu Mirim",44,IF(Atletas!I520="Nangun Mirim",45,IF(Atletas!I520="Gunshu Grupo C",46,IF(Atletas!I520="Qiangshu Grupo C",47,IF(Atletas!I520="Nangun Grupo C",48,IF(Atletas!I520="Gunshu Grupo B",49,IF(Atletas!I520="Qiangshu Grupo B",50,IF(Atletas!I520="Nangun Grupo B",51,IF(Atletas!I520="Gunshu Grupo A",52,IF(Atletas!I520="Qiangshu Grupo A",53,IF(Atletas!I520="Nangun Grupo A",54,IF(Atletas!I520="Gunshu Opcional",55,IF(Atletas!I520="Qiangshu Opcional",56,IF(Atletas!I520="Nangun Opcional",57,IF(Atletas!I520="Gunshu Adulto",58,IF(Atletas!I520="Qiangshu Adulto",59,IF(Atletas!I520="Nangun Adulto",60,""))))))))))))))))))))</f>
        <v/>
      </c>
      <c r="BF524" s="52" t="str">
        <f>IF(Atletas!J520="","",IF(Atletas!B520="Feminino",100,IF(Atletas!B520="Masculino",200,""))+(IF(Atletas!J520="Equipe 1 Grupo B",1,IF(Atletas!J520="Equipe 2 Grupo B",2,IF(Atletas!J520="Equipe 1 Grupo A",3,IF(Atletas!J520="Equipe 2 Grupo A",4,IF(Atletas!J520="Equipe 1 Adulto",5,IF(Atletas!J520="Equipe 2 Adulto",6,""))))))))</f>
        <v/>
      </c>
      <c r="BK524" s="52" t="str">
        <f>IF(Atletas!K520="","",IF(Atletas!W520&lt;&gt;"",10000,0)+(IF(Atletas!B520="Feminino",1000,IF(Atletas!B520="Masculino",2000,""))+IF(Atletas!K520="Choylayfut A",1,IF(Atletas!K520="Hunggar A",2,IF(Atletas!K520="Wuzuquan A",3,IF(Atletas!K520="Wingchun A",4,IF(Atletas!K520="Outra Mão de Sul A",5,IF(Atletas!K520="Choylayfut B",6,IF(Atletas!K520="Hunggar B",7,IF(Atletas!K520="Wuzuquan B",8,IF(Atletas!K520="Wingchun B",9,IF(Atletas!K520="Outra Mão de Sul B",10,IF(Atletas!K520="Choylayfut C",11,IF(Atletas!K520="Hunggar C",12,IF(Atletas!K520="Wuzuquan C",13,IF(Atletas!K520="Wingchun C",14,IF(Atletas!K520="Outra Mão de Sul C",15,IF(Atletas!K520="Choylayfut D",16,IF(Atletas!K520="Hunggar D",17,IF(Atletas!K520="Wuzuquan D",18,IF(Atletas!K520="Wingchun D",19,IF(Atletas!K520="Outra Mão de Sul D",20,IF(Atletas!K520="Choylayfut E",21,IF(Atletas!K520="Hunggar E",22,IF(Atletas!K520="Wuzuquan E",23,IF(Atletas!K520="Wingchun E",24,IF(Atletas!K520="Outra Mão de Sul E",25,IF(Atletas!K520="Choylayfut F",26,IF(Atletas!K520="Hunggar F",27,IF(Atletas!K520="Wuzuquan F",28,IF(Atletas!K520="Wingchun F",29,IF(Atletas!K520="Outra Mão de Sul F",30,""))))))))))))))))))))))))))))))))</f>
        <v/>
      </c>
      <c r="BL524" s="52" t="str">
        <f>IF(Atletas!L520="","",IF(Atletas!W520&lt;&gt;"",10000,0)+(IF(Atletas!B520="Feminino",1000,IF(Atletas!B520="Masculino",2000,""))+(IF(Atletas!L520="Chaquan A",101,IF(Atletas!L520="Emeiquan A",102,IF(Atletas!L520="Fanziquan A",103,IF(Atletas!L520="Huaquan A",104,IF(Atletas!L520="Hongquan A",105,IF(Atletas!L520="Paochui A",106,IF(Atletas!L520="Piguaquan A",107,IF(Atletas!L520="Shaolinquan A",108,IF(Atletas!L520="Tanglangquan A",109,IF(Atletas!L520="Yinzhaophai A",110,IF(Atletas!L520="Tongbeiquan A",111,IF(Atletas!L520="Wudangquan A",112,IF(Atletas!L520="Outros Estilos A",113,IF(Atletas!L520="Chaquan B",114,IF(Atletas!L520="Emeiquan B",115,IF(Atletas!L520="Fanziquan B",116,IF(Atletas!L520="Huaquan B",117,IF(Atletas!L520="Hongquan B",118,IF(Atletas!L520="Paochui B",119,IF(Atletas!L520="Piguaquan B",120,IF(Atletas!L520="Shaolinquan B",121,IF(Atletas!L520="Tanglangquan B",122,IF(Atletas!L520="Yinzhaophai B",123,IF(Atletas!L520="Tongbeiquan B",124,IF(Atletas!L520="Wudangquan B",125,IF(Atletas!L520="Outros Estilos B",126,IF(Atletas!L520="Chaquan C",127,IF(Atletas!L520="Emeiquan C",128,IF(Atletas!L520="Fanziquan C",129,IF(Atletas!L520="Huaquan C",130,IF(Atletas!L520="Hongquan C",131,IF(Atletas!L520="Paochui C",132,IF(Atletas!L520="Piguaquan C",133,IF(Atletas!L520="Shaolinquan C",134,IF(Atletas!L520="Tanglangquan C",135,IF(Atletas!L520="Yinzhaophai C",136,IF(Atletas!L520="Tongbeiquan C",137,IF(Atletas!L520="Wudangquan C",138,IF(Atletas!L520="Outros Estilos C",139,0))))))))))))))))))))))))))))))))))))))))))</f>
        <v/>
      </c>
      <c r="BM524" s="52" t="str">
        <f>IF(Atletas!L520="","",IF(Atletas!W520&lt;&gt;"",10000,0)+(IF(Atletas!B520="Feminino",1000,IF(Atletas!B520="Masculino",2000,""))+(IF(Atletas!L520="Chaquan D",140,IF(Atletas!L520="Emeiquan D",141,IF(Atletas!L520="Fanziquan D",142,IF(Atletas!L520="Huaquan D",143,IF(Atletas!L520="Hongquan D",144,IF(Atletas!L520="Paochui D",145,IF(Atletas!L520="Piguaquan D",146,IF(Atletas!L520="Shaolinquan D",147,IF(Atletas!L520="Tanglangquan D",148,IF(Atletas!L520="Yinzhaophai D",149,IF(Atletas!L520="Tongbeiquan D",150,IF(Atletas!L520="Wudangquan D",151,IF(Atletas!L520="Outros Estilos D",152,IF(Atletas!L520="Chaquan E",153,IF(Atletas!L520="Emeiquan E",154,IF(Atletas!L520="Fanziquan E",155,IF(Atletas!L520="Huaquan E",156,IF(Atletas!L520="Hongquan E",157,IF(Atletas!L520="Paochui E",158,IF(Atletas!L520="Piguaquan E",159,IF(Atletas!L520="Shaolinquan E",160,IF(Atletas!L520="Tanglangquan E",161,IF(Atletas!L520="Yinzhaophai E",162,IF(Atletas!L520="Tongbeiquan E",163,IF(Atletas!L520="Wudangquan E",164,IF(Atletas!L520="Outros Estilos E",165,IF(Atletas!L520="Chaquan F",166,IF(Atletas!L520="Emeiquan F",167,IF(Atletas!L520="Fanziquan F",168,IF(Atletas!L520="Huaquan F",169,IF(Atletas!L520="Hongquan F",170,IF(Atletas!L520="Paochui F",171,IF(Atletas!L520="Piguaquan F",172,IF(Atletas!L520="Shaolinquan F",173,IF(Atletas!L520="Tanglangquan F",174,IF(Atletas!L520="Yinzhaophai F",175,IF(Atletas!L520="Tongbeiquan F",176,IF(Atletas!L520="Wudangquan F",177,IF(Atletas!L520="Outros Estilos F",178,0))))))))))))))))))))))))))))))))))))))))))</f>
        <v/>
      </c>
      <c r="BN524" s="52" t="str">
        <f>IF(Atletas!M520="","",IF(Atletas!W520&lt;&gt;"",10000,0)+(IF(Atletas!B520="Feminino",1000,IF(Atletas!B520="Masculino",2000,""))+(IF(Atletas!M520="Ditangquan A",201,IF(Atletas!M520="Houquan A",202,IF(Atletas!M520="Zuiquan A",203,IF(Atletas!M520="Ditangquan B",204,IF(Atletas!M520="Houquan B",205,IF(Atletas!M520="Zuiquan B",206,IF(Atletas!M520="Ditangquan C",207,IF(Atletas!M520="Houquan C",208,IF(Atletas!M520="Zuiquan C",209,IF(Atletas!M520="Ditangquan D",210,IF(Atletas!M520="Houquan D",211,IF(Atletas!M520="Zuiquan D",212,IF(Atletas!M520="Ditangquan E",213,IF(Atletas!M520="Houquan E",214,IF(Atletas!M520="Zuiquan E",215,IF(Atletas!M520="Ditangquan F",216,IF(Atletas!M520="Houquan F",217,IF(Atletas!M520="Zuiquan F",218,"")))))))))))))))))))))</f>
        <v/>
      </c>
      <c r="BO524" s="52" t="str">
        <f>IF(Atletas!N520="","",IF(Atletas!W520&lt;&gt;"",10000,0)+IF(Atletas!B520="Feminino",1000,IF(Atletas!B520="Masculino",2000,""))+IF(Atletas!N520="Yang A",301,IF(Atletas!N520="Chen A",30,IF(Atletas!N520="Sun A",303,IF(Atletas!N520="Wu A",304,IF(Atletas!N520="Wu-Hao A",305,IF(Atletas!N520="Outro Taijiquan A",306,IF(Atletas!N520="Yang B",307,IF(Atletas!N520="Chen B",308,IF(Atletas!N520="Sun B",309,IF(Atletas!N520="Wu B",310,IF(Atletas!N520="Wu-Hao B",311,IF(Atletas!N520="Outro Taijiquan B",312,IF(Atletas!N520="Yang C",313,IF(Atletas!N520="Chen C",314,IF(Atletas!N520="Sun C",315,IF(Atletas!N520="Wu C",316,IF(Atletas!N520="Wu-Hao C",317,IF(Atletas!N520="Outro Taijiquan C",318,IF(Atletas!N520="Yang D",319,IF(Atletas!N520="Chen D",320,IF(Atletas!N520="Sun D",321,IF(Atletas!N520="Wu D",322,IF(Atletas!N520="Wu-Hao D",323,IF(Atletas!N520="Outro Taijiquan D",324,IF(Atletas!N520="Yang E",325,IF(Atletas!N520="Chen E",326,IF(Atletas!N520="Sun E",327,IF(Atletas!N520="Wu E",328,IF(Atletas!N520="Wu-Hao E",329,IF(Atletas!N520="Outro Taijiquan E",330,IF(Atletas!N520="Yang F",331,IF(Atletas!N520="Chen F",332,IF(Atletas!N520="Sun F",333,IF(Atletas!N520="Wu F",334,IF(Atletas!N520="Wu-Hao F",335,IF(Atletas!N520="Outro Taijiquan F",336,"")))))))))))))))))))))))))))))))))))))</f>
        <v/>
      </c>
      <c r="BP524" s="52" t="str">
        <f>IF(Atletas!O520="","",IF(Atletas!W520&lt;&gt;"",10000,0)+IF(Atletas!B520="Feminino",1000,IF(Atletas!B520="Masculino",2000,""))+IF(OR(Atletas!O520="Yang 26 A",Atletas!O520="Yang 40 A"),401,IF(OR(Atletas!O520="Chen 25 A",Atletas!O520="Chen 36 A",Atletas!O520="Chen 56 A"),402,IF(Atletas!O520="Sun 73 A",403,IF(Atletas!O520="Wu 45 A",404,IF(Atletas!O520="Wu-Hao 46 A",405,IF(OR(Atletas!O520="Taijiquan 16 A",Atletas!O520="Taijiquan 24 A",Atletas!O520="Taijiquan 32 A",Atletas!O520="Taijiquan 42 A"),406,IF(OR(Atletas!O520="Yang 26 B",Atletas!O520="Yang 40 B"),407,IF(OR(Atletas!O520="Chen 25 B",Atletas!O520="Chen 36 B",Atletas!O520="Chen 56 B"),408,IF(Atletas!O520="Sun 73 B",409,IF(Atletas!O520="Wu 45 B",410,IF(Atletas!O520="Wu-Hao 46 B",411,IF(OR(Atletas!O520="Taijiquan 16 B",Atletas!O520="Taijiquan 24 B",Atletas!O520="Taijiquan 32 B",Atletas!O520="Taijiquan 42 B"),412,IF(OR(Atletas!O520="Yang 26 C",Atletas!O520="Yang 40 C"),413,IF(OR(Atletas!O520="Chen 25 C",Atletas!O520="Chen 36 C",Atletas!O520="Chen 56 C"),414,IF(Atletas!O520="Sun 73 C",415,IF(Atletas!O520="Wu 45 C",416,IF(Atletas!O520="Wu-Hao 46 C",417,IF(OR(Atletas!O520="Taijiquan 16 C",Atletas!O520="Taijiquan 24 C",Atletas!O520="Taijiquan 32 C",Atletas!O520="Taijiquan 42 C"),418,0)))))))))))))))))))</f>
        <v/>
      </c>
      <c r="BQ524" s="52" t="str">
        <f>IF(Atletas!O520="","",IF(Atletas!W520&lt;&gt;"",10000,0)+IF(Atletas!B520="Feminino",1000,IF(Atletas!B520="Masculino",2000,""))+IF(OR(Atletas!O520="Yang 26 D",Atletas!O520="Yang 40 D"),419,IF(OR(Atletas!O520="Chen 25 D",Atletas!O520="Chen 36 D",Atletas!O520="Chen 56 D"),420,IF(Atletas!O520="Sun 73 D",421,IF(Atletas!O520="Wu 45 D",422,IF(Atletas!O520="Wu-Hao 46 D",423,IF(OR(Atletas!O520="Taijiquan 16 D",Atletas!O520="Taijiquan 24 D",Atletas!O520="Taijiquan 32 D",Atletas!O520="Taijiquan 42 D"),424,IF(OR(Atletas!O520="Yang 26 E",Atletas!O520="Yang 40 E"),425,IF(OR(Atletas!O520="Chen 25 E",Atletas!O520="Chen 36 E",Atletas!O520="Chen 56 E"),426,IF(Atletas!O520="Sun 73 E",427,IF(Atletas!O520="Wu 45 E",428,IF(Atletas!O520="Wu-Hao 46 E",429,IF(OR(Atletas!O520="Taijiquan 16 E",Atletas!O520="Taijiquan 24 E",Atletas!O520="Taijiquan 32 E",Atletas!O520="Taijiquan 42 E"),430,IF(OR(Atletas!O520="Yang 26 F",Atletas!O520="Yang 40 F"),431,IF(OR(Atletas!O520="Chen 25 F",Atletas!O520="Chen 36 F",Atletas!O520="Chen 56 F"),432,IF(Atletas!O520="Sun 73 F",433,IF(Atletas!O520="Wu 45 F",434,IF(Atletas!O520="Wu-Hao 46 F",435,IF(OR(Atletas!O520="Taijiquan 16 F",Atletas!O520="Taijiquan 24 F",Atletas!O520="Taijiquan 32 F",Atletas!O520="Taijiquan 42 F"),436,0)))))))))))))))))))</f>
        <v/>
      </c>
      <c r="BR524" s="52" t="str">
        <f>IF(Atletas!P520="","",IF(Atletas!W520&lt;&gt;"",10000,0)+IF(Atletas!B520="Feminino",1000,IF(Atletas!B520="Masculino",2000,""))+IF(Atletas!P520="Xingyiquan A",501,IF(Atletas!P520="Baguazhang A",502,IF(Atletas!P520="Outro Estilo Interno A",503,IF(Atletas!P520="Xingyiquan B",504,IF(Atletas!P520="Baguazhang B",505,IF(Atletas!P520="Outro Estilo Interno B",506,IF(Atletas!P520="Xingyiquan C",507,IF(Atletas!P520="Baguazhang C",508,IF(Atletas!P520="Outro Estilo Interno C",509,IF(Atletas!P520="Xingyiquan D",510,IF(Atletas!P520="Baguazhang D",511,IF(Atletas!P520="Outro Estilo Interno D",512,IF(Atletas!P520="Xingyiquan E",513,IF(Atletas!P520="Baguazhang E",514,IF(Atletas!P520="Outro Estilo Interno E",515,IF(Atletas!P520="Xingyiquan F",516,IF(Atletas!P520="Baguazhang F",517,IF(Atletas!P520="Outro Estilo Interno F",518, "")))))))))))))))))))</f>
        <v/>
      </c>
      <c r="BS524" s="52" t="str">
        <f>IF(Atletas!Q520="","",IF(Atletas!W520&lt;&gt;"",10000,0)+IF(Atletas!B520="Feminino",1000,IF(Atletas!B520="Masculino",2000,""))+IF(Atletas!Q520="Dao A",601,IF(Atletas!Q520="Jian A",602,IF(Atletas!Q520="Bishou A",603,IF(Atletas!Q520="Shan A",604,IF(Atletas!Q520="Outra Arma Curta A",605,IF(Atletas!Q520="Dao B",606,IF(Atletas!Q520="Jian B",607,IF(Atletas!Q520="Bishou B",608,IF(Atletas!Q520="Shan B",609,IF(Atletas!Q520="Outra Arma Curta B",610,IF(Atletas!Q520="Dao C",611,IF(Atletas!Q520="Jian C",612,IF(Atletas!Q520="Bishou C",613,IF(Atletas!Q520="Shan C",614,IF(Atletas!Q520="Outra Arma Curta C",615,IF(Atletas!Q520="Dao D",616,IF(Atletas!Q520="Jian D",617,IF(Atletas!Q520="Bishou D",618,IF(Atletas!Q520="Shan D",619,IF(Atletas!Q520="Outra Arma Curta D",620,IF(Atletas!Q520="Dao E",621,IF(Atletas!Q520="Jian E",622,IF(Atletas!Q520="Bishou E",623,IF(Atletas!Q520="Shan E",624,IF(Atletas!Q520="Outra Arma Curta E",625,IF(Atletas!Q520="Dao F",626,IF(Atletas!Q520="Jian F",627,IF(Atletas!Q520="Bishou F",628,IF(Atletas!Q520="Shan F",629,IF(Atletas!Q520="Outra Arma Curta F",630, "")))))))))))))))))))))))))))))))</f>
        <v/>
      </c>
      <c r="BT524" s="52" t="str">
        <f>IF(Atletas!R520="","",IF(Atletas!W520&lt;&gt;"",10000,0)+IF(Atletas!B520="Feminino",1000,IF(Atletas!B520="Masculino",2000,""))+IF(Atletas!R520="Gun A",701,IF(Atletas!R520="Qiang A",702,IF(Atletas!R520="Pudao / Guandao A",703,IF(Atletas!R520="Outra Arma Longa A",704,IF(Atletas!R520="Gun B",705,IF(Atletas!R520="Qiang B",706,IF(Atletas!R520="Pudao / Guandao B",707,IF(Atletas!R520="Outra Arma Longa B",708,IF(Atletas!R520="Gun C",709,IF(Atletas!R520="Qiang C",710,IF(Atletas!R520="Pudao / Guandao C",711,IF(Atletas!R520="Outra Arma Longa C",712,IF(Atletas!R520="Gun D",713,IF(Atletas!R520="Qiang D",714,IF(Atletas!R520="Pudao / Guandao D",715,IF(Atletas!R520="Outra Arma Longa D",716,IF(Atletas!R520="Gun E",717,IF(Atletas!R520="Qiang E",718,IF(Atletas!R520="Pudao / Guandao E",719,IF(Atletas!R520="Outra Arma Longa E",720,IF(Atletas!R520="Gun F",721,IF(Atletas!R520="Qiang F",722,IF(Atletas!R520="Pudao / Guandao F",723,IF(Atletas!R520="Outra Arma Longa F",724,"")))))))))))))))))))))))))</f>
        <v/>
      </c>
      <c r="BU524" s="52" t="str">
        <f>IF(Atletas!S520="","",IF(Atletas!W520&lt;&gt;"",10000,0)+IF(Atletas!B520="Feminino",1000,IF(Atletas!B520="Masculino",2000,""))+IF(Atletas!S520="Arma Dupla A",801,IF(Atletas!S520="Arma Maleável A",802,IF(Atletas!S520="Arma Dupla B",803,IF(Atletas!S520="Arma Maleável B",804,IF(Atletas!S520="Arma Dupla C",805,IF(Atletas!S520="Arma Maleável C",806,IF(Atletas!S520="Arma Dupla D",807,IF(Atletas!S520="Arma Maleável D",808,IF(Atletas!S520="Arma Dupla E",809,IF(Atletas!S520="Arma Maleável E",810,IF(Atletas!S520="Arma Dupla F",811,IF(Atletas!S520="Arma Maleável F",812, "")))))))))))))</f>
        <v/>
      </c>
      <c r="BV524" s="52" t="str">
        <f>IF(Atletas!T520="","",IF(Atletas!W520&lt;&gt;"",10000,0)+IF(Atletas!B520="Feminino",1000,IF(Atletas!B520="Masculino",2000,""))+IF(Atletas!T520="Taijijian Yang A",901,IF(Atletas!T520="Taijijian Chen A",902,IF(Atletas!T520="Taijijian Sun A",903,IF(Atletas!T520="Taijijian Wu A",904,IF(Atletas!T520="Taijijian Wu-Hao A",905,IF(Atletas!T520="Taijijian 32 A",906,IF(Atletas!T520="Taijijian 42 A",907,IF(Atletas!T520="Taijijian Yang B",908,IF(Atletas!T520="Taijijian Chen B",909,IF(Atletas!T520="Taijijian Sun B",910,IF(Atletas!T520="Taijijian Wu B",911,IF(Atletas!T520="Taijijian Wu-Hao B",912,IF(Atletas!T520="Taijijian 32 B",913,IF(Atletas!T520="Taijijian 42 B",914,IF(Atletas!T520="Taijijian Yang C",915,IF(Atletas!T520="Taijijian Chen C",916,IF(Atletas!T520="Taijijian Sun C",917,IF(Atletas!T520="Taijijian Wu C",918,IF(Atletas!T520="Taijijian Wu-Hao C",919,IF(Atletas!T520="Taijijian 32 C",920,IF(Atletas!T520="Taijijian 42 C",921,IF(Atletas!T520="Taijijian Yang D",922,IF(Atletas!T520="Taijijian Chen D",923,IF(Atletas!T520="Taijijian Sun D",924,IF(Atletas!T520="Taijijian Wu D",925,IF(Atletas!T520="Taijijian Wu-Hao D",926,IF(Atletas!T520="Taijijian 32 D",927,IF(Atletas!T520="Taijijian 42 D",928,IF(Atletas!T520="Taijijian Yang E",929,IF(Atletas!T520="Taijijian Chen E",930,IF(Atletas!T520="Taijijian Sun E",931,IF(Atletas!T520="Taijijian Wu E",932,IF(Atletas!T520="Taijijian Wu-Hao E",933,IF(Atletas!T520="Taijijian 32 E",934,IF(Atletas!T520="Taijijian 42 E",935,IF(Atletas!T520="Taijijian Yang F",936,IF(Atletas!T520="Taijijian Chen F",937,IF(Atletas!T520="Taijijian Sun F",938,IF(Atletas!T520="Taijijian Wu F",939,IF(Atletas!T520="Taijijian Wu-Hao F",940,IF(Atletas!T520="Taijijian 32 F",941,IF(Atletas!T520="Taijijian 42 F",942,"")))))))))))))))))))))))))))))))))))))))))))</f>
        <v/>
      </c>
      <c r="BW524" s="52" t="str">
        <f>IF(Atletas!U520="","",IF(Atletas!W520&lt;&gt;"",10000,0)+IF(Atletas!B520="Feminino",1000,IF(Atletas!B520="Masculino",2000,""))+IF(Atletas!T520="Taijijian 42 F",942,IF(Atletas!U520="Taijidao A",943,IF(Atletas!U520="Taijishan A",944,IF(Atletas!U520="Taijiqiang A",945,IF(Atletas!U520="Taijidao B",946,IF(Atletas!U520="Taijishan B",947,IF(Atletas!U520="Taijiqiang B",948,IF(Atletas!U520="Taijidao C",949,IF(Atletas!U520="Taijishan C",950,IF(Atletas!U520="Taijiqiang C",951,IF(Atletas!U520="Taijidao D",952,IF(Atletas!U520="Taijishan D",953,IF(Atletas!U520="Taijiqiang D",954,IF(Atletas!U520="Taijidao E",955,IF(Atletas!U520="Taijishan E",956,IF(Atletas!U520="Taijiqiang E",957,IF(Atletas!U520="Taijidao F",958,IF(Atletas!U520="Taijishan F",959,IF(Atletas!U520="Taijiqiang F",960))))))))))))))))))))</f>
        <v/>
      </c>
      <c r="CF524" s="52" t="str">
        <f xml:space="preserve"> IF(Atletas!V520="","",IF(Atletas!V520="Duilian de Mãos AB - Equipe 1",1,IF(Atletas!V520="Duilian de Mãos AB - Equipe 2",2,IF(Atletas!V520="Duilian de Armas AB - Equipe 1",3,IF(Atletas!V520="Duilian de Armas AB - Equipe 2",4,IF(Atletas!V520="Duilian de Tuishou - Equipe 1",5,IF(Atletas!V520="Duilian de Tuishou - Equipe 2",6,IF(Atletas!V520="Grupo Externo AB - Equipe 1",7,IF(Atletas!V520="Grupo Externo AB - Equipe 2",8,IF(Atletas!V520="Grupo Interno AB - Equipe 1",9,IF(Atletas!V520="Grupo Interno AB - Equipe 2",10,IF(Atletas!V520="Duilian de Mãos CD - Equipe 1",11,IF(Atletas!V520="Duilian de Mãos CD - Equipe 2",12,IF(Atletas!V520="Duilian de Armas CD - Equipe 1",13,IF(Atletas!V520="Duilian de Armas CD - Equipe 2",14,IF(Atletas!V520="Duilian de Tuishou - Equipe 1",15,IF(Atletas!V520="Duilian de Tuishou - Equipe 2",16,IF(Atletas!V520="Grupo Externo CDEF - Equipe 1",17,IF(Atletas!V520="Grupo Externo CDEF - Equipe 2",18,IF(Atletas!V520="Grupo Interno CDEF - Equipe 1",19,IF(Atletas!V520="Grupo Interno CDEF - Equipe 2",20,IF(Atletas!V520="Duilian de Mãos EF - Equipe 1",21,IF(Atletas!V520="Duilian de Mãos EF - Equipe 2",22,IF(Atletas!V520="Duilian de Armas EF - Equipe 1",23,IF(Atletas!V520="Duilian de Armas EF - Equipe 2",24,IF(Atletas!V520="Duilian de Tuishou - Equipe 1",25,IF(Atletas!V520="Duilian de Tuishou - Equipe 2",26,"")))))))))))))))))))))))))))</f>
        <v/>
      </c>
    </row>
    <row r="525" spans="36:84">
      <c r="AJ525" s="46" t="str">
        <f>IF(Atletas!D521="","",IF(Atletas!B521="Feminino",100,IF(Atletas!B521="Masculino",200,""))+(IF(Atletas!D521="Infantil 39kg",1,IF(Atletas!D521="Infantil 42kg",2,IF(Atletas!D521="Infantil 45kg",3,IF(Atletas!D521="Infantil 48kg",4,IF(Atletas!D521="Infantil 52kg",5,IF(Atletas!D521="Infantil 56kg",6,IF(Atletas!D521="Infantil 60kg",7,IF(Atletas!D521="Juvenil 48kg",8,IF(Atletas!D521="Juvenil 52kg",9,IF(Atletas!D521="Juvenil 56kg",10,IF(Atletas!D521="Juvenil 60kg",11,IF(Atletas!D521="Juvenil 65kg",12,IF(Atletas!D521="Juvenil 70kg",13,IF(Atletas!D521="Juvenil 75kg",14,IF(Atletas!D521="Juvenil 80kg",15,IF(Atletas!D521="Adulto 48kg",16,IF(Atletas!D521="Adulto 52kg",17,IF(Atletas!D521="Adulto 56kg",18,IF(Atletas!D521="Adulto 60kg",19,IF(Atletas!D521="Adulto 65kg",20,IF(Atletas!D521="Adulto 70kg",21,IF(Atletas!D521="Adulto 75kg",22,IF(Atletas!D521="Adulto 80kg",23,IF(Atletas!D521="Adulto 85kg",24,IF(Atletas!D521="Adulto 90kg",25,IF(Atletas!D521="Adulto +90kg",26,""))))))))))))))))))))))))))))</f>
        <v/>
      </c>
      <c r="AO525" s="10" t="str">
        <f>IF(Atletas!E521="","",IF(Atletas!B521="Feminino",100,IF(Atletas!B521="Masculino",200,""))+(IF(Atletas!E521="Juvenil 44kg",1,IF(Atletas!E521="Juvenil 48kg",2,IF(Atletas!E521="Juvenil 52kg",3,IF(Atletas!E521="Juvenil 56kg",4,IF(Atletas!E521="Juvenil 60kg",5,IF(Atletas!E521="Juvenil 65kg",6,IF(Atletas!E521="Juvenil 70kg",7,IF(Atletas!E521="Juvenil 75kg",8,IF(Atletas!E521="Juvenil 82kg",9,IF(Atletas!E521="Juvenil 90kg",10,IF(Atletas!E521="Juvenil 100kg",11,IF(Atletas!E521="Adulto 48kg",12,IF(Atletas!E521="Adulto 52kg",13,IF(Atletas!E521="Adulto 56kg",14,IF(Atletas!E521="Adulto 60kg",15,IF(Atletas!E521="Adulto 65kg",16,IF(Atletas!E521="Adulto 70kg",17,IF(Atletas!E521="Adulto 75kg",18,IF(Atletas!E521="Adulto 82kg",19,IF(Atletas!E521="Adulto 90kg",20,IF(Atletas!E521="Adulto 100kg",21,IF(Atletas!E521="Adulto +100kg",22,""))))))))))))))))))))))))</f>
        <v/>
      </c>
      <c r="AT525" s="10" t="str">
        <f>IF(Atletas!F521="","",IF(Atletas!B521="Feminino",100,IF(Atletas!B521="Masculino",200,""))+(IF(Atletas!F521="Adulto 48kg",1,IF(Atletas!F521="Adulto 56kg",2,IF(Atletas!F521="Adulto 65kg",3,IF(Atletas!F521="Adulto 75kg",4,IF(Atletas!F521="Adulto +75kg",5,IF(Atletas!F521="Adulto 52kg",6,IF(Atletas!F521="Adulto 60kg",7,IF(Atletas!F521="Adulto 70kg",8,IF(Atletas!F521="Adulto 80kg",9,IF(Atletas!F521="Adulto 90kg",10,IF(Atletas!F521="Adulto +90kg",11,"")))))))))))))</f>
        <v/>
      </c>
      <c r="AY525" s="46" t="str">
        <f>IF(Atletas!G521="","",IF(Atletas!B521="Feminino",100,IF(Atletas!B521="Masculino",200,""))+(IF(Atletas!G521="Changquan Mirim",1,IF(Atletas!G521="Nanquan Mirim",2,IF(Atletas!G521="Taijiquan Mirim",3,IF(Atletas!G521="Changquan Grupo C",4,IF(Atletas!G521="Nanquan Grupo C",5,IF(Atletas!G521="Taijiquan Grupo C",6,IF(Atletas!G521="Changquan Grupo B",7,IF(Atletas!G521="Nanquan Grupo B",8,IF(Atletas!G521="Taijiquan Grupo B",9,IF(Atletas!G521="Changquan Grupo A",10,IF(Atletas!G521="Nanquan Grupo A",11,IF(Atletas!G521="Taijiquan Grupo A",12,IF(Atletas!G521="Changquan Opcional",13,IF(Atletas!G521="Nanquan Opcional",14,IF(Atletas!G521="Taijiquan Opcional",15,IF(Atletas!G521="Changquan Adulto",16,IF(Atletas!G521="Nanquan Adulto",17,IF(Atletas!G521="Taijiquan Adulto",18,""))))))))))))))))))))</f>
        <v/>
      </c>
      <c r="AZ525" s="46" t="str">
        <f>IF(Atletas!H521="","",IF(Atletas!B521="Feminino",100,IF(Atletas!B521="Masculino",200,""))+(IF(Atletas!H521="Daoshu Mirim",19,IF(Atletas!H521="Jianshu Mirim",20,IF(Atletas!H521="Nandao Mirim",21,IF(Atletas!H521="Taijijian Mirim",22,IF(Atletas!H521="Daoshu Grupo C",23,IF(Atletas!H521="Jianshu Grupo C",24,IF(Atletas!H521="Nandao Grupo C",25,IF(Atletas!H521="Taijijian Grupo C",26,IF(Atletas!H521="Daoshu Grupo B",27,IF(Atletas!H521="Jianshu Grupo B",28,IF(Atletas!H521="Nandao Grupo B",29,IF(Atletas!H521="Taijijian Grupo B",30,IF(Atletas!H521="Daoshu Grupo A",31,IF(Atletas!H521="Jianshu Grupo A",32,IF(Atletas!H521="Nandao Grupo A",33,IF(Atletas!H521="Taijijian Grupo A",34,IF(Atletas!H521="Daoshu Opcional",35,IF(Atletas!H521="Jianshu Opcional",36,IF(Atletas!H521="Nandao Opcional",37,IF(Atletas!H521="Taijijian Opcional",38,IF(Atletas!H521="Daoshu Adulto",39,IF(Atletas!H521="Jianshu Adulto",40,IF(Atletas!H521="Nandao Adulto",41,IF(Atletas!H521="Taijijian Adulto",42,""))))))))))))))))))))))))))</f>
        <v/>
      </c>
      <c r="BA525" s="46" t="str">
        <f>IF(Atletas!I521="","",IF(Atletas!B521="Feminino",100,IF(Atletas!B521="Masculino",200,""))+(IF(Atletas!I521="Gunshu Mirim",43,IF(Atletas!I521="Qiangshu Mirim",44,IF(Atletas!I521="Nangun Mirim",45,IF(Atletas!I521="Gunshu Grupo C",46,IF(Atletas!I521="Qiangshu Grupo C",47,IF(Atletas!I521="Nangun Grupo C",48,IF(Atletas!I521="Gunshu Grupo B",49,IF(Atletas!I521="Qiangshu Grupo B",50,IF(Atletas!I521="Nangun Grupo B",51,IF(Atletas!I521="Gunshu Grupo A",52,IF(Atletas!I521="Qiangshu Grupo A",53,IF(Atletas!I521="Nangun Grupo A",54,IF(Atletas!I521="Gunshu Opcional",55,IF(Atletas!I521="Qiangshu Opcional",56,IF(Atletas!I521="Nangun Opcional",57,IF(Atletas!I521="Gunshu Adulto",58,IF(Atletas!I521="Qiangshu Adulto",59,IF(Atletas!I521="Nangun Adulto",60,""))))))))))))))))))))</f>
        <v/>
      </c>
      <c r="BF525" s="52" t="str">
        <f>IF(Atletas!J521="","",IF(Atletas!B521="Feminino",100,IF(Atletas!B521="Masculino",200,""))+(IF(Atletas!J521="Equipe 1 Grupo B",1,IF(Atletas!J521="Equipe 2 Grupo B",2,IF(Atletas!J521="Equipe 1 Grupo A",3,IF(Atletas!J521="Equipe 2 Grupo A",4,IF(Atletas!J521="Equipe 1 Adulto",5,IF(Atletas!J521="Equipe 2 Adulto",6,""))))))))</f>
        <v/>
      </c>
      <c r="BK525" s="52" t="str">
        <f>IF(Atletas!K521="","",IF(Atletas!W521&lt;&gt;"",10000,0)+(IF(Atletas!B521="Feminino",1000,IF(Atletas!B521="Masculino",2000,""))+IF(Atletas!K521="Choylayfut A",1,IF(Atletas!K521="Hunggar A",2,IF(Atletas!K521="Wuzuquan A",3,IF(Atletas!K521="Wingchun A",4,IF(Atletas!K521="Outra Mão de Sul A",5,IF(Atletas!K521="Choylayfut B",6,IF(Atletas!K521="Hunggar B",7,IF(Atletas!K521="Wuzuquan B",8,IF(Atletas!K521="Wingchun B",9,IF(Atletas!K521="Outra Mão de Sul B",10,IF(Atletas!K521="Choylayfut C",11,IF(Atletas!K521="Hunggar C",12,IF(Atletas!K521="Wuzuquan C",13,IF(Atletas!K521="Wingchun C",14,IF(Atletas!K521="Outra Mão de Sul C",15,IF(Atletas!K521="Choylayfut D",16,IF(Atletas!K521="Hunggar D",17,IF(Atletas!K521="Wuzuquan D",18,IF(Atletas!K521="Wingchun D",19,IF(Atletas!K521="Outra Mão de Sul D",20,IF(Atletas!K521="Choylayfut E",21,IF(Atletas!K521="Hunggar E",22,IF(Atletas!K521="Wuzuquan E",23,IF(Atletas!K521="Wingchun E",24,IF(Atletas!K521="Outra Mão de Sul E",25,IF(Atletas!K521="Choylayfut F",26,IF(Atletas!K521="Hunggar F",27,IF(Atletas!K521="Wuzuquan F",28,IF(Atletas!K521="Wingchun F",29,IF(Atletas!K521="Outra Mão de Sul F",30,""))))))))))))))))))))))))))))))))</f>
        <v/>
      </c>
      <c r="BL525" s="52" t="str">
        <f>IF(Atletas!L521="","",IF(Atletas!W521&lt;&gt;"",10000,0)+(IF(Atletas!B521="Feminino",1000,IF(Atletas!B521="Masculino",2000,""))+(IF(Atletas!L521="Chaquan A",101,IF(Atletas!L521="Emeiquan A",102,IF(Atletas!L521="Fanziquan A",103,IF(Atletas!L521="Huaquan A",104,IF(Atletas!L521="Hongquan A",105,IF(Atletas!L521="Paochui A",106,IF(Atletas!L521="Piguaquan A",107,IF(Atletas!L521="Shaolinquan A",108,IF(Atletas!L521="Tanglangquan A",109,IF(Atletas!L521="Yinzhaophai A",110,IF(Atletas!L521="Tongbeiquan A",111,IF(Atletas!L521="Wudangquan A",112,IF(Atletas!L521="Outros Estilos A",113,IF(Atletas!L521="Chaquan B",114,IF(Atletas!L521="Emeiquan B",115,IF(Atletas!L521="Fanziquan B",116,IF(Atletas!L521="Huaquan B",117,IF(Atletas!L521="Hongquan B",118,IF(Atletas!L521="Paochui B",119,IF(Atletas!L521="Piguaquan B",120,IF(Atletas!L521="Shaolinquan B",121,IF(Atletas!L521="Tanglangquan B",122,IF(Atletas!L521="Yinzhaophai B",123,IF(Atletas!L521="Tongbeiquan B",124,IF(Atletas!L521="Wudangquan B",125,IF(Atletas!L521="Outros Estilos B",126,IF(Atletas!L521="Chaquan C",127,IF(Atletas!L521="Emeiquan C",128,IF(Atletas!L521="Fanziquan C",129,IF(Atletas!L521="Huaquan C",130,IF(Atletas!L521="Hongquan C",131,IF(Atletas!L521="Paochui C",132,IF(Atletas!L521="Piguaquan C",133,IF(Atletas!L521="Shaolinquan C",134,IF(Atletas!L521="Tanglangquan C",135,IF(Atletas!L521="Yinzhaophai C",136,IF(Atletas!L521="Tongbeiquan C",137,IF(Atletas!L521="Wudangquan C",138,IF(Atletas!L521="Outros Estilos C",139,0))))))))))))))))))))))))))))))))))))))))))</f>
        <v/>
      </c>
      <c r="BM525" s="52" t="str">
        <f>IF(Atletas!L521="","",IF(Atletas!W521&lt;&gt;"",10000,0)+(IF(Atletas!B521="Feminino",1000,IF(Atletas!B521="Masculino",2000,""))+(IF(Atletas!L521="Chaquan D",140,IF(Atletas!L521="Emeiquan D",141,IF(Atletas!L521="Fanziquan D",142,IF(Atletas!L521="Huaquan D",143,IF(Atletas!L521="Hongquan D",144,IF(Atletas!L521="Paochui D",145,IF(Atletas!L521="Piguaquan D",146,IF(Atletas!L521="Shaolinquan D",147,IF(Atletas!L521="Tanglangquan D",148,IF(Atletas!L521="Yinzhaophai D",149,IF(Atletas!L521="Tongbeiquan D",150,IF(Atletas!L521="Wudangquan D",151,IF(Atletas!L521="Outros Estilos D",152,IF(Atletas!L521="Chaquan E",153,IF(Atletas!L521="Emeiquan E",154,IF(Atletas!L521="Fanziquan E",155,IF(Atletas!L521="Huaquan E",156,IF(Atletas!L521="Hongquan E",157,IF(Atletas!L521="Paochui E",158,IF(Atletas!L521="Piguaquan E",159,IF(Atletas!L521="Shaolinquan E",160,IF(Atletas!L521="Tanglangquan E",161,IF(Atletas!L521="Yinzhaophai E",162,IF(Atletas!L521="Tongbeiquan E",163,IF(Atletas!L521="Wudangquan E",164,IF(Atletas!L521="Outros Estilos E",165,IF(Atletas!L521="Chaquan F",166,IF(Atletas!L521="Emeiquan F",167,IF(Atletas!L521="Fanziquan F",168,IF(Atletas!L521="Huaquan F",169,IF(Atletas!L521="Hongquan F",170,IF(Atletas!L521="Paochui F",171,IF(Atletas!L521="Piguaquan F",172,IF(Atletas!L521="Shaolinquan F",173,IF(Atletas!L521="Tanglangquan F",174,IF(Atletas!L521="Yinzhaophai F",175,IF(Atletas!L521="Tongbeiquan F",176,IF(Atletas!L521="Wudangquan F",177,IF(Atletas!L521="Outros Estilos F",178,0))))))))))))))))))))))))))))))))))))))))))</f>
        <v/>
      </c>
      <c r="BN525" s="52" t="str">
        <f>IF(Atletas!M521="","",IF(Atletas!W521&lt;&gt;"",10000,0)+(IF(Atletas!B521="Feminino",1000,IF(Atletas!B521="Masculino",2000,""))+(IF(Atletas!M521="Ditangquan A",201,IF(Atletas!M521="Houquan A",202,IF(Atletas!M521="Zuiquan A",203,IF(Atletas!M521="Ditangquan B",204,IF(Atletas!M521="Houquan B",205,IF(Atletas!M521="Zuiquan B",206,IF(Atletas!M521="Ditangquan C",207,IF(Atletas!M521="Houquan C",208,IF(Atletas!M521="Zuiquan C",209,IF(Atletas!M521="Ditangquan D",210,IF(Atletas!M521="Houquan D",211,IF(Atletas!M521="Zuiquan D",212,IF(Atletas!M521="Ditangquan E",213,IF(Atletas!M521="Houquan E",214,IF(Atletas!M521="Zuiquan E",215,IF(Atletas!M521="Ditangquan F",216,IF(Atletas!M521="Houquan F",217,IF(Atletas!M521="Zuiquan F",218,"")))))))))))))))))))))</f>
        <v/>
      </c>
      <c r="BO525" s="52" t="str">
        <f>IF(Atletas!N521="","",IF(Atletas!W521&lt;&gt;"",10000,0)+IF(Atletas!B521="Feminino",1000,IF(Atletas!B521="Masculino",2000,""))+IF(Atletas!N521="Yang A",301,IF(Atletas!N521="Chen A",30,IF(Atletas!N521="Sun A",303,IF(Atletas!N521="Wu A",304,IF(Atletas!N521="Wu-Hao A",305,IF(Atletas!N521="Outro Taijiquan A",306,IF(Atletas!N521="Yang B",307,IF(Atletas!N521="Chen B",308,IF(Atletas!N521="Sun B",309,IF(Atletas!N521="Wu B",310,IF(Atletas!N521="Wu-Hao B",311,IF(Atletas!N521="Outro Taijiquan B",312,IF(Atletas!N521="Yang C",313,IF(Atletas!N521="Chen C",314,IF(Atletas!N521="Sun C",315,IF(Atletas!N521="Wu C",316,IF(Atletas!N521="Wu-Hao C",317,IF(Atletas!N521="Outro Taijiquan C",318,IF(Atletas!N521="Yang D",319,IF(Atletas!N521="Chen D",320,IF(Atletas!N521="Sun D",321,IF(Atletas!N521="Wu D",322,IF(Atletas!N521="Wu-Hao D",323,IF(Atletas!N521="Outro Taijiquan D",324,IF(Atletas!N521="Yang E",325,IF(Atletas!N521="Chen E",326,IF(Atletas!N521="Sun E",327,IF(Atletas!N521="Wu E",328,IF(Atletas!N521="Wu-Hao E",329,IF(Atletas!N521="Outro Taijiquan E",330,IF(Atletas!N521="Yang F",331,IF(Atletas!N521="Chen F",332,IF(Atletas!N521="Sun F",333,IF(Atletas!N521="Wu F",334,IF(Atletas!N521="Wu-Hao F",335,IF(Atletas!N521="Outro Taijiquan F",336,"")))))))))))))))))))))))))))))))))))))</f>
        <v/>
      </c>
      <c r="BP525" s="52" t="str">
        <f>IF(Atletas!O521="","",IF(Atletas!W521&lt;&gt;"",10000,0)+IF(Atletas!B521="Feminino",1000,IF(Atletas!B521="Masculino",2000,""))+IF(OR(Atletas!O521="Yang 26 A",Atletas!O521="Yang 40 A"),401,IF(OR(Atletas!O521="Chen 25 A",Atletas!O521="Chen 36 A",Atletas!O521="Chen 56 A"),402,IF(Atletas!O521="Sun 73 A",403,IF(Atletas!O521="Wu 45 A",404,IF(Atletas!O521="Wu-Hao 46 A",405,IF(OR(Atletas!O521="Taijiquan 16 A",Atletas!O521="Taijiquan 24 A",Atletas!O521="Taijiquan 32 A",Atletas!O521="Taijiquan 42 A"),406,IF(OR(Atletas!O521="Yang 26 B",Atletas!O521="Yang 40 B"),407,IF(OR(Atletas!O521="Chen 25 B",Atletas!O521="Chen 36 B",Atletas!O521="Chen 56 B"),408,IF(Atletas!O521="Sun 73 B",409,IF(Atletas!O521="Wu 45 B",410,IF(Atletas!O521="Wu-Hao 46 B",411,IF(OR(Atletas!O521="Taijiquan 16 B",Atletas!O521="Taijiquan 24 B",Atletas!O521="Taijiquan 32 B",Atletas!O521="Taijiquan 42 B"),412,IF(OR(Atletas!O521="Yang 26 C",Atletas!O521="Yang 40 C"),413,IF(OR(Atletas!O521="Chen 25 C",Atletas!O521="Chen 36 C",Atletas!O521="Chen 56 C"),414,IF(Atletas!O521="Sun 73 C",415,IF(Atletas!O521="Wu 45 C",416,IF(Atletas!O521="Wu-Hao 46 C",417,IF(OR(Atletas!O521="Taijiquan 16 C",Atletas!O521="Taijiquan 24 C",Atletas!O521="Taijiquan 32 C",Atletas!O521="Taijiquan 42 C"),418,0)))))))))))))))))))</f>
        <v/>
      </c>
      <c r="BQ525" s="52" t="str">
        <f>IF(Atletas!O521="","",IF(Atletas!W521&lt;&gt;"",10000,0)+IF(Atletas!B521="Feminino",1000,IF(Atletas!B521="Masculino",2000,""))+IF(OR(Atletas!O521="Yang 26 D",Atletas!O521="Yang 40 D"),419,IF(OR(Atletas!O521="Chen 25 D",Atletas!O521="Chen 36 D",Atletas!O521="Chen 56 D"),420,IF(Atletas!O521="Sun 73 D",421,IF(Atletas!O521="Wu 45 D",422,IF(Atletas!O521="Wu-Hao 46 D",423,IF(OR(Atletas!O521="Taijiquan 16 D",Atletas!O521="Taijiquan 24 D",Atletas!O521="Taijiquan 32 D",Atletas!O521="Taijiquan 42 D"),424,IF(OR(Atletas!O521="Yang 26 E",Atletas!O521="Yang 40 E"),425,IF(OR(Atletas!O521="Chen 25 E",Atletas!O521="Chen 36 E",Atletas!O521="Chen 56 E"),426,IF(Atletas!O521="Sun 73 E",427,IF(Atletas!O521="Wu 45 E",428,IF(Atletas!O521="Wu-Hao 46 E",429,IF(OR(Atletas!O521="Taijiquan 16 E",Atletas!O521="Taijiquan 24 E",Atletas!O521="Taijiquan 32 E",Atletas!O521="Taijiquan 42 E"),430,IF(OR(Atletas!O521="Yang 26 F",Atletas!O521="Yang 40 F"),431,IF(OR(Atletas!O521="Chen 25 F",Atletas!O521="Chen 36 F",Atletas!O521="Chen 56 F"),432,IF(Atletas!O521="Sun 73 F",433,IF(Atletas!O521="Wu 45 F",434,IF(Atletas!O521="Wu-Hao 46 F",435,IF(OR(Atletas!O521="Taijiquan 16 F",Atletas!O521="Taijiquan 24 F",Atletas!O521="Taijiquan 32 F",Atletas!O521="Taijiquan 42 F"),436,0)))))))))))))))))))</f>
        <v/>
      </c>
      <c r="BR525" s="52" t="str">
        <f>IF(Atletas!P521="","",IF(Atletas!W521&lt;&gt;"",10000,0)+IF(Atletas!B521="Feminino",1000,IF(Atletas!B521="Masculino",2000,""))+IF(Atletas!P521="Xingyiquan A",501,IF(Atletas!P521="Baguazhang A",502,IF(Atletas!P521="Outro Estilo Interno A",503,IF(Atletas!P521="Xingyiquan B",504,IF(Atletas!P521="Baguazhang B",505,IF(Atletas!P521="Outro Estilo Interno B",506,IF(Atletas!P521="Xingyiquan C",507,IF(Atletas!P521="Baguazhang C",508,IF(Atletas!P521="Outro Estilo Interno C",509,IF(Atletas!P521="Xingyiquan D",510,IF(Atletas!P521="Baguazhang D",511,IF(Atletas!P521="Outro Estilo Interno D",512,IF(Atletas!P521="Xingyiquan E",513,IF(Atletas!P521="Baguazhang E",514,IF(Atletas!P521="Outro Estilo Interno E",515,IF(Atletas!P521="Xingyiquan F",516,IF(Atletas!P521="Baguazhang F",517,IF(Atletas!P521="Outro Estilo Interno F",518, "")))))))))))))))))))</f>
        <v/>
      </c>
      <c r="BS525" s="52" t="str">
        <f>IF(Atletas!Q521="","",IF(Atletas!W521&lt;&gt;"",10000,0)+IF(Atletas!B521="Feminino",1000,IF(Atletas!B521="Masculino",2000,""))+IF(Atletas!Q521="Dao A",601,IF(Atletas!Q521="Jian A",602,IF(Atletas!Q521="Bishou A",603,IF(Atletas!Q521="Shan A",604,IF(Atletas!Q521="Outra Arma Curta A",605,IF(Atletas!Q521="Dao B",606,IF(Atletas!Q521="Jian B",607,IF(Atletas!Q521="Bishou B",608,IF(Atletas!Q521="Shan B",609,IF(Atletas!Q521="Outra Arma Curta B",610,IF(Atletas!Q521="Dao C",611,IF(Atletas!Q521="Jian C",612,IF(Atletas!Q521="Bishou C",613,IF(Atletas!Q521="Shan C",614,IF(Atletas!Q521="Outra Arma Curta C",615,IF(Atletas!Q521="Dao D",616,IF(Atletas!Q521="Jian D",617,IF(Atletas!Q521="Bishou D",618,IF(Atletas!Q521="Shan D",619,IF(Atletas!Q521="Outra Arma Curta D",620,IF(Atletas!Q521="Dao E",621,IF(Atletas!Q521="Jian E",622,IF(Atletas!Q521="Bishou E",623,IF(Atletas!Q521="Shan E",624,IF(Atletas!Q521="Outra Arma Curta E",625,IF(Atletas!Q521="Dao F",626,IF(Atletas!Q521="Jian F",627,IF(Atletas!Q521="Bishou F",628,IF(Atletas!Q521="Shan F",629,IF(Atletas!Q521="Outra Arma Curta F",630, "")))))))))))))))))))))))))))))))</f>
        <v/>
      </c>
      <c r="BT525" s="52" t="str">
        <f>IF(Atletas!R521="","",IF(Atletas!W521&lt;&gt;"",10000,0)+IF(Atletas!B521="Feminino",1000,IF(Atletas!B521="Masculino",2000,""))+IF(Atletas!R521="Gun A",701,IF(Atletas!R521="Qiang A",702,IF(Atletas!R521="Pudao / Guandao A",703,IF(Atletas!R521="Outra Arma Longa A",704,IF(Atletas!R521="Gun B",705,IF(Atletas!R521="Qiang B",706,IF(Atletas!R521="Pudao / Guandao B",707,IF(Atletas!R521="Outra Arma Longa B",708,IF(Atletas!R521="Gun C",709,IF(Atletas!R521="Qiang C",710,IF(Atletas!R521="Pudao / Guandao C",711,IF(Atletas!R521="Outra Arma Longa C",712,IF(Atletas!R521="Gun D",713,IF(Atletas!R521="Qiang D",714,IF(Atletas!R521="Pudao / Guandao D",715,IF(Atletas!R521="Outra Arma Longa D",716,IF(Atletas!R521="Gun E",717,IF(Atletas!R521="Qiang E",718,IF(Atletas!R521="Pudao / Guandao E",719,IF(Atletas!R521="Outra Arma Longa E",720,IF(Atletas!R521="Gun F",721,IF(Atletas!R521="Qiang F",722,IF(Atletas!R521="Pudao / Guandao F",723,IF(Atletas!R521="Outra Arma Longa F",724,"")))))))))))))))))))))))))</f>
        <v/>
      </c>
      <c r="BU525" s="52" t="str">
        <f>IF(Atletas!S521="","",IF(Atletas!W521&lt;&gt;"",10000,0)+IF(Atletas!B521="Feminino",1000,IF(Atletas!B521="Masculino",2000,""))+IF(Atletas!S521="Arma Dupla A",801,IF(Atletas!S521="Arma Maleável A",802,IF(Atletas!S521="Arma Dupla B",803,IF(Atletas!S521="Arma Maleável B",804,IF(Atletas!S521="Arma Dupla C",805,IF(Atletas!S521="Arma Maleável C",806,IF(Atletas!S521="Arma Dupla D",807,IF(Atletas!S521="Arma Maleável D",808,IF(Atletas!S521="Arma Dupla E",809,IF(Atletas!S521="Arma Maleável E",810,IF(Atletas!S521="Arma Dupla F",811,IF(Atletas!S521="Arma Maleável F",812, "")))))))))))))</f>
        <v/>
      </c>
      <c r="BV525" s="52" t="str">
        <f>IF(Atletas!T521="","",IF(Atletas!W521&lt;&gt;"",10000,0)+IF(Atletas!B521="Feminino",1000,IF(Atletas!B521="Masculino",2000,""))+IF(Atletas!T521="Taijijian Yang A",901,IF(Atletas!T521="Taijijian Chen A",902,IF(Atletas!T521="Taijijian Sun A",903,IF(Atletas!T521="Taijijian Wu A",904,IF(Atletas!T521="Taijijian Wu-Hao A",905,IF(Atletas!T521="Taijijian 32 A",906,IF(Atletas!T521="Taijijian 42 A",907,IF(Atletas!T521="Taijijian Yang B",908,IF(Atletas!T521="Taijijian Chen B",909,IF(Atletas!T521="Taijijian Sun B",910,IF(Atletas!T521="Taijijian Wu B",911,IF(Atletas!T521="Taijijian Wu-Hao B",912,IF(Atletas!T521="Taijijian 32 B",913,IF(Atletas!T521="Taijijian 42 B",914,IF(Atletas!T521="Taijijian Yang C",915,IF(Atletas!T521="Taijijian Chen C",916,IF(Atletas!T521="Taijijian Sun C",917,IF(Atletas!T521="Taijijian Wu C",918,IF(Atletas!T521="Taijijian Wu-Hao C",919,IF(Atletas!T521="Taijijian 32 C",920,IF(Atletas!T521="Taijijian 42 C",921,IF(Atletas!T521="Taijijian Yang D",922,IF(Atletas!T521="Taijijian Chen D",923,IF(Atletas!T521="Taijijian Sun D",924,IF(Atletas!T521="Taijijian Wu D",925,IF(Atletas!T521="Taijijian Wu-Hao D",926,IF(Atletas!T521="Taijijian 32 D",927,IF(Atletas!T521="Taijijian 42 D",928,IF(Atletas!T521="Taijijian Yang E",929,IF(Atletas!T521="Taijijian Chen E",930,IF(Atletas!T521="Taijijian Sun E",931,IF(Atletas!T521="Taijijian Wu E",932,IF(Atletas!T521="Taijijian Wu-Hao E",933,IF(Atletas!T521="Taijijian 32 E",934,IF(Atletas!T521="Taijijian 42 E",935,IF(Atletas!T521="Taijijian Yang F",936,IF(Atletas!T521="Taijijian Chen F",937,IF(Atletas!T521="Taijijian Sun F",938,IF(Atletas!T521="Taijijian Wu F",939,IF(Atletas!T521="Taijijian Wu-Hao F",940,IF(Atletas!T521="Taijijian 32 F",941,IF(Atletas!T521="Taijijian 42 F",942,"")))))))))))))))))))))))))))))))))))))))))))</f>
        <v/>
      </c>
      <c r="BW525" s="52" t="str">
        <f>IF(Atletas!U521="","",IF(Atletas!W521&lt;&gt;"",10000,0)+IF(Atletas!B521="Feminino",1000,IF(Atletas!B521="Masculino",2000,""))+IF(Atletas!T521="Taijijian 42 F",942,IF(Atletas!U521="Taijidao A",943,IF(Atletas!U521="Taijishan A",944,IF(Atletas!U521="Taijiqiang A",945,IF(Atletas!U521="Taijidao B",946,IF(Atletas!U521="Taijishan B",947,IF(Atletas!U521="Taijiqiang B",948,IF(Atletas!U521="Taijidao C",949,IF(Atletas!U521="Taijishan C",950,IF(Atletas!U521="Taijiqiang C",951,IF(Atletas!U521="Taijidao D",952,IF(Atletas!U521="Taijishan D",953,IF(Atletas!U521="Taijiqiang D",954,IF(Atletas!U521="Taijidao E",955,IF(Atletas!U521="Taijishan E",956,IF(Atletas!U521="Taijiqiang E",957,IF(Atletas!U521="Taijidao F",958,IF(Atletas!U521="Taijishan F",959,IF(Atletas!U521="Taijiqiang F",960))))))))))))))))))))</f>
        <v/>
      </c>
      <c r="CF525" s="52" t="str">
        <f xml:space="preserve"> IF(Atletas!V521="","",IF(Atletas!V521="Duilian de Mãos AB - Equipe 1",1,IF(Atletas!V521="Duilian de Mãos AB - Equipe 2",2,IF(Atletas!V521="Duilian de Armas AB - Equipe 1",3,IF(Atletas!V521="Duilian de Armas AB - Equipe 2",4,IF(Atletas!V521="Duilian de Tuishou - Equipe 1",5,IF(Atletas!V521="Duilian de Tuishou - Equipe 2",6,IF(Atletas!V521="Grupo Externo AB - Equipe 1",7,IF(Atletas!V521="Grupo Externo AB - Equipe 2",8,IF(Atletas!V521="Grupo Interno AB - Equipe 1",9,IF(Atletas!V521="Grupo Interno AB - Equipe 2",10,IF(Atletas!V521="Duilian de Mãos CD - Equipe 1",11,IF(Atletas!V521="Duilian de Mãos CD - Equipe 2",12,IF(Atletas!V521="Duilian de Armas CD - Equipe 1",13,IF(Atletas!V521="Duilian de Armas CD - Equipe 2",14,IF(Atletas!V521="Duilian de Tuishou - Equipe 1",15,IF(Atletas!V521="Duilian de Tuishou - Equipe 2",16,IF(Atletas!V521="Grupo Externo CDEF - Equipe 1",17,IF(Atletas!V521="Grupo Externo CDEF - Equipe 2",18,IF(Atletas!V521="Grupo Interno CDEF - Equipe 1",19,IF(Atletas!V521="Grupo Interno CDEF - Equipe 2",20,IF(Atletas!V521="Duilian de Mãos EF - Equipe 1",21,IF(Atletas!V521="Duilian de Mãos EF - Equipe 2",22,IF(Atletas!V521="Duilian de Armas EF - Equipe 1",23,IF(Atletas!V521="Duilian de Armas EF - Equipe 2",24,IF(Atletas!V521="Duilian de Tuishou - Equipe 1",25,IF(Atletas!V521="Duilian de Tuishou - Equipe 2",26,"")))))))))))))))))))))))))))</f>
        <v/>
      </c>
    </row>
    <row r="526" spans="36:84">
      <c r="AJ526" s="46" t="str">
        <f>IF(Atletas!D522="","",IF(Atletas!B522="Feminino",100,IF(Atletas!B522="Masculino",200,""))+(IF(Atletas!D522="Infantil 39kg",1,IF(Atletas!D522="Infantil 42kg",2,IF(Atletas!D522="Infantil 45kg",3,IF(Atletas!D522="Infantil 48kg",4,IF(Atletas!D522="Infantil 52kg",5,IF(Atletas!D522="Infantil 56kg",6,IF(Atletas!D522="Infantil 60kg",7,IF(Atletas!D522="Juvenil 48kg",8,IF(Atletas!D522="Juvenil 52kg",9,IF(Atletas!D522="Juvenil 56kg",10,IF(Atletas!D522="Juvenil 60kg",11,IF(Atletas!D522="Juvenil 65kg",12,IF(Atletas!D522="Juvenil 70kg",13,IF(Atletas!D522="Juvenil 75kg",14,IF(Atletas!D522="Juvenil 80kg",15,IF(Atletas!D522="Adulto 48kg",16,IF(Atletas!D522="Adulto 52kg",17,IF(Atletas!D522="Adulto 56kg",18,IF(Atletas!D522="Adulto 60kg",19,IF(Atletas!D522="Adulto 65kg",20,IF(Atletas!D522="Adulto 70kg",21,IF(Atletas!D522="Adulto 75kg",22,IF(Atletas!D522="Adulto 80kg",23,IF(Atletas!D522="Adulto 85kg",24,IF(Atletas!D522="Adulto 90kg",25,IF(Atletas!D522="Adulto +90kg",26,""))))))))))))))))))))))))))))</f>
        <v/>
      </c>
      <c r="AO526" s="10" t="str">
        <f>IF(Atletas!E522="","",IF(Atletas!B522="Feminino",100,IF(Atletas!B522="Masculino",200,""))+(IF(Atletas!E522="Juvenil 44kg",1,IF(Atletas!E522="Juvenil 48kg",2,IF(Atletas!E522="Juvenil 52kg",3,IF(Atletas!E522="Juvenil 56kg",4,IF(Atletas!E522="Juvenil 60kg",5,IF(Atletas!E522="Juvenil 65kg",6,IF(Atletas!E522="Juvenil 70kg",7,IF(Atletas!E522="Juvenil 75kg",8,IF(Atletas!E522="Juvenil 82kg",9,IF(Atletas!E522="Juvenil 90kg",10,IF(Atletas!E522="Juvenil 100kg",11,IF(Atletas!E522="Adulto 48kg",12,IF(Atletas!E522="Adulto 52kg",13,IF(Atletas!E522="Adulto 56kg",14,IF(Atletas!E522="Adulto 60kg",15,IF(Atletas!E522="Adulto 65kg",16,IF(Atletas!E522="Adulto 70kg",17,IF(Atletas!E522="Adulto 75kg",18,IF(Atletas!E522="Adulto 82kg",19,IF(Atletas!E522="Adulto 90kg",20,IF(Atletas!E522="Adulto 100kg",21,IF(Atletas!E522="Adulto +100kg",22,""))))))))))))))))))))))))</f>
        <v/>
      </c>
      <c r="AT526" s="10" t="str">
        <f>IF(Atletas!F522="","",IF(Atletas!B522="Feminino",100,IF(Atletas!B522="Masculino",200,""))+(IF(Atletas!F522="Adulto 48kg",1,IF(Atletas!F522="Adulto 56kg",2,IF(Atletas!F522="Adulto 65kg",3,IF(Atletas!F522="Adulto 75kg",4,IF(Atletas!F522="Adulto +75kg",5,IF(Atletas!F522="Adulto 52kg",6,IF(Atletas!F522="Adulto 60kg",7,IF(Atletas!F522="Adulto 70kg",8,IF(Atletas!F522="Adulto 80kg",9,IF(Atletas!F522="Adulto 90kg",10,IF(Atletas!F522="Adulto +90kg",11,"")))))))))))))</f>
        <v/>
      </c>
      <c r="AY526" s="46" t="str">
        <f>IF(Atletas!G522="","",IF(Atletas!B522="Feminino",100,IF(Atletas!B522="Masculino",200,""))+(IF(Atletas!G522="Changquan Mirim",1,IF(Atletas!G522="Nanquan Mirim",2,IF(Atletas!G522="Taijiquan Mirim",3,IF(Atletas!G522="Changquan Grupo C",4,IF(Atletas!G522="Nanquan Grupo C",5,IF(Atletas!G522="Taijiquan Grupo C",6,IF(Atletas!G522="Changquan Grupo B",7,IF(Atletas!G522="Nanquan Grupo B",8,IF(Atletas!G522="Taijiquan Grupo B",9,IF(Atletas!G522="Changquan Grupo A",10,IF(Atletas!G522="Nanquan Grupo A",11,IF(Atletas!G522="Taijiquan Grupo A",12,IF(Atletas!G522="Changquan Opcional",13,IF(Atletas!G522="Nanquan Opcional",14,IF(Atletas!G522="Taijiquan Opcional",15,IF(Atletas!G522="Changquan Adulto",16,IF(Atletas!G522="Nanquan Adulto",17,IF(Atletas!G522="Taijiquan Adulto",18,""))))))))))))))))))))</f>
        <v/>
      </c>
      <c r="AZ526" s="46" t="str">
        <f>IF(Atletas!H522="","",IF(Atletas!B522="Feminino",100,IF(Atletas!B522="Masculino",200,""))+(IF(Atletas!H522="Daoshu Mirim",19,IF(Atletas!H522="Jianshu Mirim",20,IF(Atletas!H522="Nandao Mirim",21,IF(Atletas!H522="Taijijian Mirim",22,IF(Atletas!H522="Daoshu Grupo C",23,IF(Atletas!H522="Jianshu Grupo C",24,IF(Atletas!H522="Nandao Grupo C",25,IF(Atletas!H522="Taijijian Grupo C",26,IF(Atletas!H522="Daoshu Grupo B",27,IF(Atletas!H522="Jianshu Grupo B",28,IF(Atletas!H522="Nandao Grupo B",29,IF(Atletas!H522="Taijijian Grupo B",30,IF(Atletas!H522="Daoshu Grupo A",31,IF(Atletas!H522="Jianshu Grupo A",32,IF(Atletas!H522="Nandao Grupo A",33,IF(Atletas!H522="Taijijian Grupo A",34,IF(Atletas!H522="Daoshu Opcional",35,IF(Atletas!H522="Jianshu Opcional",36,IF(Atletas!H522="Nandao Opcional",37,IF(Atletas!H522="Taijijian Opcional",38,IF(Atletas!H522="Daoshu Adulto",39,IF(Atletas!H522="Jianshu Adulto",40,IF(Atletas!H522="Nandao Adulto",41,IF(Atletas!H522="Taijijian Adulto",42,""))))))))))))))))))))))))))</f>
        <v/>
      </c>
      <c r="BA526" s="46" t="str">
        <f>IF(Atletas!I522="","",IF(Atletas!B522="Feminino",100,IF(Atletas!B522="Masculino",200,""))+(IF(Atletas!I522="Gunshu Mirim",43,IF(Atletas!I522="Qiangshu Mirim",44,IF(Atletas!I522="Nangun Mirim",45,IF(Atletas!I522="Gunshu Grupo C",46,IF(Atletas!I522="Qiangshu Grupo C",47,IF(Atletas!I522="Nangun Grupo C",48,IF(Atletas!I522="Gunshu Grupo B",49,IF(Atletas!I522="Qiangshu Grupo B",50,IF(Atletas!I522="Nangun Grupo B",51,IF(Atletas!I522="Gunshu Grupo A",52,IF(Atletas!I522="Qiangshu Grupo A",53,IF(Atletas!I522="Nangun Grupo A",54,IF(Atletas!I522="Gunshu Opcional",55,IF(Atletas!I522="Qiangshu Opcional",56,IF(Atletas!I522="Nangun Opcional",57,IF(Atletas!I522="Gunshu Adulto",58,IF(Atletas!I522="Qiangshu Adulto",59,IF(Atletas!I522="Nangun Adulto",60,""))))))))))))))))))))</f>
        <v/>
      </c>
      <c r="BF526" s="52" t="str">
        <f>IF(Atletas!J522="","",IF(Atletas!B522="Feminino",100,IF(Atletas!B522="Masculino",200,""))+(IF(Atletas!J522="Equipe 1 Grupo B",1,IF(Atletas!J522="Equipe 2 Grupo B",2,IF(Atletas!J522="Equipe 1 Grupo A",3,IF(Atletas!J522="Equipe 2 Grupo A",4,IF(Atletas!J522="Equipe 1 Adulto",5,IF(Atletas!J522="Equipe 2 Adulto",6,""))))))))</f>
        <v/>
      </c>
      <c r="BK526" s="52" t="str">
        <f>IF(Atletas!K522="","",IF(Atletas!W522&lt;&gt;"",10000,0)+(IF(Atletas!B522="Feminino",1000,IF(Atletas!B522="Masculino",2000,""))+IF(Atletas!K522="Choylayfut A",1,IF(Atletas!K522="Hunggar A",2,IF(Atletas!K522="Wuzuquan A",3,IF(Atletas!K522="Wingchun A",4,IF(Atletas!K522="Outra Mão de Sul A",5,IF(Atletas!K522="Choylayfut B",6,IF(Atletas!K522="Hunggar B",7,IF(Atletas!K522="Wuzuquan B",8,IF(Atletas!K522="Wingchun B",9,IF(Atletas!K522="Outra Mão de Sul B",10,IF(Atletas!K522="Choylayfut C",11,IF(Atletas!K522="Hunggar C",12,IF(Atletas!K522="Wuzuquan C",13,IF(Atletas!K522="Wingchun C",14,IF(Atletas!K522="Outra Mão de Sul C",15,IF(Atletas!K522="Choylayfut D",16,IF(Atletas!K522="Hunggar D",17,IF(Atletas!K522="Wuzuquan D",18,IF(Atletas!K522="Wingchun D",19,IF(Atletas!K522="Outra Mão de Sul D",20,IF(Atletas!K522="Choylayfut E",21,IF(Atletas!K522="Hunggar E",22,IF(Atletas!K522="Wuzuquan E",23,IF(Atletas!K522="Wingchun E",24,IF(Atletas!K522="Outra Mão de Sul E",25,IF(Atletas!K522="Choylayfut F",26,IF(Atletas!K522="Hunggar F",27,IF(Atletas!K522="Wuzuquan F",28,IF(Atletas!K522="Wingchun F",29,IF(Atletas!K522="Outra Mão de Sul F",30,""))))))))))))))))))))))))))))))))</f>
        <v/>
      </c>
      <c r="BL526" s="52" t="str">
        <f>IF(Atletas!L522="","",IF(Atletas!W522&lt;&gt;"",10000,0)+(IF(Atletas!B522="Feminino",1000,IF(Atletas!B522="Masculino",2000,""))+(IF(Atletas!L522="Chaquan A",101,IF(Atletas!L522="Emeiquan A",102,IF(Atletas!L522="Fanziquan A",103,IF(Atletas!L522="Huaquan A",104,IF(Atletas!L522="Hongquan A",105,IF(Atletas!L522="Paochui A",106,IF(Atletas!L522="Piguaquan A",107,IF(Atletas!L522="Shaolinquan A",108,IF(Atletas!L522="Tanglangquan A",109,IF(Atletas!L522="Yinzhaophai A",110,IF(Atletas!L522="Tongbeiquan A",111,IF(Atletas!L522="Wudangquan A",112,IF(Atletas!L522="Outros Estilos A",113,IF(Atletas!L522="Chaquan B",114,IF(Atletas!L522="Emeiquan B",115,IF(Atletas!L522="Fanziquan B",116,IF(Atletas!L522="Huaquan B",117,IF(Atletas!L522="Hongquan B",118,IF(Atletas!L522="Paochui B",119,IF(Atletas!L522="Piguaquan B",120,IF(Atletas!L522="Shaolinquan B",121,IF(Atletas!L522="Tanglangquan B",122,IF(Atletas!L522="Yinzhaophai B",123,IF(Atletas!L522="Tongbeiquan B",124,IF(Atletas!L522="Wudangquan B",125,IF(Atletas!L522="Outros Estilos B",126,IF(Atletas!L522="Chaquan C",127,IF(Atletas!L522="Emeiquan C",128,IF(Atletas!L522="Fanziquan C",129,IF(Atletas!L522="Huaquan C",130,IF(Atletas!L522="Hongquan C",131,IF(Atletas!L522="Paochui C",132,IF(Atletas!L522="Piguaquan C",133,IF(Atletas!L522="Shaolinquan C",134,IF(Atletas!L522="Tanglangquan C",135,IF(Atletas!L522="Yinzhaophai C",136,IF(Atletas!L522="Tongbeiquan C",137,IF(Atletas!L522="Wudangquan C",138,IF(Atletas!L522="Outros Estilos C",139,0))))))))))))))))))))))))))))))))))))))))))</f>
        <v/>
      </c>
      <c r="BM526" s="52" t="str">
        <f>IF(Atletas!L522="","",IF(Atletas!W522&lt;&gt;"",10000,0)+(IF(Atletas!B522="Feminino",1000,IF(Atletas!B522="Masculino",2000,""))+(IF(Atletas!L522="Chaquan D",140,IF(Atletas!L522="Emeiquan D",141,IF(Atletas!L522="Fanziquan D",142,IF(Atletas!L522="Huaquan D",143,IF(Atletas!L522="Hongquan D",144,IF(Atletas!L522="Paochui D",145,IF(Atletas!L522="Piguaquan D",146,IF(Atletas!L522="Shaolinquan D",147,IF(Atletas!L522="Tanglangquan D",148,IF(Atletas!L522="Yinzhaophai D",149,IF(Atletas!L522="Tongbeiquan D",150,IF(Atletas!L522="Wudangquan D",151,IF(Atletas!L522="Outros Estilos D",152,IF(Atletas!L522="Chaquan E",153,IF(Atletas!L522="Emeiquan E",154,IF(Atletas!L522="Fanziquan E",155,IF(Atletas!L522="Huaquan E",156,IF(Atletas!L522="Hongquan E",157,IF(Atletas!L522="Paochui E",158,IF(Atletas!L522="Piguaquan E",159,IF(Atletas!L522="Shaolinquan E",160,IF(Atletas!L522="Tanglangquan E",161,IF(Atletas!L522="Yinzhaophai E",162,IF(Atletas!L522="Tongbeiquan E",163,IF(Atletas!L522="Wudangquan E",164,IF(Atletas!L522="Outros Estilos E",165,IF(Atletas!L522="Chaquan F",166,IF(Atletas!L522="Emeiquan F",167,IF(Atletas!L522="Fanziquan F",168,IF(Atletas!L522="Huaquan F",169,IF(Atletas!L522="Hongquan F",170,IF(Atletas!L522="Paochui F",171,IF(Atletas!L522="Piguaquan F",172,IF(Atletas!L522="Shaolinquan F",173,IF(Atletas!L522="Tanglangquan F",174,IF(Atletas!L522="Yinzhaophai F",175,IF(Atletas!L522="Tongbeiquan F",176,IF(Atletas!L522="Wudangquan F",177,IF(Atletas!L522="Outros Estilos F",178,0))))))))))))))))))))))))))))))))))))))))))</f>
        <v/>
      </c>
      <c r="BN526" s="52" t="str">
        <f>IF(Atletas!M522="","",IF(Atletas!W522&lt;&gt;"",10000,0)+(IF(Atletas!B522="Feminino",1000,IF(Atletas!B522="Masculino",2000,""))+(IF(Atletas!M522="Ditangquan A",201,IF(Atletas!M522="Houquan A",202,IF(Atletas!M522="Zuiquan A",203,IF(Atletas!M522="Ditangquan B",204,IF(Atletas!M522="Houquan B",205,IF(Atletas!M522="Zuiquan B",206,IF(Atletas!M522="Ditangquan C",207,IF(Atletas!M522="Houquan C",208,IF(Atletas!M522="Zuiquan C",209,IF(Atletas!M522="Ditangquan D",210,IF(Atletas!M522="Houquan D",211,IF(Atletas!M522="Zuiquan D",212,IF(Atletas!M522="Ditangquan E",213,IF(Atletas!M522="Houquan E",214,IF(Atletas!M522="Zuiquan E",215,IF(Atletas!M522="Ditangquan F",216,IF(Atletas!M522="Houquan F",217,IF(Atletas!M522="Zuiquan F",218,"")))))))))))))))))))))</f>
        <v/>
      </c>
      <c r="BO526" s="52" t="str">
        <f>IF(Atletas!N522="","",IF(Atletas!W522&lt;&gt;"",10000,0)+IF(Atletas!B522="Feminino",1000,IF(Atletas!B522="Masculino",2000,""))+IF(Atletas!N522="Yang A",301,IF(Atletas!N522="Chen A",30,IF(Atletas!N522="Sun A",303,IF(Atletas!N522="Wu A",304,IF(Atletas!N522="Wu-Hao A",305,IF(Atletas!N522="Outro Taijiquan A",306,IF(Atletas!N522="Yang B",307,IF(Atletas!N522="Chen B",308,IF(Atletas!N522="Sun B",309,IF(Atletas!N522="Wu B",310,IF(Atletas!N522="Wu-Hao B",311,IF(Atletas!N522="Outro Taijiquan B",312,IF(Atletas!N522="Yang C",313,IF(Atletas!N522="Chen C",314,IF(Atletas!N522="Sun C",315,IF(Atletas!N522="Wu C",316,IF(Atletas!N522="Wu-Hao C",317,IF(Atletas!N522="Outro Taijiquan C",318,IF(Atletas!N522="Yang D",319,IF(Atletas!N522="Chen D",320,IF(Atletas!N522="Sun D",321,IF(Atletas!N522="Wu D",322,IF(Atletas!N522="Wu-Hao D",323,IF(Atletas!N522="Outro Taijiquan D",324,IF(Atletas!N522="Yang E",325,IF(Atletas!N522="Chen E",326,IF(Atletas!N522="Sun E",327,IF(Atletas!N522="Wu E",328,IF(Atletas!N522="Wu-Hao E",329,IF(Atletas!N522="Outro Taijiquan E",330,IF(Atletas!N522="Yang F",331,IF(Atletas!N522="Chen F",332,IF(Atletas!N522="Sun F",333,IF(Atletas!N522="Wu F",334,IF(Atletas!N522="Wu-Hao F",335,IF(Atletas!N522="Outro Taijiquan F",336,"")))))))))))))))))))))))))))))))))))))</f>
        <v/>
      </c>
      <c r="BP526" s="52" t="str">
        <f>IF(Atletas!O522="","",IF(Atletas!W522&lt;&gt;"",10000,0)+IF(Atletas!B522="Feminino",1000,IF(Atletas!B522="Masculino",2000,""))+IF(OR(Atletas!O522="Yang 26 A",Atletas!O522="Yang 40 A"),401,IF(OR(Atletas!O522="Chen 25 A",Atletas!O522="Chen 36 A",Atletas!O522="Chen 56 A"),402,IF(Atletas!O522="Sun 73 A",403,IF(Atletas!O522="Wu 45 A",404,IF(Atletas!O522="Wu-Hao 46 A",405,IF(OR(Atletas!O522="Taijiquan 16 A",Atletas!O522="Taijiquan 24 A",Atletas!O522="Taijiquan 32 A",Atletas!O522="Taijiquan 42 A"),406,IF(OR(Atletas!O522="Yang 26 B",Atletas!O522="Yang 40 B"),407,IF(OR(Atletas!O522="Chen 25 B",Atletas!O522="Chen 36 B",Atletas!O522="Chen 56 B"),408,IF(Atletas!O522="Sun 73 B",409,IF(Atletas!O522="Wu 45 B",410,IF(Atletas!O522="Wu-Hao 46 B",411,IF(OR(Atletas!O522="Taijiquan 16 B",Atletas!O522="Taijiquan 24 B",Atletas!O522="Taijiquan 32 B",Atletas!O522="Taijiquan 42 B"),412,IF(OR(Atletas!O522="Yang 26 C",Atletas!O522="Yang 40 C"),413,IF(OR(Atletas!O522="Chen 25 C",Atletas!O522="Chen 36 C",Atletas!O522="Chen 56 C"),414,IF(Atletas!O522="Sun 73 C",415,IF(Atletas!O522="Wu 45 C",416,IF(Atletas!O522="Wu-Hao 46 C",417,IF(OR(Atletas!O522="Taijiquan 16 C",Atletas!O522="Taijiquan 24 C",Atletas!O522="Taijiquan 32 C",Atletas!O522="Taijiquan 42 C"),418,0)))))))))))))))))))</f>
        <v/>
      </c>
      <c r="BQ526" s="52" t="str">
        <f>IF(Atletas!O522="","",IF(Atletas!W522&lt;&gt;"",10000,0)+IF(Atletas!B522="Feminino",1000,IF(Atletas!B522="Masculino",2000,""))+IF(OR(Atletas!O522="Yang 26 D",Atletas!O522="Yang 40 D"),419,IF(OR(Atletas!O522="Chen 25 D",Atletas!O522="Chen 36 D",Atletas!O522="Chen 56 D"),420,IF(Atletas!O522="Sun 73 D",421,IF(Atletas!O522="Wu 45 D",422,IF(Atletas!O522="Wu-Hao 46 D",423,IF(OR(Atletas!O522="Taijiquan 16 D",Atletas!O522="Taijiquan 24 D",Atletas!O522="Taijiquan 32 D",Atletas!O522="Taijiquan 42 D"),424,IF(OR(Atletas!O522="Yang 26 E",Atletas!O522="Yang 40 E"),425,IF(OR(Atletas!O522="Chen 25 E",Atletas!O522="Chen 36 E",Atletas!O522="Chen 56 E"),426,IF(Atletas!O522="Sun 73 E",427,IF(Atletas!O522="Wu 45 E",428,IF(Atletas!O522="Wu-Hao 46 E",429,IF(OR(Atletas!O522="Taijiquan 16 E",Atletas!O522="Taijiquan 24 E",Atletas!O522="Taijiquan 32 E",Atletas!O522="Taijiquan 42 E"),430,IF(OR(Atletas!O522="Yang 26 F",Atletas!O522="Yang 40 F"),431,IF(OR(Atletas!O522="Chen 25 F",Atletas!O522="Chen 36 F",Atletas!O522="Chen 56 F"),432,IF(Atletas!O522="Sun 73 F",433,IF(Atletas!O522="Wu 45 F",434,IF(Atletas!O522="Wu-Hao 46 F",435,IF(OR(Atletas!O522="Taijiquan 16 F",Atletas!O522="Taijiquan 24 F",Atletas!O522="Taijiquan 32 F",Atletas!O522="Taijiquan 42 F"),436,0)))))))))))))))))))</f>
        <v/>
      </c>
      <c r="BR526" s="52" t="str">
        <f>IF(Atletas!P522="","",IF(Atletas!W522&lt;&gt;"",10000,0)+IF(Atletas!B522="Feminino",1000,IF(Atletas!B522="Masculino",2000,""))+IF(Atletas!P522="Xingyiquan A",501,IF(Atletas!P522="Baguazhang A",502,IF(Atletas!P522="Outro Estilo Interno A",503,IF(Atletas!P522="Xingyiquan B",504,IF(Atletas!P522="Baguazhang B",505,IF(Atletas!P522="Outro Estilo Interno B",506,IF(Atletas!P522="Xingyiquan C",507,IF(Atletas!P522="Baguazhang C",508,IF(Atletas!P522="Outro Estilo Interno C",509,IF(Atletas!P522="Xingyiquan D",510,IF(Atletas!P522="Baguazhang D",511,IF(Atletas!P522="Outro Estilo Interno D",512,IF(Atletas!P522="Xingyiquan E",513,IF(Atletas!P522="Baguazhang E",514,IF(Atletas!P522="Outro Estilo Interno E",515,IF(Atletas!P522="Xingyiquan F",516,IF(Atletas!P522="Baguazhang F",517,IF(Atletas!P522="Outro Estilo Interno F",518, "")))))))))))))))))))</f>
        <v/>
      </c>
      <c r="BS526" s="52" t="str">
        <f>IF(Atletas!Q522="","",IF(Atletas!W522&lt;&gt;"",10000,0)+IF(Atletas!B522="Feminino",1000,IF(Atletas!B522="Masculino",2000,""))+IF(Atletas!Q522="Dao A",601,IF(Atletas!Q522="Jian A",602,IF(Atletas!Q522="Bishou A",603,IF(Atletas!Q522="Shan A",604,IF(Atletas!Q522="Outra Arma Curta A",605,IF(Atletas!Q522="Dao B",606,IF(Atletas!Q522="Jian B",607,IF(Atletas!Q522="Bishou B",608,IF(Atletas!Q522="Shan B",609,IF(Atletas!Q522="Outra Arma Curta B",610,IF(Atletas!Q522="Dao C",611,IF(Atletas!Q522="Jian C",612,IF(Atletas!Q522="Bishou C",613,IF(Atletas!Q522="Shan C",614,IF(Atletas!Q522="Outra Arma Curta C",615,IF(Atletas!Q522="Dao D",616,IF(Atletas!Q522="Jian D",617,IF(Atletas!Q522="Bishou D",618,IF(Atletas!Q522="Shan D",619,IF(Atletas!Q522="Outra Arma Curta D",620,IF(Atletas!Q522="Dao E",621,IF(Atletas!Q522="Jian E",622,IF(Atletas!Q522="Bishou E",623,IF(Atletas!Q522="Shan E",624,IF(Atletas!Q522="Outra Arma Curta E",625,IF(Atletas!Q522="Dao F",626,IF(Atletas!Q522="Jian F",627,IF(Atletas!Q522="Bishou F",628,IF(Atletas!Q522="Shan F",629,IF(Atletas!Q522="Outra Arma Curta F",630, "")))))))))))))))))))))))))))))))</f>
        <v/>
      </c>
      <c r="BT526" s="52" t="str">
        <f>IF(Atletas!R522="","",IF(Atletas!W522&lt;&gt;"",10000,0)+IF(Atletas!B522="Feminino",1000,IF(Atletas!B522="Masculino",2000,""))+IF(Atletas!R522="Gun A",701,IF(Atletas!R522="Qiang A",702,IF(Atletas!R522="Pudao / Guandao A",703,IF(Atletas!R522="Outra Arma Longa A",704,IF(Atletas!R522="Gun B",705,IF(Atletas!R522="Qiang B",706,IF(Atletas!R522="Pudao / Guandao B",707,IF(Atletas!R522="Outra Arma Longa B",708,IF(Atletas!R522="Gun C",709,IF(Atletas!R522="Qiang C",710,IF(Atletas!R522="Pudao / Guandao C",711,IF(Atletas!R522="Outra Arma Longa C",712,IF(Atletas!R522="Gun D",713,IF(Atletas!R522="Qiang D",714,IF(Atletas!R522="Pudao / Guandao D",715,IF(Atletas!R522="Outra Arma Longa D",716,IF(Atletas!R522="Gun E",717,IF(Atletas!R522="Qiang E",718,IF(Atletas!R522="Pudao / Guandao E",719,IF(Atletas!R522="Outra Arma Longa E",720,IF(Atletas!R522="Gun F",721,IF(Atletas!R522="Qiang F",722,IF(Atletas!R522="Pudao / Guandao F",723,IF(Atletas!R522="Outra Arma Longa F",724,"")))))))))))))))))))))))))</f>
        <v/>
      </c>
      <c r="BU526" s="52" t="str">
        <f>IF(Atletas!S522="","",IF(Atletas!W522&lt;&gt;"",10000,0)+IF(Atletas!B522="Feminino",1000,IF(Atletas!B522="Masculino",2000,""))+IF(Atletas!S522="Arma Dupla A",801,IF(Atletas!S522="Arma Maleável A",802,IF(Atletas!S522="Arma Dupla B",803,IF(Atletas!S522="Arma Maleável B",804,IF(Atletas!S522="Arma Dupla C",805,IF(Atletas!S522="Arma Maleável C",806,IF(Atletas!S522="Arma Dupla D",807,IF(Atletas!S522="Arma Maleável D",808,IF(Atletas!S522="Arma Dupla E",809,IF(Atletas!S522="Arma Maleável E",810,IF(Atletas!S522="Arma Dupla F",811,IF(Atletas!S522="Arma Maleável F",812, "")))))))))))))</f>
        <v/>
      </c>
      <c r="BV526" s="52" t="str">
        <f>IF(Atletas!T522="","",IF(Atletas!W522&lt;&gt;"",10000,0)+IF(Atletas!B522="Feminino",1000,IF(Atletas!B522="Masculino",2000,""))+IF(Atletas!T522="Taijijian Yang A",901,IF(Atletas!T522="Taijijian Chen A",902,IF(Atletas!T522="Taijijian Sun A",903,IF(Atletas!T522="Taijijian Wu A",904,IF(Atletas!T522="Taijijian Wu-Hao A",905,IF(Atletas!T522="Taijijian 32 A",906,IF(Atletas!T522="Taijijian 42 A",907,IF(Atletas!T522="Taijijian Yang B",908,IF(Atletas!T522="Taijijian Chen B",909,IF(Atletas!T522="Taijijian Sun B",910,IF(Atletas!T522="Taijijian Wu B",911,IF(Atletas!T522="Taijijian Wu-Hao B",912,IF(Atletas!T522="Taijijian 32 B",913,IF(Atletas!T522="Taijijian 42 B",914,IF(Atletas!T522="Taijijian Yang C",915,IF(Atletas!T522="Taijijian Chen C",916,IF(Atletas!T522="Taijijian Sun C",917,IF(Atletas!T522="Taijijian Wu C",918,IF(Atletas!T522="Taijijian Wu-Hao C",919,IF(Atletas!T522="Taijijian 32 C",920,IF(Atletas!T522="Taijijian 42 C",921,IF(Atletas!T522="Taijijian Yang D",922,IF(Atletas!T522="Taijijian Chen D",923,IF(Atletas!T522="Taijijian Sun D",924,IF(Atletas!T522="Taijijian Wu D",925,IF(Atletas!T522="Taijijian Wu-Hao D",926,IF(Atletas!T522="Taijijian 32 D",927,IF(Atletas!T522="Taijijian 42 D",928,IF(Atletas!T522="Taijijian Yang E",929,IF(Atletas!T522="Taijijian Chen E",930,IF(Atletas!T522="Taijijian Sun E",931,IF(Atletas!T522="Taijijian Wu E",932,IF(Atletas!T522="Taijijian Wu-Hao E",933,IF(Atletas!T522="Taijijian 32 E",934,IF(Atletas!T522="Taijijian 42 E",935,IF(Atletas!T522="Taijijian Yang F",936,IF(Atletas!T522="Taijijian Chen F",937,IF(Atletas!T522="Taijijian Sun F",938,IF(Atletas!T522="Taijijian Wu F",939,IF(Atletas!T522="Taijijian Wu-Hao F",940,IF(Atletas!T522="Taijijian 32 F",941,IF(Atletas!T522="Taijijian 42 F",942,"")))))))))))))))))))))))))))))))))))))))))))</f>
        <v/>
      </c>
      <c r="BW526" s="52" t="str">
        <f>IF(Atletas!U522="","",IF(Atletas!W522&lt;&gt;"",10000,0)+IF(Atletas!B522="Feminino",1000,IF(Atletas!B522="Masculino",2000,""))+IF(Atletas!T522="Taijijian 42 F",942,IF(Atletas!U522="Taijidao A",943,IF(Atletas!U522="Taijishan A",944,IF(Atletas!U522="Taijiqiang A",945,IF(Atletas!U522="Taijidao B",946,IF(Atletas!U522="Taijishan B",947,IF(Atletas!U522="Taijiqiang B",948,IF(Atletas!U522="Taijidao C",949,IF(Atletas!U522="Taijishan C",950,IF(Atletas!U522="Taijiqiang C",951,IF(Atletas!U522="Taijidao D",952,IF(Atletas!U522="Taijishan D",953,IF(Atletas!U522="Taijiqiang D",954,IF(Atletas!U522="Taijidao E",955,IF(Atletas!U522="Taijishan E",956,IF(Atletas!U522="Taijiqiang E",957,IF(Atletas!U522="Taijidao F",958,IF(Atletas!U522="Taijishan F",959,IF(Atletas!U522="Taijiqiang F",960))))))))))))))))))))</f>
        <v/>
      </c>
      <c r="CF526" s="52" t="str">
        <f xml:space="preserve"> IF(Atletas!V522="","",IF(Atletas!V522="Duilian de Mãos AB - Equipe 1",1,IF(Atletas!V522="Duilian de Mãos AB - Equipe 2",2,IF(Atletas!V522="Duilian de Armas AB - Equipe 1",3,IF(Atletas!V522="Duilian de Armas AB - Equipe 2",4,IF(Atletas!V522="Duilian de Tuishou - Equipe 1",5,IF(Atletas!V522="Duilian de Tuishou - Equipe 2",6,IF(Atletas!V522="Grupo Externo AB - Equipe 1",7,IF(Atletas!V522="Grupo Externo AB - Equipe 2",8,IF(Atletas!V522="Grupo Interno AB - Equipe 1",9,IF(Atletas!V522="Grupo Interno AB - Equipe 2",10,IF(Atletas!V522="Duilian de Mãos CD - Equipe 1",11,IF(Atletas!V522="Duilian de Mãos CD - Equipe 2",12,IF(Atletas!V522="Duilian de Armas CD - Equipe 1",13,IF(Atletas!V522="Duilian de Armas CD - Equipe 2",14,IF(Atletas!V522="Duilian de Tuishou - Equipe 1",15,IF(Atletas!V522="Duilian de Tuishou - Equipe 2",16,IF(Atletas!V522="Grupo Externo CDEF - Equipe 1",17,IF(Atletas!V522="Grupo Externo CDEF - Equipe 2",18,IF(Atletas!V522="Grupo Interno CDEF - Equipe 1",19,IF(Atletas!V522="Grupo Interno CDEF - Equipe 2",20,IF(Atletas!V522="Duilian de Mãos EF - Equipe 1",21,IF(Atletas!V522="Duilian de Mãos EF - Equipe 2",22,IF(Atletas!V522="Duilian de Armas EF - Equipe 1",23,IF(Atletas!V522="Duilian de Armas EF - Equipe 2",24,IF(Atletas!V522="Duilian de Tuishou - Equipe 1",25,IF(Atletas!V522="Duilian de Tuishou - Equipe 2",26,"")))))))))))))))))))))))))))</f>
        <v/>
      </c>
    </row>
    <row r="527" spans="36:84">
      <c r="AJ527" s="46" t="str">
        <f>IF(Atletas!D523="","",IF(Atletas!B523="Feminino",100,IF(Atletas!B523="Masculino",200,""))+(IF(Atletas!D523="Infantil 39kg",1,IF(Atletas!D523="Infantil 42kg",2,IF(Atletas!D523="Infantil 45kg",3,IF(Atletas!D523="Infantil 48kg",4,IF(Atletas!D523="Infantil 52kg",5,IF(Atletas!D523="Infantil 56kg",6,IF(Atletas!D523="Infantil 60kg",7,IF(Atletas!D523="Juvenil 48kg",8,IF(Atletas!D523="Juvenil 52kg",9,IF(Atletas!D523="Juvenil 56kg",10,IF(Atletas!D523="Juvenil 60kg",11,IF(Atletas!D523="Juvenil 65kg",12,IF(Atletas!D523="Juvenil 70kg",13,IF(Atletas!D523="Juvenil 75kg",14,IF(Atletas!D523="Juvenil 80kg",15,IF(Atletas!D523="Adulto 48kg",16,IF(Atletas!D523="Adulto 52kg",17,IF(Atletas!D523="Adulto 56kg",18,IF(Atletas!D523="Adulto 60kg",19,IF(Atletas!D523="Adulto 65kg",20,IF(Atletas!D523="Adulto 70kg",21,IF(Atletas!D523="Adulto 75kg",22,IF(Atletas!D523="Adulto 80kg",23,IF(Atletas!D523="Adulto 85kg",24,IF(Atletas!D523="Adulto 90kg",25,IF(Atletas!D523="Adulto +90kg",26,""))))))))))))))))))))))))))))</f>
        <v/>
      </c>
      <c r="AO527" s="10" t="str">
        <f>IF(Atletas!E523="","",IF(Atletas!B523="Feminino",100,IF(Atletas!B523="Masculino",200,""))+(IF(Atletas!E523="Juvenil 44kg",1,IF(Atletas!E523="Juvenil 48kg",2,IF(Atletas!E523="Juvenil 52kg",3,IF(Atletas!E523="Juvenil 56kg",4,IF(Atletas!E523="Juvenil 60kg",5,IF(Atletas!E523="Juvenil 65kg",6,IF(Atletas!E523="Juvenil 70kg",7,IF(Atletas!E523="Juvenil 75kg",8,IF(Atletas!E523="Juvenil 82kg",9,IF(Atletas!E523="Juvenil 90kg",10,IF(Atletas!E523="Juvenil 100kg",11,IF(Atletas!E523="Adulto 48kg",12,IF(Atletas!E523="Adulto 52kg",13,IF(Atletas!E523="Adulto 56kg",14,IF(Atletas!E523="Adulto 60kg",15,IF(Atletas!E523="Adulto 65kg",16,IF(Atletas!E523="Adulto 70kg",17,IF(Atletas!E523="Adulto 75kg",18,IF(Atletas!E523="Adulto 82kg",19,IF(Atletas!E523="Adulto 90kg",20,IF(Atletas!E523="Adulto 100kg",21,IF(Atletas!E523="Adulto +100kg",22,""))))))))))))))))))))))))</f>
        <v/>
      </c>
      <c r="AT527" s="10" t="str">
        <f>IF(Atletas!F523="","",IF(Atletas!B523="Feminino",100,IF(Atletas!B523="Masculino",200,""))+(IF(Atletas!F523="Adulto 48kg",1,IF(Atletas!F523="Adulto 56kg",2,IF(Atletas!F523="Adulto 65kg",3,IF(Atletas!F523="Adulto 75kg",4,IF(Atletas!F523="Adulto +75kg",5,IF(Atletas!F523="Adulto 52kg",6,IF(Atletas!F523="Adulto 60kg",7,IF(Atletas!F523="Adulto 70kg",8,IF(Atletas!F523="Adulto 80kg",9,IF(Atletas!F523="Adulto 90kg",10,IF(Atletas!F523="Adulto +90kg",11,"")))))))))))))</f>
        <v/>
      </c>
      <c r="AY527" s="46" t="str">
        <f>IF(Atletas!G523="","",IF(Atletas!B523="Feminino",100,IF(Atletas!B523="Masculino",200,""))+(IF(Atletas!G523="Changquan Mirim",1,IF(Atletas!G523="Nanquan Mirim",2,IF(Atletas!G523="Taijiquan Mirim",3,IF(Atletas!G523="Changquan Grupo C",4,IF(Atletas!G523="Nanquan Grupo C",5,IF(Atletas!G523="Taijiquan Grupo C",6,IF(Atletas!G523="Changquan Grupo B",7,IF(Atletas!G523="Nanquan Grupo B",8,IF(Atletas!G523="Taijiquan Grupo B",9,IF(Atletas!G523="Changquan Grupo A",10,IF(Atletas!G523="Nanquan Grupo A",11,IF(Atletas!G523="Taijiquan Grupo A",12,IF(Atletas!G523="Changquan Opcional",13,IF(Atletas!G523="Nanquan Opcional",14,IF(Atletas!G523="Taijiquan Opcional",15,IF(Atletas!G523="Changquan Adulto",16,IF(Atletas!G523="Nanquan Adulto",17,IF(Atletas!G523="Taijiquan Adulto",18,""))))))))))))))))))))</f>
        <v/>
      </c>
      <c r="AZ527" s="46" t="str">
        <f>IF(Atletas!H523="","",IF(Atletas!B523="Feminino",100,IF(Atletas!B523="Masculino",200,""))+(IF(Atletas!H523="Daoshu Mirim",19,IF(Atletas!H523="Jianshu Mirim",20,IF(Atletas!H523="Nandao Mirim",21,IF(Atletas!H523="Taijijian Mirim",22,IF(Atletas!H523="Daoshu Grupo C",23,IF(Atletas!H523="Jianshu Grupo C",24,IF(Atletas!H523="Nandao Grupo C",25,IF(Atletas!H523="Taijijian Grupo C",26,IF(Atletas!H523="Daoshu Grupo B",27,IF(Atletas!H523="Jianshu Grupo B",28,IF(Atletas!H523="Nandao Grupo B",29,IF(Atletas!H523="Taijijian Grupo B",30,IF(Atletas!H523="Daoshu Grupo A",31,IF(Atletas!H523="Jianshu Grupo A",32,IF(Atletas!H523="Nandao Grupo A",33,IF(Atletas!H523="Taijijian Grupo A",34,IF(Atletas!H523="Daoshu Opcional",35,IF(Atletas!H523="Jianshu Opcional",36,IF(Atletas!H523="Nandao Opcional",37,IF(Atletas!H523="Taijijian Opcional",38,IF(Atletas!H523="Daoshu Adulto",39,IF(Atletas!H523="Jianshu Adulto",40,IF(Atletas!H523="Nandao Adulto",41,IF(Atletas!H523="Taijijian Adulto",42,""))))))))))))))))))))))))))</f>
        <v/>
      </c>
      <c r="BA527" s="46" t="str">
        <f>IF(Atletas!I523="","",IF(Atletas!B523="Feminino",100,IF(Atletas!B523="Masculino",200,""))+(IF(Atletas!I523="Gunshu Mirim",43,IF(Atletas!I523="Qiangshu Mirim",44,IF(Atletas!I523="Nangun Mirim",45,IF(Atletas!I523="Gunshu Grupo C",46,IF(Atletas!I523="Qiangshu Grupo C",47,IF(Atletas!I523="Nangun Grupo C",48,IF(Atletas!I523="Gunshu Grupo B",49,IF(Atletas!I523="Qiangshu Grupo B",50,IF(Atletas!I523="Nangun Grupo B",51,IF(Atletas!I523="Gunshu Grupo A",52,IF(Atletas!I523="Qiangshu Grupo A",53,IF(Atletas!I523="Nangun Grupo A",54,IF(Atletas!I523="Gunshu Opcional",55,IF(Atletas!I523="Qiangshu Opcional",56,IF(Atletas!I523="Nangun Opcional",57,IF(Atletas!I523="Gunshu Adulto",58,IF(Atletas!I523="Qiangshu Adulto",59,IF(Atletas!I523="Nangun Adulto",60,""))))))))))))))))))))</f>
        <v/>
      </c>
      <c r="BF527" s="52" t="str">
        <f>IF(Atletas!J523="","",IF(Atletas!B523="Feminino",100,IF(Atletas!B523="Masculino",200,""))+(IF(Atletas!J523="Equipe 1 Grupo B",1,IF(Atletas!J523="Equipe 2 Grupo B",2,IF(Atletas!J523="Equipe 1 Grupo A",3,IF(Atletas!J523="Equipe 2 Grupo A",4,IF(Atletas!J523="Equipe 1 Adulto",5,IF(Atletas!J523="Equipe 2 Adulto",6,""))))))))</f>
        <v/>
      </c>
      <c r="BK527" s="52" t="str">
        <f>IF(Atletas!K523="","",IF(Atletas!W523&lt;&gt;"",10000,0)+(IF(Atletas!B523="Feminino",1000,IF(Atletas!B523="Masculino",2000,""))+IF(Atletas!K523="Choylayfut A",1,IF(Atletas!K523="Hunggar A",2,IF(Atletas!K523="Wuzuquan A",3,IF(Atletas!K523="Wingchun A",4,IF(Atletas!K523="Outra Mão de Sul A",5,IF(Atletas!K523="Choylayfut B",6,IF(Atletas!K523="Hunggar B",7,IF(Atletas!K523="Wuzuquan B",8,IF(Atletas!K523="Wingchun B",9,IF(Atletas!K523="Outra Mão de Sul B",10,IF(Atletas!K523="Choylayfut C",11,IF(Atletas!K523="Hunggar C",12,IF(Atletas!K523="Wuzuquan C",13,IF(Atletas!K523="Wingchun C",14,IF(Atletas!K523="Outra Mão de Sul C",15,IF(Atletas!K523="Choylayfut D",16,IF(Atletas!K523="Hunggar D",17,IF(Atletas!K523="Wuzuquan D",18,IF(Atletas!K523="Wingchun D",19,IF(Atletas!K523="Outra Mão de Sul D",20,IF(Atletas!K523="Choylayfut E",21,IF(Atletas!K523="Hunggar E",22,IF(Atletas!K523="Wuzuquan E",23,IF(Atletas!K523="Wingchun E",24,IF(Atletas!K523="Outra Mão de Sul E",25,IF(Atletas!K523="Choylayfut F",26,IF(Atletas!K523="Hunggar F",27,IF(Atletas!K523="Wuzuquan F",28,IF(Atletas!K523="Wingchun F",29,IF(Atletas!K523="Outra Mão de Sul F",30,""))))))))))))))))))))))))))))))))</f>
        <v/>
      </c>
      <c r="BL527" s="52" t="str">
        <f>IF(Atletas!L523="","",IF(Atletas!W523&lt;&gt;"",10000,0)+(IF(Atletas!B523="Feminino",1000,IF(Atletas!B523="Masculino",2000,""))+(IF(Atletas!L523="Chaquan A",101,IF(Atletas!L523="Emeiquan A",102,IF(Atletas!L523="Fanziquan A",103,IF(Atletas!L523="Huaquan A",104,IF(Atletas!L523="Hongquan A",105,IF(Atletas!L523="Paochui A",106,IF(Atletas!L523="Piguaquan A",107,IF(Atletas!L523="Shaolinquan A",108,IF(Atletas!L523="Tanglangquan A",109,IF(Atletas!L523="Yinzhaophai A",110,IF(Atletas!L523="Tongbeiquan A",111,IF(Atletas!L523="Wudangquan A",112,IF(Atletas!L523="Outros Estilos A",113,IF(Atletas!L523="Chaquan B",114,IF(Atletas!L523="Emeiquan B",115,IF(Atletas!L523="Fanziquan B",116,IF(Atletas!L523="Huaquan B",117,IF(Atletas!L523="Hongquan B",118,IF(Atletas!L523="Paochui B",119,IF(Atletas!L523="Piguaquan B",120,IF(Atletas!L523="Shaolinquan B",121,IF(Atletas!L523="Tanglangquan B",122,IF(Atletas!L523="Yinzhaophai B",123,IF(Atletas!L523="Tongbeiquan B",124,IF(Atletas!L523="Wudangquan B",125,IF(Atletas!L523="Outros Estilos B",126,IF(Atletas!L523="Chaquan C",127,IF(Atletas!L523="Emeiquan C",128,IF(Atletas!L523="Fanziquan C",129,IF(Atletas!L523="Huaquan C",130,IF(Atletas!L523="Hongquan C",131,IF(Atletas!L523="Paochui C",132,IF(Atletas!L523="Piguaquan C",133,IF(Atletas!L523="Shaolinquan C",134,IF(Atletas!L523="Tanglangquan C",135,IF(Atletas!L523="Yinzhaophai C",136,IF(Atletas!L523="Tongbeiquan C",137,IF(Atletas!L523="Wudangquan C",138,IF(Atletas!L523="Outros Estilos C",139,0))))))))))))))))))))))))))))))))))))))))))</f>
        <v/>
      </c>
      <c r="BM527" s="52" t="str">
        <f>IF(Atletas!L523="","",IF(Atletas!W523&lt;&gt;"",10000,0)+(IF(Atletas!B523="Feminino",1000,IF(Atletas!B523="Masculino",2000,""))+(IF(Atletas!L523="Chaquan D",140,IF(Atletas!L523="Emeiquan D",141,IF(Atletas!L523="Fanziquan D",142,IF(Atletas!L523="Huaquan D",143,IF(Atletas!L523="Hongquan D",144,IF(Atletas!L523="Paochui D",145,IF(Atletas!L523="Piguaquan D",146,IF(Atletas!L523="Shaolinquan D",147,IF(Atletas!L523="Tanglangquan D",148,IF(Atletas!L523="Yinzhaophai D",149,IF(Atletas!L523="Tongbeiquan D",150,IF(Atletas!L523="Wudangquan D",151,IF(Atletas!L523="Outros Estilos D",152,IF(Atletas!L523="Chaquan E",153,IF(Atletas!L523="Emeiquan E",154,IF(Atletas!L523="Fanziquan E",155,IF(Atletas!L523="Huaquan E",156,IF(Atletas!L523="Hongquan E",157,IF(Atletas!L523="Paochui E",158,IF(Atletas!L523="Piguaquan E",159,IF(Atletas!L523="Shaolinquan E",160,IF(Atletas!L523="Tanglangquan E",161,IF(Atletas!L523="Yinzhaophai E",162,IF(Atletas!L523="Tongbeiquan E",163,IF(Atletas!L523="Wudangquan E",164,IF(Atletas!L523="Outros Estilos E",165,IF(Atletas!L523="Chaquan F",166,IF(Atletas!L523="Emeiquan F",167,IF(Atletas!L523="Fanziquan F",168,IF(Atletas!L523="Huaquan F",169,IF(Atletas!L523="Hongquan F",170,IF(Atletas!L523="Paochui F",171,IF(Atletas!L523="Piguaquan F",172,IF(Atletas!L523="Shaolinquan F",173,IF(Atletas!L523="Tanglangquan F",174,IF(Atletas!L523="Yinzhaophai F",175,IF(Atletas!L523="Tongbeiquan F",176,IF(Atletas!L523="Wudangquan F",177,IF(Atletas!L523="Outros Estilos F",178,0))))))))))))))))))))))))))))))))))))))))))</f>
        <v/>
      </c>
      <c r="BN527" s="52" t="str">
        <f>IF(Atletas!M523="","",IF(Atletas!W523&lt;&gt;"",10000,0)+(IF(Atletas!B523="Feminino",1000,IF(Atletas!B523="Masculino",2000,""))+(IF(Atletas!M523="Ditangquan A",201,IF(Atletas!M523="Houquan A",202,IF(Atletas!M523="Zuiquan A",203,IF(Atletas!M523="Ditangquan B",204,IF(Atletas!M523="Houquan B",205,IF(Atletas!M523="Zuiquan B",206,IF(Atletas!M523="Ditangquan C",207,IF(Atletas!M523="Houquan C",208,IF(Atletas!M523="Zuiquan C",209,IF(Atletas!M523="Ditangquan D",210,IF(Atletas!M523="Houquan D",211,IF(Atletas!M523="Zuiquan D",212,IF(Atletas!M523="Ditangquan E",213,IF(Atletas!M523="Houquan E",214,IF(Atletas!M523="Zuiquan E",215,IF(Atletas!M523="Ditangquan F",216,IF(Atletas!M523="Houquan F",217,IF(Atletas!M523="Zuiquan F",218,"")))))))))))))))))))))</f>
        <v/>
      </c>
      <c r="BO527" s="52" t="str">
        <f>IF(Atletas!N523="","",IF(Atletas!W523&lt;&gt;"",10000,0)+IF(Atletas!B523="Feminino",1000,IF(Atletas!B523="Masculino",2000,""))+IF(Atletas!N523="Yang A",301,IF(Atletas!N523="Chen A",30,IF(Atletas!N523="Sun A",303,IF(Atletas!N523="Wu A",304,IF(Atletas!N523="Wu-Hao A",305,IF(Atletas!N523="Outro Taijiquan A",306,IF(Atletas!N523="Yang B",307,IF(Atletas!N523="Chen B",308,IF(Atletas!N523="Sun B",309,IF(Atletas!N523="Wu B",310,IF(Atletas!N523="Wu-Hao B",311,IF(Atletas!N523="Outro Taijiquan B",312,IF(Atletas!N523="Yang C",313,IF(Atletas!N523="Chen C",314,IF(Atletas!N523="Sun C",315,IF(Atletas!N523="Wu C",316,IF(Atletas!N523="Wu-Hao C",317,IF(Atletas!N523="Outro Taijiquan C",318,IF(Atletas!N523="Yang D",319,IF(Atletas!N523="Chen D",320,IF(Atletas!N523="Sun D",321,IF(Atletas!N523="Wu D",322,IF(Atletas!N523="Wu-Hao D",323,IF(Atletas!N523="Outro Taijiquan D",324,IF(Atletas!N523="Yang E",325,IF(Atletas!N523="Chen E",326,IF(Atletas!N523="Sun E",327,IF(Atletas!N523="Wu E",328,IF(Atletas!N523="Wu-Hao E",329,IF(Atletas!N523="Outro Taijiquan E",330,IF(Atletas!N523="Yang F",331,IF(Atletas!N523="Chen F",332,IF(Atletas!N523="Sun F",333,IF(Atletas!N523="Wu F",334,IF(Atletas!N523="Wu-Hao F",335,IF(Atletas!N523="Outro Taijiquan F",336,"")))))))))))))))))))))))))))))))))))))</f>
        <v/>
      </c>
      <c r="BP527" s="52" t="str">
        <f>IF(Atletas!O523="","",IF(Atletas!W523&lt;&gt;"",10000,0)+IF(Atletas!B523="Feminino",1000,IF(Atletas!B523="Masculino",2000,""))+IF(OR(Atletas!O523="Yang 26 A",Atletas!O523="Yang 40 A"),401,IF(OR(Atletas!O523="Chen 25 A",Atletas!O523="Chen 36 A",Atletas!O523="Chen 56 A"),402,IF(Atletas!O523="Sun 73 A",403,IF(Atletas!O523="Wu 45 A",404,IF(Atletas!O523="Wu-Hao 46 A",405,IF(OR(Atletas!O523="Taijiquan 16 A",Atletas!O523="Taijiquan 24 A",Atletas!O523="Taijiquan 32 A",Atletas!O523="Taijiquan 42 A"),406,IF(OR(Atletas!O523="Yang 26 B",Atletas!O523="Yang 40 B"),407,IF(OR(Atletas!O523="Chen 25 B",Atletas!O523="Chen 36 B",Atletas!O523="Chen 56 B"),408,IF(Atletas!O523="Sun 73 B",409,IF(Atletas!O523="Wu 45 B",410,IF(Atletas!O523="Wu-Hao 46 B",411,IF(OR(Atletas!O523="Taijiquan 16 B",Atletas!O523="Taijiquan 24 B",Atletas!O523="Taijiquan 32 B",Atletas!O523="Taijiquan 42 B"),412,IF(OR(Atletas!O523="Yang 26 C",Atletas!O523="Yang 40 C"),413,IF(OR(Atletas!O523="Chen 25 C",Atletas!O523="Chen 36 C",Atletas!O523="Chen 56 C"),414,IF(Atletas!O523="Sun 73 C",415,IF(Atletas!O523="Wu 45 C",416,IF(Atletas!O523="Wu-Hao 46 C",417,IF(OR(Atletas!O523="Taijiquan 16 C",Atletas!O523="Taijiquan 24 C",Atletas!O523="Taijiquan 32 C",Atletas!O523="Taijiquan 42 C"),418,0)))))))))))))))))))</f>
        <v/>
      </c>
      <c r="BQ527" s="52" t="str">
        <f>IF(Atletas!O523="","",IF(Atletas!W523&lt;&gt;"",10000,0)+IF(Atletas!B523="Feminino",1000,IF(Atletas!B523="Masculino",2000,""))+IF(OR(Atletas!O523="Yang 26 D",Atletas!O523="Yang 40 D"),419,IF(OR(Atletas!O523="Chen 25 D",Atletas!O523="Chen 36 D",Atletas!O523="Chen 56 D"),420,IF(Atletas!O523="Sun 73 D",421,IF(Atletas!O523="Wu 45 D",422,IF(Atletas!O523="Wu-Hao 46 D",423,IF(OR(Atletas!O523="Taijiquan 16 D",Atletas!O523="Taijiquan 24 D",Atletas!O523="Taijiquan 32 D",Atletas!O523="Taijiquan 42 D"),424,IF(OR(Atletas!O523="Yang 26 E",Atletas!O523="Yang 40 E"),425,IF(OR(Atletas!O523="Chen 25 E",Atletas!O523="Chen 36 E",Atletas!O523="Chen 56 E"),426,IF(Atletas!O523="Sun 73 E",427,IF(Atletas!O523="Wu 45 E",428,IF(Atletas!O523="Wu-Hao 46 E",429,IF(OR(Atletas!O523="Taijiquan 16 E",Atletas!O523="Taijiquan 24 E",Atletas!O523="Taijiquan 32 E",Atletas!O523="Taijiquan 42 E"),430,IF(OR(Atletas!O523="Yang 26 F",Atletas!O523="Yang 40 F"),431,IF(OR(Atletas!O523="Chen 25 F",Atletas!O523="Chen 36 F",Atletas!O523="Chen 56 F"),432,IF(Atletas!O523="Sun 73 F",433,IF(Atletas!O523="Wu 45 F",434,IF(Atletas!O523="Wu-Hao 46 F",435,IF(OR(Atletas!O523="Taijiquan 16 F",Atletas!O523="Taijiquan 24 F",Atletas!O523="Taijiquan 32 F",Atletas!O523="Taijiquan 42 F"),436,0)))))))))))))))))))</f>
        <v/>
      </c>
      <c r="BR527" s="52" t="str">
        <f>IF(Atletas!P523="","",IF(Atletas!W523&lt;&gt;"",10000,0)+IF(Atletas!B523="Feminino",1000,IF(Atletas!B523="Masculino",2000,""))+IF(Atletas!P523="Xingyiquan A",501,IF(Atletas!P523="Baguazhang A",502,IF(Atletas!P523="Outro Estilo Interno A",503,IF(Atletas!P523="Xingyiquan B",504,IF(Atletas!P523="Baguazhang B",505,IF(Atletas!P523="Outro Estilo Interno B",506,IF(Atletas!P523="Xingyiquan C",507,IF(Atletas!P523="Baguazhang C",508,IF(Atletas!P523="Outro Estilo Interno C",509,IF(Atletas!P523="Xingyiquan D",510,IF(Atletas!P523="Baguazhang D",511,IF(Atletas!P523="Outro Estilo Interno D",512,IF(Atletas!P523="Xingyiquan E",513,IF(Atletas!P523="Baguazhang E",514,IF(Atletas!P523="Outro Estilo Interno E",515,IF(Atletas!P523="Xingyiquan F",516,IF(Atletas!P523="Baguazhang F",517,IF(Atletas!P523="Outro Estilo Interno F",518, "")))))))))))))))))))</f>
        <v/>
      </c>
      <c r="BS527" s="52" t="str">
        <f>IF(Atletas!Q523="","",IF(Atletas!W523&lt;&gt;"",10000,0)+IF(Atletas!B523="Feminino",1000,IF(Atletas!B523="Masculino",2000,""))+IF(Atletas!Q523="Dao A",601,IF(Atletas!Q523="Jian A",602,IF(Atletas!Q523="Bishou A",603,IF(Atletas!Q523="Shan A",604,IF(Atletas!Q523="Outra Arma Curta A",605,IF(Atletas!Q523="Dao B",606,IF(Atletas!Q523="Jian B",607,IF(Atletas!Q523="Bishou B",608,IF(Atletas!Q523="Shan B",609,IF(Atletas!Q523="Outra Arma Curta B",610,IF(Atletas!Q523="Dao C",611,IF(Atletas!Q523="Jian C",612,IF(Atletas!Q523="Bishou C",613,IF(Atletas!Q523="Shan C",614,IF(Atletas!Q523="Outra Arma Curta C",615,IF(Atletas!Q523="Dao D",616,IF(Atletas!Q523="Jian D",617,IF(Atletas!Q523="Bishou D",618,IF(Atletas!Q523="Shan D",619,IF(Atletas!Q523="Outra Arma Curta D",620,IF(Atletas!Q523="Dao E",621,IF(Atletas!Q523="Jian E",622,IF(Atletas!Q523="Bishou E",623,IF(Atletas!Q523="Shan E",624,IF(Atletas!Q523="Outra Arma Curta E",625,IF(Atletas!Q523="Dao F",626,IF(Atletas!Q523="Jian F",627,IF(Atletas!Q523="Bishou F",628,IF(Atletas!Q523="Shan F",629,IF(Atletas!Q523="Outra Arma Curta F",630, "")))))))))))))))))))))))))))))))</f>
        <v/>
      </c>
      <c r="BT527" s="52" t="str">
        <f>IF(Atletas!R523="","",IF(Atletas!W523&lt;&gt;"",10000,0)+IF(Atletas!B523="Feminino",1000,IF(Atletas!B523="Masculino",2000,""))+IF(Atletas!R523="Gun A",701,IF(Atletas!R523="Qiang A",702,IF(Atletas!R523="Pudao / Guandao A",703,IF(Atletas!R523="Outra Arma Longa A",704,IF(Atletas!R523="Gun B",705,IF(Atletas!R523="Qiang B",706,IF(Atletas!R523="Pudao / Guandao B",707,IF(Atletas!R523="Outra Arma Longa B",708,IF(Atletas!R523="Gun C",709,IF(Atletas!R523="Qiang C",710,IF(Atletas!R523="Pudao / Guandao C",711,IF(Atletas!R523="Outra Arma Longa C",712,IF(Atletas!R523="Gun D",713,IF(Atletas!R523="Qiang D",714,IF(Atletas!R523="Pudao / Guandao D",715,IF(Atletas!R523="Outra Arma Longa D",716,IF(Atletas!R523="Gun E",717,IF(Atletas!R523="Qiang E",718,IF(Atletas!R523="Pudao / Guandao E",719,IF(Atletas!R523="Outra Arma Longa E",720,IF(Atletas!R523="Gun F",721,IF(Atletas!R523="Qiang F",722,IF(Atletas!R523="Pudao / Guandao F",723,IF(Atletas!R523="Outra Arma Longa F",724,"")))))))))))))))))))))))))</f>
        <v/>
      </c>
      <c r="BU527" s="52" t="str">
        <f>IF(Atletas!S523="","",IF(Atletas!W523&lt;&gt;"",10000,0)+IF(Atletas!B523="Feminino",1000,IF(Atletas!B523="Masculino",2000,""))+IF(Atletas!S523="Arma Dupla A",801,IF(Atletas!S523="Arma Maleável A",802,IF(Atletas!S523="Arma Dupla B",803,IF(Atletas!S523="Arma Maleável B",804,IF(Atletas!S523="Arma Dupla C",805,IF(Atletas!S523="Arma Maleável C",806,IF(Atletas!S523="Arma Dupla D",807,IF(Atletas!S523="Arma Maleável D",808,IF(Atletas!S523="Arma Dupla E",809,IF(Atletas!S523="Arma Maleável E",810,IF(Atletas!S523="Arma Dupla F",811,IF(Atletas!S523="Arma Maleável F",812, "")))))))))))))</f>
        <v/>
      </c>
      <c r="BV527" s="52" t="str">
        <f>IF(Atletas!T523="","",IF(Atletas!W523&lt;&gt;"",10000,0)+IF(Atletas!B523="Feminino",1000,IF(Atletas!B523="Masculino",2000,""))+IF(Atletas!T523="Taijijian Yang A",901,IF(Atletas!T523="Taijijian Chen A",902,IF(Atletas!T523="Taijijian Sun A",903,IF(Atletas!T523="Taijijian Wu A",904,IF(Atletas!T523="Taijijian Wu-Hao A",905,IF(Atletas!T523="Taijijian 32 A",906,IF(Atletas!T523="Taijijian 42 A",907,IF(Atletas!T523="Taijijian Yang B",908,IF(Atletas!T523="Taijijian Chen B",909,IF(Atletas!T523="Taijijian Sun B",910,IF(Atletas!T523="Taijijian Wu B",911,IF(Atletas!T523="Taijijian Wu-Hao B",912,IF(Atletas!T523="Taijijian 32 B",913,IF(Atletas!T523="Taijijian 42 B",914,IF(Atletas!T523="Taijijian Yang C",915,IF(Atletas!T523="Taijijian Chen C",916,IF(Atletas!T523="Taijijian Sun C",917,IF(Atletas!T523="Taijijian Wu C",918,IF(Atletas!T523="Taijijian Wu-Hao C",919,IF(Atletas!T523="Taijijian 32 C",920,IF(Atletas!T523="Taijijian 42 C",921,IF(Atletas!T523="Taijijian Yang D",922,IF(Atletas!T523="Taijijian Chen D",923,IF(Atletas!T523="Taijijian Sun D",924,IF(Atletas!T523="Taijijian Wu D",925,IF(Atletas!T523="Taijijian Wu-Hao D",926,IF(Atletas!T523="Taijijian 32 D",927,IF(Atletas!T523="Taijijian 42 D",928,IF(Atletas!T523="Taijijian Yang E",929,IF(Atletas!T523="Taijijian Chen E",930,IF(Atletas!T523="Taijijian Sun E",931,IF(Atletas!T523="Taijijian Wu E",932,IF(Atletas!T523="Taijijian Wu-Hao E",933,IF(Atletas!T523="Taijijian 32 E",934,IF(Atletas!T523="Taijijian 42 E",935,IF(Atletas!T523="Taijijian Yang F",936,IF(Atletas!T523="Taijijian Chen F",937,IF(Atletas!T523="Taijijian Sun F",938,IF(Atletas!T523="Taijijian Wu F",939,IF(Atletas!T523="Taijijian Wu-Hao F",940,IF(Atletas!T523="Taijijian 32 F",941,IF(Atletas!T523="Taijijian 42 F",942,"")))))))))))))))))))))))))))))))))))))))))))</f>
        <v/>
      </c>
      <c r="BW527" s="52" t="str">
        <f>IF(Atletas!U523="","",IF(Atletas!W523&lt;&gt;"",10000,0)+IF(Atletas!B523="Feminino",1000,IF(Atletas!B523="Masculino",2000,""))+IF(Atletas!T523="Taijijian 42 F",942,IF(Atletas!U523="Taijidao A",943,IF(Atletas!U523="Taijishan A",944,IF(Atletas!U523="Taijiqiang A",945,IF(Atletas!U523="Taijidao B",946,IF(Atletas!U523="Taijishan B",947,IF(Atletas!U523="Taijiqiang B",948,IF(Atletas!U523="Taijidao C",949,IF(Atletas!U523="Taijishan C",950,IF(Atletas!U523="Taijiqiang C",951,IF(Atletas!U523="Taijidao D",952,IF(Atletas!U523="Taijishan D",953,IF(Atletas!U523="Taijiqiang D",954,IF(Atletas!U523="Taijidao E",955,IF(Atletas!U523="Taijishan E",956,IF(Atletas!U523="Taijiqiang E",957,IF(Atletas!U523="Taijidao F",958,IF(Atletas!U523="Taijishan F",959,IF(Atletas!U523="Taijiqiang F",960))))))))))))))))))))</f>
        <v/>
      </c>
      <c r="CF527" s="52" t="str">
        <f xml:space="preserve"> IF(Atletas!V523="","",IF(Atletas!V523="Duilian de Mãos AB - Equipe 1",1,IF(Atletas!V523="Duilian de Mãos AB - Equipe 2",2,IF(Atletas!V523="Duilian de Armas AB - Equipe 1",3,IF(Atletas!V523="Duilian de Armas AB - Equipe 2",4,IF(Atletas!V523="Duilian de Tuishou - Equipe 1",5,IF(Atletas!V523="Duilian de Tuishou - Equipe 2",6,IF(Atletas!V523="Grupo Externo AB - Equipe 1",7,IF(Atletas!V523="Grupo Externo AB - Equipe 2",8,IF(Atletas!V523="Grupo Interno AB - Equipe 1",9,IF(Atletas!V523="Grupo Interno AB - Equipe 2",10,IF(Atletas!V523="Duilian de Mãos CD - Equipe 1",11,IF(Atletas!V523="Duilian de Mãos CD - Equipe 2",12,IF(Atletas!V523="Duilian de Armas CD - Equipe 1",13,IF(Atletas!V523="Duilian de Armas CD - Equipe 2",14,IF(Atletas!V523="Duilian de Tuishou - Equipe 1",15,IF(Atletas!V523="Duilian de Tuishou - Equipe 2",16,IF(Atletas!V523="Grupo Externo CDEF - Equipe 1",17,IF(Atletas!V523="Grupo Externo CDEF - Equipe 2",18,IF(Atletas!V523="Grupo Interno CDEF - Equipe 1",19,IF(Atletas!V523="Grupo Interno CDEF - Equipe 2",20,IF(Atletas!V523="Duilian de Mãos EF - Equipe 1",21,IF(Atletas!V523="Duilian de Mãos EF - Equipe 2",22,IF(Atletas!V523="Duilian de Armas EF - Equipe 1",23,IF(Atletas!V523="Duilian de Armas EF - Equipe 2",24,IF(Atletas!V523="Duilian de Tuishou - Equipe 1",25,IF(Atletas!V523="Duilian de Tuishou - Equipe 2",26,"")))))))))))))))))))))))))))</f>
        <v/>
      </c>
    </row>
    <row r="528" spans="36:84">
      <c r="AJ528" s="46" t="str">
        <f>IF(Atletas!D524="","",IF(Atletas!B524="Feminino",100,IF(Atletas!B524="Masculino",200,""))+(IF(Atletas!D524="Infantil 39kg",1,IF(Atletas!D524="Infantil 42kg",2,IF(Atletas!D524="Infantil 45kg",3,IF(Atletas!D524="Infantil 48kg",4,IF(Atletas!D524="Infantil 52kg",5,IF(Atletas!D524="Infantil 56kg",6,IF(Atletas!D524="Infantil 60kg",7,IF(Atletas!D524="Juvenil 48kg",8,IF(Atletas!D524="Juvenil 52kg",9,IF(Atletas!D524="Juvenil 56kg",10,IF(Atletas!D524="Juvenil 60kg",11,IF(Atletas!D524="Juvenil 65kg",12,IF(Atletas!D524="Juvenil 70kg",13,IF(Atletas!D524="Juvenil 75kg",14,IF(Atletas!D524="Juvenil 80kg",15,IF(Atletas!D524="Adulto 48kg",16,IF(Atletas!D524="Adulto 52kg",17,IF(Atletas!D524="Adulto 56kg",18,IF(Atletas!D524="Adulto 60kg",19,IF(Atletas!D524="Adulto 65kg",20,IF(Atletas!D524="Adulto 70kg",21,IF(Atletas!D524="Adulto 75kg",22,IF(Atletas!D524="Adulto 80kg",23,IF(Atletas!D524="Adulto 85kg",24,IF(Atletas!D524="Adulto 90kg",25,IF(Atletas!D524="Adulto +90kg",26,""))))))))))))))))))))))))))))</f>
        <v/>
      </c>
      <c r="AO528" s="10" t="str">
        <f>IF(Atletas!E524="","",IF(Atletas!B524="Feminino",100,IF(Atletas!B524="Masculino",200,""))+(IF(Atletas!E524="Juvenil 44kg",1,IF(Atletas!E524="Juvenil 48kg",2,IF(Atletas!E524="Juvenil 52kg",3,IF(Atletas!E524="Juvenil 56kg",4,IF(Atletas!E524="Juvenil 60kg",5,IF(Atletas!E524="Juvenil 65kg",6,IF(Atletas!E524="Juvenil 70kg",7,IF(Atletas!E524="Juvenil 75kg",8,IF(Atletas!E524="Juvenil 82kg",9,IF(Atletas!E524="Juvenil 90kg",10,IF(Atletas!E524="Juvenil 100kg",11,IF(Atletas!E524="Adulto 48kg",12,IF(Atletas!E524="Adulto 52kg",13,IF(Atletas!E524="Adulto 56kg",14,IF(Atletas!E524="Adulto 60kg",15,IF(Atletas!E524="Adulto 65kg",16,IF(Atletas!E524="Adulto 70kg",17,IF(Atletas!E524="Adulto 75kg",18,IF(Atletas!E524="Adulto 82kg",19,IF(Atletas!E524="Adulto 90kg",20,IF(Atletas!E524="Adulto 100kg",21,IF(Atletas!E524="Adulto +100kg",22,""))))))))))))))))))))))))</f>
        <v/>
      </c>
      <c r="AT528" s="10" t="str">
        <f>IF(Atletas!F524="","",IF(Atletas!B524="Feminino",100,IF(Atletas!B524="Masculino",200,""))+(IF(Atletas!F524="Adulto 48kg",1,IF(Atletas!F524="Adulto 56kg",2,IF(Atletas!F524="Adulto 65kg",3,IF(Atletas!F524="Adulto 75kg",4,IF(Atletas!F524="Adulto +75kg",5,IF(Atletas!F524="Adulto 52kg",6,IF(Atletas!F524="Adulto 60kg",7,IF(Atletas!F524="Adulto 70kg",8,IF(Atletas!F524="Adulto 80kg",9,IF(Atletas!F524="Adulto 90kg",10,IF(Atletas!F524="Adulto +90kg",11,"")))))))))))))</f>
        <v/>
      </c>
      <c r="AY528" s="46" t="str">
        <f>IF(Atletas!G524="","",IF(Atletas!B524="Feminino",100,IF(Atletas!B524="Masculino",200,""))+(IF(Atletas!G524="Changquan Mirim",1,IF(Atletas!G524="Nanquan Mirim",2,IF(Atletas!G524="Taijiquan Mirim",3,IF(Atletas!G524="Changquan Grupo C",4,IF(Atletas!G524="Nanquan Grupo C",5,IF(Atletas!G524="Taijiquan Grupo C",6,IF(Atletas!G524="Changquan Grupo B",7,IF(Atletas!G524="Nanquan Grupo B",8,IF(Atletas!G524="Taijiquan Grupo B",9,IF(Atletas!G524="Changquan Grupo A",10,IF(Atletas!G524="Nanquan Grupo A",11,IF(Atletas!G524="Taijiquan Grupo A",12,IF(Atletas!G524="Changquan Opcional",13,IF(Atletas!G524="Nanquan Opcional",14,IF(Atletas!G524="Taijiquan Opcional",15,IF(Atletas!G524="Changquan Adulto",16,IF(Atletas!G524="Nanquan Adulto",17,IF(Atletas!G524="Taijiquan Adulto",18,""))))))))))))))))))))</f>
        <v/>
      </c>
      <c r="AZ528" s="46" t="str">
        <f>IF(Atletas!H524="","",IF(Atletas!B524="Feminino",100,IF(Atletas!B524="Masculino",200,""))+(IF(Atletas!H524="Daoshu Mirim",19,IF(Atletas!H524="Jianshu Mirim",20,IF(Atletas!H524="Nandao Mirim",21,IF(Atletas!H524="Taijijian Mirim",22,IF(Atletas!H524="Daoshu Grupo C",23,IF(Atletas!H524="Jianshu Grupo C",24,IF(Atletas!H524="Nandao Grupo C",25,IF(Atletas!H524="Taijijian Grupo C",26,IF(Atletas!H524="Daoshu Grupo B",27,IF(Atletas!H524="Jianshu Grupo B",28,IF(Atletas!H524="Nandao Grupo B",29,IF(Atletas!H524="Taijijian Grupo B",30,IF(Atletas!H524="Daoshu Grupo A",31,IF(Atletas!H524="Jianshu Grupo A",32,IF(Atletas!H524="Nandao Grupo A",33,IF(Atletas!H524="Taijijian Grupo A",34,IF(Atletas!H524="Daoshu Opcional",35,IF(Atletas!H524="Jianshu Opcional",36,IF(Atletas!H524="Nandao Opcional",37,IF(Atletas!H524="Taijijian Opcional",38,IF(Atletas!H524="Daoshu Adulto",39,IF(Atletas!H524="Jianshu Adulto",40,IF(Atletas!H524="Nandao Adulto",41,IF(Atletas!H524="Taijijian Adulto",42,""))))))))))))))))))))))))))</f>
        <v/>
      </c>
      <c r="BA528" s="46" t="str">
        <f>IF(Atletas!I524="","",IF(Atletas!B524="Feminino",100,IF(Atletas!B524="Masculino",200,""))+(IF(Atletas!I524="Gunshu Mirim",43,IF(Atletas!I524="Qiangshu Mirim",44,IF(Atletas!I524="Nangun Mirim",45,IF(Atletas!I524="Gunshu Grupo C",46,IF(Atletas!I524="Qiangshu Grupo C",47,IF(Atletas!I524="Nangun Grupo C",48,IF(Atletas!I524="Gunshu Grupo B",49,IF(Atletas!I524="Qiangshu Grupo B",50,IF(Atletas!I524="Nangun Grupo B",51,IF(Atletas!I524="Gunshu Grupo A",52,IF(Atletas!I524="Qiangshu Grupo A",53,IF(Atletas!I524="Nangun Grupo A",54,IF(Atletas!I524="Gunshu Opcional",55,IF(Atletas!I524="Qiangshu Opcional",56,IF(Atletas!I524="Nangun Opcional",57,IF(Atletas!I524="Gunshu Adulto",58,IF(Atletas!I524="Qiangshu Adulto",59,IF(Atletas!I524="Nangun Adulto",60,""))))))))))))))))))))</f>
        <v/>
      </c>
      <c r="BF528" s="52" t="str">
        <f>IF(Atletas!J524="","",IF(Atletas!B524="Feminino",100,IF(Atletas!B524="Masculino",200,""))+(IF(Atletas!J524="Equipe 1 Grupo B",1,IF(Atletas!J524="Equipe 2 Grupo B",2,IF(Atletas!J524="Equipe 1 Grupo A",3,IF(Atletas!J524="Equipe 2 Grupo A",4,IF(Atletas!J524="Equipe 1 Adulto",5,IF(Atletas!J524="Equipe 2 Adulto",6,""))))))))</f>
        <v/>
      </c>
      <c r="BK528" s="52" t="str">
        <f>IF(Atletas!K524="","",IF(Atletas!W524&lt;&gt;"",10000,0)+(IF(Atletas!B524="Feminino",1000,IF(Atletas!B524="Masculino",2000,""))+IF(Atletas!K524="Choylayfut A",1,IF(Atletas!K524="Hunggar A",2,IF(Atletas!K524="Wuzuquan A",3,IF(Atletas!K524="Wingchun A",4,IF(Atletas!K524="Outra Mão de Sul A",5,IF(Atletas!K524="Choylayfut B",6,IF(Atletas!K524="Hunggar B",7,IF(Atletas!K524="Wuzuquan B",8,IF(Atletas!K524="Wingchun B",9,IF(Atletas!K524="Outra Mão de Sul B",10,IF(Atletas!K524="Choylayfut C",11,IF(Atletas!K524="Hunggar C",12,IF(Atletas!K524="Wuzuquan C",13,IF(Atletas!K524="Wingchun C",14,IF(Atletas!K524="Outra Mão de Sul C",15,IF(Atletas!K524="Choylayfut D",16,IF(Atletas!K524="Hunggar D",17,IF(Atletas!K524="Wuzuquan D",18,IF(Atletas!K524="Wingchun D",19,IF(Atletas!K524="Outra Mão de Sul D",20,IF(Atletas!K524="Choylayfut E",21,IF(Atletas!K524="Hunggar E",22,IF(Atletas!K524="Wuzuquan E",23,IF(Atletas!K524="Wingchun E",24,IF(Atletas!K524="Outra Mão de Sul E",25,IF(Atletas!K524="Choylayfut F",26,IF(Atletas!K524="Hunggar F",27,IF(Atletas!K524="Wuzuquan F",28,IF(Atletas!K524="Wingchun F",29,IF(Atletas!K524="Outra Mão de Sul F",30,""))))))))))))))))))))))))))))))))</f>
        <v/>
      </c>
      <c r="BL528" s="52" t="str">
        <f>IF(Atletas!L524="","",IF(Atletas!W524&lt;&gt;"",10000,0)+(IF(Atletas!B524="Feminino",1000,IF(Atletas!B524="Masculino",2000,""))+(IF(Atletas!L524="Chaquan A",101,IF(Atletas!L524="Emeiquan A",102,IF(Atletas!L524="Fanziquan A",103,IF(Atletas!L524="Huaquan A",104,IF(Atletas!L524="Hongquan A",105,IF(Atletas!L524="Paochui A",106,IF(Atletas!L524="Piguaquan A",107,IF(Atletas!L524="Shaolinquan A",108,IF(Atletas!L524="Tanglangquan A",109,IF(Atletas!L524="Yinzhaophai A",110,IF(Atletas!L524="Tongbeiquan A",111,IF(Atletas!L524="Wudangquan A",112,IF(Atletas!L524="Outros Estilos A",113,IF(Atletas!L524="Chaquan B",114,IF(Atletas!L524="Emeiquan B",115,IF(Atletas!L524="Fanziquan B",116,IF(Atletas!L524="Huaquan B",117,IF(Atletas!L524="Hongquan B",118,IF(Atletas!L524="Paochui B",119,IF(Atletas!L524="Piguaquan B",120,IF(Atletas!L524="Shaolinquan B",121,IF(Atletas!L524="Tanglangquan B",122,IF(Atletas!L524="Yinzhaophai B",123,IF(Atletas!L524="Tongbeiquan B",124,IF(Atletas!L524="Wudangquan B",125,IF(Atletas!L524="Outros Estilos B",126,IF(Atletas!L524="Chaquan C",127,IF(Atletas!L524="Emeiquan C",128,IF(Atletas!L524="Fanziquan C",129,IF(Atletas!L524="Huaquan C",130,IF(Atletas!L524="Hongquan C",131,IF(Atletas!L524="Paochui C",132,IF(Atletas!L524="Piguaquan C",133,IF(Atletas!L524="Shaolinquan C",134,IF(Atletas!L524="Tanglangquan C",135,IF(Atletas!L524="Yinzhaophai C",136,IF(Atletas!L524="Tongbeiquan C",137,IF(Atletas!L524="Wudangquan C",138,IF(Atletas!L524="Outros Estilos C",139,0))))))))))))))))))))))))))))))))))))))))))</f>
        <v/>
      </c>
      <c r="BM528" s="52" t="str">
        <f>IF(Atletas!L524="","",IF(Atletas!W524&lt;&gt;"",10000,0)+(IF(Atletas!B524="Feminino",1000,IF(Atletas!B524="Masculino",2000,""))+(IF(Atletas!L524="Chaquan D",140,IF(Atletas!L524="Emeiquan D",141,IF(Atletas!L524="Fanziquan D",142,IF(Atletas!L524="Huaquan D",143,IF(Atletas!L524="Hongquan D",144,IF(Atletas!L524="Paochui D",145,IF(Atletas!L524="Piguaquan D",146,IF(Atletas!L524="Shaolinquan D",147,IF(Atletas!L524="Tanglangquan D",148,IF(Atletas!L524="Yinzhaophai D",149,IF(Atletas!L524="Tongbeiquan D",150,IF(Atletas!L524="Wudangquan D",151,IF(Atletas!L524="Outros Estilos D",152,IF(Atletas!L524="Chaquan E",153,IF(Atletas!L524="Emeiquan E",154,IF(Atletas!L524="Fanziquan E",155,IF(Atletas!L524="Huaquan E",156,IF(Atletas!L524="Hongquan E",157,IF(Atletas!L524="Paochui E",158,IF(Atletas!L524="Piguaquan E",159,IF(Atletas!L524="Shaolinquan E",160,IF(Atletas!L524="Tanglangquan E",161,IF(Atletas!L524="Yinzhaophai E",162,IF(Atletas!L524="Tongbeiquan E",163,IF(Atletas!L524="Wudangquan E",164,IF(Atletas!L524="Outros Estilos E",165,IF(Atletas!L524="Chaquan F",166,IF(Atletas!L524="Emeiquan F",167,IF(Atletas!L524="Fanziquan F",168,IF(Atletas!L524="Huaquan F",169,IF(Atletas!L524="Hongquan F",170,IF(Atletas!L524="Paochui F",171,IF(Atletas!L524="Piguaquan F",172,IF(Atletas!L524="Shaolinquan F",173,IF(Atletas!L524="Tanglangquan F",174,IF(Atletas!L524="Yinzhaophai F",175,IF(Atletas!L524="Tongbeiquan F",176,IF(Atletas!L524="Wudangquan F",177,IF(Atletas!L524="Outros Estilos F",178,0))))))))))))))))))))))))))))))))))))))))))</f>
        <v/>
      </c>
      <c r="BN528" s="52" t="str">
        <f>IF(Atletas!M524="","",IF(Atletas!W524&lt;&gt;"",10000,0)+(IF(Atletas!B524="Feminino",1000,IF(Atletas!B524="Masculino",2000,""))+(IF(Atletas!M524="Ditangquan A",201,IF(Atletas!M524="Houquan A",202,IF(Atletas!M524="Zuiquan A",203,IF(Atletas!M524="Ditangquan B",204,IF(Atletas!M524="Houquan B",205,IF(Atletas!M524="Zuiquan B",206,IF(Atletas!M524="Ditangquan C",207,IF(Atletas!M524="Houquan C",208,IF(Atletas!M524="Zuiquan C",209,IF(Atletas!M524="Ditangquan D",210,IF(Atletas!M524="Houquan D",211,IF(Atletas!M524="Zuiquan D",212,IF(Atletas!M524="Ditangquan E",213,IF(Atletas!M524="Houquan E",214,IF(Atletas!M524="Zuiquan E",215,IF(Atletas!M524="Ditangquan F",216,IF(Atletas!M524="Houquan F",217,IF(Atletas!M524="Zuiquan F",218,"")))))))))))))))))))))</f>
        <v/>
      </c>
      <c r="BO528" s="52" t="str">
        <f>IF(Atletas!N524="","",IF(Atletas!W524&lt;&gt;"",10000,0)+IF(Atletas!B524="Feminino",1000,IF(Atletas!B524="Masculino",2000,""))+IF(Atletas!N524="Yang A",301,IF(Atletas!N524="Chen A",30,IF(Atletas!N524="Sun A",303,IF(Atletas!N524="Wu A",304,IF(Atletas!N524="Wu-Hao A",305,IF(Atletas!N524="Outro Taijiquan A",306,IF(Atletas!N524="Yang B",307,IF(Atletas!N524="Chen B",308,IF(Atletas!N524="Sun B",309,IF(Atletas!N524="Wu B",310,IF(Atletas!N524="Wu-Hao B",311,IF(Atletas!N524="Outro Taijiquan B",312,IF(Atletas!N524="Yang C",313,IF(Atletas!N524="Chen C",314,IF(Atletas!N524="Sun C",315,IF(Atletas!N524="Wu C",316,IF(Atletas!N524="Wu-Hao C",317,IF(Atletas!N524="Outro Taijiquan C",318,IF(Atletas!N524="Yang D",319,IF(Atletas!N524="Chen D",320,IF(Atletas!N524="Sun D",321,IF(Atletas!N524="Wu D",322,IF(Atletas!N524="Wu-Hao D",323,IF(Atletas!N524="Outro Taijiquan D",324,IF(Atletas!N524="Yang E",325,IF(Atletas!N524="Chen E",326,IF(Atletas!N524="Sun E",327,IF(Atletas!N524="Wu E",328,IF(Atletas!N524="Wu-Hao E",329,IF(Atletas!N524="Outro Taijiquan E",330,IF(Atletas!N524="Yang F",331,IF(Atletas!N524="Chen F",332,IF(Atletas!N524="Sun F",333,IF(Atletas!N524="Wu F",334,IF(Atletas!N524="Wu-Hao F",335,IF(Atletas!N524="Outro Taijiquan F",336,"")))))))))))))))))))))))))))))))))))))</f>
        <v/>
      </c>
      <c r="BP528" s="52" t="str">
        <f>IF(Atletas!O524="","",IF(Atletas!W524&lt;&gt;"",10000,0)+IF(Atletas!B524="Feminino",1000,IF(Atletas!B524="Masculino",2000,""))+IF(OR(Atletas!O524="Yang 26 A",Atletas!O524="Yang 40 A"),401,IF(OR(Atletas!O524="Chen 25 A",Atletas!O524="Chen 36 A",Atletas!O524="Chen 56 A"),402,IF(Atletas!O524="Sun 73 A",403,IF(Atletas!O524="Wu 45 A",404,IF(Atletas!O524="Wu-Hao 46 A",405,IF(OR(Atletas!O524="Taijiquan 16 A",Atletas!O524="Taijiquan 24 A",Atletas!O524="Taijiquan 32 A",Atletas!O524="Taijiquan 42 A"),406,IF(OR(Atletas!O524="Yang 26 B",Atletas!O524="Yang 40 B"),407,IF(OR(Atletas!O524="Chen 25 B",Atletas!O524="Chen 36 B",Atletas!O524="Chen 56 B"),408,IF(Atletas!O524="Sun 73 B",409,IF(Atletas!O524="Wu 45 B",410,IF(Atletas!O524="Wu-Hao 46 B",411,IF(OR(Atletas!O524="Taijiquan 16 B",Atletas!O524="Taijiquan 24 B",Atletas!O524="Taijiquan 32 B",Atletas!O524="Taijiquan 42 B"),412,IF(OR(Atletas!O524="Yang 26 C",Atletas!O524="Yang 40 C"),413,IF(OR(Atletas!O524="Chen 25 C",Atletas!O524="Chen 36 C",Atletas!O524="Chen 56 C"),414,IF(Atletas!O524="Sun 73 C",415,IF(Atletas!O524="Wu 45 C",416,IF(Atletas!O524="Wu-Hao 46 C",417,IF(OR(Atletas!O524="Taijiquan 16 C",Atletas!O524="Taijiquan 24 C",Atletas!O524="Taijiquan 32 C",Atletas!O524="Taijiquan 42 C"),418,0)))))))))))))))))))</f>
        <v/>
      </c>
      <c r="BQ528" s="52" t="str">
        <f>IF(Atletas!O524="","",IF(Atletas!W524&lt;&gt;"",10000,0)+IF(Atletas!B524="Feminino",1000,IF(Atletas!B524="Masculino",2000,""))+IF(OR(Atletas!O524="Yang 26 D",Atletas!O524="Yang 40 D"),419,IF(OR(Atletas!O524="Chen 25 D",Atletas!O524="Chen 36 D",Atletas!O524="Chen 56 D"),420,IF(Atletas!O524="Sun 73 D",421,IF(Atletas!O524="Wu 45 D",422,IF(Atletas!O524="Wu-Hao 46 D",423,IF(OR(Atletas!O524="Taijiquan 16 D",Atletas!O524="Taijiquan 24 D",Atletas!O524="Taijiquan 32 D",Atletas!O524="Taijiquan 42 D"),424,IF(OR(Atletas!O524="Yang 26 E",Atletas!O524="Yang 40 E"),425,IF(OR(Atletas!O524="Chen 25 E",Atletas!O524="Chen 36 E",Atletas!O524="Chen 56 E"),426,IF(Atletas!O524="Sun 73 E",427,IF(Atletas!O524="Wu 45 E",428,IF(Atletas!O524="Wu-Hao 46 E",429,IF(OR(Atletas!O524="Taijiquan 16 E",Atletas!O524="Taijiquan 24 E",Atletas!O524="Taijiquan 32 E",Atletas!O524="Taijiquan 42 E"),430,IF(OR(Atletas!O524="Yang 26 F",Atletas!O524="Yang 40 F"),431,IF(OR(Atletas!O524="Chen 25 F",Atletas!O524="Chen 36 F",Atletas!O524="Chen 56 F"),432,IF(Atletas!O524="Sun 73 F",433,IF(Atletas!O524="Wu 45 F",434,IF(Atletas!O524="Wu-Hao 46 F",435,IF(OR(Atletas!O524="Taijiquan 16 F",Atletas!O524="Taijiquan 24 F",Atletas!O524="Taijiquan 32 F",Atletas!O524="Taijiquan 42 F"),436,0)))))))))))))))))))</f>
        <v/>
      </c>
      <c r="BR528" s="52" t="str">
        <f>IF(Atletas!P524="","",IF(Atletas!W524&lt;&gt;"",10000,0)+IF(Atletas!B524="Feminino",1000,IF(Atletas!B524="Masculino",2000,""))+IF(Atletas!P524="Xingyiquan A",501,IF(Atletas!P524="Baguazhang A",502,IF(Atletas!P524="Outro Estilo Interno A",503,IF(Atletas!P524="Xingyiquan B",504,IF(Atletas!P524="Baguazhang B",505,IF(Atletas!P524="Outro Estilo Interno B",506,IF(Atletas!P524="Xingyiquan C",507,IF(Atletas!P524="Baguazhang C",508,IF(Atletas!P524="Outro Estilo Interno C",509,IF(Atletas!P524="Xingyiquan D",510,IF(Atletas!P524="Baguazhang D",511,IF(Atletas!P524="Outro Estilo Interno D",512,IF(Atletas!P524="Xingyiquan E",513,IF(Atletas!P524="Baguazhang E",514,IF(Atletas!P524="Outro Estilo Interno E",515,IF(Atletas!P524="Xingyiquan F",516,IF(Atletas!P524="Baguazhang F",517,IF(Atletas!P524="Outro Estilo Interno F",518, "")))))))))))))))))))</f>
        <v/>
      </c>
      <c r="BS528" s="52" t="str">
        <f>IF(Atletas!Q524="","",IF(Atletas!W524&lt;&gt;"",10000,0)+IF(Atletas!B524="Feminino",1000,IF(Atletas!B524="Masculino",2000,""))+IF(Atletas!Q524="Dao A",601,IF(Atletas!Q524="Jian A",602,IF(Atletas!Q524="Bishou A",603,IF(Atletas!Q524="Shan A",604,IF(Atletas!Q524="Outra Arma Curta A",605,IF(Atletas!Q524="Dao B",606,IF(Atletas!Q524="Jian B",607,IF(Atletas!Q524="Bishou B",608,IF(Atletas!Q524="Shan B",609,IF(Atletas!Q524="Outra Arma Curta B",610,IF(Atletas!Q524="Dao C",611,IF(Atletas!Q524="Jian C",612,IF(Atletas!Q524="Bishou C",613,IF(Atletas!Q524="Shan C",614,IF(Atletas!Q524="Outra Arma Curta C",615,IF(Atletas!Q524="Dao D",616,IF(Atletas!Q524="Jian D",617,IF(Atletas!Q524="Bishou D",618,IF(Atletas!Q524="Shan D",619,IF(Atletas!Q524="Outra Arma Curta D",620,IF(Atletas!Q524="Dao E",621,IF(Atletas!Q524="Jian E",622,IF(Atletas!Q524="Bishou E",623,IF(Atletas!Q524="Shan E",624,IF(Atletas!Q524="Outra Arma Curta E",625,IF(Atletas!Q524="Dao F",626,IF(Atletas!Q524="Jian F",627,IF(Atletas!Q524="Bishou F",628,IF(Atletas!Q524="Shan F",629,IF(Atletas!Q524="Outra Arma Curta F",630, "")))))))))))))))))))))))))))))))</f>
        <v/>
      </c>
      <c r="BT528" s="52" t="str">
        <f>IF(Atletas!R524="","",IF(Atletas!W524&lt;&gt;"",10000,0)+IF(Atletas!B524="Feminino",1000,IF(Atletas!B524="Masculino",2000,""))+IF(Atletas!R524="Gun A",701,IF(Atletas!R524="Qiang A",702,IF(Atletas!R524="Pudao / Guandao A",703,IF(Atletas!R524="Outra Arma Longa A",704,IF(Atletas!R524="Gun B",705,IF(Atletas!R524="Qiang B",706,IF(Atletas!R524="Pudao / Guandao B",707,IF(Atletas!R524="Outra Arma Longa B",708,IF(Atletas!R524="Gun C",709,IF(Atletas!R524="Qiang C",710,IF(Atletas!R524="Pudao / Guandao C",711,IF(Atletas!R524="Outra Arma Longa C",712,IF(Atletas!R524="Gun D",713,IF(Atletas!R524="Qiang D",714,IF(Atletas!R524="Pudao / Guandao D",715,IF(Atletas!R524="Outra Arma Longa D",716,IF(Atletas!R524="Gun E",717,IF(Atletas!R524="Qiang E",718,IF(Atletas!R524="Pudao / Guandao E",719,IF(Atletas!R524="Outra Arma Longa E",720,IF(Atletas!R524="Gun F",721,IF(Atletas!R524="Qiang F",722,IF(Atletas!R524="Pudao / Guandao F",723,IF(Atletas!R524="Outra Arma Longa F",724,"")))))))))))))))))))))))))</f>
        <v/>
      </c>
      <c r="BU528" s="52" t="str">
        <f>IF(Atletas!S524="","",IF(Atletas!W524&lt;&gt;"",10000,0)+IF(Atletas!B524="Feminino",1000,IF(Atletas!B524="Masculino",2000,""))+IF(Atletas!S524="Arma Dupla A",801,IF(Atletas!S524="Arma Maleável A",802,IF(Atletas!S524="Arma Dupla B",803,IF(Atletas!S524="Arma Maleável B",804,IF(Atletas!S524="Arma Dupla C",805,IF(Atletas!S524="Arma Maleável C",806,IF(Atletas!S524="Arma Dupla D",807,IF(Atletas!S524="Arma Maleável D",808,IF(Atletas!S524="Arma Dupla E",809,IF(Atletas!S524="Arma Maleável E",810,IF(Atletas!S524="Arma Dupla F",811,IF(Atletas!S524="Arma Maleável F",812, "")))))))))))))</f>
        <v/>
      </c>
      <c r="BV528" s="52" t="str">
        <f>IF(Atletas!T524="","",IF(Atletas!W524&lt;&gt;"",10000,0)+IF(Atletas!B524="Feminino",1000,IF(Atletas!B524="Masculino",2000,""))+IF(Atletas!T524="Taijijian Yang A",901,IF(Atletas!T524="Taijijian Chen A",902,IF(Atletas!T524="Taijijian Sun A",903,IF(Atletas!T524="Taijijian Wu A",904,IF(Atletas!T524="Taijijian Wu-Hao A",905,IF(Atletas!T524="Taijijian 32 A",906,IF(Atletas!T524="Taijijian 42 A",907,IF(Atletas!T524="Taijijian Yang B",908,IF(Atletas!T524="Taijijian Chen B",909,IF(Atletas!T524="Taijijian Sun B",910,IF(Atletas!T524="Taijijian Wu B",911,IF(Atletas!T524="Taijijian Wu-Hao B",912,IF(Atletas!T524="Taijijian 32 B",913,IF(Atletas!T524="Taijijian 42 B",914,IF(Atletas!T524="Taijijian Yang C",915,IF(Atletas!T524="Taijijian Chen C",916,IF(Atletas!T524="Taijijian Sun C",917,IF(Atletas!T524="Taijijian Wu C",918,IF(Atletas!T524="Taijijian Wu-Hao C",919,IF(Atletas!T524="Taijijian 32 C",920,IF(Atletas!T524="Taijijian 42 C",921,IF(Atletas!T524="Taijijian Yang D",922,IF(Atletas!T524="Taijijian Chen D",923,IF(Atletas!T524="Taijijian Sun D",924,IF(Atletas!T524="Taijijian Wu D",925,IF(Atletas!T524="Taijijian Wu-Hao D",926,IF(Atletas!T524="Taijijian 32 D",927,IF(Atletas!T524="Taijijian 42 D",928,IF(Atletas!T524="Taijijian Yang E",929,IF(Atletas!T524="Taijijian Chen E",930,IF(Atletas!T524="Taijijian Sun E",931,IF(Atletas!T524="Taijijian Wu E",932,IF(Atletas!T524="Taijijian Wu-Hao E",933,IF(Atletas!T524="Taijijian 32 E",934,IF(Atletas!T524="Taijijian 42 E",935,IF(Atletas!T524="Taijijian Yang F",936,IF(Atletas!T524="Taijijian Chen F",937,IF(Atletas!T524="Taijijian Sun F",938,IF(Atletas!T524="Taijijian Wu F",939,IF(Atletas!T524="Taijijian Wu-Hao F",940,IF(Atletas!T524="Taijijian 32 F",941,IF(Atletas!T524="Taijijian 42 F",942,"")))))))))))))))))))))))))))))))))))))))))))</f>
        <v/>
      </c>
      <c r="BW528" s="52" t="str">
        <f>IF(Atletas!U524="","",IF(Atletas!W524&lt;&gt;"",10000,0)+IF(Atletas!B524="Feminino",1000,IF(Atletas!B524="Masculino",2000,""))+IF(Atletas!T524="Taijijian 42 F",942,IF(Atletas!U524="Taijidao A",943,IF(Atletas!U524="Taijishan A",944,IF(Atletas!U524="Taijiqiang A",945,IF(Atletas!U524="Taijidao B",946,IF(Atletas!U524="Taijishan B",947,IF(Atletas!U524="Taijiqiang B",948,IF(Atletas!U524="Taijidao C",949,IF(Atletas!U524="Taijishan C",950,IF(Atletas!U524="Taijiqiang C",951,IF(Atletas!U524="Taijidao D",952,IF(Atletas!U524="Taijishan D",953,IF(Atletas!U524="Taijiqiang D",954,IF(Atletas!U524="Taijidao E",955,IF(Atletas!U524="Taijishan E",956,IF(Atletas!U524="Taijiqiang E",957,IF(Atletas!U524="Taijidao F",958,IF(Atletas!U524="Taijishan F",959,IF(Atletas!U524="Taijiqiang F",960))))))))))))))))))))</f>
        <v/>
      </c>
      <c r="CF528" s="52" t="str">
        <f xml:space="preserve"> IF(Atletas!V524="","",IF(Atletas!V524="Duilian de Mãos AB - Equipe 1",1,IF(Atletas!V524="Duilian de Mãos AB - Equipe 2",2,IF(Atletas!V524="Duilian de Armas AB - Equipe 1",3,IF(Atletas!V524="Duilian de Armas AB - Equipe 2",4,IF(Atletas!V524="Duilian de Tuishou - Equipe 1",5,IF(Atletas!V524="Duilian de Tuishou - Equipe 2",6,IF(Atletas!V524="Grupo Externo AB - Equipe 1",7,IF(Atletas!V524="Grupo Externo AB - Equipe 2",8,IF(Atletas!V524="Grupo Interno AB - Equipe 1",9,IF(Atletas!V524="Grupo Interno AB - Equipe 2",10,IF(Atletas!V524="Duilian de Mãos CD - Equipe 1",11,IF(Atletas!V524="Duilian de Mãos CD - Equipe 2",12,IF(Atletas!V524="Duilian de Armas CD - Equipe 1",13,IF(Atletas!V524="Duilian de Armas CD - Equipe 2",14,IF(Atletas!V524="Duilian de Tuishou - Equipe 1",15,IF(Atletas!V524="Duilian de Tuishou - Equipe 2",16,IF(Atletas!V524="Grupo Externo CDEF - Equipe 1",17,IF(Atletas!V524="Grupo Externo CDEF - Equipe 2",18,IF(Atletas!V524="Grupo Interno CDEF - Equipe 1",19,IF(Atletas!V524="Grupo Interno CDEF - Equipe 2",20,IF(Atletas!V524="Duilian de Mãos EF - Equipe 1",21,IF(Atletas!V524="Duilian de Mãos EF - Equipe 2",22,IF(Atletas!V524="Duilian de Armas EF - Equipe 1",23,IF(Atletas!V524="Duilian de Armas EF - Equipe 2",24,IF(Atletas!V524="Duilian de Tuishou - Equipe 1",25,IF(Atletas!V524="Duilian de Tuishou - Equipe 2",26,"")))))))))))))))))))))))))))</f>
        <v/>
      </c>
    </row>
    <row r="529" spans="36:84">
      <c r="AJ529" s="46" t="str">
        <f>IF(Atletas!D525="","",IF(Atletas!B525="Feminino",100,IF(Atletas!B525="Masculino",200,""))+(IF(Atletas!D525="Infantil 39kg",1,IF(Atletas!D525="Infantil 42kg",2,IF(Atletas!D525="Infantil 45kg",3,IF(Atletas!D525="Infantil 48kg",4,IF(Atletas!D525="Infantil 52kg",5,IF(Atletas!D525="Infantil 56kg",6,IF(Atletas!D525="Infantil 60kg",7,IF(Atletas!D525="Juvenil 48kg",8,IF(Atletas!D525="Juvenil 52kg",9,IF(Atletas!D525="Juvenil 56kg",10,IF(Atletas!D525="Juvenil 60kg",11,IF(Atletas!D525="Juvenil 65kg",12,IF(Atletas!D525="Juvenil 70kg",13,IF(Atletas!D525="Juvenil 75kg",14,IF(Atletas!D525="Juvenil 80kg",15,IF(Atletas!D525="Adulto 48kg",16,IF(Atletas!D525="Adulto 52kg",17,IF(Atletas!D525="Adulto 56kg",18,IF(Atletas!D525="Adulto 60kg",19,IF(Atletas!D525="Adulto 65kg",20,IF(Atletas!D525="Adulto 70kg",21,IF(Atletas!D525="Adulto 75kg",22,IF(Atletas!D525="Adulto 80kg",23,IF(Atletas!D525="Adulto 85kg",24,IF(Atletas!D525="Adulto 90kg",25,IF(Atletas!D525="Adulto +90kg",26,""))))))))))))))))))))))))))))</f>
        <v/>
      </c>
      <c r="AO529" s="10" t="str">
        <f>IF(Atletas!E525="","",IF(Atletas!B525="Feminino",100,IF(Atletas!B525="Masculino",200,""))+(IF(Atletas!E525="Juvenil 44kg",1,IF(Atletas!E525="Juvenil 48kg",2,IF(Atletas!E525="Juvenil 52kg",3,IF(Atletas!E525="Juvenil 56kg",4,IF(Atletas!E525="Juvenil 60kg",5,IF(Atletas!E525="Juvenil 65kg",6,IF(Atletas!E525="Juvenil 70kg",7,IF(Atletas!E525="Juvenil 75kg",8,IF(Atletas!E525="Juvenil 82kg",9,IF(Atletas!E525="Juvenil 90kg",10,IF(Atletas!E525="Juvenil 100kg",11,IF(Atletas!E525="Adulto 48kg",12,IF(Atletas!E525="Adulto 52kg",13,IF(Atletas!E525="Adulto 56kg",14,IF(Atletas!E525="Adulto 60kg",15,IF(Atletas!E525="Adulto 65kg",16,IF(Atletas!E525="Adulto 70kg",17,IF(Atletas!E525="Adulto 75kg",18,IF(Atletas!E525="Adulto 82kg",19,IF(Atletas!E525="Adulto 90kg",20,IF(Atletas!E525="Adulto 100kg",21,IF(Atletas!E525="Adulto +100kg",22,""))))))))))))))))))))))))</f>
        <v/>
      </c>
      <c r="AT529" s="10" t="str">
        <f>IF(Atletas!F525="","",IF(Atletas!B525="Feminino",100,IF(Atletas!B525="Masculino",200,""))+(IF(Atletas!F525="Adulto 48kg",1,IF(Atletas!F525="Adulto 56kg",2,IF(Atletas!F525="Adulto 65kg",3,IF(Atletas!F525="Adulto 75kg",4,IF(Atletas!F525="Adulto +75kg",5,IF(Atletas!F525="Adulto 52kg",6,IF(Atletas!F525="Adulto 60kg",7,IF(Atletas!F525="Adulto 70kg",8,IF(Atletas!F525="Adulto 80kg",9,IF(Atletas!F525="Adulto 90kg",10,IF(Atletas!F525="Adulto +90kg",11,"")))))))))))))</f>
        <v/>
      </c>
      <c r="AY529" s="46" t="str">
        <f>IF(Atletas!G525="","",IF(Atletas!B525="Feminino",100,IF(Atletas!B525="Masculino",200,""))+(IF(Atletas!G525="Changquan Mirim",1,IF(Atletas!G525="Nanquan Mirim",2,IF(Atletas!G525="Taijiquan Mirim",3,IF(Atletas!G525="Changquan Grupo C",4,IF(Atletas!G525="Nanquan Grupo C",5,IF(Atletas!G525="Taijiquan Grupo C",6,IF(Atletas!G525="Changquan Grupo B",7,IF(Atletas!G525="Nanquan Grupo B",8,IF(Atletas!G525="Taijiquan Grupo B",9,IF(Atletas!G525="Changquan Grupo A",10,IF(Atletas!G525="Nanquan Grupo A",11,IF(Atletas!G525="Taijiquan Grupo A",12,IF(Atletas!G525="Changquan Opcional",13,IF(Atletas!G525="Nanquan Opcional",14,IF(Atletas!G525="Taijiquan Opcional",15,IF(Atletas!G525="Changquan Adulto",16,IF(Atletas!G525="Nanquan Adulto",17,IF(Atletas!G525="Taijiquan Adulto",18,""))))))))))))))))))))</f>
        <v/>
      </c>
      <c r="AZ529" s="46" t="str">
        <f>IF(Atletas!H525="","",IF(Atletas!B525="Feminino",100,IF(Atletas!B525="Masculino",200,""))+(IF(Atletas!H525="Daoshu Mirim",19,IF(Atletas!H525="Jianshu Mirim",20,IF(Atletas!H525="Nandao Mirim",21,IF(Atletas!H525="Taijijian Mirim",22,IF(Atletas!H525="Daoshu Grupo C",23,IF(Atletas!H525="Jianshu Grupo C",24,IF(Atletas!H525="Nandao Grupo C",25,IF(Atletas!H525="Taijijian Grupo C",26,IF(Atletas!H525="Daoshu Grupo B",27,IF(Atletas!H525="Jianshu Grupo B",28,IF(Atletas!H525="Nandao Grupo B",29,IF(Atletas!H525="Taijijian Grupo B",30,IF(Atletas!H525="Daoshu Grupo A",31,IF(Atletas!H525="Jianshu Grupo A",32,IF(Atletas!H525="Nandao Grupo A",33,IF(Atletas!H525="Taijijian Grupo A",34,IF(Atletas!H525="Daoshu Opcional",35,IF(Atletas!H525="Jianshu Opcional",36,IF(Atletas!H525="Nandao Opcional",37,IF(Atletas!H525="Taijijian Opcional",38,IF(Atletas!H525="Daoshu Adulto",39,IF(Atletas!H525="Jianshu Adulto",40,IF(Atletas!H525="Nandao Adulto",41,IF(Atletas!H525="Taijijian Adulto",42,""))))))))))))))))))))))))))</f>
        <v/>
      </c>
      <c r="BA529" s="46" t="str">
        <f>IF(Atletas!I525="","",IF(Atletas!B525="Feminino",100,IF(Atletas!B525="Masculino",200,""))+(IF(Atletas!I525="Gunshu Mirim",43,IF(Atletas!I525="Qiangshu Mirim",44,IF(Atletas!I525="Nangun Mirim",45,IF(Atletas!I525="Gunshu Grupo C",46,IF(Atletas!I525="Qiangshu Grupo C",47,IF(Atletas!I525="Nangun Grupo C",48,IF(Atletas!I525="Gunshu Grupo B",49,IF(Atletas!I525="Qiangshu Grupo B",50,IF(Atletas!I525="Nangun Grupo B",51,IF(Atletas!I525="Gunshu Grupo A",52,IF(Atletas!I525="Qiangshu Grupo A",53,IF(Atletas!I525="Nangun Grupo A",54,IF(Atletas!I525="Gunshu Opcional",55,IF(Atletas!I525="Qiangshu Opcional",56,IF(Atletas!I525="Nangun Opcional",57,IF(Atletas!I525="Gunshu Adulto",58,IF(Atletas!I525="Qiangshu Adulto",59,IF(Atletas!I525="Nangun Adulto",60,""))))))))))))))))))))</f>
        <v/>
      </c>
      <c r="BF529" s="52" t="str">
        <f>IF(Atletas!J525="","",IF(Atletas!B525="Feminino",100,IF(Atletas!B525="Masculino",200,""))+(IF(Atletas!J525="Equipe 1 Grupo B",1,IF(Atletas!J525="Equipe 2 Grupo B",2,IF(Atletas!J525="Equipe 1 Grupo A",3,IF(Atletas!J525="Equipe 2 Grupo A",4,IF(Atletas!J525="Equipe 1 Adulto",5,IF(Atletas!J525="Equipe 2 Adulto",6,""))))))))</f>
        <v/>
      </c>
      <c r="BK529" s="52" t="str">
        <f>IF(Atletas!K525="","",IF(Atletas!W525&lt;&gt;"",10000,0)+(IF(Atletas!B525="Feminino",1000,IF(Atletas!B525="Masculino",2000,""))+IF(Atletas!K525="Choylayfut A",1,IF(Atletas!K525="Hunggar A",2,IF(Atletas!K525="Wuzuquan A",3,IF(Atletas!K525="Wingchun A",4,IF(Atletas!K525="Outra Mão de Sul A",5,IF(Atletas!K525="Choylayfut B",6,IF(Atletas!K525="Hunggar B",7,IF(Atletas!K525="Wuzuquan B",8,IF(Atletas!K525="Wingchun B",9,IF(Atletas!K525="Outra Mão de Sul B",10,IF(Atletas!K525="Choylayfut C",11,IF(Atletas!K525="Hunggar C",12,IF(Atletas!K525="Wuzuquan C",13,IF(Atletas!K525="Wingchun C",14,IF(Atletas!K525="Outra Mão de Sul C",15,IF(Atletas!K525="Choylayfut D",16,IF(Atletas!K525="Hunggar D",17,IF(Atletas!K525="Wuzuquan D",18,IF(Atletas!K525="Wingchun D",19,IF(Atletas!K525="Outra Mão de Sul D",20,IF(Atletas!K525="Choylayfut E",21,IF(Atletas!K525="Hunggar E",22,IF(Atletas!K525="Wuzuquan E",23,IF(Atletas!K525="Wingchun E",24,IF(Atletas!K525="Outra Mão de Sul E",25,IF(Atletas!K525="Choylayfut F",26,IF(Atletas!K525="Hunggar F",27,IF(Atletas!K525="Wuzuquan F",28,IF(Atletas!K525="Wingchun F",29,IF(Atletas!K525="Outra Mão de Sul F",30,""))))))))))))))))))))))))))))))))</f>
        <v/>
      </c>
      <c r="BL529" s="52" t="str">
        <f>IF(Atletas!L525="","",IF(Atletas!W525&lt;&gt;"",10000,0)+(IF(Atletas!B525="Feminino",1000,IF(Atletas!B525="Masculino",2000,""))+(IF(Atletas!L525="Chaquan A",101,IF(Atletas!L525="Emeiquan A",102,IF(Atletas!L525="Fanziquan A",103,IF(Atletas!L525="Huaquan A",104,IF(Atletas!L525="Hongquan A",105,IF(Atletas!L525="Paochui A",106,IF(Atletas!L525="Piguaquan A",107,IF(Atletas!L525="Shaolinquan A",108,IF(Atletas!L525="Tanglangquan A",109,IF(Atletas!L525="Yinzhaophai A",110,IF(Atletas!L525="Tongbeiquan A",111,IF(Atletas!L525="Wudangquan A",112,IF(Atletas!L525="Outros Estilos A",113,IF(Atletas!L525="Chaquan B",114,IF(Atletas!L525="Emeiquan B",115,IF(Atletas!L525="Fanziquan B",116,IF(Atletas!L525="Huaquan B",117,IF(Atletas!L525="Hongquan B",118,IF(Atletas!L525="Paochui B",119,IF(Atletas!L525="Piguaquan B",120,IF(Atletas!L525="Shaolinquan B",121,IF(Atletas!L525="Tanglangquan B",122,IF(Atletas!L525="Yinzhaophai B",123,IF(Atletas!L525="Tongbeiquan B",124,IF(Atletas!L525="Wudangquan B",125,IF(Atletas!L525="Outros Estilos B",126,IF(Atletas!L525="Chaquan C",127,IF(Atletas!L525="Emeiquan C",128,IF(Atletas!L525="Fanziquan C",129,IF(Atletas!L525="Huaquan C",130,IF(Atletas!L525="Hongquan C",131,IF(Atletas!L525="Paochui C",132,IF(Atletas!L525="Piguaquan C",133,IF(Atletas!L525="Shaolinquan C",134,IF(Atletas!L525="Tanglangquan C",135,IF(Atletas!L525="Yinzhaophai C",136,IF(Atletas!L525="Tongbeiquan C",137,IF(Atletas!L525="Wudangquan C",138,IF(Atletas!L525="Outros Estilos C",139,0))))))))))))))))))))))))))))))))))))))))))</f>
        <v/>
      </c>
      <c r="BM529" s="52" t="str">
        <f>IF(Atletas!L525="","",IF(Atletas!W525&lt;&gt;"",10000,0)+(IF(Atletas!B525="Feminino",1000,IF(Atletas!B525="Masculino",2000,""))+(IF(Atletas!L525="Chaquan D",140,IF(Atletas!L525="Emeiquan D",141,IF(Atletas!L525="Fanziquan D",142,IF(Atletas!L525="Huaquan D",143,IF(Atletas!L525="Hongquan D",144,IF(Atletas!L525="Paochui D",145,IF(Atletas!L525="Piguaquan D",146,IF(Atletas!L525="Shaolinquan D",147,IF(Atletas!L525="Tanglangquan D",148,IF(Atletas!L525="Yinzhaophai D",149,IF(Atletas!L525="Tongbeiquan D",150,IF(Atletas!L525="Wudangquan D",151,IF(Atletas!L525="Outros Estilos D",152,IF(Atletas!L525="Chaquan E",153,IF(Atletas!L525="Emeiquan E",154,IF(Atletas!L525="Fanziquan E",155,IF(Atletas!L525="Huaquan E",156,IF(Atletas!L525="Hongquan E",157,IF(Atletas!L525="Paochui E",158,IF(Atletas!L525="Piguaquan E",159,IF(Atletas!L525="Shaolinquan E",160,IF(Atletas!L525="Tanglangquan E",161,IF(Atletas!L525="Yinzhaophai E",162,IF(Atletas!L525="Tongbeiquan E",163,IF(Atletas!L525="Wudangquan E",164,IF(Atletas!L525="Outros Estilos E",165,IF(Atletas!L525="Chaquan F",166,IF(Atletas!L525="Emeiquan F",167,IF(Atletas!L525="Fanziquan F",168,IF(Atletas!L525="Huaquan F",169,IF(Atletas!L525="Hongquan F",170,IF(Atletas!L525="Paochui F",171,IF(Atletas!L525="Piguaquan F",172,IF(Atletas!L525="Shaolinquan F",173,IF(Atletas!L525="Tanglangquan F",174,IF(Atletas!L525="Yinzhaophai F",175,IF(Atletas!L525="Tongbeiquan F",176,IF(Atletas!L525="Wudangquan F",177,IF(Atletas!L525="Outros Estilos F",178,0))))))))))))))))))))))))))))))))))))))))))</f>
        <v/>
      </c>
      <c r="BN529" s="52" t="str">
        <f>IF(Atletas!M525="","",IF(Atletas!W525&lt;&gt;"",10000,0)+(IF(Atletas!B525="Feminino",1000,IF(Atletas!B525="Masculino",2000,""))+(IF(Atletas!M525="Ditangquan A",201,IF(Atletas!M525="Houquan A",202,IF(Atletas!M525="Zuiquan A",203,IF(Atletas!M525="Ditangquan B",204,IF(Atletas!M525="Houquan B",205,IF(Atletas!M525="Zuiquan B",206,IF(Atletas!M525="Ditangquan C",207,IF(Atletas!M525="Houquan C",208,IF(Atletas!M525="Zuiquan C",209,IF(Atletas!M525="Ditangquan D",210,IF(Atletas!M525="Houquan D",211,IF(Atletas!M525="Zuiquan D",212,IF(Atletas!M525="Ditangquan E",213,IF(Atletas!M525="Houquan E",214,IF(Atletas!M525="Zuiquan E",215,IF(Atletas!M525="Ditangquan F",216,IF(Atletas!M525="Houquan F",217,IF(Atletas!M525="Zuiquan F",218,"")))))))))))))))))))))</f>
        <v/>
      </c>
      <c r="BO529" s="52" t="str">
        <f>IF(Atletas!N525="","",IF(Atletas!W525&lt;&gt;"",10000,0)+IF(Atletas!B525="Feminino",1000,IF(Atletas!B525="Masculino",2000,""))+IF(Atletas!N525="Yang A",301,IF(Atletas!N525="Chen A",30,IF(Atletas!N525="Sun A",303,IF(Atletas!N525="Wu A",304,IF(Atletas!N525="Wu-Hao A",305,IF(Atletas!N525="Outro Taijiquan A",306,IF(Atletas!N525="Yang B",307,IF(Atletas!N525="Chen B",308,IF(Atletas!N525="Sun B",309,IF(Atletas!N525="Wu B",310,IF(Atletas!N525="Wu-Hao B",311,IF(Atletas!N525="Outro Taijiquan B",312,IF(Atletas!N525="Yang C",313,IF(Atletas!N525="Chen C",314,IF(Atletas!N525="Sun C",315,IF(Atletas!N525="Wu C",316,IF(Atletas!N525="Wu-Hao C",317,IF(Atletas!N525="Outro Taijiquan C",318,IF(Atletas!N525="Yang D",319,IF(Atletas!N525="Chen D",320,IF(Atletas!N525="Sun D",321,IF(Atletas!N525="Wu D",322,IF(Atletas!N525="Wu-Hao D",323,IF(Atletas!N525="Outro Taijiquan D",324,IF(Atletas!N525="Yang E",325,IF(Atletas!N525="Chen E",326,IF(Atletas!N525="Sun E",327,IF(Atletas!N525="Wu E",328,IF(Atletas!N525="Wu-Hao E",329,IF(Atletas!N525="Outro Taijiquan E",330,IF(Atletas!N525="Yang F",331,IF(Atletas!N525="Chen F",332,IF(Atletas!N525="Sun F",333,IF(Atletas!N525="Wu F",334,IF(Atletas!N525="Wu-Hao F",335,IF(Atletas!N525="Outro Taijiquan F",336,"")))))))))))))))))))))))))))))))))))))</f>
        <v/>
      </c>
      <c r="BP529" s="52" t="str">
        <f>IF(Atletas!O525="","",IF(Atletas!W525&lt;&gt;"",10000,0)+IF(Atletas!B525="Feminino",1000,IF(Atletas!B525="Masculino",2000,""))+IF(OR(Atletas!O525="Yang 26 A",Atletas!O525="Yang 40 A"),401,IF(OR(Atletas!O525="Chen 25 A",Atletas!O525="Chen 36 A",Atletas!O525="Chen 56 A"),402,IF(Atletas!O525="Sun 73 A",403,IF(Atletas!O525="Wu 45 A",404,IF(Atletas!O525="Wu-Hao 46 A",405,IF(OR(Atletas!O525="Taijiquan 16 A",Atletas!O525="Taijiquan 24 A",Atletas!O525="Taijiquan 32 A",Atletas!O525="Taijiquan 42 A"),406,IF(OR(Atletas!O525="Yang 26 B",Atletas!O525="Yang 40 B"),407,IF(OR(Atletas!O525="Chen 25 B",Atletas!O525="Chen 36 B",Atletas!O525="Chen 56 B"),408,IF(Atletas!O525="Sun 73 B",409,IF(Atletas!O525="Wu 45 B",410,IF(Atletas!O525="Wu-Hao 46 B",411,IF(OR(Atletas!O525="Taijiquan 16 B",Atletas!O525="Taijiquan 24 B",Atletas!O525="Taijiquan 32 B",Atletas!O525="Taijiquan 42 B"),412,IF(OR(Atletas!O525="Yang 26 C",Atletas!O525="Yang 40 C"),413,IF(OR(Atletas!O525="Chen 25 C",Atletas!O525="Chen 36 C",Atletas!O525="Chen 56 C"),414,IF(Atletas!O525="Sun 73 C",415,IF(Atletas!O525="Wu 45 C",416,IF(Atletas!O525="Wu-Hao 46 C",417,IF(OR(Atletas!O525="Taijiquan 16 C",Atletas!O525="Taijiquan 24 C",Atletas!O525="Taijiquan 32 C",Atletas!O525="Taijiquan 42 C"),418,0)))))))))))))))))))</f>
        <v/>
      </c>
      <c r="BQ529" s="52" t="str">
        <f>IF(Atletas!O525="","",IF(Atletas!W525&lt;&gt;"",10000,0)+IF(Atletas!B525="Feminino",1000,IF(Atletas!B525="Masculino",2000,""))+IF(OR(Atletas!O525="Yang 26 D",Atletas!O525="Yang 40 D"),419,IF(OR(Atletas!O525="Chen 25 D",Atletas!O525="Chen 36 D",Atletas!O525="Chen 56 D"),420,IF(Atletas!O525="Sun 73 D",421,IF(Atletas!O525="Wu 45 D",422,IF(Atletas!O525="Wu-Hao 46 D",423,IF(OR(Atletas!O525="Taijiquan 16 D",Atletas!O525="Taijiquan 24 D",Atletas!O525="Taijiquan 32 D",Atletas!O525="Taijiquan 42 D"),424,IF(OR(Atletas!O525="Yang 26 E",Atletas!O525="Yang 40 E"),425,IF(OR(Atletas!O525="Chen 25 E",Atletas!O525="Chen 36 E",Atletas!O525="Chen 56 E"),426,IF(Atletas!O525="Sun 73 E",427,IF(Atletas!O525="Wu 45 E",428,IF(Atletas!O525="Wu-Hao 46 E",429,IF(OR(Atletas!O525="Taijiquan 16 E",Atletas!O525="Taijiquan 24 E",Atletas!O525="Taijiquan 32 E",Atletas!O525="Taijiquan 42 E"),430,IF(OR(Atletas!O525="Yang 26 F",Atletas!O525="Yang 40 F"),431,IF(OR(Atletas!O525="Chen 25 F",Atletas!O525="Chen 36 F",Atletas!O525="Chen 56 F"),432,IF(Atletas!O525="Sun 73 F",433,IF(Atletas!O525="Wu 45 F",434,IF(Atletas!O525="Wu-Hao 46 F",435,IF(OR(Atletas!O525="Taijiquan 16 F",Atletas!O525="Taijiquan 24 F",Atletas!O525="Taijiquan 32 F",Atletas!O525="Taijiquan 42 F"),436,0)))))))))))))))))))</f>
        <v/>
      </c>
      <c r="BR529" s="52" t="str">
        <f>IF(Atletas!P525="","",IF(Atletas!W525&lt;&gt;"",10000,0)+IF(Atletas!B525="Feminino",1000,IF(Atletas!B525="Masculino",2000,""))+IF(Atletas!P525="Xingyiquan A",501,IF(Atletas!P525="Baguazhang A",502,IF(Atletas!P525="Outro Estilo Interno A",503,IF(Atletas!P525="Xingyiquan B",504,IF(Atletas!P525="Baguazhang B",505,IF(Atletas!P525="Outro Estilo Interno B",506,IF(Atletas!P525="Xingyiquan C",507,IF(Atletas!P525="Baguazhang C",508,IF(Atletas!P525="Outro Estilo Interno C",509,IF(Atletas!P525="Xingyiquan D",510,IF(Atletas!P525="Baguazhang D",511,IF(Atletas!P525="Outro Estilo Interno D",512,IF(Atletas!P525="Xingyiquan E",513,IF(Atletas!P525="Baguazhang E",514,IF(Atletas!P525="Outro Estilo Interno E",515,IF(Atletas!P525="Xingyiquan F",516,IF(Atletas!P525="Baguazhang F",517,IF(Atletas!P525="Outro Estilo Interno F",518, "")))))))))))))))))))</f>
        <v/>
      </c>
      <c r="BS529" s="52" t="str">
        <f>IF(Atletas!Q525="","",IF(Atletas!W525&lt;&gt;"",10000,0)+IF(Atletas!B525="Feminino",1000,IF(Atletas!B525="Masculino",2000,""))+IF(Atletas!Q525="Dao A",601,IF(Atletas!Q525="Jian A",602,IF(Atletas!Q525="Bishou A",603,IF(Atletas!Q525="Shan A",604,IF(Atletas!Q525="Outra Arma Curta A",605,IF(Atletas!Q525="Dao B",606,IF(Atletas!Q525="Jian B",607,IF(Atletas!Q525="Bishou B",608,IF(Atletas!Q525="Shan B",609,IF(Atletas!Q525="Outra Arma Curta B",610,IF(Atletas!Q525="Dao C",611,IF(Atletas!Q525="Jian C",612,IF(Atletas!Q525="Bishou C",613,IF(Atletas!Q525="Shan C",614,IF(Atletas!Q525="Outra Arma Curta C",615,IF(Atletas!Q525="Dao D",616,IF(Atletas!Q525="Jian D",617,IF(Atletas!Q525="Bishou D",618,IF(Atletas!Q525="Shan D",619,IF(Atletas!Q525="Outra Arma Curta D",620,IF(Atletas!Q525="Dao E",621,IF(Atletas!Q525="Jian E",622,IF(Atletas!Q525="Bishou E",623,IF(Atletas!Q525="Shan E",624,IF(Atletas!Q525="Outra Arma Curta E",625,IF(Atletas!Q525="Dao F",626,IF(Atletas!Q525="Jian F",627,IF(Atletas!Q525="Bishou F",628,IF(Atletas!Q525="Shan F",629,IF(Atletas!Q525="Outra Arma Curta F",630, "")))))))))))))))))))))))))))))))</f>
        <v/>
      </c>
      <c r="BT529" s="52" t="str">
        <f>IF(Atletas!R525="","",IF(Atletas!W525&lt;&gt;"",10000,0)+IF(Atletas!B525="Feminino",1000,IF(Atletas!B525="Masculino",2000,""))+IF(Atletas!R525="Gun A",701,IF(Atletas!R525="Qiang A",702,IF(Atletas!R525="Pudao / Guandao A",703,IF(Atletas!R525="Outra Arma Longa A",704,IF(Atletas!R525="Gun B",705,IF(Atletas!R525="Qiang B",706,IF(Atletas!R525="Pudao / Guandao B",707,IF(Atletas!R525="Outra Arma Longa B",708,IF(Atletas!R525="Gun C",709,IF(Atletas!R525="Qiang C",710,IF(Atletas!R525="Pudao / Guandao C",711,IF(Atletas!R525="Outra Arma Longa C",712,IF(Atletas!R525="Gun D",713,IF(Atletas!R525="Qiang D",714,IF(Atletas!R525="Pudao / Guandao D",715,IF(Atletas!R525="Outra Arma Longa D",716,IF(Atletas!R525="Gun E",717,IF(Atletas!R525="Qiang E",718,IF(Atletas!R525="Pudao / Guandao E",719,IF(Atletas!R525="Outra Arma Longa E",720,IF(Atletas!R525="Gun F",721,IF(Atletas!R525="Qiang F",722,IF(Atletas!R525="Pudao / Guandao F",723,IF(Atletas!R525="Outra Arma Longa F",724,"")))))))))))))))))))))))))</f>
        <v/>
      </c>
      <c r="BU529" s="52" t="str">
        <f>IF(Atletas!S525="","",IF(Atletas!W525&lt;&gt;"",10000,0)+IF(Atletas!B525="Feminino",1000,IF(Atletas!B525="Masculino",2000,""))+IF(Atletas!S525="Arma Dupla A",801,IF(Atletas!S525="Arma Maleável A",802,IF(Atletas!S525="Arma Dupla B",803,IF(Atletas!S525="Arma Maleável B",804,IF(Atletas!S525="Arma Dupla C",805,IF(Atletas!S525="Arma Maleável C",806,IF(Atletas!S525="Arma Dupla D",807,IF(Atletas!S525="Arma Maleável D",808,IF(Atletas!S525="Arma Dupla E",809,IF(Atletas!S525="Arma Maleável E",810,IF(Atletas!S525="Arma Dupla F",811,IF(Atletas!S525="Arma Maleável F",812, "")))))))))))))</f>
        <v/>
      </c>
      <c r="BV529" s="52" t="str">
        <f>IF(Atletas!T525="","",IF(Atletas!W525&lt;&gt;"",10000,0)+IF(Atletas!B525="Feminino",1000,IF(Atletas!B525="Masculino",2000,""))+IF(Atletas!T525="Taijijian Yang A",901,IF(Atletas!T525="Taijijian Chen A",902,IF(Atletas!T525="Taijijian Sun A",903,IF(Atletas!T525="Taijijian Wu A",904,IF(Atletas!T525="Taijijian Wu-Hao A",905,IF(Atletas!T525="Taijijian 32 A",906,IF(Atletas!T525="Taijijian 42 A",907,IF(Atletas!T525="Taijijian Yang B",908,IF(Atletas!T525="Taijijian Chen B",909,IF(Atletas!T525="Taijijian Sun B",910,IF(Atletas!T525="Taijijian Wu B",911,IF(Atletas!T525="Taijijian Wu-Hao B",912,IF(Atletas!T525="Taijijian 32 B",913,IF(Atletas!T525="Taijijian 42 B",914,IF(Atletas!T525="Taijijian Yang C",915,IF(Atletas!T525="Taijijian Chen C",916,IF(Atletas!T525="Taijijian Sun C",917,IF(Atletas!T525="Taijijian Wu C",918,IF(Atletas!T525="Taijijian Wu-Hao C",919,IF(Atletas!T525="Taijijian 32 C",920,IF(Atletas!T525="Taijijian 42 C",921,IF(Atletas!T525="Taijijian Yang D",922,IF(Atletas!T525="Taijijian Chen D",923,IF(Atletas!T525="Taijijian Sun D",924,IF(Atletas!T525="Taijijian Wu D",925,IF(Atletas!T525="Taijijian Wu-Hao D",926,IF(Atletas!T525="Taijijian 32 D",927,IF(Atletas!T525="Taijijian 42 D",928,IF(Atletas!T525="Taijijian Yang E",929,IF(Atletas!T525="Taijijian Chen E",930,IF(Atletas!T525="Taijijian Sun E",931,IF(Atletas!T525="Taijijian Wu E",932,IF(Atletas!T525="Taijijian Wu-Hao E",933,IF(Atletas!T525="Taijijian 32 E",934,IF(Atletas!T525="Taijijian 42 E",935,IF(Atletas!T525="Taijijian Yang F",936,IF(Atletas!T525="Taijijian Chen F",937,IF(Atletas!T525="Taijijian Sun F",938,IF(Atletas!T525="Taijijian Wu F",939,IF(Atletas!T525="Taijijian Wu-Hao F",940,IF(Atletas!T525="Taijijian 32 F",941,IF(Atletas!T525="Taijijian 42 F",942,"")))))))))))))))))))))))))))))))))))))))))))</f>
        <v/>
      </c>
      <c r="BW529" s="52" t="str">
        <f>IF(Atletas!U525="","",IF(Atletas!W525&lt;&gt;"",10000,0)+IF(Atletas!B525="Feminino",1000,IF(Atletas!B525="Masculino",2000,""))+IF(Atletas!T525="Taijijian 42 F",942,IF(Atletas!U525="Taijidao A",943,IF(Atletas!U525="Taijishan A",944,IF(Atletas!U525="Taijiqiang A",945,IF(Atletas!U525="Taijidao B",946,IF(Atletas!U525="Taijishan B",947,IF(Atletas!U525="Taijiqiang B",948,IF(Atletas!U525="Taijidao C",949,IF(Atletas!U525="Taijishan C",950,IF(Atletas!U525="Taijiqiang C",951,IF(Atletas!U525="Taijidao D",952,IF(Atletas!U525="Taijishan D",953,IF(Atletas!U525="Taijiqiang D",954,IF(Atletas!U525="Taijidao E",955,IF(Atletas!U525="Taijishan E",956,IF(Atletas!U525="Taijiqiang E",957,IF(Atletas!U525="Taijidao F",958,IF(Atletas!U525="Taijishan F",959,IF(Atletas!U525="Taijiqiang F",960))))))))))))))))))))</f>
        <v/>
      </c>
      <c r="CF529" s="52" t="str">
        <f xml:space="preserve"> IF(Atletas!V525="","",IF(Atletas!V525="Duilian de Mãos AB - Equipe 1",1,IF(Atletas!V525="Duilian de Mãos AB - Equipe 2",2,IF(Atletas!V525="Duilian de Armas AB - Equipe 1",3,IF(Atletas!V525="Duilian de Armas AB - Equipe 2",4,IF(Atletas!V525="Duilian de Tuishou - Equipe 1",5,IF(Atletas!V525="Duilian de Tuishou - Equipe 2",6,IF(Atletas!V525="Grupo Externo AB - Equipe 1",7,IF(Atletas!V525="Grupo Externo AB - Equipe 2",8,IF(Atletas!V525="Grupo Interno AB - Equipe 1",9,IF(Atletas!V525="Grupo Interno AB - Equipe 2",10,IF(Atletas!V525="Duilian de Mãos CD - Equipe 1",11,IF(Atletas!V525="Duilian de Mãos CD - Equipe 2",12,IF(Atletas!V525="Duilian de Armas CD - Equipe 1",13,IF(Atletas!V525="Duilian de Armas CD - Equipe 2",14,IF(Atletas!V525="Duilian de Tuishou - Equipe 1",15,IF(Atletas!V525="Duilian de Tuishou - Equipe 2",16,IF(Atletas!V525="Grupo Externo CDEF - Equipe 1",17,IF(Atletas!V525="Grupo Externo CDEF - Equipe 2",18,IF(Atletas!V525="Grupo Interno CDEF - Equipe 1",19,IF(Atletas!V525="Grupo Interno CDEF - Equipe 2",20,IF(Atletas!V525="Duilian de Mãos EF - Equipe 1",21,IF(Atletas!V525="Duilian de Mãos EF - Equipe 2",22,IF(Atletas!V525="Duilian de Armas EF - Equipe 1",23,IF(Atletas!V525="Duilian de Armas EF - Equipe 2",24,IF(Atletas!V525="Duilian de Tuishou - Equipe 1",25,IF(Atletas!V525="Duilian de Tuishou - Equipe 2",26,"")))))))))))))))))))))))))))</f>
        <v/>
      </c>
    </row>
    <row r="530" spans="36:84">
      <c r="AJ530" s="46" t="str">
        <f>IF(Atletas!D526="","",IF(Atletas!B526="Feminino",100,IF(Atletas!B526="Masculino",200,""))+(IF(Atletas!D526="Infantil 39kg",1,IF(Atletas!D526="Infantil 42kg",2,IF(Atletas!D526="Infantil 45kg",3,IF(Atletas!D526="Infantil 48kg",4,IF(Atletas!D526="Infantil 52kg",5,IF(Atletas!D526="Infantil 56kg",6,IF(Atletas!D526="Infantil 60kg",7,IF(Atletas!D526="Juvenil 48kg",8,IF(Atletas!D526="Juvenil 52kg",9,IF(Atletas!D526="Juvenil 56kg",10,IF(Atletas!D526="Juvenil 60kg",11,IF(Atletas!D526="Juvenil 65kg",12,IF(Atletas!D526="Juvenil 70kg",13,IF(Atletas!D526="Juvenil 75kg",14,IF(Atletas!D526="Juvenil 80kg",15,IF(Atletas!D526="Adulto 48kg",16,IF(Atletas!D526="Adulto 52kg",17,IF(Atletas!D526="Adulto 56kg",18,IF(Atletas!D526="Adulto 60kg",19,IF(Atletas!D526="Adulto 65kg",20,IF(Atletas!D526="Adulto 70kg",21,IF(Atletas!D526="Adulto 75kg",22,IF(Atletas!D526="Adulto 80kg",23,IF(Atletas!D526="Adulto 85kg",24,IF(Atletas!D526="Adulto 90kg",25,IF(Atletas!D526="Adulto +90kg",26,""))))))))))))))))))))))))))))</f>
        <v/>
      </c>
      <c r="AO530" s="10" t="str">
        <f>IF(Atletas!E526="","",IF(Atletas!B526="Feminino",100,IF(Atletas!B526="Masculino",200,""))+(IF(Atletas!E526="Juvenil 44kg",1,IF(Atletas!E526="Juvenil 48kg",2,IF(Atletas!E526="Juvenil 52kg",3,IF(Atletas!E526="Juvenil 56kg",4,IF(Atletas!E526="Juvenil 60kg",5,IF(Atletas!E526="Juvenil 65kg",6,IF(Atletas!E526="Juvenil 70kg",7,IF(Atletas!E526="Juvenil 75kg",8,IF(Atletas!E526="Juvenil 82kg",9,IF(Atletas!E526="Juvenil 90kg",10,IF(Atletas!E526="Juvenil 100kg",11,IF(Atletas!E526="Adulto 48kg",12,IF(Atletas!E526="Adulto 52kg",13,IF(Atletas!E526="Adulto 56kg",14,IF(Atletas!E526="Adulto 60kg",15,IF(Atletas!E526="Adulto 65kg",16,IF(Atletas!E526="Adulto 70kg",17,IF(Atletas!E526="Adulto 75kg",18,IF(Atletas!E526="Adulto 82kg",19,IF(Atletas!E526="Adulto 90kg",20,IF(Atletas!E526="Adulto 100kg",21,IF(Atletas!E526="Adulto +100kg",22,""))))))))))))))))))))))))</f>
        <v/>
      </c>
      <c r="AT530" s="10" t="str">
        <f>IF(Atletas!F526="","",IF(Atletas!B526="Feminino",100,IF(Atletas!B526="Masculino",200,""))+(IF(Atletas!F526="Adulto 48kg",1,IF(Atletas!F526="Adulto 56kg",2,IF(Atletas!F526="Adulto 65kg",3,IF(Atletas!F526="Adulto 75kg",4,IF(Atletas!F526="Adulto +75kg",5,IF(Atletas!F526="Adulto 52kg",6,IF(Atletas!F526="Adulto 60kg",7,IF(Atletas!F526="Adulto 70kg",8,IF(Atletas!F526="Adulto 80kg",9,IF(Atletas!F526="Adulto 90kg",10,IF(Atletas!F526="Adulto +90kg",11,"")))))))))))))</f>
        <v/>
      </c>
      <c r="AY530" s="46" t="str">
        <f>IF(Atletas!G526="","",IF(Atletas!B526="Feminino",100,IF(Atletas!B526="Masculino",200,""))+(IF(Atletas!G526="Changquan Mirim",1,IF(Atletas!G526="Nanquan Mirim",2,IF(Atletas!G526="Taijiquan Mirim",3,IF(Atletas!G526="Changquan Grupo C",4,IF(Atletas!G526="Nanquan Grupo C",5,IF(Atletas!G526="Taijiquan Grupo C",6,IF(Atletas!G526="Changquan Grupo B",7,IF(Atletas!G526="Nanquan Grupo B",8,IF(Atletas!G526="Taijiquan Grupo B",9,IF(Atletas!G526="Changquan Grupo A",10,IF(Atletas!G526="Nanquan Grupo A",11,IF(Atletas!G526="Taijiquan Grupo A",12,IF(Atletas!G526="Changquan Opcional",13,IF(Atletas!G526="Nanquan Opcional",14,IF(Atletas!G526="Taijiquan Opcional",15,IF(Atletas!G526="Changquan Adulto",16,IF(Atletas!G526="Nanquan Adulto",17,IF(Atletas!G526="Taijiquan Adulto",18,""))))))))))))))))))))</f>
        <v/>
      </c>
      <c r="AZ530" s="46" t="str">
        <f>IF(Atletas!H526="","",IF(Atletas!B526="Feminino",100,IF(Atletas!B526="Masculino",200,""))+(IF(Atletas!H526="Daoshu Mirim",19,IF(Atletas!H526="Jianshu Mirim",20,IF(Atletas!H526="Nandao Mirim",21,IF(Atletas!H526="Taijijian Mirim",22,IF(Atletas!H526="Daoshu Grupo C",23,IF(Atletas!H526="Jianshu Grupo C",24,IF(Atletas!H526="Nandao Grupo C",25,IF(Atletas!H526="Taijijian Grupo C",26,IF(Atletas!H526="Daoshu Grupo B",27,IF(Atletas!H526="Jianshu Grupo B",28,IF(Atletas!H526="Nandao Grupo B",29,IF(Atletas!H526="Taijijian Grupo B",30,IF(Atletas!H526="Daoshu Grupo A",31,IF(Atletas!H526="Jianshu Grupo A",32,IF(Atletas!H526="Nandao Grupo A",33,IF(Atletas!H526="Taijijian Grupo A",34,IF(Atletas!H526="Daoshu Opcional",35,IF(Atletas!H526="Jianshu Opcional",36,IF(Atletas!H526="Nandao Opcional",37,IF(Atletas!H526="Taijijian Opcional",38,IF(Atletas!H526="Daoshu Adulto",39,IF(Atletas!H526="Jianshu Adulto",40,IF(Atletas!H526="Nandao Adulto",41,IF(Atletas!H526="Taijijian Adulto",42,""))))))))))))))))))))))))))</f>
        <v/>
      </c>
      <c r="BA530" s="46" t="str">
        <f>IF(Atletas!I526="","",IF(Atletas!B526="Feminino",100,IF(Atletas!B526="Masculino",200,""))+(IF(Atletas!I526="Gunshu Mirim",43,IF(Atletas!I526="Qiangshu Mirim",44,IF(Atletas!I526="Nangun Mirim",45,IF(Atletas!I526="Gunshu Grupo C",46,IF(Atletas!I526="Qiangshu Grupo C",47,IF(Atletas!I526="Nangun Grupo C",48,IF(Atletas!I526="Gunshu Grupo B",49,IF(Atletas!I526="Qiangshu Grupo B",50,IF(Atletas!I526="Nangun Grupo B",51,IF(Atletas!I526="Gunshu Grupo A",52,IF(Atletas!I526="Qiangshu Grupo A",53,IF(Atletas!I526="Nangun Grupo A",54,IF(Atletas!I526="Gunshu Opcional",55,IF(Atletas!I526="Qiangshu Opcional",56,IF(Atletas!I526="Nangun Opcional",57,IF(Atletas!I526="Gunshu Adulto",58,IF(Atletas!I526="Qiangshu Adulto",59,IF(Atletas!I526="Nangun Adulto",60,""))))))))))))))))))))</f>
        <v/>
      </c>
      <c r="BF530" s="52" t="str">
        <f>IF(Atletas!J526="","",IF(Atletas!B526="Feminino",100,IF(Atletas!B526="Masculino",200,""))+(IF(Atletas!J526="Equipe 1 Grupo B",1,IF(Atletas!J526="Equipe 2 Grupo B",2,IF(Atletas!J526="Equipe 1 Grupo A",3,IF(Atletas!J526="Equipe 2 Grupo A",4,IF(Atletas!J526="Equipe 1 Adulto",5,IF(Atletas!J526="Equipe 2 Adulto",6,""))))))))</f>
        <v/>
      </c>
      <c r="BK530" s="52" t="str">
        <f>IF(Atletas!K526="","",IF(Atletas!W526&lt;&gt;"",10000,0)+(IF(Atletas!B526="Feminino",1000,IF(Atletas!B526="Masculino",2000,""))+IF(Atletas!K526="Choylayfut A",1,IF(Atletas!K526="Hunggar A",2,IF(Atletas!K526="Wuzuquan A",3,IF(Atletas!K526="Wingchun A",4,IF(Atletas!K526="Outra Mão de Sul A",5,IF(Atletas!K526="Choylayfut B",6,IF(Atletas!K526="Hunggar B",7,IF(Atletas!K526="Wuzuquan B",8,IF(Atletas!K526="Wingchun B",9,IF(Atletas!K526="Outra Mão de Sul B",10,IF(Atletas!K526="Choylayfut C",11,IF(Atletas!K526="Hunggar C",12,IF(Atletas!K526="Wuzuquan C",13,IF(Atletas!K526="Wingchun C",14,IF(Atletas!K526="Outra Mão de Sul C",15,IF(Atletas!K526="Choylayfut D",16,IF(Atletas!K526="Hunggar D",17,IF(Atletas!K526="Wuzuquan D",18,IF(Atletas!K526="Wingchun D",19,IF(Atletas!K526="Outra Mão de Sul D",20,IF(Atletas!K526="Choylayfut E",21,IF(Atletas!K526="Hunggar E",22,IF(Atletas!K526="Wuzuquan E",23,IF(Atletas!K526="Wingchun E",24,IF(Atletas!K526="Outra Mão de Sul E",25,IF(Atletas!K526="Choylayfut F",26,IF(Atletas!K526="Hunggar F",27,IF(Atletas!K526="Wuzuquan F",28,IF(Atletas!K526="Wingchun F",29,IF(Atletas!K526="Outra Mão de Sul F",30,""))))))))))))))))))))))))))))))))</f>
        <v/>
      </c>
      <c r="BL530" s="52" t="str">
        <f>IF(Atletas!L526="","",IF(Atletas!W526&lt;&gt;"",10000,0)+(IF(Atletas!B526="Feminino",1000,IF(Atletas!B526="Masculino",2000,""))+(IF(Atletas!L526="Chaquan A",101,IF(Atletas!L526="Emeiquan A",102,IF(Atletas!L526="Fanziquan A",103,IF(Atletas!L526="Huaquan A",104,IF(Atletas!L526="Hongquan A",105,IF(Atletas!L526="Paochui A",106,IF(Atletas!L526="Piguaquan A",107,IF(Atletas!L526="Shaolinquan A",108,IF(Atletas!L526="Tanglangquan A",109,IF(Atletas!L526="Yinzhaophai A",110,IF(Atletas!L526="Tongbeiquan A",111,IF(Atletas!L526="Wudangquan A",112,IF(Atletas!L526="Outros Estilos A",113,IF(Atletas!L526="Chaquan B",114,IF(Atletas!L526="Emeiquan B",115,IF(Atletas!L526="Fanziquan B",116,IF(Atletas!L526="Huaquan B",117,IF(Atletas!L526="Hongquan B",118,IF(Atletas!L526="Paochui B",119,IF(Atletas!L526="Piguaquan B",120,IF(Atletas!L526="Shaolinquan B",121,IF(Atletas!L526="Tanglangquan B",122,IF(Atletas!L526="Yinzhaophai B",123,IF(Atletas!L526="Tongbeiquan B",124,IF(Atletas!L526="Wudangquan B",125,IF(Atletas!L526="Outros Estilos B",126,IF(Atletas!L526="Chaquan C",127,IF(Atletas!L526="Emeiquan C",128,IF(Atletas!L526="Fanziquan C",129,IF(Atletas!L526="Huaquan C",130,IF(Atletas!L526="Hongquan C",131,IF(Atletas!L526="Paochui C",132,IF(Atletas!L526="Piguaquan C",133,IF(Atletas!L526="Shaolinquan C",134,IF(Atletas!L526="Tanglangquan C",135,IF(Atletas!L526="Yinzhaophai C",136,IF(Atletas!L526="Tongbeiquan C",137,IF(Atletas!L526="Wudangquan C",138,IF(Atletas!L526="Outros Estilos C",139,0))))))))))))))))))))))))))))))))))))))))))</f>
        <v/>
      </c>
      <c r="BM530" s="52" t="str">
        <f>IF(Atletas!L526="","",IF(Atletas!W526&lt;&gt;"",10000,0)+(IF(Atletas!B526="Feminino",1000,IF(Atletas!B526="Masculino",2000,""))+(IF(Atletas!L526="Chaquan D",140,IF(Atletas!L526="Emeiquan D",141,IF(Atletas!L526="Fanziquan D",142,IF(Atletas!L526="Huaquan D",143,IF(Atletas!L526="Hongquan D",144,IF(Atletas!L526="Paochui D",145,IF(Atletas!L526="Piguaquan D",146,IF(Atletas!L526="Shaolinquan D",147,IF(Atletas!L526="Tanglangquan D",148,IF(Atletas!L526="Yinzhaophai D",149,IF(Atletas!L526="Tongbeiquan D",150,IF(Atletas!L526="Wudangquan D",151,IF(Atletas!L526="Outros Estilos D",152,IF(Atletas!L526="Chaquan E",153,IF(Atletas!L526="Emeiquan E",154,IF(Atletas!L526="Fanziquan E",155,IF(Atletas!L526="Huaquan E",156,IF(Atletas!L526="Hongquan E",157,IF(Atletas!L526="Paochui E",158,IF(Atletas!L526="Piguaquan E",159,IF(Atletas!L526="Shaolinquan E",160,IF(Atletas!L526="Tanglangquan E",161,IF(Atletas!L526="Yinzhaophai E",162,IF(Atletas!L526="Tongbeiquan E",163,IF(Atletas!L526="Wudangquan E",164,IF(Atletas!L526="Outros Estilos E",165,IF(Atletas!L526="Chaquan F",166,IF(Atletas!L526="Emeiquan F",167,IF(Atletas!L526="Fanziquan F",168,IF(Atletas!L526="Huaquan F",169,IF(Atletas!L526="Hongquan F",170,IF(Atletas!L526="Paochui F",171,IF(Atletas!L526="Piguaquan F",172,IF(Atletas!L526="Shaolinquan F",173,IF(Atletas!L526="Tanglangquan F",174,IF(Atletas!L526="Yinzhaophai F",175,IF(Atletas!L526="Tongbeiquan F",176,IF(Atletas!L526="Wudangquan F",177,IF(Atletas!L526="Outros Estilos F",178,0))))))))))))))))))))))))))))))))))))))))))</f>
        <v/>
      </c>
      <c r="BN530" s="52" t="str">
        <f>IF(Atletas!M526="","",IF(Atletas!W526&lt;&gt;"",10000,0)+(IF(Atletas!B526="Feminino",1000,IF(Atletas!B526="Masculino",2000,""))+(IF(Atletas!M526="Ditangquan A",201,IF(Atletas!M526="Houquan A",202,IF(Atletas!M526="Zuiquan A",203,IF(Atletas!M526="Ditangquan B",204,IF(Atletas!M526="Houquan B",205,IF(Atletas!M526="Zuiquan B",206,IF(Atletas!M526="Ditangquan C",207,IF(Atletas!M526="Houquan C",208,IF(Atletas!M526="Zuiquan C",209,IF(Atletas!M526="Ditangquan D",210,IF(Atletas!M526="Houquan D",211,IF(Atletas!M526="Zuiquan D",212,IF(Atletas!M526="Ditangquan E",213,IF(Atletas!M526="Houquan E",214,IF(Atletas!M526="Zuiquan E",215,IF(Atletas!M526="Ditangquan F",216,IF(Atletas!M526="Houquan F",217,IF(Atletas!M526="Zuiquan F",218,"")))))))))))))))))))))</f>
        <v/>
      </c>
      <c r="BO530" s="52" t="str">
        <f>IF(Atletas!N526="","",IF(Atletas!W526&lt;&gt;"",10000,0)+IF(Atletas!B526="Feminino",1000,IF(Atletas!B526="Masculino",2000,""))+IF(Atletas!N526="Yang A",301,IF(Atletas!N526="Chen A",30,IF(Atletas!N526="Sun A",303,IF(Atletas!N526="Wu A",304,IF(Atletas!N526="Wu-Hao A",305,IF(Atletas!N526="Outro Taijiquan A",306,IF(Atletas!N526="Yang B",307,IF(Atletas!N526="Chen B",308,IF(Atletas!N526="Sun B",309,IF(Atletas!N526="Wu B",310,IF(Atletas!N526="Wu-Hao B",311,IF(Atletas!N526="Outro Taijiquan B",312,IF(Atletas!N526="Yang C",313,IF(Atletas!N526="Chen C",314,IF(Atletas!N526="Sun C",315,IF(Atletas!N526="Wu C",316,IF(Atletas!N526="Wu-Hao C",317,IF(Atletas!N526="Outro Taijiquan C",318,IF(Atletas!N526="Yang D",319,IF(Atletas!N526="Chen D",320,IF(Atletas!N526="Sun D",321,IF(Atletas!N526="Wu D",322,IF(Atletas!N526="Wu-Hao D",323,IF(Atletas!N526="Outro Taijiquan D",324,IF(Atletas!N526="Yang E",325,IF(Atletas!N526="Chen E",326,IF(Atletas!N526="Sun E",327,IF(Atletas!N526="Wu E",328,IF(Atletas!N526="Wu-Hao E",329,IF(Atletas!N526="Outro Taijiquan E",330,IF(Atletas!N526="Yang F",331,IF(Atletas!N526="Chen F",332,IF(Atletas!N526="Sun F",333,IF(Atletas!N526="Wu F",334,IF(Atletas!N526="Wu-Hao F",335,IF(Atletas!N526="Outro Taijiquan F",336,"")))))))))))))))))))))))))))))))))))))</f>
        <v/>
      </c>
      <c r="BP530" s="52" t="str">
        <f>IF(Atletas!O526="","",IF(Atletas!W526&lt;&gt;"",10000,0)+IF(Atletas!B526="Feminino",1000,IF(Atletas!B526="Masculino",2000,""))+IF(OR(Atletas!O526="Yang 26 A",Atletas!O526="Yang 40 A"),401,IF(OR(Atletas!O526="Chen 25 A",Atletas!O526="Chen 36 A",Atletas!O526="Chen 56 A"),402,IF(Atletas!O526="Sun 73 A",403,IF(Atletas!O526="Wu 45 A",404,IF(Atletas!O526="Wu-Hao 46 A",405,IF(OR(Atletas!O526="Taijiquan 16 A",Atletas!O526="Taijiquan 24 A",Atletas!O526="Taijiquan 32 A",Atletas!O526="Taijiquan 42 A"),406,IF(OR(Atletas!O526="Yang 26 B",Atletas!O526="Yang 40 B"),407,IF(OR(Atletas!O526="Chen 25 B",Atletas!O526="Chen 36 B",Atletas!O526="Chen 56 B"),408,IF(Atletas!O526="Sun 73 B",409,IF(Atletas!O526="Wu 45 B",410,IF(Atletas!O526="Wu-Hao 46 B",411,IF(OR(Atletas!O526="Taijiquan 16 B",Atletas!O526="Taijiquan 24 B",Atletas!O526="Taijiquan 32 B",Atletas!O526="Taijiquan 42 B"),412,IF(OR(Atletas!O526="Yang 26 C",Atletas!O526="Yang 40 C"),413,IF(OR(Atletas!O526="Chen 25 C",Atletas!O526="Chen 36 C",Atletas!O526="Chen 56 C"),414,IF(Atletas!O526="Sun 73 C",415,IF(Atletas!O526="Wu 45 C",416,IF(Atletas!O526="Wu-Hao 46 C",417,IF(OR(Atletas!O526="Taijiquan 16 C",Atletas!O526="Taijiquan 24 C",Atletas!O526="Taijiquan 32 C",Atletas!O526="Taijiquan 42 C"),418,0)))))))))))))))))))</f>
        <v/>
      </c>
      <c r="BQ530" s="52" t="str">
        <f>IF(Atletas!O526="","",IF(Atletas!W526&lt;&gt;"",10000,0)+IF(Atletas!B526="Feminino",1000,IF(Atletas!B526="Masculino",2000,""))+IF(OR(Atletas!O526="Yang 26 D",Atletas!O526="Yang 40 D"),419,IF(OR(Atletas!O526="Chen 25 D",Atletas!O526="Chen 36 D",Atletas!O526="Chen 56 D"),420,IF(Atletas!O526="Sun 73 D",421,IF(Atletas!O526="Wu 45 D",422,IF(Atletas!O526="Wu-Hao 46 D",423,IF(OR(Atletas!O526="Taijiquan 16 D",Atletas!O526="Taijiquan 24 D",Atletas!O526="Taijiquan 32 D",Atletas!O526="Taijiquan 42 D"),424,IF(OR(Atletas!O526="Yang 26 E",Atletas!O526="Yang 40 E"),425,IF(OR(Atletas!O526="Chen 25 E",Atletas!O526="Chen 36 E",Atletas!O526="Chen 56 E"),426,IF(Atletas!O526="Sun 73 E",427,IF(Atletas!O526="Wu 45 E",428,IF(Atletas!O526="Wu-Hao 46 E",429,IF(OR(Atletas!O526="Taijiquan 16 E",Atletas!O526="Taijiquan 24 E",Atletas!O526="Taijiquan 32 E",Atletas!O526="Taijiquan 42 E"),430,IF(OR(Atletas!O526="Yang 26 F",Atletas!O526="Yang 40 F"),431,IF(OR(Atletas!O526="Chen 25 F",Atletas!O526="Chen 36 F",Atletas!O526="Chen 56 F"),432,IF(Atletas!O526="Sun 73 F",433,IF(Atletas!O526="Wu 45 F",434,IF(Atletas!O526="Wu-Hao 46 F",435,IF(OR(Atletas!O526="Taijiquan 16 F",Atletas!O526="Taijiquan 24 F",Atletas!O526="Taijiquan 32 F",Atletas!O526="Taijiquan 42 F"),436,0)))))))))))))))))))</f>
        <v/>
      </c>
      <c r="BR530" s="52" t="str">
        <f>IF(Atletas!P526="","",IF(Atletas!W526&lt;&gt;"",10000,0)+IF(Atletas!B526="Feminino",1000,IF(Atletas!B526="Masculino",2000,""))+IF(Atletas!P526="Xingyiquan A",501,IF(Atletas!P526="Baguazhang A",502,IF(Atletas!P526="Outro Estilo Interno A",503,IF(Atletas!P526="Xingyiquan B",504,IF(Atletas!P526="Baguazhang B",505,IF(Atletas!P526="Outro Estilo Interno B",506,IF(Atletas!P526="Xingyiquan C",507,IF(Atletas!P526="Baguazhang C",508,IF(Atletas!P526="Outro Estilo Interno C",509,IF(Atletas!P526="Xingyiquan D",510,IF(Atletas!P526="Baguazhang D",511,IF(Atletas!P526="Outro Estilo Interno D",512,IF(Atletas!P526="Xingyiquan E",513,IF(Atletas!P526="Baguazhang E",514,IF(Atletas!P526="Outro Estilo Interno E",515,IF(Atletas!P526="Xingyiquan F",516,IF(Atletas!P526="Baguazhang F",517,IF(Atletas!P526="Outro Estilo Interno F",518, "")))))))))))))))))))</f>
        <v/>
      </c>
      <c r="BS530" s="52" t="str">
        <f>IF(Atletas!Q526="","",IF(Atletas!W526&lt;&gt;"",10000,0)+IF(Atletas!B526="Feminino",1000,IF(Atletas!B526="Masculino",2000,""))+IF(Atletas!Q526="Dao A",601,IF(Atletas!Q526="Jian A",602,IF(Atletas!Q526="Bishou A",603,IF(Atletas!Q526="Shan A",604,IF(Atletas!Q526="Outra Arma Curta A",605,IF(Atletas!Q526="Dao B",606,IF(Atletas!Q526="Jian B",607,IF(Atletas!Q526="Bishou B",608,IF(Atletas!Q526="Shan B",609,IF(Atletas!Q526="Outra Arma Curta B",610,IF(Atletas!Q526="Dao C",611,IF(Atletas!Q526="Jian C",612,IF(Atletas!Q526="Bishou C",613,IF(Atletas!Q526="Shan C",614,IF(Atletas!Q526="Outra Arma Curta C",615,IF(Atletas!Q526="Dao D",616,IF(Atletas!Q526="Jian D",617,IF(Atletas!Q526="Bishou D",618,IF(Atletas!Q526="Shan D",619,IF(Atletas!Q526="Outra Arma Curta D",620,IF(Atletas!Q526="Dao E",621,IF(Atletas!Q526="Jian E",622,IF(Atletas!Q526="Bishou E",623,IF(Atletas!Q526="Shan E",624,IF(Atletas!Q526="Outra Arma Curta E",625,IF(Atletas!Q526="Dao F",626,IF(Atletas!Q526="Jian F",627,IF(Atletas!Q526="Bishou F",628,IF(Atletas!Q526="Shan F",629,IF(Atletas!Q526="Outra Arma Curta F",630, "")))))))))))))))))))))))))))))))</f>
        <v/>
      </c>
      <c r="BT530" s="52" t="str">
        <f>IF(Atletas!R526="","",IF(Atletas!W526&lt;&gt;"",10000,0)+IF(Atletas!B526="Feminino",1000,IF(Atletas!B526="Masculino",2000,""))+IF(Atletas!R526="Gun A",701,IF(Atletas!R526="Qiang A",702,IF(Atletas!R526="Pudao / Guandao A",703,IF(Atletas!R526="Outra Arma Longa A",704,IF(Atletas!R526="Gun B",705,IF(Atletas!R526="Qiang B",706,IF(Atletas!R526="Pudao / Guandao B",707,IF(Atletas!R526="Outra Arma Longa B",708,IF(Atletas!R526="Gun C",709,IF(Atletas!R526="Qiang C",710,IF(Atletas!R526="Pudao / Guandao C",711,IF(Atletas!R526="Outra Arma Longa C",712,IF(Atletas!R526="Gun D",713,IF(Atletas!R526="Qiang D",714,IF(Atletas!R526="Pudao / Guandao D",715,IF(Atletas!R526="Outra Arma Longa D",716,IF(Atletas!R526="Gun E",717,IF(Atletas!R526="Qiang E",718,IF(Atletas!R526="Pudao / Guandao E",719,IF(Atletas!R526="Outra Arma Longa E",720,IF(Atletas!R526="Gun F",721,IF(Atletas!R526="Qiang F",722,IF(Atletas!R526="Pudao / Guandao F",723,IF(Atletas!R526="Outra Arma Longa F",724,"")))))))))))))))))))))))))</f>
        <v/>
      </c>
      <c r="BU530" s="52" t="str">
        <f>IF(Atletas!S526="","",IF(Atletas!W526&lt;&gt;"",10000,0)+IF(Atletas!B526="Feminino",1000,IF(Atletas!B526="Masculino",2000,""))+IF(Atletas!S526="Arma Dupla A",801,IF(Atletas!S526="Arma Maleável A",802,IF(Atletas!S526="Arma Dupla B",803,IF(Atletas!S526="Arma Maleável B",804,IF(Atletas!S526="Arma Dupla C",805,IF(Atletas!S526="Arma Maleável C",806,IF(Atletas!S526="Arma Dupla D",807,IF(Atletas!S526="Arma Maleável D",808,IF(Atletas!S526="Arma Dupla E",809,IF(Atletas!S526="Arma Maleável E",810,IF(Atletas!S526="Arma Dupla F",811,IF(Atletas!S526="Arma Maleável F",812, "")))))))))))))</f>
        <v/>
      </c>
      <c r="BV530" s="52" t="str">
        <f>IF(Atletas!T526="","",IF(Atletas!W526&lt;&gt;"",10000,0)+IF(Atletas!B526="Feminino",1000,IF(Atletas!B526="Masculino",2000,""))+IF(Atletas!T526="Taijijian Yang A",901,IF(Atletas!T526="Taijijian Chen A",902,IF(Atletas!T526="Taijijian Sun A",903,IF(Atletas!T526="Taijijian Wu A",904,IF(Atletas!T526="Taijijian Wu-Hao A",905,IF(Atletas!T526="Taijijian 32 A",906,IF(Atletas!T526="Taijijian 42 A",907,IF(Atletas!T526="Taijijian Yang B",908,IF(Atletas!T526="Taijijian Chen B",909,IF(Atletas!T526="Taijijian Sun B",910,IF(Atletas!T526="Taijijian Wu B",911,IF(Atletas!T526="Taijijian Wu-Hao B",912,IF(Atletas!T526="Taijijian 32 B",913,IF(Atletas!T526="Taijijian 42 B",914,IF(Atletas!T526="Taijijian Yang C",915,IF(Atletas!T526="Taijijian Chen C",916,IF(Atletas!T526="Taijijian Sun C",917,IF(Atletas!T526="Taijijian Wu C",918,IF(Atletas!T526="Taijijian Wu-Hao C",919,IF(Atletas!T526="Taijijian 32 C",920,IF(Atletas!T526="Taijijian 42 C",921,IF(Atletas!T526="Taijijian Yang D",922,IF(Atletas!T526="Taijijian Chen D",923,IF(Atletas!T526="Taijijian Sun D",924,IF(Atletas!T526="Taijijian Wu D",925,IF(Atletas!T526="Taijijian Wu-Hao D",926,IF(Atletas!T526="Taijijian 32 D",927,IF(Atletas!T526="Taijijian 42 D",928,IF(Atletas!T526="Taijijian Yang E",929,IF(Atletas!T526="Taijijian Chen E",930,IF(Atletas!T526="Taijijian Sun E",931,IF(Atletas!T526="Taijijian Wu E",932,IF(Atletas!T526="Taijijian Wu-Hao E",933,IF(Atletas!T526="Taijijian 32 E",934,IF(Atletas!T526="Taijijian 42 E",935,IF(Atletas!T526="Taijijian Yang F",936,IF(Atletas!T526="Taijijian Chen F",937,IF(Atletas!T526="Taijijian Sun F",938,IF(Atletas!T526="Taijijian Wu F",939,IF(Atletas!T526="Taijijian Wu-Hao F",940,IF(Atletas!T526="Taijijian 32 F",941,IF(Atletas!T526="Taijijian 42 F",942,"")))))))))))))))))))))))))))))))))))))))))))</f>
        <v/>
      </c>
      <c r="BW530" s="52" t="str">
        <f>IF(Atletas!U526="","",IF(Atletas!W526&lt;&gt;"",10000,0)+IF(Atletas!B526="Feminino",1000,IF(Atletas!B526="Masculino",2000,""))+IF(Atletas!T526="Taijijian 42 F",942,IF(Atletas!U526="Taijidao A",943,IF(Atletas!U526="Taijishan A",944,IF(Atletas!U526="Taijiqiang A",945,IF(Atletas!U526="Taijidao B",946,IF(Atletas!U526="Taijishan B",947,IF(Atletas!U526="Taijiqiang B",948,IF(Atletas!U526="Taijidao C",949,IF(Atletas!U526="Taijishan C",950,IF(Atletas!U526="Taijiqiang C",951,IF(Atletas!U526="Taijidao D",952,IF(Atletas!U526="Taijishan D",953,IF(Atletas!U526="Taijiqiang D",954,IF(Atletas!U526="Taijidao E",955,IF(Atletas!U526="Taijishan E",956,IF(Atletas!U526="Taijiqiang E",957,IF(Atletas!U526="Taijidao F",958,IF(Atletas!U526="Taijishan F",959,IF(Atletas!U526="Taijiqiang F",960))))))))))))))))))))</f>
        <v/>
      </c>
      <c r="CF530" s="52" t="str">
        <f xml:space="preserve"> IF(Atletas!V526="","",IF(Atletas!V526="Duilian de Mãos AB - Equipe 1",1,IF(Atletas!V526="Duilian de Mãos AB - Equipe 2",2,IF(Atletas!V526="Duilian de Armas AB - Equipe 1",3,IF(Atletas!V526="Duilian de Armas AB - Equipe 2",4,IF(Atletas!V526="Duilian de Tuishou - Equipe 1",5,IF(Atletas!V526="Duilian de Tuishou - Equipe 2",6,IF(Atletas!V526="Grupo Externo AB - Equipe 1",7,IF(Atletas!V526="Grupo Externo AB - Equipe 2",8,IF(Atletas!V526="Grupo Interno AB - Equipe 1",9,IF(Atletas!V526="Grupo Interno AB - Equipe 2",10,IF(Atletas!V526="Duilian de Mãos CD - Equipe 1",11,IF(Atletas!V526="Duilian de Mãos CD - Equipe 2",12,IF(Atletas!V526="Duilian de Armas CD - Equipe 1",13,IF(Atletas!V526="Duilian de Armas CD - Equipe 2",14,IF(Atletas!V526="Duilian de Tuishou - Equipe 1",15,IF(Atletas!V526="Duilian de Tuishou - Equipe 2",16,IF(Atletas!V526="Grupo Externo CDEF - Equipe 1",17,IF(Atletas!V526="Grupo Externo CDEF - Equipe 2",18,IF(Atletas!V526="Grupo Interno CDEF - Equipe 1",19,IF(Atletas!V526="Grupo Interno CDEF - Equipe 2",20,IF(Atletas!V526="Duilian de Mãos EF - Equipe 1",21,IF(Atletas!V526="Duilian de Mãos EF - Equipe 2",22,IF(Atletas!V526="Duilian de Armas EF - Equipe 1",23,IF(Atletas!V526="Duilian de Armas EF - Equipe 2",24,IF(Atletas!V526="Duilian de Tuishou - Equipe 1",25,IF(Atletas!V526="Duilian de Tuishou - Equipe 2",26,"")))))))))))))))))))))))))))</f>
        <v/>
      </c>
    </row>
    <row r="531" spans="36:84">
      <c r="AJ531" s="46" t="str">
        <f>IF(Atletas!D527="","",IF(Atletas!B527="Feminino",100,IF(Atletas!B527="Masculino",200,""))+(IF(Atletas!D527="Infantil 39kg",1,IF(Atletas!D527="Infantil 42kg",2,IF(Atletas!D527="Infantil 45kg",3,IF(Atletas!D527="Infantil 48kg",4,IF(Atletas!D527="Infantil 52kg",5,IF(Atletas!D527="Infantil 56kg",6,IF(Atletas!D527="Infantil 60kg",7,IF(Atletas!D527="Juvenil 48kg",8,IF(Atletas!D527="Juvenil 52kg",9,IF(Atletas!D527="Juvenil 56kg",10,IF(Atletas!D527="Juvenil 60kg",11,IF(Atletas!D527="Juvenil 65kg",12,IF(Atletas!D527="Juvenil 70kg",13,IF(Atletas!D527="Juvenil 75kg",14,IF(Atletas!D527="Juvenil 80kg",15,IF(Atletas!D527="Adulto 48kg",16,IF(Atletas!D527="Adulto 52kg",17,IF(Atletas!D527="Adulto 56kg",18,IF(Atletas!D527="Adulto 60kg",19,IF(Atletas!D527="Adulto 65kg",20,IF(Atletas!D527="Adulto 70kg",21,IF(Atletas!D527="Adulto 75kg",22,IF(Atletas!D527="Adulto 80kg",23,IF(Atletas!D527="Adulto 85kg",24,IF(Atletas!D527="Adulto 90kg",25,IF(Atletas!D527="Adulto +90kg",26,""))))))))))))))))))))))))))))</f>
        <v/>
      </c>
      <c r="AO531" s="10" t="str">
        <f>IF(Atletas!E527="","",IF(Atletas!B527="Feminino",100,IF(Atletas!B527="Masculino",200,""))+(IF(Atletas!E527="Juvenil 44kg",1,IF(Atletas!E527="Juvenil 48kg",2,IF(Atletas!E527="Juvenil 52kg",3,IF(Atletas!E527="Juvenil 56kg",4,IF(Atletas!E527="Juvenil 60kg",5,IF(Atletas!E527="Juvenil 65kg",6,IF(Atletas!E527="Juvenil 70kg",7,IF(Atletas!E527="Juvenil 75kg",8,IF(Atletas!E527="Juvenil 82kg",9,IF(Atletas!E527="Juvenil 90kg",10,IF(Atletas!E527="Juvenil 100kg",11,IF(Atletas!E527="Adulto 48kg",12,IF(Atletas!E527="Adulto 52kg",13,IF(Atletas!E527="Adulto 56kg",14,IF(Atletas!E527="Adulto 60kg",15,IF(Atletas!E527="Adulto 65kg",16,IF(Atletas!E527="Adulto 70kg",17,IF(Atletas!E527="Adulto 75kg",18,IF(Atletas!E527="Adulto 82kg",19,IF(Atletas!E527="Adulto 90kg",20,IF(Atletas!E527="Adulto 100kg",21,IF(Atletas!E527="Adulto +100kg",22,""))))))))))))))))))))))))</f>
        <v/>
      </c>
      <c r="AT531" s="10" t="str">
        <f>IF(Atletas!F527="","",IF(Atletas!B527="Feminino",100,IF(Atletas!B527="Masculino",200,""))+(IF(Atletas!F527="Adulto 48kg",1,IF(Atletas!F527="Adulto 56kg",2,IF(Atletas!F527="Adulto 65kg",3,IF(Atletas!F527="Adulto 75kg",4,IF(Atletas!F527="Adulto +75kg",5,IF(Atletas!F527="Adulto 52kg",6,IF(Atletas!F527="Adulto 60kg",7,IF(Atletas!F527="Adulto 70kg",8,IF(Atletas!F527="Adulto 80kg",9,IF(Atletas!F527="Adulto 90kg",10,IF(Atletas!F527="Adulto +90kg",11,"")))))))))))))</f>
        <v/>
      </c>
      <c r="AY531" s="46" t="str">
        <f>IF(Atletas!G527="","",IF(Atletas!B527="Feminino",100,IF(Atletas!B527="Masculino",200,""))+(IF(Atletas!G527="Changquan Mirim",1,IF(Atletas!G527="Nanquan Mirim",2,IF(Atletas!G527="Taijiquan Mirim",3,IF(Atletas!G527="Changquan Grupo C",4,IF(Atletas!G527="Nanquan Grupo C",5,IF(Atletas!G527="Taijiquan Grupo C",6,IF(Atletas!G527="Changquan Grupo B",7,IF(Atletas!G527="Nanquan Grupo B",8,IF(Atletas!G527="Taijiquan Grupo B",9,IF(Atletas!G527="Changquan Grupo A",10,IF(Atletas!G527="Nanquan Grupo A",11,IF(Atletas!G527="Taijiquan Grupo A",12,IF(Atletas!G527="Changquan Opcional",13,IF(Atletas!G527="Nanquan Opcional",14,IF(Atletas!G527="Taijiquan Opcional",15,IF(Atletas!G527="Changquan Adulto",16,IF(Atletas!G527="Nanquan Adulto",17,IF(Atletas!G527="Taijiquan Adulto",18,""))))))))))))))))))))</f>
        <v/>
      </c>
      <c r="AZ531" s="46" t="str">
        <f>IF(Atletas!H527="","",IF(Atletas!B527="Feminino",100,IF(Atletas!B527="Masculino",200,""))+(IF(Atletas!H527="Daoshu Mirim",19,IF(Atletas!H527="Jianshu Mirim",20,IF(Atletas!H527="Nandao Mirim",21,IF(Atletas!H527="Taijijian Mirim",22,IF(Atletas!H527="Daoshu Grupo C",23,IF(Atletas!H527="Jianshu Grupo C",24,IF(Atletas!H527="Nandao Grupo C",25,IF(Atletas!H527="Taijijian Grupo C",26,IF(Atletas!H527="Daoshu Grupo B",27,IF(Atletas!H527="Jianshu Grupo B",28,IF(Atletas!H527="Nandao Grupo B",29,IF(Atletas!H527="Taijijian Grupo B",30,IF(Atletas!H527="Daoshu Grupo A",31,IF(Atletas!H527="Jianshu Grupo A",32,IF(Atletas!H527="Nandao Grupo A",33,IF(Atletas!H527="Taijijian Grupo A",34,IF(Atletas!H527="Daoshu Opcional",35,IF(Atletas!H527="Jianshu Opcional",36,IF(Atletas!H527="Nandao Opcional",37,IF(Atletas!H527="Taijijian Opcional",38,IF(Atletas!H527="Daoshu Adulto",39,IF(Atletas!H527="Jianshu Adulto",40,IF(Atletas!H527="Nandao Adulto",41,IF(Atletas!H527="Taijijian Adulto",42,""))))))))))))))))))))))))))</f>
        <v/>
      </c>
      <c r="BA531" s="46" t="str">
        <f>IF(Atletas!I527="","",IF(Atletas!B527="Feminino",100,IF(Atletas!B527="Masculino",200,""))+(IF(Atletas!I527="Gunshu Mirim",43,IF(Atletas!I527="Qiangshu Mirim",44,IF(Atletas!I527="Nangun Mirim",45,IF(Atletas!I527="Gunshu Grupo C",46,IF(Atletas!I527="Qiangshu Grupo C",47,IF(Atletas!I527="Nangun Grupo C",48,IF(Atletas!I527="Gunshu Grupo B",49,IF(Atletas!I527="Qiangshu Grupo B",50,IF(Atletas!I527="Nangun Grupo B",51,IF(Atletas!I527="Gunshu Grupo A",52,IF(Atletas!I527="Qiangshu Grupo A",53,IF(Atletas!I527="Nangun Grupo A",54,IF(Atletas!I527="Gunshu Opcional",55,IF(Atletas!I527="Qiangshu Opcional",56,IF(Atletas!I527="Nangun Opcional",57,IF(Atletas!I527="Gunshu Adulto",58,IF(Atletas!I527="Qiangshu Adulto",59,IF(Atletas!I527="Nangun Adulto",60,""))))))))))))))))))))</f>
        <v/>
      </c>
      <c r="BF531" s="52" t="str">
        <f>IF(Atletas!J527="","",IF(Atletas!B527="Feminino",100,IF(Atletas!B527="Masculino",200,""))+(IF(Atletas!J527="Equipe 1 Grupo B",1,IF(Atletas!J527="Equipe 2 Grupo B",2,IF(Atletas!J527="Equipe 1 Grupo A",3,IF(Atletas!J527="Equipe 2 Grupo A",4,IF(Atletas!J527="Equipe 1 Adulto",5,IF(Atletas!J527="Equipe 2 Adulto",6,""))))))))</f>
        <v/>
      </c>
      <c r="BK531" s="52" t="str">
        <f>IF(Atletas!K527="","",IF(Atletas!W527&lt;&gt;"",10000,0)+(IF(Atletas!B527="Feminino",1000,IF(Atletas!B527="Masculino",2000,""))+IF(Atletas!K527="Choylayfut A",1,IF(Atletas!K527="Hunggar A",2,IF(Atletas!K527="Wuzuquan A",3,IF(Atletas!K527="Wingchun A",4,IF(Atletas!K527="Outra Mão de Sul A",5,IF(Atletas!K527="Choylayfut B",6,IF(Atletas!K527="Hunggar B",7,IF(Atletas!K527="Wuzuquan B",8,IF(Atletas!K527="Wingchun B",9,IF(Atletas!K527="Outra Mão de Sul B",10,IF(Atletas!K527="Choylayfut C",11,IF(Atletas!K527="Hunggar C",12,IF(Atletas!K527="Wuzuquan C",13,IF(Atletas!K527="Wingchun C",14,IF(Atletas!K527="Outra Mão de Sul C",15,IF(Atletas!K527="Choylayfut D",16,IF(Atletas!K527="Hunggar D",17,IF(Atletas!K527="Wuzuquan D",18,IF(Atletas!K527="Wingchun D",19,IF(Atletas!K527="Outra Mão de Sul D",20,IF(Atletas!K527="Choylayfut E",21,IF(Atletas!K527="Hunggar E",22,IF(Atletas!K527="Wuzuquan E",23,IF(Atletas!K527="Wingchun E",24,IF(Atletas!K527="Outra Mão de Sul E",25,IF(Atletas!K527="Choylayfut F",26,IF(Atletas!K527="Hunggar F",27,IF(Atletas!K527="Wuzuquan F",28,IF(Atletas!K527="Wingchun F",29,IF(Atletas!K527="Outra Mão de Sul F",30,""))))))))))))))))))))))))))))))))</f>
        <v/>
      </c>
      <c r="BL531" s="52" t="str">
        <f>IF(Atletas!L527="","",IF(Atletas!W527&lt;&gt;"",10000,0)+(IF(Atletas!B527="Feminino",1000,IF(Atletas!B527="Masculino",2000,""))+(IF(Atletas!L527="Chaquan A",101,IF(Atletas!L527="Emeiquan A",102,IF(Atletas!L527="Fanziquan A",103,IF(Atletas!L527="Huaquan A",104,IF(Atletas!L527="Hongquan A",105,IF(Atletas!L527="Paochui A",106,IF(Atletas!L527="Piguaquan A",107,IF(Atletas!L527="Shaolinquan A",108,IF(Atletas!L527="Tanglangquan A",109,IF(Atletas!L527="Yinzhaophai A",110,IF(Atletas!L527="Tongbeiquan A",111,IF(Atletas!L527="Wudangquan A",112,IF(Atletas!L527="Outros Estilos A",113,IF(Atletas!L527="Chaquan B",114,IF(Atletas!L527="Emeiquan B",115,IF(Atletas!L527="Fanziquan B",116,IF(Atletas!L527="Huaquan B",117,IF(Atletas!L527="Hongquan B",118,IF(Atletas!L527="Paochui B",119,IF(Atletas!L527="Piguaquan B",120,IF(Atletas!L527="Shaolinquan B",121,IF(Atletas!L527="Tanglangquan B",122,IF(Atletas!L527="Yinzhaophai B",123,IF(Atletas!L527="Tongbeiquan B",124,IF(Atletas!L527="Wudangquan B",125,IF(Atletas!L527="Outros Estilos B",126,IF(Atletas!L527="Chaquan C",127,IF(Atletas!L527="Emeiquan C",128,IF(Atletas!L527="Fanziquan C",129,IF(Atletas!L527="Huaquan C",130,IF(Atletas!L527="Hongquan C",131,IF(Atletas!L527="Paochui C",132,IF(Atletas!L527="Piguaquan C",133,IF(Atletas!L527="Shaolinquan C",134,IF(Atletas!L527="Tanglangquan C",135,IF(Atletas!L527="Yinzhaophai C",136,IF(Atletas!L527="Tongbeiquan C",137,IF(Atletas!L527="Wudangquan C",138,IF(Atletas!L527="Outros Estilos C",139,0))))))))))))))))))))))))))))))))))))))))))</f>
        <v/>
      </c>
      <c r="BM531" s="52" t="str">
        <f>IF(Atletas!L527="","",IF(Atletas!W527&lt;&gt;"",10000,0)+(IF(Atletas!B527="Feminino",1000,IF(Atletas!B527="Masculino",2000,""))+(IF(Atletas!L527="Chaquan D",140,IF(Atletas!L527="Emeiquan D",141,IF(Atletas!L527="Fanziquan D",142,IF(Atletas!L527="Huaquan D",143,IF(Atletas!L527="Hongquan D",144,IF(Atletas!L527="Paochui D",145,IF(Atletas!L527="Piguaquan D",146,IF(Atletas!L527="Shaolinquan D",147,IF(Atletas!L527="Tanglangquan D",148,IF(Atletas!L527="Yinzhaophai D",149,IF(Atletas!L527="Tongbeiquan D",150,IF(Atletas!L527="Wudangquan D",151,IF(Atletas!L527="Outros Estilos D",152,IF(Atletas!L527="Chaquan E",153,IF(Atletas!L527="Emeiquan E",154,IF(Atletas!L527="Fanziquan E",155,IF(Atletas!L527="Huaquan E",156,IF(Atletas!L527="Hongquan E",157,IF(Atletas!L527="Paochui E",158,IF(Atletas!L527="Piguaquan E",159,IF(Atletas!L527="Shaolinquan E",160,IF(Atletas!L527="Tanglangquan E",161,IF(Atletas!L527="Yinzhaophai E",162,IF(Atletas!L527="Tongbeiquan E",163,IF(Atletas!L527="Wudangquan E",164,IF(Atletas!L527="Outros Estilos E",165,IF(Atletas!L527="Chaquan F",166,IF(Atletas!L527="Emeiquan F",167,IF(Atletas!L527="Fanziquan F",168,IF(Atletas!L527="Huaquan F",169,IF(Atletas!L527="Hongquan F",170,IF(Atletas!L527="Paochui F",171,IF(Atletas!L527="Piguaquan F",172,IF(Atletas!L527="Shaolinquan F",173,IF(Atletas!L527="Tanglangquan F",174,IF(Atletas!L527="Yinzhaophai F",175,IF(Atletas!L527="Tongbeiquan F",176,IF(Atletas!L527="Wudangquan F",177,IF(Atletas!L527="Outros Estilos F",178,0))))))))))))))))))))))))))))))))))))))))))</f>
        <v/>
      </c>
      <c r="BN531" s="52" t="str">
        <f>IF(Atletas!M527="","",IF(Atletas!W527&lt;&gt;"",10000,0)+(IF(Atletas!B527="Feminino",1000,IF(Atletas!B527="Masculino",2000,""))+(IF(Atletas!M527="Ditangquan A",201,IF(Atletas!M527="Houquan A",202,IF(Atletas!M527="Zuiquan A",203,IF(Atletas!M527="Ditangquan B",204,IF(Atletas!M527="Houquan B",205,IF(Atletas!M527="Zuiquan B",206,IF(Atletas!M527="Ditangquan C",207,IF(Atletas!M527="Houquan C",208,IF(Atletas!M527="Zuiquan C",209,IF(Atletas!M527="Ditangquan D",210,IF(Atletas!M527="Houquan D",211,IF(Atletas!M527="Zuiquan D",212,IF(Atletas!M527="Ditangquan E",213,IF(Atletas!M527="Houquan E",214,IF(Atletas!M527="Zuiquan E",215,IF(Atletas!M527="Ditangquan F",216,IF(Atletas!M527="Houquan F",217,IF(Atletas!M527="Zuiquan F",218,"")))))))))))))))))))))</f>
        <v/>
      </c>
      <c r="BO531" s="52" t="str">
        <f>IF(Atletas!N527="","",IF(Atletas!W527&lt;&gt;"",10000,0)+IF(Atletas!B527="Feminino",1000,IF(Atletas!B527="Masculino",2000,""))+IF(Atletas!N527="Yang A",301,IF(Atletas!N527="Chen A",30,IF(Atletas!N527="Sun A",303,IF(Atletas!N527="Wu A",304,IF(Atletas!N527="Wu-Hao A",305,IF(Atletas!N527="Outro Taijiquan A",306,IF(Atletas!N527="Yang B",307,IF(Atletas!N527="Chen B",308,IF(Atletas!N527="Sun B",309,IF(Atletas!N527="Wu B",310,IF(Atletas!N527="Wu-Hao B",311,IF(Atletas!N527="Outro Taijiquan B",312,IF(Atletas!N527="Yang C",313,IF(Atletas!N527="Chen C",314,IF(Atletas!N527="Sun C",315,IF(Atletas!N527="Wu C",316,IF(Atletas!N527="Wu-Hao C",317,IF(Atletas!N527="Outro Taijiquan C",318,IF(Atletas!N527="Yang D",319,IF(Atletas!N527="Chen D",320,IF(Atletas!N527="Sun D",321,IF(Atletas!N527="Wu D",322,IF(Atletas!N527="Wu-Hao D",323,IF(Atletas!N527="Outro Taijiquan D",324,IF(Atletas!N527="Yang E",325,IF(Atletas!N527="Chen E",326,IF(Atletas!N527="Sun E",327,IF(Atletas!N527="Wu E",328,IF(Atletas!N527="Wu-Hao E",329,IF(Atletas!N527="Outro Taijiquan E",330,IF(Atletas!N527="Yang F",331,IF(Atletas!N527="Chen F",332,IF(Atletas!N527="Sun F",333,IF(Atletas!N527="Wu F",334,IF(Atletas!N527="Wu-Hao F",335,IF(Atletas!N527="Outro Taijiquan F",336,"")))))))))))))))))))))))))))))))))))))</f>
        <v/>
      </c>
      <c r="BP531" s="52" t="str">
        <f>IF(Atletas!O527="","",IF(Atletas!W527&lt;&gt;"",10000,0)+IF(Atletas!B527="Feminino",1000,IF(Atletas!B527="Masculino",2000,""))+IF(OR(Atletas!O527="Yang 26 A",Atletas!O527="Yang 40 A"),401,IF(OR(Atletas!O527="Chen 25 A",Atletas!O527="Chen 36 A",Atletas!O527="Chen 56 A"),402,IF(Atletas!O527="Sun 73 A",403,IF(Atletas!O527="Wu 45 A",404,IF(Atletas!O527="Wu-Hao 46 A",405,IF(OR(Atletas!O527="Taijiquan 16 A",Atletas!O527="Taijiquan 24 A",Atletas!O527="Taijiquan 32 A",Atletas!O527="Taijiquan 42 A"),406,IF(OR(Atletas!O527="Yang 26 B",Atletas!O527="Yang 40 B"),407,IF(OR(Atletas!O527="Chen 25 B",Atletas!O527="Chen 36 B",Atletas!O527="Chen 56 B"),408,IF(Atletas!O527="Sun 73 B",409,IF(Atletas!O527="Wu 45 B",410,IF(Atletas!O527="Wu-Hao 46 B",411,IF(OR(Atletas!O527="Taijiquan 16 B",Atletas!O527="Taijiquan 24 B",Atletas!O527="Taijiquan 32 B",Atletas!O527="Taijiquan 42 B"),412,IF(OR(Atletas!O527="Yang 26 C",Atletas!O527="Yang 40 C"),413,IF(OR(Atletas!O527="Chen 25 C",Atletas!O527="Chen 36 C",Atletas!O527="Chen 56 C"),414,IF(Atletas!O527="Sun 73 C",415,IF(Atletas!O527="Wu 45 C",416,IF(Atletas!O527="Wu-Hao 46 C",417,IF(OR(Atletas!O527="Taijiquan 16 C",Atletas!O527="Taijiquan 24 C",Atletas!O527="Taijiquan 32 C",Atletas!O527="Taijiquan 42 C"),418,0)))))))))))))))))))</f>
        <v/>
      </c>
      <c r="BQ531" s="52" t="str">
        <f>IF(Atletas!O527="","",IF(Atletas!W527&lt;&gt;"",10000,0)+IF(Atletas!B527="Feminino",1000,IF(Atletas!B527="Masculino",2000,""))+IF(OR(Atletas!O527="Yang 26 D",Atletas!O527="Yang 40 D"),419,IF(OR(Atletas!O527="Chen 25 D",Atletas!O527="Chen 36 D",Atletas!O527="Chen 56 D"),420,IF(Atletas!O527="Sun 73 D",421,IF(Atletas!O527="Wu 45 D",422,IF(Atletas!O527="Wu-Hao 46 D",423,IF(OR(Atletas!O527="Taijiquan 16 D",Atletas!O527="Taijiquan 24 D",Atletas!O527="Taijiquan 32 D",Atletas!O527="Taijiquan 42 D"),424,IF(OR(Atletas!O527="Yang 26 E",Atletas!O527="Yang 40 E"),425,IF(OR(Atletas!O527="Chen 25 E",Atletas!O527="Chen 36 E",Atletas!O527="Chen 56 E"),426,IF(Atletas!O527="Sun 73 E",427,IF(Atletas!O527="Wu 45 E",428,IF(Atletas!O527="Wu-Hao 46 E",429,IF(OR(Atletas!O527="Taijiquan 16 E",Atletas!O527="Taijiquan 24 E",Atletas!O527="Taijiquan 32 E",Atletas!O527="Taijiquan 42 E"),430,IF(OR(Atletas!O527="Yang 26 F",Atletas!O527="Yang 40 F"),431,IF(OR(Atletas!O527="Chen 25 F",Atletas!O527="Chen 36 F",Atletas!O527="Chen 56 F"),432,IF(Atletas!O527="Sun 73 F",433,IF(Atletas!O527="Wu 45 F",434,IF(Atletas!O527="Wu-Hao 46 F",435,IF(OR(Atletas!O527="Taijiquan 16 F",Atletas!O527="Taijiquan 24 F",Atletas!O527="Taijiquan 32 F",Atletas!O527="Taijiquan 42 F"),436,0)))))))))))))))))))</f>
        <v/>
      </c>
      <c r="BR531" s="52" t="str">
        <f>IF(Atletas!P527="","",IF(Atletas!W527&lt;&gt;"",10000,0)+IF(Atletas!B527="Feminino",1000,IF(Atletas!B527="Masculino",2000,""))+IF(Atletas!P527="Xingyiquan A",501,IF(Atletas!P527="Baguazhang A",502,IF(Atletas!P527="Outro Estilo Interno A",503,IF(Atletas!P527="Xingyiquan B",504,IF(Atletas!P527="Baguazhang B",505,IF(Atletas!P527="Outro Estilo Interno B",506,IF(Atletas!P527="Xingyiquan C",507,IF(Atletas!P527="Baguazhang C",508,IF(Atletas!P527="Outro Estilo Interno C",509,IF(Atletas!P527="Xingyiquan D",510,IF(Atletas!P527="Baguazhang D",511,IF(Atletas!P527="Outro Estilo Interno D",512,IF(Atletas!P527="Xingyiquan E",513,IF(Atletas!P527="Baguazhang E",514,IF(Atletas!P527="Outro Estilo Interno E",515,IF(Atletas!P527="Xingyiquan F",516,IF(Atletas!P527="Baguazhang F",517,IF(Atletas!P527="Outro Estilo Interno F",518, "")))))))))))))))))))</f>
        <v/>
      </c>
      <c r="BS531" s="52" t="str">
        <f>IF(Atletas!Q527="","",IF(Atletas!W527&lt;&gt;"",10000,0)+IF(Atletas!B527="Feminino",1000,IF(Atletas!B527="Masculino",2000,""))+IF(Atletas!Q527="Dao A",601,IF(Atletas!Q527="Jian A",602,IF(Atletas!Q527="Bishou A",603,IF(Atletas!Q527="Shan A",604,IF(Atletas!Q527="Outra Arma Curta A",605,IF(Atletas!Q527="Dao B",606,IF(Atletas!Q527="Jian B",607,IF(Atletas!Q527="Bishou B",608,IF(Atletas!Q527="Shan B",609,IF(Atletas!Q527="Outra Arma Curta B",610,IF(Atletas!Q527="Dao C",611,IF(Atletas!Q527="Jian C",612,IF(Atletas!Q527="Bishou C",613,IF(Atletas!Q527="Shan C",614,IF(Atletas!Q527="Outra Arma Curta C",615,IF(Atletas!Q527="Dao D",616,IF(Atletas!Q527="Jian D",617,IF(Atletas!Q527="Bishou D",618,IF(Atletas!Q527="Shan D",619,IF(Atletas!Q527="Outra Arma Curta D",620,IF(Atletas!Q527="Dao E",621,IF(Atletas!Q527="Jian E",622,IF(Atletas!Q527="Bishou E",623,IF(Atletas!Q527="Shan E",624,IF(Atletas!Q527="Outra Arma Curta E",625,IF(Atletas!Q527="Dao F",626,IF(Atletas!Q527="Jian F",627,IF(Atletas!Q527="Bishou F",628,IF(Atletas!Q527="Shan F",629,IF(Atletas!Q527="Outra Arma Curta F",630, "")))))))))))))))))))))))))))))))</f>
        <v/>
      </c>
      <c r="BT531" s="52" t="str">
        <f>IF(Atletas!R527="","",IF(Atletas!W527&lt;&gt;"",10000,0)+IF(Atletas!B527="Feminino",1000,IF(Atletas!B527="Masculino",2000,""))+IF(Atletas!R527="Gun A",701,IF(Atletas!R527="Qiang A",702,IF(Atletas!R527="Pudao / Guandao A",703,IF(Atletas!R527="Outra Arma Longa A",704,IF(Atletas!R527="Gun B",705,IF(Atletas!R527="Qiang B",706,IF(Atletas!R527="Pudao / Guandao B",707,IF(Atletas!R527="Outra Arma Longa B",708,IF(Atletas!R527="Gun C",709,IF(Atletas!R527="Qiang C",710,IF(Atletas!R527="Pudao / Guandao C",711,IF(Atletas!R527="Outra Arma Longa C",712,IF(Atletas!R527="Gun D",713,IF(Atletas!R527="Qiang D",714,IF(Atletas!R527="Pudao / Guandao D",715,IF(Atletas!R527="Outra Arma Longa D",716,IF(Atletas!R527="Gun E",717,IF(Atletas!R527="Qiang E",718,IF(Atletas!R527="Pudao / Guandao E",719,IF(Atletas!R527="Outra Arma Longa E",720,IF(Atletas!R527="Gun F",721,IF(Atletas!R527="Qiang F",722,IF(Atletas!R527="Pudao / Guandao F",723,IF(Atletas!R527="Outra Arma Longa F",724,"")))))))))))))))))))))))))</f>
        <v/>
      </c>
      <c r="BU531" s="52" t="str">
        <f>IF(Atletas!S527="","",IF(Atletas!W527&lt;&gt;"",10000,0)+IF(Atletas!B527="Feminino",1000,IF(Atletas!B527="Masculino",2000,""))+IF(Atletas!S527="Arma Dupla A",801,IF(Atletas!S527="Arma Maleável A",802,IF(Atletas!S527="Arma Dupla B",803,IF(Atletas!S527="Arma Maleável B",804,IF(Atletas!S527="Arma Dupla C",805,IF(Atletas!S527="Arma Maleável C",806,IF(Atletas!S527="Arma Dupla D",807,IF(Atletas!S527="Arma Maleável D",808,IF(Atletas!S527="Arma Dupla E",809,IF(Atletas!S527="Arma Maleável E",810,IF(Atletas!S527="Arma Dupla F",811,IF(Atletas!S527="Arma Maleável F",812, "")))))))))))))</f>
        <v/>
      </c>
      <c r="BV531" s="52" t="str">
        <f>IF(Atletas!T527="","",IF(Atletas!W527&lt;&gt;"",10000,0)+IF(Atletas!B527="Feminino",1000,IF(Atletas!B527="Masculino",2000,""))+IF(Atletas!T527="Taijijian Yang A",901,IF(Atletas!T527="Taijijian Chen A",902,IF(Atletas!T527="Taijijian Sun A",903,IF(Atletas!T527="Taijijian Wu A",904,IF(Atletas!T527="Taijijian Wu-Hao A",905,IF(Atletas!T527="Taijijian 32 A",906,IF(Atletas!T527="Taijijian 42 A",907,IF(Atletas!T527="Taijijian Yang B",908,IF(Atletas!T527="Taijijian Chen B",909,IF(Atletas!T527="Taijijian Sun B",910,IF(Atletas!T527="Taijijian Wu B",911,IF(Atletas!T527="Taijijian Wu-Hao B",912,IF(Atletas!T527="Taijijian 32 B",913,IF(Atletas!T527="Taijijian 42 B",914,IF(Atletas!T527="Taijijian Yang C",915,IF(Atletas!T527="Taijijian Chen C",916,IF(Atletas!T527="Taijijian Sun C",917,IF(Atletas!T527="Taijijian Wu C",918,IF(Atletas!T527="Taijijian Wu-Hao C",919,IF(Atletas!T527="Taijijian 32 C",920,IF(Atletas!T527="Taijijian 42 C",921,IF(Atletas!T527="Taijijian Yang D",922,IF(Atletas!T527="Taijijian Chen D",923,IF(Atletas!T527="Taijijian Sun D",924,IF(Atletas!T527="Taijijian Wu D",925,IF(Atletas!T527="Taijijian Wu-Hao D",926,IF(Atletas!T527="Taijijian 32 D",927,IF(Atletas!T527="Taijijian 42 D",928,IF(Atletas!T527="Taijijian Yang E",929,IF(Atletas!T527="Taijijian Chen E",930,IF(Atletas!T527="Taijijian Sun E",931,IF(Atletas!T527="Taijijian Wu E",932,IF(Atletas!T527="Taijijian Wu-Hao E",933,IF(Atletas!T527="Taijijian 32 E",934,IF(Atletas!T527="Taijijian 42 E",935,IF(Atletas!T527="Taijijian Yang F",936,IF(Atletas!T527="Taijijian Chen F",937,IF(Atletas!T527="Taijijian Sun F",938,IF(Atletas!T527="Taijijian Wu F",939,IF(Atletas!T527="Taijijian Wu-Hao F",940,IF(Atletas!T527="Taijijian 32 F",941,IF(Atletas!T527="Taijijian 42 F",942,"")))))))))))))))))))))))))))))))))))))))))))</f>
        <v/>
      </c>
      <c r="BW531" s="52" t="str">
        <f>IF(Atletas!U527="","",IF(Atletas!W527&lt;&gt;"",10000,0)+IF(Atletas!B527="Feminino",1000,IF(Atletas!B527="Masculino",2000,""))+IF(Atletas!T527="Taijijian 42 F",942,IF(Atletas!U527="Taijidao A",943,IF(Atletas!U527="Taijishan A",944,IF(Atletas!U527="Taijiqiang A",945,IF(Atletas!U527="Taijidao B",946,IF(Atletas!U527="Taijishan B",947,IF(Atletas!U527="Taijiqiang B",948,IF(Atletas!U527="Taijidao C",949,IF(Atletas!U527="Taijishan C",950,IF(Atletas!U527="Taijiqiang C",951,IF(Atletas!U527="Taijidao D",952,IF(Atletas!U527="Taijishan D",953,IF(Atletas!U527="Taijiqiang D",954,IF(Atletas!U527="Taijidao E",955,IF(Atletas!U527="Taijishan E",956,IF(Atletas!U527="Taijiqiang E",957,IF(Atletas!U527="Taijidao F",958,IF(Atletas!U527="Taijishan F",959,IF(Atletas!U527="Taijiqiang F",960))))))))))))))))))))</f>
        <v/>
      </c>
      <c r="CF531" s="52" t="str">
        <f xml:space="preserve"> IF(Atletas!V527="","",IF(Atletas!V527="Duilian de Mãos AB - Equipe 1",1,IF(Atletas!V527="Duilian de Mãos AB - Equipe 2",2,IF(Atletas!V527="Duilian de Armas AB - Equipe 1",3,IF(Atletas!V527="Duilian de Armas AB - Equipe 2",4,IF(Atletas!V527="Duilian de Tuishou - Equipe 1",5,IF(Atletas!V527="Duilian de Tuishou - Equipe 2",6,IF(Atletas!V527="Grupo Externo AB - Equipe 1",7,IF(Atletas!V527="Grupo Externo AB - Equipe 2",8,IF(Atletas!V527="Grupo Interno AB - Equipe 1",9,IF(Atletas!V527="Grupo Interno AB - Equipe 2",10,IF(Atletas!V527="Duilian de Mãos CD - Equipe 1",11,IF(Atletas!V527="Duilian de Mãos CD - Equipe 2",12,IF(Atletas!V527="Duilian de Armas CD - Equipe 1",13,IF(Atletas!V527="Duilian de Armas CD - Equipe 2",14,IF(Atletas!V527="Duilian de Tuishou - Equipe 1",15,IF(Atletas!V527="Duilian de Tuishou - Equipe 2",16,IF(Atletas!V527="Grupo Externo CDEF - Equipe 1",17,IF(Atletas!V527="Grupo Externo CDEF - Equipe 2",18,IF(Atletas!V527="Grupo Interno CDEF - Equipe 1",19,IF(Atletas!V527="Grupo Interno CDEF - Equipe 2",20,IF(Atletas!V527="Duilian de Mãos EF - Equipe 1",21,IF(Atletas!V527="Duilian de Mãos EF - Equipe 2",22,IF(Atletas!V527="Duilian de Armas EF - Equipe 1",23,IF(Atletas!V527="Duilian de Armas EF - Equipe 2",24,IF(Atletas!V527="Duilian de Tuishou - Equipe 1",25,IF(Atletas!V527="Duilian de Tuishou - Equipe 2",26,"")))))))))))))))))))))))))))</f>
        <v/>
      </c>
    </row>
    <row r="532" spans="36:84">
      <c r="AJ532" s="46" t="str">
        <f>IF(Atletas!D528="","",IF(Atletas!B528="Feminino",100,IF(Atletas!B528="Masculino",200,""))+(IF(Atletas!D528="Infantil 39kg",1,IF(Atletas!D528="Infantil 42kg",2,IF(Atletas!D528="Infantil 45kg",3,IF(Atletas!D528="Infantil 48kg",4,IF(Atletas!D528="Infantil 52kg",5,IF(Atletas!D528="Infantil 56kg",6,IF(Atletas!D528="Infantil 60kg",7,IF(Atletas!D528="Juvenil 48kg",8,IF(Atletas!D528="Juvenil 52kg",9,IF(Atletas!D528="Juvenil 56kg",10,IF(Atletas!D528="Juvenil 60kg",11,IF(Atletas!D528="Juvenil 65kg",12,IF(Atletas!D528="Juvenil 70kg",13,IF(Atletas!D528="Juvenil 75kg",14,IF(Atletas!D528="Juvenil 80kg",15,IF(Atletas!D528="Adulto 48kg",16,IF(Atletas!D528="Adulto 52kg",17,IF(Atletas!D528="Adulto 56kg",18,IF(Atletas!D528="Adulto 60kg",19,IF(Atletas!D528="Adulto 65kg",20,IF(Atletas!D528="Adulto 70kg",21,IF(Atletas!D528="Adulto 75kg",22,IF(Atletas!D528="Adulto 80kg",23,IF(Atletas!D528="Adulto 85kg",24,IF(Atletas!D528="Adulto 90kg",25,IF(Atletas!D528="Adulto +90kg",26,""))))))))))))))))))))))))))))</f>
        <v/>
      </c>
      <c r="AO532" s="10" t="str">
        <f>IF(Atletas!E528="","",IF(Atletas!B528="Feminino",100,IF(Atletas!B528="Masculino",200,""))+(IF(Atletas!E528="Juvenil 44kg",1,IF(Atletas!E528="Juvenil 48kg",2,IF(Atletas!E528="Juvenil 52kg",3,IF(Atletas!E528="Juvenil 56kg",4,IF(Atletas!E528="Juvenil 60kg",5,IF(Atletas!E528="Juvenil 65kg",6,IF(Atletas!E528="Juvenil 70kg",7,IF(Atletas!E528="Juvenil 75kg",8,IF(Atletas!E528="Juvenil 82kg",9,IF(Atletas!E528="Juvenil 90kg",10,IF(Atletas!E528="Juvenil 100kg",11,IF(Atletas!E528="Adulto 48kg",12,IF(Atletas!E528="Adulto 52kg",13,IF(Atletas!E528="Adulto 56kg",14,IF(Atletas!E528="Adulto 60kg",15,IF(Atletas!E528="Adulto 65kg",16,IF(Atletas!E528="Adulto 70kg",17,IF(Atletas!E528="Adulto 75kg",18,IF(Atletas!E528="Adulto 82kg",19,IF(Atletas!E528="Adulto 90kg",20,IF(Atletas!E528="Adulto 100kg",21,IF(Atletas!E528="Adulto +100kg",22,""))))))))))))))))))))))))</f>
        <v/>
      </c>
      <c r="AT532" s="10" t="str">
        <f>IF(Atletas!F528="","",IF(Atletas!B528="Feminino",100,IF(Atletas!B528="Masculino",200,""))+(IF(Atletas!F528="Adulto 48kg",1,IF(Atletas!F528="Adulto 56kg",2,IF(Atletas!F528="Adulto 65kg",3,IF(Atletas!F528="Adulto 75kg",4,IF(Atletas!F528="Adulto +75kg",5,IF(Atletas!F528="Adulto 52kg",6,IF(Atletas!F528="Adulto 60kg",7,IF(Atletas!F528="Adulto 70kg",8,IF(Atletas!F528="Adulto 80kg",9,IF(Atletas!F528="Adulto 90kg",10,IF(Atletas!F528="Adulto +90kg",11,"")))))))))))))</f>
        <v/>
      </c>
      <c r="AY532" s="46" t="str">
        <f>IF(Atletas!G528="","",IF(Atletas!B528="Feminino",100,IF(Atletas!B528="Masculino",200,""))+(IF(Atletas!G528="Changquan Mirim",1,IF(Atletas!G528="Nanquan Mirim",2,IF(Atletas!G528="Taijiquan Mirim",3,IF(Atletas!G528="Changquan Grupo C",4,IF(Atletas!G528="Nanquan Grupo C",5,IF(Atletas!G528="Taijiquan Grupo C",6,IF(Atletas!G528="Changquan Grupo B",7,IF(Atletas!G528="Nanquan Grupo B",8,IF(Atletas!G528="Taijiquan Grupo B",9,IF(Atletas!G528="Changquan Grupo A",10,IF(Atletas!G528="Nanquan Grupo A",11,IF(Atletas!G528="Taijiquan Grupo A",12,IF(Atletas!G528="Changquan Opcional",13,IF(Atletas!G528="Nanquan Opcional",14,IF(Atletas!G528="Taijiquan Opcional",15,IF(Atletas!G528="Changquan Adulto",16,IF(Atletas!G528="Nanquan Adulto",17,IF(Atletas!G528="Taijiquan Adulto",18,""))))))))))))))))))))</f>
        <v/>
      </c>
      <c r="AZ532" s="46" t="str">
        <f>IF(Atletas!H528="","",IF(Atletas!B528="Feminino",100,IF(Atletas!B528="Masculino",200,""))+(IF(Atletas!H528="Daoshu Mirim",19,IF(Atletas!H528="Jianshu Mirim",20,IF(Atletas!H528="Nandao Mirim",21,IF(Atletas!H528="Taijijian Mirim",22,IF(Atletas!H528="Daoshu Grupo C",23,IF(Atletas!H528="Jianshu Grupo C",24,IF(Atletas!H528="Nandao Grupo C",25,IF(Atletas!H528="Taijijian Grupo C",26,IF(Atletas!H528="Daoshu Grupo B",27,IF(Atletas!H528="Jianshu Grupo B",28,IF(Atletas!H528="Nandao Grupo B",29,IF(Atletas!H528="Taijijian Grupo B",30,IF(Atletas!H528="Daoshu Grupo A",31,IF(Atletas!H528="Jianshu Grupo A",32,IF(Atletas!H528="Nandao Grupo A",33,IF(Atletas!H528="Taijijian Grupo A",34,IF(Atletas!H528="Daoshu Opcional",35,IF(Atletas!H528="Jianshu Opcional",36,IF(Atletas!H528="Nandao Opcional",37,IF(Atletas!H528="Taijijian Opcional",38,IF(Atletas!H528="Daoshu Adulto",39,IF(Atletas!H528="Jianshu Adulto",40,IF(Atletas!H528="Nandao Adulto",41,IF(Atletas!H528="Taijijian Adulto",42,""))))))))))))))))))))))))))</f>
        <v/>
      </c>
      <c r="BA532" s="46" t="str">
        <f>IF(Atletas!I528="","",IF(Atletas!B528="Feminino",100,IF(Atletas!B528="Masculino",200,""))+(IF(Atletas!I528="Gunshu Mirim",43,IF(Atletas!I528="Qiangshu Mirim",44,IF(Atletas!I528="Nangun Mirim",45,IF(Atletas!I528="Gunshu Grupo C",46,IF(Atletas!I528="Qiangshu Grupo C",47,IF(Atletas!I528="Nangun Grupo C",48,IF(Atletas!I528="Gunshu Grupo B",49,IF(Atletas!I528="Qiangshu Grupo B",50,IF(Atletas!I528="Nangun Grupo B",51,IF(Atletas!I528="Gunshu Grupo A",52,IF(Atletas!I528="Qiangshu Grupo A",53,IF(Atletas!I528="Nangun Grupo A",54,IF(Atletas!I528="Gunshu Opcional",55,IF(Atletas!I528="Qiangshu Opcional",56,IF(Atletas!I528="Nangun Opcional",57,IF(Atletas!I528="Gunshu Adulto",58,IF(Atletas!I528="Qiangshu Adulto",59,IF(Atletas!I528="Nangun Adulto",60,""))))))))))))))))))))</f>
        <v/>
      </c>
      <c r="BF532" s="52" t="str">
        <f>IF(Atletas!J528="","",IF(Atletas!B528="Feminino",100,IF(Atletas!B528="Masculino",200,""))+(IF(Atletas!J528="Equipe 1 Grupo B",1,IF(Atletas!J528="Equipe 2 Grupo B",2,IF(Atletas!J528="Equipe 1 Grupo A",3,IF(Atletas!J528="Equipe 2 Grupo A",4,IF(Atletas!J528="Equipe 1 Adulto",5,IF(Atletas!J528="Equipe 2 Adulto",6,""))))))))</f>
        <v/>
      </c>
      <c r="BK532" s="52" t="str">
        <f>IF(Atletas!K528="","",IF(Atletas!W528&lt;&gt;"",10000,0)+(IF(Atletas!B528="Feminino",1000,IF(Atletas!B528="Masculino",2000,""))+IF(Atletas!K528="Choylayfut A",1,IF(Atletas!K528="Hunggar A",2,IF(Atletas!K528="Wuzuquan A",3,IF(Atletas!K528="Wingchun A",4,IF(Atletas!K528="Outra Mão de Sul A",5,IF(Atletas!K528="Choylayfut B",6,IF(Atletas!K528="Hunggar B",7,IF(Atletas!K528="Wuzuquan B",8,IF(Atletas!K528="Wingchun B",9,IF(Atletas!K528="Outra Mão de Sul B",10,IF(Atletas!K528="Choylayfut C",11,IF(Atletas!K528="Hunggar C",12,IF(Atletas!K528="Wuzuquan C",13,IF(Atletas!K528="Wingchun C",14,IF(Atletas!K528="Outra Mão de Sul C",15,IF(Atletas!K528="Choylayfut D",16,IF(Atletas!K528="Hunggar D",17,IF(Atletas!K528="Wuzuquan D",18,IF(Atletas!K528="Wingchun D",19,IF(Atletas!K528="Outra Mão de Sul D",20,IF(Atletas!K528="Choylayfut E",21,IF(Atletas!K528="Hunggar E",22,IF(Atletas!K528="Wuzuquan E",23,IF(Atletas!K528="Wingchun E",24,IF(Atletas!K528="Outra Mão de Sul E",25,IF(Atletas!K528="Choylayfut F",26,IF(Atletas!K528="Hunggar F",27,IF(Atletas!K528="Wuzuquan F",28,IF(Atletas!K528="Wingchun F",29,IF(Atletas!K528="Outra Mão de Sul F",30,""))))))))))))))))))))))))))))))))</f>
        <v/>
      </c>
      <c r="BL532" s="52" t="str">
        <f>IF(Atletas!L528="","",IF(Atletas!W528&lt;&gt;"",10000,0)+(IF(Atletas!B528="Feminino",1000,IF(Atletas!B528="Masculino",2000,""))+(IF(Atletas!L528="Chaquan A",101,IF(Atletas!L528="Emeiquan A",102,IF(Atletas!L528="Fanziquan A",103,IF(Atletas!L528="Huaquan A",104,IF(Atletas!L528="Hongquan A",105,IF(Atletas!L528="Paochui A",106,IF(Atletas!L528="Piguaquan A",107,IF(Atletas!L528="Shaolinquan A",108,IF(Atletas!L528="Tanglangquan A",109,IF(Atletas!L528="Yinzhaophai A",110,IF(Atletas!L528="Tongbeiquan A",111,IF(Atletas!L528="Wudangquan A",112,IF(Atletas!L528="Outros Estilos A",113,IF(Atletas!L528="Chaquan B",114,IF(Atletas!L528="Emeiquan B",115,IF(Atletas!L528="Fanziquan B",116,IF(Atletas!L528="Huaquan B",117,IF(Atletas!L528="Hongquan B",118,IF(Atletas!L528="Paochui B",119,IF(Atletas!L528="Piguaquan B",120,IF(Atletas!L528="Shaolinquan B",121,IF(Atletas!L528="Tanglangquan B",122,IF(Atletas!L528="Yinzhaophai B",123,IF(Atletas!L528="Tongbeiquan B",124,IF(Atletas!L528="Wudangquan B",125,IF(Atletas!L528="Outros Estilos B",126,IF(Atletas!L528="Chaquan C",127,IF(Atletas!L528="Emeiquan C",128,IF(Atletas!L528="Fanziquan C",129,IF(Atletas!L528="Huaquan C",130,IF(Atletas!L528="Hongquan C",131,IF(Atletas!L528="Paochui C",132,IF(Atletas!L528="Piguaquan C",133,IF(Atletas!L528="Shaolinquan C",134,IF(Atletas!L528="Tanglangquan C",135,IF(Atletas!L528="Yinzhaophai C",136,IF(Atletas!L528="Tongbeiquan C",137,IF(Atletas!L528="Wudangquan C",138,IF(Atletas!L528="Outros Estilos C",139,0))))))))))))))))))))))))))))))))))))))))))</f>
        <v/>
      </c>
      <c r="BM532" s="52" t="str">
        <f>IF(Atletas!L528="","",IF(Atletas!W528&lt;&gt;"",10000,0)+(IF(Atletas!B528="Feminino",1000,IF(Atletas!B528="Masculino",2000,""))+(IF(Atletas!L528="Chaquan D",140,IF(Atletas!L528="Emeiquan D",141,IF(Atletas!L528="Fanziquan D",142,IF(Atletas!L528="Huaquan D",143,IF(Atletas!L528="Hongquan D",144,IF(Atletas!L528="Paochui D",145,IF(Atletas!L528="Piguaquan D",146,IF(Atletas!L528="Shaolinquan D",147,IF(Atletas!L528="Tanglangquan D",148,IF(Atletas!L528="Yinzhaophai D",149,IF(Atletas!L528="Tongbeiquan D",150,IF(Atletas!L528="Wudangquan D",151,IF(Atletas!L528="Outros Estilos D",152,IF(Atletas!L528="Chaquan E",153,IF(Atletas!L528="Emeiquan E",154,IF(Atletas!L528="Fanziquan E",155,IF(Atletas!L528="Huaquan E",156,IF(Atletas!L528="Hongquan E",157,IF(Atletas!L528="Paochui E",158,IF(Atletas!L528="Piguaquan E",159,IF(Atletas!L528="Shaolinquan E",160,IF(Atletas!L528="Tanglangquan E",161,IF(Atletas!L528="Yinzhaophai E",162,IF(Atletas!L528="Tongbeiquan E",163,IF(Atletas!L528="Wudangquan E",164,IF(Atletas!L528="Outros Estilos E",165,IF(Atletas!L528="Chaquan F",166,IF(Atletas!L528="Emeiquan F",167,IF(Atletas!L528="Fanziquan F",168,IF(Atletas!L528="Huaquan F",169,IF(Atletas!L528="Hongquan F",170,IF(Atletas!L528="Paochui F",171,IF(Atletas!L528="Piguaquan F",172,IF(Atletas!L528="Shaolinquan F",173,IF(Atletas!L528="Tanglangquan F",174,IF(Atletas!L528="Yinzhaophai F",175,IF(Atletas!L528="Tongbeiquan F",176,IF(Atletas!L528="Wudangquan F",177,IF(Atletas!L528="Outros Estilos F",178,0))))))))))))))))))))))))))))))))))))))))))</f>
        <v/>
      </c>
      <c r="BN532" s="52" t="str">
        <f>IF(Atletas!M528="","",IF(Atletas!W528&lt;&gt;"",10000,0)+(IF(Atletas!B528="Feminino",1000,IF(Atletas!B528="Masculino",2000,""))+(IF(Atletas!M528="Ditangquan A",201,IF(Atletas!M528="Houquan A",202,IF(Atletas!M528="Zuiquan A",203,IF(Atletas!M528="Ditangquan B",204,IF(Atletas!M528="Houquan B",205,IF(Atletas!M528="Zuiquan B",206,IF(Atletas!M528="Ditangquan C",207,IF(Atletas!M528="Houquan C",208,IF(Atletas!M528="Zuiquan C",209,IF(Atletas!M528="Ditangquan D",210,IF(Atletas!M528="Houquan D",211,IF(Atletas!M528="Zuiquan D",212,IF(Atletas!M528="Ditangquan E",213,IF(Atletas!M528="Houquan E",214,IF(Atletas!M528="Zuiquan E",215,IF(Atletas!M528="Ditangquan F",216,IF(Atletas!M528="Houquan F",217,IF(Atletas!M528="Zuiquan F",218,"")))))))))))))))))))))</f>
        <v/>
      </c>
      <c r="BO532" s="52" t="str">
        <f>IF(Atletas!N528="","",IF(Atletas!W528&lt;&gt;"",10000,0)+IF(Atletas!B528="Feminino",1000,IF(Atletas!B528="Masculino",2000,""))+IF(Atletas!N528="Yang A",301,IF(Atletas!N528="Chen A",30,IF(Atletas!N528="Sun A",303,IF(Atletas!N528="Wu A",304,IF(Atletas!N528="Wu-Hao A",305,IF(Atletas!N528="Outro Taijiquan A",306,IF(Atletas!N528="Yang B",307,IF(Atletas!N528="Chen B",308,IF(Atletas!N528="Sun B",309,IF(Atletas!N528="Wu B",310,IF(Atletas!N528="Wu-Hao B",311,IF(Atletas!N528="Outro Taijiquan B",312,IF(Atletas!N528="Yang C",313,IF(Atletas!N528="Chen C",314,IF(Atletas!N528="Sun C",315,IF(Atletas!N528="Wu C",316,IF(Atletas!N528="Wu-Hao C",317,IF(Atletas!N528="Outro Taijiquan C",318,IF(Atletas!N528="Yang D",319,IF(Atletas!N528="Chen D",320,IF(Atletas!N528="Sun D",321,IF(Atletas!N528="Wu D",322,IF(Atletas!N528="Wu-Hao D",323,IF(Atletas!N528="Outro Taijiquan D",324,IF(Atletas!N528="Yang E",325,IF(Atletas!N528="Chen E",326,IF(Atletas!N528="Sun E",327,IF(Atletas!N528="Wu E",328,IF(Atletas!N528="Wu-Hao E",329,IF(Atletas!N528="Outro Taijiquan E",330,IF(Atletas!N528="Yang F",331,IF(Atletas!N528="Chen F",332,IF(Atletas!N528="Sun F",333,IF(Atletas!N528="Wu F",334,IF(Atletas!N528="Wu-Hao F",335,IF(Atletas!N528="Outro Taijiquan F",336,"")))))))))))))))))))))))))))))))))))))</f>
        <v/>
      </c>
      <c r="BP532" s="52" t="str">
        <f>IF(Atletas!O528="","",IF(Atletas!W528&lt;&gt;"",10000,0)+IF(Atletas!B528="Feminino",1000,IF(Atletas!B528="Masculino",2000,""))+IF(OR(Atletas!O528="Yang 26 A",Atletas!O528="Yang 40 A"),401,IF(OR(Atletas!O528="Chen 25 A",Atletas!O528="Chen 36 A",Atletas!O528="Chen 56 A"),402,IF(Atletas!O528="Sun 73 A",403,IF(Atletas!O528="Wu 45 A",404,IF(Atletas!O528="Wu-Hao 46 A",405,IF(OR(Atletas!O528="Taijiquan 16 A",Atletas!O528="Taijiquan 24 A",Atletas!O528="Taijiquan 32 A",Atletas!O528="Taijiquan 42 A"),406,IF(OR(Atletas!O528="Yang 26 B",Atletas!O528="Yang 40 B"),407,IF(OR(Atletas!O528="Chen 25 B",Atletas!O528="Chen 36 B",Atletas!O528="Chen 56 B"),408,IF(Atletas!O528="Sun 73 B",409,IF(Atletas!O528="Wu 45 B",410,IF(Atletas!O528="Wu-Hao 46 B",411,IF(OR(Atletas!O528="Taijiquan 16 B",Atletas!O528="Taijiquan 24 B",Atletas!O528="Taijiquan 32 B",Atletas!O528="Taijiquan 42 B"),412,IF(OR(Atletas!O528="Yang 26 C",Atletas!O528="Yang 40 C"),413,IF(OR(Atletas!O528="Chen 25 C",Atletas!O528="Chen 36 C",Atletas!O528="Chen 56 C"),414,IF(Atletas!O528="Sun 73 C",415,IF(Atletas!O528="Wu 45 C",416,IF(Atletas!O528="Wu-Hao 46 C",417,IF(OR(Atletas!O528="Taijiquan 16 C",Atletas!O528="Taijiquan 24 C",Atletas!O528="Taijiquan 32 C",Atletas!O528="Taijiquan 42 C"),418,0)))))))))))))))))))</f>
        <v/>
      </c>
      <c r="BQ532" s="52" t="str">
        <f>IF(Atletas!O528="","",IF(Atletas!W528&lt;&gt;"",10000,0)+IF(Atletas!B528="Feminino",1000,IF(Atletas!B528="Masculino",2000,""))+IF(OR(Atletas!O528="Yang 26 D",Atletas!O528="Yang 40 D"),419,IF(OR(Atletas!O528="Chen 25 D",Atletas!O528="Chen 36 D",Atletas!O528="Chen 56 D"),420,IF(Atletas!O528="Sun 73 D",421,IF(Atletas!O528="Wu 45 D",422,IF(Atletas!O528="Wu-Hao 46 D",423,IF(OR(Atletas!O528="Taijiquan 16 D",Atletas!O528="Taijiquan 24 D",Atletas!O528="Taijiquan 32 D",Atletas!O528="Taijiquan 42 D"),424,IF(OR(Atletas!O528="Yang 26 E",Atletas!O528="Yang 40 E"),425,IF(OR(Atletas!O528="Chen 25 E",Atletas!O528="Chen 36 E",Atletas!O528="Chen 56 E"),426,IF(Atletas!O528="Sun 73 E",427,IF(Atletas!O528="Wu 45 E",428,IF(Atletas!O528="Wu-Hao 46 E",429,IF(OR(Atletas!O528="Taijiquan 16 E",Atletas!O528="Taijiquan 24 E",Atletas!O528="Taijiquan 32 E",Atletas!O528="Taijiquan 42 E"),430,IF(OR(Atletas!O528="Yang 26 F",Atletas!O528="Yang 40 F"),431,IF(OR(Atletas!O528="Chen 25 F",Atletas!O528="Chen 36 F",Atletas!O528="Chen 56 F"),432,IF(Atletas!O528="Sun 73 F",433,IF(Atletas!O528="Wu 45 F",434,IF(Atletas!O528="Wu-Hao 46 F",435,IF(OR(Atletas!O528="Taijiquan 16 F",Atletas!O528="Taijiquan 24 F",Atletas!O528="Taijiquan 32 F",Atletas!O528="Taijiquan 42 F"),436,0)))))))))))))))))))</f>
        <v/>
      </c>
      <c r="BR532" s="52" t="str">
        <f>IF(Atletas!P528="","",IF(Atletas!W528&lt;&gt;"",10000,0)+IF(Atletas!B528="Feminino",1000,IF(Atletas!B528="Masculino",2000,""))+IF(Atletas!P528="Xingyiquan A",501,IF(Atletas!P528="Baguazhang A",502,IF(Atletas!P528="Outro Estilo Interno A",503,IF(Atletas!P528="Xingyiquan B",504,IF(Atletas!P528="Baguazhang B",505,IF(Atletas!P528="Outro Estilo Interno B",506,IF(Atletas!P528="Xingyiquan C",507,IF(Atletas!P528="Baguazhang C",508,IF(Atletas!P528="Outro Estilo Interno C",509,IF(Atletas!P528="Xingyiquan D",510,IF(Atletas!P528="Baguazhang D",511,IF(Atletas!P528="Outro Estilo Interno D",512,IF(Atletas!P528="Xingyiquan E",513,IF(Atletas!P528="Baguazhang E",514,IF(Atletas!P528="Outro Estilo Interno E",515,IF(Atletas!P528="Xingyiquan F",516,IF(Atletas!P528="Baguazhang F",517,IF(Atletas!P528="Outro Estilo Interno F",518, "")))))))))))))))))))</f>
        <v/>
      </c>
      <c r="BS532" s="52" t="str">
        <f>IF(Atletas!Q528="","",IF(Atletas!W528&lt;&gt;"",10000,0)+IF(Atletas!B528="Feminino",1000,IF(Atletas!B528="Masculino",2000,""))+IF(Atletas!Q528="Dao A",601,IF(Atletas!Q528="Jian A",602,IF(Atletas!Q528="Bishou A",603,IF(Atletas!Q528="Shan A",604,IF(Atletas!Q528="Outra Arma Curta A",605,IF(Atletas!Q528="Dao B",606,IF(Atletas!Q528="Jian B",607,IF(Atletas!Q528="Bishou B",608,IF(Atletas!Q528="Shan B",609,IF(Atletas!Q528="Outra Arma Curta B",610,IF(Atletas!Q528="Dao C",611,IF(Atletas!Q528="Jian C",612,IF(Atletas!Q528="Bishou C",613,IF(Atletas!Q528="Shan C",614,IF(Atletas!Q528="Outra Arma Curta C",615,IF(Atletas!Q528="Dao D",616,IF(Atletas!Q528="Jian D",617,IF(Atletas!Q528="Bishou D",618,IF(Atletas!Q528="Shan D",619,IF(Atletas!Q528="Outra Arma Curta D",620,IF(Atletas!Q528="Dao E",621,IF(Atletas!Q528="Jian E",622,IF(Atletas!Q528="Bishou E",623,IF(Atletas!Q528="Shan E",624,IF(Atletas!Q528="Outra Arma Curta E",625,IF(Atletas!Q528="Dao F",626,IF(Atletas!Q528="Jian F",627,IF(Atletas!Q528="Bishou F",628,IF(Atletas!Q528="Shan F",629,IF(Atletas!Q528="Outra Arma Curta F",630, "")))))))))))))))))))))))))))))))</f>
        <v/>
      </c>
      <c r="BT532" s="52" t="str">
        <f>IF(Atletas!R528="","",IF(Atletas!W528&lt;&gt;"",10000,0)+IF(Atletas!B528="Feminino",1000,IF(Atletas!B528="Masculino",2000,""))+IF(Atletas!R528="Gun A",701,IF(Atletas!R528="Qiang A",702,IF(Atletas!R528="Pudao / Guandao A",703,IF(Atletas!R528="Outra Arma Longa A",704,IF(Atletas!R528="Gun B",705,IF(Atletas!R528="Qiang B",706,IF(Atletas!R528="Pudao / Guandao B",707,IF(Atletas!R528="Outra Arma Longa B",708,IF(Atletas!R528="Gun C",709,IF(Atletas!R528="Qiang C",710,IF(Atletas!R528="Pudao / Guandao C",711,IF(Atletas!R528="Outra Arma Longa C",712,IF(Atletas!R528="Gun D",713,IF(Atletas!R528="Qiang D",714,IF(Atletas!R528="Pudao / Guandao D",715,IF(Atletas!R528="Outra Arma Longa D",716,IF(Atletas!R528="Gun E",717,IF(Atletas!R528="Qiang E",718,IF(Atletas!R528="Pudao / Guandao E",719,IF(Atletas!R528="Outra Arma Longa E",720,IF(Atletas!R528="Gun F",721,IF(Atletas!R528="Qiang F",722,IF(Atletas!R528="Pudao / Guandao F",723,IF(Atletas!R528="Outra Arma Longa F",724,"")))))))))))))))))))))))))</f>
        <v/>
      </c>
      <c r="BU532" s="52" t="str">
        <f>IF(Atletas!S528="","",IF(Atletas!W528&lt;&gt;"",10000,0)+IF(Atletas!B528="Feminino",1000,IF(Atletas!B528="Masculino",2000,""))+IF(Atletas!S528="Arma Dupla A",801,IF(Atletas!S528="Arma Maleável A",802,IF(Atletas!S528="Arma Dupla B",803,IF(Atletas!S528="Arma Maleável B",804,IF(Atletas!S528="Arma Dupla C",805,IF(Atletas!S528="Arma Maleável C",806,IF(Atletas!S528="Arma Dupla D",807,IF(Atletas!S528="Arma Maleável D",808,IF(Atletas!S528="Arma Dupla E",809,IF(Atletas!S528="Arma Maleável E",810,IF(Atletas!S528="Arma Dupla F",811,IF(Atletas!S528="Arma Maleável F",812, "")))))))))))))</f>
        <v/>
      </c>
      <c r="BV532" s="52" t="str">
        <f>IF(Atletas!T528="","",IF(Atletas!W528&lt;&gt;"",10000,0)+IF(Atletas!B528="Feminino",1000,IF(Atletas!B528="Masculino",2000,""))+IF(Atletas!T528="Taijijian Yang A",901,IF(Atletas!T528="Taijijian Chen A",902,IF(Atletas!T528="Taijijian Sun A",903,IF(Atletas!T528="Taijijian Wu A",904,IF(Atletas!T528="Taijijian Wu-Hao A",905,IF(Atletas!T528="Taijijian 32 A",906,IF(Atletas!T528="Taijijian 42 A",907,IF(Atletas!T528="Taijijian Yang B",908,IF(Atletas!T528="Taijijian Chen B",909,IF(Atletas!T528="Taijijian Sun B",910,IF(Atletas!T528="Taijijian Wu B",911,IF(Atletas!T528="Taijijian Wu-Hao B",912,IF(Atletas!T528="Taijijian 32 B",913,IF(Atletas!T528="Taijijian 42 B",914,IF(Atletas!T528="Taijijian Yang C",915,IF(Atletas!T528="Taijijian Chen C",916,IF(Atletas!T528="Taijijian Sun C",917,IF(Atletas!T528="Taijijian Wu C",918,IF(Atletas!T528="Taijijian Wu-Hao C",919,IF(Atletas!T528="Taijijian 32 C",920,IF(Atletas!T528="Taijijian 42 C",921,IF(Atletas!T528="Taijijian Yang D",922,IF(Atletas!T528="Taijijian Chen D",923,IF(Atletas!T528="Taijijian Sun D",924,IF(Atletas!T528="Taijijian Wu D",925,IF(Atletas!T528="Taijijian Wu-Hao D",926,IF(Atletas!T528="Taijijian 32 D",927,IF(Atletas!T528="Taijijian 42 D",928,IF(Atletas!T528="Taijijian Yang E",929,IF(Atletas!T528="Taijijian Chen E",930,IF(Atletas!T528="Taijijian Sun E",931,IF(Atletas!T528="Taijijian Wu E",932,IF(Atletas!T528="Taijijian Wu-Hao E",933,IF(Atletas!T528="Taijijian 32 E",934,IF(Atletas!T528="Taijijian 42 E",935,IF(Atletas!T528="Taijijian Yang F",936,IF(Atletas!T528="Taijijian Chen F",937,IF(Atletas!T528="Taijijian Sun F",938,IF(Atletas!T528="Taijijian Wu F",939,IF(Atletas!T528="Taijijian Wu-Hao F",940,IF(Atletas!T528="Taijijian 32 F",941,IF(Atletas!T528="Taijijian 42 F",942,"")))))))))))))))))))))))))))))))))))))))))))</f>
        <v/>
      </c>
      <c r="BW532" s="52" t="str">
        <f>IF(Atletas!U528="","",IF(Atletas!W528&lt;&gt;"",10000,0)+IF(Atletas!B528="Feminino",1000,IF(Atletas!B528="Masculino",2000,""))+IF(Atletas!T528="Taijijian 42 F",942,IF(Atletas!U528="Taijidao A",943,IF(Atletas!U528="Taijishan A",944,IF(Atletas!U528="Taijiqiang A",945,IF(Atletas!U528="Taijidao B",946,IF(Atletas!U528="Taijishan B",947,IF(Atletas!U528="Taijiqiang B",948,IF(Atletas!U528="Taijidao C",949,IF(Atletas!U528="Taijishan C",950,IF(Atletas!U528="Taijiqiang C",951,IF(Atletas!U528="Taijidao D",952,IF(Atletas!U528="Taijishan D",953,IF(Atletas!U528="Taijiqiang D",954,IF(Atletas!U528="Taijidao E",955,IF(Atletas!U528="Taijishan E",956,IF(Atletas!U528="Taijiqiang E",957,IF(Atletas!U528="Taijidao F",958,IF(Atletas!U528="Taijishan F",959,IF(Atletas!U528="Taijiqiang F",960))))))))))))))))))))</f>
        <v/>
      </c>
      <c r="CF532" s="52" t="str">
        <f xml:space="preserve"> IF(Atletas!V528="","",IF(Atletas!V528="Duilian de Mãos AB - Equipe 1",1,IF(Atletas!V528="Duilian de Mãos AB - Equipe 2",2,IF(Atletas!V528="Duilian de Armas AB - Equipe 1",3,IF(Atletas!V528="Duilian de Armas AB - Equipe 2",4,IF(Atletas!V528="Duilian de Tuishou - Equipe 1",5,IF(Atletas!V528="Duilian de Tuishou - Equipe 2",6,IF(Atletas!V528="Grupo Externo AB - Equipe 1",7,IF(Atletas!V528="Grupo Externo AB - Equipe 2",8,IF(Atletas!V528="Grupo Interno AB - Equipe 1",9,IF(Atletas!V528="Grupo Interno AB - Equipe 2",10,IF(Atletas!V528="Duilian de Mãos CD - Equipe 1",11,IF(Atletas!V528="Duilian de Mãos CD - Equipe 2",12,IF(Atletas!V528="Duilian de Armas CD - Equipe 1",13,IF(Atletas!V528="Duilian de Armas CD - Equipe 2",14,IF(Atletas!V528="Duilian de Tuishou - Equipe 1",15,IF(Atletas!V528="Duilian de Tuishou - Equipe 2",16,IF(Atletas!V528="Grupo Externo CDEF - Equipe 1",17,IF(Atletas!V528="Grupo Externo CDEF - Equipe 2",18,IF(Atletas!V528="Grupo Interno CDEF - Equipe 1",19,IF(Atletas!V528="Grupo Interno CDEF - Equipe 2",20,IF(Atletas!V528="Duilian de Mãos EF - Equipe 1",21,IF(Atletas!V528="Duilian de Mãos EF - Equipe 2",22,IF(Atletas!V528="Duilian de Armas EF - Equipe 1",23,IF(Atletas!V528="Duilian de Armas EF - Equipe 2",24,IF(Atletas!V528="Duilian de Tuishou - Equipe 1",25,IF(Atletas!V528="Duilian de Tuishou - Equipe 2",26,"")))))))))))))))))))))))))))</f>
        <v/>
      </c>
    </row>
    <row r="533" spans="36:84">
      <c r="AJ533" s="46" t="str">
        <f>IF(Atletas!D529="","",IF(Atletas!B529="Feminino",100,IF(Atletas!B529="Masculino",200,""))+(IF(Atletas!D529="Infantil 39kg",1,IF(Atletas!D529="Infantil 42kg",2,IF(Atletas!D529="Infantil 45kg",3,IF(Atletas!D529="Infantil 48kg",4,IF(Atletas!D529="Infantil 52kg",5,IF(Atletas!D529="Infantil 56kg",6,IF(Atletas!D529="Infantil 60kg",7,IF(Atletas!D529="Juvenil 48kg",8,IF(Atletas!D529="Juvenil 52kg",9,IF(Atletas!D529="Juvenil 56kg",10,IF(Atletas!D529="Juvenil 60kg",11,IF(Atletas!D529="Juvenil 65kg",12,IF(Atletas!D529="Juvenil 70kg",13,IF(Atletas!D529="Juvenil 75kg",14,IF(Atletas!D529="Juvenil 80kg",15,IF(Atletas!D529="Adulto 48kg",16,IF(Atletas!D529="Adulto 52kg",17,IF(Atletas!D529="Adulto 56kg",18,IF(Atletas!D529="Adulto 60kg",19,IF(Atletas!D529="Adulto 65kg",20,IF(Atletas!D529="Adulto 70kg",21,IF(Atletas!D529="Adulto 75kg",22,IF(Atletas!D529="Adulto 80kg",23,IF(Atletas!D529="Adulto 85kg",24,IF(Atletas!D529="Adulto 90kg",25,IF(Atletas!D529="Adulto +90kg",26,""))))))))))))))))))))))))))))</f>
        <v/>
      </c>
      <c r="AO533" s="10" t="str">
        <f>IF(Atletas!E529="","",IF(Atletas!B529="Feminino",100,IF(Atletas!B529="Masculino",200,""))+(IF(Atletas!E529="Juvenil 44kg",1,IF(Atletas!E529="Juvenil 48kg",2,IF(Atletas!E529="Juvenil 52kg",3,IF(Atletas!E529="Juvenil 56kg",4,IF(Atletas!E529="Juvenil 60kg",5,IF(Atletas!E529="Juvenil 65kg",6,IF(Atletas!E529="Juvenil 70kg",7,IF(Atletas!E529="Juvenil 75kg",8,IF(Atletas!E529="Juvenil 82kg",9,IF(Atletas!E529="Juvenil 90kg",10,IF(Atletas!E529="Juvenil 100kg",11,IF(Atletas!E529="Adulto 48kg",12,IF(Atletas!E529="Adulto 52kg",13,IF(Atletas!E529="Adulto 56kg",14,IF(Atletas!E529="Adulto 60kg",15,IF(Atletas!E529="Adulto 65kg",16,IF(Atletas!E529="Adulto 70kg",17,IF(Atletas!E529="Adulto 75kg",18,IF(Atletas!E529="Adulto 82kg",19,IF(Atletas!E529="Adulto 90kg",20,IF(Atletas!E529="Adulto 100kg",21,IF(Atletas!E529="Adulto +100kg",22,""))))))))))))))))))))))))</f>
        <v/>
      </c>
      <c r="AT533" s="10" t="str">
        <f>IF(Atletas!F529="","",IF(Atletas!B529="Feminino",100,IF(Atletas!B529="Masculino",200,""))+(IF(Atletas!F529="Adulto 48kg",1,IF(Atletas!F529="Adulto 56kg",2,IF(Atletas!F529="Adulto 65kg",3,IF(Atletas!F529="Adulto 75kg",4,IF(Atletas!F529="Adulto +75kg",5,IF(Atletas!F529="Adulto 52kg",6,IF(Atletas!F529="Adulto 60kg",7,IF(Atletas!F529="Adulto 70kg",8,IF(Atletas!F529="Adulto 80kg",9,IF(Atletas!F529="Adulto 90kg",10,IF(Atletas!F529="Adulto +90kg",11,"")))))))))))))</f>
        <v/>
      </c>
      <c r="AY533" s="46" t="str">
        <f>IF(Atletas!G529="","",IF(Atletas!B529="Feminino",100,IF(Atletas!B529="Masculino",200,""))+(IF(Atletas!G529="Changquan Mirim",1,IF(Atletas!G529="Nanquan Mirim",2,IF(Atletas!G529="Taijiquan Mirim",3,IF(Atletas!G529="Changquan Grupo C",4,IF(Atletas!G529="Nanquan Grupo C",5,IF(Atletas!G529="Taijiquan Grupo C",6,IF(Atletas!G529="Changquan Grupo B",7,IF(Atletas!G529="Nanquan Grupo B",8,IF(Atletas!G529="Taijiquan Grupo B",9,IF(Atletas!G529="Changquan Grupo A",10,IF(Atletas!G529="Nanquan Grupo A",11,IF(Atletas!G529="Taijiquan Grupo A",12,IF(Atletas!G529="Changquan Opcional",13,IF(Atletas!G529="Nanquan Opcional",14,IF(Atletas!G529="Taijiquan Opcional",15,IF(Atletas!G529="Changquan Adulto",16,IF(Atletas!G529="Nanquan Adulto",17,IF(Atletas!G529="Taijiquan Adulto",18,""))))))))))))))))))))</f>
        <v/>
      </c>
      <c r="AZ533" s="46" t="str">
        <f>IF(Atletas!H529="","",IF(Atletas!B529="Feminino",100,IF(Atletas!B529="Masculino",200,""))+(IF(Atletas!H529="Daoshu Mirim",19,IF(Atletas!H529="Jianshu Mirim",20,IF(Atletas!H529="Nandao Mirim",21,IF(Atletas!H529="Taijijian Mirim",22,IF(Atletas!H529="Daoshu Grupo C",23,IF(Atletas!H529="Jianshu Grupo C",24,IF(Atletas!H529="Nandao Grupo C",25,IF(Atletas!H529="Taijijian Grupo C",26,IF(Atletas!H529="Daoshu Grupo B",27,IF(Atletas!H529="Jianshu Grupo B",28,IF(Atletas!H529="Nandao Grupo B",29,IF(Atletas!H529="Taijijian Grupo B",30,IF(Atletas!H529="Daoshu Grupo A",31,IF(Atletas!H529="Jianshu Grupo A",32,IF(Atletas!H529="Nandao Grupo A",33,IF(Atletas!H529="Taijijian Grupo A",34,IF(Atletas!H529="Daoshu Opcional",35,IF(Atletas!H529="Jianshu Opcional",36,IF(Atletas!H529="Nandao Opcional",37,IF(Atletas!H529="Taijijian Opcional",38,IF(Atletas!H529="Daoshu Adulto",39,IF(Atletas!H529="Jianshu Adulto",40,IF(Atletas!H529="Nandao Adulto",41,IF(Atletas!H529="Taijijian Adulto",42,""))))))))))))))))))))))))))</f>
        <v/>
      </c>
      <c r="BA533" s="46" t="str">
        <f>IF(Atletas!I529="","",IF(Atletas!B529="Feminino",100,IF(Atletas!B529="Masculino",200,""))+(IF(Atletas!I529="Gunshu Mirim",43,IF(Atletas!I529="Qiangshu Mirim",44,IF(Atletas!I529="Nangun Mirim",45,IF(Atletas!I529="Gunshu Grupo C",46,IF(Atletas!I529="Qiangshu Grupo C",47,IF(Atletas!I529="Nangun Grupo C",48,IF(Atletas!I529="Gunshu Grupo B",49,IF(Atletas!I529="Qiangshu Grupo B",50,IF(Atletas!I529="Nangun Grupo B",51,IF(Atletas!I529="Gunshu Grupo A",52,IF(Atletas!I529="Qiangshu Grupo A",53,IF(Atletas!I529="Nangun Grupo A",54,IF(Atletas!I529="Gunshu Opcional",55,IF(Atletas!I529="Qiangshu Opcional",56,IF(Atletas!I529="Nangun Opcional",57,IF(Atletas!I529="Gunshu Adulto",58,IF(Atletas!I529="Qiangshu Adulto",59,IF(Atletas!I529="Nangun Adulto",60,""))))))))))))))))))))</f>
        <v/>
      </c>
      <c r="BF533" s="52" t="str">
        <f>IF(Atletas!J529="","",IF(Atletas!B529="Feminino",100,IF(Atletas!B529="Masculino",200,""))+(IF(Atletas!J529="Equipe 1 Grupo B",1,IF(Atletas!J529="Equipe 2 Grupo B",2,IF(Atletas!J529="Equipe 1 Grupo A",3,IF(Atletas!J529="Equipe 2 Grupo A",4,IF(Atletas!J529="Equipe 1 Adulto",5,IF(Atletas!J529="Equipe 2 Adulto",6,""))))))))</f>
        <v/>
      </c>
      <c r="BK533" s="52" t="str">
        <f>IF(Atletas!K529="","",IF(Atletas!W529&lt;&gt;"",10000,0)+(IF(Atletas!B529="Feminino",1000,IF(Atletas!B529="Masculino",2000,""))+IF(Atletas!K529="Choylayfut A",1,IF(Atletas!K529="Hunggar A",2,IF(Atletas!K529="Wuzuquan A",3,IF(Atletas!K529="Wingchun A",4,IF(Atletas!K529="Outra Mão de Sul A",5,IF(Atletas!K529="Choylayfut B",6,IF(Atletas!K529="Hunggar B",7,IF(Atletas!K529="Wuzuquan B",8,IF(Atletas!K529="Wingchun B",9,IF(Atletas!K529="Outra Mão de Sul B",10,IF(Atletas!K529="Choylayfut C",11,IF(Atletas!K529="Hunggar C",12,IF(Atletas!K529="Wuzuquan C",13,IF(Atletas!K529="Wingchun C",14,IF(Atletas!K529="Outra Mão de Sul C",15,IF(Atletas!K529="Choylayfut D",16,IF(Atletas!K529="Hunggar D",17,IF(Atletas!K529="Wuzuquan D",18,IF(Atletas!K529="Wingchun D",19,IF(Atletas!K529="Outra Mão de Sul D",20,IF(Atletas!K529="Choylayfut E",21,IF(Atletas!K529="Hunggar E",22,IF(Atletas!K529="Wuzuquan E",23,IF(Atletas!K529="Wingchun E",24,IF(Atletas!K529="Outra Mão de Sul E",25,IF(Atletas!K529="Choylayfut F",26,IF(Atletas!K529="Hunggar F",27,IF(Atletas!K529="Wuzuquan F",28,IF(Atletas!K529="Wingchun F",29,IF(Atletas!K529="Outra Mão de Sul F",30,""))))))))))))))))))))))))))))))))</f>
        <v/>
      </c>
      <c r="BL533" s="52" t="str">
        <f>IF(Atletas!L529="","",IF(Atletas!W529&lt;&gt;"",10000,0)+(IF(Atletas!B529="Feminino",1000,IF(Atletas!B529="Masculino",2000,""))+(IF(Atletas!L529="Chaquan A",101,IF(Atletas!L529="Emeiquan A",102,IF(Atletas!L529="Fanziquan A",103,IF(Atletas!L529="Huaquan A",104,IF(Atletas!L529="Hongquan A",105,IF(Atletas!L529="Paochui A",106,IF(Atletas!L529="Piguaquan A",107,IF(Atletas!L529="Shaolinquan A",108,IF(Atletas!L529="Tanglangquan A",109,IF(Atletas!L529="Yinzhaophai A",110,IF(Atletas!L529="Tongbeiquan A",111,IF(Atletas!L529="Wudangquan A",112,IF(Atletas!L529="Outros Estilos A",113,IF(Atletas!L529="Chaquan B",114,IF(Atletas!L529="Emeiquan B",115,IF(Atletas!L529="Fanziquan B",116,IF(Atletas!L529="Huaquan B",117,IF(Atletas!L529="Hongquan B",118,IF(Atletas!L529="Paochui B",119,IF(Atletas!L529="Piguaquan B",120,IF(Atletas!L529="Shaolinquan B",121,IF(Atletas!L529="Tanglangquan B",122,IF(Atletas!L529="Yinzhaophai B",123,IF(Atletas!L529="Tongbeiquan B",124,IF(Atletas!L529="Wudangquan B",125,IF(Atletas!L529="Outros Estilos B",126,IF(Atletas!L529="Chaquan C",127,IF(Atletas!L529="Emeiquan C",128,IF(Atletas!L529="Fanziquan C",129,IF(Atletas!L529="Huaquan C",130,IF(Atletas!L529="Hongquan C",131,IF(Atletas!L529="Paochui C",132,IF(Atletas!L529="Piguaquan C",133,IF(Atletas!L529="Shaolinquan C",134,IF(Atletas!L529="Tanglangquan C",135,IF(Atletas!L529="Yinzhaophai C",136,IF(Atletas!L529="Tongbeiquan C",137,IF(Atletas!L529="Wudangquan C",138,IF(Atletas!L529="Outros Estilos C",139,0))))))))))))))))))))))))))))))))))))))))))</f>
        <v/>
      </c>
      <c r="BM533" s="52" t="str">
        <f>IF(Atletas!L529="","",IF(Atletas!W529&lt;&gt;"",10000,0)+(IF(Atletas!B529="Feminino",1000,IF(Atletas!B529="Masculino",2000,""))+(IF(Atletas!L529="Chaquan D",140,IF(Atletas!L529="Emeiquan D",141,IF(Atletas!L529="Fanziquan D",142,IF(Atletas!L529="Huaquan D",143,IF(Atletas!L529="Hongquan D",144,IF(Atletas!L529="Paochui D",145,IF(Atletas!L529="Piguaquan D",146,IF(Atletas!L529="Shaolinquan D",147,IF(Atletas!L529="Tanglangquan D",148,IF(Atletas!L529="Yinzhaophai D",149,IF(Atletas!L529="Tongbeiquan D",150,IF(Atletas!L529="Wudangquan D",151,IF(Atletas!L529="Outros Estilos D",152,IF(Atletas!L529="Chaquan E",153,IF(Atletas!L529="Emeiquan E",154,IF(Atletas!L529="Fanziquan E",155,IF(Atletas!L529="Huaquan E",156,IF(Atletas!L529="Hongquan E",157,IF(Atletas!L529="Paochui E",158,IF(Atletas!L529="Piguaquan E",159,IF(Atletas!L529="Shaolinquan E",160,IF(Atletas!L529="Tanglangquan E",161,IF(Atletas!L529="Yinzhaophai E",162,IF(Atletas!L529="Tongbeiquan E",163,IF(Atletas!L529="Wudangquan E",164,IF(Atletas!L529="Outros Estilos E",165,IF(Atletas!L529="Chaquan F",166,IF(Atletas!L529="Emeiquan F",167,IF(Atletas!L529="Fanziquan F",168,IF(Atletas!L529="Huaquan F",169,IF(Atletas!L529="Hongquan F",170,IF(Atletas!L529="Paochui F",171,IF(Atletas!L529="Piguaquan F",172,IF(Atletas!L529="Shaolinquan F",173,IF(Atletas!L529="Tanglangquan F",174,IF(Atletas!L529="Yinzhaophai F",175,IF(Atletas!L529="Tongbeiquan F",176,IF(Atletas!L529="Wudangquan F",177,IF(Atletas!L529="Outros Estilos F",178,0))))))))))))))))))))))))))))))))))))))))))</f>
        <v/>
      </c>
      <c r="BN533" s="52" t="str">
        <f>IF(Atletas!M529="","",IF(Atletas!W529&lt;&gt;"",10000,0)+(IF(Atletas!B529="Feminino",1000,IF(Atletas!B529="Masculino",2000,""))+(IF(Atletas!M529="Ditangquan A",201,IF(Atletas!M529="Houquan A",202,IF(Atletas!M529="Zuiquan A",203,IF(Atletas!M529="Ditangquan B",204,IF(Atletas!M529="Houquan B",205,IF(Atletas!M529="Zuiquan B",206,IF(Atletas!M529="Ditangquan C",207,IF(Atletas!M529="Houquan C",208,IF(Atletas!M529="Zuiquan C",209,IF(Atletas!M529="Ditangquan D",210,IF(Atletas!M529="Houquan D",211,IF(Atletas!M529="Zuiquan D",212,IF(Atletas!M529="Ditangquan E",213,IF(Atletas!M529="Houquan E",214,IF(Atletas!M529="Zuiquan E",215,IF(Atletas!M529="Ditangquan F",216,IF(Atletas!M529="Houquan F",217,IF(Atletas!M529="Zuiquan F",218,"")))))))))))))))))))))</f>
        <v/>
      </c>
      <c r="BO533" s="52" t="str">
        <f>IF(Atletas!N529="","",IF(Atletas!W529&lt;&gt;"",10000,0)+IF(Atletas!B529="Feminino",1000,IF(Atletas!B529="Masculino",2000,""))+IF(Atletas!N529="Yang A",301,IF(Atletas!N529="Chen A",30,IF(Atletas!N529="Sun A",303,IF(Atletas!N529="Wu A",304,IF(Atletas!N529="Wu-Hao A",305,IF(Atletas!N529="Outro Taijiquan A",306,IF(Atletas!N529="Yang B",307,IF(Atletas!N529="Chen B",308,IF(Atletas!N529="Sun B",309,IF(Atletas!N529="Wu B",310,IF(Atletas!N529="Wu-Hao B",311,IF(Atletas!N529="Outro Taijiquan B",312,IF(Atletas!N529="Yang C",313,IF(Atletas!N529="Chen C",314,IF(Atletas!N529="Sun C",315,IF(Atletas!N529="Wu C",316,IF(Atletas!N529="Wu-Hao C",317,IF(Atletas!N529="Outro Taijiquan C",318,IF(Atletas!N529="Yang D",319,IF(Atletas!N529="Chen D",320,IF(Atletas!N529="Sun D",321,IF(Atletas!N529="Wu D",322,IF(Atletas!N529="Wu-Hao D",323,IF(Atletas!N529="Outro Taijiquan D",324,IF(Atletas!N529="Yang E",325,IF(Atletas!N529="Chen E",326,IF(Atletas!N529="Sun E",327,IF(Atletas!N529="Wu E",328,IF(Atletas!N529="Wu-Hao E",329,IF(Atletas!N529="Outro Taijiquan E",330,IF(Atletas!N529="Yang F",331,IF(Atletas!N529="Chen F",332,IF(Atletas!N529="Sun F",333,IF(Atletas!N529="Wu F",334,IF(Atletas!N529="Wu-Hao F",335,IF(Atletas!N529="Outro Taijiquan F",336,"")))))))))))))))))))))))))))))))))))))</f>
        <v/>
      </c>
      <c r="BP533" s="52" t="str">
        <f>IF(Atletas!O529="","",IF(Atletas!W529&lt;&gt;"",10000,0)+IF(Atletas!B529="Feminino",1000,IF(Atletas!B529="Masculino",2000,""))+IF(OR(Atletas!O529="Yang 26 A",Atletas!O529="Yang 40 A"),401,IF(OR(Atletas!O529="Chen 25 A",Atletas!O529="Chen 36 A",Atletas!O529="Chen 56 A"),402,IF(Atletas!O529="Sun 73 A",403,IF(Atletas!O529="Wu 45 A",404,IF(Atletas!O529="Wu-Hao 46 A",405,IF(OR(Atletas!O529="Taijiquan 16 A",Atletas!O529="Taijiquan 24 A",Atletas!O529="Taijiquan 32 A",Atletas!O529="Taijiquan 42 A"),406,IF(OR(Atletas!O529="Yang 26 B",Atletas!O529="Yang 40 B"),407,IF(OR(Atletas!O529="Chen 25 B",Atletas!O529="Chen 36 B",Atletas!O529="Chen 56 B"),408,IF(Atletas!O529="Sun 73 B",409,IF(Atletas!O529="Wu 45 B",410,IF(Atletas!O529="Wu-Hao 46 B",411,IF(OR(Atletas!O529="Taijiquan 16 B",Atletas!O529="Taijiquan 24 B",Atletas!O529="Taijiquan 32 B",Atletas!O529="Taijiquan 42 B"),412,IF(OR(Atletas!O529="Yang 26 C",Atletas!O529="Yang 40 C"),413,IF(OR(Atletas!O529="Chen 25 C",Atletas!O529="Chen 36 C",Atletas!O529="Chen 56 C"),414,IF(Atletas!O529="Sun 73 C",415,IF(Atletas!O529="Wu 45 C",416,IF(Atletas!O529="Wu-Hao 46 C",417,IF(OR(Atletas!O529="Taijiquan 16 C",Atletas!O529="Taijiquan 24 C",Atletas!O529="Taijiquan 32 C",Atletas!O529="Taijiquan 42 C"),418,0)))))))))))))))))))</f>
        <v/>
      </c>
      <c r="BQ533" s="52" t="str">
        <f>IF(Atletas!O529="","",IF(Atletas!W529&lt;&gt;"",10000,0)+IF(Atletas!B529="Feminino",1000,IF(Atletas!B529="Masculino",2000,""))+IF(OR(Atletas!O529="Yang 26 D",Atletas!O529="Yang 40 D"),419,IF(OR(Atletas!O529="Chen 25 D",Atletas!O529="Chen 36 D",Atletas!O529="Chen 56 D"),420,IF(Atletas!O529="Sun 73 D",421,IF(Atletas!O529="Wu 45 D",422,IF(Atletas!O529="Wu-Hao 46 D",423,IF(OR(Atletas!O529="Taijiquan 16 D",Atletas!O529="Taijiquan 24 D",Atletas!O529="Taijiquan 32 D",Atletas!O529="Taijiquan 42 D"),424,IF(OR(Atletas!O529="Yang 26 E",Atletas!O529="Yang 40 E"),425,IF(OR(Atletas!O529="Chen 25 E",Atletas!O529="Chen 36 E",Atletas!O529="Chen 56 E"),426,IF(Atletas!O529="Sun 73 E",427,IF(Atletas!O529="Wu 45 E",428,IF(Atletas!O529="Wu-Hao 46 E",429,IF(OR(Atletas!O529="Taijiquan 16 E",Atletas!O529="Taijiquan 24 E",Atletas!O529="Taijiquan 32 E",Atletas!O529="Taijiquan 42 E"),430,IF(OR(Atletas!O529="Yang 26 F",Atletas!O529="Yang 40 F"),431,IF(OR(Atletas!O529="Chen 25 F",Atletas!O529="Chen 36 F",Atletas!O529="Chen 56 F"),432,IF(Atletas!O529="Sun 73 F",433,IF(Atletas!O529="Wu 45 F",434,IF(Atletas!O529="Wu-Hao 46 F",435,IF(OR(Atletas!O529="Taijiquan 16 F",Atletas!O529="Taijiquan 24 F",Atletas!O529="Taijiquan 32 F",Atletas!O529="Taijiquan 42 F"),436,0)))))))))))))))))))</f>
        <v/>
      </c>
      <c r="BR533" s="52" t="str">
        <f>IF(Atletas!P529="","",IF(Atletas!W529&lt;&gt;"",10000,0)+IF(Atletas!B529="Feminino",1000,IF(Atletas!B529="Masculino",2000,""))+IF(Atletas!P529="Xingyiquan A",501,IF(Atletas!P529="Baguazhang A",502,IF(Atletas!P529="Outro Estilo Interno A",503,IF(Atletas!P529="Xingyiquan B",504,IF(Atletas!P529="Baguazhang B",505,IF(Atletas!P529="Outro Estilo Interno B",506,IF(Atletas!P529="Xingyiquan C",507,IF(Atletas!P529="Baguazhang C",508,IF(Atletas!P529="Outro Estilo Interno C",509,IF(Atletas!P529="Xingyiquan D",510,IF(Atletas!P529="Baguazhang D",511,IF(Atletas!P529="Outro Estilo Interno D",512,IF(Atletas!P529="Xingyiquan E",513,IF(Atletas!P529="Baguazhang E",514,IF(Atletas!P529="Outro Estilo Interno E",515,IF(Atletas!P529="Xingyiquan F",516,IF(Atletas!P529="Baguazhang F",517,IF(Atletas!P529="Outro Estilo Interno F",518, "")))))))))))))))))))</f>
        <v/>
      </c>
      <c r="BS533" s="52" t="str">
        <f>IF(Atletas!Q529="","",IF(Atletas!W529&lt;&gt;"",10000,0)+IF(Atletas!B529="Feminino",1000,IF(Atletas!B529="Masculino",2000,""))+IF(Atletas!Q529="Dao A",601,IF(Atletas!Q529="Jian A",602,IF(Atletas!Q529="Bishou A",603,IF(Atletas!Q529="Shan A",604,IF(Atletas!Q529="Outra Arma Curta A",605,IF(Atletas!Q529="Dao B",606,IF(Atletas!Q529="Jian B",607,IF(Atletas!Q529="Bishou B",608,IF(Atletas!Q529="Shan B",609,IF(Atletas!Q529="Outra Arma Curta B",610,IF(Atletas!Q529="Dao C",611,IF(Atletas!Q529="Jian C",612,IF(Atletas!Q529="Bishou C",613,IF(Atletas!Q529="Shan C",614,IF(Atletas!Q529="Outra Arma Curta C",615,IF(Atletas!Q529="Dao D",616,IF(Atletas!Q529="Jian D",617,IF(Atletas!Q529="Bishou D",618,IF(Atletas!Q529="Shan D",619,IF(Atletas!Q529="Outra Arma Curta D",620,IF(Atletas!Q529="Dao E",621,IF(Atletas!Q529="Jian E",622,IF(Atletas!Q529="Bishou E",623,IF(Atletas!Q529="Shan E",624,IF(Atletas!Q529="Outra Arma Curta E",625,IF(Atletas!Q529="Dao F",626,IF(Atletas!Q529="Jian F",627,IF(Atletas!Q529="Bishou F",628,IF(Atletas!Q529="Shan F",629,IF(Atletas!Q529="Outra Arma Curta F",630, "")))))))))))))))))))))))))))))))</f>
        <v/>
      </c>
      <c r="BT533" s="52" t="str">
        <f>IF(Atletas!R529="","",IF(Atletas!W529&lt;&gt;"",10000,0)+IF(Atletas!B529="Feminino",1000,IF(Atletas!B529="Masculino",2000,""))+IF(Atletas!R529="Gun A",701,IF(Atletas!R529="Qiang A",702,IF(Atletas!R529="Pudao / Guandao A",703,IF(Atletas!R529="Outra Arma Longa A",704,IF(Atletas!R529="Gun B",705,IF(Atletas!R529="Qiang B",706,IF(Atletas!R529="Pudao / Guandao B",707,IF(Atletas!R529="Outra Arma Longa B",708,IF(Atletas!R529="Gun C",709,IF(Atletas!R529="Qiang C",710,IF(Atletas!R529="Pudao / Guandao C",711,IF(Atletas!R529="Outra Arma Longa C",712,IF(Atletas!R529="Gun D",713,IF(Atletas!R529="Qiang D",714,IF(Atletas!R529="Pudao / Guandao D",715,IF(Atletas!R529="Outra Arma Longa D",716,IF(Atletas!R529="Gun E",717,IF(Atletas!R529="Qiang E",718,IF(Atletas!R529="Pudao / Guandao E",719,IF(Atletas!R529="Outra Arma Longa E",720,IF(Atletas!R529="Gun F",721,IF(Atletas!R529="Qiang F",722,IF(Atletas!R529="Pudao / Guandao F",723,IF(Atletas!R529="Outra Arma Longa F",724,"")))))))))))))))))))))))))</f>
        <v/>
      </c>
      <c r="BU533" s="52" t="str">
        <f>IF(Atletas!S529="","",IF(Atletas!W529&lt;&gt;"",10000,0)+IF(Atletas!B529="Feminino",1000,IF(Atletas!B529="Masculino",2000,""))+IF(Atletas!S529="Arma Dupla A",801,IF(Atletas!S529="Arma Maleável A",802,IF(Atletas!S529="Arma Dupla B",803,IF(Atletas!S529="Arma Maleável B",804,IF(Atletas!S529="Arma Dupla C",805,IF(Atletas!S529="Arma Maleável C",806,IF(Atletas!S529="Arma Dupla D",807,IF(Atletas!S529="Arma Maleável D",808,IF(Atletas!S529="Arma Dupla E",809,IF(Atletas!S529="Arma Maleável E",810,IF(Atletas!S529="Arma Dupla F",811,IF(Atletas!S529="Arma Maleável F",812, "")))))))))))))</f>
        <v/>
      </c>
      <c r="BV533" s="52" t="str">
        <f>IF(Atletas!T529="","",IF(Atletas!W529&lt;&gt;"",10000,0)+IF(Atletas!B529="Feminino",1000,IF(Atletas!B529="Masculino",2000,""))+IF(Atletas!T529="Taijijian Yang A",901,IF(Atletas!T529="Taijijian Chen A",902,IF(Atletas!T529="Taijijian Sun A",903,IF(Atletas!T529="Taijijian Wu A",904,IF(Atletas!T529="Taijijian Wu-Hao A",905,IF(Atletas!T529="Taijijian 32 A",906,IF(Atletas!T529="Taijijian 42 A",907,IF(Atletas!T529="Taijijian Yang B",908,IF(Atletas!T529="Taijijian Chen B",909,IF(Atletas!T529="Taijijian Sun B",910,IF(Atletas!T529="Taijijian Wu B",911,IF(Atletas!T529="Taijijian Wu-Hao B",912,IF(Atletas!T529="Taijijian 32 B",913,IF(Atletas!T529="Taijijian 42 B",914,IF(Atletas!T529="Taijijian Yang C",915,IF(Atletas!T529="Taijijian Chen C",916,IF(Atletas!T529="Taijijian Sun C",917,IF(Atletas!T529="Taijijian Wu C",918,IF(Atletas!T529="Taijijian Wu-Hao C",919,IF(Atletas!T529="Taijijian 32 C",920,IF(Atletas!T529="Taijijian 42 C",921,IF(Atletas!T529="Taijijian Yang D",922,IF(Atletas!T529="Taijijian Chen D",923,IF(Atletas!T529="Taijijian Sun D",924,IF(Atletas!T529="Taijijian Wu D",925,IF(Atletas!T529="Taijijian Wu-Hao D",926,IF(Atletas!T529="Taijijian 32 D",927,IF(Atletas!T529="Taijijian 42 D",928,IF(Atletas!T529="Taijijian Yang E",929,IF(Atletas!T529="Taijijian Chen E",930,IF(Atletas!T529="Taijijian Sun E",931,IF(Atletas!T529="Taijijian Wu E",932,IF(Atletas!T529="Taijijian Wu-Hao E",933,IF(Atletas!T529="Taijijian 32 E",934,IF(Atletas!T529="Taijijian 42 E",935,IF(Atletas!T529="Taijijian Yang F",936,IF(Atletas!T529="Taijijian Chen F",937,IF(Atletas!T529="Taijijian Sun F",938,IF(Atletas!T529="Taijijian Wu F",939,IF(Atletas!T529="Taijijian Wu-Hao F",940,IF(Atletas!T529="Taijijian 32 F",941,IF(Atletas!T529="Taijijian 42 F",942,"")))))))))))))))))))))))))))))))))))))))))))</f>
        <v/>
      </c>
      <c r="BW533" s="52" t="str">
        <f>IF(Atletas!U529="","",IF(Atletas!W529&lt;&gt;"",10000,0)+IF(Atletas!B529="Feminino",1000,IF(Atletas!B529="Masculino",2000,""))+IF(Atletas!T529="Taijijian 42 F",942,IF(Atletas!U529="Taijidao A",943,IF(Atletas!U529="Taijishan A",944,IF(Atletas!U529="Taijiqiang A",945,IF(Atletas!U529="Taijidao B",946,IF(Atletas!U529="Taijishan B",947,IF(Atletas!U529="Taijiqiang B",948,IF(Atletas!U529="Taijidao C",949,IF(Atletas!U529="Taijishan C",950,IF(Atletas!U529="Taijiqiang C",951,IF(Atletas!U529="Taijidao D",952,IF(Atletas!U529="Taijishan D",953,IF(Atletas!U529="Taijiqiang D",954,IF(Atletas!U529="Taijidao E",955,IF(Atletas!U529="Taijishan E",956,IF(Atletas!U529="Taijiqiang E",957,IF(Atletas!U529="Taijidao F",958,IF(Atletas!U529="Taijishan F",959,IF(Atletas!U529="Taijiqiang F",960))))))))))))))))))))</f>
        <v/>
      </c>
      <c r="CF533" s="52" t="str">
        <f xml:space="preserve"> IF(Atletas!V529="","",IF(Atletas!V529="Duilian de Mãos AB - Equipe 1",1,IF(Atletas!V529="Duilian de Mãos AB - Equipe 2",2,IF(Atletas!V529="Duilian de Armas AB - Equipe 1",3,IF(Atletas!V529="Duilian de Armas AB - Equipe 2",4,IF(Atletas!V529="Duilian de Tuishou - Equipe 1",5,IF(Atletas!V529="Duilian de Tuishou - Equipe 2",6,IF(Atletas!V529="Grupo Externo AB - Equipe 1",7,IF(Atletas!V529="Grupo Externo AB - Equipe 2",8,IF(Atletas!V529="Grupo Interno AB - Equipe 1",9,IF(Atletas!V529="Grupo Interno AB - Equipe 2",10,IF(Atletas!V529="Duilian de Mãos CD - Equipe 1",11,IF(Atletas!V529="Duilian de Mãos CD - Equipe 2",12,IF(Atletas!V529="Duilian de Armas CD - Equipe 1",13,IF(Atletas!V529="Duilian de Armas CD - Equipe 2",14,IF(Atletas!V529="Duilian de Tuishou - Equipe 1",15,IF(Atletas!V529="Duilian de Tuishou - Equipe 2",16,IF(Atletas!V529="Grupo Externo CDEF - Equipe 1",17,IF(Atletas!V529="Grupo Externo CDEF - Equipe 2",18,IF(Atletas!V529="Grupo Interno CDEF - Equipe 1",19,IF(Atletas!V529="Grupo Interno CDEF - Equipe 2",20,IF(Atletas!V529="Duilian de Mãos EF - Equipe 1",21,IF(Atletas!V529="Duilian de Mãos EF - Equipe 2",22,IF(Atletas!V529="Duilian de Armas EF - Equipe 1",23,IF(Atletas!V529="Duilian de Armas EF - Equipe 2",24,IF(Atletas!V529="Duilian de Tuishou - Equipe 1",25,IF(Atletas!V529="Duilian de Tuishou - Equipe 2",26,"")))))))))))))))))))))))))))</f>
        <v/>
      </c>
    </row>
    <row r="534" spans="36:84">
      <c r="AJ534" s="46" t="str">
        <f>IF(Atletas!D530="","",IF(Atletas!B530="Feminino",100,IF(Atletas!B530="Masculino",200,""))+(IF(Atletas!D530="Infantil 39kg",1,IF(Atletas!D530="Infantil 42kg",2,IF(Atletas!D530="Infantil 45kg",3,IF(Atletas!D530="Infantil 48kg",4,IF(Atletas!D530="Infantil 52kg",5,IF(Atletas!D530="Infantil 56kg",6,IF(Atletas!D530="Infantil 60kg",7,IF(Atletas!D530="Juvenil 48kg",8,IF(Atletas!D530="Juvenil 52kg",9,IF(Atletas!D530="Juvenil 56kg",10,IF(Atletas!D530="Juvenil 60kg",11,IF(Atletas!D530="Juvenil 65kg",12,IF(Atletas!D530="Juvenil 70kg",13,IF(Atletas!D530="Juvenil 75kg",14,IF(Atletas!D530="Juvenil 80kg",15,IF(Atletas!D530="Adulto 48kg",16,IF(Atletas!D530="Adulto 52kg",17,IF(Atletas!D530="Adulto 56kg",18,IF(Atletas!D530="Adulto 60kg",19,IF(Atletas!D530="Adulto 65kg",20,IF(Atletas!D530="Adulto 70kg",21,IF(Atletas!D530="Adulto 75kg",22,IF(Atletas!D530="Adulto 80kg",23,IF(Atletas!D530="Adulto 85kg",24,IF(Atletas!D530="Adulto 90kg",25,IF(Atletas!D530="Adulto +90kg",26,""))))))))))))))))))))))))))))</f>
        <v/>
      </c>
      <c r="AO534" s="10" t="str">
        <f>IF(Atletas!E530="","",IF(Atletas!B530="Feminino",100,IF(Atletas!B530="Masculino",200,""))+(IF(Atletas!E530="Juvenil 44kg",1,IF(Atletas!E530="Juvenil 48kg",2,IF(Atletas!E530="Juvenil 52kg",3,IF(Atletas!E530="Juvenil 56kg",4,IF(Atletas!E530="Juvenil 60kg",5,IF(Atletas!E530="Juvenil 65kg",6,IF(Atletas!E530="Juvenil 70kg",7,IF(Atletas!E530="Juvenil 75kg",8,IF(Atletas!E530="Juvenil 82kg",9,IF(Atletas!E530="Juvenil 90kg",10,IF(Atletas!E530="Juvenil 100kg",11,IF(Atletas!E530="Adulto 48kg",12,IF(Atletas!E530="Adulto 52kg",13,IF(Atletas!E530="Adulto 56kg",14,IF(Atletas!E530="Adulto 60kg",15,IF(Atletas!E530="Adulto 65kg",16,IF(Atletas!E530="Adulto 70kg",17,IF(Atletas!E530="Adulto 75kg",18,IF(Atletas!E530="Adulto 82kg",19,IF(Atletas!E530="Adulto 90kg",20,IF(Atletas!E530="Adulto 100kg",21,IF(Atletas!E530="Adulto +100kg",22,""))))))))))))))))))))))))</f>
        <v/>
      </c>
      <c r="AT534" s="10" t="str">
        <f>IF(Atletas!F530="","",IF(Atletas!B530="Feminino",100,IF(Atletas!B530="Masculino",200,""))+(IF(Atletas!F530="Adulto 48kg",1,IF(Atletas!F530="Adulto 56kg",2,IF(Atletas!F530="Adulto 65kg",3,IF(Atletas!F530="Adulto 75kg",4,IF(Atletas!F530="Adulto +75kg",5,IF(Atletas!F530="Adulto 52kg",6,IF(Atletas!F530="Adulto 60kg",7,IF(Atletas!F530="Adulto 70kg",8,IF(Atletas!F530="Adulto 80kg",9,IF(Atletas!F530="Adulto 90kg",10,IF(Atletas!F530="Adulto +90kg",11,"")))))))))))))</f>
        <v/>
      </c>
      <c r="AY534" s="46" t="str">
        <f>IF(Atletas!G530="","",IF(Atletas!B530="Feminino",100,IF(Atletas!B530="Masculino",200,""))+(IF(Atletas!G530="Changquan Mirim",1,IF(Atletas!G530="Nanquan Mirim",2,IF(Atletas!G530="Taijiquan Mirim",3,IF(Atletas!G530="Changquan Grupo C",4,IF(Atletas!G530="Nanquan Grupo C",5,IF(Atletas!G530="Taijiquan Grupo C",6,IF(Atletas!G530="Changquan Grupo B",7,IF(Atletas!G530="Nanquan Grupo B",8,IF(Atletas!G530="Taijiquan Grupo B",9,IF(Atletas!G530="Changquan Grupo A",10,IF(Atletas!G530="Nanquan Grupo A",11,IF(Atletas!G530="Taijiquan Grupo A",12,IF(Atletas!G530="Changquan Opcional",13,IF(Atletas!G530="Nanquan Opcional",14,IF(Atletas!G530="Taijiquan Opcional",15,IF(Atletas!G530="Changquan Adulto",16,IF(Atletas!G530="Nanquan Adulto",17,IF(Atletas!G530="Taijiquan Adulto",18,""))))))))))))))))))))</f>
        <v/>
      </c>
      <c r="AZ534" s="46" t="str">
        <f>IF(Atletas!H530="","",IF(Atletas!B530="Feminino",100,IF(Atletas!B530="Masculino",200,""))+(IF(Atletas!H530="Daoshu Mirim",19,IF(Atletas!H530="Jianshu Mirim",20,IF(Atletas!H530="Nandao Mirim",21,IF(Atletas!H530="Taijijian Mirim",22,IF(Atletas!H530="Daoshu Grupo C",23,IF(Atletas!H530="Jianshu Grupo C",24,IF(Atletas!H530="Nandao Grupo C",25,IF(Atletas!H530="Taijijian Grupo C",26,IF(Atletas!H530="Daoshu Grupo B",27,IF(Atletas!H530="Jianshu Grupo B",28,IF(Atletas!H530="Nandao Grupo B",29,IF(Atletas!H530="Taijijian Grupo B",30,IF(Atletas!H530="Daoshu Grupo A",31,IF(Atletas!H530="Jianshu Grupo A",32,IF(Atletas!H530="Nandao Grupo A",33,IF(Atletas!H530="Taijijian Grupo A",34,IF(Atletas!H530="Daoshu Opcional",35,IF(Atletas!H530="Jianshu Opcional",36,IF(Atletas!H530="Nandao Opcional",37,IF(Atletas!H530="Taijijian Opcional",38,IF(Atletas!H530="Daoshu Adulto",39,IF(Atletas!H530="Jianshu Adulto",40,IF(Atletas!H530="Nandao Adulto",41,IF(Atletas!H530="Taijijian Adulto",42,""))))))))))))))))))))))))))</f>
        <v/>
      </c>
      <c r="BA534" s="46" t="str">
        <f>IF(Atletas!I530="","",IF(Atletas!B530="Feminino",100,IF(Atletas!B530="Masculino",200,""))+(IF(Atletas!I530="Gunshu Mirim",43,IF(Atletas!I530="Qiangshu Mirim",44,IF(Atletas!I530="Nangun Mirim",45,IF(Atletas!I530="Gunshu Grupo C",46,IF(Atletas!I530="Qiangshu Grupo C",47,IF(Atletas!I530="Nangun Grupo C",48,IF(Atletas!I530="Gunshu Grupo B",49,IF(Atletas!I530="Qiangshu Grupo B",50,IF(Atletas!I530="Nangun Grupo B",51,IF(Atletas!I530="Gunshu Grupo A",52,IF(Atletas!I530="Qiangshu Grupo A",53,IF(Atletas!I530="Nangun Grupo A",54,IF(Atletas!I530="Gunshu Opcional",55,IF(Atletas!I530="Qiangshu Opcional",56,IF(Atletas!I530="Nangun Opcional",57,IF(Atletas!I530="Gunshu Adulto",58,IF(Atletas!I530="Qiangshu Adulto",59,IF(Atletas!I530="Nangun Adulto",60,""))))))))))))))))))))</f>
        <v/>
      </c>
      <c r="BF534" s="52" t="str">
        <f>IF(Atletas!J530="","",IF(Atletas!B530="Feminino",100,IF(Atletas!B530="Masculino",200,""))+(IF(Atletas!J530="Equipe 1 Grupo B",1,IF(Atletas!J530="Equipe 2 Grupo B",2,IF(Atletas!J530="Equipe 1 Grupo A",3,IF(Atletas!J530="Equipe 2 Grupo A",4,IF(Atletas!J530="Equipe 1 Adulto",5,IF(Atletas!J530="Equipe 2 Adulto",6,""))))))))</f>
        <v/>
      </c>
      <c r="BK534" s="52" t="str">
        <f>IF(Atletas!K530="","",IF(Atletas!W530&lt;&gt;"",10000,0)+(IF(Atletas!B530="Feminino",1000,IF(Atletas!B530="Masculino",2000,""))+IF(Atletas!K530="Choylayfut A",1,IF(Atletas!K530="Hunggar A",2,IF(Atletas!K530="Wuzuquan A",3,IF(Atletas!K530="Wingchun A",4,IF(Atletas!K530="Outra Mão de Sul A",5,IF(Atletas!K530="Choylayfut B",6,IF(Atletas!K530="Hunggar B",7,IF(Atletas!K530="Wuzuquan B",8,IF(Atletas!K530="Wingchun B",9,IF(Atletas!K530="Outra Mão de Sul B",10,IF(Atletas!K530="Choylayfut C",11,IF(Atletas!K530="Hunggar C",12,IF(Atletas!K530="Wuzuquan C",13,IF(Atletas!K530="Wingchun C",14,IF(Atletas!K530="Outra Mão de Sul C",15,IF(Atletas!K530="Choylayfut D",16,IF(Atletas!K530="Hunggar D",17,IF(Atletas!K530="Wuzuquan D",18,IF(Atletas!K530="Wingchun D",19,IF(Atletas!K530="Outra Mão de Sul D",20,IF(Atletas!K530="Choylayfut E",21,IF(Atletas!K530="Hunggar E",22,IF(Atletas!K530="Wuzuquan E",23,IF(Atletas!K530="Wingchun E",24,IF(Atletas!K530="Outra Mão de Sul E",25,IF(Atletas!K530="Choylayfut F",26,IF(Atletas!K530="Hunggar F",27,IF(Atletas!K530="Wuzuquan F",28,IF(Atletas!K530="Wingchun F",29,IF(Atletas!K530="Outra Mão de Sul F",30,""))))))))))))))))))))))))))))))))</f>
        <v/>
      </c>
      <c r="BL534" s="52" t="str">
        <f>IF(Atletas!L530="","",IF(Atletas!W530&lt;&gt;"",10000,0)+(IF(Atletas!B530="Feminino",1000,IF(Atletas!B530="Masculino",2000,""))+(IF(Atletas!L530="Chaquan A",101,IF(Atletas!L530="Emeiquan A",102,IF(Atletas!L530="Fanziquan A",103,IF(Atletas!L530="Huaquan A",104,IF(Atletas!L530="Hongquan A",105,IF(Atletas!L530="Paochui A",106,IF(Atletas!L530="Piguaquan A",107,IF(Atletas!L530="Shaolinquan A",108,IF(Atletas!L530="Tanglangquan A",109,IF(Atletas!L530="Yinzhaophai A",110,IF(Atletas!L530="Tongbeiquan A",111,IF(Atletas!L530="Wudangquan A",112,IF(Atletas!L530="Outros Estilos A",113,IF(Atletas!L530="Chaquan B",114,IF(Atletas!L530="Emeiquan B",115,IF(Atletas!L530="Fanziquan B",116,IF(Atletas!L530="Huaquan B",117,IF(Atletas!L530="Hongquan B",118,IF(Atletas!L530="Paochui B",119,IF(Atletas!L530="Piguaquan B",120,IF(Atletas!L530="Shaolinquan B",121,IF(Atletas!L530="Tanglangquan B",122,IF(Atletas!L530="Yinzhaophai B",123,IF(Atletas!L530="Tongbeiquan B",124,IF(Atletas!L530="Wudangquan B",125,IF(Atletas!L530="Outros Estilos B",126,IF(Atletas!L530="Chaquan C",127,IF(Atletas!L530="Emeiquan C",128,IF(Atletas!L530="Fanziquan C",129,IF(Atletas!L530="Huaquan C",130,IF(Atletas!L530="Hongquan C",131,IF(Atletas!L530="Paochui C",132,IF(Atletas!L530="Piguaquan C",133,IF(Atletas!L530="Shaolinquan C",134,IF(Atletas!L530="Tanglangquan C",135,IF(Atletas!L530="Yinzhaophai C",136,IF(Atletas!L530="Tongbeiquan C",137,IF(Atletas!L530="Wudangquan C",138,IF(Atletas!L530="Outros Estilos C",139,0))))))))))))))))))))))))))))))))))))))))))</f>
        <v/>
      </c>
      <c r="BM534" s="52" t="str">
        <f>IF(Atletas!L530="","",IF(Atletas!W530&lt;&gt;"",10000,0)+(IF(Atletas!B530="Feminino",1000,IF(Atletas!B530="Masculino",2000,""))+(IF(Atletas!L530="Chaquan D",140,IF(Atletas!L530="Emeiquan D",141,IF(Atletas!L530="Fanziquan D",142,IF(Atletas!L530="Huaquan D",143,IF(Atletas!L530="Hongquan D",144,IF(Atletas!L530="Paochui D",145,IF(Atletas!L530="Piguaquan D",146,IF(Atletas!L530="Shaolinquan D",147,IF(Atletas!L530="Tanglangquan D",148,IF(Atletas!L530="Yinzhaophai D",149,IF(Atletas!L530="Tongbeiquan D",150,IF(Atletas!L530="Wudangquan D",151,IF(Atletas!L530="Outros Estilos D",152,IF(Atletas!L530="Chaquan E",153,IF(Atletas!L530="Emeiquan E",154,IF(Atletas!L530="Fanziquan E",155,IF(Atletas!L530="Huaquan E",156,IF(Atletas!L530="Hongquan E",157,IF(Atletas!L530="Paochui E",158,IF(Atletas!L530="Piguaquan E",159,IF(Atletas!L530="Shaolinquan E",160,IF(Atletas!L530="Tanglangquan E",161,IF(Atletas!L530="Yinzhaophai E",162,IF(Atletas!L530="Tongbeiquan E",163,IF(Atletas!L530="Wudangquan E",164,IF(Atletas!L530="Outros Estilos E",165,IF(Atletas!L530="Chaquan F",166,IF(Atletas!L530="Emeiquan F",167,IF(Atletas!L530="Fanziquan F",168,IF(Atletas!L530="Huaquan F",169,IF(Atletas!L530="Hongquan F",170,IF(Atletas!L530="Paochui F",171,IF(Atletas!L530="Piguaquan F",172,IF(Atletas!L530="Shaolinquan F",173,IF(Atletas!L530="Tanglangquan F",174,IF(Atletas!L530="Yinzhaophai F",175,IF(Atletas!L530="Tongbeiquan F",176,IF(Atletas!L530="Wudangquan F",177,IF(Atletas!L530="Outros Estilos F",178,0))))))))))))))))))))))))))))))))))))))))))</f>
        <v/>
      </c>
      <c r="BN534" s="52" t="str">
        <f>IF(Atletas!M530="","",IF(Atletas!W530&lt;&gt;"",10000,0)+(IF(Atletas!B530="Feminino",1000,IF(Atletas!B530="Masculino",2000,""))+(IF(Atletas!M530="Ditangquan A",201,IF(Atletas!M530="Houquan A",202,IF(Atletas!M530="Zuiquan A",203,IF(Atletas!M530="Ditangquan B",204,IF(Atletas!M530="Houquan B",205,IF(Atletas!M530="Zuiquan B",206,IF(Atletas!M530="Ditangquan C",207,IF(Atletas!M530="Houquan C",208,IF(Atletas!M530="Zuiquan C",209,IF(Atletas!M530="Ditangquan D",210,IF(Atletas!M530="Houquan D",211,IF(Atletas!M530="Zuiquan D",212,IF(Atletas!M530="Ditangquan E",213,IF(Atletas!M530="Houquan E",214,IF(Atletas!M530="Zuiquan E",215,IF(Atletas!M530="Ditangquan F",216,IF(Atletas!M530="Houquan F",217,IF(Atletas!M530="Zuiquan F",218,"")))))))))))))))))))))</f>
        <v/>
      </c>
      <c r="BO534" s="52" t="str">
        <f>IF(Atletas!N530="","",IF(Atletas!W530&lt;&gt;"",10000,0)+IF(Atletas!B530="Feminino",1000,IF(Atletas!B530="Masculino",2000,""))+IF(Atletas!N530="Yang A",301,IF(Atletas!N530="Chen A",30,IF(Atletas!N530="Sun A",303,IF(Atletas!N530="Wu A",304,IF(Atletas!N530="Wu-Hao A",305,IF(Atletas!N530="Outro Taijiquan A",306,IF(Atletas!N530="Yang B",307,IF(Atletas!N530="Chen B",308,IF(Atletas!N530="Sun B",309,IF(Atletas!N530="Wu B",310,IF(Atletas!N530="Wu-Hao B",311,IF(Atletas!N530="Outro Taijiquan B",312,IF(Atletas!N530="Yang C",313,IF(Atletas!N530="Chen C",314,IF(Atletas!N530="Sun C",315,IF(Atletas!N530="Wu C",316,IF(Atletas!N530="Wu-Hao C",317,IF(Atletas!N530="Outro Taijiquan C",318,IF(Atletas!N530="Yang D",319,IF(Atletas!N530="Chen D",320,IF(Atletas!N530="Sun D",321,IF(Atletas!N530="Wu D",322,IF(Atletas!N530="Wu-Hao D",323,IF(Atletas!N530="Outro Taijiquan D",324,IF(Atletas!N530="Yang E",325,IF(Atletas!N530="Chen E",326,IF(Atletas!N530="Sun E",327,IF(Atletas!N530="Wu E",328,IF(Atletas!N530="Wu-Hao E",329,IF(Atletas!N530="Outro Taijiquan E",330,IF(Atletas!N530="Yang F",331,IF(Atletas!N530="Chen F",332,IF(Atletas!N530="Sun F",333,IF(Atletas!N530="Wu F",334,IF(Atletas!N530="Wu-Hao F",335,IF(Atletas!N530="Outro Taijiquan F",336,"")))))))))))))))))))))))))))))))))))))</f>
        <v/>
      </c>
      <c r="BP534" s="52" t="str">
        <f>IF(Atletas!O530="","",IF(Atletas!W530&lt;&gt;"",10000,0)+IF(Atletas!B530="Feminino",1000,IF(Atletas!B530="Masculino",2000,""))+IF(OR(Atletas!O530="Yang 26 A",Atletas!O530="Yang 40 A"),401,IF(OR(Atletas!O530="Chen 25 A",Atletas!O530="Chen 36 A",Atletas!O530="Chen 56 A"),402,IF(Atletas!O530="Sun 73 A",403,IF(Atletas!O530="Wu 45 A",404,IF(Atletas!O530="Wu-Hao 46 A",405,IF(OR(Atletas!O530="Taijiquan 16 A",Atletas!O530="Taijiquan 24 A",Atletas!O530="Taijiquan 32 A",Atletas!O530="Taijiquan 42 A"),406,IF(OR(Atletas!O530="Yang 26 B",Atletas!O530="Yang 40 B"),407,IF(OR(Atletas!O530="Chen 25 B",Atletas!O530="Chen 36 B",Atletas!O530="Chen 56 B"),408,IF(Atletas!O530="Sun 73 B",409,IF(Atletas!O530="Wu 45 B",410,IF(Atletas!O530="Wu-Hao 46 B",411,IF(OR(Atletas!O530="Taijiquan 16 B",Atletas!O530="Taijiquan 24 B",Atletas!O530="Taijiquan 32 B",Atletas!O530="Taijiquan 42 B"),412,IF(OR(Atletas!O530="Yang 26 C",Atletas!O530="Yang 40 C"),413,IF(OR(Atletas!O530="Chen 25 C",Atletas!O530="Chen 36 C",Atletas!O530="Chen 56 C"),414,IF(Atletas!O530="Sun 73 C",415,IF(Atletas!O530="Wu 45 C",416,IF(Atletas!O530="Wu-Hao 46 C",417,IF(OR(Atletas!O530="Taijiquan 16 C",Atletas!O530="Taijiquan 24 C",Atletas!O530="Taijiquan 32 C",Atletas!O530="Taijiquan 42 C"),418,0)))))))))))))))))))</f>
        <v/>
      </c>
      <c r="BQ534" s="52" t="str">
        <f>IF(Atletas!O530="","",IF(Atletas!W530&lt;&gt;"",10000,0)+IF(Atletas!B530="Feminino",1000,IF(Atletas!B530="Masculino",2000,""))+IF(OR(Atletas!O530="Yang 26 D",Atletas!O530="Yang 40 D"),419,IF(OR(Atletas!O530="Chen 25 D",Atletas!O530="Chen 36 D",Atletas!O530="Chen 56 D"),420,IF(Atletas!O530="Sun 73 D",421,IF(Atletas!O530="Wu 45 D",422,IF(Atletas!O530="Wu-Hao 46 D",423,IF(OR(Atletas!O530="Taijiquan 16 D",Atletas!O530="Taijiquan 24 D",Atletas!O530="Taijiquan 32 D",Atletas!O530="Taijiquan 42 D"),424,IF(OR(Atletas!O530="Yang 26 E",Atletas!O530="Yang 40 E"),425,IF(OR(Atletas!O530="Chen 25 E",Atletas!O530="Chen 36 E",Atletas!O530="Chen 56 E"),426,IF(Atletas!O530="Sun 73 E",427,IF(Atletas!O530="Wu 45 E",428,IF(Atletas!O530="Wu-Hao 46 E",429,IF(OR(Atletas!O530="Taijiquan 16 E",Atletas!O530="Taijiquan 24 E",Atletas!O530="Taijiquan 32 E",Atletas!O530="Taijiquan 42 E"),430,IF(OR(Atletas!O530="Yang 26 F",Atletas!O530="Yang 40 F"),431,IF(OR(Atletas!O530="Chen 25 F",Atletas!O530="Chen 36 F",Atletas!O530="Chen 56 F"),432,IF(Atletas!O530="Sun 73 F",433,IF(Atletas!O530="Wu 45 F",434,IF(Atletas!O530="Wu-Hao 46 F",435,IF(OR(Atletas!O530="Taijiquan 16 F",Atletas!O530="Taijiquan 24 F",Atletas!O530="Taijiquan 32 F",Atletas!O530="Taijiquan 42 F"),436,0)))))))))))))))))))</f>
        <v/>
      </c>
      <c r="BR534" s="52" t="str">
        <f>IF(Atletas!P530="","",IF(Atletas!W530&lt;&gt;"",10000,0)+IF(Atletas!B530="Feminino",1000,IF(Atletas!B530="Masculino",2000,""))+IF(Atletas!P530="Xingyiquan A",501,IF(Atletas!P530="Baguazhang A",502,IF(Atletas!P530="Outro Estilo Interno A",503,IF(Atletas!P530="Xingyiquan B",504,IF(Atletas!P530="Baguazhang B",505,IF(Atletas!P530="Outro Estilo Interno B",506,IF(Atletas!P530="Xingyiquan C",507,IF(Atletas!P530="Baguazhang C",508,IF(Atletas!P530="Outro Estilo Interno C",509,IF(Atletas!P530="Xingyiquan D",510,IF(Atletas!P530="Baguazhang D",511,IF(Atletas!P530="Outro Estilo Interno D",512,IF(Atletas!P530="Xingyiquan E",513,IF(Atletas!P530="Baguazhang E",514,IF(Atletas!P530="Outro Estilo Interno E",515,IF(Atletas!P530="Xingyiquan F",516,IF(Atletas!P530="Baguazhang F",517,IF(Atletas!P530="Outro Estilo Interno F",518, "")))))))))))))))))))</f>
        <v/>
      </c>
      <c r="BS534" s="52" t="str">
        <f>IF(Atletas!Q530="","",IF(Atletas!W530&lt;&gt;"",10000,0)+IF(Atletas!B530="Feminino",1000,IF(Atletas!B530="Masculino",2000,""))+IF(Atletas!Q530="Dao A",601,IF(Atletas!Q530="Jian A",602,IF(Atletas!Q530="Bishou A",603,IF(Atletas!Q530="Shan A",604,IF(Atletas!Q530="Outra Arma Curta A",605,IF(Atletas!Q530="Dao B",606,IF(Atletas!Q530="Jian B",607,IF(Atletas!Q530="Bishou B",608,IF(Atletas!Q530="Shan B",609,IF(Atletas!Q530="Outra Arma Curta B",610,IF(Atletas!Q530="Dao C",611,IF(Atletas!Q530="Jian C",612,IF(Atletas!Q530="Bishou C",613,IF(Atletas!Q530="Shan C",614,IF(Atletas!Q530="Outra Arma Curta C",615,IF(Atletas!Q530="Dao D",616,IF(Atletas!Q530="Jian D",617,IF(Atletas!Q530="Bishou D",618,IF(Atletas!Q530="Shan D",619,IF(Atletas!Q530="Outra Arma Curta D",620,IF(Atletas!Q530="Dao E",621,IF(Atletas!Q530="Jian E",622,IF(Atletas!Q530="Bishou E",623,IF(Atletas!Q530="Shan E",624,IF(Atletas!Q530="Outra Arma Curta E",625,IF(Atletas!Q530="Dao F",626,IF(Atletas!Q530="Jian F",627,IF(Atletas!Q530="Bishou F",628,IF(Atletas!Q530="Shan F",629,IF(Atletas!Q530="Outra Arma Curta F",630, "")))))))))))))))))))))))))))))))</f>
        <v/>
      </c>
      <c r="BT534" s="52" t="str">
        <f>IF(Atletas!R530="","",IF(Atletas!W530&lt;&gt;"",10000,0)+IF(Atletas!B530="Feminino",1000,IF(Atletas!B530="Masculino",2000,""))+IF(Atletas!R530="Gun A",701,IF(Atletas!R530="Qiang A",702,IF(Atletas!R530="Pudao / Guandao A",703,IF(Atletas!R530="Outra Arma Longa A",704,IF(Atletas!R530="Gun B",705,IF(Atletas!R530="Qiang B",706,IF(Atletas!R530="Pudao / Guandao B",707,IF(Atletas!R530="Outra Arma Longa B",708,IF(Atletas!R530="Gun C",709,IF(Atletas!R530="Qiang C",710,IF(Atletas!R530="Pudao / Guandao C",711,IF(Atletas!R530="Outra Arma Longa C",712,IF(Atletas!R530="Gun D",713,IF(Atletas!R530="Qiang D",714,IF(Atletas!R530="Pudao / Guandao D",715,IF(Atletas!R530="Outra Arma Longa D",716,IF(Atletas!R530="Gun E",717,IF(Atletas!R530="Qiang E",718,IF(Atletas!R530="Pudao / Guandao E",719,IF(Atletas!R530="Outra Arma Longa E",720,IF(Atletas!R530="Gun F",721,IF(Atletas!R530="Qiang F",722,IF(Atletas!R530="Pudao / Guandao F",723,IF(Atletas!R530="Outra Arma Longa F",724,"")))))))))))))))))))))))))</f>
        <v/>
      </c>
      <c r="BU534" s="52" t="str">
        <f>IF(Atletas!S530="","",IF(Atletas!W530&lt;&gt;"",10000,0)+IF(Atletas!B530="Feminino",1000,IF(Atletas!B530="Masculino",2000,""))+IF(Atletas!S530="Arma Dupla A",801,IF(Atletas!S530="Arma Maleável A",802,IF(Atletas!S530="Arma Dupla B",803,IF(Atletas!S530="Arma Maleável B",804,IF(Atletas!S530="Arma Dupla C",805,IF(Atletas!S530="Arma Maleável C",806,IF(Atletas!S530="Arma Dupla D",807,IF(Atletas!S530="Arma Maleável D",808,IF(Atletas!S530="Arma Dupla E",809,IF(Atletas!S530="Arma Maleável E",810,IF(Atletas!S530="Arma Dupla F",811,IF(Atletas!S530="Arma Maleável F",812, "")))))))))))))</f>
        <v/>
      </c>
      <c r="BV534" s="52" t="str">
        <f>IF(Atletas!T530="","",IF(Atletas!W530&lt;&gt;"",10000,0)+IF(Atletas!B530="Feminino",1000,IF(Atletas!B530="Masculino",2000,""))+IF(Atletas!T530="Taijijian Yang A",901,IF(Atletas!T530="Taijijian Chen A",902,IF(Atletas!T530="Taijijian Sun A",903,IF(Atletas!T530="Taijijian Wu A",904,IF(Atletas!T530="Taijijian Wu-Hao A",905,IF(Atletas!T530="Taijijian 32 A",906,IF(Atletas!T530="Taijijian 42 A",907,IF(Atletas!T530="Taijijian Yang B",908,IF(Atletas!T530="Taijijian Chen B",909,IF(Atletas!T530="Taijijian Sun B",910,IF(Atletas!T530="Taijijian Wu B",911,IF(Atletas!T530="Taijijian Wu-Hao B",912,IF(Atletas!T530="Taijijian 32 B",913,IF(Atletas!T530="Taijijian 42 B",914,IF(Atletas!T530="Taijijian Yang C",915,IF(Atletas!T530="Taijijian Chen C",916,IF(Atletas!T530="Taijijian Sun C",917,IF(Atletas!T530="Taijijian Wu C",918,IF(Atletas!T530="Taijijian Wu-Hao C",919,IF(Atletas!T530="Taijijian 32 C",920,IF(Atletas!T530="Taijijian 42 C",921,IF(Atletas!T530="Taijijian Yang D",922,IF(Atletas!T530="Taijijian Chen D",923,IF(Atletas!T530="Taijijian Sun D",924,IF(Atletas!T530="Taijijian Wu D",925,IF(Atletas!T530="Taijijian Wu-Hao D",926,IF(Atletas!T530="Taijijian 32 D",927,IF(Atletas!T530="Taijijian 42 D",928,IF(Atletas!T530="Taijijian Yang E",929,IF(Atletas!T530="Taijijian Chen E",930,IF(Atletas!T530="Taijijian Sun E",931,IF(Atletas!T530="Taijijian Wu E",932,IF(Atletas!T530="Taijijian Wu-Hao E",933,IF(Atletas!T530="Taijijian 32 E",934,IF(Atletas!T530="Taijijian 42 E",935,IF(Atletas!T530="Taijijian Yang F",936,IF(Atletas!T530="Taijijian Chen F",937,IF(Atletas!T530="Taijijian Sun F",938,IF(Atletas!T530="Taijijian Wu F",939,IF(Atletas!T530="Taijijian Wu-Hao F",940,IF(Atletas!T530="Taijijian 32 F",941,IF(Atletas!T530="Taijijian 42 F",942,"")))))))))))))))))))))))))))))))))))))))))))</f>
        <v/>
      </c>
      <c r="BW534" s="52" t="str">
        <f>IF(Atletas!U530="","",IF(Atletas!W530&lt;&gt;"",10000,0)+IF(Atletas!B530="Feminino",1000,IF(Atletas!B530="Masculino",2000,""))+IF(Atletas!T530="Taijijian 42 F",942,IF(Atletas!U530="Taijidao A",943,IF(Atletas!U530="Taijishan A",944,IF(Atletas!U530="Taijiqiang A",945,IF(Atletas!U530="Taijidao B",946,IF(Atletas!U530="Taijishan B",947,IF(Atletas!U530="Taijiqiang B",948,IF(Atletas!U530="Taijidao C",949,IF(Atletas!U530="Taijishan C",950,IF(Atletas!U530="Taijiqiang C",951,IF(Atletas!U530="Taijidao D",952,IF(Atletas!U530="Taijishan D",953,IF(Atletas!U530="Taijiqiang D",954,IF(Atletas!U530="Taijidao E",955,IF(Atletas!U530="Taijishan E",956,IF(Atletas!U530="Taijiqiang E",957,IF(Atletas!U530="Taijidao F",958,IF(Atletas!U530="Taijishan F",959,IF(Atletas!U530="Taijiqiang F",960))))))))))))))))))))</f>
        <v/>
      </c>
      <c r="CF534" s="52" t="str">
        <f xml:space="preserve"> IF(Atletas!V530="","",IF(Atletas!V530="Duilian de Mãos AB - Equipe 1",1,IF(Atletas!V530="Duilian de Mãos AB - Equipe 2",2,IF(Atletas!V530="Duilian de Armas AB - Equipe 1",3,IF(Atletas!V530="Duilian de Armas AB - Equipe 2",4,IF(Atletas!V530="Duilian de Tuishou - Equipe 1",5,IF(Atletas!V530="Duilian de Tuishou - Equipe 2",6,IF(Atletas!V530="Grupo Externo AB - Equipe 1",7,IF(Atletas!V530="Grupo Externo AB - Equipe 2",8,IF(Atletas!V530="Grupo Interno AB - Equipe 1",9,IF(Atletas!V530="Grupo Interno AB - Equipe 2",10,IF(Atletas!V530="Duilian de Mãos CD - Equipe 1",11,IF(Atletas!V530="Duilian de Mãos CD - Equipe 2",12,IF(Atletas!V530="Duilian de Armas CD - Equipe 1",13,IF(Atletas!V530="Duilian de Armas CD - Equipe 2",14,IF(Atletas!V530="Duilian de Tuishou - Equipe 1",15,IF(Atletas!V530="Duilian de Tuishou - Equipe 2",16,IF(Atletas!V530="Grupo Externo CDEF - Equipe 1",17,IF(Atletas!V530="Grupo Externo CDEF - Equipe 2",18,IF(Atletas!V530="Grupo Interno CDEF - Equipe 1",19,IF(Atletas!V530="Grupo Interno CDEF - Equipe 2",20,IF(Atletas!V530="Duilian de Mãos EF - Equipe 1",21,IF(Atletas!V530="Duilian de Mãos EF - Equipe 2",22,IF(Atletas!V530="Duilian de Armas EF - Equipe 1",23,IF(Atletas!V530="Duilian de Armas EF - Equipe 2",24,IF(Atletas!V530="Duilian de Tuishou - Equipe 1",25,IF(Atletas!V530="Duilian de Tuishou - Equipe 2",26,"")))))))))))))))))))))))))))</f>
        <v/>
      </c>
    </row>
    <row r="535" spans="36:84">
      <c r="AJ535" s="46" t="str">
        <f>IF(Atletas!D531="","",IF(Atletas!B531="Feminino",100,IF(Atletas!B531="Masculino",200,""))+(IF(Atletas!D531="Infantil 39kg",1,IF(Atletas!D531="Infantil 42kg",2,IF(Atletas!D531="Infantil 45kg",3,IF(Atletas!D531="Infantil 48kg",4,IF(Atletas!D531="Infantil 52kg",5,IF(Atletas!D531="Infantil 56kg",6,IF(Atletas!D531="Infantil 60kg",7,IF(Atletas!D531="Juvenil 48kg",8,IF(Atletas!D531="Juvenil 52kg",9,IF(Atletas!D531="Juvenil 56kg",10,IF(Atletas!D531="Juvenil 60kg",11,IF(Atletas!D531="Juvenil 65kg",12,IF(Atletas!D531="Juvenil 70kg",13,IF(Atletas!D531="Juvenil 75kg",14,IF(Atletas!D531="Juvenil 80kg",15,IF(Atletas!D531="Adulto 48kg",16,IF(Atletas!D531="Adulto 52kg",17,IF(Atletas!D531="Adulto 56kg",18,IF(Atletas!D531="Adulto 60kg",19,IF(Atletas!D531="Adulto 65kg",20,IF(Atletas!D531="Adulto 70kg",21,IF(Atletas!D531="Adulto 75kg",22,IF(Atletas!D531="Adulto 80kg",23,IF(Atletas!D531="Adulto 85kg",24,IF(Atletas!D531="Adulto 90kg",25,IF(Atletas!D531="Adulto +90kg",26,""))))))))))))))))))))))))))))</f>
        <v/>
      </c>
      <c r="AO535" s="10" t="str">
        <f>IF(Atletas!E531="","",IF(Atletas!B531="Feminino",100,IF(Atletas!B531="Masculino",200,""))+(IF(Atletas!E531="Juvenil 44kg",1,IF(Atletas!E531="Juvenil 48kg",2,IF(Atletas!E531="Juvenil 52kg",3,IF(Atletas!E531="Juvenil 56kg",4,IF(Atletas!E531="Juvenil 60kg",5,IF(Atletas!E531="Juvenil 65kg",6,IF(Atletas!E531="Juvenil 70kg",7,IF(Atletas!E531="Juvenil 75kg",8,IF(Atletas!E531="Juvenil 82kg",9,IF(Atletas!E531="Juvenil 90kg",10,IF(Atletas!E531="Juvenil 100kg",11,IF(Atletas!E531="Adulto 48kg",12,IF(Atletas!E531="Adulto 52kg",13,IF(Atletas!E531="Adulto 56kg",14,IF(Atletas!E531="Adulto 60kg",15,IF(Atletas!E531="Adulto 65kg",16,IF(Atletas!E531="Adulto 70kg",17,IF(Atletas!E531="Adulto 75kg",18,IF(Atletas!E531="Adulto 82kg",19,IF(Atletas!E531="Adulto 90kg",20,IF(Atletas!E531="Adulto 100kg",21,IF(Atletas!E531="Adulto +100kg",22,""))))))))))))))))))))))))</f>
        <v/>
      </c>
      <c r="AT535" s="10" t="str">
        <f>IF(Atletas!F531="","",IF(Atletas!B531="Feminino",100,IF(Atletas!B531="Masculino",200,""))+(IF(Atletas!F531="Adulto 48kg",1,IF(Atletas!F531="Adulto 56kg",2,IF(Atletas!F531="Adulto 65kg",3,IF(Atletas!F531="Adulto 75kg",4,IF(Atletas!F531="Adulto +75kg",5,IF(Atletas!F531="Adulto 52kg",6,IF(Atletas!F531="Adulto 60kg",7,IF(Atletas!F531="Adulto 70kg",8,IF(Atletas!F531="Adulto 80kg",9,IF(Atletas!F531="Adulto 90kg",10,IF(Atletas!F531="Adulto +90kg",11,"")))))))))))))</f>
        <v/>
      </c>
      <c r="AY535" s="46" t="str">
        <f>IF(Atletas!G531="","",IF(Atletas!B531="Feminino",100,IF(Atletas!B531="Masculino",200,""))+(IF(Atletas!G531="Changquan Mirim",1,IF(Atletas!G531="Nanquan Mirim",2,IF(Atletas!G531="Taijiquan Mirim",3,IF(Atletas!G531="Changquan Grupo C",4,IF(Atletas!G531="Nanquan Grupo C",5,IF(Atletas!G531="Taijiquan Grupo C",6,IF(Atletas!G531="Changquan Grupo B",7,IF(Atletas!G531="Nanquan Grupo B",8,IF(Atletas!G531="Taijiquan Grupo B",9,IF(Atletas!G531="Changquan Grupo A",10,IF(Atletas!G531="Nanquan Grupo A",11,IF(Atletas!G531="Taijiquan Grupo A",12,IF(Atletas!G531="Changquan Opcional",13,IF(Atletas!G531="Nanquan Opcional",14,IF(Atletas!G531="Taijiquan Opcional",15,IF(Atletas!G531="Changquan Adulto",16,IF(Atletas!G531="Nanquan Adulto",17,IF(Atletas!G531="Taijiquan Adulto",18,""))))))))))))))))))))</f>
        <v/>
      </c>
      <c r="AZ535" s="46" t="str">
        <f>IF(Atletas!H531="","",IF(Atletas!B531="Feminino",100,IF(Atletas!B531="Masculino",200,""))+(IF(Atletas!H531="Daoshu Mirim",19,IF(Atletas!H531="Jianshu Mirim",20,IF(Atletas!H531="Nandao Mirim",21,IF(Atletas!H531="Taijijian Mirim",22,IF(Atletas!H531="Daoshu Grupo C",23,IF(Atletas!H531="Jianshu Grupo C",24,IF(Atletas!H531="Nandao Grupo C",25,IF(Atletas!H531="Taijijian Grupo C",26,IF(Atletas!H531="Daoshu Grupo B",27,IF(Atletas!H531="Jianshu Grupo B",28,IF(Atletas!H531="Nandao Grupo B",29,IF(Atletas!H531="Taijijian Grupo B",30,IF(Atletas!H531="Daoshu Grupo A",31,IF(Atletas!H531="Jianshu Grupo A",32,IF(Atletas!H531="Nandao Grupo A",33,IF(Atletas!H531="Taijijian Grupo A",34,IF(Atletas!H531="Daoshu Opcional",35,IF(Atletas!H531="Jianshu Opcional",36,IF(Atletas!H531="Nandao Opcional",37,IF(Atletas!H531="Taijijian Opcional",38,IF(Atletas!H531="Daoshu Adulto",39,IF(Atletas!H531="Jianshu Adulto",40,IF(Atletas!H531="Nandao Adulto",41,IF(Atletas!H531="Taijijian Adulto",42,""))))))))))))))))))))))))))</f>
        <v/>
      </c>
      <c r="BA535" s="46" t="str">
        <f>IF(Atletas!I531="","",IF(Atletas!B531="Feminino",100,IF(Atletas!B531="Masculino",200,""))+(IF(Atletas!I531="Gunshu Mirim",43,IF(Atletas!I531="Qiangshu Mirim",44,IF(Atletas!I531="Nangun Mirim",45,IF(Atletas!I531="Gunshu Grupo C",46,IF(Atletas!I531="Qiangshu Grupo C",47,IF(Atletas!I531="Nangun Grupo C",48,IF(Atletas!I531="Gunshu Grupo B",49,IF(Atletas!I531="Qiangshu Grupo B",50,IF(Atletas!I531="Nangun Grupo B",51,IF(Atletas!I531="Gunshu Grupo A",52,IF(Atletas!I531="Qiangshu Grupo A",53,IF(Atletas!I531="Nangun Grupo A",54,IF(Atletas!I531="Gunshu Opcional",55,IF(Atletas!I531="Qiangshu Opcional",56,IF(Atletas!I531="Nangun Opcional",57,IF(Atletas!I531="Gunshu Adulto",58,IF(Atletas!I531="Qiangshu Adulto",59,IF(Atletas!I531="Nangun Adulto",60,""))))))))))))))))))))</f>
        <v/>
      </c>
      <c r="BF535" s="52" t="str">
        <f>IF(Atletas!J531="","",IF(Atletas!B531="Feminino",100,IF(Atletas!B531="Masculino",200,""))+(IF(Atletas!J531="Equipe 1 Grupo B",1,IF(Atletas!J531="Equipe 2 Grupo B",2,IF(Atletas!J531="Equipe 1 Grupo A",3,IF(Atletas!J531="Equipe 2 Grupo A",4,IF(Atletas!J531="Equipe 1 Adulto",5,IF(Atletas!J531="Equipe 2 Adulto",6,""))))))))</f>
        <v/>
      </c>
      <c r="BK535" s="52" t="str">
        <f>IF(Atletas!K531="","",IF(Atletas!W531&lt;&gt;"",10000,0)+(IF(Atletas!B531="Feminino",1000,IF(Atletas!B531="Masculino",2000,""))+IF(Atletas!K531="Choylayfut A",1,IF(Atletas!K531="Hunggar A",2,IF(Atletas!K531="Wuzuquan A",3,IF(Atletas!K531="Wingchun A",4,IF(Atletas!K531="Outra Mão de Sul A",5,IF(Atletas!K531="Choylayfut B",6,IF(Atletas!K531="Hunggar B",7,IF(Atletas!K531="Wuzuquan B",8,IF(Atletas!K531="Wingchun B",9,IF(Atletas!K531="Outra Mão de Sul B",10,IF(Atletas!K531="Choylayfut C",11,IF(Atletas!K531="Hunggar C",12,IF(Atletas!K531="Wuzuquan C",13,IF(Atletas!K531="Wingchun C",14,IF(Atletas!K531="Outra Mão de Sul C",15,IF(Atletas!K531="Choylayfut D",16,IF(Atletas!K531="Hunggar D",17,IF(Atletas!K531="Wuzuquan D",18,IF(Atletas!K531="Wingchun D",19,IF(Atletas!K531="Outra Mão de Sul D",20,IF(Atletas!K531="Choylayfut E",21,IF(Atletas!K531="Hunggar E",22,IF(Atletas!K531="Wuzuquan E",23,IF(Atletas!K531="Wingchun E",24,IF(Atletas!K531="Outra Mão de Sul E",25,IF(Atletas!K531="Choylayfut F",26,IF(Atletas!K531="Hunggar F",27,IF(Atletas!K531="Wuzuquan F",28,IF(Atletas!K531="Wingchun F",29,IF(Atletas!K531="Outra Mão de Sul F",30,""))))))))))))))))))))))))))))))))</f>
        <v/>
      </c>
      <c r="BL535" s="52" t="str">
        <f>IF(Atletas!L531="","",IF(Atletas!W531&lt;&gt;"",10000,0)+(IF(Atletas!B531="Feminino",1000,IF(Atletas!B531="Masculino",2000,""))+(IF(Atletas!L531="Chaquan A",101,IF(Atletas!L531="Emeiquan A",102,IF(Atletas!L531="Fanziquan A",103,IF(Atletas!L531="Huaquan A",104,IF(Atletas!L531="Hongquan A",105,IF(Atletas!L531="Paochui A",106,IF(Atletas!L531="Piguaquan A",107,IF(Atletas!L531="Shaolinquan A",108,IF(Atletas!L531="Tanglangquan A",109,IF(Atletas!L531="Yinzhaophai A",110,IF(Atletas!L531="Tongbeiquan A",111,IF(Atletas!L531="Wudangquan A",112,IF(Atletas!L531="Outros Estilos A",113,IF(Atletas!L531="Chaquan B",114,IF(Atletas!L531="Emeiquan B",115,IF(Atletas!L531="Fanziquan B",116,IF(Atletas!L531="Huaquan B",117,IF(Atletas!L531="Hongquan B",118,IF(Atletas!L531="Paochui B",119,IF(Atletas!L531="Piguaquan B",120,IF(Atletas!L531="Shaolinquan B",121,IF(Atletas!L531="Tanglangquan B",122,IF(Atletas!L531="Yinzhaophai B",123,IF(Atletas!L531="Tongbeiquan B",124,IF(Atletas!L531="Wudangquan B",125,IF(Atletas!L531="Outros Estilos B",126,IF(Atletas!L531="Chaquan C",127,IF(Atletas!L531="Emeiquan C",128,IF(Atletas!L531="Fanziquan C",129,IF(Atletas!L531="Huaquan C",130,IF(Atletas!L531="Hongquan C",131,IF(Atletas!L531="Paochui C",132,IF(Atletas!L531="Piguaquan C",133,IF(Atletas!L531="Shaolinquan C",134,IF(Atletas!L531="Tanglangquan C",135,IF(Atletas!L531="Yinzhaophai C",136,IF(Atletas!L531="Tongbeiquan C",137,IF(Atletas!L531="Wudangquan C",138,IF(Atletas!L531="Outros Estilos C",139,0))))))))))))))))))))))))))))))))))))))))))</f>
        <v/>
      </c>
      <c r="BM535" s="52" t="str">
        <f>IF(Atletas!L531="","",IF(Atletas!W531&lt;&gt;"",10000,0)+(IF(Atletas!B531="Feminino",1000,IF(Atletas!B531="Masculino",2000,""))+(IF(Atletas!L531="Chaquan D",140,IF(Atletas!L531="Emeiquan D",141,IF(Atletas!L531="Fanziquan D",142,IF(Atletas!L531="Huaquan D",143,IF(Atletas!L531="Hongquan D",144,IF(Atletas!L531="Paochui D",145,IF(Atletas!L531="Piguaquan D",146,IF(Atletas!L531="Shaolinquan D",147,IF(Atletas!L531="Tanglangquan D",148,IF(Atletas!L531="Yinzhaophai D",149,IF(Atletas!L531="Tongbeiquan D",150,IF(Atletas!L531="Wudangquan D",151,IF(Atletas!L531="Outros Estilos D",152,IF(Atletas!L531="Chaquan E",153,IF(Atletas!L531="Emeiquan E",154,IF(Atletas!L531="Fanziquan E",155,IF(Atletas!L531="Huaquan E",156,IF(Atletas!L531="Hongquan E",157,IF(Atletas!L531="Paochui E",158,IF(Atletas!L531="Piguaquan E",159,IF(Atletas!L531="Shaolinquan E",160,IF(Atletas!L531="Tanglangquan E",161,IF(Atletas!L531="Yinzhaophai E",162,IF(Atletas!L531="Tongbeiquan E",163,IF(Atletas!L531="Wudangquan E",164,IF(Atletas!L531="Outros Estilos E",165,IF(Atletas!L531="Chaquan F",166,IF(Atletas!L531="Emeiquan F",167,IF(Atletas!L531="Fanziquan F",168,IF(Atletas!L531="Huaquan F",169,IF(Atletas!L531="Hongquan F",170,IF(Atletas!L531="Paochui F",171,IF(Atletas!L531="Piguaquan F",172,IF(Atletas!L531="Shaolinquan F",173,IF(Atletas!L531="Tanglangquan F",174,IF(Atletas!L531="Yinzhaophai F",175,IF(Atletas!L531="Tongbeiquan F",176,IF(Atletas!L531="Wudangquan F",177,IF(Atletas!L531="Outros Estilos F",178,0))))))))))))))))))))))))))))))))))))))))))</f>
        <v/>
      </c>
      <c r="BN535" s="52" t="str">
        <f>IF(Atletas!M531="","",IF(Atletas!W531&lt;&gt;"",10000,0)+(IF(Atletas!B531="Feminino",1000,IF(Atletas!B531="Masculino",2000,""))+(IF(Atletas!M531="Ditangquan A",201,IF(Atletas!M531="Houquan A",202,IF(Atletas!M531="Zuiquan A",203,IF(Atletas!M531="Ditangquan B",204,IF(Atletas!M531="Houquan B",205,IF(Atletas!M531="Zuiquan B",206,IF(Atletas!M531="Ditangquan C",207,IF(Atletas!M531="Houquan C",208,IF(Atletas!M531="Zuiquan C",209,IF(Atletas!M531="Ditangquan D",210,IF(Atletas!M531="Houquan D",211,IF(Atletas!M531="Zuiquan D",212,IF(Atletas!M531="Ditangquan E",213,IF(Atletas!M531="Houquan E",214,IF(Atletas!M531="Zuiquan E",215,IF(Atletas!M531="Ditangquan F",216,IF(Atletas!M531="Houquan F",217,IF(Atletas!M531="Zuiquan F",218,"")))))))))))))))))))))</f>
        <v/>
      </c>
      <c r="BO535" s="52" t="str">
        <f>IF(Atletas!N531="","",IF(Atletas!W531&lt;&gt;"",10000,0)+IF(Atletas!B531="Feminino",1000,IF(Atletas!B531="Masculino",2000,""))+IF(Atletas!N531="Yang A",301,IF(Atletas!N531="Chen A",30,IF(Atletas!N531="Sun A",303,IF(Atletas!N531="Wu A",304,IF(Atletas!N531="Wu-Hao A",305,IF(Atletas!N531="Outro Taijiquan A",306,IF(Atletas!N531="Yang B",307,IF(Atletas!N531="Chen B",308,IF(Atletas!N531="Sun B",309,IF(Atletas!N531="Wu B",310,IF(Atletas!N531="Wu-Hao B",311,IF(Atletas!N531="Outro Taijiquan B",312,IF(Atletas!N531="Yang C",313,IF(Atletas!N531="Chen C",314,IF(Atletas!N531="Sun C",315,IF(Atletas!N531="Wu C",316,IF(Atletas!N531="Wu-Hao C",317,IF(Atletas!N531="Outro Taijiquan C",318,IF(Atletas!N531="Yang D",319,IF(Atletas!N531="Chen D",320,IF(Atletas!N531="Sun D",321,IF(Atletas!N531="Wu D",322,IF(Atletas!N531="Wu-Hao D",323,IF(Atletas!N531="Outro Taijiquan D",324,IF(Atletas!N531="Yang E",325,IF(Atletas!N531="Chen E",326,IF(Atletas!N531="Sun E",327,IF(Atletas!N531="Wu E",328,IF(Atletas!N531="Wu-Hao E",329,IF(Atletas!N531="Outro Taijiquan E",330,IF(Atletas!N531="Yang F",331,IF(Atletas!N531="Chen F",332,IF(Atletas!N531="Sun F",333,IF(Atletas!N531="Wu F",334,IF(Atletas!N531="Wu-Hao F",335,IF(Atletas!N531="Outro Taijiquan F",336,"")))))))))))))))))))))))))))))))))))))</f>
        <v/>
      </c>
      <c r="BP535" s="52" t="str">
        <f>IF(Atletas!O531="","",IF(Atletas!W531&lt;&gt;"",10000,0)+IF(Atletas!B531="Feminino",1000,IF(Atletas!B531="Masculino",2000,""))+IF(OR(Atletas!O531="Yang 26 A",Atletas!O531="Yang 40 A"),401,IF(OR(Atletas!O531="Chen 25 A",Atletas!O531="Chen 36 A",Atletas!O531="Chen 56 A"),402,IF(Atletas!O531="Sun 73 A",403,IF(Atletas!O531="Wu 45 A",404,IF(Atletas!O531="Wu-Hao 46 A",405,IF(OR(Atletas!O531="Taijiquan 16 A",Atletas!O531="Taijiquan 24 A",Atletas!O531="Taijiquan 32 A",Atletas!O531="Taijiquan 42 A"),406,IF(OR(Atletas!O531="Yang 26 B",Atletas!O531="Yang 40 B"),407,IF(OR(Atletas!O531="Chen 25 B",Atletas!O531="Chen 36 B",Atletas!O531="Chen 56 B"),408,IF(Atletas!O531="Sun 73 B",409,IF(Atletas!O531="Wu 45 B",410,IF(Atletas!O531="Wu-Hao 46 B",411,IF(OR(Atletas!O531="Taijiquan 16 B",Atletas!O531="Taijiquan 24 B",Atletas!O531="Taijiquan 32 B",Atletas!O531="Taijiquan 42 B"),412,IF(OR(Atletas!O531="Yang 26 C",Atletas!O531="Yang 40 C"),413,IF(OR(Atletas!O531="Chen 25 C",Atletas!O531="Chen 36 C",Atletas!O531="Chen 56 C"),414,IF(Atletas!O531="Sun 73 C",415,IF(Atletas!O531="Wu 45 C",416,IF(Atletas!O531="Wu-Hao 46 C",417,IF(OR(Atletas!O531="Taijiquan 16 C",Atletas!O531="Taijiquan 24 C",Atletas!O531="Taijiquan 32 C",Atletas!O531="Taijiquan 42 C"),418,0)))))))))))))))))))</f>
        <v/>
      </c>
      <c r="BQ535" s="52" t="str">
        <f>IF(Atletas!O531="","",IF(Atletas!W531&lt;&gt;"",10000,0)+IF(Atletas!B531="Feminino",1000,IF(Atletas!B531="Masculino",2000,""))+IF(OR(Atletas!O531="Yang 26 D",Atletas!O531="Yang 40 D"),419,IF(OR(Atletas!O531="Chen 25 D",Atletas!O531="Chen 36 D",Atletas!O531="Chen 56 D"),420,IF(Atletas!O531="Sun 73 D",421,IF(Atletas!O531="Wu 45 D",422,IF(Atletas!O531="Wu-Hao 46 D",423,IF(OR(Atletas!O531="Taijiquan 16 D",Atletas!O531="Taijiquan 24 D",Atletas!O531="Taijiquan 32 D",Atletas!O531="Taijiquan 42 D"),424,IF(OR(Atletas!O531="Yang 26 E",Atletas!O531="Yang 40 E"),425,IF(OR(Atletas!O531="Chen 25 E",Atletas!O531="Chen 36 E",Atletas!O531="Chen 56 E"),426,IF(Atletas!O531="Sun 73 E",427,IF(Atletas!O531="Wu 45 E",428,IF(Atletas!O531="Wu-Hao 46 E",429,IF(OR(Atletas!O531="Taijiquan 16 E",Atletas!O531="Taijiquan 24 E",Atletas!O531="Taijiquan 32 E",Atletas!O531="Taijiquan 42 E"),430,IF(OR(Atletas!O531="Yang 26 F",Atletas!O531="Yang 40 F"),431,IF(OR(Atletas!O531="Chen 25 F",Atletas!O531="Chen 36 F",Atletas!O531="Chen 56 F"),432,IF(Atletas!O531="Sun 73 F",433,IF(Atletas!O531="Wu 45 F",434,IF(Atletas!O531="Wu-Hao 46 F",435,IF(OR(Atletas!O531="Taijiquan 16 F",Atletas!O531="Taijiquan 24 F",Atletas!O531="Taijiquan 32 F",Atletas!O531="Taijiquan 42 F"),436,0)))))))))))))))))))</f>
        <v/>
      </c>
      <c r="BR535" s="52" t="str">
        <f>IF(Atletas!P531="","",IF(Atletas!W531&lt;&gt;"",10000,0)+IF(Atletas!B531="Feminino",1000,IF(Atletas!B531="Masculino",2000,""))+IF(Atletas!P531="Xingyiquan A",501,IF(Atletas!P531="Baguazhang A",502,IF(Atletas!P531="Outro Estilo Interno A",503,IF(Atletas!P531="Xingyiquan B",504,IF(Atletas!P531="Baguazhang B",505,IF(Atletas!P531="Outro Estilo Interno B",506,IF(Atletas!P531="Xingyiquan C",507,IF(Atletas!P531="Baguazhang C",508,IF(Atletas!P531="Outro Estilo Interno C",509,IF(Atletas!P531="Xingyiquan D",510,IF(Atletas!P531="Baguazhang D",511,IF(Atletas!P531="Outro Estilo Interno D",512,IF(Atletas!P531="Xingyiquan E",513,IF(Atletas!P531="Baguazhang E",514,IF(Atletas!P531="Outro Estilo Interno E",515,IF(Atletas!P531="Xingyiquan F",516,IF(Atletas!P531="Baguazhang F",517,IF(Atletas!P531="Outro Estilo Interno F",518, "")))))))))))))))))))</f>
        <v/>
      </c>
      <c r="BS535" s="52" t="str">
        <f>IF(Atletas!Q531="","",IF(Atletas!W531&lt;&gt;"",10000,0)+IF(Atletas!B531="Feminino",1000,IF(Atletas!B531="Masculino",2000,""))+IF(Atletas!Q531="Dao A",601,IF(Atletas!Q531="Jian A",602,IF(Atletas!Q531="Bishou A",603,IF(Atletas!Q531="Shan A",604,IF(Atletas!Q531="Outra Arma Curta A",605,IF(Atletas!Q531="Dao B",606,IF(Atletas!Q531="Jian B",607,IF(Atletas!Q531="Bishou B",608,IF(Atletas!Q531="Shan B",609,IF(Atletas!Q531="Outra Arma Curta B",610,IF(Atletas!Q531="Dao C",611,IF(Atletas!Q531="Jian C",612,IF(Atletas!Q531="Bishou C",613,IF(Atletas!Q531="Shan C",614,IF(Atletas!Q531="Outra Arma Curta C",615,IF(Atletas!Q531="Dao D",616,IF(Atletas!Q531="Jian D",617,IF(Atletas!Q531="Bishou D",618,IF(Atletas!Q531="Shan D",619,IF(Atletas!Q531="Outra Arma Curta D",620,IF(Atletas!Q531="Dao E",621,IF(Atletas!Q531="Jian E",622,IF(Atletas!Q531="Bishou E",623,IF(Atletas!Q531="Shan E",624,IF(Atletas!Q531="Outra Arma Curta E",625,IF(Atletas!Q531="Dao F",626,IF(Atletas!Q531="Jian F",627,IF(Atletas!Q531="Bishou F",628,IF(Atletas!Q531="Shan F",629,IF(Atletas!Q531="Outra Arma Curta F",630, "")))))))))))))))))))))))))))))))</f>
        <v/>
      </c>
      <c r="BT535" s="52" t="str">
        <f>IF(Atletas!R531="","",IF(Atletas!W531&lt;&gt;"",10000,0)+IF(Atletas!B531="Feminino",1000,IF(Atletas!B531="Masculino",2000,""))+IF(Atletas!R531="Gun A",701,IF(Atletas!R531="Qiang A",702,IF(Atletas!R531="Pudao / Guandao A",703,IF(Atletas!R531="Outra Arma Longa A",704,IF(Atletas!R531="Gun B",705,IF(Atletas!R531="Qiang B",706,IF(Atletas!R531="Pudao / Guandao B",707,IF(Atletas!R531="Outra Arma Longa B",708,IF(Atletas!R531="Gun C",709,IF(Atletas!R531="Qiang C",710,IF(Atletas!R531="Pudao / Guandao C",711,IF(Atletas!R531="Outra Arma Longa C",712,IF(Atletas!R531="Gun D",713,IF(Atletas!R531="Qiang D",714,IF(Atletas!R531="Pudao / Guandao D",715,IF(Atletas!R531="Outra Arma Longa D",716,IF(Atletas!R531="Gun E",717,IF(Atletas!R531="Qiang E",718,IF(Atletas!R531="Pudao / Guandao E",719,IF(Atletas!R531="Outra Arma Longa E",720,IF(Atletas!R531="Gun F",721,IF(Atletas!R531="Qiang F",722,IF(Atletas!R531="Pudao / Guandao F",723,IF(Atletas!R531="Outra Arma Longa F",724,"")))))))))))))))))))))))))</f>
        <v/>
      </c>
      <c r="BU535" s="52" t="str">
        <f>IF(Atletas!S531="","",IF(Atletas!W531&lt;&gt;"",10000,0)+IF(Atletas!B531="Feminino",1000,IF(Atletas!B531="Masculino",2000,""))+IF(Atletas!S531="Arma Dupla A",801,IF(Atletas!S531="Arma Maleável A",802,IF(Atletas!S531="Arma Dupla B",803,IF(Atletas!S531="Arma Maleável B",804,IF(Atletas!S531="Arma Dupla C",805,IF(Atletas!S531="Arma Maleável C",806,IF(Atletas!S531="Arma Dupla D",807,IF(Atletas!S531="Arma Maleável D",808,IF(Atletas!S531="Arma Dupla E",809,IF(Atletas!S531="Arma Maleável E",810,IF(Atletas!S531="Arma Dupla F",811,IF(Atletas!S531="Arma Maleável F",812, "")))))))))))))</f>
        <v/>
      </c>
      <c r="BV535" s="52" t="str">
        <f>IF(Atletas!T531="","",IF(Atletas!W531&lt;&gt;"",10000,0)+IF(Atletas!B531="Feminino",1000,IF(Atletas!B531="Masculino",2000,""))+IF(Atletas!T531="Taijijian Yang A",901,IF(Atletas!T531="Taijijian Chen A",902,IF(Atletas!T531="Taijijian Sun A",903,IF(Atletas!T531="Taijijian Wu A",904,IF(Atletas!T531="Taijijian Wu-Hao A",905,IF(Atletas!T531="Taijijian 32 A",906,IF(Atletas!T531="Taijijian 42 A",907,IF(Atletas!T531="Taijijian Yang B",908,IF(Atletas!T531="Taijijian Chen B",909,IF(Atletas!T531="Taijijian Sun B",910,IF(Atletas!T531="Taijijian Wu B",911,IF(Atletas!T531="Taijijian Wu-Hao B",912,IF(Atletas!T531="Taijijian 32 B",913,IF(Atletas!T531="Taijijian 42 B",914,IF(Atletas!T531="Taijijian Yang C",915,IF(Atletas!T531="Taijijian Chen C",916,IF(Atletas!T531="Taijijian Sun C",917,IF(Atletas!T531="Taijijian Wu C",918,IF(Atletas!T531="Taijijian Wu-Hao C",919,IF(Atletas!T531="Taijijian 32 C",920,IF(Atletas!T531="Taijijian 42 C",921,IF(Atletas!T531="Taijijian Yang D",922,IF(Atletas!T531="Taijijian Chen D",923,IF(Atletas!T531="Taijijian Sun D",924,IF(Atletas!T531="Taijijian Wu D",925,IF(Atletas!T531="Taijijian Wu-Hao D",926,IF(Atletas!T531="Taijijian 32 D",927,IF(Atletas!T531="Taijijian 42 D",928,IF(Atletas!T531="Taijijian Yang E",929,IF(Atletas!T531="Taijijian Chen E",930,IF(Atletas!T531="Taijijian Sun E",931,IF(Atletas!T531="Taijijian Wu E",932,IF(Atletas!T531="Taijijian Wu-Hao E",933,IF(Atletas!T531="Taijijian 32 E",934,IF(Atletas!T531="Taijijian 42 E",935,IF(Atletas!T531="Taijijian Yang F",936,IF(Atletas!T531="Taijijian Chen F",937,IF(Atletas!T531="Taijijian Sun F",938,IF(Atletas!T531="Taijijian Wu F",939,IF(Atletas!T531="Taijijian Wu-Hao F",940,IF(Atletas!T531="Taijijian 32 F",941,IF(Atletas!T531="Taijijian 42 F",942,"")))))))))))))))))))))))))))))))))))))))))))</f>
        <v/>
      </c>
      <c r="BW535" s="52" t="str">
        <f>IF(Atletas!U531="","",IF(Atletas!W531&lt;&gt;"",10000,0)+IF(Atletas!B531="Feminino",1000,IF(Atletas!B531="Masculino",2000,""))+IF(Atletas!T531="Taijijian 42 F",942,IF(Atletas!U531="Taijidao A",943,IF(Atletas!U531="Taijishan A",944,IF(Atletas!U531="Taijiqiang A",945,IF(Atletas!U531="Taijidao B",946,IF(Atletas!U531="Taijishan B",947,IF(Atletas!U531="Taijiqiang B",948,IF(Atletas!U531="Taijidao C",949,IF(Atletas!U531="Taijishan C",950,IF(Atletas!U531="Taijiqiang C",951,IF(Atletas!U531="Taijidao D",952,IF(Atletas!U531="Taijishan D",953,IF(Atletas!U531="Taijiqiang D",954,IF(Atletas!U531="Taijidao E",955,IF(Atletas!U531="Taijishan E",956,IF(Atletas!U531="Taijiqiang E",957,IF(Atletas!U531="Taijidao F",958,IF(Atletas!U531="Taijishan F",959,IF(Atletas!U531="Taijiqiang F",960))))))))))))))))))))</f>
        <v/>
      </c>
      <c r="CF535" s="52" t="str">
        <f xml:space="preserve"> IF(Atletas!V531="","",IF(Atletas!V531="Duilian de Mãos AB - Equipe 1",1,IF(Atletas!V531="Duilian de Mãos AB - Equipe 2",2,IF(Atletas!V531="Duilian de Armas AB - Equipe 1",3,IF(Atletas!V531="Duilian de Armas AB - Equipe 2",4,IF(Atletas!V531="Duilian de Tuishou - Equipe 1",5,IF(Atletas!V531="Duilian de Tuishou - Equipe 2",6,IF(Atletas!V531="Grupo Externo AB - Equipe 1",7,IF(Atletas!V531="Grupo Externo AB - Equipe 2",8,IF(Atletas!V531="Grupo Interno AB - Equipe 1",9,IF(Atletas!V531="Grupo Interno AB - Equipe 2",10,IF(Atletas!V531="Duilian de Mãos CD - Equipe 1",11,IF(Atletas!V531="Duilian de Mãos CD - Equipe 2",12,IF(Atletas!V531="Duilian de Armas CD - Equipe 1",13,IF(Atletas!V531="Duilian de Armas CD - Equipe 2",14,IF(Atletas!V531="Duilian de Tuishou - Equipe 1",15,IF(Atletas!V531="Duilian de Tuishou - Equipe 2",16,IF(Atletas!V531="Grupo Externo CDEF - Equipe 1",17,IF(Atletas!V531="Grupo Externo CDEF - Equipe 2",18,IF(Atletas!V531="Grupo Interno CDEF - Equipe 1",19,IF(Atletas!V531="Grupo Interno CDEF - Equipe 2",20,IF(Atletas!V531="Duilian de Mãos EF - Equipe 1",21,IF(Atletas!V531="Duilian de Mãos EF - Equipe 2",22,IF(Atletas!V531="Duilian de Armas EF - Equipe 1",23,IF(Atletas!V531="Duilian de Armas EF - Equipe 2",24,IF(Atletas!V531="Duilian de Tuishou - Equipe 1",25,IF(Atletas!V531="Duilian de Tuishou - Equipe 2",26,"")))))))))))))))))))))))))))</f>
        <v/>
      </c>
    </row>
    <row r="536" spans="36:84">
      <c r="AJ536" s="46" t="str">
        <f>IF(Atletas!D532="","",IF(Atletas!B532="Feminino",100,IF(Atletas!B532="Masculino",200,""))+(IF(Atletas!D532="Infantil 39kg",1,IF(Atletas!D532="Infantil 42kg",2,IF(Atletas!D532="Infantil 45kg",3,IF(Atletas!D532="Infantil 48kg",4,IF(Atletas!D532="Infantil 52kg",5,IF(Atletas!D532="Infantil 56kg",6,IF(Atletas!D532="Infantil 60kg",7,IF(Atletas!D532="Juvenil 48kg",8,IF(Atletas!D532="Juvenil 52kg",9,IF(Atletas!D532="Juvenil 56kg",10,IF(Atletas!D532="Juvenil 60kg",11,IF(Atletas!D532="Juvenil 65kg",12,IF(Atletas!D532="Juvenil 70kg",13,IF(Atletas!D532="Juvenil 75kg",14,IF(Atletas!D532="Juvenil 80kg",15,IF(Atletas!D532="Adulto 48kg",16,IF(Atletas!D532="Adulto 52kg",17,IF(Atletas!D532="Adulto 56kg",18,IF(Atletas!D532="Adulto 60kg",19,IF(Atletas!D532="Adulto 65kg",20,IF(Atletas!D532="Adulto 70kg",21,IF(Atletas!D532="Adulto 75kg",22,IF(Atletas!D532="Adulto 80kg",23,IF(Atletas!D532="Adulto 85kg",24,IF(Atletas!D532="Adulto 90kg",25,IF(Atletas!D532="Adulto +90kg",26,""))))))))))))))))))))))))))))</f>
        <v/>
      </c>
      <c r="AO536" s="10" t="str">
        <f>IF(Atletas!E532="","",IF(Atletas!B532="Feminino",100,IF(Atletas!B532="Masculino",200,""))+(IF(Atletas!E532="Juvenil 44kg",1,IF(Atletas!E532="Juvenil 48kg",2,IF(Atletas!E532="Juvenil 52kg",3,IF(Atletas!E532="Juvenil 56kg",4,IF(Atletas!E532="Juvenil 60kg",5,IF(Atletas!E532="Juvenil 65kg",6,IF(Atletas!E532="Juvenil 70kg",7,IF(Atletas!E532="Juvenil 75kg",8,IF(Atletas!E532="Juvenil 82kg",9,IF(Atletas!E532="Juvenil 90kg",10,IF(Atletas!E532="Juvenil 100kg",11,IF(Atletas!E532="Adulto 48kg",12,IF(Atletas!E532="Adulto 52kg",13,IF(Atletas!E532="Adulto 56kg",14,IF(Atletas!E532="Adulto 60kg",15,IF(Atletas!E532="Adulto 65kg",16,IF(Atletas!E532="Adulto 70kg",17,IF(Atletas!E532="Adulto 75kg",18,IF(Atletas!E532="Adulto 82kg",19,IF(Atletas!E532="Adulto 90kg",20,IF(Atletas!E532="Adulto 100kg",21,IF(Atletas!E532="Adulto +100kg",22,""))))))))))))))))))))))))</f>
        <v/>
      </c>
      <c r="AT536" s="10" t="str">
        <f>IF(Atletas!F532="","",IF(Atletas!B532="Feminino",100,IF(Atletas!B532="Masculino",200,""))+(IF(Atletas!F532="Adulto 48kg",1,IF(Atletas!F532="Adulto 56kg",2,IF(Atletas!F532="Adulto 65kg",3,IF(Atletas!F532="Adulto 75kg",4,IF(Atletas!F532="Adulto +75kg",5,IF(Atletas!F532="Adulto 52kg",6,IF(Atletas!F532="Adulto 60kg",7,IF(Atletas!F532="Adulto 70kg",8,IF(Atletas!F532="Adulto 80kg",9,IF(Atletas!F532="Adulto 90kg",10,IF(Atletas!F532="Adulto +90kg",11,"")))))))))))))</f>
        <v/>
      </c>
      <c r="AY536" s="46" t="str">
        <f>IF(Atletas!G532="","",IF(Atletas!B532="Feminino",100,IF(Atletas!B532="Masculino",200,""))+(IF(Atletas!G532="Changquan Mirim",1,IF(Atletas!G532="Nanquan Mirim",2,IF(Atletas!G532="Taijiquan Mirim",3,IF(Atletas!G532="Changquan Grupo C",4,IF(Atletas!G532="Nanquan Grupo C",5,IF(Atletas!G532="Taijiquan Grupo C",6,IF(Atletas!G532="Changquan Grupo B",7,IF(Atletas!G532="Nanquan Grupo B",8,IF(Atletas!G532="Taijiquan Grupo B",9,IF(Atletas!G532="Changquan Grupo A",10,IF(Atletas!G532="Nanquan Grupo A",11,IF(Atletas!G532="Taijiquan Grupo A",12,IF(Atletas!G532="Changquan Opcional",13,IF(Atletas!G532="Nanquan Opcional",14,IF(Atletas!G532="Taijiquan Opcional",15,IF(Atletas!G532="Changquan Adulto",16,IF(Atletas!G532="Nanquan Adulto",17,IF(Atletas!G532="Taijiquan Adulto",18,""))))))))))))))))))))</f>
        <v/>
      </c>
      <c r="AZ536" s="46" t="str">
        <f>IF(Atletas!H532="","",IF(Atletas!B532="Feminino",100,IF(Atletas!B532="Masculino",200,""))+(IF(Atletas!H532="Daoshu Mirim",19,IF(Atletas!H532="Jianshu Mirim",20,IF(Atletas!H532="Nandao Mirim",21,IF(Atletas!H532="Taijijian Mirim",22,IF(Atletas!H532="Daoshu Grupo C",23,IF(Atletas!H532="Jianshu Grupo C",24,IF(Atletas!H532="Nandao Grupo C",25,IF(Atletas!H532="Taijijian Grupo C",26,IF(Atletas!H532="Daoshu Grupo B",27,IF(Atletas!H532="Jianshu Grupo B",28,IF(Atletas!H532="Nandao Grupo B",29,IF(Atletas!H532="Taijijian Grupo B",30,IF(Atletas!H532="Daoshu Grupo A",31,IF(Atletas!H532="Jianshu Grupo A",32,IF(Atletas!H532="Nandao Grupo A",33,IF(Atletas!H532="Taijijian Grupo A",34,IF(Atletas!H532="Daoshu Opcional",35,IF(Atletas!H532="Jianshu Opcional",36,IF(Atletas!H532="Nandao Opcional",37,IF(Atletas!H532="Taijijian Opcional",38,IF(Atletas!H532="Daoshu Adulto",39,IF(Atletas!H532="Jianshu Adulto",40,IF(Atletas!H532="Nandao Adulto",41,IF(Atletas!H532="Taijijian Adulto",42,""))))))))))))))))))))))))))</f>
        <v/>
      </c>
      <c r="BA536" s="46" t="str">
        <f>IF(Atletas!I532="","",IF(Atletas!B532="Feminino",100,IF(Atletas!B532="Masculino",200,""))+(IF(Atletas!I532="Gunshu Mirim",43,IF(Atletas!I532="Qiangshu Mirim",44,IF(Atletas!I532="Nangun Mirim",45,IF(Atletas!I532="Gunshu Grupo C",46,IF(Atletas!I532="Qiangshu Grupo C",47,IF(Atletas!I532="Nangun Grupo C",48,IF(Atletas!I532="Gunshu Grupo B",49,IF(Atletas!I532="Qiangshu Grupo B",50,IF(Atletas!I532="Nangun Grupo B",51,IF(Atletas!I532="Gunshu Grupo A",52,IF(Atletas!I532="Qiangshu Grupo A",53,IF(Atletas!I532="Nangun Grupo A",54,IF(Atletas!I532="Gunshu Opcional",55,IF(Atletas!I532="Qiangshu Opcional",56,IF(Atletas!I532="Nangun Opcional",57,IF(Atletas!I532="Gunshu Adulto",58,IF(Atletas!I532="Qiangshu Adulto",59,IF(Atletas!I532="Nangun Adulto",60,""))))))))))))))))))))</f>
        <v/>
      </c>
      <c r="BF536" s="52" t="str">
        <f>IF(Atletas!J532="","",IF(Atletas!B532="Feminino",100,IF(Atletas!B532="Masculino",200,""))+(IF(Atletas!J532="Equipe 1 Grupo B",1,IF(Atletas!J532="Equipe 2 Grupo B",2,IF(Atletas!J532="Equipe 1 Grupo A",3,IF(Atletas!J532="Equipe 2 Grupo A",4,IF(Atletas!J532="Equipe 1 Adulto",5,IF(Atletas!J532="Equipe 2 Adulto",6,""))))))))</f>
        <v/>
      </c>
      <c r="BK536" s="52" t="str">
        <f>IF(Atletas!K532="","",IF(Atletas!W532&lt;&gt;"",10000,0)+(IF(Atletas!B532="Feminino",1000,IF(Atletas!B532="Masculino",2000,""))+IF(Atletas!K532="Choylayfut A",1,IF(Atletas!K532="Hunggar A",2,IF(Atletas!K532="Wuzuquan A",3,IF(Atletas!K532="Wingchun A",4,IF(Atletas!K532="Outra Mão de Sul A",5,IF(Atletas!K532="Choylayfut B",6,IF(Atletas!K532="Hunggar B",7,IF(Atletas!K532="Wuzuquan B",8,IF(Atletas!K532="Wingchun B",9,IF(Atletas!K532="Outra Mão de Sul B",10,IF(Atletas!K532="Choylayfut C",11,IF(Atletas!K532="Hunggar C",12,IF(Atletas!K532="Wuzuquan C",13,IF(Atletas!K532="Wingchun C",14,IF(Atletas!K532="Outra Mão de Sul C",15,IF(Atletas!K532="Choylayfut D",16,IF(Atletas!K532="Hunggar D",17,IF(Atletas!K532="Wuzuquan D",18,IF(Atletas!K532="Wingchun D",19,IF(Atletas!K532="Outra Mão de Sul D",20,IF(Atletas!K532="Choylayfut E",21,IF(Atletas!K532="Hunggar E",22,IF(Atletas!K532="Wuzuquan E",23,IF(Atletas!K532="Wingchun E",24,IF(Atletas!K532="Outra Mão de Sul E",25,IF(Atletas!K532="Choylayfut F",26,IF(Atletas!K532="Hunggar F",27,IF(Atletas!K532="Wuzuquan F",28,IF(Atletas!K532="Wingchun F",29,IF(Atletas!K532="Outra Mão de Sul F",30,""))))))))))))))))))))))))))))))))</f>
        <v/>
      </c>
      <c r="BL536" s="52" t="str">
        <f>IF(Atletas!L532="","",IF(Atletas!W532&lt;&gt;"",10000,0)+(IF(Atletas!B532="Feminino",1000,IF(Atletas!B532="Masculino",2000,""))+(IF(Atletas!L532="Chaquan A",101,IF(Atletas!L532="Emeiquan A",102,IF(Atletas!L532="Fanziquan A",103,IF(Atletas!L532="Huaquan A",104,IF(Atletas!L532="Hongquan A",105,IF(Atletas!L532="Paochui A",106,IF(Atletas!L532="Piguaquan A",107,IF(Atletas!L532="Shaolinquan A",108,IF(Atletas!L532="Tanglangquan A",109,IF(Atletas!L532="Yinzhaophai A",110,IF(Atletas!L532="Tongbeiquan A",111,IF(Atletas!L532="Wudangquan A",112,IF(Atletas!L532="Outros Estilos A",113,IF(Atletas!L532="Chaquan B",114,IF(Atletas!L532="Emeiquan B",115,IF(Atletas!L532="Fanziquan B",116,IF(Atletas!L532="Huaquan B",117,IF(Atletas!L532="Hongquan B",118,IF(Atletas!L532="Paochui B",119,IF(Atletas!L532="Piguaquan B",120,IF(Atletas!L532="Shaolinquan B",121,IF(Atletas!L532="Tanglangquan B",122,IF(Atletas!L532="Yinzhaophai B",123,IF(Atletas!L532="Tongbeiquan B",124,IF(Atletas!L532="Wudangquan B",125,IF(Atletas!L532="Outros Estilos B",126,IF(Atletas!L532="Chaquan C",127,IF(Atletas!L532="Emeiquan C",128,IF(Atletas!L532="Fanziquan C",129,IF(Atletas!L532="Huaquan C",130,IF(Atletas!L532="Hongquan C",131,IF(Atletas!L532="Paochui C",132,IF(Atletas!L532="Piguaquan C",133,IF(Atletas!L532="Shaolinquan C",134,IF(Atletas!L532="Tanglangquan C",135,IF(Atletas!L532="Yinzhaophai C",136,IF(Atletas!L532="Tongbeiquan C",137,IF(Atletas!L532="Wudangquan C",138,IF(Atletas!L532="Outros Estilos C",139,0))))))))))))))))))))))))))))))))))))))))))</f>
        <v/>
      </c>
      <c r="BM536" s="52" t="str">
        <f>IF(Atletas!L532="","",IF(Atletas!W532&lt;&gt;"",10000,0)+(IF(Atletas!B532="Feminino",1000,IF(Atletas!B532="Masculino",2000,""))+(IF(Atletas!L532="Chaquan D",140,IF(Atletas!L532="Emeiquan D",141,IF(Atletas!L532="Fanziquan D",142,IF(Atletas!L532="Huaquan D",143,IF(Atletas!L532="Hongquan D",144,IF(Atletas!L532="Paochui D",145,IF(Atletas!L532="Piguaquan D",146,IF(Atletas!L532="Shaolinquan D",147,IF(Atletas!L532="Tanglangquan D",148,IF(Atletas!L532="Yinzhaophai D",149,IF(Atletas!L532="Tongbeiquan D",150,IF(Atletas!L532="Wudangquan D",151,IF(Atletas!L532="Outros Estilos D",152,IF(Atletas!L532="Chaquan E",153,IF(Atletas!L532="Emeiquan E",154,IF(Atletas!L532="Fanziquan E",155,IF(Atletas!L532="Huaquan E",156,IF(Atletas!L532="Hongquan E",157,IF(Atletas!L532="Paochui E",158,IF(Atletas!L532="Piguaquan E",159,IF(Atletas!L532="Shaolinquan E",160,IF(Atletas!L532="Tanglangquan E",161,IF(Atletas!L532="Yinzhaophai E",162,IF(Atletas!L532="Tongbeiquan E",163,IF(Atletas!L532="Wudangquan E",164,IF(Atletas!L532="Outros Estilos E",165,IF(Atletas!L532="Chaquan F",166,IF(Atletas!L532="Emeiquan F",167,IF(Atletas!L532="Fanziquan F",168,IF(Atletas!L532="Huaquan F",169,IF(Atletas!L532="Hongquan F",170,IF(Atletas!L532="Paochui F",171,IF(Atletas!L532="Piguaquan F",172,IF(Atletas!L532="Shaolinquan F",173,IF(Atletas!L532="Tanglangquan F",174,IF(Atletas!L532="Yinzhaophai F",175,IF(Atletas!L532="Tongbeiquan F",176,IF(Atletas!L532="Wudangquan F",177,IF(Atletas!L532="Outros Estilos F",178,0))))))))))))))))))))))))))))))))))))))))))</f>
        <v/>
      </c>
      <c r="BN536" s="52" t="str">
        <f>IF(Atletas!M532="","",IF(Atletas!W532&lt;&gt;"",10000,0)+(IF(Atletas!B532="Feminino",1000,IF(Atletas!B532="Masculino",2000,""))+(IF(Atletas!M532="Ditangquan A",201,IF(Atletas!M532="Houquan A",202,IF(Atletas!M532="Zuiquan A",203,IF(Atletas!M532="Ditangquan B",204,IF(Atletas!M532="Houquan B",205,IF(Atletas!M532="Zuiquan B",206,IF(Atletas!M532="Ditangquan C",207,IF(Atletas!M532="Houquan C",208,IF(Atletas!M532="Zuiquan C",209,IF(Atletas!M532="Ditangquan D",210,IF(Atletas!M532="Houquan D",211,IF(Atletas!M532="Zuiquan D",212,IF(Atletas!M532="Ditangquan E",213,IF(Atletas!M532="Houquan E",214,IF(Atletas!M532="Zuiquan E",215,IF(Atletas!M532="Ditangquan F",216,IF(Atletas!M532="Houquan F",217,IF(Atletas!M532="Zuiquan F",218,"")))))))))))))))))))))</f>
        <v/>
      </c>
      <c r="BO536" s="52" t="str">
        <f>IF(Atletas!N532="","",IF(Atletas!W532&lt;&gt;"",10000,0)+IF(Atletas!B532="Feminino",1000,IF(Atletas!B532="Masculino",2000,""))+IF(Atletas!N532="Yang A",301,IF(Atletas!N532="Chen A",30,IF(Atletas!N532="Sun A",303,IF(Atletas!N532="Wu A",304,IF(Atletas!N532="Wu-Hao A",305,IF(Atletas!N532="Outro Taijiquan A",306,IF(Atletas!N532="Yang B",307,IF(Atletas!N532="Chen B",308,IF(Atletas!N532="Sun B",309,IF(Atletas!N532="Wu B",310,IF(Atletas!N532="Wu-Hao B",311,IF(Atletas!N532="Outro Taijiquan B",312,IF(Atletas!N532="Yang C",313,IF(Atletas!N532="Chen C",314,IF(Atletas!N532="Sun C",315,IF(Atletas!N532="Wu C",316,IF(Atletas!N532="Wu-Hao C",317,IF(Atletas!N532="Outro Taijiquan C",318,IF(Atletas!N532="Yang D",319,IF(Atletas!N532="Chen D",320,IF(Atletas!N532="Sun D",321,IF(Atletas!N532="Wu D",322,IF(Atletas!N532="Wu-Hao D",323,IF(Atletas!N532="Outro Taijiquan D",324,IF(Atletas!N532="Yang E",325,IF(Atletas!N532="Chen E",326,IF(Atletas!N532="Sun E",327,IF(Atletas!N532="Wu E",328,IF(Atletas!N532="Wu-Hao E",329,IF(Atletas!N532="Outro Taijiquan E",330,IF(Atletas!N532="Yang F",331,IF(Atletas!N532="Chen F",332,IF(Atletas!N532="Sun F",333,IF(Atletas!N532="Wu F",334,IF(Atletas!N532="Wu-Hao F",335,IF(Atletas!N532="Outro Taijiquan F",336,"")))))))))))))))))))))))))))))))))))))</f>
        <v/>
      </c>
      <c r="BP536" s="52" t="str">
        <f>IF(Atletas!O532="","",IF(Atletas!W532&lt;&gt;"",10000,0)+IF(Atletas!B532="Feminino",1000,IF(Atletas!B532="Masculino",2000,""))+IF(OR(Atletas!O532="Yang 26 A",Atletas!O532="Yang 40 A"),401,IF(OR(Atletas!O532="Chen 25 A",Atletas!O532="Chen 36 A",Atletas!O532="Chen 56 A"),402,IF(Atletas!O532="Sun 73 A",403,IF(Atletas!O532="Wu 45 A",404,IF(Atletas!O532="Wu-Hao 46 A",405,IF(OR(Atletas!O532="Taijiquan 16 A",Atletas!O532="Taijiquan 24 A",Atletas!O532="Taijiquan 32 A",Atletas!O532="Taijiquan 42 A"),406,IF(OR(Atletas!O532="Yang 26 B",Atletas!O532="Yang 40 B"),407,IF(OR(Atletas!O532="Chen 25 B",Atletas!O532="Chen 36 B",Atletas!O532="Chen 56 B"),408,IF(Atletas!O532="Sun 73 B",409,IF(Atletas!O532="Wu 45 B",410,IF(Atletas!O532="Wu-Hao 46 B",411,IF(OR(Atletas!O532="Taijiquan 16 B",Atletas!O532="Taijiquan 24 B",Atletas!O532="Taijiquan 32 B",Atletas!O532="Taijiquan 42 B"),412,IF(OR(Atletas!O532="Yang 26 C",Atletas!O532="Yang 40 C"),413,IF(OR(Atletas!O532="Chen 25 C",Atletas!O532="Chen 36 C",Atletas!O532="Chen 56 C"),414,IF(Atletas!O532="Sun 73 C",415,IF(Atletas!O532="Wu 45 C",416,IF(Atletas!O532="Wu-Hao 46 C",417,IF(OR(Atletas!O532="Taijiquan 16 C",Atletas!O532="Taijiquan 24 C",Atletas!O532="Taijiquan 32 C",Atletas!O532="Taijiquan 42 C"),418,0)))))))))))))))))))</f>
        <v/>
      </c>
      <c r="BQ536" s="52" t="str">
        <f>IF(Atletas!O532="","",IF(Atletas!W532&lt;&gt;"",10000,0)+IF(Atletas!B532="Feminino",1000,IF(Atletas!B532="Masculino",2000,""))+IF(OR(Atletas!O532="Yang 26 D",Atletas!O532="Yang 40 D"),419,IF(OR(Atletas!O532="Chen 25 D",Atletas!O532="Chen 36 D",Atletas!O532="Chen 56 D"),420,IF(Atletas!O532="Sun 73 D",421,IF(Atletas!O532="Wu 45 D",422,IF(Atletas!O532="Wu-Hao 46 D",423,IF(OR(Atletas!O532="Taijiquan 16 D",Atletas!O532="Taijiquan 24 D",Atletas!O532="Taijiquan 32 D",Atletas!O532="Taijiquan 42 D"),424,IF(OR(Atletas!O532="Yang 26 E",Atletas!O532="Yang 40 E"),425,IF(OR(Atletas!O532="Chen 25 E",Atletas!O532="Chen 36 E",Atletas!O532="Chen 56 E"),426,IF(Atletas!O532="Sun 73 E",427,IF(Atletas!O532="Wu 45 E",428,IF(Atletas!O532="Wu-Hao 46 E",429,IF(OR(Atletas!O532="Taijiquan 16 E",Atletas!O532="Taijiquan 24 E",Atletas!O532="Taijiquan 32 E",Atletas!O532="Taijiquan 42 E"),430,IF(OR(Atletas!O532="Yang 26 F",Atletas!O532="Yang 40 F"),431,IF(OR(Atletas!O532="Chen 25 F",Atletas!O532="Chen 36 F",Atletas!O532="Chen 56 F"),432,IF(Atletas!O532="Sun 73 F",433,IF(Atletas!O532="Wu 45 F",434,IF(Atletas!O532="Wu-Hao 46 F",435,IF(OR(Atletas!O532="Taijiquan 16 F",Atletas!O532="Taijiquan 24 F",Atletas!O532="Taijiquan 32 F",Atletas!O532="Taijiquan 42 F"),436,0)))))))))))))))))))</f>
        <v/>
      </c>
      <c r="BR536" s="52" t="str">
        <f>IF(Atletas!P532="","",IF(Atletas!W532&lt;&gt;"",10000,0)+IF(Atletas!B532="Feminino",1000,IF(Atletas!B532="Masculino",2000,""))+IF(Atletas!P532="Xingyiquan A",501,IF(Atletas!P532="Baguazhang A",502,IF(Atletas!P532="Outro Estilo Interno A",503,IF(Atletas!P532="Xingyiquan B",504,IF(Atletas!P532="Baguazhang B",505,IF(Atletas!P532="Outro Estilo Interno B",506,IF(Atletas!P532="Xingyiquan C",507,IF(Atletas!P532="Baguazhang C",508,IF(Atletas!P532="Outro Estilo Interno C",509,IF(Atletas!P532="Xingyiquan D",510,IF(Atletas!P532="Baguazhang D",511,IF(Atletas!P532="Outro Estilo Interno D",512,IF(Atletas!P532="Xingyiquan E",513,IF(Atletas!P532="Baguazhang E",514,IF(Atletas!P532="Outro Estilo Interno E",515,IF(Atletas!P532="Xingyiquan F",516,IF(Atletas!P532="Baguazhang F",517,IF(Atletas!P532="Outro Estilo Interno F",518, "")))))))))))))))))))</f>
        <v/>
      </c>
      <c r="BS536" s="52" t="str">
        <f>IF(Atletas!Q532="","",IF(Atletas!W532&lt;&gt;"",10000,0)+IF(Atletas!B532="Feminino",1000,IF(Atletas!B532="Masculino",2000,""))+IF(Atletas!Q532="Dao A",601,IF(Atletas!Q532="Jian A",602,IF(Atletas!Q532="Bishou A",603,IF(Atletas!Q532="Shan A",604,IF(Atletas!Q532="Outra Arma Curta A",605,IF(Atletas!Q532="Dao B",606,IF(Atletas!Q532="Jian B",607,IF(Atletas!Q532="Bishou B",608,IF(Atletas!Q532="Shan B",609,IF(Atletas!Q532="Outra Arma Curta B",610,IF(Atletas!Q532="Dao C",611,IF(Atletas!Q532="Jian C",612,IF(Atletas!Q532="Bishou C",613,IF(Atletas!Q532="Shan C",614,IF(Atletas!Q532="Outra Arma Curta C",615,IF(Atletas!Q532="Dao D",616,IF(Atletas!Q532="Jian D",617,IF(Atletas!Q532="Bishou D",618,IF(Atletas!Q532="Shan D",619,IF(Atletas!Q532="Outra Arma Curta D",620,IF(Atletas!Q532="Dao E",621,IF(Atletas!Q532="Jian E",622,IF(Atletas!Q532="Bishou E",623,IF(Atletas!Q532="Shan E",624,IF(Atletas!Q532="Outra Arma Curta E",625,IF(Atletas!Q532="Dao F",626,IF(Atletas!Q532="Jian F",627,IF(Atletas!Q532="Bishou F",628,IF(Atletas!Q532="Shan F",629,IF(Atletas!Q532="Outra Arma Curta F",630, "")))))))))))))))))))))))))))))))</f>
        <v/>
      </c>
      <c r="BT536" s="52" t="str">
        <f>IF(Atletas!R532="","",IF(Atletas!W532&lt;&gt;"",10000,0)+IF(Atletas!B532="Feminino",1000,IF(Atletas!B532="Masculino",2000,""))+IF(Atletas!R532="Gun A",701,IF(Atletas!R532="Qiang A",702,IF(Atletas!R532="Pudao / Guandao A",703,IF(Atletas!R532="Outra Arma Longa A",704,IF(Atletas!R532="Gun B",705,IF(Atletas!R532="Qiang B",706,IF(Atletas!R532="Pudao / Guandao B",707,IF(Atletas!R532="Outra Arma Longa B",708,IF(Atletas!R532="Gun C",709,IF(Atletas!R532="Qiang C",710,IF(Atletas!R532="Pudao / Guandao C",711,IF(Atletas!R532="Outra Arma Longa C",712,IF(Atletas!R532="Gun D",713,IF(Atletas!R532="Qiang D",714,IF(Atletas!R532="Pudao / Guandao D",715,IF(Atletas!R532="Outra Arma Longa D",716,IF(Atletas!R532="Gun E",717,IF(Atletas!R532="Qiang E",718,IF(Atletas!R532="Pudao / Guandao E",719,IF(Atletas!R532="Outra Arma Longa E",720,IF(Atletas!R532="Gun F",721,IF(Atletas!R532="Qiang F",722,IF(Atletas!R532="Pudao / Guandao F",723,IF(Atletas!R532="Outra Arma Longa F",724,"")))))))))))))))))))))))))</f>
        <v/>
      </c>
      <c r="BU536" s="52" t="str">
        <f>IF(Atletas!S532="","",IF(Atletas!W532&lt;&gt;"",10000,0)+IF(Atletas!B532="Feminino",1000,IF(Atletas!B532="Masculino",2000,""))+IF(Atletas!S532="Arma Dupla A",801,IF(Atletas!S532="Arma Maleável A",802,IF(Atletas!S532="Arma Dupla B",803,IF(Atletas!S532="Arma Maleável B",804,IF(Atletas!S532="Arma Dupla C",805,IF(Atletas!S532="Arma Maleável C",806,IF(Atletas!S532="Arma Dupla D",807,IF(Atletas!S532="Arma Maleável D",808,IF(Atletas!S532="Arma Dupla E",809,IF(Atletas!S532="Arma Maleável E",810,IF(Atletas!S532="Arma Dupla F",811,IF(Atletas!S532="Arma Maleável F",812, "")))))))))))))</f>
        <v/>
      </c>
      <c r="BV536" s="52" t="str">
        <f>IF(Atletas!T532="","",IF(Atletas!W532&lt;&gt;"",10000,0)+IF(Atletas!B532="Feminino",1000,IF(Atletas!B532="Masculino",2000,""))+IF(Atletas!T532="Taijijian Yang A",901,IF(Atletas!T532="Taijijian Chen A",902,IF(Atletas!T532="Taijijian Sun A",903,IF(Atletas!T532="Taijijian Wu A",904,IF(Atletas!T532="Taijijian Wu-Hao A",905,IF(Atletas!T532="Taijijian 32 A",906,IF(Atletas!T532="Taijijian 42 A",907,IF(Atletas!T532="Taijijian Yang B",908,IF(Atletas!T532="Taijijian Chen B",909,IF(Atletas!T532="Taijijian Sun B",910,IF(Atletas!T532="Taijijian Wu B",911,IF(Atletas!T532="Taijijian Wu-Hao B",912,IF(Atletas!T532="Taijijian 32 B",913,IF(Atletas!T532="Taijijian 42 B",914,IF(Atletas!T532="Taijijian Yang C",915,IF(Atletas!T532="Taijijian Chen C",916,IF(Atletas!T532="Taijijian Sun C",917,IF(Atletas!T532="Taijijian Wu C",918,IF(Atletas!T532="Taijijian Wu-Hao C",919,IF(Atletas!T532="Taijijian 32 C",920,IF(Atletas!T532="Taijijian 42 C",921,IF(Atletas!T532="Taijijian Yang D",922,IF(Atletas!T532="Taijijian Chen D",923,IF(Atletas!T532="Taijijian Sun D",924,IF(Atletas!T532="Taijijian Wu D",925,IF(Atletas!T532="Taijijian Wu-Hao D",926,IF(Atletas!T532="Taijijian 32 D",927,IF(Atletas!T532="Taijijian 42 D",928,IF(Atletas!T532="Taijijian Yang E",929,IF(Atletas!T532="Taijijian Chen E",930,IF(Atletas!T532="Taijijian Sun E",931,IF(Atletas!T532="Taijijian Wu E",932,IF(Atletas!T532="Taijijian Wu-Hao E",933,IF(Atletas!T532="Taijijian 32 E",934,IF(Atletas!T532="Taijijian 42 E",935,IF(Atletas!T532="Taijijian Yang F",936,IF(Atletas!T532="Taijijian Chen F",937,IF(Atletas!T532="Taijijian Sun F",938,IF(Atletas!T532="Taijijian Wu F",939,IF(Atletas!T532="Taijijian Wu-Hao F",940,IF(Atletas!T532="Taijijian 32 F",941,IF(Atletas!T532="Taijijian 42 F",942,"")))))))))))))))))))))))))))))))))))))))))))</f>
        <v/>
      </c>
      <c r="BW536" s="52" t="str">
        <f>IF(Atletas!U532="","",IF(Atletas!W532&lt;&gt;"",10000,0)+IF(Atletas!B532="Feminino",1000,IF(Atletas!B532="Masculino",2000,""))+IF(Atletas!T532="Taijijian 42 F",942,IF(Atletas!U532="Taijidao A",943,IF(Atletas!U532="Taijishan A",944,IF(Atletas!U532="Taijiqiang A",945,IF(Atletas!U532="Taijidao B",946,IF(Atletas!U532="Taijishan B",947,IF(Atletas!U532="Taijiqiang B",948,IF(Atletas!U532="Taijidao C",949,IF(Atletas!U532="Taijishan C",950,IF(Atletas!U532="Taijiqiang C",951,IF(Atletas!U532="Taijidao D",952,IF(Atletas!U532="Taijishan D",953,IF(Atletas!U532="Taijiqiang D",954,IF(Atletas!U532="Taijidao E",955,IF(Atletas!U532="Taijishan E",956,IF(Atletas!U532="Taijiqiang E",957,IF(Atletas!U532="Taijidao F",958,IF(Atletas!U532="Taijishan F",959,IF(Atletas!U532="Taijiqiang F",960))))))))))))))))))))</f>
        <v/>
      </c>
      <c r="CF536" s="52" t="str">
        <f xml:space="preserve"> IF(Atletas!V532="","",IF(Atletas!V532="Duilian de Mãos AB - Equipe 1",1,IF(Atletas!V532="Duilian de Mãos AB - Equipe 2",2,IF(Atletas!V532="Duilian de Armas AB - Equipe 1",3,IF(Atletas!V532="Duilian de Armas AB - Equipe 2",4,IF(Atletas!V532="Duilian de Tuishou - Equipe 1",5,IF(Atletas!V532="Duilian de Tuishou - Equipe 2",6,IF(Atletas!V532="Grupo Externo AB - Equipe 1",7,IF(Atletas!V532="Grupo Externo AB - Equipe 2",8,IF(Atletas!V532="Grupo Interno AB - Equipe 1",9,IF(Atletas!V532="Grupo Interno AB - Equipe 2",10,IF(Atletas!V532="Duilian de Mãos CD - Equipe 1",11,IF(Atletas!V532="Duilian de Mãos CD - Equipe 2",12,IF(Atletas!V532="Duilian de Armas CD - Equipe 1",13,IF(Atletas!V532="Duilian de Armas CD - Equipe 2",14,IF(Atletas!V532="Duilian de Tuishou - Equipe 1",15,IF(Atletas!V532="Duilian de Tuishou - Equipe 2",16,IF(Atletas!V532="Grupo Externo CDEF - Equipe 1",17,IF(Atletas!V532="Grupo Externo CDEF - Equipe 2",18,IF(Atletas!V532="Grupo Interno CDEF - Equipe 1",19,IF(Atletas!V532="Grupo Interno CDEF - Equipe 2",20,IF(Atletas!V532="Duilian de Mãos EF - Equipe 1",21,IF(Atletas!V532="Duilian de Mãos EF - Equipe 2",22,IF(Atletas!V532="Duilian de Armas EF - Equipe 1",23,IF(Atletas!V532="Duilian de Armas EF - Equipe 2",24,IF(Atletas!V532="Duilian de Tuishou - Equipe 1",25,IF(Atletas!V532="Duilian de Tuishou - Equipe 2",26,"")))))))))))))))))))))))))))</f>
        <v/>
      </c>
    </row>
    <row r="537" spans="36:84">
      <c r="AJ537" s="46" t="str">
        <f>IF(Atletas!D533="","",IF(Atletas!B533="Feminino",100,IF(Atletas!B533="Masculino",200,""))+(IF(Atletas!D533="Infantil 39kg",1,IF(Atletas!D533="Infantil 42kg",2,IF(Atletas!D533="Infantil 45kg",3,IF(Atletas!D533="Infantil 48kg",4,IF(Atletas!D533="Infantil 52kg",5,IF(Atletas!D533="Infantil 56kg",6,IF(Atletas!D533="Infantil 60kg",7,IF(Atletas!D533="Juvenil 48kg",8,IF(Atletas!D533="Juvenil 52kg",9,IF(Atletas!D533="Juvenil 56kg",10,IF(Atletas!D533="Juvenil 60kg",11,IF(Atletas!D533="Juvenil 65kg",12,IF(Atletas!D533="Juvenil 70kg",13,IF(Atletas!D533="Juvenil 75kg",14,IF(Atletas!D533="Juvenil 80kg",15,IF(Atletas!D533="Adulto 48kg",16,IF(Atletas!D533="Adulto 52kg",17,IF(Atletas!D533="Adulto 56kg",18,IF(Atletas!D533="Adulto 60kg",19,IF(Atletas!D533="Adulto 65kg",20,IF(Atletas!D533="Adulto 70kg",21,IF(Atletas!D533="Adulto 75kg",22,IF(Atletas!D533="Adulto 80kg",23,IF(Atletas!D533="Adulto 85kg",24,IF(Atletas!D533="Adulto 90kg",25,IF(Atletas!D533="Adulto +90kg",26,""))))))))))))))))))))))))))))</f>
        <v/>
      </c>
      <c r="AO537" s="10" t="str">
        <f>IF(Atletas!E533="","",IF(Atletas!B533="Feminino",100,IF(Atletas!B533="Masculino",200,""))+(IF(Atletas!E533="Juvenil 44kg",1,IF(Atletas!E533="Juvenil 48kg",2,IF(Atletas!E533="Juvenil 52kg",3,IF(Atletas!E533="Juvenil 56kg",4,IF(Atletas!E533="Juvenil 60kg",5,IF(Atletas!E533="Juvenil 65kg",6,IF(Atletas!E533="Juvenil 70kg",7,IF(Atletas!E533="Juvenil 75kg",8,IF(Atletas!E533="Juvenil 82kg",9,IF(Atletas!E533="Juvenil 90kg",10,IF(Atletas!E533="Juvenil 100kg",11,IF(Atletas!E533="Adulto 48kg",12,IF(Atletas!E533="Adulto 52kg",13,IF(Atletas!E533="Adulto 56kg",14,IF(Atletas!E533="Adulto 60kg",15,IF(Atletas!E533="Adulto 65kg",16,IF(Atletas!E533="Adulto 70kg",17,IF(Atletas!E533="Adulto 75kg",18,IF(Atletas!E533="Adulto 82kg",19,IF(Atletas!E533="Adulto 90kg",20,IF(Atletas!E533="Adulto 100kg",21,IF(Atletas!E533="Adulto +100kg",22,""))))))))))))))))))))))))</f>
        <v/>
      </c>
      <c r="AT537" s="10" t="str">
        <f>IF(Atletas!F533="","",IF(Atletas!B533="Feminino",100,IF(Atletas!B533="Masculino",200,""))+(IF(Atletas!F533="Adulto 48kg",1,IF(Atletas!F533="Adulto 56kg",2,IF(Atletas!F533="Adulto 65kg",3,IF(Atletas!F533="Adulto 75kg",4,IF(Atletas!F533="Adulto +75kg",5,IF(Atletas!F533="Adulto 52kg",6,IF(Atletas!F533="Adulto 60kg",7,IF(Atletas!F533="Adulto 70kg",8,IF(Atletas!F533="Adulto 80kg",9,IF(Atletas!F533="Adulto 90kg",10,IF(Atletas!F533="Adulto +90kg",11,"")))))))))))))</f>
        <v/>
      </c>
      <c r="AY537" s="46" t="str">
        <f>IF(Atletas!G533="","",IF(Atletas!B533="Feminino",100,IF(Atletas!B533="Masculino",200,""))+(IF(Atletas!G533="Changquan Mirim",1,IF(Atletas!G533="Nanquan Mirim",2,IF(Atletas!G533="Taijiquan Mirim",3,IF(Atletas!G533="Changquan Grupo C",4,IF(Atletas!G533="Nanquan Grupo C",5,IF(Atletas!G533="Taijiquan Grupo C",6,IF(Atletas!G533="Changquan Grupo B",7,IF(Atletas!G533="Nanquan Grupo B",8,IF(Atletas!G533="Taijiquan Grupo B",9,IF(Atletas!G533="Changquan Grupo A",10,IF(Atletas!G533="Nanquan Grupo A",11,IF(Atletas!G533="Taijiquan Grupo A",12,IF(Atletas!G533="Changquan Opcional",13,IF(Atletas!G533="Nanquan Opcional",14,IF(Atletas!G533="Taijiquan Opcional",15,IF(Atletas!G533="Changquan Adulto",16,IF(Atletas!G533="Nanquan Adulto",17,IF(Atletas!G533="Taijiquan Adulto",18,""))))))))))))))))))))</f>
        <v/>
      </c>
      <c r="AZ537" s="46" t="str">
        <f>IF(Atletas!H533="","",IF(Atletas!B533="Feminino",100,IF(Atletas!B533="Masculino",200,""))+(IF(Atletas!H533="Daoshu Mirim",19,IF(Atletas!H533="Jianshu Mirim",20,IF(Atletas!H533="Nandao Mirim",21,IF(Atletas!H533="Taijijian Mirim",22,IF(Atletas!H533="Daoshu Grupo C",23,IF(Atletas!H533="Jianshu Grupo C",24,IF(Atletas!H533="Nandao Grupo C",25,IF(Atletas!H533="Taijijian Grupo C",26,IF(Atletas!H533="Daoshu Grupo B",27,IF(Atletas!H533="Jianshu Grupo B",28,IF(Atletas!H533="Nandao Grupo B",29,IF(Atletas!H533="Taijijian Grupo B",30,IF(Atletas!H533="Daoshu Grupo A",31,IF(Atletas!H533="Jianshu Grupo A",32,IF(Atletas!H533="Nandao Grupo A",33,IF(Atletas!H533="Taijijian Grupo A",34,IF(Atletas!H533="Daoshu Opcional",35,IF(Atletas!H533="Jianshu Opcional",36,IF(Atletas!H533="Nandao Opcional",37,IF(Atletas!H533="Taijijian Opcional",38,IF(Atletas!H533="Daoshu Adulto",39,IF(Atletas!H533="Jianshu Adulto",40,IF(Atletas!H533="Nandao Adulto",41,IF(Atletas!H533="Taijijian Adulto",42,""))))))))))))))))))))))))))</f>
        <v/>
      </c>
      <c r="BA537" s="46" t="str">
        <f>IF(Atletas!I533="","",IF(Atletas!B533="Feminino",100,IF(Atletas!B533="Masculino",200,""))+(IF(Atletas!I533="Gunshu Mirim",43,IF(Atletas!I533="Qiangshu Mirim",44,IF(Atletas!I533="Nangun Mirim",45,IF(Atletas!I533="Gunshu Grupo C",46,IF(Atletas!I533="Qiangshu Grupo C",47,IF(Atletas!I533="Nangun Grupo C",48,IF(Atletas!I533="Gunshu Grupo B",49,IF(Atletas!I533="Qiangshu Grupo B",50,IF(Atletas!I533="Nangun Grupo B",51,IF(Atletas!I533="Gunshu Grupo A",52,IF(Atletas!I533="Qiangshu Grupo A",53,IF(Atletas!I533="Nangun Grupo A",54,IF(Atletas!I533="Gunshu Opcional",55,IF(Atletas!I533="Qiangshu Opcional",56,IF(Atletas!I533="Nangun Opcional",57,IF(Atletas!I533="Gunshu Adulto",58,IF(Atletas!I533="Qiangshu Adulto",59,IF(Atletas!I533="Nangun Adulto",60,""))))))))))))))))))))</f>
        <v/>
      </c>
      <c r="BF537" s="52" t="str">
        <f>IF(Atletas!J533="","",IF(Atletas!B533="Feminino",100,IF(Atletas!B533="Masculino",200,""))+(IF(Atletas!J533="Equipe 1 Grupo B",1,IF(Atletas!J533="Equipe 2 Grupo B",2,IF(Atletas!J533="Equipe 1 Grupo A",3,IF(Atletas!J533="Equipe 2 Grupo A",4,IF(Atletas!J533="Equipe 1 Adulto",5,IF(Atletas!J533="Equipe 2 Adulto",6,""))))))))</f>
        <v/>
      </c>
      <c r="BK537" s="52" t="str">
        <f>IF(Atletas!K533="","",IF(Atletas!W533&lt;&gt;"",10000,0)+(IF(Atletas!B533="Feminino",1000,IF(Atletas!B533="Masculino",2000,""))+IF(Atletas!K533="Choylayfut A",1,IF(Atletas!K533="Hunggar A",2,IF(Atletas!K533="Wuzuquan A",3,IF(Atletas!K533="Wingchun A",4,IF(Atletas!K533="Outra Mão de Sul A",5,IF(Atletas!K533="Choylayfut B",6,IF(Atletas!K533="Hunggar B",7,IF(Atletas!K533="Wuzuquan B",8,IF(Atletas!K533="Wingchun B",9,IF(Atletas!K533="Outra Mão de Sul B",10,IF(Atletas!K533="Choylayfut C",11,IF(Atletas!K533="Hunggar C",12,IF(Atletas!K533="Wuzuquan C",13,IF(Atletas!K533="Wingchun C",14,IF(Atletas!K533="Outra Mão de Sul C",15,IF(Atletas!K533="Choylayfut D",16,IF(Atletas!K533="Hunggar D",17,IF(Atletas!K533="Wuzuquan D",18,IF(Atletas!K533="Wingchun D",19,IF(Atletas!K533="Outra Mão de Sul D",20,IF(Atletas!K533="Choylayfut E",21,IF(Atletas!K533="Hunggar E",22,IF(Atletas!K533="Wuzuquan E",23,IF(Atletas!K533="Wingchun E",24,IF(Atletas!K533="Outra Mão de Sul E",25,IF(Atletas!K533="Choylayfut F",26,IF(Atletas!K533="Hunggar F",27,IF(Atletas!K533="Wuzuquan F",28,IF(Atletas!K533="Wingchun F",29,IF(Atletas!K533="Outra Mão de Sul F",30,""))))))))))))))))))))))))))))))))</f>
        <v/>
      </c>
      <c r="BL537" s="52" t="str">
        <f>IF(Atletas!L533="","",IF(Atletas!W533&lt;&gt;"",10000,0)+(IF(Atletas!B533="Feminino",1000,IF(Atletas!B533="Masculino",2000,""))+(IF(Atletas!L533="Chaquan A",101,IF(Atletas!L533="Emeiquan A",102,IF(Atletas!L533="Fanziquan A",103,IF(Atletas!L533="Huaquan A",104,IF(Atletas!L533="Hongquan A",105,IF(Atletas!L533="Paochui A",106,IF(Atletas!L533="Piguaquan A",107,IF(Atletas!L533="Shaolinquan A",108,IF(Atletas!L533="Tanglangquan A",109,IF(Atletas!L533="Yinzhaophai A",110,IF(Atletas!L533="Tongbeiquan A",111,IF(Atletas!L533="Wudangquan A",112,IF(Atletas!L533="Outros Estilos A",113,IF(Atletas!L533="Chaquan B",114,IF(Atletas!L533="Emeiquan B",115,IF(Atletas!L533="Fanziquan B",116,IF(Atletas!L533="Huaquan B",117,IF(Atletas!L533="Hongquan B",118,IF(Atletas!L533="Paochui B",119,IF(Atletas!L533="Piguaquan B",120,IF(Atletas!L533="Shaolinquan B",121,IF(Atletas!L533="Tanglangquan B",122,IF(Atletas!L533="Yinzhaophai B",123,IF(Atletas!L533="Tongbeiquan B",124,IF(Atletas!L533="Wudangquan B",125,IF(Atletas!L533="Outros Estilos B",126,IF(Atletas!L533="Chaquan C",127,IF(Atletas!L533="Emeiquan C",128,IF(Atletas!L533="Fanziquan C",129,IF(Atletas!L533="Huaquan C",130,IF(Atletas!L533="Hongquan C",131,IF(Atletas!L533="Paochui C",132,IF(Atletas!L533="Piguaquan C",133,IF(Atletas!L533="Shaolinquan C",134,IF(Atletas!L533="Tanglangquan C",135,IF(Atletas!L533="Yinzhaophai C",136,IF(Atletas!L533="Tongbeiquan C",137,IF(Atletas!L533="Wudangquan C",138,IF(Atletas!L533="Outros Estilos C",139,0))))))))))))))))))))))))))))))))))))))))))</f>
        <v/>
      </c>
      <c r="BM537" s="52" t="str">
        <f>IF(Atletas!L533="","",IF(Atletas!W533&lt;&gt;"",10000,0)+(IF(Atletas!B533="Feminino",1000,IF(Atletas!B533="Masculino",2000,""))+(IF(Atletas!L533="Chaquan D",140,IF(Atletas!L533="Emeiquan D",141,IF(Atletas!L533="Fanziquan D",142,IF(Atletas!L533="Huaquan D",143,IF(Atletas!L533="Hongquan D",144,IF(Atletas!L533="Paochui D",145,IF(Atletas!L533="Piguaquan D",146,IF(Atletas!L533="Shaolinquan D",147,IF(Atletas!L533="Tanglangquan D",148,IF(Atletas!L533="Yinzhaophai D",149,IF(Atletas!L533="Tongbeiquan D",150,IF(Atletas!L533="Wudangquan D",151,IF(Atletas!L533="Outros Estilos D",152,IF(Atletas!L533="Chaquan E",153,IF(Atletas!L533="Emeiquan E",154,IF(Atletas!L533="Fanziquan E",155,IF(Atletas!L533="Huaquan E",156,IF(Atletas!L533="Hongquan E",157,IF(Atletas!L533="Paochui E",158,IF(Atletas!L533="Piguaquan E",159,IF(Atletas!L533="Shaolinquan E",160,IF(Atletas!L533="Tanglangquan E",161,IF(Atletas!L533="Yinzhaophai E",162,IF(Atletas!L533="Tongbeiquan E",163,IF(Atletas!L533="Wudangquan E",164,IF(Atletas!L533="Outros Estilos E",165,IF(Atletas!L533="Chaquan F",166,IF(Atletas!L533="Emeiquan F",167,IF(Atletas!L533="Fanziquan F",168,IF(Atletas!L533="Huaquan F",169,IF(Atletas!L533="Hongquan F",170,IF(Atletas!L533="Paochui F",171,IF(Atletas!L533="Piguaquan F",172,IF(Atletas!L533="Shaolinquan F",173,IF(Atletas!L533="Tanglangquan F",174,IF(Atletas!L533="Yinzhaophai F",175,IF(Atletas!L533="Tongbeiquan F",176,IF(Atletas!L533="Wudangquan F",177,IF(Atletas!L533="Outros Estilos F",178,0))))))))))))))))))))))))))))))))))))))))))</f>
        <v/>
      </c>
      <c r="BN537" s="52" t="str">
        <f>IF(Atletas!M533="","",IF(Atletas!W533&lt;&gt;"",10000,0)+(IF(Atletas!B533="Feminino",1000,IF(Atletas!B533="Masculino",2000,""))+(IF(Atletas!M533="Ditangquan A",201,IF(Atletas!M533="Houquan A",202,IF(Atletas!M533="Zuiquan A",203,IF(Atletas!M533="Ditangquan B",204,IF(Atletas!M533="Houquan B",205,IF(Atletas!M533="Zuiquan B",206,IF(Atletas!M533="Ditangquan C",207,IF(Atletas!M533="Houquan C",208,IF(Atletas!M533="Zuiquan C",209,IF(Atletas!M533="Ditangquan D",210,IF(Atletas!M533="Houquan D",211,IF(Atletas!M533="Zuiquan D",212,IF(Atletas!M533="Ditangquan E",213,IF(Atletas!M533="Houquan E",214,IF(Atletas!M533="Zuiquan E",215,IF(Atletas!M533="Ditangquan F",216,IF(Atletas!M533="Houquan F",217,IF(Atletas!M533="Zuiquan F",218,"")))))))))))))))))))))</f>
        <v/>
      </c>
      <c r="BO537" s="52" t="str">
        <f>IF(Atletas!N533="","",IF(Atletas!W533&lt;&gt;"",10000,0)+IF(Atletas!B533="Feminino",1000,IF(Atletas!B533="Masculino",2000,""))+IF(Atletas!N533="Yang A",301,IF(Atletas!N533="Chen A",30,IF(Atletas!N533="Sun A",303,IF(Atletas!N533="Wu A",304,IF(Atletas!N533="Wu-Hao A",305,IF(Atletas!N533="Outro Taijiquan A",306,IF(Atletas!N533="Yang B",307,IF(Atletas!N533="Chen B",308,IF(Atletas!N533="Sun B",309,IF(Atletas!N533="Wu B",310,IF(Atletas!N533="Wu-Hao B",311,IF(Atletas!N533="Outro Taijiquan B",312,IF(Atletas!N533="Yang C",313,IF(Atletas!N533="Chen C",314,IF(Atletas!N533="Sun C",315,IF(Atletas!N533="Wu C",316,IF(Atletas!N533="Wu-Hao C",317,IF(Atletas!N533="Outro Taijiquan C",318,IF(Atletas!N533="Yang D",319,IF(Atletas!N533="Chen D",320,IF(Atletas!N533="Sun D",321,IF(Atletas!N533="Wu D",322,IF(Atletas!N533="Wu-Hao D",323,IF(Atletas!N533="Outro Taijiquan D",324,IF(Atletas!N533="Yang E",325,IF(Atletas!N533="Chen E",326,IF(Atletas!N533="Sun E",327,IF(Atletas!N533="Wu E",328,IF(Atletas!N533="Wu-Hao E",329,IF(Atletas!N533="Outro Taijiquan E",330,IF(Atletas!N533="Yang F",331,IF(Atletas!N533="Chen F",332,IF(Atletas!N533="Sun F",333,IF(Atletas!N533="Wu F",334,IF(Atletas!N533="Wu-Hao F",335,IF(Atletas!N533="Outro Taijiquan F",336,"")))))))))))))))))))))))))))))))))))))</f>
        <v/>
      </c>
      <c r="BP537" s="52" t="str">
        <f>IF(Atletas!O533="","",IF(Atletas!W533&lt;&gt;"",10000,0)+IF(Atletas!B533="Feminino",1000,IF(Atletas!B533="Masculino",2000,""))+IF(OR(Atletas!O533="Yang 26 A",Atletas!O533="Yang 40 A"),401,IF(OR(Atletas!O533="Chen 25 A",Atletas!O533="Chen 36 A",Atletas!O533="Chen 56 A"),402,IF(Atletas!O533="Sun 73 A",403,IF(Atletas!O533="Wu 45 A",404,IF(Atletas!O533="Wu-Hao 46 A",405,IF(OR(Atletas!O533="Taijiquan 16 A",Atletas!O533="Taijiquan 24 A",Atletas!O533="Taijiquan 32 A",Atletas!O533="Taijiquan 42 A"),406,IF(OR(Atletas!O533="Yang 26 B",Atletas!O533="Yang 40 B"),407,IF(OR(Atletas!O533="Chen 25 B",Atletas!O533="Chen 36 B",Atletas!O533="Chen 56 B"),408,IF(Atletas!O533="Sun 73 B",409,IF(Atletas!O533="Wu 45 B",410,IF(Atletas!O533="Wu-Hao 46 B",411,IF(OR(Atletas!O533="Taijiquan 16 B",Atletas!O533="Taijiquan 24 B",Atletas!O533="Taijiquan 32 B",Atletas!O533="Taijiquan 42 B"),412,IF(OR(Atletas!O533="Yang 26 C",Atletas!O533="Yang 40 C"),413,IF(OR(Atletas!O533="Chen 25 C",Atletas!O533="Chen 36 C",Atletas!O533="Chen 56 C"),414,IF(Atletas!O533="Sun 73 C",415,IF(Atletas!O533="Wu 45 C",416,IF(Atletas!O533="Wu-Hao 46 C",417,IF(OR(Atletas!O533="Taijiquan 16 C",Atletas!O533="Taijiquan 24 C",Atletas!O533="Taijiquan 32 C",Atletas!O533="Taijiquan 42 C"),418,0)))))))))))))))))))</f>
        <v/>
      </c>
      <c r="BQ537" s="52" t="str">
        <f>IF(Atletas!O533="","",IF(Atletas!W533&lt;&gt;"",10000,0)+IF(Atletas!B533="Feminino",1000,IF(Atletas!B533="Masculino",2000,""))+IF(OR(Atletas!O533="Yang 26 D",Atletas!O533="Yang 40 D"),419,IF(OR(Atletas!O533="Chen 25 D",Atletas!O533="Chen 36 D",Atletas!O533="Chen 56 D"),420,IF(Atletas!O533="Sun 73 D",421,IF(Atletas!O533="Wu 45 D",422,IF(Atletas!O533="Wu-Hao 46 D",423,IF(OR(Atletas!O533="Taijiquan 16 D",Atletas!O533="Taijiquan 24 D",Atletas!O533="Taijiquan 32 D",Atletas!O533="Taijiquan 42 D"),424,IF(OR(Atletas!O533="Yang 26 E",Atletas!O533="Yang 40 E"),425,IF(OR(Atletas!O533="Chen 25 E",Atletas!O533="Chen 36 E",Atletas!O533="Chen 56 E"),426,IF(Atletas!O533="Sun 73 E",427,IF(Atletas!O533="Wu 45 E",428,IF(Atletas!O533="Wu-Hao 46 E",429,IF(OR(Atletas!O533="Taijiquan 16 E",Atletas!O533="Taijiquan 24 E",Atletas!O533="Taijiquan 32 E",Atletas!O533="Taijiquan 42 E"),430,IF(OR(Atletas!O533="Yang 26 F",Atletas!O533="Yang 40 F"),431,IF(OR(Atletas!O533="Chen 25 F",Atletas!O533="Chen 36 F",Atletas!O533="Chen 56 F"),432,IF(Atletas!O533="Sun 73 F",433,IF(Atletas!O533="Wu 45 F",434,IF(Atletas!O533="Wu-Hao 46 F",435,IF(OR(Atletas!O533="Taijiquan 16 F",Atletas!O533="Taijiquan 24 F",Atletas!O533="Taijiquan 32 F",Atletas!O533="Taijiquan 42 F"),436,0)))))))))))))))))))</f>
        <v/>
      </c>
      <c r="BR537" s="52" t="str">
        <f>IF(Atletas!P533="","",IF(Atletas!W533&lt;&gt;"",10000,0)+IF(Atletas!B533="Feminino",1000,IF(Atletas!B533="Masculino",2000,""))+IF(Atletas!P533="Xingyiquan A",501,IF(Atletas!P533="Baguazhang A",502,IF(Atletas!P533="Outro Estilo Interno A",503,IF(Atletas!P533="Xingyiquan B",504,IF(Atletas!P533="Baguazhang B",505,IF(Atletas!P533="Outro Estilo Interno B",506,IF(Atletas!P533="Xingyiquan C",507,IF(Atletas!P533="Baguazhang C",508,IF(Atletas!P533="Outro Estilo Interno C",509,IF(Atletas!P533="Xingyiquan D",510,IF(Atletas!P533="Baguazhang D",511,IF(Atletas!P533="Outro Estilo Interno D",512,IF(Atletas!P533="Xingyiquan E",513,IF(Atletas!P533="Baguazhang E",514,IF(Atletas!P533="Outro Estilo Interno E",515,IF(Atletas!P533="Xingyiquan F",516,IF(Atletas!P533="Baguazhang F",517,IF(Atletas!P533="Outro Estilo Interno F",518, "")))))))))))))))))))</f>
        <v/>
      </c>
      <c r="BS537" s="52" t="str">
        <f>IF(Atletas!Q533="","",IF(Atletas!W533&lt;&gt;"",10000,0)+IF(Atletas!B533="Feminino",1000,IF(Atletas!B533="Masculino",2000,""))+IF(Atletas!Q533="Dao A",601,IF(Atletas!Q533="Jian A",602,IF(Atletas!Q533="Bishou A",603,IF(Atletas!Q533="Shan A",604,IF(Atletas!Q533="Outra Arma Curta A",605,IF(Atletas!Q533="Dao B",606,IF(Atletas!Q533="Jian B",607,IF(Atletas!Q533="Bishou B",608,IF(Atletas!Q533="Shan B",609,IF(Atletas!Q533="Outra Arma Curta B",610,IF(Atletas!Q533="Dao C",611,IF(Atletas!Q533="Jian C",612,IF(Atletas!Q533="Bishou C",613,IF(Atletas!Q533="Shan C",614,IF(Atletas!Q533="Outra Arma Curta C",615,IF(Atletas!Q533="Dao D",616,IF(Atletas!Q533="Jian D",617,IF(Atletas!Q533="Bishou D",618,IF(Atletas!Q533="Shan D",619,IF(Atletas!Q533="Outra Arma Curta D",620,IF(Atletas!Q533="Dao E",621,IF(Atletas!Q533="Jian E",622,IF(Atletas!Q533="Bishou E",623,IF(Atletas!Q533="Shan E",624,IF(Atletas!Q533="Outra Arma Curta E",625,IF(Atletas!Q533="Dao F",626,IF(Atletas!Q533="Jian F",627,IF(Atletas!Q533="Bishou F",628,IF(Atletas!Q533="Shan F",629,IF(Atletas!Q533="Outra Arma Curta F",630, "")))))))))))))))))))))))))))))))</f>
        <v/>
      </c>
      <c r="BT537" s="52" t="str">
        <f>IF(Atletas!R533="","",IF(Atletas!W533&lt;&gt;"",10000,0)+IF(Atletas!B533="Feminino",1000,IF(Atletas!B533="Masculino",2000,""))+IF(Atletas!R533="Gun A",701,IF(Atletas!R533="Qiang A",702,IF(Atletas!R533="Pudao / Guandao A",703,IF(Atletas!R533="Outra Arma Longa A",704,IF(Atletas!R533="Gun B",705,IF(Atletas!R533="Qiang B",706,IF(Atletas!R533="Pudao / Guandao B",707,IF(Atletas!R533="Outra Arma Longa B",708,IF(Atletas!R533="Gun C",709,IF(Atletas!R533="Qiang C",710,IF(Atletas!R533="Pudao / Guandao C",711,IF(Atletas!R533="Outra Arma Longa C",712,IF(Atletas!R533="Gun D",713,IF(Atletas!R533="Qiang D",714,IF(Atletas!R533="Pudao / Guandao D",715,IF(Atletas!R533="Outra Arma Longa D",716,IF(Atletas!R533="Gun E",717,IF(Atletas!R533="Qiang E",718,IF(Atletas!R533="Pudao / Guandao E",719,IF(Atletas!R533="Outra Arma Longa E",720,IF(Atletas!R533="Gun F",721,IF(Atletas!R533="Qiang F",722,IF(Atletas!R533="Pudao / Guandao F",723,IF(Atletas!R533="Outra Arma Longa F",724,"")))))))))))))))))))))))))</f>
        <v/>
      </c>
      <c r="BU537" s="52" t="str">
        <f>IF(Atletas!S533="","",IF(Atletas!W533&lt;&gt;"",10000,0)+IF(Atletas!B533="Feminino",1000,IF(Atletas!B533="Masculino",2000,""))+IF(Atletas!S533="Arma Dupla A",801,IF(Atletas!S533="Arma Maleável A",802,IF(Atletas!S533="Arma Dupla B",803,IF(Atletas!S533="Arma Maleável B",804,IF(Atletas!S533="Arma Dupla C",805,IF(Atletas!S533="Arma Maleável C",806,IF(Atletas!S533="Arma Dupla D",807,IF(Atletas!S533="Arma Maleável D",808,IF(Atletas!S533="Arma Dupla E",809,IF(Atletas!S533="Arma Maleável E",810,IF(Atletas!S533="Arma Dupla F",811,IF(Atletas!S533="Arma Maleável F",812, "")))))))))))))</f>
        <v/>
      </c>
      <c r="BV537" s="52" t="str">
        <f>IF(Atletas!T533="","",IF(Atletas!W533&lt;&gt;"",10000,0)+IF(Atletas!B533="Feminino",1000,IF(Atletas!B533="Masculino",2000,""))+IF(Atletas!T533="Taijijian Yang A",901,IF(Atletas!T533="Taijijian Chen A",902,IF(Atletas!T533="Taijijian Sun A",903,IF(Atletas!T533="Taijijian Wu A",904,IF(Atletas!T533="Taijijian Wu-Hao A",905,IF(Atletas!T533="Taijijian 32 A",906,IF(Atletas!T533="Taijijian 42 A",907,IF(Atletas!T533="Taijijian Yang B",908,IF(Atletas!T533="Taijijian Chen B",909,IF(Atletas!T533="Taijijian Sun B",910,IF(Atletas!T533="Taijijian Wu B",911,IF(Atletas!T533="Taijijian Wu-Hao B",912,IF(Atletas!T533="Taijijian 32 B",913,IF(Atletas!T533="Taijijian 42 B",914,IF(Atletas!T533="Taijijian Yang C",915,IF(Atletas!T533="Taijijian Chen C",916,IF(Atletas!T533="Taijijian Sun C",917,IF(Atletas!T533="Taijijian Wu C",918,IF(Atletas!T533="Taijijian Wu-Hao C",919,IF(Atletas!T533="Taijijian 32 C",920,IF(Atletas!T533="Taijijian 42 C",921,IF(Atletas!T533="Taijijian Yang D",922,IF(Atletas!T533="Taijijian Chen D",923,IF(Atletas!T533="Taijijian Sun D",924,IF(Atletas!T533="Taijijian Wu D",925,IF(Atletas!T533="Taijijian Wu-Hao D",926,IF(Atletas!T533="Taijijian 32 D",927,IF(Atletas!T533="Taijijian 42 D",928,IF(Atletas!T533="Taijijian Yang E",929,IF(Atletas!T533="Taijijian Chen E",930,IF(Atletas!T533="Taijijian Sun E",931,IF(Atletas!T533="Taijijian Wu E",932,IF(Atletas!T533="Taijijian Wu-Hao E",933,IF(Atletas!T533="Taijijian 32 E",934,IF(Atletas!T533="Taijijian 42 E",935,IF(Atletas!T533="Taijijian Yang F",936,IF(Atletas!T533="Taijijian Chen F",937,IF(Atletas!T533="Taijijian Sun F",938,IF(Atletas!T533="Taijijian Wu F",939,IF(Atletas!T533="Taijijian Wu-Hao F",940,IF(Atletas!T533="Taijijian 32 F",941,IF(Atletas!T533="Taijijian 42 F",942,"")))))))))))))))))))))))))))))))))))))))))))</f>
        <v/>
      </c>
      <c r="BW537" s="52" t="str">
        <f>IF(Atletas!U533="","",IF(Atletas!W533&lt;&gt;"",10000,0)+IF(Atletas!B533="Feminino",1000,IF(Atletas!B533="Masculino",2000,""))+IF(Atletas!T533="Taijijian 42 F",942,IF(Atletas!U533="Taijidao A",943,IF(Atletas!U533="Taijishan A",944,IF(Atletas!U533="Taijiqiang A",945,IF(Atletas!U533="Taijidao B",946,IF(Atletas!U533="Taijishan B",947,IF(Atletas!U533="Taijiqiang B",948,IF(Atletas!U533="Taijidao C",949,IF(Atletas!U533="Taijishan C",950,IF(Atletas!U533="Taijiqiang C",951,IF(Atletas!U533="Taijidao D",952,IF(Atletas!U533="Taijishan D",953,IF(Atletas!U533="Taijiqiang D",954,IF(Atletas!U533="Taijidao E",955,IF(Atletas!U533="Taijishan E",956,IF(Atletas!U533="Taijiqiang E",957,IF(Atletas!U533="Taijidao F",958,IF(Atletas!U533="Taijishan F",959,IF(Atletas!U533="Taijiqiang F",960))))))))))))))))))))</f>
        <v/>
      </c>
      <c r="CF537" s="52" t="str">
        <f xml:space="preserve"> IF(Atletas!V533="","",IF(Atletas!V533="Duilian de Mãos AB - Equipe 1",1,IF(Atletas!V533="Duilian de Mãos AB - Equipe 2",2,IF(Atletas!V533="Duilian de Armas AB - Equipe 1",3,IF(Atletas!V533="Duilian de Armas AB - Equipe 2",4,IF(Atletas!V533="Duilian de Tuishou - Equipe 1",5,IF(Atletas!V533="Duilian de Tuishou - Equipe 2",6,IF(Atletas!V533="Grupo Externo AB - Equipe 1",7,IF(Atletas!V533="Grupo Externo AB - Equipe 2",8,IF(Atletas!V533="Grupo Interno AB - Equipe 1",9,IF(Atletas!V533="Grupo Interno AB - Equipe 2",10,IF(Atletas!V533="Duilian de Mãos CD - Equipe 1",11,IF(Atletas!V533="Duilian de Mãos CD - Equipe 2",12,IF(Atletas!V533="Duilian de Armas CD - Equipe 1",13,IF(Atletas!V533="Duilian de Armas CD - Equipe 2",14,IF(Atletas!V533="Duilian de Tuishou - Equipe 1",15,IF(Atletas!V533="Duilian de Tuishou - Equipe 2",16,IF(Atletas!V533="Grupo Externo CDEF - Equipe 1",17,IF(Atletas!V533="Grupo Externo CDEF - Equipe 2",18,IF(Atletas!V533="Grupo Interno CDEF - Equipe 1",19,IF(Atletas!V533="Grupo Interno CDEF - Equipe 2",20,IF(Atletas!V533="Duilian de Mãos EF - Equipe 1",21,IF(Atletas!V533="Duilian de Mãos EF - Equipe 2",22,IF(Atletas!V533="Duilian de Armas EF - Equipe 1",23,IF(Atletas!V533="Duilian de Armas EF - Equipe 2",24,IF(Atletas!V533="Duilian de Tuishou - Equipe 1",25,IF(Atletas!V533="Duilian de Tuishou - Equipe 2",26,"")))))))))))))))))))))))))))</f>
        <v/>
      </c>
    </row>
    <row r="538" spans="36:84">
      <c r="AJ538" s="46" t="str">
        <f>IF(Atletas!D534="","",IF(Atletas!B534="Feminino",100,IF(Atletas!B534="Masculino",200,""))+(IF(Atletas!D534="Infantil 39kg",1,IF(Atletas!D534="Infantil 42kg",2,IF(Atletas!D534="Infantil 45kg",3,IF(Atletas!D534="Infantil 48kg",4,IF(Atletas!D534="Infantil 52kg",5,IF(Atletas!D534="Infantil 56kg",6,IF(Atletas!D534="Infantil 60kg",7,IF(Atletas!D534="Juvenil 48kg",8,IF(Atletas!D534="Juvenil 52kg",9,IF(Atletas!D534="Juvenil 56kg",10,IF(Atletas!D534="Juvenil 60kg",11,IF(Atletas!D534="Juvenil 65kg",12,IF(Atletas!D534="Juvenil 70kg",13,IF(Atletas!D534="Juvenil 75kg",14,IF(Atletas!D534="Juvenil 80kg",15,IF(Atletas!D534="Adulto 48kg",16,IF(Atletas!D534="Adulto 52kg",17,IF(Atletas!D534="Adulto 56kg",18,IF(Atletas!D534="Adulto 60kg",19,IF(Atletas!D534="Adulto 65kg",20,IF(Atletas!D534="Adulto 70kg",21,IF(Atletas!D534="Adulto 75kg",22,IF(Atletas!D534="Adulto 80kg",23,IF(Atletas!D534="Adulto 85kg",24,IF(Atletas!D534="Adulto 90kg",25,IF(Atletas!D534="Adulto +90kg",26,""))))))))))))))))))))))))))))</f>
        <v/>
      </c>
      <c r="AO538" s="10" t="str">
        <f>IF(Atletas!E534="","",IF(Atletas!B534="Feminino",100,IF(Atletas!B534="Masculino",200,""))+(IF(Atletas!E534="Juvenil 44kg",1,IF(Atletas!E534="Juvenil 48kg",2,IF(Atletas!E534="Juvenil 52kg",3,IF(Atletas!E534="Juvenil 56kg",4,IF(Atletas!E534="Juvenil 60kg",5,IF(Atletas!E534="Juvenil 65kg",6,IF(Atletas!E534="Juvenil 70kg",7,IF(Atletas!E534="Juvenil 75kg",8,IF(Atletas!E534="Juvenil 82kg",9,IF(Atletas!E534="Juvenil 90kg",10,IF(Atletas!E534="Juvenil 100kg",11,IF(Atletas!E534="Adulto 48kg",12,IF(Atletas!E534="Adulto 52kg",13,IF(Atletas!E534="Adulto 56kg",14,IF(Atletas!E534="Adulto 60kg",15,IF(Atletas!E534="Adulto 65kg",16,IF(Atletas!E534="Adulto 70kg",17,IF(Atletas!E534="Adulto 75kg",18,IF(Atletas!E534="Adulto 82kg",19,IF(Atletas!E534="Adulto 90kg",20,IF(Atletas!E534="Adulto 100kg",21,IF(Atletas!E534="Adulto +100kg",22,""))))))))))))))))))))))))</f>
        <v/>
      </c>
      <c r="AT538" s="10" t="str">
        <f>IF(Atletas!F534="","",IF(Atletas!B534="Feminino",100,IF(Atletas!B534="Masculino",200,""))+(IF(Atletas!F534="Adulto 48kg",1,IF(Atletas!F534="Adulto 56kg",2,IF(Atletas!F534="Adulto 65kg",3,IF(Atletas!F534="Adulto 75kg",4,IF(Atletas!F534="Adulto +75kg",5,IF(Atletas!F534="Adulto 52kg",6,IF(Atletas!F534="Adulto 60kg",7,IF(Atletas!F534="Adulto 70kg",8,IF(Atletas!F534="Adulto 80kg",9,IF(Atletas!F534="Adulto 90kg",10,IF(Atletas!F534="Adulto +90kg",11,"")))))))))))))</f>
        <v/>
      </c>
      <c r="AY538" s="46" t="str">
        <f>IF(Atletas!G534="","",IF(Atletas!B534="Feminino",100,IF(Atletas!B534="Masculino",200,""))+(IF(Atletas!G534="Changquan Mirim",1,IF(Atletas!G534="Nanquan Mirim",2,IF(Atletas!G534="Taijiquan Mirim",3,IF(Atletas!G534="Changquan Grupo C",4,IF(Atletas!G534="Nanquan Grupo C",5,IF(Atletas!G534="Taijiquan Grupo C",6,IF(Atletas!G534="Changquan Grupo B",7,IF(Atletas!G534="Nanquan Grupo B",8,IF(Atletas!G534="Taijiquan Grupo B",9,IF(Atletas!G534="Changquan Grupo A",10,IF(Atletas!G534="Nanquan Grupo A",11,IF(Atletas!G534="Taijiquan Grupo A",12,IF(Atletas!G534="Changquan Opcional",13,IF(Atletas!G534="Nanquan Opcional",14,IF(Atletas!G534="Taijiquan Opcional",15,IF(Atletas!G534="Changquan Adulto",16,IF(Atletas!G534="Nanquan Adulto",17,IF(Atletas!G534="Taijiquan Adulto",18,""))))))))))))))))))))</f>
        <v/>
      </c>
      <c r="AZ538" s="46" t="str">
        <f>IF(Atletas!H534="","",IF(Atletas!B534="Feminino",100,IF(Atletas!B534="Masculino",200,""))+(IF(Atletas!H534="Daoshu Mirim",19,IF(Atletas!H534="Jianshu Mirim",20,IF(Atletas!H534="Nandao Mirim",21,IF(Atletas!H534="Taijijian Mirim",22,IF(Atletas!H534="Daoshu Grupo C",23,IF(Atletas!H534="Jianshu Grupo C",24,IF(Atletas!H534="Nandao Grupo C",25,IF(Atletas!H534="Taijijian Grupo C",26,IF(Atletas!H534="Daoshu Grupo B",27,IF(Atletas!H534="Jianshu Grupo B",28,IF(Atletas!H534="Nandao Grupo B",29,IF(Atletas!H534="Taijijian Grupo B",30,IF(Atletas!H534="Daoshu Grupo A",31,IF(Atletas!H534="Jianshu Grupo A",32,IF(Atletas!H534="Nandao Grupo A",33,IF(Atletas!H534="Taijijian Grupo A",34,IF(Atletas!H534="Daoshu Opcional",35,IF(Atletas!H534="Jianshu Opcional",36,IF(Atletas!H534="Nandao Opcional",37,IF(Atletas!H534="Taijijian Opcional",38,IF(Atletas!H534="Daoshu Adulto",39,IF(Atletas!H534="Jianshu Adulto",40,IF(Atletas!H534="Nandao Adulto",41,IF(Atletas!H534="Taijijian Adulto",42,""))))))))))))))))))))))))))</f>
        <v/>
      </c>
      <c r="BA538" s="46" t="str">
        <f>IF(Atletas!I534="","",IF(Atletas!B534="Feminino",100,IF(Atletas!B534="Masculino",200,""))+(IF(Atletas!I534="Gunshu Mirim",43,IF(Atletas!I534="Qiangshu Mirim",44,IF(Atletas!I534="Nangun Mirim",45,IF(Atletas!I534="Gunshu Grupo C",46,IF(Atletas!I534="Qiangshu Grupo C",47,IF(Atletas!I534="Nangun Grupo C",48,IF(Atletas!I534="Gunshu Grupo B",49,IF(Atletas!I534="Qiangshu Grupo B",50,IF(Atletas!I534="Nangun Grupo B",51,IF(Atletas!I534="Gunshu Grupo A",52,IF(Atletas!I534="Qiangshu Grupo A",53,IF(Atletas!I534="Nangun Grupo A",54,IF(Atletas!I534="Gunshu Opcional",55,IF(Atletas!I534="Qiangshu Opcional",56,IF(Atletas!I534="Nangun Opcional",57,IF(Atletas!I534="Gunshu Adulto",58,IF(Atletas!I534="Qiangshu Adulto",59,IF(Atletas!I534="Nangun Adulto",60,""))))))))))))))))))))</f>
        <v/>
      </c>
      <c r="BF538" s="52" t="str">
        <f>IF(Atletas!J534="","",IF(Atletas!B534="Feminino",100,IF(Atletas!B534="Masculino",200,""))+(IF(Atletas!J534="Equipe 1 Grupo B",1,IF(Atletas!J534="Equipe 2 Grupo B",2,IF(Atletas!J534="Equipe 1 Grupo A",3,IF(Atletas!J534="Equipe 2 Grupo A",4,IF(Atletas!J534="Equipe 1 Adulto",5,IF(Atletas!J534="Equipe 2 Adulto",6,""))))))))</f>
        <v/>
      </c>
      <c r="BK538" s="52" t="str">
        <f>IF(Atletas!K534="","",IF(Atletas!W534&lt;&gt;"",10000,0)+(IF(Atletas!B534="Feminino",1000,IF(Atletas!B534="Masculino",2000,""))+IF(Atletas!K534="Choylayfut A",1,IF(Atletas!K534="Hunggar A",2,IF(Atletas!K534="Wuzuquan A",3,IF(Atletas!K534="Wingchun A",4,IF(Atletas!K534="Outra Mão de Sul A",5,IF(Atletas!K534="Choylayfut B",6,IF(Atletas!K534="Hunggar B",7,IF(Atletas!K534="Wuzuquan B",8,IF(Atletas!K534="Wingchun B",9,IF(Atletas!K534="Outra Mão de Sul B",10,IF(Atletas!K534="Choylayfut C",11,IF(Atletas!K534="Hunggar C",12,IF(Atletas!K534="Wuzuquan C",13,IF(Atletas!K534="Wingchun C",14,IF(Atletas!K534="Outra Mão de Sul C",15,IF(Atletas!K534="Choylayfut D",16,IF(Atletas!K534="Hunggar D",17,IF(Atletas!K534="Wuzuquan D",18,IF(Atletas!K534="Wingchun D",19,IF(Atletas!K534="Outra Mão de Sul D",20,IF(Atletas!K534="Choylayfut E",21,IF(Atletas!K534="Hunggar E",22,IF(Atletas!K534="Wuzuquan E",23,IF(Atletas!K534="Wingchun E",24,IF(Atletas!K534="Outra Mão de Sul E",25,IF(Atletas!K534="Choylayfut F",26,IF(Atletas!K534="Hunggar F",27,IF(Atletas!K534="Wuzuquan F",28,IF(Atletas!K534="Wingchun F",29,IF(Atletas!K534="Outra Mão de Sul F",30,""))))))))))))))))))))))))))))))))</f>
        <v/>
      </c>
      <c r="BL538" s="52" t="str">
        <f>IF(Atletas!L534="","",IF(Atletas!W534&lt;&gt;"",10000,0)+(IF(Atletas!B534="Feminino",1000,IF(Atletas!B534="Masculino",2000,""))+(IF(Atletas!L534="Chaquan A",101,IF(Atletas!L534="Emeiquan A",102,IF(Atletas!L534="Fanziquan A",103,IF(Atletas!L534="Huaquan A",104,IF(Atletas!L534="Hongquan A",105,IF(Atletas!L534="Paochui A",106,IF(Atletas!L534="Piguaquan A",107,IF(Atletas!L534="Shaolinquan A",108,IF(Atletas!L534="Tanglangquan A",109,IF(Atletas!L534="Yinzhaophai A",110,IF(Atletas!L534="Tongbeiquan A",111,IF(Atletas!L534="Wudangquan A",112,IF(Atletas!L534="Outros Estilos A",113,IF(Atletas!L534="Chaquan B",114,IF(Atletas!L534="Emeiquan B",115,IF(Atletas!L534="Fanziquan B",116,IF(Atletas!L534="Huaquan B",117,IF(Atletas!L534="Hongquan B",118,IF(Atletas!L534="Paochui B",119,IF(Atletas!L534="Piguaquan B",120,IF(Atletas!L534="Shaolinquan B",121,IF(Atletas!L534="Tanglangquan B",122,IF(Atletas!L534="Yinzhaophai B",123,IF(Atletas!L534="Tongbeiquan B",124,IF(Atletas!L534="Wudangquan B",125,IF(Atletas!L534="Outros Estilos B",126,IF(Atletas!L534="Chaquan C",127,IF(Atletas!L534="Emeiquan C",128,IF(Atletas!L534="Fanziquan C",129,IF(Atletas!L534="Huaquan C",130,IF(Atletas!L534="Hongquan C",131,IF(Atletas!L534="Paochui C",132,IF(Atletas!L534="Piguaquan C",133,IF(Atletas!L534="Shaolinquan C",134,IF(Atletas!L534="Tanglangquan C",135,IF(Atletas!L534="Yinzhaophai C",136,IF(Atletas!L534="Tongbeiquan C",137,IF(Atletas!L534="Wudangquan C",138,IF(Atletas!L534="Outros Estilos C",139,0))))))))))))))))))))))))))))))))))))))))))</f>
        <v/>
      </c>
      <c r="BM538" s="52" t="str">
        <f>IF(Atletas!L534="","",IF(Atletas!W534&lt;&gt;"",10000,0)+(IF(Atletas!B534="Feminino",1000,IF(Atletas!B534="Masculino",2000,""))+(IF(Atletas!L534="Chaquan D",140,IF(Atletas!L534="Emeiquan D",141,IF(Atletas!L534="Fanziquan D",142,IF(Atletas!L534="Huaquan D",143,IF(Atletas!L534="Hongquan D",144,IF(Atletas!L534="Paochui D",145,IF(Atletas!L534="Piguaquan D",146,IF(Atletas!L534="Shaolinquan D",147,IF(Atletas!L534="Tanglangquan D",148,IF(Atletas!L534="Yinzhaophai D",149,IF(Atletas!L534="Tongbeiquan D",150,IF(Atletas!L534="Wudangquan D",151,IF(Atletas!L534="Outros Estilos D",152,IF(Atletas!L534="Chaquan E",153,IF(Atletas!L534="Emeiquan E",154,IF(Atletas!L534="Fanziquan E",155,IF(Atletas!L534="Huaquan E",156,IF(Atletas!L534="Hongquan E",157,IF(Atletas!L534="Paochui E",158,IF(Atletas!L534="Piguaquan E",159,IF(Atletas!L534="Shaolinquan E",160,IF(Atletas!L534="Tanglangquan E",161,IF(Atletas!L534="Yinzhaophai E",162,IF(Atletas!L534="Tongbeiquan E",163,IF(Atletas!L534="Wudangquan E",164,IF(Atletas!L534="Outros Estilos E",165,IF(Atletas!L534="Chaquan F",166,IF(Atletas!L534="Emeiquan F",167,IF(Atletas!L534="Fanziquan F",168,IF(Atletas!L534="Huaquan F",169,IF(Atletas!L534="Hongquan F",170,IF(Atletas!L534="Paochui F",171,IF(Atletas!L534="Piguaquan F",172,IF(Atletas!L534="Shaolinquan F",173,IF(Atletas!L534="Tanglangquan F",174,IF(Atletas!L534="Yinzhaophai F",175,IF(Atletas!L534="Tongbeiquan F",176,IF(Atletas!L534="Wudangquan F",177,IF(Atletas!L534="Outros Estilos F",178,0))))))))))))))))))))))))))))))))))))))))))</f>
        <v/>
      </c>
      <c r="BN538" s="52" t="str">
        <f>IF(Atletas!M534="","",IF(Atletas!W534&lt;&gt;"",10000,0)+(IF(Atletas!B534="Feminino",1000,IF(Atletas!B534="Masculino",2000,""))+(IF(Atletas!M534="Ditangquan A",201,IF(Atletas!M534="Houquan A",202,IF(Atletas!M534="Zuiquan A",203,IF(Atletas!M534="Ditangquan B",204,IF(Atletas!M534="Houquan B",205,IF(Atletas!M534="Zuiquan B",206,IF(Atletas!M534="Ditangquan C",207,IF(Atletas!M534="Houquan C",208,IF(Atletas!M534="Zuiquan C",209,IF(Atletas!M534="Ditangquan D",210,IF(Atletas!M534="Houquan D",211,IF(Atletas!M534="Zuiquan D",212,IF(Atletas!M534="Ditangquan E",213,IF(Atletas!M534="Houquan E",214,IF(Atletas!M534="Zuiquan E",215,IF(Atletas!M534="Ditangquan F",216,IF(Atletas!M534="Houquan F",217,IF(Atletas!M534="Zuiquan F",218,"")))))))))))))))))))))</f>
        <v/>
      </c>
      <c r="BO538" s="52" t="str">
        <f>IF(Atletas!N534="","",IF(Atletas!W534&lt;&gt;"",10000,0)+IF(Atletas!B534="Feminino",1000,IF(Atletas!B534="Masculino",2000,""))+IF(Atletas!N534="Yang A",301,IF(Atletas!N534="Chen A",30,IF(Atletas!N534="Sun A",303,IF(Atletas!N534="Wu A",304,IF(Atletas!N534="Wu-Hao A",305,IF(Atletas!N534="Outro Taijiquan A",306,IF(Atletas!N534="Yang B",307,IF(Atletas!N534="Chen B",308,IF(Atletas!N534="Sun B",309,IF(Atletas!N534="Wu B",310,IF(Atletas!N534="Wu-Hao B",311,IF(Atletas!N534="Outro Taijiquan B",312,IF(Atletas!N534="Yang C",313,IF(Atletas!N534="Chen C",314,IF(Atletas!N534="Sun C",315,IF(Atletas!N534="Wu C",316,IF(Atletas!N534="Wu-Hao C",317,IF(Atletas!N534="Outro Taijiquan C",318,IF(Atletas!N534="Yang D",319,IF(Atletas!N534="Chen D",320,IF(Atletas!N534="Sun D",321,IF(Atletas!N534="Wu D",322,IF(Atletas!N534="Wu-Hao D",323,IF(Atletas!N534="Outro Taijiquan D",324,IF(Atletas!N534="Yang E",325,IF(Atletas!N534="Chen E",326,IF(Atletas!N534="Sun E",327,IF(Atletas!N534="Wu E",328,IF(Atletas!N534="Wu-Hao E",329,IF(Atletas!N534="Outro Taijiquan E",330,IF(Atletas!N534="Yang F",331,IF(Atletas!N534="Chen F",332,IF(Atletas!N534="Sun F",333,IF(Atletas!N534="Wu F",334,IF(Atletas!N534="Wu-Hao F",335,IF(Atletas!N534="Outro Taijiquan F",336,"")))))))))))))))))))))))))))))))))))))</f>
        <v/>
      </c>
      <c r="BP538" s="52" t="str">
        <f>IF(Atletas!O534="","",IF(Atletas!W534&lt;&gt;"",10000,0)+IF(Atletas!B534="Feminino",1000,IF(Atletas!B534="Masculino",2000,""))+IF(OR(Atletas!O534="Yang 26 A",Atletas!O534="Yang 40 A"),401,IF(OR(Atletas!O534="Chen 25 A",Atletas!O534="Chen 36 A",Atletas!O534="Chen 56 A"),402,IF(Atletas!O534="Sun 73 A",403,IF(Atletas!O534="Wu 45 A",404,IF(Atletas!O534="Wu-Hao 46 A",405,IF(OR(Atletas!O534="Taijiquan 16 A",Atletas!O534="Taijiquan 24 A",Atletas!O534="Taijiquan 32 A",Atletas!O534="Taijiquan 42 A"),406,IF(OR(Atletas!O534="Yang 26 B",Atletas!O534="Yang 40 B"),407,IF(OR(Atletas!O534="Chen 25 B",Atletas!O534="Chen 36 B",Atletas!O534="Chen 56 B"),408,IF(Atletas!O534="Sun 73 B",409,IF(Atletas!O534="Wu 45 B",410,IF(Atletas!O534="Wu-Hao 46 B",411,IF(OR(Atletas!O534="Taijiquan 16 B",Atletas!O534="Taijiquan 24 B",Atletas!O534="Taijiquan 32 B",Atletas!O534="Taijiquan 42 B"),412,IF(OR(Atletas!O534="Yang 26 C",Atletas!O534="Yang 40 C"),413,IF(OR(Atletas!O534="Chen 25 C",Atletas!O534="Chen 36 C",Atletas!O534="Chen 56 C"),414,IF(Atletas!O534="Sun 73 C",415,IF(Atletas!O534="Wu 45 C",416,IF(Atletas!O534="Wu-Hao 46 C",417,IF(OR(Atletas!O534="Taijiquan 16 C",Atletas!O534="Taijiquan 24 C",Atletas!O534="Taijiquan 32 C",Atletas!O534="Taijiquan 42 C"),418,0)))))))))))))))))))</f>
        <v/>
      </c>
      <c r="BQ538" s="52" t="str">
        <f>IF(Atletas!O534="","",IF(Atletas!W534&lt;&gt;"",10000,0)+IF(Atletas!B534="Feminino",1000,IF(Atletas!B534="Masculino",2000,""))+IF(OR(Atletas!O534="Yang 26 D",Atletas!O534="Yang 40 D"),419,IF(OR(Atletas!O534="Chen 25 D",Atletas!O534="Chen 36 D",Atletas!O534="Chen 56 D"),420,IF(Atletas!O534="Sun 73 D",421,IF(Atletas!O534="Wu 45 D",422,IF(Atletas!O534="Wu-Hao 46 D",423,IF(OR(Atletas!O534="Taijiquan 16 D",Atletas!O534="Taijiquan 24 D",Atletas!O534="Taijiquan 32 D",Atletas!O534="Taijiquan 42 D"),424,IF(OR(Atletas!O534="Yang 26 E",Atletas!O534="Yang 40 E"),425,IF(OR(Atletas!O534="Chen 25 E",Atletas!O534="Chen 36 E",Atletas!O534="Chen 56 E"),426,IF(Atletas!O534="Sun 73 E",427,IF(Atletas!O534="Wu 45 E",428,IF(Atletas!O534="Wu-Hao 46 E",429,IF(OR(Atletas!O534="Taijiquan 16 E",Atletas!O534="Taijiquan 24 E",Atletas!O534="Taijiquan 32 E",Atletas!O534="Taijiquan 42 E"),430,IF(OR(Atletas!O534="Yang 26 F",Atletas!O534="Yang 40 F"),431,IF(OR(Atletas!O534="Chen 25 F",Atletas!O534="Chen 36 F",Atletas!O534="Chen 56 F"),432,IF(Atletas!O534="Sun 73 F",433,IF(Atletas!O534="Wu 45 F",434,IF(Atletas!O534="Wu-Hao 46 F",435,IF(OR(Atletas!O534="Taijiquan 16 F",Atletas!O534="Taijiquan 24 F",Atletas!O534="Taijiquan 32 F",Atletas!O534="Taijiquan 42 F"),436,0)))))))))))))))))))</f>
        <v/>
      </c>
      <c r="BR538" s="52" t="str">
        <f>IF(Atletas!P534="","",IF(Atletas!W534&lt;&gt;"",10000,0)+IF(Atletas!B534="Feminino",1000,IF(Atletas!B534="Masculino",2000,""))+IF(Atletas!P534="Xingyiquan A",501,IF(Atletas!P534="Baguazhang A",502,IF(Atletas!P534="Outro Estilo Interno A",503,IF(Atletas!P534="Xingyiquan B",504,IF(Atletas!P534="Baguazhang B",505,IF(Atletas!P534="Outro Estilo Interno B",506,IF(Atletas!P534="Xingyiquan C",507,IF(Atletas!P534="Baguazhang C",508,IF(Atletas!P534="Outro Estilo Interno C",509,IF(Atletas!P534="Xingyiquan D",510,IF(Atletas!P534="Baguazhang D",511,IF(Atletas!P534="Outro Estilo Interno D",512,IF(Atletas!P534="Xingyiquan E",513,IF(Atletas!P534="Baguazhang E",514,IF(Atletas!P534="Outro Estilo Interno E",515,IF(Atletas!P534="Xingyiquan F",516,IF(Atletas!P534="Baguazhang F",517,IF(Atletas!P534="Outro Estilo Interno F",518, "")))))))))))))))))))</f>
        <v/>
      </c>
      <c r="BS538" s="52" t="str">
        <f>IF(Atletas!Q534="","",IF(Atletas!W534&lt;&gt;"",10000,0)+IF(Atletas!B534="Feminino",1000,IF(Atletas!B534="Masculino",2000,""))+IF(Atletas!Q534="Dao A",601,IF(Atletas!Q534="Jian A",602,IF(Atletas!Q534="Bishou A",603,IF(Atletas!Q534="Shan A",604,IF(Atletas!Q534="Outra Arma Curta A",605,IF(Atletas!Q534="Dao B",606,IF(Atletas!Q534="Jian B",607,IF(Atletas!Q534="Bishou B",608,IF(Atletas!Q534="Shan B",609,IF(Atletas!Q534="Outra Arma Curta B",610,IF(Atletas!Q534="Dao C",611,IF(Atletas!Q534="Jian C",612,IF(Atletas!Q534="Bishou C",613,IF(Atletas!Q534="Shan C",614,IF(Atletas!Q534="Outra Arma Curta C",615,IF(Atletas!Q534="Dao D",616,IF(Atletas!Q534="Jian D",617,IF(Atletas!Q534="Bishou D",618,IF(Atletas!Q534="Shan D",619,IF(Atletas!Q534="Outra Arma Curta D",620,IF(Atletas!Q534="Dao E",621,IF(Atletas!Q534="Jian E",622,IF(Atletas!Q534="Bishou E",623,IF(Atletas!Q534="Shan E",624,IF(Atletas!Q534="Outra Arma Curta E",625,IF(Atletas!Q534="Dao F",626,IF(Atletas!Q534="Jian F",627,IF(Atletas!Q534="Bishou F",628,IF(Atletas!Q534="Shan F",629,IF(Atletas!Q534="Outra Arma Curta F",630, "")))))))))))))))))))))))))))))))</f>
        <v/>
      </c>
      <c r="BT538" s="52" t="str">
        <f>IF(Atletas!R534="","",IF(Atletas!W534&lt;&gt;"",10000,0)+IF(Atletas!B534="Feminino",1000,IF(Atletas!B534="Masculino",2000,""))+IF(Atletas!R534="Gun A",701,IF(Atletas!R534="Qiang A",702,IF(Atletas!R534="Pudao / Guandao A",703,IF(Atletas!R534="Outra Arma Longa A",704,IF(Atletas!R534="Gun B",705,IF(Atletas!R534="Qiang B",706,IF(Atletas!R534="Pudao / Guandao B",707,IF(Atletas!R534="Outra Arma Longa B",708,IF(Atletas!R534="Gun C",709,IF(Atletas!R534="Qiang C",710,IF(Atletas!R534="Pudao / Guandao C",711,IF(Atletas!R534="Outra Arma Longa C",712,IF(Atletas!R534="Gun D",713,IF(Atletas!R534="Qiang D",714,IF(Atletas!R534="Pudao / Guandao D",715,IF(Atletas!R534="Outra Arma Longa D",716,IF(Atletas!R534="Gun E",717,IF(Atletas!R534="Qiang E",718,IF(Atletas!R534="Pudao / Guandao E",719,IF(Atletas!R534="Outra Arma Longa E",720,IF(Atletas!R534="Gun F",721,IF(Atletas!R534="Qiang F",722,IF(Atletas!R534="Pudao / Guandao F",723,IF(Atletas!R534="Outra Arma Longa F",724,"")))))))))))))))))))))))))</f>
        <v/>
      </c>
      <c r="BU538" s="52" t="str">
        <f>IF(Atletas!S534="","",IF(Atletas!W534&lt;&gt;"",10000,0)+IF(Atletas!B534="Feminino",1000,IF(Atletas!B534="Masculino",2000,""))+IF(Atletas!S534="Arma Dupla A",801,IF(Atletas!S534="Arma Maleável A",802,IF(Atletas!S534="Arma Dupla B",803,IF(Atletas!S534="Arma Maleável B",804,IF(Atletas!S534="Arma Dupla C",805,IF(Atletas!S534="Arma Maleável C",806,IF(Atletas!S534="Arma Dupla D",807,IF(Atletas!S534="Arma Maleável D",808,IF(Atletas!S534="Arma Dupla E",809,IF(Atletas!S534="Arma Maleável E",810,IF(Atletas!S534="Arma Dupla F",811,IF(Atletas!S534="Arma Maleável F",812, "")))))))))))))</f>
        <v/>
      </c>
      <c r="BV538" s="52" t="str">
        <f>IF(Atletas!T534="","",IF(Atletas!W534&lt;&gt;"",10000,0)+IF(Atletas!B534="Feminino",1000,IF(Atletas!B534="Masculino",2000,""))+IF(Atletas!T534="Taijijian Yang A",901,IF(Atletas!T534="Taijijian Chen A",902,IF(Atletas!T534="Taijijian Sun A",903,IF(Atletas!T534="Taijijian Wu A",904,IF(Atletas!T534="Taijijian Wu-Hao A",905,IF(Atletas!T534="Taijijian 32 A",906,IF(Atletas!T534="Taijijian 42 A",907,IF(Atletas!T534="Taijijian Yang B",908,IF(Atletas!T534="Taijijian Chen B",909,IF(Atletas!T534="Taijijian Sun B",910,IF(Atletas!T534="Taijijian Wu B",911,IF(Atletas!T534="Taijijian Wu-Hao B",912,IF(Atletas!T534="Taijijian 32 B",913,IF(Atletas!T534="Taijijian 42 B",914,IF(Atletas!T534="Taijijian Yang C",915,IF(Atletas!T534="Taijijian Chen C",916,IF(Atletas!T534="Taijijian Sun C",917,IF(Atletas!T534="Taijijian Wu C",918,IF(Atletas!T534="Taijijian Wu-Hao C",919,IF(Atletas!T534="Taijijian 32 C",920,IF(Atletas!T534="Taijijian 42 C",921,IF(Atletas!T534="Taijijian Yang D",922,IF(Atletas!T534="Taijijian Chen D",923,IF(Atletas!T534="Taijijian Sun D",924,IF(Atletas!T534="Taijijian Wu D",925,IF(Atletas!T534="Taijijian Wu-Hao D",926,IF(Atletas!T534="Taijijian 32 D",927,IF(Atletas!T534="Taijijian 42 D",928,IF(Atletas!T534="Taijijian Yang E",929,IF(Atletas!T534="Taijijian Chen E",930,IF(Atletas!T534="Taijijian Sun E",931,IF(Atletas!T534="Taijijian Wu E",932,IF(Atletas!T534="Taijijian Wu-Hao E",933,IF(Atletas!T534="Taijijian 32 E",934,IF(Atletas!T534="Taijijian 42 E",935,IF(Atletas!T534="Taijijian Yang F",936,IF(Atletas!T534="Taijijian Chen F",937,IF(Atletas!T534="Taijijian Sun F",938,IF(Atletas!T534="Taijijian Wu F",939,IF(Atletas!T534="Taijijian Wu-Hao F",940,IF(Atletas!T534="Taijijian 32 F",941,IF(Atletas!T534="Taijijian 42 F",942,"")))))))))))))))))))))))))))))))))))))))))))</f>
        <v/>
      </c>
      <c r="BW538" s="52" t="str">
        <f>IF(Atletas!U534="","",IF(Atletas!W534&lt;&gt;"",10000,0)+IF(Atletas!B534="Feminino",1000,IF(Atletas!B534="Masculino",2000,""))+IF(Atletas!T534="Taijijian 42 F",942,IF(Atletas!U534="Taijidao A",943,IF(Atletas!U534="Taijishan A",944,IF(Atletas!U534="Taijiqiang A",945,IF(Atletas!U534="Taijidao B",946,IF(Atletas!U534="Taijishan B",947,IF(Atletas!U534="Taijiqiang B",948,IF(Atletas!U534="Taijidao C",949,IF(Atletas!U534="Taijishan C",950,IF(Atletas!U534="Taijiqiang C",951,IF(Atletas!U534="Taijidao D",952,IF(Atletas!U534="Taijishan D",953,IF(Atletas!U534="Taijiqiang D",954,IF(Atletas!U534="Taijidao E",955,IF(Atletas!U534="Taijishan E",956,IF(Atletas!U534="Taijiqiang E",957,IF(Atletas!U534="Taijidao F",958,IF(Atletas!U534="Taijishan F",959,IF(Atletas!U534="Taijiqiang F",960))))))))))))))))))))</f>
        <v/>
      </c>
      <c r="CF538" s="52" t="str">
        <f xml:space="preserve"> IF(Atletas!V534="","",IF(Atletas!V534="Duilian de Mãos AB - Equipe 1",1,IF(Atletas!V534="Duilian de Mãos AB - Equipe 2",2,IF(Atletas!V534="Duilian de Armas AB - Equipe 1",3,IF(Atletas!V534="Duilian de Armas AB - Equipe 2",4,IF(Atletas!V534="Duilian de Tuishou - Equipe 1",5,IF(Atletas!V534="Duilian de Tuishou - Equipe 2",6,IF(Atletas!V534="Grupo Externo AB - Equipe 1",7,IF(Atletas!V534="Grupo Externo AB - Equipe 2",8,IF(Atletas!V534="Grupo Interno AB - Equipe 1",9,IF(Atletas!V534="Grupo Interno AB - Equipe 2",10,IF(Atletas!V534="Duilian de Mãos CD - Equipe 1",11,IF(Atletas!V534="Duilian de Mãos CD - Equipe 2",12,IF(Atletas!V534="Duilian de Armas CD - Equipe 1",13,IF(Atletas!V534="Duilian de Armas CD - Equipe 2",14,IF(Atletas!V534="Duilian de Tuishou - Equipe 1",15,IF(Atletas!V534="Duilian de Tuishou - Equipe 2",16,IF(Atletas!V534="Grupo Externo CDEF - Equipe 1",17,IF(Atletas!V534="Grupo Externo CDEF - Equipe 2",18,IF(Atletas!V534="Grupo Interno CDEF - Equipe 1",19,IF(Atletas!V534="Grupo Interno CDEF - Equipe 2",20,IF(Atletas!V534="Duilian de Mãos EF - Equipe 1",21,IF(Atletas!V534="Duilian de Mãos EF - Equipe 2",22,IF(Atletas!V534="Duilian de Armas EF - Equipe 1",23,IF(Atletas!V534="Duilian de Armas EF - Equipe 2",24,IF(Atletas!V534="Duilian de Tuishou - Equipe 1",25,IF(Atletas!V534="Duilian de Tuishou - Equipe 2",26,"")))))))))))))))))))))))))))</f>
        <v/>
      </c>
    </row>
    <row r="539" spans="36:84">
      <c r="AJ539" s="46" t="str">
        <f>IF(Atletas!D535="","",IF(Atletas!B535="Feminino",100,IF(Atletas!B535="Masculino",200,""))+(IF(Atletas!D535="Infantil 39kg",1,IF(Atletas!D535="Infantil 42kg",2,IF(Atletas!D535="Infantil 45kg",3,IF(Atletas!D535="Infantil 48kg",4,IF(Atletas!D535="Infantil 52kg",5,IF(Atletas!D535="Infantil 56kg",6,IF(Atletas!D535="Infantil 60kg",7,IF(Atletas!D535="Juvenil 48kg",8,IF(Atletas!D535="Juvenil 52kg",9,IF(Atletas!D535="Juvenil 56kg",10,IF(Atletas!D535="Juvenil 60kg",11,IF(Atletas!D535="Juvenil 65kg",12,IF(Atletas!D535="Juvenil 70kg",13,IF(Atletas!D535="Juvenil 75kg",14,IF(Atletas!D535="Juvenil 80kg",15,IF(Atletas!D535="Adulto 48kg",16,IF(Atletas!D535="Adulto 52kg",17,IF(Atletas!D535="Adulto 56kg",18,IF(Atletas!D535="Adulto 60kg",19,IF(Atletas!D535="Adulto 65kg",20,IF(Atletas!D535="Adulto 70kg",21,IF(Atletas!D535="Adulto 75kg",22,IF(Atletas!D535="Adulto 80kg",23,IF(Atletas!D535="Adulto 85kg",24,IF(Atletas!D535="Adulto 90kg",25,IF(Atletas!D535="Adulto +90kg",26,""))))))))))))))))))))))))))))</f>
        <v/>
      </c>
      <c r="AO539" s="10" t="str">
        <f>IF(Atletas!E535="","",IF(Atletas!B535="Feminino",100,IF(Atletas!B535="Masculino",200,""))+(IF(Atletas!E535="Juvenil 44kg",1,IF(Atletas!E535="Juvenil 48kg",2,IF(Atletas!E535="Juvenil 52kg",3,IF(Atletas!E535="Juvenil 56kg",4,IF(Atletas!E535="Juvenil 60kg",5,IF(Atletas!E535="Juvenil 65kg",6,IF(Atletas!E535="Juvenil 70kg",7,IF(Atletas!E535="Juvenil 75kg",8,IF(Atletas!E535="Juvenil 82kg",9,IF(Atletas!E535="Juvenil 90kg",10,IF(Atletas!E535="Juvenil 100kg",11,IF(Atletas!E535="Adulto 48kg",12,IF(Atletas!E535="Adulto 52kg",13,IF(Atletas!E535="Adulto 56kg",14,IF(Atletas!E535="Adulto 60kg",15,IF(Atletas!E535="Adulto 65kg",16,IF(Atletas!E535="Adulto 70kg",17,IF(Atletas!E535="Adulto 75kg",18,IF(Atletas!E535="Adulto 82kg",19,IF(Atletas!E535="Adulto 90kg",20,IF(Atletas!E535="Adulto 100kg",21,IF(Atletas!E535="Adulto +100kg",22,""))))))))))))))))))))))))</f>
        <v/>
      </c>
      <c r="AT539" s="10" t="str">
        <f>IF(Atletas!F535="","",IF(Atletas!B535="Feminino",100,IF(Atletas!B535="Masculino",200,""))+(IF(Atletas!F535="Adulto 48kg",1,IF(Atletas!F535="Adulto 56kg",2,IF(Atletas!F535="Adulto 65kg",3,IF(Atletas!F535="Adulto 75kg",4,IF(Atletas!F535="Adulto +75kg",5,IF(Atletas!F535="Adulto 52kg",6,IF(Atletas!F535="Adulto 60kg",7,IF(Atletas!F535="Adulto 70kg",8,IF(Atletas!F535="Adulto 80kg",9,IF(Atletas!F535="Adulto 90kg",10,IF(Atletas!F535="Adulto +90kg",11,"")))))))))))))</f>
        <v/>
      </c>
      <c r="AY539" s="46" t="str">
        <f>IF(Atletas!G535="","",IF(Atletas!B535="Feminino",100,IF(Atletas!B535="Masculino",200,""))+(IF(Atletas!G535="Changquan Mirim",1,IF(Atletas!G535="Nanquan Mirim",2,IF(Atletas!G535="Taijiquan Mirim",3,IF(Atletas!G535="Changquan Grupo C",4,IF(Atletas!G535="Nanquan Grupo C",5,IF(Atletas!G535="Taijiquan Grupo C",6,IF(Atletas!G535="Changquan Grupo B",7,IF(Atletas!G535="Nanquan Grupo B",8,IF(Atletas!G535="Taijiquan Grupo B",9,IF(Atletas!G535="Changquan Grupo A",10,IF(Atletas!G535="Nanquan Grupo A",11,IF(Atletas!G535="Taijiquan Grupo A",12,IF(Atletas!G535="Changquan Opcional",13,IF(Atletas!G535="Nanquan Opcional",14,IF(Atletas!G535="Taijiquan Opcional",15,IF(Atletas!G535="Changquan Adulto",16,IF(Atletas!G535="Nanquan Adulto",17,IF(Atletas!G535="Taijiquan Adulto",18,""))))))))))))))))))))</f>
        <v/>
      </c>
      <c r="AZ539" s="46" t="str">
        <f>IF(Atletas!H535="","",IF(Atletas!B535="Feminino",100,IF(Atletas!B535="Masculino",200,""))+(IF(Atletas!H535="Daoshu Mirim",19,IF(Atletas!H535="Jianshu Mirim",20,IF(Atletas!H535="Nandao Mirim",21,IF(Atletas!H535="Taijijian Mirim",22,IF(Atletas!H535="Daoshu Grupo C",23,IF(Atletas!H535="Jianshu Grupo C",24,IF(Atletas!H535="Nandao Grupo C",25,IF(Atletas!H535="Taijijian Grupo C",26,IF(Atletas!H535="Daoshu Grupo B",27,IF(Atletas!H535="Jianshu Grupo B",28,IF(Atletas!H535="Nandao Grupo B",29,IF(Atletas!H535="Taijijian Grupo B",30,IF(Atletas!H535="Daoshu Grupo A",31,IF(Atletas!H535="Jianshu Grupo A",32,IF(Atletas!H535="Nandao Grupo A",33,IF(Atletas!H535="Taijijian Grupo A",34,IF(Atletas!H535="Daoshu Opcional",35,IF(Atletas!H535="Jianshu Opcional",36,IF(Atletas!H535="Nandao Opcional",37,IF(Atletas!H535="Taijijian Opcional",38,IF(Atletas!H535="Daoshu Adulto",39,IF(Atletas!H535="Jianshu Adulto",40,IF(Atletas!H535="Nandao Adulto",41,IF(Atletas!H535="Taijijian Adulto",42,""))))))))))))))))))))))))))</f>
        <v/>
      </c>
      <c r="BA539" s="46" t="str">
        <f>IF(Atletas!I535="","",IF(Atletas!B535="Feminino",100,IF(Atletas!B535="Masculino",200,""))+(IF(Atletas!I535="Gunshu Mirim",43,IF(Atletas!I535="Qiangshu Mirim",44,IF(Atletas!I535="Nangun Mirim",45,IF(Atletas!I535="Gunshu Grupo C",46,IF(Atletas!I535="Qiangshu Grupo C",47,IF(Atletas!I535="Nangun Grupo C",48,IF(Atletas!I535="Gunshu Grupo B",49,IF(Atletas!I535="Qiangshu Grupo B",50,IF(Atletas!I535="Nangun Grupo B",51,IF(Atletas!I535="Gunshu Grupo A",52,IF(Atletas!I535="Qiangshu Grupo A",53,IF(Atletas!I535="Nangun Grupo A",54,IF(Atletas!I535="Gunshu Opcional",55,IF(Atletas!I535="Qiangshu Opcional",56,IF(Atletas!I535="Nangun Opcional",57,IF(Atletas!I535="Gunshu Adulto",58,IF(Atletas!I535="Qiangshu Adulto",59,IF(Atletas!I535="Nangun Adulto",60,""))))))))))))))))))))</f>
        <v/>
      </c>
      <c r="BF539" s="52" t="str">
        <f>IF(Atletas!J535="","",IF(Atletas!B535="Feminino",100,IF(Atletas!B535="Masculino",200,""))+(IF(Atletas!J535="Equipe 1 Grupo B",1,IF(Atletas!J535="Equipe 2 Grupo B",2,IF(Atletas!J535="Equipe 1 Grupo A",3,IF(Atletas!J535="Equipe 2 Grupo A",4,IF(Atletas!J535="Equipe 1 Adulto",5,IF(Atletas!J535="Equipe 2 Adulto",6,""))))))))</f>
        <v/>
      </c>
      <c r="BK539" s="52" t="str">
        <f>IF(Atletas!K535="","",IF(Atletas!W535&lt;&gt;"",10000,0)+(IF(Atletas!B535="Feminino",1000,IF(Atletas!B535="Masculino",2000,""))+IF(Atletas!K535="Choylayfut A",1,IF(Atletas!K535="Hunggar A",2,IF(Atletas!K535="Wuzuquan A",3,IF(Atletas!K535="Wingchun A",4,IF(Atletas!K535="Outra Mão de Sul A",5,IF(Atletas!K535="Choylayfut B",6,IF(Atletas!K535="Hunggar B",7,IF(Atletas!K535="Wuzuquan B",8,IF(Atletas!K535="Wingchun B",9,IF(Atletas!K535="Outra Mão de Sul B",10,IF(Atletas!K535="Choylayfut C",11,IF(Atletas!K535="Hunggar C",12,IF(Atletas!K535="Wuzuquan C",13,IF(Atletas!K535="Wingchun C",14,IF(Atletas!K535="Outra Mão de Sul C",15,IF(Atletas!K535="Choylayfut D",16,IF(Atletas!K535="Hunggar D",17,IF(Atletas!K535="Wuzuquan D",18,IF(Atletas!K535="Wingchun D",19,IF(Atletas!K535="Outra Mão de Sul D",20,IF(Atletas!K535="Choylayfut E",21,IF(Atletas!K535="Hunggar E",22,IF(Atletas!K535="Wuzuquan E",23,IF(Atletas!K535="Wingchun E",24,IF(Atletas!K535="Outra Mão de Sul E",25,IF(Atletas!K535="Choylayfut F",26,IF(Atletas!K535="Hunggar F",27,IF(Atletas!K535="Wuzuquan F",28,IF(Atletas!K535="Wingchun F",29,IF(Atletas!K535="Outra Mão de Sul F",30,""))))))))))))))))))))))))))))))))</f>
        <v/>
      </c>
      <c r="BL539" s="52" t="str">
        <f>IF(Atletas!L535="","",IF(Atletas!W535&lt;&gt;"",10000,0)+(IF(Atletas!B535="Feminino",1000,IF(Atletas!B535="Masculino",2000,""))+(IF(Atletas!L535="Chaquan A",101,IF(Atletas!L535="Emeiquan A",102,IF(Atletas!L535="Fanziquan A",103,IF(Atletas!L535="Huaquan A",104,IF(Atletas!L535="Hongquan A",105,IF(Atletas!L535="Paochui A",106,IF(Atletas!L535="Piguaquan A",107,IF(Atletas!L535="Shaolinquan A",108,IF(Atletas!L535="Tanglangquan A",109,IF(Atletas!L535="Yinzhaophai A",110,IF(Atletas!L535="Tongbeiquan A",111,IF(Atletas!L535="Wudangquan A",112,IF(Atletas!L535="Outros Estilos A",113,IF(Atletas!L535="Chaquan B",114,IF(Atletas!L535="Emeiquan B",115,IF(Atletas!L535="Fanziquan B",116,IF(Atletas!L535="Huaquan B",117,IF(Atletas!L535="Hongquan B",118,IF(Atletas!L535="Paochui B",119,IF(Atletas!L535="Piguaquan B",120,IF(Atletas!L535="Shaolinquan B",121,IF(Atletas!L535="Tanglangquan B",122,IF(Atletas!L535="Yinzhaophai B",123,IF(Atletas!L535="Tongbeiquan B",124,IF(Atletas!L535="Wudangquan B",125,IF(Atletas!L535="Outros Estilos B",126,IF(Atletas!L535="Chaquan C",127,IF(Atletas!L535="Emeiquan C",128,IF(Atletas!L535="Fanziquan C",129,IF(Atletas!L535="Huaquan C",130,IF(Atletas!L535="Hongquan C",131,IF(Atletas!L535="Paochui C",132,IF(Atletas!L535="Piguaquan C",133,IF(Atletas!L535="Shaolinquan C",134,IF(Atletas!L535="Tanglangquan C",135,IF(Atletas!L535="Yinzhaophai C",136,IF(Atletas!L535="Tongbeiquan C",137,IF(Atletas!L535="Wudangquan C",138,IF(Atletas!L535="Outros Estilos C",139,0))))))))))))))))))))))))))))))))))))))))))</f>
        <v/>
      </c>
      <c r="BM539" s="52" t="str">
        <f>IF(Atletas!L535="","",IF(Atletas!W535&lt;&gt;"",10000,0)+(IF(Atletas!B535="Feminino",1000,IF(Atletas!B535="Masculino",2000,""))+(IF(Atletas!L535="Chaquan D",140,IF(Atletas!L535="Emeiquan D",141,IF(Atletas!L535="Fanziquan D",142,IF(Atletas!L535="Huaquan D",143,IF(Atletas!L535="Hongquan D",144,IF(Atletas!L535="Paochui D",145,IF(Atletas!L535="Piguaquan D",146,IF(Atletas!L535="Shaolinquan D",147,IF(Atletas!L535="Tanglangquan D",148,IF(Atletas!L535="Yinzhaophai D",149,IF(Atletas!L535="Tongbeiquan D",150,IF(Atletas!L535="Wudangquan D",151,IF(Atletas!L535="Outros Estilos D",152,IF(Atletas!L535="Chaquan E",153,IF(Atletas!L535="Emeiquan E",154,IF(Atletas!L535="Fanziquan E",155,IF(Atletas!L535="Huaquan E",156,IF(Atletas!L535="Hongquan E",157,IF(Atletas!L535="Paochui E",158,IF(Atletas!L535="Piguaquan E",159,IF(Atletas!L535="Shaolinquan E",160,IF(Atletas!L535="Tanglangquan E",161,IF(Atletas!L535="Yinzhaophai E",162,IF(Atletas!L535="Tongbeiquan E",163,IF(Atletas!L535="Wudangquan E",164,IF(Atletas!L535="Outros Estilos E",165,IF(Atletas!L535="Chaquan F",166,IF(Atletas!L535="Emeiquan F",167,IF(Atletas!L535="Fanziquan F",168,IF(Atletas!L535="Huaquan F",169,IF(Atletas!L535="Hongquan F",170,IF(Atletas!L535="Paochui F",171,IF(Atletas!L535="Piguaquan F",172,IF(Atletas!L535="Shaolinquan F",173,IF(Atletas!L535="Tanglangquan F",174,IF(Atletas!L535="Yinzhaophai F",175,IF(Atletas!L535="Tongbeiquan F",176,IF(Atletas!L535="Wudangquan F",177,IF(Atletas!L535="Outros Estilos F",178,0))))))))))))))))))))))))))))))))))))))))))</f>
        <v/>
      </c>
      <c r="BN539" s="52" t="str">
        <f>IF(Atletas!M535="","",IF(Atletas!W535&lt;&gt;"",10000,0)+(IF(Atletas!B535="Feminino",1000,IF(Atletas!B535="Masculino",2000,""))+(IF(Atletas!M535="Ditangquan A",201,IF(Atletas!M535="Houquan A",202,IF(Atletas!M535="Zuiquan A",203,IF(Atletas!M535="Ditangquan B",204,IF(Atletas!M535="Houquan B",205,IF(Atletas!M535="Zuiquan B",206,IF(Atletas!M535="Ditangquan C",207,IF(Atletas!M535="Houquan C",208,IF(Atletas!M535="Zuiquan C",209,IF(Atletas!M535="Ditangquan D",210,IF(Atletas!M535="Houquan D",211,IF(Atletas!M535="Zuiquan D",212,IF(Atletas!M535="Ditangquan E",213,IF(Atletas!M535="Houquan E",214,IF(Atletas!M535="Zuiquan E",215,IF(Atletas!M535="Ditangquan F",216,IF(Atletas!M535="Houquan F",217,IF(Atletas!M535="Zuiquan F",218,"")))))))))))))))))))))</f>
        <v/>
      </c>
      <c r="BO539" s="52" t="str">
        <f>IF(Atletas!N535="","",IF(Atletas!W535&lt;&gt;"",10000,0)+IF(Atletas!B535="Feminino",1000,IF(Atletas!B535="Masculino",2000,""))+IF(Atletas!N535="Yang A",301,IF(Atletas!N535="Chen A",30,IF(Atletas!N535="Sun A",303,IF(Atletas!N535="Wu A",304,IF(Atletas!N535="Wu-Hao A",305,IF(Atletas!N535="Outro Taijiquan A",306,IF(Atletas!N535="Yang B",307,IF(Atletas!N535="Chen B",308,IF(Atletas!N535="Sun B",309,IF(Atletas!N535="Wu B",310,IF(Atletas!N535="Wu-Hao B",311,IF(Atletas!N535="Outro Taijiquan B",312,IF(Atletas!N535="Yang C",313,IF(Atletas!N535="Chen C",314,IF(Atletas!N535="Sun C",315,IF(Atletas!N535="Wu C",316,IF(Atletas!N535="Wu-Hao C",317,IF(Atletas!N535="Outro Taijiquan C",318,IF(Atletas!N535="Yang D",319,IF(Atletas!N535="Chen D",320,IF(Atletas!N535="Sun D",321,IF(Atletas!N535="Wu D",322,IF(Atletas!N535="Wu-Hao D",323,IF(Atletas!N535="Outro Taijiquan D",324,IF(Atletas!N535="Yang E",325,IF(Atletas!N535="Chen E",326,IF(Atletas!N535="Sun E",327,IF(Atletas!N535="Wu E",328,IF(Atletas!N535="Wu-Hao E",329,IF(Atletas!N535="Outro Taijiquan E",330,IF(Atletas!N535="Yang F",331,IF(Atletas!N535="Chen F",332,IF(Atletas!N535="Sun F",333,IF(Atletas!N535="Wu F",334,IF(Atletas!N535="Wu-Hao F",335,IF(Atletas!N535="Outro Taijiquan F",336,"")))))))))))))))))))))))))))))))))))))</f>
        <v/>
      </c>
      <c r="BP539" s="52" t="str">
        <f>IF(Atletas!O535="","",IF(Atletas!W535&lt;&gt;"",10000,0)+IF(Atletas!B535="Feminino",1000,IF(Atletas!B535="Masculino",2000,""))+IF(OR(Atletas!O535="Yang 26 A",Atletas!O535="Yang 40 A"),401,IF(OR(Atletas!O535="Chen 25 A",Atletas!O535="Chen 36 A",Atletas!O535="Chen 56 A"),402,IF(Atletas!O535="Sun 73 A",403,IF(Atletas!O535="Wu 45 A",404,IF(Atletas!O535="Wu-Hao 46 A",405,IF(OR(Atletas!O535="Taijiquan 16 A",Atletas!O535="Taijiquan 24 A",Atletas!O535="Taijiquan 32 A",Atletas!O535="Taijiquan 42 A"),406,IF(OR(Atletas!O535="Yang 26 B",Atletas!O535="Yang 40 B"),407,IF(OR(Atletas!O535="Chen 25 B",Atletas!O535="Chen 36 B",Atletas!O535="Chen 56 B"),408,IF(Atletas!O535="Sun 73 B",409,IF(Atletas!O535="Wu 45 B",410,IF(Atletas!O535="Wu-Hao 46 B",411,IF(OR(Atletas!O535="Taijiquan 16 B",Atletas!O535="Taijiquan 24 B",Atletas!O535="Taijiquan 32 B",Atletas!O535="Taijiquan 42 B"),412,IF(OR(Atletas!O535="Yang 26 C",Atletas!O535="Yang 40 C"),413,IF(OR(Atletas!O535="Chen 25 C",Atletas!O535="Chen 36 C",Atletas!O535="Chen 56 C"),414,IF(Atletas!O535="Sun 73 C",415,IF(Atletas!O535="Wu 45 C",416,IF(Atletas!O535="Wu-Hao 46 C",417,IF(OR(Atletas!O535="Taijiquan 16 C",Atletas!O535="Taijiquan 24 C",Atletas!O535="Taijiquan 32 C",Atletas!O535="Taijiquan 42 C"),418,0)))))))))))))))))))</f>
        <v/>
      </c>
      <c r="BQ539" s="52" t="str">
        <f>IF(Atletas!O535="","",IF(Atletas!W535&lt;&gt;"",10000,0)+IF(Atletas!B535="Feminino",1000,IF(Atletas!B535="Masculino",2000,""))+IF(OR(Atletas!O535="Yang 26 D",Atletas!O535="Yang 40 D"),419,IF(OR(Atletas!O535="Chen 25 D",Atletas!O535="Chen 36 D",Atletas!O535="Chen 56 D"),420,IF(Atletas!O535="Sun 73 D",421,IF(Atletas!O535="Wu 45 D",422,IF(Atletas!O535="Wu-Hao 46 D",423,IF(OR(Atletas!O535="Taijiquan 16 D",Atletas!O535="Taijiquan 24 D",Atletas!O535="Taijiquan 32 D",Atletas!O535="Taijiquan 42 D"),424,IF(OR(Atletas!O535="Yang 26 E",Atletas!O535="Yang 40 E"),425,IF(OR(Atletas!O535="Chen 25 E",Atletas!O535="Chen 36 E",Atletas!O535="Chen 56 E"),426,IF(Atletas!O535="Sun 73 E",427,IF(Atletas!O535="Wu 45 E",428,IF(Atletas!O535="Wu-Hao 46 E",429,IF(OR(Atletas!O535="Taijiquan 16 E",Atletas!O535="Taijiquan 24 E",Atletas!O535="Taijiquan 32 E",Atletas!O535="Taijiquan 42 E"),430,IF(OR(Atletas!O535="Yang 26 F",Atletas!O535="Yang 40 F"),431,IF(OR(Atletas!O535="Chen 25 F",Atletas!O535="Chen 36 F",Atletas!O535="Chen 56 F"),432,IF(Atletas!O535="Sun 73 F",433,IF(Atletas!O535="Wu 45 F",434,IF(Atletas!O535="Wu-Hao 46 F",435,IF(OR(Atletas!O535="Taijiquan 16 F",Atletas!O535="Taijiquan 24 F",Atletas!O535="Taijiquan 32 F",Atletas!O535="Taijiquan 42 F"),436,0)))))))))))))))))))</f>
        <v/>
      </c>
      <c r="BR539" s="52" t="str">
        <f>IF(Atletas!P535="","",IF(Atletas!W535&lt;&gt;"",10000,0)+IF(Atletas!B535="Feminino",1000,IF(Atletas!B535="Masculino",2000,""))+IF(Atletas!P535="Xingyiquan A",501,IF(Atletas!P535="Baguazhang A",502,IF(Atletas!P535="Outro Estilo Interno A",503,IF(Atletas!P535="Xingyiquan B",504,IF(Atletas!P535="Baguazhang B",505,IF(Atletas!P535="Outro Estilo Interno B",506,IF(Atletas!P535="Xingyiquan C",507,IF(Atletas!P535="Baguazhang C",508,IF(Atletas!P535="Outro Estilo Interno C",509,IF(Atletas!P535="Xingyiquan D",510,IF(Atletas!P535="Baguazhang D",511,IF(Atletas!P535="Outro Estilo Interno D",512,IF(Atletas!P535="Xingyiquan E",513,IF(Atletas!P535="Baguazhang E",514,IF(Atletas!P535="Outro Estilo Interno E",515,IF(Atletas!P535="Xingyiquan F",516,IF(Atletas!P535="Baguazhang F",517,IF(Atletas!P535="Outro Estilo Interno F",518, "")))))))))))))))))))</f>
        <v/>
      </c>
      <c r="BS539" s="52" t="str">
        <f>IF(Atletas!Q535="","",IF(Atletas!W535&lt;&gt;"",10000,0)+IF(Atletas!B535="Feminino",1000,IF(Atletas!B535="Masculino",2000,""))+IF(Atletas!Q535="Dao A",601,IF(Atletas!Q535="Jian A",602,IF(Atletas!Q535="Bishou A",603,IF(Atletas!Q535="Shan A",604,IF(Atletas!Q535="Outra Arma Curta A",605,IF(Atletas!Q535="Dao B",606,IF(Atletas!Q535="Jian B",607,IF(Atletas!Q535="Bishou B",608,IF(Atletas!Q535="Shan B",609,IF(Atletas!Q535="Outra Arma Curta B",610,IF(Atletas!Q535="Dao C",611,IF(Atletas!Q535="Jian C",612,IF(Atletas!Q535="Bishou C",613,IF(Atletas!Q535="Shan C",614,IF(Atletas!Q535="Outra Arma Curta C",615,IF(Atletas!Q535="Dao D",616,IF(Atletas!Q535="Jian D",617,IF(Atletas!Q535="Bishou D",618,IF(Atletas!Q535="Shan D",619,IF(Atletas!Q535="Outra Arma Curta D",620,IF(Atletas!Q535="Dao E",621,IF(Atletas!Q535="Jian E",622,IF(Atletas!Q535="Bishou E",623,IF(Atletas!Q535="Shan E",624,IF(Atletas!Q535="Outra Arma Curta E",625,IF(Atletas!Q535="Dao F",626,IF(Atletas!Q535="Jian F",627,IF(Atletas!Q535="Bishou F",628,IF(Atletas!Q535="Shan F",629,IF(Atletas!Q535="Outra Arma Curta F",630, "")))))))))))))))))))))))))))))))</f>
        <v/>
      </c>
      <c r="BT539" s="52" t="str">
        <f>IF(Atletas!R535="","",IF(Atletas!W535&lt;&gt;"",10000,0)+IF(Atletas!B535="Feminino",1000,IF(Atletas!B535="Masculino",2000,""))+IF(Atletas!R535="Gun A",701,IF(Atletas!R535="Qiang A",702,IF(Atletas!R535="Pudao / Guandao A",703,IF(Atletas!R535="Outra Arma Longa A",704,IF(Atletas!R535="Gun B",705,IF(Atletas!R535="Qiang B",706,IF(Atletas!R535="Pudao / Guandao B",707,IF(Atletas!R535="Outra Arma Longa B",708,IF(Atletas!R535="Gun C",709,IF(Atletas!R535="Qiang C",710,IF(Atletas!R535="Pudao / Guandao C",711,IF(Atletas!R535="Outra Arma Longa C",712,IF(Atletas!R535="Gun D",713,IF(Atletas!R535="Qiang D",714,IF(Atletas!R535="Pudao / Guandao D",715,IF(Atletas!R535="Outra Arma Longa D",716,IF(Atletas!R535="Gun E",717,IF(Atletas!R535="Qiang E",718,IF(Atletas!R535="Pudao / Guandao E",719,IF(Atletas!R535="Outra Arma Longa E",720,IF(Atletas!R535="Gun F",721,IF(Atletas!R535="Qiang F",722,IF(Atletas!R535="Pudao / Guandao F",723,IF(Atletas!R535="Outra Arma Longa F",724,"")))))))))))))))))))))))))</f>
        <v/>
      </c>
      <c r="BU539" s="52" t="str">
        <f>IF(Atletas!S535="","",IF(Atletas!W535&lt;&gt;"",10000,0)+IF(Atletas!B535="Feminino",1000,IF(Atletas!B535="Masculino",2000,""))+IF(Atletas!S535="Arma Dupla A",801,IF(Atletas!S535="Arma Maleável A",802,IF(Atletas!S535="Arma Dupla B",803,IF(Atletas!S535="Arma Maleável B",804,IF(Atletas!S535="Arma Dupla C",805,IF(Atletas!S535="Arma Maleável C",806,IF(Atletas!S535="Arma Dupla D",807,IF(Atletas!S535="Arma Maleável D",808,IF(Atletas!S535="Arma Dupla E",809,IF(Atletas!S535="Arma Maleável E",810,IF(Atletas!S535="Arma Dupla F",811,IF(Atletas!S535="Arma Maleável F",812, "")))))))))))))</f>
        <v/>
      </c>
      <c r="BV539" s="52" t="str">
        <f>IF(Atletas!T535="","",IF(Atletas!W535&lt;&gt;"",10000,0)+IF(Atletas!B535="Feminino",1000,IF(Atletas!B535="Masculino",2000,""))+IF(Atletas!T535="Taijijian Yang A",901,IF(Atletas!T535="Taijijian Chen A",902,IF(Atletas!T535="Taijijian Sun A",903,IF(Atletas!T535="Taijijian Wu A",904,IF(Atletas!T535="Taijijian Wu-Hao A",905,IF(Atletas!T535="Taijijian 32 A",906,IF(Atletas!T535="Taijijian 42 A",907,IF(Atletas!T535="Taijijian Yang B",908,IF(Atletas!T535="Taijijian Chen B",909,IF(Atletas!T535="Taijijian Sun B",910,IF(Atletas!T535="Taijijian Wu B",911,IF(Atletas!T535="Taijijian Wu-Hao B",912,IF(Atletas!T535="Taijijian 32 B",913,IF(Atletas!T535="Taijijian 42 B",914,IF(Atletas!T535="Taijijian Yang C",915,IF(Atletas!T535="Taijijian Chen C",916,IF(Atletas!T535="Taijijian Sun C",917,IF(Atletas!T535="Taijijian Wu C",918,IF(Atletas!T535="Taijijian Wu-Hao C",919,IF(Atletas!T535="Taijijian 32 C",920,IF(Atletas!T535="Taijijian 42 C",921,IF(Atletas!T535="Taijijian Yang D",922,IF(Atletas!T535="Taijijian Chen D",923,IF(Atletas!T535="Taijijian Sun D",924,IF(Atletas!T535="Taijijian Wu D",925,IF(Atletas!T535="Taijijian Wu-Hao D",926,IF(Atletas!T535="Taijijian 32 D",927,IF(Atletas!T535="Taijijian 42 D",928,IF(Atletas!T535="Taijijian Yang E",929,IF(Atletas!T535="Taijijian Chen E",930,IF(Atletas!T535="Taijijian Sun E",931,IF(Atletas!T535="Taijijian Wu E",932,IF(Atletas!T535="Taijijian Wu-Hao E",933,IF(Atletas!T535="Taijijian 32 E",934,IF(Atletas!T535="Taijijian 42 E",935,IF(Atletas!T535="Taijijian Yang F",936,IF(Atletas!T535="Taijijian Chen F",937,IF(Atletas!T535="Taijijian Sun F",938,IF(Atletas!T535="Taijijian Wu F",939,IF(Atletas!T535="Taijijian Wu-Hao F",940,IF(Atletas!T535="Taijijian 32 F",941,IF(Atletas!T535="Taijijian 42 F",942,"")))))))))))))))))))))))))))))))))))))))))))</f>
        <v/>
      </c>
      <c r="BW539" s="52" t="str">
        <f>IF(Atletas!U535="","",IF(Atletas!W535&lt;&gt;"",10000,0)+IF(Atletas!B535="Feminino",1000,IF(Atletas!B535="Masculino",2000,""))+IF(Atletas!T535="Taijijian 42 F",942,IF(Atletas!U535="Taijidao A",943,IF(Atletas!U535="Taijishan A",944,IF(Atletas!U535="Taijiqiang A",945,IF(Atletas!U535="Taijidao B",946,IF(Atletas!U535="Taijishan B",947,IF(Atletas!U535="Taijiqiang B",948,IF(Atletas!U535="Taijidao C",949,IF(Atletas!U535="Taijishan C",950,IF(Atletas!U535="Taijiqiang C",951,IF(Atletas!U535="Taijidao D",952,IF(Atletas!U535="Taijishan D",953,IF(Atletas!U535="Taijiqiang D",954,IF(Atletas!U535="Taijidao E",955,IF(Atletas!U535="Taijishan E",956,IF(Atletas!U535="Taijiqiang E",957,IF(Atletas!U535="Taijidao F",958,IF(Atletas!U535="Taijishan F",959,IF(Atletas!U535="Taijiqiang F",960))))))))))))))))))))</f>
        <v/>
      </c>
      <c r="CF539" s="52" t="str">
        <f xml:space="preserve"> IF(Atletas!V535="","",IF(Atletas!V535="Duilian de Mãos AB - Equipe 1",1,IF(Atletas!V535="Duilian de Mãos AB - Equipe 2",2,IF(Atletas!V535="Duilian de Armas AB - Equipe 1",3,IF(Atletas!V535="Duilian de Armas AB - Equipe 2",4,IF(Atletas!V535="Duilian de Tuishou - Equipe 1",5,IF(Atletas!V535="Duilian de Tuishou - Equipe 2",6,IF(Atletas!V535="Grupo Externo AB - Equipe 1",7,IF(Atletas!V535="Grupo Externo AB - Equipe 2",8,IF(Atletas!V535="Grupo Interno AB - Equipe 1",9,IF(Atletas!V535="Grupo Interno AB - Equipe 2",10,IF(Atletas!V535="Duilian de Mãos CD - Equipe 1",11,IF(Atletas!V535="Duilian de Mãos CD - Equipe 2",12,IF(Atletas!V535="Duilian de Armas CD - Equipe 1",13,IF(Atletas!V535="Duilian de Armas CD - Equipe 2",14,IF(Atletas!V535="Duilian de Tuishou - Equipe 1",15,IF(Atletas!V535="Duilian de Tuishou - Equipe 2",16,IF(Atletas!V535="Grupo Externo CDEF - Equipe 1",17,IF(Atletas!V535="Grupo Externo CDEF - Equipe 2",18,IF(Atletas!V535="Grupo Interno CDEF - Equipe 1",19,IF(Atletas!V535="Grupo Interno CDEF - Equipe 2",20,IF(Atletas!V535="Duilian de Mãos EF - Equipe 1",21,IF(Atletas!V535="Duilian de Mãos EF - Equipe 2",22,IF(Atletas!V535="Duilian de Armas EF - Equipe 1",23,IF(Atletas!V535="Duilian de Armas EF - Equipe 2",24,IF(Atletas!V535="Duilian de Tuishou - Equipe 1",25,IF(Atletas!V535="Duilian de Tuishou - Equipe 2",26,"")))))))))))))))))))))))))))</f>
        <v/>
      </c>
    </row>
    <row r="540" spans="36:84">
      <c r="AJ540" s="46" t="str">
        <f>IF(Atletas!D536="","",IF(Atletas!B536="Feminino",100,IF(Atletas!B536="Masculino",200,""))+(IF(Atletas!D536="Infantil 39kg",1,IF(Atletas!D536="Infantil 42kg",2,IF(Atletas!D536="Infantil 45kg",3,IF(Atletas!D536="Infantil 48kg",4,IF(Atletas!D536="Infantil 52kg",5,IF(Atletas!D536="Infantil 56kg",6,IF(Atletas!D536="Infantil 60kg",7,IF(Atletas!D536="Juvenil 48kg",8,IF(Atletas!D536="Juvenil 52kg",9,IF(Atletas!D536="Juvenil 56kg",10,IF(Atletas!D536="Juvenil 60kg",11,IF(Atletas!D536="Juvenil 65kg",12,IF(Atletas!D536="Juvenil 70kg",13,IF(Atletas!D536="Juvenil 75kg",14,IF(Atletas!D536="Juvenil 80kg",15,IF(Atletas!D536="Adulto 48kg",16,IF(Atletas!D536="Adulto 52kg",17,IF(Atletas!D536="Adulto 56kg",18,IF(Atletas!D536="Adulto 60kg",19,IF(Atletas!D536="Adulto 65kg",20,IF(Atletas!D536="Adulto 70kg",21,IF(Atletas!D536="Adulto 75kg",22,IF(Atletas!D536="Adulto 80kg",23,IF(Atletas!D536="Adulto 85kg",24,IF(Atletas!D536="Adulto 90kg",25,IF(Atletas!D536="Adulto +90kg",26,""))))))))))))))))))))))))))))</f>
        <v/>
      </c>
      <c r="AO540" s="10" t="str">
        <f>IF(Atletas!E536="","",IF(Atletas!B536="Feminino",100,IF(Atletas!B536="Masculino",200,""))+(IF(Atletas!E536="Juvenil 44kg",1,IF(Atletas!E536="Juvenil 48kg",2,IF(Atletas!E536="Juvenil 52kg",3,IF(Atletas!E536="Juvenil 56kg",4,IF(Atletas!E536="Juvenil 60kg",5,IF(Atletas!E536="Juvenil 65kg",6,IF(Atletas!E536="Juvenil 70kg",7,IF(Atletas!E536="Juvenil 75kg",8,IF(Atletas!E536="Juvenil 82kg",9,IF(Atletas!E536="Juvenil 90kg",10,IF(Atletas!E536="Juvenil 100kg",11,IF(Atletas!E536="Adulto 48kg",12,IF(Atletas!E536="Adulto 52kg",13,IF(Atletas!E536="Adulto 56kg",14,IF(Atletas!E536="Adulto 60kg",15,IF(Atletas!E536="Adulto 65kg",16,IF(Atletas!E536="Adulto 70kg",17,IF(Atletas!E536="Adulto 75kg",18,IF(Atletas!E536="Adulto 82kg",19,IF(Atletas!E536="Adulto 90kg",20,IF(Atletas!E536="Adulto 100kg",21,IF(Atletas!E536="Adulto +100kg",22,""))))))))))))))))))))))))</f>
        <v/>
      </c>
      <c r="AT540" s="10" t="str">
        <f>IF(Atletas!F536="","",IF(Atletas!B536="Feminino",100,IF(Atletas!B536="Masculino",200,""))+(IF(Atletas!F536="Adulto 48kg",1,IF(Atletas!F536="Adulto 56kg",2,IF(Atletas!F536="Adulto 65kg",3,IF(Atletas!F536="Adulto 75kg",4,IF(Atletas!F536="Adulto +75kg",5,IF(Atletas!F536="Adulto 52kg",6,IF(Atletas!F536="Adulto 60kg",7,IF(Atletas!F536="Adulto 70kg",8,IF(Atletas!F536="Adulto 80kg",9,IF(Atletas!F536="Adulto 90kg",10,IF(Atletas!F536="Adulto +90kg",11,"")))))))))))))</f>
        <v/>
      </c>
      <c r="AY540" s="46" t="str">
        <f>IF(Atletas!G536="","",IF(Atletas!B536="Feminino",100,IF(Atletas!B536="Masculino",200,""))+(IF(Atletas!G536="Changquan Mirim",1,IF(Atletas!G536="Nanquan Mirim",2,IF(Atletas!G536="Taijiquan Mirim",3,IF(Atletas!G536="Changquan Grupo C",4,IF(Atletas!G536="Nanquan Grupo C",5,IF(Atletas!G536="Taijiquan Grupo C",6,IF(Atletas!G536="Changquan Grupo B",7,IF(Atletas!G536="Nanquan Grupo B",8,IF(Atletas!G536="Taijiquan Grupo B",9,IF(Atletas!G536="Changquan Grupo A",10,IF(Atletas!G536="Nanquan Grupo A",11,IF(Atletas!G536="Taijiquan Grupo A",12,IF(Atletas!G536="Changquan Opcional",13,IF(Atletas!G536="Nanquan Opcional",14,IF(Atletas!G536="Taijiquan Opcional",15,IF(Atletas!G536="Changquan Adulto",16,IF(Atletas!G536="Nanquan Adulto",17,IF(Atletas!G536="Taijiquan Adulto",18,""))))))))))))))))))))</f>
        <v/>
      </c>
      <c r="AZ540" s="46" t="str">
        <f>IF(Atletas!H536="","",IF(Atletas!B536="Feminino",100,IF(Atletas!B536="Masculino",200,""))+(IF(Atletas!H536="Daoshu Mirim",19,IF(Atletas!H536="Jianshu Mirim",20,IF(Atletas!H536="Nandao Mirim",21,IF(Atletas!H536="Taijijian Mirim",22,IF(Atletas!H536="Daoshu Grupo C",23,IF(Atletas!H536="Jianshu Grupo C",24,IF(Atletas!H536="Nandao Grupo C",25,IF(Atletas!H536="Taijijian Grupo C",26,IF(Atletas!H536="Daoshu Grupo B",27,IF(Atletas!H536="Jianshu Grupo B",28,IF(Atletas!H536="Nandao Grupo B",29,IF(Atletas!H536="Taijijian Grupo B",30,IF(Atletas!H536="Daoshu Grupo A",31,IF(Atletas!H536="Jianshu Grupo A",32,IF(Atletas!H536="Nandao Grupo A",33,IF(Atletas!H536="Taijijian Grupo A",34,IF(Atletas!H536="Daoshu Opcional",35,IF(Atletas!H536="Jianshu Opcional",36,IF(Atletas!H536="Nandao Opcional",37,IF(Atletas!H536="Taijijian Opcional",38,IF(Atletas!H536="Daoshu Adulto",39,IF(Atletas!H536="Jianshu Adulto",40,IF(Atletas!H536="Nandao Adulto",41,IF(Atletas!H536="Taijijian Adulto",42,""))))))))))))))))))))))))))</f>
        <v/>
      </c>
      <c r="BA540" s="46" t="str">
        <f>IF(Atletas!I536="","",IF(Atletas!B536="Feminino",100,IF(Atletas!B536="Masculino",200,""))+(IF(Atletas!I536="Gunshu Mirim",43,IF(Atletas!I536="Qiangshu Mirim",44,IF(Atletas!I536="Nangun Mirim",45,IF(Atletas!I536="Gunshu Grupo C",46,IF(Atletas!I536="Qiangshu Grupo C",47,IF(Atletas!I536="Nangun Grupo C",48,IF(Atletas!I536="Gunshu Grupo B",49,IF(Atletas!I536="Qiangshu Grupo B",50,IF(Atletas!I536="Nangun Grupo B",51,IF(Atletas!I536="Gunshu Grupo A",52,IF(Atletas!I536="Qiangshu Grupo A",53,IF(Atletas!I536="Nangun Grupo A",54,IF(Atletas!I536="Gunshu Opcional",55,IF(Atletas!I536="Qiangshu Opcional",56,IF(Atletas!I536="Nangun Opcional",57,IF(Atletas!I536="Gunshu Adulto",58,IF(Atletas!I536="Qiangshu Adulto",59,IF(Atletas!I536="Nangun Adulto",60,""))))))))))))))))))))</f>
        <v/>
      </c>
      <c r="BF540" s="52" t="str">
        <f>IF(Atletas!J536="","",IF(Atletas!B536="Feminino",100,IF(Atletas!B536="Masculino",200,""))+(IF(Atletas!J536="Equipe 1 Grupo B",1,IF(Atletas!J536="Equipe 2 Grupo B",2,IF(Atletas!J536="Equipe 1 Grupo A",3,IF(Atletas!J536="Equipe 2 Grupo A",4,IF(Atletas!J536="Equipe 1 Adulto",5,IF(Atletas!J536="Equipe 2 Adulto",6,""))))))))</f>
        <v/>
      </c>
      <c r="BK540" s="52" t="str">
        <f>IF(Atletas!K536="","",IF(Atletas!W536&lt;&gt;"",10000,0)+(IF(Atletas!B536="Feminino",1000,IF(Atletas!B536="Masculino",2000,""))+IF(Atletas!K536="Choylayfut A",1,IF(Atletas!K536="Hunggar A",2,IF(Atletas!K536="Wuzuquan A",3,IF(Atletas!K536="Wingchun A",4,IF(Atletas!K536="Outra Mão de Sul A",5,IF(Atletas!K536="Choylayfut B",6,IF(Atletas!K536="Hunggar B",7,IF(Atletas!K536="Wuzuquan B",8,IF(Atletas!K536="Wingchun B",9,IF(Atletas!K536="Outra Mão de Sul B",10,IF(Atletas!K536="Choylayfut C",11,IF(Atletas!K536="Hunggar C",12,IF(Atletas!K536="Wuzuquan C",13,IF(Atletas!K536="Wingchun C",14,IF(Atletas!K536="Outra Mão de Sul C",15,IF(Atletas!K536="Choylayfut D",16,IF(Atletas!K536="Hunggar D",17,IF(Atletas!K536="Wuzuquan D",18,IF(Atletas!K536="Wingchun D",19,IF(Atletas!K536="Outra Mão de Sul D",20,IF(Atletas!K536="Choylayfut E",21,IF(Atletas!K536="Hunggar E",22,IF(Atletas!K536="Wuzuquan E",23,IF(Atletas!K536="Wingchun E",24,IF(Atletas!K536="Outra Mão de Sul E",25,IF(Atletas!K536="Choylayfut F",26,IF(Atletas!K536="Hunggar F",27,IF(Atletas!K536="Wuzuquan F",28,IF(Atletas!K536="Wingchun F",29,IF(Atletas!K536="Outra Mão de Sul F",30,""))))))))))))))))))))))))))))))))</f>
        <v/>
      </c>
      <c r="BL540" s="52" t="str">
        <f>IF(Atletas!L536="","",IF(Atletas!W536&lt;&gt;"",10000,0)+(IF(Atletas!B536="Feminino",1000,IF(Atletas!B536="Masculino",2000,""))+(IF(Atletas!L536="Chaquan A",101,IF(Atletas!L536="Emeiquan A",102,IF(Atletas!L536="Fanziquan A",103,IF(Atletas!L536="Huaquan A",104,IF(Atletas!L536="Hongquan A",105,IF(Atletas!L536="Paochui A",106,IF(Atletas!L536="Piguaquan A",107,IF(Atletas!L536="Shaolinquan A",108,IF(Atletas!L536="Tanglangquan A",109,IF(Atletas!L536="Yinzhaophai A",110,IF(Atletas!L536="Tongbeiquan A",111,IF(Atletas!L536="Wudangquan A",112,IF(Atletas!L536="Outros Estilos A",113,IF(Atletas!L536="Chaquan B",114,IF(Atletas!L536="Emeiquan B",115,IF(Atletas!L536="Fanziquan B",116,IF(Atletas!L536="Huaquan B",117,IF(Atletas!L536="Hongquan B",118,IF(Atletas!L536="Paochui B",119,IF(Atletas!L536="Piguaquan B",120,IF(Atletas!L536="Shaolinquan B",121,IF(Atletas!L536="Tanglangquan B",122,IF(Atletas!L536="Yinzhaophai B",123,IF(Atletas!L536="Tongbeiquan B",124,IF(Atletas!L536="Wudangquan B",125,IF(Atletas!L536="Outros Estilos B",126,IF(Atletas!L536="Chaquan C",127,IF(Atletas!L536="Emeiquan C",128,IF(Atletas!L536="Fanziquan C",129,IF(Atletas!L536="Huaquan C",130,IF(Atletas!L536="Hongquan C",131,IF(Atletas!L536="Paochui C",132,IF(Atletas!L536="Piguaquan C",133,IF(Atletas!L536="Shaolinquan C",134,IF(Atletas!L536="Tanglangquan C",135,IF(Atletas!L536="Yinzhaophai C",136,IF(Atletas!L536="Tongbeiquan C",137,IF(Atletas!L536="Wudangquan C",138,IF(Atletas!L536="Outros Estilos C",139,0))))))))))))))))))))))))))))))))))))))))))</f>
        <v/>
      </c>
      <c r="BM540" s="52" t="str">
        <f>IF(Atletas!L536="","",IF(Atletas!W536&lt;&gt;"",10000,0)+(IF(Atletas!B536="Feminino",1000,IF(Atletas!B536="Masculino",2000,""))+(IF(Atletas!L536="Chaquan D",140,IF(Atletas!L536="Emeiquan D",141,IF(Atletas!L536="Fanziquan D",142,IF(Atletas!L536="Huaquan D",143,IF(Atletas!L536="Hongquan D",144,IF(Atletas!L536="Paochui D",145,IF(Atletas!L536="Piguaquan D",146,IF(Atletas!L536="Shaolinquan D",147,IF(Atletas!L536="Tanglangquan D",148,IF(Atletas!L536="Yinzhaophai D",149,IF(Atletas!L536="Tongbeiquan D",150,IF(Atletas!L536="Wudangquan D",151,IF(Atletas!L536="Outros Estilos D",152,IF(Atletas!L536="Chaquan E",153,IF(Atletas!L536="Emeiquan E",154,IF(Atletas!L536="Fanziquan E",155,IF(Atletas!L536="Huaquan E",156,IF(Atletas!L536="Hongquan E",157,IF(Atletas!L536="Paochui E",158,IF(Atletas!L536="Piguaquan E",159,IF(Atletas!L536="Shaolinquan E",160,IF(Atletas!L536="Tanglangquan E",161,IF(Atletas!L536="Yinzhaophai E",162,IF(Atletas!L536="Tongbeiquan E",163,IF(Atletas!L536="Wudangquan E",164,IF(Atletas!L536="Outros Estilos E",165,IF(Atletas!L536="Chaquan F",166,IF(Atletas!L536="Emeiquan F",167,IF(Atletas!L536="Fanziquan F",168,IF(Atletas!L536="Huaquan F",169,IF(Atletas!L536="Hongquan F",170,IF(Atletas!L536="Paochui F",171,IF(Atletas!L536="Piguaquan F",172,IF(Atletas!L536="Shaolinquan F",173,IF(Atletas!L536="Tanglangquan F",174,IF(Atletas!L536="Yinzhaophai F",175,IF(Atletas!L536="Tongbeiquan F",176,IF(Atletas!L536="Wudangquan F",177,IF(Atletas!L536="Outros Estilos F",178,0))))))))))))))))))))))))))))))))))))))))))</f>
        <v/>
      </c>
      <c r="BN540" s="52" t="str">
        <f>IF(Atletas!M536="","",IF(Atletas!W536&lt;&gt;"",10000,0)+(IF(Atletas!B536="Feminino",1000,IF(Atletas!B536="Masculino",2000,""))+(IF(Atletas!M536="Ditangquan A",201,IF(Atletas!M536="Houquan A",202,IF(Atletas!M536="Zuiquan A",203,IF(Atletas!M536="Ditangquan B",204,IF(Atletas!M536="Houquan B",205,IF(Atletas!M536="Zuiquan B",206,IF(Atletas!M536="Ditangquan C",207,IF(Atletas!M536="Houquan C",208,IF(Atletas!M536="Zuiquan C",209,IF(Atletas!M536="Ditangquan D",210,IF(Atletas!M536="Houquan D",211,IF(Atletas!M536="Zuiquan D",212,IF(Atletas!M536="Ditangquan E",213,IF(Atletas!M536="Houquan E",214,IF(Atletas!M536="Zuiquan E",215,IF(Atletas!M536="Ditangquan F",216,IF(Atletas!M536="Houquan F",217,IF(Atletas!M536="Zuiquan F",218,"")))))))))))))))))))))</f>
        <v/>
      </c>
      <c r="BO540" s="52" t="str">
        <f>IF(Atletas!N536="","",IF(Atletas!W536&lt;&gt;"",10000,0)+IF(Atletas!B536="Feminino",1000,IF(Atletas!B536="Masculino",2000,""))+IF(Atletas!N536="Yang A",301,IF(Atletas!N536="Chen A",30,IF(Atletas!N536="Sun A",303,IF(Atletas!N536="Wu A",304,IF(Atletas!N536="Wu-Hao A",305,IF(Atletas!N536="Outro Taijiquan A",306,IF(Atletas!N536="Yang B",307,IF(Atletas!N536="Chen B",308,IF(Atletas!N536="Sun B",309,IF(Atletas!N536="Wu B",310,IF(Atletas!N536="Wu-Hao B",311,IF(Atletas!N536="Outro Taijiquan B",312,IF(Atletas!N536="Yang C",313,IF(Atletas!N536="Chen C",314,IF(Atletas!N536="Sun C",315,IF(Atletas!N536="Wu C",316,IF(Atletas!N536="Wu-Hao C",317,IF(Atletas!N536="Outro Taijiquan C",318,IF(Atletas!N536="Yang D",319,IF(Atletas!N536="Chen D",320,IF(Atletas!N536="Sun D",321,IF(Atletas!N536="Wu D",322,IF(Atletas!N536="Wu-Hao D",323,IF(Atletas!N536="Outro Taijiquan D",324,IF(Atletas!N536="Yang E",325,IF(Atletas!N536="Chen E",326,IF(Atletas!N536="Sun E",327,IF(Atletas!N536="Wu E",328,IF(Atletas!N536="Wu-Hao E",329,IF(Atletas!N536="Outro Taijiquan E",330,IF(Atletas!N536="Yang F",331,IF(Atletas!N536="Chen F",332,IF(Atletas!N536="Sun F",333,IF(Atletas!N536="Wu F",334,IF(Atletas!N536="Wu-Hao F",335,IF(Atletas!N536="Outro Taijiquan F",336,"")))))))))))))))))))))))))))))))))))))</f>
        <v/>
      </c>
      <c r="BP540" s="52" t="str">
        <f>IF(Atletas!O536="","",IF(Atletas!W536&lt;&gt;"",10000,0)+IF(Atletas!B536="Feminino",1000,IF(Atletas!B536="Masculino",2000,""))+IF(OR(Atletas!O536="Yang 26 A",Atletas!O536="Yang 40 A"),401,IF(OR(Atletas!O536="Chen 25 A",Atletas!O536="Chen 36 A",Atletas!O536="Chen 56 A"),402,IF(Atletas!O536="Sun 73 A",403,IF(Atletas!O536="Wu 45 A",404,IF(Atletas!O536="Wu-Hao 46 A",405,IF(OR(Atletas!O536="Taijiquan 16 A",Atletas!O536="Taijiquan 24 A",Atletas!O536="Taijiquan 32 A",Atletas!O536="Taijiquan 42 A"),406,IF(OR(Atletas!O536="Yang 26 B",Atletas!O536="Yang 40 B"),407,IF(OR(Atletas!O536="Chen 25 B",Atletas!O536="Chen 36 B",Atletas!O536="Chen 56 B"),408,IF(Atletas!O536="Sun 73 B",409,IF(Atletas!O536="Wu 45 B",410,IF(Atletas!O536="Wu-Hao 46 B",411,IF(OR(Atletas!O536="Taijiquan 16 B",Atletas!O536="Taijiquan 24 B",Atletas!O536="Taijiquan 32 B",Atletas!O536="Taijiquan 42 B"),412,IF(OR(Atletas!O536="Yang 26 C",Atletas!O536="Yang 40 C"),413,IF(OR(Atletas!O536="Chen 25 C",Atletas!O536="Chen 36 C",Atletas!O536="Chen 56 C"),414,IF(Atletas!O536="Sun 73 C",415,IF(Atletas!O536="Wu 45 C",416,IF(Atletas!O536="Wu-Hao 46 C",417,IF(OR(Atletas!O536="Taijiquan 16 C",Atletas!O536="Taijiquan 24 C",Atletas!O536="Taijiquan 32 C",Atletas!O536="Taijiquan 42 C"),418,0)))))))))))))))))))</f>
        <v/>
      </c>
      <c r="BQ540" s="52" t="str">
        <f>IF(Atletas!O536="","",IF(Atletas!W536&lt;&gt;"",10000,0)+IF(Atletas!B536="Feminino",1000,IF(Atletas!B536="Masculino",2000,""))+IF(OR(Atletas!O536="Yang 26 D",Atletas!O536="Yang 40 D"),419,IF(OR(Atletas!O536="Chen 25 D",Atletas!O536="Chen 36 D",Atletas!O536="Chen 56 D"),420,IF(Atletas!O536="Sun 73 D",421,IF(Atletas!O536="Wu 45 D",422,IF(Atletas!O536="Wu-Hao 46 D",423,IF(OR(Atletas!O536="Taijiquan 16 D",Atletas!O536="Taijiquan 24 D",Atletas!O536="Taijiquan 32 D",Atletas!O536="Taijiquan 42 D"),424,IF(OR(Atletas!O536="Yang 26 E",Atletas!O536="Yang 40 E"),425,IF(OR(Atletas!O536="Chen 25 E",Atletas!O536="Chen 36 E",Atletas!O536="Chen 56 E"),426,IF(Atletas!O536="Sun 73 E",427,IF(Atletas!O536="Wu 45 E",428,IF(Atletas!O536="Wu-Hao 46 E",429,IF(OR(Atletas!O536="Taijiquan 16 E",Atletas!O536="Taijiquan 24 E",Atletas!O536="Taijiquan 32 E",Atletas!O536="Taijiquan 42 E"),430,IF(OR(Atletas!O536="Yang 26 F",Atletas!O536="Yang 40 F"),431,IF(OR(Atletas!O536="Chen 25 F",Atletas!O536="Chen 36 F",Atletas!O536="Chen 56 F"),432,IF(Atletas!O536="Sun 73 F",433,IF(Atletas!O536="Wu 45 F",434,IF(Atletas!O536="Wu-Hao 46 F",435,IF(OR(Atletas!O536="Taijiquan 16 F",Atletas!O536="Taijiquan 24 F",Atletas!O536="Taijiquan 32 F",Atletas!O536="Taijiquan 42 F"),436,0)))))))))))))))))))</f>
        <v/>
      </c>
      <c r="BR540" s="52" t="str">
        <f>IF(Atletas!P536="","",IF(Atletas!W536&lt;&gt;"",10000,0)+IF(Atletas!B536="Feminino",1000,IF(Atletas!B536="Masculino",2000,""))+IF(Atletas!P536="Xingyiquan A",501,IF(Atletas!P536="Baguazhang A",502,IF(Atletas!P536="Outro Estilo Interno A",503,IF(Atletas!P536="Xingyiquan B",504,IF(Atletas!P536="Baguazhang B",505,IF(Atletas!P536="Outro Estilo Interno B",506,IF(Atletas!P536="Xingyiquan C",507,IF(Atletas!P536="Baguazhang C",508,IF(Atletas!P536="Outro Estilo Interno C",509,IF(Atletas!P536="Xingyiquan D",510,IF(Atletas!P536="Baguazhang D",511,IF(Atletas!P536="Outro Estilo Interno D",512,IF(Atletas!P536="Xingyiquan E",513,IF(Atletas!P536="Baguazhang E",514,IF(Atletas!P536="Outro Estilo Interno E",515,IF(Atletas!P536="Xingyiquan F",516,IF(Atletas!P536="Baguazhang F",517,IF(Atletas!P536="Outro Estilo Interno F",518, "")))))))))))))))))))</f>
        <v/>
      </c>
      <c r="BS540" s="52" t="str">
        <f>IF(Atletas!Q536="","",IF(Atletas!W536&lt;&gt;"",10000,0)+IF(Atletas!B536="Feminino",1000,IF(Atletas!B536="Masculino",2000,""))+IF(Atletas!Q536="Dao A",601,IF(Atletas!Q536="Jian A",602,IF(Atletas!Q536="Bishou A",603,IF(Atletas!Q536="Shan A",604,IF(Atletas!Q536="Outra Arma Curta A",605,IF(Atletas!Q536="Dao B",606,IF(Atletas!Q536="Jian B",607,IF(Atletas!Q536="Bishou B",608,IF(Atletas!Q536="Shan B",609,IF(Atletas!Q536="Outra Arma Curta B",610,IF(Atletas!Q536="Dao C",611,IF(Atletas!Q536="Jian C",612,IF(Atletas!Q536="Bishou C",613,IF(Atletas!Q536="Shan C",614,IF(Atletas!Q536="Outra Arma Curta C",615,IF(Atletas!Q536="Dao D",616,IF(Atletas!Q536="Jian D",617,IF(Atletas!Q536="Bishou D",618,IF(Atletas!Q536="Shan D",619,IF(Atletas!Q536="Outra Arma Curta D",620,IF(Atletas!Q536="Dao E",621,IF(Atletas!Q536="Jian E",622,IF(Atletas!Q536="Bishou E",623,IF(Atletas!Q536="Shan E",624,IF(Atletas!Q536="Outra Arma Curta E",625,IF(Atletas!Q536="Dao F",626,IF(Atletas!Q536="Jian F",627,IF(Atletas!Q536="Bishou F",628,IF(Atletas!Q536="Shan F",629,IF(Atletas!Q536="Outra Arma Curta F",630, "")))))))))))))))))))))))))))))))</f>
        <v/>
      </c>
      <c r="BT540" s="52" t="str">
        <f>IF(Atletas!R536="","",IF(Atletas!W536&lt;&gt;"",10000,0)+IF(Atletas!B536="Feminino",1000,IF(Atletas!B536="Masculino",2000,""))+IF(Atletas!R536="Gun A",701,IF(Atletas!R536="Qiang A",702,IF(Atletas!R536="Pudao / Guandao A",703,IF(Atletas!R536="Outra Arma Longa A",704,IF(Atletas!R536="Gun B",705,IF(Atletas!R536="Qiang B",706,IF(Atletas!R536="Pudao / Guandao B",707,IF(Atletas!R536="Outra Arma Longa B",708,IF(Atletas!R536="Gun C",709,IF(Atletas!R536="Qiang C",710,IF(Atletas!R536="Pudao / Guandao C",711,IF(Atletas!R536="Outra Arma Longa C",712,IF(Atletas!R536="Gun D",713,IF(Atletas!R536="Qiang D",714,IF(Atletas!R536="Pudao / Guandao D",715,IF(Atletas!R536="Outra Arma Longa D",716,IF(Atletas!R536="Gun E",717,IF(Atletas!R536="Qiang E",718,IF(Atletas!R536="Pudao / Guandao E",719,IF(Atletas!R536="Outra Arma Longa E",720,IF(Atletas!R536="Gun F",721,IF(Atletas!R536="Qiang F",722,IF(Atletas!R536="Pudao / Guandao F",723,IF(Atletas!R536="Outra Arma Longa F",724,"")))))))))))))))))))))))))</f>
        <v/>
      </c>
      <c r="BU540" s="52" t="str">
        <f>IF(Atletas!S536="","",IF(Atletas!W536&lt;&gt;"",10000,0)+IF(Atletas!B536="Feminino",1000,IF(Atletas!B536="Masculino",2000,""))+IF(Atletas!S536="Arma Dupla A",801,IF(Atletas!S536="Arma Maleável A",802,IF(Atletas!S536="Arma Dupla B",803,IF(Atletas!S536="Arma Maleável B",804,IF(Atletas!S536="Arma Dupla C",805,IF(Atletas!S536="Arma Maleável C",806,IF(Atletas!S536="Arma Dupla D",807,IF(Atletas!S536="Arma Maleável D",808,IF(Atletas!S536="Arma Dupla E",809,IF(Atletas!S536="Arma Maleável E",810,IF(Atletas!S536="Arma Dupla F",811,IF(Atletas!S536="Arma Maleável F",812, "")))))))))))))</f>
        <v/>
      </c>
      <c r="BV540" s="52" t="str">
        <f>IF(Atletas!T536="","",IF(Atletas!W536&lt;&gt;"",10000,0)+IF(Atletas!B536="Feminino",1000,IF(Atletas!B536="Masculino",2000,""))+IF(Atletas!T536="Taijijian Yang A",901,IF(Atletas!T536="Taijijian Chen A",902,IF(Atletas!T536="Taijijian Sun A",903,IF(Atletas!T536="Taijijian Wu A",904,IF(Atletas!T536="Taijijian Wu-Hao A",905,IF(Atletas!T536="Taijijian 32 A",906,IF(Atletas!T536="Taijijian 42 A",907,IF(Atletas!T536="Taijijian Yang B",908,IF(Atletas!T536="Taijijian Chen B",909,IF(Atletas!T536="Taijijian Sun B",910,IF(Atletas!T536="Taijijian Wu B",911,IF(Atletas!T536="Taijijian Wu-Hao B",912,IF(Atletas!T536="Taijijian 32 B",913,IF(Atletas!T536="Taijijian 42 B",914,IF(Atletas!T536="Taijijian Yang C",915,IF(Atletas!T536="Taijijian Chen C",916,IF(Atletas!T536="Taijijian Sun C",917,IF(Atletas!T536="Taijijian Wu C",918,IF(Atletas!T536="Taijijian Wu-Hao C",919,IF(Atletas!T536="Taijijian 32 C",920,IF(Atletas!T536="Taijijian 42 C",921,IF(Atletas!T536="Taijijian Yang D",922,IF(Atletas!T536="Taijijian Chen D",923,IF(Atletas!T536="Taijijian Sun D",924,IF(Atletas!T536="Taijijian Wu D",925,IF(Atletas!T536="Taijijian Wu-Hao D",926,IF(Atletas!T536="Taijijian 32 D",927,IF(Atletas!T536="Taijijian 42 D",928,IF(Atletas!T536="Taijijian Yang E",929,IF(Atletas!T536="Taijijian Chen E",930,IF(Atletas!T536="Taijijian Sun E",931,IF(Atletas!T536="Taijijian Wu E",932,IF(Atletas!T536="Taijijian Wu-Hao E",933,IF(Atletas!T536="Taijijian 32 E",934,IF(Atletas!T536="Taijijian 42 E",935,IF(Atletas!T536="Taijijian Yang F",936,IF(Atletas!T536="Taijijian Chen F",937,IF(Atletas!T536="Taijijian Sun F",938,IF(Atletas!T536="Taijijian Wu F",939,IF(Atletas!T536="Taijijian Wu-Hao F",940,IF(Atletas!T536="Taijijian 32 F",941,IF(Atletas!T536="Taijijian 42 F",942,"")))))))))))))))))))))))))))))))))))))))))))</f>
        <v/>
      </c>
      <c r="BW540" s="52" t="str">
        <f>IF(Atletas!U536="","",IF(Atletas!W536&lt;&gt;"",10000,0)+IF(Atletas!B536="Feminino",1000,IF(Atletas!B536="Masculino",2000,""))+IF(Atletas!T536="Taijijian 42 F",942,IF(Atletas!U536="Taijidao A",943,IF(Atletas!U536="Taijishan A",944,IF(Atletas!U536="Taijiqiang A",945,IF(Atletas!U536="Taijidao B",946,IF(Atletas!U536="Taijishan B",947,IF(Atletas!U536="Taijiqiang B",948,IF(Atletas!U536="Taijidao C",949,IF(Atletas!U536="Taijishan C",950,IF(Atletas!U536="Taijiqiang C",951,IF(Atletas!U536="Taijidao D",952,IF(Atletas!U536="Taijishan D",953,IF(Atletas!U536="Taijiqiang D",954,IF(Atletas!U536="Taijidao E",955,IF(Atletas!U536="Taijishan E",956,IF(Atletas!U536="Taijiqiang E",957,IF(Atletas!U536="Taijidao F",958,IF(Atletas!U536="Taijishan F",959,IF(Atletas!U536="Taijiqiang F",960))))))))))))))))))))</f>
        <v/>
      </c>
      <c r="CF540" s="52" t="str">
        <f xml:space="preserve"> IF(Atletas!V536="","",IF(Atletas!V536="Duilian de Mãos AB - Equipe 1",1,IF(Atletas!V536="Duilian de Mãos AB - Equipe 2",2,IF(Atletas!V536="Duilian de Armas AB - Equipe 1",3,IF(Atletas!V536="Duilian de Armas AB - Equipe 2",4,IF(Atletas!V536="Duilian de Tuishou - Equipe 1",5,IF(Atletas!V536="Duilian de Tuishou - Equipe 2",6,IF(Atletas!V536="Grupo Externo AB - Equipe 1",7,IF(Atletas!V536="Grupo Externo AB - Equipe 2",8,IF(Atletas!V536="Grupo Interno AB - Equipe 1",9,IF(Atletas!V536="Grupo Interno AB - Equipe 2",10,IF(Atletas!V536="Duilian de Mãos CD - Equipe 1",11,IF(Atletas!V536="Duilian de Mãos CD - Equipe 2",12,IF(Atletas!V536="Duilian de Armas CD - Equipe 1",13,IF(Atletas!V536="Duilian de Armas CD - Equipe 2",14,IF(Atletas!V536="Duilian de Tuishou - Equipe 1",15,IF(Atletas!V536="Duilian de Tuishou - Equipe 2",16,IF(Atletas!V536="Grupo Externo CDEF - Equipe 1",17,IF(Atletas!V536="Grupo Externo CDEF - Equipe 2",18,IF(Atletas!V536="Grupo Interno CDEF - Equipe 1",19,IF(Atletas!V536="Grupo Interno CDEF - Equipe 2",20,IF(Atletas!V536="Duilian de Mãos EF - Equipe 1",21,IF(Atletas!V536="Duilian de Mãos EF - Equipe 2",22,IF(Atletas!V536="Duilian de Armas EF - Equipe 1",23,IF(Atletas!V536="Duilian de Armas EF - Equipe 2",24,IF(Atletas!V536="Duilian de Tuishou - Equipe 1",25,IF(Atletas!V536="Duilian de Tuishou - Equipe 2",26,"")))))))))))))))))))))))))))</f>
        <v/>
      </c>
    </row>
    <row r="541" spans="36:84">
      <c r="AJ541" s="46" t="str">
        <f>IF(Atletas!D537="","",IF(Atletas!B537="Feminino",100,IF(Atletas!B537="Masculino",200,""))+(IF(Atletas!D537="Infantil 39kg",1,IF(Atletas!D537="Infantil 42kg",2,IF(Atletas!D537="Infantil 45kg",3,IF(Atletas!D537="Infantil 48kg",4,IF(Atletas!D537="Infantil 52kg",5,IF(Atletas!D537="Infantil 56kg",6,IF(Atletas!D537="Infantil 60kg",7,IF(Atletas!D537="Juvenil 48kg",8,IF(Atletas!D537="Juvenil 52kg",9,IF(Atletas!D537="Juvenil 56kg",10,IF(Atletas!D537="Juvenil 60kg",11,IF(Atletas!D537="Juvenil 65kg",12,IF(Atletas!D537="Juvenil 70kg",13,IF(Atletas!D537="Juvenil 75kg",14,IF(Atletas!D537="Juvenil 80kg",15,IF(Atletas!D537="Adulto 48kg",16,IF(Atletas!D537="Adulto 52kg",17,IF(Atletas!D537="Adulto 56kg",18,IF(Atletas!D537="Adulto 60kg",19,IF(Atletas!D537="Adulto 65kg",20,IF(Atletas!D537="Adulto 70kg",21,IF(Atletas!D537="Adulto 75kg",22,IF(Atletas!D537="Adulto 80kg",23,IF(Atletas!D537="Adulto 85kg",24,IF(Atletas!D537="Adulto 90kg",25,IF(Atletas!D537="Adulto +90kg",26,""))))))))))))))))))))))))))))</f>
        <v/>
      </c>
      <c r="AO541" s="10" t="str">
        <f>IF(Atletas!E537="","",IF(Atletas!B537="Feminino",100,IF(Atletas!B537="Masculino",200,""))+(IF(Atletas!E537="Juvenil 44kg",1,IF(Atletas!E537="Juvenil 48kg",2,IF(Atletas!E537="Juvenil 52kg",3,IF(Atletas!E537="Juvenil 56kg",4,IF(Atletas!E537="Juvenil 60kg",5,IF(Atletas!E537="Juvenil 65kg",6,IF(Atletas!E537="Juvenil 70kg",7,IF(Atletas!E537="Juvenil 75kg",8,IF(Atletas!E537="Juvenil 82kg",9,IF(Atletas!E537="Juvenil 90kg",10,IF(Atletas!E537="Juvenil 100kg",11,IF(Atletas!E537="Adulto 48kg",12,IF(Atletas!E537="Adulto 52kg",13,IF(Atletas!E537="Adulto 56kg",14,IF(Atletas!E537="Adulto 60kg",15,IF(Atletas!E537="Adulto 65kg",16,IF(Atletas!E537="Adulto 70kg",17,IF(Atletas!E537="Adulto 75kg",18,IF(Atletas!E537="Adulto 82kg",19,IF(Atletas!E537="Adulto 90kg",20,IF(Atletas!E537="Adulto 100kg",21,IF(Atletas!E537="Adulto +100kg",22,""))))))))))))))))))))))))</f>
        <v/>
      </c>
      <c r="AT541" s="10" t="str">
        <f>IF(Atletas!F537="","",IF(Atletas!B537="Feminino",100,IF(Atletas!B537="Masculino",200,""))+(IF(Atletas!F537="Adulto 48kg",1,IF(Atletas!F537="Adulto 56kg",2,IF(Atletas!F537="Adulto 65kg",3,IF(Atletas!F537="Adulto 75kg",4,IF(Atletas!F537="Adulto +75kg",5,IF(Atletas!F537="Adulto 52kg",6,IF(Atletas!F537="Adulto 60kg",7,IF(Atletas!F537="Adulto 70kg",8,IF(Atletas!F537="Adulto 80kg",9,IF(Atletas!F537="Adulto 90kg",10,IF(Atletas!F537="Adulto +90kg",11,"")))))))))))))</f>
        <v/>
      </c>
      <c r="AY541" s="46" t="str">
        <f>IF(Atletas!G537="","",IF(Atletas!B537="Feminino",100,IF(Atletas!B537="Masculino",200,""))+(IF(Atletas!G537="Changquan Mirim",1,IF(Atletas!G537="Nanquan Mirim",2,IF(Atletas!G537="Taijiquan Mirim",3,IF(Atletas!G537="Changquan Grupo C",4,IF(Atletas!G537="Nanquan Grupo C",5,IF(Atletas!G537="Taijiquan Grupo C",6,IF(Atletas!G537="Changquan Grupo B",7,IF(Atletas!G537="Nanquan Grupo B",8,IF(Atletas!G537="Taijiquan Grupo B",9,IF(Atletas!G537="Changquan Grupo A",10,IF(Atletas!G537="Nanquan Grupo A",11,IF(Atletas!G537="Taijiquan Grupo A",12,IF(Atletas!G537="Changquan Opcional",13,IF(Atletas!G537="Nanquan Opcional",14,IF(Atletas!G537="Taijiquan Opcional",15,IF(Atletas!G537="Changquan Adulto",16,IF(Atletas!G537="Nanquan Adulto",17,IF(Atletas!G537="Taijiquan Adulto",18,""))))))))))))))))))))</f>
        <v/>
      </c>
      <c r="AZ541" s="46" t="str">
        <f>IF(Atletas!H537="","",IF(Atletas!B537="Feminino",100,IF(Atletas!B537="Masculino",200,""))+(IF(Atletas!H537="Daoshu Mirim",19,IF(Atletas!H537="Jianshu Mirim",20,IF(Atletas!H537="Nandao Mirim",21,IF(Atletas!H537="Taijijian Mirim",22,IF(Atletas!H537="Daoshu Grupo C",23,IF(Atletas!H537="Jianshu Grupo C",24,IF(Atletas!H537="Nandao Grupo C",25,IF(Atletas!H537="Taijijian Grupo C",26,IF(Atletas!H537="Daoshu Grupo B",27,IF(Atletas!H537="Jianshu Grupo B",28,IF(Atletas!H537="Nandao Grupo B",29,IF(Atletas!H537="Taijijian Grupo B",30,IF(Atletas!H537="Daoshu Grupo A",31,IF(Atletas!H537="Jianshu Grupo A",32,IF(Atletas!H537="Nandao Grupo A",33,IF(Atletas!H537="Taijijian Grupo A",34,IF(Atletas!H537="Daoshu Opcional",35,IF(Atletas!H537="Jianshu Opcional",36,IF(Atletas!H537="Nandao Opcional",37,IF(Atletas!H537="Taijijian Opcional",38,IF(Atletas!H537="Daoshu Adulto",39,IF(Atletas!H537="Jianshu Adulto",40,IF(Atletas!H537="Nandao Adulto",41,IF(Atletas!H537="Taijijian Adulto",42,""))))))))))))))))))))))))))</f>
        <v/>
      </c>
      <c r="BA541" s="46" t="str">
        <f>IF(Atletas!I537="","",IF(Atletas!B537="Feminino",100,IF(Atletas!B537="Masculino",200,""))+(IF(Atletas!I537="Gunshu Mirim",43,IF(Atletas!I537="Qiangshu Mirim",44,IF(Atletas!I537="Nangun Mirim",45,IF(Atletas!I537="Gunshu Grupo C",46,IF(Atletas!I537="Qiangshu Grupo C",47,IF(Atletas!I537="Nangun Grupo C",48,IF(Atletas!I537="Gunshu Grupo B",49,IF(Atletas!I537="Qiangshu Grupo B",50,IF(Atletas!I537="Nangun Grupo B",51,IF(Atletas!I537="Gunshu Grupo A",52,IF(Atletas!I537="Qiangshu Grupo A",53,IF(Atletas!I537="Nangun Grupo A",54,IF(Atletas!I537="Gunshu Opcional",55,IF(Atletas!I537="Qiangshu Opcional",56,IF(Atletas!I537="Nangun Opcional",57,IF(Atletas!I537="Gunshu Adulto",58,IF(Atletas!I537="Qiangshu Adulto",59,IF(Atletas!I537="Nangun Adulto",60,""))))))))))))))))))))</f>
        <v/>
      </c>
      <c r="BF541" s="52" t="str">
        <f>IF(Atletas!J537="","",IF(Atletas!B537="Feminino",100,IF(Atletas!B537="Masculino",200,""))+(IF(Atletas!J537="Equipe 1 Grupo B",1,IF(Atletas!J537="Equipe 2 Grupo B",2,IF(Atletas!J537="Equipe 1 Grupo A",3,IF(Atletas!J537="Equipe 2 Grupo A",4,IF(Atletas!J537="Equipe 1 Adulto",5,IF(Atletas!J537="Equipe 2 Adulto",6,""))))))))</f>
        <v/>
      </c>
      <c r="BK541" s="52" t="str">
        <f>IF(Atletas!K537="","",IF(Atletas!W537&lt;&gt;"",10000,0)+(IF(Atletas!B537="Feminino",1000,IF(Atletas!B537="Masculino",2000,""))+IF(Atletas!K537="Choylayfut A",1,IF(Atletas!K537="Hunggar A",2,IF(Atletas!K537="Wuzuquan A",3,IF(Atletas!K537="Wingchun A",4,IF(Atletas!K537="Outra Mão de Sul A",5,IF(Atletas!K537="Choylayfut B",6,IF(Atletas!K537="Hunggar B",7,IF(Atletas!K537="Wuzuquan B",8,IF(Atletas!K537="Wingchun B",9,IF(Atletas!K537="Outra Mão de Sul B",10,IF(Atletas!K537="Choylayfut C",11,IF(Atletas!K537="Hunggar C",12,IF(Atletas!K537="Wuzuquan C",13,IF(Atletas!K537="Wingchun C",14,IF(Atletas!K537="Outra Mão de Sul C",15,IF(Atletas!K537="Choylayfut D",16,IF(Atletas!K537="Hunggar D",17,IF(Atletas!K537="Wuzuquan D",18,IF(Atletas!K537="Wingchun D",19,IF(Atletas!K537="Outra Mão de Sul D",20,IF(Atletas!K537="Choylayfut E",21,IF(Atletas!K537="Hunggar E",22,IF(Atletas!K537="Wuzuquan E",23,IF(Atletas!K537="Wingchun E",24,IF(Atletas!K537="Outra Mão de Sul E",25,IF(Atletas!K537="Choylayfut F",26,IF(Atletas!K537="Hunggar F",27,IF(Atletas!K537="Wuzuquan F",28,IF(Atletas!K537="Wingchun F",29,IF(Atletas!K537="Outra Mão de Sul F",30,""))))))))))))))))))))))))))))))))</f>
        <v/>
      </c>
      <c r="BL541" s="52" t="str">
        <f>IF(Atletas!L537="","",IF(Atletas!W537&lt;&gt;"",10000,0)+(IF(Atletas!B537="Feminino",1000,IF(Atletas!B537="Masculino",2000,""))+(IF(Atletas!L537="Chaquan A",101,IF(Atletas!L537="Emeiquan A",102,IF(Atletas!L537="Fanziquan A",103,IF(Atletas!L537="Huaquan A",104,IF(Atletas!L537="Hongquan A",105,IF(Atletas!L537="Paochui A",106,IF(Atletas!L537="Piguaquan A",107,IF(Atletas!L537="Shaolinquan A",108,IF(Atletas!L537="Tanglangquan A",109,IF(Atletas!L537="Yinzhaophai A",110,IF(Atletas!L537="Tongbeiquan A",111,IF(Atletas!L537="Wudangquan A",112,IF(Atletas!L537="Outros Estilos A",113,IF(Atletas!L537="Chaquan B",114,IF(Atletas!L537="Emeiquan B",115,IF(Atletas!L537="Fanziquan B",116,IF(Atletas!L537="Huaquan B",117,IF(Atletas!L537="Hongquan B",118,IF(Atletas!L537="Paochui B",119,IF(Atletas!L537="Piguaquan B",120,IF(Atletas!L537="Shaolinquan B",121,IF(Atletas!L537="Tanglangquan B",122,IF(Atletas!L537="Yinzhaophai B",123,IF(Atletas!L537="Tongbeiquan B",124,IF(Atletas!L537="Wudangquan B",125,IF(Atletas!L537="Outros Estilos B",126,IF(Atletas!L537="Chaquan C",127,IF(Atletas!L537="Emeiquan C",128,IF(Atletas!L537="Fanziquan C",129,IF(Atletas!L537="Huaquan C",130,IF(Atletas!L537="Hongquan C",131,IF(Atletas!L537="Paochui C",132,IF(Atletas!L537="Piguaquan C",133,IF(Atletas!L537="Shaolinquan C",134,IF(Atletas!L537="Tanglangquan C",135,IF(Atletas!L537="Yinzhaophai C",136,IF(Atletas!L537="Tongbeiquan C",137,IF(Atletas!L537="Wudangquan C",138,IF(Atletas!L537="Outros Estilos C",139,0))))))))))))))))))))))))))))))))))))))))))</f>
        <v/>
      </c>
      <c r="BM541" s="52" t="str">
        <f>IF(Atletas!L537="","",IF(Atletas!W537&lt;&gt;"",10000,0)+(IF(Atletas!B537="Feminino",1000,IF(Atletas!B537="Masculino",2000,""))+(IF(Atletas!L537="Chaquan D",140,IF(Atletas!L537="Emeiquan D",141,IF(Atletas!L537="Fanziquan D",142,IF(Atletas!L537="Huaquan D",143,IF(Atletas!L537="Hongquan D",144,IF(Atletas!L537="Paochui D",145,IF(Atletas!L537="Piguaquan D",146,IF(Atletas!L537="Shaolinquan D",147,IF(Atletas!L537="Tanglangquan D",148,IF(Atletas!L537="Yinzhaophai D",149,IF(Atletas!L537="Tongbeiquan D",150,IF(Atletas!L537="Wudangquan D",151,IF(Atletas!L537="Outros Estilos D",152,IF(Atletas!L537="Chaquan E",153,IF(Atletas!L537="Emeiquan E",154,IF(Atletas!L537="Fanziquan E",155,IF(Atletas!L537="Huaquan E",156,IF(Atletas!L537="Hongquan E",157,IF(Atletas!L537="Paochui E",158,IF(Atletas!L537="Piguaquan E",159,IF(Atletas!L537="Shaolinquan E",160,IF(Atletas!L537="Tanglangquan E",161,IF(Atletas!L537="Yinzhaophai E",162,IF(Atletas!L537="Tongbeiquan E",163,IF(Atletas!L537="Wudangquan E",164,IF(Atletas!L537="Outros Estilos E",165,IF(Atletas!L537="Chaquan F",166,IF(Atletas!L537="Emeiquan F",167,IF(Atletas!L537="Fanziquan F",168,IF(Atletas!L537="Huaquan F",169,IF(Atletas!L537="Hongquan F",170,IF(Atletas!L537="Paochui F",171,IF(Atletas!L537="Piguaquan F",172,IF(Atletas!L537="Shaolinquan F",173,IF(Atletas!L537="Tanglangquan F",174,IF(Atletas!L537="Yinzhaophai F",175,IF(Atletas!L537="Tongbeiquan F",176,IF(Atletas!L537="Wudangquan F",177,IF(Atletas!L537="Outros Estilos F",178,0))))))))))))))))))))))))))))))))))))))))))</f>
        <v/>
      </c>
      <c r="BN541" s="52" t="str">
        <f>IF(Atletas!M537="","",IF(Atletas!W537&lt;&gt;"",10000,0)+(IF(Atletas!B537="Feminino",1000,IF(Atletas!B537="Masculino",2000,""))+(IF(Atletas!M537="Ditangquan A",201,IF(Atletas!M537="Houquan A",202,IF(Atletas!M537="Zuiquan A",203,IF(Atletas!M537="Ditangquan B",204,IF(Atletas!M537="Houquan B",205,IF(Atletas!M537="Zuiquan B",206,IF(Atletas!M537="Ditangquan C",207,IF(Atletas!M537="Houquan C",208,IF(Atletas!M537="Zuiquan C",209,IF(Atletas!M537="Ditangquan D",210,IF(Atletas!M537="Houquan D",211,IF(Atletas!M537="Zuiquan D",212,IF(Atletas!M537="Ditangquan E",213,IF(Atletas!M537="Houquan E",214,IF(Atletas!M537="Zuiquan E",215,IF(Atletas!M537="Ditangquan F",216,IF(Atletas!M537="Houquan F",217,IF(Atletas!M537="Zuiquan F",218,"")))))))))))))))))))))</f>
        <v/>
      </c>
      <c r="BO541" s="52" t="str">
        <f>IF(Atletas!N537="","",IF(Atletas!W537&lt;&gt;"",10000,0)+IF(Atletas!B537="Feminino",1000,IF(Atletas!B537="Masculino",2000,""))+IF(Atletas!N537="Yang A",301,IF(Atletas!N537="Chen A",30,IF(Atletas!N537="Sun A",303,IF(Atletas!N537="Wu A",304,IF(Atletas!N537="Wu-Hao A",305,IF(Atletas!N537="Outro Taijiquan A",306,IF(Atletas!N537="Yang B",307,IF(Atletas!N537="Chen B",308,IF(Atletas!N537="Sun B",309,IF(Atletas!N537="Wu B",310,IF(Atletas!N537="Wu-Hao B",311,IF(Atletas!N537="Outro Taijiquan B",312,IF(Atletas!N537="Yang C",313,IF(Atletas!N537="Chen C",314,IF(Atletas!N537="Sun C",315,IF(Atletas!N537="Wu C",316,IF(Atletas!N537="Wu-Hao C",317,IF(Atletas!N537="Outro Taijiquan C",318,IF(Atletas!N537="Yang D",319,IF(Atletas!N537="Chen D",320,IF(Atletas!N537="Sun D",321,IF(Atletas!N537="Wu D",322,IF(Atletas!N537="Wu-Hao D",323,IF(Atletas!N537="Outro Taijiquan D",324,IF(Atletas!N537="Yang E",325,IF(Atletas!N537="Chen E",326,IF(Atletas!N537="Sun E",327,IF(Atletas!N537="Wu E",328,IF(Atletas!N537="Wu-Hao E",329,IF(Atletas!N537="Outro Taijiquan E",330,IF(Atletas!N537="Yang F",331,IF(Atletas!N537="Chen F",332,IF(Atletas!N537="Sun F",333,IF(Atletas!N537="Wu F",334,IF(Atletas!N537="Wu-Hao F",335,IF(Atletas!N537="Outro Taijiquan F",336,"")))))))))))))))))))))))))))))))))))))</f>
        <v/>
      </c>
      <c r="BP541" s="52" t="str">
        <f>IF(Atletas!O537="","",IF(Atletas!W537&lt;&gt;"",10000,0)+IF(Atletas!B537="Feminino",1000,IF(Atletas!B537="Masculino",2000,""))+IF(OR(Atletas!O537="Yang 26 A",Atletas!O537="Yang 40 A"),401,IF(OR(Atletas!O537="Chen 25 A",Atletas!O537="Chen 36 A",Atletas!O537="Chen 56 A"),402,IF(Atletas!O537="Sun 73 A",403,IF(Atletas!O537="Wu 45 A",404,IF(Atletas!O537="Wu-Hao 46 A",405,IF(OR(Atletas!O537="Taijiquan 16 A",Atletas!O537="Taijiquan 24 A",Atletas!O537="Taijiquan 32 A",Atletas!O537="Taijiquan 42 A"),406,IF(OR(Atletas!O537="Yang 26 B",Atletas!O537="Yang 40 B"),407,IF(OR(Atletas!O537="Chen 25 B",Atletas!O537="Chen 36 B",Atletas!O537="Chen 56 B"),408,IF(Atletas!O537="Sun 73 B",409,IF(Atletas!O537="Wu 45 B",410,IF(Atletas!O537="Wu-Hao 46 B",411,IF(OR(Atletas!O537="Taijiquan 16 B",Atletas!O537="Taijiquan 24 B",Atletas!O537="Taijiquan 32 B",Atletas!O537="Taijiquan 42 B"),412,IF(OR(Atletas!O537="Yang 26 C",Atletas!O537="Yang 40 C"),413,IF(OR(Atletas!O537="Chen 25 C",Atletas!O537="Chen 36 C",Atletas!O537="Chen 56 C"),414,IF(Atletas!O537="Sun 73 C",415,IF(Atletas!O537="Wu 45 C",416,IF(Atletas!O537="Wu-Hao 46 C",417,IF(OR(Atletas!O537="Taijiquan 16 C",Atletas!O537="Taijiquan 24 C",Atletas!O537="Taijiquan 32 C",Atletas!O537="Taijiquan 42 C"),418,0)))))))))))))))))))</f>
        <v/>
      </c>
      <c r="BQ541" s="52" t="str">
        <f>IF(Atletas!O537="","",IF(Atletas!W537&lt;&gt;"",10000,0)+IF(Atletas!B537="Feminino",1000,IF(Atletas!B537="Masculino",2000,""))+IF(OR(Atletas!O537="Yang 26 D",Atletas!O537="Yang 40 D"),419,IF(OR(Atletas!O537="Chen 25 D",Atletas!O537="Chen 36 D",Atletas!O537="Chen 56 D"),420,IF(Atletas!O537="Sun 73 D",421,IF(Atletas!O537="Wu 45 D",422,IF(Atletas!O537="Wu-Hao 46 D",423,IF(OR(Atletas!O537="Taijiquan 16 D",Atletas!O537="Taijiquan 24 D",Atletas!O537="Taijiquan 32 D",Atletas!O537="Taijiquan 42 D"),424,IF(OR(Atletas!O537="Yang 26 E",Atletas!O537="Yang 40 E"),425,IF(OR(Atletas!O537="Chen 25 E",Atletas!O537="Chen 36 E",Atletas!O537="Chen 56 E"),426,IF(Atletas!O537="Sun 73 E",427,IF(Atletas!O537="Wu 45 E",428,IF(Atletas!O537="Wu-Hao 46 E",429,IF(OR(Atletas!O537="Taijiquan 16 E",Atletas!O537="Taijiquan 24 E",Atletas!O537="Taijiquan 32 E",Atletas!O537="Taijiquan 42 E"),430,IF(OR(Atletas!O537="Yang 26 F",Atletas!O537="Yang 40 F"),431,IF(OR(Atletas!O537="Chen 25 F",Atletas!O537="Chen 36 F",Atletas!O537="Chen 56 F"),432,IF(Atletas!O537="Sun 73 F",433,IF(Atletas!O537="Wu 45 F",434,IF(Atletas!O537="Wu-Hao 46 F",435,IF(OR(Atletas!O537="Taijiquan 16 F",Atletas!O537="Taijiquan 24 F",Atletas!O537="Taijiquan 32 F",Atletas!O537="Taijiquan 42 F"),436,0)))))))))))))))))))</f>
        <v/>
      </c>
      <c r="BR541" s="52" t="str">
        <f>IF(Atletas!P537="","",IF(Atletas!W537&lt;&gt;"",10000,0)+IF(Atletas!B537="Feminino",1000,IF(Atletas!B537="Masculino",2000,""))+IF(Atletas!P537="Xingyiquan A",501,IF(Atletas!P537="Baguazhang A",502,IF(Atletas!P537="Outro Estilo Interno A",503,IF(Atletas!P537="Xingyiquan B",504,IF(Atletas!P537="Baguazhang B",505,IF(Atletas!P537="Outro Estilo Interno B",506,IF(Atletas!P537="Xingyiquan C",507,IF(Atletas!P537="Baguazhang C",508,IF(Atletas!P537="Outro Estilo Interno C",509,IF(Atletas!P537="Xingyiquan D",510,IF(Atletas!P537="Baguazhang D",511,IF(Atletas!P537="Outro Estilo Interno D",512,IF(Atletas!P537="Xingyiquan E",513,IF(Atletas!P537="Baguazhang E",514,IF(Atletas!P537="Outro Estilo Interno E",515,IF(Atletas!P537="Xingyiquan F",516,IF(Atletas!P537="Baguazhang F",517,IF(Atletas!P537="Outro Estilo Interno F",518, "")))))))))))))))))))</f>
        <v/>
      </c>
      <c r="BS541" s="52" t="str">
        <f>IF(Atletas!Q537="","",IF(Atletas!W537&lt;&gt;"",10000,0)+IF(Atletas!B537="Feminino",1000,IF(Atletas!B537="Masculino",2000,""))+IF(Atletas!Q537="Dao A",601,IF(Atletas!Q537="Jian A",602,IF(Atletas!Q537="Bishou A",603,IF(Atletas!Q537="Shan A",604,IF(Atletas!Q537="Outra Arma Curta A",605,IF(Atletas!Q537="Dao B",606,IF(Atletas!Q537="Jian B",607,IF(Atletas!Q537="Bishou B",608,IF(Atletas!Q537="Shan B",609,IF(Atletas!Q537="Outra Arma Curta B",610,IF(Atletas!Q537="Dao C",611,IF(Atletas!Q537="Jian C",612,IF(Atletas!Q537="Bishou C",613,IF(Atletas!Q537="Shan C",614,IF(Atletas!Q537="Outra Arma Curta C",615,IF(Atletas!Q537="Dao D",616,IF(Atletas!Q537="Jian D",617,IF(Atletas!Q537="Bishou D",618,IF(Atletas!Q537="Shan D",619,IF(Atletas!Q537="Outra Arma Curta D",620,IF(Atletas!Q537="Dao E",621,IF(Atletas!Q537="Jian E",622,IF(Atletas!Q537="Bishou E",623,IF(Atletas!Q537="Shan E",624,IF(Atletas!Q537="Outra Arma Curta E",625,IF(Atletas!Q537="Dao F",626,IF(Atletas!Q537="Jian F",627,IF(Atletas!Q537="Bishou F",628,IF(Atletas!Q537="Shan F",629,IF(Atletas!Q537="Outra Arma Curta F",630, "")))))))))))))))))))))))))))))))</f>
        <v/>
      </c>
      <c r="BT541" s="52" t="str">
        <f>IF(Atletas!R537="","",IF(Atletas!W537&lt;&gt;"",10000,0)+IF(Atletas!B537="Feminino",1000,IF(Atletas!B537="Masculino",2000,""))+IF(Atletas!R537="Gun A",701,IF(Atletas!R537="Qiang A",702,IF(Atletas!R537="Pudao / Guandao A",703,IF(Atletas!R537="Outra Arma Longa A",704,IF(Atletas!R537="Gun B",705,IF(Atletas!R537="Qiang B",706,IF(Atletas!R537="Pudao / Guandao B",707,IF(Atletas!R537="Outra Arma Longa B",708,IF(Atletas!R537="Gun C",709,IF(Atletas!R537="Qiang C",710,IF(Atletas!R537="Pudao / Guandao C",711,IF(Atletas!R537="Outra Arma Longa C",712,IF(Atletas!R537="Gun D",713,IF(Atletas!R537="Qiang D",714,IF(Atletas!R537="Pudao / Guandao D",715,IF(Atletas!R537="Outra Arma Longa D",716,IF(Atletas!R537="Gun E",717,IF(Atletas!R537="Qiang E",718,IF(Atletas!R537="Pudao / Guandao E",719,IF(Atletas!R537="Outra Arma Longa E",720,IF(Atletas!R537="Gun F",721,IF(Atletas!R537="Qiang F",722,IF(Atletas!R537="Pudao / Guandao F",723,IF(Atletas!R537="Outra Arma Longa F",724,"")))))))))))))))))))))))))</f>
        <v/>
      </c>
      <c r="BU541" s="52" t="str">
        <f>IF(Atletas!S537="","",IF(Atletas!W537&lt;&gt;"",10000,0)+IF(Atletas!B537="Feminino",1000,IF(Atletas!B537="Masculino",2000,""))+IF(Atletas!S537="Arma Dupla A",801,IF(Atletas!S537="Arma Maleável A",802,IF(Atletas!S537="Arma Dupla B",803,IF(Atletas!S537="Arma Maleável B",804,IF(Atletas!S537="Arma Dupla C",805,IF(Atletas!S537="Arma Maleável C",806,IF(Atletas!S537="Arma Dupla D",807,IF(Atletas!S537="Arma Maleável D",808,IF(Atletas!S537="Arma Dupla E",809,IF(Atletas!S537="Arma Maleável E",810,IF(Atletas!S537="Arma Dupla F",811,IF(Atletas!S537="Arma Maleável F",812, "")))))))))))))</f>
        <v/>
      </c>
      <c r="BV541" s="52" t="str">
        <f>IF(Atletas!T537="","",IF(Atletas!W537&lt;&gt;"",10000,0)+IF(Atletas!B537="Feminino",1000,IF(Atletas!B537="Masculino",2000,""))+IF(Atletas!T537="Taijijian Yang A",901,IF(Atletas!T537="Taijijian Chen A",902,IF(Atletas!T537="Taijijian Sun A",903,IF(Atletas!T537="Taijijian Wu A",904,IF(Atletas!T537="Taijijian Wu-Hao A",905,IF(Atletas!T537="Taijijian 32 A",906,IF(Atletas!T537="Taijijian 42 A",907,IF(Atletas!T537="Taijijian Yang B",908,IF(Atletas!T537="Taijijian Chen B",909,IF(Atletas!T537="Taijijian Sun B",910,IF(Atletas!T537="Taijijian Wu B",911,IF(Atletas!T537="Taijijian Wu-Hao B",912,IF(Atletas!T537="Taijijian 32 B",913,IF(Atletas!T537="Taijijian 42 B",914,IF(Atletas!T537="Taijijian Yang C",915,IF(Atletas!T537="Taijijian Chen C",916,IF(Atletas!T537="Taijijian Sun C",917,IF(Atletas!T537="Taijijian Wu C",918,IF(Atletas!T537="Taijijian Wu-Hao C",919,IF(Atletas!T537="Taijijian 32 C",920,IF(Atletas!T537="Taijijian 42 C",921,IF(Atletas!T537="Taijijian Yang D",922,IF(Atletas!T537="Taijijian Chen D",923,IF(Atletas!T537="Taijijian Sun D",924,IF(Atletas!T537="Taijijian Wu D",925,IF(Atletas!T537="Taijijian Wu-Hao D",926,IF(Atletas!T537="Taijijian 32 D",927,IF(Atletas!T537="Taijijian 42 D",928,IF(Atletas!T537="Taijijian Yang E",929,IF(Atletas!T537="Taijijian Chen E",930,IF(Atletas!T537="Taijijian Sun E",931,IF(Atletas!T537="Taijijian Wu E",932,IF(Atletas!T537="Taijijian Wu-Hao E",933,IF(Atletas!T537="Taijijian 32 E",934,IF(Atletas!T537="Taijijian 42 E",935,IF(Atletas!T537="Taijijian Yang F",936,IF(Atletas!T537="Taijijian Chen F",937,IF(Atletas!T537="Taijijian Sun F",938,IF(Atletas!T537="Taijijian Wu F",939,IF(Atletas!T537="Taijijian Wu-Hao F",940,IF(Atletas!T537="Taijijian 32 F",941,IF(Atletas!T537="Taijijian 42 F",942,"")))))))))))))))))))))))))))))))))))))))))))</f>
        <v/>
      </c>
      <c r="BW541" s="52" t="str">
        <f>IF(Atletas!U537="","",IF(Atletas!W537&lt;&gt;"",10000,0)+IF(Atletas!B537="Feminino",1000,IF(Atletas!B537="Masculino",2000,""))+IF(Atletas!T537="Taijijian 42 F",942,IF(Atletas!U537="Taijidao A",943,IF(Atletas!U537="Taijishan A",944,IF(Atletas!U537="Taijiqiang A",945,IF(Atletas!U537="Taijidao B",946,IF(Atletas!U537="Taijishan B",947,IF(Atletas!U537="Taijiqiang B",948,IF(Atletas!U537="Taijidao C",949,IF(Atletas!U537="Taijishan C",950,IF(Atletas!U537="Taijiqiang C",951,IF(Atletas!U537="Taijidao D",952,IF(Atletas!U537="Taijishan D",953,IF(Atletas!U537="Taijiqiang D",954,IF(Atletas!U537="Taijidao E",955,IF(Atletas!U537="Taijishan E",956,IF(Atletas!U537="Taijiqiang E",957,IF(Atletas!U537="Taijidao F",958,IF(Atletas!U537="Taijishan F",959,IF(Atletas!U537="Taijiqiang F",960))))))))))))))))))))</f>
        <v/>
      </c>
      <c r="CF541" s="52" t="str">
        <f xml:space="preserve"> IF(Atletas!V537="","",IF(Atletas!V537="Duilian de Mãos AB - Equipe 1",1,IF(Atletas!V537="Duilian de Mãos AB - Equipe 2",2,IF(Atletas!V537="Duilian de Armas AB - Equipe 1",3,IF(Atletas!V537="Duilian de Armas AB - Equipe 2",4,IF(Atletas!V537="Duilian de Tuishou - Equipe 1",5,IF(Atletas!V537="Duilian de Tuishou - Equipe 2",6,IF(Atletas!V537="Grupo Externo AB - Equipe 1",7,IF(Atletas!V537="Grupo Externo AB - Equipe 2",8,IF(Atletas!V537="Grupo Interno AB - Equipe 1",9,IF(Atletas!V537="Grupo Interno AB - Equipe 2",10,IF(Atletas!V537="Duilian de Mãos CD - Equipe 1",11,IF(Atletas!V537="Duilian de Mãos CD - Equipe 2",12,IF(Atletas!V537="Duilian de Armas CD - Equipe 1",13,IF(Atletas!V537="Duilian de Armas CD - Equipe 2",14,IF(Atletas!V537="Duilian de Tuishou - Equipe 1",15,IF(Atletas!V537="Duilian de Tuishou - Equipe 2",16,IF(Atletas!V537="Grupo Externo CDEF - Equipe 1",17,IF(Atletas!V537="Grupo Externo CDEF - Equipe 2",18,IF(Atletas!V537="Grupo Interno CDEF - Equipe 1",19,IF(Atletas!V537="Grupo Interno CDEF - Equipe 2",20,IF(Atletas!V537="Duilian de Mãos EF - Equipe 1",21,IF(Atletas!V537="Duilian de Mãos EF - Equipe 2",22,IF(Atletas!V537="Duilian de Armas EF - Equipe 1",23,IF(Atletas!V537="Duilian de Armas EF - Equipe 2",24,IF(Atletas!V537="Duilian de Tuishou - Equipe 1",25,IF(Atletas!V537="Duilian de Tuishou - Equipe 2",26,"")))))))))))))))))))))))))))</f>
        <v/>
      </c>
    </row>
    <row r="542" spans="36:84">
      <c r="AJ542" s="46" t="str">
        <f>IF(Atletas!D538="","",IF(Atletas!B538="Feminino",100,IF(Atletas!B538="Masculino",200,""))+(IF(Atletas!D538="Infantil 39kg",1,IF(Atletas!D538="Infantil 42kg",2,IF(Atletas!D538="Infantil 45kg",3,IF(Atletas!D538="Infantil 48kg",4,IF(Atletas!D538="Infantil 52kg",5,IF(Atletas!D538="Infantil 56kg",6,IF(Atletas!D538="Infantil 60kg",7,IF(Atletas!D538="Juvenil 48kg",8,IF(Atletas!D538="Juvenil 52kg",9,IF(Atletas!D538="Juvenil 56kg",10,IF(Atletas!D538="Juvenil 60kg",11,IF(Atletas!D538="Juvenil 65kg",12,IF(Atletas!D538="Juvenil 70kg",13,IF(Atletas!D538="Juvenil 75kg",14,IF(Atletas!D538="Juvenil 80kg",15,IF(Atletas!D538="Adulto 48kg",16,IF(Atletas!D538="Adulto 52kg",17,IF(Atletas!D538="Adulto 56kg",18,IF(Atletas!D538="Adulto 60kg",19,IF(Atletas!D538="Adulto 65kg",20,IF(Atletas!D538="Adulto 70kg",21,IF(Atletas!D538="Adulto 75kg",22,IF(Atletas!D538="Adulto 80kg",23,IF(Atletas!D538="Adulto 85kg",24,IF(Atletas!D538="Adulto 90kg",25,IF(Atletas!D538="Adulto +90kg",26,""))))))))))))))))))))))))))))</f>
        <v/>
      </c>
      <c r="AO542" s="10" t="str">
        <f>IF(Atletas!E538="","",IF(Atletas!B538="Feminino",100,IF(Atletas!B538="Masculino",200,""))+(IF(Atletas!E538="Juvenil 44kg",1,IF(Atletas!E538="Juvenil 48kg",2,IF(Atletas!E538="Juvenil 52kg",3,IF(Atletas!E538="Juvenil 56kg",4,IF(Atletas!E538="Juvenil 60kg",5,IF(Atletas!E538="Juvenil 65kg",6,IF(Atletas!E538="Juvenil 70kg",7,IF(Atletas!E538="Juvenil 75kg",8,IF(Atletas!E538="Juvenil 82kg",9,IF(Atletas!E538="Juvenil 90kg",10,IF(Atletas!E538="Juvenil 100kg",11,IF(Atletas!E538="Adulto 48kg",12,IF(Atletas!E538="Adulto 52kg",13,IF(Atletas!E538="Adulto 56kg",14,IF(Atletas!E538="Adulto 60kg",15,IF(Atletas!E538="Adulto 65kg",16,IF(Atletas!E538="Adulto 70kg",17,IF(Atletas!E538="Adulto 75kg",18,IF(Atletas!E538="Adulto 82kg",19,IF(Atletas!E538="Adulto 90kg",20,IF(Atletas!E538="Adulto 100kg",21,IF(Atletas!E538="Adulto +100kg",22,""))))))))))))))))))))))))</f>
        <v/>
      </c>
      <c r="AT542" s="10" t="str">
        <f>IF(Atletas!F538="","",IF(Atletas!B538="Feminino",100,IF(Atletas!B538="Masculino",200,""))+(IF(Atletas!F538="Adulto 48kg",1,IF(Atletas!F538="Adulto 56kg",2,IF(Atletas!F538="Adulto 65kg",3,IF(Atletas!F538="Adulto 75kg",4,IF(Atletas!F538="Adulto +75kg",5,IF(Atletas!F538="Adulto 52kg",6,IF(Atletas!F538="Adulto 60kg",7,IF(Atletas!F538="Adulto 70kg",8,IF(Atletas!F538="Adulto 80kg",9,IF(Atletas!F538="Adulto 90kg",10,IF(Atletas!F538="Adulto +90kg",11,"")))))))))))))</f>
        <v/>
      </c>
      <c r="AY542" s="46" t="str">
        <f>IF(Atletas!G538="","",IF(Atletas!B538="Feminino",100,IF(Atletas!B538="Masculino",200,""))+(IF(Atletas!G538="Changquan Mirim",1,IF(Atletas!G538="Nanquan Mirim",2,IF(Atletas!G538="Taijiquan Mirim",3,IF(Atletas!G538="Changquan Grupo C",4,IF(Atletas!G538="Nanquan Grupo C",5,IF(Atletas!G538="Taijiquan Grupo C",6,IF(Atletas!G538="Changquan Grupo B",7,IF(Atletas!G538="Nanquan Grupo B",8,IF(Atletas!G538="Taijiquan Grupo B",9,IF(Atletas!G538="Changquan Grupo A",10,IF(Atletas!G538="Nanquan Grupo A",11,IF(Atletas!G538="Taijiquan Grupo A",12,IF(Atletas!G538="Changquan Opcional",13,IF(Atletas!G538="Nanquan Opcional",14,IF(Atletas!G538="Taijiquan Opcional",15,IF(Atletas!G538="Changquan Adulto",16,IF(Atletas!G538="Nanquan Adulto",17,IF(Atletas!G538="Taijiquan Adulto",18,""))))))))))))))))))))</f>
        <v/>
      </c>
      <c r="AZ542" s="46" t="str">
        <f>IF(Atletas!H538="","",IF(Atletas!B538="Feminino",100,IF(Atletas!B538="Masculino",200,""))+(IF(Atletas!H538="Daoshu Mirim",19,IF(Atletas!H538="Jianshu Mirim",20,IF(Atletas!H538="Nandao Mirim",21,IF(Atletas!H538="Taijijian Mirim",22,IF(Atletas!H538="Daoshu Grupo C",23,IF(Atletas!H538="Jianshu Grupo C",24,IF(Atletas!H538="Nandao Grupo C",25,IF(Atletas!H538="Taijijian Grupo C",26,IF(Atletas!H538="Daoshu Grupo B",27,IF(Atletas!H538="Jianshu Grupo B",28,IF(Atletas!H538="Nandao Grupo B",29,IF(Atletas!H538="Taijijian Grupo B",30,IF(Atletas!H538="Daoshu Grupo A",31,IF(Atletas!H538="Jianshu Grupo A",32,IF(Atletas!H538="Nandao Grupo A",33,IF(Atletas!H538="Taijijian Grupo A",34,IF(Atletas!H538="Daoshu Opcional",35,IF(Atletas!H538="Jianshu Opcional",36,IF(Atletas!H538="Nandao Opcional",37,IF(Atletas!H538="Taijijian Opcional",38,IF(Atletas!H538="Daoshu Adulto",39,IF(Atletas!H538="Jianshu Adulto",40,IF(Atletas!H538="Nandao Adulto",41,IF(Atletas!H538="Taijijian Adulto",42,""))))))))))))))))))))))))))</f>
        <v/>
      </c>
      <c r="BA542" s="46" t="str">
        <f>IF(Atletas!I538="","",IF(Atletas!B538="Feminino",100,IF(Atletas!B538="Masculino",200,""))+(IF(Atletas!I538="Gunshu Mirim",43,IF(Atletas!I538="Qiangshu Mirim",44,IF(Atletas!I538="Nangun Mirim",45,IF(Atletas!I538="Gunshu Grupo C",46,IF(Atletas!I538="Qiangshu Grupo C",47,IF(Atletas!I538="Nangun Grupo C",48,IF(Atletas!I538="Gunshu Grupo B",49,IF(Atletas!I538="Qiangshu Grupo B",50,IF(Atletas!I538="Nangun Grupo B",51,IF(Atletas!I538="Gunshu Grupo A",52,IF(Atletas!I538="Qiangshu Grupo A",53,IF(Atletas!I538="Nangun Grupo A",54,IF(Atletas!I538="Gunshu Opcional",55,IF(Atletas!I538="Qiangshu Opcional",56,IF(Atletas!I538="Nangun Opcional",57,IF(Atletas!I538="Gunshu Adulto",58,IF(Atletas!I538="Qiangshu Adulto",59,IF(Atletas!I538="Nangun Adulto",60,""))))))))))))))))))))</f>
        <v/>
      </c>
      <c r="BF542" s="52" t="str">
        <f>IF(Atletas!J538="","",IF(Atletas!B538="Feminino",100,IF(Atletas!B538="Masculino",200,""))+(IF(Atletas!J538="Equipe 1 Grupo B",1,IF(Atletas!J538="Equipe 2 Grupo B",2,IF(Atletas!J538="Equipe 1 Grupo A",3,IF(Atletas!J538="Equipe 2 Grupo A",4,IF(Atletas!J538="Equipe 1 Adulto",5,IF(Atletas!J538="Equipe 2 Adulto",6,""))))))))</f>
        <v/>
      </c>
      <c r="BK542" s="52" t="str">
        <f>IF(Atletas!K538="","",IF(Atletas!W538&lt;&gt;"",10000,0)+(IF(Atletas!B538="Feminino",1000,IF(Atletas!B538="Masculino",2000,""))+IF(Atletas!K538="Choylayfut A",1,IF(Atletas!K538="Hunggar A",2,IF(Atletas!K538="Wuzuquan A",3,IF(Atletas!K538="Wingchun A",4,IF(Atletas!K538="Outra Mão de Sul A",5,IF(Atletas!K538="Choylayfut B",6,IF(Atletas!K538="Hunggar B",7,IF(Atletas!K538="Wuzuquan B",8,IF(Atletas!K538="Wingchun B",9,IF(Atletas!K538="Outra Mão de Sul B",10,IF(Atletas!K538="Choylayfut C",11,IF(Atletas!K538="Hunggar C",12,IF(Atletas!K538="Wuzuquan C",13,IF(Atletas!K538="Wingchun C",14,IF(Atletas!K538="Outra Mão de Sul C",15,IF(Atletas!K538="Choylayfut D",16,IF(Atletas!K538="Hunggar D",17,IF(Atletas!K538="Wuzuquan D",18,IF(Atletas!K538="Wingchun D",19,IF(Atletas!K538="Outra Mão de Sul D",20,IF(Atletas!K538="Choylayfut E",21,IF(Atletas!K538="Hunggar E",22,IF(Atletas!K538="Wuzuquan E",23,IF(Atletas!K538="Wingchun E",24,IF(Atletas!K538="Outra Mão de Sul E",25,IF(Atletas!K538="Choylayfut F",26,IF(Atletas!K538="Hunggar F",27,IF(Atletas!K538="Wuzuquan F",28,IF(Atletas!K538="Wingchun F",29,IF(Atletas!K538="Outra Mão de Sul F",30,""))))))))))))))))))))))))))))))))</f>
        <v/>
      </c>
      <c r="BL542" s="52" t="str">
        <f>IF(Atletas!L538="","",IF(Atletas!W538&lt;&gt;"",10000,0)+(IF(Atletas!B538="Feminino",1000,IF(Atletas!B538="Masculino",2000,""))+(IF(Atletas!L538="Chaquan A",101,IF(Atletas!L538="Emeiquan A",102,IF(Atletas!L538="Fanziquan A",103,IF(Atletas!L538="Huaquan A",104,IF(Atletas!L538="Hongquan A",105,IF(Atletas!L538="Paochui A",106,IF(Atletas!L538="Piguaquan A",107,IF(Atletas!L538="Shaolinquan A",108,IF(Atletas!L538="Tanglangquan A",109,IF(Atletas!L538="Yinzhaophai A",110,IF(Atletas!L538="Tongbeiquan A",111,IF(Atletas!L538="Wudangquan A",112,IF(Atletas!L538="Outros Estilos A",113,IF(Atletas!L538="Chaquan B",114,IF(Atletas!L538="Emeiquan B",115,IF(Atletas!L538="Fanziquan B",116,IF(Atletas!L538="Huaquan B",117,IF(Atletas!L538="Hongquan B",118,IF(Atletas!L538="Paochui B",119,IF(Atletas!L538="Piguaquan B",120,IF(Atletas!L538="Shaolinquan B",121,IF(Atletas!L538="Tanglangquan B",122,IF(Atletas!L538="Yinzhaophai B",123,IF(Atletas!L538="Tongbeiquan B",124,IF(Atletas!L538="Wudangquan B",125,IF(Atletas!L538="Outros Estilos B",126,IF(Atletas!L538="Chaquan C",127,IF(Atletas!L538="Emeiquan C",128,IF(Atletas!L538="Fanziquan C",129,IF(Atletas!L538="Huaquan C",130,IF(Atletas!L538="Hongquan C",131,IF(Atletas!L538="Paochui C",132,IF(Atletas!L538="Piguaquan C",133,IF(Atletas!L538="Shaolinquan C",134,IF(Atletas!L538="Tanglangquan C",135,IF(Atletas!L538="Yinzhaophai C",136,IF(Atletas!L538="Tongbeiquan C",137,IF(Atletas!L538="Wudangquan C",138,IF(Atletas!L538="Outros Estilos C",139,0))))))))))))))))))))))))))))))))))))))))))</f>
        <v/>
      </c>
      <c r="BM542" s="52" t="str">
        <f>IF(Atletas!L538="","",IF(Atletas!W538&lt;&gt;"",10000,0)+(IF(Atletas!B538="Feminino",1000,IF(Atletas!B538="Masculino",2000,""))+(IF(Atletas!L538="Chaquan D",140,IF(Atletas!L538="Emeiquan D",141,IF(Atletas!L538="Fanziquan D",142,IF(Atletas!L538="Huaquan D",143,IF(Atletas!L538="Hongquan D",144,IF(Atletas!L538="Paochui D",145,IF(Atletas!L538="Piguaquan D",146,IF(Atletas!L538="Shaolinquan D",147,IF(Atletas!L538="Tanglangquan D",148,IF(Atletas!L538="Yinzhaophai D",149,IF(Atletas!L538="Tongbeiquan D",150,IF(Atletas!L538="Wudangquan D",151,IF(Atletas!L538="Outros Estilos D",152,IF(Atletas!L538="Chaquan E",153,IF(Atletas!L538="Emeiquan E",154,IF(Atletas!L538="Fanziquan E",155,IF(Atletas!L538="Huaquan E",156,IF(Atletas!L538="Hongquan E",157,IF(Atletas!L538="Paochui E",158,IF(Atletas!L538="Piguaquan E",159,IF(Atletas!L538="Shaolinquan E",160,IF(Atletas!L538="Tanglangquan E",161,IF(Atletas!L538="Yinzhaophai E",162,IF(Atletas!L538="Tongbeiquan E",163,IF(Atletas!L538="Wudangquan E",164,IF(Atletas!L538="Outros Estilos E",165,IF(Atletas!L538="Chaquan F",166,IF(Atletas!L538="Emeiquan F",167,IF(Atletas!L538="Fanziquan F",168,IF(Atletas!L538="Huaquan F",169,IF(Atletas!L538="Hongquan F",170,IF(Atletas!L538="Paochui F",171,IF(Atletas!L538="Piguaquan F",172,IF(Atletas!L538="Shaolinquan F",173,IF(Atletas!L538="Tanglangquan F",174,IF(Atletas!L538="Yinzhaophai F",175,IF(Atletas!L538="Tongbeiquan F",176,IF(Atletas!L538="Wudangquan F",177,IF(Atletas!L538="Outros Estilos F",178,0))))))))))))))))))))))))))))))))))))))))))</f>
        <v/>
      </c>
      <c r="BN542" s="52" t="str">
        <f>IF(Atletas!M538="","",IF(Atletas!W538&lt;&gt;"",10000,0)+(IF(Atletas!B538="Feminino",1000,IF(Atletas!B538="Masculino",2000,""))+(IF(Atletas!M538="Ditangquan A",201,IF(Atletas!M538="Houquan A",202,IF(Atletas!M538="Zuiquan A",203,IF(Atletas!M538="Ditangquan B",204,IF(Atletas!M538="Houquan B",205,IF(Atletas!M538="Zuiquan B",206,IF(Atletas!M538="Ditangquan C",207,IF(Atletas!M538="Houquan C",208,IF(Atletas!M538="Zuiquan C",209,IF(Atletas!M538="Ditangquan D",210,IF(Atletas!M538="Houquan D",211,IF(Atletas!M538="Zuiquan D",212,IF(Atletas!M538="Ditangquan E",213,IF(Atletas!M538="Houquan E",214,IF(Atletas!M538="Zuiquan E",215,IF(Atletas!M538="Ditangquan F",216,IF(Atletas!M538="Houquan F",217,IF(Atletas!M538="Zuiquan F",218,"")))))))))))))))))))))</f>
        <v/>
      </c>
      <c r="BO542" s="52" t="str">
        <f>IF(Atletas!N538="","",IF(Atletas!W538&lt;&gt;"",10000,0)+IF(Atletas!B538="Feminino",1000,IF(Atletas!B538="Masculino",2000,""))+IF(Atletas!N538="Yang A",301,IF(Atletas!N538="Chen A",30,IF(Atletas!N538="Sun A",303,IF(Atletas!N538="Wu A",304,IF(Atletas!N538="Wu-Hao A",305,IF(Atletas!N538="Outro Taijiquan A",306,IF(Atletas!N538="Yang B",307,IF(Atletas!N538="Chen B",308,IF(Atletas!N538="Sun B",309,IF(Atletas!N538="Wu B",310,IF(Atletas!N538="Wu-Hao B",311,IF(Atletas!N538="Outro Taijiquan B",312,IF(Atletas!N538="Yang C",313,IF(Atletas!N538="Chen C",314,IF(Atletas!N538="Sun C",315,IF(Atletas!N538="Wu C",316,IF(Atletas!N538="Wu-Hao C",317,IF(Atletas!N538="Outro Taijiquan C",318,IF(Atletas!N538="Yang D",319,IF(Atletas!N538="Chen D",320,IF(Atletas!N538="Sun D",321,IF(Atletas!N538="Wu D",322,IF(Atletas!N538="Wu-Hao D",323,IF(Atletas!N538="Outro Taijiquan D",324,IF(Atletas!N538="Yang E",325,IF(Atletas!N538="Chen E",326,IF(Atletas!N538="Sun E",327,IF(Atletas!N538="Wu E",328,IF(Atletas!N538="Wu-Hao E",329,IF(Atletas!N538="Outro Taijiquan E",330,IF(Atletas!N538="Yang F",331,IF(Atletas!N538="Chen F",332,IF(Atletas!N538="Sun F",333,IF(Atletas!N538="Wu F",334,IF(Atletas!N538="Wu-Hao F",335,IF(Atletas!N538="Outro Taijiquan F",336,"")))))))))))))))))))))))))))))))))))))</f>
        <v/>
      </c>
      <c r="BP542" s="52" t="str">
        <f>IF(Atletas!O538="","",IF(Atletas!W538&lt;&gt;"",10000,0)+IF(Atletas!B538="Feminino",1000,IF(Atletas!B538="Masculino",2000,""))+IF(OR(Atletas!O538="Yang 26 A",Atletas!O538="Yang 40 A"),401,IF(OR(Atletas!O538="Chen 25 A",Atletas!O538="Chen 36 A",Atletas!O538="Chen 56 A"),402,IF(Atletas!O538="Sun 73 A",403,IF(Atletas!O538="Wu 45 A",404,IF(Atletas!O538="Wu-Hao 46 A",405,IF(OR(Atletas!O538="Taijiquan 16 A",Atletas!O538="Taijiquan 24 A",Atletas!O538="Taijiquan 32 A",Atletas!O538="Taijiquan 42 A"),406,IF(OR(Atletas!O538="Yang 26 B",Atletas!O538="Yang 40 B"),407,IF(OR(Atletas!O538="Chen 25 B",Atletas!O538="Chen 36 B",Atletas!O538="Chen 56 B"),408,IF(Atletas!O538="Sun 73 B",409,IF(Atletas!O538="Wu 45 B",410,IF(Atletas!O538="Wu-Hao 46 B",411,IF(OR(Atletas!O538="Taijiquan 16 B",Atletas!O538="Taijiquan 24 B",Atletas!O538="Taijiquan 32 B",Atletas!O538="Taijiquan 42 B"),412,IF(OR(Atletas!O538="Yang 26 C",Atletas!O538="Yang 40 C"),413,IF(OR(Atletas!O538="Chen 25 C",Atletas!O538="Chen 36 C",Atletas!O538="Chen 56 C"),414,IF(Atletas!O538="Sun 73 C",415,IF(Atletas!O538="Wu 45 C",416,IF(Atletas!O538="Wu-Hao 46 C",417,IF(OR(Atletas!O538="Taijiquan 16 C",Atletas!O538="Taijiquan 24 C",Atletas!O538="Taijiquan 32 C",Atletas!O538="Taijiquan 42 C"),418,0)))))))))))))))))))</f>
        <v/>
      </c>
      <c r="BQ542" s="52" t="str">
        <f>IF(Atletas!O538="","",IF(Atletas!W538&lt;&gt;"",10000,0)+IF(Atletas!B538="Feminino",1000,IF(Atletas!B538="Masculino",2000,""))+IF(OR(Atletas!O538="Yang 26 D",Atletas!O538="Yang 40 D"),419,IF(OR(Atletas!O538="Chen 25 D",Atletas!O538="Chen 36 D",Atletas!O538="Chen 56 D"),420,IF(Atletas!O538="Sun 73 D",421,IF(Atletas!O538="Wu 45 D",422,IF(Atletas!O538="Wu-Hao 46 D",423,IF(OR(Atletas!O538="Taijiquan 16 D",Atletas!O538="Taijiquan 24 D",Atletas!O538="Taijiquan 32 D",Atletas!O538="Taijiquan 42 D"),424,IF(OR(Atletas!O538="Yang 26 E",Atletas!O538="Yang 40 E"),425,IF(OR(Atletas!O538="Chen 25 E",Atletas!O538="Chen 36 E",Atletas!O538="Chen 56 E"),426,IF(Atletas!O538="Sun 73 E",427,IF(Atletas!O538="Wu 45 E",428,IF(Atletas!O538="Wu-Hao 46 E",429,IF(OR(Atletas!O538="Taijiquan 16 E",Atletas!O538="Taijiquan 24 E",Atletas!O538="Taijiquan 32 E",Atletas!O538="Taijiquan 42 E"),430,IF(OR(Atletas!O538="Yang 26 F",Atletas!O538="Yang 40 F"),431,IF(OR(Atletas!O538="Chen 25 F",Atletas!O538="Chen 36 F",Atletas!O538="Chen 56 F"),432,IF(Atletas!O538="Sun 73 F",433,IF(Atletas!O538="Wu 45 F",434,IF(Atletas!O538="Wu-Hao 46 F",435,IF(OR(Atletas!O538="Taijiquan 16 F",Atletas!O538="Taijiquan 24 F",Atletas!O538="Taijiquan 32 F",Atletas!O538="Taijiquan 42 F"),436,0)))))))))))))))))))</f>
        <v/>
      </c>
      <c r="BR542" s="52" t="str">
        <f>IF(Atletas!P538="","",IF(Atletas!W538&lt;&gt;"",10000,0)+IF(Atletas!B538="Feminino",1000,IF(Atletas!B538="Masculino",2000,""))+IF(Atletas!P538="Xingyiquan A",501,IF(Atletas!P538="Baguazhang A",502,IF(Atletas!P538="Outro Estilo Interno A",503,IF(Atletas!P538="Xingyiquan B",504,IF(Atletas!P538="Baguazhang B",505,IF(Atletas!P538="Outro Estilo Interno B",506,IF(Atletas!P538="Xingyiquan C",507,IF(Atletas!P538="Baguazhang C",508,IF(Atletas!P538="Outro Estilo Interno C",509,IF(Atletas!P538="Xingyiquan D",510,IF(Atletas!P538="Baguazhang D",511,IF(Atletas!P538="Outro Estilo Interno D",512,IF(Atletas!P538="Xingyiquan E",513,IF(Atletas!P538="Baguazhang E",514,IF(Atletas!P538="Outro Estilo Interno E",515,IF(Atletas!P538="Xingyiquan F",516,IF(Atletas!P538="Baguazhang F",517,IF(Atletas!P538="Outro Estilo Interno F",518, "")))))))))))))))))))</f>
        <v/>
      </c>
      <c r="BS542" s="52" t="str">
        <f>IF(Atletas!Q538="","",IF(Atletas!W538&lt;&gt;"",10000,0)+IF(Atletas!B538="Feminino",1000,IF(Atletas!B538="Masculino",2000,""))+IF(Atletas!Q538="Dao A",601,IF(Atletas!Q538="Jian A",602,IF(Atletas!Q538="Bishou A",603,IF(Atletas!Q538="Shan A",604,IF(Atletas!Q538="Outra Arma Curta A",605,IF(Atletas!Q538="Dao B",606,IF(Atletas!Q538="Jian B",607,IF(Atletas!Q538="Bishou B",608,IF(Atletas!Q538="Shan B",609,IF(Atletas!Q538="Outra Arma Curta B",610,IF(Atletas!Q538="Dao C",611,IF(Atletas!Q538="Jian C",612,IF(Atletas!Q538="Bishou C",613,IF(Atletas!Q538="Shan C",614,IF(Atletas!Q538="Outra Arma Curta C",615,IF(Atletas!Q538="Dao D",616,IF(Atletas!Q538="Jian D",617,IF(Atletas!Q538="Bishou D",618,IF(Atletas!Q538="Shan D",619,IF(Atletas!Q538="Outra Arma Curta D",620,IF(Atletas!Q538="Dao E",621,IF(Atletas!Q538="Jian E",622,IF(Atletas!Q538="Bishou E",623,IF(Atletas!Q538="Shan E",624,IF(Atletas!Q538="Outra Arma Curta E",625,IF(Atletas!Q538="Dao F",626,IF(Atletas!Q538="Jian F",627,IF(Atletas!Q538="Bishou F",628,IF(Atletas!Q538="Shan F",629,IF(Atletas!Q538="Outra Arma Curta F",630, "")))))))))))))))))))))))))))))))</f>
        <v/>
      </c>
      <c r="BT542" s="52" t="str">
        <f>IF(Atletas!R538="","",IF(Atletas!W538&lt;&gt;"",10000,0)+IF(Atletas!B538="Feminino",1000,IF(Atletas!B538="Masculino",2000,""))+IF(Atletas!R538="Gun A",701,IF(Atletas!R538="Qiang A",702,IF(Atletas!R538="Pudao / Guandao A",703,IF(Atletas!R538="Outra Arma Longa A",704,IF(Atletas!R538="Gun B",705,IF(Atletas!R538="Qiang B",706,IF(Atletas!R538="Pudao / Guandao B",707,IF(Atletas!R538="Outra Arma Longa B",708,IF(Atletas!R538="Gun C",709,IF(Atletas!R538="Qiang C",710,IF(Atletas!R538="Pudao / Guandao C",711,IF(Atletas!R538="Outra Arma Longa C",712,IF(Atletas!R538="Gun D",713,IF(Atletas!R538="Qiang D",714,IF(Atletas!R538="Pudao / Guandao D",715,IF(Atletas!R538="Outra Arma Longa D",716,IF(Atletas!R538="Gun E",717,IF(Atletas!R538="Qiang E",718,IF(Atletas!R538="Pudao / Guandao E",719,IF(Atletas!R538="Outra Arma Longa E",720,IF(Atletas!R538="Gun F",721,IF(Atletas!R538="Qiang F",722,IF(Atletas!R538="Pudao / Guandao F",723,IF(Atletas!R538="Outra Arma Longa F",724,"")))))))))))))))))))))))))</f>
        <v/>
      </c>
      <c r="BU542" s="52" t="str">
        <f>IF(Atletas!S538="","",IF(Atletas!W538&lt;&gt;"",10000,0)+IF(Atletas!B538="Feminino",1000,IF(Atletas!B538="Masculino",2000,""))+IF(Atletas!S538="Arma Dupla A",801,IF(Atletas!S538="Arma Maleável A",802,IF(Atletas!S538="Arma Dupla B",803,IF(Atletas!S538="Arma Maleável B",804,IF(Atletas!S538="Arma Dupla C",805,IF(Atletas!S538="Arma Maleável C",806,IF(Atletas!S538="Arma Dupla D",807,IF(Atletas!S538="Arma Maleável D",808,IF(Atletas!S538="Arma Dupla E",809,IF(Atletas!S538="Arma Maleável E",810,IF(Atletas!S538="Arma Dupla F",811,IF(Atletas!S538="Arma Maleável F",812, "")))))))))))))</f>
        <v/>
      </c>
      <c r="BV542" s="52" t="str">
        <f>IF(Atletas!T538="","",IF(Atletas!W538&lt;&gt;"",10000,0)+IF(Atletas!B538="Feminino",1000,IF(Atletas!B538="Masculino",2000,""))+IF(Atletas!T538="Taijijian Yang A",901,IF(Atletas!T538="Taijijian Chen A",902,IF(Atletas!T538="Taijijian Sun A",903,IF(Atletas!T538="Taijijian Wu A",904,IF(Atletas!T538="Taijijian Wu-Hao A",905,IF(Atletas!T538="Taijijian 32 A",906,IF(Atletas!T538="Taijijian 42 A",907,IF(Atletas!T538="Taijijian Yang B",908,IF(Atletas!T538="Taijijian Chen B",909,IF(Atletas!T538="Taijijian Sun B",910,IF(Atletas!T538="Taijijian Wu B",911,IF(Atletas!T538="Taijijian Wu-Hao B",912,IF(Atletas!T538="Taijijian 32 B",913,IF(Atletas!T538="Taijijian 42 B",914,IF(Atletas!T538="Taijijian Yang C",915,IF(Atletas!T538="Taijijian Chen C",916,IF(Atletas!T538="Taijijian Sun C",917,IF(Atletas!T538="Taijijian Wu C",918,IF(Atletas!T538="Taijijian Wu-Hao C",919,IF(Atletas!T538="Taijijian 32 C",920,IF(Atletas!T538="Taijijian 42 C",921,IF(Atletas!T538="Taijijian Yang D",922,IF(Atletas!T538="Taijijian Chen D",923,IF(Atletas!T538="Taijijian Sun D",924,IF(Atletas!T538="Taijijian Wu D",925,IF(Atletas!T538="Taijijian Wu-Hao D",926,IF(Atletas!T538="Taijijian 32 D",927,IF(Atletas!T538="Taijijian 42 D",928,IF(Atletas!T538="Taijijian Yang E",929,IF(Atletas!T538="Taijijian Chen E",930,IF(Atletas!T538="Taijijian Sun E",931,IF(Atletas!T538="Taijijian Wu E",932,IF(Atletas!T538="Taijijian Wu-Hao E",933,IF(Atletas!T538="Taijijian 32 E",934,IF(Atletas!T538="Taijijian 42 E",935,IF(Atletas!T538="Taijijian Yang F",936,IF(Atletas!T538="Taijijian Chen F",937,IF(Atletas!T538="Taijijian Sun F",938,IF(Atletas!T538="Taijijian Wu F",939,IF(Atletas!T538="Taijijian Wu-Hao F",940,IF(Atletas!T538="Taijijian 32 F",941,IF(Atletas!T538="Taijijian 42 F",942,"")))))))))))))))))))))))))))))))))))))))))))</f>
        <v/>
      </c>
      <c r="BW542" s="52" t="str">
        <f>IF(Atletas!U538="","",IF(Atletas!W538&lt;&gt;"",10000,0)+IF(Atletas!B538="Feminino",1000,IF(Atletas!B538="Masculino",2000,""))+IF(Atletas!T538="Taijijian 42 F",942,IF(Atletas!U538="Taijidao A",943,IF(Atletas!U538="Taijishan A",944,IF(Atletas!U538="Taijiqiang A",945,IF(Atletas!U538="Taijidao B",946,IF(Atletas!U538="Taijishan B",947,IF(Atletas!U538="Taijiqiang B",948,IF(Atletas!U538="Taijidao C",949,IF(Atletas!U538="Taijishan C",950,IF(Atletas!U538="Taijiqiang C",951,IF(Atletas!U538="Taijidao D",952,IF(Atletas!U538="Taijishan D",953,IF(Atletas!U538="Taijiqiang D",954,IF(Atletas!U538="Taijidao E",955,IF(Atletas!U538="Taijishan E",956,IF(Atletas!U538="Taijiqiang E",957,IF(Atletas!U538="Taijidao F",958,IF(Atletas!U538="Taijishan F",959,IF(Atletas!U538="Taijiqiang F",960))))))))))))))))))))</f>
        <v/>
      </c>
      <c r="CF542" s="52" t="str">
        <f xml:space="preserve"> IF(Atletas!V538="","",IF(Atletas!V538="Duilian de Mãos AB - Equipe 1",1,IF(Atletas!V538="Duilian de Mãos AB - Equipe 2",2,IF(Atletas!V538="Duilian de Armas AB - Equipe 1",3,IF(Atletas!V538="Duilian de Armas AB - Equipe 2",4,IF(Atletas!V538="Duilian de Tuishou - Equipe 1",5,IF(Atletas!V538="Duilian de Tuishou - Equipe 2",6,IF(Atletas!V538="Grupo Externo AB - Equipe 1",7,IF(Atletas!V538="Grupo Externo AB - Equipe 2",8,IF(Atletas!V538="Grupo Interno AB - Equipe 1",9,IF(Atletas!V538="Grupo Interno AB - Equipe 2",10,IF(Atletas!V538="Duilian de Mãos CD - Equipe 1",11,IF(Atletas!V538="Duilian de Mãos CD - Equipe 2",12,IF(Atletas!V538="Duilian de Armas CD - Equipe 1",13,IF(Atletas!V538="Duilian de Armas CD - Equipe 2",14,IF(Atletas!V538="Duilian de Tuishou - Equipe 1",15,IF(Atletas!V538="Duilian de Tuishou - Equipe 2",16,IF(Atletas!V538="Grupo Externo CDEF - Equipe 1",17,IF(Atletas!V538="Grupo Externo CDEF - Equipe 2",18,IF(Atletas!V538="Grupo Interno CDEF - Equipe 1",19,IF(Atletas!V538="Grupo Interno CDEF - Equipe 2",20,IF(Atletas!V538="Duilian de Mãos EF - Equipe 1",21,IF(Atletas!V538="Duilian de Mãos EF - Equipe 2",22,IF(Atletas!V538="Duilian de Armas EF - Equipe 1",23,IF(Atletas!V538="Duilian de Armas EF - Equipe 2",24,IF(Atletas!V538="Duilian de Tuishou - Equipe 1",25,IF(Atletas!V538="Duilian de Tuishou - Equipe 2",26,"")))))))))))))))))))))))))))</f>
        <v/>
      </c>
    </row>
    <row r="543" spans="36:84">
      <c r="AJ543" s="46" t="str">
        <f>IF(Atletas!D539="","",IF(Atletas!B539="Feminino",100,IF(Atletas!B539="Masculino",200,""))+(IF(Atletas!D539="Infantil 39kg",1,IF(Atletas!D539="Infantil 42kg",2,IF(Atletas!D539="Infantil 45kg",3,IF(Atletas!D539="Infantil 48kg",4,IF(Atletas!D539="Infantil 52kg",5,IF(Atletas!D539="Infantil 56kg",6,IF(Atletas!D539="Infantil 60kg",7,IF(Atletas!D539="Juvenil 48kg",8,IF(Atletas!D539="Juvenil 52kg",9,IF(Atletas!D539="Juvenil 56kg",10,IF(Atletas!D539="Juvenil 60kg",11,IF(Atletas!D539="Juvenil 65kg",12,IF(Atletas!D539="Juvenil 70kg",13,IF(Atletas!D539="Juvenil 75kg",14,IF(Atletas!D539="Juvenil 80kg",15,IF(Atletas!D539="Adulto 48kg",16,IF(Atletas!D539="Adulto 52kg",17,IF(Atletas!D539="Adulto 56kg",18,IF(Atletas!D539="Adulto 60kg",19,IF(Atletas!D539="Adulto 65kg",20,IF(Atletas!D539="Adulto 70kg",21,IF(Atletas!D539="Adulto 75kg",22,IF(Atletas!D539="Adulto 80kg",23,IF(Atletas!D539="Adulto 85kg",24,IF(Atletas!D539="Adulto 90kg",25,IF(Atletas!D539="Adulto +90kg",26,""))))))))))))))))))))))))))))</f>
        <v/>
      </c>
      <c r="AO543" s="10" t="str">
        <f>IF(Atletas!E539="","",IF(Atletas!B539="Feminino",100,IF(Atletas!B539="Masculino",200,""))+(IF(Atletas!E539="Juvenil 44kg",1,IF(Atletas!E539="Juvenil 48kg",2,IF(Atletas!E539="Juvenil 52kg",3,IF(Atletas!E539="Juvenil 56kg",4,IF(Atletas!E539="Juvenil 60kg",5,IF(Atletas!E539="Juvenil 65kg",6,IF(Atletas!E539="Juvenil 70kg",7,IF(Atletas!E539="Juvenil 75kg",8,IF(Atletas!E539="Juvenil 82kg",9,IF(Atletas!E539="Juvenil 90kg",10,IF(Atletas!E539="Juvenil 100kg",11,IF(Atletas!E539="Adulto 48kg",12,IF(Atletas!E539="Adulto 52kg",13,IF(Atletas!E539="Adulto 56kg",14,IF(Atletas!E539="Adulto 60kg",15,IF(Atletas!E539="Adulto 65kg",16,IF(Atletas!E539="Adulto 70kg",17,IF(Atletas!E539="Adulto 75kg",18,IF(Atletas!E539="Adulto 82kg",19,IF(Atletas!E539="Adulto 90kg",20,IF(Atletas!E539="Adulto 100kg",21,IF(Atletas!E539="Adulto +100kg",22,""))))))))))))))))))))))))</f>
        <v/>
      </c>
      <c r="AT543" s="10" t="str">
        <f>IF(Atletas!F539="","",IF(Atletas!B539="Feminino",100,IF(Atletas!B539="Masculino",200,""))+(IF(Atletas!F539="Adulto 48kg",1,IF(Atletas!F539="Adulto 56kg",2,IF(Atletas!F539="Adulto 65kg",3,IF(Atletas!F539="Adulto 75kg",4,IF(Atletas!F539="Adulto +75kg",5,IF(Atletas!F539="Adulto 52kg",6,IF(Atletas!F539="Adulto 60kg",7,IF(Atletas!F539="Adulto 70kg",8,IF(Atletas!F539="Adulto 80kg",9,IF(Atletas!F539="Adulto 90kg",10,IF(Atletas!F539="Adulto +90kg",11,"")))))))))))))</f>
        <v/>
      </c>
      <c r="AY543" s="46" t="str">
        <f>IF(Atletas!G539="","",IF(Atletas!B539="Feminino",100,IF(Atletas!B539="Masculino",200,""))+(IF(Atletas!G539="Changquan Mirim",1,IF(Atletas!G539="Nanquan Mirim",2,IF(Atletas!G539="Taijiquan Mirim",3,IF(Atletas!G539="Changquan Grupo C",4,IF(Atletas!G539="Nanquan Grupo C",5,IF(Atletas!G539="Taijiquan Grupo C",6,IF(Atletas!G539="Changquan Grupo B",7,IF(Atletas!G539="Nanquan Grupo B",8,IF(Atletas!G539="Taijiquan Grupo B",9,IF(Atletas!G539="Changquan Grupo A",10,IF(Atletas!G539="Nanquan Grupo A",11,IF(Atletas!G539="Taijiquan Grupo A",12,IF(Atletas!G539="Changquan Opcional",13,IF(Atletas!G539="Nanquan Opcional",14,IF(Atletas!G539="Taijiquan Opcional",15,IF(Atletas!G539="Changquan Adulto",16,IF(Atletas!G539="Nanquan Adulto",17,IF(Atletas!G539="Taijiquan Adulto",18,""))))))))))))))))))))</f>
        <v/>
      </c>
      <c r="AZ543" s="46" t="str">
        <f>IF(Atletas!H539="","",IF(Atletas!B539="Feminino",100,IF(Atletas!B539="Masculino",200,""))+(IF(Atletas!H539="Daoshu Mirim",19,IF(Atletas!H539="Jianshu Mirim",20,IF(Atletas!H539="Nandao Mirim",21,IF(Atletas!H539="Taijijian Mirim",22,IF(Atletas!H539="Daoshu Grupo C",23,IF(Atletas!H539="Jianshu Grupo C",24,IF(Atletas!H539="Nandao Grupo C",25,IF(Atletas!H539="Taijijian Grupo C",26,IF(Atletas!H539="Daoshu Grupo B",27,IF(Atletas!H539="Jianshu Grupo B",28,IF(Atletas!H539="Nandao Grupo B",29,IF(Atletas!H539="Taijijian Grupo B",30,IF(Atletas!H539="Daoshu Grupo A",31,IF(Atletas!H539="Jianshu Grupo A",32,IF(Atletas!H539="Nandao Grupo A",33,IF(Atletas!H539="Taijijian Grupo A",34,IF(Atletas!H539="Daoshu Opcional",35,IF(Atletas!H539="Jianshu Opcional",36,IF(Atletas!H539="Nandao Opcional",37,IF(Atletas!H539="Taijijian Opcional",38,IF(Atletas!H539="Daoshu Adulto",39,IF(Atletas!H539="Jianshu Adulto",40,IF(Atletas!H539="Nandao Adulto",41,IF(Atletas!H539="Taijijian Adulto",42,""))))))))))))))))))))))))))</f>
        <v/>
      </c>
      <c r="BA543" s="46" t="str">
        <f>IF(Atletas!I539="","",IF(Atletas!B539="Feminino",100,IF(Atletas!B539="Masculino",200,""))+(IF(Atletas!I539="Gunshu Mirim",43,IF(Atletas!I539="Qiangshu Mirim",44,IF(Atletas!I539="Nangun Mirim",45,IF(Atletas!I539="Gunshu Grupo C",46,IF(Atletas!I539="Qiangshu Grupo C",47,IF(Atletas!I539="Nangun Grupo C",48,IF(Atletas!I539="Gunshu Grupo B",49,IF(Atletas!I539="Qiangshu Grupo B",50,IF(Atletas!I539="Nangun Grupo B",51,IF(Atletas!I539="Gunshu Grupo A",52,IF(Atletas!I539="Qiangshu Grupo A",53,IF(Atletas!I539="Nangun Grupo A",54,IF(Atletas!I539="Gunshu Opcional",55,IF(Atletas!I539="Qiangshu Opcional",56,IF(Atletas!I539="Nangun Opcional",57,IF(Atletas!I539="Gunshu Adulto",58,IF(Atletas!I539="Qiangshu Adulto",59,IF(Atletas!I539="Nangun Adulto",60,""))))))))))))))))))))</f>
        <v/>
      </c>
      <c r="BF543" s="52" t="str">
        <f>IF(Atletas!J539="","",IF(Atletas!B539="Feminino",100,IF(Atletas!B539="Masculino",200,""))+(IF(Atletas!J539="Equipe 1 Grupo B",1,IF(Atletas!J539="Equipe 2 Grupo B",2,IF(Atletas!J539="Equipe 1 Grupo A",3,IF(Atletas!J539="Equipe 2 Grupo A",4,IF(Atletas!J539="Equipe 1 Adulto",5,IF(Atletas!J539="Equipe 2 Adulto",6,""))))))))</f>
        <v/>
      </c>
      <c r="BK543" s="52" t="str">
        <f>IF(Atletas!K539="","",IF(Atletas!W539&lt;&gt;"",10000,0)+(IF(Atletas!B539="Feminino",1000,IF(Atletas!B539="Masculino",2000,""))+IF(Atletas!K539="Choylayfut A",1,IF(Atletas!K539="Hunggar A",2,IF(Atletas!K539="Wuzuquan A",3,IF(Atletas!K539="Wingchun A",4,IF(Atletas!K539="Outra Mão de Sul A",5,IF(Atletas!K539="Choylayfut B",6,IF(Atletas!K539="Hunggar B",7,IF(Atletas!K539="Wuzuquan B",8,IF(Atletas!K539="Wingchun B",9,IF(Atletas!K539="Outra Mão de Sul B",10,IF(Atletas!K539="Choylayfut C",11,IF(Atletas!K539="Hunggar C",12,IF(Atletas!K539="Wuzuquan C",13,IF(Atletas!K539="Wingchun C",14,IF(Atletas!K539="Outra Mão de Sul C",15,IF(Atletas!K539="Choylayfut D",16,IF(Atletas!K539="Hunggar D",17,IF(Atletas!K539="Wuzuquan D",18,IF(Atletas!K539="Wingchun D",19,IF(Atletas!K539="Outra Mão de Sul D",20,IF(Atletas!K539="Choylayfut E",21,IF(Atletas!K539="Hunggar E",22,IF(Atletas!K539="Wuzuquan E",23,IF(Atletas!K539="Wingchun E",24,IF(Atletas!K539="Outra Mão de Sul E",25,IF(Atletas!K539="Choylayfut F",26,IF(Atletas!K539="Hunggar F",27,IF(Atletas!K539="Wuzuquan F",28,IF(Atletas!K539="Wingchun F",29,IF(Atletas!K539="Outra Mão de Sul F",30,""))))))))))))))))))))))))))))))))</f>
        <v/>
      </c>
      <c r="BL543" s="52" t="str">
        <f>IF(Atletas!L539="","",IF(Atletas!W539&lt;&gt;"",10000,0)+(IF(Atletas!B539="Feminino",1000,IF(Atletas!B539="Masculino",2000,""))+(IF(Atletas!L539="Chaquan A",101,IF(Atletas!L539="Emeiquan A",102,IF(Atletas!L539="Fanziquan A",103,IF(Atletas!L539="Huaquan A",104,IF(Atletas!L539="Hongquan A",105,IF(Atletas!L539="Paochui A",106,IF(Atletas!L539="Piguaquan A",107,IF(Atletas!L539="Shaolinquan A",108,IF(Atletas!L539="Tanglangquan A",109,IF(Atletas!L539="Yinzhaophai A",110,IF(Atletas!L539="Tongbeiquan A",111,IF(Atletas!L539="Wudangquan A",112,IF(Atletas!L539="Outros Estilos A",113,IF(Atletas!L539="Chaquan B",114,IF(Atletas!L539="Emeiquan B",115,IF(Atletas!L539="Fanziquan B",116,IF(Atletas!L539="Huaquan B",117,IF(Atletas!L539="Hongquan B",118,IF(Atletas!L539="Paochui B",119,IF(Atletas!L539="Piguaquan B",120,IF(Atletas!L539="Shaolinquan B",121,IF(Atletas!L539="Tanglangquan B",122,IF(Atletas!L539="Yinzhaophai B",123,IF(Atletas!L539="Tongbeiquan B",124,IF(Atletas!L539="Wudangquan B",125,IF(Atletas!L539="Outros Estilos B",126,IF(Atletas!L539="Chaquan C",127,IF(Atletas!L539="Emeiquan C",128,IF(Atletas!L539="Fanziquan C",129,IF(Atletas!L539="Huaquan C",130,IF(Atletas!L539="Hongquan C",131,IF(Atletas!L539="Paochui C",132,IF(Atletas!L539="Piguaquan C",133,IF(Atletas!L539="Shaolinquan C",134,IF(Atletas!L539="Tanglangquan C",135,IF(Atletas!L539="Yinzhaophai C",136,IF(Atletas!L539="Tongbeiquan C",137,IF(Atletas!L539="Wudangquan C",138,IF(Atletas!L539="Outros Estilos C",139,0))))))))))))))))))))))))))))))))))))))))))</f>
        <v/>
      </c>
      <c r="BM543" s="52" t="str">
        <f>IF(Atletas!L539="","",IF(Atletas!W539&lt;&gt;"",10000,0)+(IF(Atletas!B539="Feminino",1000,IF(Atletas!B539="Masculino",2000,""))+(IF(Atletas!L539="Chaquan D",140,IF(Atletas!L539="Emeiquan D",141,IF(Atletas!L539="Fanziquan D",142,IF(Atletas!L539="Huaquan D",143,IF(Atletas!L539="Hongquan D",144,IF(Atletas!L539="Paochui D",145,IF(Atletas!L539="Piguaquan D",146,IF(Atletas!L539="Shaolinquan D",147,IF(Atletas!L539="Tanglangquan D",148,IF(Atletas!L539="Yinzhaophai D",149,IF(Atletas!L539="Tongbeiquan D",150,IF(Atletas!L539="Wudangquan D",151,IF(Atletas!L539="Outros Estilos D",152,IF(Atletas!L539="Chaquan E",153,IF(Atletas!L539="Emeiquan E",154,IF(Atletas!L539="Fanziquan E",155,IF(Atletas!L539="Huaquan E",156,IF(Atletas!L539="Hongquan E",157,IF(Atletas!L539="Paochui E",158,IF(Atletas!L539="Piguaquan E",159,IF(Atletas!L539="Shaolinquan E",160,IF(Atletas!L539="Tanglangquan E",161,IF(Atletas!L539="Yinzhaophai E",162,IF(Atletas!L539="Tongbeiquan E",163,IF(Atletas!L539="Wudangquan E",164,IF(Atletas!L539="Outros Estilos E",165,IF(Atletas!L539="Chaquan F",166,IF(Atletas!L539="Emeiquan F",167,IF(Atletas!L539="Fanziquan F",168,IF(Atletas!L539="Huaquan F",169,IF(Atletas!L539="Hongquan F",170,IF(Atletas!L539="Paochui F",171,IF(Atletas!L539="Piguaquan F",172,IF(Atletas!L539="Shaolinquan F",173,IF(Atletas!L539="Tanglangquan F",174,IF(Atletas!L539="Yinzhaophai F",175,IF(Atletas!L539="Tongbeiquan F",176,IF(Atletas!L539="Wudangquan F",177,IF(Atletas!L539="Outros Estilos F",178,0))))))))))))))))))))))))))))))))))))))))))</f>
        <v/>
      </c>
      <c r="BN543" s="52" t="str">
        <f>IF(Atletas!M539="","",IF(Atletas!W539&lt;&gt;"",10000,0)+(IF(Atletas!B539="Feminino",1000,IF(Atletas!B539="Masculino",2000,""))+(IF(Atletas!M539="Ditangquan A",201,IF(Atletas!M539="Houquan A",202,IF(Atletas!M539="Zuiquan A",203,IF(Atletas!M539="Ditangquan B",204,IF(Atletas!M539="Houquan B",205,IF(Atletas!M539="Zuiquan B",206,IF(Atletas!M539="Ditangquan C",207,IF(Atletas!M539="Houquan C",208,IF(Atletas!M539="Zuiquan C",209,IF(Atletas!M539="Ditangquan D",210,IF(Atletas!M539="Houquan D",211,IF(Atletas!M539="Zuiquan D",212,IF(Atletas!M539="Ditangquan E",213,IF(Atletas!M539="Houquan E",214,IF(Atletas!M539="Zuiquan E",215,IF(Atletas!M539="Ditangquan F",216,IF(Atletas!M539="Houquan F",217,IF(Atletas!M539="Zuiquan F",218,"")))))))))))))))))))))</f>
        <v/>
      </c>
      <c r="BO543" s="52" t="str">
        <f>IF(Atletas!N539="","",IF(Atletas!W539&lt;&gt;"",10000,0)+IF(Atletas!B539="Feminino",1000,IF(Atletas!B539="Masculino",2000,""))+IF(Atletas!N539="Yang A",301,IF(Atletas!N539="Chen A",30,IF(Atletas!N539="Sun A",303,IF(Atletas!N539="Wu A",304,IF(Atletas!N539="Wu-Hao A",305,IF(Atletas!N539="Outro Taijiquan A",306,IF(Atletas!N539="Yang B",307,IF(Atletas!N539="Chen B",308,IF(Atletas!N539="Sun B",309,IF(Atletas!N539="Wu B",310,IF(Atletas!N539="Wu-Hao B",311,IF(Atletas!N539="Outro Taijiquan B",312,IF(Atletas!N539="Yang C",313,IF(Atletas!N539="Chen C",314,IF(Atletas!N539="Sun C",315,IF(Atletas!N539="Wu C",316,IF(Atletas!N539="Wu-Hao C",317,IF(Atletas!N539="Outro Taijiquan C",318,IF(Atletas!N539="Yang D",319,IF(Atletas!N539="Chen D",320,IF(Atletas!N539="Sun D",321,IF(Atletas!N539="Wu D",322,IF(Atletas!N539="Wu-Hao D",323,IF(Atletas!N539="Outro Taijiquan D",324,IF(Atletas!N539="Yang E",325,IF(Atletas!N539="Chen E",326,IF(Atletas!N539="Sun E",327,IF(Atletas!N539="Wu E",328,IF(Atletas!N539="Wu-Hao E",329,IF(Atletas!N539="Outro Taijiquan E",330,IF(Atletas!N539="Yang F",331,IF(Atletas!N539="Chen F",332,IF(Atletas!N539="Sun F",333,IF(Atletas!N539="Wu F",334,IF(Atletas!N539="Wu-Hao F",335,IF(Atletas!N539="Outro Taijiquan F",336,"")))))))))))))))))))))))))))))))))))))</f>
        <v/>
      </c>
      <c r="BP543" s="52" t="str">
        <f>IF(Atletas!O539="","",IF(Atletas!W539&lt;&gt;"",10000,0)+IF(Atletas!B539="Feminino",1000,IF(Atletas!B539="Masculino",2000,""))+IF(OR(Atletas!O539="Yang 26 A",Atletas!O539="Yang 40 A"),401,IF(OR(Atletas!O539="Chen 25 A",Atletas!O539="Chen 36 A",Atletas!O539="Chen 56 A"),402,IF(Atletas!O539="Sun 73 A",403,IF(Atletas!O539="Wu 45 A",404,IF(Atletas!O539="Wu-Hao 46 A",405,IF(OR(Atletas!O539="Taijiquan 16 A",Atletas!O539="Taijiquan 24 A",Atletas!O539="Taijiquan 32 A",Atletas!O539="Taijiquan 42 A"),406,IF(OR(Atletas!O539="Yang 26 B",Atletas!O539="Yang 40 B"),407,IF(OR(Atletas!O539="Chen 25 B",Atletas!O539="Chen 36 B",Atletas!O539="Chen 56 B"),408,IF(Atletas!O539="Sun 73 B",409,IF(Atletas!O539="Wu 45 B",410,IF(Atletas!O539="Wu-Hao 46 B",411,IF(OR(Atletas!O539="Taijiquan 16 B",Atletas!O539="Taijiquan 24 B",Atletas!O539="Taijiquan 32 B",Atletas!O539="Taijiquan 42 B"),412,IF(OR(Atletas!O539="Yang 26 C",Atletas!O539="Yang 40 C"),413,IF(OR(Atletas!O539="Chen 25 C",Atletas!O539="Chen 36 C",Atletas!O539="Chen 56 C"),414,IF(Atletas!O539="Sun 73 C",415,IF(Atletas!O539="Wu 45 C",416,IF(Atletas!O539="Wu-Hao 46 C",417,IF(OR(Atletas!O539="Taijiquan 16 C",Atletas!O539="Taijiquan 24 C",Atletas!O539="Taijiquan 32 C",Atletas!O539="Taijiquan 42 C"),418,0)))))))))))))))))))</f>
        <v/>
      </c>
      <c r="BQ543" s="52" t="str">
        <f>IF(Atletas!O539="","",IF(Atletas!W539&lt;&gt;"",10000,0)+IF(Atletas!B539="Feminino",1000,IF(Atletas!B539="Masculino",2000,""))+IF(OR(Atletas!O539="Yang 26 D",Atletas!O539="Yang 40 D"),419,IF(OR(Atletas!O539="Chen 25 D",Atletas!O539="Chen 36 D",Atletas!O539="Chen 56 D"),420,IF(Atletas!O539="Sun 73 D",421,IF(Atletas!O539="Wu 45 D",422,IF(Atletas!O539="Wu-Hao 46 D",423,IF(OR(Atletas!O539="Taijiquan 16 D",Atletas!O539="Taijiquan 24 D",Atletas!O539="Taijiquan 32 D",Atletas!O539="Taijiquan 42 D"),424,IF(OR(Atletas!O539="Yang 26 E",Atletas!O539="Yang 40 E"),425,IF(OR(Atletas!O539="Chen 25 E",Atletas!O539="Chen 36 E",Atletas!O539="Chen 56 E"),426,IF(Atletas!O539="Sun 73 E",427,IF(Atletas!O539="Wu 45 E",428,IF(Atletas!O539="Wu-Hao 46 E",429,IF(OR(Atletas!O539="Taijiquan 16 E",Atletas!O539="Taijiquan 24 E",Atletas!O539="Taijiquan 32 E",Atletas!O539="Taijiquan 42 E"),430,IF(OR(Atletas!O539="Yang 26 F",Atletas!O539="Yang 40 F"),431,IF(OR(Atletas!O539="Chen 25 F",Atletas!O539="Chen 36 F",Atletas!O539="Chen 56 F"),432,IF(Atletas!O539="Sun 73 F",433,IF(Atletas!O539="Wu 45 F",434,IF(Atletas!O539="Wu-Hao 46 F",435,IF(OR(Atletas!O539="Taijiquan 16 F",Atletas!O539="Taijiquan 24 F",Atletas!O539="Taijiquan 32 F",Atletas!O539="Taijiquan 42 F"),436,0)))))))))))))))))))</f>
        <v/>
      </c>
      <c r="BR543" s="52" t="str">
        <f>IF(Atletas!P539="","",IF(Atletas!W539&lt;&gt;"",10000,0)+IF(Atletas!B539="Feminino",1000,IF(Atletas!B539="Masculino",2000,""))+IF(Atletas!P539="Xingyiquan A",501,IF(Atletas!P539="Baguazhang A",502,IF(Atletas!P539="Outro Estilo Interno A",503,IF(Atletas!P539="Xingyiquan B",504,IF(Atletas!P539="Baguazhang B",505,IF(Atletas!P539="Outro Estilo Interno B",506,IF(Atletas!P539="Xingyiquan C",507,IF(Atletas!P539="Baguazhang C",508,IF(Atletas!P539="Outro Estilo Interno C",509,IF(Atletas!P539="Xingyiquan D",510,IF(Atletas!P539="Baguazhang D",511,IF(Atletas!P539="Outro Estilo Interno D",512,IF(Atletas!P539="Xingyiquan E",513,IF(Atletas!P539="Baguazhang E",514,IF(Atletas!P539="Outro Estilo Interno E",515,IF(Atletas!P539="Xingyiquan F",516,IF(Atletas!P539="Baguazhang F",517,IF(Atletas!P539="Outro Estilo Interno F",518, "")))))))))))))))))))</f>
        <v/>
      </c>
      <c r="BS543" s="52" t="str">
        <f>IF(Atletas!Q539="","",IF(Atletas!W539&lt;&gt;"",10000,0)+IF(Atletas!B539="Feminino",1000,IF(Atletas!B539="Masculino",2000,""))+IF(Atletas!Q539="Dao A",601,IF(Atletas!Q539="Jian A",602,IF(Atletas!Q539="Bishou A",603,IF(Atletas!Q539="Shan A",604,IF(Atletas!Q539="Outra Arma Curta A",605,IF(Atletas!Q539="Dao B",606,IF(Atletas!Q539="Jian B",607,IF(Atletas!Q539="Bishou B",608,IF(Atletas!Q539="Shan B",609,IF(Atletas!Q539="Outra Arma Curta B",610,IF(Atletas!Q539="Dao C",611,IF(Atletas!Q539="Jian C",612,IF(Atletas!Q539="Bishou C",613,IF(Atletas!Q539="Shan C",614,IF(Atletas!Q539="Outra Arma Curta C",615,IF(Atletas!Q539="Dao D",616,IF(Atletas!Q539="Jian D",617,IF(Atletas!Q539="Bishou D",618,IF(Atletas!Q539="Shan D",619,IF(Atletas!Q539="Outra Arma Curta D",620,IF(Atletas!Q539="Dao E",621,IF(Atletas!Q539="Jian E",622,IF(Atletas!Q539="Bishou E",623,IF(Atletas!Q539="Shan E",624,IF(Atletas!Q539="Outra Arma Curta E",625,IF(Atletas!Q539="Dao F",626,IF(Atletas!Q539="Jian F",627,IF(Atletas!Q539="Bishou F",628,IF(Atletas!Q539="Shan F",629,IF(Atletas!Q539="Outra Arma Curta F",630, "")))))))))))))))))))))))))))))))</f>
        <v/>
      </c>
      <c r="BT543" s="52" t="str">
        <f>IF(Atletas!R539="","",IF(Atletas!W539&lt;&gt;"",10000,0)+IF(Atletas!B539="Feminino",1000,IF(Atletas!B539="Masculino",2000,""))+IF(Atletas!R539="Gun A",701,IF(Atletas!R539="Qiang A",702,IF(Atletas!R539="Pudao / Guandao A",703,IF(Atletas!R539="Outra Arma Longa A",704,IF(Atletas!R539="Gun B",705,IF(Atletas!R539="Qiang B",706,IF(Atletas!R539="Pudao / Guandao B",707,IF(Atletas!R539="Outra Arma Longa B",708,IF(Atletas!R539="Gun C",709,IF(Atletas!R539="Qiang C",710,IF(Atletas!R539="Pudao / Guandao C",711,IF(Atletas!R539="Outra Arma Longa C",712,IF(Atletas!R539="Gun D",713,IF(Atletas!R539="Qiang D",714,IF(Atletas!R539="Pudao / Guandao D",715,IF(Atletas!R539="Outra Arma Longa D",716,IF(Atletas!R539="Gun E",717,IF(Atletas!R539="Qiang E",718,IF(Atletas!R539="Pudao / Guandao E",719,IF(Atletas!R539="Outra Arma Longa E",720,IF(Atletas!R539="Gun F",721,IF(Atletas!R539="Qiang F",722,IF(Atletas!R539="Pudao / Guandao F",723,IF(Atletas!R539="Outra Arma Longa F",724,"")))))))))))))))))))))))))</f>
        <v/>
      </c>
      <c r="BU543" s="52" t="str">
        <f>IF(Atletas!S539="","",IF(Atletas!W539&lt;&gt;"",10000,0)+IF(Atletas!B539="Feminino",1000,IF(Atletas!B539="Masculino",2000,""))+IF(Atletas!S539="Arma Dupla A",801,IF(Atletas!S539="Arma Maleável A",802,IF(Atletas!S539="Arma Dupla B",803,IF(Atletas!S539="Arma Maleável B",804,IF(Atletas!S539="Arma Dupla C",805,IF(Atletas!S539="Arma Maleável C",806,IF(Atletas!S539="Arma Dupla D",807,IF(Atletas!S539="Arma Maleável D",808,IF(Atletas!S539="Arma Dupla E",809,IF(Atletas!S539="Arma Maleável E",810,IF(Atletas!S539="Arma Dupla F",811,IF(Atletas!S539="Arma Maleável F",812, "")))))))))))))</f>
        <v/>
      </c>
      <c r="BV543" s="52" t="str">
        <f>IF(Atletas!T539="","",IF(Atletas!W539&lt;&gt;"",10000,0)+IF(Atletas!B539="Feminino",1000,IF(Atletas!B539="Masculino",2000,""))+IF(Atletas!T539="Taijijian Yang A",901,IF(Atletas!T539="Taijijian Chen A",902,IF(Atletas!T539="Taijijian Sun A",903,IF(Atletas!T539="Taijijian Wu A",904,IF(Atletas!T539="Taijijian Wu-Hao A",905,IF(Atletas!T539="Taijijian 32 A",906,IF(Atletas!T539="Taijijian 42 A",907,IF(Atletas!T539="Taijijian Yang B",908,IF(Atletas!T539="Taijijian Chen B",909,IF(Atletas!T539="Taijijian Sun B",910,IF(Atletas!T539="Taijijian Wu B",911,IF(Atletas!T539="Taijijian Wu-Hao B",912,IF(Atletas!T539="Taijijian 32 B",913,IF(Atletas!T539="Taijijian 42 B",914,IF(Atletas!T539="Taijijian Yang C",915,IF(Atletas!T539="Taijijian Chen C",916,IF(Atletas!T539="Taijijian Sun C",917,IF(Atletas!T539="Taijijian Wu C",918,IF(Atletas!T539="Taijijian Wu-Hao C",919,IF(Atletas!T539="Taijijian 32 C",920,IF(Atletas!T539="Taijijian 42 C",921,IF(Atletas!T539="Taijijian Yang D",922,IF(Atletas!T539="Taijijian Chen D",923,IF(Atletas!T539="Taijijian Sun D",924,IF(Atletas!T539="Taijijian Wu D",925,IF(Atletas!T539="Taijijian Wu-Hao D",926,IF(Atletas!T539="Taijijian 32 D",927,IF(Atletas!T539="Taijijian 42 D",928,IF(Atletas!T539="Taijijian Yang E",929,IF(Atletas!T539="Taijijian Chen E",930,IF(Atletas!T539="Taijijian Sun E",931,IF(Atletas!T539="Taijijian Wu E",932,IF(Atletas!T539="Taijijian Wu-Hao E",933,IF(Atletas!T539="Taijijian 32 E",934,IF(Atletas!T539="Taijijian 42 E",935,IF(Atletas!T539="Taijijian Yang F",936,IF(Atletas!T539="Taijijian Chen F",937,IF(Atletas!T539="Taijijian Sun F",938,IF(Atletas!T539="Taijijian Wu F",939,IF(Atletas!T539="Taijijian Wu-Hao F",940,IF(Atletas!T539="Taijijian 32 F",941,IF(Atletas!T539="Taijijian 42 F",942,"")))))))))))))))))))))))))))))))))))))))))))</f>
        <v/>
      </c>
      <c r="BW543" s="52" t="str">
        <f>IF(Atletas!U539="","",IF(Atletas!W539&lt;&gt;"",10000,0)+IF(Atletas!B539="Feminino",1000,IF(Atletas!B539="Masculino",2000,""))+IF(Atletas!T539="Taijijian 42 F",942,IF(Atletas!U539="Taijidao A",943,IF(Atletas!U539="Taijishan A",944,IF(Atletas!U539="Taijiqiang A",945,IF(Atletas!U539="Taijidao B",946,IF(Atletas!U539="Taijishan B",947,IF(Atletas!U539="Taijiqiang B",948,IF(Atletas!U539="Taijidao C",949,IF(Atletas!U539="Taijishan C",950,IF(Atletas!U539="Taijiqiang C",951,IF(Atletas!U539="Taijidao D",952,IF(Atletas!U539="Taijishan D",953,IF(Atletas!U539="Taijiqiang D",954,IF(Atletas!U539="Taijidao E",955,IF(Atletas!U539="Taijishan E",956,IF(Atletas!U539="Taijiqiang E",957,IF(Atletas!U539="Taijidao F",958,IF(Atletas!U539="Taijishan F",959,IF(Atletas!U539="Taijiqiang F",960))))))))))))))))))))</f>
        <v/>
      </c>
      <c r="CF543" s="52" t="str">
        <f xml:space="preserve"> IF(Atletas!V539="","",IF(Atletas!V539="Duilian de Mãos AB - Equipe 1",1,IF(Atletas!V539="Duilian de Mãos AB - Equipe 2",2,IF(Atletas!V539="Duilian de Armas AB - Equipe 1",3,IF(Atletas!V539="Duilian de Armas AB - Equipe 2",4,IF(Atletas!V539="Duilian de Tuishou - Equipe 1",5,IF(Atletas!V539="Duilian de Tuishou - Equipe 2",6,IF(Atletas!V539="Grupo Externo AB - Equipe 1",7,IF(Atletas!V539="Grupo Externo AB - Equipe 2",8,IF(Atletas!V539="Grupo Interno AB - Equipe 1",9,IF(Atletas!V539="Grupo Interno AB - Equipe 2",10,IF(Atletas!V539="Duilian de Mãos CD - Equipe 1",11,IF(Atletas!V539="Duilian de Mãos CD - Equipe 2",12,IF(Atletas!V539="Duilian de Armas CD - Equipe 1",13,IF(Atletas!V539="Duilian de Armas CD - Equipe 2",14,IF(Atletas!V539="Duilian de Tuishou - Equipe 1",15,IF(Atletas!V539="Duilian de Tuishou - Equipe 2",16,IF(Atletas!V539="Grupo Externo CDEF - Equipe 1",17,IF(Atletas!V539="Grupo Externo CDEF - Equipe 2",18,IF(Atletas!V539="Grupo Interno CDEF - Equipe 1",19,IF(Atletas!V539="Grupo Interno CDEF - Equipe 2",20,IF(Atletas!V539="Duilian de Mãos EF - Equipe 1",21,IF(Atletas!V539="Duilian de Mãos EF - Equipe 2",22,IF(Atletas!V539="Duilian de Armas EF - Equipe 1",23,IF(Atletas!V539="Duilian de Armas EF - Equipe 2",24,IF(Atletas!V539="Duilian de Tuishou - Equipe 1",25,IF(Atletas!V539="Duilian de Tuishou - Equipe 2",26,"")))))))))))))))))))))))))))</f>
        <v/>
      </c>
    </row>
    <row r="544" spans="36:84">
      <c r="AJ544" s="46" t="str">
        <f>IF(Atletas!D540="","",IF(Atletas!B540="Feminino",100,IF(Atletas!B540="Masculino",200,""))+(IF(Atletas!D540="Infantil 39kg",1,IF(Atletas!D540="Infantil 42kg",2,IF(Atletas!D540="Infantil 45kg",3,IF(Atletas!D540="Infantil 48kg",4,IF(Atletas!D540="Infantil 52kg",5,IF(Atletas!D540="Infantil 56kg",6,IF(Atletas!D540="Infantil 60kg",7,IF(Atletas!D540="Juvenil 48kg",8,IF(Atletas!D540="Juvenil 52kg",9,IF(Atletas!D540="Juvenil 56kg",10,IF(Atletas!D540="Juvenil 60kg",11,IF(Atletas!D540="Juvenil 65kg",12,IF(Atletas!D540="Juvenil 70kg",13,IF(Atletas!D540="Juvenil 75kg",14,IF(Atletas!D540="Juvenil 80kg",15,IF(Atletas!D540="Adulto 48kg",16,IF(Atletas!D540="Adulto 52kg",17,IF(Atletas!D540="Adulto 56kg",18,IF(Atletas!D540="Adulto 60kg",19,IF(Atletas!D540="Adulto 65kg",20,IF(Atletas!D540="Adulto 70kg",21,IF(Atletas!D540="Adulto 75kg",22,IF(Atletas!D540="Adulto 80kg",23,IF(Atletas!D540="Adulto 85kg",24,IF(Atletas!D540="Adulto 90kg",25,IF(Atletas!D540="Adulto +90kg",26,""))))))))))))))))))))))))))))</f>
        <v/>
      </c>
      <c r="AO544" s="10" t="str">
        <f>IF(Atletas!E540="","",IF(Atletas!B540="Feminino",100,IF(Atletas!B540="Masculino",200,""))+(IF(Atletas!E540="Juvenil 44kg",1,IF(Atletas!E540="Juvenil 48kg",2,IF(Atletas!E540="Juvenil 52kg",3,IF(Atletas!E540="Juvenil 56kg",4,IF(Atletas!E540="Juvenil 60kg",5,IF(Atletas!E540="Juvenil 65kg",6,IF(Atletas!E540="Juvenil 70kg",7,IF(Atletas!E540="Juvenil 75kg",8,IF(Atletas!E540="Juvenil 82kg",9,IF(Atletas!E540="Juvenil 90kg",10,IF(Atletas!E540="Juvenil 100kg",11,IF(Atletas!E540="Adulto 48kg",12,IF(Atletas!E540="Adulto 52kg",13,IF(Atletas!E540="Adulto 56kg",14,IF(Atletas!E540="Adulto 60kg",15,IF(Atletas!E540="Adulto 65kg",16,IF(Atletas!E540="Adulto 70kg",17,IF(Atletas!E540="Adulto 75kg",18,IF(Atletas!E540="Adulto 82kg",19,IF(Atletas!E540="Adulto 90kg",20,IF(Atletas!E540="Adulto 100kg",21,IF(Atletas!E540="Adulto +100kg",22,""))))))))))))))))))))))))</f>
        <v/>
      </c>
      <c r="AT544" s="10" t="str">
        <f>IF(Atletas!F540="","",IF(Atletas!B540="Feminino",100,IF(Atletas!B540="Masculino",200,""))+(IF(Atletas!F540="Adulto 48kg",1,IF(Atletas!F540="Adulto 56kg",2,IF(Atletas!F540="Adulto 65kg",3,IF(Atletas!F540="Adulto 75kg",4,IF(Atletas!F540="Adulto +75kg",5,IF(Atletas!F540="Adulto 52kg",6,IF(Atletas!F540="Adulto 60kg",7,IF(Atletas!F540="Adulto 70kg",8,IF(Atletas!F540="Adulto 80kg",9,IF(Atletas!F540="Adulto 90kg",10,IF(Atletas!F540="Adulto +90kg",11,"")))))))))))))</f>
        <v/>
      </c>
      <c r="AY544" s="46" t="str">
        <f>IF(Atletas!G540="","",IF(Atletas!B540="Feminino",100,IF(Atletas!B540="Masculino",200,""))+(IF(Atletas!G540="Changquan Mirim",1,IF(Atletas!G540="Nanquan Mirim",2,IF(Atletas!G540="Taijiquan Mirim",3,IF(Atletas!G540="Changquan Grupo C",4,IF(Atletas!G540="Nanquan Grupo C",5,IF(Atletas!G540="Taijiquan Grupo C",6,IF(Atletas!G540="Changquan Grupo B",7,IF(Atletas!G540="Nanquan Grupo B",8,IF(Atletas!G540="Taijiquan Grupo B",9,IF(Atletas!G540="Changquan Grupo A",10,IF(Atletas!G540="Nanquan Grupo A",11,IF(Atletas!G540="Taijiquan Grupo A",12,IF(Atletas!G540="Changquan Opcional",13,IF(Atletas!G540="Nanquan Opcional",14,IF(Atletas!G540="Taijiquan Opcional",15,IF(Atletas!G540="Changquan Adulto",16,IF(Atletas!G540="Nanquan Adulto",17,IF(Atletas!G540="Taijiquan Adulto",18,""))))))))))))))))))))</f>
        <v/>
      </c>
      <c r="AZ544" s="46" t="str">
        <f>IF(Atletas!H540="","",IF(Atletas!B540="Feminino",100,IF(Atletas!B540="Masculino",200,""))+(IF(Atletas!H540="Daoshu Mirim",19,IF(Atletas!H540="Jianshu Mirim",20,IF(Atletas!H540="Nandao Mirim",21,IF(Atletas!H540="Taijijian Mirim",22,IF(Atletas!H540="Daoshu Grupo C",23,IF(Atletas!H540="Jianshu Grupo C",24,IF(Atletas!H540="Nandao Grupo C",25,IF(Atletas!H540="Taijijian Grupo C",26,IF(Atletas!H540="Daoshu Grupo B",27,IF(Atletas!H540="Jianshu Grupo B",28,IF(Atletas!H540="Nandao Grupo B",29,IF(Atletas!H540="Taijijian Grupo B",30,IF(Atletas!H540="Daoshu Grupo A",31,IF(Atletas!H540="Jianshu Grupo A",32,IF(Atletas!H540="Nandao Grupo A",33,IF(Atletas!H540="Taijijian Grupo A",34,IF(Atletas!H540="Daoshu Opcional",35,IF(Atletas!H540="Jianshu Opcional",36,IF(Atletas!H540="Nandao Opcional",37,IF(Atletas!H540="Taijijian Opcional",38,IF(Atletas!H540="Daoshu Adulto",39,IF(Atletas!H540="Jianshu Adulto",40,IF(Atletas!H540="Nandao Adulto",41,IF(Atletas!H540="Taijijian Adulto",42,""))))))))))))))))))))))))))</f>
        <v/>
      </c>
      <c r="BA544" s="46" t="str">
        <f>IF(Atletas!I540="","",IF(Atletas!B540="Feminino",100,IF(Atletas!B540="Masculino",200,""))+(IF(Atletas!I540="Gunshu Mirim",43,IF(Atletas!I540="Qiangshu Mirim",44,IF(Atletas!I540="Nangun Mirim",45,IF(Atletas!I540="Gunshu Grupo C",46,IF(Atletas!I540="Qiangshu Grupo C",47,IF(Atletas!I540="Nangun Grupo C",48,IF(Atletas!I540="Gunshu Grupo B",49,IF(Atletas!I540="Qiangshu Grupo B",50,IF(Atletas!I540="Nangun Grupo B",51,IF(Atletas!I540="Gunshu Grupo A",52,IF(Atletas!I540="Qiangshu Grupo A",53,IF(Atletas!I540="Nangun Grupo A",54,IF(Atletas!I540="Gunshu Opcional",55,IF(Atletas!I540="Qiangshu Opcional",56,IF(Atletas!I540="Nangun Opcional",57,IF(Atletas!I540="Gunshu Adulto",58,IF(Atletas!I540="Qiangshu Adulto",59,IF(Atletas!I540="Nangun Adulto",60,""))))))))))))))))))))</f>
        <v/>
      </c>
      <c r="BF544" s="52" t="str">
        <f>IF(Atletas!J540="","",IF(Atletas!B540="Feminino",100,IF(Atletas!B540="Masculino",200,""))+(IF(Atletas!J540="Equipe 1 Grupo B",1,IF(Atletas!J540="Equipe 2 Grupo B",2,IF(Atletas!J540="Equipe 1 Grupo A",3,IF(Atletas!J540="Equipe 2 Grupo A",4,IF(Atletas!J540="Equipe 1 Adulto",5,IF(Atletas!J540="Equipe 2 Adulto",6,""))))))))</f>
        <v/>
      </c>
      <c r="BK544" s="52" t="str">
        <f>IF(Atletas!K540="","",IF(Atletas!W540&lt;&gt;"",10000,0)+(IF(Atletas!B540="Feminino",1000,IF(Atletas!B540="Masculino",2000,""))+IF(Atletas!K540="Choylayfut A",1,IF(Atletas!K540="Hunggar A",2,IF(Atletas!K540="Wuzuquan A",3,IF(Atletas!K540="Wingchun A",4,IF(Atletas!K540="Outra Mão de Sul A",5,IF(Atletas!K540="Choylayfut B",6,IF(Atletas!K540="Hunggar B",7,IF(Atletas!K540="Wuzuquan B",8,IF(Atletas!K540="Wingchun B",9,IF(Atletas!K540="Outra Mão de Sul B",10,IF(Atletas!K540="Choylayfut C",11,IF(Atletas!K540="Hunggar C",12,IF(Atletas!K540="Wuzuquan C",13,IF(Atletas!K540="Wingchun C",14,IF(Atletas!K540="Outra Mão de Sul C",15,IF(Atletas!K540="Choylayfut D",16,IF(Atletas!K540="Hunggar D",17,IF(Atletas!K540="Wuzuquan D",18,IF(Atletas!K540="Wingchun D",19,IF(Atletas!K540="Outra Mão de Sul D",20,IF(Atletas!K540="Choylayfut E",21,IF(Atletas!K540="Hunggar E",22,IF(Atletas!K540="Wuzuquan E",23,IF(Atletas!K540="Wingchun E",24,IF(Atletas!K540="Outra Mão de Sul E",25,IF(Atletas!K540="Choylayfut F",26,IF(Atletas!K540="Hunggar F",27,IF(Atletas!K540="Wuzuquan F",28,IF(Atletas!K540="Wingchun F",29,IF(Atletas!K540="Outra Mão de Sul F",30,""))))))))))))))))))))))))))))))))</f>
        <v/>
      </c>
      <c r="BL544" s="52" t="str">
        <f>IF(Atletas!L540="","",IF(Atletas!W540&lt;&gt;"",10000,0)+(IF(Atletas!B540="Feminino",1000,IF(Atletas!B540="Masculino",2000,""))+(IF(Atletas!L540="Chaquan A",101,IF(Atletas!L540="Emeiquan A",102,IF(Atletas!L540="Fanziquan A",103,IF(Atletas!L540="Huaquan A",104,IF(Atletas!L540="Hongquan A",105,IF(Atletas!L540="Paochui A",106,IF(Atletas!L540="Piguaquan A",107,IF(Atletas!L540="Shaolinquan A",108,IF(Atletas!L540="Tanglangquan A",109,IF(Atletas!L540="Yinzhaophai A",110,IF(Atletas!L540="Tongbeiquan A",111,IF(Atletas!L540="Wudangquan A",112,IF(Atletas!L540="Outros Estilos A",113,IF(Atletas!L540="Chaquan B",114,IF(Atletas!L540="Emeiquan B",115,IF(Atletas!L540="Fanziquan B",116,IF(Atletas!L540="Huaquan B",117,IF(Atletas!L540="Hongquan B",118,IF(Atletas!L540="Paochui B",119,IF(Atletas!L540="Piguaquan B",120,IF(Atletas!L540="Shaolinquan B",121,IF(Atletas!L540="Tanglangquan B",122,IF(Atletas!L540="Yinzhaophai B",123,IF(Atletas!L540="Tongbeiquan B",124,IF(Atletas!L540="Wudangquan B",125,IF(Atletas!L540="Outros Estilos B",126,IF(Atletas!L540="Chaquan C",127,IF(Atletas!L540="Emeiquan C",128,IF(Atletas!L540="Fanziquan C",129,IF(Atletas!L540="Huaquan C",130,IF(Atletas!L540="Hongquan C",131,IF(Atletas!L540="Paochui C",132,IF(Atletas!L540="Piguaquan C",133,IF(Atletas!L540="Shaolinquan C",134,IF(Atletas!L540="Tanglangquan C",135,IF(Atletas!L540="Yinzhaophai C",136,IF(Atletas!L540="Tongbeiquan C",137,IF(Atletas!L540="Wudangquan C",138,IF(Atletas!L540="Outros Estilos C",139,0))))))))))))))))))))))))))))))))))))))))))</f>
        <v/>
      </c>
      <c r="BM544" s="52" t="str">
        <f>IF(Atletas!L540="","",IF(Atletas!W540&lt;&gt;"",10000,0)+(IF(Atletas!B540="Feminino",1000,IF(Atletas!B540="Masculino",2000,""))+(IF(Atletas!L540="Chaquan D",140,IF(Atletas!L540="Emeiquan D",141,IF(Atletas!L540="Fanziquan D",142,IF(Atletas!L540="Huaquan D",143,IF(Atletas!L540="Hongquan D",144,IF(Atletas!L540="Paochui D",145,IF(Atletas!L540="Piguaquan D",146,IF(Atletas!L540="Shaolinquan D",147,IF(Atletas!L540="Tanglangquan D",148,IF(Atletas!L540="Yinzhaophai D",149,IF(Atletas!L540="Tongbeiquan D",150,IF(Atletas!L540="Wudangquan D",151,IF(Atletas!L540="Outros Estilos D",152,IF(Atletas!L540="Chaquan E",153,IF(Atletas!L540="Emeiquan E",154,IF(Atletas!L540="Fanziquan E",155,IF(Atletas!L540="Huaquan E",156,IF(Atletas!L540="Hongquan E",157,IF(Atletas!L540="Paochui E",158,IF(Atletas!L540="Piguaquan E",159,IF(Atletas!L540="Shaolinquan E",160,IF(Atletas!L540="Tanglangquan E",161,IF(Atletas!L540="Yinzhaophai E",162,IF(Atletas!L540="Tongbeiquan E",163,IF(Atletas!L540="Wudangquan E",164,IF(Atletas!L540="Outros Estilos E",165,IF(Atletas!L540="Chaquan F",166,IF(Atletas!L540="Emeiquan F",167,IF(Atletas!L540="Fanziquan F",168,IF(Atletas!L540="Huaquan F",169,IF(Atletas!L540="Hongquan F",170,IF(Atletas!L540="Paochui F",171,IF(Atletas!L540="Piguaquan F",172,IF(Atletas!L540="Shaolinquan F",173,IF(Atletas!L540="Tanglangquan F",174,IF(Atletas!L540="Yinzhaophai F",175,IF(Atletas!L540="Tongbeiquan F",176,IF(Atletas!L540="Wudangquan F",177,IF(Atletas!L540="Outros Estilos F",178,0))))))))))))))))))))))))))))))))))))))))))</f>
        <v/>
      </c>
      <c r="BN544" s="52" t="str">
        <f>IF(Atletas!M540="","",IF(Atletas!W540&lt;&gt;"",10000,0)+(IF(Atletas!B540="Feminino",1000,IF(Atletas!B540="Masculino",2000,""))+(IF(Atletas!M540="Ditangquan A",201,IF(Atletas!M540="Houquan A",202,IF(Atletas!M540="Zuiquan A",203,IF(Atletas!M540="Ditangquan B",204,IF(Atletas!M540="Houquan B",205,IF(Atletas!M540="Zuiquan B",206,IF(Atletas!M540="Ditangquan C",207,IF(Atletas!M540="Houquan C",208,IF(Atletas!M540="Zuiquan C",209,IF(Atletas!M540="Ditangquan D",210,IF(Atletas!M540="Houquan D",211,IF(Atletas!M540="Zuiquan D",212,IF(Atletas!M540="Ditangquan E",213,IF(Atletas!M540="Houquan E",214,IF(Atletas!M540="Zuiquan E",215,IF(Atletas!M540="Ditangquan F",216,IF(Atletas!M540="Houquan F",217,IF(Atletas!M540="Zuiquan F",218,"")))))))))))))))))))))</f>
        <v/>
      </c>
      <c r="BO544" s="52" t="str">
        <f>IF(Atletas!N540="","",IF(Atletas!W540&lt;&gt;"",10000,0)+IF(Atletas!B540="Feminino",1000,IF(Atletas!B540="Masculino",2000,""))+IF(Atletas!N540="Yang A",301,IF(Atletas!N540="Chen A",30,IF(Atletas!N540="Sun A",303,IF(Atletas!N540="Wu A",304,IF(Atletas!N540="Wu-Hao A",305,IF(Atletas!N540="Outro Taijiquan A",306,IF(Atletas!N540="Yang B",307,IF(Atletas!N540="Chen B",308,IF(Atletas!N540="Sun B",309,IF(Atletas!N540="Wu B",310,IF(Atletas!N540="Wu-Hao B",311,IF(Atletas!N540="Outro Taijiquan B",312,IF(Atletas!N540="Yang C",313,IF(Atletas!N540="Chen C",314,IF(Atletas!N540="Sun C",315,IF(Atletas!N540="Wu C",316,IF(Atletas!N540="Wu-Hao C",317,IF(Atletas!N540="Outro Taijiquan C",318,IF(Atletas!N540="Yang D",319,IF(Atletas!N540="Chen D",320,IF(Atletas!N540="Sun D",321,IF(Atletas!N540="Wu D",322,IF(Atletas!N540="Wu-Hao D",323,IF(Atletas!N540="Outro Taijiquan D",324,IF(Atletas!N540="Yang E",325,IF(Atletas!N540="Chen E",326,IF(Atletas!N540="Sun E",327,IF(Atletas!N540="Wu E",328,IF(Atletas!N540="Wu-Hao E",329,IF(Atletas!N540="Outro Taijiquan E",330,IF(Atletas!N540="Yang F",331,IF(Atletas!N540="Chen F",332,IF(Atletas!N540="Sun F",333,IF(Atletas!N540="Wu F",334,IF(Atletas!N540="Wu-Hao F",335,IF(Atletas!N540="Outro Taijiquan F",336,"")))))))))))))))))))))))))))))))))))))</f>
        <v/>
      </c>
      <c r="BP544" s="52" t="str">
        <f>IF(Atletas!O540="","",IF(Atletas!W540&lt;&gt;"",10000,0)+IF(Atletas!B540="Feminino",1000,IF(Atletas!B540="Masculino",2000,""))+IF(OR(Atletas!O540="Yang 26 A",Atletas!O540="Yang 40 A"),401,IF(OR(Atletas!O540="Chen 25 A",Atletas!O540="Chen 36 A",Atletas!O540="Chen 56 A"),402,IF(Atletas!O540="Sun 73 A",403,IF(Atletas!O540="Wu 45 A",404,IF(Atletas!O540="Wu-Hao 46 A",405,IF(OR(Atletas!O540="Taijiquan 16 A",Atletas!O540="Taijiquan 24 A",Atletas!O540="Taijiquan 32 A",Atletas!O540="Taijiquan 42 A"),406,IF(OR(Atletas!O540="Yang 26 B",Atletas!O540="Yang 40 B"),407,IF(OR(Atletas!O540="Chen 25 B",Atletas!O540="Chen 36 B",Atletas!O540="Chen 56 B"),408,IF(Atletas!O540="Sun 73 B",409,IF(Atletas!O540="Wu 45 B",410,IF(Atletas!O540="Wu-Hao 46 B",411,IF(OR(Atletas!O540="Taijiquan 16 B",Atletas!O540="Taijiquan 24 B",Atletas!O540="Taijiquan 32 B",Atletas!O540="Taijiquan 42 B"),412,IF(OR(Atletas!O540="Yang 26 C",Atletas!O540="Yang 40 C"),413,IF(OR(Atletas!O540="Chen 25 C",Atletas!O540="Chen 36 C",Atletas!O540="Chen 56 C"),414,IF(Atletas!O540="Sun 73 C",415,IF(Atletas!O540="Wu 45 C",416,IF(Atletas!O540="Wu-Hao 46 C",417,IF(OR(Atletas!O540="Taijiquan 16 C",Atletas!O540="Taijiquan 24 C",Atletas!O540="Taijiquan 32 C",Atletas!O540="Taijiquan 42 C"),418,0)))))))))))))))))))</f>
        <v/>
      </c>
      <c r="BQ544" s="52" t="str">
        <f>IF(Atletas!O540="","",IF(Atletas!W540&lt;&gt;"",10000,0)+IF(Atletas!B540="Feminino",1000,IF(Atletas!B540="Masculino",2000,""))+IF(OR(Atletas!O540="Yang 26 D",Atletas!O540="Yang 40 D"),419,IF(OR(Atletas!O540="Chen 25 D",Atletas!O540="Chen 36 D",Atletas!O540="Chen 56 D"),420,IF(Atletas!O540="Sun 73 D",421,IF(Atletas!O540="Wu 45 D",422,IF(Atletas!O540="Wu-Hao 46 D",423,IF(OR(Atletas!O540="Taijiquan 16 D",Atletas!O540="Taijiquan 24 D",Atletas!O540="Taijiquan 32 D",Atletas!O540="Taijiquan 42 D"),424,IF(OR(Atletas!O540="Yang 26 E",Atletas!O540="Yang 40 E"),425,IF(OR(Atletas!O540="Chen 25 E",Atletas!O540="Chen 36 E",Atletas!O540="Chen 56 E"),426,IF(Atletas!O540="Sun 73 E",427,IF(Atletas!O540="Wu 45 E",428,IF(Atletas!O540="Wu-Hao 46 E",429,IF(OR(Atletas!O540="Taijiquan 16 E",Atletas!O540="Taijiquan 24 E",Atletas!O540="Taijiquan 32 E",Atletas!O540="Taijiquan 42 E"),430,IF(OR(Atletas!O540="Yang 26 F",Atletas!O540="Yang 40 F"),431,IF(OR(Atletas!O540="Chen 25 F",Atletas!O540="Chen 36 F",Atletas!O540="Chen 56 F"),432,IF(Atletas!O540="Sun 73 F",433,IF(Atletas!O540="Wu 45 F",434,IF(Atletas!O540="Wu-Hao 46 F",435,IF(OR(Atletas!O540="Taijiquan 16 F",Atletas!O540="Taijiquan 24 F",Atletas!O540="Taijiquan 32 F",Atletas!O540="Taijiquan 42 F"),436,0)))))))))))))))))))</f>
        <v/>
      </c>
      <c r="BR544" s="52" t="str">
        <f>IF(Atletas!P540="","",IF(Atletas!W540&lt;&gt;"",10000,0)+IF(Atletas!B540="Feminino",1000,IF(Atletas!B540="Masculino",2000,""))+IF(Atletas!P540="Xingyiquan A",501,IF(Atletas!P540="Baguazhang A",502,IF(Atletas!P540="Outro Estilo Interno A",503,IF(Atletas!P540="Xingyiquan B",504,IF(Atletas!P540="Baguazhang B",505,IF(Atletas!P540="Outro Estilo Interno B",506,IF(Atletas!P540="Xingyiquan C",507,IF(Atletas!P540="Baguazhang C",508,IF(Atletas!P540="Outro Estilo Interno C",509,IF(Atletas!P540="Xingyiquan D",510,IF(Atletas!P540="Baguazhang D",511,IF(Atletas!P540="Outro Estilo Interno D",512,IF(Atletas!P540="Xingyiquan E",513,IF(Atletas!P540="Baguazhang E",514,IF(Atletas!P540="Outro Estilo Interno E",515,IF(Atletas!P540="Xingyiquan F",516,IF(Atletas!P540="Baguazhang F",517,IF(Atletas!P540="Outro Estilo Interno F",518, "")))))))))))))))))))</f>
        <v/>
      </c>
      <c r="BS544" s="52" t="str">
        <f>IF(Atletas!Q540="","",IF(Atletas!W540&lt;&gt;"",10000,0)+IF(Atletas!B540="Feminino",1000,IF(Atletas!B540="Masculino",2000,""))+IF(Atletas!Q540="Dao A",601,IF(Atletas!Q540="Jian A",602,IF(Atletas!Q540="Bishou A",603,IF(Atletas!Q540="Shan A",604,IF(Atletas!Q540="Outra Arma Curta A",605,IF(Atletas!Q540="Dao B",606,IF(Atletas!Q540="Jian B",607,IF(Atletas!Q540="Bishou B",608,IF(Atletas!Q540="Shan B",609,IF(Atletas!Q540="Outra Arma Curta B",610,IF(Atletas!Q540="Dao C",611,IF(Atletas!Q540="Jian C",612,IF(Atletas!Q540="Bishou C",613,IF(Atletas!Q540="Shan C",614,IF(Atletas!Q540="Outra Arma Curta C",615,IF(Atletas!Q540="Dao D",616,IF(Atletas!Q540="Jian D",617,IF(Atletas!Q540="Bishou D",618,IF(Atletas!Q540="Shan D",619,IF(Atletas!Q540="Outra Arma Curta D",620,IF(Atletas!Q540="Dao E",621,IF(Atletas!Q540="Jian E",622,IF(Atletas!Q540="Bishou E",623,IF(Atletas!Q540="Shan E",624,IF(Atletas!Q540="Outra Arma Curta E",625,IF(Atletas!Q540="Dao F",626,IF(Atletas!Q540="Jian F",627,IF(Atletas!Q540="Bishou F",628,IF(Atletas!Q540="Shan F",629,IF(Atletas!Q540="Outra Arma Curta F",630, "")))))))))))))))))))))))))))))))</f>
        <v/>
      </c>
      <c r="BT544" s="52" t="str">
        <f>IF(Atletas!R540="","",IF(Atletas!W540&lt;&gt;"",10000,0)+IF(Atletas!B540="Feminino",1000,IF(Atletas!B540="Masculino",2000,""))+IF(Atletas!R540="Gun A",701,IF(Atletas!R540="Qiang A",702,IF(Atletas!R540="Pudao / Guandao A",703,IF(Atletas!R540="Outra Arma Longa A",704,IF(Atletas!R540="Gun B",705,IF(Atletas!R540="Qiang B",706,IF(Atletas!R540="Pudao / Guandao B",707,IF(Atletas!R540="Outra Arma Longa B",708,IF(Atletas!R540="Gun C",709,IF(Atletas!R540="Qiang C",710,IF(Atletas!R540="Pudao / Guandao C",711,IF(Atletas!R540="Outra Arma Longa C",712,IF(Atletas!R540="Gun D",713,IF(Atletas!R540="Qiang D",714,IF(Atletas!R540="Pudao / Guandao D",715,IF(Atletas!R540="Outra Arma Longa D",716,IF(Atletas!R540="Gun E",717,IF(Atletas!R540="Qiang E",718,IF(Atletas!R540="Pudao / Guandao E",719,IF(Atletas!R540="Outra Arma Longa E",720,IF(Atletas!R540="Gun F",721,IF(Atletas!R540="Qiang F",722,IF(Atletas!R540="Pudao / Guandao F",723,IF(Atletas!R540="Outra Arma Longa F",724,"")))))))))))))))))))))))))</f>
        <v/>
      </c>
      <c r="BU544" s="52" t="str">
        <f>IF(Atletas!S540="","",IF(Atletas!W540&lt;&gt;"",10000,0)+IF(Atletas!B540="Feminino",1000,IF(Atletas!B540="Masculino",2000,""))+IF(Atletas!S540="Arma Dupla A",801,IF(Atletas!S540="Arma Maleável A",802,IF(Atletas!S540="Arma Dupla B",803,IF(Atletas!S540="Arma Maleável B",804,IF(Atletas!S540="Arma Dupla C",805,IF(Atletas!S540="Arma Maleável C",806,IF(Atletas!S540="Arma Dupla D",807,IF(Atletas!S540="Arma Maleável D",808,IF(Atletas!S540="Arma Dupla E",809,IF(Atletas!S540="Arma Maleável E",810,IF(Atletas!S540="Arma Dupla F",811,IF(Atletas!S540="Arma Maleável F",812, "")))))))))))))</f>
        <v/>
      </c>
      <c r="BV544" s="52" t="str">
        <f>IF(Atletas!T540="","",IF(Atletas!W540&lt;&gt;"",10000,0)+IF(Atletas!B540="Feminino",1000,IF(Atletas!B540="Masculino",2000,""))+IF(Atletas!T540="Taijijian Yang A",901,IF(Atletas!T540="Taijijian Chen A",902,IF(Atletas!T540="Taijijian Sun A",903,IF(Atletas!T540="Taijijian Wu A",904,IF(Atletas!T540="Taijijian Wu-Hao A",905,IF(Atletas!T540="Taijijian 32 A",906,IF(Atletas!T540="Taijijian 42 A",907,IF(Atletas!T540="Taijijian Yang B",908,IF(Atletas!T540="Taijijian Chen B",909,IF(Atletas!T540="Taijijian Sun B",910,IF(Atletas!T540="Taijijian Wu B",911,IF(Atletas!T540="Taijijian Wu-Hao B",912,IF(Atletas!T540="Taijijian 32 B",913,IF(Atletas!T540="Taijijian 42 B",914,IF(Atletas!T540="Taijijian Yang C",915,IF(Atletas!T540="Taijijian Chen C",916,IF(Atletas!T540="Taijijian Sun C",917,IF(Atletas!T540="Taijijian Wu C",918,IF(Atletas!T540="Taijijian Wu-Hao C",919,IF(Atletas!T540="Taijijian 32 C",920,IF(Atletas!T540="Taijijian 42 C",921,IF(Atletas!T540="Taijijian Yang D",922,IF(Atletas!T540="Taijijian Chen D",923,IF(Atletas!T540="Taijijian Sun D",924,IF(Atletas!T540="Taijijian Wu D",925,IF(Atletas!T540="Taijijian Wu-Hao D",926,IF(Atletas!T540="Taijijian 32 D",927,IF(Atletas!T540="Taijijian 42 D",928,IF(Atletas!T540="Taijijian Yang E",929,IF(Atletas!T540="Taijijian Chen E",930,IF(Atletas!T540="Taijijian Sun E",931,IF(Atletas!T540="Taijijian Wu E",932,IF(Atletas!T540="Taijijian Wu-Hao E",933,IF(Atletas!T540="Taijijian 32 E",934,IF(Atletas!T540="Taijijian 42 E",935,IF(Atletas!T540="Taijijian Yang F",936,IF(Atletas!T540="Taijijian Chen F",937,IF(Atletas!T540="Taijijian Sun F",938,IF(Atletas!T540="Taijijian Wu F",939,IF(Atletas!T540="Taijijian Wu-Hao F",940,IF(Atletas!T540="Taijijian 32 F",941,IF(Atletas!T540="Taijijian 42 F",942,"")))))))))))))))))))))))))))))))))))))))))))</f>
        <v/>
      </c>
      <c r="BW544" s="52" t="str">
        <f>IF(Atletas!U540="","",IF(Atletas!W540&lt;&gt;"",10000,0)+IF(Atletas!B540="Feminino",1000,IF(Atletas!B540="Masculino",2000,""))+IF(Atletas!T540="Taijijian 42 F",942,IF(Atletas!U540="Taijidao A",943,IF(Atletas!U540="Taijishan A",944,IF(Atletas!U540="Taijiqiang A",945,IF(Atletas!U540="Taijidao B",946,IF(Atletas!U540="Taijishan B",947,IF(Atletas!U540="Taijiqiang B",948,IF(Atletas!U540="Taijidao C",949,IF(Atletas!U540="Taijishan C",950,IF(Atletas!U540="Taijiqiang C",951,IF(Atletas!U540="Taijidao D",952,IF(Atletas!U540="Taijishan D",953,IF(Atletas!U540="Taijiqiang D",954,IF(Atletas!U540="Taijidao E",955,IF(Atletas!U540="Taijishan E",956,IF(Atletas!U540="Taijiqiang E",957,IF(Atletas!U540="Taijidao F",958,IF(Atletas!U540="Taijishan F",959,IF(Atletas!U540="Taijiqiang F",960))))))))))))))))))))</f>
        <v/>
      </c>
      <c r="CF544" s="52" t="str">
        <f xml:space="preserve"> IF(Atletas!V540="","",IF(Atletas!V540="Duilian de Mãos AB - Equipe 1",1,IF(Atletas!V540="Duilian de Mãos AB - Equipe 2",2,IF(Atletas!V540="Duilian de Armas AB - Equipe 1",3,IF(Atletas!V540="Duilian de Armas AB - Equipe 2",4,IF(Atletas!V540="Duilian de Tuishou - Equipe 1",5,IF(Atletas!V540="Duilian de Tuishou - Equipe 2",6,IF(Atletas!V540="Grupo Externo AB - Equipe 1",7,IF(Atletas!V540="Grupo Externo AB - Equipe 2",8,IF(Atletas!V540="Grupo Interno AB - Equipe 1",9,IF(Atletas!V540="Grupo Interno AB - Equipe 2",10,IF(Atletas!V540="Duilian de Mãos CD - Equipe 1",11,IF(Atletas!V540="Duilian de Mãos CD - Equipe 2",12,IF(Atletas!V540="Duilian de Armas CD - Equipe 1",13,IF(Atletas!V540="Duilian de Armas CD - Equipe 2",14,IF(Atletas!V540="Duilian de Tuishou - Equipe 1",15,IF(Atletas!V540="Duilian de Tuishou - Equipe 2",16,IF(Atletas!V540="Grupo Externo CDEF - Equipe 1",17,IF(Atletas!V540="Grupo Externo CDEF - Equipe 2",18,IF(Atletas!V540="Grupo Interno CDEF - Equipe 1",19,IF(Atletas!V540="Grupo Interno CDEF - Equipe 2",20,IF(Atletas!V540="Duilian de Mãos EF - Equipe 1",21,IF(Atletas!V540="Duilian de Mãos EF - Equipe 2",22,IF(Atletas!V540="Duilian de Armas EF - Equipe 1",23,IF(Atletas!V540="Duilian de Armas EF - Equipe 2",24,IF(Atletas!V540="Duilian de Tuishou - Equipe 1",25,IF(Atletas!V540="Duilian de Tuishou - Equipe 2",26,"")))))))))))))))))))))))))))</f>
        <v/>
      </c>
    </row>
    <row r="545" spans="36:84">
      <c r="AJ545" s="46" t="str">
        <f>IF(Atletas!D541="","",IF(Atletas!B541="Feminino",100,IF(Atletas!B541="Masculino",200,""))+(IF(Atletas!D541="Infantil 39kg",1,IF(Atletas!D541="Infantil 42kg",2,IF(Atletas!D541="Infantil 45kg",3,IF(Atletas!D541="Infantil 48kg",4,IF(Atletas!D541="Infantil 52kg",5,IF(Atletas!D541="Infantil 56kg",6,IF(Atletas!D541="Infantil 60kg",7,IF(Atletas!D541="Juvenil 48kg",8,IF(Atletas!D541="Juvenil 52kg",9,IF(Atletas!D541="Juvenil 56kg",10,IF(Atletas!D541="Juvenil 60kg",11,IF(Atletas!D541="Juvenil 65kg",12,IF(Atletas!D541="Juvenil 70kg",13,IF(Atletas!D541="Juvenil 75kg",14,IF(Atletas!D541="Juvenil 80kg",15,IF(Atletas!D541="Adulto 48kg",16,IF(Atletas!D541="Adulto 52kg",17,IF(Atletas!D541="Adulto 56kg",18,IF(Atletas!D541="Adulto 60kg",19,IF(Atletas!D541="Adulto 65kg",20,IF(Atletas!D541="Adulto 70kg",21,IF(Atletas!D541="Adulto 75kg",22,IF(Atletas!D541="Adulto 80kg",23,IF(Atletas!D541="Adulto 85kg",24,IF(Atletas!D541="Adulto 90kg",25,IF(Atletas!D541="Adulto +90kg",26,""))))))))))))))))))))))))))))</f>
        <v/>
      </c>
      <c r="AO545" s="10" t="str">
        <f>IF(Atletas!E541="","",IF(Atletas!B541="Feminino",100,IF(Atletas!B541="Masculino",200,""))+(IF(Atletas!E541="Juvenil 44kg",1,IF(Atletas!E541="Juvenil 48kg",2,IF(Atletas!E541="Juvenil 52kg",3,IF(Atletas!E541="Juvenil 56kg",4,IF(Atletas!E541="Juvenil 60kg",5,IF(Atletas!E541="Juvenil 65kg",6,IF(Atletas!E541="Juvenil 70kg",7,IF(Atletas!E541="Juvenil 75kg",8,IF(Atletas!E541="Juvenil 82kg",9,IF(Atletas!E541="Juvenil 90kg",10,IF(Atletas!E541="Juvenil 100kg",11,IF(Atletas!E541="Adulto 48kg",12,IF(Atletas!E541="Adulto 52kg",13,IF(Atletas!E541="Adulto 56kg",14,IF(Atletas!E541="Adulto 60kg",15,IF(Atletas!E541="Adulto 65kg",16,IF(Atletas!E541="Adulto 70kg",17,IF(Atletas!E541="Adulto 75kg",18,IF(Atletas!E541="Adulto 82kg",19,IF(Atletas!E541="Adulto 90kg",20,IF(Atletas!E541="Adulto 100kg",21,IF(Atletas!E541="Adulto +100kg",22,""))))))))))))))))))))))))</f>
        <v/>
      </c>
      <c r="AT545" s="10" t="str">
        <f>IF(Atletas!F541="","",IF(Atletas!B541="Feminino",100,IF(Atletas!B541="Masculino",200,""))+(IF(Atletas!F541="Adulto 48kg",1,IF(Atletas!F541="Adulto 56kg",2,IF(Atletas!F541="Adulto 65kg",3,IF(Atletas!F541="Adulto 75kg",4,IF(Atletas!F541="Adulto +75kg",5,IF(Atletas!F541="Adulto 52kg",6,IF(Atletas!F541="Adulto 60kg",7,IF(Atletas!F541="Adulto 70kg",8,IF(Atletas!F541="Adulto 80kg",9,IF(Atletas!F541="Adulto 90kg",10,IF(Atletas!F541="Adulto +90kg",11,"")))))))))))))</f>
        <v/>
      </c>
      <c r="AY545" s="46" t="str">
        <f>IF(Atletas!G541="","",IF(Atletas!B541="Feminino",100,IF(Atletas!B541="Masculino",200,""))+(IF(Atletas!G541="Changquan Mirim",1,IF(Atletas!G541="Nanquan Mirim",2,IF(Atletas!G541="Taijiquan Mirim",3,IF(Atletas!G541="Changquan Grupo C",4,IF(Atletas!G541="Nanquan Grupo C",5,IF(Atletas!G541="Taijiquan Grupo C",6,IF(Atletas!G541="Changquan Grupo B",7,IF(Atletas!G541="Nanquan Grupo B",8,IF(Atletas!G541="Taijiquan Grupo B",9,IF(Atletas!G541="Changquan Grupo A",10,IF(Atletas!G541="Nanquan Grupo A",11,IF(Atletas!G541="Taijiquan Grupo A",12,IF(Atletas!G541="Changquan Opcional",13,IF(Atletas!G541="Nanquan Opcional",14,IF(Atletas!G541="Taijiquan Opcional",15,IF(Atletas!G541="Changquan Adulto",16,IF(Atletas!G541="Nanquan Adulto",17,IF(Atletas!G541="Taijiquan Adulto",18,""))))))))))))))))))))</f>
        <v/>
      </c>
      <c r="AZ545" s="46" t="str">
        <f>IF(Atletas!H541="","",IF(Atletas!B541="Feminino",100,IF(Atletas!B541="Masculino",200,""))+(IF(Atletas!H541="Daoshu Mirim",19,IF(Atletas!H541="Jianshu Mirim",20,IF(Atletas!H541="Nandao Mirim",21,IF(Atletas!H541="Taijijian Mirim",22,IF(Atletas!H541="Daoshu Grupo C",23,IF(Atletas!H541="Jianshu Grupo C",24,IF(Atletas!H541="Nandao Grupo C",25,IF(Atletas!H541="Taijijian Grupo C",26,IF(Atletas!H541="Daoshu Grupo B",27,IF(Atletas!H541="Jianshu Grupo B",28,IF(Atletas!H541="Nandao Grupo B",29,IF(Atletas!H541="Taijijian Grupo B",30,IF(Atletas!H541="Daoshu Grupo A",31,IF(Atletas!H541="Jianshu Grupo A",32,IF(Atletas!H541="Nandao Grupo A",33,IF(Atletas!H541="Taijijian Grupo A",34,IF(Atletas!H541="Daoshu Opcional",35,IF(Atletas!H541="Jianshu Opcional",36,IF(Atletas!H541="Nandao Opcional",37,IF(Atletas!H541="Taijijian Opcional",38,IF(Atletas!H541="Daoshu Adulto",39,IF(Atletas!H541="Jianshu Adulto",40,IF(Atletas!H541="Nandao Adulto",41,IF(Atletas!H541="Taijijian Adulto",42,""))))))))))))))))))))))))))</f>
        <v/>
      </c>
      <c r="BA545" s="46" t="str">
        <f>IF(Atletas!I541="","",IF(Atletas!B541="Feminino",100,IF(Atletas!B541="Masculino",200,""))+(IF(Atletas!I541="Gunshu Mirim",43,IF(Atletas!I541="Qiangshu Mirim",44,IF(Atletas!I541="Nangun Mirim",45,IF(Atletas!I541="Gunshu Grupo C",46,IF(Atletas!I541="Qiangshu Grupo C",47,IF(Atletas!I541="Nangun Grupo C",48,IF(Atletas!I541="Gunshu Grupo B",49,IF(Atletas!I541="Qiangshu Grupo B",50,IF(Atletas!I541="Nangun Grupo B",51,IF(Atletas!I541="Gunshu Grupo A",52,IF(Atletas!I541="Qiangshu Grupo A",53,IF(Atletas!I541="Nangun Grupo A",54,IF(Atletas!I541="Gunshu Opcional",55,IF(Atletas!I541="Qiangshu Opcional",56,IF(Atletas!I541="Nangun Opcional",57,IF(Atletas!I541="Gunshu Adulto",58,IF(Atletas!I541="Qiangshu Adulto",59,IF(Atletas!I541="Nangun Adulto",60,""))))))))))))))))))))</f>
        <v/>
      </c>
      <c r="BF545" s="52" t="str">
        <f>IF(Atletas!J541="","",IF(Atletas!B541="Feminino",100,IF(Atletas!B541="Masculino",200,""))+(IF(Atletas!J541="Equipe 1 Grupo B",1,IF(Atletas!J541="Equipe 2 Grupo B",2,IF(Atletas!J541="Equipe 1 Grupo A",3,IF(Atletas!J541="Equipe 2 Grupo A",4,IF(Atletas!J541="Equipe 1 Adulto",5,IF(Atletas!J541="Equipe 2 Adulto",6,""))))))))</f>
        <v/>
      </c>
      <c r="BK545" s="52" t="str">
        <f>IF(Atletas!K541="","",IF(Atletas!W541&lt;&gt;"",10000,0)+(IF(Atletas!B541="Feminino",1000,IF(Atletas!B541="Masculino",2000,""))+IF(Atletas!K541="Choylayfut A",1,IF(Atletas!K541="Hunggar A",2,IF(Atletas!K541="Wuzuquan A",3,IF(Atletas!K541="Wingchun A",4,IF(Atletas!K541="Outra Mão de Sul A",5,IF(Atletas!K541="Choylayfut B",6,IF(Atletas!K541="Hunggar B",7,IF(Atletas!K541="Wuzuquan B",8,IF(Atletas!K541="Wingchun B",9,IF(Atletas!K541="Outra Mão de Sul B",10,IF(Atletas!K541="Choylayfut C",11,IF(Atletas!K541="Hunggar C",12,IF(Atletas!K541="Wuzuquan C",13,IF(Atletas!K541="Wingchun C",14,IF(Atletas!K541="Outra Mão de Sul C",15,IF(Atletas!K541="Choylayfut D",16,IF(Atletas!K541="Hunggar D",17,IF(Atletas!K541="Wuzuquan D",18,IF(Atletas!K541="Wingchun D",19,IF(Atletas!K541="Outra Mão de Sul D",20,IF(Atletas!K541="Choylayfut E",21,IF(Atletas!K541="Hunggar E",22,IF(Atletas!K541="Wuzuquan E",23,IF(Atletas!K541="Wingchun E",24,IF(Atletas!K541="Outra Mão de Sul E",25,IF(Atletas!K541="Choylayfut F",26,IF(Atletas!K541="Hunggar F",27,IF(Atletas!K541="Wuzuquan F",28,IF(Atletas!K541="Wingchun F",29,IF(Atletas!K541="Outra Mão de Sul F",30,""))))))))))))))))))))))))))))))))</f>
        <v/>
      </c>
      <c r="BL545" s="52" t="str">
        <f>IF(Atletas!L541="","",IF(Atletas!W541&lt;&gt;"",10000,0)+(IF(Atletas!B541="Feminino",1000,IF(Atletas!B541="Masculino",2000,""))+(IF(Atletas!L541="Chaquan A",101,IF(Atletas!L541="Emeiquan A",102,IF(Atletas!L541="Fanziquan A",103,IF(Atletas!L541="Huaquan A",104,IF(Atletas!L541="Hongquan A",105,IF(Atletas!L541="Paochui A",106,IF(Atletas!L541="Piguaquan A",107,IF(Atletas!L541="Shaolinquan A",108,IF(Atletas!L541="Tanglangquan A",109,IF(Atletas!L541="Yinzhaophai A",110,IF(Atletas!L541="Tongbeiquan A",111,IF(Atletas!L541="Wudangquan A",112,IF(Atletas!L541="Outros Estilos A",113,IF(Atletas!L541="Chaquan B",114,IF(Atletas!L541="Emeiquan B",115,IF(Atletas!L541="Fanziquan B",116,IF(Atletas!L541="Huaquan B",117,IF(Atletas!L541="Hongquan B",118,IF(Atletas!L541="Paochui B",119,IF(Atletas!L541="Piguaquan B",120,IF(Atletas!L541="Shaolinquan B",121,IF(Atletas!L541="Tanglangquan B",122,IF(Atletas!L541="Yinzhaophai B",123,IF(Atletas!L541="Tongbeiquan B",124,IF(Atletas!L541="Wudangquan B",125,IF(Atletas!L541="Outros Estilos B",126,IF(Atletas!L541="Chaquan C",127,IF(Atletas!L541="Emeiquan C",128,IF(Atletas!L541="Fanziquan C",129,IF(Atletas!L541="Huaquan C",130,IF(Atletas!L541="Hongquan C",131,IF(Atletas!L541="Paochui C",132,IF(Atletas!L541="Piguaquan C",133,IF(Atletas!L541="Shaolinquan C",134,IF(Atletas!L541="Tanglangquan C",135,IF(Atletas!L541="Yinzhaophai C",136,IF(Atletas!L541="Tongbeiquan C",137,IF(Atletas!L541="Wudangquan C",138,IF(Atletas!L541="Outros Estilos C",139,0))))))))))))))))))))))))))))))))))))))))))</f>
        <v/>
      </c>
      <c r="BM545" s="52" t="str">
        <f>IF(Atletas!L541="","",IF(Atletas!W541&lt;&gt;"",10000,0)+(IF(Atletas!B541="Feminino",1000,IF(Atletas!B541="Masculino",2000,""))+(IF(Atletas!L541="Chaquan D",140,IF(Atletas!L541="Emeiquan D",141,IF(Atletas!L541="Fanziquan D",142,IF(Atletas!L541="Huaquan D",143,IF(Atletas!L541="Hongquan D",144,IF(Atletas!L541="Paochui D",145,IF(Atletas!L541="Piguaquan D",146,IF(Atletas!L541="Shaolinquan D",147,IF(Atletas!L541="Tanglangquan D",148,IF(Atletas!L541="Yinzhaophai D",149,IF(Atletas!L541="Tongbeiquan D",150,IF(Atletas!L541="Wudangquan D",151,IF(Atletas!L541="Outros Estilos D",152,IF(Atletas!L541="Chaquan E",153,IF(Atletas!L541="Emeiquan E",154,IF(Atletas!L541="Fanziquan E",155,IF(Atletas!L541="Huaquan E",156,IF(Atletas!L541="Hongquan E",157,IF(Atletas!L541="Paochui E",158,IF(Atletas!L541="Piguaquan E",159,IF(Atletas!L541="Shaolinquan E",160,IF(Atletas!L541="Tanglangquan E",161,IF(Atletas!L541="Yinzhaophai E",162,IF(Atletas!L541="Tongbeiquan E",163,IF(Atletas!L541="Wudangquan E",164,IF(Atletas!L541="Outros Estilos E",165,IF(Atletas!L541="Chaquan F",166,IF(Atletas!L541="Emeiquan F",167,IF(Atletas!L541="Fanziquan F",168,IF(Atletas!L541="Huaquan F",169,IF(Atletas!L541="Hongquan F",170,IF(Atletas!L541="Paochui F",171,IF(Atletas!L541="Piguaquan F",172,IF(Atletas!L541="Shaolinquan F",173,IF(Atletas!L541="Tanglangquan F",174,IF(Atletas!L541="Yinzhaophai F",175,IF(Atletas!L541="Tongbeiquan F",176,IF(Atletas!L541="Wudangquan F",177,IF(Atletas!L541="Outros Estilos F",178,0))))))))))))))))))))))))))))))))))))))))))</f>
        <v/>
      </c>
      <c r="BN545" s="52" t="str">
        <f>IF(Atletas!M541="","",IF(Atletas!W541&lt;&gt;"",10000,0)+(IF(Atletas!B541="Feminino",1000,IF(Atletas!B541="Masculino",2000,""))+(IF(Atletas!M541="Ditangquan A",201,IF(Atletas!M541="Houquan A",202,IF(Atletas!M541="Zuiquan A",203,IF(Atletas!M541="Ditangquan B",204,IF(Atletas!M541="Houquan B",205,IF(Atletas!M541="Zuiquan B",206,IF(Atletas!M541="Ditangquan C",207,IF(Atletas!M541="Houquan C",208,IF(Atletas!M541="Zuiquan C",209,IF(Atletas!M541="Ditangquan D",210,IF(Atletas!M541="Houquan D",211,IF(Atletas!M541="Zuiquan D",212,IF(Atletas!M541="Ditangquan E",213,IF(Atletas!M541="Houquan E",214,IF(Atletas!M541="Zuiquan E",215,IF(Atletas!M541="Ditangquan F",216,IF(Atletas!M541="Houquan F",217,IF(Atletas!M541="Zuiquan F",218,"")))))))))))))))))))))</f>
        <v/>
      </c>
      <c r="BO545" s="52" t="str">
        <f>IF(Atletas!N541="","",IF(Atletas!W541&lt;&gt;"",10000,0)+IF(Atletas!B541="Feminino",1000,IF(Atletas!B541="Masculino",2000,""))+IF(Atletas!N541="Yang A",301,IF(Atletas!N541="Chen A",30,IF(Atletas!N541="Sun A",303,IF(Atletas!N541="Wu A",304,IF(Atletas!N541="Wu-Hao A",305,IF(Atletas!N541="Outro Taijiquan A",306,IF(Atletas!N541="Yang B",307,IF(Atletas!N541="Chen B",308,IF(Atletas!N541="Sun B",309,IF(Atletas!N541="Wu B",310,IF(Atletas!N541="Wu-Hao B",311,IF(Atletas!N541="Outro Taijiquan B",312,IF(Atletas!N541="Yang C",313,IF(Atletas!N541="Chen C",314,IF(Atletas!N541="Sun C",315,IF(Atletas!N541="Wu C",316,IF(Atletas!N541="Wu-Hao C",317,IF(Atletas!N541="Outro Taijiquan C",318,IF(Atletas!N541="Yang D",319,IF(Atletas!N541="Chen D",320,IF(Atletas!N541="Sun D",321,IF(Atletas!N541="Wu D",322,IF(Atletas!N541="Wu-Hao D",323,IF(Atletas!N541="Outro Taijiquan D",324,IF(Atletas!N541="Yang E",325,IF(Atletas!N541="Chen E",326,IF(Atletas!N541="Sun E",327,IF(Atletas!N541="Wu E",328,IF(Atletas!N541="Wu-Hao E",329,IF(Atletas!N541="Outro Taijiquan E",330,IF(Atletas!N541="Yang F",331,IF(Atletas!N541="Chen F",332,IF(Atletas!N541="Sun F",333,IF(Atletas!N541="Wu F",334,IF(Atletas!N541="Wu-Hao F",335,IF(Atletas!N541="Outro Taijiquan F",336,"")))))))))))))))))))))))))))))))))))))</f>
        <v/>
      </c>
      <c r="BP545" s="52" t="str">
        <f>IF(Atletas!O541="","",IF(Atletas!W541&lt;&gt;"",10000,0)+IF(Atletas!B541="Feminino",1000,IF(Atletas!B541="Masculino",2000,""))+IF(OR(Atletas!O541="Yang 26 A",Atletas!O541="Yang 40 A"),401,IF(OR(Atletas!O541="Chen 25 A",Atletas!O541="Chen 36 A",Atletas!O541="Chen 56 A"),402,IF(Atletas!O541="Sun 73 A",403,IF(Atletas!O541="Wu 45 A",404,IF(Atletas!O541="Wu-Hao 46 A",405,IF(OR(Atletas!O541="Taijiquan 16 A",Atletas!O541="Taijiquan 24 A",Atletas!O541="Taijiquan 32 A",Atletas!O541="Taijiquan 42 A"),406,IF(OR(Atletas!O541="Yang 26 B",Atletas!O541="Yang 40 B"),407,IF(OR(Atletas!O541="Chen 25 B",Atletas!O541="Chen 36 B",Atletas!O541="Chen 56 B"),408,IF(Atletas!O541="Sun 73 B",409,IF(Atletas!O541="Wu 45 B",410,IF(Atletas!O541="Wu-Hao 46 B",411,IF(OR(Atletas!O541="Taijiquan 16 B",Atletas!O541="Taijiquan 24 B",Atletas!O541="Taijiquan 32 B",Atletas!O541="Taijiquan 42 B"),412,IF(OR(Atletas!O541="Yang 26 C",Atletas!O541="Yang 40 C"),413,IF(OR(Atletas!O541="Chen 25 C",Atletas!O541="Chen 36 C",Atletas!O541="Chen 56 C"),414,IF(Atletas!O541="Sun 73 C",415,IF(Atletas!O541="Wu 45 C",416,IF(Atletas!O541="Wu-Hao 46 C",417,IF(OR(Atletas!O541="Taijiquan 16 C",Atletas!O541="Taijiquan 24 C",Atletas!O541="Taijiquan 32 C",Atletas!O541="Taijiquan 42 C"),418,0)))))))))))))))))))</f>
        <v/>
      </c>
      <c r="BQ545" s="52" t="str">
        <f>IF(Atletas!O541="","",IF(Atletas!W541&lt;&gt;"",10000,0)+IF(Atletas!B541="Feminino",1000,IF(Atletas!B541="Masculino",2000,""))+IF(OR(Atletas!O541="Yang 26 D",Atletas!O541="Yang 40 D"),419,IF(OR(Atletas!O541="Chen 25 D",Atletas!O541="Chen 36 D",Atletas!O541="Chen 56 D"),420,IF(Atletas!O541="Sun 73 D",421,IF(Atletas!O541="Wu 45 D",422,IF(Atletas!O541="Wu-Hao 46 D",423,IF(OR(Atletas!O541="Taijiquan 16 D",Atletas!O541="Taijiquan 24 D",Atletas!O541="Taijiquan 32 D",Atletas!O541="Taijiquan 42 D"),424,IF(OR(Atletas!O541="Yang 26 E",Atletas!O541="Yang 40 E"),425,IF(OR(Atletas!O541="Chen 25 E",Atletas!O541="Chen 36 E",Atletas!O541="Chen 56 E"),426,IF(Atletas!O541="Sun 73 E",427,IF(Atletas!O541="Wu 45 E",428,IF(Atletas!O541="Wu-Hao 46 E",429,IF(OR(Atletas!O541="Taijiquan 16 E",Atletas!O541="Taijiquan 24 E",Atletas!O541="Taijiquan 32 E",Atletas!O541="Taijiquan 42 E"),430,IF(OR(Atletas!O541="Yang 26 F",Atletas!O541="Yang 40 F"),431,IF(OR(Atletas!O541="Chen 25 F",Atletas!O541="Chen 36 F",Atletas!O541="Chen 56 F"),432,IF(Atletas!O541="Sun 73 F",433,IF(Atletas!O541="Wu 45 F",434,IF(Atletas!O541="Wu-Hao 46 F",435,IF(OR(Atletas!O541="Taijiquan 16 F",Atletas!O541="Taijiquan 24 F",Atletas!O541="Taijiquan 32 F",Atletas!O541="Taijiquan 42 F"),436,0)))))))))))))))))))</f>
        <v/>
      </c>
      <c r="BR545" s="52" t="str">
        <f>IF(Atletas!P541="","",IF(Atletas!W541&lt;&gt;"",10000,0)+IF(Atletas!B541="Feminino",1000,IF(Atletas!B541="Masculino",2000,""))+IF(Atletas!P541="Xingyiquan A",501,IF(Atletas!P541="Baguazhang A",502,IF(Atletas!P541="Outro Estilo Interno A",503,IF(Atletas!P541="Xingyiquan B",504,IF(Atletas!P541="Baguazhang B",505,IF(Atletas!P541="Outro Estilo Interno B",506,IF(Atletas!P541="Xingyiquan C",507,IF(Atletas!P541="Baguazhang C",508,IF(Atletas!P541="Outro Estilo Interno C",509,IF(Atletas!P541="Xingyiquan D",510,IF(Atletas!P541="Baguazhang D",511,IF(Atletas!P541="Outro Estilo Interno D",512,IF(Atletas!P541="Xingyiquan E",513,IF(Atletas!P541="Baguazhang E",514,IF(Atletas!P541="Outro Estilo Interno E",515,IF(Atletas!P541="Xingyiquan F",516,IF(Atletas!P541="Baguazhang F",517,IF(Atletas!P541="Outro Estilo Interno F",518, "")))))))))))))))))))</f>
        <v/>
      </c>
      <c r="BS545" s="52" t="str">
        <f>IF(Atletas!Q541="","",IF(Atletas!W541&lt;&gt;"",10000,0)+IF(Atletas!B541="Feminino",1000,IF(Atletas!B541="Masculino",2000,""))+IF(Atletas!Q541="Dao A",601,IF(Atletas!Q541="Jian A",602,IF(Atletas!Q541="Bishou A",603,IF(Atletas!Q541="Shan A",604,IF(Atletas!Q541="Outra Arma Curta A",605,IF(Atletas!Q541="Dao B",606,IF(Atletas!Q541="Jian B",607,IF(Atletas!Q541="Bishou B",608,IF(Atletas!Q541="Shan B",609,IF(Atletas!Q541="Outra Arma Curta B",610,IF(Atletas!Q541="Dao C",611,IF(Atletas!Q541="Jian C",612,IF(Atletas!Q541="Bishou C",613,IF(Atletas!Q541="Shan C",614,IF(Atletas!Q541="Outra Arma Curta C",615,IF(Atletas!Q541="Dao D",616,IF(Atletas!Q541="Jian D",617,IF(Atletas!Q541="Bishou D",618,IF(Atletas!Q541="Shan D",619,IF(Atletas!Q541="Outra Arma Curta D",620,IF(Atletas!Q541="Dao E",621,IF(Atletas!Q541="Jian E",622,IF(Atletas!Q541="Bishou E",623,IF(Atletas!Q541="Shan E",624,IF(Atletas!Q541="Outra Arma Curta E",625,IF(Atletas!Q541="Dao F",626,IF(Atletas!Q541="Jian F",627,IF(Atletas!Q541="Bishou F",628,IF(Atletas!Q541="Shan F",629,IF(Atletas!Q541="Outra Arma Curta F",630, "")))))))))))))))))))))))))))))))</f>
        <v/>
      </c>
      <c r="BT545" s="52" t="str">
        <f>IF(Atletas!R541="","",IF(Atletas!W541&lt;&gt;"",10000,0)+IF(Atletas!B541="Feminino",1000,IF(Atletas!B541="Masculino",2000,""))+IF(Atletas!R541="Gun A",701,IF(Atletas!R541="Qiang A",702,IF(Atletas!R541="Pudao / Guandao A",703,IF(Atletas!R541="Outra Arma Longa A",704,IF(Atletas!R541="Gun B",705,IF(Atletas!R541="Qiang B",706,IF(Atletas!R541="Pudao / Guandao B",707,IF(Atletas!R541="Outra Arma Longa B",708,IF(Atletas!R541="Gun C",709,IF(Atletas!R541="Qiang C",710,IF(Atletas!R541="Pudao / Guandao C",711,IF(Atletas!R541="Outra Arma Longa C",712,IF(Atletas!R541="Gun D",713,IF(Atletas!R541="Qiang D",714,IF(Atletas!R541="Pudao / Guandao D",715,IF(Atletas!R541="Outra Arma Longa D",716,IF(Atletas!R541="Gun E",717,IF(Atletas!R541="Qiang E",718,IF(Atletas!R541="Pudao / Guandao E",719,IF(Atletas!R541="Outra Arma Longa E",720,IF(Atletas!R541="Gun F",721,IF(Atletas!R541="Qiang F",722,IF(Atletas!R541="Pudao / Guandao F",723,IF(Atletas!R541="Outra Arma Longa F",724,"")))))))))))))))))))))))))</f>
        <v/>
      </c>
      <c r="BU545" s="52" t="str">
        <f>IF(Atletas!S541="","",IF(Atletas!W541&lt;&gt;"",10000,0)+IF(Atletas!B541="Feminino",1000,IF(Atletas!B541="Masculino",2000,""))+IF(Atletas!S541="Arma Dupla A",801,IF(Atletas!S541="Arma Maleável A",802,IF(Atletas!S541="Arma Dupla B",803,IF(Atletas!S541="Arma Maleável B",804,IF(Atletas!S541="Arma Dupla C",805,IF(Atletas!S541="Arma Maleável C",806,IF(Atletas!S541="Arma Dupla D",807,IF(Atletas!S541="Arma Maleável D",808,IF(Atletas!S541="Arma Dupla E",809,IF(Atletas!S541="Arma Maleável E",810,IF(Atletas!S541="Arma Dupla F",811,IF(Atletas!S541="Arma Maleável F",812, "")))))))))))))</f>
        <v/>
      </c>
      <c r="BV545" s="52" t="str">
        <f>IF(Atletas!T541="","",IF(Atletas!W541&lt;&gt;"",10000,0)+IF(Atletas!B541="Feminino",1000,IF(Atletas!B541="Masculino",2000,""))+IF(Atletas!T541="Taijijian Yang A",901,IF(Atletas!T541="Taijijian Chen A",902,IF(Atletas!T541="Taijijian Sun A",903,IF(Atletas!T541="Taijijian Wu A",904,IF(Atletas!T541="Taijijian Wu-Hao A",905,IF(Atletas!T541="Taijijian 32 A",906,IF(Atletas!T541="Taijijian 42 A",907,IF(Atletas!T541="Taijijian Yang B",908,IF(Atletas!T541="Taijijian Chen B",909,IF(Atletas!T541="Taijijian Sun B",910,IF(Atletas!T541="Taijijian Wu B",911,IF(Atletas!T541="Taijijian Wu-Hao B",912,IF(Atletas!T541="Taijijian 32 B",913,IF(Atletas!T541="Taijijian 42 B",914,IF(Atletas!T541="Taijijian Yang C",915,IF(Atletas!T541="Taijijian Chen C",916,IF(Atletas!T541="Taijijian Sun C",917,IF(Atletas!T541="Taijijian Wu C",918,IF(Atletas!T541="Taijijian Wu-Hao C",919,IF(Atletas!T541="Taijijian 32 C",920,IF(Atletas!T541="Taijijian 42 C",921,IF(Atletas!T541="Taijijian Yang D",922,IF(Atletas!T541="Taijijian Chen D",923,IF(Atletas!T541="Taijijian Sun D",924,IF(Atletas!T541="Taijijian Wu D",925,IF(Atletas!T541="Taijijian Wu-Hao D",926,IF(Atletas!T541="Taijijian 32 D",927,IF(Atletas!T541="Taijijian 42 D",928,IF(Atletas!T541="Taijijian Yang E",929,IF(Atletas!T541="Taijijian Chen E",930,IF(Atletas!T541="Taijijian Sun E",931,IF(Atletas!T541="Taijijian Wu E",932,IF(Atletas!T541="Taijijian Wu-Hao E",933,IF(Atletas!T541="Taijijian 32 E",934,IF(Atletas!T541="Taijijian 42 E",935,IF(Atletas!T541="Taijijian Yang F",936,IF(Atletas!T541="Taijijian Chen F",937,IF(Atletas!T541="Taijijian Sun F",938,IF(Atletas!T541="Taijijian Wu F",939,IF(Atletas!T541="Taijijian Wu-Hao F",940,IF(Atletas!T541="Taijijian 32 F",941,IF(Atletas!T541="Taijijian 42 F",942,"")))))))))))))))))))))))))))))))))))))))))))</f>
        <v/>
      </c>
      <c r="BW545" s="52" t="str">
        <f>IF(Atletas!U541="","",IF(Atletas!W541&lt;&gt;"",10000,0)+IF(Atletas!B541="Feminino",1000,IF(Atletas!B541="Masculino",2000,""))+IF(Atletas!T541="Taijijian 42 F",942,IF(Atletas!U541="Taijidao A",943,IF(Atletas!U541="Taijishan A",944,IF(Atletas!U541="Taijiqiang A",945,IF(Atletas!U541="Taijidao B",946,IF(Atletas!U541="Taijishan B",947,IF(Atletas!U541="Taijiqiang B",948,IF(Atletas!U541="Taijidao C",949,IF(Atletas!U541="Taijishan C",950,IF(Atletas!U541="Taijiqiang C",951,IF(Atletas!U541="Taijidao D",952,IF(Atletas!U541="Taijishan D",953,IF(Atletas!U541="Taijiqiang D",954,IF(Atletas!U541="Taijidao E",955,IF(Atletas!U541="Taijishan E",956,IF(Atletas!U541="Taijiqiang E",957,IF(Atletas!U541="Taijidao F",958,IF(Atletas!U541="Taijishan F",959,IF(Atletas!U541="Taijiqiang F",960))))))))))))))))))))</f>
        <v/>
      </c>
      <c r="CF545" s="52" t="str">
        <f xml:space="preserve"> IF(Atletas!V541="","",IF(Atletas!V541="Duilian de Mãos AB - Equipe 1",1,IF(Atletas!V541="Duilian de Mãos AB - Equipe 2",2,IF(Atletas!V541="Duilian de Armas AB - Equipe 1",3,IF(Atletas!V541="Duilian de Armas AB - Equipe 2",4,IF(Atletas!V541="Duilian de Tuishou - Equipe 1",5,IF(Atletas!V541="Duilian de Tuishou - Equipe 2",6,IF(Atletas!V541="Grupo Externo AB - Equipe 1",7,IF(Atletas!V541="Grupo Externo AB - Equipe 2",8,IF(Atletas!V541="Grupo Interno AB - Equipe 1",9,IF(Atletas!V541="Grupo Interno AB - Equipe 2",10,IF(Atletas!V541="Duilian de Mãos CD - Equipe 1",11,IF(Atletas!V541="Duilian de Mãos CD - Equipe 2",12,IF(Atletas!V541="Duilian de Armas CD - Equipe 1",13,IF(Atletas!V541="Duilian de Armas CD - Equipe 2",14,IF(Atletas!V541="Duilian de Tuishou - Equipe 1",15,IF(Atletas!V541="Duilian de Tuishou - Equipe 2",16,IF(Atletas!V541="Grupo Externo CDEF - Equipe 1",17,IF(Atletas!V541="Grupo Externo CDEF - Equipe 2",18,IF(Atletas!V541="Grupo Interno CDEF - Equipe 1",19,IF(Atletas!V541="Grupo Interno CDEF - Equipe 2",20,IF(Atletas!V541="Duilian de Mãos EF - Equipe 1",21,IF(Atletas!V541="Duilian de Mãos EF - Equipe 2",22,IF(Atletas!V541="Duilian de Armas EF - Equipe 1",23,IF(Atletas!V541="Duilian de Armas EF - Equipe 2",24,IF(Atletas!V541="Duilian de Tuishou - Equipe 1",25,IF(Atletas!V541="Duilian de Tuishou - Equipe 2",26,"")))))))))))))))))))))))))))</f>
        <v/>
      </c>
    </row>
    <row r="546" spans="36:84">
      <c r="AJ546" s="46" t="str">
        <f>IF(Atletas!D542="","",IF(Atletas!B542="Feminino",100,IF(Atletas!B542="Masculino",200,""))+(IF(Atletas!D542="Infantil 39kg",1,IF(Atletas!D542="Infantil 42kg",2,IF(Atletas!D542="Infantil 45kg",3,IF(Atletas!D542="Infantil 48kg",4,IF(Atletas!D542="Infantil 52kg",5,IF(Atletas!D542="Infantil 56kg",6,IF(Atletas!D542="Infantil 60kg",7,IF(Atletas!D542="Juvenil 48kg",8,IF(Atletas!D542="Juvenil 52kg",9,IF(Atletas!D542="Juvenil 56kg",10,IF(Atletas!D542="Juvenil 60kg",11,IF(Atletas!D542="Juvenil 65kg",12,IF(Atletas!D542="Juvenil 70kg",13,IF(Atletas!D542="Juvenil 75kg",14,IF(Atletas!D542="Juvenil 80kg",15,IF(Atletas!D542="Adulto 48kg",16,IF(Atletas!D542="Adulto 52kg",17,IF(Atletas!D542="Adulto 56kg",18,IF(Atletas!D542="Adulto 60kg",19,IF(Atletas!D542="Adulto 65kg",20,IF(Atletas!D542="Adulto 70kg",21,IF(Atletas!D542="Adulto 75kg",22,IF(Atletas!D542="Adulto 80kg",23,IF(Atletas!D542="Adulto 85kg",24,IF(Atletas!D542="Adulto 90kg",25,IF(Atletas!D542="Adulto +90kg",26,""))))))))))))))))))))))))))))</f>
        <v/>
      </c>
      <c r="AO546" s="10" t="str">
        <f>IF(Atletas!E542="","",IF(Atletas!B542="Feminino",100,IF(Atletas!B542="Masculino",200,""))+(IF(Atletas!E542="Juvenil 44kg",1,IF(Atletas!E542="Juvenil 48kg",2,IF(Atletas!E542="Juvenil 52kg",3,IF(Atletas!E542="Juvenil 56kg",4,IF(Atletas!E542="Juvenil 60kg",5,IF(Atletas!E542="Juvenil 65kg",6,IF(Atletas!E542="Juvenil 70kg",7,IF(Atletas!E542="Juvenil 75kg",8,IF(Atletas!E542="Juvenil 82kg",9,IF(Atletas!E542="Juvenil 90kg",10,IF(Atletas!E542="Juvenil 100kg",11,IF(Atletas!E542="Adulto 48kg",12,IF(Atletas!E542="Adulto 52kg",13,IF(Atletas!E542="Adulto 56kg",14,IF(Atletas!E542="Adulto 60kg",15,IF(Atletas!E542="Adulto 65kg",16,IF(Atletas!E542="Adulto 70kg",17,IF(Atletas!E542="Adulto 75kg",18,IF(Atletas!E542="Adulto 82kg",19,IF(Atletas!E542="Adulto 90kg",20,IF(Atletas!E542="Adulto 100kg",21,IF(Atletas!E542="Adulto +100kg",22,""))))))))))))))))))))))))</f>
        <v/>
      </c>
      <c r="AT546" s="10" t="str">
        <f>IF(Atletas!F542="","",IF(Atletas!B542="Feminino",100,IF(Atletas!B542="Masculino",200,""))+(IF(Atletas!F542="Adulto 48kg",1,IF(Atletas!F542="Adulto 56kg",2,IF(Atletas!F542="Adulto 65kg",3,IF(Atletas!F542="Adulto 75kg",4,IF(Atletas!F542="Adulto +75kg",5,IF(Atletas!F542="Adulto 52kg",6,IF(Atletas!F542="Adulto 60kg",7,IF(Atletas!F542="Adulto 70kg",8,IF(Atletas!F542="Adulto 80kg",9,IF(Atletas!F542="Adulto 90kg",10,IF(Atletas!F542="Adulto +90kg",11,"")))))))))))))</f>
        <v/>
      </c>
      <c r="AY546" s="46" t="str">
        <f>IF(Atletas!G542="","",IF(Atletas!B542="Feminino",100,IF(Atletas!B542="Masculino",200,""))+(IF(Atletas!G542="Changquan Mirim",1,IF(Atletas!G542="Nanquan Mirim",2,IF(Atletas!G542="Taijiquan Mirim",3,IF(Atletas!G542="Changquan Grupo C",4,IF(Atletas!G542="Nanquan Grupo C",5,IF(Atletas!G542="Taijiquan Grupo C",6,IF(Atletas!G542="Changquan Grupo B",7,IF(Atletas!G542="Nanquan Grupo B",8,IF(Atletas!G542="Taijiquan Grupo B",9,IF(Atletas!G542="Changquan Grupo A",10,IF(Atletas!G542="Nanquan Grupo A",11,IF(Atletas!G542="Taijiquan Grupo A",12,IF(Atletas!G542="Changquan Opcional",13,IF(Atletas!G542="Nanquan Opcional",14,IF(Atletas!G542="Taijiquan Opcional",15,IF(Atletas!G542="Changquan Adulto",16,IF(Atletas!G542="Nanquan Adulto",17,IF(Atletas!G542="Taijiquan Adulto",18,""))))))))))))))))))))</f>
        <v/>
      </c>
      <c r="AZ546" s="46" t="str">
        <f>IF(Atletas!H542="","",IF(Atletas!B542="Feminino",100,IF(Atletas!B542="Masculino",200,""))+(IF(Atletas!H542="Daoshu Mirim",19,IF(Atletas!H542="Jianshu Mirim",20,IF(Atletas!H542="Nandao Mirim",21,IF(Atletas!H542="Taijijian Mirim",22,IF(Atletas!H542="Daoshu Grupo C",23,IF(Atletas!H542="Jianshu Grupo C",24,IF(Atletas!H542="Nandao Grupo C",25,IF(Atletas!H542="Taijijian Grupo C",26,IF(Atletas!H542="Daoshu Grupo B",27,IF(Atletas!H542="Jianshu Grupo B",28,IF(Atletas!H542="Nandao Grupo B",29,IF(Atletas!H542="Taijijian Grupo B",30,IF(Atletas!H542="Daoshu Grupo A",31,IF(Atletas!H542="Jianshu Grupo A",32,IF(Atletas!H542="Nandao Grupo A",33,IF(Atletas!H542="Taijijian Grupo A",34,IF(Atletas!H542="Daoshu Opcional",35,IF(Atletas!H542="Jianshu Opcional",36,IF(Atletas!H542="Nandao Opcional",37,IF(Atletas!H542="Taijijian Opcional",38,IF(Atletas!H542="Daoshu Adulto",39,IF(Atletas!H542="Jianshu Adulto",40,IF(Atletas!H542="Nandao Adulto",41,IF(Atletas!H542="Taijijian Adulto",42,""))))))))))))))))))))))))))</f>
        <v/>
      </c>
      <c r="BA546" s="46" t="str">
        <f>IF(Atletas!I542="","",IF(Atletas!B542="Feminino",100,IF(Atletas!B542="Masculino",200,""))+(IF(Atletas!I542="Gunshu Mirim",43,IF(Atletas!I542="Qiangshu Mirim",44,IF(Atletas!I542="Nangun Mirim",45,IF(Atletas!I542="Gunshu Grupo C",46,IF(Atletas!I542="Qiangshu Grupo C",47,IF(Atletas!I542="Nangun Grupo C",48,IF(Atletas!I542="Gunshu Grupo B",49,IF(Atletas!I542="Qiangshu Grupo B",50,IF(Atletas!I542="Nangun Grupo B",51,IF(Atletas!I542="Gunshu Grupo A",52,IF(Atletas!I542="Qiangshu Grupo A",53,IF(Atletas!I542="Nangun Grupo A",54,IF(Atletas!I542="Gunshu Opcional",55,IF(Atletas!I542="Qiangshu Opcional",56,IF(Atletas!I542="Nangun Opcional",57,IF(Atletas!I542="Gunshu Adulto",58,IF(Atletas!I542="Qiangshu Adulto",59,IF(Atletas!I542="Nangun Adulto",60,""))))))))))))))))))))</f>
        <v/>
      </c>
      <c r="BF546" s="52" t="str">
        <f>IF(Atletas!J542="","",IF(Atletas!B542="Feminino",100,IF(Atletas!B542="Masculino",200,""))+(IF(Atletas!J542="Equipe 1 Grupo B",1,IF(Atletas!J542="Equipe 2 Grupo B",2,IF(Atletas!J542="Equipe 1 Grupo A",3,IF(Atletas!J542="Equipe 2 Grupo A",4,IF(Atletas!J542="Equipe 1 Adulto",5,IF(Atletas!J542="Equipe 2 Adulto",6,""))))))))</f>
        <v/>
      </c>
      <c r="BK546" s="52" t="str">
        <f>IF(Atletas!K542="","",IF(Atletas!W542&lt;&gt;"",10000,0)+(IF(Atletas!B542="Feminino",1000,IF(Atletas!B542="Masculino",2000,""))+IF(Atletas!K542="Choylayfut A",1,IF(Atletas!K542="Hunggar A",2,IF(Atletas!K542="Wuzuquan A",3,IF(Atletas!K542="Wingchun A",4,IF(Atletas!K542="Outra Mão de Sul A",5,IF(Atletas!K542="Choylayfut B",6,IF(Atletas!K542="Hunggar B",7,IF(Atletas!K542="Wuzuquan B",8,IF(Atletas!K542="Wingchun B",9,IF(Atletas!K542="Outra Mão de Sul B",10,IF(Atletas!K542="Choylayfut C",11,IF(Atletas!K542="Hunggar C",12,IF(Atletas!K542="Wuzuquan C",13,IF(Atletas!K542="Wingchun C",14,IF(Atletas!K542="Outra Mão de Sul C",15,IF(Atletas!K542="Choylayfut D",16,IF(Atletas!K542="Hunggar D",17,IF(Atletas!K542="Wuzuquan D",18,IF(Atletas!K542="Wingchun D",19,IF(Atletas!K542="Outra Mão de Sul D",20,IF(Atletas!K542="Choylayfut E",21,IF(Atletas!K542="Hunggar E",22,IF(Atletas!K542="Wuzuquan E",23,IF(Atletas!K542="Wingchun E",24,IF(Atletas!K542="Outra Mão de Sul E",25,IF(Atletas!K542="Choylayfut F",26,IF(Atletas!K542="Hunggar F",27,IF(Atletas!K542="Wuzuquan F",28,IF(Atletas!K542="Wingchun F",29,IF(Atletas!K542="Outra Mão de Sul F",30,""))))))))))))))))))))))))))))))))</f>
        <v/>
      </c>
      <c r="BL546" s="52" t="str">
        <f>IF(Atletas!L542="","",IF(Atletas!W542&lt;&gt;"",10000,0)+(IF(Atletas!B542="Feminino",1000,IF(Atletas!B542="Masculino",2000,""))+(IF(Atletas!L542="Chaquan A",101,IF(Atletas!L542="Emeiquan A",102,IF(Atletas!L542="Fanziquan A",103,IF(Atletas!L542="Huaquan A",104,IF(Atletas!L542="Hongquan A",105,IF(Atletas!L542="Paochui A",106,IF(Atletas!L542="Piguaquan A",107,IF(Atletas!L542="Shaolinquan A",108,IF(Atletas!L542="Tanglangquan A",109,IF(Atletas!L542="Yinzhaophai A",110,IF(Atletas!L542="Tongbeiquan A",111,IF(Atletas!L542="Wudangquan A",112,IF(Atletas!L542="Outros Estilos A",113,IF(Atletas!L542="Chaquan B",114,IF(Atletas!L542="Emeiquan B",115,IF(Atletas!L542="Fanziquan B",116,IF(Atletas!L542="Huaquan B",117,IF(Atletas!L542="Hongquan B",118,IF(Atletas!L542="Paochui B",119,IF(Atletas!L542="Piguaquan B",120,IF(Atletas!L542="Shaolinquan B",121,IF(Atletas!L542="Tanglangquan B",122,IF(Atletas!L542="Yinzhaophai B",123,IF(Atletas!L542="Tongbeiquan B",124,IF(Atletas!L542="Wudangquan B",125,IF(Atletas!L542="Outros Estilos B",126,IF(Atletas!L542="Chaquan C",127,IF(Atletas!L542="Emeiquan C",128,IF(Atletas!L542="Fanziquan C",129,IF(Atletas!L542="Huaquan C",130,IF(Atletas!L542="Hongquan C",131,IF(Atletas!L542="Paochui C",132,IF(Atletas!L542="Piguaquan C",133,IF(Atletas!L542="Shaolinquan C",134,IF(Atletas!L542="Tanglangquan C",135,IF(Atletas!L542="Yinzhaophai C",136,IF(Atletas!L542="Tongbeiquan C",137,IF(Atletas!L542="Wudangquan C",138,IF(Atletas!L542="Outros Estilos C",139,0))))))))))))))))))))))))))))))))))))))))))</f>
        <v/>
      </c>
      <c r="BM546" s="52" t="str">
        <f>IF(Atletas!L542="","",IF(Atletas!W542&lt;&gt;"",10000,0)+(IF(Atletas!B542="Feminino",1000,IF(Atletas!B542="Masculino",2000,""))+(IF(Atletas!L542="Chaquan D",140,IF(Atletas!L542="Emeiquan D",141,IF(Atletas!L542="Fanziquan D",142,IF(Atletas!L542="Huaquan D",143,IF(Atletas!L542="Hongquan D",144,IF(Atletas!L542="Paochui D",145,IF(Atletas!L542="Piguaquan D",146,IF(Atletas!L542="Shaolinquan D",147,IF(Atletas!L542="Tanglangquan D",148,IF(Atletas!L542="Yinzhaophai D",149,IF(Atletas!L542="Tongbeiquan D",150,IF(Atletas!L542="Wudangquan D",151,IF(Atletas!L542="Outros Estilos D",152,IF(Atletas!L542="Chaquan E",153,IF(Atletas!L542="Emeiquan E",154,IF(Atletas!L542="Fanziquan E",155,IF(Atletas!L542="Huaquan E",156,IF(Atletas!L542="Hongquan E",157,IF(Atletas!L542="Paochui E",158,IF(Atletas!L542="Piguaquan E",159,IF(Atletas!L542="Shaolinquan E",160,IF(Atletas!L542="Tanglangquan E",161,IF(Atletas!L542="Yinzhaophai E",162,IF(Atletas!L542="Tongbeiquan E",163,IF(Atletas!L542="Wudangquan E",164,IF(Atletas!L542="Outros Estilos E",165,IF(Atletas!L542="Chaquan F",166,IF(Atletas!L542="Emeiquan F",167,IF(Atletas!L542="Fanziquan F",168,IF(Atletas!L542="Huaquan F",169,IF(Atletas!L542="Hongquan F",170,IF(Atletas!L542="Paochui F",171,IF(Atletas!L542="Piguaquan F",172,IF(Atletas!L542="Shaolinquan F",173,IF(Atletas!L542="Tanglangquan F",174,IF(Atletas!L542="Yinzhaophai F",175,IF(Atletas!L542="Tongbeiquan F",176,IF(Atletas!L542="Wudangquan F",177,IF(Atletas!L542="Outros Estilos F",178,0))))))))))))))))))))))))))))))))))))))))))</f>
        <v/>
      </c>
      <c r="BN546" s="52" t="str">
        <f>IF(Atletas!M542="","",IF(Atletas!W542&lt;&gt;"",10000,0)+(IF(Atletas!B542="Feminino",1000,IF(Atletas!B542="Masculino",2000,""))+(IF(Atletas!M542="Ditangquan A",201,IF(Atletas!M542="Houquan A",202,IF(Atletas!M542="Zuiquan A",203,IF(Atletas!M542="Ditangquan B",204,IF(Atletas!M542="Houquan B",205,IF(Atletas!M542="Zuiquan B",206,IF(Atletas!M542="Ditangquan C",207,IF(Atletas!M542="Houquan C",208,IF(Atletas!M542="Zuiquan C",209,IF(Atletas!M542="Ditangquan D",210,IF(Atletas!M542="Houquan D",211,IF(Atletas!M542="Zuiquan D",212,IF(Atletas!M542="Ditangquan E",213,IF(Atletas!M542="Houquan E",214,IF(Atletas!M542="Zuiquan E",215,IF(Atletas!M542="Ditangquan F",216,IF(Atletas!M542="Houquan F",217,IF(Atletas!M542="Zuiquan F",218,"")))))))))))))))))))))</f>
        <v/>
      </c>
      <c r="BO546" s="52" t="str">
        <f>IF(Atletas!N542="","",IF(Atletas!W542&lt;&gt;"",10000,0)+IF(Atletas!B542="Feminino",1000,IF(Atletas!B542="Masculino",2000,""))+IF(Atletas!N542="Yang A",301,IF(Atletas!N542="Chen A",30,IF(Atletas!N542="Sun A",303,IF(Atletas!N542="Wu A",304,IF(Atletas!N542="Wu-Hao A",305,IF(Atletas!N542="Outro Taijiquan A",306,IF(Atletas!N542="Yang B",307,IF(Atletas!N542="Chen B",308,IF(Atletas!N542="Sun B",309,IF(Atletas!N542="Wu B",310,IF(Atletas!N542="Wu-Hao B",311,IF(Atletas!N542="Outro Taijiquan B",312,IF(Atletas!N542="Yang C",313,IF(Atletas!N542="Chen C",314,IF(Atletas!N542="Sun C",315,IF(Atletas!N542="Wu C",316,IF(Atletas!N542="Wu-Hao C",317,IF(Atletas!N542="Outro Taijiquan C",318,IF(Atletas!N542="Yang D",319,IF(Atletas!N542="Chen D",320,IF(Atletas!N542="Sun D",321,IF(Atletas!N542="Wu D",322,IF(Atletas!N542="Wu-Hao D",323,IF(Atletas!N542="Outro Taijiquan D",324,IF(Atletas!N542="Yang E",325,IF(Atletas!N542="Chen E",326,IF(Atletas!N542="Sun E",327,IF(Atletas!N542="Wu E",328,IF(Atletas!N542="Wu-Hao E",329,IF(Atletas!N542="Outro Taijiquan E",330,IF(Atletas!N542="Yang F",331,IF(Atletas!N542="Chen F",332,IF(Atletas!N542="Sun F",333,IF(Atletas!N542="Wu F",334,IF(Atletas!N542="Wu-Hao F",335,IF(Atletas!N542="Outro Taijiquan F",336,"")))))))))))))))))))))))))))))))))))))</f>
        <v/>
      </c>
      <c r="BP546" s="52" t="str">
        <f>IF(Atletas!O542="","",IF(Atletas!W542&lt;&gt;"",10000,0)+IF(Atletas!B542="Feminino",1000,IF(Atletas!B542="Masculino",2000,""))+IF(OR(Atletas!O542="Yang 26 A",Atletas!O542="Yang 40 A"),401,IF(OR(Atletas!O542="Chen 25 A",Atletas!O542="Chen 36 A",Atletas!O542="Chen 56 A"),402,IF(Atletas!O542="Sun 73 A",403,IF(Atletas!O542="Wu 45 A",404,IF(Atletas!O542="Wu-Hao 46 A",405,IF(OR(Atletas!O542="Taijiquan 16 A",Atletas!O542="Taijiquan 24 A",Atletas!O542="Taijiquan 32 A",Atletas!O542="Taijiquan 42 A"),406,IF(OR(Atletas!O542="Yang 26 B",Atletas!O542="Yang 40 B"),407,IF(OR(Atletas!O542="Chen 25 B",Atletas!O542="Chen 36 B",Atletas!O542="Chen 56 B"),408,IF(Atletas!O542="Sun 73 B",409,IF(Atletas!O542="Wu 45 B",410,IF(Atletas!O542="Wu-Hao 46 B",411,IF(OR(Atletas!O542="Taijiquan 16 B",Atletas!O542="Taijiquan 24 B",Atletas!O542="Taijiquan 32 B",Atletas!O542="Taijiquan 42 B"),412,IF(OR(Atletas!O542="Yang 26 C",Atletas!O542="Yang 40 C"),413,IF(OR(Atletas!O542="Chen 25 C",Atletas!O542="Chen 36 C",Atletas!O542="Chen 56 C"),414,IF(Atletas!O542="Sun 73 C",415,IF(Atletas!O542="Wu 45 C",416,IF(Atletas!O542="Wu-Hao 46 C",417,IF(OR(Atletas!O542="Taijiquan 16 C",Atletas!O542="Taijiquan 24 C",Atletas!O542="Taijiquan 32 C",Atletas!O542="Taijiquan 42 C"),418,0)))))))))))))))))))</f>
        <v/>
      </c>
      <c r="BQ546" s="52" t="str">
        <f>IF(Atletas!O542="","",IF(Atletas!W542&lt;&gt;"",10000,0)+IF(Atletas!B542="Feminino",1000,IF(Atletas!B542="Masculino",2000,""))+IF(OR(Atletas!O542="Yang 26 D",Atletas!O542="Yang 40 D"),419,IF(OR(Atletas!O542="Chen 25 D",Atletas!O542="Chen 36 D",Atletas!O542="Chen 56 D"),420,IF(Atletas!O542="Sun 73 D",421,IF(Atletas!O542="Wu 45 D",422,IF(Atletas!O542="Wu-Hao 46 D",423,IF(OR(Atletas!O542="Taijiquan 16 D",Atletas!O542="Taijiquan 24 D",Atletas!O542="Taijiquan 32 D",Atletas!O542="Taijiquan 42 D"),424,IF(OR(Atletas!O542="Yang 26 E",Atletas!O542="Yang 40 E"),425,IF(OR(Atletas!O542="Chen 25 E",Atletas!O542="Chen 36 E",Atletas!O542="Chen 56 E"),426,IF(Atletas!O542="Sun 73 E",427,IF(Atletas!O542="Wu 45 E",428,IF(Atletas!O542="Wu-Hao 46 E",429,IF(OR(Atletas!O542="Taijiquan 16 E",Atletas!O542="Taijiquan 24 E",Atletas!O542="Taijiquan 32 E",Atletas!O542="Taijiquan 42 E"),430,IF(OR(Atletas!O542="Yang 26 F",Atletas!O542="Yang 40 F"),431,IF(OR(Atletas!O542="Chen 25 F",Atletas!O542="Chen 36 F",Atletas!O542="Chen 56 F"),432,IF(Atletas!O542="Sun 73 F",433,IF(Atletas!O542="Wu 45 F",434,IF(Atletas!O542="Wu-Hao 46 F",435,IF(OR(Atletas!O542="Taijiquan 16 F",Atletas!O542="Taijiquan 24 F",Atletas!O542="Taijiquan 32 F",Atletas!O542="Taijiquan 42 F"),436,0)))))))))))))))))))</f>
        <v/>
      </c>
      <c r="BR546" s="52" t="str">
        <f>IF(Atletas!P542="","",IF(Atletas!W542&lt;&gt;"",10000,0)+IF(Atletas!B542="Feminino",1000,IF(Atletas!B542="Masculino",2000,""))+IF(Atletas!P542="Xingyiquan A",501,IF(Atletas!P542="Baguazhang A",502,IF(Atletas!P542="Outro Estilo Interno A",503,IF(Atletas!P542="Xingyiquan B",504,IF(Atletas!P542="Baguazhang B",505,IF(Atletas!P542="Outro Estilo Interno B",506,IF(Atletas!P542="Xingyiquan C",507,IF(Atletas!P542="Baguazhang C",508,IF(Atletas!P542="Outro Estilo Interno C",509,IF(Atletas!P542="Xingyiquan D",510,IF(Atletas!P542="Baguazhang D",511,IF(Atletas!P542="Outro Estilo Interno D",512,IF(Atletas!P542="Xingyiquan E",513,IF(Atletas!P542="Baguazhang E",514,IF(Atletas!P542="Outro Estilo Interno E",515,IF(Atletas!P542="Xingyiquan F",516,IF(Atletas!P542="Baguazhang F",517,IF(Atletas!P542="Outro Estilo Interno F",518, "")))))))))))))))))))</f>
        <v/>
      </c>
      <c r="BS546" s="52" t="str">
        <f>IF(Atletas!Q542="","",IF(Atletas!W542&lt;&gt;"",10000,0)+IF(Atletas!B542="Feminino",1000,IF(Atletas!B542="Masculino",2000,""))+IF(Atletas!Q542="Dao A",601,IF(Atletas!Q542="Jian A",602,IF(Atletas!Q542="Bishou A",603,IF(Atletas!Q542="Shan A",604,IF(Atletas!Q542="Outra Arma Curta A",605,IF(Atletas!Q542="Dao B",606,IF(Atletas!Q542="Jian B",607,IF(Atletas!Q542="Bishou B",608,IF(Atletas!Q542="Shan B",609,IF(Atletas!Q542="Outra Arma Curta B",610,IF(Atletas!Q542="Dao C",611,IF(Atletas!Q542="Jian C",612,IF(Atletas!Q542="Bishou C",613,IF(Atletas!Q542="Shan C",614,IF(Atletas!Q542="Outra Arma Curta C",615,IF(Atletas!Q542="Dao D",616,IF(Atletas!Q542="Jian D",617,IF(Atletas!Q542="Bishou D",618,IF(Atletas!Q542="Shan D",619,IF(Atletas!Q542="Outra Arma Curta D",620,IF(Atletas!Q542="Dao E",621,IF(Atletas!Q542="Jian E",622,IF(Atletas!Q542="Bishou E",623,IF(Atletas!Q542="Shan E",624,IF(Atletas!Q542="Outra Arma Curta E",625,IF(Atletas!Q542="Dao F",626,IF(Atletas!Q542="Jian F",627,IF(Atletas!Q542="Bishou F",628,IF(Atletas!Q542="Shan F",629,IF(Atletas!Q542="Outra Arma Curta F",630, "")))))))))))))))))))))))))))))))</f>
        <v/>
      </c>
      <c r="BT546" s="52" t="str">
        <f>IF(Atletas!R542="","",IF(Atletas!W542&lt;&gt;"",10000,0)+IF(Atletas!B542="Feminino",1000,IF(Atletas!B542="Masculino",2000,""))+IF(Atletas!R542="Gun A",701,IF(Atletas!R542="Qiang A",702,IF(Atletas!R542="Pudao / Guandao A",703,IF(Atletas!R542="Outra Arma Longa A",704,IF(Atletas!R542="Gun B",705,IF(Atletas!R542="Qiang B",706,IF(Atletas!R542="Pudao / Guandao B",707,IF(Atletas!R542="Outra Arma Longa B",708,IF(Atletas!R542="Gun C",709,IF(Atletas!R542="Qiang C",710,IF(Atletas!R542="Pudao / Guandao C",711,IF(Atletas!R542="Outra Arma Longa C",712,IF(Atletas!R542="Gun D",713,IF(Atletas!R542="Qiang D",714,IF(Atletas!R542="Pudao / Guandao D",715,IF(Atletas!R542="Outra Arma Longa D",716,IF(Atletas!R542="Gun E",717,IF(Atletas!R542="Qiang E",718,IF(Atletas!R542="Pudao / Guandao E",719,IF(Atletas!R542="Outra Arma Longa E",720,IF(Atletas!R542="Gun F",721,IF(Atletas!R542="Qiang F",722,IF(Atletas!R542="Pudao / Guandao F",723,IF(Atletas!R542="Outra Arma Longa F",724,"")))))))))))))))))))))))))</f>
        <v/>
      </c>
      <c r="BU546" s="52" t="str">
        <f>IF(Atletas!S542="","",IF(Atletas!W542&lt;&gt;"",10000,0)+IF(Atletas!B542="Feminino",1000,IF(Atletas!B542="Masculino",2000,""))+IF(Atletas!S542="Arma Dupla A",801,IF(Atletas!S542="Arma Maleável A",802,IF(Atletas!S542="Arma Dupla B",803,IF(Atletas!S542="Arma Maleável B",804,IF(Atletas!S542="Arma Dupla C",805,IF(Atletas!S542="Arma Maleável C",806,IF(Atletas!S542="Arma Dupla D",807,IF(Atletas!S542="Arma Maleável D",808,IF(Atletas!S542="Arma Dupla E",809,IF(Atletas!S542="Arma Maleável E",810,IF(Atletas!S542="Arma Dupla F",811,IF(Atletas!S542="Arma Maleável F",812, "")))))))))))))</f>
        <v/>
      </c>
      <c r="BV546" s="52" t="str">
        <f>IF(Atletas!T542="","",IF(Atletas!W542&lt;&gt;"",10000,0)+IF(Atletas!B542="Feminino",1000,IF(Atletas!B542="Masculino",2000,""))+IF(Atletas!T542="Taijijian Yang A",901,IF(Atletas!T542="Taijijian Chen A",902,IF(Atletas!T542="Taijijian Sun A",903,IF(Atletas!T542="Taijijian Wu A",904,IF(Atletas!T542="Taijijian Wu-Hao A",905,IF(Atletas!T542="Taijijian 32 A",906,IF(Atletas!T542="Taijijian 42 A",907,IF(Atletas!T542="Taijijian Yang B",908,IF(Atletas!T542="Taijijian Chen B",909,IF(Atletas!T542="Taijijian Sun B",910,IF(Atletas!T542="Taijijian Wu B",911,IF(Atletas!T542="Taijijian Wu-Hao B",912,IF(Atletas!T542="Taijijian 32 B",913,IF(Atletas!T542="Taijijian 42 B",914,IF(Atletas!T542="Taijijian Yang C",915,IF(Atletas!T542="Taijijian Chen C",916,IF(Atletas!T542="Taijijian Sun C",917,IF(Atletas!T542="Taijijian Wu C",918,IF(Atletas!T542="Taijijian Wu-Hao C",919,IF(Atletas!T542="Taijijian 32 C",920,IF(Atletas!T542="Taijijian 42 C",921,IF(Atletas!T542="Taijijian Yang D",922,IF(Atletas!T542="Taijijian Chen D",923,IF(Atletas!T542="Taijijian Sun D",924,IF(Atletas!T542="Taijijian Wu D",925,IF(Atletas!T542="Taijijian Wu-Hao D",926,IF(Atletas!T542="Taijijian 32 D",927,IF(Atletas!T542="Taijijian 42 D",928,IF(Atletas!T542="Taijijian Yang E",929,IF(Atletas!T542="Taijijian Chen E",930,IF(Atletas!T542="Taijijian Sun E",931,IF(Atletas!T542="Taijijian Wu E",932,IF(Atletas!T542="Taijijian Wu-Hao E",933,IF(Atletas!T542="Taijijian 32 E",934,IF(Atletas!T542="Taijijian 42 E",935,IF(Atletas!T542="Taijijian Yang F",936,IF(Atletas!T542="Taijijian Chen F",937,IF(Atletas!T542="Taijijian Sun F",938,IF(Atletas!T542="Taijijian Wu F",939,IF(Atletas!T542="Taijijian Wu-Hao F",940,IF(Atletas!T542="Taijijian 32 F",941,IF(Atletas!T542="Taijijian 42 F",942,"")))))))))))))))))))))))))))))))))))))))))))</f>
        <v/>
      </c>
      <c r="BW546" s="52" t="str">
        <f>IF(Atletas!U542="","",IF(Atletas!W542&lt;&gt;"",10000,0)+IF(Atletas!B542="Feminino",1000,IF(Atletas!B542="Masculino",2000,""))+IF(Atletas!T542="Taijijian 42 F",942,IF(Atletas!U542="Taijidao A",943,IF(Atletas!U542="Taijishan A",944,IF(Atletas!U542="Taijiqiang A",945,IF(Atletas!U542="Taijidao B",946,IF(Atletas!U542="Taijishan B",947,IF(Atletas!U542="Taijiqiang B",948,IF(Atletas!U542="Taijidao C",949,IF(Atletas!U542="Taijishan C",950,IF(Atletas!U542="Taijiqiang C",951,IF(Atletas!U542="Taijidao D",952,IF(Atletas!U542="Taijishan D",953,IF(Atletas!U542="Taijiqiang D",954,IF(Atletas!U542="Taijidao E",955,IF(Atletas!U542="Taijishan E",956,IF(Atletas!U542="Taijiqiang E",957,IF(Atletas!U542="Taijidao F",958,IF(Atletas!U542="Taijishan F",959,IF(Atletas!U542="Taijiqiang F",960))))))))))))))))))))</f>
        <v/>
      </c>
      <c r="CF546" s="52" t="str">
        <f xml:space="preserve"> IF(Atletas!V542="","",IF(Atletas!V542="Duilian de Mãos AB - Equipe 1",1,IF(Atletas!V542="Duilian de Mãos AB - Equipe 2",2,IF(Atletas!V542="Duilian de Armas AB - Equipe 1",3,IF(Atletas!V542="Duilian de Armas AB - Equipe 2",4,IF(Atletas!V542="Duilian de Tuishou - Equipe 1",5,IF(Atletas!V542="Duilian de Tuishou - Equipe 2",6,IF(Atletas!V542="Grupo Externo AB - Equipe 1",7,IF(Atletas!V542="Grupo Externo AB - Equipe 2",8,IF(Atletas!V542="Grupo Interno AB - Equipe 1",9,IF(Atletas!V542="Grupo Interno AB - Equipe 2",10,IF(Atletas!V542="Duilian de Mãos CD - Equipe 1",11,IF(Atletas!V542="Duilian de Mãos CD - Equipe 2",12,IF(Atletas!V542="Duilian de Armas CD - Equipe 1",13,IF(Atletas!V542="Duilian de Armas CD - Equipe 2",14,IF(Atletas!V542="Duilian de Tuishou - Equipe 1",15,IF(Atletas!V542="Duilian de Tuishou - Equipe 2",16,IF(Atletas!V542="Grupo Externo CDEF - Equipe 1",17,IF(Atletas!V542="Grupo Externo CDEF - Equipe 2",18,IF(Atletas!V542="Grupo Interno CDEF - Equipe 1",19,IF(Atletas!V542="Grupo Interno CDEF - Equipe 2",20,IF(Atletas!V542="Duilian de Mãos EF - Equipe 1",21,IF(Atletas!V542="Duilian de Mãos EF - Equipe 2",22,IF(Atletas!V542="Duilian de Armas EF - Equipe 1",23,IF(Atletas!V542="Duilian de Armas EF - Equipe 2",24,IF(Atletas!V542="Duilian de Tuishou - Equipe 1",25,IF(Atletas!V542="Duilian de Tuishou - Equipe 2",26,"")))))))))))))))))))))))))))</f>
        <v/>
      </c>
    </row>
    <row r="547" spans="36:84">
      <c r="AJ547" s="46" t="str">
        <f>IF(Atletas!D543="","",IF(Atletas!B543="Feminino",100,IF(Atletas!B543="Masculino",200,""))+(IF(Atletas!D543="Infantil 39kg",1,IF(Atletas!D543="Infantil 42kg",2,IF(Atletas!D543="Infantil 45kg",3,IF(Atletas!D543="Infantil 48kg",4,IF(Atletas!D543="Infantil 52kg",5,IF(Atletas!D543="Infantil 56kg",6,IF(Atletas!D543="Infantil 60kg",7,IF(Atletas!D543="Juvenil 48kg",8,IF(Atletas!D543="Juvenil 52kg",9,IF(Atletas!D543="Juvenil 56kg",10,IF(Atletas!D543="Juvenil 60kg",11,IF(Atletas!D543="Juvenil 65kg",12,IF(Atletas!D543="Juvenil 70kg",13,IF(Atletas!D543="Juvenil 75kg",14,IF(Atletas!D543="Juvenil 80kg",15,IF(Atletas!D543="Adulto 48kg",16,IF(Atletas!D543="Adulto 52kg",17,IF(Atletas!D543="Adulto 56kg",18,IF(Atletas!D543="Adulto 60kg",19,IF(Atletas!D543="Adulto 65kg",20,IF(Atletas!D543="Adulto 70kg",21,IF(Atletas!D543="Adulto 75kg",22,IF(Atletas!D543="Adulto 80kg",23,IF(Atletas!D543="Adulto 85kg",24,IF(Atletas!D543="Adulto 90kg",25,IF(Atletas!D543="Adulto +90kg",26,""))))))))))))))))))))))))))))</f>
        <v/>
      </c>
      <c r="AO547" s="10" t="str">
        <f>IF(Atletas!E543="","",IF(Atletas!B543="Feminino",100,IF(Atletas!B543="Masculino",200,""))+(IF(Atletas!E543="Juvenil 44kg",1,IF(Atletas!E543="Juvenil 48kg",2,IF(Atletas!E543="Juvenil 52kg",3,IF(Atletas!E543="Juvenil 56kg",4,IF(Atletas!E543="Juvenil 60kg",5,IF(Atletas!E543="Juvenil 65kg",6,IF(Atletas!E543="Juvenil 70kg",7,IF(Atletas!E543="Juvenil 75kg",8,IF(Atletas!E543="Juvenil 82kg",9,IF(Atletas!E543="Juvenil 90kg",10,IF(Atletas!E543="Juvenil 100kg",11,IF(Atletas!E543="Adulto 48kg",12,IF(Atletas!E543="Adulto 52kg",13,IF(Atletas!E543="Adulto 56kg",14,IF(Atletas!E543="Adulto 60kg",15,IF(Atletas!E543="Adulto 65kg",16,IF(Atletas!E543="Adulto 70kg",17,IF(Atletas!E543="Adulto 75kg",18,IF(Atletas!E543="Adulto 82kg",19,IF(Atletas!E543="Adulto 90kg",20,IF(Atletas!E543="Adulto 100kg",21,IF(Atletas!E543="Adulto +100kg",22,""))))))))))))))))))))))))</f>
        <v/>
      </c>
      <c r="AT547" s="10" t="str">
        <f>IF(Atletas!F543="","",IF(Atletas!B543="Feminino",100,IF(Atletas!B543="Masculino",200,""))+(IF(Atletas!F543="Adulto 48kg",1,IF(Atletas!F543="Adulto 56kg",2,IF(Atletas!F543="Adulto 65kg",3,IF(Atletas!F543="Adulto 75kg",4,IF(Atletas!F543="Adulto +75kg",5,IF(Atletas!F543="Adulto 52kg",6,IF(Atletas!F543="Adulto 60kg",7,IF(Atletas!F543="Adulto 70kg",8,IF(Atletas!F543="Adulto 80kg",9,IF(Atletas!F543="Adulto 90kg",10,IF(Atletas!F543="Adulto +90kg",11,"")))))))))))))</f>
        <v/>
      </c>
      <c r="AY547" s="46" t="str">
        <f>IF(Atletas!G543="","",IF(Atletas!B543="Feminino",100,IF(Atletas!B543="Masculino",200,""))+(IF(Atletas!G543="Changquan Mirim",1,IF(Atletas!G543="Nanquan Mirim",2,IF(Atletas!G543="Taijiquan Mirim",3,IF(Atletas!G543="Changquan Grupo C",4,IF(Atletas!G543="Nanquan Grupo C",5,IF(Atletas!G543="Taijiquan Grupo C",6,IF(Atletas!G543="Changquan Grupo B",7,IF(Atletas!G543="Nanquan Grupo B",8,IF(Atletas!G543="Taijiquan Grupo B",9,IF(Atletas!G543="Changquan Grupo A",10,IF(Atletas!G543="Nanquan Grupo A",11,IF(Atletas!G543="Taijiquan Grupo A",12,IF(Atletas!G543="Changquan Opcional",13,IF(Atletas!G543="Nanquan Opcional",14,IF(Atletas!G543="Taijiquan Opcional",15,IF(Atletas!G543="Changquan Adulto",16,IF(Atletas!G543="Nanquan Adulto",17,IF(Atletas!G543="Taijiquan Adulto",18,""))))))))))))))))))))</f>
        <v/>
      </c>
      <c r="AZ547" s="46" t="str">
        <f>IF(Atletas!H543="","",IF(Atletas!B543="Feminino",100,IF(Atletas!B543="Masculino",200,""))+(IF(Atletas!H543="Daoshu Mirim",19,IF(Atletas!H543="Jianshu Mirim",20,IF(Atletas!H543="Nandao Mirim",21,IF(Atletas!H543="Taijijian Mirim",22,IF(Atletas!H543="Daoshu Grupo C",23,IF(Atletas!H543="Jianshu Grupo C",24,IF(Atletas!H543="Nandao Grupo C",25,IF(Atletas!H543="Taijijian Grupo C",26,IF(Atletas!H543="Daoshu Grupo B",27,IF(Atletas!H543="Jianshu Grupo B",28,IF(Atletas!H543="Nandao Grupo B",29,IF(Atletas!H543="Taijijian Grupo B",30,IF(Atletas!H543="Daoshu Grupo A",31,IF(Atletas!H543="Jianshu Grupo A",32,IF(Atletas!H543="Nandao Grupo A",33,IF(Atletas!H543="Taijijian Grupo A",34,IF(Atletas!H543="Daoshu Opcional",35,IF(Atletas!H543="Jianshu Opcional",36,IF(Atletas!H543="Nandao Opcional",37,IF(Atletas!H543="Taijijian Opcional",38,IF(Atletas!H543="Daoshu Adulto",39,IF(Atletas!H543="Jianshu Adulto",40,IF(Atletas!H543="Nandao Adulto",41,IF(Atletas!H543="Taijijian Adulto",42,""))))))))))))))))))))))))))</f>
        <v/>
      </c>
      <c r="BA547" s="46" t="str">
        <f>IF(Atletas!I543="","",IF(Atletas!B543="Feminino",100,IF(Atletas!B543="Masculino",200,""))+(IF(Atletas!I543="Gunshu Mirim",43,IF(Atletas!I543="Qiangshu Mirim",44,IF(Atletas!I543="Nangun Mirim",45,IF(Atletas!I543="Gunshu Grupo C",46,IF(Atletas!I543="Qiangshu Grupo C",47,IF(Atletas!I543="Nangun Grupo C",48,IF(Atletas!I543="Gunshu Grupo B",49,IF(Atletas!I543="Qiangshu Grupo B",50,IF(Atletas!I543="Nangun Grupo B",51,IF(Atletas!I543="Gunshu Grupo A",52,IF(Atletas!I543="Qiangshu Grupo A",53,IF(Atletas!I543="Nangun Grupo A",54,IF(Atletas!I543="Gunshu Opcional",55,IF(Atletas!I543="Qiangshu Opcional",56,IF(Atletas!I543="Nangun Opcional",57,IF(Atletas!I543="Gunshu Adulto",58,IF(Atletas!I543="Qiangshu Adulto",59,IF(Atletas!I543="Nangun Adulto",60,""))))))))))))))))))))</f>
        <v/>
      </c>
      <c r="BF547" s="52" t="str">
        <f>IF(Atletas!J543="","",IF(Atletas!B543="Feminino",100,IF(Atletas!B543="Masculino",200,""))+(IF(Atletas!J543="Equipe 1 Grupo B",1,IF(Atletas!J543="Equipe 2 Grupo B",2,IF(Atletas!J543="Equipe 1 Grupo A",3,IF(Atletas!J543="Equipe 2 Grupo A",4,IF(Atletas!J543="Equipe 1 Adulto",5,IF(Atletas!J543="Equipe 2 Adulto",6,""))))))))</f>
        <v/>
      </c>
      <c r="BK547" s="52" t="str">
        <f>IF(Atletas!K543="","",IF(Atletas!W543&lt;&gt;"",10000,0)+(IF(Atletas!B543="Feminino",1000,IF(Atletas!B543="Masculino",2000,""))+IF(Atletas!K543="Choylayfut A",1,IF(Atletas!K543="Hunggar A",2,IF(Atletas!K543="Wuzuquan A",3,IF(Atletas!K543="Wingchun A",4,IF(Atletas!K543="Outra Mão de Sul A",5,IF(Atletas!K543="Choylayfut B",6,IF(Atletas!K543="Hunggar B",7,IF(Atletas!K543="Wuzuquan B",8,IF(Atletas!K543="Wingchun B",9,IF(Atletas!K543="Outra Mão de Sul B",10,IF(Atletas!K543="Choylayfut C",11,IF(Atletas!K543="Hunggar C",12,IF(Atletas!K543="Wuzuquan C",13,IF(Atletas!K543="Wingchun C",14,IF(Atletas!K543="Outra Mão de Sul C",15,IF(Atletas!K543="Choylayfut D",16,IF(Atletas!K543="Hunggar D",17,IF(Atletas!K543="Wuzuquan D",18,IF(Atletas!K543="Wingchun D",19,IF(Atletas!K543="Outra Mão de Sul D",20,IF(Atletas!K543="Choylayfut E",21,IF(Atletas!K543="Hunggar E",22,IF(Atletas!K543="Wuzuquan E",23,IF(Atletas!K543="Wingchun E",24,IF(Atletas!K543="Outra Mão de Sul E",25,IF(Atletas!K543="Choylayfut F",26,IF(Atletas!K543="Hunggar F",27,IF(Atletas!K543="Wuzuquan F",28,IF(Atletas!K543="Wingchun F",29,IF(Atletas!K543="Outra Mão de Sul F",30,""))))))))))))))))))))))))))))))))</f>
        <v/>
      </c>
      <c r="BL547" s="52" t="str">
        <f>IF(Atletas!L543="","",IF(Atletas!W543&lt;&gt;"",10000,0)+(IF(Atletas!B543="Feminino",1000,IF(Atletas!B543="Masculino",2000,""))+(IF(Atletas!L543="Chaquan A",101,IF(Atletas!L543="Emeiquan A",102,IF(Atletas!L543="Fanziquan A",103,IF(Atletas!L543="Huaquan A",104,IF(Atletas!L543="Hongquan A",105,IF(Atletas!L543="Paochui A",106,IF(Atletas!L543="Piguaquan A",107,IF(Atletas!L543="Shaolinquan A",108,IF(Atletas!L543="Tanglangquan A",109,IF(Atletas!L543="Yinzhaophai A",110,IF(Atletas!L543="Tongbeiquan A",111,IF(Atletas!L543="Wudangquan A",112,IF(Atletas!L543="Outros Estilos A",113,IF(Atletas!L543="Chaquan B",114,IF(Atletas!L543="Emeiquan B",115,IF(Atletas!L543="Fanziquan B",116,IF(Atletas!L543="Huaquan B",117,IF(Atletas!L543="Hongquan B",118,IF(Atletas!L543="Paochui B",119,IF(Atletas!L543="Piguaquan B",120,IF(Atletas!L543="Shaolinquan B",121,IF(Atletas!L543="Tanglangquan B",122,IF(Atletas!L543="Yinzhaophai B",123,IF(Atletas!L543="Tongbeiquan B",124,IF(Atletas!L543="Wudangquan B",125,IF(Atletas!L543="Outros Estilos B",126,IF(Atletas!L543="Chaquan C",127,IF(Atletas!L543="Emeiquan C",128,IF(Atletas!L543="Fanziquan C",129,IF(Atletas!L543="Huaquan C",130,IF(Atletas!L543="Hongquan C",131,IF(Atletas!L543="Paochui C",132,IF(Atletas!L543="Piguaquan C",133,IF(Atletas!L543="Shaolinquan C",134,IF(Atletas!L543="Tanglangquan C",135,IF(Atletas!L543="Yinzhaophai C",136,IF(Atletas!L543="Tongbeiquan C",137,IF(Atletas!L543="Wudangquan C",138,IF(Atletas!L543="Outros Estilos C",139,0))))))))))))))))))))))))))))))))))))))))))</f>
        <v/>
      </c>
      <c r="BM547" s="52" t="str">
        <f>IF(Atletas!L543="","",IF(Atletas!W543&lt;&gt;"",10000,0)+(IF(Atletas!B543="Feminino",1000,IF(Atletas!B543="Masculino",2000,""))+(IF(Atletas!L543="Chaquan D",140,IF(Atletas!L543="Emeiquan D",141,IF(Atletas!L543="Fanziquan D",142,IF(Atletas!L543="Huaquan D",143,IF(Atletas!L543="Hongquan D",144,IF(Atletas!L543="Paochui D",145,IF(Atletas!L543="Piguaquan D",146,IF(Atletas!L543="Shaolinquan D",147,IF(Atletas!L543="Tanglangquan D",148,IF(Atletas!L543="Yinzhaophai D",149,IF(Atletas!L543="Tongbeiquan D",150,IF(Atletas!L543="Wudangquan D",151,IF(Atletas!L543="Outros Estilos D",152,IF(Atletas!L543="Chaquan E",153,IF(Atletas!L543="Emeiquan E",154,IF(Atletas!L543="Fanziquan E",155,IF(Atletas!L543="Huaquan E",156,IF(Atletas!L543="Hongquan E",157,IF(Atletas!L543="Paochui E",158,IF(Atletas!L543="Piguaquan E",159,IF(Atletas!L543="Shaolinquan E",160,IF(Atletas!L543="Tanglangquan E",161,IF(Atletas!L543="Yinzhaophai E",162,IF(Atletas!L543="Tongbeiquan E",163,IF(Atletas!L543="Wudangquan E",164,IF(Atletas!L543="Outros Estilos E",165,IF(Atletas!L543="Chaquan F",166,IF(Atletas!L543="Emeiquan F",167,IF(Atletas!L543="Fanziquan F",168,IF(Atletas!L543="Huaquan F",169,IF(Atletas!L543="Hongquan F",170,IF(Atletas!L543="Paochui F",171,IF(Atletas!L543="Piguaquan F",172,IF(Atletas!L543="Shaolinquan F",173,IF(Atletas!L543="Tanglangquan F",174,IF(Atletas!L543="Yinzhaophai F",175,IF(Atletas!L543="Tongbeiquan F",176,IF(Atletas!L543="Wudangquan F",177,IF(Atletas!L543="Outros Estilos F",178,0))))))))))))))))))))))))))))))))))))))))))</f>
        <v/>
      </c>
      <c r="BN547" s="52" t="str">
        <f>IF(Atletas!M543="","",IF(Atletas!W543&lt;&gt;"",10000,0)+(IF(Atletas!B543="Feminino",1000,IF(Atletas!B543="Masculino",2000,""))+(IF(Atletas!M543="Ditangquan A",201,IF(Atletas!M543="Houquan A",202,IF(Atletas!M543="Zuiquan A",203,IF(Atletas!M543="Ditangquan B",204,IF(Atletas!M543="Houquan B",205,IF(Atletas!M543="Zuiquan B",206,IF(Atletas!M543="Ditangquan C",207,IF(Atletas!M543="Houquan C",208,IF(Atletas!M543="Zuiquan C",209,IF(Atletas!M543="Ditangquan D",210,IF(Atletas!M543="Houquan D",211,IF(Atletas!M543="Zuiquan D",212,IF(Atletas!M543="Ditangquan E",213,IF(Atletas!M543="Houquan E",214,IF(Atletas!M543="Zuiquan E",215,IF(Atletas!M543="Ditangquan F",216,IF(Atletas!M543="Houquan F",217,IF(Atletas!M543="Zuiquan F",218,"")))))))))))))))))))))</f>
        <v/>
      </c>
      <c r="BO547" s="52" t="str">
        <f>IF(Atletas!N543="","",IF(Atletas!W543&lt;&gt;"",10000,0)+IF(Atletas!B543="Feminino",1000,IF(Atletas!B543="Masculino",2000,""))+IF(Atletas!N543="Yang A",301,IF(Atletas!N543="Chen A",30,IF(Atletas!N543="Sun A",303,IF(Atletas!N543="Wu A",304,IF(Atletas!N543="Wu-Hao A",305,IF(Atletas!N543="Outro Taijiquan A",306,IF(Atletas!N543="Yang B",307,IF(Atletas!N543="Chen B",308,IF(Atletas!N543="Sun B",309,IF(Atletas!N543="Wu B",310,IF(Atletas!N543="Wu-Hao B",311,IF(Atletas!N543="Outro Taijiquan B",312,IF(Atletas!N543="Yang C",313,IF(Atletas!N543="Chen C",314,IF(Atletas!N543="Sun C",315,IF(Atletas!N543="Wu C",316,IF(Atletas!N543="Wu-Hao C",317,IF(Atletas!N543="Outro Taijiquan C",318,IF(Atletas!N543="Yang D",319,IF(Atletas!N543="Chen D",320,IF(Atletas!N543="Sun D",321,IF(Atletas!N543="Wu D",322,IF(Atletas!N543="Wu-Hao D",323,IF(Atletas!N543="Outro Taijiquan D",324,IF(Atletas!N543="Yang E",325,IF(Atletas!N543="Chen E",326,IF(Atletas!N543="Sun E",327,IF(Atletas!N543="Wu E",328,IF(Atletas!N543="Wu-Hao E",329,IF(Atletas!N543="Outro Taijiquan E",330,IF(Atletas!N543="Yang F",331,IF(Atletas!N543="Chen F",332,IF(Atletas!N543="Sun F",333,IF(Atletas!N543="Wu F",334,IF(Atletas!N543="Wu-Hao F",335,IF(Atletas!N543="Outro Taijiquan F",336,"")))))))))))))))))))))))))))))))))))))</f>
        <v/>
      </c>
      <c r="BP547" s="52" t="str">
        <f>IF(Atletas!O543="","",IF(Atletas!W543&lt;&gt;"",10000,0)+IF(Atletas!B543="Feminino",1000,IF(Atletas!B543="Masculino",2000,""))+IF(OR(Atletas!O543="Yang 26 A",Atletas!O543="Yang 40 A"),401,IF(OR(Atletas!O543="Chen 25 A",Atletas!O543="Chen 36 A",Atletas!O543="Chen 56 A"),402,IF(Atletas!O543="Sun 73 A",403,IF(Atletas!O543="Wu 45 A",404,IF(Atletas!O543="Wu-Hao 46 A",405,IF(OR(Atletas!O543="Taijiquan 16 A",Atletas!O543="Taijiquan 24 A",Atletas!O543="Taijiquan 32 A",Atletas!O543="Taijiquan 42 A"),406,IF(OR(Atletas!O543="Yang 26 B",Atletas!O543="Yang 40 B"),407,IF(OR(Atletas!O543="Chen 25 B",Atletas!O543="Chen 36 B",Atletas!O543="Chen 56 B"),408,IF(Atletas!O543="Sun 73 B",409,IF(Atletas!O543="Wu 45 B",410,IF(Atletas!O543="Wu-Hao 46 B",411,IF(OR(Atletas!O543="Taijiquan 16 B",Atletas!O543="Taijiquan 24 B",Atletas!O543="Taijiquan 32 B",Atletas!O543="Taijiquan 42 B"),412,IF(OR(Atletas!O543="Yang 26 C",Atletas!O543="Yang 40 C"),413,IF(OR(Atletas!O543="Chen 25 C",Atletas!O543="Chen 36 C",Atletas!O543="Chen 56 C"),414,IF(Atletas!O543="Sun 73 C",415,IF(Atletas!O543="Wu 45 C",416,IF(Atletas!O543="Wu-Hao 46 C",417,IF(OR(Atletas!O543="Taijiquan 16 C",Atletas!O543="Taijiquan 24 C",Atletas!O543="Taijiquan 32 C",Atletas!O543="Taijiquan 42 C"),418,0)))))))))))))))))))</f>
        <v/>
      </c>
      <c r="BQ547" s="52" t="str">
        <f>IF(Atletas!O543="","",IF(Atletas!W543&lt;&gt;"",10000,0)+IF(Atletas!B543="Feminino",1000,IF(Atletas!B543="Masculino",2000,""))+IF(OR(Atletas!O543="Yang 26 D",Atletas!O543="Yang 40 D"),419,IF(OR(Atletas!O543="Chen 25 D",Atletas!O543="Chen 36 D",Atletas!O543="Chen 56 D"),420,IF(Atletas!O543="Sun 73 D",421,IF(Atletas!O543="Wu 45 D",422,IF(Atletas!O543="Wu-Hao 46 D",423,IF(OR(Atletas!O543="Taijiquan 16 D",Atletas!O543="Taijiquan 24 D",Atletas!O543="Taijiquan 32 D",Atletas!O543="Taijiquan 42 D"),424,IF(OR(Atletas!O543="Yang 26 E",Atletas!O543="Yang 40 E"),425,IF(OR(Atletas!O543="Chen 25 E",Atletas!O543="Chen 36 E",Atletas!O543="Chen 56 E"),426,IF(Atletas!O543="Sun 73 E",427,IF(Atletas!O543="Wu 45 E",428,IF(Atletas!O543="Wu-Hao 46 E",429,IF(OR(Atletas!O543="Taijiquan 16 E",Atletas!O543="Taijiquan 24 E",Atletas!O543="Taijiquan 32 E",Atletas!O543="Taijiquan 42 E"),430,IF(OR(Atletas!O543="Yang 26 F",Atletas!O543="Yang 40 F"),431,IF(OR(Atletas!O543="Chen 25 F",Atletas!O543="Chen 36 F",Atletas!O543="Chen 56 F"),432,IF(Atletas!O543="Sun 73 F",433,IF(Atletas!O543="Wu 45 F",434,IF(Atletas!O543="Wu-Hao 46 F",435,IF(OR(Atletas!O543="Taijiquan 16 F",Atletas!O543="Taijiquan 24 F",Atletas!O543="Taijiquan 32 F",Atletas!O543="Taijiquan 42 F"),436,0)))))))))))))))))))</f>
        <v/>
      </c>
      <c r="BR547" s="52" t="str">
        <f>IF(Atletas!P543="","",IF(Atletas!W543&lt;&gt;"",10000,0)+IF(Atletas!B543="Feminino",1000,IF(Atletas!B543="Masculino",2000,""))+IF(Atletas!P543="Xingyiquan A",501,IF(Atletas!P543="Baguazhang A",502,IF(Atletas!P543="Outro Estilo Interno A",503,IF(Atletas!P543="Xingyiquan B",504,IF(Atletas!P543="Baguazhang B",505,IF(Atletas!P543="Outro Estilo Interno B",506,IF(Atletas!P543="Xingyiquan C",507,IF(Atletas!P543="Baguazhang C",508,IF(Atletas!P543="Outro Estilo Interno C",509,IF(Atletas!P543="Xingyiquan D",510,IF(Atletas!P543="Baguazhang D",511,IF(Atletas!P543="Outro Estilo Interno D",512,IF(Atletas!P543="Xingyiquan E",513,IF(Atletas!P543="Baguazhang E",514,IF(Atletas!P543="Outro Estilo Interno E",515,IF(Atletas!P543="Xingyiquan F",516,IF(Atletas!P543="Baguazhang F",517,IF(Atletas!P543="Outro Estilo Interno F",518, "")))))))))))))))))))</f>
        <v/>
      </c>
      <c r="BS547" s="52" t="str">
        <f>IF(Atletas!Q543="","",IF(Atletas!W543&lt;&gt;"",10000,0)+IF(Atletas!B543="Feminino",1000,IF(Atletas!B543="Masculino",2000,""))+IF(Atletas!Q543="Dao A",601,IF(Atletas!Q543="Jian A",602,IF(Atletas!Q543="Bishou A",603,IF(Atletas!Q543="Shan A",604,IF(Atletas!Q543="Outra Arma Curta A",605,IF(Atletas!Q543="Dao B",606,IF(Atletas!Q543="Jian B",607,IF(Atletas!Q543="Bishou B",608,IF(Atletas!Q543="Shan B",609,IF(Atletas!Q543="Outra Arma Curta B",610,IF(Atletas!Q543="Dao C",611,IF(Atletas!Q543="Jian C",612,IF(Atletas!Q543="Bishou C",613,IF(Atletas!Q543="Shan C",614,IF(Atletas!Q543="Outra Arma Curta C",615,IF(Atletas!Q543="Dao D",616,IF(Atletas!Q543="Jian D",617,IF(Atletas!Q543="Bishou D",618,IF(Atletas!Q543="Shan D",619,IF(Atletas!Q543="Outra Arma Curta D",620,IF(Atletas!Q543="Dao E",621,IF(Atletas!Q543="Jian E",622,IF(Atletas!Q543="Bishou E",623,IF(Atletas!Q543="Shan E",624,IF(Atletas!Q543="Outra Arma Curta E",625,IF(Atletas!Q543="Dao F",626,IF(Atletas!Q543="Jian F",627,IF(Atletas!Q543="Bishou F",628,IF(Atletas!Q543="Shan F",629,IF(Atletas!Q543="Outra Arma Curta F",630, "")))))))))))))))))))))))))))))))</f>
        <v/>
      </c>
      <c r="BT547" s="52" t="str">
        <f>IF(Atletas!R543="","",IF(Atletas!W543&lt;&gt;"",10000,0)+IF(Atletas!B543="Feminino",1000,IF(Atletas!B543="Masculino",2000,""))+IF(Atletas!R543="Gun A",701,IF(Atletas!R543="Qiang A",702,IF(Atletas!R543="Pudao / Guandao A",703,IF(Atletas!R543="Outra Arma Longa A",704,IF(Atletas!R543="Gun B",705,IF(Atletas!R543="Qiang B",706,IF(Atletas!R543="Pudao / Guandao B",707,IF(Atletas!R543="Outra Arma Longa B",708,IF(Atletas!R543="Gun C",709,IF(Atletas!R543="Qiang C",710,IF(Atletas!R543="Pudao / Guandao C",711,IF(Atletas!R543="Outra Arma Longa C",712,IF(Atletas!R543="Gun D",713,IF(Atletas!R543="Qiang D",714,IF(Atletas!R543="Pudao / Guandao D",715,IF(Atletas!R543="Outra Arma Longa D",716,IF(Atletas!R543="Gun E",717,IF(Atletas!R543="Qiang E",718,IF(Atletas!R543="Pudao / Guandao E",719,IF(Atletas!R543="Outra Arma Longa E",720,IF(Atletas!R543="Gun F",721,IF(Atletas!R543="Qiang F",722,IF(Atletas!R543="Pudao / Guandao F",723,IF(Atletas!R543="Outra Arma Longa F",724,"")))))))))))))))))))))))))</f>
        <v/>
      </c>
      <c r="BU547" s="52" t="str">
        <f>IF(Atletas!S543="","",IF(Atletas!W543&lt;&gt;"",10000,0)+IF(Atletas!B543="Feminino",1000,IF(Atletas!B543="Masculino",2000,""))+IF(Atletas!S543="Arma Dupla A",801,IF(Atletas!S543="Arma Maleável A",802,IF(Atletas!S543="Arma Dupla B",803,IF(Atletas!S543="Arma Maleável B",804,IF(Atletas!S543="Arma Dupla C",805,IF(Atletas!S543="Arma Maleável C",806,IF(Atletas!S543="Arma Dupla D",807,IF(Atletas!S543="Arma Maleável D",808,IF(Atletas!S543="Arma Dupla E",809,IF(Atletas!S543="Arma Maleável E",810,IF(Atletas!S543="Arma Dupla F",811,IF(Atletas!S543="Arma Maleável F",812, "")))))))))))))</f>
        <v/>
      </c>
      <c r="BV547" s="52" t="str">
        <f>IF(Atletas!T543="","",IF(Atletas!W543&lt;&gt;"",10000,0)+IF(Atletas!B543="Feminino",1000,IF(Atletas!B543="Masculino",2000,""))+IF(Atletas!T543="Taijijian Yang A",901,IF(Atletas!T543="Taijijian Chen A",902,IF(Atletas!T543="Taijijian Sun A",903,IF(Atletas!T543="Taijijian Wu A",904,IF(Atletas!T543="Taijijian Wu-Hao A",905,IF(Atletas!T543="Taijijian 32 A",906,IF(Atletas!T543="Taijijian 42 A",907,IF(Atletas!T543="Taijijian Yang B",908,IF(Atletas!T543="Taijijian Chen B",909,IF(Atletas!T543="Taijijian Sun B",910,IF(Atletas!T543="Taijijian Wu B",911,IF(Atletas!T543="Taijijian Wu-Hao B",912,IF(Atletas!T543="Taijijian 32 B",913,IF(Atletas!T543="Taijijian 42 B",914,IF(Atletas!T543="Taijijian Yang C",915,IF(Atletas!T543="Taijijian Chen C",916,IF(Atletas!T543="Taijijian Sun C",917,IF(Atletas!T543="Taijijian Wu C",918,IF(Atletas!T543="Taijijian Wu-Hao C",919,IF(Atletas!T543="Taijijian 32 C",920,IF(Atletas!T543="Taijijian 42 C",921,IF(Atletas!T543="Taijijian Yang D",922,IF(Atletas!T543="Taijijian Chen D",923,IF(Atletas!T543="Taijijian Sun D",924,IF(Atletas!T543="Taijijian Wu D",925,IF(Atletas!T543="Taijijian Wu-Hao D",926,IF(Atletas!T543="Taijijian 32 D",927,IF(Atletas!T543="Taijijian 42 D",928,IF(Atletas!T543="Taijijian Yang E",929,IF(Atletas!T543="Taijijian Chen E",930,IF(Atletas!T543="Taijijian Sun E",931,IF(Atletas!T543="Taijijian Wu E",932,IF(Atletas!T543="Taijijian Wu-Hao E",933,IF(Atletas!T543="Taijijian 32 E",934,IF(Atletas!T543="Taijijian 42 E",935,IF(Atletas!T543="Taijijian Yang F",936,IF(Atletas!T543="Taijijian Chen F",937,IF(Atletas!T543="Taijijian Sun F",938,IF(Atletas!T543="Taijijian Wu F",939,IF(Atletas!T543="Taijijian Wu-Hao F",940,IF(Atletas!T543="Taijijian 32 F",941,IF(Atletas!T543="Taijijian 42 F",942,"")))))))))))))))))))))))))))))))))))))))))))</f>
        <v/>
      </c>
      <c r="BW547" s="52" t="str">
        <f>IF(Atletas!U543="","",IF(Atletas!W543&lt;&gt;"",10000,0)+IF(Atletas!B543="Feminino",1000,IF(Atletas!B543="Masculino",2000,""))+IF(Atletas!T543="Taijijian 42 F",942,IF(Atletas!U543="Taijidao A",943,IF(Atletas!U543="Taijishan A",944,IF(Atletas!U543="Taijiqiang A",945,IF(Atletas!U543="Taijidao B",946,IF(Atletas!U543="Taijishan B",947,IF(Atletas!U543="Taijiqiang B",948,IF(Atletas!U543="Taijidao C",949,IF(Atletas!U543="Taijishan C",950,IF(Atletas!U543="Taijiqiang C",951,IF(Atletas!U543="Taijidao D",952,IF(Atletas!U543="Taijishan D",953,IF(Atletas!U543="Taijiqiang D",954,IF(Atletas!U543="Taijidao E",955,IF(Atletas!U543="Taijishan E",956,IF(Atletas!U543="Taijiqiang E",957,IF(Atletas!U543="Taijidao F",958,IF(Atletas!U543="Taijishan F",959,IF(Atletas!U543="Taijiqiang F",960))))))))))))))))))))</f>
        <v/>
      </c>
      <c r="CF547" s="52" t="str">
        <f xml:space="preserve"> IF(Atletas!V543="","",IF(Atletas!V543="Duilian de Mãos AB - Equipe 1",1,IF(Atletas!V543="Duilian de Mãos AB - Equipe 2",2,IF(Atletas!V543="Duilian de Armas AB - Equipe 1",3,IF(Atletas!V543="Duilian de Armas AB - Equipe 2",4,IF(Atletas!V543="Duilian de Tuishou - Equipe 1",5,IF(Atletas!V543="Duilian de Tuishou - Equipe 2",6,IF(Atletas!V543="Grupo Externo AB - Equipe 1",7,IF(Atletas!V543="Grupo Externo AB - Equipe 2",8,IF(Atletas!V543="Grupo Interno AB - Equipe 1",9,IF(Atletas!V543="Grupo Interno AB - Equipe 2",10,IF(Atletas!V543="Duilian de Mãos CD - Equipe 1",11,IF(Atletas!V543="Duilian de Mãos CD - Equipe 2",12,IF(Atletas!V543="Duilian de Armas CD - Equipe 1",13,IF(Atletas!V543="Duilian de Armas CD - Equipe 2",14,IF(Atletas!V543="Duilian de Tuishou - Equipe 1",15,IF(Atletas!V543="Duilian de Tuishou - Equipe 2",16,IF(Atletas!V543="Grupo Externo CDEF - Equipe 1",17,IF(Atletas!V543="Grupo Externo CDEF - Equipe 2",18,IF(Atletas!V543="Grupo Interno CDEF - Equipe 1",19,IF(Atletas!V543="Grupo Interno CDEF - Equipe 2",20,IF(Atletas!V543="Duilian de Mãos EF - Equipe 1",21,IF(Atletas!V543="Duilian de Mãos EF - Equipe 2",22,IF(Atletas!V543="Duilian de Armas EF - Equipe 1",23,IF(Atletas!V543="Duilian de Armas EF - Equipe 2",24,IF(Atletas!V543="Duilian de Tuishou - Equipe 1",25,IF(Atletas!V543="Duilian de Tuishou - Equipe 2",26,"")))))))))))))))))))))))))))</f>
        <v/>
      </c>
    </row>
    <row r="548" spans="36:84">
      <c r="AJ548" s="46" t="str">
        <f>IF(Atletas!D544="","",IF(Atletas!B544="Feminino",100,IF(Atletas!B544="Masculino",200,""))+(IF(Atletas!D544="Infantil 39kg",1,IF(Atletas!D544="Infantil 42kg",2,IF(Atletas!D544="Infantil 45kg",3,IF(Atletas!D544="Infantil 48kg",4,IF(Atletas!D544="Infantil 52kg",5,IF(Atletas!D544="Infantil 56kg",6,IF(Atletas!D544="Infantil 60kg",7,IF(Atletas!D544="Juvenil 48kg",8,IF(Atletas!D544="Juvenil 52kg",9,IF(Atletas!D544="Juvenil 56kg",10,IF(Atletas!D544="Juvenil 60kg",11,IF(Atletas!D544="Juvenil 65kg",12,IF(Atletas!D544="Juvenil 70kg",13,IF(Atletas!D544="Juvenil 75kg",14,IF(Atletas!D544="Juvenil 80kg",15,IF(Atletas!D544="Adulto 48kg",16,IF(Atletas!D544="Adulto 52kg",17,IF(Atletas!D544="Adulto 56kg",18,IF(Atletas!D544="Adulto 60kg",19,IF(Atletas!D544="Adulto 65kg",20,IF(Atletas!D544="Adulto 70kg",21,IF(Atletas!D544="Adulto 75kg",22,IF(Atletas!D544="Adulto 80kg",23,IF(Atletas!D544="Adulto 85kg",24,IF(Atletas!D544="Adulto 90kg",25,IF(Atletas!D544="Adulto +90kg",26,""))))))))))))))))))))))))))))</f>
        <v/>
      </c>
      <c r="AO548" s="10" t="str">
        <f>IF(Atletas!E544="","",IF(Atletas!B544="Feminino",100,IF(Atletas!B544="Masculino",200,""))+(IF(Atletas!E544="Juvenil 44kg",1,IF(Atletas!E544="Juvenil 48kg",2,IF(Atletas!E544="Juvenil 52kg",3,IF(Atletas!E544="Juvenil 56kg",4,IF(Atletas!E544="Juvenil 60kg",5,IF(Atletas!E544="Juvenil 65kg",6,IF(Atletas!E544="Juvenil 70kg",7,IF(Atletas!E544="Juvenil 75kg",8,IF(Atletas!E544="Juvenil 82kg",9,IF(Atletas!E544="Juvenil 90kg",10,IF(Atletas!E544="Juvenil 100kg",11,IF(Atletas!E544="Adulto 48kg",12,IF(Atletas!E544="Adulto 52kg",13,IF(Atletas!E544="Adulto 56kg",14,IF(Atletas!E544="Adulto 60kg",15,IF(Atletas!E544="Adulto 65kg",16,IF(Atletas!E544="Adulto 70kg",17,IF(Atletas!E544="Adulto 75kg",18,IF(Atletas!E544="Adulto 82kg",19,IF(Atletas!E544="Adulto 90kg",20,IF(Atletas!E544="Adulto 100kg",21,IF(Atletas!E544="Adulto +100kg",22,""))))))))))))))))))))))))</f>
        <v/>
      </c>
      <c r="AT548" s="10" t="str">
        <f>IF(Atletas!F544="","",IF(Atletas!B544="Feminino",100,IF(Atletas!B544="Masculino",200,""))+(IF(Atletas!F544="Adulto 48kg",1,IF(Atletas!F544="Adulto 56kg",2,IF(Atletas!F544="Adulto 65kg",3,IF(Atletas!F544="Adulto 75kg",4,IF(Atletas!F544="Adulto +75kg",5,IF(Atletas!F544="Adulto 52kg",6,IF(Atletas!F544="Adulto 60kg",7,IF(Atletas!F544="Adulto 70kg",8,IF(Atletas!F544="Adulto 80kg",9,IF(Atletas!F544="Adulto 90kg",10,IF(Atletas!F544="Adulto +90kg",11,"")))))))))))))</f>
        <v/>
      </c>
      <c r="AY548" s="46" t="str">
        <f>IF(Atletas!G544="","",IF(Atletas!B544="Feminino",100,IF(Atletas!B544="Masculino",200,""))+(IF(Atletas!G544="Changquan Mirim",1,IF(Atletas!G544="Nanquan Mirim",2,IF(Atletas!G544="Taijiquan Mirim",3,IF(Atletas!G544="Changquan Grupo C",4,IF(Atletas!G544="Nanquan Grupo C",5,IF(Atletas!G544="Taijiquan Grupo C",6,IF(Atletas!G544="Changquan Grupo B",7,IF(Atletas!G544="Nanquan Grupo B",8,IF(Atletas!G544="Taijiquan Grupo B",9,IF(Atletas!G544="Changquan Grupo A",10,IF(Atletas!G544="Nanquan Grupo A",11,IF(Atletas!G544="Taijiquan Grupo A",12,IF(Atletas!G544="Changquan Opcional",13,IF(Atletas!G544="Nanquan Opcional",14,IF(Atletas!G544="Taijiquan Opcional",15,IF(Atletas!G544="Changquan Adulto",16,IF(Atletas!G544="Nanquan Adulto",17,IF(Atletas!G544="Taijiquan Adulto",18,""))))))))))))))))))))</f>
        <v/>
      </c>
      <c r="AZ548" s="46" t="str">
        <f>IF(Atletas!H544="","",IF(Atletas!B544="Feminino",100,IF(Atletas!B544="Masculino",200,""))+(IF(Atletas!H544="Daoshu Mirim",19,IF(Atletas!H544="Jianshu Mirim",20,IF(Atletas!H544="Nandao Mirim",21,IF(Atletas!H544="Taijijian Mirim",22,IF(Atletas!H544="Daoshu Grupo C",23,IF(Atletas!H544="Jianshu Grupo C",24,IF(Atletas!H544="Nandao Grupo C",25,IF(Atletas!H544="Taijijian Grupo C",26,IF(Atletas!H544="Daoshu Grupo B",27,IF(Atletas!H544="Jianshu Grupo B",28,IF(Atletas!H544="Nandao Grupo B",29,IF(Atletas!H544="Taijijian Grupo B",30,IF(Atletas!H544="Daoshu Grupo A",31,IF(Atletas!H544="Jianshu Grupo A",32,IF(Atletas!H544="Nandao Grupo A",33,IF(Atletas!H544="Taijijian Grupo A",34,IF(Atletas!H544="Daoshu Opcional",35,IF(Atletas!H544="Jianshu Opcional",36,IF(Atletas!H544="Nandao Opcional",37,IF(Atletas!H544="Taijijian Opcional",38,IF(Atletas!H544="Daoshu Adulto",39,IF(Atletas!H544="Jianshu Adulto",40,IF(Atletas!H544="Nandao Adulto",41,IF(Atletas!H544="Taijijian Adulto",42,""))))))))))))))))))))))))))</f>
        <v/>
      </c>
      <c r="BA548" s="46" t="str">
        <f>IF(Atletas!I544="","",IF(Atletas!B544="Feminino",100,IF(Atletas!B544="Masculino",200,""))+(IF(Atletas!I544="Gunshu Mirim",43,IF(Atletas!I544="Qiangshu Mirim",44,IF(Atletas!I544="Nangun Mirim",45,IF(Atletas!I544="Gunshu Grupo C",46,IF(Atletas!I544="Qiangshu Grupo C",47,IF(Atletas!I544="Nangun Grupo C",48,IF(Atletas!I544="Gunshu Grupo B",49,IF(Atletas!I544="Qiangshu Grupo B",50,IF(Atletas!I544="Nangun Grupo B",51,IF(Atletas!I544="Gunshu Grupo A",52,IF(Atletas!I544="Qiangshu Grupo A",53,IF(Atletas!I544="Nangun Grupo A",54,IF(Atletas!I544="Gunshu Opcional",55,IF(Atletas!I544="Qiangshu Opcional",56,IF(Atletas!I544="Nangun Opcional",57,IF(Atletas!I544="Gunshu Adulto",58,IF(Atletas!I544="Qiangshu Adulto",59,IF(Atletas!I544="Nangun Adulto",60,""))))))))))))))))))))</f>
        <v/>
      </c>
      <c r="BF548" s="52" t="str">
        <f>IF(Atletas!J544="","",IF(Atletas!B544="Feminino",100,IF(Atletas!B544="Masculino",200,""))+(IF(Atletas!J544="Equipe 1 Grupo B",1,IF(Atletas!J544="Equipe 2 Grupo B",2,IF(Atletas!J544="Equipe 1 Grupo A",3,IF(Atletas!J544="Equipe 2 Grupo A",4,IF(Atletas!J544="Equipe 1 Adulto",5,IF(Atletas!J544="Equipe 2 Adulto",6,""))))))))</f>
        <v/>
      </c>
      <c r="BK548" s="52" t="str">
        <f>IF(Atletas!K544="","",IF(Atletas!W544&lt;&gt;"",10000,0)+(IF(Atletas!B544="Feminino",1000,IF(Atletas!B544="Masculino",2000,""))+IF(Atletas!K544="Choylayfut A",1,IF(Atletas!K544="Hunggar A",2,IF(Atletas!K544="Wuzuquan A",3,IF(Atletas!K544="Wingchun A",4,IF(Atletas!K544="Outra Mão de Sul A",5,IF(Atletas!K544="Choylayfut B",6,IF(Atletas!K544="Hunggar B",7,IF(Atletas!K544="Wuzuquan B",8,IF(Atletas!K544="Wingchun B",9,IF(Atletas!K544="Outra Mão de Sul B",10,IF(Atletas!K544="Choylayfut C",11,IF(Atletas!K544="Hunggar C",12,IF(Atletas!K544="Wuzuquan C",13,IF(Atletas!K544="Wingchun C",14,IF(Atletas!K544="Outra Mão de Sul C",15,IF(Atletas!K544="Choylayfut D",16,IF(Atletas!K544="Hunggar D",17,IF(Atletas!K544="Wuzuquan D",18,IF(Atletas!K544="Wingchun D",19,IF(Atletas!K544="Outra Mão de Sul D",20,IF(Atletas!K544="Choylayfut E",21,IF(Atletas!K544="Hunggar E",22,IF(Atletas!K544="Wuzuquan E",23,IF(Atletas!K544="Wingchun E",24,IF(Atletas!K544="Outra Mão de Sul E",25,IF(Atletas!K544="Choylayfut F",26,IF(Atletas!K544="Hunggar F",27,IF(Atletas!K544="Wuzuquan F",28,IF(Atletas!K544="Wingchun F",29,IF(Atletas!K544="Outra Mão de Sul F",30,""))))))))))))))))))))))))))))))))</f>
        <v/>
      </c>
      <c r="BL548" s="52" t="str">
        <f>IF(Atletas!L544="","",IF(Atletas!W544&lt;&gt;"",10000,0)+(IF(Atletas!B544="Feminino",1000,IF(Atletas!B544="Masculino",2000,""))+(IF(Atletas!L544="Chaquan A",101,IF(Atletas!L544="Emeiquan A",102,IF(Atletas!L544="Fanziquan A",103,IF(Atletas!L544="Huaquan A",104,IF(Atletas!L544="Hongquan A",105,IF(Atletas!L544="Paochui A",106,IF(Atletas!L544="Piguaquan A",107,IF(Atletas!L544="Shaolinquan A",108,IF(Atletas!L544="Tanglangquan A",109,IF(Atletas!L544="Yinzhaophai A",110,IF(Atletas!L544="Tongbeiquan A",111,IF(Atletas!L544="Wudangquan A",112,IF(Atletas!L544="Outros Estilos A",113,IF(Atletas!L544="Chaquan B",114,IF(Atletas!L544="Emeiquan B",115,IF(Atletas!L544="Fanziquan B",116,IF(Atletas!L544="Huaquan B",117,IF(Atletas!L544="Hongquan B",118,IF(Atletas!L544="Paochui B",119,IF(Atletas!L544="Piguaquan B",120,IF(Atletas!L544="Shaolinquan B",121,IF(Atletas!L544="Tanglangquan B",122,IF(Atletas!L544="Yinzhaophai B",123,IF(Atletas!L544="Tongbeiquan B",124,IF(Atletas!L544="Wudangquan B",125,IF(Atletas!L544="Outros Estilos B",126,IF(Atletas!L544="Chaquan C",127,IF(Atletas!L544="Emeiquan C",128,IF(Atletas!L544="Fanziquan C",129,IF(Atletas!L544="Huaquan C",130,IF(Atletas!L544="Hongquan C",131,IF(Atletas!L544="Paochui C",132,IF(Atletas!L544="Piguaquan C",133,IF(Atletas!L544="Shaolinquan C",134,IF(Atletas!L544="Tanglangquan C",135,IF(Atletas!L544="Yinzhaophai C",136,IF(Atletas!L544="Tongbeiquan C",137,IF(Atletas!L544="Wudangquan C",138,IF(Atletas!L544="Outros Estilos C",139,0))))))))))))))))))))))))))))))))))))))))))</f>
        <v/>
      </c>
      <c r="BM548" s="52" t="str">
        <f>IF(Atletas!L544="","",IF(Atletas!W544&lt;&gt;"",10000,0)+(IF(Atletas!B544="Feminino",1000,IF(Atletas!B544="Masculino",2000,""))+(IF(Atletas!L544="Chaquan D",140,IF(Atletas!L544="Emeiquan D",141,IF(Atletas!L544="Fanziquan D",142,IF(Atletas!L544="Huaquan D",143,IF(Atletas!L544="Hongquan D",144,IF(Atletas!L544="Paochui D",145,IF(Atletas!L544="Piguaquan D",146,IF(Atletas!L544="Shaolinquan D",147,IF(Atletas!L544="Tanglangquan D",148,IF(Atletas!L544="Yinzhaophai D",149,IF(Atletas!L544="Tongbeiquan D",150,IF(Atletas!L544="Wudangquan D",151,IF(Atletas!L544="Outros Estilos D",152,IF(Atletas!L544="Chaquan E",153,IF(Atletas!L544="Emeiquan E",154,IF(Atletas!L544="Fanziquan E",155,IF(Atletas!L544="Huaquan E",156,IF(Atletas!L544="Hongquan E",157,IF(Atletas!L544="Paochui E",158,IF(Atletas!L544="Piguaquan E",159,IF(Atletas!L544="Shaolinquan E",160,IF(Atletas!L544="Tanglangquan E",161,IF(Atletas!L544="Yinzhaophai E",162,IF(Atletas!L544="Tongbeiquan E",163,IF(Atletas!L544="Wudangquan E",164,IF(Atletas!L544="Outros Estilos E",165,IF(Atletas!L544="Chaquan F",166,IF(Atletas!L544="Emeiquan F",167,IF(Atletas!L544="Fanziquan F",168,IF(Atletas!L544="Huaquan F",169,IF(Atletas!L544="Hongquan F",170,IF(Atletas!L544="Paochui F",171,IF(Atletas!L544="Piguaquan F",172,IF(Atletas!L544="Shaolinquan F",173,IF(Atletas!L544="Tanglangquan F",174,IF(Atletas!L544="Yinzhaophai F",175,IF(Atletas!L544="Tongbeiquan F",176,IF(Atletas!L544="Wudangquan F",177,IF(Atletas!L544="Outros Estilos F",178,0))))))))))))))))))))))))))))))))))))))))))</f>
        <v/>
      </c>
      <c r="BN548" s="52" t="str">
        <f>IF(Atletas!M544="","",IF(Atletas!W544&lt;&gt;"",10000,0)+(IF(Atletas!B544="Feminino",1000,IF(Atletas!B544="Masculino",2000,""))+(IF(Atletas!M544="Ditangquan A",201,IF(Atletas!M544="Houquan A",202,IF(Atletas!M544="Zuiquan A",203,IF(Atletas!M544="Ditangquan B",204,IF(Atletas!M544="Houquan B",205,IF(Atletas!M544="Zuiquan B",206,IF(Atletas!M544="Ditangquan C",207,IF(Atletas!M544="Houquan C",208,IF(Atletas!M544="Zuiquan C",209,IF(Atletas!M544="Ditangquan D",210,IF(Atletas!M544="Houquan D",211,IF(Atletas!M544="Zuiquan D",212,IF(Atletas!M544="Ditangquan E",213,IF(Atletas!M544="Houquan E",214,IF(Atletas!M544="Zuiquan E",215,IF(Atletas!M544="Ditangquan F",216,IF(Atletas!M544="Houquan F",217,IF(Atletas!M544="Zuiquan F",218,"")))))))))))))))))))))</f>
        <v/>
      </c>
      <c r="BO548" s="52" t="str">
        <f>IF(Atletas!N544="","",IF(Atletas!W544&lt;&gt;"",10000,0)+IF(Atletas!B544="Feminino",1000,IF(Atletas!B544="Masculino",2000,""))+IF(Atletas!N544="Yang A",301,IF(Atletas!N544="Chen A",30,IF(Atletas!N544="Sun A",303,IF(Atletas!N544="Wu A",304,IF(Atletas!N544="Wu-Hao A",305,IF(Atletas!N544="Outro Taijiquan A",306,IF(Atletas!N544="Yang B",307,IF(Atletas!N544="Chen B",308,IF(Atletas!N544="Sun B",309,IF(Atletas!N544="Wu B",310,IF(Atletas!N544="Wu-Hao B",311,IF(Atletas!N544="Outro Taijiquan B",312,IF(Atletas!N544="Yang C",313,IF(Atletas!N544="Chen C",314,IF(Atletas!N544="Sun C",315,IF(Atletas!N544="Wu C",316,IF(Atletas!N544="Wu-Hao C",317,IF(Atletas!N544="Outro Taijiquan C",318,IF(Atletas!N544="Yang D",319,IF(Atletas!N544="Chen D",320,IF(Atletas!N544="Sun D",321,IF(Atletas!N544="Wu D",322,IF(Atletas!N544="Wu-Hao D",323,IF(Atletas!N544="Outro Taijiquan D",324,IF(Atletas!N544="Yang E",325,IF(Atletas!N544="Chen E",326,IF(Atletas!N544="Sun E",327,IF(Atletas!N544="Wu E",328,IF(Atletas!N544="Wu-Hao E",329,IF(Atletas!N544="Outro Taijiquan E",330,IF(Atletas!N544="Yang F",331,IF(Atletas!N544="Chen F",332,IF(Atletas!N544="Sun F",333,IF(Atletas!N544="Wu F",334,IF(Atletas!N544="Wu-Hao F",335,IF(Atletas!N544="Outro Taijiquan F",336,"")))))))))))))))))))))))))))))))))))))</f>
        <v/>
      </c>
      <c r="BP548" s="52" t="str">
        <f>IF(Atletas!O544="","",IF(Atletas!W544&lt;&gt;"",10000,0)+IF(Atletas!B544="Feminino",1000,IF(Atletas!B544="Masculino",2000,""))+IF(OR(Atletas!O544="Yang 26 A",Atletas!O544="Yang 40 A"),401,IF(OR(Atletas!O544="Chen 25 A",Atletas!O544="Chen 36 A",Atletas!O544="Chen 56 A"),402,IF(Atletas!O544="Sun 73 A",403,IF(Atletas!O544="Wu 45 A",404,IF(Atletas!O544="Wu-Hao 46 A",405,IF(OR(Atletas!O544="Taijiquan 16 A",Atletas!O544="Taijiquan 24 A",Atletas!O544="Taijiquan 32 A",Atletas!O544="Taijiquan 42 A"),406,IF(OR(Atletas!O544="Yang 26 B",Atletas!O544="Yang 40 B"),407,IF(OR(Atletas!O544="Chen 25 B",Atletas!O544="Chen 36 B",Atletas!O544="Chen 56 B"),408,IF(Atletas!O544="Sun 73 B",409,IF(Atletas!O544="Wu 45 B",410,IF(Atletas!O544="Wu-Hao 46 B",411,IF(OR(Atletas!O544="Taijiquan 16 B",Atletas!O544="Taijiquan 24 B",Atletas!O544="Taijiquan 32 B",Atletas!O544="Taijiquan 42 B"),412,IF(OR(Atletas!O544="Yang 26 C",Atletas!O544="Yang 40 C"),413,IF(OR(Atletas!O544="Chen 25 C",Atletas!O544="Chen 36 C",Atletas!O544="Chen 56 C"),414,IF(Atletas!O544="Sun 73 C",415,IF(Atletas!O544="Wu 45 C",416,IF(Atletas!O544="Wu-Hao 46 C",417,IF(OR(Atletas!O544="Taijiquan 16 C",Atletas!O544="Taijiquan 24 C",Atletas!O544="Taijiquan 32 C",Atletas!O544="Taijiquan 42 C"),418,0)))))))))))))))))))</f>
        <v/>
      </c>
      <c r="BQ548" s="52" t="str">
        <f>IF(Atletas!O544="","",IF(Atletas!W544&lt;&gt;"",10000,0)+IF(Atletas!B544="Feminino",1000,IF(Atletas!B544="Masculino",2000,""))+IF(OR(Atletas!O544="Yang 26 D",Atletas!O544="Yang 40 D"),419,IF(OR(Atletas!O544="Chen 25 D",Atletas!O544="Chen 36 D",Atletas!O544="Chen 56 D"),420,IF(Atletas!O544="Sun 73 D",421,IF(Atletas!O544="Wu 45 D",422,IF(Atletas!O544="Wu-Hao 46 D",423,IF(OR(Atletas!O544="Taijiquan 16 D",Atletas!O544="Taijiquan 24 D",Atletas!O544="Taijiquan 32 D",Atletas!O544="Taijiquan 42 D"),424,IF(OR(Atletas!O544="Yang 26 E",Atletas!O544="Yang 40 E"),425,IF(OR(Atletas!O544="Chen 25 E",Atletas!O544="Chen 36 E",Atletas!O544="Chen 56 E"),426,IF(Atletas!O544="Sun 73 E",427,IF(Atletas!O544="Wu 45 E",428,IF(Atletas!O544="Wu-Hao 46 E",429,IF(OR(Atletas!O544="Taijiquan 16 E",Atletas!O544="Taijiquan 24 E",Atletas!O544="Taijiquan 32 E",Atletas!O544="Taijiquan 42 E"),430,IF(OR(Atletas!O544="Yang 26 F",Atletas!O544="Yang 40 F"),431,IF(OR(Atletas!O544="Chen 25 F",Atletas!O544="Chen 36 F",Atletas!O544="Chen 56 F"),432,IF(Atletas!O544="Sun 73 F",433,IF(Atletas!O544="Wu 45 F",434,IF(Atletas!O544="Wu-Hao 46 F",435,IF(OR(Atletas!O544="Taijiquan 16 F",Atletas!O544="Taijiquan 24 F",Atletas!O544="Taijiquan 32 F",Atletas!O544="Taijiquan 42 F"),436,0)))))))))))))))))))</f>
        <v/>
      </c>
      <c r="BR548" s="52" t="str">
        <f>IF(Atletas!P544="","",IF(Atletas!W544&lt;&gt;"",10000,0)+IF(Atletas!B544="Feminino",1000,IF(Atletas!B544="Masculino",2000,""))+IF(Atletas!P544="Xingyiquan A",501,IF(Atletas!P544="Baguazhang A",502,IF(Atletas!P544="Outro Estilo Interno A",503,IF(Atletas!P544="Xingyiquan B",504,IF(Atletas!P544="Baguazhang B",505,IF(Atletas!P544="Outro Estilo Interno B",506,IF(Atletas!P544="Xingyiquan C",507,IF(Atletas!P544="Baguazhang C",508,IF(Atletas!P544="Outro Estilo Interno C",509,IF(Atletas!P544="Xingyiquan D",510,IF(Atletas!P544="Baguazhang D",511,IF(Atletas!P544="Outro Estilo Interno D",512,IF(Atletas!P544="Xingyiquan E",513,IF(Atletas!P544="Baguazhang E",514,IF(Atletas!P544="Outro Estilo Interno E",515,IF(Atletas!P544="Xingyiquan F",516,IF(Atletas!P544="Baguazhang F",517,IF(Atletas!P544="Outro Estilo Interno F",518, "")))))))))))))))))))</f>
        <v/>
      </c>
      <c r="BS548" s="52" t="str">
        <f>IF(Atletas!Q544="","",IF(Atletas!W544&lt;&gt;"",10000,0)+IF(Atletas!B544="Feminino",1000,IF(Atletas!B544="Masculino",2000,""))+IF(Atletas!Q544="Dao A",601,IF(Atletas!Q544="Jian A",602,IF(Atletas!Q544="Bishou A",603,IF(Atletas!Q544="Shan A",604,IF(Atletas!Q544="Outra Arma Curta A",605,IF(Atletas!Q544="Dao B",606,IF(Atletas!Q544="Jian B",607,IF(Atletas!Q544="Bishou B",608,IF(Atletas!Q544="Shan B",609,IF(Atletas!Q544="Outra Arma Curta B",610,IF(Atletas!Q544="Dao C",611,IF(Atletas!Q544="Jian C",612,IF(Atletas!Q544="Bishou C",613,IF(Atletas!Q544="Shan C",614,IF(Atletas!Q544="Outra Arma Curta C",615,IF(Atletas!Q544="Dao D",616,IF(Atletas!Q544="Jian D",617,IF(Atletas!Q544="Bishou D",618,IF(Atletas!Q544="Shan D",619,IF(Atletas!Q544="Outra Arma Curta D",620,IF(Atletas!Q544="Dao E",621,IF(Atletas!Q544="Jian E",622,IF(Atletas!Q544="Bishou E",623,IF(Atletas!Q544="Shan E",624,IF(Atletas!Q544="Outra Arma Curta E",625,IF(Atletas!Q544="Dao F",626,IF(Atletas!Q544="Jian F",627,IF(Atletas!Q544="Bishou F",628,IF(Atletas!Q544="Shan F",629,IF(Atletas!Q544="Outra Arma Curta F",630, "")))))))))))))))))))))))))))))))</f>
        <v/>
      </c>
      <c r="BT548" s="52" t="str">
        <f>IF(Atletas!R544="","",IF(Atletas!W544&lt;&gt;"",10000,0)+IF(Atletas!B544="Feminino",1000,IF(Atletas!B544="Masculino",2000,""))+IF(Atletas!R544="Gun A",701,IF(Atletas!R544="Qiang A",702,IF(Atletas!R544="Pudao / Guandao A",703,IF(Atletas!R544="Outra Arma Longa A",704,IF(Atletas!R544="Gun B",705,IF(Atletas!R544="Qiang B",706,IF(Atletas!R544="Pudao / Guandao B",707,IF(Atletas!R544="Outra Arma Longa B",708,IF(Atletas!R544="Gun C",709,IF(Atletas!R544="Qiang C",710,IF(Atletas!R544="Pudao / Guandao C",711,IF(Atletas!R544="Outra Arma Longa C",712,IF(Atletas!R544="Gun D",713,IF(Atletas!R544="Qiang D",714,IF(Atletas!R544="Pudao / Guandao D",715,IF(Atletas!R544="Outra Arma Longa D",716,IF(Atletas!R544="Gun E",717,IF(Atletas!R544="Qiang E",718,IF(Atletas!R544="Pudao / Guandao E",719,IF(Atletas!R544="Outra Arma Longa E",720,IF(Atletas!R544="Gun F",721,IF(Atletas!R544="Qiang F",722,IF(Atletas!R544="Pudao / Guandao F",723,IF(Atletas!R544="Outra Arma Longa F",724,"")))))))))))))))))))))))))</f>
        <v/>
      </c>
      <c r="BU548" s="52" t="str">
        <f>IF(Atletas!S544="","",IF(Atletas!W544&lt;&gt;"",10000,0)+IF(Atletas!B544="Feminino",1000,IF(Atletas!B544="Masculino",2000,""))+IF(Atletas!S544="Arma Dupla A",801,IF(Atletas!S544="Arma Maleável A",802,IF(Atletas!S544="Arma Dupla B",803,IF(Atletas!S544="Arma Maleável B",804,IF(Atletas!S544="Arma Dupla C",805,IF(Atletas!S544="Arma Maleável C",806,IF(Atletas!S544="Arma Dupla D",807,IF(Atletas!S544="Arma Maleável D",808,IF(Atletas!S544="Arma Dupla E",809,IF(Atletas!S544="Arma Maleável E",810,IF(Atletas!S544="Arma Dupla F",811,IF(Atletas!S544="Arma Maleável F",812, "")))))))))))))</f>
        <v/>
      </c>
      <c r="BV548" s="52" t="str">
        <f>IF(Atletas!T544="","",IF(Atletas!W544&lt;&gt;"",10000,0)+IF(Atletas!B544="Feminino",1000,IF(Atletas!B544="Masculino",2000,""))+IF(Atletas!T544="Taijijian Yang A",901,IF(Atletas!T544="Taijijian Chen A",902,IF(Atletas!T544="Taijijian Sun A",903,IF(Atletas!T544="Taijijian Wu A",904,IF(Atletas!T544="Taijijian Wu-Hao A",905,IF(Atletas!T544="Taijijian 32 A",906,IF(Atletas!T544="Taijijian 42 A",907,IF(Atletas!T544="Taijijian Yang B",908,IF(Atletas!T544="Taijijian Chen B",909,IF(Atletas!T544="Taijijian Sun B",910,IF(Atletas!T544="Taijijian Wu B",911,IF(Atletas!T544="Taijijian Wu-Hao B",912,IF(Atletas!T544="Taijijian 32 B",913,IF(Atletas!T544="Taijijian 42 B",914,IF(Atletas!T544="Taijijian Yang C",915,IF(Atletas!T544="Taijijian Chen C",916,IF(Atletas!T544="Taijijian Sun C",917,IF(Atletas!T544="Taijijian Wu C",918,IF(Atletas!T544="Taijijian Wu-Hao C",919,IF(Atletas!T544="Taijijian 32 C",920,IF(Atletas!T544="Taijijian 42 C",921,IF(Atletas!T544="Taijijian Yang D",922,IF(Atletas!T544="Taijijian Chen D",923,IF(Atletas!T544="Taijijian Sun D",924,IF(Atletas!T544="Taijijian Wu D",925,IF(Atletas!T544="Taijijian Wu-Hao D",926,IF(Atletas!T544="Taijijian 32 D",927,IF(Atletas!T544="Taijijian 42 D",928,IF(Atletas!T544="Taijijian Yang E",929,IF(Atletas!T544="Taijijian Chen E",930,IF(Atletas!T544="Taijijian Sun E",931,IF(Atletas!T544="Taijijian Wu E",932,IF(Atletas!T544="Taijijian Wu-Hao E",933,IF(Atletas!T544="Taijijian 32 E",934,IF(Atletas!T544="Taijijian 42 E",935,IF(Atletas!T544="Taijijian Yang F",936,IF(Atletas!T544="Taijijian Chen F",937,IF(Atletas!T544="Taijijian Sun F",938,IF(Atletas!T544="Taijijian Wu F",939,IF(Atletas!T544="Taijijian Wu-Hao F",940,IF(Atletas!T544="Taijijian 32 F",941,IF(Atletas!T544="Taijijian 42 F",942,"")))))))))))))))))))))))))))))))))))))))))))</f>
        <v/>
      </c>
      <c r="BW548" s="52" t="str">
        <f>IF(Atletas!U544="","",IF(Atletas!W544&lt;&gt;"",10000,0)+IF(Atletas!B544="Feminino",1000,IF(Atletas!B544="Masculino",2000,""))+IF(Atletas!T544="Taijijian 42 F",942,IF(Atletas!U544="Taijidao A",943,IF(Atletas!U544="Taijishan A",944,IF(Atletas!U544="Taijiqiang A",945,IF(Atletas!U544="Taijidao B",946,IF(Atletas!U544="Taijishan B",947,IF(Atletas!U544="Taijiqiang B",948,IF(Atletas!U544="Taijidao C",949,IF(Atletas!U544="Taijishan C",950,IF(Atletas!U544="Taijiqiang C",951,IF(Atletas!U544="Taijidao D",952,IF(Atletas!U544="Taijishan D",953,IF(Atletas!U544="Taijiqiang D",954,IF(Atletas!U544="Taijidao E",955,IF(Atletas!U544="Taijishan E",956,IF(Atletas!U544="Taijiqiang E",957,IF(Atletas!U544="Taijidao F",958,IF(Atletas!U544="Taijishan F",959,IF(Atletas!U544="Taijiqiang F",960))))))))))))))))))))</f>
        <v/>
      </c>
      <c r="CF548" s="52" t="str">
        <f xml:space="preserve"> IF(Atletas!V544="","",IF(Atletas!V544="Duilian de Mãos AB - Equipe 1",1,IF(Atletas!V544="Duilian de Mãos AB - Equipe 2",2,IF(Atletas!V544="Duilian de Armas AB - Equipe 1",3,IF(Atletas!V544="Duilian de Armas AB - Equipe 2",4,IF(Atletas!V544="Duilian de Tuishou - Equipe 1",5,IF(Atletas!V544="Duilian de Tuishou - Equipe 2",6,IF(Atletas!V544="Grupo Externo AB - Equipe 1",7,IF(Atletas!V544="Grupo Externo AB - Equipe 2",8,IF(Atletas!V544="Grupo Interno AB - Equipe 1",9,IF(Atletas!V544="Grupo Interno AB - Equipe 2",10,IF(Atletas!V544="Duilian de Mãos CD - Equipe 1",11,IF(Atletas!V544="Duilian de Mãos CD - Equipe 2",12,IF(Atletas!V544="Duilian de Armas CD - Equipe 1",13,IF(Atletas!V544="Duilian de Armas CD - Equipe 2",14,IF(Atletas!V544="Duilian de Tuishou - Equipe 1",15,IF(Atletas!V544="Duilian de Tuishou - Equipe 2",16,IF(Atletas!V544="Grupo Externo CDEF - Equipe 1",17,IF(Atletas!V544="Grupo Externo CDEF - Equipe 2",18,IF(Atletas!V544="Grupo Interno CDEF - Equipe 1",19,IF(Atletas!V544="Grupo Interno CDEF - Equipe 2",20,IF(Atletas!V544="Duilian de Mãos EF - Equipe 1",21,IF(Atletas!V544="Duilian de Mãos EF - Equipe 2",22,IF(Atletas!V544="Duilian de Armas EF - Equipe 1",23,IF(Atletas!V544="Duilian de Armas EF - Equipe 2",24,IF(Atletas!V544="Duilian de Tuishou - Equipe 1",25,IF(Atletas!V544="Duilian de Tuishou - Equipe 2",26,"")))))))))))))))))))))))))))</f>
        <v/>
      </c>
    </row>
    <row r="549" spans="36:84">
      <c r="AJ549" s="46" t="str">
        <f>IF(Atletas!D545="","",IF(Atletas!B545="Feminino",100,IF(Atletas!B545="Masculino",200,""))+(IF(Atletas!D545="Infantil 39kg",1,IF(Atletas!D545="Infantil 42kg",2,IF(Atletas!D545="Infantil 45kg",3,IF(Atletas!D545="Infantil 48kg",4,IF(Atletas!D545="Infantil 52kg",5,IF(Atletas!D545="Infantil 56kg",6,IF(Atletas!D545="Infantil 60kg",7,IF(Atletas!D545="Juvenil 48kg",8,IF(Atletas!D545="Juvenil 52kg",9,IF(Atletas!D545="Juvenil 56kg",10,IF(Atletas!D545="Juvenil 60kg",11,IF(Atletas!D545="Juvenil 65kg",12,IF(Atletas!D545="Juvenil 70kg",13,IF(Atletas!D545="Juvenil 75kg",14,IF(Atletas!D545="Juvenil 80kg",15,IF(Atletas!D545="Adulto 48kg",16,IF(Atletas!D545="Adulto 52kg",17,IF(Atletas!D545="Adulto 56kg",18,IF(Atletas!D545="Adulto 60kg",19,IF(Atletas!D545="Adulto 65kg",20,IF(Atletas!D545="Adulto 70kg",21,IF(Atletas!D545="Adulto 75kg",22,IF(Atletas!D545="Adulto 80kg",23,IF(Atletas!D545="Adulto 85kg",24,IF(Atletas!D545="Adulto 90kg",25,IF(Atletas!D545="Adulto +90kg",26,""))))))))))))))))))))))))))))</f>
        <v/>
      </c>
      <c r="AO549" s="10" t="str">
        <f>IF(Atletas!E545="","",IF(Atletas!B545="Feminino",100,IF(Atletas!B545="Masculino",200,""))+(IF(Atletas!E545="Juvenil 44kg",1,IF(Atletas!E545="Juvenil 48kg",2,IF(Atletas!E545="Juvenil 52kg",3,IF(Atletas!E545="Juvenil 56kg",4,IF(Atletas!E545="Juvenil 60kg",5,IF(Atletas!E545="Juvenil 65kg",6,IF(Atletas!E545="Juvenil 70kg",7,IF(Atletas!E545="Juvenil 75kg",8,IF(Atletas!E545="Juvenil 82kg",9,IF(Atletas!E545="Juvenil 90kg",10,IF(Atletas!E545="Juvenil 100kg",11,IF(Atletas!E545="Adulto 48kg",12,IF(Atletas!E545="Adulto 52kg",13,IF(Atletas!E545="Adulto 56kg",14,IF(Atletas!E545="Adulto 60kg",15,IF(Atletas!E545="Adulto 65kg",16,IF(Atletas!E545="Adulto 70kg",17,IF(Atletas!E545="Adulto 75kg",18,IF(Atletas!E545="Adulto 82kg",19,IF(Atletas!E545="Adulto 90kg",20,IF(Atletas!E545="Adulto 100kg",21,IF(Atletas!E545="Adulto +100kg",22,""))))))))))))))))))))))))</f>
        <v/>
      </c>
      <c r="AT549" s="10" t="str">
        <f>IF(Atletas!F545="","",IF(Atletas!B545="Feminino",100,IF(Atletas!B545="Masculino",200,""))+(IF(Atletas!F545="Adulto 48kg",1,IF(Atletas!F545="Adulto 56kg",2,IF(Atletas!F545="Adulto 65kg",3,IF(Atletas!F545="Adulto 75kg",4,IF(Atletas!F545="Adulto +75kg",5,IF(Atletas!F545="Adulto 52kg",6,IF(Atletas!F545="Adulto 60kg",7,IF(Atletas!F545="Adulto 70kg",8,IF(Atletas!F545="Adulto 80kg",9,IF(Atletas!F545="Adulto 90kg",10,IF(Atletas!F545="Adulto +90kg",11,"")))))))))))))</f>
        <v/>
      </c>
      <c r="AY549" s="46" t="str">
        <f>IF(Atletas!G545="","",IF(Atletas!B545="Feminino",100,IF(Atletas!B545="Masculino",200,""))+(IF(Atletas!G545="Changquan Mirim",1,IF(Atletas!G545="Nanquan Mirim",2,IF(Atletas!G545="Taijiquan Mirim",3,IF(Atletas!G545="Changquan Grupo C",4,IF(Atletas!G545="Nanquan Grupo C",5,IF(Atletas!G545="Taijiquan Grupo C",6,IF(Atletas!G545="Changquan Grupo B",7,IF(Atletas!G545="Nanquan Grupo B",8,IF(Atletas!G545="Taijiquan Grupo B",9,IF(Atletas!G545="Changquan Grupo A",10,IF(Atletas!G545="Nanquan Grupo A",11,IF(Atletas!G545="Taijiquan Grupo A",12,IF(Atletas!G545="Changquan Opcional",13,IF(Atletas!G545="Nanquan Opcional",14,IF(Atletas!G545="Taijiquan Opcional",15,IF(Atletas!G545="Changquan Adulto",16,IF(Atletas!G545="Nanquan Adulto",17,IF(Atletas!G545="Taijiquan Adulto",18,""))))))))))))))))))))</f>
        <v/>
      </c>
      <c r="AZ549" s="46" t="str">
        <f>IF(Atletas!H545="","",IF(Atletas!B545="Feminino",100,IF(Atletas!B545="Masculino",200,""))+(IF(Atletas!H545="Daoshu Mirim",19,IF(Atletas!H545="Jianshu Mirim",20,IF(Atletas!H545="Nandao Mirim",21,IF(Atletas!H545="Taijijian Mirim",22,IF(Atletas!H545="Daoshu Grupo C",23,IF(Atletas!H545="Jianshu Grupo C",24,IF(Atletas!H545="Nandao Grupo C",25,IF(Atletas!H545="Taijijian Grupo C",26,IF(Atletas!H545="Daoshu Grupo B",27,IF(Atletas!H545="Jianshu Grupo B",28,IF(Atletas!H545="Nandao Grupo B",29,IF(Atletas!H545="Taijijian Grupo B",30,IF(Atletas!H545="Daoshu Grupo A",31,IF(Atletas!H545="Jianshu Grupo A",32,IF(Atletas!H545="Nandao Grupo A",33,IF(Atletas!H545="Taijijian Grupo A",34,IF(Atletas!H545="Daoshu Opcional",35,IF(Atletas!H545="Jianshu Opcional",36,IF(Atletas!H545="Nandao Opcional",37,IF(Atletas!H545="Taijijian Opcional",38,IF(Atletas!H545="Daoshu Adulto",39,IF(Atletas!H545="Jianshu Adulto",40,IF(Atletas!H545="Nandao Adulto",41,IF(Atletas!H545="Taijijian Adulto",42,""))))))))))))))))))))))))))</f>
        <v/>
      </c>
      <c r="BA549" s="46" t="str">
        <f>IF(Atletas!I545="","",IF(Atletas!B545="Feminino",100,IF(Atletas!B545="Masculino",200,""))+(IF(Atletas!I545="Gunshu Mirim",43,IF(Atletas!I545="Qiangshu Mirim",44,IF(Atletas!I545="Nangun Mirim",45,IF(Atletas!I545="Gunshu Grupo C",46,IF(Atletas!I545="Qiangshu Grupo C",47,IF(Atletas!I545="Nangun Grupo C",48,IF(Atletas!I545="Gunshu Grupo B",49,IF(Atletas!I545="Qiangshu Grupo B",50,IF(Atletas!I545="Nangun Grupo B",51,IF(Atletas!I545="Gunshu Grupo A",52,IF(Atletas!I545="Qiangshu Grupo A",53,IF(Atletas!I545="Nangun Grupo A",54,IF(Atletas!I545="Gunshu Opcional",55,IF(Atletas!I545="Qiangshu Opcional",56,IF(Atletas!I545="Nangun Opcional",57,IF(Atletas!I545="Gunshu Adulto",58,IF(Atletas!I545="Qiangshu Adulto",59,IF(Atletas!I545="Nangun Adulto",60,""))))))))))))))))))))</f>
        <v/>
      </c>
      <c r="BF549" s="52" t="str">
        <f>IF(Atletas!J545="","",IF(Atletas!B545="Feminino",100,IF(Atletas!B545="Masculino",200,""))+(IF(Atletas!J545="Equipe 1 Grupo B",1,IF(Atletas!J545="Equipe 2 Grupo B",2,IF(Atletas!J545="Equipe 1 Grupo A",3,IF(Atletas!J545="Equipe 2 Grupo A",4,IF(Atletas!J545="Equipe 1 Adulto",5,IF(Atletas!J545="Equipe 2 Adulto",6,""))))))))</f>
        <v/>
      </c>
      <c r="BK549" s="52" t="str">
        <f>IF(Atletas!K545="","",IF(Atletas!W545&lt;&gt;"",10000,0)+(IF(Atletas!B545="Feminino",1000,IF(Atletas!B545="Masculino",2000,""))+IF(Atletas!K545="Choylayfut A",1,IF(Atletas!K545="Hunggar A",2,IF(Atletas!K545="Wuzuquan A",3,IF(Atletas!K545="Wingchun A",4,IF(Atletas!K545="Outra Mão de Sul A",5,IF(Atletas!K545="Choylayfut B",6,IF(Atletas!K545="Hunggar B",7,IF(Atletas!K545="Wuzuquan B",8,IF(Atletas!K545="Wingchun B",9,IF(Atletas!K545="Outra Mão de Sul B",10,IF(Atletas!K545="Choylayfut C",11,IF(Atletas!K545="Hunggar C",12,IF(Atletas!K545="Wuzuquan C",13,IF(Atletas!K545="Wingchun C",14,IF(Atletas!K545="Outra Mão de Sul C",15,IF(Atletas!K545="Choylayfut D",16,IF(Atletas!K545="Hunggar D",17,IF(Atletas!K545="Wuzuquan D",18,IF(Atletas!K545="Wingchun D",19,IF(Atletas!K545="Outra Mão de Sul D",20,IF(Atletas!K545="Choylayfut E",21,IF(Atletas!K545="Hunggar E",22,IF(Atletas!K545="Wuzuquan E",23,IF(Atletas!K545="Wingchun E",24,IF(Atletas!K545="Outra Mão de Sul E",25,IF(Atletas!K545="Choylayfut F",26,IF(Atletas!K545="Hunggar F",27,IF(Atletas!K545="Wuzuquan F",28,IF(Atletas!K545="Wingchun F",29,IF(Atletas!K545="Outra Mão de Sul F",30,""))))))))))))))))))))))))))))))))</f>
        <v/>
      </c>
      <c r="BL549" s="52" t="str">
        <f>IF(Atletas!L545="","",IF(Atletas!W545&lt;&gt;"",10000,0)+(IF(Atletas!B545="Feminino",1000,IF(Atletas!B545="Masculino",2000,""))+(IF(Atletas!L545="Chaquan A",101,IF(Atletas!L545="Emeiquan A",102,IF(Atletas!L545="Fanziquan A",103,IF(Atletas!L545="Huaquan A",104,IF(Atletas!L545="Hongquan A",105,IF(Atletas!L545="Paochui A",106,IF(Atletas!L545="Piguaquan A",107,IF(Atletas!L545="Shaolinquan A",108,IF(Atletas!L545="Tanglangquan A",109,IF(Atletas!L545="Yinzhaophai A",110,IF(Atletas!L545="Tongbeiquan A",111,IF(Atletas!L545="Wudangquan A",112,IF(Atletas!L545="Outros Estilos A",113,IF(Atletas!L545="Chaquan B",114,IF(Atletas!L545="Emeiquan B",115,IF(Atletas!L545="Fanziquan B",116,IF(Atletas!L545="Huaquan B",117,IF(Atletas!L545="Hongquan B",118,IF(Atletas!L545="Paochui B",119,IF(Atletas!L545="Piguaquan B",120,IF(Atletas!L545="Shaolinquan B",121,IF(Atletas!L545="Tanglangquan B",122,IF(Atletas!L545="Yinzhaophai B",123,IF(Atletas!L545="Tongbeiquan B",124,IF(Atletas!L545="Wudangquan B",125,IF(Atletas!L545="Outros Estilos B",126,IF(Atletas!L545="Chaquan C",127,IF(Atletas!L545="Emeiquan C",128,IF(Atletas!L545="Fanziquan C",129,IF(Atletas!L545="Huaquan C",130,IF(Atletas!L545="Hongquan C",131,IF(Atletas!L545="Paochui C",132,IF(Atletas!L545="Piguaquan C",133,IF(Atletas!L545="Shaolinquan C",134,IF(Atletas!L545="Tanglangquan C",135,IF(Atletas!L545="Yinzhaophai C",136,IF(Atletas!L545="Tongbeiquan C",137,IF(Atletas!L545="Wudangquan C",138,IF(Atletas!L545="Outros Estilos C",139,0))))))))))))))))))))))))))))))))))))))))))</f>
        <v/>
      </c>
      <c r="BM549" s="52" t="str">
        <f>IF(Atletas!L545="","",IF(Atletas!W545&lt;&gt;"",10000,0)+(IF(Atletas!B545="Feminino",1000,IF(Atletas!B545="Masculino",2000,""))+(IF(Atletas!L545="Chaquan D",140,IF(Atletas!L545="Emeiquan D",141,IF(Atletas!L545="Fanziquan D",142,IF(Atletas!L545="Huaquan D",143,IF(Atletas!L545="Hongquan D",144,IF(Atletas!L545="Paochui D",145,IF(Atletas!L545="Piguaquan D",146,IF(Atletas!L545="Shaolinquan D",147,IF(Atletas!L545="Tanglangquan D",148,IF(Atletas!L545="Yinzhaophai D",149,IF(Atletas!L545="Tongbeiquan D",150,IF(Atletas!L545="Wudangquan D",151,IF(Atletas!L545="Outros Estilos D",152,IF(Atletas!L545="Chaquan E",153,IF(Atletas!L545="Emeiquan E",154,IF(Atletas!L545="Fanziquan E",155,IF(Atletas!L545="Huaquan E",156,IF(Atletas!L545="Hongquan E",157,IF(Atletas!L545="Paochui E",158,IF(Atletas!L545="Piguaquan E",159,IF(Atletas!L545="Shaolinquan E",160,IF(Atletas!L545="Tanglangquan E",161,IF(Atletas!L545="Yinzhaophai E",162,IF(Atletas!L545="Tongbeiquan E",163,IF(Atletas!L545="Wudangquan E",164,IF(Atletas!L545="Outros Estilos E",165,IF(Atletas!L545="Chaquan F",166,IF(Atletas!L545="Emeiquan F",167,IF(Atletas!L545="Fanziquan F",168,IF(Atletas!L545="Huaquan F",169,IF(Atletas!L545="Hongquan F",170,IF(Atletas!L545="Paochui F",171,IF(Atletas!L545="Piguaquan F",172,IF(Atletas!L545="Shaolinquan F",173,IF(Atletas!L545="Tanglangquan F",174,IF(Atletas!L545="Yinzhaophai F",175,IF(Atletas!L545="Tongbeiquan F",176,IF(Atletas!L545="Wudangquan F",177,IF(Atletas!L545="Outros Estilos F",178,0))))))))))))))))))))))))))))))))))))))))))</f>
        <v/>
      </c>
      <c r="BN549" s="52" t="str">
        <f>IF(Atletas!M545="","",IF(Atletas!W545&lt;&gt;"",10000,0)+(IF(Atletas!B545="Feminino",1000,IF(Atletas!B545="Masculino",2000,""))+(IF(Atletas!M545="Ditangquan A",201,IF(Atletas!M545="Houquan A",202,IF(Atletas!M545="Zuiquan A",203,IF(Atletas!M545="Ditangquan B",204,IF(Atletas!M545="Houquan B",205,IF(Atletas!M545="Zuiquan B",206,IF(Atletas!M545="Ditangquan C",207,IF(Atletas!M545="Houquan C",208,IF(Atletas!M545="Zuiquan C",209,IF(Atletas!M545="Ditangquan D",210,IF(Atletas!M545="Houquan D",211,IF(Atletas!M545="Zuiquan D",212,IF(Atletas!M545="Ditangquan E",213,IF(Atletas!M545="Houquan E",214,IF(Atletas!M545="Zuiquan E",215,IF(Atletas!M545="Ditangquan F",216,IF(Atletas!M545="Houquan F",217,IF(Atletas!M545="Zuiquan F",218,"")))))))))))))))))))))</f>
        <v/>
      </c>
      <c r="BO549" s="52" t="str">
        <f>IF(Atletas!N545="","",IF(Atletas!W545&lt;&gt;"",10000,0)+IF(Atletas!B545="Feminino",1000,IF(Atletas!B545="Masculino",2000,""))+IF(Atletas!N545="Yang A",301,IF(Atletas!N545="Chen A",30,IF(Atletas!N545="Sun A",303,IF(Atletas!N545="Wu A",304,IF(Atletas!N545="Wu-Hao A",305,IF(Atletas!N545="Outro Taijiquan A",306,IF(Atletas!N545="Yang B",307,IF(Atletas!N545="Chen B",308,IF(Atletas!N545="Sun B",309,IF(Atletas!N545="Wu B",310,IF(Atletas!N545="Wu-Hao B",311,IF(Atletas!N545="Outro Taijiquan B",312,IF(Atletas!N545="Yang C",313,IF(Atletas!N545="Chen C",314,IF(Atletas!N545="Sun C",315,IF(Atletas!N545="Wu C",316,IF(Atletas!N545="Wu-Hao C",317,IF(Atletas!N545="Outro Taijiquan C",318,IF(Atletas!N545="Yang D",319,IF(Atletas!N545="Chen D",320,IF(Atletas!N545="Sun D",321,IF(Atletas!N545="Wu D",322,IF(Atletas!N545="Wu-Hao D",323,IF(Atletas!N545="Outro Taijiquan D",324,IF(Atletas!N545="Yang E",325,IF(Atletas!N545="Chen E",326,IF(Atletas!N545="Sun E",327,IF(Atletas!N545="Wu E",328,IF(Atletas!N545="Wu-Hao E",329,IF(Atletas!N545="Outro Taijiquan E",330,IF(Atletas!N545="Yang F",331,IF(Atletas!N545="Chen F",332,IF(Atletas!N545="Sun F",333,IF(Atletas!N545="Wu F",334,IF(Atletas!N545="Wu-Hao F",335,IF(Atletas!N545="Outro Taijiquan F",336,"")))))))))))))))))))))))))))))))))))))</f>
        <v/>
      </c>
      <c r="BP549" s="52" t="str">
        <f>IF(Atletas!O545="","",IF(Atletas!W545&lt;&gt;"",10000,0)+IF(Atletas!B545="Feminino",1000,IF(Atletas!B545="Masculino",2000,""))+IF(OR(Atletas!O545="Yang 26 A",Atletas!O545="Yang 40 A"),401,IF(OR(Atletas!O545="Chen 25 A",Atletas!O545="Chen 36 A",Atletas!O545="Chen 56 A"),402,IF(Atletas!O545="Sun 73 A",403,IF(Atletas!O545="Wu 45 A",404,IF(Atletas!O545="Wu-Hao 46 A",405,IF(OR(Atletas!O545="Taijiquan 16 A",Atletas!O545="Taijiquan 24 A",Atletas!O545="Taijiquan 32 A",Atletas!O545="Taijiquan 42 A"),406,IF(OR(Atletas!O545="Yang 26 B",Atletas!O545="Yang 40 B"),407,IF(OR(Atletas!O545="Chen 25 B",Atletas!O545="Chen 36 B",Atletas!O545="Chen 56 B"),408,IF(Atletas!O545="Sun 73 B",409,IF(Atletas!O545="Wu 45 B",410,IF(Atletas!O545="Wu-Hao 46 B",411,IF(OR(Atletas!O545="Taijiquan 16 B",Atletas!O545="Taijiquan 24 B",Atletas!O545="Taijiquan 32 B",Atletas!O545="Taijiquan 42 B"),412,IF(OR(Atletas!O545="Yang 26 C",Atletas!O545="Yang 40 C"),413,IF(OR(Atletas!O545="Chen 25 C",Atletas!O545="Chen 36 C",Atletas!O545="Chen 56 C"),414,IF(Atletas!O545="Sun 73 C",415,IF(Atletas!O545="Wu 45 C",416,IF(Atletas!O545="Wu-Hao 46 C",417,IF(OR(Atletas!O545="Taijiquan 16 C",Atletas!O545="Taijiquan 24 C",Atletas!O545="Taijiquan 32 C",Atletas!O545="Taijiquan 42 C"),418,0)))))))))))))))))))</f>
        <v/>
      </c>
      <c r="BQ549" s="52" t="str">
        <f>IF(Atletas!O545="","",IF(Atletas!W545&lt;&gt;"",10000,0)+IF(Atletas!B545="Feminino",1000,IF(Atletas!B545="Masculino",2000,""))+IF(OR(Atletas!O545="Yang 26 D",Atletas!O545="Yang 40 D"),419,IF(OR(Atletas!O545="Chen 25 D",Atletas!O545="Chen 36 D",Atletas!O545="Chen 56 D"),420,IF(Atletas!O545="Sun 73 D",421,IF(Atletas!O545="Wu 45 D",422,IF(Atletas!O545="Wu-Hao 46 D",423,IF(OR(Atletas!O545="Taijiquan 16 D",Atletas!O545="Taijiquan 24 D",Atletas!O545="Taijiquan 32 D",Atletas!O545="Taijiquan 42 D"),424,IF(OR(Atletas!O545="Yang 26 E",Atletas!O545="Yang 40 E"),425,IF(OR(Atletas!O545="Chen 25 E",Atletas!O545="Chen 36 E",Atletas!O545="Chen 56 E"),426,IF(Atletas!O545="Sun 73 E",427,IF(Atletas!O545="Wu 45 E",428,IF(Atletas!O545="Wu-Hao 46 E",429,IF(OR(Atletas!O545="Taijiquan 16 E",Atletas!O545="Taijiquan 24 E",Atletas!O545="Taijiquan 32 E",Atletas!O545="Taijiquan 42 E"),430,IF(OR(Atletas!O545="Yang 26 F",Atletas!O545="Yang 40 F"),431,IF(OR(Atletas!O545="Chen 25 F",Atletas!O545="Chen 36 F",Atletas!O545="Chen 56 F"),432,IF(Atletas!O545="Sun 73 F",433,IF(Atletas!O545="Wu 45 F",434,IF(Atletas!O545="Wu-Hao 46 F",435,IF(OR(Atletas!O545="Taijiquan 16 F",Atletas!O545="Taijiquan 24 F",Atletas!O545="Taijiquan 32 F",Atletas!O545="Taijiquan 42 F"),436,0)))))))))))))))))))</f>
        <v/>
      </c>
      <c r="BR549" s="52" t="str">
        <f>IF(Atletas!P545="","",IF(Atletas!W545&lt;&gt;"",10000,0)+IF(Atletas!B545="Feminino",1000,IF(Atletas!B545="Masculino",2000,""))+IF(Atletas!P545="Xingyiquan A",501,IF(Atletas!P545="Baguazhang A",502,IF(Atletas!P545="Outro Estilo Interno A",503,IF(Atletas!P545="Xingyiquan B",504,IF(Atletas!P545="Baguazhang B",505,IF(Atletas!P545="Outro Estilo Interno B",506,IF(Atletas!P545="Xingyiquan C",507,IF(Atletas!P545="Baguazhang C",508,IF(Atletas!P545="Outro Estilo Interno C",509,IF(Atletas!P545="Xingyiquan D",510,IF(Atletas!P545="Baguazhang D",511,IF(Atletas!P545="Outro Estilo Interno D",512,IF(Atletas!P545="Xingyiquan E",513,IF(Atletas!P545="Baguazhang E",514,IF(Atletas!P545="Outro Estilo Interno E",515,IF(Atletas!P545="Xingyiquan F",516,IF(Atletas!P545="Baguazhang F",517,IF(Atletas!P545="Outro Estilo Interno F",518, "")))))))))))))))))))</f>
        <v/>
      </c>
      <c r="BS549" s="52" t="str">
        <f>IF(Atletas!Q545="","",IF(Atletas!W545&lt;&gt;"",10000,0)+IF(Atletas!B545="Feminino",1000,IF(Atletas!B545="Masculino",2000,""))+IF(Atletas!Q545="Dao A",601,IF(Atletas!Q545="Jian A",602,IF(Atletas!Q545="Bishou A",603,IF(Atletas!Q545="Shan A",604,IF(Atletas!Q545="Outra Arma Curta A",605,IF(Atletas!Q545="Dao B",606,IF(Atletas!Q545="Jian B",607,IF(Atletas!Q545="Bishou B",608,IF(Atletas!Q545="Shan B",609,IF(Atletas!Q545="Outra Arma Curta B",610,IF(Atletas!Q545="Dao C",611,IF(Atletas!Q545="Jian C",612,IF(Atletas!Q545="Bishou C",613,IF(Atletas!Q545="Shan C",614,IF(Atletas!Q545="Outra Arma Curta C",615,IF(Atletas!Q545="Dao D",616,IF(Atletas!Q545="Jian D",617,IF(Atletas!Q545="Bishou D",618,IF(Atletas!Q545="Shan D",619,IF(Atletas!Q545="Outra Arma Curta D",620,IF(Atletas!Q545="Dao E",621,IF(Atletas!Q545="Jian E",622,IF(Atletas!Q545="Bishou E",623,IF(Atletas!Q545="Shan E",624,IF(Atletas!Q545="Outra Arma Curta E",625,IF(Atletas!Q545="Dao F",626,IF(Atletas!Q545="Jian F",627,IF(Atletas!Q545="Bishou F",628,IF(Atletas!Q545="Shan F",629,IF(Atletas!Q545="Outra Arma Curta F",630, "")))))))))))))))))))))))))))))))</f>
        <v/>
      </c>
      <c r="BT549" s="52" t="str">
        <f>IF(Atletas!R545="","",IF(Atletas!W545&lt;&gt;"",10000,0)+IF(Atletas!B545="Feminino",1000,IF(Atletas!B545="Masculino",2000,""))+IF(Atletas!R545="Gun A",701,IF(Atletas!R545="Qiang A",702,IF(Atletas!R545="Pudao / Guandao A",703,IF(Atletas!R545="Outra Arma Longa A",704,IF(Atletas!R545="Gun B",705,IF(Atletas!R545="Qiang B",706,IF(Atletas!R545="Pudao / Guandao B",707,IF(Atletas!R545="Outra Arma Longa B",708,IF(Atletas!R545="Gun C",709,IF(Atletas!R545="Qiang C",710,IF(Atletas!R545="Pudao / Guandao C",711,IF(Atletas!R545="Outra Arma Longa C",712,IF(Atletas!R545="Gun D",713,IF(Atletas!R545="Qiang D",714,IF(Atletas!R545="Pudao / Guandao D",715,IF(Atletas!R545="Outra Arma Longa D",716,IF(Atletas!R545="Gun E",717,IF(Atletas!R545="Qiang E",718,IF(Atletas!R545="Pudao / Guandao E",719,IF(Atletas!R545="Outra Arma Longa E",720,IF(Atletas!R545="Gun F",721,IF(Atletas!R545="Qiang F",722,IF(Atletas!R545="Pudao / Guandao F",723,IF(Atletas!R545="Outra Arma Longa F",724,"")))))))))))))))))))))))))</f>
        <v/>
      </c>
      <c r="BU549" s="52" t="str">
        <f>IF(Atletas!S545="","",IF(Atletas!W545&lt;&gt;"",10000,0)+IF(Atletas!B545="Feminino",1000,IF(Atletas!B545="Masculino",2000,""))+IF(Atletas!S545="Arma Dupla A",801,IF(Atletas!S545="Arma Maleável A",802,IF(Atletas!S545="Arma Dupla B",803,IF(Atletas!S545="Arma Maleável B",804,IF(Atletas!S545="Arma Dupla C",805,IF(Atletas!S545="Arma Maleável C",806,IF(Atletas!S545="Arma Dupla D",807,IF(Atletas!S545="Arma Maleável D",808,IF(Atletas!S545="Arma Dupla E",809,IF(Atletas!S545="Arma Maleável E",810,IF(Atletas!S545="Arma Dupla F",811,IF(Atletas!S545="Arma Maleável F",812, "")))))))))))))</f>
        <v/>
      </c>
      <c r="BV549" s="52" t="str">
        <f>IF(Atletas!T545="","",IF(Atletas!W545&lt;&gt;"",10000,0)+IF(Atletas!B545="Feminino",1000,IF(Atletas!B545="Masculino",2000,""))+IF(Atletas!T545="Taijijian Yang A",901,IF(Atletas!T545="Taijijian Chen A",902,IF(Atletas!T545="Taijijian Sun A",903,IF(Atletas!T545="Taijijian Wu A",904,IF(Atletas!T545="Taijijian Wu-Hao A",905,IF(Atletas!T545="Taijijian 32 A",906,IF(Atletas!T545="Taijijian 42 A",907,IF(Atletas!T545="Taijijian Yang B",908,IF(Atletas!T545="Taijijian Chen B",909,IF(Atletas!T545="Taijijian Sun B",910,IF(Atletas!T545="Taijijian Wu B",911,IF(Atletas!T545="Taijijian Wu-Hao B",912,IF(Atletas!T545="Taijijian 32 B",913,IF(Atletas!T545="Taijijian 42 B",914,IF(Atletas!T545="Taijijian Yang C",915,IF(Atletas!T545="Taijijian Chen C",916,IF(Atletas!T545="Taijijian Sun C",917,IF(Atletas!T545="Taijijian Wu C",918,IF(Atletas!T545="Taijijian Wu-Hao C",919,IF(Atletas!T545="Taijijian 32 C",920,IF(Atletas!T545="Taijijian 42 C",921,IF(Atletas!T545="Taijijian Yang D",922,IF(Atletas!T545="Taijijian Chen D",923,IF(Atletas!T545="Taijijian Sun D",924,IF(Atletas!T545="Taijijian Wu D",925,IF(Atletas!T545="Taijijian Wu-Hao D",926,IF(Atletas!T545="Taijijian 32 D",927,IF(Atletas!T545="Taijijian 42 D",928,IF(Atletas!T545="Taijijian Yang E",929,IF(Atletas!T545="Taijijian Chen E",930,IF(Atletas!T545="Taijijian Sun E",931,IF(Atletas!T545="Taijijian Wu E",932,IF(Atletas!T545="Taijijian Wu-Hao E",933,IF(Atletas!T545="Taijijian 32 E",934,IF(Atletas!T545="Taijijian 42 E",935,IF(Atletas!T545="Taijijian Yang F",936,IF(Atletas!T545="Taijijian Chen F",937,IF(Atletas!T545="Taijijian Sun F",938,IF(Atletas!T545="Taijijian Wu F",939,IF(Atletas!T545="Taijijian Wu-Hao F",940,IF(Atletas!T545="Taijijian 32 F",941,IF(Atletas!T545="Taijijian 42 F",942,"")))))))))))))))))))))))))))))))))))))))))))</f>
        <v/>
      </c>
      <c r="BW549" s="52" t="str">
        <f>IF(Atletas!U545="","",IF(Atletas!W545&lt;&gt;"",10000,0)+IF(Atletas!B545="Feminino",1000,IF(Atletas!B545="Masculino",2000,""))+IF(Atletas!T545="Taijijian 42 F",942,IF(Atletas!U545="Taijidao A",943,IF(Atletas!U545="Taijishan A",944,IF(Atletas!U545="Taijiqiang A",945,IF(Atletas!U545="Taijidao B",946,IF(Atletas!U545="Taijishan B",947,IF(Atletas!U545="Taijiqiang B",948,IF(Atletas!U545="Taijidao C",949,IF(Atletas!U545="Taijishan C",950,IF(Atletas!U545="Taijiqiang C",951,IF(Atletas!U545="Taijidao D",952,IF(Atletas!U545="Taijishan D",953,IF(Atletas!U545="Taijiqiang D",954,IF(Atletas!U545="Taijidao E",955,IF(Atletas!U545="Taijishan E",956,IF(Atletas!U545="Taijiqiang E",957,IF(Atletas!U545="Taijidao F",958,IF(Atletas!U545="Taijishan F",959,IF(Atletas!U545="Taijiqiang F",960))))))))))))))))))))</f>
        <v/>
      </c>
      <c r="CF549" s="52" t="str">
        <f xml:space="preserve"> IF(Atletas!V545="","",IF(Atletas!V545="Duilian de Mãos AB - Equipe 1",1,IF(Atletas!V545="Duilian de Mãos AB - Equipe 2",2,IF(Atletas!V545="Duilian de Armas AB - Equipe 1",3,IF(Atletas!V545="Duilian de Armas AB - Equipe 2",4,IF(Atletas!V545="Duilian de Tuishou - Equipe 1",5,IF(Atletas!V545="Duilian de Tuishou - Equipe 2",6,IF(Atletas!V545="Grupo Externo AB - Equipe 1",7,IF(Atletas!V545="Grupo Externo AB - Equipe 2",8,IF(Atletas!V545="Grupo Interno AB - Equipe 1",9,IF(Atletas!V545="Grupo Interno AB - Equipe 2",10,IF(Atletas!V545="Duilian de Mãos CD - Equipe 1",11,IF(Atletas!V545="Duilian de Mãos CD - Equipe 2",12,IF(Atletas!V545="Duilian de Armas CD - Equipe 1",13,IF(Atletas!V545="Duilian de Armas CD - Equipe 2",14,IF(Atletas!V545="Duilian de Tuishou - Equipe 1",15,IF(Atletas!V545="Duilian de Tuishou - Equipe 2",16,IF(Atletas!V545="Grupo Externo CDEF - Equipe 1",17,IF(Atletas!V545="Grupo Externo CDEF - Equipe 2",18,IF(Atletas!V545="Grupo Interno CDEF - Equipe 1",19,IF(Atletas!V545="Grupo Interno CDEF - Equipe 2",20,IF(Atletas!V545="Duilian de Mãos EF - Equipe 1",21,IF(Atletas!V545="Duilian de Mãos EF - Equipe 2",22,IF(Atletas!V545="Duilian de Armas EF - Equipe 1",23,IF(Atletas!V545="Duilian de Armas EF - Equipe 2",24,IF(Atletas!V545="Duilian de Tuishou - Equipe 1",25,IF(Atletas!V545="Duilian de Tuishou - Equipe 2",26,"")))))))))))))))))))))))))))</f>
        <v/>
      </c>
    </row>
    <row r="550" spans="36:84">
      <c r="AJ550" s="46" t="str">
        <f>IF(Atletas!D546="","",IF(Atletas!B546="Feminino",100,IF(Atletas!B546="Masculino",200,""))+(IF(Atletas!D546="Infantil 39kg",1,IF(Atletas!D546="Infantil 42kg",2,IF(Atletas!D546="Infantil 45kg",3,IF(Atletas!D546="Infantil 48kg",4,IF(Atletas!D546="Infantil 52kg",5,IF(Atletas!D546="Infantil 56kg",6,IF(Atletas!D546="Infantil 60kg",7,IF(Atletas!D546="Juvenil 48kg",8,IF(Atletas!D546="Juvenil 52kg",9,IF(Atletas!D546="Juvenil 56kg",10,IF(Atletas!D546="Juvenil 60kg",11,IF(Atletas!D546="Juvenil 65kg",12,IF(Atletas!D546="Juvenil 70kg",13,IF(Atletas!D546="Juvenil 75kg",14,IF(Atletas!D546="Juvenil 80kg",15,IF(Atletas!D546="Adulto 48kg",16,IF(Atletas!D546="Adulto 52kg",17,IF(Atletas!D546="Adulto 56kg",18,IF(Atletas!D546="Adulto 60kg",19,IF(Atletas!D546="Adulto 65kg",20,IF(Atletas!D546="Adulto 70kg",21,IF(Atletas!D546="Adulto 75kg",22,IF(Atletas!D546="Adulto 80kg",23,IF(Atletas!D546="Adulto 85kg",24,IF(Atletas!D546="Adulto 90kg",25,IF(Atletas!D546="Adulto +90kg",26,""))))))))))))))))))))))))))))</f>
        <v/>
      </c>
      <c r="AO550" s="10" t="str">
        <f>IF(Atletas!E546="","",IF(Atletas!B546="Feminino",100,IF(Atletas!B546="Masculino",200,""))+(IF(Atletas!E546="Juvenil 44kg",1,IF(Atletas!E546="Juvenil 48kg",2,IF(Atletas!E546="Juvenil 52kg",3,IF(Atletas!E546="Juvenil 56kg",4,IF(Atletas!E546="Juvenil 60kg",5,IF(Atletas!E546="Juvenil 65kg",6,IF(Atletas!E546="Juvenil 70kg",7,IF(Atletas!E546="Juvenil 75kg",8,IF(Atletas!E546="Juvenil 82kg",9,IF(Atletas!E546="Juvenil 90kg",10,IF(Atletas!E546="Juvenil 100kg",11,IF(Atletas!E546="Adulto 48kg",12,IF(Atletas!E546="Adulto 52kg",13,IF(Atletas!E546="Adulto 56kg",14,IF(Atletas!E546="Adulto 60kg",15,IF(Atletas!E546="Adulto 65kg",16,IF(Atletas!E546="Adulto 70kg",17,IF(Atletas!E546="Adulto 75kg",18,IF(Atletas!E546="Adulto 82kg",19,IF(Atletas!E546="Adulto 90kg",20,IF(Atletas!E546="Adulto 100kg",21,IF(Atletas!E546="Adulto +100kg",22,""))))))))))))))))))))))))</f>
        <v/>
      </c>
      <c r="AT550" s="10" t="str">
        <f>IF(Atletas!F546="","",IF(Atletas!B546="Feminino",100,IF(Atletas!B546="Masculino",200,""))+(IF(Atletas!F546="Adulto 48kg",1,IF(Atletas!F546="Adulto 56kg",2,IF(Atletas!F546="Adulto 65kg",3,IF(Atletas!F546="Adulto 75kg",4,IF(Atletas!F546="Adulto +75kg",5,IF(Atletas!F546="Adulto 52kg",6,IF(Atletas!F546="Adulto 60kg",7,IF(Atletas!F546="Adulto 70kg",8,IF(Atletas!F546="Adulto 80kg",9,IF(Atletas!F546="Adulto 90kg",10,IF(Atletas!F546="Adulto +90kg",11,"")))))))))))))</f>
        <v/>
      </c>
      <c r="AY550" s="46" t="str">
        <f>IF(Atletas!G546="","",IF(Atletas!B546="Feminino",100,IF(Atletas!B546="Masculino",200,""))+(IF(Atletas!G546="Changquan Mirim",1,IF(Atletas!G546="Nanquan Mirim",2,IF(Atletas!G546="Taijiquan Mirim",3,IF(Atletas!G546="Changquan Grupo C",4,IF(Atletas!G546="Nanquan Grupo C",5,IF(Atletas!G546="Taijiquan Grupo C",6,IF(Atletas!G546="Changquan Grupo B",7,IF(Atletas!G546="Nanquan Grupo B",8,IF(Atletas!G546="Taijiquan Grupo B",9,IF(Atletas!G546="Changquan Grupo A",10,IF(Atletas!G546="Nanquan Grupo A",11,IF(Atletas!G546="Taijiquan Grupo A",12,IF(Atletas!G546="Changquan Opcional",13,IF(Atletas!G546="Nanquan Opcional",14,IF(Atletas!G546="Taijiquan Opcional",15,IF(Atletas!G546="Changquan Adulto",16,IF(Atletas!G546="Nanquan Adulto",17,IF(Atletas!G546="Taijiquan Adulto",18,""))))))))))))))))))))</f>
        <v/>
      </c>
      <c r="AZ550" s="46" t="str">
        <f>IF(Atletas!H546="","",IF(Atletas!B546="Feminino",100,IF(Atletas!B546="Masculino",200,""))+(IF(Atletas!H546="Daoshu Mirim",19,IF(Atletas!H546="Jianshu Mirim",20,IF(Atletas!H546="Nandao Mirim",21,IF(Atletas!H546="Taijijian Mirim",22,IF(Atletas!H546="Daoshu Grupo C",23,IF(Atletas!H546="Jianshu Grupo C",24,IF(Atletas!H546="Nandao Grupo C",25,IF(Atletas!H546="Taijijian Grupo C",26,IF(Atletas!H546="Daoshu Grupo B",27,IF(Atletas!H546="Jianshu Grupo B",28,IF(Atletas!H546="Nandao Grupo B",29,IF(Atletas!H546="Taijijian Grupo B",30,IF(Atletas!H546="Daoshu Grupo A",31,IF(Atletas!H546="Jianshu Grupo A",32,IF(Atletas!H546="Nandao Grupo A",33,IF(Atletas!H546="Taijijian Grupo A",34,IF(Atletas!H546="Daoshu Opcional",35,IF(Atletas!H546="Jianshu Opcional",36,IF(Atletas!H546="Nandao Opcional",37,IF(Atletas!H546="Taijijian Opcional",38,IF(Atletas!H546="Daoshu Adulto",39,IF(Atletas!H546="Jianshu Adulto",40,IF(Atletas!H546="Nandao Adulto",41,IF(Atletas!H546="Taijijian Adulto",42,""))))))))))))))))))))))))))</f>
        <v/>
      </c>
      <c r="BA550" s="46" t="str">
        <f>IF(Atletas!I546="","",IF(Atletas!B546="Feminino",100,IF(Atletas!B546="Masculino",200,""))+(IF(Atletas!I546="Gunshu Mirim",43,IF(Atletas!I546="Qiangshu Mirim",44,IF(Atletas!I546="Nangun Mirim",45,IF(Atletas!I546="Gunshu Grupo C",46,IF(Atletas!I546="Qiangshu Grupo C",47,IF(Atletas!I546="Nangun Grupo C",48,IF(Atletas!I546="Gunshu Grupo B",49,IF(Atletas!I546="Qiangshu Grupo B",50,IF(Atletas!I546="Nangun Grupo B",51,IF(Atletas!I546="Gunshu Grupo A",52,IF(Atletas!I546="Qiangshu Grupo A",53,IF(Atletas!I546="Nangun Grupo A",54,IF(Atletas!I546="Gunshu Opcional",55,IF(Atletas!I546="Qiangshu Opcional",56,IF(Atletas!I546="Nangun Opcional",57,IF(Atletas!I546="Gunshu Adulto",58,IF(Atletas!I546="Qiangshu Adulto",59,IF(Atletas!I546="Nangun Adulto",60,""))))))))))))))))))))</f>
        <v/>
      </c>
      <c r="BF550" s="52" t="str">
        <f>IF(Atletas!J546="","",IF(Atletas!B546="Feminino",100,IF(Atletas!B546="Masculino",200,""))+(IF(Atletas!J546="Equipe 1 Grupo B",1,IF(Atletas!J546="Equipe 2 Grupo B",2,IF(Atletas!J546="Equipe 1 Grupo A",3,IF(Atletas!J546="Equipe 2 Grupo A",4,IF(Atletas!J546="Equipe 1 Adulto",5,IF(Atletas!J546="Equipe 2 Adulto",6,""))))))))</f>
        <v/>
      </c>
      <c r="BK550" s="52" t="str">
        <f>IF(Atletas!K546="","",IF(Atletas!W546&lt;&gt;"",10000,0)+(IF(Atletas!B546="Feminino",1000,IF(Atletas!B546="Masculino",2000,""))+IF(Atletas!K546="Choylayfut A",1,IF(Atletas!K546="Hunggar A",2,IF(Atletas!K546="Wuzuquan A",3,IF(Atletas!K546="Wingchun A",4,IF(Atletas!K546="Outra Mão de Sul A",5,IF(Atletas!K546="Choylayfut B",6,IF(Atletas!K546="Hunggar B",7,IF(Atletas!K546="Wuzuquan B",8,IF(Atletas!K546="Wingchun B",9,IF(Atletas!K546="Outra Mão de Sul B",10,IF(Atletas!K546="Choylayfut C",11,IF(Atletas!K546="Hunggar C",12,IF(Atletas!K546="Wuzuquan C",13,IF(Atletas!K546="Wingchun C",14,IF(Atletas!K546="Outra Mão de Sul C",15,IF(Atletas!K546="Choylayfut D",16,IF(Atletas!K546="Hunggar D",17,IF(Atletas!K546="Wuzuquan D",18,IF(Atletas!K546="Wingchun D",19,IF(Atletas!K546="Outra Mão de Sul D",20,IF(Atletas!K546="Choylayfut E",21,IF(Atletas!K546="Hunggar E",22,IF(Atletas!K546="Wuzuquan E",23,IF(Atletas!K546="Wingchun E",24,IF(Atletas!K546="Outra Mão de Sul E",25,IF(Atletas!K546="Choylayfut F",26,IF(Atletas!K546="Hunggar F",27,IF(Atletas!K546="Wuzuquan F",28,IF(Atletas!K546="Wingchun F",29,IF(Atletas!K546="Outra Mão de Sul F",30,""))))))))))))))))))))))))))))))))</f>
        <v/>
      </c>
      <c r="BL550" s="52" t="str">
        <f>IF(Atletas!L546="","",IF(Atletas!W546&lt;&gt;"",10000,0)+(IF(Atletas!B546="Feminino",1000,IF(Atletas!B546="Masculino",2000,""))+(IF(Atletas!L546="Chaquan A",101,IF(Atletas!L546="Emeiquan A",102,IF(Atletas!L546="Fanziquan A",103,IF(Atletas!L546="Huaquan A",104,IF(Atletas!L546="Hongquan A",105,IF(Atletas!L546="Paochui A",106,IF(Atletas!L546="Piguaquan A",107,IF(Atletas!L546="Shaolinquan A",108,IF(Atletas!L546="Tanglangquan A",109,IF(Atletas!L546="Yinzhaophai A",110,IF(Atletas!L546="Tongbeiquan A",111,IF(Atletas!L546="Wudangquan A",112,IF(Atletas!L546="Outros Estilos A",113,IF(Atletas!L546="Chaquan B",114,IF(Atletas!L546="Emeiquan B",115,IF(Atletas!L546="Fanziquan B",116,IF(Atletas!L546="Huaquan B",117,IF(Atletas!L546="Hongquan B",118,IF(Atletas!L546="Paochui B",119,IF(Atletas!L546="Piguaquan B",120,IF(Atletas!L546="Shaolinquan B",121,IF(Atletas!L546="Tanglangquan B",122,IF(Atletas!L546="Yinzhaophai B",123,IF(Atletas!L546="Tongbeiquan B",124,IF(Atletas!L546="Wudangquan B",125,IF(Atletas!L546="Outros Estilos B",126,IF(Atletas!L546="Chaquan C",127,IF(Atletas!L546="Emeiquan C",128,IF(Atletas!L546="Fanziquan C",129,IF(Atletas!L546="Huaquan C",130,IF(Atletas!L546="Hongquan C",131,IF(Atletas!L546="Paochui C",132,IF(Atletas!L546="Piguaquan C",133,IF(Atletas!L546="Shaolinquan C",134,IF(Atletas!L546="Tanglangquan C",135,IF(Atletas!L546="Yinzhaophai C",136,IF(Atletas!L546="Tongbeiquan C",137,IF(Atletas!L546="Wudangquan C",138,IF(Atletas!L546="Outros Estilos C",139,0))))))))))))))))))))))))))))))))))))))))))</f>
        <v/>
      </c>
      <c r="BM550" s="52" t="str">
        <f>IF(Atletas!L546="","",IF(Atletas!W546&lt;&gt;"",10000,0)+(IF(Atletas!B546="Feminino",1000,IF(Atletas!B546="Masculino",2000,""))+(IF(Atletas!L546="Chaquan D",140,IF(Atletas!L546="Emeiquan D",141,IF(Atletas!L546="Fanziquan D",142,IF(Atletas!L546="Huaquan D",143,IF(Atletas!L546="Hongquan D",144,IF(Atletas!L546="Paochui D",145,IF(Atletas!L546="Piguaquan D",146,IF(Atletas!L546="Shaolinquan D",147,IF(Atletas!L546="Tanglangquan D",148,IF(Atletas!L546="Yinzhaophai D",149,IF(Atletas!L546="Tongbeiquan D",150,IF(Atletas!L546="Wudangquan D",151,IF(Atletas!L546="Outros Estilos D",152,IF(Atletas!L546="Chaquan E",153,IF(Atletas!L546="Emeiquan E",154,IF(Atletas!L546="Fanziquan E",155,IF(Atletas!L546="Huaquan E",156,IF(Atletas!L546="Hongquan E",157,IF(Atletas!L546="Paochui E",158,IF(Atletas!L546="Piguaquan E",159,IF(Atletas!L546="Shaolinquan E",160,IF(Atletas!L546="Tanglangquan E",161,IF(Atletas!L546="Yinzhaophai E",162,IF(Atletas!L546="Tongbeiquan E",163,IF(Atletas!L546="Wudangquan E",164,IF(Atletas!L546="Outros Estilos E",165,IF(Atletas!L546="Chaquan F",166,IF(Atletas!L546="Emeiquan F",167,IF(Atletas!L546="Fanziquan F",168,IF(Atletas!L546="Huaquan F",169,IF(Atletas!L546="Hongquan F",170,IF(Atletas!L546="Paochui F",171,IF(Atletas!L546="Piguaquan F",172,IF(Atletas!L546="Shaolinquan F",173,IF(Atletas!L546="Tanglangquan F",174,IF(Atletas!L546="Yinzhaophai F",175,IF(Atletas!L546="Tongbeiquan F",176,IF(Atletas!L546="Wudangquan F",177,IF(Atletas!L546="Outros Estilos F",178,0))))))))))))))))))))))))))))))))))))))))))</f>
        <v/>
      </c>
      <c r="BN550" s="52" t="str">
        <f>IF(Atletas!M546="","",IF(Atletas!W546&lt;&gt;"",10000,0)+(IF(Atletas!B546="Feminino",1000,IF(Atletas!B546="Masculino",2000,""))+(IF(Atletas!M546="Ditangquan A",201,IF(Atletas!M546="Houquan A",202,IF(Atletas!M546="Zuiquan A",203,IF(Atletas!M546="Ditangquan B",204,IF(Atletas!M546="Houquan B",205,IF(Atletas!M546="Zuiquan B",206,IF(Atletas!M546="Ditangquan C",207,IF(Atletas!M546="Houquan C",208,IF(Atletas!M546="Zuiquan C",209,IF(Atletas!M546="Ditangquan D",210,IF(Atletas!M546="Houquan D",211,IF(Atletas!M546="Zuiquan D",212,IF(Atletas!M546="Ditangquan E",213,IF(Atletas!M546="Houquan E",214,IF(Atletas!M546="Zuiquan E",215,IF(Atletas!M546="Ditangquan F",216,IF(Atletas!M546="Houquan F",217,IF(Atletas!M546="Zuiquan F",218,"")))))))))))))))))))))</f>
        <v/>
      </c>
      <c r="BO550" s="52" t="str">
        <f>IF(Atletas!N546="","",IF(Atletas!W546&lt;&gt;"",10000,0)+IF(Atletas!B546="Feminino",1000,IF(Atletas!B546="Masculino",2000,""))+IF(Atletas!N546="Yang A",301,IF(Atletas!N546="Chen A",30,IF(Atletas!N546="Sun A",303,IF(Atletas!N546="Wu A",304,IF(Atletas!N546="Wu-Hao A",305,IF(Atletas!N546="Outro Taijiquan A",306,IF(Atletas!N546="Yang B",307,IF(Atletas!N546="Chen B",308,IF(Atletas!N546="Sun B",309,IF(Atletas!N546="Wu B",310,IF(Atletas!N546="Wu-Hao B",311,IF(Atletas!N546="Outro Taijiquan B",312,IF(Atletas!N546="Yang C",313,IF(Atletas!N546="Chen C",314,IF(Atletas!N546="Sun C",315,IF(Atletas!N546="Wu C",316,IF(Atletas!N546="Wu-Hao C",317,IF(Atletas!N546="Outro Taijiquan C",318,IF(Atletas!N546="Yang D",319,IF(Atletas!N546="Chen D",320,IF(Atletas!N546="Sun D",321,IF(Atletas!N546="Wu D",322,IF(Atletas!N546="Wu-Hao D",323,IF(Atletas!N546="Outro Taijiquan D",324,IF(Atletas!N546="Yang E",325,IF(Atletas!N546="Chen E",326,IF(Atletas!N546="Sun E",327,IF(Atletas!N546="Wu E",328,IF(Atletas!N546="Wu-Hao E",329,IF(Atletas!N546="Outro Taijiquan E",330,IF(Atletas!N546="Yang F",331,IF(Atletas!N546="Chen F",332,IF(Atletas!N546="Sun F",333,IF(Atletas!N546="Wu F",334,IF(Atletas!N546="Wu-Hao F",335,IF(Atletas!N546="Outro Taijiquan F",336,"")))))))))))))))))))))))))))))))))))))</f>
        <v/>
      </c>
      <c r="BP550" s="52" t="str">
        <f>IF(Atletas!O546="","",IF(Atletas!W546&lt;&gt;"",10000,0)+IF(Atletas!B546="Feminino",1000,IF(Atletas!B546="Masculino",2000,""))+IF(OR(Atletas!O546="Yang 26 A",Atletas!O546="Yang 40 A"),401,IF(OR(Atletas!O546="Chen 25 A",Atletas!O546="Chen 36 A",Atletas!O546="Chen 56 A"),402,IF(Atletas!O546="Sun 73 A",403,IF(Atletas!O546="Wu 45 A",404,IF(Atletas!O546="Wu-Hao 46 A",405,IF(OR(Atletas!O546="Taijiquan 16 A",Atletas!O546="Taijiquan 24 A",Atletas!O546="Taijiquan 32 A",Atletas!O546="Taijiquan 42 A"),406,IF(OR(Atletas!O546="Yang 26 B",Atletas!O546="Yang 40 B"),407,IF(OR(Atletas!O546="Chen 25 B",Atletas!O546="Chen 36 B",Atletas!O546="Chen 56 B"),408,IF(Atletas!O546="Sun 73 B",409,IF(Atletas!O546="Wu 45 B",410,IF(Atletas!O546="Wu-Hao 46 B",411,IF(OR(Atletas!O546="Taijiquan 16 B",Atletas!O546="Taijiquan 24 B",Atletas!O546="Taijiquan 32 B",Atletas!O546="Taijiquan 42 B"),412,IF(OR(Atletas!O546="Yang 26 C",Atletas!O546="Yang 40 C"),413,IF(OR(Atletas!O546="Chen 25 C",Atletas!O546="Chen 36 C",Atletas!O546="Chen 56 C"),414,IF(Atletas!O546="Sun 73 C",415,IF(Atletas!O546="Wu 45 C",416,IF(Atletas!O546="Wu-Hao 46 C",417,IF(OR(Atletas!O546="Taijiquan 16 C",Atletas!O546="Taijiquan 24 C",Atletas!O546="Taijiquan 32 C",Atletas!O546="Taijiquan 42 C"),418,0)))))))))))))))))))</f>
        <v/>
      </c>
      <c r="BQ550" s="52" t="str">
        <f>IF(Atletas!O546="","",IF(Atletas!W546&lt;&gt;"",10000,0)+IF(Atletas!B546="Feminino",1000,IF(Atletas!B546="Masculino",2000,""))+IF(OR(Atletas!O546="Yang 26 D",Atletas!O546="Yang 40 D"),419,IF(OR(Atletas!O546="Chen 25 D",Atletas!O546="Chen 36 D",Atletas!O546="Chen 56 D"),420,IF(Atletas!O546="Sun 73 D",421,IF(Atletas!O546="Wu 45 D",422,IF(Atletas!O546="Wu-Hao 46 D",423,IF(OR(Atletas!O546="Taijiquan 16 D",Atletas!O546="Taijiquan 24 D",Atletas!O546="Taijiquan 32 D",Atletas!O546="Taijiquan 42 D"),424,IF(OR(Atletas!O546="Yang 26 E",Atletas!O546="Yang 40 E"),425,IF(OR(Atletas!O546="Chen 25 E",Atletas!O546="Chen 36 E",Atletas!O546="Chen 56 E"),426,IF(Atletas!O546="Sun 73 E",427,IF(Atletas!O546="Wu 45 E",428,IF(Atletas!O546="Wu-Hao 46 E",429,IF(OR(Atletas!O546="Taijiquan 16 E",Atletas!O546="Taijiquan 24 E",Atletas!O546="Taijiquan 32 E",Atletas!O546="Taijiquan 42 E"),430,IF(OR(Atletas!O546="Yang 26 F",Atletas!O546="Yang 40 F"),431,IF(OR(Atletas!O546="Chen 25 F",Atletas!O546="Chen 36 F",Atletas!O546="Chen 56 F"),432,IF(Atletas!O546="Sun 73 F",433,IF(Atletas!O546="Wu 45 F",434,IF(Atletas!O546="Wu-Hao 46 F",435,IF(OR(Atletas!O546="Taijiquan 16 F",Atletas!O546="Taijiquan 24 F",Atletas!O546="Taijiquan 32 F",Atletas!O546="Taijiquan 42 F"),436,0)))))))))))))))))))</f>
        <v/>
      </c>
      <c r="BR550" s="52" t="str">
        <f>IF(Atletas!P546="","",IF(Atletas!W546&lt;&gt;"",10000,0)+IF(Atletas!B546="Feminino",1000,IF(Atletas!B546="Masculino",2000,""))+IF(Atletas!P546="Xingyiquan A",501,IF(Atletas!P546="Baguazhang A",502,IF(Atletas!P546="Outro Estilo Interno A",503,IF(Atletas!P546="Xingyiquan B",504,IF(Atletas!P546="Baguazhang B",505,IF(Atletas!P546="Outro Estilo Interno B",506,IF(Atletas!P546="Xingyiquan C",507,IF(Atletas!P546="Baguazhang C",508,IF(Atletas!P546="Outro Estilo Interno C",509,IF(Atletas!P546="Xingyiquan D",510,IF(Atletas!P546="Baguazhang D",511,IF(Atletas!P546="Outro Estilo Interno D",512,IF(Atletas!P546="Xingyiquan E",513,IF(Atletas!P546="Baguazhang E",514,IF(Atletas!P546="Outro Estilo Interno E",515,IF(Atletas!P546="Xingyiquan F",516,IF(Atletas!P546="Baguazhang F",517,IF(Atletas!P546="Outro Estilo Interno F",518, "")))))))))))))))))))</f>
        <v/>
      </c>
      <c r="BS550" s="52" t="str">
        <f>IF(Atletas!Q546="","",IF(Atletas!W546&lt;&gt;"",10000,0)+IF(Atletas!B546="Feminino",1000,IF(Atletas!B546="Masculino",2000,""))+IF(Atletas!Q546="Dao A",601,IF(Atletas!Q546="Jian A",602,IF(Atletas!Q546="Bishou A",603,IF(Atletas!Q546="Shan A",604,IF(Atletas!Q546="Outra Arma Curta A",605,IF(Atletas!Q546="Dao B",606,IF(Atletas!Q546="Jian B",607,IF(Atletas!Q546="Bishou B",608,IF(Atletas!Q546="Shan B",609,IF(Atletas!Q546="Outra Arma Curta B",610,IF(Atletas!Q546="Dao C",611,IF(Atletas!Q546="Jian C",612,IF(Atletas!Q546="Bishou C",613,IF(Atletas!Q546="Shan C",614,IF(Atletas!Q546="Outra Arma Curta C",615,IF(Atletas!Q546="Dao D",616,IF(Atletas!Q546="Jian D",617,IF(Atletas!Q546="Bishou D",618,IF(Atletas!Q546="Shan D",619,IF(Atletas!Q546="Outra Arma Curta D",620,IF(Atletas!Q546="Dao E",621,IF(Atletas!Q546="Jian E",622,IF(Atletas!Q546="Bishou E",623,IF(Atletas!Q546="Shan E",624,IF(Atletas!Q546="Outra Arma Curta E",625,IF(Atletas!Q546="Dao F",626,IF(Atletas!Q546="Jian F",627,IF(Atletas!Q546="Bishou F",628,IF(Atletas!Q546="Shan F",629,IF(Atletas!Q546="Outra Arma Curta F",630, "")))))))))))))))))))))))))))))))</f>
        <v/>
      </c>
      <c r="BT550" s="52" t="str">
        <f>IF(Atletas!R546="","",IF(Atletas!W546&lt;&gt;"",10000,0)+IF(Atletas!B546="Feminino",1000,IF(Atletas!B546="Masculino",2000,""))+IF(Atletas!R546="Gun A",701,IF(Atletas!R546="Qiang A",702,IF(Atletas!R546="Pudao / Guandao A",703,IF(Atletas!R546="Outra Arma Longa A",704,IF(Atletas!R546="Gun B",705,IF(Atletas!R546="Qiang B",706,IF(Atletas!R546="Pudao / Guandao B",707,IF(Atletas!R546="Outra Arma Longa B",708,IF(Atletas!R546="Gun C",709,IF(Atletas!R546="Qiang C",710,IF(Atletas!R546="Pudao / Guandao C",711,IF(Atletas!R546="Outra Arma Longa C",712,IF(Atletas!R546="Gun D",713,IF(Atletas!R546="Qiang D",714,IF(Atletas!R546="Pudao / Guandao D",715,IF(Atletas!R546="Outra Arma Longa D",716,IF(Atletas!R546="Gun E",717,IF(Atletas!R546="Qiang E",718,IF(Atletas!R546="Pudao / Guandao E",719,IF(Atletas!R546="Outra Arma Longa E",720,IF(Atletas!R546="Gun F",721,IF(Atletas!R546="Qiang F",722,IF(Atletas!R546="Pudao / Guandao F",723,IF(Atletas!R546="Outra Arma Longa F",724,"")))))))))))))))))))))))))</f>
        <v/>
      </c>
      <c r="BU550" s="52" t="str">
        <f>IF(Atletas!S546="","",IF(Atletas!W546&lt;&gt;"",10000,0)+IF(Atletas!B546="Feminino",1000,IF(Atletas!B546="Masculino",2000,""))+IF(Atletas!S546="Arma Dupla A",801,IF(Atletas!S546="Arma Maleável A",802,IF(Atletas!S546="Arma Dupla B",803,IF(Atletas!S546="Arma Maleável B",804,IF(Atletas!S546="Arma Dupla C",805,IF(Atletas!S546="Arma Maleável C",806,IF(Atletas!S546="Arma Dupla D",807,IF(Atletas!S546="Arma Maleável D",808,IF(Atletas!S546="Arma Dupla E",809,IF(Atletas!S546="Arma Maleável E",810,IF(Atletas!S546="Arma Dupla F",811,IF(Atletas!S546="Arma Maleável F",812, "")))))))))))))</f>
        <v/>
      </c>
      <c r="BV550" s="52" t="str">
        <f>IF(Atletas!T546="","",IF(Atletas!W546&lt;&gt;"",10000,0)+IF(Atletas!B546="Feminino",1000,IF(Atletas!B546="Masculino",2000,""))+IF(Atletas!T546="Taijijian Yang A",901,IF(Atletas!T546="Taijijian Chen A",902,IF(Atletas!T546="Taijijian Sun A",903,IF(Atletas!T546="Taijijian Wu A",904,IF(Atletas!T546="Taijijian Wu-Hao A",905,IF(Atletas!T546="Taijijian 32 A",906,IF(Atletas!T546="Taijijian 42 A",907,IF(Atletas!T546="Taijijian Yang B",908,IF(Atletas!T546="Taijijian Chen B",909,IF(Atletas!T546="Taijijian Sun B",910,IF(Atletas!T546="Taijijian Wu B",911,IF(Atletas!T546="Taijijian Wu-Hao B",912,IF(Atletas!T546="Taijijian 32 B",913,IF(Atletas!T546="Taijijian 42 B",914,IF(Atletas!T546="Taijijian Yang C",915,IF(Atletas!T546="Taijijian Chen C",916,IF(Atletas!T546="Taijijian Sun C",917,IF(Atletas!T546="Taijijian Wu C",918,IF(Atletas!T546="Taijijian Wu-Hao C",919,IF(Atletas!T546="Taijijian 32 C",920,IF(Atletas!T546="Taijijian 42 C",921,IF(Atletas!T546="Taijijian Yang D",922,IF(Atletas!T546="Taijijian Chen D",923,IF(Atletas!T546="Taijijian Sun D",924,IF(Atletas!T546="Taijijian Wu D",925,IF(Atletas!T546="Taijijian Wu-Hao D",926,IF(Atletas!T546="Taijijian 32 D",927,IF(Atletas!T546="Taijijian 42 D",928,IF(Atletas!T546="Taijijian Yang E",929,IF(Atletas!T546="Taijijian Chen E",930,IF(Atletas!T546="Taijijian Sun E",931,IF(Atletas!T546="Taijijian Wu E",932,IF(Atletas!T546="Taijijian Wu-Hao E",933,IF(Atletas!T546="Taijijian 32 E",934,IF(Atletas!T546="Taijijian 42 E",935,IF(Atletas!T546="Taijijian Yang F",936,IF(Atletas!T546="Taijijian Chen F",937,IF(Atletas!T546="Taijijian Sun F",938,IF(Atletas!T546="Taijijian Wu F",939,IF(Atletas!T546="Taijijian Wu-Hao F",940,IF(Atletas!T546="Taijijian 32 F",941,IF(Atletas!T546="Taijijian 42 F",942,"")))))))))))))))))))))))))))))))))))))))))))</f>
        <v/>
      </c>
      <c r="BW550" s="52" t="str">
        <f>IF(Atletas!U546="","",IF(Atletas!W546&lt;&gt;"",10000,0)+IF(Atletas!B546="Feminino",1000,IF(Atletas!B546="Masculino",2000,""))+IF(Atletas!T546="Taijijian 42 F",942,IF(Atletas!U546="Taijidao A",943,IF(Atletas!U546="Taijishan A",944,IF(Atletas!U546="Taijiqiang A",945,IF(Atletas!U546="Taijidao B",946,IF(Atletas!U546="Taijishan B",947,IF(Atletas!U546="Taijiqiang B",948,IF(Atletas!U546="Taijidao C",949,IF(Atletas!U546="Taijishan C",950,IF(Atletas!U546="Taijiqiang C",951,IF(Atletas!U546="Taijidao D",952,IF(Atletas!U546="Taijishan D",953,IF(Atletas!U546="Taijiqiang D",954,IF(Atletas!U546="Taijidao E",955,IF(Atletas!U546="Taijishan E",956,IF(Atletas!U546="Taijiqiang E",957,IF(Atletas!U546="Taijidao F",958,IF(Atletas!U546="Taijishan F",959,IF(Atletas!U546="Taijiqiang F",960))))))))))))))))))))</f>
        <v/>
      </c>
      <c r="CF550" s="52" t="str">
        <f xml:space="preserve"> IF(Atletas!V546="","",IF(Atletas!V546="Duilian de Mãos AB - Equipe 1",1,IF(Atletas!V546="Duilian de Mãos AB - Equipe 2",2,IF(Atletas!V546="Duilian de Armas AB - Equipe 1",3,IF(Atletas!V546="Duilian de Armas AB - Equipe 2",4,IF(Atletas!V546="Duilian de Tuishou - Equipe 1",5,IF(Atletas!V546="Duilian de Tuishou - Equipe 2",6,IF(Atletas!V546="Grupo Externo AB - Equipe 1",7,IF(Atletas!V546="Grupo Externo AB - Equipe 2",8,IF(Atletas!V546="Grupo Interno AB - Equipe 1",9,IF(Atletas!V546="Grupo Interno AB - Equipe 2",10,IF(Atletas!V546="Duilian de Mãos CD - Equipe 1",11,IF(Atletas!V546="Duilian de Mãos CD - Equipe 2",12,IF(Atletas!V546="Duilian de Armas CD - Equipe 1",13,IF(Atletas!V546="Duilian de Armas CD - Equipe 2",14,IF(Atletas!V546="Duilian de Tuishou - Equipe 1",15,IF(Atletas!V546="Duilian de Tuishou - Equipe 2",16,IF(Atletas!V546="Grupo Externo CDEF - Equipe 1",17,IF(Atletas!V546="Grupo Externo CDEF - Equipe 2",18,IF(Atletas!V546="Grupo Interno CDEF - Equipe 1",19,IF(Atletas!V546="Grupo Interno CDEF - Equipe 2",20,IF(Atletas!V546="Duilian de Mãos EF - Equipe 1",21,IF(Atletas!V546="Duilian de Mãos EF - Equipe 2",22,IF(Atletas!V546="Duilian de Armas EF - Equipe 1",23,IF(Atletas!V546="Duilian de Armas EF - Equipe 2",24,IF(Atletas!V546="Duilian de Tuishou - Equipe 1",25,IF(Atletas!V546="Duilian de Tuishou - Equipe 2",26,"")))))))))))))))))))))))))))</f>
        <v/>
      </c>
    </row>
    <row r="551" spans="36:84">
      <c r="AJ551" s="46" t="str">
        <f>IF(Atletas!D547="","",IF(Atletas!B547="Feminino",100,IF(Atletas!B547="Masculino",200,""))+(IF(Atletas!D547="Infantil 39kg",1,IF(Atletas!D547="Infantil 42kg",2,IF(Atletas!D547="Infantil 45kg",3,IF(Atletas!D547="Infantil 48kg",4,IF(Atletas!D547="Infantil 52kg",5,IF(Atletas!D547="Infantil 56kg",6,IF(Atletas!D547="Infantil 60kg",7,IF(Atletas!D547="Juvenil 48kg",8,IF(Atletas!D547="Juvenil 52kg",9,IF(Atletas!D547="Juvenil 56kg",10,IF(Atletas!D547="Juvenil 60kg",11,IF(Atletas!D547="Juvenil 65kg",12,IF(Atletas!D547="Juvenil 70kg",13,IF(Atletas!D547="Juvenil 75kg",14,IF(Atletas!D547="Juvenil 80kg",15,IF(Atletas!D547="Adulto 48kg",16,IF(Atletas!D547="Adulto 52kg",17,IF(Atletas!D547="Adulto 56kg",18,IF(Atletas!D547="Adulto 60kg",19,IF(Atletas!D547="Adulto 65kg",20,IF(Atletas!D547="Adulto 70kg",21,IF(Atletas!D547="Adulto 75kg",22,IF(Atletas!D547="Adulto 80kg",23,IF(Atletas!D547="Adulto 85kg",24,IF(Atletas!D547="Adulto 90kg",25,IF(Atletas!D547="Adulto +90kg",26,""))))))))))))))))))))))))))))</f>
        <v/>
      </c>
      <c r="AO551" s="10" t="str">
        <f>IF(Atletas!E547="","",IF(Atletas!B547="Feminino",100,IF(Atletas!B547="Masculino",200,""))+(IF(Atletas!E547="Juvenil 44kg",1,IF(Atletas!E547="Juvenil 48kg",2,IF(Atletas!E547="Juvenil 52kg",3,IF(Atletas!E547="Juvenil 56kg",4,IF(Atletas!E547="Juvenil 60kg",5,IF(Atletas!E547="Juvenil 65kg",6,IF(Atletas!E547="Juvenil 70kg",7,IF(Atletas!E547="Juvenil 75kg",8,IF(Atletas!E547="Juvenil 82kg",9,IF(Atletas!E547="Juvenil 90kg",10,IF(Atletas!E547="Juvenil 100kg",11,IF(Atletas!E547="Adulto 48kg",12,IF(Atletas!E547="Adulto 52kg",13,IF(Atletas!E547="Adulto 56kg",14,IF(Atletas!E547="Adulto 60kg",15,IF(Atletas!E547="Adulto 65kg",16,IF(Atletas!E547="Adulto 70kg",17,IF(Atletas!E547="Adulto 75kg",18,IF(Atletas!E547="Adulto 82kg",19,IF(Atletas!E547="Adulto 90kg",20,IF(Atletas!E547="Adulto 100kg",21,IF(Atletas!E547="Adulto +100kg",22,""))))))))))))))))))))))))</f>
        <v/>
      </c>
      <c r="AT551" s="10" t="str">
        <f>IF(Atletas!F547="","",IF(Atletas!B547="Feminino",100,IF(Atletas!B547="Masculino",200,""))+(IF(Atletas!F547="Adulto 48kg",1,IF(Atletas!F547="Adulto 56kg",2,IF(Atletas!F547="Adulto 65kg",3,IF(Atletas!F547="Adulto 75kg",4,IF(Atletas!F547="Adulto +75kg",5,IF(Atletas!F547="Adulto 52kg",6,IF(Atletas!F547="Adulto 60kg",7,IF(Atletas!F547="Adulto 70kg",8,IF(Atletas!F547="Adulto 80kg",9,IF(Atletas!F547="Adulto 90kg",10,IF(Atletas!F547="Adulto +90kg",11,"")))))))))))))</f>
        <v/>
      </c>
      <c r="AY551" s="46" t="str">
        <f>IF(Atletas!G547="","",IF(Atletas!B547="Feminino",100,IF(Atletas!B547="Masculino",200,""))+(IF(Atletas!G547="Changquan Mirim",1,IF(Atletas!G547="Nanquan Mirim",2,IF(Atletas!G547="Taijiquan Mirim",3,IF(Atletas!G547="Changquan Grupo C",4,IF(Atletas!G547="Nanquan Grupo C",5,IF(Atletas!G547="Taijiquan Grupo C",6,IF(Atletas!G547="Changquan Grupo B",7,IF(Atletas!G547="Nanquan Grupo B",8,IF(Atletas!G547="Taijiquan Grupo B",9,IF(Atletas!G547="Changquan Grupo A",10,IF(Atletas!G547="Nanquan Grupo A",11,IF(Atletas!G547="Taijiquan Grupo A",12,IF(Atletas!G547="Changquan Opcional",13,IF(Atletas!G547="Nanquan Opcional",14,IF(Atletas!G547="Taijiquan Opcional",15,IF(Atletas!G547="Changquan Adulto",16,IF(Atletas!G547="Nanquan Adulto",17,IF(Atletas!G547="Taijiquan Adulto",18,""))))))))))))))))))))</f>
        <v/>
      </c>
      <c r="AZ551" s="46" t="str">
        <f>IF(Atletas!H547="","",IF(Atletas!B547="Feminino",100,IF(Atletas!B547="Masculino",200,""))+(IF(Atletas!H547="Daoshu Mirim",19,IF(Atletas!H547="Jianshu Mirim",20,IF(Atletas!H547="Nandao Mirim",21,IF(Atletas!H547="Taijijian Mirim",22,IF(Atletas!H547="Daoshu Grupo C",23,IF(Atletas!H547="Jianshu Grupo C",24,IF(Atletas!H547="Nandao Grupo C",25,IF(Atletas!H547="Taijijian Grupo C",26,IF(Atletas!H547="Daoshu Grupo B",27,IF(Atletas!H547="Jianshu Grupo B",28,IF(Atletas!H547="Nandao Grupo B",29,IF(Atletas!H547="Taijijian Grupo B",30,IF(Atletas!H547="Daoshu Grupo A",31,IF(Atletas!H547="Jianshu Grupo A",32,IF(Atletas!H547="Nandao Grupo A",33,IF(Atletas!H547="Taijijian Grupo A",34,IF(Atletas!H547="Daoshu Opcional",35,IF(Atletas!H547="Jianshu Opcional",36,IF(Atletas!H547="Nandao Opcional",37,IF(Atletas!H547="Taijijian Opcional",38,IF(Atletas!H547="Daoshu Adulto",39,IF(Atletas!H547="Jianshu Adulto",40,IF(Atletas!H547="Nandao Adulto",41,IF(Atletas!H547="Taijijian Adulto",42,""))))))))))))))))))))))))))</f>
        <v/>
      </c>
      <c r="BA551" s="46" t="str">
        <f>IF(Atletas!I547="","",IF(Atletas!B547="Feminino",100,IF(Atletas!B547="Masculino",200,""))+(IF(Atletas!I547="Gunshu Mirim",43,IF(Atletas!I547="Qiangshu Mirim",44,IF(Atletas!I547="Nangun Mirim",45,IF(Atletas!I547="Gunshu Grupo C",46,IF(Atletas!I547="Qiangshu Grupo C",47,IF(Atletas!I547="Nangun Grupo C",48,IF(Atletas!I547="Gunshu Grupo B",49,IF(Atletas!I547="Qiangshu Grupo B",50,IF(Atletas!I547="Nangun Grupo B",51,IF(Atletas!I547="Gunshu Grupo A",52,IF(Atletas!I547="Qiangshu Grupo A",53,IF(Atletas!I547="Nangun Grupo A",54,IF(Atletas!I547="Gunshu Opcional",55,IF(Atletas!I547="Qiangshu Opcional",56,IF(Atletas!I547="Nangun Opcional",57,IF(Atletas!I547="Gunshu Adulto",58,IF(Atletas!I547="Qiangshu Adulto",59,IF(Atletas!I547="Nangun Adulto",60,""))))))))))))))))))))</f>
        <v/>
      </c>
      <c r="BF551" s="52" t="str">
        <f>IF(Atletas!J547="","",IF(Atletas!B547="Feminino",100,IF(Atletas!B547="Masculino",200,""))+(IF(Atletas!J547="Equipe 1 Grupo B",1,IF(Atletas!J547="Equipe 2 Grupo B",2,IF(Atletas!J547="Equipe 1 Grupo A",3,IF(Atletas!J547="Equipe 2 Grupo A",4,IF(Atletas!J547="Equipe 1 Adulto",5,IF(Atletas!J547="Equipe 2 Adulto",6,""))))))))</f>
        <v/>
      </c>
      <c r="BK551" s="52" t="str">
        <f>IF(Atletas!K547="","",IF(Atletas!W547&lt;&gt;"",10000,0)+(IF(Atletas!B547="Feminino",1000,IF(Atletas!B547="Masculino",2000,""))+IF(Atletas!K547="Choylayfut A",1,IF(Atletas!K547="Hunggar A",2,IF(Atletas!K547="Wuzuquan A",3,IF(Atletas!K547="Wingchun A",4,IF(Atletas!K547="Outra Mão de Sul A",5,IF(Atletas!K547="Choylayfut B",6,IF(Atletas!K547="Hunggar B",7,IF(Atletas!K547="Wuzuquan B",8,IF(Atletas!K547="Wingchun B",9,IF(Atletas!K547="Outra Mão de Sul B",10,IF(Atletas!K547="Choylayfut C",11,IF(Atletas!K547="Hunggar C",12,IF(Atletas!K547="Wuzuquan C",13,IF(Atletas!K547="Wingchun C",14,IF(Atletas!K547="Outra Mão de Sul C",15,IF(Atletas!K547="Choylayfut D",16,IF(Atletas!K547="Hunggar D",17,IF(Atletas!K547="Wuzuquan D",18,IF(Atletas!K547="Wingchun D",19,IF(Atletas!K547="Outra Mão de Sul D",20,IF(Atletas!K547="Choylayfut E",21,IF(Atletas!K547="Hunggar E",22,IF(Atletas!K547="Wuzuquan E",23,IF(Atletas!K547="Wingchun E",24,IF(Atletas!K547="Outra Mão de Sul E",25,IF(Atletas!K547="Choylayfut F",26,IF(Atletas!K547="Hunggar F",27,IF(Atletas!K547="Wuzuquan F",28,IF(Atletas!K547="Wingchun F",29,IF(Atletas!K547="Outra Mão de Sul F",30,""))))))))))))))))))))))))))))))))</f>
        <v/>
      </c>
      <c r="BL551" s="52" t="str">
        <f>IF(Atletas!L547="","",IF(Atletas!W547&lt;&gt;"",10000,0)+(IF(Atletas!B547="Feminino",1000,IF(Atletas!B547="Masculino",2000,""))+(IF(Atletas!L547="Chaquan A",101,IF(Atletas!L547="Emeiquan A",102,IF(Atletas!L547="Fanziquan A",103,IF(Atletas!L547="Huaquan A",104,IF(Atletas!L547="Hongquan A",105,IF(Atletas!L547="Paochui A",106,IF(Atletas!L547="Piguaquan A",107,IF(Atletas!L547="Shaolinquan A",108,IF(Atletas!L547="Tanglangquan A",109,IF(Atletas!L547="Yinzhaophai A",110,IF(Atletas!L547="Tongbeiquan A",111,IF(Atletas!L547="Wudangquan A",112,IF(Atletas!L547="Outros Estilos A",113,IF(Atletas!L547="Chaquan B",114,IF(Atletas!L547="Emeiquan B",115,IF(Atletas!L547="Fanziquan B",116,IF(Atletas!L547="Huaquan B",117,IF(Atletas!L547="Hongquan B",118,IF(Atletas!L547="Paochui B",119,IF(Atletas!L547="Piguaquan B",120,IF(Atletas!L547="Shaolinquan B",121,IF(Atletas!L547="Tanglangquan B",122,IF(Atletas!L547="Yinzhaophai B",123,IF(Atletas!L547="Tongbeiquan B",124,IF(Atletas!L547="Wudangquan B",125,IF(Atletas!L547="Outros Estilos B",126,IF(Atletas!L547="Chaquan C",127,IF(Atletas!L547="Emeiquan C",128,IF(Atletas!L547="Fanziquan C",129,IF(Atletas!L547="Huaquan C",130,IF(Atletas!L547="Hongquan C",131,IF(Atletas!L547="Paochui C",132,IF(Atletas!L547="Piguaquan C",133,IF(Atletas!L547="Shaolinquan C",134,IF(Atletas!L547="Tanglangquan C",135,IF(Atletas!L547="Yinzhaophai C",136,IF(Atletas!L547="Tongbeiquan C",137,IF(Atletas!L547="Wudangquan C",138,IF(Atletas!L547="Outros Estilos C",139,0))))))))))))))))))))))))))))))))))))))))))</f>
        <v/>
      </c>
      <c r="BM551" s="52" t="str">
        <f>IF(Atletas!L547="","",IF(Atletas!W547&lt;&gt;"",10000,0)+(IF(Atletas!B547="Feminino",1000,IF(Atletas!B547="Masculino",2000,""))+(IF(Atletas!L547="Chaquan D",140,IF(Atletas!L547="Emeiquan D",141,IF(Atletas!L547="Fanziquan D",142,IF(Atletas!L547="Huaquan D",143,IF(Atletas!L547="Hongquan D",144,IF(Atletas!L547="Paochui D",145,IF(Atletas!L547="Piguaquan D",146,IF(Atletas!L547="Shaolinquan D",147,IF(Atletas!L547="Tanglangquan D",148,IF(Atletas!L547="Yinzhaophai D",149,IF(Atletas!L547="Tongbeiquan D",150,IF(Atletas!L547="Wudangquan D",151,IF(Atletas!L547="Outros Estilos D",152,IF(Atletas!L547="Chaquan E",153,IF(Atletas!L547="Emeiquan E",154,IF(Atletas!L547="Fanziquan E",155,IF(Atletas!L547="Huaquan E",156,IF(Atletas!L547="Hongquan E",157,IF(Atletas!L547="Paochui E",158,IF(Atletas!L547="Piguaquan E",159,IF(Atletas!L547="Shaolinquan E",160,IF(Atletas!L547="Tanglangquan E",161,IF(Atletas!L547="Yinzhaophai E",162,IF(Atletas!L547="Tongbeiquan E",163,IF(Atletas!L547="Wudangquan E",164,IF(Atletas!L547="Outros Estilos E",165,IF(Atletas!L547="Chaquan F",166,IF(Atletas!L547="Emeiquan F",167,IF(Atletas!L547="Fanziquan F",168,IF(Atletas!L547="Huaquan F",169,IF(Atletas!L547="Hongquan F",170,IF(Atletas!L547="Paochui F",171,IF(Atletas!L547="Piguaquan F",172,IF(Atletas!L547="Shaolinquan F",173,IF(Atletas!L547="Tanglangquan F",174,IF(Atletas!L547="Yinzhaophai F",175,IF(Atletas!L547="Tongbeiquan F",176,IF(Atletas!L547="Wudangquan F",177,IF(Atletas!L547="Outros Estilos F",178,0))))))))))))))))))))))))))))))))))))))))))</f>
        <v/>
      </c>
      <c r="BN551" s="52" t="str">
        <f>IF(Atletas!M547="","",IF(Atletas!W547&lt;&gt;"",10000,0)+(IF(Atletas!B547="Feminino",1000,IF(Atletas!B547="Masculino",2000,""))+(IF(Atletas!M547="Ditangquan A",201,IF(Atletas!M547="Houquan A",202,IF(Atletas!M547="Zuiquan A",203,IF(Atletas!M547="Ditangquan B",204,IF(Atletas!M547="Houquan B",205,IF(Atletas!M547="Zuiquan B",206,IF(Atletas!M547="Ditangquan C",207,IF(Atletas!M547="Houquan C",208,IF(Atletas!M547="Zuiquan C",209,IF(Atletas!M547="Ditangquan D",210,IF(Atletas!M547="Houquan D",211,IF(Atletas!M547="Zuiquan D",212,IF(Atletas!M547="Ditangquan E",213,IF(Atletas!M547="Houquan E",214,IF(Atletas!M547="Zuiquan E",215,IF(Atletas!M547="Ditangquan F",216,IF(Atletas!M547="Houquan F",217,IF(Atletas!M547="Zuiquan F",218,"")))))))))))))))))))))</f>
        <v/>
      </c>
      <c r="BO551" s="52" t="str">
        <f>IF(Atletas!N547="","",IF(Atletas!W547&lt;&gt;"",10000,0)+IF(Atletas!B547="Feminino",1000,IF(Atletas!B547="Masculino",2000,""))+IF(Atletas!N547="Yang A",301,IF(Atletas!N547="Chen A",30,IF(Atletas!N547="Sun A",303,IF(Atletas!N547="Wu A",304,IF(Atletas!N547="Wu-Hao A",305,IF(Atletas!N547="Outro Taijiquan A",306,IF(Atletas!N547="Yang B",307,IF(Atletas!N547="Chen B",308,IF(Atletas!N547="Sun B",309,IF(Atletas!N547="Wu B",310,IF(Atletas!N547="Wu-Hao B",311,IF(Atletas!N547="Outro Taijiquan B",312,IF(Atletas!N547="Yang C",313,IF(Atletas!N547="Chen C",314,IF(Atletas!N547="Sun C",315,IF(Atletas!N547="Wu C",316,IF(Atletas!N547="Wu-Hao C",317,IF(Atletas!N547="Outro Taijiquan C",318,IF(Atletas!N547="Yang D",319,IF(Atletas!N547="Chen D",320,IF(Atletas!N547="Sun D",321,IF(Atletas!N547="Wu D",322,IF(Atletas!N547="Wu-Hao D",323,IF(Atletas!N547="Outro Taijiquan D",324,IF(Atletas!N547="Yang E",325,IF(Atletas!N547="Chen E",326,IF(Atletas!N547="Sun E",327,IF(Atletas!N547="Wu E",328,IF(Atletas!N547="Wu-Hao E",329,IF(Atletas!N547="Outro Taijiquan E",330,IF(Atletas!N547="Yang F",331,IF(Atletas!N547="Chen F",332,IF(Atletas!N547="Sun F",333,IF(Atletas!N547="Wu F",334,IF(Atletas!N547="Wu-Hao F",335,IF(Atletas!N547="Outro Taijiquan F",336,"")))))))))))))))))))))))))))))))))))))</f>
        <v/>
      </c>
      <c r="BP551" s="52" t="str">
        <f>IF(Atletas!O547="","",IF(Atletas!W547&lt;&gt;"",10000,0)+IF(Atletas!B547="Feminino",1000,IF(Atletas!B547="Masculino",2000,""))+IF(OR(Atletas!O547="Yang 26 A",Atletas!O547="Yang 40 A"),401,IF(OR(Atletas!O547="Chen 25 A",Atletas!O547="Chen 36 A",Atletas!O547="Chen 56 A"),402,IF(Atletas!O547="Sun 73 A",403,IF(Atletas!O547="Wu 45 A",404,IF(Atletas!O547="Wu-Hao 46 A",405,IF(OR(Atletas!O547="Taijiquan 16 A",Atletas!O547="Taijiquan 24 A",Atletas!O547="Taijiquan 32 A",Atletas!O547="Taijiquan 42 A"),406,IF(OR(Atletas!O547="Yang 26 B",Atletas!O547="Yang 40 B"),407,IF(OR(Atletas!O547="Chen 25 B",Atletas!O547="Chen 36 B",Atletas!O547="Chen 56 B"),408,IF(Atletas!O547="Sun 73 B",409,IF(Atletas!O547="Wu 45 B",410,IF(Atletas!O547="Wu-Hao 46 B",411,IF(OR(Atletas!O547="Taijiquan 16 B",Atletas!O547="Taijiquan 24 B",Atletas!O547="Taijiquan 32 B",Atletas!O547="Taijiquan 42 B"),412,IF(OR(Atletas!O547="Yang 26 C",Atletas!O547="Yang 40 C"),413,IF(OR(Atletas!O547="Chen 25 C",Atletas!O547="Chen 36 C",Atletas!O547="Chen 56 C"),414,IF(Atletas!O547="Sun 73 C",415,IF(Atletas!O547="Wu 45 C",416,IF(Atletas!O547="Wu-Hao 46 C",417,IF(OR(Atletas!O547="Taijiquan 16 C",Atletas!O547="Taijiquan 24 C",Atletas!O547="Taijiquan 32 C",Atletas!O547="Taijiquan 42 C"),418,0)))))))))))))))))))</f>
        <v/>
      </c>
      <c r="BQ551" s="52" t="str">
        <f>IF(Atletas!O547="","",IF(Atletas!W547&lt;&gt;"",10000,0)+IF(Atletas!B547="Feminino",1000,IF(Atletas!B547="Masculino",2000,""))+IF(OR(Atletas!O547="Yang 26 D",Atletas!O547="Yang 40 D"),419,IF(OR(Atletas!O547="Chen 25 D",Atletas!O547="Chen 36 D",Atletas!O547="Chen 56 D"),420,IF(Atletas!O547="Sun 73 D",421,IF(Atletas!O547="Wu 45 D",422,IF(Atletas!O547="Wu-Hao 46 D",423,IF(OR(Atletas!O547="Taijiquan 16 D",Atletas!O547="Taijiquan 24 D",Atletas!O547="Taijiquan 32 D",Atletas!O547="Taijiquan 42 D"),424,IF(OR(Atletas!O547="Yang 26 E",Atletas!O547="Yang 40 E"),425,IF(OR(Atletas!O547="Chen 25 E",Atletas!O547="Chen 36 E",Atletas!O547="Chen 56 E"),426,IF(Atletas!O547="Sun 73 E",427,IF(Atletas!O547="Wu 45 E",428,IF(Atletas!O547="Wu-Hao 46 E",429,IF(OR(Atletas!O547="Taijiquan 16 E",Atletas!O547="Taijiquan 24 E",Atletas!O547="Taijiquan 32 E",Atletas!O547="Taijiquan 42 E"),430,IF(OR(Atletas!O547="Yang 26 F",Atletas!O547="Yang 40 F"),431,IF(OR(Atletas!O547="Chen 25 F",Atletas!O547="Chen 36 F",Atletas!O547="Chen 56 F"),432,IF(Atletas!O547="Sun 73 F",433,IF(Atletas!O547="Wu 45 F",434,IF(Atletas!O547="Wu-Hao 46 F",435,IF(OR(Atletas!O547="Taijiquan 16 F",Atletas!O547="Taijiquan 24 F",Atletas!O547="Taijiquan 32 F",Atletas!O547="Taijiquan 42 F"),436,0)))))))))))))))))))</f>
        <v/>
      </c>
      <c r="BR551" s="52" t="str">
        <f>IF(Atletas!P547="","",IF(Atletas!W547&lt;&gt;"",10000,0)+IF(Atletas!B547="Feminino",1000,IF(Atletas!B547="Masculino",2000,""))+IF(Atletas!P547="Xingyiquan A",501,IF(Atletas!P547="Baguazhang A",502,IF(Atletas!P547="Outro Estilo Interno A",503,IF(Atletas!P547="Xingyiquan B",504,IF(Atletas!P547="Baguazhang B",505,IF(Atletas!P547="Outro Estilo Interno B",506,IF(Atletas!P547="Xingyiquan C",507,IF(Atletas!P547="Baguazhang C",508,IF(Atletas!P547="Outro Estilo Interno C",509,IF(Atletas!P547="Xingyiquan D",510,IF(Atletas!P547="Baguazhang D",511,IF(Atletas!P547="Outro Estilo Interno D",512,IF(Atletas!P547="Xingyiquan E",513,IF(Atletas!P547="Baguazhang E",514,IF(Atletas!P547="Outro Estilo Interno E",515,IF(Atletas!P547="Xingyiquan F",516,IF(Atletas!P547="Baguazhang F",517,IF(Atletas!P547="Outro Estilo Interno F",518, "")))))))))))))))))))</f>
        <v/>
      </c>
      <c r="BS551" s="52" t="str">
        <f>IF(Atletas!Q547="","",IF(Atletas!W547&lt;&gt;"",10000,0)+IF(Atletas!B547="Feminino",1000,IF(Atletas!B547="Masculino",2000,""))+IF(Atletas!Q547="Dao A",601,IF(Atletas!Q547="Jian A",602,IF(Atletas!Q547="Bishou A",603,IF(Atletas!Q547="Shan A",604,IF(Atletas!Q547="Outra Arma Curta A",605,IF(Atletas!Q547="Dao B",606,IF(Atletas!Q547="Jian B",607,IF(Atletas!Q547="Bishou B",608,IF(Atletas!Q547="Shan B",609,IF(Atletas!Q547="Outra Arma Curta B",610,IF(Atletas!Q547="Dao C",611,IF(Atletas!Q547="Jian C",612,IF(Atletas!Q547="Bishou C",613,IF(Atletas!Q547="Shan C",614,IF(Atletas!Q547="Outra Arma Curta C",615,IF(Atletas!Q547="Dao D",616,IF(Atletas!Q547="Jian D",617,IF(Atletas!Q547="Bishou D",618,IF(Atletas!Q547="Shan D",619,IF(Atletas!Q547="Outra Arma Curta D",620,IF(Atletas!Q547="Dao E",621,IF(Atletas!Q547="Jian E",622,IF(Atletas!Q547="Bishou E",623,IF(Atletas!Q547="Shan E",624,IF(Atletas!Q547="Outra Arma Curta E",625,IF(Atletas!Q547="Dao F",626,IF(Atletas!Q547="Jian F",627,IF(Atletas!Q547="Bishou F",628,IF(Atletas!Q547="Shan F",629,IF(Atletas!Q547="Outra Arma Curta F",630, "")))))))))))))))))))))))))))))))</f>
        <v/>
      </c>
      <c r="BT551" s="52" t="str">
        <f>IF(Atletas!R547="","",IF(Atletas!W547&lt;&gt;"",10000,0)+IF(Atletas!B547="Feminino",1000,IF(Atletas!B547="Masculino",2000,""))+IF(Atletas!R547="Gun A",701,IF(Atletas!R547="Qiang A",702,IF(Atletas!R547="Pudao / Guandao A",703,IF(Atletas!R547="Outra Arma Longa A",704,IF(Atletas!R547="Gun B",705,IF(Atletas!R547="Qiang B",706,IF(Atletas!R547="Pudao / Guandao B",707,IF(Atletas!R547="Outra Arma Longa B",708,IF(Atletas!R547="Gun C",709,IF(Atletas!R547="Qiang C",710,IF(Atletas!R547="Pudao / Guandao C",711,IF(Atletas!R547="Outra Arma Longa C",712,IF(Atletas!R547="Gun D",713,IF(Atletas!R547="Qiang D",714,IF(Atletas!R547="Pudao / Guandao D",715,IF(Atletas!R547="Outra Arma Longa D",716,IF(Atletas!R547="Gun E",717,IF(Atletas!R547="Qiang E",718,IF(Atletas!R547="Pudao / Guandao E",719,IF(Atletas!R547="Outra Arma Longa E",720,IF(Atletas!R547="Gun F",721,IF(Atletas!R547="Qiang F",722,IF(Atletas!R547="Pudao / Guandao F",723,IF(Atletas!R547="Outra Arma Longa F",724,"")))))))))))))))))))))))))</f>
        <v/>
      </c>
      <c r="BU551" s="52" t="str">
        <f>IF(Atletas!S547="","",IF(Atletas!W547&lt;&gt;"",10000,0)+IF(Atletas!B547="Feminino",1000,IF(Atletas!B547="Masculino",2000,""))+IF(Atletas!S547="Arma Dupla A",801,IF(Atletas!S547="Arma Maleável A",802,IF(Atletas!S547="Arma Dupla B",803,IF(Atletas!S547="Arma Maleável B",804,IF(Atletas!S547="Arma Dupla C",805,IF(Atletas!S547="Arma Maleável C",806,IF(Atletas!S547="Arma Dupla D",807,IF(Atletas!S547="Arma Maleável D",808,IF(Atletas!S547="Arma Dupla E",809,IF(Atletas!S547="Arma Maleável E",810,IF(Atletas!S547="Arma Dupla F",811,IF(Atletas!S547="Arma Maleável F",812, "")))))))))))))</f>
        <v/>
      </c>
      <c r="BV551" s="52" t="str">
        <f>IF(Atletas!T547="","",IF(Atletas!W547&lt;&gt;"",10000,0)+IF(Atletas!B547="Feminino",1000,IF(Atletas!B547="Masculino",2000,""))+IF(Atletas!T547="Taijijian Yang A",901,IF(Atletas!T547="Taijijian Chen A",902,IF(Atletas!T547="Taijijian Sun A",903,IF(Atletas!T547="Taijijian Wu A",904,IF(Atletas!T547="Taijijian Wu-Hao A",905,IF(Atletas!T547="Taijijian 32 A",906,IF(Atletas!T547="Taijijian 42 A",907,IF(Atletas!T547="Taijijian Yang B",908,IF(Atletas!T547="Taijijian Chen B",909,IF(Atletas!T547="Taijijian Sun B",910,IF(Atletas!T547="Taijijian Wu B",911,IF(Atletas!T547="Taijijian Wu-Hao B",912,IF(Atletas!T547="Taijijian 32 B",913,IF(Atletas!T547="Taijijian 42 B",914,IF(Atletas!T547="Taijijian Yang C",915,IF(Atletas!T547="Taijijian Chen C",916,IF(Atletas!T547="Taijijian Sun C",917,IF(Atletas!T547="Taijijian Wu C",918,IF(Atletas!T547="Taijijian Wu-Hao C",919,IF(Atletas!T547="Taijijian 32 C",920,IF(Atletas!T547="Taijijian 42 C",921,IF(Atletas!T547="Taijijian Yang D",922,IF(Atletas!T547="Taijijian Chen D",923,IF(Atletas!T547="Taijijian Sun D",924,IF(Atletas!T547="Taijijian Wu D",925,IF(Atletas!T547="Taijijian Wu-Hao D",926,IF(Atletas!T547="Taijijian 32 D",927,IF(Atletas!T547="Taijijian 42 D",928,IF(Atletas!T547="Taijijian Yang E",929,IF(Atletas!T547="Taijijian Chen E",930,IF(Atletas!T547="Taijijian Sun E",931,IF(Atletas!T547="Taijijian Wu E",932,IF(Atletas!T547="Taijijian Wu-Hao E",933,IF(Atletas!T547="Taijijian 32 E",934,IF(Atletas!T547="Taijijian 42 E",935,IF(Atletas!T547="Taijijian Yang F",936,IF(Atletas!T547="Taijijian Chen F",937,IF(Atletas!T547="Taijijian Sun F",938,IF(Atletas!T547="Taijijian Wu F",939,IF(Atletas!T547="Taijijian Wu-Hao F",940,IF(Atletas!T547="Taijijian 32 F",941,IF(Atletas!T547="Taijijian 42 F",942,"")))))))))))))))))))))))))))))))))))))))))))</f>
        <v/>
      </c>
      <c r="BW551" s="52" t="str">
        <f>IF(Atletas!U547="","",IF(Atletas!W547&lt;&gt;"",10000,0)+IF(Atletas!B547="Feminino",1000,IF(Atletas!B547="Masculino",2000,""))+IF(Atletas!T547="Taijijian 42 F",942,IF(Atletas!U547="Taijidao A",943,IF(Atletas!U547="Taijishan A",944,IF(Atletas!U547="Taijiqiang A",945,IF(Atletas!U547="Taijidao B",946,IF(Atletas!U547="Taijishan B",947,IF(Atletas!U547="Taijiqiang B",948,IF(Atletas!U547="Taijidao C",949,IF(Atletas!U547="Taijishan C",950,IF(Atletas!U547="Taijiqiang C",951,IF(Atletas!U547="Taijidao D",952,IF(Atletas!U547="Taijishan D",953,IF(Atletas!U547="Taijiqiang D",954,IF(Atletas!U547="Taijidao E",955,IF(Atletas!U547="Taijishan E",956,IF(Atletas!U547="Taijiqiang E",957,IF(Atletas!U547="Taijidao F",958,IF(Atletas!U547="Taijishan F",959,IF(Atletas!U547="Taijiqiang F",960))))))))))))))))))))</f>
        <v/>
      </c>
      <c r="CF551" s="52" t="str">
        <f xml:space="preserve"> IF(Atletas!V547="","",IF(Atletas!V547="Duilian de Mãos AB - Equipe 1",1,IF(Atletas!V547="Duilian de Mãos AB - Equipe 2",2,IF(Atletas!V547="Duilian de Armas AB - Equipe 1",3,IF(Atletas!V547="Duilian de Armas AB - Equipe 2",4,IF(Atletas!V547="Duilian de Tuishou - Equipe 1",5,IF(Atletas!V547="Duilian de Tuishou - Equipe 2",6,IF(Atletas!V547="Grupo Externo AB - Equipe 1",7,IF(Atletas!V547="Grupo Externo AB - Equipe 2",8,IF(Atletas!V547="Grupo Interno AB - Equipe 1",9,IF(Atletas!V547="Grupo Interno AB - Equipe 2",10,IF(Atletas!V547="Duilian de Mãos CD - Equipe 1",11,IF(Atletas!V547="Duilian de Mãos CD - Equipe 2",12,IF(Atletas!V547="Duilian de Armas CD - Equipe 1",13,IF(Atletas!V547="Duilian de Armas CD - Equipe 2",14,IF(Atletas!V547="Duilian de Tuishou - Equipe 1",15,IF(Atletas!V547="Duilian de Tuishou - Equipe 2",16,IF(Atletas!V547="Grupo Externo CDEF - Equipe 1",17,IF(Atletas!V547="Grupo Externo CDEF - Equipe 2",18,IF(Atletas!V547="Grupo Interno CDEF - Equipe 1",19,IF(Atletas!V547="Grupo Interno CDEF - Equipe 2",20,IF(Atletas!V547="Duilian de Mãos EF - Equipe 1",21,IF(Atletas!V547="Duilian de Mãos EF - Equipe 2",22,IF(Atletas!V547="Duilian de Armas EF - Equipe 1",23,IF(Atletas!V547="Duilian de Armas EF - Equipe 2",24,IF(Atletas!V547="Duilian de Tuishou - Equipe 1",25,IF(Atletas!V547="Duilian de Tuishou - Equipe 2",26,"")))))))))))))))))))))))))))</f>
        <v/>
      </c>
    </row>
    <row r="552" spans="36:84">
      <c r="AJ552" s="46" t="str">
        <f>IF(Atletas!D548="","",IF(Atletas!B548="Feminino",100,IF(Atletas!B548="Masculino",200,""))+(IF(Atletas!D548="Infantil 39kg",1,IF(Atletas!D548="Infantil 42kg",2,IF(Atletas!D548="Infantil 45kg",3,IF(Atletas!D548="Infantil 48kg",4,IF(Atletas!D548="Infantil 52kg",5,IF(Atletas!D548="Infantil 56kg",6,IF(Atletas!D548="Infantil 60kg",7,IF(Atletas!D548="Juvenil 48kg",8,IF(Atletas!D548="Juvenil 52kg",9,IF(Atletas!D548="Juvenil 56kg",10,IF(Atletas!D548="Juvenil 60kg",11,IF(Atletas!D548="Juvenil 65kg",12,IF(Atletas!D548="Juvenil 70kg",13,IF(Atletas!D548="Juvenil 75kg",14,IF(Atletas!D548="Juvenil 80kg",15,IF(Atletas!D548="Adulto 48kg",16,IF(Atletas!D548="Adulto 52kg",17,IF(Atletas!D548="Adulto 56kg",18,IF(Atletas!D548="Adulto 60kg",19,IF(Atletas!D548="Adulto 65kg",20,IF(Atletas!D548="Adulto 70kg",21,IF(Atletas!D548="Adulto 75kg",22,IF(Atletas!D548="Adulto 80kg",23,IF(Atletas!D548="Adulto 85kg",24,IF(Atletas!D548="Adulto 90kg",25,IF(Atletas!D548="Adulto +90kg",26,""))))))))))))))))))))))))))))</f>
        <v/>
      </c>
      <c r="AO552" s="10" t="str">
        <f>IF(Atletas!E548="","",IF(Atletas!B548="Feminino",100,IF(Atletas!B548="Masculino",200,""))+(IF(Atletas!E548="Juvenil 44kg",1,IF(Atletas!E548="Juvenil 48kg",2,IF(Atletas!E548="Juvenil 52kg",3,IF(Atletas!E548="Juvenil 56kg",4,IF(Atletas!E548="Juvenil 60kg",5,IF(Atletas!E548="Juvenil 65kg",6,IF(Atletas!E548="Juvenil 70kg",7,IF(Atletas!E548="Juvenil 75kg",8,IF(Atletas!E548="Juvenil 82kg",9,IF(Atletas!E548="Juvenil 90kg",10,IF(Atletas!E548="Juvenil 100kg",11,IF(Atletas!E548="Adulto 48kg",12,IF(Atletas!E548="Adulto 52kg",13,IF(Atletas!E548="Adulto 56kg",14,IF(Atletas!E548="Adulto 60kg",15,IF(Atletas!E548="Adulto 65kg",16,IF(Atletas!E548="Adulto 70kg",17,IF(Atletas!E548="Adulto 75kg",18,IF(Atletas!E548="Adulto 82kg",19,IF(Atletas!E548="Adulto 90kg",20,IF(Atletas!E548="Adulto 100kg",21,IF(Atletas!E548="Adulto +100kg",22,""))))))))))))))))))))))))</f>
        <v/>
      </c>
      <c r="AT552" s="10" t="str">
        <f>IF(Atletas!F548="","",IF(Atletas!B548="Feminino",100,IF(Atletas!B548="Masculino",200,""))+(IF(Atletas!F548="Adulto 48kg",1,IF(Atletas!F548="Adulto 56kg",2,IF(Atletas!F548="Adulto 65kg",3,IF(Atletas!F548="Adulto 75kg",4,IF(Atletas!F548="Adulto +75kg",5,IF(Atletas!F548="Adulto 52kg",6,IF(Atletas!F548="Adulto 60kg",7,IF(Atletas!F548="Adulto 70kg",8,IF(Atletas!F548="Adulto 80kg",9,IF(Atletas!F548="Adulto 90kg",10,IF(Atletas!F548="Adulto +90kg",11,"")))))))))))))</f>
        <v/>
      </c>
      <c r="AY552" s="46" t="str">
        <f>IF(Atletas!G548="","",IF(Atletas!B548="Feminino",100,IF(Atletas!B548="Masculino",200,""))+(IF(Atletas!G548="Changquan Mirim",1,IF(Atletas!G548="Nanquan Mirim",2,IF(Atletas!G548="Taijiquan Mirim",3,IF(Atletas!G548="Changquan Grupo C",4,IF(Atletas!G548="Nanquan Grupo C",5,IF(Atletas!G548="Taijiquan Grupo C",6,IF(Atletas!G548="Changquan Grupo B",7,IF(Atletas!G548="Nanquan Grupo B",8,IF(Atletas!G548="Taijiquan Grupo B",9,IF(Atletas!G548="Changquan Grupo A",10,IF(Atletas!G548="Nanquan Grupo A",11,IF(Atletas!G548="Taijiquan Grupo A",12,IF(Atletas!G548="Changquan Opcional",13,IF(Atletas!G548="Nanquan Opcional",14,IF(Atletas!G548="Taijiquan Opcional",15,IF(Atletas!G548="Changquan Adulto",16,IF(Atletas!G548="Nanquan Adulto",17,IF(Atletas!G548="Taijiquan Adulto",18,""))))))))))))))))))))</f>
        <v/>
      </c>
      <c r="AZ552" s="46" t="str">
        <f>IF(Atletas!H548="","",IF(Atletas!B548="Feminino",100,IF(Atletas!B548="Masculino",200,""))+(IF(Atletas!H548="Daoshu Mirim",19,IF(Atletas!H548="Jianshu Mirim",20,IF(Atletas!H548="Nandao Mirim",21,IF(Atletas!H548="Taijijian Mirim",22,IF(Atletas!H548="Daoshu Grupo C",23,IF(Atletas!H548="Jianshu Grupo C",24,IF(Atletas!H548="Nandao Grupo C",25,IF(Atletas!H548="Taijijian Grupo C",26,IF(Atletas!H548="Daoshu Grupo B",27,IF(Atletas!H548="Jianshu Grupo B",28,IF(Atletas!H548="Nandao Grupo B",29,IF(Atletas!H548="Taijijian Grupo B",30,IF(Atletas!H548="Daoshu Grupo A",31,IF(Atletas!H548="Jianshu Grupo A",32,IF(Atletas!H548="Nandao Grupo A",33,IF(Atletas!H548="Taijijian Grupo A",34,IF(Atletas!H548="Daoshu Opcional",35,IF(Atletas!H548="Jianshu Opcional",36,IF(Atletas!H548="Nandao Opcional",37,IF(Atletas!H548="Taijijian Opcional",38,IF(Atletas!H548="Daoshu Adulto",39,IF(Atletas!H548="Jianshu Adulto",40,IF(Atletas!H548="Nandao Adulto",41,IF(Atletas!H548="Taijijian Adulto",42,""))))))))))))))))))))))))))</f>
        <v/>
      </c>
      <c r="BA552" s="46" t="str">
        <f>IF(Atletas!I548="","",IF(Atletas!B548="Feminino",100,IF(Atletas!B548="Masculino",200,""))+(IF(Atletas!I548="Gunshu Mirim",43,IF(Atletas!I548="Qiangshu Mirim",44,IF(Atletas!I548="Nangun Mirim",45,IF(Atletas!I548="Gunshu Grupo C",46,IF(Atletas!I548="Qiangshu Grupo C",47,IF(Atletas!I548="Nangun Grupo C",48,IF(Atletas!I548="Gunshu Grupo B",49,IF(Atletas!I548="Qiangshu Grupo B",50,IF(Atletas!I548="Nangun Grupo B",51,IF(Atletas!I548="Gunshu Grupo A",52,IF(Atletas!I548="Qiangshu Grupo A",53,IF(Atletas!I548="Nangun Grupo A",54,IF(Atletas!I548="Gunshu Opcional",55,IF(Atletas!I548="Qiangshu Opcional",56,IF(Atletas!I548="Nangun Opcional",57,IF(Atletas!I548="Gunshu Adulto",58,IF(Atletas!I548="Qiangshu Adulto",59,IF(Atletas!I548="Nangun Adulto",60,""))))))))))))))))))))</f>
        <v/>
      </c>
      <c r="BF552" s="52" t="str">
        <f>IF(Atletas!J548="","",IF(Atletas!B548="Feminino",100,IF(Atletas!B548="Masculino",200,""))+(IF(Atletas!J548="Equipe 1 Grupo B",1,IF(Atletas!J548="Equipe 2 Grupo B",2,IF(Atletas!J548="Equipe 1 Grupo A",3,IF(Atletas!J548="Equipe 2 Grupo A",4,IF(Atletas!J548="Equipe 1 Adulto",5,IF(Atletas!J548="Equipe 2 Adulto",6,""))))))))</f>
        <v/>
      </c>
      <c r="BK552" s="52" t="str">
        <f>IF(Atletas!K548="","",IF(Atletas!W548&lt;&gt;"",10000,0)+(IF(Atletas!B548="Feminino",1000,IF(Atletas!B548="Masculino",2000,""))+IF(Atletas!K548="Choylayfut A",1,IF(Atletas!K548="Hunggar A",2,IF(Atletas!K548="Wuzuquan A",3,IF(Atletas!K548="Wingchun A",4,IF(Atletas!K548="Outra Mão de Sul A",5,IF(Atletas!K548="Choylayfut B",6,IF(Atletas!K548="Hunggar B",7,IF(Atletas!K548="Wuzuquan B",8,IF(Atletas!K548="Wingchun B",9,IF(Atletas!K548="Outra Mão de Sul B",10,IF(Atletas!K548="Choylayfut C",11,IF(Atletas!K548="Hunggar C",12,IF(Atletas!K548="Wuzuquan C",13,IF(Atletas!K548="Wingchun C",14,IF(Atletas!K548="Outra Mão de Sul C",15,IF(Atletas!K548="Choylayfut D",16,IF(Atletas!K548="Hunggar D",17,IF(Atletas!K548="Wuzuquan D",18,IF(Atletas!K548="Wingchun D",19,IF(Atletas!K548="Outra Mão de Sul D",20,IF(Atletas!K548="Choylayfut E",21,IF(Atletas!K548="Hunggar E",22,IF(Atletas!K548="Wuzuquan E",23,IF(Atletas!K548="Wingchun E",24,IF(Atletas!K548="Outra Mão de Sul E",25,IF(Atletas!K548="Choylayfut F",26,IF(Atletas!K548="Hunggar F",27,IF(Atletas!K548="Wuzuquan F",28,IF(Atletas!K548="Wingchun F",29,IF(Atletas!K548="Outra Mão de Sul F",30,""))))))))))))))))))))))))))))))))</f>
        <v/>
      </c>
      <c r="BL552" s="52" t="str">
        <f>IF(Atletas!L548="","",IF(Atletas!W548&lt;&gt;"",10000,0)+(IF(Atletas!B548="Feminino",1000,IF(Atletas!B548="Masculino",2000,""))+(IF(Atletas!L548="Chaquan A",101,IF(Atletas!L548="Emeiquan A",102,IF(Atletas!L548="Fanziquan A",103,IF(Atletas!L548="Huaquan A",104,IF(Atletas!L548="Hongquan A",105,IF(Atletas!L548="Paochui A",106,IF(Atletas!L548="Piguaquan A",107,IF(Atletas!L548="Shaolinquan A",108,IF(Atletas!L548="Tanglangquan A",109,IF(Atletas!L548="Yinzhaophai A",110,IF(Atletas!L548="Tongbeiquan A",111,IF(Atletas!L548="Wudangquan A",112,IF(Atletas!L548="Outros Estilos A",113,IF(Atletas!L548="Chaquan B",114,IF(Atletas!L548="Emeiquan B",115,IF(Atletas!L548="Fanziquan B",116,IF(Atletas!L548="Huaquan B",117,IF(Atletas!L548="Hongquan B",118,IF(Atletas!L548="Paochui B",119,IF(Atletas!L548="Piguaquan B",120,IF(Atletas!L548="Shaolinquan B",121,IF(Atletas!L548="Tanglangquan B",122,IF(Atletas!L548="Yinzhaophai B",123,IF(Atletas!L548="Tongbeiquan B",124,IF(Atletas!L548="Wudangquan B",125,IF(Atletas!L548="Outros Estilos B",126,IF(Atletas!L548="Chaquan C",127,IF(Atletas!L548="Emeiquan C",128,IF(Atletas!L548="Fanziquan C",129,IF(Atletas!L548="Huaquan C",130,IF(Atletas!L548="Hongquan C",131,IF(Atletas!L548="Paochui C",132,IF(Atletas!L548="Piguaquan C",133,IF(Atletas!L548="Shaolinquan C",134,IF(Atletas!L548="Tanglangquan C",135,IF(Atletas!L548="Yinzhaophai C",136,IF(Atletas!L548="Tongbeiquan C",137,IF(Atletas!L548="Wudangquan C",138,IF(Atletas!L548="Outros Estilos C",139,0))))))))))))))))))))))))))))))))))))))))))</f>
        <v/>
      </c>
      <c r="BM552" s="52" t="str">
        <f>IF(Atletas!L548="","",IF(Atletas!W548&lt;&gt;"",10000,0)+(IF(Atletas!B548="Feminino",1000,IF(Atletas!B548="Masculino",2000,""))+(IF(Atletas!L548="Chaquan D",140,IF(Atletas!L548="Emeiquan D",141,IF(Atletas!L548="Fanziquan D",142,IF(Atletas!L548="Huaquan D",143,IF(Atletas!L548="Hongquan D",144,IF(Atletas!L548="Paochui D",145,IF(Atletas!L548="Piguaquan D",146,IF(Atletas!L548="Shaolinquan D",147,IF(Atletas!L548="Tanglangquan D",148,IF(Atletas!L548="Yinzhaophai D",149,IF(Atletas!L548="Tongbeiquan D",150,IF(Atletas!L548="Wudangquan D",151,IF(Atletas!L548="Outros Estilos D",152,IF(Atletas!L548="Chaquan E",153,IF(Atletas!L548="Emeiquan E",154,IF(Atletas!L548="Fanziquan E",155,IF(Atletas!L548="Huaquan E",156,IF(Atletas!L548="Hongquan E",157,IF(Atletas!L548="Paochui E",158,IF(Atletas!L548="Piguaquan E",159,IF(Atletas!L548="Shaolinquan E",160,IF(Atletas!L548="Tanglangquan E",161,IF(Atletas!L548="Yinzhaophai E",162,IF(Atletas!L548="Tongbeiquan E",163,IF(Atletas!L548="Wudangquan E",164,IF(Atletas!L548="Outros Estilos E",165,IF(Atletas!L548="Chaquan F",166,IF(Atletas!L548="Emeiquan F",167,IF(Atletas!L548="Fanziquan F",168,IF(Atletas!L548="Huaquan F",169,IF(Atletas!L548="Hongquan F",170,IF(Atletas!L548="Paochui F",171,IF(Atletas!L548="Piguaquan F",172,IF(Atletas!L548="Shaolinquan F",173,IF(Atletas!L548="Tanglangquan F",174,IF(Atletas!L548="Yinzhaophai F",175,IF(Atletas!L548="Tongbeiquan F",176,IF(Atletas!L548="Wudangquan F",177,IF(Atletas!L548="Outros Estilos F",178,0))))))))))))))))))))))))))))))))))))))))))</f>
        <v/>
      </c>
      <c r="BN552" s="52" t="str">
        <f>IF(Atletas!M548="","",IF(Atletas!W548&lt;&gt;"",10000,0)+(IF(Atletas!B548="Feminino",1000,IF(Atletas!B548="Masculino",2000,""))+(IF(Atletas!M548="Ditangquan A",201,IF(Atletas!M548="Houquan A",202,IF(Atletas!M548="Zuiquan A",203,IF(Atletas!M548="Ditangquan B",204,IF(Atletas!M548="Houquan B",205,IF(Atletas!M548="Zuiquan B",206,IF(Atletas!M548="Ditangquan C",207,IF(Atletas!M548="Houquan C",208,IF(Atletas!M548="Zuiquan C",209,IF(Atletas!M548="Ditangquan D",210,IF(Atletas!M548="Houquan D",211,IF(Atletas!M548="Zuiquan D",212,IF(Atletas!M548="Ditangquan E",213,IF(Atletas!M548="Houquan E",214,IF(Atletas!M548="Zuiquan E",215,IF(Atletas!M548="Ditangquan F",216,IF(Atletas!M548="Houquan F",217,IF(Atletas!M548="Zuiquan F",218,"")))))))))))))))))))))</f>
        <v/>
      </c>
      <c r="BO552" s="52" t="str">
        <f>IF(Atletas!N548="","",IF(Atletas!W548&lt;&gt;"",10000,0)+IF(Atletas!B548="Feminino",1000,IF(Atletas!B548="Masculino",2000,""))+IF(Atletas!N548="Yang A",301,IF(Atletas!N548="Chen A",30,IF(Atletas!N548="Sun A",303,IF(Atletas!N548="Wu A",304,IF(Atletas!N548="Wu-Hao A",305,IF(Atletas!N548="Outro Taijiquan A",306,IF(Atletas!N548="Yang B",307,IF(Atletas!N548="Chen B",308,IF(Atletas!N548="Sun B",309,IF(Atletas!N548="Wu B",310,IF(Atletas!N548="Wu-Hao B",311,IF(Atletas!N548="Outro Taijiquan B",312,IF(Atletas!N548="Yang C",313,IF(Atletas!N548="Chen C",314,IF(Atletas!N548="Sun C",315,IF(Atletas!N548="Wu C",316,IF(Atletas!N548="Wu-Hao C",317,IF(Atletas!N548="Outro Taijiquan C",318,IF(Atletas!N548="Yang D",319,IF(Atletas!N548="Chen D",320,IF(Atletas!N548="Sun D",321,IF(Atletas!N548="Wu D",322,IF(Atletas!N548="Wu-Hao D",323,IF(Atletas!N548="Outro Taijiquan D",324,IF(Atletas!N548="Yang E",325,IF(Atletas!N548="Chen E",326,IF(Atletas!N548="Sun E",327,IF(Atletas!N548="Wu E",328,IF(Atletas!N548="Wu-Hao E",329,IF(Atletas!N548="Outro Taijiquan E",330,IF(Atletas!N548="Yang F",331,IF(Atletas!N548="Chen F",332,IF(Atletas!N548="Sun F",333,IF(Atletas!N548="Wu F",334,IF(Atletas!N548="Wu-Hao F",335,IF(Atletas!N548="Outro Taijiquan F",336,"")))))))))))))))))))))))))))))))))))))</f>
        <v/>
      </c>
      <c r="BP552" s="52" t="str">
        <f>IF(Atletas!O548="","",IF(Atletas!W548&lt;&gt;"",10000,0)+IF(Atletas!B548="Feminino",1000,IF(Atletas!B548="Masculino",2000,""))+IF(OR(Atletas!O548="Yang 26 A",Atletas!O548="Yang 40 A"),401,IF(OR(Atletas!O548="Chen 25 A",Atletas!O548="Chen 36 A",Atletas!O548="Chen 56 A"),402,IF(Atletas!O548="Sun 73 A",403,IF(Atletas!O548="Wu 45 A",404,IF(Atletas!O548="Wu-Hao 46 A",405,IF(OR(Atletas!O548="Taijiquan 16 A",Atletas!O548="Taijiquan 24 A",Atletas!O548="Taijiquan 32 A",Atletas!O548="Taijiquan 42 A"),406,IF(OR(Atletas!O548="Yang 26 B",Atletas!O548="Yang 40 B"),407,IF(OR(Atletas!O548="Chen 25 B",Atletas!O548="Chen 36 B",Atletas!O548="Chen 56 B"),408,IF(Atletas!O548="Sun 73 B",409,IF(Atletas!O548="Wu 45 B",410,IF(Atletas!O548="Wu-Hao 46 B",411,IF(OR(Atletas!O548="Taijiquan 16 B",Atletas!O548="Taijiquan 24 B",Atletas!O548="Taijiquan 32 B",Atletas!O548="Taijiquan 42 B"),412,IF(OR(Atletas!O548="Yang 26 C",Atletas!O548="Yang 40 C"),413,IF(OR(Atletas!O548="Chen 25 C",Atletas!O548="Chen 36 C",Atletas!O548="Chen 56 C"),414,IF(Atletas!O548="Sun 73 C",415,IF(Atletas!O548="Wu 45 C",416,IF(Atletas!O548="Wu-Hao 46 C",417,IF(OR(Atletas!O548="Taijiquan 16 C",Atletas!O548="Taijiquan 24 C",Atletas!O548="Taijiquan 32 C",Atletas!O548="Taijiquan 42 C"),418,0)))))))))))))))))))</f>
        <v/>
      </c>
      <c r="BQ552" s="52" t="str">
        <f>IF(Atletas!O548="","",IF(Atletas!W548&lt;&gt;"",10000,0)+IF(Atletas!B548="Feminino",1000,IF(Atletas!B548="Masculino",2000,""))+IF(OR(Atletas!O548="Yang 26 D",Atletas!O548="Yang 40 D"),419,IF(OR(Atletas!O548="Chen 25 D",Atletas!O548="Chen 36 D",Atletas!O548="Chen 56 D"),420,IF(Atletas!O548="Sun 73 D",421,IF(Atletas!O548="Wu 45 D",422,IF(Atletas!O548="Wu-Hao 46 D",423,IF(OR(Atletas!O548="Taijiquan 16 D",Atletas!O548="Taijiquan 24 D",Atletas!O548="Taijiquan 32 D",Atletas!O548="Taijiquan 42 D"),424,IF(OR(Atletas!O548="Yang 26 E",Atletas!O548="Yang 40 E"),425,IF(OR(Atletas!O548="Chen 25 E",Atletas!O548="Chen 36 E",Atletas!O548="Chen 56 E"),426,IF(Atletas!O548="Sun 73 E",427,IF(Atletas!O548="Wu 45 E",428,IF(Atletas!O548="Wu-Hao 46 E",429,IF(OR(Atletas!O548="Taijiquan 16 E",Atletas!O548="Taijiquan 24 E",Atletas!O548="Taijiquan 32 E",Atletas!O548="Taijiquan 42 E"),430,IF(OR(Atletas!O548="Yang 26 F",Atletas!O548="Yang 40 F"),431,IF(OR(Atletas!O548="Chen 25 F",Atletas!O548="Chen 36 F",Atletas!O548="Chen 56 F"),432,IF(Atletas!O548="Sun 73 F",433,IF(Atletas!O548="Wu 45 F",434,IF(Atletas!O548="Wu-Hao 46 F",435,IF(OR(Atletas!O548="Taijiquan 16 F",Atletas!O548="Taijiquan 24 F",Atletas!O548="Taijiquan 32 F",Atletas!O548="Taijiquan 42 F"),436,0)))))))))))))))))))</f>
        <v/>
      </c>
      <c r="BR552" s="52" t="str">
        <f>IF(Atletas!P548="","",IF(Atletas!W548&lt;&gt;"",10000,0)+IF(Atletas!B548="Feminino",1000,IF(Atletas!B548="Masculino",2000,""))+IF(Atletas!P548="Xingyiquan A",501,IF(Atletas!P548="Baguazhang A",502,IF(Atletas!P548="Outro Estilo Interno A",503,IF(Atletas!P548="Xingyiquan B",504,IF(Atletas!P548="Baguazhang B",505,IF(Atletas!P548="Outro Estilo Interno B",506,IF(Atletas!P548="Xingyiquan C",507,IF(Atletas!P548="Baguazhang C",508,IF(Atletas!P548="Outro Estilo Interno C",509,IF(Atletas!P548="Xingyiquan D",510,IF(Atletas!P548="Baguazhang D",511,IF(Atletas!P548="Outro Estilo Interno D",512,IF(Atletas!P548="Xingyiquan E",513,IF(Atletas!P548="Baguazhang E",514,IF(Atletas!P548="Outro Estilo Interno E",515,IF(Atletas!P548="Xingyiquan F",516,IF(Atletas!P548="Baguazhang F",517,IF(Atletas!P548="Outro Estilo Interno F",518, "")))))))))))))))))))</f>
        <v/>
      </c>
      <c r="BS552" s="52" t="str">
        <f>IF(Atletas!Q548="","",IF(Atletas!W548&lt;&gt;"",10000,0)+IF(Atletas!B548="Feminino",1000,IF(Atletas!B548="Masculino",2000,""))+IF(Atletas!Q548="Dao A",601,IF(Atletas!Q548="Jian A",602,IF(Atletas!Q548="Bishou A",603,IF(Atletas!Q548="Shan A",604,IF(Atletas!Q548="Outra Arma Curta A",605,IF(Atletas!Q548="Dao B",606,IF(Atletas!Q548="Jian B",607,IF(Atletas!Q548="Bishou B",608,IF(Atletas!Q548="Shan B",609,IF(Atletas!Q548="Outra Arma Curta B",610,IF(Atletas!Q548="Dao C",611,IF(Atletas!Q548="Jian C",612,IF(Atletas!Q548="Bishou C",613,IF(Atletas!Q548="Shan C",614,IF(Atletas!Q548="Outra Arma Curta C",615,IF(Atletas!Q548="Dao D",616,IF(Atletas!Q548="Jian D",617,IF(Atletas!Q548="Bishou D",618,IF(Atletas!Q548="Shan D",619,IF(Atletas!Q548="Outra Arma Curta D",620,IF(Atletas!Q548="Dao E",621,IF(Atletas!Q548="Jian E",622,IF(Atletas!Q548="Bishou E",623,IF(Atletas!Q548="Shan E",624,IF(Atletas!Q548="Outra Arma Curta E",625,IF(Atletas!Q548="Dao F",626,IF(Atletas!Q548="Jian F",627,IF(Atletas!Q548="Bishou F",628,IF(Atletas!Q548="Shan F",629,IF(Atletas!Q548="Outra Arma Curta F",630, "")))))))))))))))))))))))))))))))</f>
        <v/>
      </c>
      <c r="BT552" s="52" t="str">
        <f>IF(Atletas!R548="","",IF(Atletas!W548&lt;&gt;"",10000,0)+IF(Atletas!B548="Feminino",1000,IF(Atletas!B548="Masculino",2000,""))+IF(Atletas!R548="Gun A",701,IF(Atletas!R548="Qiang A",702,IF(Atletas!R548="Pudao / Guandao A",703,IF(Atletas!R548="Outra Arma Longa A",704,IF(Atletas!R548="Gun B",705,IF(Atletas!R548="Qiang B",706,IF(Atletas!R548="Pudao / Guandao B",707,IF(Atletas!R548="Outra Arma Longa B",708,IF(Atletas!R548="Gun C",709,IF(Atletas!R548="Qiang C",710,IF(Atletas!R548="Pudao / Guandao C",711,IF(Atletas!R548="Outra Arma Longa C",712,IF(Atletas!R548="Gun D",713,IF(Atletas!R548="Qiang D",714,IF(Atletas!R548="Pudao / Guandao D",715,IF(Atletas!R548="Outra Arma Longa D",716,IF(Atletas!R548="Gun E",717,IF(Atletas!R548="Qiang E",718,IF(Atletas!R548="Pudao / Guandao E",719,IF(Atletas!R548="Outra Arma Longa E",720,IF(Atletas!R548="Gun F",721,IF(Atletas!R548="Qiang F",722,IF(Atletas!R548="Pudao / Guandao F",723,IF(Atletas!R548="Outra Arma Longa F",724,"")))))))))))))))))))))))))</f>
        <v/>
      </c>
      <c r="BU552" s="52" t="str">
        <f>IF(Atletas!S548="","",IF(Atletas!W548&lt;&gt;"",10000,0)+IF(Atletas!B548="Feminino",1000,IF(Atletas!B548="Masculino",2000,""))+IF(Atletas!S548="Arma Dupla A",801,IF(Atletas!S548="Arma Maleável A",802,IF(Atletas!S548="Arma Dupla B",803,IF(Atletas!S548="Arma Maleável B",804,IF(Atletas!S548="Arma Dupla C",805,IF(Atletas!S548="Arma Maleável C",806,IF(Atletas!S548="Arma Dupla D",807,IF(Atletas!S548="Arma Maleável D",808,IF(Atletas!S548="Arma Dupla E",809,IF(Atletas!S548="Arma Maleável E",810,IF(Atletas!S548="Arma Dupla F",811,IF(Atletas!S548="Arma Maleável F",812, "")))))))))))))</f>
        <v/>
      </c>
      <c r="BV552" s="52" t="str">
        <f>IF(Atletas!T548="","",IF(Atletas!W548&lt;&gt;"",10000,0)+IF(Atletas!B548="Feminino",1000,IF(Atletas!B548="Masculino",2000,""))+IF(Atletas!T548="Taijijian Yang A",901,IF(Atletas!T548="Taijijian Chen A",902,IF(Atletas!T548="Taijijian Sun A",903,IF(Atletas!T548="Taijijian Wu A",904,IF(Atletas!T548="Taijijian Wu-Hao A",905,IF(Atletas!T548="Taijijian 32 A",906,IF(Atletas!T548="Taijijian 42 A",907,IF(Atletas!T548="Taijijian Yang B",908,IF(Atletas!T548="Taijijian Chen B",909,IF(Atletas!T548="Taijijian Sun B",910,IF(Atletas!T548="Taijijian Wu B",911,IF(Atletas!T548="Taijijian Wu-Hao B",912,IF(Atletas!T548="Taijijian 32 B",913,IF(Atletas!T548="Taijijian 42 B",914,IF(Atletas!T548="Taijijian Yang C",915,IF(Atletas!T548="Taijijian Chen C",916,IF(Atletas!T548="Taijijian Sun C",917,IF(Atletas!T548="Taijijian Wu C",918,IF(Atletas!T548="Taijijian Wu-Hao C",919,IF(Atletas!T548="Taijijian 32 C",920,IF(Atletas!T548="Taijijian 42 C",921,IF(Atletas!T548="Taijijian Yang D",922,IF(Atletas!T548="Taijijian Chen D",923,IF(Atletas!T548="Taijijian Sun D",924,IF(Atletas!T548="Taijijian Wu D",925,IF(Atletas!T548="Taijijian Wu-Hao D",926,IF(Atletas!T548="Taijijian 32 D",927,IF(Atletas!T548="Taijijian 42 D",928,IF(Atletas!T548="Taijijian Yang E",929,IF(Atletas!T548="Taijijian Chen E",930,IF(Atletas!T548="Taijijian Sun E",931,IF(Atletas!T548="Taijijian Wu E",932,IF(Atletas!T548="Taijijian Wu-Hao E",933,IF(Atletas!T548="Taijijian 32 E",934,IF(Atletas!T548="Taijijian 42 E",935,IF(Atletas!T548="Taijijian Yang F",936,IF(Atletas!T548="Taijijian Chen F",937,IF(Atletas!T548="Taijijian Sun F",938,IF(Atletas!T548="Taijijian Wu F",939,IF(Atletas!T548="Taijijian Wu-Hao F",940,IF(Atletas!T548="Taijijian 32 F",941,IF(Atletas!T548="Taijijian 42 F",942,"")))))))))))))))))))))))))))))))))))))))))))</f>
        <v/>
      </c>
      <c r="BW552" s="52" t="str">
        <f>IF(Atletas!U548="","",IF(Atletas!W548&lt;&gt;"",10000,0)+IF(Atletas!B548="Feminino",1000,IF(Atletas!B548="Masculino",2000,""))+IF(Atletas!T548="Taijijian 42 F",942,IF(Atletas!U548="Taijidao A",943,IF(Atletas!U548="Taijishan A",944,IF(Atletas!U548="Taijiqiang A",945,IF(Atletas!U548="Taijidao B",946,IF(Atletas!U548="Taijishan B",947,IF(Atletas!U548="Taijiqiang B",948,IF(Atletas!U548="Taijidao C",949,IF(Atletas!U548="Taijishan C",950,IF(Atletas!U548="Taijiqiang C",951,IF(Atletas!U548="Taijidao D",952,IF(Atletas!U548="Taijishan D",953,IF(Atletas!U548="Taijiqiang D",954,IF(Atletas!U548="Taijidao E",955,IF(Atletas!U548="Taijishan E",956,IF(Atletas!U548="Taijiqiang E",957,IF(Atletas!U548="Taijidao F",958,IF(Atletas!U548="Taijishan F",959,IF(Atletas!U548="Taijiqiang F",960))))))))))))))))))))</f>
        <v/>
      </c>
      <c r="CF552" s="52" t="str">
        <f xml:space="preserve"> IF(Atletas!V548="","",IF(Atletas!V548="Duilian de Mãos AB - Equipe 1",1,IF(Atletas!V548="Duilian de Mãos AB - Equipe 2",2,IF(Atletas!V548="Duilian de Armas AB - Equipe 1",3,IF(Atletas!V548="Duilian de Armas AB - Equipe 2",4,IF(Atletas!V548="Duilian de Tuishou - Equipe 1",5,IF(Atletas!V548="Duilian de Tuishou - Equipe 2",6,IF(Atletas!V548="Grupo Externo AB - Equipe 1",7,IF(Atletas!V548="Grupo Externo AB - Equipe 2",8,IF(Atletas!V548="Grupo Interno AB - Equipe 1",9,IF(Atletas!V548="Grupo Interno AB - Equipe 2",10,IF(Atletas!V548="Duilian de Mãos CD - Equipe 1",11,IF(Atletas!V548="Duilian de Mãos CD - Equipe 2",12,IF(Atletas!V548="Duilian de Armas CD - Equipe 1",13,IF(Atletas!V548="Duilian de Armas CD - Equipe 2",14,IF(Atletas!V548="Duilian de Tuishou - Equipe 1",15,IF(Atletas!V548="Duilian de Tuishou - Equipe 2",16,IF(Atletas!V548="Grupo Externo CDEF - Equipe 1",17,IF(Atletas!V548="Grupo Externo CDEF - Equipe 2",18,IF(Atletas!V548="Grupo Interno CDEF - Equipe 1",19,IF(Atletas!V548="Grupo Interno CDEF - Equipe 2",20,IF(Atletas!V548="Duilian de Mãos EF - Equipe 1",21,IF(Atletas!V548="Duilian de Mãos EF - Equipe 2",22,IF(Atletas!V548="Duilian de Armas EF - Equipe 1",23,IF(Atletas!V548="Duilian de Armas EF - Equipe 2",24,IF(Atletas!V548="Duilian de Tuishou - Equipe 1",25,IF(Atletas!V548="Duilian de Tuishou - Equipe 2",26,"")))))))))))))))))))))))))))</f>
        <v/>
      </c>
    </row>
    <row r="553" spans="36:84">
      <c r="AJ553" s="46" t="str">
        <f>IF(Atletas!D549="","",IF(Atletas!B549="Feminino",100,IF(Atletas!B549="Masculino",200,""))+(IF(Atletas!D549="Infantil 39kg",1,IF(Atletas!D549="Infantil 42kg",2,IF(Atletas!D549="Infantil 45kg",3,IF(Atletas!D549="Infantil 48kg",4,IF(Atletas!D549="Infantil 52kg",5,IF(Atletas!D549="Infantil 56kg",6,IF(Atletas!D549="Infantil 60kg",7,IF(Atletas!D549="Juvenil 48kg",8,IF(Atletas!D549="Juvenil 52kg",9,IF(Atletas!D549="Juvenil 56kg",10,IF(Atletas!D549="Juvenil 60kg",11,IF(Atletas!D549="Juvenil 65kg",12,IF(Atletas!D549="Juvenil 70kg",13,IF(Atletas!D549="Juvenil 75kg",14,IF(Atletas!D549="Juvenil 80kg",15,IF(Atletas!D549="Adulto 48kg",16,IF(Atletas!D549="Adulto 52kg",17,IF(Atletas!D549="Adulto 56kg",18,IF(Atletas!D549="Adulto 60kg",19,IF(Atletas!D549="Adulto 65kg",20,IF(Atletas!D549="Adulto 70kg",21,IF(Atletas!D549="Adulto 75kg",22,IF(Atletas!D549="Adulto 80kg",23,IF(Atletas!D549="Adulto 85kg",24,IF(Atletas!D549="Adulto 90kg",25,IF(Atletas!D549="Adulto +90kg",26,""))))))))))))))))))))))))))))</f>
        <v/>
      </c>
      <c r="AO553" s="10" t="str">
        <f>IF(Atletas!E549="","",IF(Atletas!B549="Feminino",100,IF(Atletas!B549="Masculino",200,""))+(IF(Atletas!E549="Juvenil 44kg",1,IF(Atletas!E549="Juvenil 48kg",2,IF(Atletas!E549="Juvenil 52kg",3,IF(Atletas!E549="Juvenil 56kg",4,IF(Atletas!E549="Juvenil 60kg",5,IF(Atletas!E549="Juvenil 65kg",6,IF(Atletas!E549="Juvenil 70kg",7,IF(Atletas!E549="Juvenil 75kg",8,IF(Atletas!E549="Juvenil 82kg",9,IF(Atletas!E549="Juvenil 90kg",10,IF(Atletas!E549="Juvenil 100kg",11,IF(Atletas!E549="Adulto 48kg",12,IF(Atletas!E549="Adulto 52kg",13,IF(Atletas!E549="Adulto 56kg",14,IF(Atletas!E549="Adulto 60kg",15,IF(Atletas!E549="Adulto 65kg",16,IF(Atletas!E549="Adulto 70kg",17,IF(Atletas!E549="Adulto 75kg",18,IF(Atletas!E549="Adulto 82kg",19,IF(Atletas!E549="Adulto 90kg",20,IF(Atletas!E549="Adulto 100kg",21,IF(Atletas!E549="Adulto +100kg",22,""))))))))))))))))))))))))</f>
        <v/>
      </c>
      <c r="AT553" s="10" t="str">
        <f>IF(Atletas!F549="","",IF(Atletas!B549="Feminino",100,IF(Atletas!B549="Masculino",200,""))+(IF(Atletas!F549="Adulto 48kg",1,IF(Atletas!F549="Adulto 56kg",2,IF(Atletas!F549="Adulto 65kg",3,IF(Atletas!F549="Adulto 75kg",4,IF(Atletas!F549="Adulto +75kg",5,IF(Atletas!F549="Adulto 52kg",6,IF(Atletas!F549="Adulto 60kg",7,IF(Atletas!F549="Adulto 70kg",8,IF(Atletas!F549="Adulto 80kg",9,IF(Atletas!F549="Adulto 90kg",10,IF(Atletas!F549="Adulto +90kg",11,"")))))))))))))</f>
        <v/>
      </c>
      <c r="AY553" s="46" t="str">
        <f>IF(Atletas!G549="","",IF(Atletas!B549="Feminino",100,IF(Atletas!B549="Masculino",200,""))+(IF(Atletas!G549="Changquan Mirim",1,IF(Atletas!G549="Nanquan Mirim",2,IF(Atletas!G549="Taijiquan Mirim",3,IF(Atletas!G549="Changquan Grupo C",4,IF(Atletas!G549="Nanquan Grupo C",5,IF(Atletas!G549="Taijiquan Grupo C",6,IF(Atletas!G549="Changquan Grupo B",7,IF(Atletas!G549="Nanquan Grupo B",8,IF(Atletas!G549="Taijiquan Grupo B",9,IF(Atletas!G549="Changquan Grupo A",10,IF(Atletas!G549="Nanquan Grupo A",11,IF(Atletas!G549="Taijiquan Grupo A",12,IF(Atletas!G549="Changquan Opcional",13,IF(Atletas!G549="Nanquan Opcional",14,IF(Atletas!G549="Taijiquan Opcional",15,IF(Atletas!G549="Changquan Adulto",16,IF(Atletas!G549="Nanquan Adulto",17,IF(Atletas!G549="Taijiquan Adulto",18,""))))))))))))))))))))</f>
        <v/>
      </c>
      <c r="AZ553" s="46" t="str">
        <f>IF(Atletas!H549="","",IF(Atletas!B549="Feminino",100,IF(Atletas!B549="Masculino",200,""))+(IF(Atletas!H549="Daoshu Mirim",19,IF(Atletas!H549="Jianshu Mirim",20,IF(Atletas!H549="Nandao Mirim",21,IF(Atletas!H549="Taijijian Mirim",22,IF(Atletas!H549="Daoshu Grupo C",23,IF(Atletas!H549="Jianshu Grupo C",24,IF(Atletas!H549="Nandao Grupo C",25,IF(Atletas!H549="Taijijian Grupo C",26,IF(Atletas!H549="Daoshu Grupo B",27,IF(Atletas!H549="Jianshu Grupo B",28,IF(Atletas!H549="Nandao Grupo B",29,IF(Atletas!H549="Taijijian Grupo B",30,IF(Atletas!H549="Daoshu Grupo A",31,IF(Atletas!H549="Jianshu Grupo A",32,IF(Atletas!H549="Nandao Grupo A",33,IF(Atletas!H549="Taijijian Grupo A",34,IF(Atletas!H549="Daoshu Opcional",35,IF(Atletas!H549="Jianshu Opcional",36,IF(Atletas!H549="Nandao Opcional",37,IF(Atletas!H549="Taijijian Opcional",38,IF(Atletas!H549="Daoshu Adulto",39,IF(Atletas!H549="Jianshu Adulto",40,IF(Atletas!H549="Nandao Adulto",41,IF(Atletas!H549="Taijijian Adulto",42,""))))))))))))))))))))))))))</f>
        <v/>
      </c>
      <c r="BA553" s="46" t="str">
        <f>IF(Atletas!I549="","",IF(Atletas!B549="Feminino",100,IF(Atletas!B549="Masculino",200,""))+(IF(Atletas!I549="Gunshu Mirim",43,IF(Atletas!I549="Qiangshu Mirim",44,IF(Atletas!I549="Nangun Mirim",45,IF(Atletas!I549="Gunshu Grupo C",46,IF(Atletas!I549="Qiangshu Grupo C",47,IF(Atletas!I549="Nangun Grupo C",48,IF(Atletas!I549="Gunshu Grupo B",49,IF(Atletas!I549="Qiangshu Grupo B",50,IF(Atletas!I549="Nangun Grupo B",51,IF(Atletas!I549="Gunshu Grupo A",52,IF(Atletas!I549="Qiangshu Grupo A",53,IF(Atletas!I549="Nangun Grupo A",54,IF(Atletas!I549="Gunshu Opcional",55,IF(Atletas!I549="Qiangshu Opcional",56,IF(Atletas!I549="Nangun Opcional",57,IF(Atletas!I549="Gunshu Adulto",58,IF(Atletas!I549="Qiangshu Adulto",59,IF(Atletas!I549="Nangun Adulto",60,""))))))))))))))))))))</f>
        <v/>
      </c>
      <c r="BF553" s="52" t="str">
        <f>IF(Atletas!J549="","",IF(Atletas!B549="Feminino",100,IF(Atletas!B549="Masculino",200,""))+(IF(Atletas!J549="Equipe 1 Grupo B",1,IF(Atletas!J549="Equipe 2 Grupo B",2,IF(Atletas!J549="Equipe 1 Grupo A",3,IF(Atletas!J549="Equipe 2 Grupo A",4,IF(Atletas!J549="Equipe 1 Adulto",5,IF(Atletas!J549="Equipe 2 Adulto",6,""))))))))</f>
        <v/>
      </c>
      <c r="BK553" s="52" t="str">
        <f>IF(Atletas!K549="","",IF(Atletas!W549&lt;&gt;"",10000,0)+(IF(Atletas!B549="Feminino",1000,IF(Atletas!B549="Masculino",2000,""))+IF(Atletas!K549="Choylayfut A",1,IF(Atletas!K549="Hunggar A",2,IF(Atletas!K549="Wuzuquan A",3,IF(Atletas!K549="Wingchun A",4,IF(Atletas!K549="Outra Mão de Sul A",5,IF(Atletas!K549="Choylayfut B",6,IF(Atletas!K549="Hunggar B",7,IF(Atletas!K549="Wuzuquan B",8,IF(Atletas!K549="Wingchun B",9,IF(Atletas!K549="Outra Mão de Sul B",10,IF(Atletas!K549="Choylayfut C",11,IF(Atletas!K549="Hunggar C",12,IF(Atletas!K549="Wuzuquan C",13,IF(Atletas!K549="Wingchun C",14,IF(Atletas!K549="Outra Mão de Sul C",15,IF(Atletas!K549="Choylayfut D",16,IF(Atletas!K549="Hunggar D",17,IF(Atletas!K549="Wuzuquan D",18,IF(Atletas!K549="Wingchun D",19,IF(Atletas!K549="Outra Mão de Sul D",20,IF(Atletas!K549="Choylayfut E",21,IF(Atletas!K549="Hunggar E",22,IF(Atletas!K549="Wuzuquan E",23,IF(Atletas!K549="Wingchun E",24,IF(Atletas!K549="Outra Mão de Sul E",25,IF(Atletas!K549="Choylayfut F",26,IF(Atletas!K549="Hunggar F",27,IF(Atletas!K549="Wuzuquan F",28,IF(Atletas!K549="Wingchun F",29,IF(Atletas!K549="Outra Mão de Sul F",30,""))))))))))))))))))))))))))))))))</f>
        <v/>
      </c>
      <c r="BL553" s="52" t="str">
        <f>IF(Atletas!L549="","",IF(Atletas!W549&lt;&gt;"",10000,0)+(IF(Atletas!B549="Feminino",1000,IF(Atletas!B549="Masculino",2000,""))+(IF(Atletas!L549="Chaquan A",101,IF(Atletas!L549="Emeiquan A",102,IF(Atletas!L549="Fanziquan A",103,IF(Atletas!L549="Huaquan A",104,IF(Atletas!L549="Hongquan A",105,IF(Atletas!L549="Paochui A",106,IF(Atletas!L549="Piguaquan A",107,IF(Atletas!L549="Shaolinquan A",108,IF(Atletas!L549="Tanglangquan A",109,IF(Atletas!L549="Yinzhaophai A",110,IF(Atletas!L549="Tongbeiquan A",111,IF(Atletas!L549="Wudangquan A",112,IF(Atletas!L549="Outros Estilos A",113,IF(Atletas!L549="Chaquan B",114,IF(Atletas!L549="Emeiquan B",115,IF(Atletas!L549="Fanziquan B",116,IF(Atletas!L549="Huaquan B",117,IF(Atletas!L549="Hongquan B",118,IF(Atletas!L549="Paochui B",119,IF(Atletas!L549="Piguaquan B",120,IF(Atletas!L549="Shaolinquan B",121,IF(Atletas!L549="Tanglangquan B",122,IF(Atletas!L549="Yinzhaophai B",123,IF(Atletas!L549="Tongbeiquan B",124,IF(Atletas!L549="Wudangquan B",125,IF(Atletas!L549="Outros Estilos B",126,IF(Atletas!L549="Chaquan C",127,IF(Atletas!L549="Emeiquan C",128,IF(Atletas!L549="Fanziquan C",129,IF(Atletas!L549="Huaquan C",130,IF(Atletas!L549="Hongquan C",131,IF(Atletas!L549="Paochui C",132,IF(Atletas!L549="Piguaquan C",133,IF(Atletas!L549="Shaolinquan C",134,IF(Atletas!L549="Tanglangquan C",135,IF(Atletas!L549="Yinzhaophai C",136,IF(Atletas!L549="Tongbeiquan C",137,IF(Atletas!L549="Wudangquan C",138,IF(Atletas!L549="Outros Estilos C",139,0))))))))))))))))))))))))))))))))))))))))))</f>
        <v/>
      </c>
      <c r="BM553" s="52" t="str">
        <f>IF(Atletas!L549="","",IF(Atletas!W549&lt;&gt;"",10000,0)+(IF(Atletas!B549="Feminino",1000,IF(Atletas!B549="Masculino",2000,""))+(IF(Atletas!L549="Chaquan D",140,IF(Atletas!L549="Emeiquan D",141,IF(Atletas!L549="Fanziquan D",142,IF(Atletas!L549="Huaquan D",143,IF(Atletas!L549="Hongquan D",144,IF(Atletas!L549="Paochui D",145,IF(Atletas!L549="Piguaquan D",146,IF(Atletas!L549="Shaolinquan D",147,IF(Atletas!L549="Tanglangquan D",148,IF(Atletas!L549="Yinzhaophai D",149,IF(Atletas!L549="Tongbeiquan D",150,IF(Atletas!L549="Wudangquan D",151,IF(Atletas!L549="Outros Estilos D",152,IF(Atletas!L549="Chaquan E",153,IF(Atletas!L549="Emeiquan E",154,IF(Atletas!L549="Fanziquan E",155,IF(Atletas!L549="Huaquan E",156,IF(Atletas!L549="Hongquan E",157,IF(Atletas!L549="Paochui E",158,IF(Atletas!L549="Piguaquan E",159,IF(Atletas!L549="Shaolinquan E",160,IF(Atletas!L549="Tanglangquan E",161,IF(Atletas!L549="Yinzhaophai E",162,IF(Atletas!L549="Tongbeiquan E",163,IF(Atletas!L549="Wudangquan E",164,IF(Atletas!L549="Outros Estilos E",165,IF(Atletas!L549="Chaquan F",166,IF(Atletas!L549="Emeiquan F",167,IF(Atletas!L549="Fanziquan F",168,IF(Atletas!L549="Huaquan F",169,IF(Atletas!L549="Hongquan F",170,IF(Atletas!L549="Paochui F",171,IF(Atletas!L549="Piguaquan F",172,IF(Atletas!L549="Shaolinquan F",173,IF(Atletas!L549="Tanglangquan F",174,IF(Atletas!L549="Yinzhaophai F",175,IF(Atletas!L549="Tongbeiquan F",176,IF(Atletas!L549="Wudangquan F",177,IF(Atletas!L549="Outros Estilos F",178,0))))))))))))))))))))))))))))))))))))))))))</f>
        <v/>
      </c>
      <c r="BN553" s="52" t="str">
        <f>IF(Atletas!M549="","",IF(Atletas!W549&lt;&gt;"",10000,0)+(IF(Atletas!B549="Feminino",1000,IF(Atletas!B549="Masculino",2000,""))+(IF(Atletas!M549="Ditangquan A",201,IF(Atletas!M549="Houquan A",202,IF(Atletas!M549="Zuiquan A",203,IF(Atletas!M549="Ditangquan B",204,IF(Atletas!M549="Houquan B",205,IF(Atletas!M549="Zuiquan B",206,IF(Atletas!M549="Ditangquan C",207,IF(Atletas!M549="Houquan C",208,IF(Atletas!M549="Zuiquan C",209,IF(Atletas!M549="Ditangquan D",210,IF(Atletas!M549="Houquan D",211,IF(Atletas!M549="Zuiquan D",212,IF(Atletas!M549="Ditangquan E",213,IF(Atletas!M549="Houquan E",214,IF(Atletas!M549="Zuiquan E",215,IF(Atletas!M549="Ditangquan F",216,IF(Atletas!M549="Houquan F",217,IF(Atletas!M549="Zuiquan F",218,"")))))))))))))))))))))</f>
        <v/>
      </c>
      <c r="BO553" s="52" t="str">
        <f>IF(Atletas!N549="","",IF(Atletas!W549&lt;&gt;"",10000,0)+IF(Atletas!B549="Feminino",1000,IF(Atletas!B549="Masculino",2000,""))+IF(Atletas!N549="Yang A",301,IF(Atletas!N549="Chen A",30,IF(Atletas!N549="Sun A",303,IF(Atletas!N549="Wu A",304,IF(Atletas!N549="Wu-Hao A",305,IF(Atletas!N549="Outro Taijiquan A",306,IF(Atletas!N549="Yang B",307,IF(Atletas!N549="Chen B",308,IF(Atletas!N549="Sun B",309,IF(Atletas!N549="Wu B",310,IF(Atletas!N549="Wu-Hao B",311,IF(Atletas!N549="Outro Taijiquan B",312,IF(Atletas!N549="Yang C",313,IF(Atletas!N549="Chen C",314,IF(Atletas!N549="Sun C",315,IF(Atletas!N549="Wu C",316,IF(Atletas!N549="Wu-Hao C",317,IF(Atletas!N549="Outro Taijiquan C",318,IF(Atletas!N549="Yang D",319,IF(Atletas!N549="Chen D",320,IF(Atletas!N549="Sun D",321,IF(Atletas!N549="Wu D",322,IF(Atletas!N549="Wu-Hao D",323,IF(Atletas!N549="Outro Taijiquan D",324,IF(Atletas!N549="Yang E",325,IF(Atletas!N549="Chen E",326,IF(Atletas!N549="Sun E",327,IF(Atletas!N549="Wu E",328,IF(Atletas!N549="Wu-Hao E",329,IF(Atletas!N549="Outro Taijiquan E",330,IF(Atletas!N549="Yang F",331,IF(Atletas!N549="Chen F",332,IF(Atletas!N549="Sun F",333,IF(Atletas!N549="Wu F",334,IF(Atletas!N549="Wu-Hao F",335,IF(Atletas!N549="Outro Taijiquan F",336,"")))))))))))))))))))))))))))))))))))))</f>
        <v/>
      </c>
      <c r="BP553" s="52" t="str">
        <f>IF(Atletas!O549="","",IF(Atletas!W549&lt;&gt;"",10000,0)+IF(Atletas!B549="Feminino",1000,IF(Atletas!B549="Masculino",2000,""))+IF(OR(Atletas!O549="Yang 26 A",Atletas!O549="Yang 40 A"),401,IF(OR(Atletas!O549="Chen 25 A",Atletas!O549="Chen 36 A",Atletas!O549="Chen 56 A"),402,IF(Atletas!O549="Sun 73 A",403,IF(Atletas!O549="Wu 45 A",404,IF(Atletas!O549="Wu-Hao 46 A",405,IF(OR(Atletas!O549="Taijiquan 16 A",Atletas!O549="Taijiquan 24 A",Atletas!O549="Taijiquan 32 A",Atletas!O549="Taijiquan 42 A"),406,IF(OR(Atletas!O549="Yang 26 B",Atletas!O549="Yang 40 B"),407,IF(OR(Atletas!O549="Chen 25 B",Atletas!O549="Chen 36 B",Atletas!O549="Chen 56 B"),408,IF(Atletas!O549="Sun 73 B",409,IF(Atletas!O549="Wu 45 B",410,IF(Atletas!O549="Wu-Hao 46 B",411,IF(OR(Atletas!O549="Taijiquan 16 B",Atletas!O549="Taijiquan 24 B",Atletas!O549="Taijiquan 32 B",Atletas!O549="Taijiquan 42 B"),412,IF(OR(Atletas!O549="Yang 26 C",Atletas!O549="Yang 40 C"),413,IF(OR(Atletas!O549="Chen 25 C",Atletas!O549="Chen 36 C",Atletas!O549="Chen 56 C"),414,IF(Atletas!O549="Sun 73 C",415,IF(Atletas!O549="Wu 45 C",416,IF(Atletas!O549="Wu-Hao 46 C",417,IF(OR(Atletas!O549="Taijiquan 16 C",Atletas!O549="Taijiquan 24 C",Atletas!O549="Taijiquan 32 C",Atletas!O549="Taijiquan 42 C"),418,0)))))))))))))))))))</f>
        <v/>
      </c>
      <c r="BQ553" s="52" t="str">
        <f>IF(Atletas!O549="","",IF(Atletas!W549&lt;&gt;"",10000,0)+IF(Atletas!B549="Feminino",1000,IF(Atletas!B549="Masculino",2000,""))+IF(OR(Atletas!O549="Yang 26 D",Atletas!O549="Yang 40 D"),419,IF(OR(Atletas!O549="Chen 25 D",Atletas!O549="Chen 36 D",Atletas!O549="Chen 56 D"),420,IF(Atletas!O549="Sun 73 D",421,IF(Atletas!O549="Wu 45 D",422,IF(Atletas!O549="Wu-Hao 46 D",423,IF(OR(Atletas!O549="Taijiquan 16 D",Atletas!O549="Taijiquan 24 D",Atletas!O549="Taijiquan 32 D",Atletas!O549="Taijiquan 42 D"),424,IF(OR(Atletas!O549="Yang 26 E",Atletas!O549="Yang 40 E"),425,IF(OR(Atletas!O549="Chen 25 E",Atletas!O549="Chen 36 E",Atletas!O549="Chen 56 E"),426,IF(Atletas!O549="Sun 73 E",427,IF(Atletas!O549="Wu 45 E",428,IF(Atletas!O549="Wu-Hao 46 E",429,IF(OR(Atletas!O549="Taijiquan 16 E",Atletas!O549="Taijiquan 24 E",Atletas!O549="Taijiquan 32 E",Atletas!O549="Taijiquan 42 E"),430,IF(OR(Atletas!O549="Yang 26 F",Atletas!O549="Yang 40 F"),431,IF(OR(Atletas!O549="Chen 25 F",Atletas!O549="Chen 36 F",Atletas!O549="Chen 56 F"),432,IF(Atletas!O549="Sun 73 F",433,IF(Atletas!O549="Wu 45 F",434,IF(Atletas!O549="Wu-Hao 46 F",435,IF(OR(Atletas!O549="Taijiquan 16 F",Atletas!O549="Taijiquan 24 F",Atletas!O549="Taijiquan 32 F",Atletas!O549="Taijiquan 42 F"),436,0)))))))))))))))))))</f>
        <v/>
      </c>
      <c r="BR553" s="52" t="str">
        <f>IF(Atletas!P549="","",IF(Atletas!W549&lt;&gt;"",10000,0)+IF(Atletas!B549="Feminino",1000,IF(Atletas!B549="Masculino",2000,""))+IF(Atletas!P549="Xingyiquan A",501,IF(Atletas!P549="Baguazhang A",502,IF(Atletas!P549="Outro Estilo Interno A",503,IF(Atletas!P549="Xingyiquan B",504,IF(Atletas!P549="Baguazhang B",505,IF(Atletas!P549="Outro Estilo Interno B",506,IF(Atletas!P549="Xingyiquan C",507,IF(Atletas!P549="Baguazhang C",508,IF(Atletas!P549="Outro Estilo Interno C",509,IF(Atletas!P549="Xingyiquan D",510,IF(Atletas!P549="Baguazhang D",511,IF(Atletas!P549="Outro Estilo Interno D",512,IF(Atletas!P549="Xingyiquan E",513,IF(Atletas!P549="Baguazhang E",514,IF(Atletas!P549="Outro Estilo Interno E",515,IF(Atletas!P549="Xingyiquan F",516,IF(Atletas!P549="Baguazhang F",517,IF(Atletas!P549="Outro Estilo Interno F",518, "")))))))))))))))))))</f>
        <v/>
      </c>
      <c r="BS553" s="52" t="str">
        <f>IF(Atletas!Q549="","",IF(Atletas!W549&lt;&gt;"",10000,0)+IF(Atletas!B549="Feminino",1000,IF(Atletas!B549="Masculino",2000,""))+IF(Atletas!Q549="Dao A",601,IF(Atletas!Q549="Jian A",602,IF(Atletas!Q549="Bishou A",603,IF(Atletas!Q549="Shan A",604,IF(Atletas!Q549="Outra Arma Curta A",605,IF(Atletas!Q549="Dao B",606,IF(Atletas!Q549="Jian B",607,IF(Atletas!Q549="Bishou B",608,IF(Atletas!Q549="Shan B",609,IF(Atletas!Q549="Outra Arma Curta B",610,IF(Atletas!Q549="Dao C",611,IF(Atletas!Q549="Jian C",612,IF(Atletas!Q549="Bishou C",613,IF(Atletas!Q549="Shan C",614,IF(Atletas!Q549="Outra Arma Curta C",615,IF(Atletas!Q549="Dao D",616,IF(Atletas!Q549="Jian D",617,IF(Atletas!Q549="Bishou D",618,IF(Atletas!Q549="Shan D",619,IF(Atletas!Q549="Outra Arma Curta D",620,IF(Atletas!Q549="Dao E",621,IF(Atletas!Q549="Jian E",622,IF(Atletas!Q549="Bishou E",623,IF(Atletas!Q549="Shan E",624,IF(Atletas!Q549="Outra Arma Curta E",625,IF(Atletas!Q549="Dao F",626,IF(Atletas!Q549="Jian F",627,IF(Atletas!Q549="Bishou F",628,IF(Atletas!Q549="Shan F",629,IF(Atletas!Q549="Outra Arma Curta F",630, "")))))))))))))))))))))))))))))))</f>
        <v/>
      </c>
      <c r="BT553" s="52" t="str">
        <f>IF(Atletas!R549="","",IF(Atletas!W549&lt;&gt;"",10000,0)+IF(Atletas!B549="Feminino",1000,IF(Atletas!B549="Masculino",2000,""))+IF(Atletas!R549="Gun A",701,IF(Atletas!R549="Qiang A",702,IF(Atletas!R549="Pudao / Guandao A",703,IF(Atletas!R549="Outra Arma Longa A",704,IF(Atletas!R549="Gun B",705,IF(Atletas!R549="Qiang B",706,IF(Atletas!R549="Pudao / Guandao B",707,IF(Atletas!R549="Outra Arma Longa B",708,IF(Atletas!R549="Gun C",709,IF(Atletas!R549="Qiang C",710,IF(Atletas!R549="Pudao / Guandao C",711,IF(Atletas!R549="Outra Arma Longa C",712,IF(Atletas!R549="Gun D",713,IF(Atletas!R549="Qiang D",714,IF(Atletas!R549="Pudao / Guandao D",715,IF(Atletas!R549="Outra Arma Longa D",716,IF(Atletas!R549="Gun E",717,IF(Atletas!R549="Qiang E",718,IF(Atletas!R549="Pudao / Guandao E",719,IF(Atletas!R549="Outra Arma Longa E",720,IF(Atletas!R549="Gun F",721,IF(Atletas!R549="Qiang F",722,IF(Atletas!R549="Pudao / Guandao F",723,IF(Atletas!R549="Outra Arma Longa F",724,"")))))))))))))))))))))))))</f>
        <v/>
      </c>
      <c r="BU553" s="52" t="str">
        <f>IF(Atletas!S549="","",IF(Atletas!W549&lt;&gt;"",10000,0)+IF(Atletas!B549="Feminino",1000,IF(Atletas!B549="Masculino",2000,""))+IF(Atletas!S549="Arma Dupla A",801,IF(Atletas!S549="Arma Maleável A",802,IF(Atletas!S549="Arma Dupla B",803,IF(Atletas!S549="Arma Maleável B",804,IF(Atletas!S549="Arma Dupla C",805,IF(Atletas!S549="Arma Maleável C",806,IF(Atletas!S549="Arma Dupla D",807,IF(Atletas!S549="Arma Maleável D",808,IF(Atletas!S549="Arma Dupla E",809,IF(Atletas!S549="Arma Maleável E",810,IF(Atletas!S549="Arma Dupla F",811,IF(Atletas!S549="Arma Maleável F",812, "")))))))))))))</f>
        <v/>
      </c>
      <c r="BV553" s="52" t="str">
        <f>IF(Atletas!T549="","",IF(Atletas!W549&lt;&gt;"",10000,0)+IF(Atletas!B549="Feminino",1000,IF(Atletas!B549="Masculino",2000,""))+IF(Atletas!T549="Taijijian Yang A",901,IF(Atletas!T549="Taijijian Chen A",902,IF(Atletas!T549="Taijijian Sun A",903,IF(Atletas!T549="Taijijian Wu A",904,IF(Atletas!T549="Taijijian Wu-Hao A",905,IF(Atletas!T549="Taijijian 32 A",906,IF(Atletas!T549="Taijijian 42 A",907,IF(Atletas!T549="Taijijian Yang B",908,IF(Atletas!T549="Taijijian Chen B",909,IF(Atletas!T549="Taijijian Sun B",910,IF(Atletas!T549="Taijijian Wu B",911,IF(Atletas!T549="Taijijian Wu-Hao B",912,IF(Atletas!T549="Taijijian 32 B",913,IF(Atletas!T549="Taijijian 42 B",914,IF(Atletas!T549="Taijijian Yang C",915,IF(Atletas!T549="Taijijian Chen C",916,IF(Atletas!T549="Taijijian Sun C",917,IF(Atletas!T549="Taijijian Wu C",918,IF(Atletas!T549="Taijijian Wu-Hao C",919,IF(Atletas!T549="Taijijian 32 C",920,IF(Atletas!T549="Taijijian 42 C",921,IF(Atletas!T549="Taijijian Yang D",922,IF(Atletas!T549="Taijijian Chen D",923,IF(Atletas!T549="Taijijian Sun D",924,IF(Atletas!T549="Taijijian Wu D",925,IF(Atletas!T549="Taijijian Wu-Hao D",926,IF(Atletas!T549="Taijijian 32 D",927,IF(Atletas!T549="Taijijian 42 D",928,IF(Atletas!T549="Taijijian Yang E",929,IF(Atletas!T549="Taijijian Chen E",930,IF(Atletas!T549="Taijijian Sun E",931,IF(Atletas!T549="Taijijian Wu E",932,IF(Atletas!T549="Taijijian Wu-Hao E",933,IF(Atletas!T549="Taijijian 32 E",934,IF(Atletas!T549="Taijijian 42 E",935,IF(Atletas!T549="Taijijian Yang F",936,IF(Atletas!T549="Taijijian Chen F",937,IF(Atletas!T549="Taijijian Sun F",938,IF(Atletas!T549="Taijijian Wu F",939,IF(Atletas!T549="Taijijian Wu-Hao F",940,IF(Atletas!T549="Taijijian 32 F",941,IF(Atletas!T549="Taijijian 42 F",942,"")))))))))))))))))))))))))))))))))))))))))))</f>
        <v/>
      </c>
      <c r="BW553" s="52" t="str">
        <f>IF(Atletas!U549="","",IF(Atletas!W549&lt;&gt;"",10000,0)+IF(Atletas!B549="Feminino",1000,IF(Atletas!B549="Masculino",2000,""))+IF(Atletas!T549="Taijijian 42 F",942,IF(Atletas!U549="Taijidao A",943,IF(Atletas!U549="Taijishan A",944,IF(Atletas!U549="Taijiqiang A",945,IF(Atletas!U549="Taijidao B",946,IF(Atletas!U549="Taijishan B",947,IF(Atletas!U549="Taijiqiang B",948,IF(Atletas!U549="Taijidao C",949,IF(Atletas!U549="Taijishan C",950,IF(Atletas!U549="Taijiqiang C",951,IF(Atletas!U549="Taijidao D",952,IF(Atletas!U549="Taijishan D",953,IF(Atletas!U549="Taijiqiang D",954,IF(Atletas!U549="Taijidao E",955,IF(Atletas!U549="Taijishan E",956,IF(Atletas!U549="Taijiqiang E",957,IF(Atletas!U549="Taijidao F",958,IF(Atletas!U549="Taijishan F",959,IF(Atletas!U549="Taijiqiang F",960))))))))))))))))))))</f>
        <v/>
      </c>
      <c r="CF553" s="52" t="str">
        <f xml:space="preserve"> IF(Atletas!V549="","",IF(Atletas!V549="Duilian de Mãos AB - Equipe 1",1,IF(Atletas!V549="Duilian de Mãos AB - Equipe 2",2,IF(Atletas!V549="Duilian de Armas AB - Equipe 1",3,IF(Atletas!V549="Duilian de Armas AB - Equipe 2",4,IF(Atletas!V549="Duilian de Tuishou - Equipe 1",5,IF(Atletas!V549="Duilian de Tuishou - Equipe 2",6,IF(Atletas!V549="Grupo Externo AB - Equipe 1",7,IF(Atletas!V549="Grupo Externo AB - Equipe 2",8,IF(Atletas!V549="Grupo Interno AB - Equipe 1",9,IF(Atletas!V549="Grupo Interno AB - Equipe 2",10,IF(Atletas!V549="Duilian de Mãos CD - Equipe 1",11,IF(Atletas!V549="Duilian de Mãos CD - Equipe 2",12,IF(Atletas!V549="Duilian de Armas CD - Equipe 1",13,IF(Atletas!V549="Duilian de Armas CD - Equipe 2",14,IF(Atletas!V549="Duilian de Tuishou - Equipe 1",15,IF(Atletas!V549="Duilian de Tuishou - Equipe 2",16,IF(Atletas!V549="Grupo Externo CDEF - Equipe 1",17,IF(Atletas!V549="Grupo Externo CDEF - Equipe 2",18,IF(Atletas!V549="Grupo Interno CDEF - Equipe 1",19,IF(Atletas!V549="Grupo Interno CDEF - Equipe 2",20,IF(Atletas!V549="Duilian de Mãos EF - Equipe 1",21,IF(Atletas!V549="Duilian de Mãos EF - Equipe 2",22,IF(Atletas!V549="Duilian de Armas EF - Equipe 1",23,IF(Atletas!V549="Duilian de Armas EF - Equipe 2",24,IF(Atletas!V549="Duilian de Tuishou - Equipe 1",25,IF(Atletas!V549="Duilian de Tuishou - Equipe 2",26,"")))))))))))))))))))))))))))</f>
        <v/>
      </c>
    </row>
    <row r="554" spans="36:84">
      <c r="AJ554" s="46" t="str">
        <f>IF(Atletas!D550="","",IF(Atletas!B550="Feminino",100,IF(Atletas!B550="Masculino",200,""))+(IF(Atletas!D550="Infantil 39kg",1,IF(Atletas!D550="Infantil 42kg",2,IF(Atletas!D550="Infantil 45kg",3,IF(Atletas!D550="Infantil 48kg",4,IF(Atletas!D550="Infantil 52kg",5,IF(Atletas!D550="Infantil 56kg",6,IF(Atletas!D550="Infantil 60kg",7,IF(Atletas!D550="Juvenil 48kg",8,IF(Atletas!D550="Juvenil 52kg",9,IF(Atletas!D550="Juvenil 56kg",10,IF(Atletas!D550="Juvenil 60kg",11,IF(Atletas!D550="Juvenil 65kg",12,IF(Atletas!D550="Juvenil 70kg",13,IF(Atletas!D550="Juvenil 75kg",14,IF(Atletas!D550="Juvenil 80kg",15,IF(Atletas!D550="Adulto 48kg",16,IF(Atletas!D550="Adulto 52kg",17,IF(Atletas!D550="Adulto 56kg",18,IF(Atletas!D550="Adulto 60kg",19,IF(Atletas!D550="Adulto 65kg",20,IF(Atletas!D550="Adulto 70kg",21,IF(Atletas!D550="Adulto 75kg",22,IF(Atletas!D550="Adulto 80kg",23,IF(Atletas!D550="Adulto 85kg",24,IF(Atletas!D550="Adulto 90kg",25,IF(Atletas!D550="Adulto +90kg",26,""))))))))))))))))))))))))))))</f>
        <v/>
      </c>
      <c r="AO554" s="10" t="str">
        <f>IF(Atletas!E550="","",IF(Atletas!B550="Feminino",100,IF(Atletas!B550="Masculino",200,""))+(IF(Atletas!E550="Juvenil 44kg",1,IF(Atletas!E550="Juvenil 48kg",2,IF(Atletas!E550="Juvenil 52kg",3,IF(Atletas!E550="Juvenil 56kg",4,IF(Atletas!E550="Juvenil 60kg",5,IF(Atletas!E550="Juvenil 65kg",6,IF(Atletas!E550="Juvenil 70kg",7,IF(Atletas!E550="Juvenil 75kg",8,IF(Atletas!E550="Juvenil 82kg",9,IF(Atletas!E550="Juvenil 90kg",10,IF(Atletas!E550="Juvenil 100kg",11,IF(Atletas!E550="Adulto 48kg",12,IF(Atletas!E550="Adulto 52kg",13,IF(Atletas!E550="Adulto 56kg",14,IF(Atletas!E550="Adulto 60kg",15,IF(Atletas!E550="Adulto 65kg",16,IF(Atletas!E550="Adulto 70kg",17,IF(Atletas!E550="Adulto 75kg",18,IF(Atletas!E550="Adulto 82kg",19,IF(Atletas!E550="Adulto 90kg",20,IF(Atletas!E550="Adulto 100kg",21,IF(Atletas!E550="Adulto +100kg",22,""))))))))))))))))))))))))</f>
        <v/>
      </c>
      <c r="AT554" s="10" t="str">
        <f>IF(Atletas!F550="","",IF(Atletas!B550="Feminino",100,IF(Atletas!B550="Masculino",200,""))+(IF(Atletas!F550="Adulto 48kg",1,IF(Atletas!F550="Adulto 56kg",2,IF(Atletas!F550="Adulto 65kg",3,IF(Atletas!F550="Adulto 75kg",4,IF(Atletas!F550="Adulto +75kg",5,IF(Atletas!F550="Adulto 52kg",6,IF(Atletas!F550="Adulto 60kg",7,IF(Atletas!F550="Adulto 70kg",8,IF(Atletas!F550="Adulto 80kg",9,IF(Atletas!F550="Adulto 90kg",10,IF(Atletas!F550="Adulto +90kg",11,"")))))))))))))</f>
        <v/>
      </c>
      <c r="AY554" s="46" t="str">
        <f>IF(Atletas!G550="","",IF(Atletas!B550="Feminino",100,IF(Atletas!B550="Masculino",200,""))+(IF(Atletas!G550="Changquan Mirim",1,IF(Atletas!G550="Nanquan Mirim",2,IF(Atletas!G550="Taijiquan Mirim",3,IF(Atletas!G550="Changquan Grupo C",4,IF(Atletas!G550="Nanquan Grupo C",5,IF(Atletas!G550="Taijiquan Grupo C",6,IF(Atletas!G550="Changquan Grupo B",7,IF(Atletas!G550="Nanquan Grupo B",8,IF(Atletas!G550="Taijiquan Grupo B",9,IF(Atletas!G550="Changquan Grupo A",10,IF(Atletas!G550="Nanquan Grupo A",11,IF(Atletas!G550="Taijiquan Grupo A",12,IF(Atletas!G550="Changquan Opcional",13,IF(Atletas!G550="Nanquan Opcional",14,IF(Atletas!G550="Taijiquan Opcional",15,IF(Atletas!G550="Changquan Adulto",16,IF(Atletas!G550="Nanquan Adulto",17,IF(Atletas!G550="Taijiquan Adulto",18,""))))))))))))))))))))</f>
        <v/>
      </c>
      <c r="AZ554" s="46" t="str">
        <f>IF(Atletas!H550="","",IF(Atletas!B550="Feminino",100,IF(Atletas!B550="Masculino",200,""))+(IF(Atletas!H550="Daoshu Mirim",19,IF(Atletas!H550="Jianshu Mirim",20,IF(Atletas!H550="Nandao Mirim",21,IF(Atletas!H550="Taijijian Mirim",22,IF(Atletas!H550="Daoshu Grupo C",23,IF(Atletas!H550="Jianshu Grupo C",24,IF(Atletas!H550="Nandao Grupo C",25,IF(Atletas!H550="Taijijian Grupo C",26,IF(Atletas!H550="Daoshu Grupo B",27,IF(Atletas!H550="Jianshu Grupo B",28,IF(Atletas!H550="Nandao Grupo B",29,IF(Atletas!H550="Taijijian Grupo B",30,IF(Atletas!H550="Daoshu Grupo A",31,IF(Atletas!H550="Jianshu Grupo A",32,IF(Atletas!H550="Nandao Grupo A",33,IF(Atletas!H550="Taijijian Grupo A",34,IF(Atletas!H550="Daoshu Opcional",35,IF(Atletas!H550="Jianshu Opcional",36,IF(Atletas!H550="Nandao Opcional",37,IF(Atletas!H550="Taijijian Opcional",38,IF(Atletas!H550="Daoshu Adulto",39,IF(Atletas!H550="Jianshu Adulto",40,IF(Atletas!H550="Nandao Adulto",41,IF(Atletas!H550="Taijijian Adulto",42,""))))))))))))))))))))))))))</f>
        <v/>
      </c>
      <c r="BA554" s="46" t="str">
        <f>IF(Atletas!I550="","",IF(Atletas!B550="Feminino",100,IF(Atletas!B550="Masculino",200,""))+(IF(Atletas!I550="Gunshu Mirim",43,IF(Atletas!I550="Qiangshu Mirim",44,IF(Atletas!I550="Nangun Mirim",45,IF(Atletas!I550="Gunshu Grupo C",46,IF(Atletas!I550="Qiangshu Grupo C",47,IF(Atletas!I550="Nangun Grupo C",48,IF(Atletas!I550="Gunshu Grupo B",49,IF(Atletas!I550="Qiangshu Grupo B",50,IF(Atletas!I550="Nangun Grupo B",51,IF(Atletas!I550="Gunshu Grupo A",52,IF(Atletas!I550="Qiangshu Grupo A",53,IF(Atletas!I550="Nangun Grupo A",54,IF(Atletas!I550="Gunshu Opcional",55,IF(Atletas!I550="Qiangshu Opcional",56,IF(Atletas!I550="Nangun Opcional",57,IF(Atletas!I550="Gunshu Adulto",58,IF(Atletas!I550="Qiangshu Adulto",59,IF(Atletas!I550="Nangun Adulto",60,""))))))))))))))))))))</f>
        <v/>
      </c>
      <c r="BF554" s="52" t="str">
        <f>IF(Atletas!J550="","",IF(Atletas!B550="Feminino",100,IF(Atletas!B550="Masculino",200,""))+(IF(Atletas!J550="Equipe 1 Grupo B",1,IF(Atletas!J550="Equipe 2 Grupo B",2,IF(Atletas!J550="Equipe 1 Grupo A",3,IF(Atletas!J550="Equipe 2 Grupo A",4,IF(Atletas!J550="Equipe 1 Adulto",5,IF(Atletas!J550="Equipe 2 Adulto",6,""))))))))</f>
        <v/>
      </c>
      <c r="BK554" s="52" t="str">
        <f>IF(Atletas!K550="","",IF(Atletas!W550&lt;&gt;"",10000,0)+(IF(Atletas!B550="Feminino",1000,IF(Atletas!B550="Masculino",2000,""))+IF(Atletas!K550="Choylayfut A",1,IF(Atletas!K550="Hunggar A",2,IF(Atletas!K550="Wuzuquan A",3,IF(Atletas!K550="Wingchun A",4,IF(Atletas!K550="Outra Mão de Sul A",5,IF(Atletas!K550="Choylayfut B",6,IF(Atletas!K550="Hunggar B",7,IF(Atletas!K550="Wuzuquan B",8,IF(Atletas!K550="Wingchun B",9,IF(Atletas!K550="Outra Mão de Sul B",10,IF(Atletas!K550="Choylayfut C",11,IF(Atletas!K550="Hunggar C",12,IF(Atletas!K550="Wuzuquan C",13,IF(Atletas!K550="Wingchun C",14,IF(Atletas!K550="Outra Mão de Sul C",15,IF(Atletas!K550="Choylayfut D",16,IF(Atletas!K550="Hunggar D",17,IF(Atletas!K550="Wuzuquan D",18,IF(Atletas!K550="Wingchun D",19,IF(Atletas!K550="Outra Mão de Sul D",20,IF(Atletas!K550="Choylayfut E",21,IF(Atletas!K550="Hunggar E",22,IF(Atletas!K550="Wuzuquan E",23,IF(Atletas!K550="Wingchun E",24,IF(Atletas!K550="Outra Mão de Sul E",25,IF(Atletas!K550="Choylayfut F",26,IF(Atletas!K550="Hunggar F",27,IF(Atletas!K550="Wuzuquan F",28,IF(Atletas!K550="Wingchun F",29,IF(Atletas!K550="Outra Mão de Sul F",30,""))))))))))))))))))))))))))))))))</f>
        <v/>
      </c>
      <c r="BL554" s="52" t="str">
        <f>IF(Atletas!L550="","",IF(Atletas!W550&lt;&gt;"",10000,0)+(IF(Atletas!B550="Feminino",1000,IF(Atletas!B550="Masculino",2000,""))+(IF(Atletas!L550="Chaquan A",101,IF(Atletas!L550="Emeiquan A",102,IF(Atletas!L550="Fanziquan A",103,IF(Atletas!L550="Huaquan A",104,IF(Atletas!L550="Hongquan A",105,IF(Atletas!L550="Paochui A",106,IF(Atletas!L550="Piguaquan A",107,IF(Atletas!L550="Shaolinquan A",108,IF(Atletas!L550="Tanglangquan A",109,IF(Atletas!L550="Yinzhaophai A",110,IF(Atletas!L550="Tongbeiquan A",111,IF(Atletas!L550="Wudangquan A",112,IF(Atletas!L550="Outros Estilos A",113,IF(Atletas!L550="Chaquan B",114,IF(Atletas!L550="Emeiquan B",115,IF(Atletas!L550="Fanziquan B",116,IF(Atletas!L550="Huaquan B",117,IF(Atletas!L550="Hongquan B",118,IF(Atletas!L550="Paochui B",119,IF(Atletas!L550="Piguaquan B",120,IF(Atletas!L550="Shaolinquan B",121,IF(Atletas!L550="Tanglangquan B",122,IF(Atletas!L550="Yinzhaophai B",123,IF(Atletas!L550="Tongbeiquan B",124,IF(Atletas!L550="Wudangquan B",125,IF(Atletas!L550="Outros Estilos B",126,IF(Atletas!L550="Chaquan C",127,IF(Atletas!L550="Emeiquan C",128,IF(Atletas!L550="Fanziquan C",129,IF(Atletas!L550="Huaquan C",130,IF(Atletas!L550="Hongquan C",131,IF(Atletas!L550="Paochui C",132,IF(Atletas!L550="Piguaquan C",133,IF(Atletas!L550="Shaolinquan C",134,IF(Atletas!L550="Tanglangquan C",135,IF(Atletas!L550="Yinzhaophai C",136,IF(Atletas!L550="Tongbeiquan C",137,IF(Atletas!L550="Wudangquan C",138,IF(Atletas!L550="Outros Estilos C",139,0))))))))))))))))))))))))))))))))))))))))))</f>
        <v/>
      </c>
      <c r="BM554" s="52" t="str">
        <f>IF(Atletas!L550="","",IF(Atletas!W550&lt;&gt;"",10000,0)+(IF(Atletas!B550="Feminino",1000,IF(Atletas!B550="Masculino",2000,""))+(IF(Atletas!L550="Chaquan D",140,IF(Atletas!L550="Emeiquan D",141,IF(Atletas!L550="Fanziquan D",142,IF(Atletas!L550="Huaquan D",143,IF(Atletas!L550="Hongquan D",144,IF(Atletas!L550="Paochui D",145,IF(Atletas!L550="Piguaquan D",146,IF(Atletas!L550="Shaolinquan D",147,IF(Atletas!L550="Tanglangquan D",148,IF(Atletas!L550="Yinzhaophai D",149,IF(Atletas!L550="Tongbeiquan D",150,IF(Atletas!L550="Wudangquan D",151,IF(Atletas!L550="Outros Estilos D",152,IF(Atletas!L550="Chaquan E",153,IF(Atletas!L550="Emeiquan E",154,IF(Atletas!L550="Fanziquan E",155,IF(Atletas!L550="Huaquan E",156,IF(Atletas!L550="Hongquan E",157,IF(Atletas!L550="Paochui E",158,IF(Atletas!L550="Piguaquan E",159,IF(Atletas!L550="Shaolinquan E",160,IF(Atletas!L550="Tanglangquan E",161,IF(Atletas!L550="Yinzhaophai E",162,IF(Atletas!L550="Tongbeiquan E",163,IF(Atletas!L550="Wudangquan E",164,IF(Atletas!L550="Outros Estilos E",165,IF(Atletas!L550="Chaquan F",166,IF(Atletas!L550="Emeiquan F",167,IF(Atletas!L550="Fanziquan F",168,IF(Atletas!L550="Huaquan F",169,IF(Atletas!L550="Hongquan F",170,IF(Atletas!L550="Paochui F",171,IF(Atletas!L550="Piguaquan F",172,IF(Atletas!L550="Shaolinquan F",173,IF(Atletas!L550="Tanglangquan F",174,IF(Atletas!L550="Yinzhaophai F",175,IF(Atletas!L550="Tongbeiquan F",176,IF(Atletas!L550="Wudangquan F",177,IF(Atletas!L550="Outros Estilos F",178,0))))))))))))))))))))))))))))))))))))))))))</f>
        <v/>
      </c>
      <c r="BN554" s="52" t="str">
        <f>IF(Atletas!M550="","",IF(Atletas!W550&lt;&gt;"",10000,0)+(IF(Atletas!B550="Feminino",1000,IF(Atletas!B550="Masculino",2000,""))+(IF(Atletas!M550="Ditangquan A",201,IF(Atletas!M550="Houquan A",202,IF(Atletas!M550="Zuiquan A",203,IF(Atletas!M550="Ditangquan B",204,IF(Atletas!M550="Houquan B",205,IF(Atletas!M550="Zuiquan B",206,IF(Atletas!M550="Ditangquan C",207,IF(Atletas!M550="Houquan C",208,IF(Atletas!M550="Zuiquan C",209,IF(Atletas!M550="Ditangquan D",210,IF(Atletas!M550="Houquan D",211,IF(Atletas!M550="Zuiquan D",212,IF(Atletas!M550="Ditangquan E",213,IF(Atletas!M550="Houquan E",214,IF(Atletas!M550="Zuiquan E",215,IF(Atletas!M550="Ditangquan F",216,IF(Atletas!M550="Houquan F",217,IF(Atletas!M550="Zuiquan F",218,"")))))))))))))))))))))</f>
        <v/>
      </c>
      <c r="BO554" s="52" t="str">
        <f>IF(Atletas!N550="","",IF(Atletas!W550&lt;&gt;"",10000,0)+IF(Atletas!B550="Feminino",1000,IF(Atletas!B550="Masculino",2000,""))+IF(Atletas!N550="Yang A",301,IF(Atletas!N550="Chen A",30,IF(Atletas!N550="Sun A",303,IF(Atletas!N550="Wu A",304,IF(Atletas!N550="Wu-Hao A",305,IF(Atletas!N550="Outro Taijiquan A",306,IF(Atletas!N550="Yang B",307,IF(Atletas!N550="Chen B",308,IF(Atletas!N550="Sun B",309,IF(Atletas!N550="Wu B",310,IF(Atletas!N550="Wu-Hao B",311,IF(Atletas!N550="Outro Taijiquan B",312,IF(Atletas!N550="Yang C",313,IF(Atletas!N550="Chen C",314,IF(Atletas!N550="Sun C",315,IF(Atletas!N550="Wu C",316,IF(Atletas!N550="Wu-Hao C",317,IF(Atletas!N550="Outro Taijiquan C",318,IF(Atletas!N550="Yang D",319,IF(Atletas!N550="Chen D",320,IF(Atletas!N550="Sun D",321,IF(Atletas!N550="Wu D",322,IF(Atletas!N550="Wu-Hao D",323,IF(Atletas!N550="Outro Taijiquan D",324,IF(Atletas!N550="Yang E",325,IF(Atletas!N550="Chen E",326,IF(Atletas!N550="Sun E",327,IF(Atletas!N550="Wu E",328,IF(Atletas!N550="Wu-Hao E",329,IF(Atletas!N550="Outro Taijiquan E",330,IF(Atletas!N550="Yang F",331,IF(Atletas!N550="Chen F",332,IF(Atletas!N550="Sun F",333,IF(Atletas!N550="Wu F",334,IF(Atletas!N550="Wu-Hao F",335,IF(Atletas!N550="Outro Taijiquan F",336,"")))))))))))))))))))))))))))))))))))))</f>
        <v/>
      </c>
      <c r="BP554" s="52" t="str">
        <f>IF(Atletas!O550="","",IF(Atletas!W550&lt;&gt;"",10000,0)+IF(Atletas!B550="Feminino",1000,IF(Atletas!B550="Masculino",2000,""))+IF(OR(Atletas!O550="Yang 26 A",Atletas!O550="Yang 40 A"),401,IF(OR(Atletas!O550="Chen 25 A",Atletas!O550="Chen 36 A",Atletas!O550="Chen 56 A"),402,IF(Atletas!O550="Sun 73 A",403,IF(Atletas!O550="Wu 45 A",404,IF(Atletas!O550="Wu-Hao 46 A",405,IF(OR(Atletas!O550="Taijiquan 16 A",Atletas!O550="Taijiquan 24 A",Atletas!O550="Taijiquan 32 A",Atletas!O550="Taijiquan 42 A"),406,IF(OR(Atletas!O550="Yang 26 B",Atletas!O550="Yang 40 B"),407,IF(OR(Atletas!O550="Chen 25 B",Atletas!O550="Chen 36 B",Atletas!O550="Chen 56 B"),408,IF(Atletas!O550="Sun 73 B",409,IF(Atletas!O550="Wu 45 B",410,IF(Atletas!O550="Wu-Hao 46 B",411,IF(OR(Atletas!O550="Taijiquan 16 B",Atletas!O550="Taijiquan 24 B",Atletas!O550="Taijiquan 32 B",Atletas!O550="Taijiquan 42 B"),412,IF(OR(Atletas!O550="Yang 26 C",Atletas!O550="Yang 40 C"),413,IF(OR(Atletas!O550="Chen 25 C",Atletas!O550="Chen 36 C",Atletas!O550="Chen 56 C"),414,IF(Atletas!O550="Sun 73 C",415,IF(Atletas!O550="Wu 45 C",416,IF(Atletas!O550="Wu-Hao 46 C",417,IF(OR(Atletas!O550="Taijiquan 16 C",Atletas!O550="Taijiquan 24 C",Atletas!O550="Taijiquan 32 C",Atletas!O550="Taijiquan 42 C"),418,0)))))))))))))))))))</f>
        <v/>
      </c>
      <c r="BQ554" s="52" t="str">
        <f>IF(Atletas!O550="","",IF(Atletas!W550&lt;&gt;"",10000,0)+IF(Atletas!B550="Feminino",1000,IF(Atletas!B550="Masculino",2000,""))+IF(OR(Atletas!O550="Yang 26 D",Atletas!O550="Yang 40 D"),419,IF(OR(Atletas!O550="Chen 25 D",Atletas!O550="Chen 36 D",Atletas!O550="Chen 56 D"),420,IF(Atletas!O550="Sun 73 D",421,IF(Atletas!O550="Wu 45 D",422,IF(Atletas!O550="Wu-Hao 46 D",423,IF(OR(Atletas!O550="Taijiquan 16 D",Atletas!O550="Taijiquan 24 D",Atletas!O550="Taijiquan 32 D",Atletas!O550="Taijiquan 42 D"),424,IF(OR(Atletas!O550="Yang 26 E",Atletas!O550="Yang 40 E"),425,IF(OR(Atletas!O550="Chen 25 E",Atletas!O550="Chen 36 E",Atletas!O550="Chen 56 E"),426,IF(Atletas!O550="Sun 73 E",427,IF(Atletas!O550="Wu 45 E",428,IF(Atletas!O550="Wu-Hao 46 E",429,IF(OR(Atletas!O550="Taijiquan 16 E",Atletas!O550="Taijiquan 24 E",Atletas!O550="Taijiquan 32 E",Atletas!O550="Taijiquan 42 E"),430,IF(OR(Atletas!O550="Yang 26 F",Atletas!O550="Yang 40 F"),431,IF(OR(Atletas!O550="Chen 25 F",Atletas!O550="Chen 36 F",Atletas!O550="Chen 56 F"),432,IF(Atletas!O550="Sun 73 F",433,IF(Atletas!O550="Wu 45 F",434,IF(Atletas!O550="Wu-Hao 46 F",435,IF(OR(Atletas!O550="Taijiquan 16 F",Atletas!O550="Taijiquan 24 F",Atletas!O550="Taijiquan 32 F",Atletas!O550="Taijiquan 42 F"),436,0)))))))))))))))))))</f>
        <v/>
      </c>
      <c r="BR554" s="52" t="str">
        <f>IF(Atletas!P550="","",IF(Atletas!W550&lt;&gt;"",10000,0)+IF(Atletas!B550="Feminino",1000,IF(Atletas!B550="Masculino",2000,""))+IF(Atletas!P550="Xingyiquan A",501,IF(Atletas!P550="Baguazhang A",502,IF(Atletas!P550="Outro Estilo Interno A",503,IF(Atletas!P550="Xingyiquan B",504,IF(Atletas!P550="Baguazhang B",505,IF(Atletas!P550="Outro Estilo Interno B",506,IF(Atletas!P550="Xingyiquan C",507,IF(Atletas!P550="Baguazhang C",508,IF(Atletas!P550="Outro Estilo Interno C",509,IF(Atletas!P550="Xingyiquan D",510,IF(Atletas!P550="Baguazhang D",511,IF(Atletas!P550="Outro Estilo Interno D",512,IF(Atletas!P550="Xingyiquan E",513,IF(Atletas!P550="Baguazhang E",514,IF(Atletas!P550="Outro Estilo Interno E",515,IF(Atletas!P550="Xingyiquan F",516,IF(Atletas!P550="Baguazhang F",517,IF(Atletas!P550="Outro Estilo Interno F",518, "")))))))))))))))))))</f>
        <v/>
      </c>
      <c r="BS554" s="52" t="str">
        <f>IF(Atletas!Q550="","",IF(Atletas!W550&lt;&gt;"",10000,0)+IF(Atletas!B550="Feminino",1000,IF(Atletas!B550="Masculino",2000,""))+IF(Atletas!Q550="Dao A",601,IF(Atletas!Q550="Jian A",602,IF(Atletas!Q550="Bishou A",603,IF(Atletas!Q550="Shan A",604,IF(Atletas!Q550="Outra Arma Curta A",605,IF(Atletas!Q550="Dao B",606,IF(Atletas!Q550="Jian B",607,IF(Atletas!Q550="Bishou B",608,IF(Atletas!Q550="Shan B",609,IF(Atletas!Q550="Outra Arma Curta B",610,IF(Atletas!Q550="Dao C",611,IF(Atletas!Q550="Jian C",612,IF(Atletas!Q550="Bishou C",613,IF(Atletas!Q550="Shan C",614,IF(Atletas!Q550="Outra Arma Curta C",615,IF(Atletas!Q550="Dao D",616,IF(Atletas!Q550="Jian D",617,IF(Atletas!Q550="Bishou D",618,IF(Atletas!Q550="Shan D",619,IF(Atletas!Q550="Outra Arma Curta D",620,IF(Atletas!Q550="Dao E",621,IF(Atletas!Q550="Jian E",622,IF(Atletas!Q550="Bishou E",623,IF(Atletas!Q550="Shan E",624,IF(Atletas!Q550="Outra Arma Curta E",625,IF(Atletas!Q550="Dao F",626,IF(Atletas!Q550="Jian F",627,IF(Atletas!Q550="Bishou F",628,IF(Atletas!Q550="Shan F",629,IF(Atletas!Q550="Outra Arma Curta F",630, "")))))))))))))))))))))))))))))))</f>
        <v/>
      </c>
      <c r="BT554" s="52" t="str">
        <f>IF(Atletas!R550="","",IF(Atletas!W550&lt;&gt;"",10000,0)+IF(Atletas!B550="Feminino",1000,IF(Atletas!B550="Masculino",2000,""))+IF(Atletas!R550="Gun A",701,IF(Atletas!R550="Qiang A",702,IF(Atletas!R550="Pudao / Guandao A",703,IF(Atletas!R550="Outra Arma Longa A",704,IF(Atletas!R550="Gun B",705,IF(Atletas!R550="Qiang B",706,IF(Atletas!R550="Pudao / Guandao B",707,IF(Atletas!R550="Outra Arma Longa B",708,IF(Atletas!R550="Gun C",709,IF(Atletas!R550="Qiang C",710,IF(Atletas!R550="Pudao / Guandao C",711,IF(Atletas!R550="Outra Arma Longa C",712,IF(Atletas!R550="Gun D",713,IF(Atletas!R550="Qiang D",714,IF(Atletas!R550="Pudao / Guandao D",715,IF(Atletas!R550="Outra Arma Longa D",716,IF(Atletas!R550="Gun E",717,IF(Atletas!R550="Qiang E",718,IF(Atletas!R550="Pudao / Guandao E",719,IF(Atletas!R550="Outra Arma Longa E",720,IF(Atletas!R550="Gun F",721,IF(Atletas!R550="Qiang F",722,IF(Atletas!R550="Pudao / Guandao F",723,IF(Atletas!R550="Outra Arma Longa F",724,"")))))))))))))))))))))))))</f>
        <v/>
      </c>
      <c r="BU554" s="52" t="str">
        <f>IF(Atletas!S550="","",IF(Atletas!W550&lt;&gt;"",10000,0)+IF(Atletas!B550="Feminino",1000,IF(Atletas!B550="Masculino",2000,""))+IF(Atletas!S550="Arma Dupla A",801,IF(Atletas!S550="Arma Maleável A",802,IF(Atletas!S550="Arma Dupla B",803,IF(Atletas!S550="Arma Maleável B",804,IF(Atletas!S550="Arma Dupla C",805,IF(Atletas!S550="Arma Maleável C",806,IF(Atletas!S550="Arma Dupla D",807,IF(Atletas!S550="Arma Maleável D",808,IF(Atletas!S550="Arma Dupla E",809,IF(Atletas!S550="Arma Maleável E",810,IF(Atletas!S550="Arma Dupla F",811,IF(Atletas!S550="Arma Maleável F",812, "")))))))))))))</f>
        <v/>
      </c>
      <c r="BV554" s="52" t="str">
        <f>IF(Atletas!T550="","",IF(Atletas!W550&lt;&gt;"",10000,0)+IF(Atletas!B550="Feminino",1000,IF(Atletas!B550="Masculino",2000,""))+IF(Atletas!T550="Taijijian Yang A",901,IF(Atletas!T550="Taijijian Chen A",902,IF(Atletas!T550="Taijijian Sun A",903,IF(Atletas!T550="Taijijian Wu A",904,IF(Atletas!T550="Taijijian Wu-Hao A",905,IF(Atletas!T550="Taijijian 32 A",906,IF(Atletas!T550="Taijijian 42 A",907,IF(Atletas!T550="Taijijian Yang B",908,IF(Atletas!T550="Taijijian Chen B",909,IF(Atletas!T550="Taijijian Sun B",910,IF(Atletas!T550="Taijijian Wu B",911,IF(Atletas!T550="Taijijian Wu-Hao B",912,IF(Atletas!T550="Taijijian 32 B",913,IF(Atletas!T550="Taijijian 42 B",914,IF(Atletas!T550="Taijijian Yang C",915,IF(Atletas!T550="Taijijian Chen C",916,IF(Atletas!T550="Taijijian Sun C",917,IF(Atletas!T550="Taijijian Wu C",918,IF(Atletas!T550="Taijijian Wu-Hao C",919,IF(Atletas!T550="Taijijian 32 C",920,IF(Atletas!T550="Taijijian 42 C",921,IF(Atletas!T550="Taijijian Yang D",922,IF(Atletas!T550="Taijijian Chen D",923,IF(Atletas!T550="Taijijian Sun D",924,IF(Atletas!T550="Taijijian Wu D",925,IF(Atletas!T550="Taijijian Wu-Hao D",926,IF(Atletas!T550="Taijijian 32 D",927,IF(Atletas!T550="Taijijian 42 D",928,IF(Atletas!T550="Taijijian Yang E",929,IF(Atletas!T550="Taijijian Chen E",930,IF(Atletas!T550="Taijijian Sun E",931,IF(Atletas!T550="Taijijian Wu E",932,IF(Atletas!T550="Taijijian Wu-Hao E",933,IF(Atletas!T550="Taijijian 32 E",934,IF(Atletas!T550="Taijijian 42 E",935,IF(Atletas!T550="Taijijian Yang F",936,IF(Atletas!T550="Taijijian Chen F",937,IF(Atletas!T550="Taijijian Sun F",938,IF(Atletas!T550="Taijijian Wu F",939,IF(Atletas!T550="Taijijian Wu-Hao F",940,IF(Atletas!T550="Taijijian 32 F",941,IF(Atletas!T550="Taijijian 42 F",942,"")))))))))))))))))))))))))))))))))))))))))))</f>
        <v/>
      </c>
      <c r="BW554" s="52" t="str">
        <f>IF(Atletas!U550="","",IF(Atletas!W550&lt;&gt;"",10000,0)+IF(Atletas!B550="Feminino",1000,IF(Atletas!B550="Masculino",2000,""))+IF(Atletas!T550="Taijijian 42 F",942,IF(Atletas!U550="Taijidao A",943,IF(Atletas!U550="Taijishan A",944,IF(Atletas!U550="Taijiqiang A",945,IF(Atletas!U550="Taijidao B",946,IF(Atletas!U550="Taijishan B",947,IF(Atletas!U550="Taijiqiang B",948,IF(Atletas!U550="Taijidao C",949,IF(Atletas!U550="Taijishan C",950,IF(Atletas!U550="Taijiqiang C",951,IF(Atletas!U550="Taijidao D",952,IF(Atletas!U550="Taijishan D",953,IF(Atletas!U550="Taijiqiang D",954,IF(Atletas!U550="Taijidao E",955,IF(Atletas!U550="Taijishan E",956,IF(Atletas!U550="Taijiqiang E",957,IF(Atletas!U550="Taijidao F",958,IF(Atletas!U550="Taijishan F",959,IF(Atletas!U550="Taijiqiang F",960))))))))))))))))))))</f>
        <v/>
      </c>
      <c r="CF554" s="52" t="str">
        <f xml:space="preserve"> IF(Atletas!V550="","",IF(Atletas!V550="Duilian de Mãos AB - Equipe 1",1,IF(Atletas!V550="Duilian de Mãos AB - Equipe 2",2,IF(Atletas!V550="Duilian de Armas AB - Equipe 1",3,IF(Atletas!V550="Duilian de Armas AB - Equipe 2",4,IF(Atletas!V550="Duilian de Tuishou - Equipe 1",5,IF(Atletas!V550="Duilian de Tuishou - Equipe 2",6,IF(Atletas!V550="Grupo Externo AB - Equipe 1",7,IF(Atletas!V550="Grupo Externo AB - Equipe 2",8,IF(Atletas!V550="Grupo Interno AB - Equipe 1",9,IF(Atletas!V550="Grupo Interno AB - Equipe 2",10,IF(Atletas!V550="Duilian de Mãos CD - Equipe 1",11,IF(Atletas!V550="Duilian de Mãos CD - Equipe 2",12,IF(Atletas!V550="Duilian de Armas CD - Equipe 1",13,IF(Atletas!V550="Duilian de Armas CD - Equipe 2",14,IF(Atletas!V550="Duilian de Tuishou - Equipe 1",15,IF(Atletas!V550="Duilian de Tuishou - Equipe 2",16,IF(Atletas!V550="Grupo Externo CDEF - Equipe 1",17,IF(Atletas!V550="Grupo Externo CDEF - Equipe 2",18,IF(Atletas!V550="Grupo Interno CDEF - Equipe 1",19,IF(Atletas!V550="Grupo Interno CDEF - Equipe 2",20,IF(Atletas!V550="Duilian de Mãos EF - Equipe 1",21,IF(Atletas!V550="Duilian de Mãos EF - Equipe 2",22,IF(Atletas!V550="Duilian de Armas EF - Equipe 1",23,IF(Atletas!V550="Duilian de Armas EF - Equipe 2",24,IF(Atletas!V550="Duilian de Tuishou - Equipe 1",25,IF(Atletas!V550="Duilian de Tuishou - Equipe 2",26,"")))))))))))))))))))))))))))</f>
        <v/>
      </c>
    </row>
    <row r="555" spans="36:84">
      <c r="AJ555" s="46" t="str">
        <f>IF(Atletas!D551="","",IF(Atletas!B551="Feminino",100,IF(Atletas!B551="Masculino",200,""))+(IF(Atletas!D551="Infantil 39kg",1,IF(Atletas!D551="Infantil 42kg",2,IF(Atletas!D551="Infantil 45kg",3,IF(Atletas!D551="Infantil 48kg",4,IF(Atletas!D551="Infantil 52kg",5,IF(Atletas!D551="Infantil 56kg",6,IF(Atletas!D551="Infantil 60kg",7,IF(Atletas!D551="Juvenil 48kg",8,IF(Atletas!D551="Juvenil 52kg",9,IF(Atletas!D551="Juvenil 56kg",10,IF(Atletas!D551="Juvenil 60kg",11,IF(Atletas!D551="Juvenil 65kg",12,IF(Atletas!D551="Juvenil 70kg",13,IF(Atletas!D551="Juvenil 75kg",14,IF(Atletas!D551="Juvenil 80kg",15,IF(Atletas!D551="Adulto 48kg",16,IF(Atletas!D551="Adulto 52kg",17,IF(Atletas!D551="Adulto 56kg",18,IF(Atletas!D551="Adulto 60kg",19,IF(Atletas!D551="Adulto 65kg",20,IF(Atletas!D551="Adulto 70kg",21,IF(Atletas!D551="Adulto 75kg",22,IF(Atletas!D551="Adulto 80kg",23,IF(Atletas!D551="Adulto 85kg",24,IF(Atletas!D551="Adulto 90kg",25,IF(Atletas!D551="Adulto +90kg",26,""))))))))))))))))))))))))))))</f>
        <v/>
      </c>
      <c r="AO555" s="10" t="str">
        <f>IF(Atletas!E551="","",IF(Atletas!B551="Feminino",100,IF(Atletas!B551="Masculino",200,""))+(IF(Atletas!E551="Juvenil 44kg",1,IF(Atletas!E551="Juvenil 48kg",2,IF(Atletas!E551="Juvenil 52kg",3,IF(Atletas!E551="Juvenil 56kg",4,IF(Atletas!E551="Juvenil 60kg",5,IF(Atletas!E551="Juvenil 65kg",6,IF(Atletas!E551="Juvenil 70kg",7,IF(Atletas!E551="Juvenil 75kg",8,IF(Atletas!E551="Juvenil 82kg",9,IF(Atletas!E551="Juvenil 90kg",10,IF(Atletas!E551="Juvenil 100kg",11,IF(Atletas!E551="Adulto 48kg",12,IF(Atletas!E551="Adulto 52kg",13,IF(Atletas!E551="Adulto 56kg",14,IF(Atletas!E551="Adulto 60kg",15,IF(Atletas!E551="Adulto 65kg",16,IF(Atletas!E551="Adulto 70kg",17,IF(Atletas!E551="Adulto 75kg",18,IF(Atletas!E551="Adulto 82kg",19,IF(Atletas!E551="Adulto 90kg",20,IF(Atletas!E551="Adulto 100kg",21,IF(Atletas!E551="Adulto +100kg",22,""))))))))))))))))))))))))</f>
        <v/>
      </c>
      <c r="AT555" s="10" t="str">
        <f>IF(Atletas!F551="","",IF(Atletas!B551="Feminino",100,IF(Atletas!B551="Masculino",200,""))+(IF(Atletas!F551="Adulto 48kg",1,IF(Atletas!F551="Adulto 56kg",2,IF(Atletas!F551="Adulto 65kg",3,IF(Atletas!F551="Adulto 75kg",4,IF(Atletas!F551="Adulto +75kg",5,IF(Atletas!F551="Adulto 52kg",6,IF(Atletas!F551="Adulto 60kg",7,IF(Atletas!F551="Adulto 70kg",8,IF(Atletas!F551="Adulto 80kg",9,IF(Atletas!F551="Adulto 90kg",10,IF(Atletas!F551="Adulto +90kg",11,"")))))))))))))</f>
        <v/>
      </c>
      <c r="AY555" s="46" t="str">
        <f>IF(Atletas!G551="","",IF(Atletas!B551="Feminino",100,IF(Atletas!B551="Masculino",200,""))+(IF(Atletas!G551="Changquan Mirim",1,IF(Atletas!G551="Nanquan Mirim",2,IF(Atletas!G551="Taijiquan Mirim",3,IF(Atletas!G551="Changquan Grupo C",4,IF(Atletas!G551="Nanquan Grupo C",5,IF(Atletas!G551="Taijiquan Grupo C",6,IF(Atletas!G551="Changquan Grupo B",7,IF(Atletas!G551="Nanquan Grupo B",8,IF(Atletas!G551="Taijiquan Grupo B",9,IF(Atletas!G551="Changquan Grupo A",10,IF(Atletas!G551="Nanquan Grupo A",11,IF(Atletas!G551="Taijiquan Grupo A",12,IF(Atletas!G551="Changquan Opcional",13,IF(Atletas!G551="Nanquan Opcional",14,IF(Atletas!G551="Taijiquan Opcional",15,IF(Atletas!G551="Changquan Adulto",16,IF(Atletas!G551="Nanquan Adulto",17,IF(Atletas!G551="Taijiquan Adulto",18,""))))))))))))))))))))</f>
        <v/>
      </c>
      <c r="AZ555" s="46" t="str">
        <f>IF(Atletas!H551="","",IF(Atletas!B551="Feminino",100,IF(Atletas!B551="Masculino",200,""))+(IF(Atletas!H551="Daoshu Mirim",19,IF(Atletas!H551="Jianshu Mirim",20,IF(Atletas!H551="Nandao Mirim",21,IF(Atletas!H551="Taijijian Mirim",22,IF(Atletas!H551="Daoshu Grupo C",23,IF(Atletas!H551="Jianshu Grupo C",24,IF(Atletas!H551="Nandao Grupo C",25,IF(Atletas!H551="Taijijian Grupo C",26,IF(Atletas!H551="Daoshu Grupo B",27,IF(Atletas!H551="Jianshu Grupo B",28,IF(Atletas!H551="Nandao Grupo B",29,IF(Atletas!H551="Taijijian Grupo B",30,IF(Atletas!H551="Daoshu Grupo A",31,IF(Atletas!H551="Jianshu Grupo A",32,IF(Atletas!H551="Nandao Grupo A",33,IF(Atletas!H551="Taijijian Grupo A",34,IF(Atletas!H551="Daoshu Opcional",35,IF(Atletas!H551="Jianshu Opcional",36,IF(Atletas!H551="Nandao Opcional",37,IF(Atletas!H551="Taijijian Opcional",38,IF(Atletas!H551="Daoshu Adulto",39,IF(Atletas!H551="Jianshu Adulto",40,IF(Atletas!H551="Nandao Adulto",41,IF(Atletas!H551="Taijijian Adulto",42,""))))))))))))))))))))))))))</f>
        <v/>
      </c>
      <c r="BA555" s="46" t="str">
        <f>IF(Atletas!I551="","",IF(Atletas!B551="Feminino",100,IF(Atletas!B551="Masculino",200,""))+(IF(Atletas!I551="Gunshu Mirim",43,IF(Atletas!I551="Qiangshu Mirim",44,IF(Atletas!I551="Nangun Mirim",45,IF(Atletas!I551="Gunshu Grupo C",46,IF(Atletas!I551="Qiangshu Grupo C",47,IF(Atletas!I551="Nangun Grupo C",48,IF(Atletas!I551="Gunshu Grupo B",49,IF(Atletas!I551="Qiangshu Grupo B",50,IF(Atletas!I551="Nangun Grupo B",51,IF(Atletas!I551="Gunshu Grupo A",52,IF(Atletas!I551="Qiangshu Grupo A",53,IF(Atletas!I551="Nangun Grupo A",54,IF(Atletas!I551="Gunshu Opcional",55,IF(Atletas!I551="Qiangshu Opcional",56,IF(Atletas!I551="Nangun Opcional",57,IF(Atletas!I551="Gunshu Adulto",58,IF(Atletas!I551="Qiangshu Adulto",59,IF(Atletas!I551="Nangun Adulto",60,""))))))))))))))))))))</f>
        <v/>
      </c>
      <c r="BF555" s="52" t="str">
        <f>IF(Atletas!J551="","",IF(Atletas!B551="Feminino",100,IF(Atletas!B551="Masculino",200,""))+(IF(Atletas!J551="Equipe 1 Grupo B",1,IF(Atletas!J551="Equipe 2 Grupo B",2,IF(Atletas!J551="Equipe 1 Grupo A",3,IF(Atletas!J551="Equipe 2 Grupo A",4,IF(Atletas!J551="Equipe 1 Adulto",5,IF(Atletas!J551="Equipe 2 Adulto",6,""))))))))</f>
        <v/>
      </c>
      <c r="BK555" s="52" t="str">
        <f>IF(Atletas!K551="","",IF(Atletas!W551&lt;&gt;"",10000,0)+(IF(Atletas!B551="Feminino",1000,IF(Atletas!B551="Masculino",2000,""))+IF(Atletas!K551="Choylayfut A",1,IF(Atletas!K551="Hunggar A",2,IF(Atletas!K551="Wuzuquan A",3,IF(Atletas!K551="Wingchun A",4,IF(Atletas!K551="Outra Mão de Sul A",5,IF(Atletas!K551="Choylayfut B",6,IF(Atletas!K551="Hunggar B",7,IF(Atletas!K551="Wuzuquan B",8,IF(Atletas!K551="Wingchun B",9,IF(Atletas!K551="Outra Mão de Sul B",10,IF(Atletas!K551="Choylayfut C",11,IF(Atletas!K551="Hunggar C",12,IF(Atletas!K551="Wuzuquan C",13,IF(Atletas!K551="Wingchun C",14,IF(Atletas!K551="Outra Mão de Sul C",15,IF(Atletas!K551="Choylayfut D",16,IF(Atletas!K551="Hunggar D",17,IF(Atletas!K551="Wuzuquan D",18,IF(Atletas!K551="Wingchun D",19,IF(Atletas!K551="Outra Mão de Sul D",20,IF(Atletas!K551="Choylayfut E",21,IF(Atletas!K551="Hunggar E",22,IF(Atletas!K551="Wuzuquan E",23,IF(Atletas!K551="Wingchun E",24,IF(Atletas!K551="Outra Mão de Sul E",25,IF(Atletas!K551="Choylayfut F",26,IF(Atletas!K551="Hunggar F",27,IF(Atletas!K551="Wuzuquan F",28,IF(Atletas!K551="Wingchun F",29,IF(Atletas!K551="Outra Mão de Sul F",30,""))))))))))))))))))))))))))))))))</f>
        <v/>
      </c>
      <c r="BL555" s="52" t="str">
        <f>IF(Atletas!L551="","",IF(Atletas!W551&lt;&gt;"",10000,0)+(IF(Atletas!B551="Feminino",1000,IF(Atletas!B551="Masculino",2000,""))+(IF(Atletas!L551="Chaquan A",101,IF(Atletas!L551="Emeiquan A",102,IF(Atletas!L551="Fanziquan A",103,IF(Atletas!L551="Huaquan A",104,IF(Atletas!L551="Hongquan A",105,IF(Atletas!L551="Paochui A",106,IF(Atletas!L551="Piguaquan A",107,IF(Atletas!L551="Shaolinquan A",108,IF(Atletas!L551="Tanglangquan A",109,IF(Atletas!L551="Yinzhaophai A",110,IF(Atletas!L551="Tongbeiquan A",111,IF(Atletas!L551="Wudangquan A",112,IF(Atletas!L551="Outros Estilos A",113,IF(Atletas!L551="Chaquan B",114,IF(Atletas!L551="Emeiquan B",115,IF(Atletas!L551="Fanziquan B",116,IF(Atletas!L551="Huaquan B",117,IF(Atletas!L551="Hongquan B",118,IF(Atletas!L551="Paochui B",119,IF(Atletas!L551="Piguaquan B",120,IF(Atletas!L551="Shaolinquan B",121,IF(Atletas!L551="Tanglangquan B",122,IF(Atletas!L551="Yinzhaophai B",123,IF(Atletas!L551="Tongbeiquan B",124,IF(Atletas!L551="Wudangquan B",125,IF(Atletas!L551="Outros Estilos B",126,IF(Atletas!L551="Chaquan C",127,IF(Atletas!L551="Emeiquan C",128,IF(Atletas!L551="Fanziquan C",129,IF(Atletas!L551="Huaquan C",130,IF(Atletas!L551="Hongquan C",131,IF(Atletas!L551="Paochui C",132,IF(Atletas!L551="Piguaquan C",133,IF(Atletas!L551="Shaolinquan C",134,IF(Atletas!L551="Tanglangquan C",135,IF(Atletas!L551="Yinzhaophai C",136,IF(Atletas!L551="Tongbeiquan C",137,IF(Atletas!L551="Wudangquan C",138,IF(Atletas!L551="Outros Estilos C",139,0))))))))))))))))))))))))))))))))))))))))))</f>
        <v/>
      </c>
      <c r="BM555" s="52" t="str">
        <f>IF(Atletas!L551="","",IF(Atletas!W551&lt;&gt;"",10000,0)+(IF(Atletas!B551="Feminino",1000,IF(Atletas!B551="Masculino",2000,""))+(IF(Atletas!L551="Chaquan D",140,IF(Atletas!L551="Emeiquan D",141,IF(Atletas!L551="Fanziquan D",142,IF(Atletas!L551="Huaquan D",143,IF(Atletas!L551="Hongquan D",144,IF(Atletas!L551="Paochui D",145,IF(Atletas!L551="Piguaquan D",146,IF(Atletas!L551="Shaolinquan D",147,IF(Atletas!L551="Tanglangquan D",148,IF(Atletas!L551="Yinzhaophai D",149,IF(Atletas!L551="Tongbeiquan D",150,IF(Atletas!L551="Wudangquan D",151,IF(Atletas!L551="Outros Estilos D",152,IF(Atletas!L551="Chaquan E",153,IF(Atletas!L551="Emeiquan E",154,IF(Atletas!L551="Fanziquan E",155,IF(Atletas!L551="Huaquan E",156,IF(Atletas!L551="Hongquan E",157,IF(Atletas!L551="Paochui E",158,IF(Atletas!L551="Piguaquan E",159,IF(Atletas!L551="Shaolinquan E",160,IF(Atletas!L551="Tanglangquan E",161,IF(Atletas!L551="Yinzhaophai E",162,IF(Atletas!L551="Tongbeiquan E",163,IF(Atletas!L551="Wudangquan E",164,IF(Atletas!L551="Outros Estilos E",165,IF(Atletas!L551="Chaquan F",166,IF(Atletas!L551="Emeiquan F",167,IF(Atletas!L551="Fanziquan F",168,IF(Atletas!L551="Huaquan F",169,IF(Atletas!L551="Hongquan F",170,IF(Atletas!L551="Paochui F",171,IF(Atletas!L551="Piguaquan F",172,IF(Atletas!L551="Shaolinquan F",173,IF(Atletas!L551="Tanglangquan F",174,IF(Atletas!L551="Yinzhaophai F",175,IF(Atletas!L551="Tongbeiquan F",176,IF(Atletas!L551="Wudangquan F",177,IF(Atletas!L551="Outros Estilos F",178,0))))))))))))))))))))))))))))))))))))))))))</f>
        <v/>
      </c>
      <c r="BN555" s="52" t="str">
        <f>IF(Atletas!M551="","",IF(Atletas!W551&lt;&gt;"",10000,0)+(IF(Atletas!B551="Feminino",1000,IF(Atletas!B551="Masculino",2000,""))+(IF(Atletas!M551="Ditangquan A",201,IF(Atletas!M551="Houquan A",202,IF(Atletas!M551="Zuiquan A",203,IF(Atletas!M551="Ditangquan B",204,IF(Atletas!M551="Houquan B",205,IF(Atletas!M551="Zuiquan B",206,IF(Atletas!M551="Ditangquan C",207,IF(Atletas!M551="Houquan C",208,IF(Atletas!M551="Zuiquan C",209,IF(Atletas!M551="Ditangquan D",210,IF(Atletas!M551="Houquan D",211,IF(Atletas!M551="Zuiquan D",212,IF(Atletas!M551="Ditangquan E",213,IF(Atletas!M551="Houquan E",214,IF(Atletas!M551="Zuiquan E",215,IF(Atletas!M551="Ditangquan F",216,IF(Atletas!M551="Houquan F",217,IF(Atletas!M551="Zuiquan F",218,"")))))))))))))))))))))</f>
        <v/>
      </c>
      <c r="BO555" s="52" t="str">
        <f>IF(Atletas!N551="","",IF(Atletas!W551&lt;&gt;"",10000,0)+IF(Atletas!B551="Feminino",1000,IF(Atletas!B551="Masculino",2000,""))+IF(Atletas!N551="Yang A",301,IF(Atletas!N551="Chen A",30,IF(Atletas!N551="Sun A",303,IF(Atletas!N551="Wu A",304,IF(Atletas!N551="Wu-Hao A",305,IF(Atletas!N551="Outro Taijiquan A",306,IF(Atletas!N551="Yang B",307,IF(Atletas!N551="Chen B",308,IF(Atletas!N551="Sun B",309,IF(Atletas!N551="Wu B",310,IF(Atletas!N551="Wu-Hao B",311,IF(Atletas!N551="Outro Taijiquan B",312,IF(Atletas!N551="Yang C",313,IF(Atletas!N551="Chen C",314,IF(Atletas!N551="Sun C",315,IF(Atletas!N551="Wu C",316,IF(Atletas!N551="Wu-Hao C",317,IF(Atletas!N551="Outro Taijiquan C",318,IF(Atletas!N551="Yang D",319,IF(Atletas!N551="Chen D",320,IF(Atletas!N551="Sun D",321,IF(Atletas!N551="Wu D",322,IF(Atletas!N551="Wu-Hao D",323,IF(Atletas!N551="Outro Taijiquan D",324,IF(Atletas!N551="Yang E",325,IF(Atletas!N551="Chen E",326,IF(Atletas!N551="Sun E",327,IF(Atletas!N551="Wu E",328,IF(Atletas!N551="Wu-Hao E",329,IF(Atletas!N551="Outro Taijiquan E",330,IF(Atletas!N551="Yang F",331,IF(Atletas!N551="Chen F",332,IF(Atletas!N551="Sun F",333,IF(Atletas!N551="Wu F",334,IF(Atletas!N551="Wu-Hao F",335,IF(Atletas!N551="Outro Taijiquan F",336,"")))))))))))))))))))))))))))))))))))))</f>
        <v/>
      </c>
      <c r="BP555" s="52" t="str">
        <f>IF(Atletas!O551="","",IF(Atletas!W551&lt;&gt;"",10000,0)+IF(Atletas!B551="Feminino",1000,IF(Atletas!B551="Masculino",2000,""))+IF(OR(Atletas!O551="Yang 26 A",Atletas!O551="Yang 40 A"),401,IF(OR(Atletas!O551="Chen 25 A",Atletas!O551="Chen 36 A",Atletas!O551="Chen 56 A"),402,IF(Atletas!O551="Sun 73 A",403,IF(Atletas!O551="Wu 45 A",404,IF(Atletas!O551="Wu-Hao 46 A",405,IF(OR(Atletas!O551="Taijiquan 16 A",Atletas!O551="Taijiquan 24 A",Atletas!O551="Taijiquan 32 A",Atletas!O551="Taijiquan 42 A"),406,IF(OR(Atletas!O551="Yang 26 B",Atletas!O551="Yang 40 B"),407,IF(OR(Atletas!O551="Chen 25 B",Atletas!O551="Chen 36 B",Atletas!O551="Chen 56 B"),408,IF(Atletas!O551="Sun 73 B",409,IF(Atletas!O551="Wu 45 B",410,IF(Atletas!O551="Wu-Hao 46 B",411,IF(OR(Atletas!O551="Taijiquan 16 B",Atletas!O551="Taijiquan 24 B",Atletas!O551="Taijiquan 32 B",Atletas!O551="Taijiquan 42 B"),412,IF(OR(Atletas!O551="Yang 26 C",Atletas!O551="Yang 40 C"),413,IF(OR(Atletas!O551="Chen 25 C",Atletas!O551="Chen 36 C",Atletas!O551="Chen 56 C"),414,IF(Atletas!O551="Sun 73 C",415,IF(Atletas!O551="Wu 45 C",416,IF(Atletas!O551="Wu-Hao 46 C",417,IF(OR(Atletas!O551="Taijiquan 16 C",Atletas!O551="Taijiquan 24 C",Atletas!O551="Taijiquan 32 C",Atletas!O551="Taijiquan 42 C"),418,0)))))))))))))))))))</f>
        <v/>
      </c>
      <c r="BQ555" s="52" t="str">
        <f>IF(Atletas!O551="","",IF(Atletas!W551&lt;&gt;"",10000,0)+IF(Atletas!B551="Feminino",1000,IF(Atletas!B551="Masculino",2000,""))+IF(OR(Atletas!O551="Yang 26 D",Atletas!O551="Yang 40 D"),419,IF(OR(Atletas!O551="Chen 25 D",Atletas!O551="Chen 36 D",Atletas!O551="Chen 56 D"),420,IF(Atletas!O551="Sun 73 D",421,IF(Atletas!O551="Wu 45 D",422,IF(Atletas!O551="Wu-Hao 46 D",423,IF(OR(Atletas!O551="Taijiquan 16 D",Atletas!O551="Taijiquan 24 D",Atletas!O551="Taijiquan 32 D",Atletas!O551="Taijiquan 42 D"),424,IF(OR(Atletas!O551="Yang 26 E",Atletas!O551="Yang 40 E"),425,IF(OR(Atletas!O551="Chen 25 E",Atletas!O551="Chen 36 E",Atletas!O551="Chen 56 E"),426,IF(Atletas!O551="Sun 73 E",427,IF(Atletas!O551="Wu 45 E",428,IF(Atletas!O551="Wu-Hao 46 E",429,IF(OR(Atletas!O551="Taijiquan 16 E",Atletas!O551="Taijiquan 24 E",Atletas!O551="Taijiquan 32 E",Atletas!O551="Taijiquan 42 E"),430,IF(OR(Atletas!O551="Yang 26 F",Atletas!O551="Yang 40 F"),431,IF(OR(Atletas!O551="Chen 25 F",Atletas!O551="Chen 36 F",Atletas!O551="Chen 56 F"),432,IF(Atletas!O551="Sun 73 F",433,IF(Atletas!O551="Wu 45 F",434,IF(Atletas!O551="Wu-Hao 46 F",435,IF(OR(Atletas!O551="Taijiquan 16 F",Atletas!O551="Taijiquan 24 F",Atletas!O551="Taijiquan 32 F",Atletas!O551="Taijiquan 42 F"),436,0)))))))))))))))))))</f>
        <v/>
      </c>
      <c r="BR555" s="52" t="str">
        <f>IF(Atletas!P551="","",IF(Atletas!W551&lt;&gt;"",10000,0)+IF(Atletas!B551="Feminino",1000,IF(Atletas!B551="Masculino",2000,""))+IF(Atletas!P551="Xingyiquan A",501,IF(Atletas!P551="Baguazhang A",502,IF(Atletas!P551="Outro Estilo Interno A",503,IF(Atletas!P551="Xingyiquan B",504,IF(Atletas!P551="Baguazhang B",505,IF(Atletas!P551="Outro Estilo Interno B",506,IF(Atletas!P551="Xingyiquan C",507,IF(Atletas!P551="Baguazhang C",508,IF(Atletas!P551="Outro Estilo Interno C",509,IF(Atletas!P551="Xingyiquan D",510,IF(Atletas!P551="Baguazhang D",511,IF(Atletas!P551="Outro Estilo Interno D",512,IF(Atletas!P551="Xingyiquan E",513,IF(Atletas!P551="Baguazhang E",514,IF(Atletas!P551="Outro Estilo Interno E",515,IF(Atletas!P551="Xingyiquan F",516,IF(Atletas!P551="Baguazhang F",517,IF(Atletas!P551="Outro Estilo Interno F",518, "")))))))))))))))))))</f>
        <v/>
      </c>
      <c r="BS555" s="52" t="str">
        <f>IF(Atletas!Q551="","",IF(Atletas!W551&lt;&gt;"",10000,0)+IF(Atletas!B551="Feminino",1000,IF(Atletas!B551="Masculino",2000,""))+IF(Atletas!Q551="Dao A",601,IF(Atletas!Q551="Jian A",602,IF(Atletas!Q551="Bishou A",603,IF(Atletas!Q551="Shan A",604,IF(Atletas!Q551="Outra Arma Curta A",605,IF(Atletas!Q551="Dao B",606,IF(Atletas!Q551="Jian B",607,IF(Atletas!Q551="Bishou B",608,IF(Atletas!Q551="Shan B",609,IF(Atletas!Q551="Outra Arma Curta B",610,IF(Atletas!Q551="Dao C",611,IF(Atletas!Q551="Jian C",612,IF(Atletas!Q551="Bishou C",613,IF(Atletas!Q551="Shan C",614,IF(Atletas!Q551="Outra Arma Curta C",615,IF(Atletas!Q551="Dao D",616,IF(Atletas!Q551="Jian D",617,IF(Atletas!Q551="Bishou D",618,IF(Atletas!Q551="Shan D",619,IF(Atletas!Q551="Outra Arma Curta D",620,IF(Atletas!Q551="Dao E",621,IF(Atletas!Q551="Jian E",622,IF(Atletas!Q551="Bishou E",623,IF(Atletas!Q551="Shan E",624,IF(Atletas!Q551="Outra Arma Curta E",625,IF(Atletas!Q551="Dao F",626,IF(Atletas!Q551="Jian F",627,IF(Atletas!Q551="Bishou F",628,IF(Atletas!Q551="Shan F",629,IF(Atletas!Q551="Outra Arma Curta F",630, "")))))))))))))))))))))))))))))))</f>
        <v/>
      </c>
      <c r="BT555" s="52" t="str">
        <f>IF(Atletas!R551="","",IF(Atletas!W551&lt;&gt;"",10000,0)+IF(Atletas!B551="Feminino",1000,IF(Atletas!B551="Masculino",2000,""))+IF(Atletas!R551="Gun A",701,IF(Atletas!R551="Qiang A",702,IF(Atletas!R551="Pudao / Guandao A",703,IF(Atletas!R551="Outra Arma Longa A",704,IF(Atletas!R551="Gun B",705,IF(Atletas!R551="Qiang B",706,IF(Atletas!R551="Pudao / Guandao B",707,IF(Atletas!R551="Outra Arma Longa B",708,IF(Atletas!R551="Gun C",709,IF(Atletas!R551="Qiang C",710,IF(Atletas!R551="Pudao / Guandao C",711,IF(Atletas!R551="Outra Arma Longa C",712,IF(Atletas!R551="Gun D",713,IF(Atletas!R551="Qiang D",714,IF(Atletas!R551="Pudao / Guandao D",715,IF(Atletas!R551="Outra Arma Longa D",716,IF(Atletas!R551="Gun E",717,IF(Atletas!R551="Qiang E",718,IF(Atletas!R551="Pudao / Guandao E",719,IF(Atletas!R551="Outra Arma Longa E",720,IF(Atletas!R551="Gun F",721,IF(Atletas!R551="Qiang F",722,IF(Atletas!R551="Pudao / Guandao F",723,IF(Atletas!R551="Outra Arma Longa F",724,"")))))))))))))))))))))))))</f>
        <v/>
      </c>
      <c r="BU555" s="52" t="str">
        <f>IF(Atletas!S551="","",IF(Atletas!W551&lt;&gt;"",10000,0)+IF(Atletas!B551="Feminino",1000,IF(Atletas!B551="Masculino",2000,""))+IF(Atletas!S551="Arma Dupla A",801,IF(Atletas!S551="Arma Maleável A",802,IF(Atletas!S551="Arma Dupla B",803,IF(Atletas!S551="Arma Maleável B",804,IF(Atletas!S551="Arma Dupla C",805,IF(Atletas!S551="Arma Maleável C",806,IF(Atletas!S551="Arma Dupla D",807,IF(Atletas!S551="Arma Maleável D",808,IF(Atletas!S551="Arma Dupla E",809,IF(Atletas!S551="Arma Maleável E",810,IF(Atletas!S551="Arma Dupla F",811,IF(Atletas!S551="Arma Maleável F",812, "")))))))))))))</f>
        <v/>
      </c>
      <c r="BV555" s="52" t="str">
        <f>IF(Atletas!T551="","",IF(Atletas!W551&lt;&gt;"",10000,0)+IF(Atletas!B551="Feminino",1000,IF(Atletas!B551="Masculino",2000,""))+IF(Atletas!T551="Taijijian Yang A",901,IF(Atletas!T551="Taijijian Chen A",902,IF(Atletas!T551="Taijijian Sun A",903,IF(Atletas!T551="Taijijian Wu A",904,IF(Atletas!T551="Taijijian Wu-Hao A",905,IF(Atletas!T551="Taijijian 32 A",906,IF(Atletas!T551="Taijijian 42 A",907,IF(Atletas!T551="Taijijian Yang B",908,IF(Atletas!T551="Taijijian Chen B",909,IF(Atletas!T551="Taijijian Sun B",910,IF(Atletas!T551="Taijijian Wu B",911,IF(Atletas!T551="Taijijian Wu-Hao B",912,IF(Atletas!T551="Taijijian 32 B",913,IF(Atletas!T551="Taijijian 42 B",914,IF(Atletas!T551="Taijijian Yang C",915,IF(Atletas!T551="Taijijian Chen C",916,IF(Atletas!T551="Taijijian Sun C",917,IF(Atletas!T551="Taijijian Wu C",918,IF(Atletas!T551="Taijijian Wu-Hao C",919,IF(Atletas!T551="Taijijian 32 C",920,IF(Atletas!T551="Taijijian 42 C",921,IF(Atletas!T551="Taijijian Yang D",922,IF(Atletas!T551="Taijijian Chen D",923,IF(Atletas!T551="Taijijian Sun D",924,IF(Atletas!T551="Taijijian Wu D",925,IF(Atletas!T551="Taijijian Wu-Hao D",926,IF(Atletas!T551="Taijijian 32 D",927,IF(Atletas!T551="Taijijian 42 D",928,IF(Atletas!T551="Taijijian Yang E",929,IF(Atletas!T551="Taijijian Chen E",930,IF(Atletas!T551="Taijijian Sun E",931,IF(Atletas!T551="Taijijian Wu E",932,IF(Atletas!T551="Taijijian Wu-Hao E",933,IF(Atletas!T551="Taijijian 32 E",934,IF(Atletas!T551="Taijijian 42 E",935,IF(Atletas!T551="Taijijian Yang F",936,IF(Atletas!T551="Taijijian Chen F",937,IF(Atletas!T551="Taijijian Sun F",938,IF(Atletas!T551="Taijijian Wu F",939,IF(Atletas!T551="Taijijian Wu-Hao F",940,IF(Atletas!T551="Taijijian 32 F",941,IF(Atletas!T551="Taijijian 42 F",942,"")))))))))))))))))))))))))))))))))))))))))))</f>
        <v/>
      </c>
      <c r="BW555" s="52" t="str">
        <f>IF(Atletas!U551="","",IF(Atletas!W551&lt;&gt;"",10000,0)+IF(Atletas!B551="Feminino",1000,IF(Atletas!B551="Masculino",2000,""))+IF(Atletas!T551="Taijijian 42 F",942,IF(Atletas!U551="Taijidao A",943,IF(Atletas!U551="Taijishan A",944,IF(Atletas!U551="Taijiqiang A",945,IF(Atletas!U551="Taijidao B",946,IF(Atletas!U551="Taijishan B",947,IF(Atletas!U551="Taijiqiang B",948,IF(Atletas!U551="Taijidao C",949,IF(Atletas!U551="Taijishan C",950,IF(Atletas!U551="Taijiqiang C",951,IF(Atletas!U551="Taijidao D",952,IF(Atletas!U551="Taijishan D",953,IF(Atletas!U551="Taijiqiang D",954,IF(Atletas!U551="Taijidao E",955,IF(Atletas!U551="Taijishan E",956,IF(Atletas!U551="Taijiqiang E",957,IF(Atletas!U551="Taijidao F",958,IF(Atletas!U551="Taijishan F",959,IF(Atletas!U551="Taijiqiang F",960))))))))))))))))))))</f>
        <v/>
      </c>
      <c r="CF555" s="52" t="str">
        <f xml:space="preserve"> IF(Atletas!V551="","",IF(Atletas!V551="Duilian de Mãos AB - Equipe 1",1,IF(Atletas!V551="Duilian de Mãos AB - Equipe 2",2,IF(Atletas!V551="Duilian de Armas AB - Equipe 1",3,IF(Atletas!V551="Duilian de Armas AB - Equipe 2",4,IF(Atletas!V551="Duilian de Tuishou - Equipe 1",5,IF(Atletas!V551="Duilian de Tuishou - Equipe 2",6,IF(Atletas!V551="Grupo Externo AB - Equipe 1",7,IF(Atletas!V551="Grupo Externo AB - Equipe 2",8,IF(Atletas!V551="Grupo Interno AB - Equipe 1",9,IF(Atletas!V551="Grupo Interno AB - Equipe 2",10,IF(Atletas!V551="Duilian de Mãos CD - Equipe 1",11,IF(Atletas!V551="Duilian de Mãos CD - Equipe 2",12,IF(Atletas!V551="Duilian de Armas CD - Equipe 1",13,IF(Atletas!V551="Duilian de Armas CD - Equipe 2",14,IF(Atletas!V551="Duilian de Tuishou - Equipe 1",15,IF(Atletas!V551="Duilian de Tuishou - Equipe 2",16,IF(Atletas!V551="Grupo Externo CDEF - Equipe 1",17,IF(Atletas!V551="Grupo Externo CDEF - Equipe 2",18,IF(Atletas!V551="Grupo Interno CDEF - Equipe 1",19,IF(Atletas!V551="Grupo Interno CDEF - Equipe 2",20,IF(Atletas!V551="Duilian de Mãos EF - Equipe 1",21,IF(Atletas!V551="Duilian de Mãos EF - Equipe 2",22,IF(Atletas!V551="Duilian de Armas EF - Equipe 1",23,IF(Atletas!V551="Duilian de Armas EF - Equipe 2",24,IF(Atletas!V551="Duilian de Tuishou - Equipe 1",25,IF(Atletas!V551="Duilian de Tuishou - Equipe 2",26,"")))))))))))))))))))))))))))</f>
        <v/>
      </c>
    </row>
    <row r="556" spans="36:84">
      <c r="AJ556" s="46" t="str">
        <f>IF(Atletas!D552="","",IF(Atletas!B552="Feminino",100,IF(Atletas!B552="Masculino",200,""))+(IF(Atletas!D552="Infantil 39kg",1,IF(Atletas!D552="Infantil 42kg",2,IF(Atletas!D552="Infantil 45kg",3,IF(Atletas!D552="Infantil 48kg",4,IF(Atletas!D552="Infantil 52kg",5,IF(Atletas!D552="Infantil 56kg",6,IF(Atletas!D552="Infantil 60kg",7,IF(Atletas!D552="Juvenil 48kg",8,IF(Atletas!D552="Juvenil 52kg",9,IF(Atletas!D552="Juvenil 56kg",10,IF(Atletas!D552="Juvenil 60kg",11,IF(Atletas!D552="Juvenil 65kg",12,IF(Atletas!D552="Juvenil 70kg",13,IF(Atletas!D552="Juvenil 75kg",14,IF(Atletas!D552="Juvenil 80kg",15,IF(Atletas!D552="Adulto 48kg",16,IF(Atletas!D552="Adulto 52kg",17,IF(Atletas!D552="Adulto 56kg",18,IF(Atletas!D552="Adulto 60kg",19,IF(Atletas!D552="Adulto 65kg",20,IF(Atletas!D552="Adulto 70kg",21,IF(Atletas!D552="Adulto 75kg",22,IF(Atletas!D552="Adulto 80kg",23,IF(Atletas!D552="Adulto 85kg",24,IF(Atletas!D552="Adulto 90kg",25,IF(Atletas!D552="Adulto +90kg",26,""))))))))))))))))))))))))))))</f>
        <v/>
      </c>
      <c r="AO556" s="10" t="str">
        <f>IF(Atletas!E552="","",IF(Atletas!B552="Feminino",100,IF(Atletas!B552="Masculino",200,""))+(IF(Atletas!E552="Juvenil 44kg",1,IF(Atletas!E552="Juvenil 48kg",2,IF(Atletas!E552="Juvenil 52kg",3,IF(Atletas!E552="Juvenil 56kg",4,IF(Atletas!E552="Juvenil 60kg",5,IF(Atletas!E552="Juvenil 65kg",6,IF(Atletas!E552="Juvenil 70kg",7,IF(Atletas!E552="Juvenil 75kg",8,IF(Atletas!E552="Juvenil 82kg",9,IF(Atletas!E552="Juvenil 90kg",10,IF(Atletas!E552="Juvenil 100kg",11,IF(Atletas!E552="Adulto 48kg",12,IF(Atletas!E552="Adulto 52kg",13,IF(Atletas!E552="Adulto 56kg",14,IF(Atletas!E552="Adulto 60kg",15,IF(Atletas!E552="Adulto 65kg",16,IF(Atletas!E552="Adulto 70kg",17,IF(Atletas!E552="Adulto 75kg",18,IF(Atletas!E552="Adulto 82kg",19,IF(Atletas!E552="Adulto 90kg",20,IF(Atletas!E552="Adulto 100kg",21,IF(Atletas!E552="Adulto +100kg",22,""))))))))))))))))))))))))</f>
        <v/>
      </c>
      <c r="AT556" s="10" t="str">
        <f>IF(Atletas!F552="","",IF(Atletas!B552="Feminino",100,IF(Atletas!B552="Masculino",200,""))+(IF(Atletas!F552="Adulto 48kg",1,IF(Atletas!F552="Adulto 56kg",2,IF(Atletas!F552="Adulto 65kg",3,IF(Atletas!F552="Adulto 75kg",4,IF(Atletas!F552="Adulto +75kg",5,IF(Atletas!F552="Adulto 52kg",6,IF(Atletas!F552="Adulto 60kg",7,IF(Atletas!F552="Adulto 70kg",8,IF(Atletas!F552="Adulto 80kg",9,IF(Atletas!F552="Adulto 90kg",10,IF(Atletas!F552="Adulto +90kg",11,"")))))))))))))</f>
        <v/>
      </c>
      <c r="AY556" s="46" t="str">
        <f>IF(Atletas!G552="","",IF(Atletas!B552="Feminino",100,IF(Atletas!B552="Masculino",200,""))+(IF(Atletas!G552="Changquan Mirim",1,IF(Atletas!G552="Nanquan Mirim",2,IF(Atletas!G552="Taijiquan Mirim",3,IF(Atletas!G552="Changquan Grupo C",4,IF(Atletas!G552="Nanquan Grupo C",5,IF(Atletas!G552="Taijiquan Grupo C",6,IF(Atletas!G552="Changquan Grupo B",7,IF(Atletas!G552="Nanquan Grupo B",8,IF(Atletas!G552="Taijiquan Grupo B",9,IF(Atletas!G552="Changquan Grupo A",10,IF(Atletas!G552="Nanquan Grupo A",11,IF(Atletas!G552="Taijiquan Grupo A",12,IF(Atletas!G552="Changquan Opcional",13,IF(Atletas!G552="Nanquan Opcional",14,IF(Atletas!G552="Taijiquan Opcional",15,IF(Atletas!G552="Changquan Adulto",16,IF(Atletas!G552="Nanquan Adulto",17,IF(Atletas!G552="Taijiquan Adulto",18,""))))))))))))))))))))</f>
        <v/>
      </c>
      <c r="AZ556" s="46" t="str">
        <f>IF(Atletas!H552="","",IF(Atletas!B552="Feminino",100,IF(Atletas!B552="Masculino",200,""))+(IF(Atletas!H552="Daoshu Mirim",19,IF(Atletas!H552="Jianshu Mirim",20,IF(Atletas!H552="Nandao Mirim",21,IF(Atletas!H552="Taijijian Mirim",22,IF(Atletas!H552="Daoshu Grupo C",23,IF(Atletas!H552="Jianshu Grupo C",24,IF(Atletas!H552="Nandao Grupo C",25,IF(Atletas!H552="Taijijian Grupo C",26,IF(Atletas!H552="Daoshu Grupo B",27,IF(Atletas!H552="Jianshu Grupo B",28,IF(Atletas!H552="Nandao Grupo B",29,IF(Atletas!H552="Taijijian Grupo B",30,IF(Atletas!H552="Daoshu Grupo A",31,IF(Atletas!H552="Jianshu Grupo A",32,IF(Atletas!H552="Nandao Grupo A",33,IF(Atletas!H552="Taijijian Grupo A",34,IF(Atletas!H552="Daoshu Opcional",35,IF(Atletas!H552="Jianshu Opcional",36,IF(Atletas!H552="Nandao Opcional",37,IF(Atletas!H552="Taijijian Opcional",38,IF(Atletas!H552="Daoshu Adulto",39,IF(Atletas!H552="Jianshu Adulto",40,IF(Atletas!H552="Nandao Adulto",41,IF(Atletas!H552="Taijijian Adulto",42,""))))))))))))))))))))))))))</f>
        <v/>
      </c>
      <c r="BA556" s="46" t="str">
        <f>IF(Atletas!I552="","",IF(Atletas!B552="Feminino",100,IF(Atletas!B552="Masculino",200,""))+(IF(Atletas!I552="Gunshu Mirim",43,IF(Atletas!I552="Qiangshu Mirim",44,IF(Atletas!I552="Nangun Mirim",45,IF(Atletas!I552="Gunshu Grupo C",46,IF(Atletas!I552="Qiangshu Grupo C",47,IF(Atletas!I552="Nangun Grupo C",48,IF(Atletas!I552="Gunshu Grupo B",49,IF(Atletas!I552="Qiangshu Grupo B",50,IF(Atletas!I552="Nangun Grupo B",51,IF(Atletas!I552="Gunshu Grupo A",52,IF(Atletas!I552="Qiangshu Grupo A",53,IF(Atletas!I552="Nangun Grupo A",54,IF(Atletas!I552="Gunshu Opcional",55,IF(Atletas!I552="Qiangshu Opcional",56,IF(Atletas!I552="Nangun Opcional",57,IF(Atletas!I552="Gunshu Adulto",58,IF(Atletas!I552="Qiangshu Adulto",59,IF(Atletas!I552="Nangun Adulto",60,""))))))))))))))))))))</f>
        <v/>
      </c>
      <c r="BF556" s="52" t="str">
        <f>IF(Atletas!J552="","",IF(Atletas!B552="Feminino",100,IF(Atletas!B552="Masculino",200,""))+(IF(Atletas!J552="Equipe 1 Grupo B",1,IF(Atletas!J552="Equipe 2 Grupo B",2,IF(Atletas!J552="Equipe 1 Grupo A",3,IF(Atletas!J552="Equipe 2 Grupo A",4,IF(Atletas!J552="Equipe 1 Adulto",5,IF(Atletas!J552="Equipe 2 Adulto",6,""))))))))</f>
        <v/>
      </c>
      <c r="BK556" s="52" t="str">
        <f>IF(Atletas!K552="","",IF(Atletas!W552&lt;&gt;"",10000,0)+(IF(Atletas!B552="Feminino",1000,IF(Atletas!B552="Masculino",2000,""))+IF(Atletas!K552="Choylayfut A",1,IF(Atletas!K552="Hunggar A",2,IF(Atletas!K552="Wuzuquan A",3,IF(Atletas!K552="Wingchun A",4,IF(Atletas!K552="Outra Mão de Sul A",5,IF(Atletas!K552="Choylayfut B",6,IF(Atletas!K552="Hunggar B",7,IF(Atletas!K552="Wuzuquan B",8,IF(Atletas!K552="Wingchun B",9,IF(Atletas!K552="Outra Mão de Sul B",10,IF(Atletas!K552="Choylayfut C",11,IF(Atletas!K552="Hunggar C",12,IF(Atletas!K552="Wuzuquan C",13,IF(Atletas!K552="Wingchun C",14,IF(Atletas!K552="Outra Mão de Sul C",15,IF(Atletas!K552="Choylayfut D",16,IF(Atletas!K552="Hunggar D",17,IF(Atletas!K552="Wuzuquan D",18,IF(Atletas!K552="Wingchun D",19,IF(Atletas!K552="Outra Mão de Sul D",20,IF(Atletas!K552="Choylayfut E",21,IF(Atletas!K552="Hunggar E",22,IF(Atletas!K552="Wuzuquan E",23,IF(Atletas!K552="Wingchun E",24,IF(Atletas!K552="Outra Mão de Sul E",25,IF(Atletas!K552="Choylayfut F",26,IF(Atletas!K552="Hunggar F",27,IF(Atletas!K552="Wuzuquan F",28,IF(Atletas!K552="Wingchun F",29,IF(Atletas!K552="Outra Mão de Sul F",30,""))))))))))))))))))))))))))))))))</f>
        <v/>
      </c>
      <c r="BL556" s="52" t="str">
        <f>IF(Atletas!L552="","",IF(Atletas!W552&lt;&gt;"",10000,0)+(IF(Atletas!B552="Feminino",1000,IF(Atletas!B552="Masculino",2000,""))+(IF(Atletas!L552="Chaquan A",101,IF(Atletas!L552="Emeiquan A",102,IF(Atletas!L552="Fanziquan A",103,IF(Atletas!L552="Huaquan A",104,IF(Atletas!L552="Hongquan A",105,IF(Atletas!L552="Paochui A",106,IF(Atletas!L552="Piguaquan A",107,IF(Atletas!L552="Shaolinquan A",108,IF(Atletas!L552="Tanglangquan A",109,IF(Atletas!L552="Yinzhaophai A",110,IF(Atletas!L552="Tongbeiquan A",111,IF(Atletas!L552="Wudangquan A",112,IF(Atletas!L552="Outros Estilos A",113,IF(Atletas!L552="Chaquan B",114,IF(Atletas!L552="Emeiquan B",115,IF(Atletas!L552="Fanziquan B",116,IF(Atletas!L552="Huaquan B",117,IF(Atletas!L552="Hongquan B",118,IF(Atletas!L552="Paochui B",119,IF(Atletas!L552="Piguaquan B",120,IF(Atletas!L552="Shaolinquan B",121,IF(Atletas!L552="Tanglangquan B",122,IF(Atletas!L552="Yinzhaophai B",123,IF(Atletas!L552="Tongbeiquan B",124,IF(Atletas!L552="Wudangquan B",125,IF(Atletas!L552="Outros Estilos B",126,IF(Atletas!L552="Chaquan C",127,IF(Atletas!L552="Emeiquan C",128,IF(Atletas!L552="Fanziquan C",129,IF(Atletas!L552="Huaquan C",130,IF(Atletas!L552="Hongquan C",131,IF(Atletas!L552="Paochui C",132,IF(Atletas!L552="Piguaquan C",133,IF(Atletas!L552="Shaolinquan C",134,IF(Atletas!L552="Tanglangquan C",135,IF(Atletas!L552="Yinzhaophai C",136,IF(Atletas!L552="Tongbeiquan C",137,IF(Atletas!L552="Wudangquan C",138,IF(Atletas!L552="Outros Estilos C",139,0))))))))))))))))))))))))))))))))))))))))))</f>
        <v/>
      </c>
      <c r="BM556" s="52" t="str">
        <f>IF(Atletas!L552="","",IF(Atletas!W552&lt;&gt;"",10000,0)+(IF(Atletas!B552="Feminino",1000,IF(Atletas!B552="Masculino",2000,""))+(IF(Atletas!L552="Chaquan D",140,IF(Atletas!L552="Emeiquan D",141,IF(Atletas!L552="Fanziquan D",142,IF(Atletas!L552="Huaquan D",143,IF(Atletas!L552="Hongquan D",144,IF(Atletas!L552="Paochui D",145,IF(Atletas!L552="Piguaquan D",146,IF(Atletas!L552="Shaolinquan D",147,IF(Atletas!L552="Tanglangquan D",148,IF(Atletas!L552="Yinzhaophai D",149,IF(Atletas!L552="Tongbeiquan D",150,IF(Atletas!L552="Wudangquan D",151,IF(Atletas!L552="Outros Estilos D",152,IF(Atletas!L552="Chaquan E",153,IF(Atletas!L552="Emeiquan E",154,IF(Atletas!L552="Fanziquan E",155,IF(Atletas!L552="Huaquan E",156,IF(Atletas!L552="Hongquan E",157,IF(Atletas!L552="Paochui E",158,IF(Atletas!L552="Piguaquan E",159,IF(Atletas!L552="Shaolinquan E",160,IF(Atletas!L552="Tanglangquan E",161,IF(Atletas!L552="Yinzhaophai E",162,IF(Atletas!L552="Tongbeiquan E",163,IF(Atletas!L552="Wudangquan E",164,IF(Atletas!L552="Outros Estilos E",165,IF(Atletas!L552="Chaquan F",166,IF(Atletas!L552="Emeiquan F",167,IF(Atletas!L552="Fanziquan F",168,IF(Atletas!L552="Huaquan F",169,IF(Atletas!L552="Hongquan F",170,IF(Atletas!L552="Paochui F",171,IF(Atletas!L552="Piguaquan F",172,IF(Atletas!L552="Shaolinquan F",173,IF(Atletas!L552="Tanglangquan F",174,IF(Atletas!L552="Yinzhaophai F",175,IF(Atletas!L552="Tongbeiquan F",176,IF(Atletas!L552="Wudangquan F",177,IF(Atletas!L552="Outros Estilos F",178,0))))))))))))))))))))))))))))))))))))))))))</f>
        <v/>
      </c>
      <c r="BN556" s="52" t="str">
        <f>IF(Atletas!M552="","",IF(Atletas!W552&lt;&gt;"",10000,0)+(IF(Atletas!B552="Feminino",1000,IF(Atletas!B552="Masculino",2000,""))+(IF(Atletas!M552="Ditangquan A",201,IF(Atletas!M552="Houquan A",202,IF(Atletas!M552="Zuiquan A",203,IF(Atletas!M552="Ditangquan B",204,IF(Atletas!M552="Houquan B",205,IF(Atletas!M552="Zuiquan B",206,IF(Atletas!M552="Ditangquan C",207,IF(Atletas!M552="Houquan C",208,IF(Atletas!M552="Zuiquan C",209,IF(Atletas!M552="Ditangquan D",210,IF(Atletas!M552="Houquan D",211,IF(Atletas!M552="Zuiquan D",212,IF(Atletas!M552="Ditangquan E",213,IF(Atletas!M552="Houquan E",214,IF(Atletas!M552="Zuiquan E",215,IF(Atletas!M552="Ditangquan F",216,IF(Atletas!M552="Houquan F",217,IF(Atletas!M552="Zuiquan F",218,"")))))))))))))))))))))</f>
        <v/>
      </c>
      <c r="BO556" s="52" t="str">
        <f>IF(Atletas!N552="","",IF(Atletas!W552&lt;&gt;"",10000,0)+IF(Atletas!B552="Feminino",1000,IF(Atletas!B552="Masculino",2000,""))+IF(Atletas!N552="Yang A",301,IF(Atletas!N552="Chen A",30,IF(Atletas!N552="Sun A",303,IF(Atletas!N552="Wu A",304,IF(Atletas!N552="Wu-Hao A",305,IF(Atletas!N552="Outro Taijiquan A",306,IF(Atletas!N552="Yang B",307,IF(Atletas!N552="Chen B",308,IF(Atletas!N552="Sun B",309,IF(Atletas!N552="Wu B",310,IF(Atletas!N552="Wu-Hao B",311,IF(Atletas!N552="Outro Taijiquan B",312,IF(Atletas!N552="Yang C",313,IF(Atletas!N552="Chen C",314,IF(Atletas!N552="Sun C",315,IF(Atletas!N552="Wu C",316,IF(Atletas!N552="Wu-Hao C",317,IF(Atletas!N552="Outro Taijiquan C",318,IF(Atletas!N552="Yang D",319,IF(Atletas!N552="Chen D",320,IF(Atletas!N552="Sun D",321,IF(Atletas!N552="Wu D",322,IF(Atletas!N552="Wu-Hao D",323,IF(Atletas!N552="Outro Taijiquan D",324,IF(Atletas!N552="Yang E",325,IF(Atletas!N552="Chen E",326,IF(Atletas!N552="Sun E",327,IF(Atletas!N552="Wu E",328,IF(Atletas!N552="Wu-Hao E",329,IF(Atletas!N552="Outro Taijiquan E",330,IF(Atletas!N552="Yang F",331,IF(Atletas!N552="Chen F",332,IF(Atletas!N552="Sun F",333,IF(Atletas!N552="Wu F",334,IF(Atletas!N552="Wu-Hao F",335,IF(Atletas!N552="Outro Taijiquan F",336,"")))))))))))))))))))))))))))))))))))))</f>
        <v/>
      </c>
      <c r="BP556" s="52" t="str">
        <f>IF(Atletas!O552="","",IF(Atletas!W552&lt;&gt;"",10000,0)+IF(Atletas!B552="Feminino",1000,IF(Atletas!B552="Masculino",2000,""))+IF(OR(Atletas!O552="Yang 26 A",Atletas!O552="Yang 40 A"),401,IF(OR(Atletas!O552="Chen 25 A",Atletas!O552="Chen 36 A",Atletas!O552="Chen 56 A"),402,IF(Atletas!O552="Sun 73 A",403,IF(Atletas!O552="Wu 45 A",404,IF(Atletas!O552="Wu-Hao 46 A",405,IF(OR(Atletas!O552="Taijiquan 16 A",Atletas!O552="Taijiquan 24 A",Atletas!O552="Taijiquan 32 A",Atletas!O552="Taijiquan 42 A"),406,IF(OR(Atletas!O552="Yang 26 B",Atletas!O552="Yang 40 B"),407,IF(OR(Atletas!O552="Chen 25 B",Atletas!O552="Chen 36 B",Atletas!O552="Chen 56 B"),408,IF(Atletas!O552="Sun 73 B",409,IF(Atletas!O552="Wu 45 B",410,IF(Atletas!O552="Wu-Hao 46 B",411,IF(OR(Atletas!O552="Taijiquan 16 B",Atletas!O552="Taijiquan 24 B",Atletas!O552="Taijiquan 32 B",Atletas!O552="Taijiquan 42 B"),412,IF(OR(Atletas!O552="Yang 26 C",Atletas!O552="Yang 40 C"),413,IF(OR(Atletas!O552="Chen 25 C",Atletas!O552="Chen 36 C",Atletas!O552="Chen 56 C"),414,IF(Atletas!O552="Sun 73 C",415,IF(Atletas!O552="Wu 45 C",416,IF(Atletas!O552="Wu-Hao 46 C",417,IF(OR(Atletas!O552="Taijiquan 16 C",Atletas!O552="Taijiquan 24 C",Atletas!O552="Taijiquan 32 C",Atletas!O552="Taijiquan 42 C"),418,0)))))))))))))))))))</f>
        <v/>
      </c>
      <c r="BQ556" s="52" t="str">
        <f>IF(Atletas!O552="","",IF(Atletas!W552&lt;&gt;"",10000,0)+IF(Atletas!B552="Feminino",1000,IF(Atletas!B552="Masculino",2000,""))+IF(OR(Atletas!O552="Yang 26 D",Atletas!O552="Yang 40 D"),419,IF(OR(Atletas!O552="Chen 25 D",Atletas!O552="Chen 36 D",Atletas!O552="Chen 56 D"),420,IF(Atletas!O552="Sun 73 D",421,IF(Atletas!O552="Wu 45 D",422,IF(Atletas!O552="Wu-Hao 46 D",423,IF(OR(Atletas!O552="Taijiquan 16 D",Atletas!O552="Taijiquan 24 D",Atletas!O552="Taijiquan 32 D",Atletas!O552="Taijiquan 42 D"),424,IF(OR(Atletas!O552="Yang 26 E",Atletas!O552="Yang 40 E"),425,IF(OR(Atletas!O552="Chen 25 E",Atletas!O552="Chen 36 E",Atletas!O552="Chen 56 E"),426,IF(Atletas!O552="Sun 73 E",427,IF(Atletas!O552="Wu 45 E",428,IF(Atletas!O552="Wu-Hao 46 E",429,IF(OR(Atletas!O552="Taijiquan 16 E",Atletas!O552="Taijiquan 24 E",Atletas!O552="Taijiquan 32 E",Atletas!O552="Taijiquan 42 E"),430,IF(OR(Atletas!O552="Yang 26 F",Atletas!O552="Yang 40 F"),431,IF(OR(Atletas!O552="Chen 25 F",Atletas!O552="Chen 36 F",Atletas!O552="Chen 56 F"),432,IF(Atletas!O552="Sun 73 F",433,IF(Atletas!O552="Wu 45 F",434,IF(Atletas!O552="Wu-Hao 46 F",435,IF(OR(Atletas!O552="Taijiquan 16 F",Atletas!O552="Taijiquan 24 F",Atletas!O552="Taijiquan 32 F",Atletas!O552="Taijiquan 42 F"),436,0)))))))))))))))))))</f>
        <v/>
      </c>
      <c r="BR556" s="52" t="str">
        <f>IF(Atletas!P552="","",IF(Atletas!W552&lt;&gt;"",10000,0)+IF(Atletas!B552="Feminino",1000,IF(Atletas!B552="Masculino",2000,""))+IF(Atletas!P552="Xingyiquan A",501,IF(Atletas!P552="Baguazhang A",502,IF(Atletas!P552="Outro Estilo Interno A",503,IF(Atletas!P552="Xingyiquan B",504,IF(Atletas!P552="Baguazhang B",505,IF(Atletas!P552="Outro Estilo Interno B",506,IF(Atletas!P552="Xingyiquan C",507,IF(Atletas!P552="Baguazhang C",508,IF(Atletas!P552="Outro Estilo Interno C",509,IF(Atletas!P552="Xingyiquan D",510,IF(Atletas!P552="Baguazhang D",511,IF(Atletas!P552="Outro Estilo Interno D",512,IF(Atletas!P552="Xingyiquan E",513,IF(Atletas!P552="Baguazhang E",514,IF(Atletas!P552="Outro Estilo Interno E",515,IF(Atletas!P552="Xingyiquan F",516,IF(Atletas!P552="Baguazhang F",517,IF(Atletas!P552="Outro Estilo Interno F",518, "")))))))))))))))))))</f>
        <v/>
      </c>
      <c r="BS556" s="52" t="str">
        <f>IF(Atletas!Q552="","",IF(Atletas!W552&lt;&gt;"",10000,0)+IF(Atletas!B552="Feminino",1000,IF(Atletas!B552="Masculino",2000,""))+IF(Atletas!Q552="Dao A",601,IF(Atletas!Q552="Jian A",602,IF(Atletas!Q552="Bishou A",603,IF(Atletas!Q552="Shan A",604,IF(Atletas!Q552="Outra Arma Curta A",605,IF(Atletas!Q552="Dao B",606,IF(Atletas!Q552="Jian B",607,IF(Atletas!Q552="Bishou B",608,IF(Atletas!Q552="Shan B",609,IF(Atletas!Q552="Outra Arma Curta B",610,IF(Atletas!Q552="Dao C",611,IF(Atletas!Q552="Jian C",612,IF(Atletas!Q552="Bishou C",613,IF(Atletas!Q552="Shan C",614,IF(Atletas!Q552="Outra Arma Curta C",615,IF(Atletas!Q552="Dao D",616,IF(Atletas!Q552="Jian D",617,IF(Atletas!Q552="Bishou D",618,IF(Atletas!Q552="Shan D",619,IF(Atletas!Q552="Outra Arma Curta D",620,IF(Atletas!Q552="Dao E",621,IF(Atletas!Q552="Jian E",622,IF(Atletas!Q552="Bishou E",623,IF(Atletas!Q552="Shan E",624,IF(Atletas!Q552="Outra Arma Curta E",625,IF(Atletas!Q552="Dao F",626,IF(Atletas!Q552="Jian F",627,IF(Atletas!Q552="Bishou F",628,IF(Atletas!Q552="Shan F",629,IF(Atletas!Q552="Outra Arma Curta F",630, "")))))))))))))))))))))))))))))))</f>
        <v/>
      </c>
      <c r="BT556" s="52" t="str">
        <f>IF(Atletas!R552="","",IF(Atletas!W552&lt;&gt;"",10000,0)+IF(Atletas!B552="Feminino",1000,IF(Atletas!B552="Masculino",2000,""))+IF(Atletas!R552="Gun A",701,IF(Atletas!R552="Qiang A",702,IF(Atletas!R552="Pudao / Guandao A",703,IF(Atletas!R552="Outra Arma Longa A",704,IF(Atletas!R552="Gun B",705,IF(Atletas!R552="Qiang B",706,IF(Atletas!R552="Pudao / Guandao B",707,IF(Atletas!R552="Outra Arma Longa B",708,IF(Atletas!R552="Gun C",709,IF(Atletas!R552="Qiang C",710,IF(Atletas!R552="Pudao / Guandao C",711,IF(Atletas!R552="Outra Arma Longa C",712,IF(Atletas!R552="Gun D",713,IF(Atletas!R552="Qiang D",714,IF(Atletas!R552="Pudao / Guandao D",715,IF(Atletas!R552="Outra Arma Longa D",716,IF(Atletas!R552="Gun E",717,IF(Atletas!R552="Qiang E",718,IF(Atletas!R552="Pudao / Guandao E",719,IF(Atletas!R552="Outra Arma Longa E",720,IF(Atletas!R552="Gun F",721,IF(Atletas!R552="Qiang F",722,IF(Atletas!R552="Pudao / Guandao F",723,IF(Atletas!R552="Outra Arma Longa F",724,"")))))))))))))))))))))))))</f>
        <v/>
      </c>
      <c r="BU556" s="52" t="str">
        <f>IF(Atletas!S552="","",IF(Atletas!W552&lt;&gt;"",10000,0)+IF(Atletas!B552="Feminino",1000,IF(Atletas!B552="Masculino",2000,""))+IF(Atletas!S552="Arma Dupla A",801,IF(Atletas!S552="Arma Maleável A",802,IF(Atletas!S552="Arma Dupla B",803,IF(Atletas!S552="Arma Maleável B",804,IF(Atletas!S552="Arma Dupla C",805,IF(Atletas!S552="Arma Maleável C",806,IF(Atletas!S552="Arma Dupla D",807,IF(Atletas!S552="Arma Maleável D",808,IF(Atletas!S552="Arma Dupla E",809,IF(Atletas!S552="Arma Maleável E",810,IF(Atletas!S552="Arma Dupla F",811,IF(Atletas!S552="Arma Maleável F",812, "")))))))))))))</f>
        <v/>
      </c>
      <c r="BV556" s="52" t="str">
        <f>IF(Atletas!T552="","",IF(Atletas!W552&lt;&gt;"",10000,0)+IF(Atletas!B552="Feminino",1000,IF(Atletas!B552="Masculino",2000,""))+IF(Atletas!T552="Taijijian Yang A",901,IF(Atletas!T552="Taijijian Chen A",902,IF(Atletas!T552="Taijijian Sun A",903,IF(Atletas!T552="Taijijian Wu A",904,IF(Atletas!T552="Taijijian Wu-Hao A",905,IF(Atletas!T552="Taijijian 32 A",906,IF(Atletas!T552="Taijijian 42 A",907,IF(Atletas!T552="Taijijian Yang B",908,IF(Atletas!T552="Taijijian Chen B",909,IF(Atletas!T552="Taijijian Sun B",910,IF(Atletas!T552="Taijijian Wu B",911,IF(Atletas!T552="Taijijian Wu-Hao B",912,IF(Atletas!T552="Taijijian 32 B",913,IF(Atletas!T552="Taijijian 42 B",914,IF(Atletas!T552="Taijijian Yang C",915,IF(Atletas!T552="Taijijian Chen C",916,IF(Atletas!T552="Taijijian Sun C",917,IF(Atletas!T552="Taijijian Wu C",918,IF(Atletas!T552="Taijijian Wu-Hao C",919,IF(Atletas!T552="Taijijian 32 C",920,IF(Atletas!T552="Taijijian 42 C",921,IF(Atletas!T552="Taijijian Yang D",922,IF(Atletas!T552="Taijijian Chen D",923,IF(Atletas!T552="Taijijian Sun D",924,IF(Atletas!T552="Taijijian Wu D",925,IF(Atletas!T552="Taijijian Wu-Hao D",926,IF(Atletas!T552="Taijijian 32 D",927,IF(Atletas!T552="Taijijian 42 D",928,IF(Atletas!T552="Taijijian Yang E",929,IF(Atletas!T552="Taijijian Chen E",930,IF(Atletas!T552="Taijijian Sun E",931,IF(Atletas!T552="Taijijian Wu E",932,IF(Atletas!T552="Taijijian Wu-Hao E",933,IF(Atletas!T552="Taijijian 32 E",934,IF(Atletas!T552="Taijijian 42 E",935,IF(Atletas!T552="Taijijian Yang F",936,IF(Atletas!T552="Taijijian Chen F",937,IF(Atletas!T552="Taijijian Sun F",938,IF(Atletas!T552="Taijijian Wu F",939,IF(Atletas!T552="Taijijian Wu-Hao F",940,IF(Atletas!T552="Taijijian 32 F",941,IF(Atletas!T552="Taijijian 42 F",942,"")))))))))))))))))))))))))))))))))))))))))))</f>
        <v/>
      </c>
      <c r="BW556" s="52" t="str">
        <f>IF(Atletas!U552="","",IF(Atletas!W552&lt;&gt;"",10000,0)+IF(Atletas!B552="Feminino",1000,IF(Atletas!B552="Masculino",2000,""))+IF(Atletas!T552="Taijijian 42 F",942,IF(Atletas!U552="Taijidao A",943,IF(Atletas!U552="Taijishan A",944,IF(Atletas!U552="Taijiqiang A",945,IF(Atletas!U552="Taijidao B",946,IF(Atletas!U552="Taijishan B",947,IF(Atletas!U552="Taijiqiang B",948,IF(Atletas!U552="Taijidao C",949,IF(Atletas!U552="Taijishan C",950,IF(Atletas!U552="Taijiqiang C",951,IF(Atletas!U552="Taijidao D",952,IF(Atletas!U552="Taijishan D",953,IF(Atletas!U552="Taijiqiang D",954,IF(Atletas!U552="Taijidao E",955,IF(Atletas!U552="Taijishan E",956,IF(Atletas!U552="Taijiqiang E",957,IF(Atletas!U552="Taijidao F",958,IF(Atletas!U552="Taijishan F",959,IF(Atletas!U552="Taijiqiang F",960))))))))))))))))))))</f>
        <v/>
      </c>
      <c r="CF556" s="52" t="str">
        <f xml:space="preserve"> IF(Atletas!V552="","",IF(Atletas!V552="Duilian de Mãos AB - Equipe 1",1,IF(Atletas!V552="Duilian de Mãos AB - Equipe 2",2,IF(Atletas!V552="Duilian de Armas AB - Equipe 1",3,IF(Atletas!V552="Duilian de Armas AB - Equipe 2",4,IF(Atletas!V552="Duilian de Tuishou - Equipe 1",5,IF(Atletas!V552="Duilian de Tuishou - Equipe 2",6,IF(Atletas!V552="Grupo Externo AB - Equipe 1",7,IF(Atletas!V552="Grupo Externo AB - Equipe 2",8,IF(Atletas!V552="Grupo Interno AB - Equipe 1",9,IF(Atletas!V552="Grupo Interno AB - Equipe 2",10,IF(Atletas!V552="Duilian de Mãos CD - Equipe 1",11,IF(Atletas!V552="Duilian de Mãos CD - Equipe 2",12,IF(Atletas!V552="Duilian de Armas CD - Equipe 1",13,IF(Atletas!V552="Duilian de Armas CD - Equipe 2",14,IF(Atletas!V552="Duilian de Tuishou - Equipe 1",15,IF(Atletas!V552="Duilian de Tuishou - Equipe 2",16,IF(Atletas!V552="Grupo Externo CDEF - Equipe 1",17,IF(Atletas!V552="Grupo Externo CDEF - Equipe 2",18,IF(Atletas!V552="Grupo Interno CDEF - Equipe 1",19,IF(Atletas!V552="Grupo Interno CDEF - Equipe 2",20,IF(Atletas!V552="Duilian de Mãos EF - Equipe 1",21,IF(Atletas!V552="Duilian de Mãos EF - Equipe 2",22,IF(Atletas!V552="Duilian de Armas EF - Equipe 1",23,IF(Atletas!V552="Duilian de Armas EF - Equipe 2",24,IF(Atletas!V552="Duilian de Tuishou - Equipe 1",25,IF(Atletas!V552="Duilian de Tuishou - Equipe 2",26,"")))))))))))))))))))))))))))</f>
        <v/>
      </c>
    </row>
    <row r="557" spans="36:84">
      <c r="AJ557" s="46" t="str">
        <f>IF(Atletas!D553="","",IF(Atletas!B553="Feminino",100,IF(Atletas!B553="Masculino",200,""))+(IF(Atletas!D553="Infantil 39kg",1,IF(Atletas!D553="Infantil 42kg",2,IF(Atletas!D553="Infantil 45kg",3,IF(Atletas!D553="Infantil 48kg",4,IF(Atletas!D553="Infantil 52kg",5,IF(Atletas!D553="Infantil 56kg",6,IF(Atletas!D553="Infantil 60kg",7,IF(Atletas!D553="Juvenil 48kg",8,IF(Atletas!D553="Juvenil 52kg",9,IF(Atletas!D553="Juvenil 56kg",10,IF(Atletas!D553="Juvenil 60kg",11,IF(Atletas!D553="Juvenil 65kg",12,IF(Atletas!D553="Juvenil 70kg",13,IF(Atletas!D553="Juvenil 75kg",14,IF(Atletas!D553="Juvenil 80kg",15,IF(Atletas!D553="Adulto 48kg",16,IF(Atletas!D553="Adulto 52kg",17,IF(Atletas!D553="Adulto 56kg",18,IF(Atletas!D553="Adulto 60kg",19,IF(Atletas!D553="Adulto 65kg",20,IF(Atletas!D553="Adulto 70kg",21,IF(Atletas!D553="Adulto 75kg",22,IF(Atletas!D553="Adulto 80kg",23,IF(Atletas!D553="Adulto 85kg",24,IF(Atletas!D553="Adulto 90kg",25,IF(Atletas!D553="Adulto +90kg",26,""))))))))))))))))))))))))))))</f>
        <v/>
      </c>
      <c r="AO557" s="10" t="str">
        <f>IF(Atletas!E553="","",IF(Atletas!B553="Feminino",100,IF(Atletas!B553="Masculino",200,""))+(IF(Atletas!E553="Juvenil 44kg",1,IF(Atletas!E553="Juvenil 48kg",2,IF(Atletas!E553="Juvenil 52kg",3,IF(Atletas!E553="Juvenil 56kg",4,IF(Atletas!E553="Juvenil 60kg",5,IF(Atletas!E553="Juvenil 65kg",6,IF(Atletas!E553="Juvenil 70kg",7,IF(Atletas!E553="Juvenil 75kg",8,IF(Atletas!E553="Juvenil 82kg",9,IF(Atletas!E553="Juvenil 90kg",10,IF(Atletas!E553="Juvenil 100kg",11,IF(Atletas!E553="Adulto 48kg",12,IF(Atletas!E553="Adulto 52kg",13,IF(Atletas!E553="Adulto 56kg",14,IF(Atletas!E553="Adulto 60kg",15,IF(Atletas!E553="Adulto 65kg",16,IF(Atletas!E553="Adulto 70kg",17,IF(Atletas!E553="Adulto 75kg",18,IF(Atletas!E553="Adulto 82kg",19,IF(Atletas!E553="Adulto 90kg",20,IF(Atletas!E553="Adulto 100kg",21,IF(Atletas!E553="Adulto +100kg",22,""))))))))))))))))))))))))</f>
        <v/>
      </c>
      <c r="AT557" s="10" t="str">
        <f>IF(Atletas!F553="","",IF(Atletas!B553="Feminino",100,IF(Atletas!B553="Masculino",200,""))+(IF(Atletas!F553="Adulto 48kg",1,IF(Atletas!F553="Adulto 56kg",2,IF(Atletas!F553="Adulto 65kg",3,IF(Atletas!F553="Adulto 75kg",4,IF(Atletas!F553="Adulto +75kg",5,IF(Atletas!F553="Adulto 52kg",6,IF(Atletas!F553="Adulto 60kg",7,IF(Atletas!F553="Adulto 70kg",8,IF(Atletas!F553="Adulto 80kg",9,IF(Atletas!F553="Adulto 90kg",10,IF(Atletas!F553="Adulto +90kg",11,"")))))))))))))</f>
        <v/>
      </c>
      <c r="AY557" s="46" t="str">
        <f>IF(Atletas!G553="","",IF(Atletas!B553="Feminino",100,IF(Atletas!B553="Masculino",200,""))+(IF(Atletas!G553="Changquan Mirim",1,IF(Atletas!G553="Nanquan Mirim",2,IF(Atletas!G553="Taijiquan Mirim",3,IF(Atletas!G553="Changquan Grupo C",4,IF(Atletas!G553="Nanquan Grupo C",5,IF(Atletas!G553="Taijiquan Grupo C",6,IF(Atletas!G553="Changquan Grupo B",7,IF(Atletas!G553="Nanquan Grupo B",8,IF(Atletas!G553="Taijiquan Grupo B",9,IF(Atletas!G553="Changquan Grupo A",10,IF(Atletas!G553="Nanquan Grupo A",11,IF(Atletas!G553="Taijiquan Grupo A",12,IF(Atletas!G553="Changquan Opcional",13,IF(Atletas!G553="Nanquan Opcional",14,IF(Atletas!G553="Taijiquan Opcional",15,IF(Atletas!G553="Changquan Adulto",16,IF(Atletas!G553="Nanquan Adulto",17,IF(Atletas!G553="Taijiquan Adulto",18,""))))))))))))))))))))</f>
        <v/>
      </c>
      <c r="AZ557" s="46" t="str">
        <f>IF(Atletas!H553="","",IF(Atletas!B553="Feminino",100,IF(Atletas!B553="Masculino",200,""))+(IF(Atletas!H553="Daoshu Mirim",19,IF(Atletas!H553="Jianshu Mirim",20,IF(Atletas!H553="Nandao Mirim",21,IF(Atletas!H553="Taijijian Mirim",22,IF(Atletas!H553="Daoshu Grupo C",23,IF(Atletas!H553="Jianshu Grupo C",24,IF(Atletas!H553="Nandao Grupo C",25,IF(Atletas!H553="Taijijian Grupo C",26,IF(Atletas!H553="Daoshu Grupo B",27,IF(Atletas!H553="Jianshu Grupo B",28,IF(Atletas!H553="Nandao Grupo B",29,IF(Atletas!H553="Taijijian Grupo B",30,IF(Atletas!H553="Daoshu Grupo A",31,IF(Atletas!H553="Jianshu Grupo A",32,IF(Atletas!H553="Nandao Grupo A",33,IF(Atletas!H553="Taijijian Grupo A",34,IF(Atletas!H553="Daoshu Opcional",35,IF(Atletas!H553="Jianshu Opcional",36,IF(Atletas!H553="Nandao Opcional",37,IF(Atletas!H553="Taijijian Opcional",38,IF(Atletas!H553="Daoshu Adulto",39,IF(Atletas!H553="Jianshu Adulto",40,IF(Atletas!H553="Nandao Adulto",41,IF(Atletas!H553="Taijijian Adulto",42,""))))))))))))))))))))))))))</f>
        <v/>
      </c>
      <c r="BA557" s="46" t="str">
        <f>IF(Atletas!I553="","",IF(Atletas!B553="Feminino",100,IF(Atletas!B553="Masculino",200,""))+(IF(Atletas!I553="Gunshu Mirim",43,IF(Atletas!I553="Qiangshu Mirim",44,IF(Atletas!I553="Nangun Mirim",45,IF(Atletas!I553="Gunshu Grupo C",46,IF(Atletas!I553="Qiangshu Grupo C",47,IF(Atletas!I553="Nangun Grupo C",48,IF(Atletas!I553="Gunshu Grupo B",49,IF(Atletas!I553="Qiangshu Grupo B",50,IF(Atletas!I553="Nangun Grupo B",51,IF(Atletas!I553="Gunshu Grupo A",52,IF(Atletas!I553="Qiangshu Grupo A",53,IF(Atletas!I553="Nangun Grupo A",54,IF(Atletas!I553="Gunshu Opcional",55,IF(Atletas!I553="Qiangshu Opcional",56,IF(Atletas!I553="Nangun Opcional",57,IF(Atletas!I553="Gunshu Adulto",58,IF(Atletas!I553="Qiangshu Adulto",59,IF(Atletas!I553="Nangun Adulto",60,""))))))))))))))))))))</f>
        <v/>
      </c>
      <c r="BF557" s="52" t="str">
        <f>IF(Atletas!J553="","",IF(Atletas!B553="Feminino",100,IF(Atletas!B553="Masculino",200,""))+(IF(Atletas!J553="Equipe 1 Grupo B",1,IF(Atletas!J553="Equipe 2 Grupo B",2,IF(Atletas!J553="Equipe 1 Grupo A",3,IF(Atletas!J553="Equipe 2 Grupo A",4,IF(Atletas!J553="Equipe 1 Adulto",5,IF(Atletas!J553="Equipe 2 Adulto",6,""))))))))</f>
        <v/>
      </c>
      <c r="BK557" s="52" t="str">
        <f>IF(Atletas!K553="","",IF(Atletas!W553&lt;&gt;"",10000,0)+(IF(Atletas!B553="Feminino",1000,IF(Atletas!B553="Masculino",2000,""))+IF(Atletas!K553="Choylayfut A",1,IF(Atletas!K553="Hunggar A",2,IF(Atletas!K553="Wuzuquan A",3,IF(Atletas!K553="Wingchun A",4,IF(Atletas!K553="Outra Mão de Sul A",5,IF(Atletas!K553="Choylayfut B",6,IF(Atletas!K553="Hunggar B",7,IF(Atletas!K553="Wuzuquan B",8,IF(Atletas!K553="Wingchun B",9,IF(Atletas!K553="Outra Mão de Sul B",10,IF(Atletas!K553="Choylayfut C",11,IF(Atletas!K553="Hunggar C",12,IF(Atletas!K553="Wuzuquan C",13,IF(Atletas!K553="Wingchun C",14,IF(Atletas!K553="Outra Mão de Sul C",15,IF(Atletas!K553="Choylayfut D",16,IF(Atletas!K553="Hunggar D",17,IF(Atletas!K553="Wuzuquan D",18,IF(Atletas!K553="Wingchun D",19,IF(Atletas!K553="Outra Mão de Sul D",20,IF(Atletas!K553="Choylayfut E",21,IF(Atletas!K553="Hunggar E",22,IF(Atletas!K553="Wuzuquan E",23,IF(Atletas!K553="Wingchun E",24,IF(Atletas!K553="Outra Mão de Sul E",25,IF(Atletas!K553="Choylayfut F",26,IF(Atletas!K553="Hunggar F",27,IF(Atletas!K553="Wuzuquan F",28,IF(Atletas!K553="Wingchun F",29,IF(Atletas!K553="Outra Mão de Sul F",30,""))))))))))))))))))))))))))))))))</f>
        <v/>
      </c>
      <c r="BL557" s="52" t="str">
        <f>IF(Atletas!L553="","",IF(Atletas!W553&lt;&gt;"",10000,0)+(IF(Atletas!B553="Feminino",1000,IF(Atletas!B553="Masculino",2000,""))+(IF(Atletas!L553="Chaquan A",101,IF(Atletas!L553="Emeiquan A",102,IF(Atletas!L553="Fanziquan A",103,IF(Atletas!L553="Huaquan A",104,IF(Atletas!L553="Hongquan A",105,IF(Atletas!L553="Paochui A",106,IF(Atletas!L553="Piguaquan A",107,IF(Atletas!L553="Shaolinquan A",108,IF(Atletas!L553="Tanglangquan A",109,IF(Atletas!L553="Yinzhaophai A",110,IF(Atletas!L553="Tongbeiquan A",111,IF(Atletas!L553="Wudangquan A",112,IF(Atletas!L553="Outros Estilos A",113,IF(Atletas!L553="Chaquan B",114,IF(Atletas!L553="Emeiquan B",115,IF(Atletas!L553="Fanziquan B",116,IF(Atletas!L553="Huaquan B",117,IF(Atletas!L553="Hongquan B",118,IF(Atletas!L553="Paochui B",119,IF(Atletas!L553="Piguaquan B",120,IF(Atletas!L553="Shaolinquan B",121,IF(Atletas!L553="Tanglangquan B",122,IF(Atletas!L553="Yinzhaophai B",123,IF(Atletas!L553="Tongbeiquan B",124,IF(Atletas!L553="Wudangquan B",125,IF(Atletas!L553="Outros Estilos B",126,IF(Atletas!L553="Chaquan C",127,IF(Atletas!L553="Emeiquan C",128,IF(Atletas!L553="Fanziquan C",129,IF(Atletas!L553="Huaquan C",130,IF(Atletas!L553="Hongquan C",131,IF(Atletas!L553="Paochui C",132,IF(Atletas!L553="Piguaquan C",133,IF(Atletas!L553="Shaolinquan C",134,IF(Atletas!L553="Tanglangquan C",135,IF(Atletas!L553="Yinzhaophai C",136,IF(Atletas!L553="Tongbeiquan C",137,IF(Atletas!L553="Wudangquan C",138,IF(Atletas!L553="Outros Estilos C",139,0))))))))))))))))))))))))))))))))))))))))))</f>
        <v/>
      </c>
      <c r="BM557" s="52" t="str">
        <f>IF(Atletas!L553="","",IF(Atletas!W553&lt;&gt;"",10000,0)+(IF(Atletas!B553="Feminino",1000,IF(Atletas!B553="Masculino",2000,""))+(IF(Atletas!L553="Chaquan D",140,IF(Atletas!L553="Emeiquan D",141,IF(Atletas!L553="Fanziquan D",142,IF(Atletas!L553="Huaquan D",143,IF(Atletas!L553="Hongquan D",144,IF(Atletas!L553="Paochui D",145,IF(Atletas!L553="Piguaquan D",146,IF(Atletas!L553="Shaolinquan D",147,IF(Atletas!L553="Tanglangquan D",148,IF(Atletas!L553="Yinzhaophai D",149,IF(Atletas!L553="Tongbeiquan D",150,IF(Atletas!L553="Wudangquan D",151,IF(Atletas!L553="Outros Estilos D",152,IF(Atletas!L553="Chaquan E",153,IF(Atletas!L553="Emeiquan E",154,IF(Atletas!L553="Fanziquan E",155,IF(Atletas!L553="Huaquan E",156,IF(Atletas!L553="Hongquan E",157,IF(Atletas!L553="Paochui E",158,IF(Atletas!L553="Piguaquan E",159,IF(Atletas!L553="Shaolinquan E",160,IF(Atletas!L553="Tanglangquan E",161,IF(Atletas!L553="Yinzhaophai E",162,IF(Atletas!L553="Tongbeiquan E",163,IF(Atletas!L553="Wudangquan E",164,IF(Atletas!L553="Outros Estilos E",165,IF(Atletas!L553="Chaquan F",166,IF(Atletas!L553="Emeiquan F",167,IF(Atletas!L553="Fanziquan F",168,IF(Atletas!L553="Huaquan F",169,IF(Atletas!L553="Hongquan F",170,IF(Atletas!L553="Paochui F",171,IF(Atletas!L553="Piguaquan F",172,IF(Atletas!L553="Shaolinquan F",173,IF(Atletas!L553="Tanglangquan F",174,IF(Atletas!L553="Yinzhaophai F",175,IF(Atletas!L553="Tongbeiquan F",176,IF(Atletas!L553="Wudangquan F",177,IF(Atletas!L553="Outros Estilos F",178,0))))))))))))))))))))))))))))))))))))))))))</f>
        <v/>
      </c>
      <c r="BN557" s="52" t="str">
        <f>IF(Atletas!M553="","",IF(Atletas!W553&lt;&gt;"",10000,0)+(IF(Atletas!B553="Feminino",1000,IF(Atletas!B553="Masculino",2000,""))+(IF(Atletas!M553="Ditangquan A",201,IF(Atletas!M553="Houquan A",202,IF(Atletas!M553="Zuiquan A",203,IF(Atletas!M553="Ditangquan B",204,IF(Atletas!M553="Houquan B",205,IF(Atletas!M553="Zuiquan B",206,IF(Atletas!M553="Ditangquan C",207,IF(Atletas!M553="Houquan C",208,IF(Atletas!M553="Zuiquan C",209,IF(Atletas!M553="Ditangquan D",210,IF(Atletas!M553="Houquan D",211,IF(Atletas!M553="Zuiquan D",212,IF(Atletas!M553="Ditangquan E",213,IF(Atletas!M553="Houquan E",214,IF(Atletas!M553="Zuiquan E",215,IF(Atletas!M553="Ditangquan F",216,IF(Atletas!M553="Houquan F",217,IF(Atletas!M553="Zuiquan F",218,"")))))))))))))))))))))</f>
        <v/>
      </c>
      <c r="BO557" s="52" t="str">
        <f>IF(Atletas!N553="","",IF(Atletas!W553&lt;&gt;"",10000,0)+IF(Atletas!B553="Feminino",1000,IF(Atletas!B553="Masculino",2000,""))+IF(Atletas!N553="Yang A",301,IF(Atletas!N553="Chen A",30,IF(Atletas!N553="Sun A",303,IF(Atletas!N553="Wu A",304,IF(Atletas!N553="Wu-Hao A",305,IF(Atletas!N553="Outro Taijiquan A",306,IF(Atletas!N553="Yang B",307,IF(Atletas!N553="Chen B",308,IF(Atletas!N553="Sun B",309,IF(Atletas!N553="Wu B",310,IF(Atletas!N553="Wu-Hao B",311,IF(Atletas!N553="Outro Taijiquan B",312,IF(Atletas!N553="Yang C",313,IF(Atletas!N553="Chen C",314,IF(Atletas!N553="Sun C",315,IF(Atletas!N553="Wu C",316,IF(Atletas!N553="Wu-Hao C",317,IF(Atletas!N553="Outro Taijiquan C",318,IF(Atletas!N553="Yang D",319,IF(Atletas!N553="Chen D",320,IF(Atletas!N553="Sun D",321,IF(Atletas!N553="Wu D",322,IF(Atletas!N553="Wu-Hao D",323,IF(Atletas!N553="Outro Taijiquan D",324,IF(Atletas!N553="Yang E",325,IF(Atletas!N553="Chen E",326,IF(Atletas!N553="Sun E",327,IF(Atletas!N553="Wu E",328,IF(Atletas!N553="Wu-Hao E",329,IF(Atletas!N553="Outro Taijiquan E",330,IF(Atletas!N553="Yang F",331,IF(Atletas!N553="Chen F",332,IF(Atletas!N553="Sun F",333,IF(Atletas!N553="Wu F",334,IF(Atletas!N553="Wu-Hao F",335,IF(Atletas!N553="Outro Taijiquan F",336,"")))))))))))))))))))))))))))))))))))))</f>
        <v/>
      </c>
      <c r="BP557" s="52" t="str">
        <f>IF(Atletas!O553="","",IF(Atletas!W553&lt;&gt;"",10000,0)+IF(Atletas!B553="Feminino",1000,IF(Atletas!B553="Masculino",2000,""))+IF(OR(Atletas!O553="Yang 26 A",Atletas!O553="Yang 40 A"),401,IF(OR(Atletas!O553="Chen 25 A",Atletas!O553="Chen 36 A",Atletas!O553="Chen 56 A"),402,IF(Atletas!O553="Sun 73 A",403,IF(Atletas!O553="Wu 45 A",404,IF(Atletas!O553="Wu-Hao 46 A",405,IF(OR(Atletas!O553="Taijiquan 16 A",Atletas!O553="Taijiquan 24 A",Atletas!O553="Taijiquan 32 A",Atletas!O553="Taijiquan 42 A"),406,IF(OR(Atletas!O553="Yang 26 B",Atletas!O553="Yang 40 B"),407,IF(OR(Atletas!O553="Chen 25 B",Atletas!O553="Chen 36 B",Atletas!O553="Chen 56 B"),408,IF(Atletas!O553="Sun 73 B",409,IF(Atletas!O553="Wu 45 B",410,IF(Atletas!O553="Wu-Hao 46 B",411,IF(OR(Atletas!O553="Taijiquan 16 B",Atletas!O553="Taijiquan 24 B",Atletas!O553="Taijiquan 32 B",Atletas!O553="Taijiquan 42 B"),412,IF(OR(Atletas!O553="Yang 26 C",Atletas!O553="Yang 40 C"),413,IF(OR(Atletas!O553="Chen 25 C",Atletas!O553="Chen 36 C",Atletas!O553="Chen 56 C"),414,IF(Atletas!O553="Sun 73 C",415,IF(Atletas!O553="Wu 45 C",416,IF(Atletas!O553="Wu-Hao 46 C",417,IF(OR(Atletas!O553="Taijiquan 16 C",Atletas!O553="Taijiquan 24 C",Atletas!O553="Taijiquan 32 C",Atletas!O553="Taijiquan 42 C"),418,0)))))))))))))))))))</f>
        <v/>
      </c>
      <c r="BQ557" s="52" t="str">
        <f>IF(Atletas!O553="","",IF(Atletas!W553&lt;&gt;"",10000,0)+IF(Atletas!B553="Feminino",1000,IF(Atletas!B553="Masculino",2000,""))+IF(OR(Atletas!O553="Yang 26 D",Atletas!O553="Yang 40 D"),419,IF(OR(Atletas!O553="Chen 25 D",Atletas!O553="Chen 36 D",Atletas!O553="Chen 56 D"),420,IF(Atletas!O553="Sun 73 D",421,IF(Atletas!O553="Wu 45 D",422,IF(Atletas!O553="Wu-Hao 46 D",423,IF(OR(Atletas!O553="Taijiquan 16 D",Atletas!O553="Taijiquan 24 D",Atletas!O553="Taijiquan 32 D",Atletas!O553="Taijiquan 42 D"),424,IF(OR(Atletas!O553="Yang 26 E",Atletas!O553="Yang 40 E"),425,IF(OR(Atletas!O553="Chen 25 E",Atletas!O553="Chen 36 E",Atletas!O553="Chen 56 E"),426,IF(Atletas!O553="Sun 73 E",427,IF(Atletas!O553="Wu 45 E",428,IF(Atletas!O553="Wu-Hao 46 E",429,IF(OR(Atletas!O553="Taijiquan 16 E",Atletas!O553="Taijiquan 24 E",Atletas!O553="Taijiquan 32 E",Atletas!O553="Taijiquan 42 E"),430,IF(OR(Atletas!O553="Yang 26 F",Atletas!O553="Yang 40 F"),431,IF(OR(Atletas!O553="Chen 25 F",Atletas!O553="Chen 36 F",Atletas!O553="Chen 56 F"),432,IF(Atletas!O553="Sun 73 F",433,IF(Atletas!O553="Wu 45 F",434,IF(Atletas!O553="Wu-Hao 46 F",435,IF(OR(Atletas!O553="Taijiquan 16 F",Atletas!O553="Taijiquan 24 F",Atletas!O553="Taijiquan 32 F",Atletas!O553="Taijiquan 42 F"),436,0)))))))))))))))))))</f>
        <v/>
      </c>
      <c r="BR557" s="52" t="str">
        <f>IF(Atletas!P553="","",IF(Atletas!W553&lt;&gt;"",10000,0)+IF(Atletas!B553="Feminino",1000,IF(Atletas!B553="Masculino",2000,""))+IF(Atletas!P553="Xingyiquan A",501,IF(Atletas!P553="Baguazhang A",502,IF(Atletas!P553="Outro Estilo Interno A",503,IF(Atletas!P553="Xingyiquan B",504,IF(Atletas!P553="Baguazhang B",505,IF(Atletas!P553="Outro Estilo Interno B",506,IF(Atletas!P553="Xingyiquan C",507,IF(Atletas!P553="Baguazhang C",508,IF(Atletas!P553="Outro Estilo Interno C",509,IF(Atletas!P553="Xingyiquan D",510,IF(Atletas!P553="Baguazhang D",511,IF(Atletas!P553="Outro Estilo Interno D",512,IF(Atletas!P553="Xingyiquan E",513,IF(Atletas!P553="Baguazhang E",514,IF(Atletas!P553="Outro Estilo Interno E",515,IF(Atletas!P553="Xingyiquan F",516,IF(Atletas!P553="Baguazhang F",517,IF(Atletas!P553="Outro Estilo Interno F",518, "")))))))))))))))))))</f>
        <v/>
      </c>
      <c r="BS557" s="52" t="str">
        <f>IF(Atletas!Q553="","",IF(Atletas!W553&lt;&gt;"",10000,0)+IF(Atletas!B553="Feminino",1000,IF(Atletas!B553="Masculino",2000,""))+IF(Atletas!Q553="Dao A",601,IF(Atletas!Q553="Jian A",602,IF(Atletas!Q553="Bishou A",603,IF(Atletas!Q553="Shan A",604,IF(Atletas!Q553="Outra Arma Curta A",605,IF(Atletas!Q553="Dao B",606,IF(Atletas!Q553="Jian B",607,IF(Atletas!Q553="Bishou B",608,IF(Atletas!Q553="Shan B",609,IF(Atletas!Q553="Outra Arma Curta B",610,IF(Atletas!Q553="Dao C",611,IF(Atletas!Q553="Jian C",612,IF(Atletas!Q553="Bishou C",613,IF(Atletas!Q553="Shan C",614,IF(Atletas!Q553="Outra Arma Curta C",615,IF(Atletas!Q553="Dao D",616,IF(Atletas!Q553="Jian D",617,IF(Atletas!Q553="Bishou D",618,IF(Atletas!Q553="Shan D",619,IF(Atletas!Q553="Outra Arma Curta D",620,IF(Atletas!Q553="Dao E",621,IF(Atletas!Q553="Jian E",622,IF(Atletas!Q553="Bishou E",623,IF(Atletas!Q553="Shan E",624,IF(Atletas!Q553="Outra Arma Curta E",625,IF(Atletas!Q553="Dao F",626,IF(Atletas!Q553="Jian F",627,IF(Atletas!Q553="Bishou F",628,IF(Atletas!Q553="Shan F",629,IF(Atletas!Q553="Outra Arma Curta F",630, "")))))))))))))))))))))))))))))))</f>
        <v/>
      </c>
      <c r="BT557" s="52" t="str">
        <f>IF(Atletas!R553="","",IF(Atletas!W553&lt;&gt;"",10000,0)+IF(Atletas!B553="Feminino",1000,IF(Atletas!B553="Masculino",2000,""))+IF(Atletas!R553="Gun A",701,IF(Atletas!R553="Qiang A",702,IF(Atletas!R553="Pudao / Guandao A",703,IF(Atletas!R553="Outra Arma Longa A",704,IF(Atletas!R553="Gun B",705,IF(Atletas!R553="Qiang B",706,IF(Atletas!R553="Pudao / Guandao B",707,IF(Atletas!R553="Outra Arma Longa B",708,IF(Atletas!R553="Gun C",709,IF(Atletas!R553="Qiang C",710,IF(Atletas!R553="Pudao / Guandao C",711,IF(Atletas!R553="Outra Arma Longa C",712,IF(Atletas!R553="Gun D",713,IF(Atletas!R553="Qiang D",714,IF(Atletas!R553="Pudao / Guandao D",715,IF(Atletas!R553="Outra Arma Longa D",716,IF(Atletas!R553="Gun E",717,IF(Atletas!R553="Qiang E",718,IF(Atletas!R553="Pudao / Guandao E",719,IF(Atletas!R553="Outra Arma Longa E",720,IF(Atletas!R553="Gun F",721,IF(Atletas!R553="Qiang F",722,IF(Atletas!R553="Pudao / Guandao F",723,IF(Atletas!R553="Outra Arma Longa F",724,"")))))))))))))))))))))))))</f>
        <v/>
      </c>
      <c r="BU557" s="52" t="str">
        <f>IF(Atletas!S553="","",IF(Atletas!W553&lt;&gt;"",10000,0)+IF(Atletas!B553="Feminino",1000,IF(Atletas!B553="Masculino",2000,""))+IF(Atletas!S553="Arma Dupla A",801,IF(Atletas!S553="Arma Maleável A",802,IF(Atletas!S553="Arma Dupla B",803,IF(Atletas!S553="Arma Maleável B",804,IF(Atletas!S553="Arma Dupla C",805,IF(Atletas!S553="Arma Maleável C",806,IF(Atletas!S553="Arma Dupla D",807,IF(Atletas!S553="Arma Maleável D",808,IF(Atletas!S553="Arma Dupla E",809,IF(Atletas!S553="Arma Maleável E",810,IF(Atletas!S553="Arma Dupla F",811,IF(Atletas!S553="Arma Maleável F",812, "")))))))))))))</f>
        <v/>
      </c>
      <c r="BV557" s="52" t="str">
        <f>IF(Atletas!T553="","",IF(Atletas!W553&lt;&gt;"",10000,0)+IF(Atletas!B553="Feminino",1000,IF(Atletas!B553="Masculino",2000,""))+IF(Atletas!T553="Taijijian Yang A",901,IF(Atletas!T553="Taijijian Chen A",902,IF(Atletas!T553="Taijijian Sun A",903,IF(Atletas!T553="Taijijian Wu A",904,IF(Atletas!T553="Taijijian Wu-Hao A",905,IF(Atletas!T553="Taijijian 32 A",906,IF(Atletas!T553="Taijijian 42 A",907,IF(Atletas!T553="Taijijian Yang B",908,IF(Atletas!T553="Taijijian Chen B",909,IF(Atletas!T553="Taijijian Sun B",910,IF(Atletas!T553="Taijijian Wu B",911,IF(Atletas!T553="Taijijian Wu-Hao B",912,IF(Atletas!T553="Taijijian 32 B",913,IF(Atletas!T553="Taijijian 42 B",914,IF(Atletas!T553="Taijijian Yang C",915,IF(Atletas!T553="Taijijian Chen C",916,IF(Atletas!T553="Taijijian Sun C",917,IF(Atletas!T553="Taijijian Wu C",918,IF(Atletas!T553="Taijijian Wu-Hao C",919,IF(Atletas!T553="Taijijian 32 C",920,IF(Atletas!T553="Taijijian 42 C",921,IF(Atletas!T553="Taijijian Yang D",922,IF(Atletas!T553="Taijijian Chen D",923,IF(Atletas!T553="Taijijian Sun D",924,IF(Atletas!T553="Taijijian Wu D",925,IF(Atletas!T553="Taijijian Wu-Hao D",926,IF(Atletas!T553="Taijijian 32 D",927,IF(Atletas!T553="Taijijian 42 D",928,IF(Atletas!T553="Taijijian Yang E",929,IF(Atletas!T553="Taijijian Chen E",930,IF(Atletas!T553="Taijijian Sun E",931,IF(Atletas!T553="Taijijian Wu E",932,IF(Atletas!T553="Taijijian Wu-Hao E",933,IF(Atletas!T553="Taijijian 32 E",934,IF(Atletas!T553="Taijijian 42 E",935,IF(Atletas!T553="Taijijian Yang F",936,IF(Atletas!T553="Taijijian Chen F",937,IF(Atletas!T553="Taijijian Sun F",938,IF(Atletas!T553="Taijijian Wu F",939,IF(Atletas!T553="Taijijian Wu-Hao F",940,IF(Atletas!T553="Taijijian 32 F",941,IF(Atletas!T553="Taijijian 42 F",942,"")))))))))))))))))))))))))))))))))))))))))))</f>
        <v/>
      </c>
      <c r="BW557" s="52" t="str">
        <f>IF(Atletas!U553="","",IF(Atletas!W553&lt;&gt;"",10000,0)+IF(Atletas!B553="Feminino",1000,IF(Atletas!B553="Masculino",2000,""))+IF(Atletas!T553="Taijijian 42 F",942,IF(Atletas!U553="Taijidao A",943,IF(Atletas!U553="Taijishan A",944,IF(Atletas!U553="Taijiqiang A",945,IF(Atletas!U553="Taijidao B",946,IF(Atletas!U553="Taijishan B",947,IF(Atletas!U553="Taijiqiang B",948,IF(Atletas!U553="Taijidao C",949,IF(Atletas!U553="Taijishan C",950,IF(Atletas!U553="Taijiqiang C",951,IF(Atletas!U553="Taijidao D",952,IF(Atletas!U553="Taijishan D",953,IF(Atletas!U553="Taijiqiang D",954,IF(Atletas!U553="Taijidao E",955,IF(Atletas!U553="Taijishan E",956,IF(Atletas!U553="Taijiqiang E",957,IF(Atletas!U553="Taijidao F",958,IF(Atletas!U553="Taijishan F",959,IF(Atletas!U553="Taijiqiang F",960))))))))))))))))))))</f>
        <v/>
      </c>
      <c r="CF557" s="52" t="str">
        <f xml:space="preserve"> IF(Atletas!V553="","",IF(Atletas!V553="Duilian de Mãos AB - Equipe 1",1,IF(Atletas!V553="Duilian de Mãos AB - Equipe 2",2,IF(Atletas!V553="Duilian de Armas AB - Equipe 1",3,IF(Atletas!V553="Duilian de Armas AB - Equipe 2",4,IF(Atletas!V553="Duilian de Tuishou - Equipe 1",5,IF(Atletas!V553="Duilian de Tuishou - Equipe 2",6,IF(Atletas!V553="Grupo Externo AB - Equipe 1",7,IF(Atletas!V553="Grupo Externo AB - Equipe 2",8,IF(Atletas!V553="Grupo Interno AB - Equipe 1",9,IF(Atletas!V553="Grupo Interno AB - Equipe 2",10,IF(Atletas!V553="Duilian de Mãos CD - Equipe 1",11,IF(Atletas!V553="Duilian de Mãos CD - Equipe 2",12,IF(Atletas!V553="Duilian de Armas CD - Equipe 1",13,IF(Atletas!V553="Duilian de Armas CD - Equipe 2",14,IF(Atletas!V553="Duilian de Tuishou - Equipe 1",15,IF(Atletas!V553="Duilian de Tuishou - Equipe 2",16,IF(Atletas!V553="Grupo Externo CDEF - Equipe 1",17,IF(Atletas!V553="Grupo Externo CDEF - Equipe 2",18,IF(Atletas!V553="Grupo Interno CDEF - Equipe 1",19,IF(Atletas!V553="Grupo Interno CDEF - Equipe 2",20,IF(Atletas!V553="Duilian de Mãos EF - Equipe 1",21,IF(Atletas!V553="Duilian de Mãos EF - Equipe 2",22,IF(Atletas!V553="Duilian de Armas EF - Equipe 1",23,IF(Atletas!V553="Duilian de Armas EF - Equipe 2",24,IF(Atletas!V553="Duilian de Tuishou - Equipe 1",25,IF(Atletas!V553="Duilian de Tuishou - Equipe 2",26,"")))))))))))))))))))))))))))</f>
        <v/>
      </c>
    </row>
    <row r="558" spans="36:84">
      <c r="AJ558" s="46" t="str">
        <f>IF(Atletas!D554="","",IF(Atletas!B554="Feminino",100,IF(Atletas!B554="Masculino",200,""))+(IF(Atletas!D554="Infantil 39kg",1,IF(Atletas!D554="Infantil 42kg",2,IF(Atletas!D554="Infantil 45kg",3,IF(Atletas!D554="Infantil 48kg",4,IF(Atletas!D554="Infantil 52kg",5,IF(Atletas!D554="Infantil 56kg",6,IF(Atletas!D554="Infantil 60kg",7,IF(Atletas!D554="Juvenil 48kg",8,IF(Atletas!D554="Juvenil 52kg",9,IF(Atletas!D554="Juvenil 56kg",10,IF(Atletas!D554="Juvenil 60kg",11,IF(Atletas!D554="Juvenil 65kg",12,IF(Atletas!D554="Juvenil 70kg",13,IF(Atletas!D554="Juvenil 75kg",14,IF(Atletas!D554="Juvenil 80kg",15,IF(Atletas!D554="Adulto 48kg",16,IF(Atletas!D554="Adulto 52kg",17,IF(Atletas!D554="Adulto 56kg",18,IF(Atletas!D554="Adulto 60kg",19,IF(Atletas!D554="Adulto 65kg",20,IF(Atletas!D554="Adulto 70kg",21,IF(Atletas!D554="Adulto 75kg",22,IF(Atletas!D554="Adulto 80kg",23,IF(Atletas!D554="Adulto 85kg",24,IF(Atletas!D554="Adulto 90kg",25,IF(Atletas!D554="Adulto +90kg",26,""))))))))))))))))))))))))))))</f>
        <v/>
      </c>
      <c r="AO558" s="10" t="str">
        <f>IF(Atletas!E554="","",IF(Atletas!B554="Feminino",100,IF(Atletas!B554="Masculino",200,""))+(IF(Atletas!E554="Juvenil 44kg",1,IF(Atletas!E554="Juvenil 48kg",2,IF(Atletas!E554="Juvenil 52kg",3,IF(Atletas!E554="Juvenil 56kg",4,IF(Atletas!E554="Juvenil 60kg",5,IF(Atletas!E554="Juvenil 65kg",6,IF(Atletas!E554="Juvenil 70kg",7,IF(Atletas!E554="Juvenil 75kg",8,IF(Atletas!E554="Juvenil 82kg",9,IF(Atletas!E554="Juvenil 90kg",10,IF(Atletas!E554="Juvenil 100kg",11,IF(Atletas!E554="Adulto 48kg",12,IF(Atletas!E554="Adulto 52kg",13,IF(Atletas!E554="Adulto 56kg",14,IF(Atletas!E554="Adulto 60kg",15,IF(Atletas!E554="Adulto 65kg",16,IF(Atletas!E554="Adulto 70kg",17,IF(Atletas!E554="Adulto 75kg",18,IF(Atletas!E554="Adulto 82kg",19,IF(Atletas!E554="Adulto 90kg",20,IF(Atletas!E554="Adulto 100kg",21,IF(Atletas!E554="Adulto +100kg",22,""))))))))))))))))))))))))</f>
        <v/>
      </c>
      <c r="AT558" s="10" t="str">
        <f>IF(Atletas!F554="","",IF(Atletas!B554="Feminino",100,IF(Atletas!B554="Masculino",200,""))+(IF(Atletas!F554="Adulto 48kg",1,IF(Atletas!F554="Adulto 56kg",2,IF(Atletas!F554="Adulto 65kg",3,IF(Atletas!F554="Adulto 75kg",4,IF(Atletas!F554="Adulto +75kg",5,IF(Atletas!F554="Adulto 52kg",6,IF(Atletas!F554="Adulto 60kg",7,IF(Atletas!F554="Adulto 70kg",8,IF(Atletas!F554="Adulto 80kg",9,IF(Atletas!F554="Adulto 90kg",10,IF(Atletas!F554="Adulto +90kg",11,"")))))))))))))</f>
        <v/>
      </c>
      <c r="AY558" s="46" t="str">
        <f>IF(Atletas!G554="","",IF(Atletas!B554="Feminino",100,IF(Atletas!B554="Masculino",200,""))+(IF(Atletas!G554="Changquan Mirim",1,IF(Atletas!G554="Nanquan Mirim",2,IF(Atletas!G554="Taijiquan Mirim",3,IF(Atletas!G554="Changquan Grupo C",4,IF(Atletas!G554="Nanquan Grupo C",5,IF(Atletas!G554="Taijiquan Grupo C",6,IF(Atletas!G554="Changquan Grupo B",7,IF(Atletas!G554="Nanquan Grupo B",8,IF(Atletas!G554="Taijiquan Grupo B",9,IF(Atletas!G554="Changquan Grupo A",10,IF(Atletas!G554="Nanquan Grupo A",11,IF(Atletas!G554="Taijiquan Grupo A",12,IF(Atletas!G554="Changquan Opcional",13,IF(Atletas!G554="Nanquan Opcional",14,IF(Atletas!G554="Taijiquan Opcional",15,IF(Atletas!G554="Changquan Adulto",16,IF(Atletas!G554="Nanquan Adulto",17,IF(Atletas!G554="Taijiquan Adulto",18,""))))))))))))))))))))</f>
        <v/>
      </c>
      <c r="AZ558" s="46" t="str">
        <f>IF(Atletas!H554="","",IF(Atletas!B554="Feminino",100,IF(Atletas!B554="Masculino",200,""))+(IF(Atletas!H554="Daoshu Mirim",19,IF(Atletas!H554="Jianshu Mirim",20,IF(Atletas!H554="Nandao Mirim",21,IF(Atletas!H554="Taijijian Mirim",22,IF(Atletas!H554="Daoshu Grupo C",23,IF(Atletas!H554="Jianshu Grupo C",24,IF(Atletas!H554="Nandao Grupo C",25,IF(Atletas!H554="Taijijian Grupo C",26,IF(Atletas!H554="Daoshu Grupo B",27,IF(Atletas!H554="Jianshu Grupo B",28,IF(Atletas!H554="Nandao Grupo B",29,IF(Atletas!H554="Taijijian Grupo B",30,IF(Atletas!H554="Daoshu Grupo A",31,IF(Atletas!H554="Jianshu Grupo A",32,IF(Atletas!H554="Nandao Grupo A",33,IF(Atletas!H554="Taijijian Grupo A",34,IF(Atletas!H554="Daoshu Opcional",35,IF(Atletas!H554="Jianshu Opcional",36,IF(Atletas!H554="Nandao Opcional",37,IF(Atletas!H554="Taijijian Opcional",38,IF(Atletas!H554="Daoshu Adulto",39,IF(Atletas!H554="Jianshu Adulto",40,IF(Atletas!H554="Nandao Adulto",41,IF(Atletas!H554="Taijijian Adulto",42,""))))))))))))))))))))))))))</f>
        <v/>
      </c>
      <c r="BA558" s="46" t="str">
        <f>IF(Atletas!I554="","",IF(Atletas!B554="Feminino",100,IF(Atletas!B554="Masculino",200,""))+(IF(Atletas!I554="Gunshu Mirim",43,IF(Atletas!I554="Qiangshu Mirim",44,IF(Atletas!I554="Nangun Mirim",45,IF(Atletas!I554="Gunshu Grupo C",46,IF(Atletas!I554="Qiangshu Grupo C",47,IF(Atletas!I554="Nangun Grupo C",48,IF(Atletas!I554="Gunshu Grupo B",49,IF(Atletas!I554="Qiangshu Grupo B",50,IF(Atletas!I554="Nangun Grupo B",51,IF(Atletas!I554="Gunshu Grupo A",52,IF(Atletas!I554="Qiangshu Grupo A",53,IF(Atletas!I554="Nangun Grupo A",54,IF(Atletas!I554="Gunshu Opcional",55,IF(Atletas!I554="Qiangshu Opcional",56,IF(Atletas!I554="Nangun Opcional",57,IF(Atletas!I554="Gunshu Adulto",58,IF(Atletas!I554="Qiangshu Adulto",59,IF(Atletas!I554="Nangun Adulto",60,""))))))))))))))))))))</f>
        <v/>
      </c>
      <c r="BF558" s="52" t="str">
        <f>IF(Atletas!J554="","",IF(Atletas!B554="Feminino",100,IF(Atletas!B554="Masculino",200,""))+(IF(Atletas!J554="Equipe 1 Grupo B",1,IF(Atletas!J554="Equipe 2 Grupo B",2,IF(Atletas!J554="Equipe 1 Grupo A",3,IF(Atletas!J554="Equipe 2 Grupo A",4,IF(Atletas!J554="Equipe 1 Adulto",5,IF(Atletas!J554="Equipe 2 Adulto",6,""))))))))</f>
        <v/>
      </c>
      <c r="BK558" s="52" t="str">
        <f>IF(Atletas!K554="","",IF(Atletas!W554&lt;&gt;"",10000,0)+(IF(Atletas!B554="Feminino",1000,IF(Atletas!B554="Masculino",2000,""))+IF(Atletas!K554="Choylayfut A",1,IF(Atletas!K554="Hunggar A",2,IF(Atletas!K554="Wuzuquan A",3,IF(Atletas!K554="Wingchun A",4,IF(Atletas!K554="Outra Mão de Sul A",5,IF(Atletas!K554="Choylayfut B",6,IF(Atletas!K554="Hunggar B",7,IF(Atletas!K554="Wuzuquan B",8,IF(Atletas!K554="Wingchun B",9,IF(Atletas!K554="Outra Mão de Sul B",10,IF(Atletas!K554="Choylayfut C",11,IF(Atletas!K554="Hunggar C",12,IF(Atletas!K554="Wuzuquan C",13,IF(Atletas!K554="Wingchun C",14,IF(Atletas!K554="Outra Mão de Sul C",15,IF(Atletas!K554="Choylayfut D",16,IF(Atletas!K554="Hunggar D",17,IF(Atletas!K554="Wuzuquan D",18,IF(Atletas!K554="Wingchun D",19,IF(Atletas!K554="Outra Mão de Sul D",20,IF(Atletas!K554="Choylayfut E",21,IF(Atletas!K554="Hunggar E",22,IF(Atletas!K554="Wuzuquan E",23,IF(Atletas!K554="Wingchun E",24,IF(Atletas!K554="Outra Mão de Sul E",25,IF(Atletas!K554="Choylayfut F",26,IF(Atletas!K554="Hunggar F",27,IF(Atletas!K554="Wuzuquan F",28,IF(Atletas!K554="Wingchun F",29,IF(Atletas!K554="Outra Mão de Sul F",30,""))))))))))))))))))))))))))))))))</f>
        <v/>
      </c>
      <c r="BL558" s="52" t="str">
        <f>IF(Atletas!L554="","",IF(Atletas!W554&lt;&gt;"",10000,0)+(IF(Atletas!B554="Feminino",1000,IF(Atletas!B554="Masculino",2000,""))+(IF(Atletas!L554="Chaquan A",101,IF(Atletas!L554="Emeiquan A",102,IF(Atletas!L554="Fanziquan A",103,IF(Atletas!L554="Huaquan A",104,IF(Atletas!L554="Hongquan A",105,IF(Atletas!L554="Paochui A",106,IF(Atletas!L554="Piguaquan A",107,IF(Atletas!L554="Shaolinquan A",108,IF(Atletas!L554="Tanglangquan A",109,IF(Atletas!L554="Yinzhaophai A",110,IF(Atletas!L554="Tongbeiquan A",111,IF(Atletas!L554="Wudangquan A",112,IF(Atletas!L554="Outros Estilos A",113,IF(Atletas!L554="Chaquan B",114,IF(Atletas!L554="Emeiquan B",115,IF(Atletas!L554="Fanziquan B",116,IF(Atletas!L554="Huaquan B",117,IF(Atletas!L554="Hongquan B",118,IF(Atletas!L554="Paochui B",119,IF(Atletas!L554="Piguaquan B",120,IF(Atletas!L554="Shaolinquan B",121,IF(Atletas!L554="Tanglangquan B",122,IF(Atletas!L554="Yinzhaophai B",123,IF(Atletas!L554="Tongbeiquan B",124,IF(Atletas!L554="Wudangquan B",125,IF(Atletas!L554="Outros Estilos B",126,IF(Atletas!L554="Chaquan C",127,IF(Atletas!L554="Emeiquan C",128,IF(Atletas!L554="Fanziquan C",129,IF(Atletas!L554="Huaquan C",130,IF(Atletas!L554="Hongquan C",131,IF(Atletas!L554="Paochui C",132,IF(Atletas!L554="Piguaquan C",133,IF(Atletas!L554="Shaolinquan C",134,IF(Atletas!L554="Tanglangquan C",135,IF(Atletas!L554="Yinzhaophai C",136,IF(Atletas!L554="Tongbeiquan C",137,IF(Atletas!L554="Wudangquan C",138,IF(Atletas!L554="Outros Estilos C",139,0))))))))))))))))))))))))))))))))))))))))))</f>
        <v/>
      </c>
      <c r="BM558" s="52" t="str">
        <f>IF(Atletas!L554="","",IF(Atletas!W554&lt;&gt;"",10000,0)+(IF(Atletas!B554="Feminino",1000,IF(Atletas!B554="Masculino",2000,""))+(IF(Atletas!L554="Chaquan D",140,IF(Atletas!L554="Emeiquan D",141,IF(Atletas!L554="Fanziquan D",142,IF(Atletas!L554="Huaquan D",143,IF(Atletas!L554="Hongquan D",144,IF(Atletas!L554="Paochui D",145,IF(Atletas!L554="Piguaquan D",146,IF(Atletas!L554="Shaolinquan D",147,IF(Atletas!L554="Tanglangquan D",148,IF(Atletas!L554="Yinzhaophai D",149,IF(Atletas!L554="Tongbeiquan D",150,IF(Atletas!L554="Wudangquan D",151,IF(Atletas!L554="Outros Estilos D",152,IF(Atletas!L554="Chaquan E",153,IF(Atletas!L554="Emeiquan E",154,IF(Atletas!L554="Fanziquan E",155,IF(Atletas!L554="Huaquan E",156,IF(Atletas!L554="Hongquan E",157,IF(Atletas!L554="Paochui E",158,IF(Atletas!L554="Piguaquan E",159,IF(Atletas!L554="Shaolinquan E",160,IF(Atletas!L554="Tanglangquan E",161,IF(Atletas!L554="Yinzhaophai E",162,IF(Atletas!L554="Tongbeiquan E",163,IF(Atletas!L554="Wudangquan E",164,IF(Atletas!L554="Outros Estilos E",165,IF(Atletas!L554="Chaquan F",166,IF(Atletas!L554="Emeiquan F",167,IF(Atletas!L554="Fanziquan F",168,IF(Atletas!L554="Huaquan F",169,IF(Atletas!L554="Hongquan F",170,IF(Atletas!L554="Paochui F",171,IF(Atletas!L554="Piguaquan F",172,IF(Atletas!L554="Shaolinquan F",173,IF(Atletas!L554="Tanglangquan F",174,IF(Atletas!L554="Yinzhaophai F",175,IF(Atletas!L554="Tongbeiquan F",176,IF(Atletas!L554="Wudangquan F",177,IF(Atletas!L554="Outros Estilos F",178,0))))))))))))))))))))))))))))))))))))))))))</f>
        <v/>
      </c>
      <c r="BN558" s="52" t="str">
        <f>IF(Atletas!M554="","",IF(Atletas!W554&lt;&gt;"",10000,0)+(IF(Atletas!B554="Feminino",1000,IF(Atletas!B554="Masculino",2000,""))+(IF(Atletas!M554="Ditangquan A",201,IF(Atletas!M554="Houquan A",202,IF(Atletas!M554="Zuiquan A",203,IF(Atletas!M554="Ditangquan B",204,IF(Atletas!M554="Houquan B",205,IF(Atletas!M554="Zuiquan B",206,IF(Atletas!M554="Ditangquan C",207,IF(Atletas!M554="Houquan C",208,IF(Atletas!M554="Zuiquan C",209,IF(Atletas!M554="Ditangquan D",210,IF(Atletas!M554="Houquan D",211,IF(Atletas!M554="Zuiquan D",212,IF(Atletas!M554="Ditangquan E",213,IF(Atletas!M554="Houquan E",214,IF(Atletas!M554="Zuiquan E",215,IF(Atletas!M554="Ditangquan F",216,IF(Atletas!M554="Houquan F",217,IF(Atletas!M554="Zuiquan F",218,"")))))))))))))))))))))</f>
        <v/>
      </c>
      <c r="BO558" s="52" t="str">
        <f>IF(Atletas!N554="","",IF(Atletas!W554&lt;&gt;"",10000,0)+IF(Atletas!B554="Feminino",1000,IF(Atletas!B554="Masculino",2000,""))+IF(Atletas!N554="Yang A",301,IF(Atletas!N554="Chen A",30,IF(Atletas!N554="Sun A",303,IF(Atletas!N554="Wu A",304,IF(Atletas!N554="Wu-Hao A",305,IF(Atletas!N554="Outro Taijiquan A",306,IF(Atletas!N554="Yang B",307,IF(Atletas!N554="Chen B",308,IF(Atletas!N554="Sun B",309,IF(Atletas!N554="Wu B",310,IF(Atletas!N554="Wu-Hao B",311,IF(Atletas!N554="Outro Taijiquan B",312,IF(Atletas!N554="Yang C",313,IF(Atletas!N554="Chen C",314,IF(Atletas!N554="Sun C",315,IF(Atletas!N554="Wu C",316,IF(Atletas!N554="Wu-Hao C",317,IF(Atletas!N554="Outro Taijiquan C",318,IF(Atletas!N554="Yang D",319,IF(Atletas!N554="Chen D",320,IF(Atletas!N554="Sun D",321,IF(Atletas!N554="Wu D",322,IF(Atletas!N554="Wu-Hao D",323,IF(Atletas!N554="Outro Taijiquan D",324,IF(Atletas!N554="Yang E",325,IF(Atletas!N554="Chen E",326,IF(Atletas!N554="Sun E",327,IF(Atletas!N554="Wu E",328,IF(Atletas!N554="Wu-Hao E",329,IF(Atletas!N554="Outro Taijiquan E",330,IF(Atletas!N554="Yang F",331,IF(Atletas!N554="Chen F",332,IF(Atletas!N554="Sun F",333,IF(Atletas!N554="Wu F",334,IF(Atletas!N554="Wu-Hao F",335,IF(Atletas!N554="Outro Taijiquan F",336,"")))))))))))))))))))))))))))))))))))))</f>
        <v/>
      </c>
      <c r="BP558" s="52" t="str">
        <f>IF(Atletas!O554="","",IF(Atletas!W554&lt;&gt;"",10000,0)+IF(Atletas!B554="Feminino",1000,IF(Atletas!B554="Masculino",2000,""))+IF(OR(Atletas!O554="Yang 26 A",Atletas!O554="Yang 40 A"),401,IF(OR(Atletas!O554="Chen 25 A",Atletas!O554="Chen 36 A",Atletas!O554="Chen 56 A"),402,IF(Atletas!O554="Sun 73 A",403,IF(Atletas!O554="Wu 45 A",404,IF(Atletas!O554="Wu-Hao 46 A",405,IF(OR(Atletas!O554="Taijiquan 16 A",Atletas!O554="Taijiquan 24 A",Atletas!O554="Taijiquan 32 A",Atletas!O554="Taijiquan 42 A"),406,IF(OR(Atletas!O554="Yang 26 B",Atletas!O554="Yang 40 B"),407,IF(OR(Atletas!O554="Chen 25 B",Atletas!O554="Chen 36 B",Atletas!O554="Chen 56 B"),408,IF(Atletas!O554="Sun 73 B",409,IF(Atletas!O554="Wu 45 B",410,IF(Atletas!O554="Wu-Hao 46 B",411,IF(OR(Atletas!O554="Taijiquan 16 B",Atletas!O554="Taijiquan 24 B",Atletas!O554="Taijiquan 32 B",Atletas!O554="Taijiquan 42 B"),412,IF(OR(Atletas!O554="Yang 26 C",Atletas!O554="Yang 40 C"),413,IF(OR(Atletas!O554="Chen 25 C",Atletas!O554="Chen 36 C",Atletas!O554="Chen 56 C"),414,IF(Atletas!O554="Sun 73 C",415,IF(Atletas!O554="Wu 45 C",416,IF(Atletas!O554="Wu-Hao 46 C",417,IF(OR(Atletas!O554="Taijiquan 16 C",Atletas!O554="Taijiquan 24 C",Atletas!O554="Taijiquan 32 C",Atletas!O554="Taijiquan 42 C"),418,0)))))))))))))))))))</f>
        <v/>
      </c>
      <c r="BQ558" s="52" t="str">
        <f>IF(Atletas!O554="","",IF(Atletas!W554&lt;&gt;"",10000,0)+IF(Atletas!B554="Feminino",1000,IF(Atletas!B554="Masculino",2000,""))+IF(OR(Atletas!O554="Yang 26 D",Atletas!O554="Yang 40 D"),419,IF(OR(Atletas!O554="Chen 25 D",Atletas!O554="Chen 36 D",Atletas!O554="Chen 56 D"),420,IF(Atletas!O554="Sun 73 D",421,IF(Atletas!O554="Wu 45 D",422,IF(Atletas!O554="Wu-Hao 46 D",423,IF(OR(Atletas!O554="Taijiquan 16 D",Atletas!O554="Taijiquan 24 D",Atletas!O554="Taijiquan 32 D",Atletas!O554="Taijiquan 42 D"),424,IF(OR(Atletas!O554="Yang 26 E",Atletas!O554="Yang 40 E"),425,IF(OR(Atletas!O554="Chen 25 E",Atletas!O554="Chen 36 E",Atletas!O554="Chen 56 E"),426,IF(Atletas!O554="Sun 73 E",427,IF(Atletas!O554="Wu 45 E",428,IF(Atletas!O554="Wu-Hao 46 E",429,IF(OR(Atletas!O554="Taijiquan 16 E",Atletas!O554="Taijiquan 24 E",Atletas!O554="Taijiquan 32 E",Atletas!O554="Taijiquan 42 E"),430,IF(OR(Atletas!O554="Yang 26 F",Atletas!O554="Yang 40 F"),431,IF(OR(Atletas!O554="Chen 25 F",Atletas!O554="Chen 36 F",Atletas!O554="Chen 56 F"),432,IF(Atletas!O554="Sun 73 F",433,IF(Atletas!O554="Wu 45 F",434,IF(Atletas!O554="Wu-Hao 46 F",435,IF(OR(Atletas!O554="Taijiquan 16 F",Atletas!O554="Taijiquan 24 F",Atletas!O554="Taijiquan 32 F",Atletas!O554="Taijiquan 42 F"),436,0)))))))))))))))))))</f>
        <v/>
      </c>
      <c r="BR558" s="52" t="str">
        <f>IF(Atletas!P554="","",IF(Atletas!W554&lt;&gt;"",10000,0)+IF(Atletas!B554="Feminino",1000,IF(Atletas!B554="Masculino",2000,""))+IF(Atletas!P554="Xingyiquan A",501,IF(Atletas!P554="Baguazhang A",502,IF(Atletas!P554="Outro Estilo Interno A",503,IF(Atletas!P554="Xingyiquan B",504,IF(Atletas!P554="Baguazhang B",505,IF(Atletas!P554="Outro Estilo Interno B",506,IF(Atletas!P554="Xingyiquan C",507,IF(Atletas!P554="Baguazhang C",508,IF(Atletas!P554="Outro Estilo Interno C",509,IF(Atletas!P554="Xingyiquan D",510,IF(Atletas!P554="Baguazhang D",511,IF(Atletas!P554="Outro Estilo Interno D",512,IF(Atletas!P554="Xingyiquan E",513,IF(Atletas!P554="Baguazhang E",514,IF(Atletas!P554="Outro Estilo Interno E",515,IF(Atletas!P554="Xingyiquan F",516,IF(Atletas!P554="Baguazhang F",517,IF(Atletas!P554="Outro Estilo Interno F",518, "")))))))))))))))))))</f>
        <v/>
      </c>
      <c r="BS558" s="52" t="str">
        <f>IF(Atletas!Q554="","",IF(Atletas!W554&lt;&gt;"",10000,0)+IF(Atletas!B554="Feminino",1000,IF(Atletas!B554="Masculino",2000,""))+IF(Atletas!Q554="Dao A",601,IF(Atletas!Q554="Jian A",602,IF(Atletas!Q554="Bishou A",603,IF(Atletas!Q554="Shan A",604,IF(Atletas!Q554="Outra Arma Curta A",605,IF(Atletas!Q554="Dao B",606,IF(Atletas!Q554="Jian B",607,IF(Atletas!Q554="Bishou B",608,IF(Atletas!Q554="Shan B",609,IF(Atletas!Q554="Outra Arma Curta B",610,IF(Atletas!Q554="Dao C",611,IF(Atletas!Q554="Jian C",612,IF(Atletas!Q554="Bishou C",613,IF(Atletas!Q554="Shan C",614,IF(Atletas!Q554="Outra Arma Curta C",615,IF(Atletas!Q554="Dao D",616,IF(Atletas!Q554="Jian D",617,IF(Atletas!Q554="Bishou D",618,IF(Atletas!Q554="Shan D",619,IF(Atletas!Q554="Outra Arma Curta D",620,IF(Atletas!Q554="Dao E",621,IF(Atletas!Q554="Jian E",622,IF(Atletas!Q554="Bishou E",623,IF(Atletas!Q554="Shan E",624,IF(Atletas!Q554="Outra Arma Curta E",625,IF(Atletas!Q554="Dao F",626,IF(Atletas!Q554="Jian F",627,IF(Atletas!Q554="Bishou F",628,IF(Atletas!Q554="Shan F",629,IF(Atletas!Q554="Outra Arma Curta F",630, "")))))))))))))))))))))))))))))))</f>
        <v/>
      </c>
      <c r="BT558" s="52" t="str">
        <f>IF(Atletas!R554="","",IF(Atletas!W554&lt;&gt;"",10000,0)+IF(Atletas!B554="Feminino",1000,IF(Atletas!B554="Masculino",2000,""))+IF(Atletas!R554="Gun A",701,IF(Atletas!R554="Qiang A",702,IF(Atletas!R554="Pudao / Guandao A",703,IF(Atletas!R554="Outra Arma Longa A",704,IF(Atletas!R554="Gun B",705,IF(Atletas!R554="Qiang B",706,IF(Atletas!R554="Pudao / Guandao B",707,IF(Atletas!R554="Outra Arma Longa B",708,IF(Atletas!R554="Gun C",709,IF(Atletas!R554="Qiang C",710,IF(Atletas!R554="Pudao / Guandao C",711,IF(Atletas!R554="Outra Arma Longa C",712,IF(Atletas!R554="Gun D",713,IF(Atletas!R554="Qiang D",714,IF(Atletas!R554="Pudao / Guandao D",715,IF(Atletas!R554="Outra Arma Longa D",716,IF(Atletas!R554="Gun E",717,IF(Atletas!R554="Qiang E",718,IF(Atletas!R554="Pudao / Guandao E",719,IF(Atletas!R554="Outra Arma Longa E",720,IF(Atletas!R554="Gun F",721,IF(Atletas!R554="Qiang F",722,IF(Atletas!R554="Pudao / Guandao F",723,IF(Atletas!R554="Outra Arma Longa F",724,"")))))))))))))))))))))))))</f>
        <v/>
      </c>
      <c r="BU558" s="52" t="str">
        <f>IF(Atletas!S554="","",IF(Atletas!W554&lt;&gt;"",10000,0)+IF(Atletas!B554="Feminino",1000,IF(Atletas!B554="Masculino",2000,""))+IF(Atletas!S554="Arma Dupla A",801,IF(Atletas!S554="Arma Maleável A",802,IF(Atletas!S554="Arma Dupla B",803,IF(Atletas!S554="Arma Maleável B",804,IF(Atletas!S554="Arma Dupla C",805,IF(Atletas!S554="Arma Maleável C",806,IF(Atletas!S554="Arma Dupla D",807,IF(Atletas!S554="Arma Maleável D",808,IF(Atletas!S554="Arma Dupla E",809,IF(Atletas!S554="Arma Maleável E",810,IF(Atletas!S554="Arma Dupla F",811,IF(Atletas!S554="Arma Maleável F",812, "")))))))))))))</f>
        <v/>
      </c>
      <c r="BV558" s="52" t="str">
        <f>IF(Atletas!T554="","",IF(Atletas!W554&lt;&gt;"",10000,0)+IF(Atletas!B554="Feminino",1000,IF(Atletas!B554="Masculino",2000,""))+IF(Atletas!T554="Taijijian Yang A",901,IF(Atletas!T554="Taijijian Chen A",902,IF(Atletas!T554="Taijijian Sun A",903,IF(Atletas!T554="Taijijian Wu A",904,IF(Atletas!T554="Taijijian Wu-Hao A",905,IF(Atletas!T554="Taijijian 32 A",906,IF(Atletas!T554="Taijijian 42 A",907,IF(Atletas!T554="Taijijian Yang B",908,IF(Atletas!T554="Taijijian Chen B",909,IF(Atletas!T554="Taijijian Sun B",910,IF(Atletas!T554="Taijijian Wu B",911,IF(Atletas!T554="Taijijian Wu-Hao B",912,IF(Atletas!T554="Taijijian 32 B",913,IF(Atletas!T554="Taijijian 42 B",914,IF(Atletas!T554="Taijijian Yang C",915,IF(Atletas!T554="Taijijian Chen C",916,IF(Atletas!T554="Taijijian Sun C",917,IF(Atletas!T554="Taijijian Wu C",918,IF(Atletas!T554="Taijijian Wu-Hao C",919,IF(Atletas!T554="Taijijian 32 C",920,IF(Atletas!T554="Taijijian 42 C",921,IF(Atletas!T554="Taijijian Yang D",922,IF(Atletas!T554="Taijijian Chen D",923,IF(Atletas!T554="Taijijian Sun D",924,IF(Atletas!T554="Taijijian Wu D",925,IF(Atletas!T554="Taijijian Wu-Hao D",926,IF(Atletas!T554="Taijijian 32 D",927,IF(Atletas!T554="Taijijian 42 D",928,IF(Atletas!T554="Taijijian Yang E",929,IF(Atletas!T554="Taijijian Chen E",930,IF(Atletas!T554="Taijijian Sun E",931,IF(Atletas!T554="Taijijian Wu E",932,IF(Atletas!T554="Taijijian Wu-Hao E",933,IF(Atletas!T554="Taijijian 32 E",934,IF(Atletas!T554="Taijijian 42 E",935,IF(Atletas!T554="Taijijian Yang F",936,IF(Atletas!T554="Taijijian Chen F",937,IF(Atletas!T554="Taijijian Sun F",938,IF(Atletas!T554="Taijijian Wu F",939,IF(Atletas!T554="Taijijian Wu-Hao F",940,IF(Atletas!T554="Taijijian 32 F",941,IF(Atletas!T554="Taijijian 42 F",942,"")))))))))))))))))))))))))))))))))))))))))))</f>
        <v/>
      </c>
      <c r="BW558" s="52" t="str">
        <f>IF(Atletas!U554="","",IF(Atletas!W554&lt;&gt;"",10000,0)+IF(Atletas!B554="Feminino",1000,IF(Atletas!B554="Masculino",2000,""))+IF(Atletas!T554="Taijijian 42 F",942,IF(Atletas!U554="Taijidao A",943,IF(Atletas!U554="Taijishan A",944,IF(Atletas!U554="Taijiqiang A",945,IF(Atletas!U554="Taijidao B",946,IF(Atletas!U554="Taijishan B",947,IF(Atletas!U554="Taijiqiang B",948,IF(Atletas!U554="Taijidao C",949,IF(Atletas!U554="Taijishan C",950,IF(Atletas!U554="Taijiqiang C",951,IF(Atletas!U554="Taijidao D",952,IF(Atletas!U554="Taijishan D",953,IF(Atletas!U554="Taijiqiang D",954,IF(Atletas!U554="Taijidao E",955,IF(Atletas!U554="Taijishan E",956,IF(Atletas!U554="Taijiqiang E",957,IF(Atletas!U554="Taijidao F",958,IF(Atletas!U554="Taijishan F",959,IF(Atletas!U554="Taijiqiang F",960))))))))))))))))))))</f>
        <v/>
      </c>
      <c r="CF558" s="52" t="str">
        <f xml:space="preserve"> IF(Atletas!V554="","",IF(Atletas!V554="Duilian de Mãos AB - Equipe 1",1,IF(Atletas!V554="Duilian de Mãos AB - Equipe 2",2,IF(Atletas!V554="Duilian de Armas AB - Equipe 1",3,IF(Atletas!V554="Duilian de Armas AB - Equipe 2",4,IF(Atletas!V554="Duilian de Tuishou - Equipe 1",5,IF(Atletas!V554="Duilian de Tuishou - Equipe 2",6,IF(Atletas!V554="Grupo Externo AB - Equipe 1",7,IF(Atletas!V554="Grupo Externo AB - Equipe 2",8,IF(Atletas!V554="Grupo Interno AB - Equipe 1",9,IF(Atletas!V554="Grupo Interno AB - Equipe 2",10,IF(Atletas!V554="Duilian de Mãos CD - Equipe 1",11,IF(Atletas!V554="Duilian de Mãos CD - Equipe 2",12,IF(Atletas!V554="Duilian de Armas CD - Equipe 1",13,IF(Atletas!V554="Duilian de Armas CD - Equipe 2",14,IF(Atletas!V554="Duilian de Tuishou - Equipe 1",15,IF(Atletas!V554="Duilian de Tuishou - Equipe 2",16,IF(Atletas!V554="Grupo Externo CDEF - Equipe 1",17,IF(Atletas!V554="Grupo Externo CDEF - Equipe 2",18,IF(Atletas!V554="Grupo Interno CDEF - Equipe 1",19,IF(Atletas!V554="Grupo Interno CDEF - Equipe 2",20,IF(Atletas!V554="Duilian de Mãos EF - Equipe 1",21,IF(Atletas!V554="Duilian de Mãos EF - Equipe 2",22,IF(Atletas!V554="Duilian de Armas EF - Equipe 1",23,IF(Atletas!V554="Duilian de Armas EF - Equipe 2",24,IF(Atletas!V554="Duilian de Tuishou - Equipe 1",25,IF(Atletas!V554="Duilian de Tuishou - Equipe 2",26,"")))))))))))))))))))))))))))</f>
        <v/>
      </c>
    </row>
    <row r="559" spans="36:84">
      <c r="AJ559" s="46" t="str">
        <f>IF(Atletas!D555="","",IF(Atletas!B555="Feminino",100,IF(Atletas!B555="Masculino",200,""))+(IF(Atletas!D555="Infantil 39kg",1,IF(Atletas!D555="Infantil 42kg",2,IF(Atletas!D555="Infantil 45kg",3,IF(Atletas!D555="Infantil 48kg",4,IF(Atletas!D555="Infantil 52kg",5,IF(Atletas!D555="Infantil 56kg",6,IF(Atletas!D555="Infantil 60kg",7,IF(Atletas!D555="Juvenil 48kg",8,IF(Atletas!D555="Juvenil 52kg",9,IF(Atletas!D555="Juvenil 56kg",10,IF(Atletas!D555="Juvenil 60kg",11,IF(Atletas!D555="Juvenil 65kg",12,IF(Atletas!D555="Juvenil 70kg",13,IF(Atletas!D555="Juvenil 75kg",14,IF(Atletas!D555="Juvenil 80kg",15,IF(Atletas!D555="Adulto 48kg",16,IF(Atletas!D555="Adulto 52kg",17,IF(Atletas!D555="Adulto 56kg",18,IF(Atletas!D555="Adulto 60kg",19,IF(Atletas!D555="Adulto 65kg",20,IF(Atletas!D555="Adulto 70kg",21,IF(Atletas!D555="Adulto 75kg",22,IF(Atletas!D555="Adulto 80kg",23,IF(Atletas!D555="Adulto 85kg",24,IF(Atletas!D555="Adulto 90kg",25,IF(Atletas!D555="Adulto +90kg",26,""))))))))))))))))))))))))))))</f>
        <v/>
      </c>
      <c r="AO559" s="10" t="str">
        <f>IF(Atletas!E555="","",IF(Atletas!B555="Feminino",100,IF(Atletas!B555="Masculino",200,""))+(IF(Atletas!E555="Juvenil 44kg",1,IF(Atletas!E555="Juvenil 48kg",2,IF(Atletas!E555="Juvenil 52kg",3,IF(Atletas!E555="Juvenil 56kg",4,IF(Atletas!E555="Juvenil 60kg",5,IF(Atletas!E555="Juvenil 65kg",6,IF(Atletas!E555="Juvenil 70kg",7,IF(Atletas!E555="Juvenil 75kg",8,IF(Atletas!E555="Juvenil 82kg",9,IF(Atletas!E555="Juvenil 90kg",10,IF(Atletas!E555="Juvenil 100kg",11,IF(Atletas!E555="Adulto 48kg",12,IF(Atletas!E555="Adulto 52kg",13,IF(Atletas!E555="Adulto 56kg",14,IF(Atletas!E555="Adulto 60kg",15,IF(Atletas!E555="Adulto 65kg",16,IF(Atletas!E555="Adulto 70kg",17,IF(Atletas!E555="Adulto 75kg",18,IF(Atletas!E555="Adulto 82kg",19,IF(Atletas!E555="Adulto 90kg",20,IF(Atletas!E555="Adulto 100kg",21,IF(Atletas!E555="Adulto +100kg",22,""))))))))))))))))))))))))</f>
        <v/>
      </c>
      <c r="AT559" s="10" t="str">
        <f>IF(Atletas!F555="","",IF(Atletas!B555="Feminino",100,IF(Atletas!B555="Masculino",200,""))+(IF(Atletas!F555="Adulto 48kg",1,IF(Atletas!F555="Adulto 56kg",2,IF(Atletas!F555="Adulto 65kg",3,IF(Atletas!F555="Adulto 75kg",4,IF(Atletas!F555="Adulto +75kg",5,IF(Atletas!F555="Adulto 52kg",6,IF(Atletas!F555="Adulto 60kg",7,IF(Atletas!F555="Adulto 70kg",8,IF(Atletas!F555="Adulto 80kg",9,IF(Atletas!F555="Adulto 90kg",10,IF(Atletas!F555="Adulto +90kg",11,"")))))))))))))</f>
        <v/>
      </c>
      <c r="AY559" s="46" t="str">
        <f>IF(Atletas!G555="","",IF(Atletas!B555="Feminino",100,IF(Atletas!B555="Masculino",200,""))+(IF(Atletas!G555="Changquan Mirim",1,IF(Atletas!G555="Nanquan Mirim",2,IF(Atletas!G555="Taijiquan Mirim",3,IF(Atletas!G555="Changquan Grupo C",4,IF(Atletas!G555="Nanquan Grupo C",5,IF(Atletas!G555="Taijiquan Grupo C",6,IF(Atletas!G555="Changquan Grupo B",7,IF(Atletas!G555="Nanquan Grupo B",8,IF(Atletas!G555="Taijiquan Grupo B",9,IF(Atletas!G555="Changquan Grupo A",10,IF(Atletas!G555="Nanquan Grupo A",11,IF(Atletas!G555="Taijiquan Grupo A",12,IF(Atletas!G555="Changquan Opcional",13,IF(Atletas!G555="Nanquan Opcional",14,IF(Atletas!G555="Taijiquan Opcional",15,IF(Atletas!G555="Changquan Adulto",16,IF(Atletas!G555="Nanquan Adulto",17,IF(Atletas!G555="Taijiquan Adulto",18,""))))))))))))))))))))</f>
        <v/>
      </c>
      <c r="AZ559" s="46" t="str">
        <f>IF(Atletas!H555="","",IF(Atletas!B555="Feminino",100,IF(Atletas!B555="Masculino",200,""))+(IF(Atletas!H555="Daoshu Mirim",19,IF(Atletas!H555="Jianshu Mirim",20,IF(Atletas!H555="Nandao Mirim",21,IF(Atletas!H555="Taijijian Mirim",22,IF(Atletas!H555="Daoshu Grupo C",23,IF(Atletas!H555="Jianshu Grupo C",24,IF(Atletas!H555="Nandao Grupo C",25,IF(Atletas!H555="Taijijian Grupo C",26,IF(Atletas!H555="Daoshu Grupo B",27,IF(Atletas!H555="Jianshu Grupo B",28,IF(Atletas!H555="Nandao Grupo B",29,IF(Atletas!H555="Taijijian Grupo B",30,IF(Atletas!H555="Daoshu Grupo A",31,IF(Atletas!H555="Jianshu Grupo A",32,IF(Atletas!H555="Nandao Grupo A",33,IF(Atletas!H555="Taijijian Grupo A",34,IF(Atletas!H555="Daoshu Opcional",35,IF(Atletas!H555="Jianshu Opcional",36,IF(Atletas!H555="Nandao Opcional",37,IF(Atletas!H555="Taijijian Opcional",38,IF(Atletas!H555="Daoshu Adulto",39,IF(Atletas!H555="Jianshu Adulto",40,IF(Atletas!H555="Nandao Adulto",41,IF(Atletas!H555="Taijijian Adulto",42,""))))))))))))))))))))))))))</f>
        <v/>
      </c>
      <c r="BA559" s="46" t="str">
        <f>IF(Atletas!I555="","",IF(Atletas!B555="Feminino",100,IF(Atletas!B555="Masculino",200,""))+(IF(Atletas!I555="Gunshu Mirim",43,IF(Atletas!I555="Qiangshu Mirim",44,IF(Atletas!I555="Nangun Mirim",45,IF(Atletas!I555="Gunshu Grupo C",46,IF(Atletas!I555="Qiangshu Grupo C",47,IF(Atletas!I555="Nangun Grupo C",48,IF(Atletas!I555="Gunshu Grupo B",49,IF(Atletas!I555="Qiangshu Grupo B",50,IF(Atletas!I555="Nangun Grupo B",51,IF(Atletas!I555="Gunshu Grupo A",52,IF(Atletas!I555="Qiangshu Grupo A",53,IF(Atletas!I555="Nangun Grupo A",54,IF(Atletas!I555="Gunshu Opcional",55,IF(Atletas!I555="Qiangshu Opcional",56,IF(Atletas!I555="Nangun Opcional",57,IF(Atletas!I555="Gunshu Adulto",58,IF(Atletas!I555="Qiangshu Adulto",59,IF(Atletas!I555="Nangun Adulto",60,""))))))))))))))))))))</f>
        <v/>
      </c>
      <c r="BF559" s="52" t="str">
        <f>IF(Atletas!J555="","",IF(Atletas!B555="Feminino",100,IF(Atletas!B555="Masculino",200,""))+(IF(Atletas!J555="Equipe 1 Grupo B",1,IF(Atletas!J555="Equipe 2 Grupo B",2,IF(Atletas!J555="Equipe 1 Grupo A",3,IF(Atletas!J555="Equipe 2 Grupo A",4,IF(Atletas!J555="Equipe 1 Adulto",5,IF(Atletas!J555="Equipe 2 Adulto",6,""))))))))</f>
        <v/>
      </c>
      <c r="BK559" s="52" t="str">
        <f>IF(Atletas!K555="","",IF(Atletas!W555&lt;&gt;"",10000,0)+(IF(Atletas!B555="Feminino",1000,IF(Atletas!B555="Masculino",2000,""))+IF(Atletas!K555="Choylayfut A",1,IF(Atletas!K555="Hunggar A",2,IF(Atletas!K555="Wuzuquan A",3,IF(Atletas!K555="Wingchun A",4,IF(Atletas!K555="Outra Mão de Sul A",5,IF(Atletas!K555="Choylayfut B",6,IF(Atletas!K555="Hunggar B",7,IF(Atletas!K555="Wuzuquan B",8,IF(Atletas!K555="Wingchun B",9,IF(Atletas!K555="Outra Mão de Sul B",10,IF(Atletas!K555="Choylayfut C",11,IF(Atletas!K555="Hunggar C",12,IF(Atletas!K555="Wuzuquan C",13,IF(Atletas!K555="Wingchun C",14,IF(Atletas!K555="Outra Mão de Sul C",15,IF(Atletas!K555="Choylayfut D",16,IF(Atletas!K555="Hunggar D",17,IF(Atletas!K555="Wuzuquan D",18,IF(Atletas!K555="Wingchun D",19,IF(Atletas!K555="Outra Mão de Sul D",20,IF(Atletas!K555="Choylayfut E",21,IF(Atletas!K555="Hunggar E",22,IF(Atletas!K555="Wuzuquan E",23,IF(Atletas!K555="Wingchun E",24,IF(Atletas!K555="Outra Mão de Sul E",25,IF(Atletas!K555="Choylayfut F",26,IF(Atletas!K555="Hunggar F",27,IF(Atletas!K555="Wuzuquan F",28,IF(Atletas!K555="Wingchun F",29,IF(Atletas!K555="Outra Mão de Sul F",30,""))))))))))))))))))))))))))))))))</f>
        <v/>
      </c>
      <c r="BL559" s="52" t="str">
        <f>IF(Atletas!L555="","",IF(Atletas!W555&lt;&gt;"",10000,0)+(IF(Atletas!B555="Feminino",1000,IF(Atletas!B555="Masculino",2000,""))+(IF(Atletas!L555="Chaquan A",101,IF(Atletas!L555="Emeiquan A",102,IF(Atletas!L555="Fanziquan A",103,IF(Atletas!L555="Huaquan A",104,IF(Atletas!L555="Hongquan A",105,IF(Atletas!L555="Paochui A",106,IF(Atletas!L555="Piguaquan A",107,IF(Atletas!L555="Shaolinquan A",108,IF(Atletas!L555="Tanglangquan A",109,IF(Atletas!L555="Yinzhaophai A",110,IF(Atletas!L555="Tongbeiquan A",111,IF(Atletas!L555="Wudangquan A",112,IF(Atletas!L555="Outros Estilos A",113,IF(Atletas!L555="Chaquan B",114,IF(Atletas!L555="Emeiquan B",115,IF(Atletas!L555="Fanziquan B",116,IF(Atletas!L555="Huaquan B",117,IF(Atletas!L555="Hongquan B",118,IF(Atletas!L555="Paochui B",119,IF(Atletas!L555="Piguaquan B",120,IF(Atletas!L555="Shaolinquan B",121,IF(Atletas!L555="Tanglangquan B",122,IF(Atletas!L555="Yinzhaophai B",123,IF(Atletas!L555="Tongbeiquan B",124,IF(Atletas!L555="Wudangquan B",125,IF(Atletas!L555="Outros Estilos B",126,IF(Atletas!L555="Chaquan C",127,IF(Atletas!L555="Emeiquan C",128,IF(Atletas!L555="Fanziquan C",129,IF(Atletas!L555="Huaquan C",130,IF(Atletas!L555="Hongquan C",131,IF(Atletas!L555="Paochui C",132,IF(Atletas!L555="Piguaquan C",133,IF(Atletas!L555="Shaolinquan C",134,IF(Atletas!L555="Tanglangquan C",135,IF(Atletas!L555="Yinzhaophai C",136,IF(Atletas!L555="Tongbeiquan C",137,IF(Atletas!L555="Wudangquan C",138,IF(Atletas!L555="Outros Estilos C",139,0))))))))))))))))))))))))))))))))))))))))))</f>
        <v/>
      </c>
      <c r="BM559" s="52" t="str">
        <f>IF(Atletas!L555="","",IF(Atletas!W555&lt;&gt;"",10000,0)+(IF(Atletas!B555="Feminino",1000,IF(Atletas!B555="Masculino",2000,""))+(IF(Atletas!L555="Chaquan D",140,IF(Atletas!L555="Emeiquan D",141,IF(Atletas!L555="Fanziquan D",142,IF(Atletas!L555="Huaquan D",143,IF(Atletas!L555="Hongquan D",144,IF(Atletas!L555="Paochui D",145,IF(Atletas!L555="Piguaquan D",146,IF(Atletas!L555="Shaolinquan D",147,IF(Atletas!L555="Tanglangquan D",148,IF(Atletas!L555="Yinzhaophai D",149,IF(Atletas!L555="Tongbeiquan D",150,IF(Atletas!L555="Wudangquan D",151,IF(Atletas!L555="Outros Estilos D",152,IF(Atletas!L555="Chaquan E",153,IF(Atletas!L555="Emeiquan E",154,IF(Atletas!L555="Fanziquan E",155,IF(Atletas!L555="Huaquan E",156,IF(Atletas!L555="Hongquan E",157,IF(Atletas!L555="Paochui E",158,IF(Atletas!L555="Piguaquan E",159,IF(Atletas!L555="Shaolinquan E",160,IF(Atletas!L555="Tanglangquan E",161,IF(Atletas!L555="Yinzhaophai E",162,IF(Atletas!L555="Tongbeiquan E",163,IF(Atletas!L555="Wudangquan E",164,IF(Atletas!L555="Outros Estilos E",165,IF(Atletas!L555="Chaquan F",166,IF(Atletas!L555="Emeiquan F",167,IF(Atletas!L555="Fanziquan F",168,IF(Atletas!L555="Huaquan F",169,IF(Atletas!L555="Hongquan F",170,IF(Atletas!L555="Paochui F",171,IF(Atletas!L555="Piguaquan F",172,IF(Atletas!L555="Shaolinquan F",173,IF(Atletas!L555="Tanglangquan F",174,IF(Atletas!L555="Yinzhaophai F",175,IF(Atletas!L555="Tongbeiquan F",176,IF(Atletas!L555="Wudangquan F",177,IF(Atletas!L555="Outros Estilos F",178,0))))))))))))))))))))))))))))))))))))))))))</f>
        <v/>
      </c>
      <c r="BN559" s="52" t="str">
        <f>IF(Atletas!M555="","",IF(Atletas!W555&lt;&gt;"",10000,0)+(IF(Atletas!B555="Feminino",1000,IF(Atletas!B555="Masculino",2000,""))+(IF(Atletas!M555="Ditangquan A",201,IF(Atletas!M555="Houquan A",202,IF(Atletas!M555="Zuiquan A",203,IF(Atletas!M555="Ditangquan B",204,IF(Atletas!M555="Houquan B",205,IF(Atletas!M555="Zuiquan B",206,IF(Atletas!M555="Ditangquan C",207,IF(Atletas!M555="Houquan C",208,IF(Atletas!M555="Zuiquan C",209,IF(Atletas!M555="Ditangquan D",210,IF(Atletas!M555="Houquan D",211,IF(Atletas!M555="Zuiquan D",212,IF(Atletas!M555="Ditangquan E",213,IF(Atletas!M555="Houquan E",214,IF(Atletas!M555="Zuiquan E",215,IF(Atletas!M555="Ditangquan F",216,IF(Atletas!M555="Houquan F",217,IF(Atletas!M555="Zuiquan F",218,"")))))))))))))))))))))</f>
        <v/>
      </c>
      <c r="BO559" s="52" t="str">
        <f>IF(Atletas!N555="","",IF(Atletas!W555&lt;&gt;"",10000,0)+IF(Atletas!B555="Feminino",1000,IF(Atletas!B555="Masculino",2000,""))+IF(Atletas!N555="Yang A",301,IF(Atletas!N555="Chen A",30,IF(Atletas!N555="Sun A",303,IF(Atletas!N555="Wu A",304,IF(Atletas!N555="Wu-Hao A",305,IF(Atletas!N555="Outro Taijiquan A",306,IF(Atletas!N555="Yang B",307,IF(Atletas!N555="Chen B",308,IF(Atletas!N555="Sun B",309,IF(Atletas!N555="Wu B",310,IF(Atletas!N555="Wu-Hao B",311,IF(Atletas!N555="Outro Taijiquan B",312,IF(Atletas!N555="Yang C",313,IF(Atletas!N555="Chen C",314,IF(Atletas!N555="Sun C",315,IF(Atletas!N555="Wu C",316,IF(Atletas!N555="Wu-Hao C",317,IF(Atletas!N555="Outro Taijiquan C",318,IF(Atletas!N555="Yang D",319,IF(Atletas!N555="Chen D",320,IF(Atletas!N555="Sun D",321,IF(Atletas!N555="Wu D",322,IF(Atletas!N555="Wu-Hao D",323,IF(Atletas!N555="Outro Taijiquan D",324,IF(Atletas!N555="Yang E",325,IF(Atletas!N555="Chen E",326,IF(Atletas!N555="Sun E",327,IF(Atletas!N555="Wu E",328,IF(Atletas!N555="Wu-Hao E",329,IF(Atletas!N555="Outro Taijiquan E",330,IF(Atletas!N555="Yang F",331,IF(Atletas!N555="Chen F",332,IF(Atletas!N555="Sun F",333,IF(Atletas!N555="Wu F",334,IF(Atletas!N555="Wu-Hao F",335,IF(Atletas!N555="Outro Taijiquan F",336,"")))))))))))))))))))))))))))))))))))))</f>
        <v/>
      </c>
      <c r="BP559" s="52" t="str">
        <f>IF(Atletas!O555="","",IF(Atletas!W555&lt;&gt;"",10000,0)+IF(Atletas!B555="Feminino",1000,IF(Atletas!B555="Masculino",2000,""))+IF(OR(Atletas!O555="Yang 26 A",Atletas!O555="Yang 40 A"),401,IF(OR(Atletas!O555="Chen 25 A",Atletas!O555="Chen 36 A",Atletas!O555="Chen 56 A"),402,IF(Atletas!O555="Sun 73 A",403,IF(Atletas!O555="Wu 45 A",404,IF(Atletas!O555="Wu-Hao 46 A",405,IF(OR(Atletas!O555="Taijiquan 16 A",Atletas!O555="Taijiquan 24 A",Atletas!O555="Taijiquan 32 A",Atletas!O555="Taijiquan 42 A"),406,IF(OR(Atletas!O555="Yang 26 B",Atletas!O555="Yang 40 B"),407,IF(OR(Atletas!O555="Chen 25 B",Atletas!O555="Chen 36 B",Atletas!O555="Chen 56 B"),408,IF(Atletas!O555="Sun 73 B",409,IF(Atletas!O555="Wu 45 B",410,IF(Atletas!O555="Wu-Hao 46 B",411,IF(OR(Atletas!O555="Taijiquan 16 B",Atletas!O555="Taijiquan 24 B",Atletas!O555="Taijiquan 32 B",Atletas!O555="Taijiquan 42 B"),412,IF(OR(Atletas!O555="Yang 26 C",Atletas!O555="Yang 40 C"),413,IF(OR(Atletas!O555="Chen 25 C",Atletas!O555="Chen 36 C",Atletas!O555="Chen 56 C"),414,IF(Atletas!O555="Sun 73 C",415,IF(Atletas!O555="Wu 45 C",416,IF(Atletas!O555="Wu-Hao 46 C",417,IF(OR(Atletas!O555="Taijiquan 16 C",Atletas!O555="Taijiquan 24 C",Atletas!O555="Taijiquan 32 C",Atletas!O555="Taijiquan 42 C"),418,0)))))))))))))))))))</f>
        <v/>
      </c>
      <c r="BQ559" s="52" t="str">
        <f>IF(Atletas!O555="","",IF(Atletas!W555&lt;&gt;"",10000,0)+IF(Atletas!B555="Feminino",1000,IF(Atletas!B555="Masculino",2000,""))+IF(OR(Atletas!O555="Yang 26 D",Atletas!O555="Yang 40 D"),419,IF(OR(Atletas!O555="Chen 25 D",Atletas!O555="Chen 36 D",Atletas!O555="Chen 56 D"),420,IF(Atletas!O555="Sun 73 D",421,IF(Atletas!O555="Wu 45 D",422,IF(Atletas!O555="Wu-Hao 46 D",423,IF(OR(Atletas!O555="Taijiquan 16 D",Atletas!O555="Taijiquan 24 D",Atletas!O555="Taijiquan 32 D",Atletas!O555="Taijiquan 42 D"),424,IF(OR(Atletas!O555="Yang 26 E",Atletas!O555="Yang 40 E"),425,IF(OR(Atletas!O555="Chen 25 E",Atletas!O555="Chen 36 E",Atletas!O555="Chen 56 E"),426,IF(Atletas!O555="Sun 73 E",427,IF(Atletas!O555="Wu 45 E",428,IF(Atletas!O555="Wu-Hao 46 E",429,IF(OR(Atletas!O555="Taijiquan 16 E",Atletas!O555="Taijiquan 24 E",Atletas!O555="Taijiquan 32 E",Atletas!O555="Taijiquan 42 E"),430,IF(OR(Atletas!O555="Yang 26 F",Atletas!O555="Yang 40 F"),431,IF(OR(Atletas!O555="Chen 25 F",Atletas!O555="Chen 36 F",Atletas!O555="Chen 56 F"),432,IF(Atletas!O555="Sun 73 F",433,IF(Atletas!O555="Wu 45 F",434,IF(Atletas!O555="Wu-Hao 46 F",435,IF(OR(Atletas!O555="Taijiquan 16 F",Atletas!O555="Taijiquan 24 F",Atletas!O555="Taijiquan 32 F",Atletas!O555="Taijiquan 42 F"),436,0)))))))))))))))))))</f>
        <v/>
      </c>
      <c r="BR559" s="52" t="str">
        <f>IF(Atletas!P555="","",IF(Atletas!W555&lt;&gt;"",10000,0)+IF(Atletas!B555="Feminino",1000,IF(Atletas!B555="Masculino",2000,""))+IF(Atletas!P555="Xingyiquan A",501,IF(Atletas!P555="Baguazhang A",502,IF(Atletas!P555="Outro Estilo Interno A",503,IF(Atletas!P555="Xingyiquan B",504,IF(Atletas!P555="Baguazhang B",505,IF(Atletas!P555="Outro Estilo Interno B",506,IF(Atletas!P555="Xingyiquan C",507,IF(Atletas!P555="Baguazhang C",508,IF(Atletas!P555="Outro Estilo Interno C",509,IF(Atletas!P555="Xingyiquan D",510,IF(Atletas!P555="Baguazhang D",511,IF(Atletas!P555="Outro Estilo Interno D",512,IF(Atletas!P555="Xingyiquan E",513,IF(Atletas!P555="Baguazhang E",514,IF(Atletas!P555="Outro Estilo Interno E",515,IF(Atletas!P555="Xingyiquan F",516,IF(Atletas!P555="Baguazhang F",517,IF(Atletas!P555="Outro Estilo Interno F",518, "")))))))))))))))))))</f>
        <v/>
      </c>
      <c r="BS559" s="52" t="str">
        <f>IF(Atletas!Q555="","",IF(Atletas!W555&lt;&gt;"",10000,0)+IF(Atletas!B555="Feminino",1000,IF(Atletas!B555="Masculino",2000,""))+IF(Atletas!Q555="Dao A",601,IF(Atletas!Q555="Jian A",602,IF(Atletas!Q555="Bishou A",603,IF(Atletas!Q555="Shan A",604,IF(Atletas!Q555="Outra Arma Curta A",605,IF(Atletas!Q555="Dao B",606,IF(Atletas!Q555="Jian B",607,IF(Atletas!Q555="Bishou B",608,IF(Atletas!Q555="Shan B",609,IF(Atletas!Q555="Outra Arma Curta B",610,IF(Atletas!Q555="Dao C",611,IF(Atletas!Q555="Jian C",612,IF(Atletas!Q555="Bishou C",613,IF(Atletas!Q555="Shan C",614,IF(Atletas!Q555="Outra Arma Curta C",615,IF(Atletas!Q555="Dao D",616,IF(Atletas!Q555="Jian D",617,IF(Atletas!Q555="Bishou D",618,IF(Atletas!Q555="Shan D",619,IF(Atletas!Q555="Outra Arma Curta D",620,IF(Atletas!Q555="Dao E",621,IF(Atletas!Q555="Jian E",622,IF(Atletas!Q555="Bishou E",623,IF(Atletas!Q555="Shan E",624,IF(Atletas!Q555="Outra Arma Curta E",625,IF(Atletas!Q555="Dao F",626,IF(Atletas!Q555="Jian F",627,IF(Atletas!Q555="Bishou F",628,IF(Atletas!Q555="Shan F",629,IF(Atletas!Q555="Outra Arma Curta F",630, "")))))))))))))))))))))))))))))))</f>
        <v/>
      </c>
      <c r="BT559" s="52" t="str">
        <f>IF(Atletas!R555="","",IF(Atletas!W555&lt;&gt;"",10000,0)+IF(Atletas!B555="Feminino",1000,IF(Atletas!B555="Masculino",2000,""))+IF(Atletas!R555="Gun A",701,IF(Atletas!R555="Qiang A",702,IF(Atletas!R555="Pudao / Guandao A",703,IF(Atletas!R555="Outra Arma Longa A",704,IF(Atletas!R555="Gun B",705,IF(Atletas!R555="Qiang B",706,IF(Atletas!R555="Pudao / Guandao B",707,IF(Atletas!R555="Outra Arma Longa B",708,IF(Atletas!R555="Gun C",709,IF(Atletas!R555="Qiang C",710,IF(Atletas!R555="Pudao / Guandao C",711,IF(Atletas!R555="Outra Arma Longa C",712,IF(Atletas!R555="Gun D",713,IF(Atletas!R555="Qiang D",714,IF(Atletas!R555="Pudao / Guandao D",715,IF(Atletas!R555="Outra Arma Longa D",716,IF(Atletas!R555="Gun E",717,IF(Atletas!R555="Qiang E",718,IF(Atletas!R555="Pudao / Guandao E",719,IF(Atletas!R555="Outra Arma Longa E",720,IF(Atletas!R555="Gun F",721,IF(Atletas!R555="Qiang F",722,IF(Atletas!R555="Pudao / Guandao F",723,IF(Atletas!R555="Outra Arma Longa F",724,"")))))))))))))))))))))))))</f>
        <v/>
      </c>
      <c r="BU559" s="52" t="str">
        <f>IF(Atletas!S555="","",IF(Atletas!W555&lt;&gt;"",10000,0)+IF(Atletas!B555="Feminino",1000,IF(Atletas!B555="Masculino",2000,""))+IF(Atletas!S555="Arma Dupla A",801,IF(Atletas!S555="Arma Maleável A",802,IF(Atletas!S555="Arma Dupla B",803,IF(Atletas!S555="Arma Maleável B",804,IF(Atletas!S555="Arma Dupla C",805,IF(Atletas!S555="Arma Maleável C",806,IF(Atletas!S555="Arma Dupla D",807,IF(Atletas!S555="Arma Maleável D",808,IF(Atletas!S555="Arma Dupla E",809,IF(Atletas!S555="Arma Maleável E",810,IF(Atletas!S555="Arma Dupla F",811,IF(Atletas!S555="Arma Maleável F",812, "")))))))))))))</f>
        <v/>
      </c>
      <c r="BV559" s="52" t="str">
        <f>IF(Atletas!T555="","",IF(Atletas!W555&lt;&gt;"",10000,0)+IF(Atletas!B555="Feminino",1000,IF(Atletas!B555="Masculino",2000,""))+IF(Atletas!T555="Taijijian Yang A",901,IF(Atletas!T555="Taijijian Chen A",902,IF(Atletas!T555="Taijijian Sun A",903,IF(Atletas!T555="Taijijian Wu A",904,IF(Atletas!T555="Taijijian Wu-Hao A",905,IF(Atletas!T555="Taijijian 32 A",906,IF(Atletas!T555="Taijijian 42 A",907,IF(Atletas!T555="Taijijian Yang B",908,IF(Atletas!T555="Taijijian Chen B",909,IF(Atletas!T555="Taijijian Sun B",910,IF(Atletas!T555="Taijijian Wu B",911,IF(Atletas!T555="Taijijian Wu-Hao B",912,IF(Atletas!T555="Taijijian 32 B",913,IF(Atletas!T555="Taijijian 42 B",914,IF(Atletas!T555="Taijijian Yang C",915,IF(Atletas!T555="Taijijian Chen C",916,IF(Atletas!T555="Taijijian Sun C",917,IF(Atletas!T555="Taijijian Wu C",918,IF(Atletas!T555="Taijijian Wu-Hao C",919,IF(Atletas!T555="Taijijian 32 C",920,IF(Atletas!T555="Taijijian 42 C",921,IF(Atletas!T555="Taijijian Yang D",922,IF(Atletas!T555="Taijijian Chen D",923,IF(Atletas!T555="Taijijian Sun D",924,IF(Atletas!T555="Taijijian Wu D",925,IF(Atletas!T555="Taijijian Wu-Hao D",926,IF(Atletas!T555="Taijijian 32 D",927,IF(Atletas!T555="Taijijian 42 D",928,IF(Atletas!T555="Taijijian Yang E",929,IF(Atletas!T555="Taijijian Chen E",930,IF(Atletas!T555="Taijijian Sun E",931,IF(Atletas!T555="Taijijian Wu E",932,IF(Atletas!T555="Taijijian Wu-Hao E",933,IF(Atletas!T555="Taijijian 32 E",934,IF(Atletas!T555="Taijijian 42 E",935,IF(Atletas!T555="Taijijian Yang F",936,IF(Atletas!T555="Taijijian Chen F",937,IF(Atletas!T555="Taijijian Sun F",938,IF(Atletas!T555="Taijijian Wu F",939,IF(Atletas!T555="Taijijian Wu-Hao F",940,IF(Atletas!T555="Taijijian 32 F",941,IF(Atletas!T555="Taijijian 42 F",942,"")))))))))))))))))))))))))))))))))))))))))))</f>
        <v/>
      </c>
      <c r="BW559" s="52" t="str">
        <f>IF(Atletas!U555="","",IF(Atletas!W555&lt;&gt;"",10000,0)+IF(Atletas!B555="Feminino",1000,IF(Atletas!B555="Masculino",2000,""))+IF(Atletas!T555="Taijijian 42 F",942,IF(Atletas!U555="Taijidao A",943,IF(Atletas!U555="Taijishan A",944,IF(Atletas!U555="Taijiqiang A",945,IF(Atletas!U555="Taijidao B",946,IF(Atletas!U555="Taijishan B",947,IF(Atletas!U555="Taijiqiang B",948,IF(Atletas!U555="Taijidao C",949,IF(Atletas!U555="Taijishan C",950,IF(Atletas!U555="Taijiqiang C",951,IF(Atletas!U555="Taijidao D",952,IF(Atletas!U555="Taijishan D",953,IF(Atletas!U555="Taijiqiang D",954,IF(Atletas!U555="Taijidao E",955,IF(Atletas!U555="Taijishan E",956,IF(Atletas!U555="Taijiqiang E",957,IF(Atletas!U555="Taijidao F",958,IF(Atletas!U555="Taijishan F",959,IF(Atletas!U555="Taijiqiang F",960))))))))))))))))))))</f>
        <v/>
      </c>
      <c r="CF559" s="52" t="str">
        <f xml:space="preserve"> IF(Atletas!V555="","",IF(Atletas!V555="Duilian de Mãos AB - Equipe 1",1,IF(Atletas!V555="Duilian de Mãos AB - Equipe 2",2,IF(Atletas!V555="Duilian de Armas AB - Equipe 1",3,IF(Atletas!V555="Duilian de Armas AB - Equipe 2",4,IF(Atletas!V555="Duilian de Tuishou - Equipe 1",5,IF(Atletas!V555="Duilian de Tuishou - Equipe 2",6,IF(Atletas!V555="Grupo Externo AB - Equipe 1",7,IF(Atletas!V555="Grupo Externo AB - Equipe 2",8,IF(Atletas!V555="Grupo Interno AB - Equipe 1",9,IF(Atletas!V555="Grupo Interno AB - Equipe 2",10,IF(Atletas!V555="Duilian de Mãos CD - Equipe 1",11,IF(Atletas!V555="Duilian de Mãos CD - Equipe 2",12,IF(Atletas!V555="Duilian de Armas CD - Equipe 1",13,IF(Atletas!V555="Duilian de Armas CD - Equipe 2",14,IF(Atletas!V555="Duilian de Tuishou - Equipe 1",15,IF(Atletas!V555="Duilian de Tuishou - Equipe 2",16,IF(Atletas!V555="Grupo Externo CDEF - Equipe 1",17,IF(Atletas!V555="Grupo Externo CDEF - Equipe 2",18,IF(Atletas!V555="Grupo Interno CDEF - Equipe 1",19,IF(Atletas!V555="Grupo Interno CDEF - Equipe 2",20,IF(Atletas!V555="Duilian de Mãos EF - Equipe 1",21,IF(Atletas!V555="Duilian de Mãos EF - Equipe 2",22,IF(Atletas!V555="Duilian de Armas EF - Equipe 1",23,IF(Atletas!V555="Duilian de Armas EF - Equipe 2",24,IF(Atletas!V555="Duilian de Tuishou - Equipe 1",25,IF(Atletas!V555="Duilian de Tuishou - Equipe 2",26,"")))))))))))))))))))))))))))</f>
        <v/>
      </c>
    </row>
    <row r="560" spans="36:84">
      <c r="AJ560" s="46" t="str">
        <f>IF(Atletas!D556="","",IF(Atletas!B556="Feminino",100,IF(Atletas!B556="Masculino",200,""))+(IF(Atletas!D556="Infantil 39kg",1,IF(Atletas!D556="Infantil 42kg",2,IF(Atletas!D556="Infantil 45kg",3,IF(Atletas!D556="Infantil 48kg",4,IF(Atletas!D556="Infantil 52kg",5,IF(Atletas!D556="Infantil 56kg",6,IF(Atletas!D556="Infantil 60kg",7,IF(Atletas!D556="Juvenil 48kg",8,IF(Atletas!D556="Juvenil 52kg",9,IF(Atletas!D556="Juvenil 56kg",10,IF(Atletas!D556="Juvenil 60kg",11,IF(Atletas!D556="Juvenil 65kg",12,IF(Atletas!D556="Juvenil 70kg",13,IF(Atletas!D556="Juvenil 75kg",14,IF(Atletas!D556="Juvenil 80kg",15,IF(Atletas!D556="Adulto 48kg",16,IF(Atletas!D556="Adulto 52kg",17,IF(Atletas!D556="Adulto 56kg",18,IF(Atletas!D556="Adulto 60kg",19,IF(Atletas!D556="Adulto 65kg",20,IF(Atletas!D556="Adulto 70kg",21,IF(Atletas!D556="Adulto 75kg",22,IF(Atletas!D556="Adulto 80kg",23,IF(Atletas!D556="Adulto 85kg",24,IF(Atletas!D556="Adulto 90kg",25,IF(Atletas!D556="Adulto +90kg",26,""))))))))))))))))))))))))))))</f>
        <v/>
      </c>
      <c r="AO560" s="10" t="str">
        <f>IF(Atletas!E556="","",IF(Atletas!B556="Feminino",100,IF(Atletas!B556="Masculino",200,""))+(IF(Atletas!E556="Juvenil 44kg",1,IF(Atletas!E556="Juvenil 48kg",2,IF(Atletas!E556="Juvenil 52kg",3,IF(Atletas!E556="Juvenil 56kg",4,IF(Atletas!E556="Juvenil 60kg",5,IF(Atletas!E556="Juvenil 65kg",6,IF(Atletas!E556="Juvenil 70kg",7,IF(Atletas!E556="Juvenil 75kg",8,IF(Atletas!E556="Juvenil 82kg",9,IF(Atletas!E556="Juvenil 90kg",10,IF(Atletas!E556="Juvenil 100kg",11,IF(Atletas!E556="Adulto 48kg",12,IF(Atletas!E556="Adulto 52kg",13,IF(Atletas!E556="Adulto 56kg",14,IF(Atletas!E556="Adulto 60kg",15,IF(Atletas!E556="Adulto 65kg",16,IF(Atletas!E556="Adulto 70kg",17,IF(Atletas!E556="Adulto 75kg",18,IF(Atletas!E556="Adulto 82kg",19,IF(Atletas!E556="Adulto 90kg",20,IF(Atletas!E556="Adulto 100kg",21,IF(Atletas!E556="Adulto +100kg",22,""))))))))))))))))))))))))</f>
        <v/>
      </c>
      <c r="AT560" s="10" t="str">
        <f>IF(Atletas!F556="","",IF(Atletas!B556="Feminino",100,IF(Atletas!B556="Masculino",200,""))+(IF(Atletas!F556="Adulto 48kg",1,IF(Atletas!F556="Adulto 56kg",2,IF(Atletas!F556="Adulto 65kg",3,IF(Atletas!F556="Adulto 75kg",4,IF(Atletas!F556="Adulto +75kg",5,IF(Atletas!F556="Adulto 52kg",6,IF(Atletas!F556="Adulto 60kg",7,IF(Atletas!F556="Adulto 70kg",8,IF(Atletas!F556="Adulto 80kg",9,IF(Atletas!F556="Adulto 90kg",10,IF(Atletas!F556="Adulto +90kg",11,"")))))))))))))</f>
        <v/>
      </c>
      <c r="AY560" s="46" t="str">
        <f>IF(Atletas!G556="","",IF(Atletas!B556="Feminino",100,IF(Atletas!B556="Masculino",200,""))+(IF(Atletas!G556="Changquan Mirim",1,IF(Atletas!G556="Nanquan Mirim",2,IF(Atletas!G556="Taijiquan Mirim",3,IF(Atletas!G556="Changquan Grupo C",4,IF(Atletas!G556="Nanquan Grupo C",5,IF(Atletas!G556="Taijiquan Grupo C",6,IF(Atletas!G556="Changquan Grupo B",7,IF(Atletas!G556="Nanquan Grupo B",8,IF(Atletas!G556="Taijiquan Grupo B",9,IF(Atletas!G556="Changquan Grupo A",10,IF(Atletas!G556="Nanquan Grupo A",11,IF(Atletas!G556="Taijiquan Grupo A",12,IF(Atletas!G556="Changquan Opcional",13,IF(Atletas!G556="Nanquan Opcional",14,IF(Atletas!G556="Taijiquan Opcional",15,IF(Atletas!G556="Changquan Adulto",16,IF(Atletas!G556="Nanquan Adulto",17,IF(Atletas!G556="Taijiquan Adulto",18,""))))))))))))))))))))</f>
        <v/>
      </c>
      <c r="AZ560" s="46" t="str">
        <f>IF(Atletas!H556="","",IF(Atletas!B556="Feminino",100,IF(Atletas!B556="Masculino",200,""))+(IF(Atletas!H556="Daoshu Mirim",19,IF(Atletas!H556="Jianshu Mirim",20,IF(Atletas!H556="Nandao Mirim",21,IF(Atletas!H556="Taijijian Mirim",22,IF(Atletas!H556="Daoshu Grupo C",23,IF(Atletas!H556="Jianshu Grupo C",24,IF(Atletas!H556="Nandao Grupo C",25,IF(Atletas!H556="Taijijian Grupo C",26,IF(Atletas!H556="Daoshu Grupo B",27,IF(Atletas!H556="Jianshu Grupo B",28,IF(Atletas!H556="Nandao Grupo B",29,IF(Atletas!H556="Taijijian Grupo B",30,IF(Atletas!H556="Daoshu Grupo A",31,IF(Atletas!H556="Jianshu Grupo A",32,IF(Atletas!H556="Nandao Grupo A",33,IF(Atletas!H556="Taijijian Grupo A",34,IF(Atletas!H556="Daoshu Opcional",35,IF(Atletas!H556="Jianshu Opcional",36,IF(Atletas!H556="Nandao Opcional",37,IF(Atletas!H556="Taijijian Opcional",38,IF(Atletas!H556="Daoshu Adulto",39,IF(Atletas!H556="Jianshu Adulto",40,IF(Atletas!H556="Nandao Adulto",41,IF(Atletas!H556="Taijijian Adulto",42,""))))))))))))))))))))))))))</f>
        <v/>
      </c>
      <c r="BA560" s="46" t="str">
        <f>IF(Atletas!I556="","",IF(Atletas!B556="Feminino",100,IF(Atletas!B556="Masculino",200,""))+(IF(Atletas!I556="Gunshu Mirim",43,IF(Atletas!I556="Qiangshu Mirim",44,IF(Atletas!I556="Nangun Mirim",45,IF(Atletas!I556="Gunshu Grupo C",46,IF(Atletas!I556="Qiangshu Grupo C",47,IF(Atletas!I556="Nangun Grupo C",48,IF(Atletas!I556="Gunshu Grupo B",49,IF(Atletas!I556="Qiangshu Grupo B",50,IF(Atletas!I556="Nangun Grupo B",51,IF(Atletas!I556="Gunshu Grupo A",52,IF(Atletas!I556="Qiangshu Grupo A",53,IF(Atletas!I556="Nangun Grupo A",54,IF(Atletas!I556="Gunshu Opcional",55,IF(Atletas!I556="Qiangshu Opcional",56,IF(Atletas!I556="Nangun Opcional",57,IF(Atletas!I556="Gunshu Adulto",58,IF(Atletas!I556="Qiangshu Adulto",59,IF(Atletas!I556="Nangun Adulto",60,""))))))))))))))))))))</f>
        <v/>
      </c>
      <c r="BF560" s="52" t="str">
        <f>IF(Atletas!J556="","",IF(Atletas!B556="Feminino",100,IF(Atletas!B556="Masculino",200,""))+(IF(Atletas!J556="Equipe 1 Grupo B",1,IF(Atletas!J556="Equipe 2 Grupo B",2,IF(Atletas!J556="Equipe 1 Grupo A",3,IF(Atletas!J556="Equipe 2 Grupo A",4,IF(Atletas!J556="Equipe 1 Adulto",5,IF(Atletas!J556="Equipe 2 Adulto",6,""))))))))</f>
        <v/>
      </c>
      <c r="BK560" s="52" t="str">
        <f>IF(Atletas!K556="","",IF(Atletas!W556&lt;&gt;"",10000,0)+(IF(Atletas!B556="Feminino",1000,IF(Atletas!B556="Masculino",2000,""))+IF(Atletas!K556="Choylayfut A",1,IF(Atletas!K556="Hunggar A",2,IF(Atletas!K556="Wuzuquan A",3,IF(Atletas!K556="Wingchun A",4,IF(Atletas!K556="Outra Mão de Sul A",5,IF(Atletas!K556="Choylayfut B",6,IF(Atletas!K556="Hunggar B",7,IF(Atletas!K556="Wuzuquan B",8,IF(Atletas!K556="Wingchun B",9,IF(Atletas!K556="Outra Mão de Sul B",10,IF(Atletas!K556="Choylayfut C",11,IF(Atletas!K556="Hunggar C",12,IF(Atletas!K556="Wuzuquan C",13,IF(Atletas!K556="Wingchun C",14,IF(Atletas!K556="Outra Mão de Sul C",15,IF(Atletas!K556="Choylayfut D",16,IF(Atletas!K556="Hunggar D",17,IF(Atletas!K556="Wuzuquan D",18,IF(Atletas!K556="Wingchun D",19,IF(Atletas!K556="Outra Mão de Sul D",20,IF(Atletas!K556="Choylayfut E",21,IF(Atletas!K556="Hunggar E",22,IF(Atletas!K556="Wuzuquan E",23,IF(Atletas!K556="Wingchun E",24,IF(Atletas!K556="Outra Mão de Sul E",25,IF(Atletas!K556="Choylayfut F",26,IF(Atletas!K556="Hunggar F",27,IF(Atletas!K556="Wuzuquan F",28,IF(Atletas!K556="Wingchun F",29,IF(Atletas!K556="Outra Mão de Sul F",30,""))))))))))))))))))))))))))))))))</f>
        <v/>
      </c>
      <c r="BL560" s="52" t="str">
        <f>IF(Atletas!L556="","",IF(Atletas!W556&lt;&gt;"",10000,0)+(IF(Atletas!B556="Feminino",1000,IF(Atletas!B556="Masculino",2000,""))+(IF(Atletas!L556="Chaquan A",101,IF(Atletas!L556="Emeiquan A",102,IF(Atletas!L556="Fanziquan A",103,IF(Atletas!L556="Huaquan A",104,IF(Atletas!L556="Hongquan A",105,IF(Atletas!L556="Paochui A",106,IF(Atletas!L556="Piguaquan A",107,IF(Atletas!L556="Shaolinquan A",108,IF(Atletas!L556="Tanglangquan A",109,IF(Atletas!L556="Yinzhaophai A",110,IF(Atletas!L556="Tongbeiquan A",111,IF(Atletas!L556="Wudangquan A",112,IF(Atletas!L556="Outros Estilos A",113,IF(Atletas!L556="Chaquan B",114,IF(Atletas!L556="Emeiquan B",115,IF(Atletas!L556="Fanziquan B",116,IF(Atletas!L556="Huaquan B",117,IF(Atletas!L556="Hongquan B",118,IF(Atletas!L556="Paochui B",119,IF(Atletas!L556="Piguaquan B",120,IF(Atletas!L556="Shaolinquan B",121,IF(Atletas!L556="Tanglangquan B",122,IF(Atletas!L556="Yinzhaophai B",123,IF(Atletas!L556="Tongbeiquan B",124,IF(Atletas!L556="Wudangquan B",125,IF(Atletas!L556="Outros Estilos B",126,IF(Atletas!L556="Chaquan C",127,IF(Atletas!L556="Emeiquan C",128,IF(Atletas!L556="Fanziquan C",129,IF(Atletas!L556="Huaquan C",130,IF(Atletas!L556="Hongquan C",131,IF(Atletas!L556="Paochui C",132,IF(Atletas!L556="Piguaquan C",133,IF(Atletas!L556="Shaolinquan C",134,IF(Atletas!L556="Tanglangquan C",135,IF(Atletas!L556="Yinzhaophai C",136,IF(Atletas!L556="Tongbeiquan C",137,IF(Atletas!L556="Wudangquan C",138,IF(Atletas!L556="Outros Estilos C",139,0))))))))))))))))))))))))))))))))))))))))))</f>
        <v/>
      </c>
      <c r="BM560" s="52" t="str">
        <f>IF(Atletas!L556="","",IF(Atletas!W556&lt;&gt;"",10000,0)+(IF(Atletas!B556="Feminino",1000,IF(Atletas!B556="Masculino",2000,""))+(IF(Atletas!L556="Chaquan D",140,IF(Atletas!L556="Emeiquan D",141,IF(Atletas!L556="Fanziquan D",142,IF(Atletas!L556="Huaquan D",143,IF(Atletas!L556="Hongquan D",144,IF(Atletas!L556="Paochui D",145,IF(Atletas!L556="Piguaquan D",146,IF(Atletas!L556="Shaolinquan D",147,IF(Atletas!L556="Tanglangquan D",148,IF(Atletas!L556="Yinzhaophai D",149,IF(Atletas!L556="Tongbeiquan D",150,IF(Atletas!L556="Wudangquan D",151,IF(Atletas!L556="Outros Estilos D",152,IF(Atletas!L556="Chaquan E",153,IF(Atletas!L556="Emeiquan E",154,IF(Atletas!L556="Fanziquan E",155,IF(Atletas!L556="Huaquan E",156,IF(Atletas!L556="Hongquan E",157,IF(Atletas!L556="Paochui E",158,IF(Atletas!L556="Piguaquan E",159,IF(Atletas!L556="Shaolinquan E",160,IF(Atletas!L556="Tanglangquan E",161,IF(Atletas!L556="Yinzhaophai E",162,IF(Atletas!L556="Tongbeiquan E",163,IF(Atletas!L556="Wudangquan E",164,IF(Atletas!L556="Outros Estilos E",165,IF(Atletas!L556="Chaquan F",166,IF(Atletas!L556="Emeiquan F",167,IF(Atletas!L556="Fanziquan F",168,IF(Atletas!L556="Huaquan F",169,IF(Atletas!L556="Hongquan F",170,IF(Atletas!L556="Paochui F",171,IF(Atletas!L556="Piguaquan F",172,IF(Atletas!L556="Shaolinquan F",173,IF(Atletas!L556="Tanglangquan F",174,IF(Atletas!L556="Yinzhaophai F",175,IF(Atletas!L556="Tongbeiquan F",176,IF(Atletas!L556="Wudangquan F",177,IF(Atletas!L556="Outros Estilos F",178,0))))))))))))))))))))))))))))))))))))))))))</f>
        <v/>
      </c>
      <c r="BN560" s="52" t="str">
        <f>IF(Atletas!M556="","",IF(Atletas!W556&lt;&gt;"",10000,0)+(IF(Atletas!B556="Feminino",1000,IF(Atletas!B556="Masculino",2000,""))+(IF(Atletas!M556="Ditangquan A",201,IF(Atletas!M556="Houquan A",202,IF(Atletas!M556="Zuiquan A",203,IF(Atletas!M556="Ditangquan B",204,IF(Atletas!M556="Houquan B",205,IF(Atletas!M556="Zuiquan B",206,IF(Atletas!M556="Ditangquan C",207,IF(Atletas!M556="Houquan C",208,IF(Atletas!M556="Zuiquan C",209,IF(Atletas!M556="Ditangquan D",210,IF(Atletas!M556="Houquan D",211,IF(Atletas!M556="Zuiquan D",212,IF(Atletas!M556="Ditangquan E",213,IF(Atletas!M556="Houquan E",214,IF(Atletas!M556="Zuiquan E",215,IF(Atletas!M556="Ditangquan F",216,IF(Atletas!M556="Houquan F",217,IF(Atletas!M556="Zuiquan F",218,"")))))))))))))))))))))</f>
        <v/>
      </c>
      <c r="BO560" s="52" t="str">
        <f>IF(Atletas!N556="","",IF(Atletas!W556&lt;&gt;"",10000,0)+IF(Atletas!B556="Feminino",1000,IF(Atletas!B556="Masculino",2000,""))+IF(Atletas!N556="Yang A",301,IF(Atletas!N556="Chen A",30,IF(Atletas!N556="Sun A",303,IF(Atletas!N556="Wu A",304,IF(Atletas!N556="Wu-Hao A",305,IF(Atletas!N556="Outro Taijiquan A",306,IF(Atletas!N556="Yang B",307,IF(Atletas!N556="Chen B",308,IF(Atletas!N556="Sun B",309,IF(Atletas!N556="Wu B",310,IF(Atletas!N556="Wu-Hao B",311,IF(Atletas!N556="Outro Taijiquan B",312,IF(Atletas!N556="Yang C",313,IF(Atletas!N556="Chen C",314,IF(Atletas!N556="Sun C",315,IF(Atletas!N556="Wu C",316,IF(Atletas!N556="Wu-Hao C",317,IF(Atletas!N556="Outro Taijiquan C",318,IF(Atletas!N556="Yang D",319,IF(Atletas!N556="Chen D",320,IF(Atletas!N556="Sun D",321,IF(Atletas!N556="Wu D",322,IF(Atletas!N556="Wu-Hao D",323,IF(Atletas!N556="Outro Taijiquan D",324,IF(Atletas!N556="Yang E",325,IF(Atletas!N556="Chen E",326,IF(Atletas!N556="Sun E",327,IF(Atletas!N556="Wu E",328,IF(Atletas!N556="Wu-Hao E",329,IF(Atletas!N556="Outro Taijiquan E",330,IF(Atletas!N556="Yang F",331,IF(Atletas!N556="Chen F",332,IF(Atletas!N556="Sun F",333,IF(Atletas!N556="Wu F",334,IF(Atletas!N556="Wu-Hao F",335,IF(Atletas!N556="Outro Taijiquan F",336,"")))))))))))))))))))))))))))))))))))))</f>
        <v/>
      </c>
      <c r="BP560" s="52" t="str">
        <f>IF(Atletas!O556="","",IF(Atletas!W556&lt;&gt;"",10000,0)+IF(Atletas!B556="Feminino",1000,IF(Atletas!B556="Masculino",2000,""))+IF(OR(Atletas!O556="Yang 26 A",Atletas!O556="Yang 40 A"),401,IF(OR(Atletas!O556="Chen 25 A",Atletas!O556="Chen 36 A",Atletas!O556="Chen 56 A"),402,IF(Atletas!O556="Sun 73 A",403,IF(Atletas!O556="Wu 45 A",404,IF(Atletas!O556="Wu-Hao 46 A",405,IF(OR(Atletas!O556="Taijiquan 16 A",Atletas!O556="Taijiquan 24 A",Atletas!O556="Taijiquan 32 A",Atletas!O556="Taijiquan 42 A"),406,IF(OR(Atletas!O556="Yang 26 B",Atletas!O556="Yang 40 B"),407,IF(OR(Atletas!O556="Chen 25 B",Atletas!O556="Chen 36 B",Atletas!O556="Chen 56 B"),408,IF(Atletas!O556="Sun 73 B",409,IF(Atletas!O556="Wu 45 B",410,IF(Atletas!O556="Wu-Hao 46 B",411,IF(OR(Atletas!O556="Taijiquan 16 B",Atletas!O556="Taijiquan 24 B",Atletas!O556="Taijiquan 32 B",Atletas!O556="Taijiquan 42 B"),412,IF(OR(Atletas!O556="Yang 26 C",Atletas!O556="Yang 40 C"),413,IF(OR(Atletas!O556="Chen 25 C",Atletas!O556="Chen 36 C",Atletas!O556="Chen 56 C"),414,IF(Atletas!O556="Sun 73 C",415,IF(Atletas!O556="Wu 45 C",416,IF(Atletas!O556="Wu-Hao 46 C",417,IF(OR(Atletas!O556="Taijiquan 16 C",Atletas!O556="Taijiquan 24 C",Atletas!O556="Taijiquan 32 C",Atletas!O556="Taijiquan 42 C"),418,0)))))))))))))))))))</f>
        <v/>
      </c>
      <c r="BQ560" s="52" t="str">
        <f>IF(Atletas!O556="","",IF(Atletas!W556&lt;&gt;"",10000,0)+IF(Atletas!B556="Feminino",1000,IF(Atletas!B556="Masculino",2000,""))+IF(OR(Atletas!O556="Yang 26 D",Atletas!O556="Yang 40 D"),419,IF(OR(Atletas!O556="Chen 25 D",Atletas!O556="Chen 36 D",Atletas!O556="Chen 56 D"),420,IF(Atletas!O556="Sun 73 D",421,IF(Atletas!O556="Wu 45 D",422,IF(Atletas!O556="Wu-Hao 46 D",423,IF(OR(Atletas!O556="Taijiquan 16 D",Atletas!O556="Taijiquan 24 D",Atletas!O556="Taijiquan 32 D",Atletas!O556="Taijiquan 42 D"),424,IF(OR(Atletas!O556="Yang 26 E",Atletas!O556="Yang 40 E"),425,IF(OR(Atletas!O556="Chen 25 E",Atletas!O556="Chen 36 E",Atletas!O556="Chen 56 E"),426,IF(Atletas!O556="Sun 73 E",427,IF(Atletas!O556="Wu 45 E",428,IF(Atletas!O556="Wu-Hao 46 E",429,IF(OR(Atletas!O556="Taijiquan 16 E",Atletas!O556="Taijiquan 24 E",Atletas!O556="Taijiquan 32 E",Atletas!O556="Taijiquan 42 E"),430,IF(OR(Atletas!O556="Yang 26 F",Atletas!O556="Yang 40 F"),431,IF(OR(Atletas!O556="Chen 25 F",Atletas!O556="Chen 36 F",Atletas!O556="Chen 56 F"),432,IF(Atletas!O556="Sun 73 F",433,IF(Atletas!O556="Wu 45 F",434,IF(Atletas!O556="Wu-Hao 46 F",435,IF(OR(Atletas!O556="Taijiquan 16 F",Atletas!O556="Taijiquan 24 F",Atletas!O556="Taijiquan 32 F",Atletas!O556="Taijiquan 42 F"),436,0)))))))))))))))))))</f>
        <v/>
      </c>
      <c r="BR560" s="52" t="str">
        <f>IF(Atletas!P556="","",IF(Atletas!W556&lt;&gt;"",10000,0)+IF(Atletas!B556="Feminino",1000,IF(Atletas!B556="Masculino",2000,""))+IF(Atletas!P556="Xingyiquan A",501,IF(Atletas!P556="Baguazhang A",502,IF(Atletas!P556="Outro Estilo Interno A",503,IF(Atletas!P556="Xingyiquan B",504,IF(Atletas!P556="Baguazhang B",505,IF(Atletas!P556="Outro Estilo Interno B",506,IF(Atletas!P556="Xingyiquan C",507,IF(Atletas!P556="Baguazhang C",508,IF(Atletas!P556="Outro Estilo Interno C",509,IF(Atletas!P556="Xingyiquan D",510,IF(Atletas!P556="Baguazhang D",511,IF(Atletas!P556="Outro Estilo Interno D",512,IF(Atletas!P556="Xingyiquan E",513,IF(Atletas!P556="Baguazhang E",514,IF(Atletas!P556="Outro Estilo Interno E",515,IF(Atletas!P556="Xingyiquan F",516,IF(Atletas!P556="Baguazhang F",517,IF(Atletas!P556="Outro Estilo Interno F",518, "")))))))))))))))))))</f>
        <v/>
      </c>
      <c r="BS560" s="52" t="str">
        <f>IF(Atletas!Q556="","",IF(Atletas!W556&lt;&gt;"",10000,0)+IF(Atletas!B556="Feminino",1000,IF(Atletas!B556="Masculino",2000,""))+IF(Atletas!Q556="Dao A",601,IF(Atletas!Q556="Jian A",602,IF(Atletas!Q556="Bishou A",603,IF(Atletas!Q556="Shan A",604,IF(Atletas!Q556="Outra Arma Curta A",605,IF(Atletas!Q556="Dao B",606,IF(Atletas!Q556="Jian B",607,IF(Atletas!Q556="Bishou B",608,IF(Atletas!Q556="Shan B",609,IF(Atletas!Q556="Outra Arma Curta B",610,IF(Atletas!Q556="Dao C",611,IF(Atletas!Q556="Jian C",612,IF(Atletas!Q556="Bishou C",613,IF(Atletas!Q556="Shan C",614,IF(Atletas!Q556="Outra Arma Curta C",615,IF(Atletas!Q556="Dao D",616,IF(Atletas!Q556="Jian D",617,IF(Atletas!Q556="Bishou D",618,IF(Atletas!Q556="Shan D",619,IF(Atletas!Q556="Outra Arma Curta D",620,IF(Atletas!Q556="Dao E",621,IF(Atletas!Q556="Jian E",622,IF(Atletas!Q556="Bishou E",623,IF(Atletas!Q556="Shan E",624,IF(Atletas!Q556="Outra Arma Curta E",625,IF(Atletas!Q556="Dao F",626,IF(Atletas!Q556="Jian F",627,IF(Atletas!Q556="Bishou F",628,IF(Atletas!Q556="Shan F",629,IF(Atletas!Q556="Outra Arma Curta F",630, "")))))))))))))))))))))))))))))))</f>
        <v/>
      </c>
      <c r="BT560" s="52" t="str">
        <f>IF(Atletas!R556="","",IF(Atletas!W556&lt;&gt;"",10000,0)+IF(Atletas!B556="Feminino",1000,IF(Atletas!B556="Masculino",2000,""))+IF(Atletas!R556="Gun A",701,IF(Atletas!R556="Qiang A",702,IF(Atletas!R556="Pudao / Guandao A",703,IF(Atletas!R556="Outra Arma Longa A",704,IF(Atletas!R556="Gun B",705,IF(Atletas!R556="Qiang B",706,IF(Atletas!R556="Pudao / Guandao B",707,IF(Atletas!R556="Outra Arma Longa B",708,IF(Atletas!R556="Gun C",709,IF(Atletas!R556="Qiang C",710,IF(Atletas!R556="Pudao / Guandao C",711,IF(Atletas!R556="Outra Arma Longa C",712,IF(Atletas!R556="Gun D",713,IF(Atletas!R556="Qiang D",714,IF(Atletas!R556="Pudao / Guandao D",715,IF(Atletas!R556="Outra Arma Longa D",716,IF(Atletas!R556="Gun E",717,IF(Atletas!R556="Qiang E",718,IF(Atletas!R556="Pudao / Guandao E",719,IF(Atletas!R556="Outra Arma Longa E",720,IF(Atletas!R556="Gun F",721,IF(Atletas!R556="Qiang F",722,IF(Atletas!R556="Pudao / Guandao F",723,IF(Atletas!R556="Outra Arma Longa F",724,"")))))))))))))))))))))))))</f>
        <v/>
      </c>
      <c r="BU560" s="52" t="str">
        <f>IF(Atletas!S556="","",IF(Atletas!W556&lt;&gt;"",10000,0)+IF(Atletas!B556="Feminino",1000,IF(Atletas!B556="Masculino",2000,""))+IF(Atletas!S556="Arma Dupla A",801,IF(Atletas!S556="Arma Maleável A",802,IF(Atletas!S556="Arma Dupla B",803,IF(Atletas!S556="Arma Maleável B",804,IF(Atletas!S556="Arma Dupla C",805,IF(Atletas!S556="Arma Maleável C",806,IF(Atletas!S556="Arma Dupla D",807,IF(Atletas!S556="Arma Maleável D",808,IF(Atletas!S556="Arma Dupla E",809,IF(Atletas!S556="Arma Maleável E",810,IF(Atletas!S556="Arma Dupla F",811,IF(Atletas!S556="Arma Maleável F",812, "")))))))))))))</f>
        <v/>
      </c>
      <c r="BV560" s="52" t="str">
        <f>IF(Atletas!T556="","",IF(Atletas!W556&lt;&gt;"",10000,0)+IF(Atletas!B556="Feminino",1000,IF(Atletas!B556="Masculino",2000,""))+IF(Atletas!T556="Taijijian Yang A",901,IF(Atletas!T556="Taijijian Chen A",902,IF(Atletas!T556="Taijijian Sun A",903,IF(Atletas!T556="Taijijian Wu A",904,IF(Atletas!T556="Taijijian Wu-Hao A",905,IF(Atletas!T556="Taijijian 32 A",906,IF(Atletas!T556="Taijijian 42 A",907,IF(Atletas!T556="Taijijian Yang B",908,IF(Atletas!T556="Taijijian Chen B",909,IF(Atletas!T556="Taijijian Sun B",910,IF(Atletas!T556="Taijijian Wu B",911,IF(Atletas!T556="Taijijian Wu-Hao B",912,IF(Atletas!T556="Taijijian 32 B",913,IF(Atletas!T556="Taijijian 42 B",914,IF(Atletas!T556="Taijijian Yang C",915,IF(Atletas!T556="Taijijian Chen C",916,IF(Atletas!T556="Taijijian Sun C",917,IF(Atletas!T556="Taijijian Wu C",918,IF(Atletas!T556="Taijijian Wu-Hao C",919,IF(Atletas!T556="Taijijian 32 C",920,IF(Atletas!T556="Taijijian 42 C",921,IF(Atletas!T556="Taijijian Yang D",922,IF(Atletas!T556="Taijijian Chen D",923,IF(Atletas!T556="Taijijian Sun D",924,IF(Atletas!T556="Taijijian Wu D",925,IF(Atletas!T556="Taijijian Wu-Hao D",926,IF(Atletas!T556="Taijijian 32 D",927,IF(Atletas!T556="Taijijian 42 D",928,IF(Atletas!T556="Taijijian Yang E",929,IF(Atletas!T556="Taijijian Chen E",930,IF(Atletas!T556="Taijijian Sun E",931,IF(Atletas!T556="Taijijian Wu E",932,IF(Atletas!T556="Taijijian Wu-Hao E",933,IF(Atletas!T556="Taijijian 32 E",934,IF(Atletas!T556="Taijijian 42 E",935,IF(Atletas!T556="Taijijian Yang F",936,IF(Atletas!T556="Taijijian Chen F",937,IF(Atletas!T556="Taijijian Sun F",938,IF(Atletas!T556="Taijijian Wu F",939,IF(Atletas!T556="Taijijian Wu-Hao F",940,IF(Atletas!T556="Taijijian 32 F",941,IF(Atletas!T556="Taijijian 42 F",942,"")))))))))))))))))))))))))))))))))))))))))))</f>
        <v/>
      </c>
      <c r="BW560" s="52" t="str">
        <f>IF(Atletas!U556="","",IF(Atletas!W556&lt;&gt;"",10000,0)+IF(Atletas!B556="Feminino",1000,IF(Atletas!B556="Masculino",2000,""))+IF(Atletas!T556="Taijijian 42 F",942,IF(Atletas!U556="Taijidao A",943,IF(Atletas!U556="Taijishan A",944,IF(Atletas!U556="Taijiqiang A",945,IF(Atletas!U556="Taijidao B",946,IF(Atletas!U556="Taijishan B",947,IF(Atletas!U556="Taijiqiang B",948,IF(Atletas!U556="Taijidao C",949,IF(Atletas!U556="Taijishan C",950,IF(Atletas!U556="Taijiqiang C",951,IF(Atletas!U556="Taijidao D",952,IF(Atletas!U556="Taijishan D",953,IF(Atletas!U556="Taijiqiang D",954,IF(Atletas!U556="Taijidao E",955,IF(Atletas!U556="Taijishan E",956,IF(Atletas!U556="Taijiqiang E",957,IF(Atletas!U556="Taijidao F",958,IF(Atletas!U556="Taijishan F",959,IF(Atletas!U556="Taijiqiang F",960))))))))))))))))))))</f>
        <v/>
      </c>
      <c r="CF560" s="52" t="str">
        <f xml:space="preserve"> IF(Atletas!V556="","",IF(Atletas!V556="Duilian de Mãos AB - Equipe 1",1,IF(Atletas!V556="Duilian de Mãos AB - Equipe 2",2,IF(Atletas!V556="Duilian de Armas AB - Equipe 1",3,IF(Atletas!V556="Duilian de Armas AB - Equipe 2",4,IF(Atletas!V556="Duilian de Tuishou - Equipe 1",5,IF(Atletas!V556="Duilian de Tuishou - Equipe 2",6,IF(Atletas!V556="Grupo Externo AB - Equipe 1",7,IF(Atletas!V556="Grupo Externo AB - Equipe 2",8,IF(Atletas!V556="Grupo Interno AB - Equipe 1",9,IF(Atletas!V556="Grupo Interno AB - Equipe 2",10,IF(Atletas!V556="Duilian de Mãos CD - Equipe 1",11,IF(Atletas!V556="Duilian de Mãos CD - Equipe 2",12,IF(Atletas!V556="Duilian de Armas CD - Equipe 1",13,IF(Atletas!V556="Duilian de Armas CD - Equipe 2",14,IF(Atletas!V556="Duilian de Tuishou - Equipe 1",15,IF(Atletas!V556="Duilian de Tuishou - Equipe 2",16,IF(Atletas!V556="Grupo Externo CDEF - Equipe 1",17,IF(Atletas!V556="Grupo Externo CDEF - Equipe 2",18,IF(Atletas!V556="Grupo Interno CDEF - Equipe 1",19,IF(Atletas!V556="Grupo Interno CDEF - Equipe 2",20,IF(Atletas!V556="Duilian de Mãos EF - Equipe 1",21,IF(Atletas!V556="Duilian de Mãos EF - Equipe 2",22,IF(Atletas!V556="Duilian de Armas EF - Equipe 1",23,IF(Atletas!V556="Duilian de Armas EF - Equipe 2",24,IF(Atletas!V556="Duilian de Tuishou - Equipe 1",25,IF(Atletas!V556="Duilian de Tuishou - Equipe 2",26,"")))))))))))))))))))))))))))</f>
        <v/>
      </c>
    </row>
    <row r="561" spans="36:84">
      <c r="AJ561" s="46" t="str">
        <f>IF(Atletas!D557="","",IF(Atletas!B557="Feminino",100,IF(Atletas!B557="Masculino",200,""))+(IF(Atletas!D557="Infantil 39kg",1,IF(Atletas!D557="Infantil 42kg",2,IF(Atletas!D557="Infantil 45kg",3,IF(Atletas!D557="Infantil 48kg",4,IF(Atletas!D557="Infantil 52kg",5,IF(Atletas!D557="Infantil 56kg",6,IF(Atletas!D557="Infantil 60kg",7,IF(Atletas!D557="Juvenil 48kg",8,IF(Atletas!D557="Juvenil 52kg",9,IF(Atletas!D557="Juvenil 56kg",10,IF(Atletas!D557="Juvenil 60kg",11,IF(Atletas!D557="Juvenil 65kg",12,IF(Atletas!D557="Juvenil 70kg",13,IF(Atletas!D557="Juvenil 75kg",14,IF(Atletas!D557="Juvenil 80kg",15,IF(Atletas!D557="Adulto 48kg",16,IF(Atletas!D557="Adulto 52kg",17,IF(Atletas!D557="Adulto 56kg",18,IF(Atletas!D557="Adulto 60kg",19,IF(Atletas!D557="Adulto 65kg",20,IF(Atletas!D557="Adulto 70kg",21,IF(Atletas!D557="Adulto 75kg",22,IF(Atletas!D557="Adulto 80kg",23,IF(Atletas!D557="Adulto 85kg",24,IF(Atletas!D557="Adulto 90kg",25,IF(Atletas!D557="Adulto +90kg",26,""))))))))))))))))))))))))))))</f>
        <v/>
      </c>
      <c r="AO561" s="10" t="str">
        <f>IF(Atletas!E557="","",IF(Atletas!B557="Feminino",100,IF(Atletas!B557="Masculino",200,""))+(IF(Atletas!E557="Juvenil 44kg",1,IF(Atletas!E557="Juvenil 48kg",2,IF(Atletas!E557="Juvenil 52kg",3,IF(Atletas!E557="Juvenil 56kg",4,IF(Atletas!E557="Juvenil 60kg",5,IF(Atletas!E557="Juvenil 65kg",6,IF(Atletas!E557="Juvenil 70kg",7,IF(Atletas!E557="Juvenil 75kg",8,IF(Atletas!E557="Juvenil 82kg",9,IF(Atletas!E557="Juvenil 90kg",10,IF(Atletas!E557="Juvenil 100kg",11,IF(Atletas!E557="Adulto 48kg",12,IF(Atletas!E557="Adulto 52kg",13,IF(Atletas!E557="Adulto 56kg",14,IF(Atletas!E557="Adulto 60kg",15,IF(Atletas!E557="Adulto 65kg",16,IF(Atletas!E557="Adulto 70kg",17,IF(Atletas!E557="Adulto 75kg",18,IF(Atletas!E557="Adulto 82kg",19,IF(Atletas!E557="Adulto 90kg",20,IF(Atletas!E557="Adulto 100kg",21,IF(Atletas!E557="Adulto +100kg",22,""))))))))))))))))))))))))</f>
        <v/>
      </c>
      <c r="AT561" s="10" t="str">
        <f>IF(Atletas!F557="","",IF(Atletas!B557="Feminino",100,IF(Atletas!B557="Masculino",200,""))+(IF(Atletas!F557="Adulto 48kg",1,IF(Atletas!F557="Adulto 56kg",2,IF(Atletas!F557="Adulto 65kg",3,IF(Atletas!F557="Adulto 75kg",4,IF(Atletas!F557="Adulto +75kg",5,IF(Atletas!F557="Adulto 52kg",6,IF(Atletas!F557="Adulto 60kg",7,IF(Atletas!F557="Adulto 70kg",8,IF(Atletas!F557="Adulto 80kg",9,IF(Atletas!F557="Adulto 90kg",10,IF(Atletas!F557="Adulto +90kg",11,"")))))))))))))</f>
        <v/>
      </c>
      <c r="AY561" s="46" t="str">
        <f>IF(Atletas!G557="","",IF(Atletas!B557="Feminino",100,IF(Atletas!B557="Masculino",200,""))+(IF(Atletas!G557="Changquan Mirim",1,IF(Atletas!G557="Nanquan Mirim",2,IF(Atletas!G557="Taijiquan Mirim",3,IF(Atletas!G557="Changquan Grupo C",4,IF(Atletas!G557="Nanquan Grupo C",5,IF(Atletas!G557="Taijiquan Grupo C",6,IF(Atletas!G557="Changquan Grupo B",7,IF(Atletas!G557="Nanquan Grupo B",8,IF(Atletas!G557="Taijiquan Grupo B",9,IF(Atletas!G557="Changquan Grupo A",10,IF(Atletas!G557="Nanquan Grupo A",11,IF(Atletas!G557="Taijiquan Grupo A",12,IF(Atletas!G557="Changquan Opcional",13,IF(Atletas!G557="Nanquan Opcional",14,IF(Atletas!G557="Taijiquan Opcional",15,IF(Atletas!G557="Changquan Adulto",16,IF(Atletas!G557="Nanquan Adulto",17,IF(Atletas!G557="Taijiquan Adulto",18,""))))))))))))))))))))</f>
        <v/>
      </c>
      <c r="AZ561" s="46" t="str">
        <f>IF(Atletas!H557="","",IF(Atletas!B557="Feminino",100,IF(Atletas!B557="Masculino",200,""))+(IF(Atletas!H557="Daoshu Mirim",19,IF(Atletas!H557="Jianshu Mirim",20,IF(Atletas!H557="Nandao Mirim",21,IF(Atletas!H557="Taijijian Mirim",22,IF(Atletas!H557="Daoshu Grupo C",23,IF(Atletas!H557="Jianshu Grupo C",24,IF(Atletas!H557="Nandao Grupo C",25,IF(Atletas!H557="Taijijian Grupo C",26,IF(Atletas!H557="Daoshu Grupo B",27,IF(Atletas!H557="Jianshu Grupo B",28,IF(Atletas!H557="Nandao Grupo B",29,IF(Atletas!H557="Taijijian Grupo B",30,IF(Atletas!H557="Daoshu Grupo A",31,IF(Atletas!H557="Jianshu Grupo A",32,IF(Atletas!H557="Nandao Grupo A",33,IF(Atletas!H557="Taijijian Grupo A",34,IF(Atletas!H557="Daoshu Opcional",35,IF(Atletas!H557="Jianshu Opcional",36,IF(Atletas!H557="Nandao Opcional",37,IF(Atletas!H557="Taijijian Opcional",38,IF(Atletas!H557="Daoshu Adulto",39,IF(Atletas!H557="Jianshu Adulto",40,IF(Atletas!H557="Nandao Adulto",41,IF(Atletas!H557="Taijijian Adulto",42,""))))))))))))))))))))))))))</f>
        <v/>
      </c>
      <c r="BA561" s="46" t="str">
        <f>IF(Atletas!I557="","",IF(Atletas!B557="Feminino",100,IF(Atletas!B557="Masculino",200,""))+(IF(Atletas!I557="Gunshu Mirim",43,IF(Atletas!I557="Qiangshu Mirim",44,IF(Atletas!I557="Nangun Mirim",45,IF(Atletas!I557="Gunshu Grupo C",46,IF(Atletas!I557="Qiangshu Grupo C",47,IF(Atletas!I557="Nangun Grupo C",48,IF(Atletas!I557="Gunshu Grupo B",49,IF(Atletas!I557="Qiangshu Grupo B",50,IF(Atletas!I557="Nangun Grupo B",51,IF(Atletas!I557="Gunshu Grupo A",52,IF(Atletas!I557="Qiangshu Grupo A",53,IF(Atletas!I557="Nangun Grupo A",54,IF(Atletas!I557="Gunshu Opcional",55,IF(Atletas!I557="Qiangshu Opcional",56,IF(Atletas!I557="Nangun Opcional",57,IF(Atletas!I557="Gunshu Adulto",58,IF(Atletas!I557="Qiangshu Adulto",59,IF(Atletas!I557="Nangun Adulto",60,""))))))))))))))))))))</f>
        <v/>
      </c>
      <c r="BF561" s="52" t="str">
        <f>IF(Atletas!J557="","",IF(Atletas!B557="Feminino",100,IF(Atletas!B557="Masculino",200,""))+(IF(Atletas!J557="Equipe 1 Grupo B",1,IF(Atletas!J557="Equipe 2 Grupo B",2,IF(Atletas!J557="Equipe 1 Grupo A",3,IF(Atletas!J557="Equipe 2 Grupo A",4,IF(Atletas!J557="Equipe 1 Adulto",5,IF(Atletas!J557="Equipe 2 Adulto",6,""))))))))</f>
        <v/>
      </c>
      <c r="BK561" s="52" t="str">
        <f>IF(Atletas!K557="","",IF(Atletas!W557&lt;&gt;"",10000,0)+(IF(Atletas!B557="Feminino",1000,IF(Atletas!B557="Masculino",2000,""))+IF(Atletas!K557="Choylayfut A",1,IF(Atletas!K557="Hunggar A",2,IF(Atletas!K557="Wuzuquan A",3,IF(Atletas!K557="Wingchun A",4,IF(Atletas!K557="Outra Mão de Sul A",5,IF(Atletas!K557="Choylayfut B",6,IF(Atletas!K557="Hunggar B",7,IF(Atletas!K557="Wuzuquan B",8,IF(Atletas!K557="Wingchun B",9,IF(Atletas!K557="Outra Mão de Sul B",10,IF(Atletas!K557="Choylayfut C",11,IF(Atletas!K557="Hunggar C",12,IF(Atletas!K557="Wuzuquan C",13,IF(Atletas!K557="Wingchun C",14,IF(Atletas!K557="Outra Mão de Sul C",15,IF(Atletas!K557="Choylayfut D",16,IF(Atletas!K557="Hunggar D",17,IF(Atletas!K557="Wuzuquan D",18,IF(Atletas!K557="Wingchun D",19,IF(Atletas!K557="Outra Mão de Sul D",20,IF(Atletas!K557="Choylayfut E",21,IF(Atletas!K557="Hunggar E",22,IF(Atletas!K557="Wuzuquan E",23,IF(Atletas!K557="Wingchun E",24,IF(Atletas!K557="Outra Mão de Sul E",25,IF(Atletas!K557="Choylayfut F",26,IF(Atletas!K557="Hunggar F",27,IF(Atletas!K557="Wuzuquan F",28,IF(Atletas!K557="Wingchun F",29,IF(Atletas!K557="Outra Mão de Sul F",30,""))))))))))))))))))))))))))))))))</f>
        <v/>
      </c>
      <c r="BL561" s="52" t="str">
        <f>IF(Atletas!L557="","",IF(Atletas!W557&lt;&gt;"",10000,0)+(IF(Atletas!B557="Feminino",1000,IF(Atletas!B557="Masculino",2000,""))+(IF(Atletas!L557="Chaquan A",101,IF(Atletas!L557="Emeiquan A",102,IF(Atletas!L557="Fanziquan A",103,IF(Atletas!L557="Huaquan A",104,IF(Atletas!L557="Hongquan A",105,IF(Atletas!L557="Paochui A",106,IF(Atletas!L557="Piguaquan A",107,IF(Atletas!L557="Shaolinquan A",108,IF(Atletas!L557="Tanglangquan A",109,IF(Atletas!L557="Yinzhaophai A",110,IF(Atletas!L557="Tongbeiquan A",111,IF(Atletas!L557="Wudangquan A",112,IF(Atletas!L557="Outros Estilos A",113,IF(Atletas!L557="Chaquan B",114,IF(Atletas!L557="Emeiquan B",115,IF(Atletas!L557="Fanziquan B",116,IF(Atletas!L557="Huaquan B",117,IF(Atletas!L557="Hongquan B",118,IF(Atletas!L557="Paochui B",119,IF(Atletas!L557="Piguaquan B",120,IF(Atletas!L557="Shaolinquan B",121,IF(Atletas!L557="Tanglangquan B",122,IF(Atletas!L557="Yinzhaophai B",123,IF(Atletas!L557="Tongbeiquan B",124,IF(Atletas!L557="Wudangquan B",125,IF(Atletas!L557="Outros Estilos B",126,IF(Atletas!L557="Chaquan C",127,IF(Atletas!L557="Emeiquan C",128,IF(Atletas!L557="Fanziquan C",129,IF(Atletas!L557="Huaquan C",130,IF(Atletas!L557="Hongquan C",131,IF(Atletas!L557="Paochui C",132,IF(Atletas!L557="Piguaquan C",133,IF(Atletas!L557="Shaolinquan C",134,IF(Atletas!L557="Tanglangquan C",135,IF(Atletas!L557="Yinzhaophai C",136,IF(Atletas!L557="Tongbeiquan C",137,IF(Atletas!L557="Wudangquan C",138,IF(Atletas!L557="Outros Estilos C",139,0))))))))))))))))))))))))))))))))))))))))))</f>
        <v/>
      </c>
      <c r="BM561" s="52" t="str">
        <f>IF(Atletas!L557="","",IF(Atletas!W557&lt;&gt;"",10000,0)+(IF(Atletas!B557="Feminino",1000,IF(Atletas!B557="Masculino",2000,""))+(IF(Atletas!L557="Chaquan D",140,IF(Atletas!L557="Emeiquan D",141,IF(Atletas!L557="Fanziquan D",142,IF(Atletas!L557="Huaquan D",143,IF(Atletas!L557="Hongquan D",144,IF(Atletas!L557="Paochui D",145,IF(Atletas!L557="Piguaquan D",146,IF(Atletas!L557="Shaolinquan D",147,IF(Atletas!L557="Tanglangquan D",148,IF(Atletas!L557="Yinzhaophai D",149,IF(Atletas!L557="Tongbeiquan D",150,IF(Atletas!L557="Wudangquan D",151,IF(Atletas!L557="Outros Estilos D",152,IF(Atletas!L557="Chaquan E",153,IF(Atletas!L557="Emeiquan E",154,IF(Atletas!L557="Fanziquan E",155,IF(Atletas!L557="Huaquan E",156,IF(Atletas!L557="Hongquan E",157,IF(Atletas!L557="Paochui E",158,IF(Atletas!L557="Piguaquan E",159,IF(Atletas!L557="Shaolinquan E",160,IF(Atletas!L557="Tanglangquan E",161,IF(Atletas!L557="Yinzhaophai E",162,IF(Atletas!L557="Tongbeiquan E",163,IF(Atletas!L557="Wudangquan E",164,IF(Atletas!L557="Outros Estilos E",165,IF(Atletas!L557="Chaquan F",166,IF(Atletas!L557="Emeiquan F",167,IF(Atletas!L557="Fanziquan F",168,IF(Atletas!L557="Huaquan F",169,IF(Atletas!L557="Hongquan F",170,IF(Atletas!L557="Paochui F",171,IF(Atletas!L557="Piguaquan F",172,IF(Atletas!L557="Shaolinquan F",173,IF(Atletas!L557="Tanglangquan F",174,IF(Atletas!L557="Yinzhaophai F",175,IF(Atletas!L557="Tongbeiquan F",176,IF(Atletas!L557="Wudangquan F",177,IF(Atletas!L557="Outros Estilos F",178,0))))))))))))))))))))))))))))))))))))))))))</f>
        <v/>
      </c>
      <c r="BN561" s="52" t="str">
        <f>IF(Atletas!M557="","",IF(Atletas!W557&lt;&gt;"",10000,0)+(IF(Atletas!B557="Feminino",1000,IF(Atletas!B557="Masculino",2000,""))+(IF(Atletas!M557="Ditangquan A",201,IF(Atletas!M557="Houquan A",202,IF(Atletas!M557="Zuiquan A",203,IF(Atletas!M557="Ditangquan B",204,IF(Atletas!M557="Houquan B",205,IF(Atletas!M557="Zuiquan B",206,IF(Atletas!M557="Ditangquan C",207,IF(Atletas!M557="Houquan C",208,IF(Atletas!M557="Zuiquan C",209,IF(Atletas!M557="Ditangquan D",210,IF(Atletas!M557="Houquan D",211,IF(Atletas!M557="Zuiquan D",212,IF(Atletas!M557="Ditangquan E",213,IF(Atletas!M557="Houquan E",214,IF(Atletas!M557="Zuiquan E",215,IF(Atletas!M557="Ditangquan F",216,IF(Atletas!M557="Houquan F",217,IF(Atletas!M557="Zuiquan F",218,"")))))))))))))))))))))</f>
        <v/>
      </c>
      <c r="BO561" s="52" t="str">
        <f>IF(Atletas!N557="","",IF(Atletas!W557&lt;&gt;"",10000,0)+IF(Atletas!B557="Feminino",1000,IF(Atletas!B557="Masculino",2000,""))+IF(Atletas!N557="Yang A",301,IF(Atletas!N557="Chen A",30,IF(Atletas!N557="Sun A",303,IF(Atletas!N557="Wu A",304,IF(Atletas!N557="Wu-Hao A",305,IF(Atletas!N557="Outro Taijiquan A",306,IF(Atletas!N557="Yang B",307,IF(Atletas!N557="Chen B",308,IF(Atletas!N557="Sun B",309,IF(Atletas!N557="Wu B",310,IF(Atletas!N557="Wu-Hao B",311,IF(Atletas!N557="Outro Taijiquan B",312,IF(Atletas!N557="Yang C",313,IF(Atletas!N557="Chen C",314,IF(Atletas!N557="Sun C",315,IF(Atletas!N557="Wu C",316,IF(Atletas!N557="Wu-Hao C",317,IF(Atletas!N557="Outro Taijiquan C",318,IF(Atletas!N557="Yang D",319,IF(Atletas!N557="Chen D",320,IF(Atletas!N557="Sun D",321,IF(Atletas!N557="Wu D",322,IF(Atletas!N557="Wu-Hao D",323,IF(Atletas!N557="Outro Taijiquan D",324,IF(Atletas!N557="Yang E",325,IF(Atletas!N557="Chen E",326,IF(Atletas!N557="Sun E",327,IF(Atletas!N557="Wu E",328,IF(Atletas!N557="Wu-Hao E",329,IF(Atletas!N557="Outro Taijiquan E",330,IF(Atletas!N557="Yang F",331,IF(Atletas!N557="Chen F",332,IF(Atletas!N557="Sun F",333,IF(Atletas!N557="Wu F",334,IF(Atletas!N557="Wu-Hao F",335,IF(Atletas!N557="Outro Taijiquan F",336,"")))))))))))))))))))))))))))))))))))))</f>
        <v/>
      </c>
      <c r="BP561" s="52" t="str">
        <f>IF(Atletas!O557="","",IF(Atletas!W557&lt;&gt;"",10000,0)+IF(Atletas!B557="Feminino",1000,IF(Atletas!B557="Masculino",2000,""))+IF(OR(Atletas!O557="Yang 26 A",Atletas!O557="Yang 40 A"),401,IF(OR(Atletas!O557="Chen 25 A",Atletas!O557="Chen 36 A",Atletas!O557="Chen 56 A"),402,IF(Atletas!O557="Sun 73 A",403,IF(Atletas!O557="Wu 45 A",404,IF(Atletas!O557="Wu-Hao 46 A",405,IF(OR(Atletas!O557="Taijiquan 16 A",Atletas!O557="Taijiquan 24 A",Atletas!O557="Taijiquan 32 A",Atletas!O557="Taijiquan 42 A"),406,IF(OR(Atletas!O557="Yang 26 B",Atletas!O557="Yang 40 B"),407,IF(OR(Atletas!O557="Chen 25 B",Atletas!O557="Chen 36 B",Atletas!O557="Chen 56 B"),408,IF(Atletas!O557="Sun 73 B",409,IF(Atletas!O557="Wu 45 B",410,IF(Atletas!O557="Wu-Hao 46 B",411,IF(OR(Atletas!O557="Taijiquan 16 B",Atletas!O557="Taijiquan 24 B",Atletas!O557="Taijiquan 32 B",Atletas!O557="Taijiquan 42 B"),412,IF(OR(Atletas!O557="Yang 26 C",Atletas!O557="Yang 40 C"),413,IF(OR(Atletas!O557="Chen 25 C",Atletas!O557="Chen 36 C",Atletas!O557="Chen 56 C"),414,IF(Atletas!O557="Sun 73 C",415,IF(Atletas!O557="Wu 45 C",416,IF(Atletas!O557="Wu-Hao 46 C",417,IF(OR(Atletas!O557="Taijiquan 16 C",Atletas!O557="Taijiquan 24 C",Atletas!O557="Taijiquan 32 C",Atletas!O557="Taijiquan 42 C"),418,0)))))))))))))))))))</f>
        <v/>
      </c>
      <c r="BQ561" s="52" t="str">
        <f>IF(Atletas!O557="","",IF(Atletas!W557&lt;&gt;"",10000,0)+IF(Atletas!B557="Feminino",1000,IF(Atletas!B557="Masculino",2000,""))+IF(OR(Atletas!O557="Yang 26 D",Atletas!O557="Yang 40 D"),419,IF(OR(Atletas!O557="Chen 25 D",Atletas!O557="Chen 36 D",Atletas!O557="Chen 56 D"),420,IF(Atletas!O557="Sun 73 D",421,IF(Atletas!O557="Wu 45 D",422,IF(Atletas!O557="Wu-Hao 46 D",423,IF(OR(Atletas!O557="Taijiquan 16 D",Atletas!O557="Taijiquan 24 D",Atletas!O557="Taijiquan 32 D",Atletas!O557="Taijiquan 42 D"),424,IF(OR(Atletas!O557="Yang 26 E",Atletas!O557="Yang 40 E"),425,IF(OR(Atletas!O557="Chen 25 E",Atletas!O557="Chen 36 E",Atletas!O557="Chen 56 E"),426,IF(Atletas!O557="Sun 73 E",427,IF(Atletas!O557="Wu 45 E",428,IF(Atletas!O557="Wu-Hao 46 E",429,IF(OR(Atletas!O557="Taijiquan 16 E",Atletas!O557="Taijiquan 24 E",Atletas!O557="Taijiquan 32 E",Atletas!O557="Taijiquan 42 E"),430,IF(OR(Atletas!O557="Yang 26 F",Atletas!O557="Yang 40 F"),431,IF(OR(Atletas!O557="Chen 25 F",Atletas!O557="Chen 36 F",Atletas!O557="Chen 56 F"),432,IF(Atletas!O557="Sun 73 F",433,IF(Atletas!O557="Wu 45 F",434,IF(Atletas!O557="Wu-Hao 46 F",435,IF(OR(Atletas!O557="Taijiquan 16 F",Atletas!O557="Taijiquan 24 F",Atletas!O557="Taijiquan 32 F",Atletas!O557="Taijiquan 42 F"),436,0)))))))))))))))))))</f>
        <v/>
      </c>
      <c r="BR561" s="52" t="str">
        <f>IF(Atletas!P557="","",IF(Atletas!W557&lt;&gt;"",10000,0)+IF(Atletas!B557="Feminino",1000,IF(Atletas!B557="Masculino",2000,""))+IF(Atletas!P557="Xingyiquan A",501,IF(Atletas!P557="Baguazhang A",502,IF(Atletas!P557="Outro Estilo Interno A",503,IF(Atletas!P557="Xingyiquan B",504,IF(Atletas!P557="Baguazhang B",505,IF(Atletas!P557="Outro Estilo Interno B",506,IF(Atletas!P557="Xingyiquan C",507,IF(Atletas!P557="Baguazhang C",508,IF(Atletas!P557="Outro Estilo Interno C",509,IF(Atletas!P557="Xingyiquan D",510,IF(Atletas!P557="Baguazhang D",511,IF(Atletas!P557="Outro Estilo Interno D",512,IF(Atletas!P557="Xingyiquan E",513,IF(Atletas!P557="Baguazhang E",514,IF(Atletas!P557="Outro Estilo Interno E",515,IF(Atletas!P557="Xingyiquan F",516,IF(Atletas!P557="Baguazhang F",517,IF(Atletas!P557="Outro Estilo Interno F",518, "")))))))))))))))))))</f>
        <v/>
      </c>
      <c r="BS561" s="52" t="str">
        <f>IF(Atletas!Q557="","",IF(Atletas!W557&lt;&gt;"",10000,0)+IF(Atletas!B557="Feminino",1000,IF(Atletas!B557="Masculino",2000,""))+IF(Atletas!Q557="Dao A",601,IF(Atletas!Q557="Jian A",602,IF(Atletas!Q557="Bishou A",603,IF(Atletas!Q557="Shan A",604,IF(Atletas!Q557="Outra Arma Curta A",605,IF(Atletas!Q557="Dao B",606,IF(Atletas!Q557="Jian B",607,IF(Atletas!Q557="Bishou B",608,IF(Atletas!Q557="Shan B",609,IF(Atletas!Q557="Outra Arma Curta B",610,IF(Atletas!Q557="Dao C",611,IF(Atletas!Q557="Jian C",612,IF(Atletas!Q557="Bishou C",613,IF(Atletas!Q557="Shan C",614,IF(Atletas!Q557="Outra Arma Curta C",615,IF(Atletas!Q557="Dao D",616,IF(Atletas!Q557="Jian D",617,IF(Atletas!Q557="Bishou D",618,IF(Atletas!Q557="Shan D",619,IF(Atletas!Q557="Outra Arma Curta D",620,IF(Atletas!Q557="Dao E",621,IF(Atletas!Q557="Jian E",622,IF(Atletas!Q557="Bishou E",623,IF(Atletas!Q557="Shan E",624,IF(Atletas!Q557="Outra Arma Curta E",625,IF(Atletas!Q557="Dao F",626,IF(Atletas!Q557="Jian F",627,IF(Atletas!Q557="Bishou F",628,IF(Atletas!Q557="Shan F",629,IF(Atletas!Q557="Outra Arma Curta F",630, "")))))))))))))))))))))))))))))))</f>
        <v/>
      </c>
      <c r="BT561" s="52" t="str">
        <f>IF(Atletas!R557="","",IF(Atletas!W557&lt;&gt;"",10000,0)+IF(Atletas!B557="Feminino",1000,IF(Atletas!B557="Masculino",2000,""))+IF(Atletas!R557="Gun A",701,IF(Atletas!R557="Qiang A",702,IF(Atletas!R557="Pudao / Guandao A",703,IF(Atletas!R557="Outra Arma Longa A",704,IF(Atletas!R557="Gun B",705,IF(Atletas!R557="Qiang B",706,IF(Atletas!R557="Pudao / Guandao B",707,IF(Atletas!R557="Outra Arma Longa B",708,IF(Atletas!R557="Gun C",709,IF(Atletas!R557="Qiang C",710,IF(Atletas!R557="Pudao / Guandao C",711,IF(Atletas!R557="Outra Arma Longa C",712,IF(Atletas!R557="Gun D",713,IF(Atletas!R557="Qiang D",714,IF(Atletas!R557="Pudao / Guandao D",715,IF(Atletas!R557="Outra Arma Longa D",716,IF(Atletas!R557="Gun E",717,IF(Atletas!R557="Qiang E",718,IF(Atletas!R557="Pudao / Guandao E",719,IF(Atletas!R557="Outra Arma Longa E",720,IF(Atletas!R557="Gun F",721,IF(Atletas!R557="Qiang F",722,IF(Atletas!R557="Pudao / Guandao F",723,IF(Atletas!R557="Outra Arma Longa F",724,"")))))))))))))))))))))))))</f>
        <v/>
      </c>
      <c r="BU561" s="52" t="str">
        <f>IF(Atletas!S557="","",IF(Atletas!W557&lt;&gt;"",10000,0)+IF(Atletas!B557="Feminino",1000,IF(Atletas!B557="Masculino",2000,""))+IF(Atletas!S557="Arma Dupla A",801,IF(Atletas!S557="Arma Maleável A",802,IF(Atletas!S557="Arma Dupla B",803,IF(Atletas!S557="Arma Maleável B",804,IF(Atletas!S557="Arma Dupla C",805,IF(Atletas!S557="Arma Maleável C",806,IF(Atletas!S557="Arma Dupla D",807,IF(Atletas!S557="Arma Maleável D",808,IF(Atletas!S557="Arma Dupla E",809,IF(Atletas!S557="Arma Maleável E",810,IF(Atletas!S557="Arma Dupla F",811,IF(Atletas!S557="Arma Maleável F",812, "")))))))))))))</f>
        <v/>
      </c>
      <c r="BV561" s="52" t="str">
        <f>IF(Atletas!T557="","",IF(Atletas!W557&lt;&gt;"",10000,0)+IF(Atletas!B557="Feminino",1000,IF(Atletas!B557="Masculino",2000,""))+IF(Atletas!T557="Taijijian Yang A",901,IF(Atletas!T557="Taijijian Chen A",902,IF(Atletas!T557="Taijijian Sun A",903,IF(Atletas!T557="Taijijian Wu A",904,IF(Atletas!T557="Taijijian Wu-Hao A",905,IF(Atletas!T557="Taijijian 32 A",906,IF(Atletas!T557="Taijijian 42 A",907,IF(Atletas!T557="Taijijian Yang B",908,IF(Atletas!T557="Taijijian Chen B",909,IF(Atletas!T557="Taijijian Sun B",910,IF(Atletas!T557="Taijijian Wu B",911,IF(Atletas!T557="Taijijian Wu-Hao B",912,IF(Atletas!T557="Taijijian 32 B",913,IF(Atletas!T557="Taijijian 42 B",914,IF(Atletas!T557="Taijijian Yang C",915,IF(Atletas!T557="Taijijian Chen C",916,IF(Atletas!T557="Taijijian Sun C",917,IF(Atletas!T557="Taijijian Wu C",918,IF(Atletas!T557="Taijijian Wu-Hao C",919,IF(Atletas!T557="Taijijian 32 C",920,IF(Atletas!T557="Taijijian 42 C",921,IF(Atletas!T557="Taijijian Yang D",922,IF(Atletas!T557="Taijijian Chen D",923,IF(Atletas!T557="Taijijian Sun D",924,IF(Atletas!T557="Taijijian Wu D",925,IF(Atletas!T557="Taijijian Wu-Hao D",926,IF(Atletas!T557="Taijijian 32 D",927,IF(Atletas!T557="Taijijian 42 D",928,IF(Atletas!T557="Taijijian Yang E",929,IF(Atletas!T557="Taijijian Chen E",930,IF(Atletas!T557="Taijijian Sun E",931,IF(Atletas!T557="Taijijian Wu E",932,IF(Atletas!T557="Taijijian Wu-Hao E",933,IF(Atletas!T557="Taijijian 32 E",934,IF(Atletas!T557="Taijijian 42 E",935,IF(Atletas!T557="Taijijian Yang F",936,IF(Atletas!T557="Taijijian Chen F",937,IF(Atletas!T557="Taijijian Sun F",938,IF(Atletas!T557="Taijijian Wu F",939,IF(Atletas!T557="Taijijian Wu-Hao F",940,IF(Atletas!T557="Taijijian 32 F",941,IF(Atletas!T557="Taijijian 42 F",942,"")))))))))))))))))))))))))))))))))))))))))))</f>
        <v/>
      </c>
      <c r="BW561" s="52" t="str">
        <f>IF(Atletas!U557="","",IF(Atletas!W557&lt;&gt;"",10000,0)+IF(Atletas!B557="Feminino",1000,IF(Atletas!B557="Masculino",2000,""))+IF(Atletas!T557="Taijijian 42 F",942,IF(Atletas!U557="Taijidao A",943,IF(Atletas!U557="Taijishan A",944,IF(Atletas!U557="Taijiqiang A",945,IF(Atletas!U557="Taijidao B",946,IF(Atletas!U557="Taijishan B",947,IF(Atletas!U557="Taijiqiang B",948,IF(Atletas!U557="Taijidao C",949,IF(Atletas!U557="Taijishan C",950,IF(Atletas!U557="Taijiqiang C",951,IF(Atletas!U557="Taijidao D",952,IF(Atletas!U557="Taijishan D",953,IF(Atletas!U557="Taijiqiang D",954,IF(Atletas!U557="Taijidao E",955,IF(Atletas!U557="Taijishan E",956,IF(Atletas!U557="Taijiqiang E",957,IF(Atletas!U557="Taijidao F",958,IF(Atletas!U557="Taijishan F",959,IF(Atletas!U557="Taijiqiang F",960))))))))))))))))))))</f>
        <v/>
      </c>
      <c r="CF561" s="52" t="str">
        <f xml:space="preserve"> IF(Atletas!V557="","",IF(Atletas!V557="Duilian de Mãos AB - Equipe 1",1,IF(Atletas!V557="Duilian de Mãos AB - Equipe 2",2,IF(Atletas!V557="Duilian de Armas AB - Equipe 1",3,IF(Atletas!V557="Duilian de Armas AB - Equipe 2",4,IF(Atletas!V557="Duilian de Tuishou - Equipe 1",5,IF(Atletas!V557="Duilian de Tuishou - Equipe 2",6,IF(Atletas!V557="Grupo Externo AB - Equipe 1",7,IF(Atletas!V557="Grupo Externo AB - Equipe 2",8,IF(Atletas!V557="Grupo Interno AB - Equipe 1",9,IF(Atletas!V557="Grupo Interno AB - Equipe 2",10,IF(Atletas!V557="Duilian de Mãos CD - Equipe 1",11,IF(Atletas!V557="Duilian de Mãos CD - Equipe 2",12,IF(Atletas!V557="Duilian de Armas CD - Equipe 1",13,IF(Atletas!V557="Duilian de Armas CD - Equipe 2",14,IF(Atletas!V557="Duilian de Tuishou - Equipe 1",15,IF(Atletas!V557="Duilian de Tuishou - Equipe 2",16,IF(Atletas!V557="Grupo Externo CDEF - Equipe 1",17,IF(Atletas!V557="Grupo Externo CDEF - Equipe 2",18,IF(Atletas!V557="Grupo Interno CDEF - Equipe 1",19,IF(Atletas!V557="Grupo Interno CDEF - Equipe 2",20,IF(Atletas!V557="Duilian de Mãos EF - Equipe 1",21,IF(Atletas!V557="Duilian de Mãos EF - Equipe 2",22,IF(Atletas!V557="Duilian de Armas EF - Equipe 1",23,IF(Atletas!V557="Duilian de Armas EF - Equipe 2",24,IF(Atletas!V557="Duilian de Tuishou - Equipe 1",25,IF(Atletas!V557="Duilian de Tuishou - Equipe 2",26,"")))))))))))))))))))))))))))</f>
        <v/>
      </c>
    </row>
    <row r="562" spans="36:84">
      <c r="AJ562" s="46" t="str">
        <f>IF(Atletas!D558="","",IF(Atletas!B558="Feminino",100,IF(Atletas!B558="Masculino",200,""))+(IF(Atletas!D558="Infantil 39kg",1,IF(Atletas!D558="Infantil 42kg",2,IF(Atletas!D558="Infantil 45kg",3,IF(Atletas!D558="Infantil 48kg",4,IF(Atletas!D558="Infantil 52kg",5,IF(Atletas!D558="Infantil 56kg",6,IF(Atletas!D558="Infantil 60kg",7,IF(Atletas!D558="Juvenil 48kg",8,IF(Atletas!D558="Juvenil 52kg",9,IF(Atletas!D558="Juvenil 56kg",10,IF(Atletas!D558="Juvenil 60kg",11,IF(Atletas!D558="Juvenil 65kg",12,IF(Atletas!D558="Juvenil 70kg",13,IF(Atletas!D558="Juvenil 75kg",14,IF(Atletas!D558="Juvenil 80kg",15,IF(Atletas!D558="Adulto 48kg",16,IF(Atletas!D558="Adulto 52kg",17,IF(Atletas!D558="Adulto 56kg",18,IF(Atletas!D558="Adulto 60kg",19,IF(Atletas!D558="Adulto 65kg",20,IF(Atletas!D558="Adulto 70kg",21,IF(Atletas!D558="Adulto 75kg",22,IF(Atletas!D558="Adulto 80kg",23,IF(Atletas!D558="Adulto 85kg",24,IF(Atletas!D558="Adulto 90kg",25,IF(Atletas!D558="Adulto +90kg",26,""))))))))))))))))))))))))))))</f>
        <v/>
      </c>
      <c r="AO562" s="10" t="str">
        <f>IF(Atletas!E558="","",IF(Atletas!B558="Feminino",100,IF(Atletas!B558="Masculino",200,""))+(IF(Atletas!E558="Juvenil 44kg",1,IF(Atletas!E558="Juvenil 48kg",2,IF(Atletas!E558="Juvenil 52kg",3,IF(Atletas!E558="Juvenil 56kg",4,IF(Atletas!E558="Juvenil 60kg",5,IF(Atletas!E558="Juvenil 65kg",6,IF(Atletas!E558="Juvenil 70kg",7,IF(Atletas!E558="Juvenil 75kg",8,IF(Atletas!E558="Juvenil 82kg",9,IF(Atletas!E558="Juvenil 90kg",10,IF(Atletas!E558="Juvenil 100kg",11,IF(Atletas!E558="Adulto 48kg",12,IF(Atletas!E558="Adulto 52kg",13,IF(Atletas!E558="Adulto 56kg",14,IF(Atletas!E558="Adulto 60kg",15,IF(Atletas!E558="Adulto 65kg",16,IF(Atletas!E558="Adulto 70kg",17,IF(Atletas!E558="Adulto 75kg",18,IF(Atletas!E558="Adulto 82kg",19,IF(Atletas!E558="Adulto 90kg",20,IF(Atletas!E558="Adulto 100kg",21,IF(Atletas!E558="Adulto +100kg",22,""))))))))))))))))))))))))</f>
        <v/>
      </c>
      <c r="AT562" s="10" t="str">
        <f>IF(Atletas!F558="","",IF(Atletas!B558="Feminino",100,IF(Atletas!B558="Masculino",200,""))+(IF(Atletas!F558="Adulto 48kg",1,IF(Atletas!F558="Adulto 56kg",2,IF(Atletas!F558="Adulto 65kg",3,IF(Atletas!F558="Adulto 75kg",4,IF(Atletas!F558="Adulto +75kg",5,IF(Atletas!F558="Adulto 52kg",6,IF(Atletas!F558="Adulto 60kg",7,IF(Atletas!F558="Adulto 70kg",8,IF(Atletas!F558="Adulto 80kg",9,IF(Atletas!F558="Adulto 90kg",10,IF(Atletas!F558="Adulto +90kg",11,"")))))))))))))</f>
        <v/>
      </c>
      <c r="AY562" s="46" t="str">
        <f>IF(Atletas!G558="","",IF(Atletas!B558="Feminino",100,IF(Atletas!B558="Masculino",200,""))+(IF(Atletas!G558="Changquan Mirim",1,IF(Atletas!G558="Nanquan Mirim",2,IF(Atletas!G558="Taijiquan Mirim",3,IF(Atletas!G558="Changquan Grupo C",4,IF(Atletas!G558="Nanquan Grupo C",5,IF(Atletas!G558="Taijiquan Grupo C",6,IF(Atletas!G558="Changquan Grupo B",7,IF(Atletas!G558="Nanquan Grupo B",8,IF(Atletas!G558="Taijiquan Grupo B",9,IF(Atletas!G558="Changquan Grupo A",10,IF(Atletas!G558="Nanquan Grupo A",11,IF(Atletas!G558="Taijiquan Grupo A",12,IF(Atletas!G558="Changquan Opcional",13,IF(Atletas!G558="Nanquan Opcional",14,IF(Atletas!G558="Taijiquan Opcional",15,IF(Atletas!G558="Changquan Adulto",16,IF(Atletas!G558="Nanquan Adulto",17,IF(Atletas!G558="Taijiquan Adulto",18,""))))))))))))))))))))</f>
        <v/>
      </c>
      <c r="AZ562" s="46" t="str">
        <f>IF(Atletas!H558="","",IF(Atletas!B558="Feminino",100,IF(Atletas!B558="Masculino",200,""))+(IF(Atletas!H558="Daoshu Mirim",19,IF(Atletas!H558="Jianshu Mirim",20,IF(Atletas!H558="Nandao Mirim",21,IF(Atletas!H558="Taijijian Mirim",22,IF(Atletas!H558="Daoshu Grupo C",23,IF(Atletas!H558="Jianshu Grupo C",24,IF(Atletas!H558="Nandao Grupo C",25,IF(Atletas!H558="Taijijian Grupo C",26,IF(Atletas!H558="Daoshu Grupo B",27,IF(Atletas!H558="Jianshu Grupo B",28,IF(Atletas!H558="Nandao Grupo B",29,IF(Atletas!H558="Taijijian Grupo B",30,IF(Atletas!H558="Daoshu Grupo A",31,IF(Atletas!H558="Jianshu Grupo A",32,IF(Atletas!H558="Nandao Grupo A",33,IF(Atletas!H558="Taijijian Grupo A",34,IF(Atletas!H558="Daoshu Opcional",35,IF(Atletas!H558="Jianshu Opcional",36,IF(Atletas!H558="Nandao Opcional",37,IF(Atletas!H558="Taijijian Opcional",38,IF(Atletas!H558="Daoshu Adulto",39,IF(Atletas!H558="Jianshu Adulto",40,IF(Atletas!H558="Nandao Adulto",41,IF(Atletas!H558="Taijijian Adulto",42,""))))))))))))))))))))))))))</f>
        <v/>
      </c>
      <c r="BA562" s="46" t="str">
        <f>IF(Atletas!I558="","",IF(Atletas!B558="Feminino",100,IF(Atletas!B558="Masculino",200,""))+(IF(Atletas!I558="Gunshu Mirim",43,IF(Atletas!I558="Qiangshu Mirim",44,IF(Atletas!I558="Nangun Mirim",45,IF(Atletas!I558="Gunshu Grupo C",46,IF(Atletas!I558="Qiangshu Grupo C",47,IF(Atletas!I558="Nangun Grupo C",48,IF(Atletas!I558="Gunshu Grupo B",49,IF(Atletas!I558="Qiangshu Grupo B",50,IF(Atletas!I558="Nangun Grupo B",51,IF(Atletas!I558="Gunshu Grupo A",52,IF(Atletas!I558="Qiangshu Grupo A",53,IF(Atletas!I558="Nangun Grupo A",54,IF(Atletas!I558="Gunshu Opcional",55,IF(Atletas!I558="Qiangshu Opcional",56,IF(Atletas!I558="Nangun Opcional",57,IF(Atletas!I558="Gunshu Adulto",58,IF(Atletas!I558="Qiangshu Adulto",59,IF(Atletas!I558="Nangun Adulto",60,""))))))))))))))))))))</f>
        <v/>
      </c>
      <c r="BF562" s="52" t="str">
        <f>IF(Atletas!J558="","",IF(Atletas!B558="Feminino",100,IF(Atletas!B558="Masculino",200,""))+(IF(Atletas!J558="Equipe 1 Grupo B",1,IF(Atletas!J558="Equipe 2 Grupo B",2,IF(Atletas!J558="Equipe 1 Grupo A",3,IF(Atletas!J558="Equipe 2 Grupo A",4,IF(Atletas!J558="Equipe 1 Adulto",5,IF(Atletas!J558="Equipe 2 Adulto",6,""))))))))</f>
        <v/>
      </c>
      <c r="BK562" s="52" t="str">
        <f>IF(Atletas!K558="","",IF(Atletas!W558&lt;&gt;"",10000,0)+(IF(Atletas!B558="Feminino",1000,IF(Atletas!B558="Masculino",2000,""))+IF(Atletas!K558="Choylayfut A",1,IF(Atletas!K558="Hunggar A",2,IF(Atletas!K558="Wuzuquan A",3,IF(Atletas!K558="Wingchun A",4,IF(Atletas!K558="Outra Mão de Sul A",5,IF(Atletas!K558="Choylayfut B",6,IF(Atletas!K558="Hunggar B",7,IF(Atletas!K558="Wuzuquan B",8,IF(Atletas!K558="Wingchun B",9,IF(Atletas!K558="Outra Mão de Sul B",10,IF(Atletas!K558="Choylayfut C",11,IF(Atletas!K558="Hunggar C",12,IF(Atletas!K558="Wuzuquan C",13,IF(Atletas!K558="Wingchun C",14,IF(Atletas!K558="Outra Mão de Sul C",15,IF(Atletas!K558="Choylayfut D",16,IF(Atletas!K558="Hunggar D",17,IF(Atletas!K558="Wuzuquan D",18,IF(Atletas!K558="Wingchun D",19,IF(Atletas!K558="Outra Mão de Sul D",20,IF(Atletas!K558="Choylayfut E",21,IF(Atletas!K558="Hunggar E",22,IF(Atletas!K558="Wuzuquan E",23,IF(Atletas!K558="Wingchun E",24,IF(Atletas!K558="Outra Mão de Sul E",25,IF(Atletas!K558="Choylayfut F",26,IF(Atletas!K558="Hunggar F",27,IF(Atletas!K558="Wuzuquan F",28,IF(Atletas!K558="Wingchun F",29,IF(Atletas!K558="Outra Mão de Sul F",30,""))))))))))))))))))))))))))))))))</f>
        <v/>
      </c>
      <c r="BL562" s="52" t="str">
        <f>IF(Atletas!L558="","",IF(Atletas!W558&lt;&gt;"",10000,0)+(IF(Atletas!B558="Feminino",1000,IF(Atletas!B558="Masculino",2000,""))+(IF(Atletas!L558="Chaquan A",101,IF(Atletas!L558="Emeiquan A",102,IF(Atletas!L558="Fanziquan A",103,IF(Atletas!L558="Huaquan A",104,IF(Atletas!L558="Hongquan A",105,IF(Atletas!L558="Paochui A",106,IF(Atletas!L558="Piguaquan A",107,IF(Atletas!L558="Shaolinquan A",108,IF(Atletas!L558="Tanglangquan A",109,IF(Atletas!L558="Yinzhaophai A",110,IF(Atletas!L558="Tongbeiquan A",111,IF(Atletas!L558="Wudangquan A",112,IF(Atletas!L558="Outros Estilos A",113,IF(Atletas!L558="Chaquan B",114,IF(Atletas!L558="Emeiquan B",115,IF(Atletas!L558="Fanziquan B",116,IF(Atletas!L558="Huaquan B",117,IF(Atletas!L558="Hongquan B",118,IF(Atletas!L558="Paochui B",119,IF(Atletas!L558="Piguaquan B",120,IF(Atletas!L558="Shaolinquan B",121,IF(Atletas!L558="Tanglangquan B",122,IF(Atletas!L558="Yinzhaophai B",123,IF(Atletas!L558="Tongbeiquan B",124,IF(Atletas!L558="Wudangquan B",125,IF(Atletas!L558="Outros Estilos B",126,IF(Atletas!L558="Chaquan C",127,IF(Atletas!L558="Emeiquan C",128,IF(Atletas!L558="Fanziquan C",129,IF(Atletas!L558="Huaquan C",130,IF(Atletas!L558="Hongquan C",131,IF(Atletas!L558="Paochui C",132,IF(Atletas!L558="Piguaquan C",133,IF(Atletas!L558="Shaolinquan C",134,IF(Atletas!L558="Tanglangquan C",135,IF(Atletas!L558="Yinzhaophai C",136,IF(Atletas!L558="Tongbeiquan C",137,IF(Atletas!L558="Wudangquan C",138,IF(Atletas!L558="Outros Estilos C",139,0))))))))))))))))))))))))))))))))))))))))))</f>
        <v/>
      </c>
      <c r="BM562" s="52" t="str">
        <f>IF(Atletas!L558="","",IF(Atletas!W558&lt;&gt;"",10000,0)+(IF(Atletas!B558="Feminino",1000,IF(Atletas!B558="Masculino",2000,""))+(IF(Atletas!L558="Chaquan D",140,IF(Atletas!L558="Emeiquan D",141,IF(Atletas!L558="Fanziquan D",142,IF(Atletas!L558="Huaquan D",143,IF(Atletas!L558="Hongquan D",144,IF(Atletas!L558="Paochui D",145,IF(Atletas!L558="Piguaquan D",146,IF(Atletas!L558="Shaolinquan D",147,IF(Atletas!L558="Tanglangquan D",148,IF(Atletas!L558="Yinzhaophai D",149,IF(Atletas!L558="Tongbeiquan D",150,IF(Atletas!L558="Wudangquan D",151,IF(Atletas!L558="Outros Estilos D",152,IF(Atletas!L558="Chaquan E",153,IF(Atletas!L558="Emeiquan E",154,IF(Atletas!L558="Fanziquan E",155,IF(Atletas!L558="Huaquan E",156,IF(Atletas!L558="Hongquan E",157,IF(Atletas!L558="Paochui E",158,IF(Atletas!L558="Piguaquan E",159,IF(Atletas!L558="Shaolinquan E",160,IF(Atletas!L558="Tanglangquan E",161,IF(Atletas!L558="Yinzhaophai E",162,IF(Atletas!L558="Tongbeiquan E",163,IF(Atletas!L558="Wudangquan E",164,IF(Atletas!L558="Outros Estilos E",165,IF(Atletas!L558="Chaquan F",166,IF(Atletas!L558="Emeiquan F",167,IF(Atletas!L558="Fanziquan F",168,IF(Atletas!L558="Huaquan F",169,IF(Atletas!L558="Hongquan F",170,IF(Atletas!L558="Paochui F",171,IF(Atletas!L558="Piguaquan F",172,IF(Atletas!L558="Shaolinquan F",173,IF(Atletas!L558="Tanglangquan F",174,IF(Atletas!L558="Yinzhaophai F",175,IF(Atletas!L558="Tongbeiquan F",176,IF(Atletas!L558="Wudangquan F",177,IF(Atletas!L558="Outros Estilos F",178,0))))))))))))))))))))))))))))))))))))))))))</f>
        <v/>
      </c>
      <c r="BN562" s="52" t="str">
        <f>IF(Atletas!M558="","",IF(Atletas!W558&lt;&gt;"",10000,0)+(IF(Atletas!B558="Feminino",1000,IF(Atletas!B558="Masculino",2000,""))+(IF(Atletas!M558="Ditangquan A",201,IF(Atletas!M558="Houquan A",202,IF(Atletas!M558="Zuiquan A",203,IF(Atletas!M558="Ditangquan B",204,IF(Atletas!M558="Houquan B",205,IF(Atletas!M558="Zuiquan B",206,IF(Atletas!M558="Ditangquan C",207,IF(Atletas!M558="Houquan C",208,IF(Atletas!M558="Zuiquan C",209,IF(Atletas!M558="Ditangquan D",210,IF(Atletas!M558="Houquan D",211,IF(Atletas!M558="Zuiquan D",212,IF(Atletas!M558="Ditangquan E",213,IF(Atletas!M558="Houquan E",214,IF(Atletas!M558="Zuiquan E",215,IF(Atletas!M558="Ditangquan F",216,IF(Atletas!M558="Houquan F",217,IF(Atletas!M558="Zuiquan F",218,"")))))))))))))))))))))</f>
        <v/>
      </c>
      <c r="BO562" s="52" t="str">
        <f>IF(Atletas!N558="","",IF(Atletas!W558&lt;&gt;"",10000,0)+IF(Atletas!B558="Feminino",1000,IF(Atletas!B558="Masculino",2000,""))+IF(Atletas!N558="Yang A",301,IF(Atletas!N558="Chen A",30,IF(Atletas!N558="Sun A",303,IF(Atletas!N558="Wu A",304,IF(Atletas!N558="Wu-Hao A",305,IF(Atletas!N558="Outro Taijiquan A",306,IF(Atletas!N558="Yang B",307,IF(Atletas!N558="Chen B",308,IF(Atletas!N558="Sun B",309,IF(Atletas!N558="Wu B",310,IF(Atletas!N558="Wu-Hao B",311,IF(Atletas!N558="Outro Taijiquan B",312,IF(Atletas!N558="Yang C",313,IF(Atletas!N558="Chen C",314,IF(Atletas!N558="Sun C",315,IF(Atletas!N558="Wu C",316,IF(Atletas!N558="Wu-Hao C",317,IF(Atletas!N558="Outro Taijiquan C",318,IF(Atletas!N558="Yang D",319,IF(Atletas!N558="Chen D",320,IF(Atletas!N558="Sun D",321,IF(Atletas!N558="Wu D",322,IF(Atletas!N558="Wu-Hao D",323,IF(Atletas!N558="Outro Taijiquan D",324,IF(Atletas!N558="Yang E",325,IF(Atletas!N558="Chen E",326,IF(Atletas!N558="Sun E",327,IF(Atletas!N558="Wu E",328,IF(Atletas!N558="Wu-Hao E",329,IF(Atletas!N558="Outro Taijiquan E",330,IF(Atletas!N558="Yang F",331,IF(Atletas!N558="Chen F",332,IF(Atletas!N558="Sun F",333,IF(Atletas!N558="Wu F",334,IF(Atletas!N558="Wu-Hao F",335,IF(Atletas!N558="Outro Taijiquan F",336,"")))))))))))))))))))))))))))))))))))))</f>
        <v/>
      </c>
      <c r="BP562" s="52" t="str">
        <f>IF(Atletas!O558="","",IF(Atletas!W558&lt;&gt;"",10000,0)+IF(Atletas!B558="Feminino",1000,IF(Atletas!B558="Masculino",2000,""))+IF(OR(Atletas!O558="Yang 26 A",Atletas!O558="Yang 40 A"),401,IF(OR(Atletas!O558="Chen 25 A",Atletas!O558="Chen 36 A",Atletas!O558="Chen 56 A"),402,IF(Atletas!O558="Sun 73 A",403,IF(Atletas!O558="Wu 45 A",404,IF(Atletas!O558="Wu-Hao 46 A",405,IF(OR(Atletas!O558="Taijiquan 16 A",Atletas!O558="Taijiquan 24 A",Atletas!O558="Taijiquan 32 A",Atletas!O558="Taijiquan 42 A"),406,IF(OR(Atletas!O558="Yang 26 B",Atletas!O558="Yang 40 B"),407,IF(OR(Atletas!O558="Chen 25 B",Atletas!O558="Chen 36 B",Atletas!O558="Chen 56 B"),408,IF(Atletas!O558="Sun 73 B",409,IF(Atletas!O558="Wu 45 B",410,IF(Atletas!O558="Wu-Hao 46 B",411,IF(OR(Atletas!O558="Taijiquan 16 B",Atletas!O558="Taijiquan 24 B",Atletas!O558="Taijiquan 32 B",Atletas!O558="Taijiquan 42 B"),412,IF(OR(Atletas!O558="Yang 26 C",Atletas!O558="Yang 40 C"),413,IF(OR(Atletas!O558="Chen 25 C",Atletas!O558="Chen 36 C",Atletas!O558="Chen 56 C"),414,IF(Atletas!O558="Sun 73 C",415,IF(Atletas!O558="Wu 45 C",416,IF(Atletas!O558="Wu-Hao 46 C",417,IF(OR(Atletas!O558="Taijiquan 16 C",Atletas!O558="Taijiquan 24 C",Atletas!O558="Taijiquan 32 C",Atletas!O558="Taijiquan 42 C"),418,0)))))))))))))))))))</f>
        <v/>
      </c>
      <c r="BQ562" s="52" t="str">
        <f>IF(Atletas!O558="","",IF(Atletas!W558&lt;&gt;"",10000,0)+IF(Atletas!B558="Feminino",1000,IF(Atletas!B558="Masculino",2000,""))+IF(OR(Atletas!O558="Yang 26 D",Atletas!O558="Yang 40 D"),419,IF(OR(Atletas!O558="Chen 25 D",Atletas!O558="Chen 36 D",Atletas!O558="Chen 56 D"),420,IF(Atletas!O558="Sun 73 D",421,IF(Atletas!O558="Wu 45 D",422,IF(Atletas!O558="Wu-Hao 46 D",423,IF(OR(Atletas!O558="Taijiquan 16 D",Atletas!O558="Taijiquan 24 D",Atletas!O558="Taijiquan 32 D",Atletas!O558="Taijiquan 42 D"),424,IF(OR(Atletas!O558="Yang 26 E",Atletas!O558="Yang 40 E"),425,IF(OR(Atletas!O558="Chen 25 E",Atletas!O558="Chen 36 E",Atletas!O558="Chen 56 E"),426,IF(Atletas!O558="Sun 73 E",427,IF(Atletas!O558="Wu 45 E",428,IF(Atletas!O558="Wu-Hao 46 E",429,IF(OR(Atletas!O558="Taijiquan 16 E",Atletas!O558="Taijiquan 24 E",Atletas!O558="Taijiquan 32 E",Atletas!O558="Taijiquan 42 E"),430,IF(OR(Atletas!O558="Yang 26 F",Atletas!O558="Yang 40 F"),431,IF(OR(Atletas!O558="Chen 25 F",Atletas!O558="Chen 36 F",Atletas!O558="Chen 56 F"),432,IF(Atletas!O558="Sun 73 F",433,IF(Atletas!O558="Wu 45 F",434,IF(Atletas!O558="Wu-Hao 46 F",435,IF(OR(Atletas!O558="Taijiquan 16 F",Atletas!O558="Taijiquan 24 F",Atletas!O558="Taijiquan 32 F",Atletas!O558="Taijiquan 42 F"),436,0)))))))))))))))))))</f>
        <v/>
      </c>
      <c r="BR562" s="52" t="str">
        <f>IF(Atletas!P558="","",IF(Atletas!W558&lt;&gt;"",10000,0)+IF(Atletas!B558="Feminino",1000,IF(Atletas!B558="Masculino",2000,""))+IF(Atletas!P558="Xingyiquan A",501,IF(Atletas!P558="Baguazhang A",502,IF(Atletas!P558="Outro Estilo Interno A",503,IF(Atletas!P558="Xingyiquan B",504,IF(Atletas!P558="Baguazhang B",505,IF(Atletas!P558="Outro Estilo Interno B",506,IF(Atletas!P558="Xingyiquan C",507,IF(Atletas!P558="Baguazhang C",508,IF(Atletas!P558="Outro Estilo Interno C",509,IF(Atletas!P558="Xingyiquan D",510,IF(Atletas!P558="Baguazhang D",511,IF(Atletas!P558="Outro Estilo Interno D",512,IF(Atletas!P558="Xingyiquan E",513,IF(Atletas!P558="Baguazhang E",514,IF(Atletas!P558="Outro Estilo Interno E",515,IF(Atletas!P558="Xingyiquan F",516,IF(Atletas!P558="Baguazhang F",517,IF(Atletas!P558="Outro Estilo Interno F",518, "")))))))))))))))))))</f>
        <v/>
      </c>
      <c r="BS562" s="52" t="str">
        <f>IF(Atletas!Q558="","",IF(Atletas!W558&lt;&gt;"",10000,0)+IF(Atletas!B558="Feminino",1000,IF(Atletas!B558="Masculino",2000,""))+IF(Atletas!Q558="Dao A",601,IF(Atletas!Q558="Jian A",602,IF(Atletas!Q558="Bishou A",603,IF(Atletas!Q558="Shan A",604,IF(Atletas!Q558="Outra Arma Curta A",605,IF(Atletas!Q558="Dao B",606,IF(Atletas!Q558="Jian B",607,IF(Atletas!Q558="Bishou B",608,IF(Atletas!Q558="Shan B",609,IF(Atletas!Q558="Outra Arma Curta B",610,IF(Atletas!Q558="Dao C",611,IF(Atletas!Q558="Jian C",612,IF(Atletas!Q558="Bishou C",613,IF(Atletas!Q558="Shan C",614,IF(Atletas!Q558="Outra Arma Curta C",615,IF(Atletas!Q558="Dao D",616,IF(Atletas!Q558="Jian D",617,IF(Atletas!Q558="Bishou D",618,IF(Atletas!Q558="Shan D",619,IF(Atletas!Q558="Outra Arma Curta D",620,IF(Atletas!Q558="Dao E",621,IF(Atletas!Q558="Jian E",622,IF(Atletas!Q558="Bishou E",623,IF(Atletas!Q558="Shan E",624,IF(Atletas!Q558="Outra Arma Curta E",625,IF(Atletas!Q558="Dao F",626,IF(Atletas!Q558="Jian F",627,IF(Atletas!Q558="Bishou F",628,IF(Atletas!Q558="Shan F",629,IF(Atletas!Q558="Outra Arma Curta F",630, "")))))))))))))))))))))))))))))))</f>
        <v/>
      </c>
      <c r="BT562" s="52" t="str">
        <f>IF(Atletas!R558="","",IF(Atletas!W558&lt;&gt;"",10000,0)+IF(Atletas!B558="Feminino",1000,IF(Atletas!B558="Masculino",2000,""))+IF(Atletas!R558="Gun A",701,IF(Atletas!R558="Qiang A",702,IF(Atletas!R558="Pudao / Guandao A",703,IF(Atletas!R558="Outra Arma Longa A",704,IF(Atletas!R558="Gun B",705,IF(Atletas!R558="Qiang B",706,IF(Atletas!R558="Pudao / Guandao B",707,IF(Atletas!R558="Outra Arma Longa B",708,IF(Atletas!R558="Gun C",709,IF(Atletas!R558="Qiang C",710,IF(Atletas!R558="Pudao / Guandao C",711,IF(Atletas!R558="Outra Arma Longa C",712,IF(Atletas!R558="Gun D",713,IF(Atletas!R558="Qiang D",714,IF(Atletas!R558="Pudao / Guandao D",715,IF(Atletas!R558="Outra Arma Longa D",716,IF(Atletas!R558="Gun E",717,IF(Atletas!R558="Qiang E",718,IF(Atletas!R558="Pudao / Guandao E",719,IF(Atletas!R558="Outra Arma Longa E",720,IF(Atletas!R558="Gun F",721,IF(Atletas!R558="Qiang F",722,IF(Atletas!R558="Pudao / Guandao F",723,IF(Atletas!R558="Outra Arma Longa F",724,"")))))))))))))))))))))))))</f>
        <v/>
      </c>
      <c r="BU562" s="52" t="str">
        <f>IF(Atletas!S558="","",IF(Atletas!W558&lt;&gt;"",10000,0)+IF(Atletas!B558="Feminino",1000,IF(Atletas!B558="Masculino",2000,""))+IF(Atletas!S558="Arma Dupla A",801,IF(Atletas!S558="Arma Maleável A",802,IF(Atletas!S558="Arma Dupla B",803,IF(Atletas!S558="Arma Maleável B",804,IF(Atletas!S558="Arma Dupla C",805,IF(Atletas!S558="Arma Maleável C",806,IF(Atletas!S558="Arma Dupla D",807,IF(Atletas!S558="Arma Maleável D",808,IF(Atletas!S558="Arma Dupla E",809,IF(Atletas!S558="Arma Maleável E",810,IF(Atletas!S558="Arma Dupla F",811,IF(Atletas!S558="Arma Maleável F",812, "")))))))))))))</f>
        <v/>
      </c>
      <c r="BV562" s="52" t="str">
        <f>IF(Atletas!T558="","",IF(Atletas!W558&lt;&gt;"",10000,0)+IF(Atletas!B558="Feminino",1000,IF(Atletas!B558="Masculino",2000,""))+IF(Atletas!T558="Taijijian Yang A",901,IF(Atletas!T558="Taijijian Chen A",902,IF(Atletas!T558="Taijijian Sun A",903,IF(Atletas!T558="Taijijian Wu A",904,IF(Atletas!T558="Taijijian Wu-Hao A",905,IF(Atletas!T558="Taijijian 32 A",906,IF(Atletas!T558="Taijijian 42 A",907,IF(Atletas!T558="Taijijian Yang B",908,IF(Atletas!T558="Taijijian Chen B",909,IF(Atletas!T558="Taijijian Sun B",910,IF(Atletas!T558="Taijijian Wu B",911,IF(Atletas!T558="Taijijian Wu-Hao B",912,IF(Atletas!T558="Taijijian 32 B",913,IF(Atletas!T558="Taijijian 42 B",914,IF(Atletas!T558="Taijijian Yang C",915,IF(Atletas!T558="Taijijian Chen C",916,IF(Atletas!T558="Taijijian Sun C",917,IF(Atletas!T558="Taijijian Wu C",918,IF(Atletas!T558="Taijijian Wu-Hao C",919,IF(Atletas!T558="Taijijian 32 C",920,IF(Atletas!T558="Taijijian 42 C",921,IF(Atletas!T558="Taijijian Yang D",922,IF(Atletas!T558="Taijijian Chen D",923,IF(Atletas!T558="Taijijian Sun D",924,IF(Atletas!T558="Taijijian Wu D",925,IF(Atletas!T558="Taijijian Wu-Hao D",926,IF(Atletas!T558="Taijijian 32 D",927,IF(Atletas!T558="Taijijian 42 D",928,IF(Atletas!T558="Taijijian Yang E",929,IF(Atletas!T558="Taijijian Chen E",930,IF(Atletas!T558="Taijijian Sun E",931,IF(Atletas!T558="Taijijian Wu E",932,IF(Atletas!T558="Taijijian Wu-Hao E",933,IF(Atletas!T558="Taijijian 32 E",934,IF(Atletas!T558="Taijijian 42 E",935,IF(Atletas!T558="Taijijian Yang F",936,IF(Atletas!T558="Taijijian Chen F",937,IF(Atletas!T558="Taijijian Sun F",938,IF(Atletas!T558="Taijijian Wu F",939,IF(Atletas!T558="Taijijian Wu-Hao F",940,IF(Atletas!T558="Taijijian 32 F",941,IF(Atletas!T558="Taijijian 42 F",942,"")))))))))))))))))))))))))))))))))))))))))))</f>
        <v/>
      </c>
      <c r="BW562" s="52" t="str">
        <f>IF(Atletas!U558="","",IF(Atletas!W558&lt;&gt;"",10000,0)+IF(Atletas!B558="Feminino",1000,IF(Atletas!B558="Masculino",2000,""))+IF(Atletas!T558="Taijijian 42 F",942,IF(Atletas!U558="Taijidao A",943,IF(Atletas!U558="Taijishan A",944,IF(Atletas!U558="Taijiqiang A",945,IF(Atletas!U558="Taijidao B",946,IF(Atletas!U558="Taijishan B",947,IF(Atletas!U558="Taijiqiang B",948,IF(Atletas!U558="Taijidao C",949,IF(Atletas!U558="Taijishan C",950,IF(Atletas!U558="Taijiqiang C",951,IF(Atletas!U558="Taijidao D",952,IF(Atletas!U558="Taijishan D",953,IF(Atletas!U558="Taijiqiang D",954,IF(Atletas!U558="Taijidao E",955,IF(Atletas!U558="Taijishan E",956,IF(Atletas!U558="Taijiqiang E",957,IF(Atletas!U558="Taijidao F",958,IF(Atletas!U558="Taijishan F",959,IF(Atletas!U558="Taijiqiang F",960))))))))))))))))))))</f>
        <v/>
      </c>
      <c r="CF562" s="52" t="str">
        <f xml:space="preserve"> IF(Atletas!V558="","",IF(Atletas!V558="Duilian de Mãos AB - Equipe 1",1,IF(Atletas!V558="Duilian de Mãos AB - Equipe 2",2,IF(Atletas!V558="Duilian de Armas AB - Equipe 1",3,IF(Atletas!V558="Duilian de Armas AB - Equipe 2",4,IF(Atletas!V558="Duilian de Tuishou - Equipe 1",5,IF(Atletas!V558="Duilian de Tuishou - Equipe 2",6,IF(Atletas!V558="Grupo Externo AB - Equipe 1",7,IF(Atletas!V558="Grupo Externo AB - Equipe 2",8,IF(Atletas!V558="Grupo Interno AB - Equipe 1",9,IF(Atletas!V558="Grupo Interno AB - Equipe 2",10,IF(Atletas!V558="Duilian de Mãos CD - Equipe 1",11,IF(Atletas!V558="Duilian de Mãos CD - Equipe 2",12,IF(Atletas!V558="Duilian de Armas CD - Equipe 1",13,IF(Atletas!V558="Duilian de Armas CD - Equipe 2",14,IF(Atletas!V558="Duilian de Tuishou - Equipe 1",15,IF(Atletas!V558="Duilian de Tuishou - Equipe 2",16,IF(Atletas!V558="Grupo Externo CDEF - Equipe 1",17,IF(Atletas!V558="Grupo Externo CDEF - Equipe 2",18,IF(Atletas!V558="Grupo Interno CDEF - Equipe 1",19,IF(Atletas!V558="Grupo Interno CDEF - Equipe 2",20,IF(Atletas!V558="Duilian de Mãos EF - Equipe 1",21,IF(Atletas!V558="Duilian de Mãos EF - Equipe 2",22,IF(Atletas!V558="Duilian de Armas EF - Equipe 1",23,IF(Atletas!V558="Duilian de Armas EF - Equipe 2",24,IF(Atletas!V558="Duilian de Tuishou - Equipe 1",25,IF(Atletas!V558="Duilian de Tuishou - Equipe 2",26,"")))))))))))))))))))))))))))</f>
        <v/>
      </c>
    </row>
    <row r="563" spans="36:84">
      <c r="AJ563" s="46" t="str">
        <f>IF(Atletas!D559="","",IF(Atletas!B559="Feminino",100,IF(Atletas!B559="Masculino",200,""))+(IF(Atletas!D559="Infantil 39kg",1,IF(Atletas!D559="Infantil 42kg",2,IF(Atletas!D559="Infantil 45kg",3,IF(Atletas!D559="Infantil 48kg",4,IF(Atletas!D559="Infantil 52kg",5,IF(Atletas!D559="Infantil 56kg",6,IF(Atletas!D559="Infantil 60kg",7,IF(Atletas!D559="Juvenil 48kg",8,IF(Atletas!D559="Juvenil 52kg",9,IF(Atletas!D559="Juvenil 56kg",10,IF(Atletas!D559="Juvenil 60kg",11,IF(Atletas!D559="Juvenil 65kg",12,IF(Atletas!D559="Juvenil 70kg",13,IF(Atletas!D559="Juvenil 75kg",14,IF(Atletas!D559="Juvenil 80kg",15,IF(Atletas!D559="Adulto 48kg",16,IF(Atletas!D559="Adulto 52kg",17,IF(Atletas!D559="Adulto 56kg",18,IF(Atletas!D559="Adulto 60kg",19,IF(Atletas!D559="Adulto 65kg",20,IF(Atletas!D559="Adulto 70kg",21,IF(Atletas!D559="Adulto 75kg",22,IF(Atletas!D559="Adulto 80kg",23,IF(Atletas!D559="Adulto 85kg",24,IF(Atletas!D559="Adulto 90kg",25,IF(Atletas!D559="Adulto +90kg",26,""))))))))))))))))))))))))))))</f>
        <v/>
      </c>
      <c r="AO563" s="10" t="str">
        <f>IF(Atletas!E559="","",IF(Atletas!B559="Feminino",100,IF(Atletas!B559="Masculino",200,""))+(IF(Atletas!E559="Juvenil 44kg",1,IF(Atletas!E559="Juvenil 48kg",2,IF(Atletas!E559="Juvenil 52kg",3,IF(Atletas!E559="Juvenil 56kg",4,IF(Atletas!E559="Juvenil 60kg",5,IF(Atletas!E559="Juvenil 65kg",6,IF(Atletas!E559="Juvenil 70kg",7,IF(Atletas!E559="Juvenil 75kg",8,IF(Atletas!E559="Juvenil 82kg",9,IF(Atletas!E559="Juvenil 90kg",10,IF(Atletas!E559="Juvenil 100kg",11,IF(Atletas!E559="Adulto 48kg",12,IF(Atletas!E559="Adulto 52kg",13,IF(Atletas!E559="Adulto 56kg",14,IF(Atletas!E559="Adulto 60kg",15,IF(Atletas!E559="Adulto 65kg",16,IF(Atletas!E559="Adulto 70kg",17,IF(Atletas!E559="Adulto 75kg",18,IF(Atletas!E559="Adulto 82kg",19,IF(Atletas!E559="Adulto 90kg",20,IF(Atletas!E559="Adulto 100kg",21,IF(Atletas!E559="Adulto +100kg",22,""))))))))))))))))))))))))</f>
        <v/>
      </c>
      <c r="AT563" s="10" t="str">
        <f>IF(Atletas!F559="","",IF(Atletas!B559="Feminino",100,IF(Atletas!B559="Masculino",200,""))+(IF(Atletas!F559="Adulto 48kg",1,IF(Atletas!F559="Adulto 56kg",2,IF(Atletas!F559="Adulto 65kg",3,IF(Atletas!F559="Adulto 75kg",4,IF(Atletas!F559="Adulto +75kg",5,IF(Atletas!F559="Adulto 52kg",6,IF(Atletas!F559="Adulto 60kg",7,IF(Atletas!F559="Adulto 70kg",8,IF(Atletas!F559="Adulto 80kg",9,IF(Atletas!F559="Adulto 90kg",10,IF(Atletas!F559="Adulto +90kg",11,"")))))))))))))</f>
        <v/>
      </c>
      <c r="AY563" s="46" t="str">
        <f>IF(Atletas!G559="","",IF(Atletas!B559="Feminino",100,IF(Atletas!B559="Masculino",200,""))+(IF(Atletas!G559="Changquan Mirim",1,IF(Atletas!G559="Nanquan Mirim",2,IF(Atletas!G559="Taijiquan Mirim",3,IF(Atletas!G559="Changquan Grupo C",4,IF(Atletas!G559="Nanquan Grupo C",5,IF(Atletas!G559="Taijiquan Grupo C",6,IF(Atletas!G559="Changquan Grupo B",7,IF(Atletas!G559="Nanquan Grupo B",8,IF(Atletas!G559="Taijiquan Grupo B",9,IF(Atletas!G559="Changquan Grupo A",10,IF(Atletas!G559="Nanquan Grupo A",11,IF(Atletas!G559="Taijiquan Grupo A",12,IF(Atletas!G559="Changquan Opcional",13,IF(Atletas!G559="Nanquan Opcional",14,IF(Atletas!G559="Taijiquan Opcional",15,IF(Atletas!G559="Changquan Adulto",16,IF(Atletas!G559="Nanquan Adulto",17,IF(Atletas!G559="Taijiquan Adulto",18,""))))))))))))))))))))</f>
        <v/>
      </c>
      <c r="AZ563" s="46" t="str">
        <f>IF(Atletas!H559="","",IF(Atletas!B559="Feminino",100,IF(Atletas!B559="Masculino",200,""))+(IF(Atletas!H559="Daoshu Mirim",19,IF(Atletas!H559="Jianshu Mirim",20,IF(Atletas!H559="Nandao Mirim",21,IF(Atletas!H559="Taijijian Mirim",22,IF(Atletas!H559="Daoshu Grupo C",23,IF(Atletas!H559="Jianshu Grupo C",24,IF(Atletas!H559="Nandao Grupo C",25,IF(Atletas!H559="Taijijian Grupo C",26,IF(Atletas!H559="Daoshu Grupo B",27,IF(Atletas!H559="Jianshu Grupo B",28,IF(Atletas!H559="Nandao Grupo B",29,IF(Atletas!H559="Taijijian Grupo B",30,IF(Atletas!H559="Daoshu Grupo A",31,IF(Atletas!H559="Jianshu Grupo A",32,IF(Atletas!H559="Nandao Grupo A",33,IF(Atletas!H559="Taijijian Grupo A",34,IF(Atletas!H559="Daoshu Opcional",35,IF(Atletas!H559="Jianshu Opcional",36,IF(Atletas!H559="Nandao Opcional",37,IF(Atletas!H559="Taijijian Opcional",38,IF(Atletas!H559="Daoshu Adulto",39,IF(Atletas!H559="Jianshu Adulto",40,IF(Atletas!H559="Nandao Adulto",41,IF(Atletas!H559="Taijijian Adulto",42,""))))))))))))))))))))))))))</f>
        <v/>
      </c>
      <c r="BA563" s="46" t="str">
        <f>IF(Atletas!I559="","",IF(Atletas!B559="Feminino",100,IF(Atletas!B559="Masculino",200,""))+(IF(Atletas!I559="Gunshu Mirim",43,IF(Atletas!I559="Qiangshu Mirim",44,IF(Atletas!I559="Nangun Mirim",45,IF(Atletas!I559="Gunshu Grupo C",46,IF(Atletas!I559="Qiangshu Grupo C",47,IF(Atletas!I559="Nangun Grupo C",48,IF(Atletas!I559="Gunshu Grupo B",49,IF(Atletas!I559="Qiangshu Grupo B",50,IF(Atletas!I559="Nangun Grupo B",51,IF(Atletas!I559="Gunshu Grupo A",52,IF(Atletas!I559="Qiangshu Grupo A",53,IF(Atletas!I559="Nangun Grupo A",54,IF(Atletas!I559="Gunshu Opcional",55,IF(Atletas!I559="Qiangshu Opcional",56,IF(Atletas!I559="Nangun Opcional",57,IF(Atletas!I559="Gunshu Adulto",58,IF(Atletas!I559="Qiangshu Adulto",59,IF(Atletas!I559="Nangun Adulto",60,""))))))))))))))))))))</f>
        <v/>
      </c>
      <c r="BF563" s="52" t="str">
        <f>IF(Atletas!J559="","",IF(Atletas!B559="Feminino",100,IF(Atletas!B559="Masculino",200,""))+(IF(Atletas!J559="Equipe 1 Grupo B",1,IF(Atletas!J559="Equipe 2 Grupo B",2,IF(Atletas!J559="Equipe 1 Grupo A",3,IF(Atletas!J559="Equipe 2 Grupo A",4,IF(Atletas!J559="Equipe 1 Adulto",5,IF(Atletas!J559="Equipe 2 Adulto",6,""))))))))</f>
        <v/>
      </c>
      <c r="BK563" s="52" t="str">
        <f>IF(Atletas!K559="","",IF(Atletas!W559&lt;&gt;"",10000,0)+(IF(Atletas!B559="Feminino",1000,IF(Atletas!B559="Masculino",2000,""))+IF(Atletas!K559="Choylayfut A",1,IF(Atletas!K559="Hunggar A",2,IF(Atletas!K559="Wuzuquan A",3,IF(Atletas!K559="Wingchun A",4,IF(Atletas!K559="Outra Mão de Sul A",5,IF(Atletas!K559="Choylayfut B",6,IF(Atletas!K559="Hunggar B",7,IF(Atletas!K559="Wuzuquan B",8,IF(Atletas!K559="Wingchun B",9,IF(Atletas!K559="Outra Mão de Sul B",10,IF(Atletas!K559="Choylayfut C",11,IF(Atletas!K559="Hunggar C",12,IF(Atletas!K559="Wuzuquan C",13,IF(Atletas!K559="Wingchun C",14,IF(Atletas!K559="Outra Mão de Sul C",15,IF(Atletas!K559="Choylayfut D",16,IF(Atletas!K559="Hunggar D",17,IF(Atletas!K559="Wuzuquan D",18,IF(Atletas!K559="Wingchun D",19,IF(Atletas!K559="Outra Mão de Sul D",20,IF(Atletas!K559="Choylayfut E",21,IF(Atletas!K559="Hunggar E",22,IF(Atletas!K559="Wuzuquan E",23,IF(Atletas!K559="Wingchun E",24,IF(Atletas!K559="Outra Mão de Sul E",25,IF(Atletas!K559="Choylayfut F",26,IF(Atletas!K559="Hunggar F",27,IF(Atletas!K559="Wuzuquan F",28,IF(Atletas!K559="Wingchun F",29,IF(Atletas!K559="Outra Mão de Sul F",30,""))))))))))))))))))))))))))))))))</f>
        <v/>
      </c>
      <c r="BL563" s="52" t="str">
        <f>IF(Atletas!L559="","",IF(Atletas!W559&lt;&gt;"",10000,0)+(IF(Atletas!B559="Feminino",1000,IF(Atletas!B559="Masculino",2000,""))+(IF(Atletas!L559="Chaquan A",101,IF(Atletas!L559="Emeiquan A",102,IF(Atletas!L559="Fanziquan A",103,IF(Atletas!L559="Huaquan A",104,IF(Atletas!L559="Hongquan A",105,IF(Atletas!L559="Paochui A",106,IF(Atletas!L559="Piguaquan A",107,IF(Atletas!L559="Shaolinquan A",108,IF(Atletas!L559="Tanglangquan A",109,IF(Atletas!L559="Yinzhaophai A",110,IF(Atletas!L559="Tongbeiquan A",111,IF(Atletas!L559="Wudangquan A",112,IF(Atletas!L559="Outros Estilos A",113,IF(Atletas!L559="Chaquan B",114,IF(Atletas!L559="Emeiquan B",115,IF(Atletas!L559="Fanziquan B",116,IF(Atletas!L559="Huaquan B",117,IF(Atletas!L559="Hongquan B",118,IF(Atletas!L559="Paochui B",119,IF(Atletas!L559="Piguaquan B",120,IF(Atletas!L559="Shaolinquan B",121,IF(Atletas!L559="Tanglangquan B",122,IF(Atletas!L559="Yinzhaophai B",123,IF(Atletas!L559="Tongbeiquan B",124,IF(Atletas!L559="Wudangquan B",125,IF(Atletas!L559="Outros Estilos B",126,IF(Atletas!L559="Chaquan C",127,IF(Atletas!L559="Emeiquan C",128,IF(Atletas!L559="Fanziquan C",129,IF(Atletas!L559="Huaquan C",130,IF(Atletas!L559="Hongquan C",131,IF(Atletas!L559="Paochui C",132,IF(Atletas!L559="Piguaquan C",133,IF(Atletas!L559="Shaolinquan C",134,IF(Atletas!L559="Tanglangquan C",135,IF(Atletas!L559="Yinzhaophai C",136,IF(Atletas!L559="Tongbeiquan C",137,IF(Atletas!L559="Wudangquan C",138,IF(Atletas!L559="Outros Estilos C",139,0))))))))))))))))))))))))))))))))))))))))))</f>
        <v/>
      </c>
      <c r="BM563" s="52" t="str">
        <f>IF(Atletas!L559="","",IF(Atletas!W559&lt;&gt;"",10000,0)+(IF(Atletas!B559="Feminino",1000,IF(Atletas!B559="Masculino",2000,""))+(IF(Atletas!L559="Chaquan D",140,IF(Atletas!L559="Emeiquan D",141,IF(Atletas!L559="Fanziquan D",142,IF(Atletas!L559="Huaquan D",143,IF(Atletas!L559="Hongquan D",144,IF(Atletas!L559="Paochui D",145,IF(Atletas!L559="Piguaquan D",146,IF(Atletas!L559="Shaolinquan D",147,IF(Atletas!L559="Tanglangquan D",148,IF(Atletas!L559="Yinzhaophai D",149,IF(Atletas!L559="Tongbeiquan D",150,IF(Atletas!L559="Wudangquan D",151,IF(Atletas!L559="Outros Estilos D",152,IF(Atletas!L559="Chaquan E",153,IF(Atletas!L559="Emeiquan E",154,IF(Atletas!L559="Fanziquan E",155,IF(Atletas!L559="Huaquan E",156,IF(Atletas!L559="Hongquan E",157,IF(Atletas!L559="Paochui E",158,IF(Atletas!L559="Piguaquan E",159,IF(Atletas!L559="Shaolinquan E",160,IF(Atletas!L559="Tanglangquan E",161,IF(Atletas!L559="Yinzhaophai E",162,IF(Atletas!L559="Tongbeiquan E",163,IF(Atletas!L559="Wudangquan E",164,IF(Atletas!L559="Outros Estilos E",165,IF(Atletas!L559="Chaquan F",166,IF(Atletas!L559="Emeiquan F",167,IF(Atletas!L559="Fanziquan F",168,IF(Atletas!L559="Huaquan F",169,IF(Atletas!L559="Hongquan F",170,IF(Atletas!L559="Paochui F",171,IF(Atletas!L559="Piguaquan F",172,IF(Atletas!L559="Shaolinquan F",173,IF(Atletas!L559="Tanglangquan F",174,IF(Atletas!L559="Yinzhaophai F",175,IF(Atletas!L559="Tongbeiquan F",176,IF(Atletas!L559="Wudangquan F",177,IF(Atletas!L559="Outros Estilos F",178,0))))))))))))))))))))))))))))))))))))))))))</f>
        <v/>
      </c>
      <c r="BN563" s="52" t="str">
        <f>IF(Atletas!M559="","",IF(Atletas!W559&lt;&gt;"",10000,0)+(IF(Atletas!B559="Feminino",1000,IF(Atletas!B559="Masculino",2000,""))+(IF(Atletas!M559="Ditangquan A",201,IF(Atletas!M559="Houquan A",202,IF(Atletas!M559="Zuiquan A",203,IF(Atletas!M559="Ditangquan B",204,IF(Atletas!M559="Houquan B",205,IF(Atletas!M559="Zuiquan B",206,IF(Atletas!M559="Ditangquan C",207,IF(Atletas!M559="Houquan C",208,IF(Atletas!M559="Zuiquan C",209,IF(Atletas!M559="Ditangquan D",210,IF(Atletas!M559="Houquan D",211,IF(Atletas!M559="Zuiquan D",212,IF(Atletas!M559="Ditangquan E",213,IF(Atletas!M559="Houquan E",214,IF(Atletas!M559="Zuiquan E",215,IF(Atletas!M559="Ditangquan F",216,IF(Atletas!M559="Houquan F",217,IF(Atletas!M559="Zuiquan F",218,"")))))))))))))))))))))</f>
        <v/>
      </c>
      <c r="BO563" s="52" t="str">
        <f>IF(Atletas!N559="","",IF(Atletas!W559&lt;&gt;"",10000,0)+IF(Atletas!B559="Feminino",1000,IF(Atletas!B559="Masculino",2000,""))+IF(Atletas!N559="Yang A",301,IF(Atletas!N559="Chen A",30,IF(Atletas!N559="Sun A",303,IF(Atletas!N559="Wu A",304,IF(Atletas!N559="Wu-Hao A",305,IF(Atletas!N559="Outro Taijiquan A",306,IF(Atletas!N559="Yang B",307,IF(Atletas!N559="Chen B",308,IF(Atletas!N559="Sun B",309,IF(Atletas!N559="Wu B",310,IF(Atletas!N559="Wu-Hao B",311,IF(Atletas!N559="Outro Taijiquan B",312,IF(Atletas!N559="Yang C",313,IF(Atletas!N559="Chen C",314,IF(Atletas!N559="Sun C",315,IF(Atletas!N559="Wu C",316,IF(Atletas!N559="Wu-Hao C",317,IF(Atletas!N559="Outro Taijiquan C",318,IF(Atletas!N559="Yang D",319,IF(Atletas!N559="Chen D",320,IF(Atletas!N559="Sun D",321,IF(Atletas!N559="Wu D",322,IF(Atletas!N559="Wu-Hao D",323,IF(Atletas!N559="Outro Taijiquan D",324,IF(Atletas!N559="Yang E",325,IF(Atletas!N559="Chen E",326,IF(Atletas!N559="Sun E",327,IF(Atletas!N559="Wu E",328,IF(Atletas!N559="Wu-Hao E",329,IF(Atletas!N559="Outro Taijiquan E",330,IF(Atletas!N559="Yang F",331,IF(Atletas!N559="Chen F",332,IF(Atletas!N559="Sun F",333,IF(Atletas!N559="Wu F",334,IF(Atletas!N559="Wu-Hao F",335,IF(Atletas!N559="Outro Taijiquan F",336,"")))))))))))))))))))))))))))))))))))))</f>
        <v/>
      </c>
      <c r="BP563" s="52" t="str">
        <f>IF(Atletas!O559="","",IF(Atletas!W559&lt;&gt;"",10000,0)+IF(Atletas!B559="Feminino",1000,IF(Atletas!B559="Masculino",2000,""))+IF(OR(Atletas!O559="Yang 26 A",Atletas!O559="Yang 40 A"),401,IF(OR(Atletas!O559="Chen 25 A",Atletas!O559="Chen 36 A",Atletas!O559="Chen 56 A"),402,IF(Atletas!O559="Sun 73 A",403,IF(Atletas!O559="Wu 45 A",404,IF(Atletas!O559="Wu-Hao 46 A",405,IF(OR(Atletas!O559="Taijiquan 16 A",Atletas!O559="Taijiquan 24 A",Atletas!O559="Taijiquan 32 A",Atletas!O559="Taijiquan 42 A"),406,IF(OR(Atletas!O559="Yang 26 B",Atletas!O559="Yang 40 B"),407,IF(OR(Atletas!O559="Chen 25 B",Atletas!O559="Chen 36 B",Atletas!O559="Chen 56 B"),408,IF(Atletas!O559="Sun 73 B",409,IF(Atletas!O559="Wu 45 B",410,IF(Atletas!O559="Wu-Hao 46 B",411,IF(OR(Atletas!O559="Taijiquan 16 B",Atletas!O559="Taijiquan 24 B",Atletas!O559="Taijiquan 32 B",Atletas!O559="Taijiquan 42 B"),412,IF(OR(Atletas!O559="Yang 26 C",Atletas!O559="Yang 40 C"),413,IF(OR(Atletas!O559="Chen 25 C",Atletas!O559="Chen 36 C",Atletas!O559="Chen 56 C"),414,IF(Atletas!O559="Sun 73 C",415,IF(Atletas!O559="Wu 45 C",416,IF(Atletas!O559="Wu-Hao 46 C",417,IF(OR(Atletas!O559="Taijiquan 16 C",Atletas!O559="Taijiquan 24 C",Atletas!O559="Taijiquan 32 C",Atletas!O559="Taijiquan 42 C"),418,0)))))))))))))))))))</f>
        <v/>
      </c>
      <c r="BQ563" s="52" t="str">
        <f>IF(Atletas!O559="","",IF(Atletas!W559&lt;&gt;"",10000,0)+IF(Atletas!B559="Feminino",1000,IF(Atletas!B559="Masculino",2000,""))+IF(OR(Atletas!O559="Yang 26 D",Atletas!O559="Yang 40 D"),419,IF(OR(Atletas!O559="Chen 25 D",Atletas!O559="Chen 36 D",Atletas!O559="Chen 56 D"),420,IF(Atletas!O559="Sun 73 D",421,IF(Atletas!O559="Wu 45 D",422,IF(Atletas!O559="Wu-Hao 46 D",423,IF(OR(Atletas!O559="Taijiquan 16 D",Atletas!O559="Taijiquan 24 D",Atletas!O559="Taijiquan 32 D",Atletas!O559="Taijiquan 42 D"),424,IF(OR(Atletas!O559="Yang 26 E",Atletas!O559="Yang 40 E"),425,IF(OR(Atletas!O559="Chen 25 E",Atletas!O559="Chen 36 E",Atletas!O559="Chen 56 E"),426,IF(Atletas!O559="Sun 73 E",427,IF(Atletas!O559="Wu 45 E",428,IF(Atletas!O559="Wu-Hao 46 E",429,IF(OR(Atletas!O559="Taijiquan 16 E",Atletas!O559="Taijiquan 24 E",Atletas!O559="Taijiquan 32 E",Atletas!O559="Taijiquan 42 E"),430,IF(OR(Atletas!O559="Yang 26 F",Atletas!O559="Yang 40 F"),431,IF(OR(Atletas!O559="Chen 25 F",Atletas!O559="Chen 36 F",Atletas!O559="Chen 56 F"),432,IF(Atletas!O559="Sun 73 F",433,IF(Atletas!O559="Wu 45 F",434,IF(Atletas!O559="Wu-Hao 46 F",435,IF(OR(Atletas!O559="Taijiquan 16 F",Atletas!O559="Taijiquan 24 F",Atletas!O559="Taijiquan 32 F",Atletas!O559="Taijiquan 42 F"),436,0)))))))))))))))))))</f>
        <v/>
      </c>
      <c r="BR563" s="52" t="str">
        <f>IF(Atletas!P559="","",IF(Atletas!W559&lt;&gt;"",10000,0)+IF(Atletas!B559="Feminino",1000,IF(Atletas!B559="Masculino",2000,""))+IF(Atletas!P559="Xingyiquan A",501,IF(Atletas!P559="Baguazhang A",502,IF(Atletas!P559="Outro Estilo Interno A",503,IF(Atletas!P559="Xingyiquan B",504,IF(Atletas!P559="Baguazhang B",505,IF(Atletas!P559="Outro Estilo Interno B",506,IF(Atletas!P559="Xingyiquan C",507,IF(Atletas!P559="Baguazhang C",508,IF(Atletas!P559="Outro Estilo Interno C",509,IF(Atletas!P559="Xingyiquan D",510,IF(Atletas!P559="Baguazhang D",511,IF(Atletas!P559="Outro Estilo Interno D",512,IF(Atletas!P559="Xingyiquan E",513,IF(Atletas!P559="Baguazhang E",514,IF(Atletas!P559="Outro Estilo Interno E",515,IF(Atletas!P559="Xingyiquan F",516,IF(Atletas!P559="Baguazhang F",517,IF(Atletas!P559="Outro Estilo Interno F",518, "")))))))))))))))))))</f>
        <v/>
      </c>
      <c r="BS563" s="52" t="str">
        <f>IF(Atletas!Q559="","",IF(Atletas!W559&lt;&gt;"",10000,0)+IF(Atletas!B559="Feminino",1000,IF(Atletas!B559="Masculino",2000,""))+IF(Atletas!Q559="Dao A",601,IF(Atletas!Q559="Jian A",602,IF(Atletas!Q559="Bishou A",603,IF(Atletas!Q559="Shan A",604,IF(Atletas!Q559="Outra Arma Curta A",605,IF(Atletas!Q559="Dao B",606,IF(Atletas!Q559="Jian B",607,IF(Atletas!Q559="Bishou B",608,IF(Atletas!Q559="Shan B",609,IF(Atletas!Q559="Outra Arma Curta B",610,IF(Atletas!Q559="Dao C",611,IF(Atletas!Q559="Jian C",612,IF(Atletas!Q559="Bishou C",613,IF(Atletas!Q559="Shan C",614,IF(Atletas!Q559="Outra Arma Curta C",615,IF(Atletas!Q559="Dao D",616,IF(Atletas!Q559="Jian D",617,IF(Atletas!Q559="Bishou D",618,IF(Atletas!Q559="Shan D",619,IF(Atletas!Q559="Outra Arma Curta D",620,IF(Atletas!Q559="Dao E",621,IF(Atletas!Q559="Jian E",622,IF(Atletas!Q559="Bishou E",623,IF(Atletas!Q559="Shan E",624,IF(Atletas!Q559="Outra Arma Curta E",625,IF(Atletas!Q559="Dao F",626,IF(Atletas!Q559="Jian F",627,IF(Atletas!Q559="Bishou F",628,IF(Atletas!Q559="Shan F",629,IF(Atletas!Q559="Outra Arma Curta F",630, "")))))))))))))))))))))))))))))))</f>
        <v/>
      </c>
      <c r="BT563" s="52" t="str">
        <f>IF(Atletas!R559="","",IF(Atletas!W559&lt;&gt;"",10000,0)+IF(Atletas!B559="Feminino",1000,IF(Atletas!B559="Masculino",2000,""))+IF(Atletas!R559="Gun A",701,IF(Atletas!R559="Qiang A",702,IF(Atletas!R559="Pudao / Guandao A",703,IF(Atletas!R559="Outra Arma Longa A",704,IF(Atletas!R559="Gun B",705,IF(Atletas!R559="Qiang B",706,IF(Atletas!R559="Pudao / Guandao B",707,IF(Atletas!R559="Outra Arma Longa B",708,IF(Atletas!R559="Gun C",709,IF(Atletas!R559="Qiang C",710,IF(Atletas!R559="Pudao / Guandao C",711,IF(Atletas!R559="Outra Arma Longa C",712,IF(Atletas!R559="Gun D",713,IF(Atletas!R559="Qiang D",714,IF(Atletas!R559="Pudao / Guandao D",715,IF(Atletas!R559="Outra Arma Longa D",716,IF(Atletas!R559="Gun E",717,IF(Atletas!R559="Qiang E",718,IF(Atletas!R559="Pudao / Guandao E",719,IF(Atletas!R559="Outra Arma Longa E",720,IF(Atletas!R559="Gun F",721,IF(Atletas!R559="Qiang F",722,IF(Atletas!R559="Pudao / Guandao F",723,IF(Atletas!R559="Outra Arma Longa F",724,"")))))))))))))))))))))))))</f>
        <v/>
      </c>
      <c r="BU563" s="52" t="str">
        <f>IF(Atletas!S559="","",IF(Atletas!W559&lt;&gt;"",10000,0)+IF(Atletas!B559="Feminino",1000,IF(Atletas!B559="Masculino",2000,""))+IF(Atletas!S559="Arma Dupla A",801,IF(Atletas!S559="Arma Maleável A",802,IF(Atletas!S559="Arma Dupla B",803,IF(Atletas!S559="Arma Maleável B",804,IF(Atletas!S559="Arma Dupla C",805,IF(Atletas!S559="Arma Maleável C",806,IF(Atletas!S559="Arma Dupla D",807,IF(Atletas!S559="Arma Maleável D",808,IF(Atletas!S559="Arma Dupla E",809,IF(Atletas!S559="Arma Maleável E",810,IF(Atletas!S559="Arma Dupla F",811,IF(Atletas!S559="Arma Maleável F",812, "")))))))))))))</f>
        <v/>
      </c>
      <c r="BV563" s="52" t="str">
        <f>IF(Atletas!T559="","",IF(Atletas!W559&lt;&gt;"",10000,0)+IF(Atletas!B559="Feminino",1000,IF(Atletas!B559="Masculino",2000,""))+IF(Atletas!T559="Taijijian Yang A",901,IF(Atletas!T559="Taijijian Chen A",902,IF(Atletas!T559="Taijijian Sun A",903,IF(Atletas!T559="Taijijian Wu A",904,IF(Atletas!T559="Taijijian Wu-Hao A",905,IF(Atletas!T559="Taijijian 32 A",906,IF(Atletas!T559="Taijijian 42 A",907,IF(Atletas!T559="Taijijian Yang B",908,IF(Atletas!T559="Taijijian Chen B",909,IF(Atletas!T559="Taijijian Sun B",910,IF(Atletas!T559="Taijijian Wu B",911,IF(Atletas!T559="Taijijian Wu-Hao B",912,IF(Atletas!T559="Taijijian 32 B",913,IF(Atletas!T559="Taijijian 42 B",914,IF(Atletas!T559="Taijijian Yang C",915,IF(Atletas!T559="Taijijian Chen C",916,IF(Atletas!T559="Taijijian Sun C",917,IF(Atletas!T559="Taijijian Wu C",918,IF(Atletas!T559="Taijijian Wu-Hao C",919,IF(Atletas!T559="Taijijian 32 C",920,IF(Atletas!T559="Taijijian 42 C",921,IF(Atletas!T559="Taijijian Yang D",922,IF(Atletas!T559="Taijijian Chen D",923,IF(Atletas!T559="Taijijian Sun D",924,IF(Atletas!T559="Taijijian Wu D",925,IF(Atletas!T559="Taijijian Wu-Hao D",926,IF(Atletas!T559="Taijijian 32 D",927,IF(Atletas!T559="Taijijian 42 D",928,IF(Atletas!T559="Taijijian Yang E",929,IF(Atletas!T559="Taijijian Chen E",930,IF(Atletas!T559="Taijijian Sun E",931,IF(Atletas!T559="Taijijian Wu E",932,IF(Atletas!T559="Taijijian Wu-Hao E",933,IF(Atletas!T559="Taijijian 32 E",934,IF(Atletas!T559="Taijijian 42 E",935,IF(Atletas!T559="Taijijian Yang F",936,IF(Atletas!T559="Taijijian Chen F",937,IF(Atletas!T559="Taijijian Sun F",938,IF(Atletas!T559="Taijijian Wu F",939,IF(Atletas!T559="Taijijian Wu-Hao F",940,IF(Atletas!T559="Taijijian 32 F",941,IF(Atletas!T559="Taijijian 42 F",942,"")))))))))))))))))))))))))))))))))))))))))))</f>
        <v/>
      </c>
      <c r="BW563" s="52" t="str">
        <f>IF(Atletas!U559="","",IF(Atletas!W559&lt;&gt;"",10000,0)+IF(Atletas!B559="Feminino",1000,IF(Atletas!B559="Masculino",2000,""))+IF(Atletas!T559="Taijijian 42 F",942,IF(Atletas!U559="Taijidao A",943,IF(Atletas!U559="Taijishan A",944,IF(Atletas!U559="Taijiqiang A",945,IF(Atletas!U559="Taijidao B",946,IF(Atletas!U559="Taijishan B",947,IF(Atletas!U559="Taijiqiang B",948,IF(Atletas!U559="Taijidao C",949,IF(Atletas!U559="Taijishan C",950,IF(Atletas!U559="Taijiqiang C",951,IF(Atletas!U559="Taijidao D",952,IF(Atletas!U559="Taijishan D",953,IF(Atletas!U559="Taijiqiang D",954,IF(Atletas!U559="Taijidao E",955,IF(Atletas!U559="Taijishan E",956,IF(Atletas!U559="Taijiqiang E",957,IF(Atletas!U559="Taijidao F",958,IF(Atletas!U559="Taijishan F",959,IF(Atletas!U559="Taijiqiang F",960))))))))))))))))))))</f>
        <v/>
      </c>
      <c r="CF563" s="52" t="str">
        <f xml:space="preserve"> IF(Atletas!V559="","",IF(Atletas!V559="Duilian de Mãos AB - Equipe 1",1,IF(Atletas!V559="Duilian de Mãos AB - Equipe 2",2,IF(Atletas!V559="Duilian de Armas AB - Equipe 1",3,IF(Atletas!V559="Duilian de Armas AB - Equipe 2",4,IF(Atletas!V559="Duilian de Tuishou - Equipe 1",5,IF(Atletas!V559="Duilian de Tuishou - Equipe 2",6,IF(Atletas!V559="Grupo Externo AB - Equipe 1",7,IF(Atletas!V559="Grupo Externo AB - Equipe 2",8,IF(Atletas!V559="Grupo Interno AB - Equipe 1",9,IF(Atletas!V559="Grupo Interno AB - Equipe 2",10,IF(Atletas!V559="Duilian de Mãos CD - Equipe 1",11,IF(Atletas!V559="Duilian de Mãos CD - Equipe 2",12,IF(Atletas!V559="Duilian de Armas CD - Equipe 1",13,IF(Atletas!V559="Duilian de Armas CD - Equipe 2",14,IF(Atletas!V559="Duilian de Tuishou - Equipe 1",15,IF(Atletas!V559="Duilian de Tuishou - Equipe 2",16,IF(Atletas!V559="Grupo Externo CDEF - Equipe 1",17,IF(Atletas!V559="Grupo Externo CDEF - Equipe 2",18,IF(Atletas!V559="Grupo Interno CDEF - Equipe 1",19,IF(Atletas!V559="Grupo Interno CDEF - Equipe 2",20,IF(Atletas!V559="Duilian de Mãos EF - Equipe 1",21,IF(Atletas!V559="Duilian de Mãos EF - Equipe 2",22,IF(Atletas!V559="Duilian de Armas EF - Equipe 1",23,IF(Atletas!V559="Duilian de Armas EF - Equipe 2",24,IF(Atletas!V559="Duilian de Tuishou - Equipe 1",25,IF(Atletas!V559="Duilian de Tuishou - Equipe 2",26,"")))))))))))))))))))))))))))</f>
        <v/>
      </c>
    </row>
    <row r="564" spans="36:84">
      <c r="AJ564" s="46" t="str">
        <f>IF(Atletas!D560="","",IF(Atletas!B560="Feminino",100,IF(Atletas!B560="Masculino",200,""))+(IF(Atletas!D560="Infantil 39kg",1,IF(Atletas!D560="Infantil 42kg",2,IF(Atletas!D560="Infantil 45kg",3,IF(Atletas!D560="Infantil 48kg",4,IF(Atletas!D560="Infantil 52kg",5,IF(Atletas!D560="Infantil 56kg",6,IF(Atletas!D560="Infantil 60kg",7,IF(Atletas!D560="Juvenil 48kg",8,IF(Atletas!D560="Juvenil 52kg",9,IF(Atletas!D560="Juvenil 56kg",10,IF(Atletas!D560="Juvenil 60kg",11,IF(Atletas!D560="Juvenil 65kg",12,IF(Atletas!D560="Juvenil 70kg",13,IF(Atletas!D560="Juvenil 75kg",14,IF(Atletas!D560="Juvenil 80kg",15,IF(Atletas!D560="Adulto 48kg",16,IF(Atletas!D560="Adulto 52kg",17,IF(Atletas!D560="Adulto 56kg",18,IF(Atletas!D560="Adulto 60kg",19,IF(Atletas!D560="Adulto 65kg",20,IF(Atletas!D560="Adulto 70kg",21,IF(Atletas!D560="Adulto 75kg",22,IF(Atletas!D560="Adulto 80kg",23,IF(Atletas!D560="Adulto 85kg",24,IF(Atletas!D560="Adulto 90kg",25,IF(Atletas!D560="Adulto +90kg",26,""))))))))))))))))))))))))))))</f>
        <v/>
      </c>
      <c r="AO564" s="10" t="str">
        <f>IF(Atletas!E560="","",IF(Atletas!B560="Feminino",100,IF(Atletas!B560="Masculino",200,""))+(IF(Atletas!E560="Juvenil 44kg",1,IF(Atletas!E560="Juvenil 48kg",2,IF(Atletas!E560="Juvenil 52kg",3,IF(Atletas!E560="Juvenil 56kg",4,IF(Atletas!E560="Juvenil 60kg",5,IF(Atletas!E560="Juvenil 65kg",6,IF(Atletas!E560="Juvenil 70kg",7,IF(Atletas!E560="Juvenil 75kg",8,IF(Atletas!E560="Juvenil 82kg",9,IF(Atletas!E560="Juvenil 90kg",10,IF(Atletas!E560="Juvenil 100kg",11,IF(Atletas!E560="Adulto 48kg",12,IF(Atletas!E560="Adulto 52kg",13,IF(Atletas!E560="Adulto 56kg",14,IF(Atletas!E560="Adulto 60kg",15,IF(Atletas!E560="Adulto 65kg",16,IF(Atletas!E560="Adulto 70kg",17,IF(Atletas!E560="Adulto 75kg",18,IF(Atletas!E560="Adulto 82kg",19,IF(Atletas!E560="Adulto 90kg",20,IF(Atletas!E560="Adulto 100kg",21,IF(Atletas!E560="Adulto +100kg",22,""))))))))))))))))))))))))</f>
        <v/>
      </c>
      <c r="AT564" s="10" t="str">
        <f>IF(Atletas!F560="","",IF(Atletas!B560="Feminino",100,IF(Atletas!B560="Masculino",200,""))+(IF(Atletas!F560="Adulto 48kg",1,IF(Atletas!F560="Adulto 56kg",2,IF(Atletas!F560="Adulto 65kg",3,IF(Atletas!F560="Adulto 75kg",4,IF(Atletas!F560="Adulto +75kg",5,IF(Atletas!F560="Adulto 52kg",6,IF(Atletas!F560="Adulto 60kg",7,IF(Atletas!F560="Adulto 70kg",8,IF(Atletas!F560="Adulto 80kg",9,IF(Atletas!F560="Adulto 90kg",10,IF(Atletas!F560="Adulto +90kg",11,"")))))))))))))</f>
        <v/>
      </c>
      <c r="AY564" s="46" t="str">
        <f>IF(Atletas!G560="","",IF(Atletas!B560="Feminino",100,IF(Atletas!B560="Masculino",200,""))+(IF(Atletas!G560="Changquan Mirim",1,IF(Atletas!G560="Nanquan Mirim",2,IF(Atletas!G560="Taijiquan Mirim",3,IF(Atletas!G560="Changquan Grupo C",4,IF(Atletas!G560="Nanquan Grupo C",5,IF(Atletas!G560="Taijiquan Grupo C",6,IF(Atletas!G560="Changquan Grupo B",7,IF(Atletas!G560="Nanquan Grupo B",8,IF(Atletas!G560="Taijiquan Grupo B",9,IF(Atletas!G560="Changquan Grupo A",10,IF(Atletas!G560="Nanquan Grupo A",11,IF(Atletas!G560="Taijiquan Grupo A",12,IF(Atletas!G560="Changquan Opcional",13,IF(Atletas!G560="Nanquan Opcional",14,IF(Atletas!G560="Taijiquan Opcional",15,IF(Atletas!G560="Changquan Adulto",16,IF(Atletas!G560="Nanquan Adulto",17,IF(Atletas!G560="Taijiquan Adulto",18,""))))))))))))))))))))</f>
        <v/>
      </c>
      <c r="AZ564" s="46" t="str">
        <f>IF(Atletas!H560="","",IF(Atletas!B560="Feminino",100,IF(Atletas!B560="Masculino",200,""))+(IF(Atletas!H560="Daoshu Mirim",19,IF(Atletas!H560="Jianshu Mirim",20,IF(Atletas!H560="Nandao Mirim",21,IF(Atletas!H560="Taijijian Mirim",22,IF(Atletas!H560="Daoshu Grupo C",23,IF(Atletas!H560="Jianshu Grupo C",24,IF(Atletas!H560="Nandao Grupo C",25,IF(Atletas!H560="Taijijian Grupo C",26,IF(Atletas!H560="Daoshu Grupo B",27,IF(Atletas!H560="Jianshu Grupo B",28,IF(Atletas!H560="Nandao Grupo B",29,IF(Atletas!H560="Taijijian Grupo B",30,IF(Atletas!H560="Daoshu Grupo A",31,IF(Atletas!H560="Jianshu Grupo A",32,IF(Atletas!H560="Nandao Grupo A",33,IF(Atletas!H560="Taijijian Grupo A",34,IF(Atletas!H560="Daoshu Opcional",35,IF(Atletas!H560="Jianshu Opcional",36,IF(Atletas!H560="Nandao Opcional",37,IF(Atletas!H560="Taijijian Opcional",38,IF(Atletas!H560="Daoshu Adulto",39,IF(Atletas!H560="Jianshu Adulto",40,IF(Atletas!H560="Nandao Adulto",41,IF(Atletas!H560="Taijijian Adulto",42,""))))))))))))))))))))))))))</f>
        <v/>
      </c>
      <c r="BA564" s="46" t="str">
        <f>IF(Atletas!I560="","",IF(Atletas!B560="Feminino",100,IF(Atletas!B560="Masculino",200,""))+(IF(Atletas!I560="Gunshu Mirim",43,IF(Atletas!I560="Qiangshu Mirim",44,IF(Atletas!I560="Nangun Mirim",45,IF(Atletas!I560="Gunshu Grupo C",46,IF(Atletas!I560="Qiangshu Grupo C",47,IF(Atletas!I560="Nangun Grupo C",48,IF(Atletas!I560="Gunshu Grupo B",49,IF(Atletas!I560="Qiangshu Grupo B",50,IF(Atletas!I560="Nangun Grupo B",51,IF(Atletas!I560="Gunshu Grupo A",52,IF(Atletas!I560="Qiangshu Grupo A",53,IF(Atletas!I560="Nangun Grupo A",54,IF(Atletas!I560="Gunshu Opcional",55,IF(Atletas!I560="Qiangshu Opcional",56,IF(Atletas!I560="Nangun Opcional",57,IF(Atletas!I560="Gunshu Adulto",58,IF(Atletas!I560="Qiangshu Adulto",59,IF(Atletas!I560="Nangun Adulto",60,""))))))))))))))))))))</f>
        <v/>
      </c>
      <c r="BF564" s="52" t="str">
        <f>IF(Atletas!J560="","",IF(Atletas!B560="Feminino",100,IF(Atletas!B560="Masculino",200,""))+(IF(Atletas!J560="Equipe 1 Grupo B",1,IF(Atletas!J560="Equipe 2 Grupo B",2,IF(Atletas!J560="Equipe 1 Grupo A",3,IF(Atletas!J560="Equipe 2 Grupo A",4,IF(Atletas!J560="Equipe 1 Adulto",5,IF(Atletas!J560="Equipe 2 Adulto",6,""))))))))</f>
        <v/>
      </c>
      <c r="BK564" s="52" t="str">
        <f>IF(Atletas!K560="","",IF(Atletas!W560&lt;&gt;"",10000,0)+(IF(Atletas!B560="Feminino",1000,IF(Atletas!B560="Masculino",2000,""))+IF(Atletas!K560="Choylayfut A",1,IF(Atletas!K560="Hunggar A",2,IF(Atletas!K560="Wuzuquan A",3,IF(Atletas!K560="Wingchun A",4,IF(Atletas!K560="Outra Mão de Sul A",5,IF(Atletas!K560="Choylayfut B",6,IF(Atletas!K560="Hunggar B",7,IF(Atletas!K560="Wuzuquan B",8,IF(Atletas!K560="Wingchun B",9,IF(Atletas!K560="Outra Mão de Sul B",10,IF(Atletas!K560="Choylayfut C",11,IF(Atletas!K560="Hunggar C",12,IF(Atletas!K560="Wuzuquan C",13,IF(Atletas!K560="Wingchun C",14,IF(Atletas!K560="Outra Mão de Sul C",15,IF(Atletas!K560="Choylayfut D",16,IF(Atletas!K560="Hunggar D",17,IF(Atletas!K560="Wuzuquan D",18,IF(Atletas!K560="Wingchun D",19,IF(Atletas!K560="Outra Mão de Sul D",20,IF(Atletas!K560="Choylayfut E",21,IF(Atletas!K560="Hunggar E",22,IF(Atletas!K560="Wuzuquan E",23,IF(Atletas!K560="Wingchun E",24,IF(Atletas!K560="Outra Mão de Sul E",25,IF(Atletas!K560="Choylayfut F",26,IF(Atletas!K560="Hunggar F",27,IF(Atletas!K560="Wuzuquan F",28,IF(Atletas!K560="Wingchun F",29,IF(Atletas!K560="Outra Mão de Sul F",30,""))))))))))))))))))))))))))))))))</f>
        <v/>
      </c>
      <c r="BL564" s="52" t="str">
        <f>IF(Atletas!L560="","",IF(Atletas!W560&lt;&gt;"",10000,0)+(IF(Atletas!B560="Feminino",1000,IF(Atletas!B560="Masculino",2000,""))+(IF(Atletas!L560="Chaquan A",101,IF(Atletas!L560="Emeiquan A",102,IF(Atletas!L560="Fanziquan A",103,IF(Atletas!L560="Huaquan A",104,IF(Atletas!L560="Hongquan A",105,IF(Atletas!L560="Paochui A",106,IF(Atletas!L560="Piguaquan A",107,IF(Atletas!L560="Shaolinquan A",108,IF(Atletas!L560="Tanglangquan A",109,IF(Atletas!L560="Yinzhaophai A",110,IF(Atletas!L560="Tongbeiquan A",111,IF(Atletas!L560="Wudangquan A",112,IF(Atletas!L560="Outros Estilos A",113,IF(Atletas!L560="Chaquan B",114,IF(Atletas!L560="Emeiquan B",115,IF(Atletas!L560="Fanziquan B",116,IF(Atletas!L560="Huaquan B",117,IF(Atletas!L560="Hongquan B",118,IF(Atletas!L560="Paochui B",119,IF(Atletas!L560="Piguaquan B",120,IF(Atletas!L560="Shaolinquan B",121,IF(Atletas!L560="Tanglangquan B",122,IF(Atletas!L560="Yinzhaophai B",123,IF(Atletas!L560="Tongbeiquan B",124,IF(Atletas!L560="Wudangquan B",125,IF(Atletas!L560="Outros Estilos B",126,IF(Atletas!L560="Chaquan C",127,IF(Atletas!L560="Emeiquan C",128,IF(Atletas!L560="Fanziquan C",129,IF(Atletas!L560="Huaquan C",130,IF(Atletas!L560="Hongquan C",131,IF(Atletas!L560="Paochui C",132,IF(Atletas!L560="Piguaquan C",133,IF(Atletas!L560="Shaolinquan C",134,IF(Atletas!L560="Tanglangquan C",135,IF(Atletas!L560="Yinzhaophai C",136,IF(Atletas!L560="Tongbeiquan C",137,IF(Atletas!L560="Wudangquan C",138,IF(Atletas!L560="Outros Estilos C",139,0))))))))))))))))))))))))))))))))))))))))))</f>
        <v/>
      </c>
      <c r="BM564" s="52" t="str">
        <f>IF(Atletas!L560="","",IF(Atletas!W560&lt;&gt;"",10000,0)+(IF(Atletas!B560="Feminino",1000,IF(Atletas!B560="Masculino",2000,""))+(IF(Atletas!L560="Chaquan D",140,IF(Atletas!L560="Emeiquan D",141,IF(Atletas!L560="Fanziquan D",142,IF(Atletas!L560="Huaquan D",143,IF(Atletas!L560="Hongquan D",144,IF(Atletas!L560="Paochui D",145,IF(Atletas!L560="Piguaquan D",146,IF(Atletas!L560="Shaolinquan D",147,IF(Atletas!L560="Tanglangquan D",148,IF(Atletas!L560="Yinzhaophai D",149,IF(Atletas!L560="Tongbeiquan D",150,IF(Atletas!L560="Wudangquan D",151,IF(Atletas!L560="Outros Estilos D",152,IF(Atletas!L560="Chaquan E",153,IF(Atletas!L560="Emeiquan E",154,IF(Atletas!L560="Fanziquan E",155,IF(Atletas!L560="Huaquan E",156,IF(Atletas!L560="Hongquan E",157,IF(Atletas!L560="Paochui E",158,IF(Atletas!L560="Piguaquan E",159,IF(Atletas!L560="Shaolinquan E",160,IF(Atletas!L560="Tanglangquan E",161,IF(Atletas!L560="Yinzhaophai E",162,IF(Atletas!L560="Tongbeiquan E",163,IF(Atletas!L560="Wudangquan E",164,IF(Atletas!L560="Outros Estilos E",165,IF(Atletas!L560="Chaquan F",166,IF(Atletas!L560="Emeiquan F",167,IF(Atletas!L560="Fanziquan F",168,IF(Atletas!L560="Huaquan F",169,IF(Atletas!L560="Hongquan F",170,IF(Atletas!L560="Paochui F",171,IF(Atletas!L560="Piguaquan F",172,IF(Atletas!L560="Shaolinquan F",173,IF(Atletas!L560="Tanglangquan F",174,IF(Atletas!L560="Yinzhaophai F",175,IF(Atletas!L560="Tongbeiquan F",176,IF(Atletas!L560="Wudangquan F",177,IF(Atletas!L560="Outros Estilos F",178,0))))))))))))))))))))))))))))))))))))))))))</f>
        <v/>
      </c>
      <c r="BN564" s="52" t="str">
        <f>IF(Atletas!M560="","",IF(Atletas!W560&lt;&gt;"",10000,0)+(IF(Atletas!B560="Feminino",1000,IF(Atletas!B560="Masculino",2000,""))+(IF(Atletas!M560="Ditangquan A",201,IF(Atletas!M560="Houquan A",202,IF(Atletas!M560="Zuiquan A",203,IF(Atletas!M560="Ditangquan B",204,IF(Atletas!M560="Houquan B",205,IF(Atletas!M560="Zuiquan B",206,IF(Atletas!M560="Ditangquan C",207,IF(Atletas!M560="Houquan C",208,IF(Atletas!M560="Zuiquan C",209,IF(Atletas!M560="Ditangquan D",210,IF(Atletas!M560="Houquan D",211,IF(Atletas!M560="Zuiquan D",212,IF(Atletas!M560="Ditangquan E",213,IF(Atletas!M560="Houquan E",214,IF(Atletas!M560="Zuiquan E",215,IF(Atletas!M560="Ditangquan F",216,IF(Atletas!M560="Houquan F",217,IF(Atletas!M560="Zuiquan F",218,"")))))))))))))))))))))</f>
        <v/>
      </c>
      <c r="BO564" s="52" t="str">
        <f>IF(Atletas!N560="","",IF(Atletas!W560&lt;&gt;"",10000,0)+IF(Atletas!B560="Feminino",1000,IF(Atletas!B560="Masculino",2000,""))+IF(Atletas!N560="Yang A",301,IF(Atletas!N560="Chen A",30,IF(Atletas!N560="Sun A",303,IF(Atletas!N560="Wu A",304,IF(Atletas!N560="Wu-Hao A",305,IF(Atletas!N560="Outro Taijiquan A",306,IF(Atletas!N560="Yang B",307,IF(Atletas!N560="Chen B",308,IF(Atletas!N560="Sun B",309,IF(Atletas!N560="Wu B",310,IF(Atletas!N560="Wu-Hao B",311,IF(Atletas!N560="Outro Taijiquan B",312,IF(Atletas!N560="Yang C",313,IF(Atletas!N560="Chen C",314,IF(Atletas!N560="Sun C",315,IF(Atletas!N560="Wu C",316,IF(Atletas!N560="Wu-Hao C",317,IF(Atletas!N560="Outro Taijiquan C",318,IF(Atletas!N560="Yang D",319,IF(Atletas!N560="Chen D",320,IF(Atletas!N560="Sun D",321,IF(Atletas!N560="Wu D",322,IF(Atletas!N560="Wu-Hao D",323,IF(Atletas!N560="Outro Taijiquan D",324,IF(Atletas!N560="Yang E",325,IF(Atletas!N560="Chen E",326,IF(Atletas!N560="Sun E",327,IF(Atletas!N560="Wu E",328,IF(Atletas!N560="Wu-Hao E",329,IF(Atletas!N560="Outro Taijiquan E",330,IF(Atletas!N560="Yang F",331,IF(Atletas!N560="Chen F",332,IF(Atletas!N560="Sun F",333,IF(Atletas!N560="Wu F",334,IF(Atletas!N560="Wu-Hao F",335,IF(Atletas!N560="Outro Taijiquan F",336,"")))))))))))))))))))))))))))))))))))))</f>
        <v/>
      </c>
      <c r="BP564" s="52" t="str">
        <f>IF(Atletas!O560="","",IF(Atletas!W560&lt;&gt;"",10000,0)+IF(Atletas!B560="Feminino",1000,IF(Atletas!B560="Masculino",2000,""))+IF(OR(Atletas!O560="Yang 26 A",Atletas!O560="Yang 40 A"),401,IF(OR(Atletas!O560="Chen 25 A",Atletas!O560="Chen 36 A",Atletas!O560="Chen 56 A"),402,IF(Atletas!O560="Sun 73 A",403,IF(Atletas!O560="Wu 45 A",404,IF(Atletas!O560="Wu-Hao 46 A",405,IF(OR(Atletas!O560="Taijiquan 16 A",Atletas!O560="Taijiquan 24 A",Atletas!O560="Taijiquan 32 A",Atletas!O560="Taijiquan 42 A"),406,IF(OR(Atletas!O560="Yang 26 B",Atletas!O560="Yang 40 B"),407,IF(OR(Atletas!O560="Chen 25 B",Atletas!O560="Chen 36 B",Atletas!O560="Chen 56 B"),408,IF(Atletas!O560="Sun 73 B",409,IF(Atletas!O560="Wu 45 B",410,IF(Atletas!O560="Wu-Hao 46 B",411,IF(OR(Atletas!O560="Taijiquan 16 B",Atletas!O560="Taijiquan 24 B",Atletas!O560="Taijiquan 32 B",Atletas!O560="Taijiquan 42 B"),412,IF(OR(Atletas!O560="Yang 26 C",Atletas!O560="Yang 40 C"),413,IF(OR(Atletas!O560="Chen 25 C",Atletas!O560="Chen 36 C",Atletas!O560="Chen 56 C"),414,IF(Atletas!O560="Sun 73 C",415,IF(Atletas!O560="Wu 45 C",416,IF(Atletas!O560="Wu-Hao 46 C",417,IF(OR(Atletas!O560="Taijiquan 16 C",Atletas!O560="Taijiquan 24 C",Atletas!O560="Taijiquan 32 C",Atletas!O560="Taijiquan 42 C"),418,0)))))))))))))))))))</f>
        <v/>
      </c>
      <c r="BQ564" s="52" t="str">
        <f>IF(Atletas!O560="","",IF(Atletas!W560&lt;&gt;"",10000,0)+IF(Atletas!B560="Feminino",1000,IF(Atletas!B560="Masculino",2000,""))+IF(OR(Atletas!O560="Yang 26 D",Atletas!O560="Yang 40 D"),419,IF(OR(Atletas!O560="Chen 25 D",Atletas!O560="Chen 36 D",Atletas!O560="Chen 56 D"),420,IF(Atletas!O560="Sun 73 D",421,IF(Atletas!O560="Wu 45 D",422,IF(Atletas!O560="Wu-Hao 46 D",423,IF(OR(Atletas!O560="Taijiquan 16 D",Atletas!O560="Taijiquan 24 D",Atletas!O560="Taijiquan 32 D",Atletas!O560="Taijiquan 42 D"),424,IF(OR(Atletas!O560="Yang 26 E",Atletas!O560="Yang 40 E"),425,IF(OR(Atletas!O560="Chen 25 E",Atletas!O560="Chen 36 E",Atletas!O560="Chen 56 E"),426,IF(Atletas!O560="Sun 73 E",427,IF(Atletas!O560="Wu 45 E",428,IF(Atletas!O560="Wu-Hao 46 E",429,IF(OR(Atletas!O560="Taijiquan 16 E",Atletas!O560="Taijiquan 24 E",Atletas!O560="Taijiquan 32 E",Atletas!O560="Taijiquan 42 E"),430,IF(OR(Atletas!O560="Yang 26 F",Atletas!O560="Yang 40 F"),431,IF(OR(Atletas!O560="Chen 25 F",Atletas!O560="Chen 36 F",Atletas!O560="Chen 56 F"),432,IF(Atletas!O560="Sun 73 F",433,IF(Atletas!O560="Wu 45 F",434,IF(Atletas!O560="Wu-Hao 46 F",435,IF(OR(Atletas!O560="Taijiquan 16 F",Atletas!O560="Taijiquan 24 F",Atletas!O560="Taijiquan 32 F",Atletas!O560="Taijiquan 42 F"),436,0)))))))))))))))))))</f>
        <v/>
      </c>
      <c r="BR564" s="52" t="str">
        <f>IF(Atletas!P560="","",IF(Atletas!W560&lt;&gt;"",10000,0)+IF(Atletas!B560="Feminino",1000,IF(Atletas!B560="Masculino",2000,""))+IF(Atletas!P560="Xingyiquan A",501,IF(Atletas!P560="Baguazhang A",502,IF(Atletas!P560="Outro Estilo Interno A",503,IF(Atletas!P560="Xingyiquan B",504,IF(Atletas!P560="Baguazhang B",505,IF(Atletas!P560="Outro Estilo Interno B",506,IF(Atletas!P560="Xingyiquan C",507,IF(Atletas!P560="Baguazhang C",508,IF(Atletas!P560="Outro Estilo Interno C",509,IF(Atletas!P560="Xingyiquan D",510,IF(Atletas!P560="Baguazhang D",511,IF(Atletas!P560="Outro Estilo Interno D",512,IF(Atletas!P560="Xingyiquan E",513,IF(Atletas!P560="Baguazhang E",514,IF(Atletas!P560="Outro Estilo Interno E",515,IF(Atletas!P560="Xingyiquan F",516,IF(Atletas!P560="Baguazhang F",517,IF(Atletas!P560="Outro Estilo Interno F",518, "")))))))))))))))))))</f>
        <v/>
      </c>
      <c r="BS564" s="52" t="str">
        <f>IF(Atletas!Q560="","",IF(Atletas!W560&lt;&gt;"",10000,0)+IF(Atletas!B560="Feminino",1000,IF(Atletas!B560="Masculino",2000,""))+IF(Atletas!Q560="Dao A",601,IF(Atletas!Q560="Jian A",602,IF(Atletas!Q560="Bishou A",603,IF(Atletas!Q560="Shan A",604,IF(Atletas!Q560="Outra Arma Curta A",605,IF(Atletas!Q560="Dao B",606,IF(Atletas!Q560="Jian B",607,IF(Atletas!Q560="Bishou B",608,IF(Atletas!Q560="Shan B",609,IF(Atletas!Q560="Outra Arma Curta B",610,IF(Atletas!Q560="Dao C",611,IF(Atletas!Q560="Jian C",612,IF(Atletas!Q560="Bishou C",613,IF(Atletas!Q560="Shan C",614,IF(Atletas!Q560="Outra Arma Curta C",615,IF(Atletas!Q560="Dao D",616,IF(Atletas!Q560="Jian D",617,IF(Atletas!Q560="Bishou D",618,IF(Atletas!Q560="Shan D",619,IF(Atletas!Q560="Outra Arma Curta D",620,IF(Atletas!Q560="Dao E",621,IF(Atletas!Q560="Jian E",622,IF(Atletas!Q560="Bishou E",623,IF(Atletas!Q560="Shan E",624,IF(Atletas!Q560="Outra Arma Curta E",625,IF(Atletas!Q560="Dao F",626,IF(Atletas!Q560="Jian F",627,IF(Atletas!Q560="Bishou F",628,IF(Atletas!Q560="Shan F",629,IF(Atletas!Q560="Outra Arma Curta F",630, "")))))))))))))))))))))))))))))))</f>
        <v/>
      </c>
      <c r="BT564" s="52" t="str">
        <f>IF(Atletas!R560="","",IF(Atletas!W560&lt;&gt;"",10000,0)+IF(Atletas!B560="Feminino",1000,IF(Atletas!B560="Masculino",2000,""))+IF(Atletas!R560="Gun A",701,IF(Atletas!R560="Qiang A",702,IF(Atletas!R560="Pudao / Guandao A",703,IF(Atletas!R560="Outra Arma Longa A",704,IF(Atletas!R560="Gun B",705,IF(Atletas!R560="Qiang B",706,IF(Atletas!R560="Pudao / Guandao B",707,IF(Atletas!R560="Outra Arma Longa B",708,IF(Atletas!R560="Gun C",709,IF(Atletas!R560="Qiang C",710,IF(Atletas!R560="Pudao / Guandao C",711,IF(Atletas!R560="Outra Arma Longa C",712,IF(Atletas!R560="Gun D",713,IF(Atletas!R560="Qiang D",714,IF(Atletas!R560="Pudao / Guandao D",715,IF(Atletas!R560="Outra Arma Longa D",716,IF(Atletas!R560="Gun E",717,IF(Atletas!R560="Qiang E",718,IF(Atletas!R560="Pudao / Guandao E",719,IF(Atletas!R560="Outra Arma Longa E",720,IF(Atletas!R560="Gun F",721,IF(Atletas!R560="Qiang F",722,IF(Atletas!R560="Pudao / Guandao F",723,IF(Atletas!R560="Outra Arma Longa F",724,"")))))))))))))))))))))))))</f>
        <v/>
      </c>
      <c r="BU564" s="52" t="str">
        <f>IF(Atletas!S560="","",IF(Atletas!W560&lt;&gt;"",10000,0)+IF(Atletas!B560="Feminino",1000,IF(Atletas!B560="Masculino",2000,""))+IF(Atletas!S560="Arma Dupla A",801,IF(Atletas!S560="Arma Maleável A",802,IF(Atletas!S560="Arma Dupla B",803,IF(Atletas!S560="Arma Maleável B",804,IF(Atletas!S560="Arma Dupla C",805,IF(Atletas!S560="Arma Maleável C",806,IF(Atletas!S560="Arma Dupla D",807,IF(Atletas!S560="Arma Maleável D",808,IF(Atletas!S560="Arma Dupla E",809,IF(Atletas!S560="Arma Maleável E",810,IF(Atletas!S560="Arma Dupla F",811,IF(Atletas!S560="Arma Maleável F",812, "")))))))))))))</f>
        <v/>
      </c>
      <c r="BV564" s="52" t="str">
        <f>IF(Atletas!T560="","",IF(Atletas!W560&lt;&gt;"",10000,0)+IF(Atletas!B560="Feminino",1000,IF(Atletas!B560="Masculino",2000,""))+IF(Atletas!T560="Taijijian Yang A",901,IF(Atletas!T560="Taijijian Chen A",902,IF(Atletas!T560="Taijijian Sun A",903,IF(Atletas!T560="Taijijian Wu A",904,IF(Atletas!T560="Taijijian Wu-Hao A",905,IF(Atletas!T560="Taijijian 32 A",906,IF(Atletas!T560="Taijijian 42 A",907,IF(Atletas!T560="Taijijian Yang B",908,IF(Atletas!T560="Taijijian Chen B",909,IF(Atletas!T560="Taijijian Sun B",910,IF(Atletas!T560="Taijijian Wu B",911,IF(Atletas!T560="Taijijian Wu-Hao B",912,IF(Atletas!T560="Taijijian 32 B",913,IF(Atletas!T560="Taijijian 42 B",914,IF(Atletas!T560="Taijijian Yang C",915,IF(Atletas!T560="Taijijian Chen C",916,IF(Atletas!T560="Taijijian Sun C",917,IF(Atletas!T560="Taijijian Wu C",918,IF(Atletas!T560="Taijijian Wu-Hao C",919,IF(Atletas!T560="Taijijian 32 C",920,IF(Atletas!T560="Taijijian 42 C",921,IF(Atletas!T560="Taijijian Yang D",922,IF(Atletas!T560="Taijijian Chen D",923,IF(Atletas!T560="Taijijian Sun D",924,IF(Atletas!T560="Taijijian Wu D",925,IF(Atletas!T560="Taijijian Wu-Hao D",926,IF(Atletas!T560="Taijijian 32 D",927,IF(Atletas!T560="Taijijian 42 D",928,IF(Atletas!T560="Taijijian Yang E",929,IF(Atletas!T560="Taijijian Chen E",930,IF(Atletas!T560="Taijijian Sun E",931,IF(Atletas!T560="Taijijian Wu E",932,IF(Atletas!T560="Taijijian Wu-Hao E",933,IF(Atletas!T560="Taijijian 32 E",934,IF(Atletas!T560="Taijijian 42 E",935,IF(Atletas!T560="Taijijian Yang F",936,IF(Atletas!T560="Taijijian Chen F",937,IF(Atletas!T560="Taijijian Sun F",938,IF(Atletas!T560="Taijijian Wu F",939,IF(Atletas!T560="Taijijian Wu-Hao F",940,IF(Atletas!T560="Taijijian 32 F",941,IF(Atletas!T560="Taijijian 42 F",942,"")))))))))))))))))))))))))))))))))))))))))))</f>
        <v/>
      </c>
      <c r="BW564" s="52" t="str">
        <f>IF(Atletas!U560="","",IF(Atletas!W560&lt;&gt;"",10000,0)+IF(Atletas!B560="Feminino",1000,IF(Atletas!B560="Masculino",2000,""))+IF(Atletas!T560="Taijijian 42 F",942,IF(Atletas!U560="Taijidao A",943,IF(Atletas!U560="Taijishan A",944,IF(Atletas!U560="Taijiqiang A",945,IF(Atletas!U560="Taijidao B",946,IF(Atletas!U560="Taijishan B",947,IF(Atletas!U560="Taijiqiang B",948,IF(Atletas!U560="Taijidao C",949,IF(Atletas!U560="Taijishan C",950,IF(Atletas!U560="Taijiqiang C",951,IF(Atletas!U560="Taijidao D",952,IF(Atletas!U560="Taijishan D",953,IF(Atletas!U560="Taijiqiang D",954,IF(Atletas!U560="Taijidao E",955,IF(Atletas!U560="Taijishan E",956,IF(Atletas!U560="Taijiqiang E",957,IF(Atletas!U560="Taijidao F",958,IF(Atletas!U560="Taijishan F",959,IF(Atletas!U560="Taijiqiang F",960))))))))))))))))))))</f>
        <v/>
      </c>
      <c r="CF564" s="52" t="str">
        <f xml:space="preserve"> IF(Atletas!V560="","",IF(Atletas!V560="Duilian de Mãos AB - Equipe 1",1,IF(Atletas!V560="Duilian de Mãos AB - Equipe 2",2,IF(Atletas!V560="Duilian de Armas AB - Equipe 1",3,IF(Atletas!V560="Duilian de Armas AB - Equipe 2",4,IF(Atletas!V560="Duilian de Tuishou - Equipe 1",5,IF(Atletas!V560="Duilian de Tuishou - Equipe 2",6,IF(Atletas!V560="Grupo Externo AB - Equipe 1",7,IF(Atletas!V560="Grupo Externo AB - Equipe 2",8,IF(Atletas!V560="Grupo Interno AB - Equipe 1",9,IF(Atletas!V560="Grupo Interno AB - Equipe 2",10,IF(Atletas!V560="Duilian de Mãos CD - Equipe 1",11,IF(Atletas!V560="Duilian de Mãos CD - Equipe 2",12,IF(Atletas!V560="Duilian de Armas CD - Equipe 1",13,IF(Atletas!V560="Duilian de Armas CD - Equipe 2",14,IF(Atletas!V560="Duilian de Tuishou - Equipe 1",15,IF(Atletas!V560="Duilian de Tuishou - Equipe 2",16,IF(Atletas!V560="Grupo Externo CDEF - Equipe 1",17,IF(Atletas!V560="Grupo Externo CDEF - Equipe 2",18,IF(Atletas!V560="Grupo Interno CDEF - Equipe 1",19,IF(Atletas!V560="Grupo Interno CDEF - Equipe 2",20,IF(Atletas!V560="Duilian de Mãos EF - Equipe 1",21,IF(Atletas!V560="Duilian de Mãos EF - Equipe 2",22,IF(Atletas!V560="Duilian de Armas EF - Equipe 1",23,IF(Atletas!V560="Duilian de Armas EF - Equipe 2",24,IF(Atletas!V560="Duilian de Tuishou - Equipe 1",25,IF(Atletas!V560="Duilian de Tuishou - Equipe 2",26,"")))))))))))))))))))))))))))</f>
        <v/>
      </c>
    </row>
    <row r="565" spans="36:84">
      <c r="AJ565" s="46" t="str">
        <f>IF(Atletas!D561="","",IF(Atletas!B561="Feminino",100,IF(Atletas!B561="Masculino",200,""))+(IF(Atletas!D561="Infantil 39kg",1,IF(Atletas!D561="Infantil 42kg",2,IF(Atletas!D561="Infantil 45kg",3,IF(Atletas!D561="Infantil 48kg",4,IF(Atletas!D561="Infantil 52kg",5,IF(Atletas!D561="Infantil 56kg",6,IF(Atletas!D561="Infantil 60kg",7,IF(Atletas!D561="Juvenil 48kg",8,IF(Atletas!D561="Juvenil 52kg",9,IF(Atletas!D561="Juvenil 56kg",10,IF(Atletas!D561="Juvenil 60kg",11,IF(Atletas!D561="Juvenil 65kg",12,IF(Atletas!D561="Juvenil 70kg",13,IF(Atletas!D561="Juvenil 75kg",14,IF(Atletas!D561="Juvenil 80kg",15,IF(Atletas!D561="Adulto 48kg",16,IF(Atletas!D561="Adulto 52kg",17,IF(Atletas!D561="Adulto 56kg",18,IF(Atletas!D561="Adulto 60kg",19,IF(Atletas!D561="Adulto 65kg",20,IF(Atletas!D561="Adulto 70kg",21,IF(Atletas!D561="Adulto 75kg",22,IF(Atletas!D561="Adulto 80kg",23,IF(Atletas!D561="Adulto 85kg",24,IF(Atletas!D561="Adulto 90kg",25,IF(Atletas!D561="Adulto +90kg",26,""))))))))))))))))))))))))))))</f>
        <v/>
      </c>
      <c r="AO565" s="10" t="str">
        <f>IF(Atletas!E561="","",IF(Atletas!B561="Feminino",100,IF(Atletas!B561="Masculino",200,""))+(IF(Atletas!E561="Juvenil 44kg",1,IF(Atletas!E561="Juvenil 48kg",2,IF(Atletas!E561="Juvenil 52kg",3,IF(Atletas!E561="Juvenil 56kg",4,IF(Atletas!E561="Juvenil 60kg",5,IF(Atletas!E561="Juvenil 65kg",6,IF(Atletas!E561="Juvenil 70kg",7,IF(Atletas!E561="Juvenil 75kg",8,IF(Atletas!E561="Juvenil 82kg",9,IF(Atletas!E561="Juvenil 90kg",10,IF(Atletas!E561="Juvenil 100kg",11,IF(Atletas!E561="Adulto 48kg",12,IF(Atletas!E561="Adulto 52kg",13,IF(Atletas!E561="Adulto 56kg",14,IF(Atletas!E561="Adulto 60kg",15,IF(Atletas!E561="Adulto 65kg",16,IF(Atletas!E561="Adulto 70kg",17,IF(Atletas!E561="Adulto 75kg",18,IF(Atletas!E561="Adulto 82kg",19,IF(Atletas!E561="Adulto 90kg",20,IF(Atletas!E561="Adulto 100kg",21,IF(Atletas!E561="Adulto +100kg",22,""))))))))))))))))))))))))</f>
        <v/>
      </c>
      <c r="AT565" s="10" t="str">
        <f>IF(Atletas!F561="","",IF(Atletas!B561="Feminino",100,IF(Atletas!B561="Masculino",200,""))+(IF(Atletas!F561="Adulto 48kg",1,IF(Atletas!F561="Adulto 56kg",2,IF(Atletas!F561="Adulto 65kg",3,IF(Atletas!F561="Adulto 75kg",4,IF(Atletas!F561="Adulto +75kg",5,IF(Atletas!F561="Adulto 52kg",6,IF(Atletas!F561="Adulto 60kg",7,IF(Atletas!F561="Adulto 70kg",8,IF(Atletas!F561="Adulto 80kg",9,IF(Atletas!F561="Adulto 90kg",10,IF(Atletas!F561="Adulto +90kg",11,"")))))))))))))</f>
        <v/>
      </c>
      <c r="AY565" s="46" t="str">
        <f>IF(Atletas!G561="","",IF(Atletas!B561="Feminino",100,IF(Atletas!B561="Masculino",200,""))+(IF(Atletas!G561="Changquan Mirim",1,IF(Atletas!G561="Nanquan Mirim",2,IF(Atletas!G561="Taijiquan Mirim",3,IF(Atletas!G561="Changquan Grupo C",4,IF(Atletas!G561="Nanquan Grupo C",5,IF(Atletas!G561="Taijiquan Grupo C",6,IF(Atletas!G561="Changquan Grupo B",7,IF(Atletas!G561="Nanquan Grupo B",8,IF(Atletas!G561="Taijiquan Grupo B",9,IF(Atletas!G561="Changquan Grupo A",10,IF(Atletas!G561="Nanquan Grupo A",11,IF(Atletas!G561="Taijiquan Grupo A",12,IF(Atletas!G561="Changquan Opcional",13,IF(Atletas!G561="Nanquan Opcional",14,IF(Atletas!G561="Taijiquan Opcional",15,IF(Atletas!G561="Changquan Adulto",16,IF(Atletas!G561="Nanquan Adulto",17,IF(Atletas!G561="Taijiquan Adulto",18,""))))))))))))))))))))</f>
        <v/>
      </c>
      <c r="AZ565" s="46" t="str">
        <f>IF(Atletas!H561="","",IF(Atletas!B561="Feminino",100,IF(Atletas!B561="Masculino",200,""))+(IF(Atletas!H561="Daoshu Mirim",19,IF(Atletas!H561="Jianshu Mirim",20,IF(Atletas!H561="Nandao Mirim",21,IF(Atletas!H561="Taijijian Mirim",22,IF(Atletas!H561="Daoshu Grupo C",23,IF(Atletas!H561="Jianshu Grupo C",24,IF(Atletas!H561="Nandao Grupo C",25,IF(Atletas!H561="Taijijian Grupo C",26,IF(Atletas!H561="Daoshu Grupo B",27,IF(Atletas!H561="Jianshu Grupo B",28,IF(Atletas!H561="Nandao Grupo B",29,IF(Atletas!H561="Taijijian Grupo B",30,IF(Atletas!H561="Daoshu Grupo A",31,IF(Atletas!H561="Jianshu Grupo A",32,IF(Atletas!H561="Nandao Grupo A",33,IF(Atletas!H561="Taijijian Grupo A",34,IF(Atletas!H561="Daoshu Opcional",35,IF(Atletas!H561="Jianshu Opcional",36,IF(Atletas!H561="Nandao Opcional",37,IF(Atletas!H561="Taijijian Opcional",38,IF(Atletas!H561="Daoshu Adulto",39,IF(Atletas!H561="Jianshu Adulto",40,IF(Atletas!H561="Nandao Adulto",41,IF(Atletas!H561="Taijijian Adulto",42,""))))))))))))))))))))))))))</f>
        <v/>
      </c>
      <c r="BA565" s="46" t="str">
        <f>IF(Atletas!I561="","",IF(Atletas!B561="Feminino",100,IF(Atletas!B561="Masculino",200,""))+(IF(Atletas!I561="Gunshu Mirim",43,IF(Atletas!I561="Qiangshu Mirim",44,IF(Atletas!I561="Nangun Mirim",45,IF(Atletas!I561="Gunshu Grupo C",46,IF(Atletas!I561="Qiangshu Grupo C",47,IF(Atletas!I561="Nangun Grupo C",48,IF(Atletas!I561="Gunshu Grupo B",49,IF(Atletas!I561="Qiangshu Grupo B",50,IF(Atletas!I561="Nangun Grupo B",51,IF(Atletas!I561="Gunshu Grupo A",52,IF(Atletas!I561="Qiangshu Grupo A",53,IF(Atletas!I561="Nangun Grupo A",54,IF(Atletas!I561="Gunshu Opcional",55,IF(Atletas!I561="Qiangshu Opcional",56,IF(Atletas!I561="Nangun Opcional",57,IF(Atletas!I561="Gunshu Adulto",58,IF(Atletas!I561="Qiangshu Adulto",59,IF(Atletas!I561="Nangun Adulto",60,""))))))))))))))))))))</f>
        <v/>
      </c>
      <c r="BF565" s="52" t="str">
        <f>IF(Atletas!J561="","",IF(Atletas!B561="Feminino",100,IF(Atletas!B561="Masculino",200,""))+(IF(Atletas!J561="Equipe 1 Grupo B",1,IF(Atletas!J561="Equipe 2 Grupo B",2,IF(Atletas!J561="Equipe 1 Grupo A",3,IF(Atletas!J561="Equipe 2 Grupo A",4,IF(Atletas!J561="Equipe 1 Adulto",5,IF(Atletas!J561="Equipe 2 Adulto",6,""))))))))</f>
        <v/>
      </c>
      <c r="BK565" s="52" t="str">
        <f>IF(Atletas!K561="","",IF(Atletas!W561&lt;&gt;"",10000,0)+(IF(Atletas!B561="Feminino",1000,IF(Atletas!B561="Masculino",2000,""))+IF(Atletas!K561="Choylayfut A",1,IF(Atletas!K561="Hunggar A",2,IF(Atletas!K561="Wuzuquan A",3,IF(Atletas!K561="Wingchun A",4,IF(Atletas!K561="Outra Mão de Sul A",5,IF(Atletas!K561="Choylayfut B",6,IF(Atletas!K561="Hunggar B",7,IF(Atletas!K561="Wuzuquan B",8,IF(Atletas!K561="Wingchun B",9,IF(Atletas!K561="Outra Mão de Sul B",10,IF(Atletas!K561="Choylayfut C",11,IF(Atletas!K561="Hunggar C",12,IF(Atletas!K561="Wuzuquan C",13,IF(Atletas!K561="Wingchun C",14,IF(Atletas!K561="Outra Mão de Sul C",15,IF(Atletas!K561="Choylayfut D",16,IF(Atletas!K561="Hunggar D",17,IF(Atletas!K561="Wuzuquan D",18,IF(Atletas!K561="Wingchun D",19,IF(Atletas!K561="Outra Mão de Sul D",20,IF(Atletas!K561="Choylayfut E",21,IF(Atletas!K561="Hunggar E",22,IF(Atletas!K561="Wuzuquan E",23,IF(Atletas!K561="Wingchun E",24,IF(Atletas!K561="Outra Mão de Sul E",25,IF(Atletas!K561="Choylayfut F",26,IF(Atletas!K561="Hunggar F",27,IF(Atletas!K561="Wuzuquan F",28,IF(Atletas!K561="Wingchun F",29,IF(Atletas!K561="Outra Mão de Sul F",30,""))))))))))))))))))))))))))))))))</f>
        <v/>
      </c>
      <c r="BL565" s="52" t="str">
        <f>IF(Atletas!L561="","",IF(Atletas!W561&lt;&gt;"",10000,0)+(IF(Atletas!B561="Feminino",1000,IF(Atletas!B561="Masculino",2000,""))+(IF(Atletas!L561="Chaquan A",101,IF(Atletas!L561="Emeiquan A",102,IF(Atletas!L561="Fanziquan A",103,IF(Atletas!L561="Huaquan A",104,IF(Atletas!L561="Hongquan A",105,IF(Atletas!L561="Paochui A",106,IF(Atletas!L561="Piguaquan A",107,IF(Atletas!L561="Shaolinquan A",108,IF(Atletas!L561="Tanglangquan A",109,IF(Atletas!L561="Yinzhaophai A",110,IF(Atletas!L561="Tongbeiquan A",111,IF(Atletas!L561="Wudangquan A",112,IF(Atletas!L561="Outros Estilos A",113,IF(Atletas!L561="Chaquan B",114,IF(Atletas!L561="Emeiquan B",115,IF(Atletas!L561="Fanziquan B",116,IF(Atletas!L561="Huaquan B",117,IF(Atletas!L561="Hongquan B",118,IF(Atletas!L561="Paochui B",119,IF(Atletas!L561="Piguaquan B",120,IF(Atletas!L561="Shaolinquan B",121,IF(Atletas!L561="Tanglangquan B",122,IF(Atletas!L561="Yinzhaophai B",123,IF(Atletas!L561="Tongbeiquan B",124,IF(Atletas!L561="Wudangquan B",125,IF(Atletas!L561="Outros Estilos B",126,IF(Atletas!L561="Chaquan C",127,IF(Atletas!L561="Emeiquan C",128,IF(Atletas!L561="Fanziquan C",129,IF(Atletas!L561="Huaquan C",130,IF(Atletas!L561="Hongquan C",131,IF(Atletas!L561="Paochui C",132,IF(Atletas!L561="Piguaquan C",133,IF(Atletas!L561="Shaolinquan C",134,IF(Atletas!L561="Tanglangquan C",135,IF(Atletas!L561="Yinzhaophai C",136,IF(Atletas!L561="Tongbeiquan C",137,IF(Atletas!L561="Wudangquan C",138,IF(Atletas!L561="Outros Estilos C",139,0))))))))))))))))))))))))))))))))))))))))))</f>
        <v/>
      </c>
      <c r="BM565" s="52" t="str">
        <f>IF(Atletas!L561="","",IF(Atletas!W561&lt;&gt;"",10000,0)+(IF(Atletas!B561="Feminino",1000,IF(Atletas!B561="Masculino",2000,""))+(IF(Atletas!L561="Chaquan D",140,IF(Atletas!L561="Emeiquan D",141,IF(Atletas!L561="Fanziquan D",142,IF(Atletas!L561="Huaquan D",143,IF(Atletas!L561="Hongquan D",144,IF(Atletas!L561="Paochui D",145,IF(Atletas!L561="Piguaquan D",146,IF(Atletas!L561="Shaolinquan D",147,IF(Atletas!L561="Tanglangquan D",148,IF(Atletas!L561="Yinzhaophai D",149,IF(Atletas!L561="Tongbeiquan D",150,IF(Atletas!L561="Wudangquan D",151,IF(Atletas!L561="Outros Estilos D",152,IF(Atletas!L561="Chaquan E",153,IF(Atletas!L561="Emeiquan E",154,IF(Atletas!L561="Fanziquan E",155,IF(Atletas!L561="Huaquan E",156,IF(Atletas!L561="Hongquan E",157,IF(Atletas!L561="Paochui E",158,IF(Atletas!L561="Piguaquan E",159,IF(Atletas!L561="Shaolinquan E",160,IF(Atletas!L561="Tanglangquan E",161,IF(Atletas!L561="Yinzhaophai E",162,IF(Atletas!L561="Tongbeiquan E",163,IF(Atletas!L561="Wudangquan E",164,IF(Atletas!L561="Outros Estilos E",165,IF(Atletas!L561="Chaquan F",166,IF(Atletas!L561="Emeiquan F",167,IF(Atletas!L561="Fanziquan F",168,IF(Atletas!L561="Huaquan F",169,IF(Atletas!L561="Hongquan F",170,IF(Atletas!L561="Paochui F",171,IF(Atletas!L561="Piguaquan F",172,IF(Atletas!L561="Shaolinquan F",173,IF(Atletas!L561="Tanglangquan F",174,IF(Atletas!L561="Yinzhaophai F",175,IF(Atletas!L561="Tongbeiquan F",176,IF(Atletas!L561="Wudangquan F",177,IF(Atletas!L561="Outros Estilos F",178,0))))))))))))))))))))))))))))))))))))))))))</f>
        <v/>
      </c>
      <c r="BN565" s="52" t="str">
        <f>IF(Atletas!M561="","",IF(Atletas!W561&lt;&gt;"",10000,0)+(IF(Atletas!B561="Feminino",1000,IF(Atletas!B561="Masculino",2000,""))+(IF(Atletas!M561="Ditangquan A",201,IF(Atletas!M561="Houquan A",202,IF(Atletas!M561="Zuiquan A",203,IF(Atletas!M561="Ditangquan B",204,IF(Atletas!M561="Houquan B",205,IF(Atletas!M561="Zuiquan B",206,IF(Atletas!M561="Ditangquan C",207,IF(Atletas!M561="Houquan C",208,IF(Atletas!M561="Zuiquan C",209,IF(Atletas!M561="Ditangquan D",210,IF(Atletas!M561="Houquan D",211,IF(Atletas!M561="Zuiquan D",212,IF(Atletas!M561="Ditangquan E",213,IF(Atletas!M561="Houquan E",214,IF(Atletas!M561="Zuiquan E",215,IF(Atletas!M561="Ditangquan F",216,IF(Atletas!M561="Houquan F",217,IF(Atletas!M561="Zuiquan F",218,"")))))))))))))))))))))</f>
        <v/>
      </c>
      <c r="BO565" s="52" t="str">
        <f>IF(Atletas!N561="","",IF(Atletas!W561&lt;&gt;"",10000,0)+IF(Atletas!B561="Feminino",1000,IF(Atletas!B561="Masculino",2000,""))+IF(Atletas!N561="Yang A",301,IF(Atletas!N561="Chen A",30,IF(Atletas!N561="Sun A",303,IF(Atletas!N561="Wu A",304,IF(Atletas!N561="Wu-Hao A",305,IF(Atletas!N561="Outro Taijiquan A",306,IF(Atletas!N561="Yang B",307,IF(Atletas!N561="Chen B",308,IF(Atletas!N561="Sun B",309,IF(Atletas!N561="Wu B",310,IF(Atletas!N561="Wu-Hao B",311,IF(Atletas!N561="Outro Taijiquan B",312,IF(Atletas!N561="Yang C",313,IF(Atletas!N561="Chen C",314,IF(Atletas!N561="Sun C",315,IF(Atletas!N561="Wu C",316,IF(Atletas!N561="Wu-Hao C",317,IF(Atletas!N561="Outro Taijiquan C",318,IF(Atletas!N561="Yang D",319,IF(Atletas!N561="Chen D",320,IF(Atletas!N561="Sun D",321,IF(Atletas!N561="Wu D",322,IF(Atletas!N561="Wu-Hao D",323,IF(Atletas!N561="Outro Taijiquan D",324,IF(Atletas!N561="Yang E",325,IF(Atletas!N561="Chen E",326,IF(Atletas!N561="Sun E",327,IF(Atletas!N561="Wu E",328,IF(Atletas!N561="Wu-Hao E",329,IF(Atletas!N561="Outro Taijiquan E",330,IF(Atletas!N561="Yang F",331,IF(Atletas!N561="Chen F",332,IF(Atletas!N561="Sun F",333,IF(Atletas!N561="Wu F",334,IF(Atletas!N561="Wu-Hao F",335,IF(Atletas!N561="Outro Taijiquan F",336,"")))))))))))))))))))))))))))))))))))))</f>
        <v/>
      </c>
      <c r="BP565" s="52" t="str">
        <f>IF(Atletas!O561="","",IF(Atletas!W561&lt;&gt;"",10000,0)+IF(Atletas!B561="Feminino",1000,IF(Atletas!B561="Masculino",2000,""))+IF(OR(Atletas!O561="Yang 26 A",Atletas!O561="Yang 40 A"),401,IF(OR(Atletas!O561="Chen 25 A",Atletas!O561="Chen 36 A",Atletas!O561="Chen 56 A"),402,IF(Atletas!O561="Sun 73 A",403,IF(Atletas!O561="Wu 45 A",404,IF(Atletas!O561="Wu-Hao 46 A",405,IF(OR(Atletas!O561="Taijiquan 16 A",Atletas!O561="Taijiquan 24 A",Atletas!O561="Taijiquan 32 A",Atletas!O561="Taijiquan 42 A"),406,IF(OR(Atletas!O561="Yang 26 B",Atletas!O561="Yang 40 B"),407,IF(OR(Atletas!O561="Chen 25 B",Atletas!O561="Chen 36 B",Atletas!O561="Chen 56 B"),408,IF(Atletas!O561="Sun 73 B",409,IF(Atletas!O561="Wu 45 B",410,IF(Atletas!O561="Wu-Hao 46 B",411,IF(OR(Atletas!O561="Taijiquan 16 B",Atletas!O561="Taijiquan 24 B",Atletas!O561="Taijiquan 32 B",Atletas!O561="Taijiquan 42 B"),412,IF(OR(Atletas!O561="Yang 26 C",Atletas!O561="Yang 40 C"),413,IF(OR(Atletas!O561="Chen 25 C",Atletas!O561="Chen 36 C",Atletas!O561="Chen 56 C"),414,IF(Atletas!O561="Sun 73 C",415,IF(Atletas!O561="Wu 45 C",416,IF(Atletas!O561="Wu-Hao 46 C",417,IF(OR(Atletas!O561="Taijiquan 16 C",Atletas!O561="Taijiquan 24 C",Atletas!O561="Taijiquan 32 C",Atletas!O561="Taijiquan 42 C"),418,0)))))))))))))))))))</f>
        <v/>
      </c>
      <c r="BQ565" s="52" t="str">
        <f>IF(Atletas!O561="","",IF(Atletas!W561&lt;&gt;"",10000,0)+IF(Atletas!B561="Feminino",1000,IF(Atletas!B561="Masculino",2000,""))+IF(OR(Atletas!O561="Yang 26 D",Atletas!O561="Yang 40 D"),419,IF(OR(Atletas!O561="Chen 25 D",Atletas!O561="Chen 36 D",Atletas!O561="Chen 56 D"),420,IF(Atletas!O561="Sun 73 D",421,IF(Atletas!O561="Wu 45 D",422,IF(Atletas!O561="Wu-Hao 46 D",423,IF(OR(Atletas!O561="Taijiquan 16 D",Atletas!O561="Taijiquan 24 D",Atletas!O561="Taijiquan 32 D",Atletas!O561="Taijiquan 42 D"),424,IF(OR(Atletas!O561="Yang 26 E",Atletas!O561="Yang 40 E"),425,IF(OR(Atletas!O561="Chen 25 E",Atletas!O561="Chen 36 E",Atletas!O561="Chen 56 E"),426,IF(Atletas!O561="Sun 73 E",427,IF(Atletas!O561="Wu 45 E",428,IF(Atletas!O561="Wu-Hao 46 E",429,IF(OR(Atletas!O561="Taijiquan 16 E",Atletas!O561="Taijiquan 24 E",Atletas!O561="Taijiquan 32 E",Atletas!O561="Taijiquan 42 E"),430,IF(OR(Atletas!O561="Yang 26 F",Atletas!O561="Yang 40 F"),431,IF(OR(Atletas!O561="Chen 25 F",Atletas!O561="Chen 36 F",Atletas!O561="Chen 56 F"),432,IF(Atletas!O561="Sun 73 F",433,IF(Atletas!O561="Wu 45 F",434,IF(Atletas!O561="Wu-Hao 46 F",435,IF(OR(Atletas!O561="Taijiquan 16 F",Atletas!O561="Taijiquan 24 F",Atletas!O561="Taijiquan 32 F",Atletas!O561="Taijiquan 42 F"),436,0)))))))))))))))))))</f>
        <v/>
      </c>
      <c r="BR565" s="52" t="str">
        <f>IF(Atletas!P561="","",IF(Atletas!W561&lt;&gt;"",10000,0)+IF(Atletas!B561="Feminino",1000,IF(Atletas!B561="Masculino",2000,""))+IF(Atletas!P561="Xingyiquan A",501,IF(Atletas!P561="Baguazhang A",502,IF(Atletas!P561="Outro Estilo Interno A",503,IF(Atletas!P561="Xingyiquan B",504,IF(Atletas!P561="Baguazhang B",505,IF(Atletas!P561="Outro Estilo Interno B",506,IF(Atletas!P561="Xingyiquan C",507,IF(Atletas!P561="Baguazhang C",508,IF(Atletas!P561="Outro Estilo Interno C",509,IF(Atletas!P561="Xingyiquan D",510,IF(Atletas!P561="Baguazhang D",511,IF(Atletas!P561="Outro Estilo Interno D",512,IF(Atletas!P561="Xingyiquan E",513,IF(Atletas!P561="Baguazhang E",514,IF(Atletas!P561="Outro Estilo Interno E",515,IF(Atletas!P561="Xingyiquan F",516,IF(Atletas!P561="Baguazhang F",517,IF(Atletas!P561="Outro Estilo Interno F",518, "")))))))))))))))))))</f>
        <v/>
      </c>
      <c r="BS565" s="52" t="str">
        <f>IF(Atletas!Q561="","",IF(Atletas!W561&lt;&gt;"",10000,0)+IF(Atletas!B561="Feminino",1000,IF(Atletas!B561="Masculino",2000,""))+IF(Atletas!Q561="Dao A",601,IF(Atletas!Q561="Jian A",602,IF(Atletas!Q561="Bishou A",603,IF(Atletas!Q561="Shan A",604,IF(Atletas!Q561="Outra Arma Curta A",605,IF(Atletas!Q561="Dao B",606,IF(Atletas!Q561="Jian B",607,IF(Atletas!Q561="Bishou B",608,IF(Atletas!Q561="Shan B",609,IF(Atletas!Q561="Outra Arma Curta B",610,IF(Atletas!Q561="Dao C",611,IF(Atletas!Q561="Jian C",612,IF(Atletas!Q561="Bishou C",613,IF(Atletas!Q561="Shan C",614,IF(Atletas!Q561="Outra Arma Curta C",615,IF(Atletas!Q561="Dao D",616,IF(Atletas!Q561="Jian D",617,IF(Atletas!Q561="Bishou D",618,IF(Atletas!Q561="Shan D",619,IF(Atletas!Q561="Outra Arma Curta D",620,IF(Atletas!Q561="Dao E",621,IF(Atletas!Q561="Jian E",622,IF(Atletas!Q561="Bishou E",623,IF(Atletas!Q561="Shan E",624,IF(Atletas!Q561="Outra Arma Curta E",625,IF(Atletas!Q561="Dao F",626,IF(Atletas!Q561="Jian F",627,IF(Atletas!Q561="Bishou F",628,IF(Atletas!Q561="Shan F",629,IF(Atletas!Q561="Outra Arma Curta F",630, "")))))))))))))))))))))))))))))))</f>
        <v/>
      </c>
      <c r="BT565" s="52" t="str">
        <f>IF(Atletas!R561="","",IF(Atletas!W561&lt;&gt;"",10000,0)+IF(Atletas!B561="Feminino",1000,IF(Atletas!B561="Masculino",2000,""))+IF(Atletas!R561="Gun A",701,IF(Atletas!R561="Qiang A",702,IF(Atletas!R561="Pudao / Guandao A",703,IF(Atletas!R561="Outra Arma Longa A",704,IF(Atletas!R561="Gun B",705,IF(Atletas!R561="Qiang B",706,IF(Atletas!R561="Pudao / Guandao B",707,IF(Atletas!R561="Outra Arma Longa B",708,IF(Atletas!R561="Gun C",709,IF(Atletas!R561="Qiang C",710,IF(Atletas!R561="Pudao / Guandao C",711,IF(Atletas!R561="Outra Arma Longa C",712,IF(Atletas!R561="Gun D",713,IF(Atletas!R561="Qiang D",714,IF(Atletas!R561="Pudao / Guandao D",715,IF(Atletas!R561="Outra Arma Longa D",716,IF(Atletas!R561="Gun E",717,IF(Atletas!R561="Qiang E",718,IF(Atletas!R561="Pudao / Guandao E",719,IF(Atletas!R561="Outra Arma Longa E",720,IF(Atletas!R561="Gun F",721,IF(Atletas!R561="Qiang F",722,IF(Atletas!R561="Pudao / Guandao F",723,IF(Atletas!R561="Outra Arma Longa F",724,"")))))))))))))))))))))))))</f>
        <v/>
      </c>
      <c r="BU565" s="52" t="str">
        <f>IF(Atletas!S561="","",IF(Atletas!W561&lt;&gt;"",10000,0)+IF(Atletas!B561="Feminino",1000,IF(Atletas!B561="Masculino",2000,""))+IF(Atletas!S561="Arma Dupla A",801,IF(Atletas!S561="Arma Maleável A",802,IF(Atletas!S561="Arma Dupla B",803,IF(Atletas!S561="Arma Maleável B",804,IF(Atletas!S561="Arma Dupla C",805,IF(Atletas!S561="Arma Maleável C",806,IF(Atletas!S561="Arma Dupla D",807,IF(Atletas!S561="Arma Maleável D",808,IF(Atletas!S561="Arma Dupla E",809,IF(Atletas!S561="Arma Maleável E",810,IF(Atletas!S561="Arma Dupla F",811,IF(Atletas!S561="Arma Maleável F",812, "")))))))))))))</f>
        <v/>
      </c>
      <c r="BV565" s="52" t="str">
        <f>IF(Atletas!T561="","",IF(Atletas!W561&lt;&gt;"",10000,0)+IF(Atletas!B561="Feminino",1000,IF(Atletas!B561="Masculino",2000,""))+IF(Atletas!T561="Taijijian Yang A",901,IF(Atletas!T561="Taijijian Chen A",902,IF(Atletas!T561="Taijijian Sun A",903,IF(Atletas!T561="Taijijian Wu A",904,IF(Atletas!T561="Taijijian Wu-Hao A",905,IF(Atletas!T561="Taijijian 32 A",906,IF(Atletas!T561="Taijijian 42 A",907,IF(Atletas!T561="Taijijian Yang B",908,IF(Atletas!T561="Taijijian Chen B",909,IF(Atletas!T561="Taijijian Sun B",910,IF(Atletas!T561="Taijijian Wu B",911,IF(Atletas!T561="Taijijian Wu-Hao B",912,IF(Atletas!T561="Taijijian 32 B",913,IF(Atletas!T561="Taijijian 42 B",914,IF(Atletas!T561="Taijijian Yang C",915,IF(Atletas!T561="Taijijian Chen C",916,IF(Atletas!T561="Taijijian Sun C",917,IF(Atletas!T561="Taijijian Wu C",918,IF(Atletas!T561="Taijijian Wu-Hao C",919,IF(Atletas!T561="Taijijian 32 C",920,IF(Atletas!T561="Taijijian 42 C",921,IF(Atletas!T561="Taijijian Yang D",922,IF(Atletas!T561="Taijijian Chen D",923,IF(Atletas!T561="Taijijian Sun D",924,IF(Atletas!T561="Taijijian Wu D",925,IF(Atletas!T561="Taijijian Wu-Hao D",926,IF(Atletas!T561="Taijijian 32 D",927,IF(Atletas!T561="Taijijian 42 D",928,IF(Atletas!T561="Taijijian Yang E",929,IF(Atletas!T561="Taijijian Chen E",930,IF(Atletas!T561="Taijijian Sun E",931,IF(Atletas!T561="Taijijian Wu E",932,IF(Atletas!T561="Taijijian Wu-Hao E",933,IF(Atletas!T561="Taijijian 32 E",934,IF(Atletas!T561="Taijijian 42 E",935,IF(Atletas!T561="Taijijian Yang F",936,IF(Atletas!T561="Taijijian Chen F",937,IF(Atletas!T561="Taijijian Sun F",938,IF(Atletas!T561="Taijijian Wu F",939,IF(Atletas!T561="Taijijian Wu-Hao F",940,IF(Atletas!T561="Taijijian 32 F",941,IF(Atletas!T561="Taijijian 42 F",942,"")))))))))))))))))))))))))))))))))))))))))))</f>
        <v/>
      </c>
      <c r="BW565" s="52" t="str">
        <f>IF(Atletas!U561="","",IF(Atletas!W561&lt;&gt;"",10000,0)+IF(Atletas!B561="Feminino",1000,IF(Atletas!B561="Masculino",2000,""))+IF(Atletas!T561="Taijijian 42 F",942,IF(Atletas!U561="Taijidao A",943,IF(Atletas!U561="Taijishan A",944,IF(Atletas!U561="Taijiqiang A",945,IF(Atletas!U561="Taijidao B",946,IF(Atletas!U561="Taijishan B",947,IF(Atletas!U561="Taijiqiang B",948,IF(Atletas!U561="Taijidao C",949,IF(Atletas!U561="Taijishan C",950,IF(Atletas!U561="Taijiqiang C",951,IF(Atletas!U561="Taijidao D",952,IF(Atletas!U561="Taijishan D",953,IF(Atletas!U561="Taijiqiang D",954,IF(Atletas!U561="Taijidao E",955,IF(Atletas!U561="Taijishan E",956,IF(Atletas!U561="Taijiqiang E",957,IF(Atletas!U561="Taijidao F",958,IF(Atletas!U561="Taijishan F",959,IF(Atletas!U561="Taijiqiang F",960))))))))))))))))))))</f>
        <v/>
      </c>
      <c r="CF565" s="52" t="str">
        <f xml:space="preserve"> IF(Atletas!V561="","",IF(Atletas!V561="Duilian de Mãos AB - Equipe 1",1,IF(Atletas!V561="Duilian de Mãos AB - Equipe 2",2,IF(Atletas!V561="Duilian de Armas AB - Equipe 1",3,IF(Atletas!V561="Duilian de Armas AB - Equipe 2",4,IF(Atletas!V561="Duilian de Tuishou - Equipe 1",5,IF(Atletas!V561="Duilian de Tuishou - Equipe 2",6,IF(Atletas!V561="Grupo Externo AB - Equipe 1",7,IF(Atletas!V561="Grupo Externo AB - Equipe 2",8,IF(Atletas!V561="Grupo Interno AB - Equipe 1",9,IF(Atletas!V561="Grupo Interno AB - Equipe 2",10,IF(Atletas!V561="Duilian de Mãos CD - Equipe 1",11,IF(Atletas!V561="Duilian de Mãos CD - Equipe 2",12,IF(Atletas!V561="Duilian de Armas CD - Equipe 1",13,IF(Atletas!V561="Duilian de Armas CD - Equipe 2",14,IF(Atletas!V561="Duilian de Tuishou - Equipe 1",15,IF(Atletas!V561="Duilian de Tuishou - Equipe 2",16,IF(Atletas!V561="Grupo Externo CDEF - Equipe 1",17,IF(Atletas!V561="Grupo Externo CDEF - Equipe 2",18,IF(Atletas!V561="Grupo Interno CDEF - Equipe 1",19,IF(Atletas!V561="Grupo Interno CDEF - Equipe 2",20,IF(Atletas!V561="Duilian de Mãos EF - Equipe 1",21,IF(Atletas!V561="Duilian de Mãos EF - Equipe 2",22,IF(Atletas!V561="Duilian de Armas EF - Equipe 1",23,IF(Atletas!V561="Duilian de Armas EF - Equipe 2",24,IF(Atletas!V561="Duilian de Tuishou - Equipe 1",25,IF(Atletas!V561="Duilian de Tuishou - Equipe 2",26,"")))))))))))))))))))))))))))</f>
        <v/>
      </c>
    </row>
    <row r="566" spans="36:84">
      <c r="AJ566" s="46" t="str">
        <f>IF(Atletas!D562="","",IF(Atletas!B562="Feminino",100,IF(Atletas!B562="Masculino",200,""))+(IF(Atletas!D562="Infantil 39kg",1,IF(Atletas!D562="Infantil 42kg",2,IF(Atletas!D562="Infantil 45kg",3,IF(Atletas!D562="Infantil 48kg",4,IF(Atletas!D562="Infantil 52kg",5,IF(Atletas!D562="Infantil 56kg",6,IF(Atletas!D562="Infantil 60kg",7,IF(Atletas!D562="Juvenil 48kg",8,IF(Atletas!D562="Juvenil 52kg",9,IF(Atletas!D562="Juvenil 56kg",10,IF(Atletas!D562="Juvenil 60kg",11,IF(Atletas!D562="Juvenil 65kg",12,IF(Atletas!D562="Juvenil 70kg",13,IF(Atletas!D562="Juvenil 75kg",14,IF(Atletas!D562="Juvenil 80kg",15,IF(Atletas!D562="Adulto 48kg",16,IF(Atletas!D562="Adulto 52kg",17,IF(Atletas!D562="Adulto 56kg",18,IF(Atletas!D562="Adulto 60kg",19,IF(Atletas!D562="Adulto 65kg",20,IF(Atletas!D562="Adulto 70kg",21,IF(Atletas!D562="Adulto 75kg",22,IF(Atletas!D562="Adulto 80kg",23,IF(Atletas!D562="Adulto 85kg",24,IF(Atletas!D562="Adulto 90kg",25,IF(Atletas!D562="Adulto +90kg",26,""))))))))))))))))))))))))))))</f>
        <v/>
      </c>
      <c r="AO566" s="10" t="str">
        <f>IF(Atletas!E562="","",IF(Atletas!B562="Feminino",100,IF(Atletas!B562="Masculino",200,""))+(IF(Atletas!E562="Juvenil 44kg",1,IF(Atletas!E562="Juvenil 48kg",2,IF(Atletas!E562="Juvenil 52kg",3,IF(Atletas!E562="Juvenil 56kg",4,IF(Atletas!E562="Juvenil 60kg",5,IF(Atletas!E562="Juvenil 65kg",6,IF(Atletas!E562="Juvenil 70kg",7,IF(Atletas!E562="Juvenil 75kg",8,IF(Atletas!E562="Juvenil 82kg",9,IF(Atletas!E562="Juvenil 90kg",10,IF(Atletas!E562="Juvenil 100kg",11,IF(Atletas!E562="Adulto 48kg",12,IF(Atletas!E562="Adulto 52kg",13,IF(Atletas!E562="Adulto 56kg",14,IF(Atletas!E562="Adulto 60kg",15,IF(Atletas!E562="Adulto 65kg",16,IF(Atletas!E562="Adulto 70kg",17,IF(Atletas!E562="Adulto 75kg",18,IF(Atletas!E562="Adulto 82kg",19,IF(Atletas!E562="Adulto 90kg",20,IF(Atletas!E562="Adulto 100kg",21,IF(Atletas!E562="Adulto +100kg",22,""))))))))))))))))))))))))</f>
        <v/>
      </c>
      <c r="AT566" s="10" t="str">
        <f>IF(Atletas!F562="","",IF(Atletas!B562="Feminino",100,IF(Atletas!B562="Masculino",200,""))+(IF(Atletas!F562="Adulto 48kg",1,IF(Atletas!F562="Adulto 56kg",2,IF(Atletas!F562="Adulto 65kg",3,IF(Atletas!F562="Adulto 75kg",4,IF(Atletas!F562="Adulto +75kg",5,IF(Atletas!F562="Adulto 52kg",6,IF(Atletas!F562="Adulto 60kg",7,IF(Atletas!F562="Adulto 70kg",8,IF(Atletas!F562="Adulto 80kg",9,IF(Atletas!F562="Adulto 90kg",10,IF(Atletas!F562="Adulto +90kg",11,"")))))))))))))</f>
        <v/>
      </c>
      <c r="AY566" s="46" t="str">
        <f>IF(Atletas!G562="","",IF(Atletas!B562="Feminino",100,IF(Atletas!B562="Masculino",200,""))+(IF(Atletas!G562="Changquan Mirim",1,IF(Atletas!G562="Nanquan Mirim",2,IF(Atletas!G562="Taijiquan Mirim",3,IF(Atletas!G562="Changquan Grupo C",4,IF(Atletas!G562="Nanquan Grupo C",5,IF(Atletas!G562="Taijiquan Grupo C",6,IF(Atletas!G562="Changquan Grupo B",7,IF(Atletas!G562="Nanquan Grupo B",8,IF(Atletas!G562="Taijiquan Grupo B",9,IF(Atletas!G562="Changquan Grupo A",10,IF(Atletas!G562="Nanquan Grupo A",11,IF(Atletas!G562="Taijiquan Grupo A",12,IF(Atletas!G562="Changquan Opcional",13,IF(Atletas!G562="Nanquan Opcional",14,IF(Atletas!G562="Taijiquan Opcional",15,IF(Atletas!G562="Changquan Adulto",16,IF(Atletas!G562="Nanquan Adulto",17,IF(Atletas!G562="Taijiquan Adulto",18,""))))))))))))))))))))</f>
        <v/>
      </c>
      <c r="AZ566" s="46" t="str">
        <f>IF(Atletas!H562="","",IF(Atletas!B562="Feminino",100,IF(Atletas!B562="Masculino",200,""))+(IF(Atletas!H562="Daoshu Mirim",19,IF(Atletas!H562="Jianshu Mirim",20,IF(Atletas!H562="Nandao Mirim",21,IF(Atletas!H562="Taijijian Mirim",22,IF(Atletas!H562="Daoshu Grupo C",23,IF(Atletas!H562="Jianshu Grupo C",24,IF(Atletas!H562="Nandao Grupo C",25,IF(Atletas!H562="Taijijian Grupo C",26,IF(Atletas!H562="Daoshu Grupo B",27,IF(Atletas!H562="Jianshu Grupo B",28,IF(Atletas!H562="Nandao Grupo B",29,IF(Atletas!H562="Taijijian Grupo B",30,IF(Atletas!H562="Daoshu Grupo A",31,IF(Atletas!H562="Jianshu Grupo A",32,IF(Atletas!H562="Nandao Grupo A",33,IF(Atletas!H562="Taijijian Grupo A",34,IF(Atletas!H562="Daoshu Opcional",35,IF(Atletas!H562="Jianshu Opcional",36,IF(Atletas!H562="Nandao Opcional",37,IF(Atletas!H562="Taijijian Opcional",38,IF(Atletas!H562="Daoshu Adulto",39,IF(Atletas!H562="Jianshu Adulto",40,IF(Atletas!H562="Nandao Adulto",41,IF(Atletas!H562="Taijijian Adulto",42,""))))))))))))))))))))))))))</f>
        <v/>
      </c>
      <c r="BA566" s="46" t="str">
        <f>IF(Atletas!I562="","",IF(Atletas!B562="Feminino",100,IF(Atletas!B562="Masculino",200,""))+(IF(Atletas!I562="Gunshu Mirim",43,IF(Atletas!I562="Qiangshu Mirim",44,IF(Atletas!I562="Nangun Mirim",45,IF(Atletas!I562="Gunshu Grupo C",46,IF(Atletas!I562="Qiangshu Grupo C",47,IF(Atletas!I562="Nangun Grupo C",48,IF(Atletas!I562="Gunshu Grupo B",49,IF(Atletas!I562="Qiangshu Grupo B",50,IF(Atletas!I562="Nangun Grupo B",51,IF(Atletas!I562="Gunshu Grupo A",52,IF(Atletas!I562="Qiangshu Grupo A",53,IF(Atletas!I562="Nangun Grupo A",54,IF(Atletas!I562="Gunshu Opcional",55,IF(Atletas!I562="Qiangshu Opcional",56,IF(Atletas!I562="Nangun Opcional",57,IF(Atletas!I562="Gunshu Adulto",58,IF(Atletas!I562="Qiangshu Adulto",59,IF(Atletas!I562="Nangun Adulto",60,""))))))))))))))))))))</f>
        <v/>
      </c>
      <c r="BF566" s="52" t="str">
        <f>IF(Atletas!J562="","",IF(Atletas!B562="Feminino",100,IF(Atletas!B562="Masculino",200,""))+(IF(Atletas!J562="Equipe 1 Grupo B",1,IF(Atletas!J562="Equipe 2 Grupo B",2,IF(Atletas!J562="Equipe 1 Grupo A",3,IF(Atletas!J562="Equipe 2 Grupo A",4,IF(Atletas!J562="Equipe 1 Adulto",5,IF(Atletas!J562="Equipe 2 Adulto",6,""))))))))</f>
        <v/>
      </c>
      <c r="BK566" s="52" t="str">
        <f>IF(Atletas!K562="","",IF(Atletas!W562&lt;&gt;"",10000,0)+(IF(Atletas!B562="Feminino",1000,IF(Atletas!B562="Masculino",2000,""))+IF(Atletas!K562="Choylayfut A",1,IF(Atletas!K562="Hunggar A",2,IF(Atletas!K562="Wuzuquan A",3,IF(Atletas!K562="Wingchun A",4,IF(Atletas!K562="Outra Mão de Sul A",5,IF(Atletas!K562="Choylayfut B",6,IF(Atletas!K562="Hunggar B",7,IF(Atletas!K562="Wuzuquan B",8,IF(Atletas!K562="Wingchun B",9,IF(Atletas!K562="Outra Mão de Sul B",10,IF(Atletas!K562="Choylayfut C",11,IF(Atletas!K562="Hunggar C",12,IF(Atletas!K562="Wuzuquan C",13,IF(Atletas!K562="Wingchun C",14,IF(Atletas!K562="Outra Mão de Sul C",15,IF(Atletas!K562="Choylayfut D",16,IF(Atletas!K562="Hunggar D",17,IF(Atletas!K562="Wuzuquan D",18,IF(Atletas!K562="Wingchun D",19,IF(Atletas!K562="Outra Mão de Sul D",20,IF(Atletas!K562="Choylayfut E",21,IF(Atletas!K562="Hunggar E",22,IF(Atletas!K562="Wuzuquan E",23,IF(Atletas!K562="Wingchun E",24,IF(Atletas!K562="Outra Mão de Sul E",25,IF(Atletas!K562="Choylayfut F",26,IF(Atletas!K562="Hunggar F",27,IF(Atletas!K562="Wuzuquan F",28,IF(Atletas!K562="Wingchun F",29,IF(Atletas!K562="Outra Mão de Sul F",30,""))))))))))))))))))))))))))))))))</f>
        <v/>
      </c>
      <c r="BL566" s="52" t="str">
        <f>IF(Atletas!L562="","",IF(Atletas!W562&lt;&gt;"",10000,0)+(IF(Atletas!B562="Feminino",1000,IF(Atletas!B562="Masculino",2000,""))+(IF(Atletas!L562="Chaquan A",101,IF(Atletas!L562="Emeiquan A",102,IF(Atletas!L562="Fanziquan A",103,IF(Atletas!L562="Huaquan A",104,IF(Atletas!L562="Hongquan A",105,IF(Atletas!L562="Paochui A",106,IF(Atletas!L562="Piguaquan A",107,IF(Atletas!L562="Shaolinquan A",108,IF(Atletas!L562="Tanglangquan A",109,IF(Atletas!L562="Yinzhaophai A",110,IF(Atletas!L562="Tongbeiquan A",111,IF(Atletas!L562="Wudangquan A",112,IF(Atletas!L562="Outros Estilos A",113,IF(Atletas!L562="Chaquan B",114,IF(Atletas!L562="Emeiquan B",115,IF(Atletas!L562="Fanziquan B",116,IF(Atletas!L562="Huaquan B",117,IF(Atletas!L562="Hongquan B",118,IF(Atletas!L562="Paochui B",119,IF(Atletas!L562="Piguaquan B",120,IF(Atletas!L562="Shaolinquan B",121,IF(Atletas!L562="Tanglangquan B",122,IF(Atletas!L562="Yinzhaophai B",123,IF(Atletas!L562="Tongbeiquan B",124,IF(Atletas!L562="Wudangquan B",125,IF(Atletas!L562="Outros Estilos B",126,IF(Atletas!L562="Chaquan C",127,IF(Atletas!L562="Emeiquan C",128,IF(Atletas!L562="Fanziquan C",129,IF(Atletas!L562="Huaquan C",130,IF(Atletas!L562="Hongquan C",131,IF(Atletas!L562="Paochui C",132,IF(Atletas!L562="Piguaquan C",133,IF(Atletas!L562="Shaolinquan C",134,IF(Atletas!L562="Tanglangquan C",135,IF(Atletas!L562="Yinzhaophai C",136,IF(Atletas!L562="Tongbeiquan C",137,IF(Atletas!L562="Wudangquan C",138,IF(Atletas!L562="Outros Estilos C",139,0))))))))))))))))))))))))))))))))))))))))))</f>
        <v/>
      </c>
      <c r="BM566" s="52" t="str">
        <f>IF(Atletas!L562="","",IF(Atletas!W562&lt;&gt;"",10000,0)+(IF(Atletas!B562="Feminino",1000,IF(Atletas!B562="Masculino",2000,""))+(IF(Atletas!L562="Chaquan D",140,IF(Atletas!L562="Emeiquan D",141,IF(Atletas!L562="Fanziquan D",142,IF(Atletas!L562="Huaquan D",143,IF(Atletas!L562="Hongquan D",144,IF(Atletas!L562="Paochui D",145,IF(Atletas!L562="Piguaquan D",146,IF(Atletas!L562="Shaolinquan D",147,IF(Atletas!L562="Tanglangquan D",148,IF(Atletas!L562="Yinzhaophai D",149,IF(Atletas!L562="Tongbeiquan D",150,IF(Atletas!L562="Wudangquan D",151,IF(Atletas!L562="Outros Estilos D",152,IF(Atletas!L562="Chaquan E",153,IF(Atletas!L562="Emeiquan E",154,IF(Atletas!L562="Fanziquan E",155,IF(Atletas!L562="Huaquan E",156,IF(Atletas!L562="Hongquan E",157,IF(Atletas!L562="Paochui E",158,IF(Atletas!L562="Piguaquan E",159,IF(Atletas!L562="Shaolinquan E",160,IF(Atletas!L562="Tanglangquan E",161,IF(Atletas!L562="Yinzhaophai E",162,IF(Atletas!L562="Tongbeiquan E",163,IF(Atletas!L562="Wudangquan E",164,IF(Atletas!L562="Outros Estilos E",165,IF(Atletas!L562="Chaquan F",166,IF(Atletas!L562="Emeiquan F",167,IF(Atletas!L562="Fanziquan F",168,IF(Atletas!L562="Huaquan F",169,IF(Atletas!L562="Hongquan F",170,IF(Atletas!L562="Paochui F",171,IF(Atletas!L562="Piguaquan F",172,IF(Atletas!L562="Shaolinquan F",173,IF(Atletas!L562="Tanglangquan F",174,IF(Atletas!L562="Yinzhaophai F",175,IF(Atletas!L562="Tongbeiquan F",176,IF(Atletas!L562="Wudangquan F",177,IF(Atletas!L562="Outros Estilos F",178,0))))))))))))))))))))))))))))))))))))))))))</f>
        <v/>
      </c>
      <c r="BN566" s="52" t="str">
        <f>IF(Atletas!M562="","",IF(Atletas!W562&lt;&gt;"",10000,0)+(IF(Atletas!B562="Feminino",1000,IF(Atletas!B562="Masculino",2000,""))+(IF(Atletas!M562="Ditangquan A",201,IF(Atletas!M562="Houquan A",202,IF(Atletas!M562="Zuiquan A",203,IF(Atletas!M562="Ditangquan B",204,IF(Atletas!M562="Houquan B",205,IF(Atletas!M562="Zuiquan B",206,IF(Atletas!M562="Ditangquan C",207,IF(Atletas!M562="Houquan C",208,IF(Atletas!M562="Zuiquan C",209,IF(Atletas!M562="Ditangquan D",210,IF(Atletas!M562="Houquan D",211,IF(Atletas!M562="Zuiquan D",212,IF(Atletas!M562="Ditangquan E",213,IF(Atletas!M562="Houquan E",214,IF(Atletas!M562="Zuiquan E",215,IF(Atletas!M562="Ditangquan F",216,IF(Atletas!M562="Houquan F",217,IF(Atletas!M562="Zuiquan F",218,"")))))))))))))))))))))</f>
        <v/>
      </c>
      <c r="BO566" s="52" t="str">
        <f>IF(Atletas!N562="","",IF(Atletas!W562&lt;&gt;"",10000,0)+IF(Atletas!B562="Feminino",1000,IF(Atletas!B562="Masculino",2000,""))+IF(Atletas!N562="Yang A",301,IF(Atletas!N562="Chen A",30,IF(Atletas!N562="Sun A",303,IF(Atletas!N562="Wu A",304,IF(Atletas!N562="Wu-Hao A",305,IF(Atletas!N562="Outro Taijiquan A",306,IF(Atletas!N562="Yang B",307,IF(Atletas!N562="Chen B",308,IF(Atletas!N562="Sun B",309,IF(Atletas!N562="Wu B",310,IF(Atletas!N562="Wu-Hao B",311,IF(Atletas!N562="Outro Taijiquan B",312,IF(Atletas!N562="Yang C",313,IF(Atletas!N562="Chen C",314,IF(Atletas!N562="Sun C",315,IF(Atletas!N562="Wu C",316,IF(Atletas!N562="Wu-Hao C",317,IF(Atletas!N562="Outro Taijiquan C",318,IF(Atletas!N562="Yang D",319,IF(Atletas!N562="Chen D",320,IF(Atletas!N562="Sun D",321,IF(Atletas!N562="Wu D",322,IF(Atletas!N562="Wu-Hao D",323,IF(Atletas!N562="Outro Taijiquan D",324,IF(Atletas!N562="Yang E",325,IF(Atletas!N562="Chen E",326,IF(Atletas!N562="Sun E",327,IF(Atletas!N562="Wu E",328,IF(Atletas!N562="Wu-Hao E",329,IF(Atletas!N562="Outro Taijiquan E",330,IF(Atletas!N562="Yang F",331,IF(Atletas!N562="Chen F",332,IF(Atletas!N562="Sun F",333,IF(Atletas!N562="Wu F",334,IF(Atletas!N562="Wu-Hao F",335,IF(Atletas!N562="Outro Taijiquan F",336,"")))))))))))))))))))))))))))))))))))))</f>
        <v/>
      </c>
      <c r="BP566" s="52" t="str">
        <f>IF(Atletas!O562="","",IF(Atletas!W562&lt;&gt;"",10000,0)+IF(Atletas!B562="Feminino",1000,IF(Atletas!B562="Masculino",2000,""))+IF(OR(Atletas!O562="Yang 26 A",Atletas!O562="Yang 40 A"),401,IF(OR(Atletas!O562="Chen 25 A",Atletas!O562="Chen 36 A",Atletas!O562="Chen 56 A"),402,IF(Atletas!O562="Sun 73 A",403,IF(Atletas!O562="Wu 45 A",404,IF(Atletas!O562="Wu-Hao 46 A",405,IF(OR(Atletas!O562="Taijiquan 16 A",Atletas!O562="Taijiquan 24 A",Atletas!O562="Taijiquan 32 A",Atletas!O562="Taijiquan 42 A"),406,IF(OR(Atletas!O562="Yang 26 B",Atletas!O562="Yang 40 B"),407,IF(OR(Atletas!O562="Chen 25 B",Atletas!O562="Chen 36 B",Atletas!O562="Chen 56 B"),408,IF(Atletas!O562="Sun 73 B",409,IF(Atletas!O562="Wu 45 B",410,IF(Atletas!O562="Wu-Hao 46 B",411,IF(OR(Atletas!O562="Taijiquan 16 B",Atletas!O562="Taijiquan 24 B",Atletas!O562="Taijiquan 32 B",Atletas!O562="Taijiquan 42 B"),412,IF(OR(Atletas!O562="Yang 26 C",Atletas!O562="Yang 40 C"),413,IF(OR(Atletas!O562="Chen 25 C",Atletas!O562="Chen 36 C",Atletas!O562="Chen 56 C"),414,IF(Atletas!O562="Sun 73 C",415,IF(Atletas!O562="Wu 45 C",416,IF(Atletas!O562="Wu-Hao 46 C",417,IF(OR(Atletas!O562="Taijiquan 16 C",Atletas!O562="Taijiquan 24 C",Atletas!O562="Taijiquan 32 C",Atletas!O562="Taijiquan 42 C"),418,0)))))))))))))))))))</f>
        <v/>
      </c>
      <c r="BQ566" s="52" t="str">
        <f>IF(Atletas!O562="","",IF(Atletas!W562&lt;&gt;"",10000,0)+IF(Atletas!B562="Feminino",1000,IF(Atletas!B562="Masculino",2000,""))+IF(OR(Atletas!O562="Yang 26 D",Atletas!O562="Yang 40 D"),419,IF(OR(Atletas!O562="Chen 25 D",Atletas!O562="Chen 36 D",Atletas!O562="Chen 56 D"),420,IF(Atletas!O562="Sun 73 D",421,IF(Atletas!O562="Wu 45 D",422,IF(Atletas!O562="Wu-Hao 46 D",423,IF(OR(Atletas!O562="Taijiquan 16 D",Atletas!O562="Taijiquan 24 D",Atletas!O562="Taijiquan 32 D",Atletas!O562="Taijiquan 42 D"),424,IF(OR(Atletas!O562="Yang 26 E",Atletas!O562="Yang 40 E"),425,IF(OR(Atletas!O562="Chen 25 E",Atletas!O562="Chen 36 E",Atletas!O562="Chen 56 E"),426,IF(Atletas!O562="Sun 73 E",427,IF(Atletas!O562="Wu 45 E",428,IF(Atletas!O562="Wu-Hao 46 E",429,IF(OR(Atletas!O562="Taijiquan 16 E",Atletas!O562="Taijiquan 24 E",Atletas!O562="Taijiquan 32 E",Atletas!O562="Taijiquan 42 E"),430,IF(OR(Atletas!O562="Yang 26 F",Atletas!O562="Yang 40 F"),431,IF(OR(Atletas!O562="Chen 25 F",Atletas!O562="Chen 36 F",Atletas!O562="Chen 56 F"),432,IF(Atletas!O562="Sun 73 F",433,IF(Atletas!O562="Wu 45 F",434,IF(Atletas!O562="Wu-Hao 46 F",435,IF(OR(Atletas!O562="Taijiquan 16 F",Atletas!O562="Taijiquan 24 F",Atletas!O562="Taijiquan 32 F",Atletas!O562="Taijiquan 42 F"),436,0)))))))))))))))))))</f>
        <v/>
      </c>
      <c r="BR566" s="52" t="str">
        <f>IF(Atletas!P562="","",IF(Atletas!W562&lt;&gt;"",10000,0)+IF(Atletas!B562="Feminino",1000,IF(Atletas!B562="Masculino",2000,""))+IF(Atletas!P562="Xingyiquan A",501,IF(Atletas!P562="Baguazhang A",502,IF(Atletas!P562="Outro Estilo Interno A",503,IF(Atletas!P562="Xingyiquan B",504,IF(Atletas!P562="Baguazhang B",505,IF(Atletas!P562="Outro Estilo Interno B",506,IF(Atletas!P562="Xingyiquan C",507,IF(Atletas!P562="Baguazhang C",508,IF(Atletas!P562="Outro Estilo Interno C",509,IF(Atletas!P562="Xingyiquan D",510,IF(Atletas!P562="Baguazhang D",511,IF(Atletas!P562="Outro Estilo Interno D",512,IF(Atletas!P562="Xingyiquan E",513,IF(Atletas!P562="Baguazhang E",514,IF(Atletas!P562="Outro Estilo Interno E",515,IF(Atletas!P562="Xingyiquan F",516,IF(Atletas!P562="Baguazhang F",517,IF(Atletas!P562="Outro Estilo Interno F",518, "")))))))))))))))))))</f>
        <v/>
      </c>
      <c r="BS566" s="52" t="str">
        <f>IF(Atletas!Q562="","",IF(Atletas!W562&lt;&gt;"",10000,0)+IF(Atletas!B562="Feminino",1000,IF(Atletas!B562="Masculino",2000,""))+IF(Atletas!Q562="Dao A",601,IF(Atletas!Q562="Jian A",602,IF(Atletas!Q562="Bishou A",603,IF(Atletas!Q562="Shan A",604,IF(Atletas!Q562="Outra Arma Curta A",605,IF(Atletas!Q562="Dao B",606,IF(Atletas!Q562="Jian B",607,IF(Atletas!Q562="Bishou B",608,IF(Atletas!Q562="Shan B",609,IF(Atletas!Q562="Outra Arma Curta B",610,IF(Atletas!Q562="Dao C",611,IF(Atletas!Q562="Jian C",612,IF(Atletas!Q562="Bishou C",613,IF(Atletas!Q562="Shan C",614,IF(Atletas!Q562="Outra Arma Curta C",615,IF(Atletas!Q562="Dao D",616,IF(Atletas!Q562="Jian D",617,IF(Atletas!Q562="Bishou D",618,IF(Atletas!Q562="Shan D",619,IF(Atletas!Q562="Outra Arma Curta D",620,IF(Atletas!Q562="Dao E",621,IF(Atletas!Q562="Jian E",622,IF(Atletas!Q562="Bishou E",623,IF(Atletas!Q562="Shan E",624,IF(Atletas!Q562="Outra Arma Curta E",625,IF(Atletas!Q562="Dao F",626,IF(Atletas!Q562="Jian F",627,IF(Atletas!Q562="Bishou F",628,IF(Atletas!Q562="Shan F",629,IF(Atletas!Q562="Outra Arma Curta F",630, "")))))))))))))))))))))))))))))))</f>
        <v/>
      </c>
      <c r="BT566" s="52" t="str">
        <f>IF(Atletas!R562="","",IF(Atletas!W562&lt;&gt;"",10000,0)+IF(Atletas!B562="Feminino",1000,IF(Atletas!B562="Masculino",2000,""))+IF(Atletas!R562="Gun A",701,IF(Atletas!R562="Qiang A",702,IF(Atletas!R562="Pudao / Guandao A",703,IF(Atletas!R562="Outra Arma Longa A",704,IF(Atletas!R562="Gun B",705,IF(Atletas!R562="Qiang B",706,IF(Atletas!R562="Pudao / Guandao B",707,IF(Atletas!R562="Outra Arma Longa B",708,IF(Atletas!R562="Gun C",709,IF(Atletas!R562="Qiang C",710,IF(Atletas!R562="Pudao / Guandao C",711,IF(Atletas!R562="Outra Arma Longa C",712,IF(Atletas!R562="Gun D",713,IF(Atletas!R562="Qiang D",714,IF(Atletas!R562="Pudao / Guandao D",715,IF(Atletas!R562="Outra Arma Longa D",716,IF(Atletas!R562="Gun E",717,IF(Atletas!R562="Qiang E",718,IF(Atletas!R562="Pudao / Guandao E",719,IF(Atletas!R562="Outra Arma Longa E",720,IF(Atletas!R562="Gun F",721,IF(Atletas!R562="Qiang F",722,IF(Atletas!R562="Pudao / Guandao F",723,IF(Atletas!R562="Outra Arma Longa F",724,"")))))))))))))))))))))))))</f>
        <v/>
      </c>
      <c r="BU566" s="52" t="str">
        <f>IF(Atletas!S562="","",IF(Atletas!W562&lt;&gt;"",10000,0)+IF(Atletas!B562="Feminino",1000,IF(Atletas!B562="Masculino",2000,""))+IF(Atletas!S562="Arma Dupla A",801,IF(Atletas!S562="Arma Maleável A",802,IF(Atletas!S562="Arma Dupla B",803,IF(Atletas!S562="Arma Maleável B",804,IF(Atletas!S562="Arma Dupla C",805,IF(Atletas!S562="Arma Maleável C",806,IF(Atletas!S562="Arma Dupla D",807,IF(Atletas!S562="Arma Maleável D",808,IF(Atletas!S562="Arma Dupla E",809,IF(Atletas!S562="Arma Maleável E",810,IF(Atletas!S562="Arma Dupla F",811,IF(Atletas!S562="Arma Maleável F",812, "")))))))))))))</f>
        <v/>
      </c>
      <c r="BV566" s="52" t="str">
        <f>IF(Atletas!T562="","",IF(Atletas!W562&lt;&gt;"",10000,0)+IF(Atletas!B562="Feminino",1000,IF(Atletas!B562="Masculino",2000,""))+IF(Atletas!T562="Taijijian Yang A",901,IF(Atletas!T562="Taijijian Chen A",902,IF(Atletas!T562="Taijijian Sun A",903,IF(Atletas!T562="Taijijian Wu A",904,IF(Atletas!T562="Taijijian Wu-Hao A",905,IF(Atletas!T562="Taijijian 32 A",906,IF(Atletas!T562="Taijijian 42 A",907,IF(Atletas!T562="Taijijian Yang B",908,IF(Atletas!T562="Taijijian Chen B",909,IF(Atletas!T562="Taijijian Sun B",910,IF(Atletas!T562="Taijijian Wu B",911,IF(Atletas!T562="Taijijian Wu-Hao B",912,IF(Atletas!T562="Taijijian 32 B",913,IF(Atletas!T562="Taijijian 42 B",914,IF(Atletas!T562="Taijijian Yang C",915,IF(Atletas!T562="Taijijian Chen C",916,IF(Atletas!T562="Taijijian Sun C",917,IF(Atletas!T562="Taijijian Wu C",918,IF(Atletas!T562="Taijijian Wu-Hao C",919,IF(Atletas!T562="Taijijian 32 C",920,IF(Atletas!T562="Taijijian 42 C",921,IF(Atletas!T562="Taijijian Yang D",922,IF(Atletas!T562="Taijijian Chen D",923,IF(Atletas!T562="Taijijian Sun D",924,IF(Atletas!T562="Taijijian Wu D",925,IF(Atletas!T562="Taijijian Wu-Hao D",926,IF(Atletas!T562="Taijijian 32 D",927,IF(Atletas!T562="Taijijian 42 D",928,IF(Atletas!T562="Taijijian Yang E",929,IF(Atletas!T562="Taijijian Chen E",930,IF(Atletas!T562="Taijijian Sun E",931,IF(Atletas!T562="Taijijian Wu E",932,IF(Atletas!T562="Taijijian Wu-Hao E",933,IF(Atletas!T562="Taijijian 32 E",934,IF(Atletas!T562="Taijijian 42 E",935,IF(Atletas!T562="Taijijian Yang F",936,IF(Atletas!T562="Taijijian Chen F",937,IF(Atletas!T562="Taijijian Sun F",938,IF(Atletas!T562="Taijijian Wu F",939,IF(Atletas!T562="Taijijian Wu-Hao F",940,IF(Atletas!T562="Taijijian 32 F",941,IF(Atletas!T562="Taijijian 42 F",942,"")))))))))))))))))))))))))))))))))))))))))))</f>
        <v/>
      </c>
      <c r="BW566" s="52" t="str">
        <f>IF(Atletas!U562="","",IF(Atletas!W562&lt;&gt;"",10000,0)+IF(Atletas!B562="Feminino",1000,IF(Atletas!B562="Masculino",2000,""))+IF(Atletas!T562="Taijijian 42 F",942,IF(Atletas!U562="Taijidao A",943,IF(Atletas!U562="Taijishan A",944,IF(Atletas!U562="Taijiqiang A",945,IF(Atletas!U562="Taijidao B",946,IF(Atletas!U562="Taijishan B",947,IF(Atletas!U562="Taijiqiang B",948,IF(Atletas!U562="Taijidao C",949,IF(Atletas!U562="Taijishan C",950,IF(Atletas!U562="Taijiqiang C",951,IF(Atletas!U562="Taijidao D",952,IF(Atletas!U562="Taijishan D",953,IF(Atletas!U562="Taijiqiang D",954,IF(Atletas!U562="Taijidao E",955,IF(Atletas!U562="Taijishan E",956,IF(Atletas!U562="Taijiqiang E",957,IF(Atletas!U562="Taijidao F",958,IF(Atletas!U562="Taijishan F",959,IF(Atletas!U562="Taijiqiang F",960))))))))))))))))))))</f>
        <v/>
      </c>
      <c r="CF566" s="52" t="str">
        <f xml:space="preserve"> IF(Atletas!V562="","",IF(Atletas!V562="Duilian de Mãos AB - Equipe 1",1,IF(Atletas!V562="Duilian de Mãos AB - Equipe 2",2,IF(Atletas!V562="Duilian de Armas AB - Equipe 1",3,IF(Atletas!V562="Duilian de Armas AB - Equipe 2",4,IF(Atletas!V562="Duilian de Tuishou - Equipe 1",5,IF(Atletas!V562="Duilian de Tuishou - Equipe 2",6,IF(Atletas!V562="Grupo Externo AB - Equipe 1",7,IF(Atletas!V562="Grupo Externo AB - Equipe 2",8,IF(Atletas!V562="Grupo Interno AB - Equipe 1",9,IF(Atletas!V562="Grupo Interno AB - Equipe 2",10,IF(Atletas!V562="Duilian de Mãos CD - Equipe 1",11,IF(Atletas!V562="Duilian de Mãos CD - Equipe 2",12,IF(Atletas!V562="Duilian de Armas CD - Equipe 1",13,IF(Atletas!V562="Duilian de Armas CD - Equipe 2",14,IF(Atletas!V562="Duilian de Tuishou - Equipe 1",15,IF(Atletas!V562="Duilian de Tuishou - Equipe 2",16,IF(Atletas!V562="Grupo Externo CDEF - Equipe 1",17,IF(Atletas!V562="Grupo Externo CDEF - Equipe 2",18,IF(Atletas!V562="Grupo Interno CDEF - Equipe 1",19,IF(Atletas!V562="Grupo Interno CDEF - Equipe 2",20,IF(Atletas!V562="Duilian de Mãos EF - Equipe 1",21,IF(Atletas!V562="Duilian de Mãos EF - Equipe 2",22,IF(Atletas!V562="Duilian de Armas EF - Equipe 1",23,IF(Atletas!V562="Duilian de Armas EF - Equipe 2",24,IF(Atletas!V562="Duilian de Tuishou - Equipe 1",25,IF(Atletas!V562="Duilian de Tuishou - Equipe 2",26,"")))))))))))))))))))))))))))</f>
        <v/>
      </c>
    </row>
    <row r="567" spans="36:84">
      <c r="AJ567" s="46" t="str">
        <f>IF(Atletas!D563="","",IF(Atletas!B563="Feminino",100,IF(Atletas!B563="Masculino",200,""))+(IF(Atletas!D563="Infantil 39kg",1,IF(Atletas!D563="Infantil 42kg",2,IF(Atletas!D563="Infantil 45kg",3,IF(Atletas!D563="Infantil 48kg",4,IF(Atletas!D563="Infantil 52kg",5,IF(Atletas!D563="Infantil 56kg",6,IF(Atletas!D563="Infantil 60kg",7,IF(Atletas!D563="Juvenil 48kg",8,IF(Atletas!D563="Juvenil 52kg",9,IF(Atletas!D563="Juvenil 56kg",10,IF(Atletas!D563="Juvenil 60kg",11,IF(Atletas!D563="Juvenil 65kg",12,IF(Atletas!D563="Juvenil 70kg",13,IF(Atletas!D563="Juvenil 75kg",14,IF(Atletas!D563="Juvenil 80kg",15,IF(Atletas!D563="Adulto 48kg",16,IF(Atletas!D563="Adulto 52kg",17,IF(Atletas!D563="Adulto 56kg",18,IF(Atletas!D563="Adulto 60kg",19,IF(Atletas!D563="Adulto 65kg",20,IF(Atletas!D563="Adulto 70kg",21,IF(Atletas!D563="Adulto 75kg",22,IF(Atletas!D563="Adulto 80kg",23,IF(Atletas!D563="Adulto 85kg",24,IF(Atletas!D563="Adulto 90kg",25,IF(Atletas!D563="Adulto +90kg",26,""))))))))))))))))))))))))))))</f>
        <v/>
      </c>
      <c r="AO567" s="10" t="str">
        <f>IF(Atletas!E563="","",IF(Atletas!B563="Feminino",100,IF(Atletas!B563="Masculino",200,""))+(IF(Atletas!E563="Juvenil 44kg",1,IF(Atletas!E563="Juvenil 48kg",2,IF(Atletas!E563="Juvenil 52kg",3,IF(Atletas!E563="Juvenil 56kg",4,IF(Atletas!E563="Juvenil 60kg",5,IF(Atletas!E563="Juvenil 65kg",6,IF(Atletas!E563="Juvenil 70kg",7,IF(Atletas!E563="Juvenil 75kg",8,IF(Atletas!E563="Juvenil 82kg",9,IF(Atletas!E563="Juvenil 90kg",10,IF(Atletas!E563="Juvenil 100kg",11,IF(Atletas!E563="Adulto 48kg",12,IF(Atletas!E563="Adulto 52kg",13,IF(Atletas!E563="Adulto 56kg",14,IF(Atletas!E563="Adulto 60kg",15,IF(Atletas!E563="Adulto 65kg",16,IF(Atletas!E563="Adulto 70kg",17,IF(Atletas!E563="Adulto 75kg",18,IF(Atletas!E563="Adulto 82kg",19,IF(Atletas!E563="Adulto 90kg",20,IF(Atletas!E563="Adulto 100kg",21,IF(Atletas!E563="Adulto +100kg",22,""))))))))))))))))))))))))</f>
        <v/>
      </c>
      <c r="AT567" s="10" t="str">
        <f>IF(Atletas!F563="","",IF(Atletas!B563="Feminino",100,IF(Atletas!B563="Masculino",200,""))+(IF(Atletas!F563="Adulto 48kg",1,IF(Atletas!F563="Adulto 56kg",2,IF(Atletas!F563="Adulto 65kg",3,IF(Atletas!F563="Adulto 75kg",4,IF(Atletas!F563="Adulto +75kg",5,IF(Atletas!F563="Adulto 52kg",6,IF(Atletas!F563="Adulto 60kg",7,IF(Atletas!F563="Adulto 70kg",8,IF(Atletas!F563="Adulto 80kg",9,IF(Atletas!F563="Adulto 90kg",10,IF(Atletas!F563="Adulto +90kg",11,"")))))))))))))</f>
        <v/>
      </c>
      <c r="AY567" s="46" t="str">
        <f>IF(Atletas!G563="","",IF(Atletas!B563="Feminino",100,IF(Atletas!B563="Masculino",200,""))+(IF(Atletas!G563="Changquan Mirim",1,IF(Atletas!G563="Nanquan Mirim",2,IF(Atletas!G563="Taijiquan Mirim",3,IF(Atletas!G563="Changquan Grupo C",4,IF(Atletas!G563="Nanquan Grupo C",5,IF(Atletas!G563="Taijiquan Grupo C",6,IF(Atletas!G563="Changquan Grupo B",7,IF(Atletas!G563="Nanquan Grupo B",8,IF(Atletas!G563="Taijiquan Grupo B",9,IF(Atletas!G563="Changquan Grupo A",10,IF(Atletas!G563="Nanquan Grupo A",11,IF(Atletas!G563="Taijiquan Grupo A",12,IF(Atletas!G563="Changquan Opcional",13,IF(Atletas!G563="Nanquan Opcional",14,IF(Atletas!G563="Taijiquan Opcional",15,IF(Atletas!G563="Changquan Adulto",16,IF(Atletas!G563="Nanquan Adulto",17,IF(Atletas!G563="Taijiquan Adulto",18,""))))))))))))))))))))</f>
        <v/>
      </c>
      <c r="AZ567" s="46" t="str">
        <f>IF(Atletas!H563="","",IF(Atletas!B563="Feminino",100,IF(Atletas!B563="Masculino",200,""))+(IF(Atletas!H563="Daoshu Mirim",19,IF(Atletas!H563="Jianshu Mirim",20,IF(Atletas!H563="Nandao Mirim",21,IF(Atletas!H563="Taijijian Mirim",22,IF(Atletas!H563="Daoshu Grupo C",23,IF(Atletas!H563="Jianshu Grupo C",24,IF(Atletas!H563="Nandao Grupo C",25,IF(Atletas!H563="Taijijian Grupo C",26,IF(Atletas!H563="Daoshu Grupo B",27,IF(Atletas!H563="Jianshu Grupo B",28,IF(Atletas!H563="Nandao Grupo B",29,IF(Atletas!H563="Taijijian Grupo B",30,IF(Atletas!H563="Daoshu Grupo A",31,IF(Atletas!H563="Jianshu Grupo A",32,IF(Atletas!H563="Nandao Grupo A",33,IF(Atletas!H563="Taijijian Grupo A",34,IF(Atletas!H563="Daoshu Opcional",35,IF(Atletas!H563="Jianshu Opcional",36,IF(Atletas!H563="Nandao Opcional",37,IF(Atletas!H563="Taijijian Opcional",38,IF(Atletas!H563="Daoshu Adulto",39,IF(Atletas!H563="Jianshu Adulto",40,IF(Atletas!H563="Nandao Adulto",41,IF(Atletas!H563="Taijijian Adulto",42,""))))))))))))))))))))))))))</f>
        <v/>
      </c>
      <c r="BA567" s="46" t="str">
        <f>IF(Atletas!I563="","",IF(Atletas!B563="Feminino",100,IF(Atletas!B563="Masculino",200,""))+(IF(Atletas!I563="Gunshu Mirim",43,IF(Atletas!I563="Qiangshu Mirim",44,IF(Atletas!I563="Nangun Mirim",45,IF(Atletas!I563="Gunshu Grupo C",46,IF(Atletas!I563="Qiangshu Grupo C",47,IF(Atletas!I563="Nangun Grupo C",48,IF(Atletas!I563="Gunshu Grupo B",49,IF(Atletas!I563="Qiangshu Grupo B",50,IF(Atletas!I563="Nangun Grupo B",51,IF(Atletas!I563="Gunshu Grupo A",52,IF(Atletas!I563="Qiangshu Grupo A",53,IF(Atletas!I563="Nangun Grupo A",54,IF(Atletas!I563="Gunshu Opcional",55,IF(Atletas!I563="Qiangshu Opcional",56,IF(Atletas!I563="Nangun Opcional",57,IF(Atletas!I563="Gunshu Adulto",58,IF(Atletas!I563="Qiangshu Adulto",59,IF(Atletas!I563="Nangun Adulto",60,""))))))))))))))))))))</f>
        <v/>
      </c>
      <c r="BF567" s="52" t="str">
        <f>IF(Atletas!J563="","",IF(Atletas!B563="Feminino",100,IF(Atletas!B563="Masculino",200,""))+(IF(Atletas!J563="Equipe 1 Grupo B",1,IF(Atletas!J563="Equipe 2 Grupo B",2,IF(Atletas!J563="Equipe 1 Grupo A",3,IF(Atletas!J563="Equipe 2 Grupo A",4,IF(Atletas!J563="Equipe 1 Adulto",5,IF(Atletas!J563="Equipe 2 Adulto",6,""))))))))</f>
        <v/>
      </c>
      <c r="BK567" s="52" t="str">
        <f>IF(Atletas!K563="","",IF(Atletas!W563&lt;&gt;"",10000,0)+(IF(Atletas!B563="Feminino",1000,IF(Atletas!B563="Masculino",2000,""))+IF(Atletas!K563="Choylayfut A",1,IF(Atletas!K563="Hunggar A",2,IF(Atletas!K563="Wuzuquan A",3,IF(Atletas!K563="Wingchun A",4,IF(Atletas!K563="Outra Mão de Sul A",5,IF(Atletas!K563="Choylayfut B",6,IF(Atletas!K563="Hunggar B",7,IF(Atletas!K563="Wuzuquan B",8,IF(Atletas!K563="Wingchun B",9,IF(Atletas!K563="Outra Mão de Sul B",10,IF(Atletas!K563="Choylayfut C",11,IF(Atletas!K563="Hunggar C",12,IF(Atletas!K563="Wuzuquan C",13,IF(Atletas!K563="Wingchun C",14,IF(Atletas!K563="Outra Mão de Sul C",15,IF(Atletas!K563="Choylayfut D",16,IF(Atletas!K563="Hunggar D",17,IF(Atletas!K563="Wuzuquan D",18,IF(Atletas!K563="Wingchun D",19,IF(Atletas!K563="Outra Mão de Sul D",20,IF(Atletas!K563="Choylayfut E",21,IF(Atletas!K563="Hunggar E",22,IF(Atletas!K563="Wuzuquan E",23,IF(Atletas!K563="Wingchun E",24,IF(Atletas!K563="Outra Mão de Sul E",25,IF(Atletas!K563="Choylayfut F",26,IF(Atletas!K563="Hunggar F",27,IF(Atletas!K563="Wuzuquan F",28,IF(Atletas!K563="Wingchun F",29,IF(Atletas!K563="Outra Mão de Sul F",30,""))))))))))))))))))))))))))))))))</f>
        <v/>
      </c>
      <c r="BL567" s="52" t="str">
        <f>IF(Atletas!L563="","",IF(Atletas!W563&lt;&gt;"",10000,0)+(IF(Atletas!B563="Feminino",1000,IF(Atletas!B563="Masculino",2000,""))+(IF(Atletas!L563="Chaquan A",101,IF(Atletas!L563="Emeiquan A",102,IF(Atletas!L563="Fanziquan A",103,IF(Atletas!L563="Huaquan A",104,IF(Atletas!L563="Hongquan A",105,IF(Atletas!L563="Paochui A",106,IF(Atletas!L563="Piguaquan A",107,IF(Atletas!L563="Shaolinquan A",108,IF(Atletas!L563="Tanglangquan A",109,IF(Atletas!L563="Yinzhaophai A",110,IF(Atletas!L563="Tongbeiquan A",111,IF(Atletas!L563="Wudangquan A",112,IF(Atletas!L563="Outros Estilos A",113,IF(Atletas!L563="Chaquan B",114,IF(Atletas!L563="Emeiquan B",115,IF(Atletas!L563="Fanziquan B",116,IF(Atletas!L563="Huaquan B",117,IF(Atletas!L563="Hongquan B",118,IF(Atletas!L563="Paochui B",119,IF(Atletas!L563="Piguaquan B",120,IF(Atletas!L563="Shaolinquan B",121,IF(Atletas!L563="Tanglangquan B",122,IF(Atletas!L563="Yinzhaophai B",123,IF(Atletas!L563="Tongbeiquan B",124,IF(Atletas!L563="Wudangquan B",125,IF(Atletas!L563="Outros Estilos B",126,IF(Atletas!L563="Chaquan C",127,IF(Atletas!L563="Emeiquan C",128,IF(Atletas!L563="Fanziquan C",129,IF(Atletas!L563="Huaquan C",130,IF(Atletas!L563="Hongquan C",131,IF(Atletas!L563="Paochui C",132,IF(Atletas!L563="Piguaquan C",133,IF(Atletas!L563="Shaolinquan C",134,IF(Atletas!L563="Tanglangquan C",135,IF(Atletas!L563="Yinzhaophai C",136,IF(Atletas!L563="Tongbeiquan C",137,IF(Atletas!L563="Wudangquan C",138,IF(Atletas!L563="Outros Estilos C",139,0))))))))))))))))))))))))))))))))))))))))))</f>
        <v/>
      </c>
      <c r="BM567" s="52" t="str">
        <f>IF(Atletas!L563="","",IF(Atletas!W563&lt;&gt;"",10000,0)+(IF(Atletas!B563="Feminino",1000,IF(Atletas!B563="Masculino",2000,""))+(IF(Atletas!L563="Chaquan D",140,IF(Atletas!L563="Emeiquan D",141,IF(Atletas!L563="Fanziquan D",142,IF(Atletas!L563="Huaquan D",143,IF(Atletas!L563="Hongquan D",144,IF(Atletas!L563="Paochui D",145,IF(Atletas!L563="Piguaquan D",146,IF(Atletas!L563="Shaolinquan D",147,IF(Atletas!L563="Tanglangquan D",148,IF(Atletas!L563="Yinzhaophai D",149,IF(Atletas!L563="Tongbeiquan D",150,IF(Atletas!L563="Wudangquan D",151,IF(Atletas!L563="Outros Estilos D",152,IF(Atletas!L563="Chaquan E",153,IF(Atletas!L563="Emeiquan E",154,IF(Atletas!L563="Fanziquan E",155,IF(Atletas!L563="Huaquan E",156,IF(Atletas!L563="Hongquan E",157,IF(Atletas!L563="Paochui E",158,IF(Atletas!L563="Piguaquan E",159,IF(Atletas!L563="Shaolinquan E",160,IF(Atletas!L563="Tanglangquan E",161,IF(Atletas!L563="Yinzhaophai E",162,IF(Atletas!L563="Tongbeiquan E",163,IF(Atletas!L563="Wudangquan E",164,IF(Atletas!L563="Outros Estilos E",165,IF(Atletas!L563="Chaquan F",166,IF(Atletas!L563="Emeiquan F",167,IF(Atletas!L563="Fanziquan F",168,IF(Atletas!L563="Huaquan F",169,IF(Atletas!L563="Hongquan F",170,IF(Atletas!L563="Paochui F",171,IF(Atletas!L563="Piguaquan F",172,IF(Atletas!L563="Shaolinquan F",173,IF(Atletas!L563="Tanglangquan F",174,IF(Atletas!L563="Yinzhaophai F",175,IF(Atletas!L563="Tongbeiquan F",176,IF(Atletas!L563="Wudangquan F",177,IF(Atletas!L563="Outros Estilos F",178,0))))))))))))))))))))))))))))))))))))))))))</f>
        <v/>
      </c>
      <c r="BN567" s="52" t="str">
        <f>IF(Atletas!M563="","",IF(Atletas!W563&lt;&gt;"",10000,0)+(IF(Atletas!B563="Feminino",1000,IF(Atletas!B563="Masculino",2000,""))+(IF(Atletas!M563="Ditangquan A",201,IF(Atletas!M563="Houquan A",202,IF(Atletas!M563="Zuiquan A",203,IF(Atletas!M563="Ditangquan B",204,IF(Atletas!M563="Houquan B",205,IF(Atletas!M563="Zuiquan B",206,IF(Atletas!M563="Ditangquan C",207,IF(Atletas!M563="Houquan C",208,IF(Atletas!M563="Zuiquan C",209,IF(Atletas!M563="Ditangquan D",210,IF(Atletas!M563="Houquan D",211,IF(Atletas!M563="Zuiquan D",212,IF(Atletas!M563="Ditangquan E",213,IF(Atletas!M563="Houquan E",214,IF(Atletas!M563="Zuiquan E",215,IF(Atletas!M563="Ditangquan F",216,IF(Atletas!M563="Houquan F",217,IF(Atletas!M563="Zuiquan F",218,"")))))))))))))))))))))</f>
        <v/>
      </c>
      <c r="BO567" s="52" t="str">
        <f>IF(Atletas!N563="","",IF(Atletas!W563&lt;&gt;"",10000,0)+IF(Atletas!B563="Feminino",1000,IF(Atletas!B563="Masculino",2000,""))+IF(Atletas!N563="Yang A",301,IF(Atletas!N563="Chen A",30,IF(Atletas!N563="Sun A",303,IF(Atletas!N563="Wu A",304,IF(Atletas!N563="Wu-Hao A",305,IF(Atletas!N563="Outro Taijiquan A",306,IF(Atletas!N563="Yang B",307,IF(Atletas!N563="Chen B",308,IF(Atletas!N563="Sun B",309,IF(Atletas!N563="Wu B",310,IF(Atletas!N563="Wu-Hao B",311,IF(Atletas!N563="Outro Taijiquan B",312,IF(Atletas!N563="Yang C",313,IF(Atletas!N563="Chen C",314,IF(Atletas!N563="Sun C",315,IF(Atletas!N563="Wu C",316,IF(Atletas!N563="Wu-Hao C",317,IF(Atletas!N563="Outro Taijiquan C",318,IF(Atletas!N563="Yang D",319,IF(Atletas!N563="Chen D",320,IF(Atletas!N563="Sun D",321,IF(Atletas!N563="Wu D",322,IF(Atletas!N563="Wu-Hao D",323,IF(Atletas!N563="Outro Taijiquan D",324,IF(Atletas!N563="Yang E",325,IF(Atletas!N563="Chen E",326,IF(Atletas!N563="Sun E",327,IF(Atletas!N563="Wu E",328,IF(Atletas!N563="Wu-Hao E",329,IF(Atletas!N563="Outro Taijiquan E",330,IF(Atletas!N563="Yang F",331,IF(Atletas!N563="Chen F",332,IF(Atletas!N563="Sun F",333,IF(Atletas!N563="Wu F",334,IF(Atletas!N563="Wu-Hao F",335,IF(Atletas!N563="Outro Taijiquan F",336,"")))))))))))))))))))))))))))))))))))))</f>
        <v/>
      </c>
      <c r="BP567" s="52" t="str">
        <f>IF(Atletas!O563="","",IF(Atletas!W563&lt;&gt;"",10000,0)+IF(Atletas!B563="Feminino",1000,IF(Atletas!B563="Masculino",2000,""))+IF(OR(Atletas!O563="Yang 26 A",Atletas!O563="Yang 40 A"),401,IF(OR(Atletas!O563="Chen 25 A",Atletas!O563="Chen 36 A",Atletas!O563="Chen 56 A"),402,IF(Atletas!O563="Sun 73 A",403,IF(Atletas!O563="Wu 45 A",404,IF(Atletas!O563="Wu-Hao 46 A",405,IF(OR(Atletas!O563="Taijiquan 16 A",Atletas!O563="Taijiquan 24 A",Atletas!O563="Taijiquan 32 A",Atletas!O563="Taijiquan 42 A"),406,IF(OR(Atletas!O563="Yang 26 B",Atletas!O563="Yang 40 B"),407,IF(OR(Atletas!O563="Chen 25 B",Atletas!O563="Chen 36 B",Atletas!O563="Chen 56 B"),408,IF(Atletas!O563="Sun 73 B",409,IF(Atletas!O563="Wu 45 B",410,IF(Atletas!O563="Wu-Hao 46 B",411,IF(OR(Atletas!O563="Taijiquan 16 B",Atletas!O563="Taijiquan 24 B",Atletas!O563="Taijiquan 32 B",Atletas!O563="Taijiquan 42 B"),412,IF(OR(Atletas!O563="Yang 26 C",Atletas!O563="Yang 40 C"),413,IF(OR(Atletas!O563="Chen 25 C",Atletas!O563="Chen 36 C",Atletas!O563="Chen 56 C"),414,IF(Atletas!O563="Sun 73 C",415,IF(Atletas!O563="Wu 45 C",416,IF(Atletas!O563="Wu-Hao 46 C",417,IF(OR(Atletas!O563="Taijiquan 16 C",Atletas!O563="Taijiquan 24 C",Atletas!O563="Taijiquan 32 C",Atletas!O563="Taijiquan 42 C"),418,0)))))))))))))))))))</f>
        <v/>
      </c>
      <c r="BQ567" s="52" t="str">
        <f>IF(Atletas!O563="","",IF(Atletas!W563&lt;&gt;"",10000,0)+IF(Atletas!B563="Feminino",1000,IF(Atletas!B563="Masculino",2000,""))+IF(OR(Atletas!O563="Yang 26 D",Atletas!O563="Yang 40 D"),419,IF(OR(Atletas!O563="Chen 25 D",Atletas!O563="Chen 36 D",Atletas!O563="Chen 56 D"),420,IF(Atletas!O563="Sun 73 D",421,IF(Atletas!O563="Wu 45 D",422,IF(Atletas!O563="Wu-Hao 46 D",423,IF(OR(Atletas!O563="Taijiquan 16 D",Atletas!O563="Taijiquan 24 D",Atletas!O563="Taijiquan 32 D",Atletas!O563="Taijiquan 42 D"),424,IF(OR(Atletas!O563="Yang 26 E",Atletas!O563="Yang 40 E"),425,IF(OR(Atletas!O563="Chen 25 E",Atletas!O563="Chen 36 E",Atletas!O563="Chen 56 E"),426,IF(Atletas!O563="Sun 73 E",427,IF(Atletas!O563="Wu 45 E",428,IF(Atletas!O563="Wu-Hao 46 E",429,IF(OR(Atletas!O563="Taijiquan 16 E",Atletas!O563="Taijiquan 24 E",Atletas!O563="Taijiquan 32 E",Atletas!O563="Taijiquan 42 E"),430,IF(OR(Atletas!O563="Yang 26 F",Atletas!O563="Yang 40 F"),431,IF(OR(Atletas!O563="Chen 25 F",Atletas!O563="Chen 36 F",Atletas!O563="Chen 56 F"),432,IF(Atletas!O563="Sun 73 F",433,IF(Atletas!O563="Wu 45 F",434,IF(Atletas!O563="Wu-Hao 46 F",435,IF(OR(Atletas!O563="Taijiquan 16 F",Atletas!O563="Taijiquan 24 F",Atletas!O563="Taijiquan 32 F",Atletas!O563="Taijiquan 42 F"),436,0)))))))))))))))))))</f>
        <v/>
      </c>
      <c r="BR567" s="52" t="str">
        <f>IF(Atletas!P563="","",IF(Atletas!W563&lt;&gt;"",10000,0)+IF(Atletas!B563="Feminino",1000,IF(Atletas!B563="Masculino",2000,""))+IF(Atletas!P563="Xingyiquan A",501,IF(Atletas!P563="Baguazhang A",502,IF(Atletas!P563="Outro Estilo Interno A",503,IF(Atletas!P563="Xingyiquan B",504,IF(Atletas!P563="Baguazhang B",505,IF(Atletas!P563="Outro Estilo Interno B",506,IF(Atletas!P563="Xingyiquan C",507,IF(Atletas!P563="Baguazhang C",508,IF(Atletas!P563="Outro Estilo Interno C",509,IF(Atletas!P563="Xingyiquan D",510,IF(Atletas!P563="Baguazhang D",511,IF(Atletas!P563="Outro Estilo Interno D",512,IF(Atletas!P563="Xingyiquan E",513,IF(Atletas!P563="Baguazhang E",514,IF(Atletas!P563="Outro Estilo Interno E",515,IF(Atletas!P563="Xingyiquan F",516,IF(Atletas!P563="Baguazhang F",517,IF(Atletas!P563="Outro Estilo Interno F",518, "")))))))))))))))))))</f>
        <v/>
      </c>
      <c r="BS567" s="52" t="str">
        <f>IF(Atletas!Q563="","",IF(Atletas!W563&lt;&gt;"",10000,0)+IF(Atletas!B563="Feminino",1000,IF(Atletas!B563="Masculino",2000,""))+IF(Atletas!Q563="Dao A",601,IF(Atletas!Q563="Jian A",602,IF(Atletas!Q563="Bishou A",603,IF(Atletas!Q563="Shan A",604,IF(Atletas!Q563="Outra Arma Curta A",605,IF(Atletas!Q563="Dao B",606,IF(Atletas!Q563="Jian B",607,IF(Atletas!Q563="Bishou B",608,IF(Atletas!Q563="Shan B",609,IF(Atletas!Q563="Outra Arma Curta B",610,IF(Atletas!Q563="Dao C",611,IF(Atletas!Q563="Jian C",612,IF(Atletas!Q563="Bishou C",613,IF(Atletas!Q563="Shan C",614,IF(Atletas!Q563="Outra Arma Curta C",615,IF(Atletas!Q563="Dao D",616,IF(Atletas!Q563="Jian D",617,IF(Atletas!Q563="Bishou D",618,IF(Atletas!Q563="Shan D",619,IF(Atletas!Q563="Outra Arma Curta D",620,IF(Atletas!Q563="Dao E",621,IF(Atletas!Q563="Jian E",622,IF(Atletas!Q563="Bishou E",623,IF(Atletas!Q563="Shan E",624,IF(Atletas!Q563="Outra Arma Curta E",625,IF(Atletas!Q563="Dao F",626,IF(Atletas!Q563="Jian F",627,IF(Atletas!Q563="Bishou F",628,IF(Atletas!Q563="Shan F",629,IF(Atletas!Q563="Outra Arma Curta F",630, "")))))))))))))))))))))))))))))))</f>
        <v/>
      </c>
      <c r="BT567" s="52" t="str">
        <f>IF(Atletas!R563="","",IF(Atletas!W563&lt;&gt;"",10000,0)+IF(Atletas!B563="Feminino",1000,IF(Atletas!B563="Masculino",2000,""))+IF(Atletas!R563="Gun A",701,IF(Atletas!R563="Qiang A",702,IF(Atletas!R563="Pudao / Guandao A",703,IF(Atletas!R563="Outra Arma Longa A",704,IF(Atletas!R563="Gun B",705,IF(Atletas!R563="Qiang B",706,IF(Atletas!R563="Pudao / Guandao B",707,IF(Atletas!R563="Outra Arma Longa B",708,IF(Atletas!R563="Gun C",709,IF(Atletas!R563="Qiang C",710,IF(Atletas!R563="Pudao / Guandao C",711,IF(Atletas!R563="Outra Arma Longa C",712,IF(Atletas!R563="Gun D",713,IF(Atletas!R563="Qiang D",714,IF(Atletas!R563="Pudao / Guandao D",715,IF(Atletas!R563="Outra Arma Longa D",716,IF(Atletas!R563="Gun E",717,IF(Atletas!R563="Qiang E",718,IF(Atletas!R563="Pudao / Guandao E",719,IF(Atletas!R563="Outra Arma Longa E",720,IF(Atletas!R563="Gun F",721,IF(Atletas!R563="Qiang F",722,IF(Atletas!R563="Pudao / Guandao F",723,IF(Atletas!R563="Outra Arma Longa F",724,"")))))))))))))))))))))))))</f>
        <v/>
      </c>
      <c r="BU567" s="52" t="str">
        <f>IF(Atletas!S563="","",IF(Atletas!W563&lt;&gt;"",10000,0)+IF(Atletas!B563="Feminino",1000,IF(Atletas!B563="Masculino",2000,""))+IF(Atletas!S563="Arma Dupla A",801,IF(Atletas!S563="Arma Maleável A",802,IF(Atletas!S563="Arma Dupla B",803,IF(Atletas!S563="Arma Maleável B",804,IF(Atletas!S563="Arma Dupla C",805,IF(Atletas!S563="Arma Maleável C",806,IF(Atletas!S563="Arma Dupla D",807,IF(Atletas!S563="Arma Maleável D",808,IF(Atletas!S563="Arma Dupla E",809,IF(Atletas!S563="Arma Maleável E",810,IF(Atletas!S563="Arma Dupla F",811,IF(Atletas!S563="Arma Maleável F",812, "")))))))))))))</f>
        <v/>
      </c>
      <c r="BV567" s="52" t="str">
        <f>IF(Atletas!T563="","",IF(Atletas!W563&lt;&gt;"",10000,0)+IF(Atletas!B563="Feminino",1000,IF(Atletas!B563="Masculino",2000,""))+IF(Atletas!T563="Taijijian Yang A",901,IF(Atletas!T563="Taijijian Chen A",902,IF(Atletas!T563="Taijijian Sun A",903,IF(Atletas!T563="Taijijian Wu A",904,IF(Atletas!T563="Taijijian Wu-Hao A",905,IF(Atletas!T563="Taijijian 32 A",906,IF(Atletas!T563="Taijijian 42 A",907,IF(Atletas!T563="Taijijian Yang B",908,IF(Atletas!T563="Taijijian Chen B",909,IF(Atletas!T563="Taijijian Sun B",910,IF(Atletas!T563="Taijijian Wu B",911,IF(Atletas!T563="Taijijian Wu-Hao B",912,IF(Atletas!T563="Taijijian 32 B",913,IF(Atletas!T563="Taijijian 42 B",914,IF(Atletas!T563="Taijijian Yang C",915,IF(Atletas!T563="Taijijian Chen C",916,IF(Atletas!T563="Taijijian Sun C",917,IF(Atletas!T563="Taijijian Wu C",918,IF(Atletas!T563="Taijijian Wu-Hao C",919,IF(Atletas!T563="Taijijian 32 C",920,IF(Atletas!T563="Taijijian 42 C",921,IF(Atletas!T563="Taijijian Yang D",922,IF(Atletas!T563="Taijijian Chen D",923,IF(Atletas!T563="Taijijian Sun D",924,IF(Atletas!T563="Taijijian Wu D",925,IF(Atletas!T563="Taijijian Wu-Hao D",926,IF(Atletas!T563="Taijijian 32 D",927,IF(Atletas!T563="Taijijian 42 D",928,IF(Atletas!T563="Taijijian Yang E",929,IF(Atletas!T563="Taijijian Chen E",930,IF(Atletas!T563="Taijijian Sun E",931,IF(Atletas!T563="Taijijian Wu E",932,IF(Atletas!T563="Taijijian Wu-Hao E",933,IF(Atletas!T563="Taijijian 32 E",934,IF(Atletas!T563="Taijijian 42 E",935,IF(Atletas!T563="Taijijian Yang F",936,IF(Atletas!T563="Taijijian Chen F",937,IF(Atletas!T563="Taijijian Sun F",938,IF(Atletas!T563="Taijijian Wu F",939,IF(Atletas!T563="Taijijian Wu-Hao F",940,IF(Atletas!T563="Taijijian 32 F",941,IF(Atletas!T563="Taijijian 42 F",942,"")))))))))))))))))))))))))))))))))))))))))))</f>
        <v/>
      </c>
      <c r="BW567" s="52" t="str">
        <f>IF(Atletas!U563="","",IF(Atletas!W563&lt;&gt;"",10000,0)+IF(Atletas!B563="Feminino",1000,IF(Atletas!B563="Masculino",2000,""))+IF(Atletas!T563="Taijijian 42 F",942,IF(Atletas!U563="Taijidao A",943,IF(Atletas!U563="Taijishan A",944,IF(Atletas!U563="Taijiqiang A",945,IF(Atletas!U563="Taijidao B",946,IF(Atletas!U563="Taijishan B",947,IF(Atletas!U563="Taijiqiang B",948,IF(Atletas!U563="Taijidao C",949,IF(Atletas!U563="Taijishan C",950,IF(Atletas!U563="Taijiqiang C",951,IF(Atletas!U563="Taijidao D",952,IF(Atletas!U563="Taijishan D",953,IF(Atletas!U563="Taijiqiang D",954,IF(Atletas!U563="Taijidao E",955,IF(Atletas!U563="Taijishan E",956,IF(Atletas!U563="Taijiqiang E",957,IF(Atletas!U563="Taijidao F",958,IF(Atletas!U563="Taijishan F",959,IF(Atletas!U563="Taijiqiang F",960))))))))))))))))))))</f>
        <v/>
      </c>
      <c r="CF567" s="52" t="str">
        <f xml:space="preserve"> IF(Atletas!V563="","",IF(Atletas!V563="Duilian de Mãos AB - Equipe 1",1,IF(Atletas!V563="Duilian de Mãos AB - Equipe 2",2,IF(Atletas!V563="Duilian de Armas AB - Equipe 1",3,IF(Atletas!V563="Duilian de Armas AB - Equipe 2",4,IF(Atletas!V563="Duilian de Tuishou - Equipe 1",5,IF(Atletas!V563="Duilian de Tuishou - Equipe 2",6,IF(Atletas!V563="Grupo Externo AB - Equipe 1",7,IF(Atletas!V563="Grupo Externo AB - Equipe 2",8,IF(Atletas!V563="Grupo Interno AB - Equipe 1",9,IF(Atletas!V563="Grupo Interno AB - Equipe 2",10,IF(Atletas!V563="Duilian de Mãos CD - Equipe 1",11,IF(Atletas!V563="Duilian de Mãos CD - Equipe 2",12,IF(Atletas!V563="Duilian de Armas CD - Equipe 1",13,IF(Atletas!V563="Duilian de Armas CD - Equipe 2",14,IF(Atletas!V563="Duilian de Tuishou - Equipe 1",15,IF(Atletas!V563="Duilian de Tuishou - Equipe 2",16,IF(Atletas!V563="Grupo Externo CDEF - Equipe 1",17,IF(Atletas!V563="Grupo Externo CDEF - Equipe 2",18,IF(Atletas!V563="Grupo Interno CDEF - Equipe 1",19,IF(Atletas!V563="Grupo Interno CDEF - Equipe 2",20,IF(Atletas!V563="Duilian de Mãos EF - Equipe 1",21,IF(Atletas!V563="Duilian de Mãos EF - Equipe 2",22,IF(Atletas!V563="Duilian de Armas EF - Equipe 1",23,IF(Atletas!V563="Duilian de Armas EF - Equipe 2",24,IF(Atletas!V563="Duilian de Tuishou - Equipe 1",25,IF(Atletas!V563="Duilian de Tuishou - Equipe 2",26,"")))))))))))))))))))))))))))</f>
        <v/>
      </c>
    </row>
    <row r="568" spans="36:84">
      <c r="AJ568" s="46" t="str">
        <f>IF(Atletas!D564="","",IF(Atletas!B564="Feminino",100,IF(Atletas!B564="Masculino",200,""))+(IF(Atletas!D564="Infantil 39kg",1,IF(Atletas!D564="Infantil 42kg",2,IF(Atletas!D564="Infantil 45kg",3,IF(Atletas!D564="Infantil 48kg",4,IF(Atletas!D564="Infantil 52kg",5,IF(Atletas!D564="Infantil 56kg",6,IF(Atletas!D564="Infantil 60kg",7,IF(Atletas!D564="Juvenil 48kg",8,IF(Atletas!D564="Juvenil 52kg",9,IF(Atletas!D564="Juvenil 56kg",10,IF(Atletas!D564="Juvenil 60kg",11,IF(Atletas!D564="Juvenil 65kg",12,IF(Atletas!D564="Juvenil 70kg",13,IF(Atletas!D564="Juvenil 75kg",14,IF(Atletas!D564="Juvenil 80kg",15,IF(Atletas!D564="Adulto 48kg",16,IF(Atletas!D564="Adulto 52kg",17,IF(Atletas!D564="Adulto 56kg",18,IF(Atletas!D564="Adulto 60kg",19,IF(Atletas!D564="Adulto 65kg",20,IF(Atletas!D564="Adulto 70kg",21,IF(Atletas!D564="Adulto 75kg",22,IF(Atletas!D564="Adulto 80kg",23,IF(Atletas!D564="Adulto 85kg",24,IF(Atletas!D564="Adulto 90kg",25,IF(Atletas!D564="Adulto +90kg",26,""))))))))))))))))))))))))))))</f>
        <v/>
      </c>
      <c r="AO568" s="10" t="str">
        <f>IF(Atletas!E564="","",IF(Atletas!B564="Feminino",100,IF(Atletas!B564="Masculino",200,""))+(IF(Atletas!E564="Juvenil 44kg",1,IF(Atletas!E564="Juvenil 48kg",2,IF(Atletas!E564="Juvenil 52kg",3,IF(Atletas!E564="Juvenil 56kg",4,IF(Atletas!E564="Juvenil 60kg",5,IF(Atletas!E564="Juvenil 65kg",6,IF(Atletas!E564="Juvenil 70kg",7,IF(Atletas!E564="Juvenil 75kg",8,IF(Atletas!E564="Juvenil 82kg",9,IF(Atletas!E564="Juvenil 90kg",10,IF(Atletas!E564="Juvenil 100kg",11,IF(Atletas!E564="Adulto 48kg",12,IF(Atletas!E564="Adulto 52kg",13,IF(Atletas!E564="Adulto 56kg",14,IF(Atletas!E564="Adulto 60kg",15,IF(Atletas!E564="Adulto 65kg",16,IF(Atletas!E564="Adulto 70kg",17,IF(Atletas!E564="Adulto 75kg",18,IF(Atletas!E564="Adulto 82kg",19,IF(Atletas!E564="Adulto 90kg",20,IF(Atletas!E564="Adulto 100kg",21,IF(Atletas!E564="Adulto +100kg",22,""))))))))))))))))))))))))</f>
        <v/>
      </c>
      <c r="AT568" s="10" t="str">
        <f>IF(Atletas!F564="","",IF(Atletas!B564="Feminino",100,IF(Atletas!B564="Masculino",200,""))+(IF(Atletas!F564="Adulto 48kg",1,IF(Atletas!F564="Adulto 56kg",2,IF(Atletas!F564="Adulto 65kg",3,IF(Atletas!F564="Adulto 75kg",4,IF(Atletas!F564="Adulto +75kg",5,IF(Atletas!F564="Adulto 52kg",6,IF(Atletas!F564="Adulto 60kg",7,IF(Atletas!F564="Adulto 70kg",8,IF(Atletas!F564="Adulto 80kg",9,IF(Atletas!F564="Adulto 90kg",10,IF(Atletas!F564="Adulto +90kg",11,"")))))))))))))</f>
        <v/>
      </c>
      <c r="AY568" s="46" t="str">
        <f>IF(Atletas!G564="","",IF(Atletas!B564="Feminino",100,IF(Atletas!B564="Masculino",200,""))+(IF(Atletas!G564="Changquan Mirim",1,IF(Atletas!G564="Nanquan Mirim",2,IF(Atletas!G564="Taijiquan Mirim",3,IF(Atletas!G564="Changquan Grupo C",4,IF(Atletas!G564="Nanquan Grupo C",5,IF(Atletas!G564="Taijiquan Grupo C",6,IF(Atletas!G564="Changquan Grupo B",7,IF(Atletas!G564="Nanquan Grupo B",8,IF(Atletas!G564="Taijiquan Grupo B",9,IF(Atletas!G564="Changquan Grupo A",10,IF(Atletas!G564="Nanquan Grupo A",11,IF(Atletas!G564="Taijiquan Grupo A",12,IF(Atletas!G564="Changquan Opcional",13,IF(Atletas!G564="Nanquan Opcional",14,IF(Atletas!G564="Taijiquan Opcional",15,IF(Atletas!G564="Changquan Adulto",16,IF(Atletas!G564="Nanquan Adulto",17,IF(Atletas!G564="Taijiquan Adulto",18,""))))))))))))))))))))</f>
        <v/>
      </c>
      <c r="AZ568" s="46" t="str">
        <f>IF(Atletas!H564="","",IF(Atletas!B564="Feminino",100,IF(Atletas!B564="Masculino",200,""))+(IF(Atletas!H564="Daoshu Mirim",19,IF(Atletas!H564="Jianshu Mirim",20,IF(Atletas!H564="Nandao Mirim",21,IF(Atletas!H564="Taijijian Mirim",22,IF(Atletas!H564="Daoshu Grupo C",23,IF(Atletas!H564="Jianshu Grupo C",24,IF(Atletas!H564="Nandao Grupo C",25,IF(Atletas!H564="Taijijian Grupo C",26,IF(Atletas!H564="Daoshu Grupo B",27,IF(Atletas!H564="Jianshu Grupo B",28,IF(Atletas!H564="Nandao Grupo B",29,IF(Atletas!H564="Taijijian Grupo B",30,IF(Atletas!H564="Daoshu Grupo A",31,IF(Atletas!H564="Jianshu Grupo A",32,IF(Atletas!H564="Nandao Grupo A",33,IF(Atletas!H564="Taijijian Grupo A",34,IF(Atletas!H564="Daoshu Opcional",35,IF(Atletas!H564="Jianshu Opcional",36,IF(Atletas!H564="Nandao Opcional",37,IF(Atletas!H564="Taijijian Opcional",38,IF(Atletas!H564="Daoshu Adulto",39,IF(Atletas!H564="Jianshu Adulto",40,IF(Atletas!H564="Nandao Adulto",41,IF(Atletas!H564="Taijijian Adulto",42,""))))))))))))))))))))))))))</f>
        <v/>
      </c>
      <c r="BA568" s="46" t="str">
        <f>IF(Atletas!I564="","",IF(Atletas!B564="Feminino",100,IF(Atletas!B564="Masculino",200,""))+(IF(Atletas!I564="Gunshu Mirim",43,IF(Atletas!I564="Qiangshu Mirim",44,IF(Atletas!I564="Nangun Mirim",45,IF(Atletas!I564="Gunshu Grupo C",46,IF(Atletas!I564="Qiangshu Grupo C",47,IF(Atletas!I564="Nangun Grupo C",48,IF(Atletas!I564="Gunshu Grupo B",49,IF(Atletas!I564="Qiangshu Grupo B",50,IF(Atletas!I564="Nangun Grupo B",51,IF(Atletas!I564="Gunshu Grupo A",52,IF(Atletas!I564="Qiangshu Grupo A",53,IF(Atletas!I564="Nangun Grupo A",54,IF(Atletas!I564="Gunshu Opcional",55,IF(Atletas!I564="Qiangshu Opcional",56,IF(Atletas!I564="Nangun Opcional",57,IF(Atletas!I564="Gunshu Adulto",58,IF(Atletas!I564="Qiangshu Adulto",59,IF(Atletas!I564="Nangun Adulto",60,""))))))))))))))))))))</f>
        <v/>
      </c>
      <c r="BF568" s="52" t="str">
        <f>IF(Atletas!J564="","",IF(Atletas!B564="Feminino",100,IF(Atletas!B564="Masculino",200,""))+(IF(Atletas!J564="Equipe 1 Grupo B",1,IF(Atletas!J564="Equipe 2 Grupo B",2,IF(Atletas!J564="Equipe 1 Grupo A",3,IF(Atletas!J564="Equipe 2 Grupo A",4,IF(Atletas!J564="Equipe 1 Adulto",5,IF(Atletas!J564="Equipe 2 Adulto",6,""))))))))</f>
        <v/>
      </c>
      <c r="BK568" s="52" t="str">
        <f>IF(Atletas!K564="","",IF(Atletas!W564&lt;&gt;"",10000,0)+(IF(Atletas!B564="Feminino",1000,IF(Atletas!B564="Masculino",2000,""))+IF(Atletas!K564="Choylayfut A",1,IF(Atletas!K564="Hunggar A",2,IF(Atletas!K564="Wuzuquan A",3,IF(Atletas!K564="Wingchun A",4,IF(Atletas!K564="Outra Mão de Sul A",5,IF(Atletas!K564="Choylayfut B",6,IF(Atletas!K564="Hunggar B",7,IF(Atletas!K564="Wuzuquan B",8,IF(Atletas!K564="Wingchun B",9,IF(Atletas!K564="Outra Mão de Sul B",10,IF(Atletas!K564="Choylayfut C",11,IF(Atletas!K564="Hunggar C",12,IF(Atletas!K564="Wuzuquan C",13,IF(Atletas!K564="Wingchun C",14,IF(Atletas!K564="Outra Mão de Sul C",15,IF(Atletas!K564="Choylayfut D",16,IF(Atletas!K564="Hunggar D",17,IF(Atletas!K564="Wuzuquan D",18,IF(Atletas!K564="Wingchun D",19,IF(Atletas!K564="Outra Mão de Sul D",20,IF(Atletas!K564="Choylayfut E",21,IF(Atletas!K564="Hunggar E",22,IF(Atletas!K564="Wuzuquan E",23,IF(Atletas!K564="Wingchun E",24,IF(Atletas!K564="Outra Mão de Sul E",25,IF(Atletas!K564="Choylayfut F",26,IF(Atletas!K564="Hunggar F",27,IF(Atletas!K564="Wuzuquan F",28,IF(Atletas!K564="Wingchun F",29,IF(Atletas!K564="Outra Mão de Sul F",30,""))))))))))))))))))))))))))))))))</f>
        <v/>
      </c>
      <c r="BL568" s="52" t="str">
        <f>IF(Atletas!L564="","",IF(Atletas!W564&lt;&gt;"",10000,0)+(IF(Atletas!B564="Feminino",1000,IF(Atletas!B564="Masculino",2000,""))+(IF(Atletas!L564="Chaquan A",101,IF(Atletas!L564="Emeiquan A",102,IF(Atletas!L564="Fanziquan A",103,IF(Atletas!L564="Huaquan A",104,IF(Atletas!L564="Hongquan A",105,IF(Atletas!L564="Paochui A",106,IF(Atletas!L564="Piguaquan A",107,IF(Atletas!L564="Shaolinquan A",108,IF(Atletas!L564="Tanglangquan A",109,IF(Atletas!L564="Yinzhaophai A",110,IF(Atletas!L564="Tongbeiquan A",111,IF(Atletas!L564="Wudangquan A",112,IF(Atletas!L564="Outros Estilos A",113,IF(Atletas!L564="Chaquan B",114,IF(Atletas!L564="Emeiquan B",115,IF(Atletas!L564="Fanziquan B",116,IF(Atletas!L564="Huaquan B",117,IF(Atletas!L564="Hongquan B",118,IF(Atletas!L564="Paochui B",119,IF(Atletas!L564="Piguaquan B",120,IF(Atletas!L564="Shaolinquan B",121,IF(Atletas!L564="Tanglangquan B",122,IF(Atletas!L564="Yinzhaophai B",123,IF(Atletas!L564="Tongbeiquan B",124,IF(Atletas!L564="Wudangquan B",125,IF(Atletas!L564="Outros Estilos B",126,IF(Atletas!L564="Chaquan C",127,IF(Atletas!L564="Emeiquan C",128,IF(Atletas!L564="Fanziquan C",129,IF(Atletas!L564="Huaquan C",130,IF(Atletas!L564="Hongquan C",131,IF(Atletas!L564="Paochui C",132,IF(Atletas!L564="Piguaquan C",133,IF(Atletas!L564="Shaolinquan C",134,IF(Atletas!L564="Tanglangquan C",135,IF(Atletas!L564="Yinzhaophai C",136,IF(Atletas!L564="Tongbeiquan C",137,IF(Atletas!L564="Wudangquan C",138,IF(Atletas!L564="Outros Estilos C",139,0))))))))))))))))))))))))))))))))))))))))))</f>
        <v/>
      </c>
      <c r="BM568" s="52" t="str">
        <f>IF(Atletas!L564="","",IF(Atletas!W564&lt;&gt;"",10000,0)+(IF(Atletas!B564="Feminino",1000,IF(Atletas!B564="Masculino",2000,""))+(IF(Atletas!L564="Chaquan D",140,IF(Atletas!L564="Emeiquan D",141,IF(Atletas!L564="Fanziquan D",142,IF(Atletas!L564="Huaquan D",143,IF(Atletas!L564="Hongquan D",144,IF(Atletas!L564="Paochui D",145,IF(Atletas!L564="Piguaquan D",146,IF(Atletas!L564="Shaolinquan D",147,IF(Atletas!L564="Tanglangquan D",148,IF(Atletas!L564="Yinzhaophai D",149,IF(Atletas!L564="Tongbeiquan D",150,IF(Atletas!L564="Wudangquan D",151,IF(Atletas!L564="Outros Estilos D",152,IF(Atletas!L564="Chaquan E",153,IF(Atletas!L564="Emeiquan E",154,IF(Atletas!L564="Fanziquan E",155,IF(Atletas!L564="Huaquan E",156,IF(Atletas!L564="Hongquan E",157,IF(Atletas!L564="Paochui E",158,IF(Atletas!L564="Piguaquan E",159,IF(Atletas!L564="Shaolinquan E",160,IF(Atletas!L564="Tanglangquan E",161,IF(Atletas!L564="Yinzhaophai E",162,IF(Atletas!L564="Tongbeiquan E",163,IF(Atletas!L564="Wudangquan E",164,IF(Atletas!L564="Outros Estilos E",165,IF(Atletas!L564="Chaquan F",166,IF(Atletas!L564="Emeiquan F",167,IF(Atletas!L564="Fanziquan F",168,IF(Atletas!L564="Huaquan F",169,IF(Atletas!L564="Hongquan F",170,IF(Atletas!L564="Paochui F",171,IF(Atletas!L564="Piguaquan F",172,IF(Atletas!L564="Shaolinquan F",173,IF(Atletas!L564="Tanglangquan F",174,IF(Atletas!L564="Yinzhaophai F",175,IF(Atletas!L564="Tongbeiquan F",176,IF(Atletas!L564="Wudangquan F",177,IF(Atletas!L564="Outros Estilos F",178,0))))))))))))))))))))))))))))))))))))))))))</f>
        <v/>
      </c>
      <c r="BN568" s="52" t="str">
        <f>IF(Atletas!M564="","",IF(Atletas!W564&lt;&gt;"",10000,0)+(IF(Atletas!B564="Feminino",1000,IF(Atletas!B564="Masculino",2000,""))+(IF(Atletas!M564="Ditangquan A",201,IF(Atletas!M564="Houquan A",202,IF(Atletas!M564="Zuiquan A",203,IF(Atletas!M564="Ditangquan B",204,IF(Atletas!M564="Houquan B",205,IF(Atletas!M564="Zuiquan B",206,IF(Atletas!M564="Ditangquan C",207,IF(Atletas!M564="Houquan C",208,IF(Atletas!M564="Zuiquan C",209,IF(Atletas!M564="Ditangquan D",210,IF(Atletas!M564="Houquan D",211,IF(Atletas!M564="Zuiquan D",212,IF(Atletas!M564="Ditangquan E",213,IF(Atletas!M564="Houquan E",214,IF(Atletas!M564="Zuiquan E",215,IF(Atletas!M564="Ditangquan F",216,IF(Atletas!M564="Houquan F",217,IF(Atletas!M564="Zuiquan F",218,"")))))))))))))))))))))</f>
        <v/>
      </c>
      <c r="BO568" s="52" t="str">
        <f>IF(Atletas!N564="","",IF(Atletas!W564&lt;&gt;"",10000,0)+IF(Atletas!B564="Feminino",1000,IF(Atletas!B564="Masculino",2000,""))+IF(Atletas!N564="Yang A",301,IF(Atletas!N564="Chen A",30,IF(Atletas!N564="Sun A",303,IF(Atletas!N564="Wu A",304,IF(Atletas!N564="Wu-Hao A",305,IF(Atletas!N564="Outro Taijiquan A",306,IF(Atletas!N564="Yang B",307,IF(Atletas!N564="Chen B",308,IF(Atletas!N564="Sun B",309,IF(Atletas!N564="Wu B",310,IF(Atletas!N564="Wu-Hao B",311,IF(Atletas!N564="Outro Taijiquan B",312,IF(Atletas!N564="Yang C",313,IF(Atletas!N564="Chen C",314,IF(Atletas!N564="Sun C",315,IF(Atletas!N564="Wu C",316,IF(Atletas!N564="Wu-Hao C",317,IF(Atletas!N564="Outro Taijiquan C",318,IF(Atletas!N564="Yang D",319,IF(Atletas!N564="Chen D",320,IF(Atletas!N564="Sun D",321,IF(Atletas!N564="Wu D",322,IF(Atletas!N564="Wu-Hao D",323,IF(Atletas!N564="Outro Taijiquan D",324,IF(Atletas!N564="Yang E",325,IF(Atletas!N564="Chen E",326,IF(Atletas!N564="Sun E",327,IF(Atletas!N564="Wu E",328,IF(Atletas!N564="Wu-Hao E",329,IF(Atletas!N564="Outro Taijiquan E",330,IF(Atletas!N564="Yang F",331,IF(Atletas!N564="Chen F",332,IF(Atletas!N564="Sun F",333,IF(Atletas!N564="Wu F",334,IF(Atletas!N564="Wu-Hao F",335,IF(Atletas!N564="Outro Taijiquan F",336,"")))))))))))))))))))))))))))))))))))))</f>
        <v/>
      </c>
      <c r="BP568" s="52" t="str">
        <f>IF(Atletas!O564="","",IF(Atletas!W564&lt;&gt;"",10000,0)+IF(Atletas!B564="Feminino",1000,IF(Atletas!B564="Masculino",2000,""))+IF(OR(Atletas!O564="Yang 26 A",Atletas!O564="Yang 40 A"),401,IF(OR(Atletas!O564="Chen 25 A",Atletas!O564="Chen 36 A",Atletas!O564="Chen 56 A"),402,IF(Atletas!O564="Sun 73 A",403,IF(Atletas!O564="Wu 45 A",404,IF(Atletas!O564="Wu-Hao 46 A",405,IF(OR(Atletas!O564="Taijiquan 16 A",Atletas!O564="Taijiquan 24 A",Atletas!O564="Taijiquan 32 A",Atletas!O564="Taijiquan 42 A"),406,IF(OR(Atletas!O564="Yang 26 B",Atletas!O564="Yang 40 B"),407,IF(OR(Atletas!O564="Chen 25 B",Atletas!O564="Chen 36 B",Atletas!O564="Chen 56 B"),408,IF(Atletas!O564="Sun 73 B",409,IF(Atletas!O564="Wu 45 B",410,IF(Atletas!O564="Wu-Hao 46 B",411,IF(OR(Atletas!O564="Taijiquan 16 B",Atletas!O564="Taijiquan 24 B",Atletas!O564="Taijiquan 32 B",Atletas!O564="Taijiquan 42 B"),412,IF(OR(Atletas!O564="Yang 26 C",Atletas!O564="Yang 40 C"),413,IF(OR(Atletas!O564="Chen 25 C",Atletas!O564="Chen 36 C",Atletas!O564="Chen 56 C"),414,IF(Atletas!O564="Sun 73 C",415,IF(Atletas!O564="Wu 45 C",416,IF(Atletas!O564="Wu-Hao 46 C",417,IF(OR(Atletas!O564="Taijiquan 16 C",Atletas!O564="Taijiquan 24 C",Atletas!O564="Taijiquan 32 C",Atletas!O564="Taijiquan 42 C"),418,0)))))))))))))))))))</f>
        <v/>
      </c>
      <c r="BQ568" s="52" t="str">
        <f>IF(Atletas!O564="","",IF(Atletas!W564&lt;&gt;"",10000,0)+IF(Atletas!B564="Feminino",1000,IF(Atletas!B564="Masculino",2000,""))+IF(OR(Atletas!O564="Yang 26 D",Atletas!O564="Yang 40 D"),419,IF(OR(Atletas!O564="Chen 25 D",Atletas!O564="Chen 36 D",Atletas!O564="Chen 56 D"),420,IF(Atletas!O564="Sun 73 D",421,IF(Atletas!O564="Wu 45 D",422,IF(Atletas!O564="Wu-Hao 46 D",423,IF(OR(Atletas!O564="Taijiquan 16 D",Atletas!O564="Taijiquan 24 D",Atletas!O564="Taijiquan 32 D",Atletas!O564="Taijiquan 42 D"),424,IF(OR(Atletas!O564="Yang 26 E",Atletas!O564="Yang 40 E"),425,IF(OR(Atletas!O564="Chen 25 E",Atletas!O564="Chen 36 E",Atletas!O564="Chen 56 E"),426,IF(Atletas!O564="Sun 73 E",427,IF(Atletas!O564="Wu 45 E",428,IF(Atletas!O564="Wu-Hao 46 E",429,IF(OR(Atletas!O564="Taijiquan 16 E",Atletas!O564="Taijiquan 24 E",Atletas!O564="Taijiquan 32 E",Atletas!O564="Taijiquan 42 E"),430,IF(OR(Atletas!O564="Yang 26 F",Atletas!O564="Yang 40 F"),431,IF(OR(Atletas!O564="Chen 25 F",Atletas!O564="Chen 36 F",Atletas!O564="Chen 56 F"),432,IF(Atletas!O564="Sun 73 F",433,IF(Atletas!O564="Wu 45 F",434,IF(Atletas!O564="Wu-Hao 46 F",435,IF(OR(Atletas!O564="Taijiquan 16 F",Atletas!O564="Taijiquan 24 F",Atletas!O564="Taijiquan 32 F",Atletas!O564="Taijiquan 42 F"),436,0)))))))))))))))))))</f>
        <v/>
      </c>
      <c r="BR568" s="52" t="str">
        <f>IF(Atletas!P564="","",IF(Atletas!W564&lt;&gt;"",10000,0)+IF(Atletas!B564="Feminino",1000,IF(Atletas!B564="Masculino",2000,""))+IF(Atletas!P564="Xingyiquan A",501,IF(Atletas!P564="Baguazhang A",502,IF(Atletas!P564="Outro Estilo Interno A",503,IF(Atletas!P564="Xingyiquan B",504,IF(Atletas!P564="Baguazhang B",505,IF(Atletas!P564="Outro Estilo Interno B",506,IF(Atletas!P564="Xingyiquan C",507,IF(Atletas!P564="Baguazhang C",508,IF(Atletas!P564="Outro Estilo Interno C",509,IF(Atletas!P564="Xingyiquan D",510,IF(Atletas!P564="Baguazhang D",511,IF(Atletas!P564="Outro Estilo Interno D",512,IF(Atletas!P564="Xingyiquan E",513,IF(Atletas!P564="Baguazhang E",514,IF(Atletas!P564="Outro Estilo Interno E",515,IF(Atletas!P564="Xingyiquan F",516,IF(Atletas!P564="Baguazhang F",517,IF(Atletas!P564="Outro Estilo Interno F",518, "")))))))))))))))))))</f>
        <v/>
      </c>
      <c r="BS568" s="52" t="str">
        <f>IF(Atletas!Q564="","",IF(Atletas!W564&lt;&gt;"",10000,0)+IF(Atletas!B564="Feminino",1000,IF(Atletas!B564="Masculino",2000,""))+IF(Atletas!Q564="Dao A",601,IF(Atletas!Q564="Jian A",602,IF(Atletas!Q564="Bishou A",603,IF(Atletas!Q564="Shan A",604,IF(Atletas!Q564="Outra Arma Curta A",605,IF(Atletas!Q564="Dao B",606,IF(Atletas!Q564="Jian B",607,IF(Atletas!Q564="Bishou B",608,IF(Atletas!Q564="Shan B",609,IF(Atletas!Q564="Outra Arma Curta B",610,IF(Atletas!Q564="Dao C",611,IF(Atletas!Q564="Jian C",612,IF(Atletas!Q564="Bishou C",613,IF(Atletas!Q564="Shan C",614,IF(Atletas!Q564="Outra Arma Curta C",615,IF(Atletas!Q564="Dao D",616,IF(Atletas!Q564="Jian D",617,IF(Atletas!Q564="Bishou D",618,IF(Atletas!Q564="Shan D",619,IF(Atletas!Q564="Outra Arma Curta D",620,IF(Atletas!Q564="Dao E",621,IF(Atletas!Q564="Jian E",622,IF(Atletas!Q564="Bishou E",623,IF(Atletas!Q564="Shan E",624,IF(Atletas!Q564="Outra Arma Curta E",625,IF(Atletas!Q564="Dao F",626,IF(Atletas!Q564="Jian F",627,IF(Atletas!Q564="Bishou F",628,IF(Atletas!Q564="Shan F",629,IF(Atletas!Q564="Outra Arma Curta F",630, "")))))))))))))))))))))))))))))))</f>
        <v/>
      </c>
      <c r="BT568" s="52" t="str">
        <f>IF(Atletas!R564="","",IF(Atletas!W564&lt;&gt;"",10000,0)+IF(Atletas!B564="Feminino",1000,IF(Atletas!B564="Masculino",2000,""))+IF(Atletas!R564="Gun A",701,IF(Atletas!R564="Qiang A",702,IF(Atletas!R564="Pudao / Guandao A",703,IF(Atletas!R564="Outra Arma Longa A",704,IF(Atletas!R564="Gun B",705,IF(Atletas!R564="Qiang B",706,IF(Atletas!R564="Pudao / Guandao B",707,IF(Atletas!R564="Outra Arma Longa B",708,IF(Atletas!R564="Gun C",709,IF(Atletas!R564="Qiang C",710,IF(Atletas!R564="Pudao / Guandao C",711,IF(Atletas!R564="Outra Arma Longa C",712,IF(Atletas!R564="Gun D",713,IF(Atletas!R564="Qiang D",714,IF(Atletas!R564="Pudao / Guandao D",715,IF(Atletas!R564="Outra Arma Longa D",716,IF(Atletas!R564="Gun E",717,IF(Atletas!R564="Qiang E",718,IF(Atletas!R564="Pudao / Guandao E",719,IF(Atletas!R564="Outra Arma Longa E",720,IF(Atletas!R564="Gun F",721,IF(Atletas!R564="Qiang F",722,IF(Atletas!R564="Pudao / Guandao F",723,IF(Atletas!R564="Outra Arma Longa F",724,"")))))))))))))))))))))))))</f>
        <v/>
      </c>
      <c r="BU568" s="52" t="str">
        <f>IF(Atletas!S564="","",IF(Atletas!W564&lt;&gt;"",10000,0)+IF(Atletas!B564="Feminino",1000,IF(Atletas!B564="Masculino",2000,""))+IF(Atletas!S564="Arma Dupla A",801,IF(Atletas!S564="Arma Maleável A",802,IF(Atletas!S564="Arma Dupla B",803,IF(Atletas!S564="Arma Maleável B",804,IF(Atletas!S564="Arma Dupla C",805,IF(Atletas!S564="Arma Maleável C",806,IF(Atletas!S564="Arma Dupla D",807,IF(Atletas!S564="Arma Maleável D",808,IF(Atletas!S564="Arma Dupla E",809,IF(Atletas!S564="Arma Maleável E",810,IF(Atletas!S564="Arma Dupla F",811,IF(Atletas!S564="Arma Maleável F",812, "")))))))))))))</f>
        <v/>
      </c>
      <c r="BV568" s="52" t="str">
        <f>IF(Atletas!T564="","",IF(Atletas!W564&lt;&gt;"",10000,0)+IF(Atletas!B564="Feminino",1000,IF(Atletas!B564="Masculino",2000,""))+IF(Atletas!T564="Taijijian Yang A",901,IF(Atletas!T564="Taijijian Chen A",902,IF(Atletas!T564="Taijijian Sun A",903,IF(Atletas!T564="Taijijian Wu A",904,IF(Atletas!T564="Taijijian Wu-Hao A",905,IF(Atletas!T564="Taijijian 32 A",906,IF(Atletas!T564="Taijijian 42 A",907,IF(Atletas!T564="Taijijian Yang B",908,IF(Atletas!T564="Taijijian Chen B",909,IF(Atletas!T564="Taijijian Sun B",910,IF(Atletas!T564="Taijijian Wu B",911,IF(Atletas!T564="Taijijian Wu-Hao B",912,IF(Atletas!T564="Taijijian 32 B",913,IF(Atletas!T564="Taijijian 42 B",914,IF(Atletas!T564="Taijijian Yang C",915,IF(Atletas!T564="Taijijian Chen C",916,IF(Atletas!T564="Taijijian Sun C",917,IF(Atletas!T564="Taijijian Wu C",918,IF(Atletas!T564="Taijijian Wu-Hao C",919,IF(Atletas!T564="Taijijian 32 C",920,IF(Atletas!T564="Taijijian 42 C",921,IF(Atletas!T564="Taijijian Yang D",922,IF(Atletas!T564="Taijijian Chen D",923,IF(Atletas!T564="Taijijian Sun D",924,IF(Atletas!T564="Taijijian Wu D",925,IF(Atletas!T564="Taijijian Wu-Hao D",926,IF(Atletas!T564="Taijijian 32 D",927,IF(Atletas!T564="Taijijian 42 D",928,IF(Atletas!T564="Taijijian Yang E",929,IF(Atletas!T564="Taijijian Chen E",930,IF(Atletas!T564="Taijijian Sun E",931,IF(Atletas!T564="Taijijian Wu E",932,IF(Atletas!T564="Taijijian Wu-Hao E",933,IF(Atletas!T564="Taijijian 32 E",934,IF(Atletas!T564="Taijijian 42 E",935,IF(Atletas!T564="Taijijian Yang F",936,IF(Atletas!T564="Taijijian Chen F",937,IF(Atletas!T564="Taijijian Sun F",938,IF(Atletas!T564="Taijijian Wu F",939,IF(Atletas!T564="Taijijian Wu-Hao F",940,IF(Atletas!T564="Taijijian 32 F",941,IF(Atletas!T564="Taijijian 42 F",942,"")))))))))))))))))))))))))))))))))))))))))))</f>
        <v/>
      </c>
      <c r="BW568" s="52" t="str">
        <f>IF(Atletas!U564="","",IF(Atletas!W564&lt;&gt;"",10000,0)+IF(Atletas!B564="Feminino",1000,IF(Atletas!B564="Masculino",2000,""))+IF(Atletas!T564="Taijijian 42 F",942,IF(Atletas!U564="Taijidao A",943,IF(Atletas!U564="Taijishan A",944,IF(Atletas!U564="Taijiqiang A",945,IF(Atletas!U564="Taijidao B",946,IF(Atletas!U564="Taijishan B",947,IF(Atletas!U564="Taijiqiang B",948,IF(Atletas!U564="Taijidao C",949,IF(Atletas!U564="Taijishan C",950,IF(Atletas!U564="Taijiqiang C",951,IF(Atletas!U564="Taijidao D",952,IF(Atletas!U564="Taijishan D",953,IF(Atletas!U564="Taijiqiang D",954,IF(Atletas!U564="Taijidao E",955,IF(Atletas!U564="Taijishan E",956,IF(Atletas!U564="Taijiqiang E",957,IF(Atletas!U564="Taijidao F",958,IF(Atletas!U564="Taijishan F",959,IF(Atletas!U564="Taijiqiang F",960))))))))))))))))))))</f>
        <v/>
      </c>
      <c r="CF568" s="52" t="str">
        <f xml:space="preserve"> IF(Atletas!V564="","",IF(Atletas!V564="Duilian de Mãos AB - Equipe 1",1,IF(Atletas!V564="Duilian de Mãos AB - Equipe 2",2,IF(Atletas!V564="Duilian de Armas AB - Equipe 1",3,IF(Atletas!V564="Duilian de Armas AB - Equipe 2",4,IF(Atletas!V564="Duilian de Tuishou - Equipe 1",5,IF(Atletas!V564="Duilian de Tuishou - Equipe 2",6,IF(Atletas!V564="Grupo Externo AB - Equipe 1",7,IF(Atletas!V564="Grupo Externo AB - Equipe 2",8,IF(Atletas!V564="Grupo Interno AB - Equipe 1",9,IF(Atletas!V564="Grupo Interno AB - Equipe 2",10,IF(Atletas!V564="Duilian de Mãos CD - Equipe 1",11,IF(Atletas!V564="Duilian de Mãos CD - Equipe 2",12,IF(Atletas!V564="Duilian de Armas CD - Equipe 1",13,IF(Atletas!V564="Duilian de Armas CD - Equipe 2",14,IF(Atletas!V564="Duilian de Tuishou - Equipe 1",15,IF(Atletas!V564="Duilian de Tuishou - Equipe 2",16,IF(Atletas!V564="Grupo Externo CDEF - Equipe 1",17,IF(Atletas!V564="Grupo Externo CDEF - Equipe 2",18,IF(Atletas!V564="Grupo Interno CDEF - Equipe 1",19,IF(Atletas!V564="Grupo Interno CDEF - Equipe 2",20,IF(Atletas!V564="Duilian de Mãos EF - Equipe 1",21,IF(Atletas!V564="Duilian de Mãos EF - Equipe 2",22,IF(Atletas!V564="Duilian de Armas EF - Equipe 1",23,IF(Atletas!V564="Duilian de Armas EF - Equipe 2",24,IF(Atletas!V564="Duilian de Tuishou - Equipe 1",25,IF(Atletas!V564="Duilian de Tuishou - Equipe 2",26,"")))))))))))))))))))))))))))</f>
        <v/>
      </c>
    </row>
    <row r="569" spans="36:84">
      <c r="AJ569" s="46" t="str">
        <f>IF(Atletas!D565="","",IF(Atletas!B565="Feminino",100,IF(Atletas!B565="Masculino",200,""))+(IF(Atletas!D565="Infantil 39kg",1,IF(Atletas!D565="Infantil 42kg",2,IF(Atletas!D565="Infantil 45kg",3,IF(Atletas!D565="Infantil 48kg",4,IF(Atletas!D565="Infantil 52kg",5,IF(Atletas!D565="Infantil 56kg",6,IF(Atletas!D565="Infantil 60kg",7,IF(Atletas!D565="Juvenil 48kg",8,IF(Atletas!D565="Juvenil 52kg",9,IF(Atletas!D565="Juvenil 56kg",10,IF(Atletas!D565="Juvenil 60kg",11,IF(Atletas!D565="Juvenil 65kg",12,IF(Atletas!D565="Juvenil 70kg",13,IF(Atletas!D565="Juvenil 75kg",14,IF(Atletas!D565="Juvenil 80kg",15,IF(Atletas!D565="Adulto 48kg",16,IF(Atletas!D565="Adulto 52kg",17,IF(Atletas!D565="Adulto 56kg",18,IF(Atletas!D565="Adulto 60kg",19,IF(Atletas!D565="Adulto 65kg",20,IF(Atletas!D565="Adulto 70kg",21,IF(Atletas!D565="Adulto 75kg",22,IF(Atletas!D565="Adulto 80kg",23,IF(Atletas!D565="Adulto 85kg",24,IF(Atletas!D565="Adulto 90kg",25,IF(Atletas!D565="Adulto +90kg",26,""))))))))))))))))))))))))))))</f>
        <v/>
      </c>
      <c r="AO569" s="10" t="str">
        <f>IF(Atletas!E565="","",IF(Atletas!B565="Feminino",100,IF(Atletas!B565="Masculino",200,""))+(IF(Atletas!E565="Juvenil 44kg",1,IF(Atletas!E565="Juvenil 48kg",2,IF(Atletas!E565="Juvenil 52kg",3,IF(Atletas!E565="Juvenil 56kg",4,IF(Atletas!E565="Juvenil 60kg",5,IF(Atletas!E565="Juvenil 65kg",6,IF(Atletas!E565="Juvenil 70kg",7,IF(Atletas!E565="Juvenil 75kg",8,IF(Atletas!E565="Juvenil 82kg",9,IF(Atletas!E565="Juvenil 90kg",10,IF(Atletas!E565="Juvenil 100kg",11,IF(Atletas!E565="Adulto 48kg",12,IF(Atletas!E565="Adulto 52kg",13,IF(Atletas!E565="Adulto 56kg",14,IF(Atletas!E565="Adulto 60kg",15,IF(Atletas!E565="Adulto 65kg",16,IF(Atletas!E565="Adulto 70kg",17,IF(Atletas!E565="Adulto 75kg",18,IF(Atletas!E565="Adulto 82kg",19,IF(Atletas!E565="Adulto 90kg",20,IF(Atletas!E565="Adulto 100kg",21,IF(Atletas!E565="Adulto +100kg",22,""))))))))))))))))))))))))</f>
        <v/>
      </c>
      <c r="AT569" s="10" t="str">
        <f>IF(Atletas!F565="","",IF(Atletas!B565="Feminino",100,IF(Atletas!B565="Masculino",200,""))+(IF(Atletas!F565="Adulto 48kg",1,IF(Atletas!F565="Adulto 56kg",2,IF(Atletas!F565="Adulto 65kg",3,IF(Atletas!F565="Adulto 75kg",4,IF(Atletas!F565="Adulto +75kg",5,IF(Atletas!F565="Adulto 52kg",6,IF(Atletas!F565="Adulto 60kg",7,IF(Atletas!F565="Adulto 70kg",8,IF(Atletas!F565="Adulto 80kg",9,IF(Atletas!F565="Adulto 90kg",10,IF(Atletas!F565="Adulto +90kg",11,"")))))))))))))</f>
        <v/>
      </c>
      <c r="AY569" s="46" t="str">
        <f>IF(Atletas!G565="","",IF(Atletas!B565="Feminino",100,IF(Atletas!B565="Masculino",200,""))+(IF(Atletas!G565="Changquan Mirim",1,IF(Atletas!G565="Nanquan Mirim",2,IF(Atletas!G565="Taijiquan Mirim",3,IF(Atletas!G565="Changquan Grupo C",4,IF(Atletas!G565="Nanquan Grupo C",5,IF(Atletas!G565="Taijiquan Grupo C",6,IF(Atletas!G565="Changquan Grupo B",7,IF(Atletas!G565="Nanquan Grupo B",8,IF(Atletas!G565="Taijiquan Grupo B",9,IF(Atletas!G565="Changquan Grupo A",10,IF(Atletas!G565="Nanquan Grupo A",11,IF(Atletas!G565="Taijiquan Grupo A",12,IF(Atletas!G565="Changquan Opcional",13,IF(Atletas!G565="Nanquan Opcional",14,IF(Atletas!G565="Taijiquan Opcional",15,IF(Atletas!G565="Changquan Adulto",16,IF(Atletas!G565="Nanquan Adulto",17,IF(Atletas!G565="Taijiquan Adulto",18,""))))))))))))))))))))</f>
        <v/>
      </c>
      <c r="AZ569" s="46" t="str">
        <f>IF(Atletas!H565="","",IF(Atletas!B565="Feminino",100,IF(Atletas!B565="Masculino",200,""))+(IF(Atletas!H565="Daoshu Mirim",19,IF(Atletas!H565="Jianshu Mirim",20,IF(Atletas!H565="Nandao Mirim",21,IF(Atletas!H565="Taijijian Mirim",22,IF(Atletas!H565="Daoshu Grupo C",23,IF(Atletas!H565="Jianshu Grupo C",24,IF(Atletas!H565="Nandao Grupo C",25,IF(Atletas!H565="Taijijian Grupo C",26,IF(Atletas!H565="Daoshu Grupo B",27,IF(Atletas!H565="Jianshu Grupo B",28,IF(Atletas!H565="Nandao Grupo B",29,IF(Atletas!H565="Taijijian Grupo B",30,IF(Atletas!H565="Daoshu Grupo A",31,IF(Atletas!H565="Jianshu Grupo A",32,IF(Atletas!H565="Nandao Grupo A",33,IF(Atletas!H565="Taijijian Grupo A",34,IF(Atletas!H565="Daoshu Opcional",35,IF(Atletas!H565="Jianshu Opcional",36,IF(Atletas!H565="Nandao Opcional",37,IF(Atletas!H565="Taijijian Opcional",38,IF(Atletas!H565="Daoshu Adulto",39,IF(Atletas!H565="Jianshu Adulto",40,IF(Atletas!H565="Nandao Adulto",41,IF(Atletas!H565="Taijijian Adulto",42,""))))))))))))))))))))))))))</f>
        <v/>
      </c>
      <c r="BA569" s="46" t="str">
        <f>IF(Atletas!I565="","",IF(Atletas!B565="Feminino",100,IF(Atletas!B565="Masculino",200,""))+(IF(Atletas!I565="Gunshu Mirim",43,IF(Atletas!I565="Qiangshu Mirim",44,IF(Atletas!I565="Nangun Mirim",45,IF(Atletas!I565="Gunshu Grupo C",46,IF(Atletas!I565="Qiangshu Grupo C",47,IF(Atletas!I565="Nangun Grupo C",48,IF(Atletas!I565="Gunshu Grupo B",49,IF(Atletas!I565="Qiangshu Grupo B",50,IF(Atletas!I565="Nangun Grupo B",51,IF(Atletas!I565="Gunshu Grupo A",52,IF(Atletas!I565="Qiangshu Grupo A",53,IF(Atletas!I565="Nangun Grupo A",54,IF(Atletas!I565="Gunshu Opcional",55,IF(Atletas!I565="Qiangshu Opcional",56,IF(Atletas!I565="Nangun Opcional",57,IF(Atletas!I565="Gunshu Adulto",58,IF(Atletas!I565="Qiangshu Adulto",59,IF(Atletas!I565="Nangun Adulto",60,""))))))))))))))))))))</f>
        <v/>
      </c>
      <c r="BF569" s="52" t="str">
        <f>IF(Atletas!J565="","",IF(Atletas!B565="Feminino",100,IF(Atletas!B565="Masculino",200,""))+(IF(Atletas!J565="Equipe 1 Grupo B",1,IF(Atletas!J565="Equipe 2 Grupo B",2,IF(Atletas!J565="Equipe 1 Grupo A",3,IF(Atletas!J565="Equipe 2 Grupo A",4,IF(Atletas!J565="Equipe 1 Adulto",5,IF(Atletas!J565="Equipe 2 Adulto",6,""))))))))</f>
        <v/>
      </c>
      <c r="BK569" s="52" t="str">
        <f>IF(Atletas!K565="","",IF(Atletas!W565&lt;&gt;"",10000,0)+(IF(Atletas!B565="Feminino",1000,IF(Atletas!B565="Masculino",2000,""))+IF(Atletas!K565="Choylayfut A",1,IF(Atletas!K565="Hunggar A",2,IF(Atletas!K565="Wuzuquan A",3,IF(Atletas!K565="Wingchun A",4,IF(Atletas!K565="Outra Mão de Sul A",5,IF(Atletas!K565="Choylayfut B",6,IF(Atletas!K565="Hunggar B",7,IF(Atletas!K565="Wuzuquan B",8,IF(Atletas!K565="Wingchun B",9,IF(Atletas!K565="Outra Mão de Sul B",10,IF(Atletas!K565="Choylayfut C",11,IF(Atletas!K565="Hunggar C",12,IF(Atletas!K565="Wuzuquan C",13,IF(Atletas!K565="Wingchun C",14,IF(Atletas!K565="Outra Mão de Sul C",15,IF(Atletas!K565="Choylayfut D",16,IF(Atletas!K565="Hunggar D",17,IF(Atletas!K565="Wuzuquan D",18,IF(Atletas!K565="Wingchun D",19,IF(Atletas!K565="Outra Mão de Sul D",20,IF(Atletas!K565="Choylayfut E",21,IF(Atletas!K565="Hunggar E",22,IF(Atletas!K565="Wuzuquan E",23,IF(Atletas!K565="Wingchun E",24,IF(Atletas!K565="Outra Mão de Sul E",25,IF(Atletas!K565="Choylayfut F",26,IF(Atletas!K565="Hunggar F",27,IF(Atletas!K565="Wuzuquan F",28,IF(Atletas!K565="Wingchun F",29,IF(Atletas!K565="Outra Mão de Sul F",30,""))))))))))))))))))))))))))))))))</f>
        <v/>
      </c>
      <c r="BL569" s="52" t="str">
        <f>IF(Atletas!L565="","",IF(Atletas!W565&lt;&gt;"",10000,0)+(IF(Atletas!B565="Feminino",1000,IF(Atletas!B565="Masculino",2000,""))+(IF(Atletas!L565="Chaquan A",101,IF(Atletas!L565="Emeiquan A",102,IF(Atletas!L565="Fanziquan A",103,IF(Atletas!L565="Huaquan A",104,IF(Atletas!L565="Hongquan A",105,IF(Atletas!L565="Paochui A",106,IF(Atletas!L565="Piguaquan A",107,IF(Atletas!L565="Shaolinquan A",108,IF(Atletas!L565="Tanglangquan A",109,IF(Atletas!L565="Yinzhaophai A",110,IF(Atletas!L565="Tongbeiquan A",111,IF(Atletas!L565="Wudangquan A",112,IF(Atletas!L565="Outros Estilos A",113,IF(Atletas!L565="Chaquan B",114,IF(Atletas!L565="Emeiquan B",115,IF(Atletas!L565="Fanziquan B",116,IF(Atletas!L565="Huaquan B",117,IF(Atletas!L565="Hongquan B",118,IF(Atletas!L565="Paochui B",119,IF(Atletas!L565="Piguaquan B",120,IF(Atletas!L565="Shaolinquan B",121,IF(Atletas!L565="Tanglangquan B",122,IF(Atletas!L565="Yinzhaophai B",123,IF(Atletas!L565="Tongbeiquan B",124,IF(Atletas!L565="Wudangquan B",125,IF(Atletas!L565="Outros Estilos B",126,IF(Atletas!L565="Chaquan C",127,IF(Atletas!L565="Emeiquan C",128,IF(Atletas!L565="Fanziquan C",129,IF(Atletas!L565="Huaquan C",130,IF(Atletas!L565="Hongquan C",131,IF(Atletas!L565="Paochui C",132,IF(Atletas!L565="Piguaquan C",133,IF(Atletas!L565="Shaolinquan C",134,IF(Atletas!L565="Tanglangquan C",135,IF(Atletas!L565="Yinzhaophai C",136,IF(Atletas!L565="Tongbeiquan C",137,IF(Atletas!L565="Wudangquan C",138,IF(Atletas!L565="Outros Estilos C",139,0))))))))))))))))))))))))))))))))))))))))))</f>
        <v/>
      </c>
      <c r="BM569" s="52" t="str">
        <f>IF(Atletas!L565="","",IF(Atletas!W565&lt;&gt;"",10000,0)+(IF(Atletas!B565="Feminino",1000,IF(Atletas!B565="Masculino",2000,""))+(IF(Atletas!L565="Chaquan D",140,IF(Atletas!L565="Emeiquan D",141,IF(Atletas!L565="Fanziquan D",142,IF(Atletas!L565="Huaquan D",143,IF(Atletas!L565="Hongquan D",144,IF(Atletas!L565="Paochui D",145,IF(Atletas!L565="Piguaquan D",146,IF(Atletas!L565="Shaolinquan D",147,IF(Atletas!L565="Tanglangquan D",148,IF(Atletas!L565="Yinzhaophai D",149,IF(Atletas!L565="Tongbeiquan D",150,IF(Atletas!L565="Wudangquan D",151,IF(Atletas!L565="Outros Estilos D",152,IF(Atletas!L565="Chaquan E",153,IF(Atletas!L565="Emeiquan E",154,IF(Atletas!L565="Fanziquan E",155,IF(Atletas!L565="Huaquan E",156,IF(Atletas!L565="Hongquan E",157,IF(Atletas!L565="Paochui E",158,IF(Atletas!L565="Piguaquan E",159,IF(Atletas!L565="Shaolinquan E",160,IF(Atletas!L565="Tanglangquan E",161,IF(Atletas!L565="Yinzhaophai E",162,IF(Atletas!L565="Tongbeiquan E",163,IF(Atletas!L565="Wudangquan E",164,IF(Atletas!L565="Outros Estilos E",165,IF(Atletas!L565="Chaquan F",166,IF(Atletas!L565="Emeiquan F",167,IF(Atletas!L565="Fanziquan F",168,IF(Atletas!L565="Huaquan F",169,IF(Atletas!L565="Hongquan F",170,IF(Atletas!L565="Paochui F",171,IF(Atletas!L565="Piguaquan F",172,IF(Atletas!L565="Shaolinquan F",173,IF(Atletas!L565="Tanglangquan F",174,IF(Atletas!L565="Yinzhaophai F",175,IF(Atletas!L565="Tongbeiquan F",176,IF(Atletas!L565="Wudangquan F",177,IF(Atletas!L565="Outros Estilos F",178,0))))))))))))))))))))))))))))))))))))))))))</f>
        <v/>
      </c>
      <c r="BN569" s="52" t="str">
        <f>IF(Atletas!M565="","",IF(Atletas!W565&lt;&gt;"",10000,0)+(IF(Atletas!B565="Feminino",1000,IF(Atletas!B565="Masculino",2000,""))+(IF(Atletas!M565="Ditangquan A",201,IF(Atletas!M565="Houquan A",202,IF(Atletas!M565="Zuiquan A",203,IF(Atletas!M565="Ditangquan B",204,IF(Atletas!M565="Houquan B",205,IF(Atletas!M565="Zuiquan B",206,IF(Atletas!M565="Ditangquan C",207,IF(Atletas!M565="Houquan C",208,IF(Atletas!M565="Zuiquan C",209,IF(Atletas!M565="Ditangquan D",210,IF(Atletas!M565="Houquan D",211,IF(Atletas!M565="Zuiquan D",212,IF(Atletas!M565="Ditangquan E",213,IF(Atletas!M565="Houquan E",214,IF(Atletas!M565="Zuiquan E",215,IF(Atletas!M565="Ditangquan F",216,IF(Atletas!M565="Houquan F",217,IF(Atletas!M565="Zuiquan F",218,"")))))))))))))))))))))</f>
        <v/>
      </c>
      <c r="BO569" s="52" t="str">
        <f>IF(Atletas!N565="","",IF(Atletas!W565&lt;&gt;"",10000,0)+IF(Atletas!B565="Feminino",1000,IF(Atletas!B565="Masculino",2000,""))+IF(Atletas!N565="Yang A",301,IF(Atletas!N565="Chen A",30,IF(Atletas!N565="Sun A",303,IF(Atletas!N565="Wu A",304,IF(Atletas!N565="Wu-Hao A",305,IF(Atletas!N565="Outro Taijiquan A",306,IF(Atletas!N565="Yang B",307,IF(Atletas!N565="Chen B",308,IF(Atletas!N565="Sun B",309,IF(Atletas!N565="Wu B",310,IF(Atletas!N565="Wu-Hao B",311,IF(Atletas!N565="Outro Taijiquan B",312,IF(Atletas!N565="Yang C",313,IF(Atletas!N565="Chen C",314,IF(Atletas!N565="Sun C",315,IF(Atletas!N565="Wu C",316,IF(Atletas!N565="Wu-Hao C",317,IF(Atletas!N565="Outro Taijiquan C",318,IF(Atletas!N565="Yang D",319,IF(Atletas!N565="Chen D",320,IF(Atletas!N565="Sun D",321,IF(Atletas!N565="Wu D",322,IF(Atletas!N565="Wu-Hao D",323,IF(Atletas!N565="Outro Taijiquan D",324,IF(Atletas!N565="Yang E",325,IF(Atletas!N565="Chen E",326,IF(Atletas!N565="Sun E",327,IF(Atletas!N565="Wu E",328,IF(Atletas!N565="Wu-Hao E",329,IF(Atletas!N565="Outro Taijiquan E",330,IF(Atletas!N565="Yang F",331,IF(Atletas!N565="Chen F",332,IF(Atletas!N565="Sun F",333,IF(Atletas!N565="Wu F",334,IF(Atletas!N565="Wu-Hao F",335,IF(Atletas!N565="Outro Taijiquan F",336,"")))))))))))))))))))))))))))))))))))))</f>
        <v/>
      </c>
      <c r="BP569" s="52" t="str">
        <f>IF(Atletas!O565="","",IF(Atletas!W565&lt;&gt;"",10000,0)+IF(Atletas!B565="Feminino",1000,IF(Atletas!B565="Masculino",2000,""))+IF(OR(Atletas!O565="Yang 26 A",Atletas!O565="Yang 40 A"),401,IF(OR(Atletas!O565="Chen 25 A",Atletas!O565="Chen 36 A",Atletas!O565="Chen 56 A"),402,IF(Atletas!O565="Sun 73 A",403,IF(Atletas!O565="Wu 45 A",404,IF(Atletas!O565="Wu-Hao 46 A",405,IF(OR(Atletas!O565="Taijiquan 16 A",Atletas!O565="Taijiquan 24 A",Atletas!O565="Taijiquan 32 A",Atletas!O565="Taijiquan 42 A"),406,IF(OR(Atletas!O565="Yang 26 B",Atletas!O565="Yang 40 B"),407,IF(OR(Atletas!O565="Chen 25 B",Atletas!O565="Chen 36 B",Atletas!O565="Chen 56 B"),408,IF(Atletas!O565="Sun 73 B",409,IF(Atletas!O565="Wu 45 B",410,IF(Atletas!O565="Wu-Hao 46 B",411,IF(OR(Atletas!O565="Taijiquan 16 B",Atletas!O565="Taijiquan 24 B",Atletas!O565="Taijiquan 32 B",Atletas!O565="Taijiquan 42 B"),412,IF(OR(Atletas!O565="Yang 26 C",Atletas!O565="Yang 40 C"),413,IF(OR(Atletas!O565="Chen 25 C",Atletas!O565="Chen 36 C",Atletas!O565="Chen 56 C"),414,IF(Atletas!O565="Sun 73 C",415,IF(Atletas!O565="Wu 45 C",416,IF(Atletas!O565="Wu-Hao 46 C",417,IF(OR(Atletas!O565="Taijiquan 16 C",Atletas!O565="Taijiquan 24 C",Atletas!O565="Taijiquan 32 C",Atletas!O565="Taijiquan 42 C"),418,0)))))))))))))))))))</f>
        <v/>
      </c>
      <c r="BQ569" s="52" t="str">
        <f>IF(Atletas!O565="","",IF(Atletas!W565&lt;&gt;"",10000,0)+IF(Atletas!B565="Feminino",1000,IF(Atletas!B565="Masculino",2000,""))+IF(OR(Atletas!O565="Yang 26 D",Atletas!O565="Yang 40 D"),419,IF(OR(Atletas!O565="Chen 25 D",Atletas!O565="Chen 36 D",Atletas!O565="Chen 56 D"),420,IF(Atletas!O565="Sun 73 D",421,IF(Atletas!O565="Wu 45 D",422,IF(Atletas!O565="Wu-Hao 46 D",423,IF(OR(Atletas!O565="Taijiquan 16 D",Atletas!O565="Taijiquan 24 D",Atletas!O565="Taijiquan 32 D",Atletas!O565="Taijiquan 42 D"),424,IF(OR(Atletas!O565="Yang 26 E",Atletas!O565="Yang 40 E"),425,IF(OR(Atletas!O565="Chen 25 E",Atletas!O565="Chen 36 E",Atletas!O565="Chen 56 E"),426,IF(Atletas!O565="Sun 73 E",427,IF(Atletas!O565="Wu 45 E",428,IF(Atletas!O565="Wu-Hao 46 E",429,IF(OR(Atletas!O565="Taijiquan 16 E",Atletas!O565="Taijiquan 24 E",Atletas!O565="Taijiquan 32 E",Atletas!O565="Taijiquan 42 E"),430,IF(OR(Atletas!O565="Yang 26 F",Atletas!O565="Yang 40 F"),431,IF(OR(Atletas!O565="Chen 25 F",Atletas!O565="Chen 36 F",Atletas!O565="Chen 56 F"),432,IF(Atletas!O565="Sun 73 F",433,IF(Atletas!O565="Wu 45 F",434,IF(Atletas!O565="Wu-Hao 46 F",435,IF(OR(Atletas!O565="Taijiquan 16 F",Atletas!O565="Taijiquan 24 F",Atletas!O565="Taijiquan 32 F",Atletas!O565="Taijiquan 42 F"),436,0)))))))))))))))))))</f>
        <v/>
      </c>
      <c r="BR569" s="52" t="str">
        <f>IF(Atletas!P565="","",IF(Atletas!W565&lt;&gt;"",10000,0)+IF(Atletas!B565="Feminino",1000,IF(Atletas!B565="Masculino",2000,""))+IF(Atletas!P565="Xingyiquan A",501,IF(Atletas!P565="Baguazhang A",502,IF(Atletas!P565="Outro Estilo Interno A",503,IF(Atletas!P565="Xingyiquan B",504,IF(Atletas!P565="Baguazhang B",505,IF(Atletas!P565="Outro Estilo Interno B",506,IF(Atletas!P565="Xingyiquan C",507,IF(Atletas!P565="Baguazhang C",508,IF(Atletas!P565="Outro Estilo Interno C",509,IF(Atletas!P565="Xingyiquan D",510,IF(Atletas!P565="Baguazhang D",511,IF(Atletas!P565="Outro Estilo Interno D",512,IF(Atletas!P565="Xingyiquan E",513,IF(Atletas!P565="Baguazhang E",514,IF(Atletas!P565="Outro Estilo Interno E",515,IF(Atletas!P565="Xingyiquan F",516,IF(Atletas!P565="Baguazhang F",517,IF(Atletas!P565="Outro Estilo Interno F",518, "")))))))))))))))))))</f>
        <v/>
      </c>
      <c r="BS569" s="52" t="str">
        <f>IF(Atletas!Q565="","",IF(Atletas!W565&lt;&gt;"",10000,0)+IF(Atletas!B565="Feminino",1000,IF(Atletas!B565="Masculino",2000,""))+IF(Atletas!Q565="Dao A",601,IF(Atletas!Q565="Jian A",602,IF(Atletas!Q565="Bishou A",603,IF(Atletas!Q565="Shan A",604,IF(Atletas!Q565="Outra Arma Curta A",605,IF(Atletas!Q565="Dao B",606,IF(Atletas!Q565="Jian B",607,IF(Atletas!Q565="Bishou B",608,IF(Atletas!Q565="Shan B",609,IF(Atletas!Q565="Outra Arma Curta B",610,IF(Atletas!Q565="Dao C",611,IF(Atletas!Q565="Jian C",612,IF(Atletas!Q565="Bishou C",613,IF(Atletas!Q565="Shan C",614,IF(Atletas!Q565="Outra Arma Curta C",615,IF(Atletas!Q565="Dao D",616,IF(Atletas!Q565="Jian D",617,IF(Atletas!Q565="Bishou D",618,IF(Atletas!Q565="Shan D",619,IF(Atletas!Q565="Outra Arma Curta D",620,IF(Atletas!Q565="Dao E",621,IF(Atletas!Q565="Jian E",622,IF(Atletas!Q565="Bishou E",623,IF(Atletas!Q565="Shan E",624,IF(Atletas!Q565="Outra Arma Curta E",625,IF(Atletas!Q565="Dao F",626,IF(Atletas!Q565="Jian F",627,IF(Atletas!Q565="Bishou F",628,IF(Atletas!Q565="Shan F",629,IF(Atletas!Q565="Outra Arma Curta F",630, "")))))))))))))))))))))))))))))))</f>
        <v/>
      </c>
      <c r="BT569" s="52" t="str">
        <f>IF(Atletas!R565="","",IF(Atletas!W565&lt;&gt;"",10000,0)+IF(Atletas!B565="Feminino",1000,IF(Atletas!B565="Masculino",2000,""))+IF(Atletas!R565="Gun A",701,IF(Atletas!R565="Qiang A",702,IF(Atletas!R565="Pudao / Guandao A",703,IF(Atletas!R565="Outra Arma Longa A",704,IF(Atletas!R565="Gun B",705,IF(Atletas!R565="Qiang B",706,IF(Atletas!R565="Pudao / Guandao B",707,IF(Atletas!R565="Outra Arma Longa B",708,IF(Atletas!R565="Gun C",709,IF(Atletas!R565="Qiang C",710,IF(Atletas!R565="Pudao / Guandao C",711,IF(Atletas!R565="Outra Arma Longa C",712,IF(Atletas!R565="Gun D",713,IF(Atletas!R565="Qiang D",714,IF(Atletas!R565="Pudao / Guandao D",715,IF(Atletas!R565="Outra Arma Longa D",716,IF(Atletas!R565="Gun E",717,IF(Atletas!R565="Qiang E",718,IF(Atletas!R565="Pudao / Guandao E",719,IF(Atletas!R565="Outra Arma Longa E",720,IF(Atletas!R565="Gun F",721,IF(Atletas!R565="Qiang F",722,IF(Atletas!R565="Pudao / Guandao F",723,IF(Atletas!R565="Outra Arma Longa F",724,"")))))))))))))))))))))))))</f>
        <v/>
      </c>
      <c r="BU569" s="52" t="str">
        <f>IF(Atletas!S565="","",IF(Atletas!W565&lt;&gt;"",10000,0)+IF(Atletas!B565="Feminino",1000,IF(Atletas!B565="Masculino",2000,""))+IF(Atletas!S565="Arma Dupla A",801,IF(Atletas!S565="Arma Maleável A",802,IF(Atletas!S565="Arma Dupla B",803,IF(Atletas!S565="Arma Maleável B",804,IF(Atletas!S565="Arma Dupla C",805,IF(Atletas!S565="Arma Maleável C",806,IF(Atletas!S565="Arma Dupla D",807,IF(Atletas!S565="Arma Maleável D",808,IF(Atletas!S565="Arma Dupla E",809,IF(Atletas!S565="Arma Maleável E",810,IF(Atletas!S565="Arma Dupla F",811,IF(Atletas!S565="Arma Maleável F",812, "")))))))))))))</f>
        <v/>
      </c>
      <c r="BV569" s="52" t="str">
        <f>IF(Atletas!T565="","",IF(Atletas!W565&lt;&gt;"",10000,0)+IF(Atletas!B565="Feminino",1000,IF(Atletas!B565="Masculino",2000,""))+IF(Atletas!T565="Taijijian Yang A",901,IF(Atletas!T565="Taijijian Chen A",902,IF(Atletas!T565="Taijijian Sun A",903,IF(Atletas!T565="Taijijian Wu A",904,IF(Atletas!T565="Taijijian Wu-Hao A",905,IF(Atletas!T565="Taijijian 32 A",906,IF(Atletas!T565="Taijijian 42 A",907,IF(Atletas!T565="Taijijian Yang B",908,IF(Atletas!T565="Taijijian Chen B",909,IF(Atletas!T565="Taijijian Sun B",910,IF(Atletas!T565="Taijijian Wu B",911,IF(Atletas!T565="Taijijian Wu-Hao B",912,IF(Atletas!T565="Taijijian 32 B",913,IF(Atletas!T565="Taijijian 42 B",914,IF(Atletas!T565="Taijijian Yang C",915,IF(Atletas!T565="Taijijian Chen C",916,IF(Atletas!T565="Taijijian Sun C",917,IF(Atletas!T565="Taijijian Wu C",918,IF(Atletas!T565="Taijijian Wu-Hao C",919,IF(Atletas!T565="Taijijian 32 C",920,IF(Atletas!T565="Taijijian 42 C",921,IF(Atletas!T565="Taijijian Yang D",922,IF(Atletas!T565="Taijijian Chen D",923,IF(Atletas!T565="Taijijian Sun D",924,IF(Atletas!T565="Taijijian Wu D",925,IF(Atletas!T565="Taijijian Wu-Hao D",926,IF(Atletas!T565="Taijijian 32 D",927,IF(Atletas!T565="Taijijian 42 D",928,IF(Atletas!T565="Taijijian Yang E",929,IF(Atletas!T565="Taijijian Chen E",930,IF(Atletas!T565="Taijijian Sun E",931,IF(Atletas!T565="Taijijian Wu E",932,IF(Atletas!T565="Taijijian Wu-Hao E",933,IF(Atletas!T565="Taijijian 32 E",934,IF(Atletas!T565="Taijijian 42 E",935,IF(Atletas!T565="Taijijian Yang F",936,IF(Atletas!T565="Taijijian Chen F",937,IF(Atletas!T565="Taijijian Sun F",938,IF(Atletas!T565="Taijijian Wu F",939,IF(Atletas!T565="Taijijian Wu-Hao F",940,IF(Atletas!T565="Taijijian 32 F",941,IF(Atletas!T565="Taijijian 42 F",942,"")))))))))))))))))))))))))))))))))))))))))))</f>
        <v/>
      </c>
      <c r="BW569" s="52" t="str">
        <f>IF(Atletas!U565="","",IF(Atletas!W565&lt;&gt;"",10000,0)+IF(Atletas!B565="Feminino",1000,IF(Atletas!B565="Masculino",2000,""))+IF(Atletas!T565="Taijijian 42 F",942,IF(Atletas!U565="Taijidao A",943,IF(Atletas!U565="Taijishan A",944,IF(Atletas!U565="Taijiqiang A",945,IF(Atletas!U565="Taijidao B",946,IF(Atletas!U565="Taijishan B",947,IF(Atletas!U565="Taijiqiang B",948,IF(Atletas!U565="Taijidao C",949,IF(Atletas!U565="Taijishan C",950,IF(Atletas!U565="Taijiqiang C",951,IF(Atletas!U565="Taijidao D",952,IF(Atletas!U565="Taijishan D",953,IF(Atletas!U565="Taijiqiang D",954,IF(Atletas!U565="Taijidao E",955,IF(Atletas!U565="Taijishan E",956,IF(Atletas!U565="Taijiqiang E",957,IF(Atletas!U565="Taijidao F",958,IF(Atletas!U565="Taijishan F",959,IF(Atletas!U565="Taijiqiang F",960))))))))))))))))))))</f>
        <v/>
      </c>
      <c r="CF569" s="52" t="str">
        <f xml:space="preserve"> IF(Atletas!V565="","",IF(Atletas!V565="Duilian de Mãos AB - Equipe 1",1,IF(Atletas!V565="Duilian de Mãos AB - Equipe 2",2,IF(Atletas!V565="Duilian de Armas AB - Equipe 1",3,IF(Atletas!V565="Duilian de Armas AB - Equipe 2",4,IF(Atletas!V565="Duilian de Tuishou - Equipe 1",5,IF(Atletas!V565="Duilian de Tuishou - Equipe 2",6,IF(Atletas!V565="Grupo Externo AB - Equipe 1",7,IF(Atletas!V565="Grupo Externo AB - Equipe 2",8,IF(Atletas!V565="Grupo Interno AB - Equipe 1",9,IF(Atletas!V565="Grupo Interno AB - Equipe 2",10,IF(Atletas!V565="Duilian de Mãos CD - Equipe 1",11,IF(Atletas!V565="Duilian de Mãos CD - Equipe 2",12,IF(Atletas!V565="Duilian de Armas CD - Equipe 1",13,IF(Atletas!V565="Duilian de Armas CD - Equipe 2",14,IF(Atletas!V565="Duilian de Tuishou - Equipe 1",15,IF(Atletas!V565="Duilian de Tuishou - Equipe 2",16,IF(Atletas!V565="Grupo Externo CDEF - Equipe 1",17,IF(Atletas!V565="Grupo Externo CDEF - Equipe 2",18,IF(Atletas!V565="Grupo Interno CDEF - Equipe 1",19,IF(Atletas!V565="Grupo Interno CDEF - Equipe 2",20,IF(Atletas!V565="Duilian de Mãos EF - Equipe 1",21,IF(Atletas!V565="Duilian de Mãos EF - Equipe 2",22,IF(Atletas!V565="Duilian de Armas EF - Equipe 1",23,IF(Atletas!V565="Duilian de Armas EF - Equipe 2",24,IF(Atletas!V565="Duilian de Tuishou - Equipe 1",25,IF(Atletas!V565="Duilian de Tuishou - Equipe 2",26,"")))))))))))))))))))))))))))</f>
        <v/>
      </c>
    </row>
    <row r="570" spans="36:84">
      <c r="AJ570" s="46" t="str">
        <f>IF(Atletas!D566="","",IF(Atletas!B566="Feminino",100,IF(Atletas!B566="Masculino",200,""))+(IF(Atletas!D566="Infantil 39kg",1,IF(Atletas!D566="Infantil 42kg",2,IF(Atletas!D566="Infantil 45kg",3,IF(Atletas!D566="Infantil 48kg",4,IF(Atletas!D566="Infantil 52kg",5,IF(Atletas!D566="Infantil 56kg",6,IF(Atletas!D566="Infantil 60kg",7,IF(Atletas!D566="Juvenil 48kg",8,IF(Atletas!D566="Juvenil 52kg",9,IF(Atletas!D566="Juvenil 56kg",10,IF(Atletas!D566="Juvenil 60kg",11,IF(Atletas!D566="Juvenil 65kg",12,IF(Atletas!D566="Juvenil 70kg",13,IF(Atletas!D566="Juvenil 75kg",14,IF(Atletas!D566="Juvenil 80kg",15,IF(Atletas!D566="Adulto 48kg",16,IF(Atletas!D566="Adulto 52kg",17,IF(Atletas!D566="Adulto 56kg",18,IF(Atletas!D566="Adulto 60kg",19,IF(Atletas!D566="Adulto 65kg",20,IF(Atletas!D566="Adulto 70kg",21,IF(Atletas!D566="Adulto 75kg",22,IF(Atletas!D566="Adulto 80kg",23,IF(Atletas!D566="Adulto 85kg",24,IF(Atletas!D566="Adulto 90kg",25,IF(Atletas!D566="Adulto +90kg",26,""))))))))))))))))))))))))))))</f>
        <v/>
      </c>
      <c r="AO570" s="10" t="str">
        <f>IF(Atletas!E566="","",IF(Atletas!B566="Feminino",100,IF(Atletas!B566="Masculino",200,""))+(IF(Atletas!E566="Juvenil 44kg",1,IF(Atletas!E566="Juvenil 48kg",2,IF(Atletas!E566="Juvenil 52kg",3,IF(Atletas!E566="Juvenil 56kg",4,IF(Atletas!E566="Juvenil 60kg",5,IF(Atletas!E566="Juvenil 65kg",6,IF(Atletas!E566="Juvenil 70kg",7,IF(Atletas!E566="Juvenil 75kg",8,IF(Atletas!E566="Juvenil 82kg",9,IF(Atletas!E566="Juvenil 90kg",10,IF(Atletas!E566="Juvenil 100kg",11,IF(Atletas!E566="Adulto 48kg",12,IF(Atletas!E566="Adulto 52kg",13,IF(Atletas!E566="Adulto 56kg",14,IF(Atletas!E566="Adulto 60kg",15,IF(Atletas!E566="Adulto 65kg",16,IF(Atletas!E566="Adulto 70kg",17,IF(Atletas!E566="Adulto 75kg",18,IF(Atletas!E566="Adulto 82kg",19,IF(Atletas!E566="Adulto 90kg",20,IF(Atletas!E566="Adulto 100kg",21,IF(Atletas!E566="Adulto +100kg",22,""))))))))))))))))))))))))</f>
        <v/>
      </c>
      <c r="AT570" s="10" t="str">
        <f>IF(Atletas!F566="","",IF(Atletas!B566="Feminino",100,IF(Atletas!B566="Masculino",200,""))+(IF(Atletas!F566="Adulto 48kg",1,IF(Atletas!F566="Adulto 56kg",2,IF(Atletas!F566="Adulto 65kg",3,IF(Atletas!F566="Adulto 75kg",4,IF(Atletas!F566="Adulto +75kg",5,IF(Atletas!F566="Adulto 52kg",6,IF(Atletas!F566="Adulto 60kg",7,IF(Atletas!F566="Adulto 70kg",8,IF(Atletas!F566="Adulto 80kg",9,IF(Atletas!F566="Adulto 90kg",10,IF(Atletas!F566="Adulto +90kg",11,"")))))))))))))</f>
        <v/>
      </c>
      <c r="AY570" s="46" t="str">
        <f>IF(Atletas!G566="","",IF(Atletas!B566="Feminino",100,IF(Atletas!B566="Masculino",200,""))+(IF(Atletas!G566="Changquan Mirim",1,IF(Atletas!G566="Nanquan Mirim",2,IF(Atletas!G566="Taijiquan Mirim",3,IF(Atletas!G566="Changquan Grupo C",4,IF(Atletas!G566="Nanquan Grupo C",5,IF(Atletas!G566="Taijiquan Grupo C",6,IF(Atletas!G566="Changquan Grupo B",7,IF(Atletas!G566="Nanquan Grupo B",8,IF(Atletas!G566="Taijiquan Grupo B",9,IF(Atletas!G566="Changquan Grupo A",10,IF(Atletas!G566="Nanquan Grupo A",11,IF(Atletas!G566="Taijiquan Grupo A",12,IF(Atletas!G566="Changquan Opcional",13,IF(Atletas!G566="Nanquan Opcional",14,IF(Atletas!G566="Taijiquan Opcional",15,IF(Atletas!G566="Changquan Adulto",16,IF(Atletas!G566="Nanquan Adulto",17,IF(Atletas!G566="Taijiquan Adulto",18,""))))))))))))))))))))</f>
        <v/>
      </c>
      <c r="AZ570" s="46" t="str">
        <f>IF(Atletas!H566="","",IF(Atletas!B566="Feminino",100,IF(Atletas!B566="Masculino",200,""))+(IF(Atletas!H566="Daoshu Mirim",19,IF(Atletas!H566="Jianshu Mirim",20,IF(Atletas!H566="Nandao Mirim",21,IF(Atletas!H566="Taijijian Mirim",22,IF(Atletas!H566="Daoshu Grupo C",23,IF(Atletas!H566="Jianshu Grupo C",24,IF(Atletas!H566="Nandao Grupo C",25,IF(Atletas!H566="Taijijian Grupo C",26,IF(Atletas!H566="Daoshu Grupo B",27,IF(Atletas!H566="Jianshu Grupo B",28,IF(Atletas!H566="Nandao Grupo B",29,IF(Atletas!H566="Taijijian Grupo B",30,IF(Atletas!H566="Daoshu Grupo A",31,IF(Atletas!H566="Jianshu Grupo A",32,IF(Atletas!H566="Nandao Grupo A",33,IF(Atletas!H566="Taijijian Grupo A",34,IF(Atletas!H566="Daoshu Opcional",35,IF(Atletas!H566="Jianshu Opcional",36,IF(Atletas!H566="Nandao Opcional",37,IF(Atletas!H566="Taijijian Opcional",38,IF(Atletas!H566="Daoshu Adulto",39,IF(Atletas!H566="Jianshu Adulto",40,IF(Atletas!H566="Nandao Adulto",41,IF(Atletas!H566="Taijijian Adulto",42,""))))))))))))))))))))))))))</f>
        <v/>
      </c>
      <c r="BA570" s="46" t="str">
        <f>IF(Atletas!I566="","",IF(Atletas!B566="Feminino",100,IF(Atletas!B566="Masculino",200,""))+(IF(Atletas!I566="Gunshu Mirim",43,IF(Atletas!I566="Qiangshu Mirim",44,IF(Atletas!I566="Nangun Mirim",45,IF(Atletas!I566="Gunshu Grupo C",46,IF(Atletas!I566="Qiangshu Grupo C",47,IF(Atletas!I566="Nangun Grupo C",48,IF(Atletas!I566="Gunshu Grupo B",49,IF(Atletas!I566="Qiangshu Grupo B",50,IF(Atletas!I566="Nangun Grupo B",51,IF(Atletas!I566="Gunshu Grupo A",52,IF(Atletas!I566="Qiangshu Grupo A",53,IF(Atletas!I566="Nangun Grupo A",54,IF(Atletas!I566="Gunshu Opcional",55,IF(Atletas!I566="Qiangshu Opcional",56,IF(Atletas!I566="Nangun Opcional",57,IF(Atletas!I566="Gunshu Adulto",58,IF(Atletas!I566="Qiangshu Adulto",59,IF(Atletas!I566="Nangun Adulto",60,""))))))))))))))))))))</f>
        <v/>
      </c>
      <c r="BF570" s="52" t="str">
        <f>IF(Atletas!J566="","",IF(Atletas!B566="Feminino",100,IF(Atletas!B566="Masculino",200,""))+(IF(Atletas!J566="Equipe 1 Grupo B",1,IF(Atletas!J566="Equipe 2 Grupo B",2,IF(Atletas!J566="Equipe 1 Grupo A",3,IF(Atletas!J566="Equipe 2 Grupo A",4,IF(Atletas!J566="Equipe 1 Adulto",5,IF(Atletas!J566="Equipe 2 Adulto",6,""))))))))</f>
        <v/>
      </c>
      <c r="BK570" s="52" t="str">
        <f>IF(Atletas!K566="","",IF(Atletas!W566&lt;&gt;"",10000,0)+(IF(Atletas!B566="Feminino",1000,IF(Atletas!B566="Masculino",2000,""))+IF(Atletas!K566="Choylayfut A",1,IF(Atletas!K566="Hunggar A",2,IF(Atletas!K566="Wuzuquan A",3,IF(Atletas!K566="Wingchun A",4,IF(Atletas!K566="Outra Mão de Sul A",5,IF(Atletas!K566="Choylayfut B",6,IF(Atletas!K566="Hunggar B",7,IF(Atletas!K566="Wuzuquan B",8,IF(Atletas!K566="Wingchun B",9,IF(Atletas!K566="Outra Mão de Sul B",10,IF(Atletas!K566="Choylayfut C",11,IF(Atletas!K566="Hunggar C",12,IF(Atletas!K566="Wuzuquan C",13,IF(Atletas!K566="Wingchun C",14,IF(Atletas!K566="Outra Mão de Sul C",15,IF(Atletas!K566="Choylayfut D",16,IF(Atletas!K566="Hunggar D",17,IF(Atletas!K566="Wuzuquan D",18,IF(Atletas!K566="Wingchun D",19,IF(Atletas!K566="Outra Mão de Sul D",20,IF(Atletas!K566="Choylayfut E",21,IF(Atletas!K566="Hunggar E",22,IF(Atletas!K566="Wuzuquan E",23,IF(Atletas!K566="Wingchun E",24,IF(Atletas!K566="Outra Mão de Sul E",25,IF(Atletas!K566="Choylayfut F",26,IF(Atletas!K566="Hunggar F",27,IF(Atletas!K566="Wuzuquan F",28,IF(Atletas!K566="Wingchun F",29,IF(Atletas!K566="Outra Mão de Sul F",30,""))))))))))))))))))))))))))))))))</f>
        <v/>
      </c>
      <c r="BL570" s="52" t="str">
        <f>IF(Atletas!L566="","",IF(Atletas!W566&lt;&gt;"",10000,0)+(IF(Atletas!B566="Feminino",1000,IF(Atletas!B566="Masculino",2000,""))+(IF(Atletas!L566="Chaquan A",101,IF(Atletas!L566="Emeiquan A",102,IF(Atletas!L566="Fanziquan A",103,IF(Atletas!L566="Huaquan A",104,IF(Atletas!L566="Hongquan A",105,IF(Atletas!L566="Paochui A",106,IF(Atletas!L566="Piguaquan A",107,IF(Atletas!L566="Shaolinquan A",108,IF(Atletas!L566="Tanglangquan A",109,IF(Atletas!L566="Yinzhaophai A",110,IF(Atletas!L566="Tongbeiquan A",111,IF(Atletas!L566="Wudangquan A",112,IF(Atletas!L566="Outros Estilos A",113,IF(Atletas!L566="Chaquan B",114,IF(Atletas!L566="Emeiquan B",115,IF(Atletas!L566="Fanziquan B",116,IF(Atletas!L566="Huaquan B",117,IF(Atletas!L566="Hongquan B",118,IF(Atletas!L566="Paochui B",119,IF(Atletas!L566="Piguaquan B",120,IF(Atletas!L566="Shaolinquan B",121,IF(Atletas!L566="Tanglangquan B",122,IF(Atletas!L566="Yinzhaophai B",123,IF(Atletas!L566="Tongbeiquan B",124,IF(Atletas!L566="Wudangquan B",125,IF(Atletas!L566="Outros Estilos B",126,IF(Atletas!L566="Chaquan C",127,IF(Atletas!L566="Emeiquan C",128,IF(Atletas!L566="Fanziquan C",129,IF(Atletas!L566="Huaquan C",130,IF(Atletas!L566="Hongquan C",131,IF(Atletas!L566="Paochui C",132,IF(Atletas!L566="Piguaquan C",133,IF(Atletas!L566="Shaolinquan C",134,IF(Atletas!L566="Tanglangquan C",135,IF(Atletas!L566="Yinzhaophai C",136,IF(Atletas!L566="Tongbeiquan C",137,IF(Atletas!L566="Wudangquan C",138,IF(Atletas!L566="Outros Estilos C",139,0))))))))))))))))))))))))))))))))))))))))))</f>
        <v/>
      </c>
      <c r="BM570" s="52" t="str">
        <f>IF(Atletas!L566="","",IF(Atletas!W566&lt;&gt;"",10000,0)+(IF(Atletas!B566="Feminino",1000,IF(Atletas!B566="Masculino",2000,""))+(IF(Atletas!L566="Chaquan D",140,IF(Atletas!L566="Emeiquan D",141,IF(Atletas!L566="Fanziquan D",142,IF(Atletas!L566="Huaquan D",143,IF(Atletas!L566="Hongquan D",144,IF(Atletas!L566="Paochui D",145,IF(Atletas!L566="Piguaquan D",146,IF(Atletas!L566="Shaolinquan D",147,IF(Atletas!L566="Tanglangquan D",148,IF(Atletas!L566="Yinzhaophai D",149,IF(Atletas!L566="Tongbeiquan D",150,IF(Atletas!L566="Wudangquan D",151,IF(Atletas!L566="Outros Estilos D",152,IF(Atletas!L566="Chaquan E",153,IF(Atletas!L566="Emeiquan E",154,IF(Atletas!L566="Fanziquan E",155,IF(Atletas!L566="Huaquan E",156,IF(Atletas!L566="Hongquan E",157,IF(Atletas!L566="Paochui E",158,IF(Atletas!L566="Piguaquan E",159,IF(Atletas!L566="Shaolinquan E",160,IF(Atletas!L566="Tanglangquan E",161,IF(Atletas!L566="Yinzhaophai E",162,IF(Atletas!L566="Tongbeiquan E",163,IF(Atletas!L566="Wudangquan E",164,IF(Atletas!L566="Outros Estilos E",165,IF(Atletas!L566="Chaquan F",166,IF(Atletas!L566="Emeiquan F",167,IF(Atletas!L566="Fanziquan F",168,IF(Atletas!L566="Huaquan F",169,IF(Atletas!L566="Hongquan F",170,IF(Atletas!L566="Paochui F",171,IF(Atletas!L566="Piguaquan F",172,IF(Atletas!L566="Shaolinquan F",173,IF(Atletas!L566="Tanglangquan F",174,IF(Atletas!L566="Yinzhaophai F",175,IF(Atletas!L566="Tongbeiquan F",176,IF(Atletas!L566="Wudangquan F",177,IF(Atletas!L566="Outros Estilos F",178,0))))))))))))))))))))))))))))))))))))))))))</f>
        <v/>
      </c>
      <c r="BN570" s="52" t="str">
        <f>IF(Atletas!M566="","",IF(Atletas!W566&lt;&gt;"",10000,0)+(IF(Atletas!B566="Feminino",1000,IF(Atletas!B566="Masculino",2000,""))+(IF(Atletas!M566="Ditangquan A",201,IF(Atletas!M566="Houquan A",202,IF(Atletas!M566="Zuiquan A",203,IF(Atletas!M566="Ditangquan B",204,IF(Atletas!M566="Houquan B",205,IF(Atletas!M566="Zuiquan B",206,IF(Atletas!M566="Ditangquan C",207,IF(Atletas!M566="Houquan C",208,IF(Atletas!M566="Zuiquan C",209,IF(Atletas!M566="Ditangquan D",210,IF(Atletas!M566="Houquan D",211,IF(Atletas!M566="Zuiquan D",212,IF(Atletas!M566="Ditangquan E",213,IF(Atletas!M566="Houquan E",214,IF(Atletas!M566="Zuiquan E",215,IF(Atletas!M566="Ditangquan F",216,IF(Atletas!M566="Houquan F",217,IF(Atletas!M566="Zuiquan F",218,"")))))))))))))))))))))</f>
        <v/>
      </c>
      <c r="BO570" s="52" t="str">
        <f>IF(Atletas!N566="","",IF(Atletas!W566&lt;&gt;"",10000,0)+IF(Atletas!B566="Feminino",1000,IF(Atletas!B566="Masculino",2000,""))+IF(Atletas!N566="Yang A",301,IF(Atletas!N566="Chen A",30,IF(Atletas!N566="Sun A",303,IF(Atletas!N566="Wu A",304,IF(Atletas!N566="Wu-Hao A",305,IF(Atletas!N566="Outro Taijiquan A",306,IF(Atletas!N566="Yang B",307,IF(Atletas!N566="Chen B",308,IF(Atletas!N566="Sun B",309,IF(Atletas!N566="Wu B",310,IF(Atletas!N566="Wu-Hao B",311,IF(Atletas!N566="Outro Taijiquan B",312,IF(Atletas!N566="Yang C",313,IF(Atletas!N566="Chen C",314,IF(Atletas!N566="Sun C",315,IF(Atletas!N566="Wu C",316,IF(Atletas!N566="Wu-Hao C",317,IF(Atletas!N566="Outro Taijiquan C",318,IF(Atletas!N566="Yang D",319,IF(Atletas!N566="Chen D",320,IF(Atletas!N566="Sun D",321,IF(Atletas!N566="Wu D",322,IF(Atletas!N566="Wu-Hao D",323,IF(Atletas!N566="Outro Taijiquan D",324,IF(Atletas!N566="Yang E",325,IF(Atletas!N566="Chen E",326,IF(Atletas!N566="Sun E",327,IF(Atletas!N566="Wu E",328,IF(Atletas!N566="Wu-Hao E",329,IF(Atletas!N566="Outro Taijiquan E",330,IF(Atletas!N566="Yang F",331,IF(Atletas!N566="Chen F",332,IF(Atletas!N566="Sun F",333,IF(Atletas!N566="Wu F",334,IF(Atletas!N566="Wu-Hao F",335,IF(Atletas!N566="Outro Taijiquan F",336,"")))))))))))))))))))))))))))))))))))))</f>
        <v/>
      </c>
      <c r="BP570" s="52" t="str">
        <f>IF(Atletas!O566="","",IF(Atletas!W566&lt;&gt;"",10000,0)+IF(Atletas!B566="Feminino",1000,IF(Atletas!B566="Masculino",2000,""))+IF(OR(Atletas!O566="Yang 26 A",Atletas!O566="Yang 40 A"),401,IF(OR(Atletas!O566="Chen 25 A",Atletas!O566="Chen 36 A",Atletas!O566="Chen 56 A"),402,IF(Atletas!O566="Sun 73 A",403,IF(Atletas!O566="Wu 45 A",404,IF(Atletas!O566="Wu-Hao 46 A",405,IF(OR(Atletas!O566="Taijiquan 16 A",Atletas!O566="Taijiquan 24 A",Atletas!O566="Taijiquan 32 A",Atletas!O566="Taijiquan 42 A"),406,IF(OR(Atletas!O566="Yang 26 B",Atletas!O566="Yang 40 B"),407,IF(OR(Atletas!O566="Chen 25 B",Atletas!O566="Chen 36 B",Atletas!O566="Chen 56 B"),408,IF(Atletas!O566="Sun 73 B",409,IF(Atletas!O566="Wu 45 B",410,IF(Atletas!O566="Wu-Hao 46 B",411,IF(OR(Atletas!O566="Taijiquan 16 B",Atletas!O566="Taijiquan 24 B",Atletas!O566="Taijiquan 32 B",Atletas!O566="Taijiquan 42 B"),412,IF(OR(Atletas!O566="Yang 26 C",Atletas!O566="Yang 40 C"),413,IF(OR(Atletas!O566="Chen 25 C",Atletas!O566="Chen 36 C",Atletas!O566="Chen 56 C"),414,IF(Atletas!O566="Sun 73 C",415,IF(Atletas!O566="Wu 45 C",416,IF(Atletas!O566="Wu-Hao 46 C",417,IF(OR(Atletas!O566="Taijiquan 16 C",Atletas!O566="Taijiquan 24 C",Atletas!O566="Taijiquan 32 C",Atletas!O566="Taijiquan 42 C"),418,0)))))))))))))))))))</f>
        <v/>
      </c>
      <c r="BQ570" s="52" t="str">
        <f>IF(Atletas!O566="","",IF(Atletas!W566&lt;&gt;"",10000,0)+IF(Atletas!B566="Feminino",1000,IF(Atletas!B566="Masculino",2000,""))+IF(OR(Atletas!O566="Yang 26 D",Atletas!O566="Yang 40 D"),419,IF(OR(Atletas!O566="Chen 25 D",Atletas!O566="Chen 36 D",Atletas!O566="Chen 56 D"),420,IF(Atletas!O566="Sun 73 D",421,IF(Atletas!O566="Wu 45 D",422,IF(Atletas!O566="Wu-Hao 46 D",423,IF(OR(Atletas!O566="Taijiquan 16 D",Atletas!O566="Taijiquan 24 D",Atletas!O566="Taijiquan 32 D",Atletas!O566="Taijiquan 42 D"),424,IF(OR(Atletas!O566="Yang 26 E",Atletas!O566="Yang 40 E"),425,IF(OR(Atletas!O566="Chen 25 E",Atletas!O566="Chen 36 E",Atletas!O566="Chen 56 E"),426,IF(Atletas!O566="Sun 73 E",427,IF(Atletas!O566="Wu 45 E",428,IF(Atletas!O566="Wu-Hao 46 E",429,IF(OR(Atletas!O566="Taijiquan 16 E",Atletas!O566="Taijiquan 24 E",Atletas!O566="Taijiquan 32 E",Atletas!O566="Taijiquan 42 E"),430,IF(OR(Atletas!O566="Yang 26 F",Atletas!O566="Yang 40 F"),431,IF(OR(Atletas!O566="Chen 25 F",Atletas!O566="Chen 36 F",Atletas!O566="Chen 56 F"),432,IF(Atletas!O566="Sun 73 F",433,IF(Atletas!O566="Wu 45 F",434,IF(Atletas!O566="Wu-Hao 46 F",435,IF(OR(Atletas!O566="Taijiquan 16 F",Atletas!O566="Taijiquan 24 F",Atletas!O566="Taijiquan 32 F",Atletas!O566="Taijiquan 42 F"),436,0)))))))))))))))))))</f>
        <v/>
      </c>
      <c r="BR570" s="52" t="str">
        <f>IF(Atletas!P566="","",IF(Atletas!W566&lt;&gt;"",10000,0)+IF(Atletas!B566="Feminino",1000,IF(Atletas!B566="Masculino",2000,""))+IF(Atletas!P566="Xingyiquan A",501,IF(Atletas!P566="Baguazhang A",502,IF(Atletas!P566="Outro Estilo Interno A",503,IF(Atletas!P566="Xingyiquan B",504,IF(Atletas!P566="Baguazhang B",505,IF(Atletas!P566="Outro Estilo Interno B",506,IF(Atletas!P566="Xingyiquan C",507,IF(Atletas!P566="Baguazhang C",508,IF(Atletas!P566="Outro Estilo Interno C",509,IF(Atletas!P566="Xingyiquan D",510,IF(Atletas!P566="Baguazhang D",511,IF(Atletas!P566="Outro Estilo Interno D",512,IF(Atletas!P566="Xingyiquan E",513,IF(Atletas!P566="Baguazhang E",514,IF(Atletas!P566="Outro Estilo Interno E",515,IF(Atletas!P566="Xingyiquan F",516,IF(Atletas!P566="Baguazhang F",517,IF(Atletas!P566="Outro Estilo Interno F",518, "")))))))))))))))))))</f>
        <v/>
      </c>
      <c r="BS570" s="52" t="str">
        <f>IF(Atletas!Q566="","",IF(Atletas!W566&lt;&gt;"",10000,0)+IF(Atletas!B566="Feminino",1000,IF(Atletas!B566="Masculino",2000,""))+IF(Atletas!Q566="Dao A",601,IF(Atletas!Q566="Jian A",602,IF(Atletas!Q566="Bishou A",603,IF(Atletas!Q566="Shan A",604,IF(Atletas!Q566="Outra Arma Curta A",605,IF(Atletas!Q566="Dao B",606,IF(Atletas!Q566="Jian B",607,IF(Atletas!Q566="Bishou B",608,IF(Atletas!Q566="Shan B",609,IF(Atletas!Q566="Outra Arma Curta B",610,IF(Atletas!Q566="Dao C",611,IF(Atletas!Q566="Jian C",612,IF(Atletas!Q566="Bishou C",613,IF(Atletas!Q566="Shan C",614,IF(Atletas!Q566="Outra Arma Curta C",615,IF(Atletas!Q566="Dao D",616,IF(Atletas!Q566="Jian D",617,IF(Atletas!Q566="Bishou D",618,IF(Atletas!Q566="Shan D",619,IF(Atletas!Q566="Outra Arma Curta D",620,IF(Atletas!Q566="Dao E",621,IF(Atletas!Q566="Jian E",622,IF(Atletas!Q566="Bishou E",623,IF(Atletas!Q566="Shan E",624,IF(Atletas!Q566="Outra Arma Curta E",625,IF(Atletas!Q566="Dao F",626,IF(Atletas!Q566="Jian F",627,IF(Atletas!Q566="Bishou F",628,IF(Atletas!Q566="Shan F",629,IF(Atletas!Q566="Outra Arma Curta F",630, "")))))))))))))))))))))))))))))))</f>
        <v/>
      </c>
      <c r="BT570" s="52" t="str">
        <f>IF(Atletas!R566="","",IF(Atletas!W566&lt;&gt;"",10000,0)+IF(Atletas!B566="Feminino",1000,IF(Atletas!B566="Masculino",2000,""))+IF(Atletas!R566="Gun A",701,IF(Atletas!R566="Qiang A",702,IF(Atletas!R566="Pudao / Guandao A",703,IF(Atletas!R566="Outra Arma Longa A",704,IF(Atletas!R566="Gun B",705,IF(Atletas!R566="Qiang B",706,IF(Atletas!R566="Pudao / Guandao B",707,IF(Atletas!R566="Outra Arma Longa B",708,IF(Atletas!R566="Gun C",709,IF(Atletas!R566="Qiang C",710,IF(Atletas!R566="Pudao / Guandao C",711,IF(Atletas!R566="Outra Arma Longa C",712,IF(Atletas!R566="Gun D",713,IF(Atletas!R566="Qiang D",714,IF(Atletas!R566="Pudao / Guandao D",715,IF(Atletas!R566="Outra Arma Longa D",716,IF(Atletas!R566="Gun E",717,IF(Atletas!R566="Qiang E",718,IF(Atletas!R566="Pudao / Guandao E",719,IF(Atletas!R566="Outra Arma Longa E",720,IF(Atletas!R566="Gun F",721,IF(Atletas!R566="Qiang F",722,IF(Atletas!R566="Pudao / Guandao F",723,IF(Atletas!R566="Outra Arma Longa F",724,"")))))))))))))))))))))))))</f>
        <v/>
      </c>
      <c r="BU570" s="52" t="str">
        <f>IF(Atletas!S566="","",IF(Atletas!W566&lt;&gt;"",10000,0)+IF(Atletas!B566="Feminino",1000,IF(Atletas!B566="Masculino",2000,""))+IF(Atletas!S566="Arma Dupla A",801,IF(Atletas!S566="Arma Maleável A",802,IF(Atletas!S566="Arma Dupla B",803,IF(Atletas!S566="Arma Maleável B",804,IF(Atletas!S566="Arma Dupla C",805,IF(Atletas!S566="Arma Maleável C",806,IF(Atletas!S566="Arma Dupla D",807,IF(Atletas!S566="Arma Maleável D",808,IF(Atletas!S566="Arma Dupla E",809,IF(Atletas!S566="Arma Maleável E",810,IF(Atletas!S566="Arma Dupla F",811,IF(Atletas!S566="Arma Maleável F",812, "")))))))))))))</f>
        <v/>
      </c>
      <c r="BV570" s="52" t="str">
        <f>IF(Atletas!T566="","",IF(Atletas!W566&lt;&gt;"",10000,0)+IF(Atletas!B566="Feminino",1000,IF(Atletas!B566="Masculino",2000,""))+IF(Atletas!T566="Taijijian Yang A",901,IF(Atletas!T566="Taijijian Chen A",902,IF(Atletas!T566="Taijijian Sun A",903,IF(Atletas!T566="Taijijian Wu A",904,IF(Atletas!T566="Taijijian Wu-Hao A",905,IF(Atletas!T566="Taijijian 32 A",906,IF(Atletas!T566="Taijijian 42 A",907,IF(Atletas!T566="Taijijian Yang B",908,IF(Atletas!T566="Taijijian Chen B",909,IF(Atletas!T566="Taijijian Sun B",910,IF(Atletas!T566="Taijijian Wu B",911,IF(Atletas!T566="Taijijian Wu-Hao B",912,IF(Atletas!T566="Taijijian 32 B",913,IF(Atletas!T566="Taijijian 42 B",914,IF(Atletas!T566="Taijijian Yang C",915,IF(Atletas!T566="Taijijian Chen C",916,IF(Atletas!T566="Taijijian Sun C",917,IF(Atletas!T566="Taijijian Wu C",918,IF(Atletas!T566="Taijijian Wu-Hao C",919,IF(Atletas!T566="Taijijian 32 C",920,IF(Atletas!T566="Taijijian 42 C",921,IF(Atletas!T566="Taijijian Yang D",922,IF(Atletas!T566="Taijijian Chen D",923,IF(Atletas!T566="Taijijian Sun D",924,IF(Atletas!T566="Taijijian Wu D",925,IF(Atletas!T566="Taijijian Wu-Hao D",926,IF(Atletas!T566="Taijijian 32 D",927,IF(Atletas!T566="Taijijian 42 D",928,IF(Atletas!T566="Taijijian Yang E",929,IF(Atletas!T566="Taijijian Chen E",930,IF(Atletas!T566="Taijijian Sun E",931,IF(Atletas!T566="Taijijian Wu E",932,IF(Atletas!T566="Taijijian Wu-Hao E",933,IF(Atletas!T566="Taijijian 32 E",934,IF(Atletas!T566="Taijijian 42 E",935,IF(Atletas!T566="Taijijian Yang F",936,IF(Atletas!T566="Taijijian Chen F",937,IF(Atletas!T566="Taijijian Sun F",938,IF(Atletas!T566="Taijijian Wu F",939,IF(Atletas!T566="Taijijian Wu-Hao F",940,IF(Atletas!T566="Taijijian 32 F",941,IF(Atletas!T566="Taijijian 42 F",942,"")))))))))))))))))))))))))))))))))))))))))))</f>
        <v/>
      </c>
      <c r="BW570" s="52" t="str">
        <f>IF(Atletas!U566="","",IF(Atletas!W566&lt;&gt;"",10000,0)+IF(Atletas!B566="Feminino",1000,IF(Atletas!B566="Masculino",2000,""))+IF(Atletas!T566="Taijijian 42 F",942,IF(Atletas!U566="Taijidao A",943,IF(Atletas!U566="Taijishan A",944,IF(Atletas!U566="Taijiqiang A",945,IF(Atletas!U566="Taijidao B",946,IF(Atletas!U566="Taijishan B",947,IF(Atletas!U566="Taijiqiang B",948,IF(Atletas!U566="Taijidao C",949,IF(Atletas!U566="Taijishan C",950,IF(Atletas!U566="Taijiqiang C",951,IF(Atletas!U566="Taijidao D",952,IF(Atletas!U566="Taijishan D",953,IF(Atletas!U566="Taijiqiang D",954,IF(Atletas!U566="Taijidao E",955,IF(Atletas!U566="Taijishan E",956,IF(Atletas!U566="Taijiqiang E",957,IF(Atletas!U566="Taijidao F",958,IF(Atletas!U566="Taijishan F",959,IF(Atletas!U566="Taijiqiang F",960))))))))))))))))))))</f>
        <v/>
      </c>
      <c r="CF570" s="52" t="str">
        <f xml:space="preserve"> IF(Atletas!V566="","",IF(Atletas!V566="Duilian de Mãos AB - Equipe 1",1,IF(Atletas!V566="Duilian de Mãos AB - Equipe 2",2,IF(Atletas!V566="Duilian de Armas AB - Equipe 1",3,IF(Atletas!V566="Duilian de Armas AB - Equipe 2",4,IF(Atletas!V566="Duilian de Tuishou - Equipe 1",5,IF(Atletas!V566="Duilian de Tuishou - Equipe 2",6,IF(Atletas!V566="Grupo Externo AB - Equipe 1",7,IF(Atletas!V566="Grupo Externo AB - Equipe 2",8,IF(Atletas!V566="Grupo Interno AB - Equipe 1",9,IF(Atletas!V566="Grupo Interno AB - Equipe 2",10,IF(Atletas!V566="Duilian de Mãos CD - Equipe 1",11,IF(Atletas!V566="Duilian de Mãos CD - Equipe 2",12,IF(Atletas!V566="Duilian de Armas CD - Equipe 1",13,IF(Atletas!V566="Duilian de Armas CD - Equipe 2",14,IF(Atletas!V566="Duilian de Tuishou - Equipe 1",15,IF(Atletas!V566="Duilian de Tuishou - Equipe 2",16,IF(Atletas!V566="Grupo Externo CDEF - Equipe 1",17,IF(Atletas!V566="Grupo Externo CDEF - Equipe 2",18,IF(Atletas!V566="Grupo Interno CDEF - Equipe 1",19,IF(Atletas!V566="Grupo Interno CDEF - Equipe 2",20,IF(Atletas!V566="Duilian de Mãos EF - Equipe 1",21,IF(Atletas!V566="Duilian de Mãos EF - Equipe 2",22,IF(Atletas!V566="Duilian de Armas EF - Equipe 1",23,IF(Atletas!V566="Duilian de Armas EF - Equipe 2",24,IF(Atletas!V566="Duilian de Tuishou - Equipe 1",25,IF(Atletas!V566="Duilian de Tuishou - Equipe 2",26,"")))))))))))))))))))))))))))</f>
        <v/>
      </c>
    </row>
    <row r="571" spans="36:84">
      <c r="AJ571" s="46" t="str">
        <f>IF(Atletas!D567="","",IF(Atletas!B567="Feminino",100,IF(Atletas!B567="Masculino",200,""))+(IF(Atletas!D567="Infantil 39kg",1,IF(Atletas!D567="Infantil 42kg",2,IF(Atletas!D567="Infantil 45kg",3,IF(Atletas!D567="Infantil 48kg",4,IF(Atletas!D567="Infantil 52kg",5,IF(Atletas!D567="Infantil 56kg",6,IF(Atletas!D567="Infantil 60kg",7,IF(Atletas!D567="Juvenil 48kg",8,IF(Atletas!D567="Juvenil 52kg",9,IF(Atletas!D567="Juvenil 56kg",10,IF(Atletas!D567="Juvenil 60kg",11,IF(Atletas!D567="Juvenil 65kg",12,IF(Atletas!D567="Juvenil 70kg",13,IF(Atletas!D567="Juvenil 75kg",14,IF(Atletas!D567="Juvenil 80kg",15,IF(Atletas!D567="Adulto 48kg",16,IF(Atletas!D567="Adulto 52kg",17,IF(Atletas!D567="Adulto 56kg",18,IF(Atletas!D567="Adulto 60kg",19,IF(Atletas!D567="Adulto 65kg",20,IF(Atletas!D567="Adulto 70kg",21,IF(Atletas!D567="Adulto 75kg",22,IF(Atletas!D567="Adulto 80kg",23,IF(Atletas!D567="Adulto 85kg",24,IF(Atletas!D567="Adulto 90kg",25,IF(Atletas!D567="Adulto +90kg",26,""))))))))))))))))))))))))))))</f>
        <v/>
      </c>
      <c r="AO571" s="10" t="str">
        <f>IF(Atletas!E567="","",IF(Atletas!B567="Feminino",100,IF(Atletas!B567="Masculino",200,""))+(IF(Atletas!E567="Juvenil 44kg",1,IF(Atletas!E567="Juvenil 48kg",2,IF(Atletas!E567="Juvenil 52kg",3,IF(Atletas!E567="Juvenil 56kg",4,IF(Atletas!E567="Juvenil 60kg",5,IF(Atletas!E567="Juvenil 65kg",6,IF(Atletas!E567="Juvenil 70kg",7,IF(Atletas!E567="Juvenil 75kg",8,IF(Atletas!E567="Juvenil 82kg",9,IF(Atletas!E567="Juvenil 90kg",10,IF(Atletas!E567="Juvenil 100kg",11,IF(Atletas!E567="Adulto 48kg",12,IF(Atletas!E567="Adulto 52kg",13,IF(Atletas!E567="Adulto 56kg",14,IF(Atletas!E567="Adulto 60kg",15,IF(Atletas!E567="Adulto 65kg",16,IF(Atletas!E567="Adulto 70kg",17,IF(Atletas!E567="Adulto 75kg",18,IF(Atletas!E567="Adulto 82kg",19,IF(Atletas!E567="Adulto 90kg",20,IF(Atletas!E567="Adulto 100kg",21,IF(Atletas!E567="Adulto +100kg",22,""))))))))))))))))))))))))</f>
        <v/>
      </c>
      <c r="AT571" s="10" t="str">
        <f>IF(Atletas!F567="","",IF(Atletas!B567="Feminino",100,IF(Atletas!B567="Masculino",200,""))+(IF(Atletas!F567="Adulto 48kg",1,IF(Atletas!F567="Adulto 56kg",2,IF(Atletas!F567="Adulto 65kg",3,IF(Atletas!F567="Adulto 75kg",4,IF(Atletas!F567="Adulto +75kg",5,IF(Atletas!F567="Adulto 52kg",6,IF(Atletas!F567="Adulto 60kg",7,IF(Atletas!F567="Adulto 70kg",8,IF(Atletas!F567="Adulto 80kg",9,IF(Atletas!F567="Adulto 90kg",10,IF(Atletas!F567="Adulto +90kg",11,"")))))))))))))</f>
        <v/>
      </c>
      <c r="AY571" s="46" t="str">
        <f>IF(Atletas!G567="","",IF(Atletas!B567="Feminino",100,IF(Atletas!B567="Masculino",200,""))+(IF(Atletas!G567="Changquan Mirim",1,IF(Atletas!G567="Nanquan Mirim",2,IF(Atletas!G567="Taijiquan Mirim",3,IF(Atletas!G567="Changquan Grupo C",4,IF(Atletas!G567="Nanquan Grupo C",5,IF(Atletas!G567="Taijiquan Grupo C",6,IF(Atletas!G567="Changquan Grupo B",7,IF(Atletas!G567="Nanquan Grupo B",8,IF(Atletas!G567="Taijiquan Grupo B",9,IF(Atletas!G567="Changquan Grupo A",10,IF(Atletas!G567="Nanquan Grupo A",11,IF(Atletas!G567="Taijiquan Grupo A",12,IF(Atletas!G567="Changquan Opcional",13,IF(Atletas!G567="Nanquan Opcional",14,IF(Atletas!G567="Taijiquan Opcional",15,IF(Atletas!G567="Changquan Adulto",16,IF(Atletas!G567="Nanquan Adulto",17,IF(Atletas!G567="Taijiquan Adulto",18,""))))))))))))))))))))</f>
        <v/>
      </c>
      <c r="AZ571" s="46" t="str">
        <f>IF(Atletas!H567="","",IF(Atletas!B567="Feminino",100,IF(Atletas!B567="Masculino",200,""))+(IF(Atletas!H567="Daoshu Mirim",19,IF(Atletas!H567="Jianshu Mirim",20,IF(Atletas!H567="Nandao Mirim",21,IF(Atletas!H567="Taijijian Mirim",22,IF(Atletas!H567="Daoshu Grupo C",23,IF(Atletas!H567="Jianshu Grupo C",24,IF(Atletas!H567="Nandao Grupo C",25,IF(Atletas!H567="Taijijian Grupo C",26,IF(Atletas!H567="Daoshu Grupo B",27,IF(Atletas!H567="Jianshu Grupo B",28,IF(Atletas!H567="Nandao Grupo B",29,IF(Atletas!H567="Taijijian Grupo B",30,IF(Atletas!H567="Daoshu Grupo A",31,IF(Atletas!H567="Jianshu Grupo A",32,IF(Atletas!H567="Nandao Grupo A",33,IF(Atletas!H567="Taijijian Grupo A",34,IF(Atletas!H567="Daoshu Opcional",35,IF(Atletas!H567="Jianshu Opcional",36,IF(Atletas!H567="Nandao Opcional",37,IF(Atletas!H567="Taijijian Opcional",38,IF(Atletas!H567="Daoshu Adulto",39,IF(Atletas!H567="Jianshu Adulto",40,IF(Atletas!H567="Nandao Adulto",41,IF(Atletas!H567="Taijijian Adulto",42,""))))))))))))))))))))))))))</f>
        <v/>
      </c>
      <c r="BA571" s="46" t="str">
        <f>IF(Atletas!I567="","",IF(Atletas!B567="Feminino",100,IF(Atletas!B567="Masculino",200,""))+(IF(Atletas!I567="Gunshu Mirim",43,IF(Atletas!I567="Qiangshu Mirim",44,IF(Atletas!I567="Nangun Mirim",45,IF(Atletas!I567="Gunshu Grupo C",46,IF(Atletas!I567="Qiangshu Grupo C",47,IF(Atletas!I567="Nangun Grupo C",48,IF(Atletas!I567="Gunshu Grupo B",49,IF(Atletas!I567="Qiangshu Grupo B",50,IF(Atletas!I567="Nangun Grupo B",51,IF(Atletas!I567="Gunshu Grupo A",52,IF(Atletas!I567="Qiangshu Grupo A",53,IF(Atletas!I567="Nangun Grupo A",54,IF(Atletas!I567="Gunshu Opcional",55,IF(Atletas!I567="Qiangshu Opcional",56,IF(Atletas!I567="Nangun Opcional",57,IF(Atletas!I567="Gunshu Adulto",58,IF(Atletas!I567="Qiangshu Adulto",59,IF(Atletas!I567="Nangun Adulto",60,""))))))))))))))))))))</f>
        <v/>
      </c>
      <c r="BF571" s="52" t="str">
        <f>IF(Atletas!J567="","",IF(Atletas!B567="Feminino",100,IF(Atletas!B567="Masculino",200,""))+(IF(Atletas!J567="Equipe 1 Grupo B",1,IF(Atletas!J567="Equipe 2 Grupo B",2,IF(Atletas!J567="Equipe 1 Grupo A",3,IF(Atletas!J567="Equipe 2 Grupo A",4,IF(Atletas!J567="Equipe 1 Adulto",5,IF(Atletas!J567="Equipe 2 Adulto",6,""))))))))</f>
        <v/>
      </c>
      <c r="BK571" s="52" t="str">
        <f>IF(Atletas!K567="","",IF(Atletas!W567&lt;&gt;"",10000,0)+(IF(Atletas!B567="Feminino",1000,IF(Atletas!B567="Masculino",2000,""))+IF(Atletas!K567="Choylayfut A",1,IF(Atletas!K567="Hunggar A",2,IF(Atletas!K567="Wuzuquan A",3,IF(Atletas!K567="Wingchun A",4,IF(Atletas!K567="Outra Mão de Sul A",5,IF(Atletas!K567="Choylayfut B",6,IF(Atletas!K567="Hunggar B",7,IF(Atletas!K567="Wuzuquan B",8,IF(Atletas!K567="Wingchun B",9,IF(Atletas!K567="Outra Mão de Sul B",10,IF(Atletas!K567="Choylayfut C",11,IF(Atletas!K567="Hunggar C",12,IF(Atletas!K567="Wuzuquan C",13,IF(Atletas!K567="Wingchun C",14,IF(Atletas!K567="Outra Mão de Sul C",15,IF(Atletas!K567="Choylayfut D",16,IF(Atletas!K567="Hunggar D",17,IF(Atletas!K567="Wuzuquan D",18,IF(Atletas!K567="Wingchun D",19,IF(Atletas!K567="Outra Mão de Sul D",20,IF(Atletas!K567="Choylayfut E",21,IF(Atletas!K567="Hunggar E",22,IF(Atletas!K567="Wuzuquan E",23,IF(Atletas!K567="Wingchun E",24,IF(Atletas!K567="Outra Mão de Sul E",25,IF(Atletas!K567="Choylayfut F",26,IF(Atletas!K567="Hunggar F",27,IF(Atletas!K567="Wuzuquan F",28,IF(Atletas!K567="Wingchun F",29,IF(Atletas!K567="Outra Mão de Sul F",30,""))))))))))))))))))))))))))))))))</f>
        <v/>
      </c>
      <c r="BL571" s="52" t="str">
        <f>IF(Atletas!L567="","",IF(Atletas!W567&lt;&gt;"",10000,0)+(IF(Atletas!B567="Feminino",1000,IF(Atletas!B567="Masculino",2000,""))+(IF(Atletas!L567="Chaquan A",101,IF(Atletas!L567="Emeiquan A",102,IF(Atletas!L567="Fanziquan A",103,IF(Atletas!L567="Huaquan A",104,IF(Atletas!L567="Hongquan A",105,IF(Atletas!L567="Paochui A",106,IF(Atletas!L567="Piguaquan A",107,IF(Atletas!L567="Shaolinquan A",108,IF(Atletas!L567="Tanglangquan A",109,IF(Atletas!L567="Yinzhaophai A",110,IF(Atletas!L567="Tongbeiquan A",111,IF(Atletas!L567="Wudangquan A",112,IF(Atletas!L567="Outros Estilos A",113,IF(Atletas!L567="Chaquan B",114,IF(Atletas!L567="Emeiquan B",115,IF(Atletas!L567="Fanziquan B",116,IF(Atletas!L567="Huaquan B",117,IF(Atletas!L567="Hongquan B",118,IF(Atletas!L567="Paochui B",119,IF(Atletas!L567="Piguaquan B",120,IF(Atletas!L567="Shaolinquan B",121,IF(Atletas!L567="Tanglangquan B",122,IF(Atletas!L567="Yinzhaophai B",123,IF(Atletas!L567="Tongbeiquan B",124,IF(Atletas!L567="Wudangquan B",125,IF(Atletas!L567="Outros Estilos B",126,IF(Atletas!L567="Chaquan C",127,IF(Atletas!L567="Emeiquan C",128,IF(Atletas!L567="Fanziquan C",129,IF(Atletas!L567="Huaquan C",130,IF(Atletas!L567="Hongquan C",131,IF(Atletas!L567="Paochui C",132,IF(Atletas!L567="Piguaquan C",133,IF(Atletas!L567="Shaolinquan C",134,IF(Atletas!L567="Tanglangquan C",135,IF(Atletas!L567="Yinzhaophai C",136,IF(Atletas!L567="Tongbeiquan C",137,IF(Atletas!L567="Wudangquan C",138,IF(Atletas!L567="Outros Estilos C",139,0))))))))))))))))))))))))))))))))))))))))))</f>
        <v/>
      </c>
      <c r="BM571" s="52" t="str">
        <f>IF(Atletas!L567="","",IF(Atletas!W567&lt;&gt;"",10000,0)+(IF(Atletas!B567="Feminino",1000,IF(Atletas!B567="Masculino",2000,""))+(IF(Atletas!L567="Chaquan D",140,IF(Atletas!L567="Emeiquan D",141,IF(Atletas!L567="Fanziquan D",142,IF(Atletas!L567="Huaquan D",143,IF(Atletas!L567="Hongquan D",144,IF(Atletas!L567="Paochui D",145,IF(Atletas!L567="Piguaquan D",146,IF(Atletas!L567="Shaolinquan D",147,IF(Atletas!L567="Tanglangquan D",148,IF(Atletas!L567="Yinzhaophai D",149,IF(Atletas!L567="Tongbeiquan D",150,IF(Atletas!L567="Wudangquan D",151,IF(Atletas!L567="Outros Estilos D",152,IF(Atletas!L567="Chaquan E",153,IF(Atletas!L567="Emeiquan E",154,IF(Atletas!L567="Fanziquan E",155,IF(Atletas!L567="Huaquan E",156,IF(Atletas!L567="Hongquan E",157,IF(Atletas!L567="Paochui E",158,IF(Atletas!L567="Piguaquan E",159,IF(Atletas!L567="Shaolinquan E",160,IF(Atletas!L567="Tanglangquan E",161,IF(Atletas!L567="Yinzhaophai E",162,IF(Atletas!L567="Tongbeiquan E",163,IF(Atletas!L567="Wudangquan E",164,IF(Atletas!L567="Outros Estilos E",165,IF(Atletas!L567="Chaquan F",166,IF(Atletas!L567="Emeiquan F",167,IF(Atletas!L567="Fanziquan F",168,IF(Atletas!L567="Huaquan F",169,IF(Atletas!L567="Hongquan F",170,IF(Atletas!L567="Paochui F",171,IF(Atletas!L567="Piguaquan F",172,IF(Atletas!L567="Shaolinquan F",173,IF(Atletas!L567="Tanglangquan F",174,IF(Atletas!L567="Yinzhaophai F",175,IF(Atletas!L567="Tongbeiquan F",176,IF(Atletas!L567="Wudangquan F",177,IF(Atletas!L567="Outros Estilos F",178,0))))))))))))))))))))))))))))))))))))))))))</f>
        <v/>
      </c>
      <c r="BN571" s="52" t="str">
        <f>IF(Atletas!M567="","",IF(Atletas!W567&lt;&gt;"",10000,0)+(IF(Atletas!B567="Feminino",1000,IF(Atletas!B567="Masculino",2000,""))+(IF(Atletas!M567="Ditangquan A",201,IF(Atletas!M567="Houquan A",202,IF(Atletas!M567="Zuiquan A",203,IF(Atletas!M567="Ditangquan B",204,IF(Atletas!M567="Houquan B",205,IF(Atletas!M567="Zuiquan B",206,IF(Atletas!M567="Ditangquan C",207,IF(Atletas!M567="Houquan C",208,IF(Atletas!M567="Zuiquan C",209,IF(Atletas!M567="Ditangquan D",210,IF(Atletas!M567="Houquan D",211,IF(Atletas!M567="Zuiquan D",212,IF(Atletas!M567="Ditangquan E",213,IF(Atletas!M567="Houquan E",214,IF(Atletas!M567="Zuiquan E",215,IF(Atletas!M567="Ditangquan F",216,IF(Atletas!M567="Houquan F",217,IF(Atletas!M567="Zuiquan F",218,"")))))))))))))))))))))</f>
        <v/>
      </c>
      <c r="BO571" s="52" t="str">
        <f>IF(Atletas!N567="","",IF(Atletas!W567&lt;&gt;"",10000,0)+IF(Atletas!B567="Feminino",1000,IF(Atletas!B567="Masculino",2000,""))+IF(Atletas!N567="Yang A",301,IF(Atletas!N567="Chen A",30,IF(Atletas!N567="Sun A",303,IF(Atletas!N567="Wu A",304,IF(Atletas!N567="Wu-Hao A",305,IF(Atletas!N567="Outro Taijiquan A",306,IF(Atletas!N567="Yang B",307,IF(Atletas!N567="Chen B",308,IF(Atletas!N567="Sun B",309,IF(Atletas!N567="Wu B",310,IF(Atletas!N567="Wu-Hao B",311,IF(Atletas!N567="Outro Taijiquan B",312,IF(Atletas!N567="Yang C",313,IF(Atletas!N567="Chen C",314,IF(Atletas!N567="Sun C",315,IF(Atletas!N567="Wu C",316,IF(Atletas!N567="Wu-Hao C",317,IF(Atletas!N567="Outro Taijiquan C",318,IF(Atletas!N567="Yang D",319,IF(Atletas!N567="Chen D",320,IF(Atletas!N567="Sun D",321,IF(Atletas!N567="Wu D",322,IF(Atletas!N567="Wu-Hao D",323,IF(Atletas!N567="Outro Taijiquan D",324,IF(Atletas!N567="Yang E",325,IF(Atletas!N567="Chen E",326,IF(Atletas!N567="Sun E",327,IF(Atletas!N567="Wu E",328,IF(Atletas!N567="Wu-Hao E",329,IF(Atletas!N567="Outro Taijiquan E",330,IF(Atletas!N567="Yang F",331,IF(Atletas!N567="Chen F",332,IF(Atletas!N567="Sun F",333,IF(Atletas!N567="Wu F",334,IF(Atletas!N567="Wu-Hao F",335,IF(Atletas!N567="Outro Taijiquan F",336,"")))))))))))))))))))))))))))))))))))))</f>
        <v/>
      </c>
      <c r="BP571" s="52" t="str">
        <f>IF(Atletas!O567="","",IF(Atletas!W567&lt;&gt;"",10000,0)+IF(Atletas!B567="Feminino",1000,IF(Atletas!B567="Masculino",2000,""))+IF(OR(Atletas!O567="Yang 26 A",Atletas!O567="Yang 40 A"),401,IF(OR(Atletas!O567="Chen 25 A",Atletas!O567="Chen 36 A",Atletas!O567="Chen 56 A"),402,IF(Atletas!O567="Sun 73 A",403,IF(Atletas!O567="Wu 45 A",404,IF(Atletas!O567="Wu-Hao 46 A",405,IF(OR(Atletas!O567="Taijiquan 16 A",Atletas!O567="Taijiquan 24 A",Atletas!O567="Taijiquan 32 A",Atletas!O567="Taijiquan 42 A"),406,IF(OR(Atletas!O567="Yang 26 B",Atletas!O567="Yang 40 B"),407,IF(OR(Atletas!O567="Chen 25 B",Atletas!O567="Chen 36 B",Atletas!O567="Chen 56 B"),408,IF(Atletas!O567="Sun 73 B",409,IF(Atletas!O567="Wu 45 B",410,IF(Atletas!O567="Wu-Hao 46 B",411,IF(OR(Atletas!O567="Taijiquan 16 B",Atletas!O567="Taijiquan 24 B",Atletas!O567="Taijiquan 32 B",Atletas!O567="Taijiquan 42 B"),412,IF(OR(Atletas!O567="Yang 26 C",Atletas!O567="Yang 40 C"),413,IF(OR(Atletas!O567="Chen 25 C",Atletas!O567="Chen 36 C",Atletas!O567="Chen 56 C"),414,IF(Atletas!O567="Sun 73 C",415,IF(Atletas!O567="Wu 45 C",416,IF(Atletas!O567="Wu-Hao 46 C",417,IF(OR(Atletas!O567="Taijiquan 16 C",Atletas!O567="Taijiquan 24 C",Atletas!O567="Taijiquan 32 C",Atletas!O567="Taijiquan 42 C"),418,0)))))))))))))))))))</f>
        <v/>
      </c>
      <c r="BQ571" s="52" t="str">
        <f>IF(Atletas!O567="","",IF(Atletas!W567&lt;&gt;"",10000,0)+IF(Atletas!B567="Feminino",1000,IF(Atletas!B567="Masculino",2000,""))+IF(OR(Atletas!O567="Yang 26 D",Atletas!O567="Yang 40 D"),419,IF(OR(Atletas!O567="Chen 25 D",Atletas!O567="Chen 36 D",Atletas!O567="Chen 56 D"),420,IF(Atletas!O567="Sun 73 D",421,IF(Atletas!O567="Wu 45 D",422,IF(Atletas!O567="Wu-Hao 46 D",423,IF(OR(Atletas!O567="Taijiquan 16 D",Atletas!O567="Taijiquan 24 D",Atletas!O567="Taijiquan 32 D",Atletas!O567="Taijiquan 42 D"),424,IF(OR(Atletas!O567="Yang 26 E",Atletas!O567="Yang 40 E"),425,IF(OR(Atletas!O567="Chen 25 E",Atletas!O567="Chen 36 E",Atletas!O567="Chen 56 E"),426,IF(Atletas!O567="Sun 73 E",427,IF(Atletas!O567="Wu 45 E",428,IF(Atletas!O567="Wu-Hao 46 E",429,IF(OR(Atletas!O567="Taijiquan 16 E",Atletas!O567="Taijiquan 24 E",Atletas!O567="Taijiquan 32 E",Atletas!O567="Taijiquan 42 E"),430,IF(OR(Atletas!O567="Yang 26 F",Atletas!O567="Yang 40 F"),431,IF(OR(Atletas!O567="Chen 25 F",Atletas!O567="Chen 36 F",Atletas!O567="Chen 56 F"),432,IF(Atletas!O567="Sun 73 F",433,IF(Atletas!O567="Wu 45 F",434,IF(Atletas!O567="Wu-Hao 46 F",435,IF(OR(Atletas!O567="Taijiquan 16 F",Atletas!O567="Taijiquan 24 F",Atletas!O567="Taijiquan 32 F",Atletas!O567="Taijiquan 42 F"),436,0)))))))))))))))))))</f>
        <v/>
      </c>
      <c r="BR571" s="52" t="str">
        <f>IF(Atletas!P567="","",IF(Atletas!W567&lt;&gt;"",10000,0)+IF(Atletas!B567="Feminino",1000,IF(Atletas!B567="Masculino",2000,""))+IF(Atletas!P567="Xingyiquan A",501,IF(Atletas!P567="Baguazhang A",502,IF(Atletas!P567="Outro Estilo Interno A",503,IF(Atletas!P567="Xingyiquan B",504,IF(Atletas!P567="Baguazhang B",505,IF(Atletas!P567="Outro Estilo Interno B",506,IF(Atletas!P567="Xingyiquan C",507,IF(Atletas!P567="Baguazhang C",508,IF(Atletas!P567="Outro Estilo Interno C",509,IF(Atletas!P567="Xingyiquan D",510,IF(Atletas!P567="Baguazhang D",511,IF(Atletas!P567="Outro Estilo Interno D",512,IF(Atletas!P567="Xingyiquan E",513,IF(Atletas!P567="Baguazhang E",514,IF(Atletas!P567="Outro Estilo Interno E",515,IF(Atletas!P567="Xingyiquan F",516,IF(Atletas!P567="Baguazhang F",517,IF(Atletas!P567="Outro Estilo Interno F",518, "")))))))))))))))))))</f>
        <v/>
      </c>
      <c r="BS571" s="52" t="str">
        <f>IF(Atletas!Q567="","",IF(Atletas!W567&lt;&gt;"",10000,0)+IF(Atletas!B567="Feminino",1000,IF(Atletas!B567="Masculino",2000,""))+IF(Atletas!Q567="Dao A",601,IF(Atletas!Q567="Jian A",602,IF(Atletas!Q567="Bishou A",603,IF(Atletas!Q567="Shan A",604,IF(Atletas!Q567="Outra Arma Curta A",605,IF(Atletas!Q567="Dao B",606,IF(Atletas!Q567="Jian B",607,IF(Atletas!Q567="Bishou B",608,IF(Atletas!Q567="Shan B",609,IF(Atletas!Q567="Outra Arma Curta B",610,IF(Atletas!Q567="Dao C",611,IF(Atletas!Q567="Jian C",612,IF(Atletas!Q567="Bishou C",613,IF(Atletas!Q567="Shan C",614,IF(Atletas!Q567="Outra Arma Curta C",615,IF(Atletas!Q567="Dao D",616,IF(Atletas!Q567="Jian D",617,IF(Atletas!Q567="Bishou D",618,IF(Atletas!Q567="Shan D",619,IF(Atletas!Q567="Outra Arma Curta D",620,IF(Atletas!Q567="Dao E",621,IF(Atletas!Q567="Jian E",622,IF(Atletas!Q567="Bishou E",623,IF(Atletas!Q567="Shan E",624,IF(Atletas!Q567="Outra Arma Curta E",625,IF(Atletas!Q567="Dao F",626,IF(Atletas!Q567="Jian F",627,IF(Atletas!Q567="Bishou F",628,IF(Atletas!Q567="Shan F",629,IF(Atletas!Q567="Outra Arma Curta F",630, "")))))))))))))))))))))))))))))))</f>
        <v/>
      </c>
      <c r="BT571" s="52" t="str">
        <f>IF(Atletas!R567="","",IF(Atletas!W567&lt;&gt;"",10000,0)+IF(Atletas!B567="Feminino",1000,IF(Atletas!B567="Masculino",2000,""))+IF(Atletas!R567="Gun A",701,IF(Atletas!R567="Qiang A",702,IF(Atletas!R567="Pudao / Guandao A",703,IF(Atletas!R567="Outra Arma Longa A",704,IF(Atletas!R567="Gun B",705,IF(Atletas!R567="Qiang B",706,IF(Atletas!R567="Pudao / Guandao B",707,IF(Atletas!R567="Outra Arma Longa B",708,IF(Atletas!R567="Gun C",709,IF(Atletas!R567="Qiang C",710,IF(Atletas!R567="Pudao / Guandao C",711,IF(Atletas!R567="Outra Arma Longa C",712,IF(Atletas!R567="Gun D",713,IF(Atletas!R567="Qiang D",714,IF(Atletas!R567="Pudao / Guandao D",715,IF(Atletas!R567="Outra Arma Longa D",716,IF(Atletas!R567="Gun E",717,IF(Atletas!R567="Qiang E",718,IF(Atletas!R567="Pudao / Guandao E",719,IF(Atletas!R567="Outra Arma Longa E",720,IF(Atletas!R567="Gun F",721,IF(Atletas!R567="Qiang F",722,IF(Atletas!R567="Pudao / Guandao F",723,IF(Atletas!R567="Outra Arma Longa F",724,"")))))))))))))))))))))))))</f>
        <v/>
      </c>
      <c r="BU571" s="52" t="str">
        <f>IF(Atletas!S567="","",IF(Atletas!W567&lt;&gt;"",10000,0)+IF(Atletas!B567="Feminino",1000,IF(Atletas!B567="Masculino",2000,""))+IF(Atletas!S567="Arma Dupla A",801,IF(Atletas!S567="Arma Maleável A",802,IF(Atletas!S567="Arma Dupla B",803,IF(Atletas!S567="Arma Maleável B",804,IF(Atletas!S567="Arma Dupla C",805,IF(Atletas!S567="Arma Maleável C",806,IF(Atletas!S567="Arma Dupla D",807,IF(Atletas!S567="Arma Maleável D",808,IF(Atletas!S567="Arma Dupla E",809,IF(Atletas!S567="Arma Maleável E",810,IF(Atletas!S567="Arma Dupla F",811,IF(Atletas!S567="Arma Maleável F",812, "")))))))))))))</f>
        <v/>
      </c>
      <c r="BV571" s="52" t="str">
        <f>IF(Atletas!T567="","",IF(Atletas!W567&lt;&gt;"",10000,0)+IF(Atletas!B567="Feminino",1000,IF(Atletas!B567="Masculino",2000,""))+IF(Atletas!T567="Taijijian Yang A",901,IF(Atletas!T567="Taijijian Chen A",902,IF(Atletas!T567="Taijijian Sun A",903,IF(Atletas!T567="Taijijian Wu A",904,IF(Atletas!T567="Taijijian Wu-Hao A",905,IF(Atletas!T567="Taijijian 32 A",906,IF(Atletas!T567="Taijijian 42 A",907,IF(Atletas!T567="Taijijian Yang B",908,IF(Atletas!T567="Taijijian Chen B",909,IF(Atletas!T567="Taijijian Sun B",910,IF(Atletas!T567="Taijijian Wu B",911,IF(Atletas!T567="Taijijian Wu-Hao B",912,IF(Atletas!T567="Taijijian 32 B",913,IF(Atletas!T567="Taijijian 42 B",914,IF(Atletas!T567="Taijijian Yang C",915,IF(Atletas!T567="Taijijian Chen C",916,IF(Atletas!T567="Taijijian Sun C",917,IF(Atletas!T567="Taijijian Wu C",918,IF(Atletas!T567="Taijijian Wu-Hao C",919,IF(Atletas!T567="Taijijian 32 C",920,IF(Atletas!T567="Taijijian 42 C",921,IF(Atletas!T567="Taijijian Yang D",922,IF(Atletas!T567="Taijijian Chen D",923,IF(Atletas!T567="Taijijian Sun D",924,IF(Atletas!T567="Taijijian Wu D",925,IF(Atletas!T567="Taijijian Wu-Hao D",926,IF(Atletas!T567="Taijijian 32 D",927,IF(Atletas!T567="Taijijian 42 D",928,IF(Atletas!T567="Taijijian Yang E",929,IF(Atletas!T567="Taijijian Chen E",930,IF(Atletas!T567="Taijijian Sun E",931,IF(Atletas!T567="Taijijian Wu E",932,IF(Atletas!T567="Taijijian Wu-Hao E",933,IF(Atletas!T567="Taijijian 32 E",934,IF(Atletas!T567="Taijijian 42 E",935,IF(Atletas!T567="Taijijian Yang F",936,IF(Atletas!T567="Taijijian Chen F",937,IF(Atletas!T567="Taijijian Sun F",938,IF(Atletas!T567="Taijijian Wu F",939,IF(Atletas!T567="Taijijian Wu-Hao F",940,IF(Atletas!T567="Taijijian 32 F",941,IF(Atletas!T567="Taijijian 42 F",942,"")))))))))))))))))))))))))))))))))))))))))))</f>
        <v/>
      </c>
      <c r="BW571" s="52" t="str">
        <f>IF(Atletas!U567="","",IF(Atletas!W567&lt;&gt;"",10000,0)+IF(Atletas!B567="Feminino",1000,IF(Atletas!B567="Masculino",2000,""))+IF(Atletas!T567="Taijijian 42 F",942,IF(Atletas!U567="Taijidao A",943,IF(Atletas!U567="Taijishan A",944,IF(Atletas!U567="Taijiqiang A",945,IF(Atletas!U567="Taijidao B",946,IF(Atletas!U567="Taijishan B",947,IF(Atletas!U567="Taijiqiang B",948,IF(Atletas!U567="Taijidao C",949,IF(Atletas!U567="Taijishan C",950,IF(Atletas!U567="Taijiqiang C",951,IF(Atletas!U567="Taijidao D",952,IF(Atletas!U567="Taijishan D",953,IF(Atletas!U567="Taijiqiang D",954,IF(Atletas!U567="Taijidao E",955,IF(Atletas!U567="Taijishan E",956,IF(Atletas!U567="Taijiqiang E",957,IF(Atletas!U567="Taijidao F",958,IF(Atletas!U567="Taijishan F",959,IF(Atletas!U567="Taijiqiang F",960))))))))))))))))))))</f>
        <v/>
      </c>
      <c r="CF571" s="52" t="str">
        <f xml:space="preserve"> IF(Atletas!V567="","",IF(Atletas!V567="Duilian de Mãos AB - Equipe 1",1,IF(Atletas!V567="Duilian de Mãos AB - Equipe 2",2,IF(Atletas!V567="Duilian de Armas AB - Equipe 1",3,IF(Atletas!V567="Duilian de Armas AB - Equipe 2",4,IF(Atletas!V567="Duilian de Tuishou - Equipe 1",5,IF(Atletas!V567="Duilian de Tuishou - Equipe 2",6,IF(Atletas!V567="Grupo Externo AB - Equipe 1",7,IF(Atletas!V567="Grupo Externo AB - Equipe 2",8,IF(Atletas!V567="Grupo Interno AB - Equipe 1",9,IF(Atletas!V567="Grupo Interno AB - Equipe 2",10,IF(Atletas!V567="Duilian de Mãos CD - Equipe 1",11,IF(Atletas!V567="Duilian de Mãos CD - Equipe 2",12,IF(Atletas!V567="Duilian de Armas CD - Equipe 1",13,IF(Atletas!V567="Duilian de Armas CD - Equipe 2",14,IF(Atletas!V567="Duilian de Tuishou - Equipe 1",15,IF(Atletas!V567="Duilian de Tuishou - Equipe 2",16,IF(Atletas!V567="Grupo Externo CDEF - Equipe 1",17,IF(Atletas!V567="Grupo Externo CDEF - Equipe 2",18,IF(Atletas!V567="Grupo Interno CDEF - Equipe 1",19,IF(Atletas!V567="Grupo Interno CDEF - Equipe 2",20,IF(Atletas!V567="Duilian de Mãos EF - Equipe 1",21,IF(Atletas!V567="Duilian de Mãos EF - Equipe 2",22,IF(Atletas!V567="Duilian de Armas EF - Equipe 1",23,IF(Atletas!V567="Duilian de Armas EF - Equipe 2",24,IF(Atletas!V567="Duilian de Tuishou - Equipe 1",25,IF(Atletas!V567="Duilian de Tuishou - Equipe 2",26,"")))))))))))))))))))))))))))</f>
        <v/>
      </c>
    </row>
    <row r="572" spans="36:84">
      <c r="AJ572" s="46" t="str">
        <f>IF(Atletas!D568="","",IF(Atletas!B568="Feminino",100,IF(Atletas!B568="Masculino",200,""))+(IF(Atletas!D568="Infantil 39kg",1,IF(Atletas!D568="Infantil 42kg",2,IF(Atletas!D568="Infantil 45kg",3,IF(Atletas!D568="Infantil 48kg",4,IF(Atletas!D568="Infantil 52kg",5,IF(Atletas!D568="Infantil 56kg",6,IF(Atletas!D568="Infantil 60kg",7,IF(Atletas!D568="Juvenil 48kg",8,IF(Atletas!D568="Juvenil 52kg",9,IF(Atletas!D568="Juvenil 56kg",10,IF(Atletas!D568="Juvenil 60kg",11,IF(Atletas!D568="Juvenil 65kg",12,IF(Atletas!D568="Juvenil 70kg",13,IF(Atletas!D568="Juvenil 75kg",14,IF(Atletas!D568="Juvenil 80kg",15,IF(Atletas!D568="Adulto 48kg",16,IF(Atletas!D568="Adulto 52kg",17,IF(Atletas!D568="Adulto 56kg",18,IF(Atletas!D568="Adulto 60kg",19,IF(Atletas!D568="Adulto 65kg",20,IF(Atletas!D568="Adulto 70kg",21,IF(Atletas!D568="Adulto 75kg",22,IF(Atletas!D568="Adulto 80kg",23,IF(Atletas!D568="Adulto 85kg",24,IF(Atletas!D568="Adulto 90kg",25,IF(Atletas!D568="Adulto +90kg",26,""))))))))))))))))))))))))))))</f>
        <v/>
      </c>
      <c r="AO572" s="10" t="str">
        <f>IF(Atletas!E568="","",IF(Atletas!B568="Feminino",100,IF(Atletas!B568="Masculino",200,""))+(IF(Atletas!E568="Juvenil 44kg",1,IF(Atletas!E568="Juvenil 48kg",2,IF(Atletas!E568="Juvenil 52kg",3,IF(Atletas!E568="Juvenil 56kg",4,IF(Atletas!E568="Juvenil 60kg",5,IF(Atletas!E568="Juvenil 65kg",6,IF(Atletas!E568="Juvenil 70kg",7,IF(Atletas!E568="Juvenil 75kg",8,IF(Atletas!E568="Juvenil 82kg",9,IF(Atletas!E568="Juvenil 90kg",10,IF(Atletas!E568="Juvenil 100kg",11,IF(Atletas!E568="Adulto 48kg",12,IF(Atletas!E568="Adulto 52kg",13,IF(Atletas!E568="Adulto 56kg",14,IF(Atletas!E568="Adulto 60kg",15,IF(Atletas!E568="Adulto 65kg",16,IF(Atletas!E568="Adulto 70kg",17,IF(Atletas!E568="Adulto 75kg",18,IF(Atletas!E568="Adulto 82kg",19,IF(Atletas!E568="Adulto 90kg",20,IF(Atletas!E568="Adulto 100kg",21,IF(Atletas!E568="Adulto +100kg",22,""))))))))))))))))))))))))</f>
        <v/>
      </c>
      <c r="AT572" s="10" t="str">
        <f>IF(Atletas!F568="","",IF(Atletas!B568="Feminino",100,IF(Atletas!B568="Masculino",200,""))+(IF(Atletas!F568="Adulto 48kg",1,IF(Atletas!F568="Adulto 56kg",2,IF(Atletas!F568="Adulto 65kg",3,IF(Atletas!F568="Adulto 75kg",4,IF(Atletas!F568="Adulto +75kg",5,IF(Atletas!F568="Adulto 52kg",6,IF(Atletas!F568="Adulto 60kg",7,IF(Atletas!F568="Adulto 70kg",8,IF(Atletas!F568="Adulto 80kg",9,IF(Atletas!F568="Adulto 90kg",10,IF(Atletas!F568="Adulto +90kg",11,"")))))))))))))</f>
        <v/>
      </c>
      <c r="AY572" s="46" t="str">
        <f>IF(Atletas!G568="","",IF(Atletas!B568="Feminino",100,IF(Atletas!B568="Masculino",200,""))+(IF(Atletas!G568="Changquan Mirim",1,IF(Atletas!G568="Nanquan Mirim",2,IF(Atletas!G568="Taijiquan Mirim",3,IF(Atletas!G568="Changquan Grupo C",4,IF(Atletas!G568="Nanquan Grupo C",5,IF(Atletas!G568="Taijiquan Grupo C",6,IF(Atletas!G568="Changquan Grupo B",7,IF(Atletas!G568="Nanquan Grupo B",8,IF(Atletas!G568="Taijiquan Grupo B",9,IF(Atletas!G568="Changquan Grupo A",10,IF(Atletas!G568="Nanquan Grupo A",11,IF(Atletas!G568="Taijiquan Grupo A",12,IF(Atletas!G568="Changquan Opcional",13,IF(Atletas!G568="Nanquan Opcional",14,IF(Atletas!G568="Taijiquan Opcional",15,IF(Atletas!G568="Changquan Adulto",16,IF(Atletas!G568="Nanquan Adulto",17,IF(Atletas!G568="Taijiquan Adulto",18,""))))))))))))))))))))</f>
        <v/>
      </c>
      <c r="AZ572" s="46" t="str">
        <f>IF(Atletas!H568="","",IF(Atletas!B568="Feminino",100,IF(Atletas!B568="Masculino",200,""))+(IF(Atletas!H568="Daoshu Mirim",19,IF(Atletas!H568="Jianshu Mirim",20,IF(Atletas!H568="Nandao Mirim",21,IF(Atletas!H568="Taijijian Mirim",22,IF(Atletas!H568="Daoshu Grupo C",23,IF(Atletas!H568="Jianshu Grupo C",24,IF(Atletas!H568="Nandao Grupo C",25,IF(Atletas!H568="Taijijian Grupo C",26,IF(Atletas!H568="Daoshu Grupo B",27,IF(Atletas!H568="Jianshu Grupo B",28,IF(Atletas!H568="Nandao Grupo B",29,IF(Atletas!H568="Taijijian Grupo B",30,IF(Atletas!H568="Daoshu Grupo A",31,IF(Atletas!H568="Jianshu Grupo A",32,IF(Atletas!H568="Nandao Grupo A",33,IF(Atletas!H568="Taijijian Grupo A",34,IF(Atletas!H568="Daoshu Opcional",35,IF(Atletas!H568="Jianshu Opcional",36,IF(Atletas!H568="Nandao Opcional",37,IF(Atletas!H568="Taijijian Opcional",38,IF(Atletas!H568="Daoshu Adulto",39,IF(Atletas!H568="Jianshu Adulto",40,IF(Atletas!H568="Nandao Adulto",41,IF(Atletas!H568="Taijijian Adulto",42,""))))))))))))))))))))))))))</f>
        <v/>
      </c>
      <c r="BA572" s="46" t="str">
        <f>IF(Atletas!I568="","",IF(Atletas!B568="Feminino",100,IF(Atletas!B568="Masculino",200,""))+(IF(Atletas!I568="Gunshu Mirim",43,IF(Atletas!I568="Qiangshu Mirim",44,IF(Atletas!I568="Nangun Mirim",45,IF(Atletas!I568="Gunshu Grupo C",46,IF(Atletas!I568="Qiangshu Grupo C",47,IF(Atletas!I568="Nangun Grupo C",48,IF(Atletas!I568="Gunshu Grupo B",49,IF(Atletas!I568="Qiangshu Grupo B",50,IF(Atletas!I568="Nangun Grupo B",51,IF(Atletas!I568="Gunshu Grupo A",52,IF(Atletas!I568="Qiangshu Grupo A",53,IF(Atletas!I568="Nangun Grupo A",54,IF(Atletas!I568="Gunshu Opcional",55,IF(Atletas!I568="Qiangshu Opcional",56,IF(Atletas!I568="Nangun Opcional",57,IF(Atletas!I568="Gunshu Adulto",58,IF(Atletas!I568="Qiangshu Adulto",59,IF(Atletas!I568="Nangun Adulto",60,""))))))))))))))))))))</f>
        <v/>
      </c>
      <c r="BF572" s="52" t="str">
        <f>IF(Atletas!J568="","",IF(Atletas!B568="Feminino",100,IF(Atletas!B568="Masculino",200,""))+(IF(Atletas!J568="Equipe 1 Grupo B",1,IF(Atletas!J568="Equipe 2 Grupo B",2,IF(Atletas!J568="Equipe 1 Grupo A",3,IF(Atletas!J568="Equipe 2 Grupo A",4,IF(Atletas!J568="Equipe 1 Adulto",5,IF(Atletas!J568="Equipe 2 Adulto",6,""))))))))</f>
        <v/>
      </c>
      <c r="BK572" s="52" t="str">
        <f>IF(Atletas!K568="","",IF(Atletas!W568&lt;&gt;"",10000,0)+(IF(Atletas!B568="Feminino",1000,IF(Atletas!B568="Masculino",2000,""))+IF(Atletas!K568="Choylayfut A",1,IF(Atletas!K568="Hunggar A",2,IF(Atletas!K568="Wuzuquan A",3,IF(Atletas!K568="Wingchun A",4,IF(Atletas!K568="Outra Mão de Sul A",5,IF(Atletas!K568="Choylayfut B",6,IF(Atletas!K568="Hunggar B",7,IF(Atletas!K568="Wuzuquan B",8,IF(Atletas!K568="Wingchun B",9,IF(Atletas!K568="Outra Mão de Sul B",10,IF(Atletas!K568="Choylayfut C",11,IF(Atletas!K568="Hunggar C",12,IF(Atletas!K568="Wuzuquan C",13,IF(Atletas!K568="Wingchun C",14,IF(Atletas!K568="Outra Mão de Sul C",15,IF(Atletas!K568="Choylayfut D",16,IF(Atletas!K568="Hunggar D",17,IF(Atletas!K568="Wuzuquan D",18,IF(Atletas!K568="Wingchun D",19,IF(Atletas!K568="Outra Mão de Sul D",20,IF(Atletas!K568="Choylayfut E",21,IF(Atletas!K568="Hunggar E",22,IF(Atletas!K568="Wuzuquan E",23,IF(Atletas!K568="Wingchun E",24,IF(Atletas!K568="Outra Mão de Sul E",25,IF(Atletas!K568="Choylayfut F",26,IF(Atletas!K568="Hunggar F",27,IF(Atletas!K568="Wuzuquan F",28,IF(Atletas!K568="Wingchun F",29,IF(Atletas!K568="Outra Mão de Sul F",30,""))))))))))))))))))))))))))))))))</f>
        <v/>
      </c>
      <c r="BL572" s="52" t="str">
        <f>IF(Atletas!L568="","",IF(Atletas!W568&lt;&gt;"",10000,0)+(IF(Atletas!B568="Feminino",1000,IF(Atletas!B568="Masculino",2000,""))+(IF(Atletas!L568="Chaquan A",101,IF(Atletas!L568="Emeiquan A",102,IF(Atletas!L568="Fanziquan A",103,IF(Atletas!L568="Huaquan A",104,IF(Atletas!L568="Hongquan A",105,IF(Atletas!L568="Paochui A",106,IF(Atletas!L568="Piguaquan A",107,IF(Atletas!L568="Shaolinquan A",108,IF(Atletas!L568="Tanglangquan A",109,IF(Atletas!L568="Yinzhaophai A",110,IF(Atletas!L568="Tongbeiquan A",111,IF(Atletas!L568="Wudangquan A",112,IF(Atletas!L568="Outros Estilos A",113,IF(Atletas!L568="Chaquan B",114,IF(Atletas!L568="Emeiquan B",115,IF(Atletas!L568="Fanziquan B",116,IF(Atletas!L568="Huaquan B",117,IF(Atletas!L568="Hongquan B",118,IF(Atletas!L568="Paochui B",119,IF(Atletas!L568="Piguaquan B",120,IF(Atletas!L568="Shaolinquan B",121,IF(Atletas!L568="Tanglangquan B",122,IF(Atletas!L568="Yinzhaophai B",123,IF(Atletas!L568="Tongbeiquan B",124,IF(Atletas!L568="Wudangquan B",125,IF(Atletas!L568="Outros Estilos B",126,IF(Atletas!L568="Chaquan C",127,IF(Atletas!L568="Emeiquan C",128,IF(Atletas!L568="Fanziquan C",129,IF(Atletas!L568="Huaquan C",130,IF(Atletas!L568="Hongquan C",131,IF(Atletas!L568="Paochui C",132,IF(Atletas!L568="Piguaquan C",133,IF(Atletas!L568="Shaolinquan C",134,IF(Atletas!L568="Tanglangquan C",135,IF(Atletas!L568="Yinzhaophai C",136,IF(Atletas!L568="Tongbeiquan C",137,IF(Atletas!L568="Wudangquan C",138,IF(Atletas!L568="Outros Estilos C",139,0))))))))))))))))))))))))))))))))))))))))))</f>
        <v/>
      </c>
      <c r="BM572" s="52" t="str">
        <f>IF(Atletas!L568="","",IF(Atletas!W568&lt;&gt;"",10000,0)+(IF(Atletas!B568="Feminino",1000,IF(Atletas!B568="Masculino",2000,""))+(IF(Atletas!L568="Chaquan D",140,IF(Atletas!L568="Emeiquan D",141,IF(Atletas!L568="Fanziquan D",142,IF(Atletas!L568="Huaquan D",143,IF(Atletas!L568="Hongquan D",144,IF(Atletas!L568="Paochui D",145,IF(Atletas!L568="Piguaquan D",146,IF(Atletas!L568="Shaolinquan D",147,IF(Atletas!L568="Tanglangquan D",148,IF(Atletas!L568="Yinzhaophai D",149,IF(Atletas!L568="Tongbeiquan D",150,IF(Atletas!L568="Wudangquan D",151,IF(Atletas!L568="Outros Estilos D",152,IF(Atletas!L568="Chaquan E",153,IF(Atletas!L568="Emeiquan E",154,IF(Atletas!L568="Fanziquan E",155,IF(Atletas!L568="Huaquan E",156,IF(Atletas!L568="Hongquan E",157,IF(Atletas!L568="Paochui E",158,IF(Atletas!L568="Piguaquan E",159,IF(Atletas!L568="Shaolinquan E",160,IF(Atletas!L568="Tanglangquan E",161,IF(Atletas!L568="Yinzhaophai E",162,IF(Atletas!L568="Tongbeiquan E",163,IF(Atletas!L568="Wudangquan E",164,IF(Atletas!L568="Outros Estilos E",165,IF(Atletas!L568="Chaquan F",166,IF(Atletas!L568="Emeiquan F",167,IF(Atletas!L568="Fanziquan F",168,IF(Atletas!L568="Huaquan F",169,IF(Atletas!L568="Hongquan F",170,IF(Atletas!L568="Paochui F",171,IF(Atletas!L568="Piguaquan F",172,IF(Atletas!L568="Shaolinquan F",173,IF(Atletas!L568="Tanglangquan F",174,IF(Atletas!L568="Yinzhaophai F",175,IF(Atletas!L568="Tongbeiquan F",176,IF(Atletas!L568="Wudangquan F",177,IF(Atletas!L568="Outros Estilos F",178,0))))))))))))))))))))))))))))))))))))))))))</f>
        <v/>
      </c>
      <c r="BN572" s="52" t="str">
        <f>IF(Atletas!M568="","",IF(Atletas!W568&lt;&gt;"",10000,0)+(IF(Atletas!B568="Feminino",1000,IF(Atletas!B568="Masculino",2000,""))+(IF(Atletas!M568="Ditangquan A",201,IF(Atletas!M568="Houquan A",202,IF(Atletas!M568="Zuiquan A",203,IF(Atletas!M568="Ditangquan B",204,IF(Atletas!M568="Houquan B",205,IF(Atletas!M568="Zuiquan B",206,IF(Atletas!M568="Ditangquan C",207,IF(Atletas!M568="Houquan C",208,IF(Atletas!M568="Zuiquan C",209,IF(Atletas!M568="Ditangquan D",210,IF(Atletas!M568="Houquan D",211,IF(Atletas!M568="Zuiquan D",212,IF(Atletas!M568="Ditangquan E",213,IF(Atletas!M568="Houquan E",214,IF(Atletas!M568="Zuiquan E",215,IF(Atletas!M568="Ditangquan F",216,IF(Atletas!M568="Houquan F",217,IF(Atletas!M568="Zuiquan F",218,"")))))))))))))))))))))</f>
        <v/>
      </c>
      <c r="BO572" s="52" t="str">
        <f>IF(Atletas!N568="","",IF(Atletas!W568&lt;&gt;"",10000,0)+IF(Atletas!B568="Feminino",1000,IF(Atletas!B568="Masculino",2000,""))+IF(Atletas!N568="Yang A",301,IF(Atletas!N568="Chen A",30,IF(Atletas!N568="Sun A",303,IF(Atletas!N568="Wu A",304,IF(Atletas!N568="Wu-Hao A",305,IF(Atletas!N568="Outro Taijiquan A",306,IF(Atletas!N568="Yang B",307,IF(Atletas!N568="Chen B",308,IF(Atletas!N568="Sun B",309,IF(Atletas!N568="Wu B",310,IF(Atletas!N568="Wu-Hao B",311,IF(Atletas!N568="Outro Taijiquan B",312,IF(Atletas!N568="Yang C",313,IF(Atletas!N568="Chen C",314,IF(Atletas!N568="Sun C",315,IF(Atletas!N568="Wu C",316,IF(Atletas!N568="Wu-Hao C",317,IF(Atletas!N568="Outro Taijiquan C",318,IF(Atletas!N568="Yang D",319,IF(Atletas!N568="Chen D",320,IF(Atletas!N568="Sun D",321,IF(Atletas!N568="Wu D",322,IF(Atletas!N568="Wu-Hao D",323,IF(Atletas!N568="Outro Taijiquan D",324,IF(Atletas!N568="Yang E",325,IF(Atletas!N568="Chen E",326,IF(Atletas!N568="Sun E",327,IF(Atletas!N568="Wu E",328,IF(Atletas!N568="Wu-Hao E",329,IF(Atletas!N568="Outro Taijiquan E",330,IF(Atletas!N568="Yang F",331,IF(Atletas!N568="Chen F",332,IF(Atletas!N568="Sun F",333,IF(Atletas!N568="Wu F",334,IF(Atletas!N568="Wu-Hao F",335,IF(Atletas!N568="Outro Taijiquan F",336,"")))))))))))))))))))))))))))))))))))))</f>
        <v/>
      </c>
      <c r="BP572" s="52" t="str">
        <f>IF(Atletas!O568="","",IF(Atletas!W568&lt;&gt;"",10000,0)+IF(Atletas!B568="Feminino",1000,IF(Atletas!B568="Masculino",2000,""))+IF(OR(Atletas!O568="Yang 26 A",Atletas!O568="Yang 40 A"),401,IF(OR(Atletas!O568="Chen 25 A",Atletas!O568="Chen 36 A",Atletas!O568="Chen 56 A"),402,IF(Atletas!O568="Sun 73 A",403,IF(Atletas!O568="Wu 45 A",404,IF(Atletas!O568="Wu-Hao 46 A",405,IF(OR(Atletas!O568="Taijiquan 16 A",Atletas!O568="Taijiquan 24 A",Atletas!O568="Taijiquan 32 A",Atletas!O568="Taijiquan 42 A"),406,IF(OR(Atletas!O568="Yang 26 B",Atletas!O568="Yang 40 B"),407,IF(OR(Atletas!O568="Chen 25 B",Atletas!O568="Chen 36 B",Atletas!O568="Chen 56 B"),408,IF(Atletas!O568="Sun 73 B",409,IF(Atletas!O568="Wu 45 B",410,IF(Atletas!O568="Wu-Hao 46 B",411,IF(OR(Atletas!O568="Taijiquan 16 B",Atletas!O568="Taijiquan 24 B",Atletas!O568="Taijiquan 32 B",Atletas!O568="Taijiquan 42 B"),412,IF(OR(Atletas!O568="Yang 26 C",Atletas!O568="Yang 40 C"),413,IF(OR(Atletas!O568="Chen 25 C",Atletas!O568="Chen 36 C",Atletas!O568="Chen 56 C"),414,IF(Atletas!O568="Sun 73 C",415,IF(Atletas!O568="Wu 45 C",416,IF(Atletas!O568="Wu-Hao 46 C",417,IF(OR(Atletas!O568="Taijiquan 16 C",Atletas!O568="Taijiquan 24 C",Atletas!O568="Taijiquan 32 C",Atletas!O568="Taijiquan 42 C"),418,0)))))))))))))))))))</f>
        <v/>
      </c>
      <c r="BQ572" s="52" t="str">
        <f>IF(Atletas!O568="","",IF(Atletas!W568&lt;&gt;"",10000,0)+IF(Atletas!B568="Feminino",1000,IF(Atletas!B568="Masculino",2000,""))+IF(OR(Atletas!O568="Yang 26 D",Atletas!O568="Yang 40 D"),419,IF(OR(Atletas!O568="Chen 25 D",Atletas!O568="Chen 36 D",Atletas!O568="Chen 56 D"),420,IF(Atletas!O568="Sun 73 D",421,IF(Atletas!O568="Wu 45 D",422,IF(Atletas!O568="Wu-Hao 46 D",423,IF(OR(Atletas!O568="Taijiquan 16 D",Atletas!O568="Taijiquan 24 D",Atletas!O568="Taijiquan 32 D",Atletas!O568="Taijiquan 42 D"),424,IF(OR(Atletas!O568="Yang 26 E",Atletas!O568="Yang 40 E"),425,IF(OR(Atletas!O568="Chen 25 E",Atletas!O568="Chen 36 E",Atletas!O568="Chen 56 E"),426,IF(Atletas!O568="Sun 73 E",427,IF(Atletas!O568="Wu 45 E",428,IF(Atletas!O568="Wu-Hao 46 E",429,IF(OR(Atletas!O568="Taijiquan 16 E",Atletas!O568="Taijiquan 24 E",Atletas!O568="Taijiquan 32 E",Atletas!O568="Taijiquan 42 E"),430,IF(OR(Atletas!O568="Yang 26 F",Atletas!O568="Yang 40 F"),431,IF(OR(Atletas!O568="Chen 25 F",Atletas!O568="Chen 36 F",Atletas!O568="Chen 56 F"),432,IF(Atletas!O568="Sun 73 F",433,IF(Atletas!O568="Wu 45 F",434,IF(Atletas!O568="Wu-Hao 46 F",435,IF(OR(Atletas!O568="Taijiquan 16 F",Atletas!O568="Taijiquan 24 F",Atletas!O568="Taijiquan 32 F",Atletas!O568="Taijiquan 42 F"),436,0)))))))))))))))))))</f>
        <v/>
      </c>
      <c r="BR572" s="52" t="str">
        <f>IF(Atletas!P568="","",IF(Atletas!W568&lt;&gt;"",10000,0)+IF(Atletas!B568="Feminino",1000,IF(Atletas!B568="Masculino",2000,""))+IF(Atletas!P568="Xingyiquan A",501,IF(Atletas!P568="Baguazhang A",502,IF(Atletas!P568="Outro Estilo Interno A",503,IF(Atletas!P568="Xingyiquan B",504,IF(Atletas!P568="Baguazhang B",505,IF(Atletas!P568="Outro Estilo Interno B",506,IF(Atletas!P568="Xingyiquan C",507,IF(Atletas!P568="Baguazhang C",508,IF(Atletas!P568="Outro Estilo Interno C",509,IF(Atletas!P568="Xingyiquan D",510,IF(Atletas!P568="Baguazhang D",511,IF(Atletas!P568="Outro Estilo Interno D",512,IF(Atletas!P568="Xingyiquan E",513,IF(Atletas!P568="Baguazhang E",514,IF(Atletas!P568="Outro Estilo Interno E",515,IF(Atletas!P568="Xingyiquan F",516,IF(Atletas!P568="Baguazhang F",517,IF(Atletas!P568="Outro Estilo Interno F",518, "")))))))))))))))))))</f>
        <v/>
      </c>
      <c r="BS572" s="52" t="str">
        <f>IF(Atletas!Q568="","",IF(Atletas!W568&lt;&gt;"",10000,0)+IF(Atletas!B568="Feminino",1000,IF(Atletas!B568="Masculino",2000,""))+IF(Atletas!Q568="Dao A",601,IF(Atletas!Q568="Jian A",602,IF(Atletas!Q568="Bishou A",603,IF(Atletas!Q568="Shan A",604,IF(Atletas!Q568="Outra Arma Curta A",605,IF(Atletas!Q568="Dao B",606,IF(Atletas!Q568="Jian B",607,IF(Atletas!Q568="Bishou B",608,IF(Atletas!Q568="Shan B",609,IF(Atletas!Q568="Outra Arma Curta B",610,IF(Atletas!Q568="Dao C",611,IF(Atletas!Q568="Jian C",612,IF(Atletas!Q568="Bishou C",613,IF(Atletas!Q568="Shan C",614,IF(Atletas!Q568="Outra Arma Curta C",615,IF(Atletas!Q568="Dao D",616,IF(Atletas!Q568="Jian D",617,IF(Atletas!Q568="Bishou D",618,IF(Atletas!Q568="Shan D",619,IF(Atletas!Q568="Outra Arma Curta D",620,IF(Atletas!Q568="Dao E",621,IF(Atletas!Q568="Jian E",622,IF(Atletas!Q568="Bishou E",623,IF(Atletas!Q568="Shan E",624,IF(Atletas!Q568="Outra Arma Curta E",625,IF(Atletas!Q568="Dao F",626,IF(Atletas!Q568="Jian F",627,IF(Atletas!Q568="Bishou F",628,IF(Atletas!Q568="Shan F",629,IF(Atletas!Q568="Outra Arma Curta F",630, "")))))))))))))))))))))))))))))))</f>
        <v/>
      </c>
      <c r="BT572" s="52" t="str">
        <f>IF(Atletas!R568="","",IF(Atletas!W568&lt;&gt;"",10000,0)+IF(Atletas!B568="Feminino",1000,IF(Atletas!B568="Masculino",2000,""))+IF(Atletas!R568="Gun A",701,IF(Atletas!R568="Qiang A",702,IF(Atletas!R568="Pudao / Guandao A",703,IF(Atletas!R568="Outra Arma Longa A",704,IF(Atletas!R568="Gun B",705,IF(Atletas!R568="Qiang B",706,IF(Atletas!R568="Pudao / Guandao B",707,IF(Atletas!R568="Outra Arma Longa B",708,IF(Atletas!R568="Gun C",709,IF(Atletas!R568="Qiang C",710,IF(Atletas!R568="Pudao / Guandao C",711,IF(Atletas!R568="Outra Arma Longa C",712,IF(Atletas!R568="Gun D",713,IF(Atletas!R568="Qiang D",714,IF(Atletas!R568="Pudao / Guandao D",715,IF(Atletas!R568="Outra Arma Longa D",716,IF(Atletas!R568="Gun E",717,IF(Atletas!R568="Qiang E",718,IF(Atletas!R568="Pudao / Guandao E",719,IF(Atletas!R568="Outra Arma Longa E",720,IF(Atletas!R568="Gun F",721,IF(Atletas!R568="Qiang F",722,IF(Atletas!R568="Pudao / Guandao F",723,IF(Atletas!R568="Outra Arma Longa F",724,"")))))))))))))))))))))))))</f>
        <v/>
      </c>
      <c r="BU572" s="52" t="str">
        <f>IF(Atletas!S568="","",IF(Atletas!W568&lt;&gt;"",10000,0)+IF(Atletas!B568="Feminino",1000,IF(Atletas!B568="Masculino",2000,""))+IF(Atletas!S568="Arma Dupla A",801,IF(Atletas!S568="Arma Maleável A",802,IF(Atletas!S568="Arma Dupla B",803,IF(Atletas!S568="Arma Maleável B",804,IF(Atletas!S568="Arma Dupla C",805,IF(Atletas!S568="Arma Maleável C",806,IF(Atletas!S568="Arma Dupla D",807,IF(Atletas!S568="Arma Maleável D",808,IF(Atletas!S568="Arma Dupla E",809,IF(Atletas!S568="Arma Maleável E",810,IF(Atletas!S568="Arma Dupla F",811,IF(Atletas!S568="Arma Maleável F",812, "")))))))))))))</f>
        <v/>
      </c>
      <c r="BV572" s="52" t="str">
        <f>IF(Atletas!T568="","",IF(Atletas!W568&lt;&gt;"",10000,0)+IF(Atletas!B568="Feminino",1000,IF(Atletas!B568="Masculino",2000,""))+IF(Atletas!T568="Taijijian Yang A",901,IF(Atletas!T568="Taijijian Chen A",902,IF(Atletas!T568="Taijijian Sun A",903,IF(Atletas!T568="Taijijian Wu A",904,IF(Atletas!T568="Taijijian Wu-Hao A",905,IF(Atletas!T568="Taijijian 32 A",906,IF(Atletas!T568="Taijijian 42 A",907,IF(Atletas!T568="Taijijian Yang B",908,IF(Atletas!T568="Taijijian Chen B",909,IF(Atletas!T568="Taijijian Sun B",910,IF(Atletas!T568="Taijijian Wu B",911,IF(Atletas!T568="Taijijian Wu-Hao B",912,IF(Atletas!T568="Taijijian 32 B",913,IF(Atletas!T568="Taijijian 42 B",914,IF(Atletas!T568="Taijijian Yang C",915,IF(Atletas!T568="Taijijian Chen C",916,IF(Atletas!T568="Taijijian Sun C",917,IF(Atletas!T568="Taijijian Wu C",918,IF(Atletas!T568="Taijijian Wu-Hao C",919,IF(Atletas!T568="Taijijian 32 C",920,IF(Atletas!T568="Taijijian 42 C",921,IF(Atletas!T568="Taijijian Yang D",922,IF(Atletas!T568="Taijijian Chen D",923,IF(Atletas!T568="Taijijian Sun D",924,IF(Atletas!T568="Taijijian Wu D",925,IF(Atletas!T568="Taijijian Wu-Hao D",926,IF(Atletas!T568="Taijijian 32 D",927,IF(Atletas!T568="Taijijian 42 D",928,IF(Atletas!T568="Taijijian Yang E",929,IF(Atletas!T568="Taijijian Chen E",930,IF(Atletas!T568="Taijijian Sun E",931,IF(Atletas!T568="Taijijian Wu E",932,IF(Atletas!T568="Taijijian Wu-Hao E",933,IF(Atletas!T568="Taijijian 32 E",934,IF(Atletas!T568="Taijijian 42 E",935,IF(Atletas!T568="Taijijian Yang F",936,IF(Atletas!T568="Taijijian Chen F",937,IF(Atletas!T568="Taijijian Sun F",938,IF(Atletas!T568="Taijijian Wu F",939,IF(Atletas!T568="Taijijian Wu-Hao F",940,IF(Atletas!T568="Taijijian 32 F",941,IF(Atletas!T568="Taijijian 42 F",942,"")))))))))))))))))))))))))))))))))))))))))))</f>
        <v/>
      </c>
      <c r="BW572" s="52" t="str">
        <f>IF(Atletas!U568="","",IF(Atletas!W568&lt;&gt;"",10000,0)+IF(Atletas!B568="Feminino",1000,IF(Atletas!B568="Masculino",2000,""))+IF(Atletas!T568="Taijijian 42 F",942,IF(Atletas!U568="Taijidao A",943,IF(Atletas!U568="Taijishan A",944,IF(Atletas!U568="Taijiqiang A",945,IF(Atletas!U568="Taijidao B",946,IF(Atletas!U568="Taijishan B",947,IF(Atletas!U568="Taijiqiang B",948,IF(Atletas!U568="Taijidao C",949,IF(Atletas!U568="Taijishan C",950,IF(Atletas!U568="Taijiqiang C",951,IF(Atletas!U568="Taijidao D",952,IF(Atletas!U568="Taijishan D",953,IF(Atletas!U568="Taijiqiang D",954,IF(Atletas!U568="Taijidao E",955,IF(Atletas!U568="Taijishan E",956,IF(Atletas!U568="Taijiqiang E",957,IF(Atletas!U568="Taijidao F",958,IF(Atletas!U568="Taijishan F",959,IF(Atletas!U568="Taijiqiang F",960))))))))))))))))))))</f>
        <v/>
      </c>
      <c r="CF572" s="52" t="str">
        <f xml:space="preserve"> IF(Atletas!V568="","",IF(Atletas!V568="Duilian de Mãos AB - Equipe 1",1,IF(Atletas!V568="Duilian de Mãos AB - Equipe 2",2,IF(Atletas!V568="Duilian de Armas AB - Equipe 1",3,IF(Atletas!V568="Duilian de Armas AB - Equipe 2",4,IF(Atletas!V568="Duilian de Tuishou - Equipe 1",5,IF(Atletas!V568="Duilian de Tuishou - Equipe 2",6,IF(Atletas!V568="Grupo Externo AB - Equipe 1",7,IF(Atletas!V568="Grupo Externo AB - Equipe 2",8,IF(Atletas!V568="Grupo Interno AB - Equipe 1",9,IF(Atletas!V568="Grupo Interno AB - Equipe 2",10,IF(Atletas!V568="Duilian de Mãos CD - Equipe 1",11,IF(Atletas!V568="Duilian de Mãos CD - Equipe 2",12,IF(Atletas!V568="Duilian de Armas CD - Equipe 1",13,IF(Atletas!V568="Duilian de Armas CD - Equipe 2",14,IF(Atletas!V568="Duilian de Tuishou - Equipe 1",15,IF(Atletas!V568="Duilian de Tuishou - Equipe 2",16,IF(Atletas!V568="Grupo Externo CDEF - Equipe 1",17,IF(Atletas!V568="Grupo Externo CDEF - Equipe 2",18,IF(Atletas!V568="Grupo Interno CDEF - Equipe 1",19,IF(Atletas!V568="Grupo Interno CDEF - Equipe 2",20,IF(Atletas!V568="Duilian de Mãos EF - Equipe 1",21,IF(Atletas!V568="Duilian de Mãos EF - Equipe 2",22,IF(Atletas!V568="Duilian de Armas EF - Equipe 1",23,IF(Atletas!V568="Duilian de Armas EF - Equipe 2",24,IF(Atletas!V568="Duilian de Tuishou - Equipe 1",25,IF(Atletas!V568="Duilian de Tuishou - Equipe 2",26,"")))))))))))))))))))))))))))</f>
        <v/>
      </c>
    </row>
    <row r="573" spans="36:84">
      <c r="AJ573" s="46" t="str">
        <f>IF(Atletas!D569="","",IF(Atletas!B569="Feminino",100,IF(Atletas!B569="Masculino",200,""))+(IF(Atletas!D569="Infantil 39kg",1,IF(Atletas!D569="Infantil 42kg",2,IF(Atletas!D569="Infantil 45kg",3,IF(Atletas!D569="Infantil 48kg",4,IF(Atletas!D569="Infantil 52kg",5,IF(Atletas!D569="Infantil 56kg",6,IF(Atletas!D569="Infantil 60kg",7,IF(Atletas!D569="Juvenil 48kg",8,IF(Atletas!D569="Juvenil 52kg",9,IF(Atletas!D569="Juvenil 56kg",10,IF(Atletas!D569="Juvenil 60kg",11,IF(Atletas!D569="Juvenil 65kg",12,IF(Atletas!D569="Juvenil 70kg",13,IF(Atletas!D569="Juvenil 75kg",14,IF(Atletas!D569="Juvenil 80kg",15,IF(Atletas!D569="Adulto 48kg",16,IF(Atletas!D569="Adulto 52kg",17,IF(Atletas!D569="Adulto 56kg",18,IF(Atletas!D569="Adulto 60kg",19,IF(Atletas!D569="Adulto 65kg",20,IF(Atletas!D569="Adulto 70kg",21,IF(Atletas!D569="Adulto 75kg",22,IF(Atletas!D569="Adulto 80kg",23,IF(Atletas!D569="Adulto 85kg",24,IF(Atletas!D569="Adulto 90kg",25,IF(Atletas!D569="Adulto +90kg",26,""))))))))))))))))))))))))))))</f>
        <v/>
      </c>
      <c r="AO573" s="10" t="str">
        <f>IF(Atletas!E569="","",IF(Atletas!B569="Feminino",100,IF(Atletas!B569="Masculino",200,""))+(IF(Atletas!E569="Juvenil 44kg",1,IF(Atletas!E569="Juvenil 48kg",2,IF(Atletas!E569="Juvenil 52kg",3,IF(Atletas!E569="Juvenil 56kg",4,IF(Atletas!E569="Juvenil 60kg",5,IF(Atletas!E569="Juvenil 65kg",6,IF(Atletas!E569="Juvenil 70kg",7,IF(Atletas!E569="Juvenil 75kg",8,IF(Atletas!E569="Juvenil 82kg",9,IF(Atletas!E569="Juvenil 90kg",10,IF(Atletas!E569="Juvenil 100kg",11,IF(Atletas!E569="Adulto 48kg",12,IF(Atletas!E569="Adulto 52kg",13,IF(Atletas!E569="Adulto 56kg",14,IF(Atletas!E569="Adulto 60kg",15,IF(Atletas!E569="Adulto 65kg",16,IF(Atletas!E569="Adulto 70kg",17,IF(Atletas!E569="Adulto 75kg",18,IF(Atletas!E569="Adulto 82kg",19,IF(Atletas!E569="Adulto 90kg",20,IF(Atletas!E569="Adulto 100kg",21,IF(Atletas!E569="Adulto +100kg",22,""))))))))))))))))))))))))</f>
        <v/>
      </c>
      <c r="AT573" s="10" t="str">
        <f>IF(Atletas!F569="","",IF(Atletas!B569="Feminino",100,IF(Atletas!B569="Masculino",200,""))+(IF(Atletas!F569="Adulto 48kg",1,IF(Atletas!F569="Adulto 56kg",2,IF(Atletas!F569="Adulto 65kg",3,IF(Atletas!F569="Adulto 75kg",4,IF(Atletas!F569="Adulto +75kg",5,IF(Atletas!F569="Adulto 52kg",6,IF(Atletas!F569="Adulto 60kg",7,IF(Atletas!F569="Adulto 70kg",8,IF(Atletas!F569="Adulto 80kg",9,IF(Atletas!F569="Adulto 90kg",10,IF(Atletas!F569="Adulto +90kg",11,"")))))))))))))</f>
        <v/>
      </c>
      <c r="AY573" s="46" t="str">
        <f>IF(Atletas!G569="","",IF(Atletas!B569="Feminino",100,IF(Atletas!B569="Masculino",200,""))+(IF(Atletas!G569="Changquan Mirim",1,IF(Atletas!G569="Nanquan Mirim",2,IF(Atletas!G569="Taijiquan Mirim",3,IF(Atletas!G569="Changquan Grupo C",4,IF(Atletas!G569="Nanquan Grupo C",5,IF(Atletas!G569="Taijiquan Grupo C",6,IF(Atletas!G569="Changquan Grupo B",7,IF(Atletas!G569="Nanquan Grupo B",8,IF(Atletas!G569="Taijiquan Grupo B",9,IF(Atletas!G569="Changquan Grupo A",10,IF(Atletas!G569="Nanquan Grupo A",11,IF(Atletas!G569="Taijiquan Grupo A",12,IF(Atletas!G569="Changquan Opcional",13,IF(Atletas!G569="Nanquan Opcional",14,IF(Atletas!G569="Taijiquan Opcional",15,IF(Atletas!G569="Changquan Adulto",16,IF(Atletas!G569="Nanquan Adulto",17,IF(Atletas!G569="Taijiquan Adulto",18,""))))))))))))))))))))</f>
        <v/>
      </c>
      <c r="AZ573" s="46" t="str">
        <f>IF(Atletas!H569="","",IF(Atletas!B569="Feminino",100,IF(Atletas!B569="Masculino",200,""))+(IF(Atletas!H569="Daoshu Mirim",19,IF(Atletas!H569="Jianshu Mirim",20,IF(Atletas!H569="Nandao Mirim",21,IF(Atletas!H569="Taijijian Mirim",22,IF(Atletas!H569="Daoshu Grupo C",23,IF(Atletas!H569="Jianshu Grupo C",24,IF(Atletas!H569="Nandao Grupo C",25,IF(Atletas!H569="Taijijian Grupo C",26,IF(Atletas!H569="Daoshu Grupo B",27,IF(Atletas!H569="Jianshu Grupo B",28,IF(Atletas!H569="Nandao Grupo B",29,IF(Atletas!H569="Taijijian Grupo B",30,IF(Atletas!H569="Daoshu Grupo A",31,IF(Atletas!H569="Jianshu Grupo A",32,IF(Atletas!H569="Nandao Grupo A",33,IF(Atletas!H569="Taijijian Grupo A",34,IF(Atletas!H569="Daoshu Opcional",35,IF(Atletas!H569="Jianshu Opcional",36,IF(Atletas!H569="Nandao Opcional",37,IF(Atletas!H569="Taijijian Opcional",38,IF(Atletas!H569="Daoshu Adulto",39,IF(Atletas!H569="Jianshu Adulto",40,IF(Atletas!H569="Nandao Adulto",41,IF(Atletas!H569="Taijijian Adulto",42,""))))))))))))))))))))))))))</f>
        <v/>
      </c>
      <c r="BA573" s="46" t="str">
        <f>IF(Atletas!I569="","",IF(Atletas!B569="Feminino",100,IF(Atletas!B569="Masculino",200,""))+(IF(Atletas!I569="Gunshu Mirim",43,IF(Atletas!I569="Qiangshu Mirim",44,IF(Atletas!I569="Nangun Mirim",45,IF(Atletas!I569="Gunshu Grupo C",46,IF(Atletas!I569="Qiangshu Grupo C",47,IF(Atletas!I569="Nangun Grupo C",48,IF(Atletas!I569="Gunshu Grupo B",49,IF(Atletas!I569="Qiangshu Grupo B",50,IF(Atletas!I569="Nangun Grupo B",51,IF(Atletas!I569="Gunshu Grupo A",52,IF(Atletas!I569="Qiangshu Grupo A",53,IF(Atletas!I569="Nangun Grupo A",54,IF(Atletas!I569="Gunshu Opcional",55,IF(Atletas!I569="Qiangshu Opcional",56,IF(Atletas!I569="Nangun Opcional",57,IF(Atletas!I569="Gunshu Adulto",58,IF(Atletas!I569="Qiangshu Adulto",59,IF(Atletas!I569="Nangun Adulto",60,""))))))))))))))))))))</f>
        <v/>
      </c>
      <c r="BF573" s="52" t="str">
        <f>IF(Atletas!J569="","",IF(Atletas!B569="Feminino",100,IF(Atletas!B569="Masculino",200,""))+(IF(Atletas!J569="Equipe 1 Grupo B",1,IF(Atletas!J569="Equipe 2 Grupo B",2,IF(Atletas!J569="Equipe 1 Grupo A",3,IF(Atletas!J569="Equipe 2 Grupo A",4,IF(Atletas!J569="Equipe 1 Adulto",5,IF(Atletas!J569="Equipe 2 Adulto",6,""))))))))</f>
        <v/>
      </c>
      <c r="BK573" s="52" t="str">
        <f>IF(Atletas!K569="","",IF(Atletas!W569&lt;&gt;"",10000,0)+(IF(Atletas!B569="Feminino",1000,IF(Atletas!B569="Masculino",2000,""))+IF(Atletas!K569="Choylayfut A",1,IF(Atletas!K569="Hunggar A",2,IF(Atletas!K569="Wuzuquan A",3,IF(Atletas!K569="Wingchun A",4,IF(Atletas!K569="Outra Mão de Sul A",5,IF(Atletas!K569="Choylayfut B",6,IF(Atletas!K569="Hunggar B",7,IF(Atletas!K569="Wuzuquan B",8,IF(Atletas!K569="Wingchun B",9,IF(Atletas!K569="Outra Mão de Sul B",10,IF(Atletas!K569="Choylayfut C",11,IF(Atletas!K569="Hunggar C",12,IF(Atletas!K569="Wuzuquan C",13,IF(Atletas!K569="Wingchun C",14,IF(Atletas!K569="Outra Mão de Sul C",15,IF(Atletas!K569="Choylayfut D",16,IF(Atletas!K569="Hunggar D",17,IF(Atletas!K569="Wuzuquan D",18,IF(Atletas!K569="Wingchun D",19,IF(Atletas!K569="Outra Mão de Sul D",20,IF(Atletas!K569="Choylayfut E",21,IF(Atletas!K569="Hunggar E",22,IF(Atletas!K569="Wuzuquan E",23,IF(Atletas!K569="Wingchun E",24,IF(Atletas!K569="Outra Mão de Sul E",25,IF(Atletas!K569="Choylayfut F",26,IF(Atletas!K569="Hunggar F",27,IF(Atletas!K569="Wuzuquan F",28,IF(Atletas!K569="Wingchun F",29,IF(Atletas!K569="Outra Mão de Sul F",30,""))))))))))))))))))))))))))))))))</f>
        <v/>
      </c>
      <c r="BL573" s="52" t="str">
        <f>IF(Atletas!L569="","",IF(Atletas!W569&lt;&gt;"",10000,0)+(IF(Atletas!B569="Feminino",1000,IF(Atletas!B569="Masculino",2000,""))+(IF(Atletas!L569="Chaquan A",101,IF(Atletas!L569="Emeiquan A",102,IF(Atletas!L569="Fanziquan A",103,IF(Atletas!L569="Huaquan A",104,IF(Atletas!L569="Hongquan A",105,IF(Atletas!L569="Paochui A",106,IF(Atletas!L569="Piguaquan A",107,IF(Atletas!L569="Shaolinquan A",108,IF(Atletas!L569="Tanglangquan A",109,IF(Atletas!L569="Yinzhaophai A",110,IF(Atletas!L569="Tongbeiquan A",111,IF(Atletas!L569="Wudangquan A",112,IF(Atletas!L569="Outros Estilos A",113,IF(Atletas!L569="Chaquan B",114,IF(Atletas!L569="Emeiquan B",115,IF(Atletas!L569="Fanziquan B",116,IF(Atletas!L569="Huaquan B",117,IF(Atletas!L569="Hongquan B",118,IF(Atletas!L569="Paochui B",119,IF(Atletas!L569="Piguaquan B",120,IF(Atletas!L569="Shaolinquan B",121,IF(Atletas!L569="Tanglangquan B",122,IF(Atletas!L569="Yinzhaophai B",123,IF(Atletas!L569="Tongbeiquan B",124,IF(Atletas!L569="Wudangquan B",125,IF(Atletas!L569="Outros Estilos B",126,IF(Atletas!L569="Chaquan C",127,IF(Atletas!L569="Emeiquan C",128,IF(Atletas!L569="Fanziquan C",129,IF(Atletas!L569="Huaquan C",130,IF(Atletas!L569="Hongquan C",131,IF(Atletas!L569="Paochui C",132,IF(Atletas!L569="Piguaquan C",133,IF(Atletas!L569="Shaolinquan C",134,IF(Atletas!L569="Tanglangquan C",135,IF(Atletas!L569="Yinzhaophai C",136,IF(Atletas!L569="Tongbeiquan C",137,IF(Atletas!L569="Wudangquan C",138,IF(Atletas!L569="Outros Estilos C",139,0))))))))))))))))))))))))))))))))))))))))))</f>
        <v/>
      </c>
      <c r="BM573" s="52" t="str">
        <f>IF(Atletas!L569="","",IF(Atletas!W569&lt;&gt;"",10000,0)+(IF(Atletas!B569="Feminino",1000,IF(Atletas!B569="Masculino",2000,""))+(IF(Atletas!L569="Chaquan D",140,IF(Atletas!L569="Emeiquan D",141,IF(Atletas!L569="Fanziquan D",142,IF(Atletas!L569="Huaquan D",143,IF(Atletas!L569="Hongquan D",144,IF(Atletas!L569="Paochui D",145,IF(Atletas!L569="Piguaquan D",146,IF(Atletas!L569="Shaolinquan D",147,IF(Atletas!L569="Tanglangquan D",148,IF(Atletas!L569="Yinzhaophai D",149,IF(Atletas!L569="Tongbeiquan D",150,IF(Atletas!L569="Wudangquan D",151,IF(Atletas!L569="Outros Estilos D",152,IF(Atletas!L569="Chaquan E",153,IF(Atletas!L569="Emeiquan E",154,IF(Atletas!L569="Fanziquan E",155,IF(Atletas!L569="Huaquan E",156,IF(Atletas!L569="Hongquan E",157,IF(Atletas!L569="Paochui E",158,IF(Atletas!L569="Piguaquan E",159,IF(Atletas!L569="Shaolinquan E",160,IF(Atletas!L569="Tanglangquan E",161,IF(Atletas!L569="Yinzhaophai E",162,IF(Atletas!L569="Tongbeiquan E",163,IF(Atletas!L569="Wudangquan E",164,IF(Atletas!L569="Outros Estilos E",165,IF(Atletas!L569="Chaquan F",166,IF(Atletas!L569="Emeiquan F",167,IF(Atletas!L569="Fanziquan F",168,IF(Atletas!L569="Huaquan F",169,IF(Atletas!L569="Hongquan F",170,IF(Atletas!L569="Paochui F",171,IF(Atletas!L569="Piguaquan F",172,IF(Atletas!L569="Shaolinquan F",173,IF(Atletas!L569="Tanglangquan F",174,IF(Atletas!L569="Yinzhaophai F",175,IF(Atletas!L569="Tongbeiquan F",176,IF(Atletas!L569="Wudangquan F",177,IF(Atletas!L569="Outros Estilos F",178,0))))))))))))))))))))))))))))))))))))))))))</f>
        <v/>
      </c>
      <c r="BN573" s="52" t="str">
        <f>IF(Atletas!M569="","",IF(Atletas!W569&lt;&gt;"",10000,0)+(IF(Atletas!B569="Feminino",1000,IF(Atletas!B569="Masculino",2000,""))+(IF(Atletas!M569="Ditangquan A",201,IF(Atletas!M569="Houquan A",202,IF(Atletas!M569="Zuiquan A",203,IF(Atletas!M569="Ditangquan B",204,IF(Atletas!M569="Houquan B",205,IF(Atletas!M569="Zuiquan B",206,IF(Atletas!M569="Ditangquan C",207,IF(Atletas!M569="Houquan C",208,IF(Atletas!M569="Zuiquan C",209,IF(Atletas!M569="Ditangquan D",210,IF(Atletas!M569="Houquan D",211,IF(Atletas!M569="Zuiquan D",212,IF(Atletas!M569="Ditangquan E",213,IF(Atletas!M569="Houquan E",214,IF(Atletas!M569="Zuiquan E",215,IF(Atletas!M569="Ditangquan F",216,IF(Atletas!M569="Houquan F",217,IF(Atletas!M569="Zuiquan F",218,"")))))))))))))))))))))</f>
        <v/>
      </c>
      <c r="BO573" s="52" t="str">
        <f>IF(Atletas!N569="","",IF(Atletas!W569&lt;&gt;"",10000,0)+IF(Atletas!B569="Feminino",1000,IF(Atletas!B569="Masculino",2000,""))+IF(Atletas!N569="Yang A",301,IF(Atletas!N569="Chen A",30,IF(Atletas!N569="Sun A",303,IF(Atletas!N569="Wu A",304,IF(Atletas!N569="Wu-Hao A",305,IF(Atletas!N569="Outro Taijiquan A",306,IF(Atletas!N569="Yang B",307,IF(Atletas!N569="Chen B",308,IF(Atletas!N569="Sun B",309,IF(Atletas!N569="Wu B",310,IF(Atletas!N569="Wu-Hao B",311,IF(Atletas!N569="Outro Taijiquan B",312,IF(Atletas!N569="Yang C",313,IF(Atletas!N569="Chen C",314,IF(Atletas!N569="Sun C",315,IF(Atletas!N569="Wu C",316,IF(Atletas!N569="Wu-Hao C",317,IF(Atletas!N569="Outro Taijiquan C",318,IF(Atletas!N569="Yang D",319,IF(Atletas!N569="Chen D",320,IF(Atletas!N569="Sun D",321,IF(Atletas!N569="Wu D",322,IF(Atletas!N569="Wu-Hao D",323,IF(Atletas!N569="Outro Taijiquan D",324,IF(Atletas!N569="Yang E",325,IF(Atletas!N569="Chen E",326,IF(Atletas!N569="Sun E",327,IF(Atletas!N569="Wu E",328,IF(Atletas!N569="Wu-Hao E",329,IF(Atletas!N569="Outro Taijiquan E",330,IF(Atletas!N569="Yang F",331,IF(Atletas!N569="Chen F",332,IF(Atletas!N569="Sun F",333,IF(Atletas!N569="Wu F",334,IF(Atletas!N569="Wu-Hao F",335,IF(Atletas!N569="Outro Taijiquan F",336,"")))))))))))))))))))))))))))))))))))))</f>
        <v/>
      </c>
      <c r="BP573" s="52" t="str">
        <f>IF(Atletas!O569="","",IF(Atletas!W569&lt;&gt;"",10000,0)+IF(Atletas!B569="Feminino",1000,IF(Atletas!B569="Masculino",2000,""))+IF(OR(Atletas!O569="Yang 26 A",Atletas!O569="Yang 40 A"),401,IF(OR(Atletas!O569="Chen 25 A",Atletas!O569="Chen 36 A",Atletas!O569="Chen 56 A"),402,IF(Atletas!O569="Sun 73 A",403,IF(Atletas!O569="Wu 45 A",404,IF(Atletas!O569="Wu-Hao 46 A",405,IF(OR(Atletas!O569="Taijiquan 16 A",Atletas!O569="Taijiquan 24 A",Atletas!O569="Taijiquan 32 A",Atletas!O569="Taijiquan 42 A"),406,IF(OR(Atletas!O569="Yang 26 B",Atletas!O569="Yang 40 B"),407,IF(OR(Atletas!O569="Chen 25 B",Atletas!O569="Chen 36 B",Atletas!O569="Chen 56 B"),408,IF(Atletas!O569="Sun 73 B",409,IF(Atletas!O569="Wu 45 B",410,IF(Atletas!O569="Wu-Hao 46 B",411,IF(OR(Atletas!O569="Taijiquan 16 B",Atletas!O569="Taijiquan 24 B",Atletas!O569="Taijiquan 32 B",Atletas!O569="Taijiquan 42 B"),412,IF(OR(Atletas!O569="Yang 26 C",Atletas!O569="Yang 40 C"),413,IF(OR(Atletas!O569="Chen 25 C",Atletas!O569="Chen 36 C",Atletas!O569="Chen 56 C"),414,IF(Atletas!O569="Sun 73 C",415,IF(Atletas!O569="Wu 45 C",416,IF(Atletas!O569="Wu-Hao 46 C",417,IF(OR(Atletas!O569="Taijiquan 16 C",Atletas!O569="Taijiquan 24 C",Atletas!O569="Taijiquan 32 C",Atletas!O569="Taijiquan 42 C"),418,0)))))))))))))))))))</f>
        <v/>
      </c>
      <c r="BQ573" s="52" t="str">
        <f>IF(Atletas!O569="","",IF(Atletas!W569&lt;&gt;"",10000,0)+IF(Atletas!B569="Feminino",1000,IF(Atletas!B569="Masculino",2000,""))+IF(OR(Atletas!O569="Yang 26 D",Atletas!O569="Yang 40 D"),419,IF(OR(Atletas!O569="Chen 25 D",Atletas!O569="Chen 36 D",Atletas!O569="Chen 56 D"),420,IF(Atletas!O569="Sun 73 D",421,IF(Atletas!O569="Wu 45 D",422,IF(Atletas!O569="Wu-Hao 46 D",423,IF(OR(Atletas!O569="Taijiquan 16 D",Atletas!O569="Taijiquan 24 D",Atletas!O569="Taijiquan 32 D",Atletas!O569="Taijiquan 42 D"),424,IF(OR(Atletas!O569="Yang 26 E",Atletas!O569="Yang 40 E"),425,IF(OR(Atletas!O569="Chen 25 E",Atletas!O569="Chen 36 E",Atletas!O569="Chen 56 E"),426,IF(Atletas!O569="Sun 73 E",427,IF(Atletas!O569="Wu 45 E",428,IF(Atletas!O569="Wu-Hao 46 E",429,IF(OR(Atletas!O569="Taijiquan 16 E",Atletas!O569="Taijiquan 24 E",Atletas!O569="Taijiquan 32 E",Atletas!O569="Taijiquan 42 E"),430,IF(OR(Atletas!O569="Yang 26 F",Atletas!O569="Yang 40 F"),431,IF(OR(Atletas!O569="Chen 25 F",Atletas!O569="Chen 36 F",Atletas!O569="Chen 56 F"),432,IF(Atletas!O569="Sun 73 F",433,IF(Atletas!O569="Wu 45 F",434,IF(Atletas!O569="Wu-Hao 46 F",435,IF(OR(Atletas!O569="Taijiquan 16 F",Atletas!O569="Taijiquan 24 F",Atletas!O569="Taijiquan 32 F",Atletas!O569="Taijiquan 42 F"),436,0)))))))))))))))))))</f>
        <v/>
      </c>
      <c r="BR573" s="52" t="str">
        <f>IF(Atletas!P569="","",IF(Atletas!W569&lt;&gt;"",10000,0)+IF(Atletas!B569="Feminino",1000,IF(Atletas!B569="Masculino",2000,""))+IF(Atletas!P569="Xingyiquan A",501,IF(Atletas!P569="Baguazhang A",502,IF(Atletas!P569="Outro Estilo Interno A",503,IF(Atletas!P569="Xingyiquan B",504,IF(Atletas!P569="Baguazhang B",505,IF(Atletas!P569="Outro Estilo Interno B",506,IF(Atletas!P569="Xingyiquan C",507,IF(Atletas!P569="Baguazhang C",508,IF(Atletas!P569="Outro Estilo Interno C",509,IF(Atletas!P569="Xingyiquan D",510,IF(Atletas!P569="Baguazhang D",511,IF(Atletas!P569="Outro Estilo Interno D",512,IF(Atletas!P569="Xingyiquan E",513,IF(Atletas!P569="Baguazhang E",514,IF(Atletas!P569="Outro Estilo Interno E",515,IF(Atletas!P569="Xingyiquan F",516,IF(Atletas!P569="Baguazhang F",517,IF(Atletas!P569="Outro Estilo Interno F",518, "")))))))))))))))))))</f>
        <v/>
      </c>
      <c r="BS573" s="52" t="str">
        <f>IF(Atletas!Q569="","",IF(Atletas!W569&lt;&gt;"",10000,0)+IF(Atletas!B569="Feminino",1000,IF(Atletas!B569="Masculino",2000,""))+IF(Atletas!Q569="Dao A",601,IF(Atletas!Q569="Jian A",602,IF(Atletas!Q569="Bishou A",603,IF(Atletas!Q569="Shan A",604,IF(Atletas!Q569="Outra Arma Curta A",605,IF(Atletas!Q569="Dao B",606,IF(Atletas!Q569="Jian B",607,IF(Atletas!Q569="Bishou B",608,IF(Atletas!Q569="Shan B",609,IF(Atletas!Q569="Outra Arma Curta B",610,IF(Atletas!Q569="Dao C",611,IF(Atletas!Q569="Jian C",612,IF(Atletas!Q569="Bishou C",613,IF(Atletas!Q569="Shan C",614,IF(Atletas!Q569="Outra Arma Curta C",615,IF(Atletas!Q569="Dao D",616,IF(Atletas!Q569="Jian D",617,IF(Atletas!Q569="Bishou D",618,IF(Atletas!Q569="Shan D",619,IF(Atletas!Q569="Outra Arma Curta D",620,IF(Atletas!Q569="Dao E",621,IF(Atletas!Q569="Jian E",622,IF(Atletas!Q569="Bishou E",623,IF(Atletas!Q569="Shan E",624,IF(Atletas!Q569="Outra Arma Curta E",625,IF(Atletas!Q569="Dao F",626,IF(Atletas!Q569="Jian F",627,IF(Atletas!Q569="Bishou F",628,IF(Atletas!Q569="Shan F",629,IF(Atletas!Q569="Outra Arma Curta F",630, "")))))))))))))))))))))))))))))))</f>
        <v/>
      </c>
      <c r="BT573" s="52" t="str">
        <f>IF(Atletas!R569="","",IF(Atletas!W569&lt;&gt;"",10000,0)+IF(Atletas!B569="Feminino",1000,IF(Atletas!B569="Masculino",2000,""))+IF(Atletas!R569="Gun A",701,IF(Atletas!R569="Qiang A",702,IF(Atletas!R569="Pudao / Guandao A",703,IF(Atletas!R569="Outra Arma Longa A",704,IF(Atletas!R569="Gun B",705,IF(Atletas!R569="Qiang B",706,IF(Atletas!R569="Pudao / Guandao B",707,IF(Atletas!R569="Outra Arma Longa B",708,IF(Atletas!R569="Gun C",709,IF(Atletas!R569="Qiang C",710,IF(Atletas!R569="Pudao / Guandao C",711,IF(Atletas!R569="Outra Arma Longa C",712,IF(Atletas!R569="Gun D",713,IF(Atletas!R569="Qiang D",714,IF(Atletas!R569="Pudao / Guandao D",715,IF(Atletas!R569="Outra Arma Longa D",716,IF(Atletas!R569="Gun E",717,IF(Atletas!R569="Qiang E",718,IF(Atletas!R569="Pudao / Guandao E",719,IF(Atletas!R569="Outra Arma Longa E",720,IF(Atletas!R569="Gun F",721,IF(Atletas!R569="Qiang F",722,IF(Atletas!R569="Pudao / Guandao F",723,IF(Atletas!R569="Outra Arma Longa F",724,"")))))))))))))))))))))))))</f>
        <v/>
      </c>
      <c r="BU573" s="52" t="str">
        <f>IF(Atletas!S569="","",IF(Atletas!W569&lt;&gt;"",10000,0)+IF(Atletas!B569="Feminino",1000,IF(Atletas!B569="Masculino",2000,""))+IF(Atletas!S569="Arma Dupla A",801,IF(Atletas!S569="Arma Maleável A",802,IF(Atletas!S569="Arma Dupla B",803,IF(Atletas!S569="Arma Maleável B",804,IF(Atletas!S569="Arma Dupla C",805,IF(Atletas!S569="Arma Maleável C",806,IF(Atletas!S569="Arma Dupla D",807,IF(Atletas!S569="Arma Maleável D",808,IF(Atletas!S569="Arma Dupla E",809,IF(Atletas!S569="Arma Maleável E",810,IF(Atletas!S569="Arma Dupla F",811,IF(Atletas!S569="Arma Maleável F",812, "")))))))))))))</f>
        <v/>
      </c>
      <c r="BV573" s="52" t="str">
        <f>IF(Atletas!T569="","",IF(Atletas!W569&lt;&gt;"",10000,0)+IF(Atletas!B569="Feminino",1000,IF(Atletas!B569="Masculino",2000,""))+IF(Atletas!T569="Taijijian Yang A",901,IF(Atletas!T569="Taijijian Chen A",902,IF(Atletas!T569="Taijijian Sun A",903,IF(Atletas!T569="Taijijian Wu A",904,IF(Atletas!T569="Taijijian Wu-Hao A",905,IF(Atletas!T569="Taijijian 32 A",906,IF(Atletas!T569="Taijijian 42 A",907,IF(Atletas!T569="Taijijian Yang B",908,IF(Atletas!T569="Taijijian Chen B",909,IF(Atletas!T569="Taijijian Sun B",910,IF(Atletas!T569="Taijijian Wu B",911,IF(Atletas!T569="Taijijian Wu-Hao B",912,IF(Atletas!T569="Taijijian 32 B",913,IF(Atletas!T569="Taijijian 42 B",914,IF(Atletas!T569="Taijijian Yang C",915,IF(Atletas!T569="Taijijian Chen C",916,IF(Atletas!T569="Taijijian Sun C",917,IF(Atletas!T569="Taijijian Wu C",918,IF(Atletas!T569="Taijijian Wu-Hao C",919,IF(Atletas!T569="Taijijian 32 C",920,IF(Atletas!T569="Taijijian 42 C",921,IF(Atletas!T569="Taijijian Yang D",922,IF(Atletas!T569="Taijijian Chen D",923,IF(Atletas!T569="Taijijian Sun D",924,IF(Atletas!T569="Taijijian Wu D",925,IF(Atletas!T569="Taijijian Wu-Hao D",926,IF(Atletas!T569="Taijijian 32 D",927,IF(Atletas!T569="Taijijian 42 D",928,IF(Atletas!T569="Taijijian Yang E",929,IF(Atletas!T569="Taijijian Chen E",930,IF(Atletas!T569="Taijijian Sun E",931,IF(Atletas!T569="Taijijian Wu E",932,IF(Atletas!T569="Taijijian Wu-Hao E",933,IF(Atletas!T569="Taijijian 32 E",934,IF(Atletas!T569="Taijijian 42 E",935,IF(Atletas!T569="Taijijian Yang F",936,IF(Atletas!T569="Taijijian Chen F",937,IF(Atletas!T569="Taijijian Sun F",938,IF(Atletas!T569="Taijijian Wu F",939,IF(Atletas!T569="Taijijian Wu-Hao F",940,IF(Atletas!T569="Taijijian 32 F",941,IF(Atletas!T569="Taijijian 42 F",942,"")))))))))))))))))))))))))))))))))))))))))))</f>
        <v/>
      </c>
      <c r="BW573" s="52" t="str">
        <f>IF(Atletas!U569="","",IF(Atletas!W569&lt;&gt;"",10000,0)+IF(Atletas!B569="Feminino",1000,IF(Atletas!B569="Masculino",2000,""))+IF(Atletas!T569="Taijijian 42 F",942,IF(Atletas!U569="Taijidao A",943,IF(Atletas!U569="Taijishan A",944,IF(Atletas!U569="Taijiqiang A",945,IF(Atletas!U569="Taijidao B",946,IF(Atletas!U569="Taijishan B",947,IF(Atletas!U569="Taijiqiang B",948,IF(Atletas!U569="Taijidao C",949,IF(Atletas!U569="Taijishan C",950,IF(Atletas!U569="Taijiqiang C",951,IF(Atletas!U569="Taijidao D",952,IF(Atletas!U569="Taijishan D",953,IF(Atletas!U569="Taijiqiang D",954,IF(Atletas!U569="Taijidao E",955,IF(Atletas!U569="Taijishan E",956,IF(Atletas!U569="Taijiqiang E",957,IF(Atletas!U569="Taijidao F",958,IF(Atletas!U569="Taijishan F",959,IF(Atletas!U569="Taijiqiang F",960))))))))))))))))))))</f>
        <v/>
      </c>
      <c r="CF573" s="52" t="str">
        <f xml:space="preserve"> IF(Atletas!V569="","",IF(Atletas!V569="Duilian de Mãos AB - Equipe 1",1,IF(Atletas!V569="Duilian de Mãos AB - Equipe 2",2,IF(Atletas!V569="Duilian de Armas AB - Equipe 1",3,IF(Atletas!V569="Duilian de Armas AB - Equipe 2",4,IF(Atletas!V569="Duilian de Tuishou - Equipe 1",5,IF(Atletas!V569="Duilian de Tuishou - Equipe 2",6,IF(Atletas!V569="Grupo Externo AB - Equipe 1",7,IF(Atletas!V569="Grupo Externo AB - Equipe 2",8,IF(Atletas!V569="Grupo Interno AB - Equipe 1",9,IF(Atletas!V569="Grupo Interno AB - Equipe 2",10,IF(Atletas!V569="Duilian de Mãos CD - Equipe 1",11,IF(Atletas!V569="Duilian de Mãos CD - Equipe 2",12,IF(Atletas!V569="Duilian de Armas CD - Equipe 1",13,IF(Atletas!V569="Duilian de Armas CD - Equipe 2",14,IF(Atletas!V569="Duilian de Tuishou - Equipe 1",15,IF(Atletas!V569="Duilian de Tuishou - Equipe 2",16,IF(Atletas!V569="Grupo Externo CDEF - Equipe 1",17,IF(Atletas!V569="Grupo Externo CDEF - Equipe 2",18,IF(Atletas!V569="Grupo Interno CDEF - Equipe 1",19,IF(Atletas!V569="Grupo Interno CDEF - Equipe 2",20,IF(Atletas!V569="Duilian de Mãos EF - Equipe 1",21,IF(Atletas!V569="Duilian de Mãos EF - Equipe 2",22,IF(Atletas!V569="Duilian de Armas EF - Equipe 1",23,IF(Atletas!V569="Duilian de Armas EF - Equipe 2",24,IF(Atletas!V569="Duilian de Tuishou - Equipe 1",25,IF(Atletas!V569="Duilian de Tuishou - Equipe 2",26,"")))))))))))))))))))))))))))</f>
        <v/>
      </c>
    </row>
    <row r="574" spans="36:84">
      <c r="AJ574" s="46" t="str">
        <f>IF(Atletas!D570="","",IF(Atletas!B570="Feminino",100,IF(Atletas!B570="Masculino",200,""))+(IF(Atletas!D570="Infantil 39kg",1,IF(Atletas!D570="Infantil 42kg",2,IF(Atletas!D570="Infantil 45kg",3,IF(Atletas!D570="Infantil 48kg",4,IF(Atletas!D570="Infantil 52kg",5,IF(Atletas!D570="Infantil 56kg",6,IF(Atletas!D570="Infantil 60kg",7,IF(Atletas!D570="Juvenil 48kg",8,IF(Atletas!D570="Juvenil 52kg",9,IF(Atletas!D570="Juvenil 56kg",10,IF(Atletas!D570="Juvenil 60kg",11,IF(Atletas!D570="Juvenil 65kg",12,IF(Atletas!D570="Juvenil 70kg",13,IF(Atletas!D570="Juvenil 75kg",14,IF(Atletas!D570="Juvenil 80kg",15,IF(Atletas!D570="Adulto 48kg",16,IF(Atletas!D570="Adulto 52kg",17,IF(Atletas!D570="Adulto 56kg",18,IF(Atletas!D570="Adulto 60kg",19,IF(Atletas!D570="Adulto 65kg",20,IF(Atletas!D570="Adulto 70kg",21,IF(Atletas!D570="Adulto 75kg",22,IF(Atletas!D570="Adulto 80kg",23,IF(Atletas!D570="Adulto 85kg",24,IF(Atletas!D570="Adulto 90kg",25,IF(Atletas!D570="Adulto +90kg",26,""))))))))))))))))))))))))))))</f>
        <v/>
      </c>
      <c r="AO574" s="10" t="str">
        <f>IF(Atletas!E570="","",IF(Atletas!B570="Feminino",100,IF(Atletas!B570="Masculino",200,""))+(IF(Atletas!E570="Juvenil 44kg",1,IF(Atletas!E570="Juvenil 48kg",2,IF(Atletas!E570="Juvenil 52kg",3,IF(Atletas!E570="Juvenil 56kg",4,IF(Atletas!E570="Juvenil 60kg",5,IF(Atletas!E570="Juvenil 65kg",6,IF(Atletas!E570="Juvenil 70kg",7,IF(Atletas!E570="Juvenil 75kg",8,IF(Atletas!E570="Juvenil 82kg",9,IF(Atletas!E570="Juvenil 90kg",10,IF(Atletas!E570="Juvenil 100kg",11,IF(Atletas!E570="Adulto 48kg",12,IF(Atletas!E570="Adulto 52kg",13,IF(Atletas!E570="Adulto 56kg",14,IF(Atletas!E570="Adulto 60kg",15,IF(Atletas!E570="Adulto 65kg",16,IF(Atletas!E570="Adulto 70kg",17,IF(Atletas!E570="Adulto 75kg",18,IF(Atletas!E570="Adulto 82kg",19,IF(Atletas!E570="Adulto 90kg",20,IF(Atletas!E570="Adulto 100kg",21,IF(Atletas!E570="Adulto +100kg",22,""))))))))))))))))))))))))</f>
        <v/>
      </c>
      <c r="AT574" s="10" t="str">
        <f>IF(Atletas!F570="","",IF(Atletas!B570="Feminino",100,IF(Atletas!B570="Masculino",200,""))+(IF(Atletas!F570="Adulto 48kg",1,IF(Atletas!F570="Adulto 56kg",2,IF(Atletas!F570="Adulto 65kg",3,IF(Atletas!F570="Adulto 75kg",4,IF(Atletas!F570="Adulto +75kg",5,IF(Atletas!F570="Adulto 52kg",6,IF(Atletas!F570="Adulto 60kg",7,IF(Atletas!F570="Adulto 70kg",8,IF(Atletas!F570="Adulto 80kg",9,IF(Atletas!F570="Adulto 90kg",10,IF(Atletas!F570="Adulto +90kg",11,"")))))))))))))</f>
        <v/>
      </c>
      <c r="AY574" s="46" t="str">
        <f>IF(Atletas!G570="","",IF(Atletas!B570="Feminino",100,IF(Atletas!B570="Masculino",200,""))+(IF(Atletas!G570="Changquan Mirim",1,IF(Atletas!G570="Nanquan Mirim",2,IF(Atletas!G570="Taijiquan Mirim",3,IF(Atletas!G570="Changquan Grupo C",4,IF(Atletas!G570="Nanquan Grupo C",5,IF(Atletas!G570="Taijiquan Grupo C",6,IF(Atletas!G570="Changquan Grupo B",7,IF(Atletas!G570="Nanquan Grupo B",8,IF(Atletas!G570="Taijiquan Grupo B",9,IF(Atletas!G570="Changquan Grupo A",10,IF(Atletas!G570="Nanquan Grupo A",11,IF(Atletas!G570="Taijiquan Grupo A",12,IF(Atletas!G570="Changquan Opcional",13,IF(Atletas!G570="Nanquan Opcional",14,IF(Atletas!G570="Taijiquan Opcional",15,IF(Atletas!G570="Changquan Adulto",16,IF(Atletas!G570="Nanquan Adulto",17,IF(Atletas!G570="Taijiquan Adulto",18,""))))))))))))))))))))</f>
        <v/>
      </c>
      <c r="AZ574" s="46" t="str">
        <f>IF(Atletas!H570="","",IF(Atletas!B570="Feminino",100,IF(Atletas!B570="Masculino",200,""))+(IF(Atletas!H570="Daoshu Mirim",19,IF(Atletas!H570="Jianshu Mirim",20,IF(Atletas!H570="Nandao Mirim",21,IF(Atletas!H570="Taijijian Mirim",22,IF(Atletas!H570="Daoshu Grupo C",23,IF(Atletas!H570="Jianshu Grupo C",24,IF(Atletas!H570="Nandao Grupo C",25,IF(Atletas!H570="Taijijian Grupo C",26,IF(Atletas!H570="Daoshu Grupo B",27,IF(Atletas!H570="Jianshu Grupo B",28,IF(Atletas!H570="Nandao Grupo B",29,IF(Atletas!H570="Taijijian Grupo B",30,IF(Atletas!H570="Daoshu Grupo A",31,IF(Atletas!H570="Jianshu Grupo A",32,IF(Atletas!H570="Nandao Grupo A",33,IF(Atletas!H570="Taijijian Grupo A",34,IF(Atletas!H570="Daoshu Opcional",35,IF(Atletas!H570="Jianshu Opcional",36,IF(Atletas!H570="Nandao Opcional",37,IF(Atletas!H570="Taijijian Opcional",38,IF(Atletas!H570="Daoshu Adulto",39,IF(Atletas!H570="Jianshu Adulto",40,IF(Atletas!H570="Nandao Adulto",41,IF(Atletas!H570="Taijijian Adulto",42,""))))))))))))))))))))))))))</f>
        <v/>
      </c>
      <c r="BA574" s="46" t="str">
        <f>IF(Atletas!I570="","",IF(Atletas!B570="Feminino",100,IF(Atletas!B570="Masculino",200,""))+(IF(Atletas!I570="Gunshu Mirim",43,IF(Atletas!I570="Qiangshu Mirim",44,IF(Atletas!I570="Nangun Mirim",45,IF(Atletas!I570="Gunshu Grupo C",46,IF(Atletas!I570="Qiangshu Grupo C",47,IF(Atletas!I570="Nangun Grupo C",48,IF(Atletas!I570="Gunshu Grupo B",49,IF(Atletas!I570="Qiangshu Grupo B",50,IF(Atletas!I570="Nangun Grupo B",51,IF(Atletas!I570="Gunshu Grupo A",52,IF(Atletas!I570="Qiangshu Grupo A",53,IF(Atletas!I570="Nangun Grupo A",54,IF(Atletas!I570="Gunshu Opcional",55,IF(Atletas!I570="Qiangshu Opcional",56,IF(Atletas!I570="Nangun Opcional",57,IF(Atletas!I570="Gunshu Adulto",58,IF(Atletas!I570="Qiangshu Adulto",59,IF(Atletas!I570="Nangun Adulto",60,""))))))))))))))))))))</f>
        <v/>
      </c>
      <c r="BF574" s="52" t="str">
        <f>IF(Atletas!J570="","",IF(Atletas!B570="Feminino",100,IF(Atletas!B570="Masculino",200,""))+(IF(Atletas!J570="Equipe 1 Grupo B",1,IF(Atletas!J570="Equipe 2 Grupo B",2,IF(Atletas!J570="Equipe 1 Grupo A",3,IF(Atletas!J570="Equipe 2 Grupo A",4,IF(Atletas!J570="Equipe 1 Adulto",5,IF(Atletas!J570="Equipe 2 Adulto",6,""))))))))</f>
        <v/>
      </c>
      <c r="BK574" s="52" t="str">
        <f>IF(Atletas!K570="","",IF(Atletas!W570&lt;&gt;"",10000,0)+(IF(Atletas!B570="Feminino",1000,IF(Atletas!B570="Masculino",2000,""))+IF(Atletas!K570="Choylayfut A",1,IF(Atletas!K570="Hunggar A",2,IF(Atletas!K570="Wuzuquan A",3,IF(Atletas!K570="Wingchun A",4,IF(Atletas!K570="Outra Mão de Sul A",5,IF(Atletas!K570="Choylayfut B",6,IF(Atletas!K570="Hunggar B",7,IF(Atletas!K570="Wuzuquan B",8,IF(Atletas!K570="Wingchun B",9,IF(Atletas!K570="Outra Mão de Sul B",10,IF(Atletas!K570="Choylayfut C",11,IF(Atletas!K570="Hunggar C",12,IF(Atletas!K570="Wuzuquan C",13,IF(Atletas!K570="Wingchun C",14,IF(Atletas!K570="Outra Mão de Sul C",15,IF(Atletas!K570="Choylayfut D",16,IF(Atletas!K570="Hunggar D",17,IF(Atletas!K570="Wuzuquan D",18,IF(Atletas!K570="Wingchun D",19,IF(Atletas!K570="Outra Mão de Sul D",20,IF(Atletas!K570="Choylayfut E",21,IF(Atletas!K570="Hunggar E",22,IF(Atletas!K570="Wuzuquan E",23,IF(Atletas!K570="Wingchun E",24,IF(Atletas!K570="Outra Mão de Sul E",25,IF(Atletas!K570="Choylayfut F",26,IF(Atletas!K570="Hunggar F",27,IF(Atletas!K570="Wuzuquan F",28,IF(Atletas!K570="Wingchun F",29,IF(Atletas!K570="Outra Mão de Sul F",30,""))))))))))))))))))))))))))))))))</f>
        <v/>
      </c>
      <c r="BL574" s="52" t="str">
        <f>IF(Atletas!L570="","",IF(Atletas!W570&lt;&gt;"",10000,0)+(IF(Atletas!B570="Feminino",1000,IF(Atletas!B570="Masculino",2000,""))+(IF(Atletas!L570="Chaquan A",101,IF(Atletas!L570="Emeiquan A",102,IF(Atletas!L570="Fanziquan A",103,IF(Atletas!L570="Huaquan A",104,IF(Atletas!L570="Hongquan A",105,IF(Atletas!L570="Paochui A",106,IF(Atletas!L570="Piguaquan A",107,IF(Atletas!L570="Shaolinquan A",108,IF(Atletas!L570="Tanglangquan A",109,IF(Atletas!L570="Yinzhaophai A",110,IF(Atletas!L570="Tongbeiquan A",111,IF(Atletas!L570="Wudangquan A",112,IF(Atletas!L570="Outros Estilos A",113,IF(Atletas!L570="Chaquan B",114,IF(Atletas!L570="Emeiquan B",115,IF(Atletas!L570="Fanziquan B",116,IF(Atletas!L570="Huaquan B",117,IF(Atletas!L570="Hongquan B",118,IF(Atletas!L570="Paochui B",119,IF(Atletas!L570="Piguaquan B",120,IF(Atletas!L570="Shaolinquan B",121,IF(Atletas!L570="Tanglangquan B",122,IF(Atletas!L570="Yinzhaophai B",123,IF(Atletas!L570="Tongbeiquan B",124,IF(Atletas!L570="Wudangquan B",125,IF(Atletas!L570="Outros Estilos B",126,IF(Atletas!L570="Chaquan C",127,IF(Atletas!L570="Emeiquan C",128,IF(Atletas!L570="Fanziquan C",129,IF(Atletas!L570="Huaquan C",130,IF(Atletas!L570="Hongquan C",131,IF(Atletas!L570="Paochui C",132,IF(Atletas!L570="Piguaquan C",133,IF(Atletas!L570="Shaolinquan C",134,IF(Atletas!L570="Tanglangquan C",135,IF(Atletas!L570="Yinzhaophai C",136,IF(Atletas!L570="Tongbeiquan C",137,IF(Atletas!L570="Wudangquan C",138,IF(Atletas!L570="Outros Estilos C",139,0))))))))))))))))))))))))))))))))))))))))))</f>
        <v/>
      </c>
      <c r="BM574" s="52" t="str">
        <f>IF(Atletas!L570="","",IF(Atletas!W570&lt;&gt;"",10000,0)+(IF(Atletas!B570="Feminino",1000,IF(Atletas!B570="Masculino",2000,""))+(IF(Atletas!L570="Chaquan D",140,IF(Atletas!L570="Emeiquan D",141,IF(Atletas!L570="Fanziquan D",142,IF(Atletas!L570="Huaquan D",143,IF(Atletas!L570="Hongquan D",144,IF(Atletas!L570="Paochui D",145,IF(Atletas!L570="Piguaquan D",146,IF(Atletas!L570="Shaolinquan D",147,IF(Atletas!L570="Tanglangquan D",148,IF(Atletas!L570="Yinzhaophai D",149,IF(Atletas!L570="Tongbeiquan D",150,IF(Atletas!L570="Wudangquan D",151,IF(Atletas!L570="Outros Estilos D",152,IF(Atletas!L570="Chaquan E",153,IF(Atletas!L570="Emeiquan E",154,IF(Atletas!L570="Fanziquan E",155,IF(Atletas!L570="Huaquan E",156,IF(Atletas!L570="Hongquan E",157,IF(Atletas!L570="Paochui E",158,IF(Atletas!L570="Piguaquan E",159,IF(Atletas!L570="Shaolinquan E",160,IF(Atletas!L570="Tanglangquan E",161,IF(Atletas!L570="Yinzhaophai E",162,IF(Atletas!L570="Tongbeiquan E",163,IF(Atletas!L570="Wudangquan E",164,IF(Atletas!L570="Outros Estilos E",165,IF(Atletas!L570="Chaquan F",166,IF(Atletas!L570="Emeiquan F",167,IF(Atletas!L570="Fanziquan F",168,IF(Atletas!L570="Huaquan F",169,IF(Atletas!L570="Hongquan F",170,IF(Atletas!L570="Paochui F",171,IF(Atletas!L570="Piguaquan F",172,IF(Atletas!L570="Shaolinquan F",173,IF(Atletas!L570="Tanglangquan F",174,IF(Atletas!L570="Yinzhaophai F",175,IF(Atletas!L570="Tongbeiquan F",176,IF(Atletas!L570="Wudangquan F",177,IF(Atletas!L570="Outros Estilos F",178,0))))))))))))))))))))))))))))))))))))))))))</f>
        <v/>
      </c>
      <c r="BN574" s="52" t="str">
        <f>IF(Atletas!M570="","",IF(Atletas!W570&lt;&gt;"",10000,0)+(IF(Atletas!B570="Feminino",1000,IF(Atletas!B570="Masculino",2000,""))+(IF(Atletas!M570="Ditangquan A",201,IF(Atletas!M570="Houquan A",202,IF(Atletas!M570="Zuiquan A",203,IF(Atletas!M570="Ditangquan B",204,IF(Atletas!M570="Houquan B",205,IF(Atletas!M570="Zuiquan B",206,IF(Atletas!M570="Ditangquan C",207,IF(Atletas!M570="Houquan C",208,IF(Atletas!M570="Zuiquan C",209,IF(Atletas!M570="Ditangquan D",210,IF(Atletas!M570="Houquan D",211,IF(Atletas!M570="Zuiquan D",212,IF(Atletas!M570="Ditangquan E",213,IF(Atletas!M570="Houquan E",214,IF(Atletas!M570="Zuiquan E",215,IF(Atletas!M570="Ditangquan F",216,IF(Atletas!M570="Houquan F",217,IF(Atletas!M570="Zuiquan F",218,"")))))))))))))))))))))</f>
        <v/>
      </c>
      <c r="BO574" s="52" t="str">
        <f>IF(Atletas!N570="","",IF(Atletas!W570&lt;&gt;"",10000,0)+IF(Atletas!B570="Feminino",1000,IF(Atletas!B570="Masculino",2000,""))+IF(Atletas!N570="Yang A",301,IF(Atletas!N570="Chen A",30,IF(Atletas!N570="Sun A",303,IF(Atletas!N570="Wu A",304,IF(Atletas!N570="Wu-Hao A",305,IF(Atletas!N570="Outro Taijiquan A",306,IF(Atletas!N570="Yang B",307,IF(Atletas!N570="Chen B",308,IF(Atletas!N570="Sun B",309,IF(Atletas!N570="Wu B",310,IF(Atletas!N570="Wu-Hao B",311,IF(Atletas!N570="Outro Taijiquan B",312,IF(Atletas!N570="Yang C",313,IF(Atletas!N570="Chen C",314,IF(Atletas!N570="Sun C",315,IF(Atletas!N570="Wu C",316,IF(Atletas!N570="Wu-Hao C",317,IF(Atletas!N570="Outro Taijiquan C",318,IF(Atletas!N570="Yang D",319,IF(Atletas!N570="Chen D",320,IF(Atletas!N570="Sun D",321,IF(Atletas!N570="Wu D",322,IF(Atletas!N570="Wu-Hao D",323,IF(Atletas!N570="Outro Taijiquan D",324,IF(Atletas!N570="Yang E",325,IF(Atletas!N570="Chen E",326,IF(Atletas!N570="Sun E",327,IF(Atletas!N570="Wu E",328,IF(Atletas!N570="Wu-Hao E",329,IF(Atletas!N570="Outro Taijiquan E",330,IF(Atletas!N570="Yang F",331,IF(Atletas!N570="Chen F",332,IF(Atletas!N570="Sun F",333,IF(Atletas!N570="Wu F",334,IF(Atletas!N570="Wu-Hao F",335,IF(Atletas!N570="Outro Taijiquan F",336,"")))))))))))))))))))))))))))))))))))))</f>
        <v/>
      </c>
      <c r="BP574" s="52" t="str">
        <f>IF(Atletas!O570="","",IF(Atletas!W570&lt;&gt;"",10000,0)+IF(Atletas!B570="Feminino",1000,IF(Atletas!B570="Masculino",2000,""))+IF(OR(Atletas!O570="Yang 26 A",Atletas!O570="Yang 40 A"),401,IF(OR(Atletas!O570="Chen 25 A",Atletas!O570="Chen 36 A",Atletas!O570="Chen 56 A"),402,IF(Atletas!O570="Sun 73 A",403,IF(Atletas!O570="Wu 45 A",404,IF(Atletas!O570="Wu-Hao 46 A",405,IF(OR(Atletas!O570="Taijiquan 16 A",Atletas!O570="Taijiquan 24 A",Atletas!O570="Taijiquan 32 A",Atletas!O570="Taijiquan 42 A"),406,IF(OR(Atletas!O570="Yang 26 B",Atletas!O570="Yang 40 B"),407,IF(OR(Atletas!O570="Chen 25 B",Atletas!O570="Chen 36 B",Atletas!O570="Chen 56 B"),408,IF(Atletas!O570="Sun 73 B",409,IF(Atletas!O570="Wu 45 B",410,IF(Atletas!O570="Wu-Hao 46 B",411,IF(OR(Atletas!O570="Taijiquan 16 B",Atletas!O570="Taijiquan 24 B",Atletas!O570="Taijiquan 32 B",Atletas!O570="Taijiquan 42 B"),412,IF(OR(Atletas!O570="Yang 26 C",Atletas!O570="Yang 40 C"),413,IF(OR(Atletas!O570="Chen 25 C",Atletas!O570="Chen 36 C",Atletas!O570="Chen 56 C"),414,IF(Atletas!O570="Sun 73 C",415,IF(Atletas!O570="Wu 45 C",416,IF(Atletas!O570="Wu-Hao 46 C",417,IF(OR(Atletas!O570="Taijiquan 16 C",Atletas!O570="Taijiquan 24 C",Atletas!O570="Taijiquan 32 C",Atletas!O570="Taijiquan 42 C"),418,0)))))))))))))))))))</f>
        <v/>
      </c>
      <c r="BQ574" s="52" t="str">
        <f>IF(Atletas!O570="","",IF(Atletas!W570&lt;&gt;"",10000,0)+IF(Atletas!B570="Feminino",1000,IF(Atletas!B570="Masculino",2000,""))+IF(OR(Atletas!O570="Yang 26 D",Atletas!O570="Yang 40 D"),419,IF(OR(Atletas!O570="Chen 25 D",Atletas!O570="Chen 36 D",Atletas!O570="Chen 56 D"),420,IF(Atletas!O570="Sun 73 D",421,IF(Atletas!O570="Wu 45 D",422,IF(Atletas!O570="Wu-Hao 46 D",423,IF(OR(Atletas!O570="Taijiquan 16 D",Atletas!O570="Taijiquan 24 D",Atletas!O570="Taijiquan 32 D",Atletas!O570="Taijiquan 42 D"),424,IF(OR(Atletas!O570="Yang 26 E",Atletas!O570="Yang 40 E"),425,IF(OR(Atletas!O570="Chen 25 E",Atletas!O570="Chen 36 E",Atletas!O570="Chen 56 E"),426,IF(Atletas!O570="Sun 73 E",427,IF(Atletas!O570="Wu 45 E",428,IF(Atletas!O570="Wu-Hao 46 E",429,IF(OR(Atletas!O570="Taijiquan 16 E",Atletas!O570="Taijiquan 24 E",Atletas!O570="Taijiquan 32 E",Atletas!O570="Taijiquan 42 E"),430,IF(OR(Atletas!O570="Yang 26 F",Atletas!O570="Yang 40 F"),431,IF(OR(Atletas!O570="Chen 25 F",Atletas!O570="Chen 36 F",Atletas!O570="Chen 56 F"),432,IF(Atletas!O570="Sun 73 F",433,IF(Atletas!O570="Wu 45 F",434,IF(Atletas!O570="Wu-Hao 46 F",435,IF(OR(Atletas!O570="Taijiquan 16 F",Atletas!O570="Taijiquan 24 F",Atletas!O570="Taijiquan 32 F",Atletas!O570="Taijiquan 42 F"),436,0)))))))))))))))))))</f>
        <v/>
      </c>
      <c r="BR574" s="52" t="str">
        <f>IF(Atletas!P570="","",IF(Atletas!W570&lt;&gt;"",10000,0)+IF(Atletas!B570="Feminino",1000,IF(Atletas!B570="Masculino",2000,""))+IF(Atletas!P570="Xingyiquan A",501,IF(Atletas!P570="Baguazhang A",502,IF(Atletas!P570="Outro Estilo Interno A",503,IF(Atletas!P570="Xingyiquan B",504,IF(Atletas!P570="Baguazhang B",505,IF(Atletas!P570="Outro Estilo Interno B",506,IF(Atletas!P570="Xingyiquan C",507,IF(Atletas!P570="Baguazhang C",508,IF(Atletas!P570="Outro Estilo Interno C",509,IF(Atletas!P570="Xingyiquan D",510,IF(Atletas!P570="Baguazhang D",511,IF(Atletas!P570="Outro Estilo Interno D",512,IF(Atletas!P570="Xingyiquan E",513,IF(Atletas!P570="Baguazhang E",514,IF(Atletas!P570="Outro Estilo Interno E",515,IF(Atletas!P570="Xingyiquan F",516,IF(Atletas!P570="Baguazhang F",517,IF(Atletas!P570="Outro Estilo Interno F",518, "")))))))))))))))))))</f>
        <v/>
      </c>
      <c r="BS574" s="52" t="str">
        <f>IF(Atletas!Q570="","",IF(Atletas!W570&lt;&gt;"",10000,0)+IF(Atletas!B570="Feminino",1000,IF(Atletas!B570="Masculino",2000,""))+IF(Atletas!Q570="Dao A",601,IF(Atletas!Q570="Jian A",602,IF(Atletas!Q570="Bishou A",603,IF(Atletas!Q570="Shan A",604,IF(Atletas!Q570="Outra Arma Curta A",605,IF(Atletas!Q570="Dao B",606,IF(Atletas!Q570="Jian B",607,IF(Atletas!Q570="Bishou B",608,IF(Atletas!Q570="Shan B",609,IF(Atletas!Q570="Outra Arma Curta B",610,IF(Atletas!Q570="Dao C",611,IF(Atletas!Q570="Jian C",612,IF(Atletas!Q570="Bishou C",613,IF(Atletas!Q570="Shan C",614,IF(Atletas!Q570="Outra Arma Curta C",615,IF(Atletas!Q570="Dao D",616,IF(Atletas!Q570="Jian D",617,IF(Atletas!Q570="Bishou D",618,IF(Atletas!Q570="Shan D",619,IF(Atletas!Q570="Outra Arma Curta D",620,IF(Atletas!Q570="Dao E",621,IF(Atletas!Q570="Jian E",622,IF(Atletas!Q570="Bishou E",623,IF(Atletas!Q570="Shan E",624,IF(Atletas!Q570="Outra Arma Curta E",625,IF(Atletas!Q570="Dao F",626,IF(Atletas!Q570="Jian F",627,IF(Atletas!Q570="Bishou F",628,IF(Atletas!Q570="Shan F",629,IF(Atletas!Q570="Outra Arma Curta F",630, "")))))))))))))))))))))))))))))))</f>
        <v/>
      </c>
      <c r="BT574" s="52" t="str">
        <f>IF(Atletas!R570="","",IF(Atletas!W570&lt;&gt;"",10000,0)+IF(Atletas!B570="Feminino",1000,IF(Atletas!B570="Masculino",2000,""))+IF(Atletas!R570="Gun A",701,IF(Atletas!R570="Qiang A",702,IF(Atletas!R570="Pudao / Guandao A",703,IF(Atletas!R570="Outra Arma Longa A",704,IF(Atletas!R570="Gun B",705,IF(Atletas!R570="Qiang B",706,IF(Atletas!R570="Pudao / Guandao B",707,IF(Atletas!R570="Outra Arma Longa B",708,IF(Atletas!R570="Gun C",709,IF(Atletas!R570="Qiang C",710,IF(Atletas!R570="Pudao / Guandao C",711,IF(Atletas!R570="Outra Arma Longa C",712,IF(Atletas!R570="Gun D",713,IF(Atletas!R570="Qiang D",714,IF(Atletas!R570="Pudao / Guandao D",715,IF(Atletas!R570="Outra Arma Longa D",716,IF(Atletas!R570="Gun E",717,IF(Atletas!R570="Qiang E",718,IF(Atletas!R570="Pudao / Guandao E",719,IF(Atletas!R570="Outra Arma Longa E",720,IF(Atletas!R570="Gun F",721,IF(Atletas!R570="Qiang F",722,IF(Atletas!R570="Pudao / Guandao F",723,IF(Atletas!R570="Outra Arma Longa F",724,"")))))))))))))))))))))))))</f>
        <v/>
      </c>
      <c r="BU574" s="52" t="str">
        <f>IF(Atletas!S570="","",IF(Atletas!W570&lt;&gt;"",10000,0)+IF(Atletas!B570="Feminino",1000,IF(Atletas!B570="Masculino",2000,""))+IF(Atletas!S570="Arma Dupla A",801,IF(Atletas!S570="Arma Maleável A",802,IF(Atletas!S570="Arma Dupla B",803,IF(Atletas!S570="Arma Maleável B",804,IF(Atletas!S570="Arma Dupla C",805,IF(Atletas!S570="Arma Maleável C",806,IF(Atletas!S570="Arma Dupla D",807,IF(Atletas!S570="Arma Maleável D",808,IF(Atletas!S570="Arma Dupla E",809,IF(Atletas!S570="Arma Maleável E",810,IF(Atletas!S570="Arma Dupla F",811,IF(Atletas!S570="Arma Maleável F",812, "")))))))))))))</f>
        <v/>
      </c>
      <c r="BV574" s="52" t="str">
        <f>IF(Atletas!T570="","",IF(Atletas!W570&lt;&gt;"",10000,0)+IF(Atletas!B570="Feminino",1000,IF(Atletas!B570="Masculino",2000,""))+IF(Atletas!T570="Taijijian Yang A",901,IF(Atletas!T570="Taijijian Chen A",902,IF(Atletas!T570="Taijijian Sun A",903,IF(Atletas!T570="Taijijian Wu A",904,IF(Atletas!T570="Taijijian Wu-Hao A",905,IF(Atletas!T570="Taijijian 32 A",906,IF(Atletas!T570="Taijijian 42 A",907,IF(Atletas!T570="Taijijian Yang B",908,IF(Atletas!T570="Taijijian Chen B",909,IF(Atletas!T570="Taijijian Sun B",910,IF(Atletas!T570="Taijijian Wu B",911,IF(Atletas!T570="Taijijian Wu-Hao B",912,IF(Atletas!T570="Taijijian 32 B",913,IF(Atletas!T570="Taijijian 42 B",914,IF(Atletas!T570="Taijijian Yang C",915,IF(Atletas!T570="Taijijian Chen C",916,IF(Atletas!T570="Taijijian Sun C",917,IF(Atletas!T570="Taijijian Wu C",918,IF(Atletas!T570="Taijijian Wu-Hao C",919,IF(Atletas!T570="Taijijian 32 C",920,IF(Atletas!T570="Taijijian 42 C",921,IF(Atletas!T570="Taijijian Yang D",922,IF(Atletas!T570="Taijijian Chen D",923,IF(Atletas!T570="Taijijian Sun D",924,IF(Atletas!T570="Taijijian Wu D",925,IF(Atletas!T570="Taijijian Wu-Hao D",926,IF(Atletas!T570="Taijijian 32 D",927,IF(Atletas!T570="Taijijian 42 D",928,IF(Atletas!T570="Taijijian Yang E",929,IF(Atletas!T570="Taijijian Chen E",930,IF(Atletas!T570="Taijijian Sun E",931,IF(Atletas!T570="Taijijian Wu E",932,IF(Atletas!T570="Taijijian Wu-Hao E",933,IF(Atletas!T570="Taijijian 32 E",934,IF(Atletas!T570="Taijijian 42 E",935,IF(Atletas!T570="Taijijian Yang F",936,IF(Atletas!T570="Taijijian Chen F",937,IF(Atletas!T570="Taijijian Sun F",938,IF(Atletas!T570="Taijijian Wu F",939,IF(Atletas!T570="Taijijian Wu-Hao F",940,IF(Atletas!T570="Taijijian 32 F",941,IF(Atletas!T570="Taijijian 42 F",942,"")))))))))))))))))))))))))))))))))))))))))))</f>
        <v/>
      </c>
      <c r="BW574" s="52" t="str">
        <f>IF(Atletas!U570="","",IF(Atletas!W570&lt;&gt;"",10000,0)+IF(Atletas!B570="Feminino",1000,IF(Atletas!B570="Masculino",2000,""))+IF(Atletas!T570="Taijijian 42 F",942,IF(Atletas!U570="Taijidao A",943,IF(Atletas!U570="Taijishan A",944,IF(Atletas!U570="Taijiqiang A",945,IF(Atletas!U570="Taijidao B",946,IF(Atletas!U570="Taijishan B",947,IF(Atletas!U570="Taijiqiang B",948,IF(Atletas!U570="Taijidao C",949,IF(Atletas!U570="Taijishan C",950,IF(Atletas!U570="Taijiqiang C",951,IF(Atletas!U570="Taijidao D",952,IF(Atletas!U570="Taijishan D",953,IF(Atletas!U570="Taijiqiang D",954,IF(Atletas!U570="Taijidao E",955,IF(Atletas!U570="Taijishan E",956,IF(Atletas!U570="Taijiqiang E",957,IF(Atletas!U570="Taijidao F",958,IF(Atletas!U570="Taijishan F",959,IF(Atletas!U570="Taijiqiang F",960))))))))))))))))))))</f>
        <v/>
      </c>
      <c r="CF574" s="52" t="str">
        <f xml:space="preserve"> IF(Atletas!V570="","",IF(Atletas!V570="Duilian de Mãos AB - Equipe 1",1,IF(Atletas!V570="Duilian de Mãos AB - Equipe 2",2,IF(Atletas!V570="Duilian de Armas AB - Equipe 1",3,IF(Atletas!V570="Duilian de Armas AB - Equipe 2",4,IF(Atletas!V570="Duilian de Tuishou - Equipe 1",5,IF(Atletas!V570="Duilian de Tuishou - Equipe 2",6,IF(Atletas!V570="Grupo Externo AB - Equipe 1",7,IF(Atletas!V570="Grupo Externo AB - Equipe 2",8,IF(Atletas!V570="Grupo Interno AB - Equipe 1",9,IF(Atletas!V570="Grupo Interno AB - Equipe 2",10,IF(Atletas!V570="Duilian de Mãos CD - Equipe 1",11,IF(Atletas!V570="Duilian de Mãos CD - Equipe 2",12,IF(Atletas!V570="Duilian de Armas CD - Equipe 1",13,IF(Atletas!V570="Duilian de Armas CD - Equipe 2",14,IF(Atletas!V570="Duilian de Tuishou - Equipe 1",15,IF(Atletas!V570="Duilian de Tuishou - Equipe 2",16,IF(Atletas!V570="Grupo Externo CDEF - Equipe 1",17,IF(Atletas!V570="Grupo Externo CDEF - Equipe 2",18,IF(Atletas!V570="Grupo Interno CDEF - Equipe 1",19,IF(Atletas!V570="Grupo Interno CDEF - Equipe 2",20,IF(Atletas!V570="Duilian de Mãos EF - Equipe 1",21,IF(Atletas!V570="Duilian de Mãos EF - Equipe 2",22,IF(Atletas!V570="Duilian de Armas EF - Equipe 1",23,IF(Atletas!V570="Duilian de Armas EF - Equipe 2",24,IF(Atletas!V570="Duilian de Tuishou - Equipe 1",25,IF(Atletas!V570="Duilian de Tuishou - Equipe 2",26,"")))))))))))))))))))))))))))</f>
        <v/>
      </c>
    </row>
    <row r="575" spans="36:84">
      <c r="AJ575" s="46" t="str">
        <f>IF(Atletas!D571="","",IF(Atletas!B571="Feminino",100,IF(Atletas!B571="Masculino",200,""))+(IF(Atletas!D571="Infantil 39kg",1,IF(Atletas!D571="Infantil 42kg",2,IF(Atletas!D571="Infantil 45kg",3,IF(Atletas!D571="Infantil 48kg",4,IF(Atletas!D571="Infantil 52kg",5,IF(Atletas!D571="Infantil 56kg",6,IF(Atletas!D571="Infantil 60kg",7,IF(Atletas!D571="Juvenil 48kg",8,IF(Atletas!D571="Juvenil 52kg",9,IF(Atletas!D571="Juvenil 56kg",10,IF(Atletas!D571="Juvenil 60kg",11,IF(Atletas!D571="Juvenil 65kg",12,IF(Atletas!D571="Juvenil 70kg",13,IF(Atletas!D571="Juvenil 75kg",14,IF(Atletas!D571="Juvenil 80kg",15,IF(Atletas!D571="Adulto 48kg",16,IF(Atletas!D571="Adulto 52kg",17,IF(Atletas!D571="Adulto 56kg",18,IF(Atletas!D571="Adulto 60kg",19,IF(Atletas!D571="Adulto 65kg",20,IF(Atletas!D571="Adulto 70kg",21,IF(Atletas!D571="Adulto 75kg",22,IF(Atletas!D571="Adulto 80kg",23,IF(Atletas!D571="Adulto 85kg",24,IF(Atletas!D571="Adulto 90kg",25,IF(Atletas!D571="Adulto +90kg",26,""))))))))))))))))))))))))))))</f>
        <v/>
      </c>
      <c r="AO575" s="10" t="str">
        <f>IF(Atletas!E571="","",IF(Atletas!B571="Feminino",100,IF(Atletas!B571="Masculino",200,""))+(IF(Atletas!E571="Juvenil 44kg",1,IF(Atletas!E571="Juvenil 48kg",2,IF(Atletas!E571="Juvenil 52kg",3,IF(Atletas!E571="Juvenil 56kg",4,IF(Atletas!E571="Juvenil 60kg",5,IF(Atletas!E571="Juvenil 65kg",6,IF(Atletas!E571="Juvenil 70kg",7,IF(Atletas!E571="Juvenil 75kg",8,IF(Atletas!E571="Juvenil 82kg",9,IF(Atletas!E571="Juvenil 90kg",10,IF(Atletas!E571="Juvenil 100kg",11,IF(Atletas!E571="Adulto 48kg",12,IF(Atletas!E571="Adulto 52kg",13,IF(Atletas!E571="Adulto 56kg",14,IF(Atletas!E571="Adulto 60kg",15,IF(Atletas!E571="Adulto 65kg",16,IF(Atletas!E571="Adulto 70kg",17,IF(Atletas!E571="Adulto 75kg",18,IF(Atletas!E571="Adulto 82kg",19,IF(Atletas!E571="Adulto 90kg",20,IF(Atletas!E571="Adulto 100kg",21,IF(Atletas!E571="Adulto +100kg",22,""))))))))))))))))))))))))</f>
        <v/>
      </c>
      <c r="AT575" s="10" t="str">
        <f>IF(Atletas!F571="","",IF(Atletas!B571="Feminino",100,IF(Atletas!B571="Masculino",200,""))+(IF(Atletas!F571="Adulto 48kg",1,IF(Atletas!F571="Adulto 56kg",2,IF(Atletas!F571="Adulto 65kg",3,IF(Atletas!F571="Adulto 75kg",4,IF(Atletas!F571="Adulto +75kg",5,IF(Atletas!F571="Adulto 52kg",6,IF(Atletas!F571="Adulto 60kg",7,IF(Atletas!F571="Adulto 70kg",8,IF(Atletas!F571="Adulto 80kg",9,IF(Atletas!F571="Adulto 90kg",10,IF(Atletas!F571="Adulto +90kg",11,"")))))))))))))</f>
        <v/>
      </c>
      <c r="AY575" s="46" t="str">
        <f>IF(Atletas!G571="","",IF(Atletas!B571="Feminino",100,IF(Atletas!B571="Masculino",200,""))+(IF(Atletas!G571="Changquan Mirim",1,IF(Atletas!G571="Nanquan Mirim",2,IF(Atletas!G571="Taijiquan Mirim",3,IF(Atletas!G571="Changquan Grupo C",4,IF(Atletas!G571="Nanquan Grupo C",5,IF(Atletas!G571="Taijiquan Grupo C",6,IF(Atletas!G571="Changquan Grupo B",7,IF(Atletas!G571="Nanquan Grupo B",8,IF(Atletas!G571="Taijiquan Grupo B",9,IF(Atletas!G571="Changquan Grupo A",10,IF(Atletas!G571="Nanquan Grupo A",11,IF(Atletas!G571="Taijiquan Grupo A",12,IF(Atletas!G571="Changquan Opcional",13,IF(Atletas!G571="Nanquan Opcional",14,IF(Atletas!G571="Taijiquan Opcional",15,IF(Atletas!G571="Changquan Adulto",16,IF(Atletas!G571="Nanquan Adulto",17,IF(Atletas!G571="Taijiquan Adulto",18,""))))))))))))))))))))</f>
        <v/>
      </c>
      <c r="AZ575" s="46" t="str">
        <f>IF(Atletas!H571="","",IF(Atletas!B571="Feminino",100,IF(Atletas!B571="Masculino",200,""))+(IF(Atletas!H571="Daoshu Mirim",19,IF(Atletas!H571="Jianshu Mirim",20,IF(Atletas!H571="Nandao Mirim",21,IF(Atletas!H571="Taijijian Mirim",22,IF(Atletas!H571="Daoshu Grupo C",23,IF(Atletas!H571="Jianshu Grupo C",24,IF(Atletas!H571="Nandao Grupo C",25,IF(Atletas!H571="Taijijian Grupo C",26,IF(Atletas!H571="Daoshu Grupo B",27,IF(Atletas!H571="Jianshu Grupo B",28,IF(Atletas!H571="Nandao Grupo B",29,IF(Atletas!H571="Taijijian Grupo B",30,IF(Atletas!H571="Daoshu Grupo A",31,IF(Atletas!H571="Jianshu Grupo A",32,IF(Atletas!H571="Nandao Grupo A",33,IF(Atletas!H571="Taijijian Grupo A",34,IF(Atletas!H571="Daoshu Opcional",35,IF(Atletas!H571="Jianshu Opcional",36,IF(Atletas!H571="Nandao Opcional",37,IF(Atletas!H571="Taijijian Opcional",38,IF(Atletas!H571="Daoshu Adulto",39,IF(Atletas!H571="Jianshu Adulto",40,IF(Atletas!H571="Nandao Adulto",41,IF(Atletas!H571="Taijijian Adulto",42,""))))))))))))))))))))))))))</f>
        <v/>
      </c>
      <c r="BA575" s="46" t="str">
        <f>IF(Atletas!I571="","",IF(Atletas!B571="Feminino",100,IF(Atletas!B571="Masculino",200,""))+(IF(Atletas!I571="Gunshu Mirim",43,IF(Atletas!I571="Qiangshu Mirim",44,IF(Atletas!I571="Nangun Mirim",45,IF(Atletas!I571="Gunshu Grupo C",46,IF(Atletas!I571="Qiangshu Grupo C",47,IF(Atletas!I571="Nangun Grupo C",48,IF(Atletas!I571="Gunshu Grupo B",49,IF(Atletas!I571="Qiangshu Grupo B",50,IF(Atletas!I571="Nangun Grupo B",51,IF(Atletas!I571="Gunshu Grupo A",52,IF(Atletas!I571="Qiangshu Grupo A",53,IF(Atletas!I571="Nangun Grupo A",54,IF(Atletas!I571="Gunshu Opcional",55,IF(Atletas!I571="Qiangshu Opcional",56,IF(Atletas!I571="Nangun Opcional",57,IF(Atletas!I571="Gunshu Adulto",58,IF(Atletas!I571="Qiangshu Adulto",59,IF(Atletas!I571="Nangun Adulto",60,""))))))))))))))))))))</f>
        <v/>
      </c>
      <c r="BF575" s="52" t="str">
        <f>IF(Atletas!J571="","",IF(Atletas!B571="Feminino",100,IF(Atletas!B571="Masculino",200,""))+(IF(Atletas!J571="Equipe 1 Grupo B",1,IF(Atletas!J571="Equipe 2 Grupo B",2,IF(Atletas!J571="Equipe 1 Grupo A",3,IF(Atletas!J571="Equipe 2 Grupo A",4,IF(Atletas!J571="Equipe 1 Adulto",5,IF(Atletas!J571="Equipe 2 Adulto",6,""))))))))</f>
        <v/>
      </c>
      <c r="BK575" s="52" t="str">
        <f>IF(Atletas!K571="","",IF(Atletas!W571&lt;&gt;"",10000,0)+(IF(Atletas!B571="Feminino",1000,IF(Atletas!B571="Masculino",2000,""))+IF(Atletas!K571="Choylayfut A",1,IF(Atletas!K571="Hunggar A",2,IF(Atletas!K571="Wuzuquan A",3,IF(Atletas!K571="Wingchun A",4,IF(Atletas!K571="Outra Mão de Sul A",5,IF(Atletas!K571="Choylayfut B",6,IF(Atletas!K571="Hunggar B",7,IF(Atletas!K571="Wuzuquan B",8,IF(Atletas!K571="Wingchun B",9,IF(Atletas!K571="Outra Mão de Sul B",10,IF(Atletas!K571="Choylayfut C",11,IF(Atletas!K571="Hunggar C",12,IF(Atletas!K571="Wuzuquan C",13,IF(Atletas!K571="Wingchun C",14,IF(Atletas!K571="Outra Mão de Sul C",15,IF(Atletas!K571="Choylayfut D",16,IF(Atletas!K571="Hunggar D",17,IF(Atletas!K571="Wuzuquan D",18,IF(Atletas!K571="Wingchun D",19,IF(Atletas!K571="Outra Mão de Sul D",20,IF(Atletas!K571="Choylayfut E",21,IF(Atletas!K571="Hunggar E",22,IF(Atletas!K571="Wuzuquan E",23,IF(Atletas!K571="Wingchun E",24,IF(Atletas!K571="Outra Mão de Sul E",25,IF(Atletas!K571="Choylayfut F",26,IF(Atletas!K571="Hunggar F",27,IF(Atletas!K571="Wuzuquan F",28,IF(Atletas!K571="Wingchun F",29,IF(Atletas!K571="Outra Mão de Sul F",30,""))))))))))))))))))))))))))))))))</f>
        <v/>
      </c>
      <c r="BL575" s="52" t="str">
        <f>IF(Atletas!L571="","",IF(Atletas!W571&lt;&gt;"",10000,0)+(IF(Atletas!B571="Feminino",1000,IF(Atletas!B571="Masculino",2000,""))+(IF(Atletas!L571="Chaquan A",101,IF(Atletas!L571="Emeiquan A",102,IF(Atletas!L571="Fanziquan A",103,IF(Atletas!L571="Huaquan A",104,IF(Atletas!L571="Hongquan A",105,IF(Atletas!L571="Paochui A",106,IF(Atletas!L571="Piguaquan A",107,IF(Atletas!L571="Shaolinquan A",108,IF(Atletas!L571="Tanglangquan A",109,IF(Atletas!L571="Yinzhaophai A",110,IF(Atletas!L571="Tongbeiquan A",111,IF(Atletas!L571="Wudangquan A",112,IF(Atletas!L571="Outros Estilos A",113,IF(Atletas!L571="Chaquan B",114,IF(Atletas!L571="Emeiquan B",115,IF(Atletas!L571="Fanziquan B",116,IF(Atletas!L571="Huaquan B",117,IF(Atletas!L571="Hongquan B",118,IF(Atletas!L571="Paochui B",119,IF(Atletas!L571="Piguaquan B",120,IF(Atletas!L571="Shaolinquan B",121,IF(Atletas!L571="Tanglangquan B",122,IF(Atletas!L571="Yinzhaophai B",123,IF(Atletas!L571="Tongbeiquan B",124,IF(Atletas!L571="Wudangquan B",125,IF(Atletas!L571="Outros Estilos B",126,IF(Atletas!L571="Chaquan C",127,IF(Atletas!L571="Emeiquan C",128,IF(Atletas!L571="Fanziquan C",129,IF(Atletas!L571="Huaquan C",130,IF(Atletas!L571="Hongquan C",131,IF(Atletas!L571="Paochui C",132,IF(Atletas!L571="Piguaquan C",133,IF(Atletas!L571="Shaolinquan C",134,IF(Atletas!L571="Tanglangquan C",135,IF(Atletas!L571="Yinzhaophai C",136,IF(Atletas!L571="Tongbeiquan C",137,IF(Atletas!L571="Wudangquan C",138,IF(Atletas!L571="Outros Estilos C",139,0))))))))))))))))))))))))))))))))))))))))))</f>
        <v/>
      </c>
      <c r="BM575" s="52" t="str">
        <f>IF(Atletas!L571="","",IF(Atletas!W571&lt;&gt;"",10000,0)+(IF(Atletas!B571="Feminino",1000,IF(Atletas!B571="Masculino",2000,""))+(IF(Atletas!L571="Chaquan D",140,IF(Atletas!L571="Emeiquan D",141,IF(Atletas!L571="Fanziquan D",142,IF(Atletas!L571="Huaquan D",143,IF(Atletas!L571="Hongquan D",144,IF(Atletas!L571="Paochui D",145,IF(Atletas!L571="Piguaquan D",146,IF(Atletas!L571="Shaolinquan D",147,IF(Atletas!L571="Tanglangquan D",148,IF(Atletas!L571="Yinzhaophai D",149,IF(Atletas!L571="Tongbeiquan D",150,IF(Atletas!L571="Wudangquan D",151,IF(Atletas!L571="Outros Estilos D",152,IF(Atletas!L571="Chaquan E",153,IF(Atletas!L571="Emeiquan E",154,IF(Atletas!L571="Fanziquan E",155,IF(Atletas!L571="Huaquan E",156,IF(Atletas!L571="Hongquan E",157,IF(Atletas!L571="Paochui E",158,IF(Atletas!L571="Piguaquan E",159,IF(Atletas!L571="Shaolinquan E",160,IF(Atletas!L571="Tanglangquan E",161,IF(Atletas!L571="Yinzhaophai E",162,IF(Atletas!L571="Tongbeiquan E",163,IF(Atletas!L571="Wudangquan E",164,IF(Atletas!L571="Outros Estilos E",165,IF(Atletas!L571="Chaquan F",166,IF(Atletas!L571="Emeiquan F",167,IF(Atletas!L571="Fanziquan F",168,IF(Atletas!L571="Huaquan F",169,IF(Atletas!L571="Hongquan F",170,IF(Atletas!L571="Paochui F",171,IF(Atletas!L571="Piguaquan F",172,IF(Atletas!L571="Shaolinquan F",173,IF(Atletas!L571="Tanglangquan F",174,IF(Atletas!L571="Yinzhaophai F",175,IF(Atletas!L571="Tongbeiquan F",176,IF(Atletas!L571="Wudangquan F",177,IF(Atletas!L571="Outros Estilos F",178,0))))))))))))))))))))))))))))))))))))))))))</f>
        <v/>
      </c>
      <c r="BN575" s="52" t="str">
        <f>IF(Atletas!M571="","",IF(Atletas!W571&lt;&gt;"",10000,0)+(IF(Atletas!B571="Feminino",1000,IF(Atletas!B571="Masculino",2000,""))+(IF(Atletas!M571="Ditangquan A",201,IF(Atletas!M571="Houquan A",202,IF(Atletas!M571="Zuiquan A",203,IF(Atletas!M571="Ditangquan B",204,IF(Atletas!M571="Houquan B",205,IF(Atletas!M571="Zuiquan B",206,IF(Atletas!M571="Ditangquan C",207,IF(Atletas!M571="Houquan C",208,IF(Atletas!M571="Zuiquan C",209,IF(Atletas!M571="Ditangquan D",210,IF(Atletas!M571="Houquan D",211,IF(Atletas!M571="Zuiquan D",212,IF(Atletas!M571="Ditangquan E",213,IF(Atletas!M571="Houquan E",214,IF(Atletas!M571="Zuiquan E",215,IF(Atletas!M571="Ditangquan F",216,IF(Atletas!M571="Houquan F",217,IF(Atletas!M571="Zuiquan F",218,"")))))))))))))))))))))</f>
        <v/>
      </c>
      <c r="BO575" s="52" t="str">
        <f>IF(Atletas!N571="","",IF(Atletas!W571&lt;&gt;"",10000,0)+IF(Atletas!B571="Feminino",1000,IF(Atletas!B571="Masculino",2000,""))+IF(Atletas!N571="Yang A",301,IF(Atletas!N571="Chen A",30,IF(Atletas!N571="Sun A",303,IF(Atletas!N571="Wu A",304,IF(Atletas!N571="Wu-Hao A",305,IF(Atletas!N571="Outro Taijiquan A",306,IF(Atletas!N571="Yang B",307,IF(Atletas!N571="Chen B",308,IF(Atletas!N571="Sun B",309,IF(Atletas!N571="Wu B",310,IF(Atletas!N571="Wu-Hao B",311,IF(Atletas!N571="Outro Taijiquan B",312,IF(Atletas!N571="Yang C",313,IF(Atletas!N571="Chen C",314,IF(Atletas!N571="Sun C",315,IF(Atletas!N571="Wu C",316,IF(Atletas!N571="Wu-Hao C",317,IF(Atletas!N571="Outro Taijiquan C",318,IF(Atletas!N571="Yang D",319,IF(Atletas!N571="Chen D",320,IF(Atletas!N571="Sun D",321,IF(Atletas!N571="Wu D",322,IF(Atletas!N571="Wu-Hao D",323,IF(Atletas!N571="Outro Taijiquan D",324,IF(Atletas!N571="Yang E",325,IF(Atletas!N571="Chen E",326,IF(Atletas!N571="Sun E",327,IF(Atletas!N571="Wu E",328,IF(Atletas!N571="Wu-Hao E",329,IF(Atletas!N571="Outro Taijiquan E",330,IF(Atletas!N571="Yang F",331,IF(Atletas!N571="Chen F",332,IF(Atletas!N571="Sun F",333,IF(Atletas!N571="Wu F",334,IF(Atletas!N571="Wu-Hao F",335,IF(Atletas!N571="Outro Taijiquan F",336,"")))))))))))))))))))))))))))))))))))))</f>
        <v/>
      </c>
      <c r="BP575" s="52" t="str">
        <f>IF(Atletas!O571="","",IF(Atletas!W571&lt;&gt;"",10000,0)+IF(Atletas!B571="Feminino",1000,IF(Atletas!B571="Masculino",2000,""))+IF(OR(Atletas!O571="Yang 26 A",Atletas!O571="Yang 40 A"),401,IF(OR(Atletas!O571="Chen 25 A",Atletas!O571="Chen 36 A",Atletas!O571="Chen 56 A"),402,IF(Atletas!O571="Sun 73 A",403,IF(Atletas!O571="Wu 45 A",404,IF(Atletas!O571="Wu-Hao 46 A",405,IF(OR(Atletas!O571="Taijiquan 16 A",Atletas!O571="Taijiquan 24 A",Atletas!O571="Taijiquan 32 A",Atletas!O571="Taijiquan 42 A"),406,IF(OR(Atletas!O571="Yang 26 B",Atletas!O571="Yang 40 B"),407,IF(OR(Atletas!O571="Chen 25 B",Atletas!O571="Chen 36 B",Atletas!O571="Chen 56 B"),408,IF(Atletas!O571="Sun 73 B",409,IF(Atletas!O571="Wu 45 B",410,IF(Atletas!O571="Wu-Hao 46 B",411,IF(OR(Atletas!O571="Taijiquan 16 B",Atletas!O571="Taijiquan 24 B",Atletas!O571="Taijiquan 32 B",Atletas!O571="Taijiquan 42 B"),412,IF(OR(Atletas!O571="Yang 26 C",Atletas!O571="Yang 40 C"),413,IF(OR(Atletas!O571="Chen 25 C",Atletas!O571="Chen 36 C",Atletas!O571="Chen 56 C"),414,IF(Atletas!O571="Sun 73 C",415,IF(Atletas!O571="Wu 45 C",416,IF(Atletas!O571="Wu-Hao 46 C",417,IF(OR(Atletas!O571="Taijiquan 16 C",Atletas!O571="Taijiquan 24 C",Atletas!O571="Taijiquan 32 C",Atletas!O571="Taijiquan 42 C"),418,0)))))))))))))))))))</f>
        <v/>
      </c>
      <c r="BQ575" s="52" t="str">
        <f>IF(Atletas!O571="","",IF(Atletas!W571&lt;&gt;"",10000,0)+IF(Atletas!B571="Feminino",1000,IF(Atletas!B571="Masculino",2000,""))+IF(OR(Atletas!O571="Yang 26 D",Atletas!O571="Yang 40 D"),419,IF(OR(Atletas!O571="Chen 25 D",Atletas!O571="Chen 36 D",Atletas!O571="Chen 56 D"),420,IF(Atletas!O571="Sun 73 D",421,IF(Atletas!O571="Wu 45 D",422,IF(Atletas!O571="Wu-Hao 46 D",423,IF(OR(Atletas!O571="Taijiquan 16 D",Atletas!O571="Taijiquan 24 D",Atletas!O571="Taijiquan 32 D",Atletas!O571="Taijiquan 42 D"),424,IF(OR(Atletas!O571="Yang 26 E",Atletas!O571="Yang 40 E"),425,IF(OR(Atletas!O571="Chen 25 E",Atletas!O571="Chen 36 E",Atletas!O571="Chen 56 E"),426,IF(Atletas!O571="Sun 73 E",427,IF(Atletas!O571="Wu 45 E",428,IF(Atletas!O571="Wu-Hao 46 E",429,IF(OR(Atletas!O571="Taijiquan 16 E",Atletas!O571="Taijiquan 24 E",Atletas!O571="Taijiquan 32 E",Atletas!O571="Taijiquan 42 E"),430,IF(OR(Atletas!O571="Yang 26 F",Atletas!O571="Yang 40 F"),431,IF(OR(Atletas!O571="Chen 25 F",Atletas!O571="Chen 36 F",Atletas!O571="Chen 56 F"),432,IF(Atletas!O571="Sun 73 F",433,IF(Atletas!O571="Wu 45 F",434,IF(Atletas!O571="Wu-Hao 46 F",435,IF(OR(Atletas!O571="Taijiquan 16 F",Atletas!O571="Taijiquan 24 F",Atletas!O571="Taijiquan 32 F",Atletas!O571="Taijiquan 42 F"),436,0)))))))))))))))))))</f>
        <v/>
      </c>
      <c r="BR575" s="52" t="str">
        <f>IF(Atletas!P571="","",IF(Atletas!W571&lt;&gt;"",10000,0)+IF(Atletas!B571="Feminino",1000,IF(Atletas!B571="Masculino",2000,""))+IF(Atletas!P571="Xingyiquan A",501,IF(Atletas!P571="Baguazhang A",502,IF(Atletas!P571="Outro Estilo Interno A",503,IF(Atletas!P571="Xingyiquan B",504,IF(Atletas!P571="Baguazhang B",505,IF(Atletas!P571="Outro Estilo Interno B",506,IF(Atletas!P571="Xingyiquan C",507,IF(Atletas!P571="Baguazhang C",508,IF(Atletas!P571="Outro Estilo Interno C",509,IF(Atletas!P571="Xingyiquan D",510,IF(Atletas!P571="Baguazhang D",511,IF(Atletas!P571="Outro Estilo Interno D",512,IF(Atletas!P571="Xingyiquan E",513,IF(Atletas!P571="Baguazhang E",514,IF(Atletas!P571="Outro Estilo Interno E",515,IF(Atletas!P571="Xingyiquan F",516,IF(Atletas!P571="Baguazhang F",517,IF(Atletas!P571="Outro Estilo Interno F",518, "")))))))))))))))))))</f>
        <v/>
      </c>
      <c r="BS575" s="52" t="str">
        <f>IF(Atletas!Q571="","",IF(Atletas!W571&lt;&gt;"",10000,0)+IF(Atletas!B571="Feminino",1000,IF(Atletas!B571="Masculino",2000,""))+IF(Atletas!Q571="Dao A",601,IF(Atletas!Q571="Jian A",602,IF(Atletas!Q571="Bishou A",603,IF(Atletas!Q571="Shan A",604,IF(Atletas!Q571="Outra Arma Curta A",605,IF(Atletas!Q571="Dao B",606,IF(Atletas!Q571="Jian B",607,IF(Atletas!Q571="Bishou B",608,IF(Atletas!Q571="Shan B",609,IF(Atletas!Q571="Outra Arma Curta B",610,IF(Atletas!Q571="Dao C",611,IF(Atletas!Q571="Jian C",612,IF(Atletas!Q571="Bishou C",613,IF(Atletas!Q571="Shan C",614,IF(Atletas!Q571="Outra Arma Curta C",615,IF(Atletas!Q571="Dao D",616,IF(Atletas!Q571="Jian D",617,IF(Atletas!Q571="Bishou D",618,IF(Atletas!Q571="Shan D",619,IF(Atletas!Q571="Outra Arma Curta D",620,IF(Atletas!Q571="Dao E",621,IF(Atletas!Q571="Jian E",622,IF(Atletas!Q571="Bishou E",623,IF(Atletas!Q571="Shan E",624,IF(Atletas!Q571="Outra Arma Curta E",625,IF(Atletas!Q571="Dao F",626,IF(Atletas!Q571="Jian F",627,IF(Atletas!Q571="Bishou F",628,IF(Atletas!Q571="Shan F",629,IF(Atletas!Q571="Outra Arma Curta F",630, "")))))))))))))))))))))))))))))))</f>
        <v/>
      </c>
      <c r="BT575" s="52" t="str">
        <f>IF(Atletas!R571="","",IF(Atletas!W571&lt;&gt;"",10000,0)+IF(Atletas!B571="Feminino",1000,IF(Atletas!B571="Masculino",2000,""))+IF(Atletas!R571="Gun A",701,IF(Atletas!R571="Qiang A",702,IF(Atletas!R571="Pudao / Guandao A",703,IF(Atletas!R571="Outra Arma Longa A",704,IF(Atletas!R571="Gun B",705,IF(Atletas!R571="Qiang B",706,IF(Atletas!R571="Pudao / Guandao B",707,IF(Atletas!R571="Outra Arma Longa B",708,IF(Atletas!R571="Gun C",709,IF(Atletas!R571="Qiang C",710,IF(Atletas!R571="Pudao / Guandao C",711,IF(Atletas!R571="Outra Arma Longa C",712,IF(Atletas!R571="Gun D",713,IF(Atletas!R571="Qiang D",714,IF(Atletas!R571="Pudao / Guandao D",715,IF(Atletas!R571="Outra Arma Longa D",716,IF(Atletas!R571="Gun E",717,IF(Atletas!R571="Qiang E",718,IF(Atletas!R571="Pudao / Guandao E",719,IF(Atletas!R571="Outra Arma Longa E",720,IF(Atletas!R571="Gun F",721,IF(Atletas!R571="Qiang F",722,IF(Atletas!R571="Pudao / Guandao F",723,IF(Atletas!R571="Outra Arma Longa F",724,"")))))))))))))))))))))))))</f>
        <v/>
      </c>
      <c r="BU575" s="52" t="str">
        <f>IF(Atletas!S571="","",IF(Atletas!W571&lt;&gt;"",10000,0)+IF(Atletas!B571="Feminino",1000,IF(Atletas!B571="Masculino",2000,""))+IF(Atletas!S571="Arma Dupla A",801,IF(Atletas!S571="Arma Maleável A",802,IF(Atletas!S571="Arma Dupla B",803,IF(Atletas!S571="Arma Maleável B",804,IF(Atletas!S571="Arma Dupla C",805,IF(Atletas!S571="Arma Maleável C",806,IF(Atletas!S571="Arma Dupla D",807,IF(Atletas!S571="Arma Maleável D",808,IF(Atletas!S571="Arma Dupla E",809,IF(Atletas!S571="Arma Maleável E",810,IF(Atletas!S571="Arma Dupla F",811,IF(Atletas!S571="Arma Maleável F",812, "")))))))))))))</f>
        <v/>
      </c>
      <c r="BV575" s="52" t="str">
        <f>IF(Atletas!T571="","",IF(Atletas!W571&lt;&gt;"",10000,0)+IF(Atletas!B571="Feminino",1000,IF(Atletas!B571="Masculino",2000,""))+IF(Atletas!T571="Taijijian Yang A",901,IF(Atletas!T571="Taijijian Chen A",902,IF(Atletas!T571="Taijijian Sun A",903,IF(Atletas!T571="Taijijian Wu A",904,IF(Atletas!T571="Taijijian Wu-Hao A",905,IF(Atletas!T571="Taijijian 32 A",906,IF(Atletas!T571="Taijijian 42 A",907,IF(Atletas!T571="Taijijian Yang B",908,IF(Atletas!T571="Taijijian Chen B",909,IF(Atletas!T571="Taijijian Sun B",910,IF(Atletas!T571="Taijijian Wu B",911,IF(Atletas!T571="Taijijian Wu-Hao B",912,IF(Atletas!T571="Taijijian 32 B",913,IF(Atletas!T571="Taijijian 42 B",914,IF(Atletas!T571="Taijijian Yang C",915,IF(Atletas!T571="Taijijian Chen C",916,IF(Atletas!T571="Taijijian Sun C",917,IF(Atletas!T571="Taijijian Wu C",918,IF(Atletas!T571="Taijijian Wu-Hao C",919,IF(Atletas!T571="Taijijian 32 C",920,IF(Atletas!T571="Taijijian 42 C",921,IF(Atletas!T571="Taijijian Yang D",922,IF(Atletas!T571="Taijijian Chen D",923,IF(Atletas!T571="Taijijian Sun D",924,IF(Atletas!T571="Taijijian Wu D",925,IF(Atletas!T571="Taijijian Wu-Hao D",926,IF(Atletas!T571="Taijijian 32 D",927,IF(Atletas!T571="Taijijian 42 D",928,IF(Atletas!T571="Taijijian Yang E",929,IF(Atletas!T571="Taijijian Chen E",930,IF(Atletas!T571="Taijijian Sun E",931,IF(Atletas!T571="Taijijian Wu E",932,IF(Atletas!T571="Taijijian Wu-Hao E",933,IF(Atletas!T571="Taijijian 32 E",934,IF(Atletas!T571="Taijijian 42 E",935,IF(Atletas!T571="Taijijian Yang F",936,IF(Atletas!T571="Taijijian Chen F",937,IF(Atletas!T571="Taijijian Sun F",938,IF(Atletas!T571="Taijijian Wu F",939,IF(Atletas!T571="Taijijian Wu-Hao F",940,IF(Atletas!T571="Taijijian 32 F",941,IF(Atletas!T571="Taijijian 42 F",942,"")))))))))))))))))))))))))))))))))))))))))))</f>
        <v/>
      </c>
      <c r="BW575" s="52" t="str">
        <f>IF(Atletas!U571="","",IF(Atletas!W571&lt;&gt;"",10000,0)+IF(Atletas!B571="Feminino",1000,IF(Atletas!B571="Masculino",2000,""))+IF(Atletas!T571="Taijijian 42 F",942,IF(Atletas!U571="Taijidao A",943,IF(Atletas!U571="Taijishan A",944,IF(Atletas!U571="Taijiqiang A",945,IF(Atletas!U571="Taijidao B",946,IF(Atletas!U571="Taijishan B",947,IF(Atletas!U571="Taijiqiang B",948,IF(Atletas!U571="Taijidao C",949,IF(Atletas!U571="Taijishan C",950,IF(Atletas!U571="Taijiqiang C",951,IF(Atletas!U571="Taijidao D",952,IF(Atletas!U571="Taijishan D",953,IF(Atletas!U571="Taijiqiang D",954,IF(Atletas!U571="Taijidao E",955,IF(Atletas!U571="Taijishan E",956,IF(Atletas!U571="Taijiqiang E",957,IF(Atletas!U571="Taijidao F",958,IF(Atletas!U571="Taijishan F",959,IF(Atletas!U571="Taijiqiang F",960))))))))))))))))))))</f>
        <v/>
      </c>
      <c r="CF575" s="52" t="str">
        <f xml:space="preserve"> IF(Atletas!V571="","",IF(Atletas!V571="Duilian de Mãos AB - Equipe 1",1,IF(Atletas!V571="Duilian de Mãos AB - Equipe 2",2,IF(Atletas!V571="Duilian de Armas AB - Equipe 1",3,IF(Atletas!V571="Duilian de Armas AB - Equipe 2",4,IF(Atletas!V571="Duilian de Tuishou - Equipe 1",5,IF(Atletas!V571="Duilian de Tuishou - Equipe 2",6,IF(Atletas!V571="Grupo Externo AB - Equipe 1",7,IF(Atletas!V571="Grupo Externo AB - Equipe 2",8,IF(Atletas!V571="Grupo Interno AB - Equipe 1",9,IF(Atletas!V571="Grupo Interno AB - Equipe 2",10,IF(Atletas!V571="Duilian de Mãos CD - Equipe 1",11,IF(Atletas!V571="Duilian de Mãos CD - Equipe 2",12,IF(Atletas!V571="Duilian de Armas CD - Equipe 1",13,IF(Atletas!V571="Duilian de Armas CD - Equipe 2",14,IF(Atletas!V571="Duilian de Tuishou - Equipe 1",15,IF(Atletas!V571="Duilian de Tuishou - Equipe 2",16,IF(Atletas!V571="Grupo Externo CDEF - Equipe 1",17,IF(Atletas!V571="Grupo Externo CDEF - Equipe 2",18,IF(Atletas!V571="Grupo Interno CDEF - Equipe 1",19,IF(Atletas!V571="Grupo Interno CDEF - Equipe 2",20,IF(Atletas!V571="Duilian de Mãos EF - Equipe 1",21,IF(Atletas!V571="Duilian de Mãos EF - Equipe 2",22,IF(Atletas!V571="Duilian de Armas EF - Equipe 1",23,IF(Atletas!V571="Duilian de Armas EF - Equipe 2",24,IF(Atletas!V571="Duilian de Tuishou - Equipe 1",25,IF(Atletas!V571="Duilian de Tuishou - Equipe 2",26,"")))))))))))))))))))))))))))</f>
        <v/>
      </c>
    </row>
    <row r="576" spans="36:84">
      <c r="AJ576" s="46" t="str">
        <f>IF(Atletas!D572="","",IF(Atletas!B572="Feminino",100,IF(Atletas!B572="Masculino",200,""))+(IF(Atletas!D572="Infantil 39kg",1,IF(Atletas!D572="Infantil 42kg",2,IF(Atletas!D572="Infantil 45kg",3,IF(Atletas!D572="Infantil 48kg",4,IF(Atletas!D572="Infantil 52kg",5,IF(Atletas!D572="Infantil 56kg",6,IF(Atletas!D572="Infantil 60kg",7,IF(Atletas!D572="Juvenil 48kg",8,IF(Atletas!D572="Juvenil 52kg",9,IF(Atletas!D572="Juvenil 56kg",10,IF(Atletas!D572="Juvenil 60kg",11,IF(Atletas!D572="Juvenil 65kg",12,IF(Atletas!D572="Juvenil 70kg",13,IF(Atletas!D572="Juvenil 75kg",14,IF(Atletas!D572="Juvenil 80kg",15,IF(Atletas!D572="Adulto 48kg",16,IF(Atletas!D572="Adulto 52kg",17,IF(Atletas!D572="Adulto 56kg",18,IF(Atletas!D572="Adulto 60kg",19,IF(Atletas!D572="Adulto 65kg",20,IF(Atletas!D572="Adulto 70kg",21,IF(Atletas!D572="Adulto 75kg",22,IF(Atletas!D572="Adulto 80kg",23,IF(Atletas!D572="Adulto 85kg",24,IF(Atletas!D572="Adulto 90kg",25,IF(Atletas!D572="Adulto +90kg",26,""))))))))))))))))))))))))))))</f>
        <v/>
      </c>
      <c r="AO576" s="10" t="str">
        <f>IF(Atletas!E572="","",IF(Atletas!B572="Feminino",100,IF(Atletas!B572="Masculino",200,""))+(IF(Atletas!E572="Juvenil 44kg",1,IF(Atletas!E572="Juvenil 48kg",2,IF(Atletas!E572="Juvenil 52kg",3,IF(Atletas!E572="Juvenil 56kg",4,IF(Atletas!E572="Juvenil 60kg",5,IF(Atletas!E572="Juvenil 65kg",6,IF(Atletas!E572="Juvenil 70kg",7,IF(Atletas!E572="Juvenil 75kg",8,IF(Atletas!E572="Juvenil 82kg",9,IF(Atletas!E572="Juvenil 90kg",10,IF(Atletas!E572="Juvenil 100kg",11,IF(Atletas!E572="Adulto 48kg",12,IF(Atletas!E572="Adulto 52kg",13,IF(Atletas!E572="Adulto 56kg",14,IF(Atletas!E572="Adulto 60kg",15,IF(Atletas!E572="Adulto 65kg",16,IF(Atletas!E572="Adulto 70kg",17,IF(Atletas!E572="Adulto 75kg",18,IF(Atletas!E572="Adulto 82kg",19,IF(Atletas!E572="Adulto 90kg",20,IF(Atletas!E572="Adulto 100kg",21,IF(Atletas!E572="Adulto +100kg",22,""))))))))))))))))))))))))</f>
        <v/>
      </c>
      <c r="AT576" s="10" t="str">
        <f>IF(Atletas!F572="","",IF(Atletas!B572="Feminino",100,IF(Atletas!B572="Masculino",200,""))+(IF(Atletas!F572="Adulto 48kg",1,IF(Atletas!F572="Adulto 56kg",2,IF(Atletas!F572="Adulto 65kg",3,IF(Atletas!F572="Adulto 75kg",4,IF(Atletas!F572="Adulto +75kg",5,IF(Atletas!F572="Adulto 52kg",6,IF(Atletas!F572="Adulto 60kg",7,IF(Atletas!F572="Adulto 70kg",8,IF(Atletas!F572="Adulto 80kg",9,IF(Atletas!F572="Adulto 90kg",10,IF(Atletas!F572="Adulto +90kg",11,"")))))))))))))</f>
        <v/>
      </c>
      <c r="AY576" s="46" t="str">
        <f>IF(Atletas!G572="","",IF(Atletas!B572="Feminino",100,IF(Atletas!B572="Masculino",200,""))+(IF(Atletas!G572="Changquan Mirim",1,IF(Atletas!G572="Nanquan Mirim",2,IF(Atletas!G572="Taijiquan Mirim",3,IF(Atletas!G572="Changquan Grupo C",4,IF(Atletas!G572="Nanquan Grupo C",5,IF(Atletas!G572="Taijiquan Grupo C",6,IF(Atletas!G572="Changquan Grupo B",7,IF(Atletas!G572="Nanquan Grupo B",8,IF(Atletas!G572="Taijiquan Grupo B",9,IF(Atletas!G572="Changquan Grupo A",10,IF(Atletas!G572="Nanquan Grupo A",11,IF(Atletas!G572="Taijiquan Grupo A",12,IF(Atletas!G572="Changquan Opcional",13,IF(Atletas!G572="Nanquan Opcional",14,IF(Atletas!G572="Taijiquan Opcional",15,IF(Atletas!G572="Changquan Adulto",16,IF(Atletas!G572="Nanquan Adulto",17,IF(Atletas!G572="Taijiquan Adulto",18,""))))))))))))))))))))</f>
        <v/>
      </c>
      <c r="AZ576" s="46" t="str">
        <f>IF(Atletas!H572="","",IF(Atletas!B572="Feminino",100,IF(Atletas!B572="Masculino",200,""))+(IF(Atletas!H572="Daoshu Mirim",19,IF(Atletas!H572="Jianshu Mirim",20,IF(Atletas!H572="Nandao Mirim",21,IF(Atletas!H572="Taijijian Mirim",22,IF(Atletas!H572="Daoshu Grupo C",23,IF(Atletas!H572="Jianshu Grupo C",24,IF(Atletas!H572="Nandao Grupo C",25,IF(Atletas!H572="Taijijian Grupo C",26,IF(Atletas!H572="Daoshu Grupo B",27,IF(Atletas!H572="Jianshu Grupo B",28,IF(Atletas!H572="Nandao Grupo B",29,IF(Atletas!H572="Taijijian Grupo B",30,IF(Atletas!H572="Daoshu Grupo A",31,IF(Atletas!H572="Jianshu Grupo A",32,IF(Atletas!H572="Nandao Grupo A",33,IF(Atletas!H572="Taijijian Grupo A",34,IF(Atletas!H572="Daoshu Opcional",35,IF(Atletas!H572="Jianshu Opcional",36,IF(Atletas!H572="Nandao Opcional",37,IF(Atletas!H572="Taijijian Opcional",38,IF(Atletas!H572="Daoshu Adulto",39,IF(Atletas!H572="Jianshu Adulto",40,IF(Atletas!H572="Nandao Adulto",41,IF(Atletas!H572="Taijijian Adulto",42,""))))))))))))))))))))))))))</f>
        <v/>
      </c>
      <c r="BA576" s="46" t="str">
        <f>IF(Atletas!I572="","",IF(Atletas!B572="Feminino",100,IF(Atletas!B572="Masculino",200,""))+(IF(Atletas!I572="Gunshu Mirim",43,IF(Atletas!I572="Qiangshu Mirim",44,IF(Atletas!I572="Nangun Mirim",45,IF(Atletas!I572="Gunshu Grupo C",46,IF(Atletas!I572="Qiangshu Grupo C",47,IF(Atletas!I572="Nangun Grupo C",48,IF(Atletas!I572="Gunshu Grupo B",49,IF(Atletas!I572="Qiangshu Grupo B",50,IF(Atletas!I572="Nangun Grupo B",51,IF(Atletas!I572="Gunshu Grupo A",52,IF(Atletas!I572="Qiangshu Grupo A",53,IF(Atletas!I572="Nangun Grupo A",54,IF(Atletas!I572="Gunshu Opcional",55,IF(Atletas!I572="Qiangshu Opcional",56,IF(Atletas!I572="Nangun Opcional",57,IF(Atletas!I572="Gunshu Adulto",58,IF(Atletas!I572="Qiangshu Adulto",59,IF(Atletas!I572="Nangun Adulto",60,""))))))))))))))))))))</f>
        <v/>
      </c>
      <c r="BF576" s="52" t="str">
        <f>IF(Atletas!J572="","",IF(Atletas!B572="Feminino",100,IF(Atletas!B572="Masculino",200,""))+(IF(Atletas!J572="Equipe 1 Grupo B",1,IF(Atletas!J572="Equipe 2 Grupo B",2,IF(Atletas!J572="Equipe 1 Grupo A",3,IF(Atletas!J572="Equipe 2 Grupo A",4,IF(Atletas!J572="Equipe 1 Adulto",5,IF(Atletas!J572="Equipe 2 Adulto",6,""))))))))</f>
        <v/>
      </c>
      <c r="BK576" s="52" t="str">
        <f>IF(Atletas!K572="","",IF(Atletas!W572&lt;&gt;"",10000,0)+(IF(Atletas!B572="Feminino",1000,IF(Atletas!B572="Masculino",2000,""))+IF(Atletas!K572="Choylayfut A",1,IF(Atletas!K572="Hunggar A",2,IF(Atletas!K572="Wuzuquan A",3,IF(Atletas!K572="Wingchun A",4,IF(Atletas!K572="Outra Mão de Sul A",5,IF(Atletas!K572="Choylayfut B",6,IF(Atletas!K572="Hunggar B",7,IF(Atletas!K572="Wuzuquan B",8,IF(Atletas!K572="Wingchun B",9,IF(Atletas!K572="Outra Mão de Sul B",10,IF(Atletas!K572="Choylayfut C",11,IF(Atletas!K572="Hunggar C",12,IF(Atletas!K572="Wuzuquan C",13,IF(Atletas!K572="Wingchun C",14,IF(Atletas!K572="Outra Mão de Sul C",15,IF(Atletas!K572="Choylayfut D",16,IF(Atletas!K572="Hunggar D",17,IF(Atletas!K572="Wuzuquan D",18,IF(Atletas!K572="Wingchun D",19,IF(Atletas!K572="Outra Mão de Sul D",20,IF(Atletas!K572="Choylayfut E",21,IF(Atletas!K572="Hunggar E",22,IF(Atletas!K572="Wuzuquan E",23,IF(Atletas!K572="Wingchun E",24,IF(Atletas!K572="Outra Mão de Sul E",25,IF(Atletas!K572="Choylayfut F",26,IF(Atletas!K572="Hunggar F",27,IF(Atletas!K572="Wuzuquan F",28,IF(Atletas!K572="Wingchun F",29,IF(Atletas!K572="Outra Mão de Sul F",30,""))))))))))))))))))))))))))))))))</f>
        <v/>
      </c>
      <c r="BL576" s="52" t="str">
        <f>IF(Atletas!L572="","",IF(Atletas!W572&lt;&gt;"",10000,0)+(IF(Atletas!B572="Feminino",1000,IF(Atletas!B572="Masculino",2000,""))+(IF(Atletas!L572="Chaquan A",101,IF(Atletas!L572="Emeiquan A",102,IF(Atletas!L572="Fanziquan A",103,IF(Atletas!L572="Huaquan A",104,IF(Atletas!L572="Hongquan A",105,IF(Atletas!L572="Paochui A",106,IF(Atletas!L572="Piguaquan A",107,IF(Atletas!L572="Shaolinquan A",108,IF(Atletas!L572="Tanglangquan A",109,IF(Atletas!L572="Yinzhaophai A",110,IF(Atletas!L572="Tongbeiquan A",111,IF(Atletas!L572="Wudangquan A",112,IF(Atletas!L572="Outros Estilos A",113,IF(Atletas!L572="Chaquan B",114,IF(Atletas!L572="Emeiquan B",115,IF(Atletas!L572="Fanziquan B",116,IF(Atletas!L572="Huaquan B",117,IF(Atletas!L572="Hongquan B",118,IF(Atletas!L572="Paochui B",119,IF(Atletas!L572="Piguaquan B",120,IF(Atletas!L572="Shaolinquan B",121,IF(Atletas!L572="Tanglangquan B",122,IF(Atletas!L572="Yinzhaophai B",123,IF(Atletas!L572="Tongbeiquan B",124,IF(Atletas!L572="Wudangquan B",125,IF(Atletas!L572="Outros Estilos B",126,IF(Atletas!L572="Chaquan C",127,IF(Atletas!L572="Emeiquan C",128,IF(Atletas!L572="Fanziquan C",129,IF(Atletas!L572="Huaquan C",130,IF(Atletas!L572="Hongquan C",131,IF(Atletas!L572="Paochui C",132,IF(Atletas!L572="Piguaquan C",133,IF(Atletas!L572="Shaolinquan C",134,IF(Atletas!L572="Tanglangquan C",135,IF(Atletas!L572="Yinzhaophai C",136,IF(Atletas!L572="Tongbeiquan C",137,IF(Atletas!L572="Wudangquan C",138,IF(Atletas!L572="Outros Estilos C",139,0))))))))))))))))))))))))))))))))))))))))))</f>
        <v/>
      </c>
      <c r="BM576" s="52" t="str">
        <f>IF(Atletas!L572="","",IF(Atletas!W572&lt;&gt;"",10000,0)+(IF(Atletas!B572="Feminino",1000,IF(Atletas!B572="Masculino",2000,""))+(IF(Atletas!L572="Chaquan D",140,IF(Atletas!L572="Emeiquan D",141,IF(Atletas!L572="Fanziquan D",142,IF(Atletas!L572="Huaquan D",143,IF(Atletas!L572="Hongquan D",144,IF(Atletas!L572="Paochui D",145,IF(Atletas!L572="Piguaquan D",146,IF(Atletas!L572="Shaolinquan D",147,IF(Atletas!L572="Tanglangquan D",148,IF(Atletas!L572="Yinzhaophai D",149,IF(Atletas!L572="Tongbeiquan D",150,IF(Atletas!L572="Wudangquan D",151,IF(Atletas!L572="Outros Estilos D",152,IF(Atletas!L572="Chaquan E",153,IF(Atletas!L572="Emeiquan E",154,IF(Atletas!L572="Fanziquan E",155,IF(Atletas!L572="Huaquan E",156,IF(Atletas!L572="Hongquan E",157,IF(Atletas!L572="Paochui E",158,IF(Atletas!L572="Piguaquan E",159,IF(Atletas!L572="Shaolinquan E",160,IF(Atletas!L572="Tanglangquan E",161,IF(Atletas!L572="Yinzhaophai E",162,IF(Atletas!L572="Tongbeiquan E",163,IF(Atletas!L572="Wudangquan E",164,IF(Atletas!L572="Outros Estilos E",165,IF(Atletas!L572="Chaquan F",166,IF(Atletas!L572="Emeiquan F",167,IF(Atletas!L572="Fanziquan F",168,IF(Atletas!L572="Huaquan F",169,IF(Atletas!L572="Hongquan F",170,IF(Atletas!L572="Paochui F",171,IF(Atletas!L572="Piguaquan F",172,IF(Atletas!L572="Shaolinquan F",173,IF(Atletas!L572="Tanglangquan F",174,IF(Atletas!L572="Yinzhaophai F",175,IF(Atletas!L572="Tongbeiquan F",176,IF(Atletas!L572="Wudangquan F",177,IF(Atletas!L572="Outros Estilos F",178,0))))))))))))))))))))))))))))))))))))))))))</f>
        <v/>
      </c>
      <c r="BN576" s="52" t="str">
        <f>IF(Atletas!M572="","",IF(Atletas!W572&lt;&gt;"",10000,0)+(IF(Atletas!B572="Feminino",1000,IF(Atletas!B572="Masculino",2000,""))+(IF(Atletas!M572="Ditangquan A",201,IF(Atletas!M572="Houquan A",202,IF(Atletas!M572="Zuiquan A",203,IF(Atletas!M572="Ditangquan B",204,IF(Atletas!M572="Houquan B",205,IF(Atletas!M572="Zuiquan B",206,IF(Atletas!M572="Ditangquan C",207,IF(Atletas!M572="Houquan C",208,IF(Atletas!M572="Zuiquan C",209,IF(Atletas!M572="Ditangquan D",210,IF(Atletas!M572="Houquan D",211,IF(Atletas!M572="Zuiquan D",212,IF(Atletas!M572="Ditangquan E",213,IF(Atletas!M572="Houquan E",214,IF(Atletas!M572="Zuiquan E",215,IF(Atletas!M572="Ditangquan F",216,IF(Atletas!M572="Houquan F",217,IF(Atletas!M572="Zuiquan F",218,"")))))))))))))))))))))</f>
        <v/>
      </c>
      <c r="BO576" s="52" t="str">
        <f>IF(Atletas!N572="","",IF(Atletas!W572&lt;&gt;"",10000,0)+IF(Atletas!B572="Feminino",1000,IF(Atletas!B572="Masculino",2000,""))+IF(Atletas!N572="Yang A",301,IF(Atletas!N572="Chen A",30,IF(Atletas!N572="Sun A",303,IF(Atletas!N572="Wu A",304,IF(Atletas!N572="Wu-Hao A",305,IF(Atletas!N572="Outro Taijiquan A",306,IF(Atletas!N572="Yang B",307,IF(Atletas!N572="Chen B",308,IF(Atletas!N572="Sun B",309,IF(Atletas!N572="Wu B",310,IF(Atletas!N572="Wu-Hao B",311,IF(Atletas!N572="Outro Taijiquan B",312,IF(Atletas!N572="Yang C",313,IF(Atletas!N572="Chen C",314,IF(Atletas!N572="Sun C",315,IF(Atletas!N572="Wu C",316,IF(Atletas!N572="Wu-Hao C",317,IF(Atletas!N572="Outro Taijiquan C",318,IF(Atletas!N572="Yang D",319,IF(Atletas!N572="Chen D",320,IF(Atletas!N572="Sun D",321,IF(Atletas!N572="Wu D",322,IF(Atletas!N572="Wu-Hao D",323,IF(Atletas!N572="Outro Taijiquan D",324,IF(Atletas!N572="Yang E",325,IF(Atletas!N572="Chen E",326,IF(Atletas!N572="Sun E",327,IF(Atletas!N572="Wu E",328,IF(Atletas!N572="Wu-Hao E",329,IF(Atletas!N572="Outro Taijiquan E",330,IF(Atletas!N572="Yang F",331,IF(Atletas!N572="Chen F",332,IF(Atletas!N572="Sun F",333,IF(Atletas!N572="Wu F",334,IF(Atletas!N572="Wu-Hao F",335,IF(Atletas!N572="Outro Taijiquan F",336,"")))))))))))))))))))))))))))))))))))))</f>
        <v/>
      </c>
      <c r="BP576" s="52" t="str">
        <f>IF(Atletas!O572="","",IF(Atletas!W572&lt;&gt;"",10000,0)+IF(Atletas!B572="Feminino",1000,IF(Atletas!B572="Masculino",2000,""))+IF(OR(Atletas!O572="Yang 26 A",Atletas!O572="Yang 40 A"),401,IF(OR(Atletas!O572="Chen 25 A",Atletas!O572="Chen 36 A",Atletas!O572="Chen 56 A"),402,IF(Atletas!O572="Sun 73 A",403,IF(Atletas!O572="Wu 45 A",404,IF(Atletas!O572="Wu-Hao 46 A",405,IF(OR(Atletas!O572="Taijiquan 16 A",Atletas!O572="Taijiquan 24 A",Atletas!O572="Taijiquan 32 A",Atletas!O572="Taijiquan 42 A"),406,IF(OR(Atletas!O572="Yang 26 B",Atletas!O572="Yang 40 B"),407,IF(OR(Atletas!O572="Chen 25 B",Atletas!O572="Chen 36 B",Atletas!O572="Chen 56 B"),408,IF(Atletas!O572="Sun 73 B",409,IF(Atletas!O572="Wu 45 B",410,IF(Atletas!O572="Wu-Hao 46 B",411,IF(OR(Atletas!O572="Taijiquan 16 B",Atletas!O572="Taijiquan 24 B",Atletas!O572="Taijiquan 32 B",Atletas!O572="Taijiquan 42 B"),412,IF(OR(Atletas!O572="Yang 26 C",Atletas!O572="Yang 40 C"),413,IF(OR(Atletas!O572="Chen 25 C",Atletas!O572="Chen 36 C",Atletas!O572="Chen 56 C"),414,IF(Atletas!O572="Sun 73 C",415,IF(Atletas!O572="Wu 45 C",416,IF(Atletas!O572="Wu-Hao 46 C",417,IF(OR(Atletas!O572="Taijiquan 16 C",Atletas!O572="Taijiquan 24 C",Atletas!O572="Taijiquan 32 C",Atletas!O572="Taijiquan 42 C"),418,0)))))))))))))))))))</f>
        <v/>
      </c>
      <c r="BQ576" s="52" t="str">
        <f>IF(Atletas!O572="","",IF(Atletas!W572&lt;&gt;"",10000,0)+IF(Atletas!B572="Feminino",1000,IF(Atletas!B572="Masculino",2000,""))+IF(OR(Atletas!O572="Yang 26 D",Atletas!O572="Yang 40 D"),419,IF(OR(Atletas!O572="Chen 25 D",Atletas!O572="Chen 36 D",Atletas!O572="Chen 56 D"),420,IF(Atletas!O572="Sun 73 D",421,IF(Atletas!O572="Wu 45 D",422,IF(Atletas!O572="Wu-Hao 46 D",423,IF(OR(Atletas!O572="Taijiquan 16 D",Atletas!O572="Taijiquan 24 D",Atletas!O572="Taijiquan 32 D",Atletas!O572="Taijiquan 42 D"),424,IF(OR(Atletas!O572="Yang 26 E",Atletas!O572="Yang 40 E"),425,IF(OR(Atletas!O572="Chen 25 E",Atletas!O572="Chen 36 E",Atletas!O572="Chen 56 E"),426,IF(Atletas!O572="Sun 73 E",427,IF(Atletas!O572="Wu 45 E",428,IF(Atletas!O572="Wu-Hao 46 E",429,IF(OR(Atletas!O572="Taijiquan 16 E",Atletas!O572="Taijiquan 24 E",Atletas!O572="Taijiquan 32 E",Atletas!O572="Taijiquan 42 E"),430,IF(OR(Atletas!O572="Yang 26 F",Atletas!O572="Yang 40 F"),431,IF(OR(Atletas!O572="Chen 25 F",Atletas!O572="Chen 36 F",Atletas!O572="Chen 56 F"),432,IF(Atletas!O572="Sun 73 F",433,IF(Atletas!O572="Wu 45 F",434,IF(Atletas!O572="Wu-Hao 46 F",435,IF(OR(Atletas!O572="Taijiquan 16 F",Atletas!O572="Taijiquan 24 F",Atletas!O572="Taijiquan 32 F",Atletas!O572="Taijiquan 42 F"),436,0)))))))))))))))))))</f>
        <v/>
      </c>
      <c r="BR576" s="52" t="str">
        <f>IF(Atletas!P572="","",IF(Atletas!W572&lt;&gt;"",10000,0)+IF(Atletas!B572="Feminino",1000,IF(Atletas!B572="Masculino",2000,""))+IF(Atletas!P572="Xingyiquan A",501,IF(Atletas!P572="Baguazhang A",502,IF(Atletas!P572="Outro Estilo Interno A",503,IF(Atletas!P572="Xingyiquan B",504,IF(Atletas!P572="Baguazhang B",505,IF(Atletas!P572="Outro Estilo Interno B",506,IF(Atletas!P572="Xingyiquan C",507,IF(Atletas!P572="Baguazhang C",508,IF(Atletas!P572="Outro Estilo Interno C",509,IF(Atletas!P572="Xingyiquan D",510,IF(Atletas!P572="Baguazhang D",511,IF(Atletas!P572="Outro Estilo Interno D",512,IF(Atletas!P572="Xingyiquan E",513,IF(Atletas!P572="Baguazhang E",514,IF(Atletas!P572="Outro Estilo Interno E",515,IF(Atletas!P572="Xingyiquan F",516,IF(Atletas!P572="Baguazhang F",517,IF(Atletas!P572="Outro Estilo Interno F",518, "")))))))))))))))))))</f>
        <v/>
      </c>
      <c r="BS576" s="52" t="str">
        <f>IF(Atletas!Q572="","",IF(Atletas!W572&lt;&gt;"",10000,0)+IF(Atletas!B572="Feminino",1000,IF(Atletas!B572="Masculino",2000,""))+IF(Atletas!Q572="Dao A",601,IF(Atletas!Q572="Jian A",602,IF(Atletas!Q572="Bishou A",603,IF(Atletas!Q572="Shan A",604,IF(Atletas!Q572="Outra Arma Curta A",605,IF(Atletas!Q572="Dao B",606,IF(Atletas!Q572="Jian B",607,IF(Atletas!Q572="Bishou B",608,IF(Atletas!Q572="Shan B",609,IF(Atletas!Q572="Outra Arma Curta B",610,IF(Atletas!Q572="Dao C",611,IF(Atletas!Q572="Jian C",612,IF(Atletas!Q572="Bishou C",613,IF(Atletas!Q572="Shan C",614,IF(Atletas!Q572="Outra Arma Curta C",615,IF(Atletas!Q572="Dao D",616,IF(Atletas!Q572="Jian D",617,IF(Atletas!Q572="Bishou D",618,IF(Atletas!Q572="Shan D",619,IF(Atletas!Q572="Outra Arma Curta D",620,IF(Atletas!Q572="Dao E",621,IF(Atletas!Q572="Jian E",622,IF(Atletas!Q572="Bishou E",623,IF(Atletas!Q572="Shan E",624,IF(Atletas!Q572="Outra Arma Curta E",625,IF(Atletas!Q572="Dao F",626,IF(Atletas!Q572="Jian F",627,IF(Atletas!Q572="Bishou F",628,IF(Atletas!Q572="Shan F",629,IF(Atletas!Q572="Outra Arma Curta F",630, "")))))))))))))))))))))))))))))))</f>
        <v/>
      </c>
      <c r="BT576" s="52" t="str">
        <f>IF(Atletas!R572="","",IF(Atletas!W572&lt;&gt;"",10000,0)+IF(Atletas!B572="Feminino",1000,IF(Atletas!B572="Masculino",2000,""))+IF(Atletas!R572="Gun A",701,IF(Atletas!R572="Qiang A",702,IF(Atletas!R572="Pudao / Guandao A",703,IF(Atletas!R572="Outra Arma Longa A",704,IF(Atletas!R572="Gun B",705,IF(Atletas!R572="Qiang B",706,IF(Atletas!R572="Pudao / Guandao B",707,IF(Atletas!R572="Outra Arma Longa B",708,IF(Atletas!R572="Gun C",709,IF(Atletas!R572="Qiang C",710,IF(Atletas!R572="Pudao / Guandao C",711,IF(Atletas!R572="Outra Arma Longa C",712,IF(Atletas!R572="Gun D",713,IF(Atletas!R572="Qiang D",714,IF(Atletas!R572="Pudao / Guandao D",715,IF(Atletas!R572="Outra Arma Longa D",716,IF(Atletas!R572="Gun E",717,IF(Atletas!R572="Qiang E",718,IF(Atletas!R572="Pudao / Guandao E",719,IF(Atletas!R572="Outra Arma Longa E",720,IF(Atletas!R572="Gun F",721,IF(Atletas!R572="Qiang F",722,IF(Atletas!R572="Pudao / Guandao F",723,IF(Atletas!R572="Outra Arma Longa F",724,"")))))))))))))))))))))))))</f>
        <v/>
      </c>
      <c r="BU576" s="52" t="str">
        <f>IF(Atletas!S572="","",IF(Atletas!W572&lt;&gt;"",10000,0)+IF(Atletas!B572="Feminino",1000,IF(Atletas!B572="Masculino",2000,""))+IF(Atletas!S572="Arma Dupla A",801,IF(Atletas!S572="Arma Maleável A",802,IF(Atletas!S572="Arma Dupla B",803,IF(Atletas!S572="Arma Maleável B",804,IF(Atletas!S572="Arma Dupla C",805,IF(Atletas!S572="Arma Maleável C",806,IF(Atletas!S572="Arma Dupla D",807,IF(Atletas!S572="Arma Maleável D",808,IF(Atletas!S572="Arma Dupla E",809,IF(Atletas!S572="Arma Maleável E",810,IF(Atletas!S572="Arma Dupla F",811,IF(Atletas!S572="Arma Maleável F",812, "")))))))))))))</f>
        <v/>
      </c>
      <c r="BV576" s="52" t="str">
        <f>IF(Atletas!T572="","",IF(Atletas!W572&lt;&gt;"",10000,0)+IF(Atletas!B572="Feminino",1000,IF(Atletas!B572="Masculino",2000,""))+IF(Atletas!T572="Taijijian Yang A",901,IF(Atletas!T572="Taijijian Chen A",902,IF(Atletas!T572="Taijijian Sun A",903,IF(Atletas!T572="Taijijian Wu A",904,IF(Atletas!T572="Taijijian Wu-Hao A",905,IF(Atletas!T572="Taijijian 32 A",906,IF(Atletas!T572="Taijijian 42 A",907,IF(Atletas!T572="Taijijian Yang B",908,IF(Atletas!T572="Taijijian Chen B",909,IF(Atletas!T572="Taijijian Sun B",910,IF(Atletas!T572="Taijijian Wu B",911,IF(Atletas!T572="Taijijian Wu-Hao B",912,IF(Atletas!T572="Taijijian 32 B",913,IF(Atletas!T572="Taijijian 42 B",914,IF(Atletas!T572="Taijijian Yang C",915,IF(Atletas!T572="Taijijian Chen C",916,IF(Atletas!T572="Taijijian Sun C",917,IF(Atletas!T572="Taijijian Wu C",918,IF(Atletas!T572="Taijijian Wu-Hao C",919,IF(Atletas!T572="Taijijian 32 C",920,IF(Atletas!T572="Taijijian 42 C",921,IF(Atletas!T572="Taijijian Yang D",922,IF(Atletas!T572="Taijijian Chen D",923,IF(Atletas!T572="Taijijian Sun D",924,IF(Atletas!T572="Taijijian Wu D",925,IF(Atletas!T572="Taijijian Wu-Hao D",926,IF(Atletas!T572="Taijijian 32 D",927,IF(Atletas!T572="Taijijian 42 D",928,IF(Atletas!T572="Taijijian Yang E",929,IF(Atletas!T572="Taijijian Chen E",930,IF(Atletas!T572="Taijijian Sun E",931,IF(Atletas!T572="Taijijian Wu E",932,IF(Atletas!T572="Taijijian Wu-Hao E",933,IF(Atletas!T572="Taijijian 32 E",934,IF(Atletas!T572="Taijijian 42 E",935,IF(Atletas!T572="Taijijian Yang F",936,IF(Atletas!T572="Taijijian Chen F",937,IF(Atletas!T572="Taijijian Sun F",938,IF(Atletas!T572="Taijijian Wu F",939,IF(Atletas!T572="Taijijian Wu-Hao F",940,IF(Atletas!T572="Taijijian 32 F",941,IF(Atletas!T572="Taijijian 42 F",942,"")))))))))))))))))))))))))))))))))))))))))))</f>
        <v/>
      </c>
      <c r="BW576" s="52" t="str">
        <f>IF(Atletas!U572="","",IF(Atletas!W572&lt;&gt;"",10000,0)+IF(Atletas!B572="Feminino",1000,IF(Atletas!B572="Masculino",2000,""))+IF(Atletas!T572="Taijijian 42 F",942,IF(Atletas!U572="Taijidao A",943,IF(Atletas!U572="Taijishan A",944,IF(Atletas!U572="Taijiqiang A",945,IF(Atletas!U572="Taijidao B",946,IF(Atletas!U572="Taijishan B",947,IF(Atletas!U572="Taijiqiang B",948,IF(Atletas!U572="Taijidao C",949,IF(Atletas!U572="Taijishan C",950,IF(Atletas!U572="Taijiqiang C",951,IF(Atletas!U572="Taijidao D",952,IF(Atletas!U572="Taijishan D",953,IF(Atletas!U572="Taijiqiang D",954,IF(Atletas!U572="Taijidao E",955,IF(Atletas!U572="Taijishan E",956,IF(Atletas!U572="Taijiqiang E",957,IF(Atletas!U572="Taijidao F",958,IF(Atletas!U572="Taijishan F",959,IF(Atletas!U572="Taijiqiang F",960))))))))))))))))))))</f>
        <v/>
      </c>
      <c r="CF576" s="52" t="str">
        <f xml:space="preserve"> IF(Atletas!V572="","",IF(Atletas!V572="Duilian de Mãos AB - Equipe 1",1,IF(Atletas!V572="Duilian de Mãos AB - Equipe 2",2,IF(Atletas!V572="Duilian de Armas AB - Equipe 1",3,IF(Atletas!V572="Duilian de Armas AB - Equipe 2",4,IF(Atletas!V572="Duilian de Tuishou - Equipe 1",5,IF(Atletas!V572="Duilian de Tuishou - Equipe 2",6,IF(Atletas!V572="Grupo Externo AB - Equipe 1",7,IF(Atletas!V572="Grupo Externo AB - Equipe 2",8,IF(Atletas!V572="Grupo Interno AB - Equipe 1",9,IF(Atletas!V572="Grupo Interno AB - Equipe 2",10,IF(Atletas!V572="Duilian de Mãos CD - Equipe 1",11,IF(Atletas!V572="Duilian de Mãos CD - Equipe 2",12,IF(Atletas!V572="Duilian de Armas CD - Equipe 1",13,IF(Atletas!V572="Duilian de Armas CD - Equipe 2",14,IF(Atletas!V572="Duilian de Tuishou - Equipe 1",15,IF(Atletas!V572="Duilian de Tuishou - Equipe 2",16,IF(Atletas!V572="Grupo Externo CDEF - Equipe 1",17,IF(Atletas!V572="Grupo Externo CDEF - Equipe 2",18,IF(Atletas!V572="Grupo Interno CDEF - Equipe 1",19,IF(Atletas!V572="Grupo Interno CDEF - Equipe 2",20,IF(Atletas!V572="Duilian de Mãos EF - Equipe 1",21,IF(Atletas!V572="Duilian de Mãos EF - Equipe 2",22,IF(Atletas!V572="Duilian de Armas EF - Equipe 1",23,IF(Atletas!V572="Duilian de Armas EF - Equipe 2",24,IF(Atletas!V572="Duilian de Tuishou - Equipe 1",25,IF(Atletas!V572="Duilian de Tuishou - Equipe 2",26,"")))))))))))))))))))))))))))</f>
        <v/>
      </c>
    </row>
    <row r="577" spans="36:84">
      <c r="AJ577" s="46" t="str">
        <f>IF(Atletas!D573="","",IF(Atletas!B573="Feminino",100,IF(Atletas!B573="Masculino",200,""))+(IF(Atletas!D573="Infantil 39kg",1,IF(Atletas!D573="Infantil 42kg",2,IF(Atletas!D573="Infantil 45kg",3,IF(Atletas!D573="Infantil 48kg",4,IF(Atletas!D573="Infantil 52kg",5,IF(Atletas!D573="Infantil 56kg",6,IF(Atletas!D573="Infantil 60kg",7,IF(Atletas!D573="Juvenil 48kg",8,IF(Atletas!D573="Juvenil 52kg",9,IF(Atletas!D573="Juvenil 56kg",10,IF(Atletas!D573="Juvenil 60kg",11,IF(Atletas!D573="Juvenil 65kg",12,IF(Atletas!D573="Juvenil 70kg",13,IF(Atletas!D573="Juvenil 75kg",14,IF(Atletas!D573="Juvenil 80kg",15,IF(Atletas!D573="Adulto 48kg",16,IF(Atletas!D573="Adulto 52kg",17,IF(Atletas!D573="Adulto 56kg",18,IF(Atletas!D573="Adulto 60kg",19,IF(Atletas!D573="Adulto 65kg",20,IF(Atletas!D573="Adulto 70kg",21,IF(Atletas!D573="Adulto 75kg",22,IF(Atletas!D573="Adulto 80kg",23,IF(Atletas!D573="Adulto 85kg",24,IF(Atletas!D573="Adulto 90kg",25,IF(Atletas!D573="Adulto +90kg",26,""))))))))))))))))))))))))))))</f>
        <v/>
      </c>
      <c r="AO577" s="10" t="str">
        <f>IF(Atletas!E573="","",IF(Atletas!B573="Feminino",100,IF(Atletas!B573="Masculino",200,""))+(IF(Atletas!E573="Juvenil 44kg",1,IF(Atletas!E573="Juvenil 48kg",2,IF(Atletas!E573="Juvenil 52kg",3,IF(Atletas!E573="Juvenil 56kg",4,IF(Atletas!E573="Juvenil 60kg",5,IF(Atletas!E573="Juvenil 65kg",6,IF(Atletas!E573="Juvenil 70kg",7,IF(Atletas!E573="Juvenil 75kg",8,IF(Atletas!E573="Juvenil 82kg",9,IF(Atletas!E573="Juvenil 90kg",10,IF(Atletas!E573="Juvenil 100kg",11,IF(Atletas!E573="Adulto 48kg",12,IF(Atletas!E573="Adulto 52kg",13,IF(Atletas!E573="Adulto 56kg",14,IF(Atletas!E573="Adulto 60kg",15,IF(Atletas!E573="Adulto 65kg",16,IF(Atletas!E573="Adulto 70kg",17,IF(Atletas!E573="Adulto 75kg",18,IF(Atletas!E573="Adulto 82kg",19,IF(Atletas!E573="Adulto 90kg",20,IF(Atletas!E573="Adulto 100kg",21,IF(Atletas!E573="Adulto +100kg",22,""))))))))))))))))))))))))</f>
        <v/>
      </c>
      <c r="AT577" s="10" t="str">
        <f>IF(Atletas!F573="","",IF(Atletas!B573="Feminino",100,IF(Atletas!B573="Masculino",200,""))+(IF(Atletas!F573="Adulto 48kg",1,IF(Atletas!F573="Adulto 56kg",2,IF(Atletas!F573="Adulto 65kg",3,IF(Atletas!F573="Adulto 75kg",4,IF(Atletas!F573="Adulto +75kg",5,IF(Atletas!F573="Adulto 52kg",6,IF(Atletas!F573="Adulto 60kg",7,IF(Atletas!F573="Adulto 70kg",8,IF(Atletas!F573="Adulto 80kg",9,IF(Atletas!F573="Adulto 90kg",10,IF(Atletas!F573="Adulto +90kg",11,"")))))))))))))</f>
        <v/>
      </c>
      <c r="AY577" s="46" t="str">
        <f>IF(Atletas!G573="","",IF(Atletas!B573="Feminino",100,IF(Atletas!B573="Masculino",200,""))+(IF(Atletas!G573="Changquan Mirim",1,IF(Atletas!G573="Nanquan Mirim",2,IF(Atletas!G573="Taijiquan Mirim",3,IF(Atletas!G573="Changquan Grupo C",4,IF(Atletas!G573="Nanquan Grupo C",5,IF(Atletas!G573="Taijiquan Grupo C",6,IF(Atletas!G573="Changquan Grupo B",7,IF(Atletas!G573="Nanquan Grupo B",8,IF(Atletas!G573="Taijiquan Grupo B",9,IF(Atletas!G573="Changquan Grupo A",10,IF(Atletas!G573="Nanquan Grupo A",11,IF(Atletas!G573="Taijiquan Grupo A",12,IF(Atletas!G573="Changquan Opcional",13,IF(Atletas!G573="Nanquan Opcional",14,IF(Atletas!G573="Taijiquan Opcional",15,IF(Atletas!G573="Changquan Adulto",16,IF(Atletas!G573="Nanquan Adulto",17,IF(Atletas!G573="Taijiquan Adulto",18,""))))))))))))))))))))</f>
        <v/>
      </c>
      <c r="AZ577" s="46" t="str">
        <f>IF(Atletas!H573="","",IF(Atletas!B573="Feminino",100,IF(Atletas!B573="Masculino",200,""))+(IF(Atletas!H573="Daoshu Mirim",19,IF(Atletas!H573="Jianshu Mirim",20,IF(Atletas!H573="Nandao Mirim",21,IF(Atletas!H573="Taijijian Mirim",22,IF(Atletas!H573="Daoshu Grupo C",23,IF(Atletas!H573="Jianshu Grupo C",24,IF(Atletas!H573="Nandao Grupo C",25,IF(Atletas!H573="Taijijian Grupo C",26,IF(Atletas!H573="Daoshu Grupo B",27,IF(Atletas!H573="Jianshu Grupo B",28,IF(Atletas!H573="Nandao Grupo B",29,IF(Atletas!H573="Taijijian Grupo B",30,IF(Atletas!H573="Daoshu Grupo A",31,IF(Atletas!H573="Jianshu Grupo A",32,IF(Atletas!H573="Nandao Grupo A",33,IF(Atletas!H573="Taijijian Grupo A",34,IF(Atletas!H573="Daoshu Opcional",35,IF(Atletas!H573="Jianshu Opcional",36,IF(Atletas!H573="Nandao Opcional",37,IF(Atletas!H573="Taijijian Opcional",38,IF(Atletas!H573="Daoshu Adulto",39,IF(Atletas!H573="Jianshu Adulto",40,IF(Atletas!H573="Nandao Adulto",41,IF(Atletas!H573="Taijijian Adulto",42,""))))))))))))))))))))))))))</f>
        <v/>
      </c>
      <c r="BA577" s="46" t="str">
        <f>IF(Atletas!I573="","",IF(Atletas!B573="Feminino",100,IF(Atletas!B573="Masculino",200,""))+(IF(Atletas!I573="Gunshu Mirim",43,IF(Atletas!I573="Qiangshu Mirim",44,IF(Atletas!I573="Nangun Mirim",45,IF(Atletas!I573="Gunshu Grupo C",46,IF(Atletas!I573="Qiangshu Grupo C",47,IF(Atletas!I573="Nangun Grupo C",48,IF(Atletas!I573="Gunshu Grupo B",49,IF(Atletas!I573="Qiangshu Grupo B",50,IF(Atletas!I573="Nangun Grupo B",51,IF(Atletas!I573="Gunshu Grupo A",52,IF(Atletas!I573="Qiangshu Grupo A",53,IF(Atletas!I573="Nangun Grupo A",54,IF(Atletas!I573="Gunshu Opcional",55,IF(Atletas!I573="Qiangshu Opcional",56,IF(Atletas!I573="Nangun Opcional",57,IF(Atletas!I573="Gunshu Adulto",58,IF(Atletas!I573="Qiangshu Adulto",59,IF(Atletas!I573="Nangun Adulto",60,""))))))))))))))))))))</f>
        <v/>
      </c>
      <c r="BF577" s="52" t="str">
        <f>IF(Atletas!J573="","",IF(Atletas!B573="Feminino",100,IF(Atletas!B573="Masculino",200,""))+(IF(Atletas!J573="Equipe 1 Grupo B",1,IF(Atletas!J573="Equipe 2 Grupo B",2,IF(Atletas!J573="Equipe 1 Grupo A",3,IF(Atletas!J573="Equipe 2 Grupo A",4,IF(Atletas!J573="Equipe 1 Adulto",5,IF(Atletas!J573="Equipe 2 Adulto",6,""))))))))</f>
        <v/>
      </c>
      <c r="BK577" s="52" t="str">
        <f>IF(Atletas!K573="","",IF(Atletas!W573&lt;&gt;"",10000,0)+(IF(Atletas!B573="Feminino",1000,IF(Atletas!B573="Masculino",2000,""))+IF(Atletas!K573="Choylayfut A",1,IF(Atletas!K573="Hunggar A",2,IF(Atletas!K573="Wuzuquan A",3,IF(Atletas!K573="Wingchun A",4,IF(Atletas!K573="Outra Mão de Sul A",5,IF(Atletas!K573="Choylayfut B",6,IF(Atletas!K573="Hunggar B",7,IF(Atletas!K573="Wuzuquan B",8,IF(Atletas!K573="Wingchun B",9,IF(Atletas!K573="Outra Mão de Sul B",10,IF(Atletas!K573="Choylayfut C",11,IF(Atletas!K573="Hunggar C",12,IF(Atletas!K573="Wuzuquan C",13,IF(Atletas!K573="Wingchun C",14,IF(Atletas!K573="Outra Mão de Sul C",15,IF(Atletas!K573="Choylayfut D",16,IF(Atletas!K573="Hunggar D",17,IF(Atletas!K573="Wuzuquan D",18,IF(Atletas!K573="Wingchun D",19,IF(Atletas!K573="Outra Mão de Sul D",20,IF(Atletas!K573="Choylayfut E",21,IF(Atletas!K573="Hunggar E",22,IF(Atletas!K573="Wuzuquan E",23,IF(Atletas!K573="Wingchun E",24,IF(Atletas!K573="Outra Mão de Sul E",25,IF(Atletas!K573="Choylayfut F",26,IF(Atletas!K573="Hunggar F",27,IF(Atletas!K573="Wuzuquan F",28,IF(Atletas!K573="Wingchun F",29,IF(Atletas!K573="Outra Mão de Sul F",30,""))))))))))))))))))))))))))))))))</f>
        <v/>
      </c>
      <c r="BL577" s="52" t="str">
        <f>IF(Atletas!L573="","",IF(Atletas!W573&lt;&gt;"",10000,0)+(IF(Atletas!B573="Feminino",1000,IF(Atletas!B573="Masculino",2000,""))+(IF(Atletas!L573="Chaquan A",101,IF(Atletas!L573="Emeiquan A",102,IF(Atletas!L573="Fanziquan A",103,IF(Atletas!L573="Huaquan A",104,IF(Atletas!L573="Hongquan A",105,IF(Atletas!L573="Paochui A",106,IF(Atletas!L573="Piguaquan A",107,IF(Atletas!L573="Shaolinquan A",108,IF(Atletas!L573="Tanglangquan A",109,IF(Atletas!L573="Yinzhaophai A",110,IF(Atletas!L573="Tongbeiquan A",111,IF(Atletas!L573="Wudangquan A",112,IF(Atletas!L573="Outros Estilos A",113,IF(Atletas!L573="Chaquan B",114,IF(Atletas!L573="Emeiquan B",115,IF(Atletas!L573="Fanziquan B",116,IF(Atletas!L573="Huaquan B",117,IF(Atletas!L573="Hongquan B",118,IF(Atletas!L573="Paochui B",119,IF(Atletas!L573="Piguaquan B",120,IF(Atletas!L573="Shaolinquan B",121,IF(Atletas!L573="Tanglangquan B",122,IF(Atletas!L573="Yinzhaophai B",123,IF(Atletas!L573="Tongbeiquan B",124,IF(Atletas!L573="Wudangquan B",125,IF(Atletas!L573="Outros Estilos B",126,IF(Atletas!L573="Chaquan C",127,IF(Atletas!L573="Emeiquan C",128,IF(Atletas!L573="Fanziquan C",129,IF(Atletas!L573="Huaquan C",130,IF(Atletas!L573="Hongquan C",131,IF(Atletas!L573="Paochui C",132,IF(Atletas!L573="Piguaquan C",133,IF(Atletas!L573="Shaolinquan C",134,IF(Atletas!L573="Tanglangquan C",135,IF(Atletas!L573="Yinzhaophai C",136,IF(Atletas!L573="Tongbeiquan C",137,IF(Atletas!L573="Wudangquan C",138,IF(Atletas!L573="Outros Estilos C",139,0))))))))))))))))))))))))))))))))))))))))))</f>
        <v/>
      </c>
      <c r="BM577" s="52" t="str">
        <f>IF(Atletas!L573="","",IF(Atletas!W573&lt;&gt;"",10000,0)+(IF(Atletas!B573="Feminino",1000,IF(Atletas!B573="Masculino",2000,""))+(IF(Atletas!L573="Chaquan D",140,IF(Atletas!L573="Emeiquan D",141,IF(Atletas!L573="Fanziquan D",142,IF(Atletas!L573="Huaquan D",143,IF(Atletas!L573="Hongquan D",144,IF(Atletas!L573="Paochui D",145,IF(Atletas!L573="Piguaquan D",146,IF(Atletas!L573="Shaolinquan D",147,IF(Atletas!L573="Tanglangquan D",148,IF(Atletas!L573="Yinzhaophai D",149,IF(Atletas!L573="Tongbeiquan D",150,IF(Atletas!L573="Wudangquan D",151,IF(Atletas!L573="Outros Estilos D",152,IF(Atletas!L573="Chaquan E",153,IF(Atletas!L573="Emeiquan E",154,IF(Atletas!L573="Fanziquan E",155,IF(Atletas!L573="Huaquan E",156,IF(Atletas!L573="Hongquan E",157,IF(Atletas!L573="Paochui E",158,IF(Atletas!L573="Piguaquan E",159,IF(Atletas!L573="Shaolinquan E",160,IF(Atletas!L573="Tanglangquan E",161,IF(Atletas!L573="Yinzhaophai E",162,IF(Atletas!L573="Tongbeiquan E",163,IF(Atletas!L573="Wudangquan E",164,IF(Atletas!L573="Outros Estilos E",165,IF(Atletas!L573="Chaquan F",166,IF(Atletas!L573="Emeiquan F",167,IF(Atletas!L573="Fanziquan F",168,IF(Atletas!L573="Huaquan F",169,IF(Atletas!L573="Hongquan F",170,IF(Atletas!L573="Paochui F",171,IF(Atletas!L573="Piguaquan F",172,IF(Atletas!L573="Shaolinquan F",173,IF(Atletas!L573="Tanglangquan F",174,IF(Atletas!L573="Yinzhaophai F",175,IF(Atletas!L573="Tongbeiquan F",176,IF(Atletas!L573="Wudangquan F",177,IF(Atletas!L573="Outros Estilos F",178,0))))))))))))))))))))))))))))))))))))))))))</f>
        <v/>
      </c>
      <c r="BN577" s="52" t="str">
        <f>IF(Atletas!M573="","",IF(Atletas!W573&lt;&gt;"",10000,0)+(IF(Atletas!B573="Feminino",1000,IF(Atletas!B573="Masculino",2000,""))+(IF(Atletas!M573="Ditangquan A",201,IF(Atletas!M573="Houquan A",202,IF(Atletas!M573="Zuiquan A",203,IF(Atletas!M573="Ditangquan B",204,IF(Atletas!M573="Houquan B",205,IF(Atletas!M573="Zuiquan B",206,IF(Atletas!M573="Ditangquan C",207,IF(Atletas!M573="Houquan C",208,IF(Atletas!M573="Zuiquan C",209,IF(Atletas!M573="Ditangquan D",210,IF(Atletas!M573="Houquan D",211,IF(Atletas!M573="Zuiquan D",212,IF(Atletas!M573="Ditangquan E",213,IF(Atletas!M573="Houquan E",214,IF(Atletas!M573="Zuiquan E",215,IF(Atletas!M573="Ditangquan F",216,IF(Atletas!M573="Houquan F",217,IF(Atletas!M573="Zuiquan F",218,"")))))))))))))))))))))</f>
        <v/>
      </c>
      <c r="BO577" s="52" t="str">
        <f>IF(Atletas!N573="","",IF(Atletas!W573&lt;&gt;"",10000,0)+IF(Atletas!B573="Feminino",1000,IF(Atletas!B573="Masculino",2000,""))+IF(Atletas!N573="Yang A",301,IF(Atletas!N573="Chen A",30,IF(Atletas!N573="Sun A",303,IF(Atletas!N573="Wu A",304,IF(Atletas!N573="Wu-Hao A",305,IF(Atletas!N573="Outro Taijiquan A",306,IF(Atletas!N573="Yang B",307,IF(Atletas!N573="Chen B",308,IF(Atletas!N573="Sun B",309,IF(Atletas!N573="Wu B",310,IF(Atletas!N573="Wu-Hao B",311,IF(Atletas!N573="Outro Taijiquan B",312,IF(Atletas!N573="Yang C",313,IF(Atletas!N573="Chen C",314,IF(Atletas!N573="Sun C",315,IF(Atletas!N573="Wu C",316,IF(Atletas!N573="Wu-Hao C",317,IF(Atletas!N573="Outro Taijiquan C",318,IF(Atletas!N573="Yang D",319,IF(Atletas!N573="Chen D",320,IF(Atletas!N573="Sun D",321,IF(Atletas!N573="Wu D",322,IF(Atletas!N573="Wu-Hao D",323,IF(Atletas!N573="Outro Taijiquan D",324,IF(Atletas!N573="Yang E",325,IF(Atletas!N573="Chen E",326,IF(Atletas!N573="Sun E",327,IF(Atletas!N573="Wu E",328,IF(Atletas!N573="Wu-Hao E",329,IF(Atletas!N573="Outro Taijiquan E",330,IF(Atletas!N573="Yang F",331,IF(Atletas!N573="Chen F",332,IF(Atletas!N573="Sun F",333,IF(Atletas!N573="Wu F",334,IF(Atletas!N573="Wu-Hao F",335,IF(Atletas!N573="Outro Taijiquan F",336,"")))))))))))))))))))))))))))))))))))))</f>
        <v/>
      </c>
      <c r="BP577" s="52" t="str">
        <f>IF(Atletas!O573="","",IF(Atletas!W573&lt;&gt;"",10000,0)+IF(Atletas!B573="Feminino",1000,IF(Atletas!B573="Masculino",2000,""))+IF(OR(Atletas!O573="Yang 26 A",Atletas!O573="Yang 40 A"),401,IF(OR(Atletas!O573="Chen 25 A",Atletas!O573="Chen 36 A",Atletas!O573="Chen 56 A"),402,IF(Atletas!O573="Sun 73 A",403,IF(Atletas!O573="Wu 45 A",404,IF(Atletas!O573="Wu-Hao 46 A",405,IF(OR(Atletas!O573="Taijiquan 16 A",Atletas!O573="Taijiquan 24 A",Atletas!O573="Taijiquan 32 A",Atletas!O573="Taijiquan 42 A"),406,IF(OR(Atletas!O573="Yang 26 B",Atletas!O573="Yang 40 B"),407,IF(OR(Atletas!O573="Chen 25 B",Atletas!O573="Chen 36 B",Atletas!O573="Chen 56 B"),408,IF(Atletas!O573="Sun 73 B",409,IF(Atletas!O573="Wu 45 B",410,IF(Atletas!O573="Wu-Hao 46 B",411,IF(OR(Atletas!O573="Taijiquan 16 B",Atletas!O573="Taijiquan 24 B",Atletas!O573="Taijiquan 32 B",Atletas!O573="Taijiquan 42 B"),412,IF(OR(Atletas!O573="Yang 26 C",Atletas!O573="Yang 40 C"),413,IF(OR(Atletas!O573="Chen 25 C",Atletas!O573="Chen 36 C",Atletas!O573="Chen 56 C"),414,IF(Atletas!O573="Sun 73 C",415,IF(Atletas!O573="Wu 45 C",416,IF(Atletas!O573="Wu-Hao 46 C",417,IF(OR(Atletas!O573="Taijiquan 16 C",Atletas!O573="Taijiquan 24 C",Atletas!O573="Taijiquan 32 C",Atletas!O573="Taijiquan 42 C"),418,0)))))))))))))))))))</f>
        <v/>
      </c>
      <c r="BQ577" s="52" t="str">
        <f>IF(Atletas!O573="","",IF(Atletas!W573&lt;&gt;"",10000,0)+IF(Atletas!B573="Feminino",1000,IF(Atletas!B573="Masculino",2000,""))+IF(OR(Atletas!O573="Yang 26 D",Atletas!O573="Yang 40 D"),419,IF(OR(Atletas!O573="Chen 25 D",Atletas!O573="Chen 36 D",Atletas!O573="Chen 56 D"),420,IF(Atletas!O573="Sun 73 D",421,IF(Atletas!O573="Wu 45 D",422,IF(Atletas!O573="Wu-Hao 46 D",423,IF(OR(Atletas!O573="Taijiquan 16 D",Atletas!O573="Taijiquan 24 D",Atletas!O573="Taijiquan 32 D",Atletas!O573="Taijiquan 42 D"),424,IF(OR(Atletas!O573="Yang 26 E",Atletas!O573="Yang 40 E"),425,IF(OR(Atletas!O573="Chen 25 E",Atletas!O573="Chen 36 E",Atletas!O573="Chen 56 E"),426,IF(Atletas!O573="Sun 73 E",427,IF(Atletas!O573="Wu 45 E",428,IF(Atletas!O573="Wu-Hao 46 E",429,IF(OR(Atletas!O573="Taijiquan 16 E",Atletas!O573="Taijiquan 24 E",Atletas!O573="Taijiquan 32 E",Atletas!O573="Taijiquan 42 E"),430,IF(OR(Atletas!O573="Yang 26 F",Atletas!O573="Yang 40 F"),431,IF(OR(Atletas!O573="Chen 25 F",Atletas!O573="Chen 36 F",Atletas!O573="Chen 56 F"),432,IF(Atletas!O573="Sun 73 F",433,IF(Atletas!O573="Wu 45 F",434,IF(Atletas!O573="Wu-Hao 46 F",435,IF(OR(Atletas!O573="Taijiquan 16 F",Atletas!O573="Taijiquan 24 F",Atletas!O573="Taijiquan 32 F",Atletas!O573="Taijiquan 42 F"),436,0)))))))))))))))))))</f>
        <v/>
      </c>
      <c r="BR577" s="52" t="str">
        <f>IF(Atletas!P573="","",IF(Atletas!W573&lt;&gt;"",10000,0)+IF(Atletas!B573="Feminino",1000,IF(Atletas!B573="Masculino",2000,""))+IF(Atletas!P573="Xingyiquan A",501,IF(Atletas!P573="Baguazhang A",502,IF(Atletas!P573="Outro Estilo Interno A",503,IF(Atletas!P573="Xingyiquan B",504,IF(Atletas!P573="Baguazhang B",505,IF(Atletas!P573="Outro Estilo Interno B",506,IF(Atletas!P573="Xingyiquan C",507,IF(Atletas!P573="Baguazhang C",508,IF(Atletas!P573="Outro Estilo Interno C",509,IF(Atletas!P573="Xingyiquan D",510,IF(Atletas!P573="Baguazhang D",511,IF(Atletas!P573="Outro Estilo Interno D",512,IF(Atletas!P573="Xingyiquan E",513,IF(Atletas!P573="Baguazhang E",514,IF(Atletas!P573="Outro Estilo Interno E",515,IF(Atletas!P573="Xingyiquan F",516,IF(Atletas!P573="Baguazhang F",517,IF(Atletas!P573="Outro Estilo Interno F",518, "")))))))))))))))))))</f>
        <v/>
      </c>
      <c r="BS577" s="52" t="str">
        <f>IF(Atletas!Q573="","",IF(Atletas!W573&lt;&gt;"",10000,0)+IF(Atletas!B573="Feminino",1000,IF(Atletas!B573="Masculino",2000,""))+IF(Atletas!Q573="Dao A",601,IF(Atletas!Q573="Jian A",602,IF(Atletas!Q573="Bishou A",603,IF(Atletas!Q573="Shan A",604,IF(Atletas!Q573="Outra Arma Curta A",605,IF(Atletas!Q573="Dao B",606,IF(Atletas!Q573="Jian B",607,IF(Atletas!Q573="Bishou B",608,IF(Atletas!Q573="Shan B",609,IF(Atletas!Q573="Outra Arma Curta B",610,IF(Atletas!Q573="Dao C",611,IF(Atletas!Q573="Jian C",612,IF(Atletas!Q573="Bishou C",613,IF(Atletas!Q573="Shan C",614,IF(Atletas!Q573="Outra Arma Curta C",615,IF(Atletas!Q573="Dao D",616,IF(Atletas!Q573="Jian D",617,IF(Atletas!Q573="Bishou D",618,IF(Atletas!Q573="Shan D",619,IF(Atletas!Q573="Outra Arma Curta D",620,IF(Atletas!Q573="Dao E",621,IF(Atletas!Q573="Jian E",622,IF(Atletas!Q573="Bishou E",623,IF(Atletas!Q573="Shan E",624,IF(Atletas!Q573="Outra Arma Curta E",625,IF(Atletas!Q573="Dao F",626,IF(Atletas!Q573="Jian F",627,IF(Atletas!Q573="Bishou F",628,IF(Atletas!Q573="Shan F",629,IF(Atletas!Q573="Outra Arma Curta F",630, "")))))))))))))))))))))))))))))))</f>
        <v/>
      </c>
      <c r="BT577" s="52" t="str">
        <f>IF(Atletas!R573="","",IF(Atletas!W573&lt;&gt;"",10000,0)+IF(Atletas!B573="Feminino",1000,IF(Atletas!B573="Masculino",2000,""))+IF(Atletas!R573="Gun A",701,IF(Atletas!R573="Qiang A",702,IF(Atletas!R573="Pudao / Guandao A",703,IF(Atletas!R573="Outra Arma Longa A",704,IF(Atletas!R573="Gun B",705,IF(Atletas!R573="Qiang B",706,IF(Atletas!R573="Pudao / Guandao B",707,IF(Atletas!R573="Outra Arma Longa B",708,IF(Atletas!R573="Gun C",709,IF(Atletas!R573="Qiang C",710,IF(Atletas!R573="Pudao / Guandao C",711,IF(Atletas!R573="Outra Arma Longa C",712,IF(Atletas!R573="Gun D",713,IF(Atletas!R573="Qiang D",714,IF(Atletas!R573="Pudao / Guandao D",715,IF(Atletas!R573="Outra Arma Longa D",716,IF(Atletas!R573="Gun E",717,IF(Atletas!R573="Qiang E",718,IF(Atletas!R573="Pudao / Guandao E",719,IF(Atletas!R573="Outra Arma Longa E",720,IF(Atletas!R573="Gun F",721,IF(Atletas!R573="Qiang F",722,IF(Atletas!R573="Pudao / Guandao F",723,IF(Atletas!R573="Outra Arma Longa F",724,"")))))))))))))))))))))))))</f>
        <v/>
      </c>
      <c r="BU577" s="52" t="str">
        <f>IF(Atletas!S573="","",IF(Atletas!W573&lt;&gt;"",10000,0)+IF(Atletas!B573="Feminino",1000,IF(Atletas!B573="Masculino",2000,""))+IF(Atletas!S573="Arma Dupla A",801,IF(Atletas!S573="Arma Maleável A",802,IF(Atletas!S573="Arma Dupla B",803,IF(Atletas!S573="Arma Maleável B",804,IF(Atletas!S573="Arma Dupla C",805,IF(Atletas!S573="Arma Maleável C",806,IF(Atletas!S573="Arma Dupla D",807,IF(Atletas!S573="Arma Maleável D",808,IF(Atletas!S573="Arma Dupla E",809,IF(Atletas!S573="Arma Maleável E",810,IF(Atletas!S573="Arma Dupla F",811,IF(Atletas!S573="Arma Maleável F",812, "")))))))))))))</f>
        <v/>
      </c>
      <c r="BV577" s="52" t="str">
        <f>IF(Atletas!T573="","",IF(Atletas!W573&lt;&gt;"",10000,0)+IF(Atletas!B573="Feminino",1000,IF(Atletas!B573="Masculino",2000,""))+IF(Atletas!T573="Taijijian Yang A",901,IF(Atletas!T573="Taijijian Chen A",902,IF(Atletas!T573="Taijijian Sun A",903,IF(Atletas!T573="Taijijian Wu A",904,IF(Atletas!T573="Taijijian Wu-Hao A",905,IF(Atletas!T573="Taijijian 32 A",906,IF(Atletas!T573="Taijijian 42 A",907,IF(Atletas!T573="Taijijian Yang B",908,IF(Atletas!T573="Taijijian Chen B",909,IF(Atletas!T573="Taijijian Sun B",910,IF(Atletas!T573="Taijijian Wu B",911,IF(Atletas!T573="Taijijian Wu-Hao B",912,IF(Atletas!T573="Taijijian 32 B",913,IF(Atletas!T573="Taijijian 42 B",914,IF(Atletas!T573="Taijijian Yang C",915,IF(Atletas!T573="Taijijian Chen C",916,IF(Atletas!T573="Taijijian Sun C",917,IF(Atletas!T573="Taijijian Wu C",918,IF(Atletas!T573="Taijijian Wu-Hao C",919,IF(Atletas!T573="Taijijian 32 C",920,IF(Atletas!T573="Taijijian 42 C",921,IF(Atletas!T573="Taijijian Yang D",922,IF(Atletas!T573="Taijijian Chen D",923,IF(Atletas!T573="Taijijian Sun D",924,IF(Atletas!T573="Taijijian Wu D",925,IF(Atletas!T573="Taijijian Wu-Hao D",926,IF(Atletas!T573="Taijijian 32 D",927,IF(Atletas!T573="Taijijian 42 D",928,IF(Atletas!T573="Taijijian Yang E",929,IF(Atletas!T573="Taijijian Chen E",930,IF(Atletas!T573="Taijijian Sun E",931,IF(Atletas!T573="Taijijian Wu E",932,IF(Atletas!T573="Taijijian Wu-Hao E",933,IF(Atletas!T573="Taijijian 32 E",934,IF(Atletas!T573="Taijijian 42 E",935,IF(Atletas!T573="Taijijian Yang F",936,IF(Atletas!T573="Taijijian Chen F",937,IF(Atletas!T573="Taijijian Sun F",938,IF(Atletas!T573="Taijijian Wu F",939,IF(Atletas!T573="Taijijian Wu-Hao F",940,IF(Atletas!T573="Taijijian 32 F",941,IF(Atletas!T573="Taijijian 42 F",942,"")))))))))))))))))))))))))))))))))))))))))))</f>
        <v/>
      </c>
      <c r="BW577" s="52" t="str">
        <f>IF(Atletas!U573="","",IF(Atletas!W573&lt;&gt;"",10000,0)+IF(Atletas!B573="Feminino",1000,IF(Atletas!B573="Masculino",2000,""))+IF(Atletas!T573="Taijijian 42 F",942,IF(Atletas!U573="Taijidao A",943,IF(Atletas!U573="Taijishan A",944,IF(Atletas!U573="Taijiqiang A",945,IF(Atletas!U573="Taijidao B",946,IF(Atletas!U573="Taijishan B",947,IF(Atletas!U573="Taijiqiang B",948,IF(Atletas!U573="Taijidao C",949,IF(Atletas!U573="Taijishan C",950,IF(Atletas!U573="Taijiqiang C",951,IF(Atletas!U573="Taijidao D",952,IF(Atletas!U573="Taijishan D",953,IF(Atletas!U573="Taijiqiang D",954,IF(Atletas!U573="Taijidao E",955,IF(Atletas!U573="Taijishan E",956,IF(Atletas!U573="Taijiqiang E",957,IF(Atletas!U573="Taijidao F",958,IF(Atletas!U573="Taijishan F",959,IF(Atletas!U573="Taijiqiang F",960))))))))))))))))))))</f>
        <v/>
      </c>
      <c r="CF577" s="52" t="str">
        <f xml:space="preserve"> IF(Atletas!V573="","",IF(Atletas!V573="Duilian de Mãos AB - Equipe 1",1,IF(Atletas!V573="Duilian de Mãos AB - Equipe 2",2,IF(Atletas!V573="Duilian de Armas AB - Equipe 1",3,IF(Atletas!V573="Duilian de Armas AB - Equipe 2",4,IF(Atletas!V573="Duilian de Tuishou - Equipe 1",5,IF(Atletas!V573="Duilian de Tuishou - Equipe 2",6,IF(Atletas!V573="Grupo Externo AB - Equipe 1",7,IF(Atletas!V573="Grupo Externo AB - Equipe 2",8,IF(Atletas!V573="Grupo Interno AB - Equipe 1",9,IF(Atletas!V573="Grupo Interno AB - Equipe 2",10,IF(Atletas!V573="Duilian de Mãos CD - Equipe 1",11,IF(Atletas!V573="Duilian de Mãos CD - Equipe 2",12,IF(Atletas!V573="Duilian de Armas CD - Equipe 1",13,IF(Atletas!V573="Duilian de Armas CD - Equipe 2",14,IF(Atletas!V573="Duilian de Tuishou - Equipe 1",15,IF(Atletas!V573="Duilian de Tuishou - Equipe 2",16,IF(Atletas!V573="Grupo Externo CDEF - Equipe 1",17,IF(Atletas!V573="Grupo Externo CDEF - Equipe 2",18,IF(Atletas!V573="Grupo Interno CDEF - Equipe 1",19,IF(Atletas!V573="Grupo Interno CDEF - Equipe 2",20,IF(Atletas!V573="Duilian de Mãos EF - Equipe 1",21,IF(Atletas!V573="Duilian de Mãos EF - Equipe 2",22,IF(Atletas!V573="Duilian de Armas EF - Equipe 1",23,IF(Atletas!V573="Duilian de Armas EF - Equipe 2",24,IF(Atletas!V573="Duilian de Tuishou - Equipe 1",25,IF(Atletas!V573="Duilian de Tuishou - Equipe 2",26,"")))))))))))))))))))))))))))</f>
        <v/>
      </c>
    </row>
    <row r="578" spans="36:84">
      <c r="AJ578" s="46" t="str">
        <f>IF(Atletas!D574="","",IF(Atletas!B574="Feminino",100,IF(Atletas!B574="Masculino",200,""))+(IF(Atletas!D574="Infantil 39kg",1,IF(Atletas!D574="Infantil 42kg",2,IF(Atletas!D574="Infantil 45kg",3,IF(Atletas!D574="Infantil 48kg",4,IF(Atletas!D574="Infantil 52kg",5,IF(Atletas!D574="Infantil 56kg",6,IF(Atletas!D574="Infantil 60kg",7,IF(Atletas!D574="Juvenil 48kg",8,IF(Atletas!D574="Juvenil 52kg",9,IF(Atletas!D574="Juvenil 56kg",10,IF(Atletas!D574="Juvenil 60kg",11,IF(Atletas!D574="Juvenil 65kg",12,IF(Atletas!D574="Juvenil 70kg",13,IF(Atletas!D574="Juvenil 75kg",14,IF(Atletas!D574="Juvenil 80kg",15,IF(Atletas!D574="Adulto 48kg",16,IF(Atletas!D574="Adulto 52kg",17,IF(Atletas!D574="Adulto 56kg",18,IF(Atletas!D574="Adulto 60kg",19,IF(Atletas!D574="Adulto 65kg",20,IF(Atletas!D574="Adulto 70kg",21,IF(Atletas!D574="Adulto 75kg",22,IF(Atletas!D574="Adulto 80kg",23,IF(Atletas!D574="Adulto 85kg",24,IF(Atletas!D574="Adulto 90kg",25,IF(Atletas!D574="Adulto +90kg",26,""))))))))))))))))))))))))))))</f>
        <v/>
      </c>
      <c r="AO578" s="10" t="str">
        <f>IF(Atletas!E574="","",IF(Atletas!B574="Feminino",100,IF(Atletas!B574="Masculino",200,""))+(IF(Atletas!E574="Juvenil 44kg",1,IF(Atletas!E574="Juvenil 48kg",2,IF(Atletas!E574="Juvenil 52kg",3,IF(Atletas!E574="Juvenil 56kg",4,IF(Atletas!E574="Juvenil 60kg",5,IF(Atletas!E574="Juvenil 65kg",6,IF(Atletas!E574="Juvenil 70kg",7,IF(Atletas!E574="Juvenil 75kg",8,IF(Atletas!E574="Juvenil 82kg",9,IF(Atletas!E574="Juvenil 90kg",10,IF(Atletas!E574="Juvenil 100kg",11,IF(Atletas!E574="Adulto 48kg",12,IF(Atletas!E574="Adulto 52kg",13,IF(Atletas!E574="Adulto 56kg",14,IF(Atletas!E574="Adulto 60kg",15,IF(Atletas!E574="Adulto 65kg",16,IF(Atletas!E574="Adulto 70kg",17,IF(Atletas!E574="Adulto 75kg",18,IF(Atletas!E574="Adulto 82kg",19,IF(Atletas!E574="Adulto 90kg",20,IF(Atletas!E574="Adulto 100kg",21,IF(Atletas!E574="Adulto +100kg",22,""))))))))))))))))))))))))</f>
        <v/>
      </c>
      <c r="AT578" s="10" t="str">
        <f>IF(Atletas!F574="","",IF(Atletas!B574="Feminino",100,IF(Atletas!B574="Masculino",200,""))+(IF(Atletas!F574="Adulto 48kg",1,IF(Atletas!F574="Adulto 56kg",2,IF(Atletas!F574="Adulto 65kg",3,IF(Atletas!F574="Adulto 75kg",4,IF(Atletas!F574="Adulto +75kg",5,IF(Atletas!F574="Adulto 52kg",6,IF(Atletas!F574="Adulto 60kg",7,IF(Atletas!F574="Adulto 70kg",8,IF(Atletas!F574="Adulto 80kg",9,IF(Atletas!F574="Adulto 90kg",10,IF(Atletas!F574="Adulto +90kg",11,"")))))))))))))</f>
        <v/>
      </c>
      <c r="AY578" s="46" t="str">
        <f>IF(Atletas!G574="","",IF(Atletas!B574="Feminino",100,IF(Atletas!B574="Masculino",200,""))+(IF(Atletas!G574="Changquan Mirim",1,IF(Atletas!G574="Nanquan Mirim",2,IF(Atletas!G574="Taijiquan Mirim",3,IF(Atletas!G574="Changquan Grupo C",4,IF(Atletas!G574="Nanquan Grupo C",5,IF(Atletas!G574="Taijiquan Grupo C",6,IF(Atletas!G574="Changquan Grupo B",7,IF(Atletas!G574="Nanquan Grupo B",8,IF(Atletas!G574="Taijiquan Grupo B",9,IF(Atletas!G574="Changquan Grupo A",10,IF(Atletas!G574="Nanquan Grupo A",11,IF(Atletas!G574="Taijiquan Grupo A",12,IF(Atletas!G574="Changquan Opcional",13,IF(Atletas!G574="Nanquan Opcional",14,IF(Atletas!G574="Taijiquan Opcional",15,IF(Atletas!G574="Changquan Adulto",16,IF(Atletas!G574="Nanquan Adulto",17,IF(Atletas!G574="Taijiquan Adulto",18,""))))))))))))))))))))</f>
        <v/>
      </c>
      <c r="AZ578" s="46" t="str">
        <f>IF(Atletas!H574="","",IF(Atletas!B574="Feminino",100,IF(Atletas!B574="Masculino",200,""))+(IF(Atletas!H574="Daoshu Mirim",19,IF(Atletas!H574="Jianshu Mirim",20,IF(Atletas!H574="Nandao Mirim",21,IF(Atletas!H574="Taijijian Mirim",22,IF(Atletas!H574="Daoshu Grupo C",23,IF(Atletas!H574="Jianshu Grupo C",24,IF(Atletas!H574="Nandao Grupo C",25,IF(Atletas!H574="Taijijian Grupo C",26,IF(Atletas!H574="Daoshu Grupo B",27,IF(Atletas!H574="Jianshu Grupo B",28,IF(Atletas!H574="Nandao Grupo B",29,IF(Atletas!H574="Taijijian Grupo B",30,IF(Atletas!H574="Daoshu Grupo A",31,IF(Atletas!H574="Jianshu Grupo A",32,IF(Atletas!H574="Nandao Grupo A",33,IF(Atletas!H574="Taijijian Grupo A",34,IF(Atletas!H574="Daoshu Opcional",35,IF(Atletas!H574="Jianshu Opcional",36,IF(Atletas!H574="Nandao Opcional",37,IF(Atletas!H574="Taijijian Opcional",38,IF(Atletas!H574="Daoshu Adulto",39,IF(Atletas!H574="Jianshu Adulto",40,IF(Atletas!H574="Nandao Adulto",41,IF(Atletas!H574="Taijijian Adulto",42,""))))))))))))))))))))))))))</f>
        <v/>
      </c>
      <c r="BA578" s="46" t="str">
        <f>IF(Atletas!I574="","",IF(Atletas!B574="Feminino",100,IF(Atletas!B574="Masculino",200,""))+(IF(Atletas!I574="Gunshu Mirim",43,IF(Atletas!I574="Qiangshu Mirim",44,IF(Atletas!I574="Nangun Mirim",45,IF(Atletas!I574="Gunshu Grupo C",46,IF(Atletas!I574="Qiangshu Grupo C",47,IF(Atletas!I574="Nangun Grupo C",48,IF(Atletas!I574="Gunshu Grupo B",49,IF(Atletas!I574="Qiangshu Grupo B",50,IF(Atletas!I574="Nangun Grupo B",51,IF(Atletas!I574="Gunshu Grupo A",52,IF(Atletas!I574="Qiangshu Grupo A",53,IF(Atletas!I574="Nangun Grupo A",54,IF(Atletas!I574="Gunshu Opcional",55,IF(Atletas!I574="Qiangshu Opcional",56,IF(Atletas!I574="Nangun Opcional",57,IF(Atletas!I574="Gunshu Adulto",58,IF(Atletas!I574="Qiangshu Adulto",59,IF(Atletas!I574="Nangun Adulto",60,""))))))))))))))))))))</f>
        <v/>
      </c>
      <c r="BF578" s="52" t="str">
        <f>IF(Atletas!J574="","",IF(Atletas!B574="Feminino",100,IF(Atletas!B574="Masculino",200,""))+(IF(Atletas!J574="Equipe 1 Grupo B",1,IF(Atletas!J574="Equipe 2 Grupo B",2,IF(Atletas!J574="Equipe 1 Grupo A",3,IF(Atletas!J574="Equipe 2 Grupo A",4,IF(Atletas!J574="Equipe 1 Adulto",5,IF(Atletas!J574="Equipe 2 Adulto",6,""))))))))</f>
        <v/>
      </c>
      <c r="BK578" s="52" t="str">
        <f>IF(Atletas!K574="","",IF(Atletas!W574&lt;&gt;"",10000,0)+(IF(Atletas!B574="Feminino",1000,IF(Atletas!B574="Masculino",2000,""))+IF(Atletas!K574="Choylayfut A",1,IF(Atletas!K574="Hunggar A",2,IF(Atletas!K574="Wuzuquan A",3,IF(Atletas!K574="Wingchun A",4,IF(Atletas!K574="Outra Mão de Sul A",5,IF(Atletas!K574="Choylayfut B",6,IF(Atletas!K574="Hunggar B",7,IF(Atletas!K574="Wuzuquan B",8,IF(Atletas!K574="Wingchun B",9,IF(Atletas!K574="Outra Mão de Sul B",10,IF(Atletas!K574="Choylayfut C",11,IF(Atletas!K574="Hunggar C",12,IF(Atletas!K574="Wuzuquan C",13,IF(Atletas!K574="Wingchun C",14,IF(Atletas!K574="Outra Mão de Sul C",15,IF(Atletas!K574="Choylayfut D",16,IF(Atletas!K574="Hunggar D",17,IF(Atletas!K574="Wuzuquan D",18,IF(Atletas!K574="Wingchun D",19,IF(Atletas!K574="Outra Mão de Sul D",20,IF(Atletas!K574="Choylayfut E",21,IF(Atletas!K574="Hunggar E",22,IF(Atletas!K574="Wuzuquan E",23,IF(Atletas!K574="Wingchun E",24,IF(Atletas!K574="Outra Mão de Sul E",25,IF(Atletas!K574="Choylayfut F",26,IF(Atletas!K574="Hunggar F",27,IF(Atletas!K574="Wuzuquan F",28,IF(Atletas!K574="Wingchun F",29,IF(Atletas!K574="Outra Mão de Sul F",30,""))))))))))))))))))))))))))))))))</f>
        <v/>
      </c>
      <c r="BL578" s="52" t="str">
        <f>IF(Atletas!L574="","",IF(Atletas!W574&lt;&gt;"",10000,0)+(IF(Atletas!B574="Feminino",1000,IF(Atletas!B574="Masculino",2000,""))+(IF(Atletas!L574="Chaquan A",101,IF(Atletas!L574="Emeiquan A",102,IF(Atletas!L574="Fanziquan A",103,IF(Atletas!L574="Huaquan A",104,IF(Atletas!L574="Hongquan A",105,IF(Atletas!L574="Paochui A",106,IF(Atletas!L574="Piguaquan A",107,IF(Atletas!L574="Shaolinquan A",108,IF(Atletas!L574="Tanglangquan A",109,IF(Atletas!L574="Yinzhaophai A",110,IF(Atletas!L574="Tongbeiquan A",111,IF(Atletas!L574="Wudangquan A",112,IF(Atletas!L574="Outros Estilos A",113,IF(Atletas!L574="Chaquan B",114,IF(Atletas!L574="Emeiquan B",115,IF(Atletas!L574="Fanziquan B",116,IF(Atletas!L574="Huaquan B",117,IF(Atletas!L574="Hongquan B",118,IF(Atletas!L574="Paochui B",119,IF(Atletas!L574="Piguaquan B",120,IF(Atletas!L574="Shaolinquan B",121,IF(Atletas!L574="Tanglangquan B",122,IF(Atletas!L574="Yinzhaophai B",123,IF(Atletas!L574="Tongbeiquan B",124,IF(Atletas!L574="Wudangquan B",125,IF(Atletas!L574="Outros Estilos B",126,IF(Atletas!L574="Chaquan C",127,IF(Atletas!L574="Emeiquan C",128,IF(Atletas!L574="Fanziquan C",129,IF(Atletas!L574="Huaquan C",130,IF(Atletas!L574="Hongquan C",131,IF(Atletas!L574="Paochui C",132,IF(Atletas!L574="Piguaquan C",133,IF(Atletas!L574="Shaolinquan C",134,IF(Atletas!L574="Tanglangquan C",135,IF(Atletas!L574="Yinzhaophai C",136,IF(Atletas!L574="Tongbeiquan C",137,IF(Atletas!L574="Wudangquan C",138,IF(Atletas!L574="Outros Estilos C",139,0))))))))))))))))))))))))))))))))))))))))))</f>
        <v/>
      </c>
      <c r="BM578" s="52" t="str">
        <f>IF(Atletas!L574="","",IF(Atletas!W574&lt;&gt;"",10000,0)+(IF(Atletas!B574="Feminino",1000,IF(Atletas!B574="Masculino",2000,""))+(IF(Atletas!L574="Chaquan D",140,IF(Atletas!L574="Emeiquan D",141,IF(Atletas!L574="Fanziquan D",142,IF(Atletas!L574="Huaquan D",143,IF(Atletas!L574="Hongquan D",144,IF(Atletas!L574="Paochui D",145,IF(Atletas!L574="Piguaquan D",146,IF(Atletas!L574="Shaolinquan D",147,IF(Atletas!L574="Tanglangquan D",148,IF(Atletas!L574="Yinzhaophai D",149,IF(Atletas!L574="Tongbeiquan D",150,IF(Atletas!L574="Wudangquan D",151,IF(Atletas!L574="Outros Estilos D",152,IF(Atletas!L574="Chaquan E",153,IF(Atletas!L574="Emeiquan E",154,IF(Atletas!L574="Fanziquan E",155,IF(Atletas!L574="Huaquan E",156,IF(Atletas!L574="Hongquan E",157,IF(Atletas!L574="Paochui E",158,IF(Atletas!L574="Piguaquan E",159,IF(Atletas!L574="Shaolinquan E",160,IF(Atletas!L574="Tanglangquan E",161,IF(Atletas!L574="Yinzhaophai E",162,IF(Atletas!L574="Tongbeiquan E",163,IF(Atletas!L574="Wudangquan E",164,IF(Atletas!L574="Outros Estilos E",165,IF(Atletas!L574="Chaquan F",166,IF(Atletas!L574="Emeiquan F",167,IF(Atletas!L574="Fanziquan F",168,IF(Atletas!L574="Huaquan F",169,IF(Atletas!L574="Hongquan F",170,IF(Atletas!L574="Paochui F",171,IF(Atletas!L574="Piguaquan F",172,IF(Atletas!L574="Shaolinquan F",173,IF(Atletas!L574="Tanglangquan F",174,IF(Atletas!L574="Yinzhaophai F",175,IF(Atletas!L574="Tongbeiquan F",176,IF(Atletas!L574="Wudangquan F",177,IF(Atletas!L574="Outros Estilos F",178,0))))))))))))))))))))))))))))))))))))))))))</f>
        <v/>
      </c>
      <c r="BN578" s="52" t="str">
        <f>IF(Atletas!M574="","",IF(Atletas!W574&lt;&gt;"",10000,0)+(IF(Atletas!B574="Feminino",1000,IF(Atletas!B574="Masculino",2000,""))+(IF(Atletas!M574="Ditangquan A",201,IF(Atletas!M574="Houquan A",202,IF(Atletas!M574="Zuiquan A",203,IF(Atletas!M574="Ditangquan B",204,IF(Atletas!M574="Houquan B",205,IF(Atletas!M574="Zuiquan B",206,IF(Atletas!M574="Ditangquan C",207,IF(Atletas!M574="Houquan C",208,IF(Atletas!M574="Zuiquan C",209,IF(Atletas!M574="Ditangquan D",210,IF(Atletas!M574="Houquan D",211,IF(Atletas!M574="Zuiquan D",212,IF(Atletas!M574="Ditangquan E",213,IF(Atletas!M574="Houquan E",214,IF(Atletas!M574="Zuiquan E",215,IF(Atletas!M574="Ditangquan F",216,IF(Atletas!M574="Houquan F",217,IF(Atletas!M574="Zuiquan F",218,"")))))))))))))))))))))</f>
        <v/>
      </c>
      <c r="BO578" s="52" t="str">
        <f>IF(Atletas!N574="","",IF(Atletas!W574&lt;&gt;"",10000,0)+IF(Atletas!B574="Feminino",1000,IF(Atletas!B574="Masculino",2000,""))+IF(Atletas!N574="Yang A",301,IF(Atletas!N574="Chen A",30,IF(Atletas!N574="Sun A",303,IF(Atletas!N574="Wu A",304,IF(Atletas!N574="Wu-Hao A",305,IF(Atletas!N574="Outro Taijiquan A",306,IF(Atletas!N574="Yang B",307,IF(Atletas!N574="Chen B",308,IF(Atletas!N574="Sun B",309,IF(Atletas!N574="Wu B",310,IF(Atletas!N574="Wu-Hao B",311,IF(Atletas!N574="Outro Taijiquan B",312,IF(Atletas!N574="Yang C",313,IF(Atletas!N574="Chen C",314,IF(Atletas!N574="Sun C",315,IF(Atletas!N574="Wu C",316,IF(Atletas!N574="Wu-Hao C",317,IF(Atletas!N574="Outro Taijiquan C",318,IF(Atletas!N574="Yang D",319,IF(Atletas!N574="Chen D",320,IF(Atletas!N574="Sun D",321,IF(Atletas!N574="Wu D",322,IF(Atletas!N574="Wu-Hao D",323,IF(Atletas!N574="Outro Taijiquan D",324,IF(Atletas!N574="Yang E",325,IF(Atletas!N574="Chen E",326,IF(Atletas!N574="Sun E",327,IF(Atletas!N574="Wu E",328,IF(Atletas!N574="Wu-Hao E",329,IF(Atletas!N574="Outro Taijiquan E",330,IF(Atletas!N574="Yang F",331,IF(Atletas!N574="Chen F",332,IF(Atletas!N574="Sun F",333,IF(Atletas!N574="Wu F",334,IF(Atletas!N574="Wu-Hao F",335,IF(Atletas!N574="Outro Taijiquan F",336,"")))))))))))))))))))))))))))))))))))))</f>
        <v/>
      </c>
      <c r="BP578" s="52" t="str">
        <f>IF(Atletas!O574="","",IF(Atletas!W574&lt;&gt;"",10000,0)+IF(Atletas!B574="Feminino",1000,IF(Atletas!B574="Masculino",2000,""))+IF(OR(Atletas!O574="Yang 26 A",Atletas!O574="Yang 40 A"),401,IF(OR(Atletas!O574="Chen 25 A",Atletas!O574="Chen 36 A",Atletas!O574="Chen 56 A"),402,IF(Atletas!O574="Sun 73 A",403,IF(Atletas!O574="Wu 45 A",404,IF(Atletas!O574="Wu-Hao 46 A",405,IF(OR(Atletas!O574="Taijiquan 16 A",Atletas!O574="Taijiquan 24 A",Atletas!O574="Taijiquan 32 A",Atletas!O574="Taijiquan 42 A"),406,IF(OR(Atletas!O574="Yang 26 B",Atletas!O574="Yang 40 B"),407,IF(OR(Atletas!O574="Chen 25 B",Atletas!O574="Chen 36 B",Atletas!O574="Chen 56 B"),408,IF(Atletas!O574="Sun 73 B",409,IF(Atletas!O574="Wu 45 B",410,IF(Atletas!O574="Wu-Hao 46 B",411,IF(OR(Atletas!O574="Taijiquan 16 B",Atletas!O574="Taijiquan 24 B",Atletas!O574="Taijiquan 32 B",Atletas!O574="Taijiquan 42 B"),412,IF(OR(Atletas!O574="Yang 26 C",Atletas!O574="Yang 40 C"),413,IF(OR(Atletas!O574="Chen 25 C",Atletas!O574="Chen 36 C",Atletas!O574="Chen 56 C"),414,IF(Atletas!O574="Sun 73 C",415,IF(Atletas!O574="Wu 45 C",416,IF(Atletas!O574="Wu-Hao 46 C",417,IF(OR(Atletas!O574="Taijiquan 16 C",Atletas!O574="Taijiquan 24 C",Atletas!O574="Taijiquan 32 C",Atletas!O574="Taijiquan 42 C"),418,0)))))))))))))))))))</f>
        <v/>
      </c>
      <c r="BQ578" s="52" t="str">
        <f>IF(Atletas!O574="","",IF(Atletas!W574&lt;&gt;"",10000,0)+IF(Atletas!B574="Feminino",1000,IF(Atletas!B574="Masculino",2000,""))+IF(OR(Atletas!O574="Yang 26 D",Atletas!O574="Yang 40 D"),419,IF(OR(Atletas!O574="Chen 25 D",Atletas!O574="Chen 36 D",Atletas!O574="Chen 56 D"),420,IF(Atletas!O574="Sun 73 D",421,IF(Atletas!O574="Wu 45 D",422,IF(Atletas!O574="Wu-Hao 46 D",423,IF(OR(Atletas!O574="Taijiquan 16 D",Atletas!O574="Taijiquan 24 D",Atletas!O574="Taijiquan 32 D",Atletas!O574="Taijiquan 42 D"),424,IF(OR(Atletas!O574="Yang 26 E",Atletas!O574="Yang 40 E"),425,IF(OR(Atletas!O574="Chen 25 E",Atletas!O574="Chen 36 E",Atletas!O574="Chen 56 E"),426,IF(Atletas!O574="Sun 73 E",427,IF(Atletas!O574="Wu 45 E",428,IF(Atletas!O574="Wu-Hao 46 E",429,IF(OR(Atletas!O574="Taijiquan 16 E",Atletas!O574="Taijiquan 24 E",Atletas!O574="Taijiquan 32 E",Atletas!O574="Taijiquan 42 E"),430,IF(OR(Atletas!O574="Yang 26 F",Atletas!O574="Yang 40 F"),431,IF(OR(Atletas!O574="Chen 25 F",Atletas!O574="Chen 36 F",Atletas!O574="Chen 56 F"),432,IF(Atletas!O574="Sun 73 F",433,IF(Atletas!O574="Wu 45 F",434,IF(Atletas!O574="Wu-Hao 46 F",435,IF(OR(Atletas!O574="Taijiquan 16 F",Atletas!O574="Taijiquan 24 F",Atletas!O574="Taijiquan 32 F",Atletas!O574="Taijiquan 42 F"),436,0)))))))))))))))))))</f>
        <v/>
      </c>
      <c r="BR578" s="52" t="str">
        <f>IF(Atletas!P574="","",IF(Atletas!W574&lt;&gt;"",10000,0)+IF(Atletas!B574="Feminino",1000,IF(Atletas!B574="Masculino",2000,""))+IF(Atletas!P574="Xingyiquan A",501,IF(Atletas!P574="Baguazhang A",502,IF(Atletas!P574="Outro Estilo Interno A",503,IF(Atletas!P574="Xingyiquan B",504,IF(Atletas!P574="Baguazhang B",505,IF(Atletas!P574="Outro Estilo Interno B",506,IF(Atletas!P574="Xingyiquan C",507,IF(Atletas!P574="Baguazhang C",508,IF(Atletas!P574="Outro Estilo Interno C",509,IF(Atletas!P574="Xingyiquan D",510,IF(Atletas!P574="Baguazhang D",511,IF(Atletas!P574="Outro Estilo Interno D",512,IF(Atletas!P574="Xingyiquan E",513,IF(Atletas!P574="Baguazhang E",514,IF(Atletas!P574="Outro Estilo Interno E",515,IF(Atletas!P574="Xingyiquan F",516,IF(Atletas!P574="Baguazhang F",517,IF(Atletas!P574="Outro Estilo Interno F",518, "")))))))))))))))))))</f>
        <v/>
      </c>
      <c r="BS578" s="52" t="str">
        <f>IF(Atletas!Q574="","",IF(Atletas!W574&lt;&gt;"",10000,0)+IF(Atletas!B574="Feminino",1000,IF(Atletas!B574="Masculino",2000,""))+IF(Atletas!Q574="Dao A",601,IF(Atletas!Q574="Jian A",602,IF(Atletas!Q574="Bishou A",603,IF(Atletas!Q574="Shan A",604,IF(Atletas!Q574="Outra Arma Curta A",605,IF(Atletas!Q574="Dao B",606,IF(Atletas!Q574="Jian B",607,IF(Atletas!Q574="Bishou B",608,IF(Atletas!Q574="Shan B",609,IF(Atletas!Q574="Outra Arma Curta B",610,IF(Atletas!Q574="Dao C",611,IF(Atletas!Q574="Jian C",612,IF(Atletas!Q574="Bishou C",613,IF(Atletas!Q574="Shan C",614,IF(Atletas!Q574="Outra Arma Curta C",615,IF(Atletas!Q574="Dao D",616,IF(Atletas!Q574="Jian D",617,IF(Atletas!Q574="Bishou D",618,IF(Atletas!Q574="Shan D",619,IF(Atletas!Q574="Outra Arma Curta D",620,IF(Atletas!Q574="Dao E",621,IF(Atletas!Q574="Jian E",622,IF(Atletas!Q574="Bishou E",623,IF(Atletas!Q574="Shan E",624,IF(Atletas!Q574="Outra Arma Curta E",625,IF(Atletas!Q574="Dao F",626,IF(Atletas!Q574="Jian F",627,IF(Atletas!Q574="Bishou F",628,IF(Atletas!Q574="Shan F",629,IF(Atletas!Q574="Outra Arma Curta F",630, "")))))))))))))))))))))))))))))))</f>
        <v/>
      </c>
      <c r="BT578" s="52" t="str">
        <f>IF(Atletas!R574="","",IF(Atletas!W574&lt;&gt;"",10000,0)+IF(Atletas!B574="Feminino",1000,IF(Atletas!B574="Masculino",2000,""))+IF(Atletas!R574="Gun A",701,IF(Atletas!R574="Qiang A",702,IF(Atletas!R574="Pudao / Guandao A",703,IF(Atletas!R574="Outra Arma Longa A",704,IF(Atletas!R574="Gun B",705,IF(Atletas!R574="Qiang B",706,IF(Atletas!R574="Pudao / Guandao B",707,IF(Atletas!R574="Outra Arma Longa B",708,IF(Atletas!R574="Gun C",709,IF(Atletas!R574="Qiang C",710,IF(Atletas!R574="Pudao / Guandao C",711,IF(Atletas!R574="Outra Arma Longa C",712,IF(Atletas!R574="Gun D",713,IF(Atletas!R574="Qiang D",714,IF(Atletas!R574="Pudao / Guandao D",715,IF(Atletas!R574="Outra Arma Longa D",716,IF(Atletas!R574="Gun E",717,IF(Atletas!R574="Qiang E",718,IF(Atletas!R574="Pudao / Guandao E",719,IF(Atletas!R574="Outra Arma Longa E",720,IF(Atletas!R574="Gun F",721,IF(Atletas!R574="Qiang F",722,IF(Atletas!R574="Pudao / Guandao F",723,IF(Atletas!R574="Outra Arma Longa F",724,"")))))))))))))))))))))))))</f>
        <v/>
      </c>
      <c r="BU578" s="52" t="str">
        <f>IF(Atletas!S574="","",IF(Atletas!W574&lt;&gt;"",10000,0)+IF(Atletas!B574="Feminino",1000,IF(Atletas!B574="Masculino",2000,""))+IF(Atletas!S574="Arma Dupla A",801,IF(Atletas!S574="Arma Maleável A",802,IF(Atletas!S574="Arma Dupla B",803,IF(Atletas!S574="Arma Maleável B",804,IF(Atletas!S574="Arma Dupla C",805,IF(Atletas!S574="Arma Maleável C",806,IF(Atletas!S574="Arma Dupla D",807,IF(Atletas!S574="Arma Maleável D",808,IF(Atletas!S574="Arma Dupla E",809,IF(Atletas!S574="Arma Maleável E",810,IF(Atletas!S574="Arma Dupla F",811,IF(Atletas!S574="Arma Maleável F",812, "")))))))))))))</f>
        <v/>
      </c>
      <c r="BV578" s="52" t="str">
        <f>IF(Atletas!T574="","",IF(Atletas!W574&lt;&gt;"",10000,0)+IF(Atletas!B574="Feminino",1000,IF(Atletas!B574="Masculino",2000,""))+IF(Atletas!T574="Taijijian Yang A",901,IF(Atletas!T574="Taijijian Chen A",902,IF(Atletas!T574="Taijijian Sun A",903,IF(Atletas!T574="Taijijian Wu A",904,IF(Atletas!T574="Taijijian Wu-Hao A",905,IF(Atletas!T574="Taijijian 32 A",906,IF(Atletas!T574="Taijijian 42 A",907,IF(Atletas!T574="Taijijian Yang B",908,IF(Atletas!T574="Taijijian Chen B",909,IF(Atletas!T574="Taijijian Sun B",910,IF(Atletas!T574="Taijijian Wu B",911,IF(Atletas!T574="Taijijian Wu-Hao B",912,IF(Atletas!T574="Taijijian 32 B",913,IF(Atletas!T574="Taijijian 42 B",914,IF(Atletas!T574="Taijijian Yang C",915,IF(Atletas!T574="Taijijian Chen C",916,IF(Atletas!T574="Taijijian Sun C",917,IF(Atletas!T574="Taijijian Wu C",918,IF(Atletas!T574="Taijijian Wu-Hao C",919,IF(Atletas!T574="Taijijian 32 C",920,IF(Atletas!T574="Taijijian 42 C",921,IF(Atletas!T574="Taijijian Yang D",922,IF(Atletas!T574="Taijijian Chen D",923,IF(Atletas!T574="Taijijian Sun D",924,IF(Atletas!T574="Taijijian Wu D",925,IF(Atletas!T574="Taijijian Wu-Hao D",926,IF(Atletas!T574="Taijijian 32 D",927,IF(Atletas!T574="Taijijian 42 D",928,IF(Atletas!T574="Taijijian Yang E",929,IF(Atletas!T574="Taijijian Chen E",930,IF(Atletas!T574="Taijijian Sun E",931,IF(Atletas!T574="Taijijian Wu E",932,IF(Atletas!T574="Taijijian Wu-Hao E",933,IF(Atletas!T574="Taijijian 32 E",934,IF(Atletas!T574="Taijijian 42 E",935,IF(Atletas!T574="Taijijian Yang F",936,IF(Atletas!T574="Taijijian Chen F",937,IF(Atletas!T574="Taijijian Sun F",938,IF(Atletas!T574="Taijijian Wu F",939,IF(Atletas!T574="Taijijian Wu-Hao F",940,IF(Atletas!T574="Taijijian 32 F",941,IF(Atletas!T574="Taijijian 42 F",942,"")))))))))))))))))))))))))))))))))))))))))))</f>
        <v/>
      </c>
      <c r="BW578" s="52" t="str">
        <f>IF(Atletas!U574="","",IF(Atletas!W574&lt;&gt;"",10000,0)+IF(Atletas!B574="Feminino",1000,IF(Atletas!B574="Masculino",2000,""))+IF(Atletas!T574="Taijijian 42 F",942,IF(Atletas!U574="Taijidao A",943,IF(Atletas!U574="Taijishan A",944,IF(Atletas!U574="Taijiqiang A",945,IF(Atletas!U574="Taijidao B",946,IF(Atletas!U574="Taijishan B",947,IF(Atletas!U574="Taijiqiang B",948,IF(Atletas!U574="Taijidao C",949,IF(Atletas!U574="Taijishan C",950,IF(Atletas!U574="Taijiqiang C",951,IF(Atletas!U574="Taijidao D",952,IF(Atletas!U574="Taijishan D",953,IF(Atletas!U574="Taijiqiang D",954,IF(Atletas!U574="Taijidao E",955,IF(Atletas!U574="Taijishan E",956,IF(Atletas!U574="Taijiqiang E",957,IF(Atletas!U574="Taijidao F",958,IF(Atletas!U574="Taijishan F",959,IF(Atletas!U574="Taijiqiang F",960))))))))))))))))))))</f>
        <v/>
      </c>
      <c r="CF578" s="52" t="str">
        <f xml:space="preserve"> IF(Atletas!V574="","",IF(Atletas!V574="Duilian de Mãos AB - Equipe 1",1,IF(Atletas!V574="Duilian de Mãos AB - Equipe 2",2,IF(Atletas!V574="Duilian de Armas AB - Equipe 1",3,IF(Atletas!V574="Duilian de Armas AB - Equipe 2",4,IF(Atletas!V574="Duilian de Tuishou - Equipe 1",5,IF(Atletas!V574="Duilian de Tuishou - Equipe 2",6,IF(Atletas!V574="Grupo Externo AB - Equipe 1",7,IF(Atletas!V574="Grupo Externo AB - Equipe 2",8,IF(Atletas!V574="Grupo Interno AB - Equipe 1",9,IF(Atletas!V574="Grupo Interno AB - Equipe 2",10,IF(Atletas!V574="Duilian de Mãos CD - Equipe 1",11,IF(Atletas!V574="Duilian de Mãos CD - Equipe 2",12,IF(Atletas!V574="Duilian de Armas CD - Equipe 1",13,IF(Atletas!V574="Duilian de Armas CD - Equipe 2",14,IF(Atletas!V574="Duilian de Tuishou - Equipe 1",15,IF(Atletas!V574="Duilian de Tuishou - Equipe 2",16,IF(Atletas!V574="Grupo Externo CDEF - Equipe 1",17,IF(Atletas!V574="Grupo Externo CDEF - Equipe 2",18,IF(Atletas!V574="Grupo Interno CDEF - Equipe 1",19,IF(Atletas!V574="Grupo Interno CDEF - Equipe 2",20,IF(Atletas!V574="Duilian de Mãos EF - Equipe 1",21,IF(Atletas!V574="Duilian de Mãos EF - Equipe 2",22,IF(Atletas!V574="Duilian de Armas EF - Equipe 1",23,IF(Atletas!V574="Duilian de Armas EF - Equipe 2",24,IF(Atletas!V574="Duilian de Tuishou - Equipe 1",25,IF(Atletas!V574="Duilian de Tuishou - Equipe 2",26,"")))))))))))))))))))))))))))</f>
        <v/>
      </c>
    </row>
    <row r="579" spans="36:84">
      <c r="AJ579" s="46" t="str">
        <f>IF(Atletas!D575="","",IF(Atletas!B575="Feminino",100,IF(Atletas!B575="Masculino",200,""))+(IF(Atletas!D575="Infantil 39kg",1,IF(Atletas!D575="Infantil 42kg",2,IF(Atletas!D575="Infantil 45kg",3,IF(Atletas!D575="Infantil 48kg",4,IF(Atletas!D575="Infantil 52kg",5,IF(Atletas!D575="Infantil 56kg",6,IF(Atletas!D575="Infantil 60kg",7,IF(Atletas!D575="Juvenil 48kg",8,IF(Atletas!D575="Juvenil 52kg",9,IF(Atletas!D575="Juvenil 56kg",10,IF(Atletas!D575="Juvenil 60kg",11,IF(Atletas!D575="Juvenil 65kg",12,IF(Atletas!D575="Juvenil 70kg",13,IF(Atletas!D575="Juvenil 75kg",14,IF(Atletas!D575="Juvenil 80kg",15,IF(Atletas!D575="Adulto 48kg",16,IF(Atletas!D575="Adulto 52kg",17,IF(Atletas!D575="Adulto 56kg",18,IF(Atletas!D575="Adulto 60kg",19,IF(Atletas!D575="Adulto 65kg",20,IF(Atletas!D575="Adulto 70kg",21,IF(Atletas!D575="Adulto 75kg",22,IF(Atletas!D575="Adulto 80kg",23,IF(Atletas!D575="Adulto 85kg",24,IF(Atletas!D575="Adulto 90kg",25,IF(Atletas!D575="Adulto +90kg",26,""))))))))))))))))))))))))))))</f>
        <v/>
      </c>
      <c r="AO579" s="10" t="str">
        <f>IF(Atletas!E575="","",IF(Atletas!B575="Feminino",100,IF(Atletas!B575="Masculino",200,""))+(IF(Atletas!E575="Juvenil 44kg",1,IF(Atletas!E575="Juvenil 48kg",2,IF(Atletas!E575="Juvenil 52kg",3,IF(Atletas!E575="Juvenil 56kg",4,IF(Atletas!E575="Juvenil 60kg",5,IF(Atletas!E575="Juvenil 65kg",6,IF(Atletas!E575="Juvenil 70kg",7,IF(Atletas!E575="Juvenil 75kg",8,IF(Atletas!E575="Juvenil 82kg",9,IF(Atletas!E575="Juvenil 90kg",10,IF(Atletas!E575="Juvenil 100kg",11,IF(Atletas!E575="Adulto 48kg",12,IF(Atletas!E575="Adulto 52kg",13,IF(Atletas!E575="Adulto 56kg",14,IF(Atletas!E575="Adulto 60kg",15,IF(Atletas!E575="Adulto 65kg",16,IF(Atletas!E575="Adulto 70kg",17,IF(Atletas!E575="Adulto 75kg",18,IF(Atletas!E575="Adulto 82kg",19,IF(Atletas!E575="Adulto 90kg",20,IF(Atletas!E575="Adulto 100kg",21,IF(Atletas!E575="Adulto +100kg",22,""))))))))))))))))))))))))</f>
        <v/>
      </c>
      <c r="AT579" s="10" t="str">
        <f>IF(Atletas!F575="","",IF(Atletas!B575="Feminino",100,IF(Atletas!B575="Masculino",200,""))+(IF(Atletas!F575="Adulto 48kg",1,IF(Atletas!F575="Adulto 56kg",2,IF(Atletas!F575="Adulto 65kg",3,IF(Atletas!F575="Adulto 75kg",4,IF(Atletas!F575="Adulto +75kg",5,IF(Atletas!F575="Adulto 52kg",6,IF(Atletas!F575="Adulto 60kg",7,IF(Atletas!F575="Adulto 70kg",8,IF(Atletas!F575="Adulto 80kg",9,IF(Atletas!F575="Adulto 90kg",10,IF(Atletas!F575="Adulto +90kg",11,"")))))))))))))</f>
        <v/>
      </c>
      <c r="AY579" s="46" t="str">
        <f>IF(Atletas!G575="","",IF(Atletas!B575="Feminino",100,IF(Atletas!B575="Masculino",200,""))+(IF(Atletas!G575="Changquan Mirim",1,IF(Atletas!G575="Nanquan Mirim",2,IF(Atletas!G575="Taijiquan Mirim",3,IF(Atletas!G575="Changquan Grupo C",4,IF(Atletas!G575="Nanquan Grupo C",5,IF(Atletas!G575="Taijiquan Grupo C",6,IF(Atletas!G575="Changquan Grupo B",7,IF(Atletas!G575="Nanquan Grupo B",8,IF(Atletas!G575="Taijiquan Grupo B",9,IF(Atletas!G575="Changquan Grupo A",10,IF(Atletas!G575="Nanquan Grupo A",11,IF(Atletas!G575="Taijiquan Grupo A",12,IF(Atletas!G575="Changquan Opcional",13,IF(Atletas!G575="Nanquan Opcional",14,IF(Atletas!G575="Taijiquan Opcional",15,IF(Atletas!G575="Changquan Adulto",16,IF(Atletas!G575="Nanquan Adulto",17,IF(Atletas!G575="Taijiquan Adulto",18,""))))))))))))))))))))</f>
        <v/>
      </c>
      <c r="AZ579" s="46" t="str">
        <f>IF(Atletas!H575="","",IF(Atletas!B575="Feminino",100,IF(Atletas!B575="Masculino",200,""))+(IF(Atletas!H575="Daoshu Mirim",19,IF(Atletas!H575="Jianshu Mirim",20,IF(Atletas!H575="Nandao Mirim",21,IF(Atletas!H575="Taijijian Mirim",22,IF(Atletas!H575="Daoshu Grupo C",23,IF(Atletas!H575="Jianshu Grupo C",24,IF(Atletas!H575="Nandao Grupo C",25,IF(Atletas!H575="Taijijian Grupo C",26,IF(Atletas!H575="Daoshu Grupo B",27,IF(Atletas!H575="Jianshu Grupo B",28,IF(Atletas!H575="Nandao Grupo B",29,IF(Atletas!H575="Taijijian Grupo B",30,IF(Atletas!H575="Daoshu Grupo A",31,IF(Atletas!H575="Jianshu Grupo A",32,IF(Atletas!H575="Nandao Grupo A",33,IF(Atletas!H575="Taijijian Grupo A",34,IF(Atletas!H575="Daoshu Opcional",35,IF(Atletas!H575="Jianshu Opcional",36,IF(Atletas!H575="Nandao Opcional",37,IF(Atletas!H575="Taijijian Opcional",38,IF(Atletas!H575="Daoshu Adulto",39,IF(Atletas!H575="Jianshu Adulto",40,IF(Atletas!H575="Nandao Adulto",41,IF(Atletas!H575="Taijijian Adulto",42,""))))))))))))))))))))))))))</f>
        <v/>
      </c>
      <c r="BA579" s="46" t="str">
        <f>IF(Atletas!I575="","",IF(Atletas!B575="Feminino",100,IF(Atletas!B575="Masculino",200,""))+(IF(Atletas!I575="Gunshu Mirim",43,IF(Atletas!I575="Qiangshu Mirim",44,IF(Atletas!I575="Nangun Mirim",45,IF(Atletas!I575="Gunshu Grupo C",46,IF(Atletas!I575="Qiangshu Grupo C",47,IF(Atletas!I575="Nangun Grupo C",48,IF(Atletas!I575="Gunshu Grupo B",49,IF(Atletas!I575="Qiangshu Grupo B",50,IF(Atletas!I575="Nangun Grupo B",51,IF(Atletas!I575="Gunshu Grupo A",52,IF(Atletas!I575="Qiangshu Grupo A",53,IF(Atletas!I575="Nangun Grupo A",54,IF(Atletas!I575="Gunshu Opcional",55,IF(Atletas!I575="Qiangshu Opcional",56,IF(Atletas!I575="Nangun Opcional",57,IF(Atletas!I575="Gunshu Adulto",58,IF(Atletas!I575="Qiangshu Adulto",59,IF(Atletas!I575="Nangun Adulto",60,""))))))))))))))))))))</f>
        <v/>
      </c>
      <c r="BF579" s="52" t="str">
        <f>IF(Atletas!J575="","",IF(Atletas!B575="Feminino",100,IF(Atletas!B575="Masculino",200,""))+(IF(Atletas!J575="Equipe 1 Grupo B",1,IF(Atletas!J575="Equipe 2 Grupo B",2,IF(Atletas!J575="Equipe 1 Grupo A",3,IF(Atletas!J575="Equipe 2 Grupo A",4,IF(Atletas!J575="Equipe 1 Adulto",5,IF(Atletas!J575="Equipe 2 Adulto",6,""))))))))</f>
        <v/>
      </c>
      <c r="BK579" s="52" t="str">
        <f>IF(Atletas!K575="","",IF(Atletas!W575&lt;&gt;"",10000,0)+(IF(Atletas!B575="Feminino",1000,IF(Atletas!B575="Masculino",2000,""))+IF(Atletas!K575="Choylayfut A",1,IF(Atletas!K575="Hunggar A",2,IF(Atletas!K575="Wuzuquan A",3,IF(Atletas!K575="Wingchun A",4,IF(Atletas!K575="Outra Mão de Sul A",5,IF(Atletas!K575="Choylayfut B",6,IF(Atletas!K575="Hunggar B",7,IF(Atletas!K575="Wuzuquan B",8,IF(Atletas!K575="Wingchun B",9,IF(Atletas!K575="Outra Mão de Sul B",10,IF(Atletas!K575="Choylayfut C",11,IF(Atletas!K575="Hunggar C",12,IF(Atletas!K575="Wuzuquan C",13,IF(Atletas!K575="Wingchun C",14,IF(Atletas!K575="Outra Mão de Sul C",15,IF(Atletas!K575="Choylayfut D",16,IF(Atletas!K575="Hunggar D",17,IF(Atletas!K575="Wuzuquan D",18,IF(Atletas!K575="Wingchun D",19,IF(Atletas!K575="Outra Mão de Sul D",20,IF(Atletas!K575="Choylayfut E",21,IF(Atletas!K575="Hunggar E",22,IF(Atletas!K575="Wuzuquan E",23,IF(Atletas!K575="Wingchun E",24,IF(Atletas!K575="Outra Mão de Sul E",25,IF(Atletas!K575="Choylayfut F",26,IF(Atletas!K575="Hunggar F",27,IF(Atletas!K575="Wuzuquan F",28,IF(Atletas!K575="Wingchun F",29,IF(Atletas!K575="Outra Mão de Sul F",30,""))))))))))))))))))))))))))))))))</f>
        <v/>
      </c>
      <c r="BL579" s="52" t="str">
        <f>IF(Atletas!L575="","",IF(Atletas!W575&lt;&gt;"",10000,0)+(IF(Atletas!B575="Feminino",1000,IF(Atletas!B575="Masculino",2000,""))+(IF(Atletas!L575="Chaquan A",101,IF(Atletas!L575="Emeiquan A",102,IF(Atletas!L575="Fanziquan A",103,IF(Atletas!L575="Huaquan A",104,IF(Atletas!L575="Hongquan A",105,IF(Atletas!L575="Paochui A",106,IF(Atletas!L575="Piguaquan A",107,IF(Atletas!L575="Shaolinquan A",108,IF(Atletas!L575="Tanglangquan A",109,IF(Atletas!L575="Yinzhaophai A",110,IF(Atletas!L575="Tongbeiquan A",111,IF(Atletas!L575="Wudangquan A",112,IF(Atletas!L575="Outros Estilos A",113,IF(Atletas!L575="Chaquan B",114,IF(Atletas!L575="Emeiquan B",115,IF(Atletas!L575="Fanziquan B",116,IF(Atletas!L575="Huaquan B",117,IF(Atletas!L575="Hongquan B",118,IF(Atletas!L575="Paochui B",119,IF(Atletas!L575="Piguaquan B",120,IF(Atletas!L575="Shaolinquan B",121,IF(Atletas!L575="Tanglangquan B",122,IF(Atletas!L575="Yinzhaophai B",123,IF(Atletas!L575="Tongbeiquan B",124,IF(Atletas!L575="Wudangquan B",125,IF(Atletas!L575="Outros Estilos B",126,IF(Atletas!L575="Chaquan C",127,IF(Atletas!L575="Emeiquan C",128,IF(Atletas!L575="Fanziquan C",129,IF(Atletas!L575="Huaquan C",130,IF(Atletas!L575="Hongquan C",131,IF(Atletas!L575="Paochui C",132,IF(Atletas!L575="Piguaquan C",133,IF(Atletas!L575="Shaolinquan C",134,IF(Atletas!L575="Tanglangquan C",135,IF(Atletas!L575="Yinzhaophai C",136,IF(Atletas!L575="Tongbeiquan C",137,IF(Atletas!L575="Wudangquan C",138,IF(Atletas!L575="Outros Estilos C",139,0))))))))))))))))))))))))))))))))))))))))))</f>
        <v/>
      </c>
      <c r="BM579" s="52" t="str">
        <f>IF(Atletas!L575="","",IF(Atletas!W575&lt;&gt;"",10000,0)+(IF(Atletas!B575="Feminino",1000,IF(Atletas!B575="Masculino",2000,""))+(IF(Atletas!L575="Chaquan D",140,IF(Atletas!L575="Emeiquan D",141,IF(Atletas!L575="Fanziquan D",142,IF(Atletas!L575="Huaquan D",143,IF(Atletas!L575="Hongquan D",144,IF(Atletas!L575="Paochui D",145,IF(Atletas!L575="Piguaquan D",146,IF(Atletas!L575="Shaolinquan D",147,IF(Atletas!L575="Tanglangquan D",148,IF(Atletas!L575="Yinzhaophai D",149,IF(Atletas!L575="Tongbeiquan D",150,IF(Atletas!L575="Wudangquan D",151,IF(Atletas!L575="Outros Estilos D",152,IF(Atletas!L575="Chaquan E",153,IF(Atletas!L575="Emeiquan E",154,IF(Atletas!L575="Fanziquan E",155,IF(Atletas!L575="Huaquan E",156,IF(Atletas!L575="Hongquan E",157,IF(Atletas!L575="Paochui E",158,IF(Atletas!L575="Piguaquan E",159,IF(Atletas!L575="Shaolinquan E",160,IF(Atletas!L575="Tanglangquan E",161,IF(Atletas!L575="Yinzhaophai E",162,IF(Atletas!L575="Tongbeiquan E",163,IF(Atletas!L575="Wudangquan E",164,IF(Atletas!L575="Outros Estilos E",165,IF(Atletas!L575="Chaquan F",166,IF(Atletas!L575="Emeiquan F",167,IF(Atletas!L575="Fanziquan F",168,IF(Atletas!L575="Huaquan F",169,IF(Atletas!L575="Hongquan F",170,IF(Atletas!L575="Paochui F",171,IF(Atletas!L575="Piguaquan F",172,IF(Atletas!L575="Shaolinquan F",173,IF(Atletas!L575="Tanglangquan F",174,IF(Atletas!L575="Yinzhaophai F",175,IF(Atletas!L575="Tongbeiquan F",176,IF(Atletas!L575="Wudangquan F",177,IF(Atletas!L575="Outros Estilos F",178,0))))))))))))))))))))))))))))))))))))))))))</f>
        <v/>
      </c>
      <c r="BN579" s="52" t="str">
        <f>IF(Atletas!M575="","",IF(Atletas!W575&lt;&gt;"",10000,0)+(IF(Atletas!B575="Feminino",1000,IF(Atletas!B575="Masculino",2000,""))+(IF(Atletas!M575="Ditangquan A",201,IF(Atletas!M575="Houquan A",202,IF(Atletas!M575="Zuiquan A",203,IF(Atletas!M575="Ditangquan B",204,IF(Atletas!M575="Houquan B",205,IF(Atletas!M575="Zuiquan B",206,IF(Atletas!M575="Ditangquan C",207,IF(Atletas!M575="Houquan C",208,IF(Atletas!M575="Zuiquan C",209,IF(Atletas!M575="Ditangquan D",210,IF(Atletas!M575="Houquan D",211,IF(Atletas!M575="Zuiquan D",212,IF(Atletas!M575="Ditangquan E",213,IF(Atletas!M575="Houquan E",214,IF(Atletas!M575="Zuiquan E",215,IF(Atletas!M575="Ditangquan F",216,IF(Atletas!M575="Houquan F",217,IF(Atletas!M575="Zuiquan F",218,"")))))))))))))))))))))</f>
        <v/>
      </c>
      <c r="BO579" s="52" t="str">
        <f>IF(Atletas!N575="","",IF(Atletas!W575&lt;&gt;"",10000,0)+IF(Atletas!B575="Feminino",1000,IF(Atletas!B575="Masculino",2000,""))+IF(Atletas!N575="Yang A",301,IF(Atletas!N575="Chen A",30,IF(Atletas!N575="Sun A",303,IF(Atletas!N575="Wu A",304,IF(Atletas!N575="Wu-Hao A",305,IF(Atletas!N575="Outro Taijiquan A",306,IF(Atletas!N575="Yang B",307,IF(Atletas!N575="Chen B",308,IF(Atletas!N575="Sun B",309,IF(Atletas!N575="Wu B",310,IF(Atletas!N575="Wu-Hao B",311,IF(Atletas!N575="Outro Taijiquan B",312,IF(Atletas!N575="Yang C",313,IF(Atletas!N575="Chen C",314,IF(Atletas!N575="Sun C",315,IF(Atletas!N575="Wu C",316,IF(Atletas!N575="Wu-Hao C",317,IF(Atletas!N575="Outro Taijiquan C",318,IF(Atletas!N575="Yang D",319,IF(Atletas!N575="Chen D",320,IF(Atletas!N575="Sun D",321,IF(Atletas!N575="Wu D",322,IF(Atletas!N575="Wu-Hao D",323,IF(Atletas!N575="Outro Taijiquan D",324,IF(Atletas!N575="Yang E",325,IF(Atletas!N575="Chen E",326,IF(Atletas!N575="Sun E",327,IF(Atletas!N575="Wu E",328,IF(Atletas!N575="Wu-Hao E",329,IF(Atletas!N575="Outro Taijiquan E",330,IF(Atletas!N575="Yang F",331,IF(Atletas!N575="Chen F",332,IF(Atletas!N575="Sun F",333,IF(Atletas!N575="Wu F",334,IF(Atletas!N575="Wu-Hao F",335,IF(Atletas!N575="Outro Taijiquan F",336,"")))))))))))))))))))))))))))))))))))))</f>
        <v/>
      </c>
      <c r="BP579" s="52" t="str">
        <f>IF(Atletas!O575="","",IF(Atletas!W575&lt;&gt;"",10000,0)+IF(Atletas!B575="Feminino",1000,IF(Atletas!B575="Masculino",2000,""))+IF(OR(Atletas!O575="Yang 26 A",Atletas!O575="Yang 40 A"),401,IF(OR(Atletas!O575="Chen 25 A",Atletas!O575="Chen 36 A",Atletas!O575="Chen 56 A"),402,IF(Atletas!O575="Sun 73 A",403,IF(Atletas!O575="Wu 45 A",404,IF(Atletas!O575="Wu-Hao 46 A",405,IF(OR(Atletas!O575="Taijiquan 16 A",Atletas!O575="Taijiquan 24 A",Atletas!O575="Taijiquan 32 A",Atletas!O575="Taijiquan 42 A"),406,IF(OR(Atletas!O575="Yang 26 B",Atletas!O575="Yang 40 B"),407,IF(OR(Atletas!O575="Chen 25 B",Atletas!O575="Chen 36 B",Atletas!O575="Chen 56 B"),408,IF(Atletas!O575="Sun 73 B",409,IF(Atletas!O575="Wu 45 B",410,IF(Atletas!O575="Wu-Hao 46 B",411,IF(OR(Atletas!O575="Taijiquan 16 B",Atletas!O575="Taijiquan 24 B",Atletas!O575="Taijiquan 32 B",Atletas!O575="Taijiquan 42 B"),412,IF(OR(Atletas!O575="Yang 26 C",Atletas!O575="Yang 40 C"),413,IF(OR(Atletas!O575="Chen 25 C",Atletas!O575="Chen 36 C",Atletas!O575="Chen 56 C"),414,IF(Atletas!O575="Sun 73 C",415,IF(Atletas!O575="Wu 45 C",416,IF(Atletas!O575="Wu-Hao 46 C",417,IF(OR(Atletas!O575="Taijiquan 16 C",Atletas!O575="Taijiquan 24 C",Atletas!O575="Taijiquan 32 C",Atletas!O575="Taijiquan 42 C"),418,0)))))))))))))))))))</f>
        <v/>
      </c>
      <c r="BQ579" s="52" t="str">
        <f>IF(Atletas!O575="","",IF(Atletas!W575&lt;&gt;"",10000,0)+IF(Atletas!B575="Feminino",1000,IF(Atletas!B575="Masculino",2000,""))+IF(OR(Atletas!O575="Yang 26 D",Atletas!O575="Yang 40 D"),419,IF(OR(Atletas!O575="Chen 25 D",Atletas!O575="Chen 36 D",Atletas!O575="Chen 56 D"),420,IF(Atletas!O575="Sun 73 D",421,IF(Atletas!O575="Wu 45 D",422,IF(Atletas!O575="Wu-Hao 46 D",423,IF(OR(Atletas!O575="Taijiquan 16 D",Atletas!O575="Taijiquan 24 D",Atletas!O575="Taijiquan 32 D",Atletas!O575="Taijiquan 42 D"),424,IF(OR(Atletas!O575="Yang 26 E",Atletas!O575="Yang 40 E"),425,IF(OR(Atletas!O575="Chen 25 E",Atletas!O575="Chen 36 E",Atletas!O575="Chen 56 E"),426,IF(Atletas!O575="Sun 73 E",427,IF(Atletas!O575="Wu 45 E",428,IF(Atletas!O575="Wu-Hao 46 E",429,IF(OR(Atletas!O575="Taijiquan 16 E",Atletas!O575="Taijiquan 24 E",Atletas!O575="Taijiquan 32 E",Atletas!O575="Taijiquan 42 E"),430,IF(OR(Atletas!O575="Yang 26 F",Atletas!O575="Yang 40 F"),431,IF(OR(Atletas!O575="Chen 25 F",Atletas!O575="Chen 36 F",Atletas!O575="Chen 56 F"),432,IF(Atletas!O575="Sun 73 F",433,IF(Atletas!O575="Wu 45 F",434,IF(Atletas!O575="Wu-Hao 46 F",435,IF(OR(Atletas!O575="Taijiquan 16 F",Atletas!O575="Taijiquan 24 F",Atletas!O575="Taijiquan 32 F",Atletas!O575="Taijiquan 42 F"),436,0)))))))))))))))))))</f>
        <v/>
      </c>
      <c r="BR579" s="52" t="str">
        <f>IF(Atletas!P575="","",IF(Atletas!W575&lt;&gt;"",10000,0)+IF(Atletas!B575="Feminino",1000,IF(Atletas!B575="Masculino",2000,""))+IF(Atletas!P575="Xingyiquan A",501,IF(Atletas!P575="Baguazhang A",502,IF(Atletas!P575="Outro Estilo Interno A",503,IF(Atletas!P575="Xingyiquan B",504,IF(Atletas!P575="Baguazhang B",505,IF(Atletas!P575="Outro Estilo Interno B",506,IF(Atletas!P575="Xingyiquan C",507,IF(Atletas!P575="Baguazhang C",508,IF(Atletas!P575="Outro Estilo Interno C",509,IF(Atletas!P575="Xingyiquan D",510,IF(Atletas!P575="Baguazhang D",511,IF(Atletas!P575="Outro Estilo Interno D",512,IF(Atletas!P575="Xingyiquan E",513,IF(Atletas!P575="Baguazhang E",514,IF(Atletas!P575="Outro Estilo Interno E",515,IF(Atletas!P575="Xingyiquan F",516,IF(Atletas!P575="Baguazhang F",517,IF(Atletas!P575="Outro Estilo Interno F",518, "")))))))))))))))))))</f>
        <v/>
      </c>
      <c r="BS579" s="52" t="str">
        <f>IF(Atletas!Q575="","",IF(Atletas!W575&lt;&gt;"",10000,0)+IF(Atletas!B575="Feminino",1000,IF(Atletas!B575="Masculino",2000,""))+IF(Atletas!Q575="Dao A",601,IF(Atletas!Q575="Jian A",602,IF(Atletas!Q575="Bishou A",603,IF(Atletas!Q575="Shan A",604,IF(Atletas!Q575="Outra Arma Curta A",605,IF(Atletas!Q575="Dao B",606,IF(Atletas!Q575="Jian B",607,IF(Atletas!Q575="Bishou B",608,IF(Atletas!Q575="Shan B",609,IF(Atletas!Q575="Outra Arma Curta B",610,IF(Atletas!Q575="Dao C",611,IF(Atletas!Q575="Jian C",612,IF(Atletas!Q575="Bishou C",613,IF(Atletas!Q575="Shan C",614,IF(Atletas!Q575="Outra Arma Curta C",615,IF(Atletas!Q575="Dao D",616,IF(Atletas!Q575="Jian D",617,IF(Atletas!Q575="Bishou D",618,IF(Atletas!Q575="Shan D",619,IF(Atletas!Q575="Outra Arma Curta D",620,IF(Atletas!Q575="Dao E",621,IF(Atletas!Q575="Jian E",622,IF(Atletas!Q575="Bishou E",623,IF(Atletas!Q575="Shan E",624,IF(Atletas!Q575="Outra Arma Curta E",625,IF(Atletas!Q575="Dao F",626,IF(Atletas!Q575="Jian F",627,IF(Atletas!Q575="Bishou F",628,IF(Atletas!Q575="Shan F",629,IF(Atletas!Q575="Outra Arma Curta F",630, "")))))))))))))))))))))))))))))))</f>
        <v/>
      </c>
      <c r="BT579" s="52" t="str">
        <f>IF(Atletas!R575="","",IF(Atletas!W575&lt;&gt;"",10000,0)+IF(Atletas!B575="Feminino",1000,IF(Atletas!B575="Masculino",2000,""))+IF(Atletas!R575="Gun A",701,IF(Atletas!R575="Qiang A",702,IF(Atletas!R575="Pudao / Guandao A",703,IF(Atletas!R575="Outra Arma Longa A",704,IF(Atletas!R575="Gun B",705,IF(Atletas!R575="Qiang B",706,IF(Atletas!R575="Pudao / Guandao B",707,IF(Atletas!R575="Outra Arma Longa B",708,IF(Atletas!R575="Gun C",709,IF(Atletas!R575="Qiang C",710,IF(Atletas!R575="Pudao / Guandao C",711,IF(Atletas!R575="Outra Arma Longa C",712,IF(Atletas!R575="Gun D",713,IF(Atletas!R575="Qiang D",714,IF(Atletas!R575="Pudao / Guandao D",715,IF(Atletas!R575="Outra Arma Longa D",716,IF(Atletas!R575="Gun E",717,IF(Atletas!R575="Qiang E",718,IF(Atletas!R575="Pudao / Guandao E",719,IF(Atletas!R575="Outra Arma Longa E",720,IF(Atletas!R575="Gun F",721,IF(Atletas!R575="Qiang F",722,IF(Atletas!R575="Pudao / Guandao F",723,IF(Atletas!R575="Outra Arma Longa F",724,"")))))))))))))))))))))))))</f>
        <v/>
      </c>
      <c r="BU579" s="52" t="str">
        <f>IF(Atletas!S575="","",IF(Atletas!W575&lt;&gt;"",10000,0)+IF(Atletas!B575="Feminino",1000,IF(Atletas!B575="Masculino",2000,""))+IF(Atletas!S575="Arma Dupla A",801,IF(Atletas!S575="Arma Maleável A",802,IF(Atletas!S575="Arma Dupla B",803,IF(Atletas!S575="Arma Maleável B",804,IF(Atletas!S575="Arma Dupla C",805,IF(Atletas!S575="Arma Maleável C",806,IF(Atletas!S575="Arma Dupla D",807,IF(Atletas!S575="Arma Maleável D",808,IF(Atletas!S575="Arma Dupla E",809,IF(Atletas!S575="Arma Maleável E",810,IF(Atletas!S575="Arma Dupla F",811,IF(Atletas!S575="Arma Maleável F",812, "")))))))))))))</f>
        <v/>
      </c>
      <c r="BV579" s="52" t="str">
        <f>IF(Atletas!T575="","",IF(Atletas!W575&lt;&gt;"",10000,0)+IF(Atletas!B575="Feminino",1000,IF(Atletas!B575="Masculino",2000,""))+IF(Atletas!T575="Taijijian Yang A",901,IF(Atletas!T575="Taijijian Chen A",902,IF(Atletas!T575="Taijijian Sun A",903,IF(Atletas!T575="Taijijian Wu A",904,IF(Atletas!T575="Taijijian Wu-Hao A",905,IF(Atletas!T575="Taijijian 32 A",906,IF(Atletas!T575="Taijijian 42 A",907,IF(Atletas!T575="Taijijian Yang B",908,IF(Atletas!T575="Taijijian Chen B",909,IF(Atletas!T575="Taijijian Sun B",910,IF(Atletas!T575="Taijijian Wu B",911,IF(Atletas!T575="Taijijian Wu-Hao B",912,IF(Atletas!T575="Taijijian 32 B",913,IF(Atletas!T575="Taijijian 42 B",914,IF(Atletas!T575="Taijijian Yang C",915,IF(Atletas!T575="Taijijian Chen C",916,IF(Atletas!T575="Taijijian Sun C",917,IF(Atletas!T575="Taijijian Wu C",918,IF(Atletas!T575="Taijijian Wu-Hao C",919,IF(Atletas!T575="Taijijian 32 C",920,IF(Atletas!T575="Taijijian 42 C",921,IF(Atletas!T575="Taijijian Yang D",922,IF(Atletas!T575="Taijijian Chen D",923,IF(Atletas!T575="Taijijian Sun D",924,IF(Atletas!T575="Taijijian Wu D",925,IF(Atletas!T575="Taijijian Wu-Hao D",926,IF(Atletas!T575="Taijijian 32 D",927,IF(Atletas!T575="Taijijian 42 D",928,IF(Atletas!T575="Taijijian Yang E",929,IF(Atletas!T575="Taijijian Chen E",930,IF(Atletas!T575="Taijijian Sun E",931,IF(Atletas!T575="Taijijian Wu E",932,IF(Atletas!T575="Taijijian Wu-Hao E",933,IF(Atletas!T575="Taijijian 32 E",934,IF(Atletas!T575="Taijijian 42 E",935,IF(Atletas!T575="Taijijian Yang F",936,IF(Atletas!T575="Taijijian Chen F",937,IF(Atletas!T575="Taijijian Sun F",938,IF(Atletas!T575="Taijijian Wu F",939,IF(Atletas!T575="Taijijian Wu-Hao F",940,IF(Atletas!T575="Taijijian 32 F",941,IF(Atletas!T575="Taijijian 42 F",942,"")))))))))))))))))))))))))))))))))))))))))))</f>
        <v/>
      </c>
      <c r="BW579" s="52" t="str">
        <f>IF(Atletas!U575="","",IF(Atletas!W575&lt;&gt;"",10000,0)+IF(Atletas!B575="Feminino",1000,IF(Atletas!B575="Masculino",2000,""))+IF(Atletas!T575="Taijijian 42 F",942,IF(Atletas!U575="Taijidao A",943,IF(Atletas!U575="Taijishan A",944,IF(Atletas!U575="Taijiqiang A",945,IF(Atletas!U575="Taijidao B",946,IF(Atletas!U575="Taijishan B",947,IF(Atletas!U575="Taijiqiang B",948,IF(Atletas!U575="Taijidao C",949,IF(Atletas!U575="Taijishan C",950,IF(Atletas!U575="Taijiqiang C",951,IF(Atletas!U575="Taijidao D",952,IF(Atletas!U575="Taijishan D",953,IF(Atletas!U575="Taijiqiang D",954,IF(Atletas!U575="Taijidao E",955,IF(Atletas!U575="Taijishan E",956,IF(Atletas!U575="Taijiqiang E",957,IF(Atletas!U575="Taijidao F",958,IF(Atletas!U575="Taijishan F",959,IF(Atletas!U575="Taijiqiang F",960))))))))))))))))))))</f>
        <v/>
      </c>
      <c r="CF579" s="52" t="str">
        <f xml:space="preserve"> IF(Atletas!V575="","",IF(Atletas!V575="Duilian de Mãos AB - Equipe 1",1,IF(Atletas!V575="Duilian de Mãos AB - Equipe 2",2,IF(Atletas!V575="Duilian de Armas AB - Equipe 1",3,IF(Atletas!V575="Duilian de Armas AB - Equipe 2",4,IF(Atletas!V575="Duilian de Tuishou - Equipe 1",5,IF(Atletas!V575="Duilian de Tuishou - Equipe 2",6,IF(Atletas!V575="Grupo Externo AB - Equipe 1",7,IF(Atletas!V575="Grupo Externo AB - Equipe 2",8,IF(Atletas!V575="Grupo Interno AB - Equipe 1",9,IF(Atletas!V575="Grupo Interno AB - Equipe 2",10,IF(Atletas!V575="Duilian de Mãos CD - Equipe 1",11,IF(Atletas!V575="Duilian de Mãos CD - Equipe 2",12,IF(Atletas!V575="Duilian de Armas CD - Equipe 1",13,IF(Atletas!V575="Duilian de Armas CD - Equipe 2",14,IF(Atletas!V575="Duilian de Tuishou - Equipe 1",15,IF(Atletas!V575="Duilian de Tuishou - Equipe 2",16,IF(Atletas!V575="Grupo Externo CDEF - Equipe 1",17,IF(Atletas!V575="Grupo Externo CDEF - Equipe 2",18,IF(Atletas!V575="Grupo Interno CDEF - Equipe 1",19,IF(Atletas!V575="Grupo Interno CDEF - Equipe 2",20,IF(Atletas!V575="Duilian de Mãos EF - Equipe 1",21,IF(Atletas!V575="Duilian de Mãos EF - Equipe 2",22,IF(Atletas!V575="Duilian de Armas EF - Equipe 1",23,IF(Atletas!V575="Duilian de Armas EF - Equipe 2",24,IF(Atletas!V575="Duilian de Tuishou - Equipe 1",25,IF(Atletas!V575="Duilian de Tuishou - Equipe 2",26,"")))))))))))))))))))))))))))</f>
        <v/>
      </c>
    </row>
    <row r="580" spans="36:84">
      <c r="AJ580" s="46" t="str">
        <f>IF(Atletas!D576="","",IF(Atletas!B576="Feminino",100,IF(Atletas!B576="Masculino",200,""))+(IF(Atletas!D576="Infantil 39kg",1,IF(Atletas!D576="Infantil 42kg",2,IF(Atletas!D576="Infantil 45kg",3,IF(Atletas!D576="Infantil 48kg",4,IF(Atletas!D576="Infantil 52kg",5,IF(Atletas!D576="Infantil 56kg",6,IF(Atletas!D576="Infantil 60kg",7,IF(Atletas!D576="Juvenil 48kg",8,IF(Atletas!D576="Juvenil 52kg",9,IF(Atletas!D576="Juvenil 56kg",10,IF(Atletas!D576="Juvenil 60kg",11,IF(Atletas!D576="Juvenil 65kg",12,IF(Atletas!D576="Juvenil 70kg",13,IF(Atletas!D576="Juvenil 75kg",14,IF(Atletas!D576="Juvenil 80kg",15,IF(Atletas!D576="Adulto 48kg",16,IF(Atletas!D576="Adulto 52kg",17,IF(Atletas!D576="Adulto 56kg",18,IF(Atletas!D576="Adulto 60kg",19,IF(Atletas!D576="Adulto 65kg",20,IF(Atletas!D576="Adulto 70kg",21,IF(Atletas!D576="Adulto 75kg",22,IF(Atletas!D576="Adulto 80kg",23,IF(Atletas!D576="Adulto 85kg",24,IF(Atletas!D576="Adulto 90kg",25,IF(Atletas!D576="Adulto +90kg",26,""))))))))))))))))))))))))))))</f>
        <v/>
      </c>
      <c r="AO580" s="10" t="str">
        <f>IF(Atletas!E576="","",IF(Atletas!B576="Feminino",100,IF(Atletas!B576="Masculino",200,""))+(IF(Atletas!E576="Juvenil 44kg",1,IF(Atletas!E576="Juvenil 48kg",2,IF(Atletas!E576="Juvenil 52kg",3,IF(Atletas!E576="Juvenil 56kg",4,IF(Atletas!E576="Juvenil 60kg",5,IF(Atletas!E576="Juvenil 65kg",6,IF(Atletas!E576="Juvenil 70kg",7,IF(Atletas!E576="Juvenil 75kg",8,IF(Atletas!E576="Juvenil 82kg",9,IF(Atletas!E576="Juvenil 90kg",10,IF(Atletas!E576="Juvenil 100kg",11,IF(Atletas!E576="Adulto 48kg",12,IF(Atletas!E576="Adulto 52kg",13,IF(Atletas!E576="Adulto 56kg",14,IF(Atletas!E576="Adulto 60kg",15,IF(Atletas!E576="Adulto 65kg",16,IF(Atletas!E576="Adulto 70kg",17,IF(Atletas!E576="Adulto 75kg",18,IF(Atletas!E576="Adulto 82kg",19,IF(Atletas!E576="Adulto 90kg",20,IF(Atletas!E576="Adulto 100kg",21,IF(Atletas!E576="Adulto +100kg",22,""))))))))))))))))))))))))</f>
        <v/>
      </c>
      <c r="AT580" s="10" t="str">
        <f>IF(Atletas!F576="","",IF(Atletas!B576="Feminino",100,IF(Atletas!B576="Masculino",200,""))+(IF(Atletas!F576="Adulto 48kg",1,IF(Atletas!F576="Adulto 56kg",2,IF(Atletas!F576="Adulto 65kg",3,IF(Atletas!F576="Adulto 75kg",4,IF(Atletas!F576="Adulto +75kg",5,IF(Atletas!F576="Adulto 52kg",6,IF(Atletas!F576="Adulto 60kg",7,IF(Atletas!F576="Adulto 70kg",8,IF(Atletas!F576="Adulto 80kg",9,IF(Atletas!F576="Adulto 90kg",10,IF(Atletas!F576="Adulto +90kg",11,"")))))))))))))</f>
        <v/>
      </c>
      <c r="AY580" s="46" t="str">
        <f>IF(Atletas!G576="","",IF(Atletas!B576="Feminino",100,IF(Atletas!B576="Masculino",200,""))+(IF(Atletas!G576="Changquan Mirim",1,IF(Atletas!G576="Nanquan Mirim",2,IF(Atletas!G576="Taijiquan Mirim",3,IF(Atletas!G576="Changquan Grupo C",4,IF(Atletas!G576="Nanquan Grupo C",5,IF(Atletas!G576="Taijiquan Grupo C",6,IF(Atletas!G576="Changquan Grupo B",7,IF(Atletas!G576="Nanquan Grupo B",8,IF(Atletas!G576="Taijiquan Grupo B",9,IF(Atletas!G576="Changquan Grupo A",10,IF(Atletas!G576="Nanquan Grupo A",11,IF(Atletas!G576="Taijiquan Grupo A",12,IF(Atletas!G576="Changquan Opcional",13,IF(Atletas!G576="Nanquan Opcional",14,IF(Atletas!G576="Taijiquan Opcional",15,IF(Atletas!G576="Changquan Adulto",16,IF(Atletas!G576="Nanquan Adulto",17,IF(Atletas!G576="Taijiquan Adulto",18,""))))))))))))))))))))</f>
        <v/>
      </c>
      <c r="AZ580" s="46" t="str">
        <f>IF(Atletas!H576="","",IF(Atletas!B576="Feminino",100,IF(Atletas!B576="Masculino",200,""))+(IF(Atletas!H576="Daoshu Mirim",19,IF(Atletas!H576="Jianshu Mirim",20,IF(Atletas!H576="Nandao Mirim",21,IF(Atletas!H576="Taijijian Mirim",22,IF(Atletas!H576="Daoshu Grupo C",23,IF(Atletas!H576="Jianshu Grupo C",24,IF(Atletas!H576="Nandao Grupo C",25,IF(Atletas!H576="Taijijian Grupo C",26,IF(Atletas!H576="Daoshu Grupo B",27,IF(Atletas!H576="Jianshu Grupo B",28,IF(Atletas!H576="Nandao Grupo B",29,IF(Atletas!H576="Taijijian Grupo B",30,IF(Atletas!H576="Daoshu Grupo A",31,IF(Atletas!H576="Jianshu Grupo A",32,IF(Atletas!H576="Nandao Grupo A",33,IF(Atletas!H576="Taijijian Grupo A",34,IF(Atletas!H576="Daoshu Opcional",35,IF(Atletas!H576="Jianshu Opcional",36,IF(Atletas!H576="Nandao Opcional",37,IF(Atletas!H576="Taijijian Opcional",38,IF(Atletas!H576="Daoshu Adulto",39,IF(Atletas!H576="Jianshu Adulto",40,IF(Atletas!H576="Nandao Adulto",41,IF(Atletas!H576="Taijijian Adulto",42,""))))))))))))))))))))))))))</f>
        <v/>
      </c>
      <c r="BA580" s="46" t="str">
        <f>IF(Atletas!I576="","",IF(Atletas!B576="Feminino",100,IF(Atletas!B576="Masculino",200,""))+(IF(Atletas!I576="Gunshu Mirim",43,IF(Atletas!I576="Qiangshu Mirim",44,IF(Atletas!I576="Nangun Mirim",45,IF(Atletas!I576="Gunshu Grupo C",46,IF(Atletas!I576="Qiangshu Grupo C",47,IF(Atletas!I576="Nangun Grupo C",48,IF(Atletas!I576="Gunshu Grupo B",49,IF(Atletas!I576="Qiangshu Grupo B",50,IF(Atletas!I576="Nangun Grupo B",51,IF(Atletas!I576="Gunshu Grupo A",52,IF(Atletas!I576="Qiangshu Grupo A",53,IF(Atletas!I576="Nangun Grupo A",54,IF(Atletas!I576="Gunshu Opcional",55,IF(Atletas!I576="Qiangshu Opcional",56,IF(Atletas!I576="Nangun Opcional",57,IF(Atletas!I576="Gunshu Adulto",58,IF(Atletas!I576="Qiangshu Adulto",59,IF(Atletas!I576="Nangun Adulto",60,""))))))))))))))))))))</f>
        <v/>
      </c>
      <c r="BF580" s="52" t="str">
        <f>IF(Atletas!J576="","",IF(Atletas!B576="Feminino",100,IF(Atletas!B576="Masculino",200,""))+(IF(Atletas!J576="Equipe 1 Grupo B",1,IF(Atletas!J576="Equipe 2 Grupo B",2,IF(Atletas!J576="Equipe 1 Grupo A",3,IF(Atletas!J576="Equipe 2 Grupo A",4,IF(Atletas!J576="Equipe 1 Adulto",5,IF(Atletas!J576="Equipe 2 Adulto",6,""))))))))</f>
        <v/>
      </c>
      <c r="BK580" s="52" t="str">
        <f>IF(Atletas!K576="","",IF(Atletas!W576&lt;&gt;"",10000,0)+(IF(Atletas!B576="Feminino",1000,IF(Atletas!B576="Masculino",2000,""))+IF(Atletas!K576="Choylayfut A",1,IF(Atletas!K576="Hunggar A",2,IF(Atletas!K576="Wuzuquan A",3,IF(Atletas!K576="Wingchun A",4,IF(Atletas!K576="Outra Mão de Sul A",5,IF(Atletas!K576="Choylayfut B",6,IF(Atletas!K576="Hunggar B",7,IF(Atletas!K576="Wuzuquan B",8,IF(Atletas!K576="Wingchun B",9,IF(Atletas!K576="Outra Mão de Sul B",10,IF(Atletas!K576="Choylayfut C",11,IF(Atletas!K576="Hunggar C",12,IF(Atletas!K576="Wuzuquan C",13,IF(Atletas!K576="Wingchun C",14,IF(Atletas!K576="Outra Mão de Sul C",15,IF(Atletas!K576="Choylayfut D",16,IF(Atletas!K576="Hunggar D",17,IF(Atletas!K576="Wuzuquan D",18,IF(Atletas!K576="Wingchun D",19,IF(Atletas!K576="Outra Mão de Sul D",20,IF(Atletas!K576="Choylayfut E",21,IF(Atletas!K576="Hunggar E",22,IF(Atletas!K576="Wuzuquan E",23,IF(Atletas!K576="Wingchun E",24,IF(Atletas!K576="Outra Mão de Sul E",25,IF(Atletas!K576="Choylayfut F",26,IF(Atletas!K576="Hunggar F",27,IF(Atletas!K576="Wuzuquan F",28,IF(Atletas!K576="Wingchun F",29,IF(Atletas!K576="Outra Mão de Sul F",30,""))))))))))))))))))))))))))))))))</f>
        <v/>
      </c>
      <c r="BL580" s="52" t="str">
        <f>IF(Atletas!L576="","",IF(Atletas!W576&lt;&gt;"",10000,0)+(IF(Atletas!B576="Feminino",1000,IF(Atletas!B576="Masculino",2000,""))+(IF(Atletas!L576="Chaquan A",101,IF(Atletas!L576="Emeiquan A",102,IF(Atletas!L576="Fanziquan A",103,IF(Atletas!L576="Huaquan A",104,IF(Atletas!L576="Hongquan A",105,IF(Atletas!L576="Paochui A",106,IF(Atletas!L576="Piguaquan A",107,IF(Atletas!L576="Shaolinquan A",108,IF(Atletas!L576="Tanglangquan A",109,IF(Atletas!L576="Yinzhaophai A",110,IF(Atletas!L576="Tongbeiquan A",111,IF(Atletas!L576="Wudangquan A",112,IF(Atletas!L576="Outros Estilos A",113,IF(Atletas!L576="Chaquan B",114,IF(Atletas!L576="Emeiquan B",115,IF(Atletas!L576="Fanziquan B",116,IF(Atletas!L576="Huaquan B",117,IF(Atletas!L576="Hongquan B",118,IF(Atletas!L576="Paochui B",119,IF(Atletas!L576="Piguaquan B",120,IF(Atletas!L576="Shaolinquan B",121,IF(Atletas!L576="Tanglangquan B",122,IF(Atletas!L576="Yinzhaophai B",123,IF(Atletas!L576="Tongbeiquan B",124,IF(Atletas!L576="Wudangquan B",125,IF(Atletas!L576="Outros Estilos B",126,IF(Atletas!L576="Chaquan C",127,IF(Atletas!L576="Emeiquan C",128,IF(Atletas!L576="Fanziquan C",129,IF(Atletas!L576="Huaquan C",130,IF(Atletas!L576="Hongquan C",131,IF(Atletas!L576="Paochui C",132,IF(Atletas!L576="Piguaquan C",133,IF(Atletas!L576="Shaolinquan C",134,IF(Atletas!L576="Tanglangquan C",135,IF(Atletas!L576="Yinzhaophai C",136,IF(Atletas!L576="Tongbeiquan C",137,IF(Atletas!L576="Wudangquan C",138,IF(Atletas!L576="Outros Estilos C",139,0))))))))))))))))))))))))))))))))))))))))))</f>
        <v/>
      </c>
      <c r="BM580" s="52" t="str">
        <f>IF(Atletas!L576="","",IF(Atletas!W576&lt;&gt;"",10000,0)+(IF(Atletas!B576="Feminino",1000,IF(Atletas!B576="Masculino",2000,""))+(IF(Atletas!L576="Chaquan D",140,IF(Atletas!L576="Emeiquan D",141,IF(Atletas!L576="Fanziquan D",142,IF(Atletas!L576="Huaquan D",143,IF(Atletas!L576="Hongquan D",144,IF(Atletas!L576="Paochui D",145,IF(Atletas!L576="Piguaquan D",146,IF(Atletas!L576="Shaolinquan D",147,IF(Atletas!L576="Tanglangquan D",148,IF(Atletas!L576="Yinzhaophai D",149,IF(Atletas!L576="Tongbeiquan D",150,IF(Atletas!L576="Wudangquan D",151,IF(Atletas!L576="Outros Estilos D",152,IF(Atletas!L576="Chaquan E",153,IF(Atletas!L576="Emeiquan E",154,IF(Atletas!L576="Fanziquan E",155,IF(Atletas!L576="Huaquan E",156,IF(Atletas!L576="Hongquan E",157,IF(Atletas!L576="Paochui E",158,IF(Atletas!L576="Piguaquan E",159,IF(Atletas!L576="Shaolinquan E",160,IF(Atletas!L576="Tanglangquan E",161,IF(Atletas!L576="Yinzhaophai E",162,IF(Atletas!L576="Tongbeiquan E",163,IF(Atletas!L576="Wudangquan E",164,IF(Atletas!L576="Outros Estilos E",165,IF(Atletas!L576="Chaquan F",166,IF(Atletas!L576="Emeiquan F",167,IF(Atletas!L576="Fanziquan F",168,IF(Atletas!L576="Huaquan F",169,IF(Atletas!L576="Hongquan F",170,IF(Atletas!L576="Paochui F",171,IF(Atletas!L576="Piguaquan F",172,IF(Atletas!L576="Shaolinquan F",173,IF(Atletas!L576="Tanglangquan F",174,IF(Atletas!L576="Yinzhaophai F",175,IF(Atletas!L576="Tongbeiquan F",176,IF(Atletas!L576="Wudangquan F",177,IF(Atletas!L576="Outros Estilos F",178,0))))))))))))))))))))))))))))))))))))))))))</f>
        <v/>
      </c>
      <c r="BN580" s="52" t="str">
        <f>IF(Atletas!M576="","",IF(Atletas!W576&lt;&gt;"",10000,0)+(IF(Atletas!B576="Feminino",1000,IF(Atletas!B576="Masculino",2000,""))+(IF(Atletas!M576="Ditangquan A",201,IF(Atletas!M576="Houquan A",202,IF(Atletas!M576="Zuiquan A",203,IF(Atletas!M576="Ditangquan B",204,IF(Atletas!M576="Houquan B",205,IF(Atletas!M576="Zuiquan B",206,IF(Atletas!M576="Ditangquan C",207,IF(Atletas!M576="Houquan C",208,IF(Atletas!M576="Zuiquan C",209,IF(Atletas!M576="Ditangquan D",210,IF(Atletas!M576="Houquan D",211,IF(Atletas!M576="Zuiquan D",212,IF(Atletas!M576="Ditangquan E",213,IF(Atletas!M576="Houquan E",214,IF(Atletas!M576="Zuiquan E",215,IF(Atletas!M576="Ditangquan F",216,IF(Atletas!M576="Houquan F",217,IF(Atletas!M576="Zuiquan F",218,"")))))))))))))))))))))</f>
        <v/>
      </c>
      <c r="BO580" s="52" t="str">
        <f>IF(Atletas!N576="","",IF(Atletas!W576&lt;&gt;"",10000,0)+IF(Atletas!B576="Feminino",1000,IF(Atletas!B576="Masculino",2000,""))+IF(Atletas!N576="Yang A",301,IF(Atletas!N576="Chen A",30,IF(Atletas!N576="Sun A",303,IF(Atletas!N576="Wu A",304,IF(Atletas!N576="Wu-Hao A",305,IF(Atletas!N576="Outro Taijiquan A",306,IF(Atletas!N576="Yang B",307,IF(Atletas!N576="Chen B",308,IF(Atletas!N576="Sun B",309,IF(Atletas!N576="Wu B",310,IF(Atletas!N576="Wu-Hao B",311,IF(Atletas!N576="Outro Taijiquan B",312,IF(Atletas!N576="Yang C",313,IF(Atletas!N576="Chen C",314,IF(Atletas!N576="Sun C",315,IF(Atletas!N576="Wu C",316,IF(Atletas!N576="Wu-Hao C",317,IF(Atletas!N576="Outro Taijiquan C",318,IF(Atletas!N576="Yang D",319,IF(Atletas!N576="Chen D",320,IF(Atletas!N576="Sun D",321,IF(Atletas!N576="Wu D",322,IF(Atletas!N576="Wu-Hao D",323,IF(Atletas!N576="Outro Taijiquan D",324,IF(Atletas!N576="Yang E",325,IF(Atletas!N576="Chen E",326,IF(Atletas!N576="Sun E",327,IF(Atletas!N576="Wu E",328,IF(Atletas!N576="Wu-Hao E",329,IF(Atletas!N576="Outro Taijiquan E",330,IF(Atletas!N576="Yang F",331,IF(Atletas!N576="Chen F",332,IF(Atletas!N576="Sun F",333,IF(Atletas!N576="Wu F",334,IF(Atletas!N576="Wu-Hao F",335,IF(Atletas!N576="Outro Taijiquan F",336,"")))))))))))))))))))))))))))))))))))))</f>
        <v/>
      </c>
      <c r="BP580" s="52" t="str">
        <f>IF(Atletas!O576="","",IF(Atletas!W576&lt;&gt;"",10000,0)+IF(Atletas!B576="Feminino",1000,IF(Atletas!B576="Masculino",2000,""))+IF(OR(Atletas!O576="Yang 26 A",Atletas!O576="Yang 40 A"),401,IF(OR(Atletas!O576="Chen 25 A",Atletas!O576="Chen 36 A",Atletas!O576="Chen 56 A"),402,IF(Atletas!O576="Sun 73 A",403,IF(Atletas!O576="Wu 45 A",404,IF(Atletas!O576="Wu-Hao 46 A",405,IF(OR(Atletas!O576="Taijiquan 16 A",Atletas!O576="Taijiquan 24 A",Atletas!O576="Taijiquan 32 A",Atletas!O576="Taijiquan 42 A"),406,IF(OR(Atletas!O576="Yang 26 B",Atletas!O576="Yang 40 B"),407,IF(OR(Atletas!O576="Chen 25 B",Atletas!O576="Chen 36 B",Atletas!O576="Chen 56 B"),408,IF(Atletas!O576="Sun 73 B",409,IF(Atletas!O576="Wu 45 B",410,IF(Atletas!O576="Wu-Hao 46 B",411,IF(OR(Atletas!O576="Taijiquan 16 B",Atletas!O576="Taijiquan 24 B",Atletas!O576="Taijiquan 32 B",Atletas!O576="Taijiquan 42 B"),412,IF(OR(Atletas!O576="Yang 26 C",Atletas!O576="Yang 40 C"),413,IF(OR(Atletas!O576="Chen 25 C",Atletas!O576="Chen 36 C",Atletas!O576="Chen 56 C"),414,IF(Atletas!O576="Sun 73 C",415,IF(Atletas!O576="Wu 45 C",416,IF(Atletas!O576="Wu-Hao 46 C",417,IF(OR(Atletas!O576="Taijiquan 16 C",Atletas!O576="Taijiquan 24 C",Atletas!O576="Taijiquan 32 C",Atletas!O576="Taijiquan 42 C"),418,0)))))))))))))))))))</f>
        <v/>
      </c>
      <c r="BQ580" s="52" t="str">
        <f>IF(Atletas!O576="","",IF(Atletas!W576&lt;&gt;"",10000,0)+IF(Atletas!B576="Feminino",1000,IF(Atletas!B576="Masculino",2000,""))+IF(OR(Atletas!O576="Yang 26 D",Atletas!O576="Yang 40 D"),419,IF(OR(Atletas!O576="Chen 25 D",Atletas!O576="Chen 36 D",Atletas!O576="Chen 56 D"),420,IF(Atletas!O576="Sun 73 D",421,IF(Atletas!O576="Wu 45 D",422,IF(Atletas!O576="Wu-Hao 46 D",423,IF(OR(Atletas!O576="Taijiquan 16 D",Atletas!O576="Taijiquan 24 D",Atletas!O576="Taijiquan 32 D",Atletas!O576="Taijiquan 42 D"),424,IF(OR(Atletas!O576="Yang 26 E",Atletas!O576="Yang 40 E"),425,IF(OR(Atletas!O576="Chen 25 E",Atletas!O576="Chen 36 E",Atletas!O576="Chen 56 E"),426,IF(Atletas!O576="Sun 73 E",427,IF(Atletas!O576="Wu 45 E",428,IF(Atletas!O576="Wu-Hao 46 E",429,IF(OR(Atletas!O576="Taijiquan 16 E",Atletas!O576="Taijiquan 24 E",Atletas!O576="Taijiquan 32 E",Atletas!O576="Taijiquan 42 E"),430,IF(OR(Atletas!O576="Yang 26 F",Atletas!O576="Yang 40 F"),431,IF(OR(Atletas!O576="Chen 25 F",Atletas!O576="Chen 36 F",Atletas!O576="Chen 56 F"),432,IF(Atletas!O576="Sun 73 F",433,IF(Atletas!O576="Wu 45 F",434,IF(Atletas!O576="Wu-Hao 46 F",435,IF(OR(Atletas!O576="Taijiquan 16 F",Atletas!O576="Taijiquan 24 F",Atletas!O576="Taijiquan 32 F",Atletas!O576="Taijiquan 42 F"),436,0)))))))))))))))))))</f>
        <v/>
      </c>
      <c r="BR580" s="52" t="str">
        <f>IF(Atletas!P576="","",IF(Atletas!W576&lt;&gt;"",10000,0)+IF(Atletas!B576="Feminino",1000,IF(Atletas!B576="Masculino",2000,""))+IF(Atletas!P576="Xingyiquan A",501,IF(Atletas!P576="Baguazhang A",502,IF(Atletas!P576="Outro Estilo Interno A",503,IF(Atletas!P576="Xingyiquan B",504,IF(Atletas!P576="Baguazhang B",505,IF(Atletas!P576="Outro Estilo Interno B",506,IF(Atletas!P576="Xingyiquan C",507,IF(Atletas!P576="Baguazhang C",508,IF(Atletas!P576="Outro Estilo Interno C",509,IF(Atletas!P576="Xingyiquan D",510,IF(Atletas!P576="Baguazhang D",511,IF(Atletas!P576="Outro Estilo Interno D",512,IF(Atletas!P576="Xingyiquan E",513,IF(Atletas!P576="Baguazhang E",514,IF(Atletas!P576="Outro Estilo Interno E",515,IF(Atletas!P576="Xingyiquan F",516,IF(Atletas!P576="Baguazhang F",517,IF(Atletas!P576="Outro Estilo Interno F",518, "")))))))))))))))))))</f>
        <v/>
      </c>
      <c r="BS580" s="52" t="str">
        <f>IF(Atletas!Q576="","",IF(Atletas!W576&lt;&gt;"",10000,0)+IF(Atletas!B576="Feminino",1000,IF(Atletas!B576="Masculino",2000,""))+IF(Atletas!Q576="Dao A",601,IF(Atletas!Q576="Jian A",602,IF(Atletas!Q576="Bishou A",603,IF(Atletas!Q576="Shan A",604,IF(Atletas!Q576="Outra Arma Curta A",605,IF(Atletas!Q576="Dao B",606,IF(Atletas!Q576="Jian B",607,IF(Atletas!Q576="Bishou B",608,IF(Atletas!Q576="Shan B",609,IF(Atletas!Q576="Outra Arma Curta B",610,IF(Atletas!Q576="Dao C",611,IF(Atletas!Q576="Jian C",612,IF(Atletas!Q576="Bishou C",613,IF(Atletas!Q576="Shan C",614,IF(Atletas!Q576="Outra Arma Curta C",615,IF(Atletas!Q576="Dao D",616,IF(Atletas!Q576="Jian D",617,IF(Atletas!Q576="Bishou D",618,IF(Atletas!Q576="Shan D",619,IF(Atletas!Q576="Outra Arma Curta D",620,IF(Atletas!Q576="Dao E",621,IF(Atletas!Q576="Jian E",622,IF(Atletas!Q576="Bishou E",623,IF(Atletas!Q576="Shan E",624,IF(Atletas!Q576="Outra Arma Curta E",625,IF(Atletas!Q576="Dao F",626,IF(Atletas!Q576="Jian F",627,IF(Atletas!Q576="Bishou F",628,IF(Atletas!Q576="Shan F",629,IF(Atletas!Q576="Outra Arma Curta F",630, "")))))))))))))))))))))))))))))))</f>
        <v/>
      </c>
      <c r="BT580" s="52" t="str">
        <f>IF(Atletas!R576="","",IF(Atletas!W576&lt;&gt;"",10000,0)+IF(Atletas!B576="Feminino",1000,IF(Atletas!B576="Masculino",2000,""))+IF(Atletas!R576="Gun A",701,IF(Atletas!R576="Qiang A",702,IF(Atletas!R576="Pudao / Guandao A",703,IF(Atletas!R576="Outra Arma Longa A",704,IF(Atletas!R576="Gun B",705,IF(Atletas!R576="Qiang B",706,IF(Atletas!R576="Pudao / Guandao B",707,IF(Atletas!R576="Outra Arma Longa B",708,IF(Atletas!R576="Gun C",709,IF(Atletas!R576="Qiang C",710,IF(Atletas!R576="Pudao / Guandao C",711,IF(Atletas!R576="Outra Arma Longa C",712,IF(Atletas!R576="Gun D",713,IF(Atletas!R576="Qiang D",714,IF(Atletas!R576="Pudao / Guandao D",715,IF(Atletas!R576="Outra Arma Longa D",716,IF(Atletas!R576="Gun E",717,IF(Atletas!R576="Qiang E",718,IF(Atletas!R576="Pudao / Guandao E",719,IF(Atletas!R576="Outra Arma Longa E",720,IF(Atletas!R576="Gun F",721,IF(Atletas!R576="Qiang F",722,IF(Atletas!R576="Pudao / Guandao F",723,IF(Atletas!R576="Outra Arma Longa F",724,"")))))))))))))))))))))))))</f>
        <v/>
      </c>
      <c r="BU580" s="52" t="str">
        <f>IF(Atletas!S576="","",IF(Atletas!W576&lt;&gt;"",10000,0)+IF(Atletas!B576="Feminino",1000,IF(Atletas!B576="Masculino",2000,""))+IF(Atletas!S576="Arma Dupla A",801,IF(Atletas!S576="Arma Maleável A",802,IF(Atletas!S576="Arma Dupla B",803,IF(Atletas!S576="Arma Maleável B",804,IF(Atletas!S576="Arma Dupla C",805,IF(Atletas!S576="Arma Maleável C",806,IF(Atletas!S576="Arma Dupla D",807,IF(Atletas!S576="Arma Maleável D",808,IF(Atletas!S576="Arma Dupla E",809,IF(Atletas!S576="Arma Maleável E",810,IF(Atletas!S576="Arma Dupla F",811,IF(Atletas!S576="Arma Maleável F",812, "")))))))))))))</f>
        <v/>
      </c>
      <c r="BV580" s="52" t="str">
        <f>IF(Atletas!T576="","",IF(Atletas!W576&lt;&gt;"",10000,0)+IF(Atletas!B576="Feminino",1000,IF(Atletas!B576="Masculino",2000,""))+IF(Atletas!T576="Taijijian Yang A",901,IF(Atletas!T576="Taijijian Chen A",902,IF(Atletas!T576="Taijijian Sun A",903,IF(Atletas!T576="Taijijian Wu A",904,IF(Atletas!T576="Taijijian Wu-Hao A",905,IF(Atletas!T576="Taijijian 32 A",906,IF(Atletas!T576="Taijijian 42 A",907,IF(Atletas!T576="Taijijian Yang B",908,IF(Atletas!T576="Taijijian Chen B",909,IF(Atletas!T576="Taijijian Sun B",910,IF(Atletas!T576="Taijijian Wu B",911,IF(Atletas!T576="Taijijian Wu-Hao B",912,IF(Atletas!T576="Taijijian 32 B",913,IF(Atletas!T576="Taijijian 42 B",914,IF(Atletas!T576="Taijijian Yang C",915,IF(Atletas!T576="Taijijian Chen C",916,IF(Atletas!T576="Taijijian Sun C",917,IF(Atletas!T576="Taijijian Wu C",918,IF(Atletas!T576="Taijijian Wu-Hao C",919,IF(Atletas!T576="Taijijian 32 C",920,IF(Atletas!T576="Taijijian 42 C",921,IF(Atletas!T576="Taijijian Yang D",922,IF(Atletas!T576="Taijijian Chen D",923,IF(Atletas!T576="Taijijian Sun D",924,IF(Atletas!T576="Taijijian Wu D",925,IF(Atletas!T576="Taijijian Wu-Hao D",926,IF(Atletas!T576="Taijijian 32 D",927,IF(Atletas!T576="Taijijian 42 D",928,IF(Atletas!T576="Taijijian Yang E",929,IF(Atletas!T576="Taijijian Chen E",930,IF(Atletas!T576="Taijijian Sun E",931,IF(Atletas!T576="Taijijian Wu E",932,IF(Atletas!T576="Taijijian Wu-Hao E",933,IF(Atletas!T576="Taijijian 32 E",934,IF(Atletas!T576="Taijijian 42 E",935,IF(Atletas!T576="Taijijian Yang F",936,IF(Atletas!T576="Taijijian Chen F",937,IF(Atletas!T576="Taijijian Sun F",938,IF(Atletas!T576="Taijijian Wu F",939,IF(Atletas!T576="Taijijian Wu-Hao F",940,IF(Atletas!T576="Taijijian 32 F",941,IF(Atletas!T576="Taijijian 42 F",942,"")))))))))))))))))))))))))))))))))))))))))))</f>
        <v/>
      </c>
      <c r="BW580" s="52" t="str">
        <f>IF(Atletas!U576="","",IF(Atletas!W576&lt;&gt;"",10000,0)+IF(Atletas!B576="Feminino",1000,IF(Atletas!B576="Masculino",2000,""))+IF(Atletas!T576="Taijijian 42 F",942,IF(Atletas!U576="Taijidao A",943,IF(Atletas!U576="Taijishan A",944,IF(Atletas!U576="Taijiqiang A",945,IF(Atletas!U576="Taijidao B",946,IF(Atletas!U576="Taijishan B",947,IF(Atletas!U576="Taijiqiang B",948,IF(Atletas!U576="Taijidao C",949,IF(Atletas!U576="Taijishan C",950,IF(Atletas!U576="Taijiqiang C",951,IF(Atletas!U576="Taijidao D",952,IF(Atletas!U576="Taijishan D",953,IF(Atletas!U576="Taijiqiang D",954,IF(Atletas!U576="Taijidao E",955,IF(Atletas!U576="Taijishan E",956,IF(Atletas!U576="Taijiqiang E",957,IF(Atletas!U576="Taijidao F",958,IF(Atletas!U576="Taijishan F",959,IF(Atletas!U576="Taijiqiang F",960))))))))))))))))))))</f>
        <v/>
      </c>
      <c r="CF580" s="52" t="str">
        <f xml:space="preserve"> IF(Atletas!V576="","",IF(Atletas!V576="Duilian de Mãos AB - Equipe 1",1,IF(Atletas!V576="Duilian de Mãos AB - Equipe 2",2,IF(Atletas!V576="Duilian de Armas AB - Equipe 1",3,IF(Atletas!V576="Duilian de Armas AB - Equipe 2",4,IF(Atletas!V576="Duilian de Tuishou - Equipe 1",5,IF(Atletas!V576="Duilian de Tuishou - Equipe 2",6,IF(Atletas!V576="Grupo Externo AB - Equipe 1",7,IF(Atletas!V576="Grupo Externo AB - Equipe 2",8,IF(Atletas!V576="Grupo Interno AB - Equipe 1",9,IF(Atletas!V576="Grupo Interno AB - Equipe 2",10,IF(Atletas!V576="Duilian de Mãos CD - Equipe 1",11,IF(Atletas!V576="Duilian de Mãos CD - Equipe 2",12,IF(Atletas!V576="Duilian de Armas CD - Equipe 1",13,IF(Atletas!V576="Duilian de Armas CD - Equipe 2",14,IF(Atletas!V576="Duilian de Tuishou - Equipe 1",15,IF(Atletas!V576="Duilian de Tuishou - Equipe 2",16,IF(Atletas!V576="Grupo Externo CDEF - Equipe 1",17,IF(Atletas!V576="Grupo Externo CDEF - Equipe 2",18,IF(Atletas!V576="Grupo Interno CDEF - Equipe 1",19,IF(Atletas!V576="Grupo Interno CDEF - Equipe 2",20,IF(Atletas!V576="Duilian de Mãos EF - Equipe 1",21,IF(Atletas!V576="Duilian de Mãos EF - Equipe 2",22,IF(Atletas!V576="Duilian de Armas EF - Equipe 1",23,IF(Atletas!V576="Duilian de Armas EF - Equipe 2",24,IF(Atletas!V576="Duilian de Tuishou - Equipe 1",25,IF(Atletas!V576="Duilian de Tuishou - Equipe 2",26,"")))))))))))))))))))))))))))</f>
        <v/>
      </c>
    </row>
    <row r="581" spans="36:84">
      <c r="AJ581" s="46" t="str">
        <f>IF(Atletas!D577="","",IF(Atletas!B577="Feminino",100,IF(Atletas!B577="Masculino",200,""))+(IF(Atletas!D577="Infantil 39kg",1,IF(Atletas!D577="Infantil 42kg",2,IF(Atletas!D577="Infantil 45kg",3,IF(Atletas!D577="Infantil 48kg",4,IF(Atletas!D577="Infantil 52kg",5,IF(Atletas!D577="Infantil 56kg",6,IF(Atletas!D577="Infantil 60kg",7,IF(Atletas!D577="Juvenil 48kg",8,IF(Atletas!D577="Juvenil 52kg",9,IF(Atletas!D577="Juvenil 56kg",10,IF(Atletas!D577="Juvenil 60kg",11,IF(Atletas!D577="Juvenil 65kg",12,IF(Atletas!D577="Juvenil 70kg",13,IF(Atletas!D577="Juvenil 75kg",14,IF(Atletas!D577="Juvenil 80kg",15,IF(Atletas!D577="Adulto 48kg",16,IF(Atletas!D577="Adulto 52kg",17,IF(Atletas!D577="Adulto 56kg",18,IF(Atletas!D577="Adulto 60kg",19,IF(Atletas!D577="Adulto 65kg",20,IF(Atletas!D577="Adulto 70kg",21,IF(Atletas!D577="Adulto 75kg",22,IF(Atletas!D577="Adulto 80kg",23,IF(Atletas!D577="Adulto 85kg",24,IF(Atletas!D577="Adulto 90kg",25,IF(Atletas!D577="Adulto +90kg",26,""))))))))))))))))))))))))))))</f>
        <v/>
      </c>
      <c r="AO581" s="10" t="str">
        <f>IF(Atletas!E577="","",IF(Atletas!B577="Feminino",100,IF(Atletas!B577="Masculino",200,""))+(IF(Atletas!E577="Juvenil 44kg",1,IF(Atletas!E577="Juvenil 48kg",2,IF(Atletas!E577="Juvenil 52kg",3,IF(Atletas!E577="Juvenil 56kg",4,IF(Atletas!E577="Juvenil 60kg",5,IF(Atletas!E577="Juvenil 65kg",6,IF(Atletas!E577="Juvenil 70kg",7,IF(Atletas!E577="Juvenil 75kg",8,IF(Atletas!E577="Juvenil 82kg",9,IF(Atletas!E577="Juvenil 90kg",10,IF(Atletas!E577="Juvenil 100kg",11,IF(Atletas!E577="Adulto 48kg",12,IF(Atletas!E577="Adulto 52kg",13,IF(Atletas!E577="Adulto 56kg",14,IF(Atletas!E577="Adulto 60kg",15,IF(Atletas!E577="Adulto 65kg",16,IF(Atletas!E577="Adulto 70kg",17,IF(Atletas!E577="Adulto 75kg",18,IF(Atletas!E577="Adulto 82kg",19,IF(Atletas!E577="Adulto 90kg",20,IF(Atletas!E577="Adulto 100kg",21,IF(Atletas!E577="Adulto +100kg",22,""))))))))))))))))))))))))</f>
        <v/>
      </c>
      <c r="AT581" s="10" t="str">
        <f>IF(Atletas!F577="","",IF(Atletas!B577="Feminino",100,IF(Atletas!B577="Masculino",200,""))+(IF(Atletas!F577="Adulto 48kg",1,IF(Atletas!F577="Adulto 56kg",2,IF(Atletas!F577="Adulto 65kg",3,IF(Atletas!F577="Adulto 75kg",4,IF(Atletas!F577="Adulto +75kg",5,IF(Atletas!F577="Adulto 52kg",6,IF(Atletas!F577="Adulto 60kg",7,IF(Atletas!F577="Adulto 70kg",8,IF(Atletas!F577="Adulto 80kg",9,IF(Atletas!F577="Adulto 90kg",10,IF(Atletas!F577="Adulto +90kg",11,"")))))))))))))</f>
        <v/>
      </c>
      <c r="AY581" s="46" t="str">
        <f>IF(Atletas!G577="","",IF(Atletas!B577="Feminino",100,IF(Atletas!B577="Masculino",200,""))+(IF(Atletas!G577="Changquan Mirim",1,IF(Atletas!G577="Nanquan Mirim",2,IF(Atletas!G577="Taijiquan Mirim",3,IF(Atletas!G577="Changquan Grupo C",4,IF(Atletas!G577="Nanquan Grupo C",5,IF(Atletas!G577="Taijiquan Grupo C",6,IF(Atletas!G577="Changquan Grupo B",7,IF(Atletas!G577="Nanquan Grupo B",8,IF(Atletas!G577="Taijiquan Grupo B",9,IF(Atletas!G577="Changquan Grupo A",10,IF(Atletas!G577="Nanquan Grupo A",11,IF(Atletas!G577="Taijiquan Grupo A",12,IF(Atletas!G577="Changquan Opcional",13,IF(Atletas!G577="Nanquan Opcional",14,IF(Atletas!G577="Taijiquan Opcional",15,IF(Atletas!G577="Changquan Adulto",16,IF(Atletas!G577="Nanquan Adulto",17,IF(Atletas!G577="Taijiquan Adulto",18,""))))))))))))))))))))</f>
        <v/>
      </c>
      <c r="AZ581" s="46" t="str">
        <f>IF(Atletas!H577="","",IF(Atletas!B577="Feminino",100,IF(Atletas!B577="Masculino",200,""))+(IF(Atletas!H577="Daoshu Mirim",19,IF(Atletas!H577="Jianshu Mirim",20,IF(Atletas!H577="Nandao Mirim",21,IF(Atletas!H577="Taijijian Mirim",22,IF(Atletas!H577="Daoshu Grupo C",23,IF(Atletas!H577="Jianshu Grupo C",24,IF(Atletas!H577="Nandao Grupo C",25,IF(Atletas!H577="Taijijian Grupo C",26,IF(Atletas!H577="Daoshu Grupo B",27,IF(Atletas!H577="Jianshu Grupo B",28,IF(Atletas!H577="Nandao Grupo B",29,IF(Atletas!H577="Taijijian Grupo B",30,IF(Atletas!H577="Daoshu Grupo A",31,IF(Atletas!H577="Jianshu Grupo A",32,IF(Atletas!H577="Nandao Grupo A",33,IF(Atletas!H577="Taijijian Grupo A",34,IF(Atletas!H577="Daoshu Opcional",35,IF(Atletas!H577="Jianshu Opcional",36,IF(Atletas!H577="Nandao Opcional",37,IF(Atletas!H577="Taijijian Opcional",38,IF(Atletas!H577="Daoshu Adulto",39,IF(Atletas!H577="Jianshu Adulto",40,IF(Atletas!H577="Nandao Adulto",41,IF(Atletas!H577="Taijijian Adulto",42,""))))))))))))))))))))))))))</f>
        <v/>
      </c>
      <c r="BA581" s="46" t="str">
        <f>IF(Atletas!I577="","",IF(Atletas!B577="Feminino",100,IF(Atletas!B577="Masculino",200,""))+(IF(Atletas!I577="Gunshu Mirim",43,IF(Atletas!I577="Qiangshu Mirim",44,IF(Atletas!I577="Nangun Mirim",45,IF(Atletas!I577="Gunshu Grupo C",46,IF(Atletas!I577="Qiangshu Grupo C",47,IF(Atletas!I577="Nangun Grupo C",48,IF(Atletas!I577="Gunshu Grupo B",49,IF(Atletas!I577="Qiangshu Grupo B",50,IF(Atletas!I577="Nangun Grupo B",51,IF(Atletas!I577="Gunshu Grupo A",52,IF(Atletas!I577="Qiangshu Grupo A",53,IF(Atletas!I577="Nangun Grupo A",54,IF(Atletas!I577="Gunshu Opcional",55,IF(Atletas!I577="Qiangshu Opcional",56,IF(Atletas!I577="Nangun Opcional",57,IF(Atletas!I577="Gunshu Adulto",58,IF(Atletas!I577="Qiangshu Adulto",59,IF(Atletas!I577="Nangun Adulto",60,""))))))))))))))))))))</f>
        <v/>
      </c>
      <c r="BF581" s="52" t="str">
        <f>IF(Atletas!J577="","",IF(Atletas!B577="Feminino",100,IF(Atletas!B577="Masculino",200,""))+(IF(Atletas!J577="Equipe 1 Grupo B",1,IF(Atletas!J577="Equipe 2 Grupo B",2,IF(Atletas!J577="Equipe 1 Grupo A",3,IF(Atletas!J577="Equipe 2 Grupo A",4,IF(Atletas!J577="Equipe 1 Adulto",5,IF(Atletas!J577="Equipe 2 Adulto",6,""))))))))</f>
        <v/>
      </c>
      <c r="BK581" s="52" t="str">
        <f>IF(Atletas!K577="","",IF(Atletas!W577&lt;&gt;"",10000,0)+(IF(Atletas!B577="Feminino",1000,IF(Atletas!B577="Masculino",2000,""))+IF(Atletas!K577="Choylayfut A",1,IF(Atletas!K577="Hunggar A",2,IF(Atletas!K577="Wuzuquan A",3,IF(Atletas!K577="Wingchun A",4,IF(Atletas!K577="Outra Mão de Sul A",5,IF(Atletas!K577="Choylayfut B",6,IF(Atletas!K577="Hunggar B",7,IF(Atletas!K577="Wuzuquan B",8,IF(Atletas!K577="Wingchun B",9,IF(Atletas!K577="Outra Mão de Sul B",10,IF(Atletas!K577="Choylayfut C",11,IF(Atletas!K577="Hunggar C",12,IF(Atletas!K577="Wuzuquan C",13,IF(Atletas!K577="Wingchun C",14,IF(Atletas!K577="Outra Mão de Sul C",15,IF(Atletas!K577="Choylayfut D",16,IF(Atletas!K577="Hunggar D",17,IF(Atletas!K577="Wuzuquan D",18,IF(Atletas!K577="Wingchun D",19,IF(Atletas!K577="Outra Mão de Sul D",20,IF(Atletas!K577="Choylayfut E",21,IF(Atletas!K577="Hunggar E",22,IF(Atletas!K577="Wuzuquan E",23,IF(Atletas!K577="Wingchun E",24,IF(Atletas!K577="Outra Mão de Sul E",25,IF(Atletas!K577="Choylayfut F",26,IF(Atletas!K577="Hunggar F",27,IF(Atletas!K577="Wuzuquan F",28,IF(Atletas!K577="Wingchun F",29,IF(Atletas!K577="Outra Mão de Sul F",30,""))))))))))))))))))))))))))))))))</f>
        <v/>
      </c>
      <c r="BL581" s="52" t="str">
        <f>IF(Atletas!L577="","",IF(Atletas!W577&lt;&gt;"",10000,0)+(IF(Atletas!B577="Feminino",1000,IF(Atletas!B577="Masculino",2000,""))+(IF(Atletas!L577="Chaquan A",101,IF(Atletas!L577="Emeiquan A",102,IF(Atletas!L577="Fanziquan A",103,IF(Atletas!L577="Huaquan A",104,IF(Atletas!L577="Hongquan A",105,IF(Atletas!L577="Paochui A",106,IF(Atletas!L577="Piguaquan A",107,IF(Atletas!L577="Shaolinquan A",108,IF(Atletas!L577="Tanglangquan A",109,IF(Atletas!L577="Yinzhaophai A",110,IF(Atletas!L577="Tongbeiquan A",111,IF(Atletas!L577="Wudangquan A",112,IF(Atletas!L577="Outros Estilos A",113,IF(Atletas!L577="Chaquan B",114,IF(Atletas!L577="Emeiquan B",115,IF(Atletas!L577="Fanziquan B",116,IF(Atletas!L577="Huaquan B",117,IF(Atletas!L577="Hongquan B",118,IF(Atletas!L577="Paochui B",119,IF(Atletas!L577="Piguaquan B",120,IF(Atletas!L577="Shaolinquan B",121,IF(Atletas!L577="Tanglangquan B",122,IF(Atletas!L577="Yinzhaophai B",123,IF(Atletas!L577="Tongbeiquan B",124,IF(Atletas!L577="Wudangquan B",125,IF(Atletas!L577="Outros Estilos B",126,IF(Atletas!L577="Chaquan C",127,IF(Atletas!L577="Emeiquan C",128,IF(Atletas!L577="Fanziquan C",129,IF(Atletas!L577="Huaquan C",130,IF(Atletas!L577="Hongquan C",131,IF(Atletas!L577="Paochui C",132,IF(Atletas!L577="Piguaquan C",133,IF(Atletas!L577="Shaolinquan C",134,IF(Atletas!L577="Tanglangquan C",135,IF(Atletas!L577="Yinzhaophai C",136,IF(Atletas!L577="Tongbeiquan C",137,IF(Atletas!L577="Wudangquan C",138,IF(Atletas!L577="Outros Estilos C",139,0))))))))))))))))))))))))))))))))))))))))))</f>
        <v/>
      </c>
      <c r="BM581" s="52" t="str">
        <f>IF(Atletas!L577="","",IF(Atletas!W577&lt;&gt;"",10000,0)+(IF(Atletas!B577="Feminino",1000,IF(Atletas!B577="Masculino",2000,""))+(IF(Atletas!L577="Chaquan D",140,IF(Atletas!L577="Emeiquan D",141,IF(Atletas!L577="Fanziquan D",142,IF(Atletas!L577="Huaquan D",143,IF(Atletas!L577="Hongquan D",144,IF(Atletas!L577="Paochui D",145,IF(Atletas!L577="Piguaquan D",146,IF(Atletas!L577="Shaolinquan D",147,IF(Atletas!L577="Tanglangquan D",148,IF(Atletas!L577="Yinzhaophai D",149,IF(Atletas!L577="Tongbeiquan D",150,IF(Atletas!L577="Wudangquan D",151,IF(Atletas!L577="Outros Estilos D",152,IF(Atletas!L577="Chaquan E",153,IF(Atletas!L577="Emeiquan E",154,IF(Atletas!L577="Fanziquan E",155,IF(Atletas!L577="Huaquan E",156,IF(Atletas!L577="Hongquan E",157,IF(Atletas!L577="Paochui E",158,IF(Atletas!L577="Piguaquan E",159,IF(Atletas!L577="Shaolinquan E",160,IF(Atletas!L577="Tanglangquan E",161,IF(Atletas!L577="Yinzhaophai E",162,IF(Atletas!L577="Tongbeiquan E",163,IF(Atletas!L577="Wudangquan E",164,IF(Atletas!L577="Outros Estilos E",165,IF(Atletas!L577="Chaquan F",166,IF(Atletas!L577="Emeiquan F",167,IF(Atletas!L577="Fanziquan F",168,IF(Atletas!L577="Huaquan F",169,IF(Atletas!L577="Hongquan F",170,IF(Atletas!L577="Paochui F",171,IF(Atletas!L577="Piguaquan F",172,IF(Atletas!L577="Shaolinquan F",173,IF(Atletas!L577="Tanglangquan F",174,IF(Atletas!L577="Yinzhaophai F",175,IF(Atletas!L577="Tongbeiquan F",176,IF(Atletas!L577="Wudangquan F",177,IF(Atletas!L577="Outros Estilos F",178,0))))))))))))))))))))))))))))))))))))))))))</f>
        <v/>
      </c>
      <c r="BN581" s="52" t="str">
        <f>IF(Atletas!M577="","",IF(Atletas!W577&lt;&gt;"",10000,0)+(IF(Atletas!B577="Feminino",1000,IF(Atletas!B577="Masculino",2000,""))+(IF(Atletas!M577="Ditangquan A",201,IF(Atletas!M577="Houquan A",202,IF(Atletas!M577="Zuiquan A",203,IF(Atletas!M577="Ditangquan B",204,IF(Atletas!M577="Houquan B",205,IF(Atletas!M577="Zuiquan B",206,IF(Atletas!M577="Ditangquan C",207,IF(Atletas!M577="Houquan C",208,IF(Atletas!M577="Zuiquan C",209,IF(Atletas!M577="Ditangquan D",210,IF(Atletas!M577="Houquan D",211,IF(Atletas!M577="Zuiquan D",212,IF(Atletas!M577="Ditangquan E",213,IF(Atletas!M577="Houquan E",214,IF(Atletas!M577="Zuiquan E",215,IF(Atletas!M577="Ditangquan F",216,IF(Atletas!M577="Houquan F",217,IF(Atletas!M577="Zuiquan F",218,"")))))))))))))))))))))</f>
        <v/>
      </c>
      <c r="BO581" s="52" t="str">
        <f>IF(Atletas!N577="","",IF(Atletas!W577&lt;&gt;"",10000,0)+IF(Atletas!B577="Feminino",1000,IF(Atletas!B577="Masculino",2000,""))+IF(Atletas!N577="Yang A",301,IF(Atletas!N577="Chen A",30,IF(Atletas!N577="Sun A",303,IF(Atletas!N577="Wu A",304,IF(Atletas!N577="Wu-Hao A",305,IF(Atletas!N577="Outro Taijiquan A",306,IF(Atletas!N577="Yang B",307,IF(Atletas!N577="Chen B",308,IF(Atletas!N577="Sun B",309,IF(Atletas!N577="Wu B",310,IF(Atletas!N577="Wu-Hao B",311,IF(Atletas!N577="Outro Taijiquan B",312,IF(Atletas!N577="Yang C",313,IF(Atletas!N577="Chen C",314,IF(Atletas!N577="Sun C",315,IF(Atletas!N577="Wu C",316,IF(Atletas!N577="Wu-Hao C",317,IF(Atletas!N577="Outro Taijiquan C",318,IF(Atletas!N577="Yang D",319,IF(Atletas!N577="Chen D",320,IF(Atletas!N577="Sun D",321,IF(Atletas!N577="Wu D",322,IF(Atletas!N577="Wu-Hao D",323,IF(Atletas!N577="Outro Taijiquan D",324,IF(Atletas!N577="Yang E",325,IF(Atletas!N577="Chen E",326,IF(Atletas!N577="Sun E",327,IF(Atletas!N577="Wu E",328,IF(Atletas!N577="Wu-Hao E",329,IF(Atletas!N577="Outro Taijiquan E",330,IF(Atletas!N577="Yang F",331,IF(Atletas!N577="Chen F",332,IF(Atletas!N577="Sun F",333,IF(Atletas!N577="Wu F",334,IF(Atletas!N577="Wu-Hao F",335,IF(Atletas!N577="Outro Taijiquan F",336,"")))))))))))))))))))))))))))))))))))))</f>
        <v/>
      </c>
      <c r="BP581" s="52" t="str">
        <f>IF(Atletas!O577="","",IF(Atletas!W577&lt;&gt;"",10000,0)+IF(Atletas!B577="Feminino",1000,IF(Atletas!B577="Masculino",2000,""))+IF(OR(Atletas!O577="Yang 26 A",Atletas!O577="Yang 40 A"),401,IF(OR(Atletas!O577="Chen 25 A",Atletas!O577="Chen 36 A",Atletas!O577="Chen 56 A"),402,IF(Atletas!O577="Sun 73 A",403,IF(Atletas!O577="Wu 45 A",404,IF(Atletas!O577="Wu-Hao 46 A",405,IF(OR(Atletas!O577="Taijiquan 16 A",Atletas!O577="Taijiquan 24 A",Atletas!O577="Taijiquan 32 A",Atletas!O577="Taijiquan 42 A"),406,IF(OR(Atletas!O577="Yang 26 B",Atletas!O577="Yang 40 B"),407,IF(OR(Atletas!O577="Chen 25 B",Atletas!O577="Chen 36 B",Atletas!O577="Chen 56 B"),408,IF(Atletas!O577="Sun 73 B",409,IF(Atletas!O577="Wu 45 B",410,IF(Atletas!O577="Wu-Hao 46 B",411,IF(OR(Atletas!O577="Taijiquan 16 B",Atletas!O577="Taijiquan 24 B",Atletas!O577="Taijiquan 32 B",Atletas!O577="Taijiquan 42 B"),412,IF(OR(Atletas!O577="Yang 26 C",Atletas!O577="Yang 40 C"),413,IF(OR(Atletas!O577="Chen 25 C",Atletas!O577="Chen 36 C",Atletas!O577="Chen 56 C"),414,IF(Atletas!O577="Sun 73 C",415,IF(Atletas!O577="Wu 45 C",416,IF(Atletas!O577="Wu-Hao 46 C",417,IF(OR(Atletas!O577="Taijiquan 16 C",Atletas!O577="Taijiquan 24 C",Atletas!O577="Taijiquan 32 C",Atletas!O577="Taijiquan 42 C"),418,0)))))))))))))))))))</f>
        <v/>
      </c>
      <c r="BQ581" s="52" t="str">
        <f>IF(Atletas!O577="","",IF(Atletas!W577&lt;&gt;"",10000,0)+IF(Atletas!B577="Feminino",1000,IF(Atletas!B577="Masculino",2000,""))+IF(OR(Atletas!O577="Yang 26 D",Atletas!O577="Yang 40 D"),419,IF(OR(Atletas!O577="Chen 25 D",Atletas!O577="Chen 36 D",Atletas!O577="Chen 56 D"),420,IF(Atletas!O577="Sun 73 D",421,IF(Atletas!O577="Wu 45 D",422,IF(Atletas!O577="Wu-Hao 46 D",423,IF(OR(Atletas!O577="Taijiquan 16 D",Atletas!O577="Taijiquan 24 D",Atletas!O577="Taijiquan 32 D",Atletas!O577="Taijiquan 42 D"),424,IF(OR(Atletas!O577="Yang 26 E",Atletas!O577="Yang 40 E"),425,IF(OR(Atletas!O577="Chen 25 E",Atletas!O577="Chen 36 E",Atletas!O577="Chen 56 E"),426,IF(Atletas!O577="Sun 73 E",427,IF(Atletas!O577="Wu 45 E",428,IF(Atletas!O577="Wu-Hao 46 E",429,IF(OR(Atletas!O577="Taijiquan 16 E",Atletas!O577="Taijiquan 24 E",Atletas!O577="Taijiquan 32 E",Atletas!O577="Taijiquan 42 E"),430,IF(OR(Atletas!O577="Yang 26 F",Atletas!O577="Yang 40 F"),431,IF(OR(Atletas!O577="Chen 25 F",Atletas!O577="Chen 36 F",Atletas!O577="Chen 56 F"),432,IF(Atletas!O577="Sun 73 F",433,IF(Atletas!O577="Wu 45 F",434,IF(Atletas!O577="Wu-Hao 46 F",435,IF(OR(Atletas!O577="Taijiquan 16 F",Atletas!O577="Taijiquan 24 F",Atletas!O577="Taijiquan 32 F",Atletas!O577="Taijiquan 42 F"),436,0)))))))))))))))))))</f>
        <v/>
      </c>
      <c r="BR581" s="52" t="str">
        <f>IF(Atletas!P577="","",IF(Atletas!W577&lt;&gt;"",10000,0)+IF(Atletas!B577="Feminino",1000,IF(Atletas!B577="Masculino",2000,""))+IF(Atletas!P577="Xingyiquan A",501,IF(Atletas!P577="Baguazhang A",502,IF(Atletas!P577="Outro Estilo Interno A",503,IF(Atletas!P577="Xingyiquan B",504,IF(Atletas!P577="Baguazhang B",505,IF(Atletas!P577="Outro Estilo Interno B",506,IF(Atletas!P577="Xingyiquan C",507,IF(Atletas!P577="Baguazhang C",508,IF(Atletas!P577="Outro Estilo Interno C",509,IF(Atletas!P577="Xingyiquan D",510,IF(Atletas!P577="Baguazhang D",511,IF(Atletas!P577="Outro Estilo Interno D",512,IF(Atletas!P577="Xingyiquan E",513,IF(Atletas!P577="Baguazhang E",514,IF(Atletas!P577="Outro Estilo Interno E",515,IF(Atletas!P577="Xingyiquan F",516,IF(Atletas!P577="Baguazhang F",517,IF(Atletas!P577="Outro Estilo Interno F",518, "")))))))))))))))))))</f>
        <v/>
      </c>
      <c r="BS581" s="52" t="str">
        <f>IF(Atletas!Q577="","",IF(Atletas!W577&lt;&gt;"",10000,0)+IF(Atletas!B577="Feminino",1000,IF(Atletas!B577="Masculino",2000,""))+IF(Atletas!Q577="Dao A",601,IF(Atletas!Q577="Jian A",602,IF(Atletas!Q577="Bishou A",603,IF(Atletas!Q577="Shan A",604,IF(Atletas!Q577="Outra Arma Curta A",605,IF(Atletas!Q577="Dao B",606,IF(Atletas!Q577="Jian B",607,IF(Atletas!Q577="Bishou B",608,IF(Atletas!Q577="Shan B",609,IF(Atletas!Q577="Outra Arma Curta B",610,IF(Atletas!Q577="Dao C",611,IF(Atletas!Q577="Jian C",612,IF(Atletas!Q577="Bishou C",613,IF(Atletas!Q577="Shan C",614,IF(Atletas!Q577="Outra Arma Curta C",615,IF(Atletas!Q577="Dao D",616,IF(Atletas!Q577="Jian D",617,IF(Atletas!Q577="Bishou D",618,IF(Atletas!Q577="Shan D",619,IF(Atletas!Q577="Outra Arma Curta D",620,IF(Atletas!Q577="Dao E",621,IF(Atletas!Q577="Jian E",622,IF(Atletas!Q577="Bishou E",623,IF(Atletas!Q577="Shan E",624,IF(Atletas!Q577="Outra Arma Curta E",625,IF(Atletas!Q577="Dao F",626,IF(Atletas!Q577="Jian F",627,IF(Atletas!Q577="Bishou F",628,IF(Atletas!Q577="Shan F",629,IF(Atletas!Q577="Outra Arma Curta F",630, "")))))))))))))))))))))))))))))))</f>
        <v/>
      </c>
      <c r="BT581" s="52" t="str">
        <f>IF(Atletas!R577="","",IF(Atletas!W577&lt;&gt;"",10000,0)+IF(Atletas!B577="Feminino",1000,IF(Atletas!B577="Masculino",2000,""))+IF(Atletas!R577="Gun A",701,IF(Atletas!R577="Qiang A",702,IF(Atletas!R577="Pudao / Guandao A",703,IF(Atletas!R577="Outra Arma Longa A",704,IF(Atletas!R577="Gun B",705,IF(Atletas!R577="Qiang B",706,IF(Atletas!R577="Pudao / Guandao B",707,IF(Atletas!R577="Outra Arma Longa B",708,IF(Atletas!R577="Gun C",709,IF(Atletas!R577="Qiang C",710,IF(Atletas!R577="Pudao / Guandao C",711,IF(Atletas!R577="Outra Arma Longa C",712,IF(Atletas!R577="Gun D",713,IF(Atletas!R577="Qiang D",714,IF(Atletas!R577="Pudao / Guandao D",715,IF(Atletas!R577="Outra Arma Longa D",716,IF(Atletas!R577="Gun E",717,IF(Atletas!R577="Qiang E",718,IF(Atletas!R577="Pudao / Guandao E",719,IF(Atletas!R577="Outra Arma Longa E",720,IF(Atletas!R577="Gun F",721,IF(Atletas!R577="Qiang F",722,IF(Atletas!R577="Pudao / Guandao F",723,IF(Atletas!R577="Outra Arma Longa F",724,"")))))))))))))))))))))))))</f>
        <v/>
      </c>
      <c r="BU581" s="52" t="str">
        <f>IF(Atletas!S577="","",IF(Atletas!W577&lt;&gt;"",10000,0)+IF(Atletas!B577="Feminino",1000,IF(Atletas!B577="Masculino",2000,""))+IF(Atletas!S577="Arma Dupla A",801,IF(Atletas!S577="Arma Maleável A",802,IF(Atletas!S577="Arma Dupla B",803,IF(Atletas!S577="Arma Maleável B",804,IF(Atletas!S577="Arma Dupla C",805,IF(Atletas!S577="Arma Maleável C",806,IF(Atletas!S577="Arma Dupla D",807,IF(Atletas!S577="Arma Maleável D",808,IF(Atletas!S577="Arma Dupla E",809,IF(Atletas!S577="Arma Maleável E",810,IF(Atletas!S577="Arma Dupla F",811,IF(Atletas!S577="Arma Maleável F",812, "")))))))))))))</f>
        <v/>
      </c>
      <c r="BV581" s="52" t="str">
        <f>IF(Atletas!T577="","",IF(Atletas!W577&lt;&gt;"",10000,0)+IF(Atletas!B577="Feminino",1000,IF(Atletas!B577="Masculino",2000,""))+IF(Atletas!T577="Taijijian Yang A",901,IF(Atletas!T577="Taijijian Chen A",902,IF(Atletas!T577="Taijijian Sun A",903,IF(Atletas!T577="Taijijian Wu A",904,IF(Atletas!T577="Taijijian Wu-Hao A",905,IF(Atletas!T577="Taijijian 32 A",906,IF(Atletas!T577="Taijijian 42 A",907,IF(Atletas!T577="Taijijian Yang B",908,IF(Atletas!T577="Taijijian Chen B",909,IF(Atletas!T577="Taijijian Sun B",910,IF(Atletas!T577="Taijijian Wu B",911,IF(Atletas!T577="Taijijian Wu-Hao B",912,IF(Atletas!T577="Taijijian 32 B",913,IF(Atletas!T577="Taijijian 42 B",914,IF(Atletas!T577="Taijijian Yang C",915,IF(Atletas!T577="Taijijian Chen C",916,IF(Atletas!T577="Taijijian Sun C",917,IF(Atletas!T577="Taijijian Wu C",918,IF(Atletas!T577="Taijijian Wu-Hao C",919,IF(Atletas!T577="Taijijian 32 C",920,IF(Atletas!T577="Taijijian 42 C",921,IF(Atletas!T577="Taijijian Yang D",922,IF(Atletas!T577="Taijijian Chen D",923,IF(Atletas!T577="Taijijian Sun D",924,IF(Atletas!T577="Taijijian Wu D",925,IF(Atletas!T577="Taijijian Wu-Hao D",926,IF(Atletas!T577="Taijijian 32 D",927,IF(Atletas!T577="Taijijian 42 D",928,IF(Atletas!T577="Taijijian Yang E",929,IF(Atletas!T577="Taijijian Chen E",930,IF(Atletas!T577="Taijijian Sun E",931,IF(Atletas!T577="Taijijian Wu E",932,IF(Atletas!T577="Taijijian Wu-Hao E",933,IF(Atletas!T577="Taijijian 32 E",934,IF(Atletas!T577="Taijijian 42 E",935,IF(Atletas!T577="Taijijian Yang F",936,IF(Atletas!T577="Taijijian Chen F",937,IF(Atletas!T577="Taijijian Sun F",938,IF(Atletas!T577="Taijijian Wu F",939,IF(Atletas!T577="Taijijian Wu-Hao F",940,IF(Atletas!T577="Taijijian 32 F",941,IF(Atletas!T577="Taijijian 42 F",942,"")))))))))))))))))))))))))))))))))))))))))))</f>
        <v/>
      </c>
      <c r="BW581" s="52" t="str">
        <f>IF(Atletas!U577="","",IF(Atletas!W577&lt;&gt;"",10000,0)+IF(Atletas!B577="Feminino",1000,IF(Atletas!B577="Masculino",2000,""))+IF(Atletas!T577="Taijijian 42 F",942,IF(Atletas!U577="Taijidao A",943,IF(Atletas!U577="Taijishan A",944,IF(Atletas!U577="Taijiqiang A",945,IF(Atletas!U577="Taijidao B",946,IF(Atletas!U577="Taijishan B",947,IF(Atletas!U577="Taijiqiang B",948,IF(Atletas!U577="Taijidao C",949,IF(Atletas!U577="Taijishan C",950,IF(Atletas!U577="Taijiqiang C",951,IF(Atletas!U577="Taijidao D",952,IF(Atletas!U577="Taijishan D",953,IF(Atletas!U577="Taijiqiang D",954,IF(Atletas!U577="Taijidao E",955,IF(Atletas!U577="Taijishan E",956,IF(Atletas!U577="Taijiqiang E",957,IF(Atletas!U577="Taijidao F",958,IF(Atletas!U577="Taijishan F",959,IF(Atletas!U577="Taijiqiang F",960))))))))))))))))))))</f>
        <v/>
      </c>
      <c r="CF581" s="52" t="str">
        <f xml:space="preserve"> IF(Atletas!V577="","",IF(Atletas!V577="Duilian de Mãos AB - Equipe 1",1,IF(Atletas!V577="Duilian de Mãos AB - Equipe 2",2,IF(Atletas!V577="Duilian de Armas AB - Equipe 1",3,IF(Atletas!V577="Duilian de Armas AB - Equipe 2",4,IF(Atletas!V577="Duilian de Tuishou - Equipe 1",5,IF(Atletas!V577="Duilian de Tuishou - Equipe 2",6,IF(Atletas!V577="Grupo Externo AB - Equipe 1",7,IF(Atletas!V577="Grupo Externo AB - Equipe 2",8,IF(Atletas!V577="Grupo Interno AB - Equipe 1",9,IF(Atletas!V577="Grupo Interno AB - Equipe 2",10,IF(Atletas!V577="Duilian de Mãos CD - Equipe 1",11,IF(Atletas!V577="Duilian de Mãos CD - Equipe 2",12,IF(Atletas!V577="Duilian de Armas CD - Equipe 1",13,IF(Atletas!V577="Duilian de Armas CD - Equipe 2",14,IF(Atletas!V577="Duilian de Tuishou - Equipe 1",15,IF(Atletas!V577="Duilian de Tuishou - Equipe 2",16,IF(Atletas!V577="Grupo Externo CDEF - Equipe 1",17,IF(Atletas!V577="Grupo Externo CDEF - Equipe 2",18,IF(Atletas!V577="Grupo Interno CDEF - Equipe 1",19,IF(Atletas!V577="Grupo Interno CDEF - Equipe 2",20,IF(Atletas!V577="Duilian de Mãos EF - Equipe 1",21,IF(Atletas!V577="Duilian de Mãos EF - Equipe 2",22,IF(Atletas!V577="Duilian de Armas EF - Equipe 1",23,IF(Atletas!V577="Duilian de Armas EF - Equipe 2",24,IF(Atletas!V577="Duilian de Tuishou - Equipe 1",25,IF(Atletas!V577="Duilian de Tuishou - Equipe 2",26,"")))))))))))))))))))))))))))</f>
        <v/>
      </c>
    </row>
    <row r="582" spans="36:84">
      <c r="AJ582" s="46" t="str">
        <f>IF(Atletas!D578="","",IF(Atletas!B578="Feminino",100,IF(Atletas!B578="Masculino",200,""))+(IF(Atletas!D578="Infantil 39kg",1,IF(Atletas!D578="Infantil 42kg",2,IF(Atletas!D578="Infantil 45kg",3,IF(Atletas!D578="Infantil 48kg",4,IF(Atletas!D578="Infantil 52kg",5,IF(Atletas!D578="Infantil 56kg",6,IF(Atletas!D578="Infantil 60kg",7,IF(Atletas!D578="Juvenil 48kg",8,IF(Atletas!D578="Juvenil 52kg",9,IF(Atletas!D578="Juvenil 56kg",10,IF(Atletas!D578="Juvenil 60kg",11,IF(Atletas!D578="Juvenil 65kg",12,IF(Atletas!D578="Juvenil 70kg",13,IF(Atletas!D578="Juvenil 75kg",14,IF(Atletas!D578="Juvenil 80kg",15,IF(Atletas!D578="Adulto 48kg",16,IF(Atletas!D578="Adulto 52kg",17,IF(Atletas!D578="Adulto 56kg",18,IF(Atletas!D578="Adulto 60kg",19,IF(Atletas!D578="Adulto 65kg",20,IF(Atletas!D578="Adulto 70kg",21,IF(Atletas!D578="Adulto 75kg",22,IF(Atletas!D578="Adulto 80kg",23,IF(Atletas!D578="Adulto 85kg",24,IF(Atletas!D578="Adulto 90kg",25,IF(Atletas!D578="Adulto +90kg",26,""))))))))))))))))))))))))))))</f>
        <v/>
      </c>
      <c r="AO582" s="10" t="str">
        <f>IF(Atletas!E578="","",IF(Atletas!B578="Feminino",100,IF(Atletas!B578="Masculino",200,""))+(IF(Atletas!E578="Juvenil 44kg",1,IF(Atletas!E578="Juvenil 48kg",2,IF(Atletas!E578="Juvenil 52kg",3,IF(Atletas!E578="Juvenil 56kg",4,IF(Atletas!E578="Juvenil 60kg",5,IF(Atletas!E578="Juvenil 65kg",6,IF(Atletas!E578="Juvenil 70kg",7,IF(Atletas!E578="Juvenil 75kg",8,IF(Atletas!E578="Juvenil 82kg",9,IF(Atletas!E578="Juvenil 90kg",10,IF(Atletas!E578="Juvenil 100kg",11,IF(Atletas!E578="Adulto 48kg",12,IF(Atletas!E578="Adulto 52kg",13,IF(Atletas!E578="Adulto 56kg",14,IF(Atletas!E578="Adulto 60kg",15,IF(Atletas!E578="Adulto 65kg",16,IF(Atletas!E578="Adulto 70kg",17,IF(Atletas!E578="Adulto 75kg",18,IF(Atletas!E578="Adulto 82kg",19,IF(Atletas!E578="Adulto 90kg",20,IF(Atletas!E578="Adulto 100kg",21,IF(Atletas!E578="Adulto +100kg",22,""))))))))))))))))))))))))</f>
        <v/>
      </c>
      <c r="AT582" s="10" t="str">
        <f>IF(Atletas!F578="","",IF(Atletas!B578="Feminino",100,IF(Atletas!B578="Masculino",200,""))+(IF(Atletas!F578="Adulto 48kg",1,IF(Atletas!F578="Adulto 56kg",2,IF(Atletas!F578="Adulto 65kg",3,IF(Atletas!F578="Adulto 75kg",4,IF(Atletas!F578="Adulto +75kg",5,IF(Atletas!F578="Adulto 52kg",6,IF(Atletas!F578="Adulto 60kg",7,IF(Atletas!F578="Adulto 70kg",8,IF(Atletas!F578="Adulto 80kg",9,IF(Atletas!F578="Adulto 90kg",10,IF(Atletas!F578="Adulto +90kg",11,"")))))))))))))</f>
        <v/>
      </c>
      <c r="AY582" s="46" t="str">
        <f>IF(Atletas!G578="","",IF(Atletas!B578="Feminino",100,IF(Atletas!B578="Masculino",200,""))+(IF(Atletas!G578="Changquan Mirim",1,IF(Atletas!G578="Nanquan Mirim",2,IF(Atletas!G578="Taijiquan Mirim",3,IF(Atletas!G578="Changquan Grupo C",4,IF(Atletas!G578="Nanquan Grupo C",5,IF(Atletas!G578="Taijiquan Grupo C",6,IF(Atletas!G578="Changquan Grupo B",7,IF(Atletas!G578="Nanquan Grupo B",8,IF(Atletas!G578="Taijiquan Grupo B",9,IF(Atletas!G578="Changquan Grupo A",10,IF(Atletas!G578="Nanquan Grupo A",11,IF(Atletas!G578="Taijiquan Grupo A",12,IF(Atletas!G578="Changquan Opcional",13,IF(Atletas!G578="Nanquan Opcional",14,IF(Atletas!G578="Taijiquan Opcional",15,IF(Atletas!G578="Changquan Adulto",16,IF(Atletas!G578="Nanquan Adulto",17,IF(Atletas!G578="Taijiquan Adulto",18,""))))))))))))))))))))</f>
        <v/>
      </c>
      <c r="AZ582" s="46" t="str">
        <f>IF(Atletas!H578="","",IF(Atletas!B578="Feminino",100,IF(Atletas!B578="Masculino",200,""))+(IF(Atletas!H578="Daoshu Mirim",19,IF(Atletas!H578="Jianshu Mirim",20,IF(Atletas!H578="Nandao Mirim",21,IF(Atletas!H578="Taijijian Mirim",22,IF(Atletas!H578="Daoshu Grupo C",23,IF(Atletas!H578="Jianshu Grupo C",24,IF(Atletas!H578="Nandao Grupo C",25,IF(Atletas!H578="Taijijian Grupo C",26,IF(Atletas!H578="Daoshu Grupo B",27,IF(Atletas!H578="Jianshu Grupo B",28,IF(Atletas!H578="Nandao Grupo B",29,IF(Atletas!H578="Taijijian Grupo B",30,IF(Atletas!H578="Daoshu Grupo A",31,IF(Atletas!H578="Jianshu Grupo A",32,IF(Atletas!H578="Nandao Grupo A",33,IF(Atletas!H578="Taijijian Grupo A",34,IF(Atletas!H578="Daoshu Opcional",35,IF(Atletas!H578="Jianshu Opcional",36,IF(Atletas!H578="Nandao Opcional",37,IF(Atletas!H578="Taijijian Opcional",38,IF(Atletas!H578="Daoshu Adulto",39,IF(Atletas!H578="Jianshu Adulto",40,IF(Atletas!H578="Nandao Adulto",41,IF(Atletas!H578="Taijijian Adulto",42,""))))))))))))))))))))))))))</f>
        <v/>
      </c>
      <c r="BA582" s="46" t="str">
        <f>IF(Atletas!I578="","",IF(Atletas!B578="Feminino",100,IF(Atletas!B578="Masculino",200,""))+(IF(Atletas!I578="Gunshu Mirim",43,IF(Atletas!I578="Qiangshu Mirim",44,IF(Atletas!I578="Nangun Mirim",45,IF(Atletas!I578="Gunshu Grupo C",46,IF(Atletas!I578="Qiangshu Grupo C",47,IF(Atletas!I578="Nangun Grupo C",48,IF(Atletas!I578="Gunshu Grupo B",49,IF(Atletas!I578="Qiangshu Grupo B",50,IF(Atletas!I578="Nangun Grupo B",51,IF(Atletas!I578="Gunshu Grupo A",52,IF(Atletas!I578="Qiangshu Grupo A",53,IF(Atletas!I578="Nangun Grupo A",54,IF(Atletas!I578="Gunshu Opcional",55,IF(Atletas!I578="Qiangshu Opcional",56,IF(Atletas!I578="Nangun Opcional",57,IF(Atletas!I578="Gunshu Adulto",58,IF(Atletas!I578="Qiangshu Adulto",59,IF(Atletas!I578="Nangun Adulto",60,""))))))))))))))))))))</f>
        <v/>
      </c>
      <c r="BF582" s="52" t="str">
        <f>IF(Atletas!J578="","",IF(Atletas!B578="Feminino",100,IF(Atletas!B578="Masculino",200,""))+(IF(Atletas!J578="Equipe 1 Grupo B",1,IF(Atletas!J578="Equipe 2 Grupo B",2,IF(Atletas!J578="Equipe 1 Grupo A",3,IF(Atletas!J578="Equipe 2 Grupo A",4,IF(Atletas!J578="Equipe 1 Adulto",5,IF(Atletas!J578="Equipe 2 Adulto",6,""))))))))</f>
        <v/>
      </c>
      <c r="BK582" s="52" t="str">
        <f>IF(Atletas!K578="","",IF(Atletas!W578&lt;&gt;"",10000,0)+(IF(Atletas!B578="Feminino",1000,IF(Atletas!B578="Masculino",2000,""))+IF(Atletas!K578="Choylayfut A",1,IF(Atletas!K578="Hunggar A",2,IF(Atletas!K578="Wuzuquan A",3,IF(Atletas!K578="Wingchun A",4,IF(Atletas!K578="Outra Mão de Sul A",5,IF(Atletas!K578="Choylayfut B",6,IF(Atletas!K578="Hunggar B",7,IF(Atletas!K578="Wuzuquan B",8,IF(Atletas!K578="Wingchun B",9,IF(Atletas!K578="Outra Mão de Sul B",10,IF(Atletas!K578="Choylayfut C",11,IF(Atletas!K578="Hunggar C",12,IF(Atletas!K578="Wuzuquan C",13,IF(Atletas!K578="Wingchun C",14,IF(Atletas!K578="Outra Mão de Sul C",15,IF(Atletas!K578="Choylayfut D",16,IF(Atletas!K578="Hunggar D",17,IF(Atletas!K578="Wuzuquan D",18,IF(Atletas!K578="Wingchun D",19,IF(Atletas!K578="Outra Mão de Sul D",20,IF(Atletas!K578="Choylayfut E",21,IF(Atletas!K578="Hunggar E",22,IF(Atletas!K578="Wuzuquan E",23,IF(Atletas!K578="Wingchun E",24,IF(Atletas!K578="Outra Mão de Sul E",25,IF(Atletas!K578="Choylayfut F",26,IF(Atletas!K578="Hunggar F",27,IF(Atletas!K578="Wuzuquan F",28,IF(Atletas!K578="Wingchun F",29,IF(Atletas!K578="Outra Mão de Sul F",30,""))))))))))))))))))))))))))))))))</f>
        <v/>
      </c>
      <c r="BL582" s="52" t="str">
        <f>IF(Atletas!L578="","",IF(Atletas!W578&lt;&gt;"",10000,0)+(IF(Atletas!B578="Feminino",1000,IF(Atletas!B578="Masculino",2000,""))+(IF(Atletas!L578="Chaquan A",101,IF(Atletas!L578="Emeiquan A",102,IF(Atletas!L578="Fanziquan A",103,IF(Atletas!L578="Huaquan A",104,IF(Atletas!L578="Hongquan A",105,IF(Atletas!L578="Paochui A",106,IF(Atletas!L578="Piguaquan A",107,IF(Atletas!L578="Shaolinquan A",108,IF(Atletas!L578="Tanglangquan A",109,IF(Atletas!L578="Yinzhaophai A",110,IF(Atletas!L578="Tongbeiquan A",111,IF(Atletas!L578="Wudangquan A",112,IF(Atletas!L578="Outros Estilos A",113,IF(Atletas!L578="Chaquan B",114,IF(Atletas!L578="Emeiquan B",115,IF(Atletas!L578="Fanziquan B",116,IF(Atletas!L578="Huaquan B",117,IF(Atletas!L578="Hongquan B",118,IF(Atletas!L578="Paochui B",119,IF(Atletas!L578="Piguaquan B",120,IF(Atletas!L578="Shaolinquan B",121,IF(Atletas!L578="Tanglangquan B",122,IF(Atletas!L578="Yinzhaophai B",123,IF(Atletas!L578="Tongbeiquan B",124,IF(Atletas!L578="Wudangquan B",125,IF(Atletas!L578="Outros Estilos B",126,IF(Atletas!L578="Chaquan C",127,IF(Atletas!L578="Emeiquan C",128,IF(Atletas!L578="Fanziquan C",129,IF(Atletas!L578="Huaquan C",130,IF(Atletas!L578="Hongquan C",131,IF(Atletas!L578="Paochui C",132,IF(Atletas!L578="Piguaquan C",133,IF(Atletas!L578="Shaolinquan C",134,IF(Atletas!L578="Tanglangquan C",135,IF(Atletas!L578="Yinzhaophai C",136,IF(Atletas!L578="Tongbeiquan C",137,IF(Atletas!L578="Wudangquan C",138,IF(Atletas!L578="Outros Estilos C",139,0))))))))))))))))))))))))))))))))))))))))))</f>
        <v/>
      </c>
      <c r="BM582" s="52" t="str">
        <f>IF(Atletas!L578="","",IF(Atletas!W578&lt;&gt;"",10000,0)+(IF(Atletas!B578="Feminino",1000,IF(Atletas!B578="Masculino",2000,""))+(IF(Atletas!L578="Chaquan D",140,IF(Atletas!L578="Emeiquan D",141,IF(Atletas!L578="Fanziquan D",142,IF(Atletas!L578="Huaquan D",143,IF(Atletas!L578="Hongquan D",144,IF(Atletas!L578="Paochui D",145,IF(Atletas!L578="Piguaquan D",146,IF(Atletas!L578="Shaolinquan D",147,IF(Atletas!L578="Tanglangquan D",148,IF(Atletas!L578="Yinzhaophai D",149,IF(Atletas!L578="Tongbeiquan D",150,IF(Atletas!L578="Wudangquan D",151,IF(Atletas!L578="Outros Estilos D",152,IF(Atletas!L578="Chaquan E",153,IF(Atletas!L578="Emeiquan E",154,IF(Atletas!L578="Fanziquan E",155,IF(Atletas!L578="Huaquan E",156,IF(Atletas!L578="Hongquan E",157,IF(Atletas!L578="Paochui E",158,IF(Atletas!L578="Piguaquan E",159,IF(Atletas!L578="Shaolinquan E",160,IF(Atletas!L578="Tanglangquan E",161,IF(Atletas!L578="Yinzhaophai E",162,IF(Atletas!L578="Tongbeiquan E",163,IF(Atletas!L578="Wudangquan E",164,IF(Atletas!L578="Outros Estilos E",165,IF(Atletas!L578="Chaquan F",166,IF(Atletas!L578="Emeiquan F",167,IF(Atletas!L578="Fanziquan F",168,IF(Atletas!L578="Huaquan F",169,IF(Atletas!L578="Hongquan F",170,IF(Atletas!L578="Paochui F",171,IF(Atletas!L578="Piguaquan F",172,IF(Atletas!L578="Shaolinquan F",173,IF(Atletas!L578="Tanglangquan F",174,IF(Atletas!L578="Yinzhaophai F",175,IF(Atletas!L578="Tongbeiquan F",176,IF(Atletas!L578="Wudangquan F",177,IF(Atletas!L578="Outros Estilos F",178,0))))))))))))))))))))))))))))))))))))))))))</f>
        <v/>
      </c>
      <c r="BN582" s="52" t="str">
        <f>IF(Atletas!M578="","",IF(Atletas!W578&lt;&gt;"",10000,0)+(IF(Atletas!B578="Feminino",1000,IF(Atletas!B578="Masculino",2000,""))+(IF(Atletas!M578="Ditangquan A",201,IF(Atletas!M578="Houquan A",202,IF(Atletas!M578="Zuiquan A",203,IF(Atletas!M578="Ditangquan B",204,IF(Atletas!M578="Houquan B",205,IF(Atletas!M578="Zuiquan B",206,IF(Atletas!M578="Ditangquan C",207,IF(Atletas!M578="Houquan C",208,IF(Atletas!M578="Zuiquan C",209,IF(Atletas!M578="Ditangquan D",210,IF(Atletas!M578="Houquan D",211,IF(Atletas!M578="Zuiquan D",212,IF(Atletas!M578="Ditangquan E",213,IF(Atletas!M578="Houquan E",214,IF(Atletas!M578="Zuiquan E",215,IF(Atletas!M578="Ditangquan F",216,IF(Atletas!M578="Houquan F",217,IF(Atletas!M578="Zuiquan F",218,"")))))))))))))))))))))</f>
        <v/>
      </c>
      <c r="BO582" s="52" t="str">
        <f>IF(Atletas!N578="","",IF(Atletas!W578&lt;&gt;"",10000,0)+IF(Atletas!B578="Feminino",1000,IF(Atletas!B578="Masculino",2000,""))+IF(Atletas!N578="Yang A",301,IF(Atletas!N578="Chen A",30,IF(Atletas!N578="Sun A",303,IF(Atletas!N578="Wu A",304,IF(Atletas!N578="Wu-Hao A",305,IF(Atletas!N578="Outro Taijiquan A",306,IF(Atletas!N578="Yang B",307,IF(Atletas!N578="Chen B",308,IF(Atletas!N578="Sun B",309,IF(Atletas!N578="Wu B",310,IF(Atletas!N578="Wu-Hao B",311,IF(Atletas!N578="Outro Taijiquan B",312,IF(Atletas!N578="Yang C",313,IF(Atletas!N578="Chen C",314,IF(Atletas!N578="Sun C",315,IF(Atletas!N578="Wu C",316,IF(Atletas!N578="Wu-Hao C",317,IF(Atletas!N578="Outro Taijiquan C",318,IF(Atletas!N578="Yang D",319,IF(Atletas!N578="Chen D",320,IF(Atletas!N578="Sun D",321,IF(Atletas!N578="Wu D",322,IF(Atletas!N578="Wu-Hao D",323,IF(Atletas!N578="Outro Taijiquan D",324,IF(Atletas!N578="Yang E",325,IF(Atletas!N578="Chen E",326,IF(Atletas!N578="Sun E",327,IF(Atletas!N578="Wu E",328,IF(Atletas!N578="Wu-Hao E",329,IF(Atletas!N578="Outro Taijiquan E",330,IF(Atletas!N578="Yang F",331,IF(Atletas!N578="Chen F",332,IF(Atletas!N578="Sun F",333,IF(Atletas!N578="Wu F",334,IF(Atletas!N578="Wu-Hao F",335,IF(Atletas!N578="Outro Taijiquan F",336,"")))))))))))))))))))))))))))))))))))))</f>
        <v/>
      </c>
      <c r="BP582" s="52" t="str">
        <f>IF(Atletas!O578="","",IF(Atletas!W578&lt;&gt;"",10000,0)+IF(Atletas!B578="Feminino",1000,IF(Atletas!B578="Masculino",2000,""))+IF(OR(Atletas!O578="Yang 26 A",Atletas!O578="Yang 40 A"),401,IF(OR(Atletas!O578="Chen 25 A",Atletas!O578="Chen 36 A",Atletas!O578="Chen 56 A"),402,IF(Atletas!O578="Sun 73 A",403,IF(Atletas!O578="Wu 45 A",404,IF(Atletas!O578="Wu-Hao 46 A",405,IF(OR(Atletas!O578="Taijiquan 16 A",Atletas!O578="Taijiquan 24 A",Atletas!O578="Taijiquan 32 A",Atletas!O578="Taijiquan 42 A"),406,IF(OR(Atletas!O578="Yang 26 B",Atletas!O578="Yang 40 B"),407,IF(OR(Atletas!O578="Chen 25 B",Atletas!O578="Chen 36 B",Atletas!O578="Chen 56 B"),408,IF(Atletas!O578="Sun 73 B",409,IF(Atletas!O578="Wu 45 B",410,IF(Atletas!O578="Wu-Hao 46 B",411,IF(OR(Atletas!O578="Taijiquan 16 B",Atletas!O578="Taijiquan 24 B",Atletas!O578="Taijiquan 32 B",Atletas!O578="Taijiquan 42 B"),412,IF(OR(Atletas!O578="Yang 26 C",Atletas!O578="Yang 40 C"),413,IF(OR(Atletas!O578="Chen 25 C",Atletas!O578="Chen 36 C",Atletas!O578="Chen 56 C"),414,IF(Atletas!O578="Sun 73 C",415,IF(Atletas!O578="Wu 45 C",416,IF(Atletas!O578="Wu-Hao 46 C",417,IF(OR(Atletas!O578="Taijiquan 16 C",Atletas!O578="Taijiquan 24 C",Atletas!O578="Taijiquan 32 C",Atletas!O578="Taijiquan 42 C"),418,0)))))))))))))))))))</f>
        <v/>
      </c>
      <c r="BQ582" s="52" t="str">
        <f>IF(Atletas!O578="","",IF(Atletas!W578&lt;&gt;"",10000,0)+IF(Atletas!B578="Feminino",1000,IF(Atletas!B578="Masculino",2000,""))+IF(OR(Atletas!O578="Yang 26 D",Atletas!O578="Yang 40 D"),419,IF(OR(Atletas!O578="Chen 25 D",Atletas!O578="Chen 36 D",Atletas!O578="Chen 56 D"),420,IF(Atletas!O578="Sun 73 D",421,IF(Atletas!O578="Wu 45 D",422,IF(Atletas!O578="Wu-Hao 46 D",423,IF(OR(Atletas!O578="Taijiquan 16 D",Atletas!O578="Taijiquan 24 D",Atletas!O578="Taijiquan 32 D",Atletas!O578="Taijiquan 42 D"),424,IF(OR(Atletas!O578="Yang 26 E",Atletas!O578="Yang 40 E"),425,IF(OR(Atletas!O578="Chen 25 E",Atletas!O578="Chen 36 E",Atletas!O578="Chen 56 E"),426,IF(Atletas!O578="Sun 73 E",427,IF(Atletas!O578="Wu 45 E",428,IF(Atletas!O578="Wu-Hao 46 E",429,IF(OR(Atletas!O578="Taijiquan 16 E",Atletas!O578="Taijiquan 24 E",Atletas!O578="Taijiquan 32 E",Atletas!O578="Taijiquan 42 E"),430,IF(OR(Atletas!O578="Yang 26 F",Atletas!O578="Yang 40 F"),431,IF(OR(Atletas!O578="Chen 25 F",Atletas!O578="Chen 36 F",Atletas!O578="Chen 56 F"),432,IF(Atletas!O578="Sun 73 F",433,IF(Atletas!O578="Wu 45 F",434,IF(Atletas!O578="Wu-Hao 46 F",435,IF(OR(Atletas!O578="Taijiquan 16 F",Atletas!O578="Taijiquan 24 F",Atletas!O578="Taijiquan 32 F",Atletas!O578="Taijiquan 42 F"),436,0)))))))))))))))))))</f>
        <v/>
      </c>
      <c r="BR582" s="52" t="str">
        <f>IF(Atletas!P578="","",IF(Atletas!W578&lt;&gt;"",10000,0)+IF(Atletas!B578="Feminino",1000,IF(Atletas!B578="Masculino",2000,""))+IF(Atletas!P578="Xingyiquan A",501,IF(Atletas!P578="Baguazhang A",502,IF(Atletas!P578="Outro Estilo Interno A",503,IF(Atletas!P578="Xingyiquan B",504,IF(Atletas!P578="Baguazhang B",505,IF(Atletas!P578="Outro Estilo Interno B",506,IF(Atletas!P578="Xingyiquan C",507,IF(Atletas!P578="Baguazhang C",508,IF(Atletas!P578="Outro Estilo Interno C",509,IF(Atletas!P578="Xingyiquan D",510,IF(Atletas!P578="Baguazhang D",511,IF(Atletas!P578="Outro Estilo Interno D",512,IF(Atletas!P578="Xingyiquan E",513,IF(Atletas!P578="Baguazhang E",514,IF(Atletas!P578="Outro Estilo Interno E",515,IF(Atletas!P578="Xingyiquan F",516,IF(Atletas!P578="Baguazhang F",517,IF(Atletas!P578="Outro Estilo Interno F",518, "")))))))))))))))))))</f>
        <v/>
      </c>
      <c r="BS582" s="52" t="str">
        <f>IF(Atletas!Q578="","",IF(Atletas!W578&lt;&gt;"",10000,0)+IF(Atletas!B578="Feminino",1000,IF(Atletas!B578="Masculino",2000,""))+IF(Atletas!Q578="Dao A",601,IF(Atletas!Q578="Jian A",602,IF(Atletas!Q578="Bishou A",603,IF(Atletas!Q578="Shan A",604,IF(Atletas!Q578="Outra Arma Curta A",605,IF(Atletas!Q578="Dao B",606,IF(Atletas!Q578="Jian B",607,IF(Atletas!Q578="Bishou B",608,IF(Atletas!Q578="Shan B",609,IF(Atletas!Q578="Outra Arma Curta B",610,IF(Atletas!Q578="Dao C",611,IF(Atletas!Q578="Jian C",612,IF(Atletas!Q578="Bishou C",613,IF(Atletas!Q578="Shan C",614,IF(Atletas!Q578="Outra Arma Curta C",615,IF(Atletas!Q578="Dao D",616,IF(Atletas!Q578="Jian D",617,IF(Atletas!Q578="Bishou D",618,IF(Atletas!Q578="Shan D",619,IF(Atletas!Q578="Outra Arma Curta D",620,IF(Atletas!Q578="Dao E",621,IF(Atletas!Q578="Jian E",622,IF(Atletas!Q578="Bishou E",623,IF(Atletas!Q578="Shan E",624,IF(Atletas!Q578="Outra Arma Curta E",625,IF(Atletas!Q578="Dao F",626,IF(Atletas!Q578="Jian F",627,IF(Atletas!Q578="Bishou F",628,IF(Atletas!Q578="Shan F",629,IF(Atletas!Q578="Outra Arma Curta F",630, "")))))))))))))))))))))))))))))))</f>
        <v/>
      </c>
      <c r="BT582" s="52" t="str">
        <f>IF(Atletas!R578="","",IF(Atletas!W578&lt;&gt;"",10000,0)+IF(Atletas!B578="Feminino",1000,IF(Atletas!B578="Masculino",2000,""))+IF(Atletas!R578="Gun A",701,IF(Atletas!R578="Qiang A",702,IF(Atletas!R578="Pudao / Guandao A",703,IF(Atletas!R578="Outra Arma Longa A",704,IF(Atletas!R578="Gun B",705,IF(Atletas!R578="Qiang B",706,IF(Atletas!R578="Pudao / Guandao B",707,IF(Atletas!R578="Outra Arma Longa B",708,IF(Atletas!R578="Gun C",709,IF(Atletas!R578="Qiang C",710,IF(Atletas!R578="Pudao / Guandao C",711,IF(Atletas!R578="Outra Arma Longa C",712,IF(Atletas!R578="Gun D",713,IF(Atletas!R578="Qiang D",714,IF(Atletas!R578="Pudao / Guandao D",715,IF(Atletas!R578="Outra Arma Longa D",716,IF(Atletas!R578="Gun E",717,IF(Atletas!R578="Qiang E",718,IF(Atletas!R578="Pudao / Guandao E",719,IF(Atletas!R578="Outra Arma Longa E",720,IF(Atletas!R578="Gun F",721,IF(Atletas!R578="Qiang F",722,IF(Atletas!R578="Pudao / Guandao F",723,IF(Atletas!R578="Outra Arma Longa F",724,"")))))))))))))))))))))))))</f>
        <v/>
      </c>
      <c r="BU582" s="52" t="str">
        <f>IF(Atletas!S578="","",IF(Atletas!W578&lt;&gt;"",10000,0)+IF(Atletas!B578="Feminino",1000,IF(Atletas!B578="Masculino",2000,""))+IF(Atletas!S578="Arma Dupla A",801,IF(Atletas!S578="Arma Maleável A",802,IF(Atletas!S578="Arma Dupla B",803,IF(Atletas!S578="Arma Maleável B",804,IF(Atletas!S578="Arma Dupla C",805,IF(Atletas!S578="Arma Maleável C",806,IF(Atletas!S578="Arma Dupla D",807,IF(Atletas!S578="Arma Maleável D",808,IF(Atletas!S578="Arma Dupla E",809,IF(Atletas!S578="Arma Maleável E",810,IF(Atletas!S578="Arma Dupla F",811,IF(Atletas!S578="Arma Maleável F",812, "")))))))))))))</f>
        <v/>
      </c>
      <c r="BV582" s="52" t="str">
        <f>IF(Atletas!T578="","",IF(Atletas!W578&lt;&gt;"",10000,0)+IF(Atletas!B578="Feminino",1000,IF(Atletas!B578="Masculino",2000,""))+IF(Atletas!T578="Taijijian Yang A",901,IF(Atletas!T578="Taijijian Chen A",902,IF(Atletas!T578="Taijijian Sun A",903,IF(Atletas!T578="Taijijian Wu A",904,IF(Atletas!T578="Taijijian Wu-Hao A",905,IF(Atletas!T578="Taijijian 32 A",906,IF(Atletas!T578="Taijijian 42 A",907,IF(Atletas!T578="Taijijian Yang B",908,IF(Atletas!T578="Taijijian Chen B",909,IF(Atletas!T578="Taijijian Sun B",910,IF(Atletas!T578="Taijijian Wu B",911,IF(Atletas!T578="Taijijian Wu-Hao B",912,IF(Atletas!T578="Taijijian 32 B",913,IF(Atletas!T578="Taijijian 42 B",914,IF(Atletas!T578="Taijijian Yang C",915,IF(Atletas!T578="Taijijian Chen C",916,IF(Atletas!T578="Taijijian Sun C",917,IF(Atletas!T578="Taijijian Wu C",918,IF(Atletas!T578="Taijijian Wu-Hao C",919,IF(Atletas!T578="Taijijian 32 C",920,IF(Atletas!T578="Taijijian 42 C",921,IF(Atletas!T578="Taijijian Yang D",922,IF(Atletas!T578="Taijijian Chen D",923,IF(Atletas!T578="Taijijian Sun D",924,IF(Atletas!T578="Taijijian Wu D",925,IF(Atletas!T578="Taijijian Wu-Hao D",926,IF(Atletas!T578="Taijijian 32 D",927,IF(Atletas!T578="Taijijian 42 D",928,IF(Atletas!T578="Taijijian Yang E",929,IF(Atletas!T578="Taijijian Chen E",930,IF(Atletas!T578="Taijijian Sun E",931,IF(Atletas!T578="Taijijian Wu E",932,IF(Atletas!T578="Taijijian Wu-Hao E",933,IF(Atletas!T578="Taijijian 32 E",934,IF(Atletas!T578="Taijijian 42 E",935,IF(Atletas!T578="Taijijian Yang F",936,IF(Atletas!T578="Taijijian Chen F",937,IF(Atletas!T578="Taijijian Sun F",938,IF(Atletas!T578="Taijijian Wu F",939,IF(Atletas!T578="Taijijian Wu-Hao F",940,IF(Atletas!T578="Taijijian 32 F",941,IF(Atletas!T578="Taijijian 42 F",942,"")))))))))))))))))))))))))))))))))))))))))))</f>
        <v/>
      </c>
      <c r="BW582" s="52" t="str">
        <f>IF(Atletas!U578="","",IF(Atletas!W578&lt;&gt;"",10000,0)+IF(Atletas!B578="Feminino",1000,IF(Atletas!B578="Masculino",2000,""))+IF(Atletas!T578="Taijijian 42 F",942,IF(Atletas!U578="Taijidao A",943,IF(Atletas!U578="Taijishan A",944,IF(Atletas!U578="Taijiqiang A",945,IF(Atletas!U578="Taijidao B",946,IF(Atletas!U578="Taijishan B",947,IF(Atletas!U578="Taijiqiang B",948,IF(Atletas!U578="Taijidao C",949,IF(Atletas!U578="Taijishan C",950,IF(Atletas!U578="Taijiqiang C",951,IF(Atletas!U578="Taijidao D",952,IF(Atletas!U578="Taijishan D",953,IF(Atletas!U578="Taijiqiang D",954,IF(Atletas!U578="Taijidao E",955,IF(Atletas!U578="Taijishan E",956,IF(Atletas!U578="Taijiqiang E",957,IF(Atletas!U578="Taijidao F",958,IF(Atletas!U578="Taijishan F",959,IF(Atletas!U578="Taijiqiang F",960))))))))))))))))))))</f>
        <v/>
      </c>
      <c r="CF582" s="52" t="str">
        <f xml:space="preserve"> IF(Atletas!V578="","",IF(Atletas!V578="Duilian de Mãos AB - Equipe 1",1,IF(Atletas!V578="Duilian de Mãos AB - Equipe 2",2,IF(Atletas!V578="Duilian de Armas AB - Equipe 1",3,IF(Atletas!V578="Duilian de Armas AB - Equipe 2",4,IF(Atletas!V578="Duilian de Tuishou - Equipe 1",5,IF(Atletas!V578="Duilian de Tuishou - Equipe 2",6,IF(Atletas!V578="Grupo Externo AB - Equipe 1",7,IF(Atletas!V578="Grupo Externo AB - Equipe 2",8,IF(Atletas!V578="Grupo Interno AB - Equipe 1",9,IF(Atletas!V578="Grupo Interno AB - Equipe 2",10,IF(Atletas!V578="Duilian de Mãos CD - Equipe 1",11,IF(Atletas!V578="Duilian de Mãos CD - Equipe 2",12,IF(Atletas!V578="Duilian de Armas CD - Equipe 1",13,IF(Atletas!V578="Duilian de Armas CD - Equipe 2",14,IF(Atletas!V578="Duilian de Tuishou - Equipe 1",15,IF(Atletas!V578="Duilian de Tuishou - Equipe 2",16,IF(Atletas!V578="Grupo Externo CDEF - Equipe 1",17,IF(Atletas!V578="Grupo Externo CDEF - Equipe 2",18,IF(Atletas!V578="Grupo Interno CDEF - Equipe 1",19,IF(Atletas!V578="Grupo Interno CDEF - Equipe 2",20,IF(Atletas!V578="Duilian de Mãos EF - Equipe 1",21,IF(Atletas!V578="Duilian de Mãos EF - Equipe 2",22,IF(Atletas!V578="Duilian de Armas EF - Equipe 1",23,IF(Atletas!V578="Duilian de Armas EF - Equipe 2",24,IF(Atletas!V578="Duilian de Tuishou - Equipe 1",25,IF(Atletas!V578="Duilian de Tuishou - Equipe 2",26,"")))))))))))))))))))))))))))</f>
        <v/>
      </c>
    </row>
    <row r="583" spans="36:84">
      <c r="AJ583" s="46" t="str">
        <f>IF(Atletas!D579="","",IF(Atletas!B579="Feminino",100,IF(Atletas!B579="Masculino",200,""))+(IF(Atletas!D579="Infantil 39kg",1,IF(Atletas!D579="Infantil 42kg",2,IF(Atletas!D579="Infantil 45kg",3,IF(Atletas!D579="Infantil 48kg",4,IF(Atletas!D579="Infantil 52kg",5,IF(Atletas!D579="Infantil 56kg",6,IF(Atletas!D579="Infantil 60kg",7,IF(Atletas!D579="Juvenil 48kg",8,IF(Atletas!D579="Juvenil 52kg",9,IF(Atletas!D579="Juvenil 56kg",10,IF(Atletas!D579="Juvenil 60kg",11,IF(Atletas!D579="Juvenil 65kg",12,IF(Atletas!D579="Juvenil 70kg",13,IF(Atletas!D579="Juvenil 75kg",14,IF(Atletas!D579="Juvenil 80kg",15,IF(Atletas!D579="Adulto 48kg",16,IF(Atletas!D579="Adulto 52kg",17,IF(Atletas!D579="Adulto 56kg",18,IF(Atletas!D579="Adulto 60kg",19,IF(Atletas!D579="Adulto 65kg",20,IF(Atletas!D579="Adulto 70kg",21,IF(Atletas!D579="Adulto 75kg",22,IF(Atletas!D579="Adulto 80kg",23,IF(Atletas!D579="Adulto 85kg",24,IF(Atletas!D579="Adulto 90kg",25,IF(Atletas!D579="Adulto +90kg",26,""))))))))))))))))))))))))))))</f>
        <v/>
      </c>
      <c r="AO583" s="10" t="str">
        <f>IF(Atletas!E579="","",IF(Atletas!B579="Feminino",100,IF(Atletas!B579="Masculino",200,""))+(IF(Atletas!E579="Juvenil 44kg",1,IF(Atletas!E579="Juvenil 48kg",2,IF(Atletas!E579="Juvenil 52kg",3,IF(Atletas!E579="Juvenil 56kg",4,IF(Atletas!E579="Juvenil 60kg",5,IF(Atletas!E579="Juvenil 65kg",6,IF(Atletas!E579="Juvenil 70kg",7,IF(Atletas!E579="Juvenil 75kg",8,IF(Atletas!E579="Juvenil 82kg",9,IF(Atletas!E579="Juvenil 90kg",10,IF(Atletas!E579="Juvenil 100kg",11,IF(Atletas!E579="Adulto 48kg",12,IF(Atletas!E579="Adulto 52kg",13,IF(Atletas!E579="Adulto 56kg",14,IF(Atletas!E579="Adulto 60kg",15,IF(Atletas!E579="Adulto 65kg",16,IF(Atletas!E579="Adulto 70kg",17,IF(Atletas!E579="Adulto 75kg",18,IF(Atletas!E579="Adulto 82kg",19,IF(Atletas!E579="Adulto 90kg",20,IF(Atletas!E579="Adulto 100kg",21,IF(Atletas!E579="Adulto +100kg",22,""))))))))))))))))))))))))</f>
        <v/>
      </c>
      <c r="AT583" s="10" t="str">
        <f>IF(Atletas!F579="","",IF(Atletas!B579="Feminino",100,IF(Atletas!B579="Masculino",200,""))+(IF(Atletas!F579="Adulto 48kg",1,IF(Atletas!F579="Adulto 56kg",2,IF(Atletas!F579="Adulto 65kg",3,IF(Atletas!F579="Adulto 75kg",4,IF(Atletas!F579="Adulto +75kg",5,IF(Atletas!F579="Adulto 52kg",6,IF(Atletas!F579="Adulto 60kg",7,IF(Atletas!F579="Adulto 70kg",8,IF(Atletas!F579="Adulto 80kg",9,IF(Atletas!F579="Adulto 90kg",10,IF(Atletas!F579="Adulto +90kg",11,"")))))))))))))</f>
        <v/>
      </c>
      <c r="AY583" s="46" t="str">
        <f>IF(Atletas!G579="","",IF(Atletas!B579="Feminino",100,IF(Atletas!B579="Masculino",200,""))+(IF(Atletas!G579="Changquan Mirim",1,IF(Atletas!G579="Nanquan Mirim",2,IF(Atletas!G579="Taijiquan Mirim",3,IF(Atletas!G579="Changquan Grupo C",4,IF(Atletas!G579="Nanquan Grupo C",5,IF(Atletas!G579="Taijiquan Grupo C",6,IF(Atletas!G579="Changquan Grupo B",7,IF(Atletas!G579="Nanquan Grupo B",8,IF(Atletas!G579="Taijiquan Grupo B",9,IF(Atletas!G579="Changquan Grupo A",10,IF(Atletas!G579="Nanquan Grupo A",11,IF(Atletas!G579="Taijiquan Grupo A",12,IF(Atletas!G579="Changquan Opcional",13,IF(Atletas!G579="Nanquan Opcional",14,IF(Atletas!G579="Taijiquan Opcional",15,IF(Atletas!G579="Changquan Adulto",16,IF(Atletas!G579="Nanquan Adulto",17,IF(Atletas!G579="Taijiquan Adulto",18,""))))))))))))))))))))</f>
        <v/>
      </c>
      <c r="AZ583" s="46" t="str">
        <f>IF(Atletas!H579="","",IF(Atletas!B579="Feminino",100,IF(Atletas!B579="Masculino",200,""))+(IF(Atletas!H579="Daoshu Mirim",19,IF(Atletas!H579="Jianshu Mirim",20,IF(Atletas!H579="Nandao Mirim",21,IF(Atletas!H579="Taijijian Mirim",22,IF(Atletas!H579="Daoshu Grupo C",23,IF(Atletas!H579="Jianshu Grupo C",24,IF(Atletas!H579="Nandao Grupo C",25,IF(Atletas!H579="Taijijian Grupo C",26,IF(Atletas!H579="Daoshu Grupo B",27,IF(Atletas!H579="Jianshu Grupo B",28,IF(Atletas!H579="Nandao Grupo B",29,IF(Atletas!H579="Taijijian Grupo B",30,IF(Atletas!H579="Daoshu Grupo A",31,IF(Atletas!H579="Jianshu Grupo A",32,IF(Atletas!H579="Nandao Grupo A",33,IF(Atletas!H579="Taijijian Grupo A",34,IF(Atletas!H579="Daoshu Opcional",35,IF(Atletas!H579="Jianshu Opcional",36,IF(Atletas!H579="Nandao Opcional",37,IF(Atletas!H579="Taijijian Opcional",38,IF(Atletas!H579="Daoshu Adulto",39,IF(Atletas!H579="Jianshu Adulto",40,IF(Atletas!H579="Nandao Adulto",41,IF(Atletas!H579="Taijijian Adulto",42,""))))))))))))))))))))))))))</f>
        <v/>
      </c>
      <c r="BA583" s="46" t="str">
        <f>IF(Atletas!I579="","",IF(Atletas!B579="Feminino",100,IF(Atletas!B579="Masculino",200,""))+(IF(Atletas!I579="Gunshu Mirim",43,IF(Atletas!I579="Qiangshu Mirim",44,IF(Atletas!I579="Nangun Mirim",45,IF(Atletas!I579="Gunshu Grupo C",46,IF(Atletas!I579="Qiangshu Grupo C",47,IF(Atletas!I579="Nangun Grupo C",48,IF(Atletas!I579="Gunshu Grupo B",49,IF(Atletas!I579="Qiangshu Grupo B",50,IF(Atletas!I579="Nangun Grupo B",51,IF(Atletas!I579="Gunshu Grupo A",52,IF(Atletas!I579="Qiangshu Grupo A",53,IF(Atletas!I579="Nangun Grupo A",54,IF(Atletas!I579="Gunshu Opcional",55,IF(Atletas!I579="Qiangshu Opcional",56,IF(Atletas!I579="Nangun Opcional",57,IF(Atletas!I579="Gunshu Adulto",58,IF(Atletas!I579="Qiangshu Adulto",59,IF(Atletas!I579="Nangun Adulto",60,""))))))))))))))))))))</f>
        <v/>
      </c>
      <c r="BF583" s="52" t="str">
        <f>IF(Atletas!J579="","",IF(Atletas!B579="Feminino",100,IF(Atletas!B579="Masculino",200,""))+(IF(Atletas!J579="Equipe 1 Grupo B",1,IF(Atletas!J579="Equipe 2 Grupo B",2,IF(Atletas!J579="Equipe 1 Grupo A",3,IF(Atletas!J579="Equipe 2 Grupo A",4,IF(Atletas!J579="Equipe 1 Adulto",5,IF(Atletas!J579="Equipe 2 Adulto",6,""))))))))</f>
        <v/>
      </c>
      <c r="BK583" s="52" t="str">
        <f>IF(Atletas!K579="","",IF(Atletas!W579&lt;&gt;"",10000,0)+(IF(Atletas!B579="Feminino",1000,IF(Atletas!B579="Masculino",2000,""))+IF(Atletas!K579="Choylayfut A",1,IF(Atletas!K579="Hunggar A",2,IF(Atletas!K579="Wuzuquan A",3,IF(Atletas!K579="Wingchun A",4,IF(Atletas!K579="Outra Mão de Sul A",5,IF(Atletas!K579="Choylayfut B",6,IF(Atletas!K579="Hunggar B",7,IF(Atletas!K579="Wuzuquan B",8,IF(Atletas!K579="Wingchun B",9,IF(Atletas!K579="Outra Mão de Sul B",10,IF(Atletas!K579="Choylayfut C",11,IF(Atletas!K579="Hunggar C",12,IF(Atletas!K579="Wuzuquan C",13,IF(Atletas!K579="Wingchun C",14,IF(Atletas!K579="Outra Mão de Sul C",15,IF(Atletas!K579="Choylayfut D",16,IF(Atletas!K579="Hunggar D",17,IF(Atletas!K579="Wuzuquan D",18,IF(Atletas!K579="Wingchun D",19,IF(Atletas!K579="Outra Mão de Sul D",20,IF(Atletas!K579="Choylayfut E",21,IF(Atletas!K579="Hunggar E",22,IF(Atletas!K579="Wuzuquan E",23,IF(Atletas!K579="Wingchun E",24,IF(Atletas!K579="Outra Mão de Sul E",25,IF(Atletas!K579="Choylayfut F",26,IF(Atletas!K579="Hunggar F",27,IF(Atletas!K579="Wuzuquan F",28,IF(Atletas!K579="Wingchun F",29,IF(Atletas!K579="Outra Mão de Sul F",30,""))))))))))))))))))))))))))))))))</f>
        <v/>
      </c>
      <c r="BL583" s="52" t="str">
        <f>IF(Atletas!L579="","",IF(Atletas!W579&lt;&gt;"",10000,0)+(IF(Atletas!B579="Feminino",1000,IF(Atletas!B579="Masculino",2000,""))+(IF(Atletas!L579="Chaquan A",101,IF(Atletas!L579="Emeiquan A",102,IF(Atletas!L579="Fanziquan A",103,IF(Atletas!L579="Huaquan A",104,IF(Atletas!L579="Hongquan A",105,IF(Atletas!L579="Paochui A",106,IF(Atletas!L579="Piguaquan A",107,IF(Atletas!L579="Shaolinquan A",108,IF(Atletas!L579="Tanglangquan A",109,IF(Atletas!L579="Yinzhaophai A",110,IF(Atletas!L579="Tongbeiquan A",111,IF(Atletas!L579="Wudangquan A",112,IF(Atletas!L579="Outros Estilos A",113,IF(Atletas!L579="Chaquan B",114,IF(Atletas!L579="Emeiquan B",115,IF(Atletas!L579="Fanziquan B",116,IF(Atletas!L579="Huaquan B",117,IF(Atletas!L579="Hongquan B",118,IF(Atletas!L579="Paochui B",119,IF(Atletas!L579="Piguaquan B",120,IF(Atletas!L579="Shaolinquan B",121,IF(Atletas!L579="Tanglangquan B",122,IF(Atletas!L579="Yinzhaophai B",123,IF(Atletas!L579="Tongbeiquan B",124,IF(Atletas!L579="Wudangquan B",125,IF(Atletas!L579="Outros Estilos B",126,IF(Atletas!L579="Chaquan C",127,IF(Atletas!L579="Emeiquan C",128,IF(Atletas!L579="Fanziquan C",129,IF(Atletas!L579="Huaquan C",130,IF(Atletas!L579="Hongquan C",131,IF(Atletas!L579="Paochui C",132,IF(Atletas!L579="Piguaquan C",133,IF(Atletas!L579="Shaolinquan C",134,IF(Atletas!L579="Tanglangquan C",135,IF(Atletas!L579="Yinzhaophai C",136,IF(Atletas!L579="Tongbeiquan C",137,IF(Atletas!L579="Wudangquan C",138,IF(Atletas!L579="Outros Estilos C",139,0))))))))))))))))))))))))))))))))))))))))))</f>
        <v/>
      </c>
      <c r="BM583" s="52" t="str">
        <f>IF(Atletas!L579="","",IF(Atletas!W579&lt;&gt;"",10000,0)+(IF(Atletas!B579="Feminino",1000,IF(Atletas!B579="Masculino",2000,""))+(IF(Atletas!L579="Chaquan D",140,IF(Atletas!L579="Emeiquan D",141,IF(Atletas!L579="Fanziquan D",142,IF(Atletas!L579="Huaquan D",143,IF(Atletas!L579="Hongquan D",144,IF(Atletas!L579="Paochui D",145,IF(Atletas!L579="Piguaquan D",146,IF(Atletas!L579="Shaolinquan D",147,IF(Atletas!L579="Tanglangquan D",148,IF(Atletas!L579="Yinzhaophai D",149,IF(Atletas!L579="Tongbeiquan D",150,IF(Atletas!L579="Wudangquan D",151,IF(Atletas!L579="Outros Estilos D",152,IF(Atletas!L579="Chaquan E",153,IF(Atletas!L579="Emeiquan E",154,IF(Atletas!L579="Fanziquan E",155,IF(Atletas!L579="Huaquan E",156,IF(Atletas!L579="Hongquan E",157,IF(Atletas!L579="Paochui E",158,IF(Atletas!L579="Piguaquan E",159,IF(Atletas!L579="Shaolinquan E",160,IF(Atletas!L579="Tanglangquan E",161,IF(Atletas!L579="Yinzhaophai E",162,IF(Atletas!L579="Tongbeiquan E",163,IF(Atletas!L579="Wudangquan E",164,IF(Atletas!L579="Outros Estilos E",165,IF(Atletas!L579="Chaquan F",166,IF(Atletas!L579="Emeiquan F",167,IF(Atletas!L579="Fanziquan F",168,IF(Atletas!L579="Huaquan F",169,IF(Atletas!L579="Hongquan F",170,IF(Atletas!L579="Paochui F",171,IF(Atletas!L579="Piguaquan F",172,IF(Atletas!L579="Shaolinquan F",173,IF(Atletas!L579="Tanglangquan F",174,IF(Atletas!L579="Yinzhaophai F",175,IF(Atletas!L579="Tongbeiquan F",176,IF(Atletas!L579="Wudangquan F",177,IF(Atletas!L579="Outros Estilos F",178,0))))))))))))))))))))))))))))))))))))))))))</f>
        <v/>
      </c>
      <c r="BN583" s="52" t="str">
        <f>IF(Atletas!M579="","",IF(Atletas!W579&lt;&gt;"",10000,0)+(IF(Atletas!B579="Feminino",1000,IF(Atletas!B579="Masculino",2000,""))+(IF(Atletas!M579="Ditangquan A",201,IF(Atletas!M579="Houquan A",202,IF(Atletas!M579="Zuiquan A",203,IF(Atletas!M579="Ditangquan B",204,IF(Atletas!M579="Houquan B",205,IF(Atletas!M579="Zuiquan B",206,IF(Atletas!M579="Ditangquan C",207,IF(Atletas!M579="Houquan C",208,IF(Atletas!M579="Zuiquan C",209,IF(Atletas!M579="Ditangquan D",210,IF(Atletas!M579="Houquan D",211,IF(Atletas!M579="Zuiquan D",212,IF(Atletas!M579="Ditangquan E",213,IF(Atletas!M579="Houquan E",214,IF(Atletas!M579="Zuiquan E",215,IF(Atletas!M579="Ditangquan F",216,IF(Atletas!M579="Houquan F",217,IF(Atletas!M579="Zuiquan F",218,"")))))))))))))))))))))</f>
        <v/>
      </c>
      <c r="BO583" s="52" t="str">
        <f>IF(Atletas!N579="","",IF(Atletas!W579&lt;&gt;"",10000,0)+IF(Atletas!B579="Feminino",1000,IF(Atletas!B579="Masculino",2000,""))+IF(Atletas!N579="Yang A",301,IF(Atletas!N579="Chen A",30,IF(Atletas!N579="Sun A",303,IF(Atletas!N579="Wu A",304,IF(Atletas!N579="Wu-Hao A",305,IF(Atletas!N579="Outro Taijiquan A",306,IF(Atletas!N579="Yang B",307,IF(Atletas!N579="Chen B",308,IF(Atletas!N579="Sun B",309,IF(Atletas!N579="Wu B",310,IF(Atletas!N579="Wu-Hao B",311,IF(Atletas!N579="Outro Taijiquan B",312,IF(Atletas!N579="Yang C",313,IF(Atletas!N579="Chen C",314,IF(Atletas!N579="Sun C",315,IF(Atletas!N579="Wu C",316,IF(Atletas!N579="Wu-Hao C",317,IF(Atletas!N579="Outro Taijiquan C",318,IF(Atletas!N579="Yang D",319,IF(Atletas!N579="Chen D",320,IF(Atletas!N579="Sun D",321,IF(Atletas!N579="Wu D",322,IF(Atletas!N579="Wu-Hao D",323,IF(Atletas!N579="Outro Taijiquan D",324,IF(Atletas!N579="Yang E",325,IF(Atletas!N579="Chen E",326,IF(Atletas!N579="Sun E",327,IF(Atletas!N579="Wu E",328,IF(Atletas!N579="Wu-Hao E",329,IF(Atletas!N579="Outro Taijiquan E",330,IF(Atletas!N579="Yang F",331,IF(Atletas!N579="Chen F",332,IF(Atletas!N579="Sun F",333,IF(Atletas!N579="Wu F",334,IF(Atletas!N579="Wu-Hao F",335,IF(Atletas!N579="Outro Taijiquan F",336,"")))))))))))))))))))))))))))))))))))))</f>
        <v/>
      </c>
      <c r="BP583" s="52" t="str">
        <f>IF(Atletas!O579="","",IF(Atletas!W579&lt;&gt;"",10000,0)+IF(Atletas!B579="Feminino",1000,IF(Atletas!B579="Masculino",2000,""))+IF(OR(Atletas!O579="Yang 26 A",Atletas!O579="Yang 40 A"),401,IF(OR(Atletas!O579="Chen 25 A",Atletas!O579="Chen 36 A",Atletas!O579="Chen 56 A"),402,IF(Atletas!O579="Sun 73 A",403,IF(Atletas!O579="Wu 45 A",404,IF(Atletas!O579="Wu-Hao 46 A",405,IF(OR(Atletas!O579="Taijiquan 16 A",Atletas!O579="Taijiquan 24 A",Atletas!O579="Taijiquan 32 A",Atletas!O579="Taijiquan 42 A"),406,IF(OR(Atletas!O579="Yang 26 B",Atletas!O579="Yang 40 B"),407,IF(OR(Atletas!O579="Chen 25 B",Atletas!O579="Chen 36 B",Atletas!O579="Chen 56 B"),408,IF(Atletas!O579="Sun 73 B",409,IF(Atletas!O579="Wu 45 B",410,IF(Atletas!O579="Wu-Hao 46 B",411,IF(OR(Atletas!O579="Taijiquan 16 B",Atletas!O579="Taijiquan 24 B",Atletas!O579="Taijiquan 32 B",Atletas!O579="Taijiquan 42 B"),412,IF(OR(Atletas!O579="Yang 26 C",Atletas!O579="Yang 40 C"),413,IF(OR(Atletas!O579="Chen 25 C",Atletas!O579="Chen 36 C",Atletas!O579="Chen 56 C"),414,IF(Atletas!O579="Sun 73 C",415,IF(Atletas!O579="Wu 45 C",416,IF(Atletas!O579="Wu-Hao 46 C",417,IF(OR(Atletas!O579="Taijiquan 16 C",Atletas!O579="Taijiquan 24 C",Atletas!O579="Taijiquan 32 C",Atletas!O579="Taijiquan 42 C"),418,0)))))))))))))))))))</f>
        <v/>
      </c>
      <c r="BQ583" s="52" t="str">
        <f>IF(Atletas!O579="","",IF(Atletas!W579&lt;&gt;"",10000,0)+IF(Atletas!B579="Feminino",1000,IF(Atletas!B579="Masculino",2000,""))+IF(OR(Atletas!O579="Yang 26 D",Atletas!O579="Yang 40 D"),419,IF(OR(Atletas!O579="Chen 25 D",Atletas!O579="Chen 36 D",Atletas!O579="Chen 56 D"),420,IF(Atletas!O579="Sun 73 D",421,IF(Atletas!O579="Wu 45 D",422,IF(Atletas!O579="Wu-Hao 46 D",423,IF(OR(Atletas!O579="Taijiquan 16 D",Atletas!O579="Taijiquan 24 D",Atletas!O579="Taijiquan 32 D",Atletas!O579="Taijiquan 42 D"),424,IF(OR(Atletas!O579="Yang 26 E",Atletas!O579="Yang 40 E"),425,IF(OR(Atletas!O579="Chen 25 E",Atletas!O579="Chen 36 E",Atletas!O579="Chen 56 E"),426,IF(Atletas!O579="Sun 73 E",427,IF(Atletas!O579="Wu 45 E",428,IF(Atletas!O579="Wu-Hao 46 E",429,IF(OR(Atletas!O579="Taijiquan 16 E",Atletas!O579="Taijiquan 24 E",Atletas!O579="Taijiquan 32 E",Atletas!O579="Taijiquan 42 E"),430,IF(OR(Atletas!O579="Yang 26 F",Atletas!O579="Yang 40 F"),431,IF(OR(Atletas!O579="Chen 25 F",Atletas!O579="Chen 36 F",Atletas!O579="Chen 56 F"),432,IF(Atletas!O579="Sun 73 F",433,IF(Atletas!O579="Wu 45 F",434,IF(Atletas!O579="Wu-Hao 46 F",435,IF(OR(Atletas!O579="Taijiquan 16 F",Atletas!O579="Taijiquan 24 F",Atletas!O579="Taijiquan 32 F",Atletas!O579="Taijiquan 42 F"),436,0)))))))))))))))))))</f>
        <v/>
      </c>
      <c r="BR583" s="52" t="str">
        <f>IF(Atletas!P579="","",IF(Atletas!W579&lt;&gt;"",10000,0)+IF(Atletas!B579="Feminino",1000,IF(Atletas!B579="Masculino",2000,""))+IF(Atletas!P579="Xingyiquan A",501,IF(Atletas!P579="Baguazhang A",502,IF(Atletas!P579="Outro Estilo Interno A",503,IF(Atletas!P579="Xingyiquan B",504,IF(Atletas!P579="Baguazhang B",505,IF(Atletas!P579="Outro Estilo Interno B",506,IF(Atletas!P579="Xingyiquan C",507,IF(Atletas!P579="Baguazhang C",508,IF(Atletas!P579="Outro Estilo Interno C",509,IF(Atletas!P579="Xingyiquan D",510,IF(Atletas!P579="Baguazhang D",511,IF(Atletas!P579="Outro Estilo Interno D",512,IF(Atletas!P579="Xingyiquan E",513,IF(Atletas!P579="Baguazhang E",514,IF(Atletas!P579="Outro Estilo Interno E",515,IF(Atletas!P579="Xingyiquan F",516,IF(Atletas!P579="Baguazhang F",517,IF(Atletas!P579="Outro Estilo Interno F",518, "")))))))))))))))))))</f>
        <v/>
      </c>
      <c r="BS583" s="52" t="str">
        <f>IF(Atletas!Q579="","",IF(Atletas!W579&lt;&gt;"",10000,0)+IF(Atletas!B579="Feminino",1000,IF(Atletas!B579="Masculino",2000,""))+IF(Atletas!Q579="Dao A",601,IF(Atletas!Q579="Jian A",602,IF(Atletas!Q579="Bishou A",603,IF(Atletas!Q579="Shan A",604,IF(Atletas!Q579="Outra Arma Curta A",605,IF(Atletas!Q579="Dao B",606,IF(Atletas!Q579="Jian B",607,IF(Atletas!Q579="Bishou B",608,IF(Atletas!Q579="Shan B",609,IF(Atletas!Q579="Outra Arma Curta B",610,IF(Atletas!Q579="Dao C",611,IF(Atletas!Q579="Jian C",612,IF(Atletas!Q579="Bishou C",613,IF(Atletas!Q579="Shan C",614,IF(Atletas!Q579="Outra Arma Curta C",615,IF(Atletas!Q579="Dao D",616,IF(Atletas!Q579="Jian D",617,IF(Atletas!Q579="Bishou D",618,IF(Atletas!Q579="Shan D",619,IF(Atletas!Q579="Outra Arma Curta D",620,IF(Atletas!Q579="Dao E",621,IF(Atletas!Q579="Jian E",622,IF(Atletas!Q579="Bishou E",623,IF(Atletas!Q579="Shan E",624,IF(Atletas!Q579="Outra Arma Curta E",625,IF(Atletas!Q579="Dao F",626,IF(Atletas!Q579="Jian F",627,IF(Atletas!Q579="Bishou F",628,IF(Atletas!Q579="Shan F",629,IF(Atletas!Q579="Outra Arma Curta F",630, "")))))))))))))))))))))))))))))))</f>
        <v/>
      </c>
      <c r="BT583" s="52" t="str">
        <f>IF(Atletas!R579="","",IF(Atletas!W579&lt;&gt;"",10000,0)+IF(Atletas!B579="Feminino",1000,IF(Atletas!B579="Masculino",2000,""))+IF(Atletas!R579="Gun A",701,IF(Atletas!R579="Qiang A",702,IF(Atletas!R579="Pudao / Guandao A",703,IF(Atletas!R579="Outra Arma Longa A",704,IF(Atletas!R579="Gun B",705,IF(Atletas!R579="Qiang B",706,IF(Atletas!R579="Pudao / Guandao B",707,IF(Atletas!R579="Outra Arma Longa B",708,IF(Atletas!R579="Gun C",709,IF(Atletas!R579="Qiang C",710,IF(Atletas!R579="Pudao / Guandao C",711,IF(Atletas!R579="Outra Arma Longa C",712,IF(Atletas!R579="Gun D",713,IF(Atletas!R579="Qiang D",714,IF(Atletas!R579="Pudao / Guandao D",715,IF(Atletas!R579="Outra Arma Longa D",716,IF(Atletas!R579="Gun E",717,IF(Atletas!R579="Qiang E",718,IF(Atletas!R579="Pudao / Guandao E",719,IF(Atletas!R579="Outra Arma Longa E",720,IF(Atletas!R579="Gun F",721,IF(Atletas!R579="Qiang F",722,IF(Atletas!R579="Pudao / Guandao F",723,IF(Atletas!R579="Outra Arma Longa F",724,"")))))))))))))))))))))))))</f>
        <v/>
      </c>
      <c r="BU583" s="52" t="str">
        <f>IF(Atletas!S579="","",IF(Atletas!W579&lt;&gt;"",10000,0)+IF(Atletas!B579="Feminino",1000,IF(Atletas!B579="Masculino",2000,""))+IF(Atletas!S579="Arma Dupla A",801,IF(Atletas!S579="Arma Maleável A",802,IF(Atletas!S579="Arma Dupla B",803,IF(Atletas!S579="Arma Maleável B",804,IF(Atletas!S579="Arma Dupla C",805,IF(Atletas!S579="Arma Maleável C",806,IF(Atletas!S579="Arma Dupla D",807,IF(Atletas!S579="Arma Maleável D",808,IF(Atletas!S579="Arma Dupla E",809,IF(Atletas!S579="Arma Maleável E",810,IF(Atletas!S579="Arma Dupla F",811,IF(Atletas!S579="Arma Maleável F",812, "")))))))))))))</f>
        <v/>
      </c>
      <c r="BV583" s="52" t="str">
        <f>IF(Atletas!T579="","",IF(Atletas!W579&lt;&gt;"",10000,0)+IF(Atletas!B579="Feminino",1000,IF(Atletas!B579="Masculino",2000,""))+IF(Atletas!T579="Taijijian Yang A",901,IF(Atletas!T579="Taijijian Chen A",902,IF(Atletas!T579="Taijijian Sun A",903,IF(Atletas!T579="Taijijian Wu A",904,IF(Atletas!T579="Taijijian Wu-Hao A",905,IF(Atletas!T579="Taijijian 32 A",906,IF(Atletas!T579="Taijijian 42 A",907,IF(Atletas!T579="Taijijian Yang B",908,IF(Atletas!T579="Taijijian Chen B",909,IF(Atletas!T579="Taijijian Sun B",910,IF(Atletas!T579="Taijijian Wu B",911,IF(Atletas!T579="Taijijian Wu-Hao B",912,IF(Atletas!T579="Taijijian 32 B",913,IF(Atletas!T579="Taijijian 42 B",914,IF(Atletas!T579="Taijijian Yang C",915,IF(Atletas!T579="Taijijian Chen C",916,IF(Atletas!T579="Taijijian Sun C",917,IF(Atletas!T579="Taijijian Wu C",918,IF(Atletas!T579="Taijijian Wu-Hao C",919,IF(Atletas!T579="Taijijian 32 C",920,IF(Atletas!T579="Taijijian 42 C",921,IF(Atletas!T579="Taijijian Yang D",922,IF(Atletas!T579="Taijijian Chen D",923,IF(Atletas!T579="Taijijian Sun D",924,IF(Atletas!T579="Taijijian Wu D",925,IF(Atletas!T579="Taijijian Wu-Hao D",926,IF(Atletas!T579="Taijijian 32 D",927,IF(Atletas!T579="Taijijian 42 D",928,IF(Atletas!T579="Taijijian Yang E",929,IF(Atletas!T579="Taijijian Chen E",930,IF(Atletas!T579="Taijijian Sun E",931,IF(Atletas!T579="Taijijian Wu E",932,IF(Atletas!T579="Taijijian Wu-Hao E",933,IF(Atletas!T579="Taijijian 32 E",934,IF(Atletas!T579="Taijijian 42 E",935,IF(Atletas!T579="Taijijian Yang F",936,IF(Atletas!T579="Taijijian Chen F",937,IF(Atletas!T579="Taijijian Sun F",938,IF(Atletas!T579="Taijijian Wu F",939,IF(Atletas!T579="Taijijian Wu-Hao F",940,IF(Atletas!T579="Taijijian 32 F",941,IF(Atletas!T579="Taijijian 42 F",942,"")))))))))))))))))))))))))))))))))))))))))))</f>
        <v/>
      </c>
      <c r="BW583" s="52" t="str">
        <f>IF(Atletas!U579="","",IF(Atletas!W579&lt;&gt;"",10000,0)+IF(Atletas!B579="Feminino",1000,IF(Atletas!B579="Masculino",2000,""))+IF(Atletas!T579="Taijijian 42 F",942,IF(Atletas!U579="Taijidao A",943,IF(Atletas!U579="Taijishan A",944,IF(Atletas!U579="Taijiqiang A",945,IF(Atletas!U579="Taijidao B",946,IF(Atletas!U579="Taijishan B",947,IF(Atletas!U579="Taijiqiang B",948,IF(Atletas!U579="Taijidao C",949,IF(Atletas!U579="Taijishan C",950,IF(Atletas!U579="Taijiqiang C",951,IF(Atletas!U579="Taijidao D",952,IF(Atletas!U579="Taijishan D",953,IF(Atletas!U579="Taijiqiang D",954,IF(Atletas!U579="Taijidao E",955,IF(Atletas!U579="Taijishan E",956,IF(Atletas!U579="Taijiqiang E",957,IF(Atletas!U579="Taijidao F",958,IF(Atletas!U579="Taijishan F",959,IF(Atletas!U579="Taijiqiang F",960))))))))))))))))))))</f>
        <v/>
      </c>
      <c r="CF583" s="52" t="str">
        <f xml:space="preserve"> IF(Atletas!V579="","",IF(Atletas!V579="Duilian de Mãos AB - Equipe 1",1,IF(Atletas!V579="Duilian de Mãos AB - Equipe 2",2,IF(Atletas!V579="Duilian de Armas AB - Equipe 1",3,IF(Atletas!V579="Duilian de Armas AB - Equipe 2",4,IF(Atletas!V579="Duilian de Tuishou - Equipe 1",5,IF(Atletas!V579="Duilian de Tuishou - Equipe 2",6,IF(Atletas!V579="Grupo Externo AB - Equipe 1",7,IF(Atletas!V579="Grupo Externo AB - Equipe 2",8,IF(Atletas!V579="Grupo Interno AB - Equipe 1",9,IF(Atletas!V579="Grupo Interno AB - Equipe 2",10,IF(Atletas!V579="Duilian de Mãos CD - Equipe 1",11,IF(Atletas!V579="Duilian de Mãos CD - Equipe 2",12,IF(Atletas!V579="Duilian de Armas CD - Equipe 1",13,IF(Atletas!V579="Duilian de Armas CD - Equipe 2",14,IF(Atletas!V579="Duilian de Tuishou - Equipe 1",15,IF(Atletas!V579="Duilian de Tuishou - Equipe 2",16,IF(Atletas!V579="Grupo Externo CDEF - Equipe 1",17,IF(Atletas!V579="Grupo Externo CDEF - Equipe 2",18,IF(Atletas!V579="Grupo Interno CDEF - Equipe 1",19,IF(Atletas!V579="Grupo Interno CDEF - Equipe 2",20,IF(Atletas!V579="Duilian de Mãos EF - Equipe 1",21,IF(Atletas!V579="Duilian de Mãos EF - Equipe 2",22,IF(Atletas!V579="Duilian de Armas EF - Equipe 1",23,IF(Atletas!V579="Duilian de Armas EF - Equipe 2",24,IF(Atletas!V579="Duilian de Tuishou - Equipe 1",25,IF(Atletas!V579="Duilian de Tuishou - Equipe 2",26,"")))))))))))))))))))))))))))</f>
        <v/>
      </c>
    </row>
    <row r="584" spans="36:84">
      <c r="AJ584" s="46" t="str">
        <f>IF(Atletas!D580="","",IF(Atletas!B580="Feminino",100,IF(Atletas!B580="Masculino",200,""))+(IF(Atletas!D580="Infantil 39kg",1,IF(Atletas!D580="Infantil 42kg",2,IF(Atletas!D580="Infantil 45kg",3,IF(Atletas!D580="Infantil 48kg",4,IF(Atletas!D580="Infantil 52kg",5,IF(Atletas!D580="Infantil 56kg",6,IF(Atletas!D580="Infantil 60kg",7,IF(Atletas!D580="Juvenil 48kg",8,IF(Atletas!D580="Juvenil 52kg",9,IF(Atletas!D580="Juvenil 56kg",10,IF(Atletas!D580="Juvenil 60kg",11,IF(Atletas!D580="Juvenil 65kg",12,IF(Atletas!D580="Juvenil 70kg",13,IF(Atletas!D580="Juvenil 75kg",14,IF(Atletas!D580="Juvenil 80kg",15,IF(Atletas!D580="Adulto 48kg",16,IF(Atletas!D580="Adulto 52kg",17,IF(Atletas!D580="Adulto 56kg",18,IF(Atletas!D580="Adulto 60kg",19,IF(Atletas!D580="Adulto 65kg",20,IF(Atletas!D580="Adulto 70kg",21,IF(Atletas!D580="Adulto 75kg",22,IF(Atletas!D580="Adulto 80kg",23,IF(Atletas!D580="Adulto 85kg",24,IF(Atletas!D580="Adulto 90kg",25,IF(Atletas!D580="Adulto +90kg",26,""))))))))))))))))))))))))))))</f>
        <v/>
      </c>
      <c r="AO584" s="10" t="str">
        <f>IF(Atletas!E580="","",IF(Atletas!B580="Feminino",100,IF(Atletas!B580="Masculino",200,""))+(IF(Atletas!E580="Juvenil 44kg",1,IF(Atletas!E580="Juvenil 48kg",2,IF(Atletas!E580="Juvenil 52kg",3,IF(Atletas!E580="Juvenil 56kg",4,IF(Atletas!E580="Juvenil 60kg",5,IF(Atletas!E580="Juvenil 65kg",6,IF(Atletas!E580="Juvenil 70kg",7,IF(Atletas!E580="Juvenil 75kg",8,IF(Atletas!E580="Juvenil 82kg",9,IF(Atletas!E580="Juvenil 90kg",10,IF(Atletas!E580="Juvenil 100kg",11,IF(Atletas!E580="Adulto 48kg",12,IF(Atletas!E580="Adulto 52kg",13,IF(Atletas!E580="Adulto 56kg",14,IF(Atletas!E580="Adulto 60kg",15,IF(Atletas!E580="Adulto 65kg",16,IF(Atletas!E580="Adulto 70kg",17,IF(Atletas!E580="Adulto 75kg",18,IF(Atletas!E580="Adulto 82kg",19,IF(Atletas!E580="Adulto 90kg",20,IF(Atletas!E580="Adulto 100kg",21,IF(Atletas!E580="Adulto +100kg",22,""))))))))))))))))))))))))</f>
        <v/>
      </c>
      <c r="AT584" s="10" t="str">
        <f>IF(Atletas!F580="","",IF(Atletas!B580="Feminino",100,IF(Atletas!B580="Masculino",200,""))+(IF(Atletas!F580="Adulto 48kg",1,IF(Atletas!F580="Adulto 56kg",2,IF(Atletas!F580="Adulto 65kg",3,IF(Atletas!F580="Adulto 75kg",4,IF(Atletas!F580="Adulto +75kg",5,IF(Atletas!F580="Adulto 52kg",6,IF(Atletas!F580="Adulto 60kg",7,IF(Atletas!F580="Adulto 70kg",8,IF(Atletas!F580="Adulto 80kg",9,IF(Atletas!F580="Adulto 90kg",10,IF(Atletas!F580="Adulto +90kg",11,"")))))))))))))</f>
        <v/>
      </c>
      <c r="AY584" s="46" t="str">
        <f>IF(Atletas!G580="","",IF(Atletas!B580="Feminino",100,IF(Atletas!B580="Masculino",200,""))+(IF(Atletas!G580="Changquan Mirim",1,IF(Atletas!G580="Nanquan Mirim",2,IF(Atletas!G580="Taijiquan Mirim",3,IF(Atletas!G580="Changquan Grupo C",4,IF(Atletas!G580="Nanquan Grupo C",5,IF(Atletas!G580="Taijiquan Grupo C",6,IF(Atletas!G580="Changquan Grupo B",7,IF(Atletas!G580="Nanquan Grupo B",8,IF(Atletas!G580="Taijiquan Grupo B",9,IF(Atletas!G580="Changquan Grupo A",10,IF(Atletas!G580="Nanquan Grupo A",11,IF(Atletas!G580="Taijiquan Grupo A",12,IF(Atletas!G580="Changquan Opcional",13,IF(Atletas!G580="Nanquan Opcional",14,IF(Atletas!G580="Taijiquan Opcional",15,IF(Atletas!G580="Changquan Adulto",16,IF(Atletas!G580="Nanquan Adulto",17,IF(Atletas!G580="Taijiquan Adulto",18,""))))))))))))))))))))</f>
        <v/>
      </c>
      <c r="AZ584" s="46" t="str">
        <f>IF(Atletas!H580="","",IF(Atletas!B580="Feminino",100,IF(Atletas!B580="Masculino",200,""))+(IF(Atletas!H580="Daoshu Mirim",19,IF(Atletas!H580="Jianshu Mirim",20,IF(Atletas!H580="Nandao Mirim",21,IF(Atletas!H580="Taijijian Mirim",22,IF(Atletas!H580="Daoshu Grupo C",23,IF(Atletas!H580="Jianshu Grupo C",24,IF(Atletas!H580="Nandao Grupo C",25,IF(Atletas!H580="Taijijian Grupo C",26,IF(Atletas!H580="Daoshu Grupo B",27,IF(Atletas!H580="Jianshu Grupo B",28,IF(Atletas!H580="Nandao Grupo B",29,IF(Atletas!H580="Taijijian Grupo B",30,IF(Atletas!H580="Daoshu Grupo A",31,IF(Atletas!H580="Jianshu Grupo A",32,IF(Atletas!H580="Nandao Grupo A",33,IF(Atletas!H580="Taijijian Grupo A",34,IF(Atletas!H580="Daoshu Opcional",35,IF(Atletas!H580="Jianshu Opcional",36,IF(Atletas!H580="Nandao Opcional",37,IF(Atletas!H580="Taijijian Opcional",38,IF(Atletas!H580="Daoshu Adulto",39,IF(Atletas!H580="Jianshu Adulto",40,IF(Atletas!H580="Nandao Adulto",41,IF(Atletas!H580="Taijijian Adulto",42,""))))))))))))))))))))))))))</f>
        <v/>
      </c>
      <c r="BA584" s="46" t="str">
        <f>IF(Atletas!I580="","",IF(Atletas!B580="Feminino",100,IF(Atletas!B580="Masculino",200,""))+(IF(Atletas!I580="Gunshu Mirim",43,IF(Atletas!I580="Qiangshu Mirim",44,IF(Atletas!I580="Nangun Mirim",45,IF(Atletas!I580="Gunshu Grupo C",46,IF(Atletas!I580="Qiangshu Grupo C",47,IF(Atletas!I580="Nangun Grupo C",48,IF(Atletas!I580="Gunshu Grupo B",49,IF(Atletas!I580="Qiangshu Grupo B",50,IF(Atletas!I580="Nangun Grupo B",51,IF(Atletas!I580="Gunshu Grupo A",52,IF(Atletas!I580="Qiangshu Grupo A",53,IF(Atletas!I580="Nangun Grupo A",54,IF(Atletas!I580="Gunshu Opcional",55,IF(Atletas!I580="Qiangshu Opcional",56,IF(Atletas!I580="Nangun Opcional",57,IF(Atletas!I580="Gunshu Adulto",58,IF(Atletas!I580="Qiangshu Adulto",59,IF(Atletas!I580="Nangun Adulto",60,""))))))))))))))))))))</f>
        <v/>
      </c>
      <c r="BF584" s="52" t="str">
        <f>IF(Atletas!J580="","",IF(Atletas!B580="Feminino",100,IF(Atletas!B580="Masculino",200,""))+(IF(Atletas!J580="Equipe 1 Grupo B",1,IF(Atletas!J580="Equipe 2 Grupo B",2,IF(Atletas!J580="Equipe 1 Grupo A",3,IF(Atletas!J580="Equipe 2 Grupo A",4,IF(Atletas!J580="Equipe 1 Adulto",5,IF(Atletas!J580="Equipe 2 Adulto",6,""))))))))</f>
        <v/>
      </c>
      <c r="BK584" s="52" t="str">
        <f>IF(Atletas!K580="","",IF(Atletas!W580&lt;&gt;"",10000,0)+(IF(Atletas!B580="Feminino",1000,IF(Atletas!B580="Masculino",2000,""))+IF(Atletas!K580="Choylayfut A",1,IF(Atletas!K580="Hunggar A",2,IF(Atletas!K580="Wuzuquan A",3,IF(Atletas!K580="Wingchun A",4,IF(Atletas!K580="Outra Mão de Sul A",5,IF(Atletas!K580="Choylayfut B",6,IF(Atletas!K580="Hunggar B",7,IF(Atletas!K580="Wuzuquan B",8,IF(Atletas!K580="Wingchun B",9,IF(Atletas!K580="Outra Mão de Sul B",10,IF(Atletas!K580="Choylayfut C",11,IF(Atletas!K580="Hunggar C",12,IF(Atletas!K580="Wuzuquan C",13,IF(Atletas!K580="Wingchun C",14,IF(Atletas!K580="Outra Mão de Sul C",15,IF(Atletas!K580="Choylayfut D",16,IF(Atletas!K580="Hunggar D",17,IF(Atletas!K580="Wuzuquan D",18,IF(Atletas!K580="Wingchun D",19,IF(Atletas!K580="Outra Mão de Sul D",20,IF(Atletas!K580="Choylayfut E",21,IF(Atletas!K580="Hunggar E",22,IF(Atletas!K580="Wuzuquan E",23,IF(Atletas!K580="Wingchun E",24,IF(Atletas!K580="Outra Mão de Sul E",25,IF(Atletas!K580="Choylayfut F",26,IF(Atletas!K580="Hunggar F",27,IF(Atletas!K580="Wuzuquan F",28,IF(Atletas!K580="Wingchun F",29,IF(Atletas!K580="Outra Mão de Sul F",30,""))))))))))))))))))))))))))))))))</f>
        <v/>
      </c>
      <c r="BL584" s="52" t="str">
        <f>IF(Atletas!L580="","",IF(Atletas!W580&lt;&gt;"",10000,0)+(IF(Atletas!B580="Feminino",1000,IF(Atletas!B580="Masculino",2000,""))+(IF(Atletas!L580="Chaquan A",101,IF(Atletas!L580="Emeiquan A",102,IF(Atletas!L580="Fanziquan A",103,IF(Atletas!L580="Huaquan A",104,IF(Atletas!L580="Hongquan A",105,IF(Atletas!L580="Paochui A",106,IF(Atletas!L580="Piguaquan A",107,IF(Atletas!L580="Shaolinquan A",108,IF(Atletas!L580="Tanglangquan A",109,IF(Atletas!L580="Yinzhaophai A",110,IF(Atletas!L580="Tongbeiquan A",111,IF(Atletas!L580="Wudangquan A",112,IF(Atletas!L580="Outros Estilos A",113,IF(Atletas!L580="Chaquan B",114,IF(Atletas!L580="Emeiquan B",115,IF(Atletas!L580="Fanziquan B",116,IF(Atletas!L580="Huaquan B",117,IF(Atletas!L580="Hongquan B",118,IF(Atletas!L580="Paochui B",119,IF(Atletas!L580="Piguaquan B",120,IF(Atletas!L580="Shaolinquan B",121,IF(Atletas!L580="Tanglangquan B",122,IF(Atletas!L580="Yinzhaophai B",123,IF(Atletas!L580="Tongbeiquan B",124,IF(Atletas!L580="Wudangquan B",125,IF(Atletas!L580="Outros Estilos B",126,IF(Atletas!L580="Chaquan C",127,IF(Atletas!L580="Emeiquan C",128,IF(Atletas!L580="Fanziquan C",129,IF(Atletas!L580="Huaquan C",130,IF(Atletas!L580="Hongquan C",131,IF(Atletas!L580="Paochui C",132,IF(Atletas!L580="Piguaquan C",133,IF(Atletas!L580="Shaolinquan C",134,IF(Atletas!L580="Tanglangquan C",135,IF(Atletas!L580="Yinzhaophai C",136,IF(Atletas!L580="Tongbeiquan C",137,IF(Atletas!L580="Wudangquan C",138,IF(Atletas!L580="Outros Estilos C",139,0))))))))))))))))))))))))))))))))))))))))))</f>
        <v/>
      </c>
      <c r="BM584" s="52" t="str">
        <f>IF(Atletas!L580="","",IF(Atletas!W580&lt;&gt;"",10000,0)+(IF(Atletas!B580="Feminino",1000,IF(Atletas!B580="Masculino",2000,""))+(IF(Atletas!L580="Chaquan D",140,IF(Atletas!L580="Emeiquan D",141,IF(Atletas!L580="Fanziquan D",142,IF(Atletas!L580="Huaquan D",143,IF(Atletas!L580="Hongquan D",144,IF(Atletas!L580="Paochui D",145,IF(Atletas!L580="Piguaquan D",146,IF(Atletas!L580="Shaolinquan D",147,IF(Atletas!L580="Tanglangquan D",148,IF(Atletas!L580="Yinzhaophai D",149,IF(Atletas!L580="Tongbeiquan D",150,IF(Atletas!L580="Wudangquan D",151,IF(Atletas!L580="Outros Estilos D",152,IF(Atletas!L580="Chaquan E",153,IF(Atletas!L580="Emeiquan E",154,IF(Atletas!L580="Fanziquan E",155,IF(Atletas!L580="Huaquan E",156,IF(Atletas!L580="Hongquan E",157,IF(Atletas!L580="Paochui E",158,IF(Atletas!L580="Piguaquan E",159,IF(Atletas!L580="Shaolinquan E",160,IF(Atletas!L580="Tanglangquan E",161,IF(Atletas!L580="Yinzhaophai E",162,IF(Atletas!L580="Tongbeiquan E",163,IF(Atletas!L580="Wudangquan E",164,IF(Atletas!L580="Outros Estilos E",165,IF(Atletas!L580="Chaquan F",166,IF(Atletas!L580="Emeiquan F",167,IF(Atletas!L580="Fanziquan F",168,IF(Atletas!L580="Huaquan F",169,IF(Atletas!L580="Hongquan F",170,IF(Atletas!L580="Paochui F",171,IF(Atletas!L580="Piguaquan F",172,IF(Atletas!L580="Shaolinquan F",173,IF(Atletas!L580="Tanglangquan F",174,IF(Atletas!L580="Yinzhaophai F",175,IF(Atletas!L580="Tongbeiquan F",176,IF(Atletas!L580="Wudangquan F",177,IF(Atletas!L580="Outros Estilos F",178,0))))))))))))))))))))))))))))))))))))))))))</f>
        <v/>
      </c>
      <c r="BN584" s="52" t="str">
        <f>IF(Atletas!M580="","",IF(Atletas!W580&lt;&gt;"",10000,0)+(IF(Atletas!B580="Feminino",1000,IF(Atletas!B580="Masculino",2000,""))+(IF(Atletas!M580="Ditangquan A",201,IF(Atletas!M580="Houquan A",202,IF(Atletas!M580="Zuiquan A",203,IF(Atletas!M580="Ditangquan B",204,IF(Atletas!M580="Houquan B",205,IF(Atletas!M580="Zuiquan B",206,IF(Atletas!M580="Ditangquan C",207,IF(Atletas!M580="Houquan C",208,IF(Atletas!M580="Zuiquan C",209,IF(Atletas!M580="Ditangquan D",210,IF(Atletas!M580="Houquan D",211,IF(Atletas!M580="Zuiquan D",212,IF(Atletas!M580="Ditangquan E",213,IF(Atletas!M580="Houquan E",214,IF(Atletas!M580="Zuiquan E",215,IF(Atletas!M580="Ditangquan F",216,IF(Atletas!M580="Houquan F",217,IF(Atletas!M580="Zuiquan F",218,"")))))))))))))))))))))</f>
        <v/>
      </c>
      <c r="BO584" s="52" t="str">
        <f>IF(Atletas!N580="","",IF(Atletas!W580&lt;&gt;"",10000,0)+IF(Atletas!B580="Feminino",1000,IF(Atletas!B580="Masculino",2000,""))+IF(Atletas!N580="Yang A",301,IF(Atletas!N580="Chen A",30,IF(Atletas!N580="Sun A",303,IF(Atletas!N580="Wu A",304,IF(Atletas!N580="Wu-Hao A",305,IF(Atletas!N580="Outro Taijiquan A",306,IF(Atletas!N580="Yang B",307,IF(Atletas!N580="Chen B",308,IF(Atletas!N580="Sun B",309,IF(Atletas!N580="Wu B",310,IF(Atletas!N580="Wu-Hao B",311,IF(Atletas!N580="Outro Taijiquan B",312,IF(Atletas!N580="Yang C",313,IF(Atletas!N580="Chen C",314,IF(Atletas!N580="Sun C",315,IF(Atletas!N580="Wu C",316,IF(Atletas!N580="Wu-Hao C",317,IF(Atletas!N580="Outro Taijiquan C",318,IF(Atletas!N580="Yang D",319,IF(Atletas!N580="Chen D",320,IF(Atletas!N580="Sun D",321,IF(Atletas!N580="Wu D",322,IF(Atletas!N580="Wu-Hao D",323,IF(Atletas!N580="Outro Taijiquan D",324,IF(Atletas!N580="Yang E",325,IF(Atletas!N580="Chen E",326,IF(Atletas!N580="Sun E",327,IF(Atletas!N580="Wu E",328,IF(Atletas!N580="Wu-Hao E",329,IF(Atletas!N580="Outro Taijiquan E",330,IF(Atletas!N580="Yang F",331,IF(Atletas!N580="Chen F",332,IF(Atletas!N580="Sun F",333,IF(Atletas!N580="Wu F",334,IF(Atletas!N580="Wu-Hao F",335,IF(Atletas!N580="Outro Taijiquan F",336,"")))))))))))))))))))))))))))))))))))))</f>
        <v/>
      </c>
      <c r="BP584" s="52" t="str">
        <f>IF(Atletas!O580="","",IF(Atletas!W580&lt;&gt;"",10000,0)+IF(Atletas!B580="Feminino",1000,IF(Atletas!B580="Masculino",2000,""))+IF(OR(Atletas!O580="Yang 26 A",Atletas!O580="Yang 40 A"),401,IF(OR(Atletas!O580="Chen 25 A",Atletas!O580="Chen 36 A",Atletas!O580="Chen 56 A"),402,IF(Atletas!O580="Sun 73 A",403,IF(Atletas!O580="Wu 45 A",404,IF(Atletas!O580="Wu-Hao 46 A",405,IF(OR(Atletas!O580="Taijiquan 16 A",Atletas!O580="Taijiquan 24 A",Atletas!O580="Taijiquan 32 A",Atletas!O580="Taijiquan 42 A"),406,IF(OR(Atletas!O580="Yang 26 B",Atletas!O580="Yang 40 B"),407,IF(OR(Atletas!O580="Chen 25 B",Atletas!O580="Chen 36 B",Atletas!O580="Chen 56 B"),408,IF(Atletas!O580="Sun 73 B",409,IF(Atletas!O580="Wu 45 B",410,IF(Atletas!O580="Wu-Hao 46 B",411,IF(OR(Atletas!O580="Taijiquan 16 B",Atletas!O580="Taijiquan 24 B",Atletas!O580="Taijiquan 32 B",Atletas!O580="Taijiquan 42 B"),412,IF(OR(Atletas!O580="Yang 26 C",Atletas!O580="Yang 40 C"),413,IF(OR(Atletas!O580="Chen 25 C",Atletas!O580="Chen 36 C",Atletas!O580="Chen 56 C"),414,IF(Atletas!O580="Sun 73 C",415,IF(Atletas!O580="Wu 45 C",416,IF(Atletas!O580="Wu-Hao 46 C",417,IF(OR(Atletas!O580="Taijiquan 16 C",Atletas!O580="Taijiquan 24 C",Atletas!O580="Taijiquan 32 C",Atletas!O580="Taijiquan 42 C"),418,0)))))))))))))))))))</f>
        <v/>
      </c>
      <c r="BQ584" s="52" t="str">
        <f>IF(Atletas!O580="","",IF(Atletas!W580&lt;&gt;"",10000,0)+IF(Atletas!B580="Feminino",1000,IF(Atletas!B580="Masculino",2000,""))+IF(OR(Atletas!O580="Yang 26 D",Atletas!O580="Yang 40 D"),419,IF(OR(Atletas!O580="Chen 25 D",Atletas!O580="Chen 36 D",Atletas!O580="Chen 56 D"),420,IF(Atletas!O580="Sun 73 D",421,IF(Atletas!O580="Wu 45 D",422,IF(Atletas!O580="Wu-Hao 46 D",423,IF(OR(Atletas!O580="Taijiquan 16 D",Atletas!O580="Taijiquan 24 D",Atletas!O580="Taijiquan 32 D",Atletas!O580="Taijiquan 42 D"),424,IF(OR(Atletas!O580="Yang 26 E",Atletas!O580="Yang 40 E"),425,IF(OR(Atletas!O580="Chen 25 E",Atletas!O580="Chen 36 E",Atletas!O580="Chen 56 E"),426,IF(Atletas!O580="Sun 73 E",427,IF(Atletas!O580="Wu 45 E",428,IF(Atletas!O580="Wu-Hao 46 E",429,IF(OR(Atletas!O580="Taijiquan 16 E",Atletas!O580="Taijiquan 24 E",Atletas!O580="Taijiquan 32 E",Atletas!O580="Taijiquan 42 E"),430,IF(OR(Atletas!O580="Yang 26 F",Atletas!O580="Yang 40 F"),431,IF(OR(Atletas!O580="Chen 25 F",Atletas!O580="Chen 36 F",Atletas!O580="Chen 56 F"),432,IF(Atletas!O580="Sun 73 F",433,IF(Atletas!O580="Wu 45 F",434,IF(Atletas!O580="Wu-Hao 46 F",435,IF(OR(Atletas!O580="Taijiquan 16 F",Atletas!O580="Taijiquan 24 F",Atletas!O580="Taijiquan 32 F",Atletas!O580="Taijiquan 42 F"),436,0)))))))))))))))))))</f>
        <v/>
      </c>
      <c r="BR584" s="52" t="str">
        <f>IF(Atletas!P580="","",IF(Atletas!W580&lt;&gt;"",10000,0)+IF(Atletas!B580="Feminino",1000,IF(Atletas!B580="Masculino",2000,""))+IF(Atletas!P580="Xingyiquan A",501,IF(Atletas!P580="Baguazhang A",502,IF(Atletas!P580="Outro Estilo Interno A",503,IF(Atletas!P580="Xingyiquan B",504,IF(Atletas!P580="Baguazhang B",505,IF(Atletas!P580="Outro Estilo Interno B",506,IF(Atletas!P580="Xingyiquan C",507,IF(Atletas!P580="Baguazhang C",508,IF(Atletas!P580="Outro Estilo Interno C",509,IF(Atletas!P580="Xingyiquan D",510,IF(Atletas!P580="Baguazhang D",511,IF(Atletas!P580="Outro Estilo Interno D",512,IF(Atletas!P580="Xingyiquan E",513,IF(Atletas!P580="Baguazhang E",514,IF(Atletas!P580="Outro Estilo Interno E",515,IF(Atletas!P580="Xingyiquan F",516,IF(Atletas!P580="Baguazhang F",517,IF(Atletas!P580="Outro Estilo Interno F",518, "")))))))))))))))))))</f>
        <v/>
      </c>
      <c r="BS584" s="52" t="str">
        <f>IF(Atletas!Q580="","",IF(Atletas!W580&lt;&gt;"",10000,0)+IF(Atletas!B580="Feminino",1000,IF(Atletas!B580="Masculino",2000,""))+IF(Atletas!Q580="Dao A",601,IF(Atletas!Q580="Jian A",602,IF(Atletas!Q580="Bishou A",603,IF(Atletas!Q580="Shan A",604,IF(Atletas!Q580="Outra Arma Curta A",605,IF(Atletas!Q580="Dao B",606,IF(Atletas!Q580="Jian B",607,IF(Atletas!Q580="Bishou B",608,IF(Atletas!Q580="Shan B",609,IF(Atletas!Q580="Outra Arma Curta B",610,IF(Atletas!Q580="Dao C",611,IF(Atletas!Q580="Jian C",612,IF(Atletas!Q580="Bishou C",613,IF(Atletas!Q580="Shan C",614,IF(Atletas!Q580="Outra Arma Curta C",615,IF(Atletas!Q580="Dao D",616,IF(Atletas!Q580="Jian D",617,IF(Atletas!Q580="Bishou D",618,IF(Atletas!Q580="Shan D",619,IF(Atletas!Q580="Outra Arma Curta D",620,IF(Atletas!Q580="Dao E",621,IF(Atletas!Q580="Jian E",622,IF(Atletas!Q580="Bishou E",623,IF(Atletas!Q580="Shan E",624,IF(Atletas!Q580="Outra Arma Curta E",625,IF(Atletas!Q580="Dao F",626,IF(Atletas!Q580="Jian F",627,IF(Atletas!Q580="Bishou F",628,IF(Atletas!Q580="Shan F",629,IF(Atletas!Q580="Outra Arma Curta F",630, "")))))))))))))))))))))))))))))))</f>
        <v/>
      </c>
      <c r="BT584" s="52" t="str">
        <f>IF(Atletas!R580="","",IF(Atletas!W580&lt;&gt;"",10000,0)+IF(Atletas!B580="Feminino",1000,IF(Atletas!B580="Masculino",2000,""))+IF(Atletas!R580="Gun A",701,IF(Atletas!R580="Qiang A",702,IF(Atletas!R580="Pudao / Guandao A",703,IF(Atletas!R580="Outra Arma Longa A",704,IF(Atletas!R580="Gun B",705,IF(Atletas!R580="Qiang B",706,IF(Atletas!R580="Pudao / Guandao B",707,IF(Atletas!R580="Outra Arma Longa B",708,IF(Atletas!R580="Gun C",709,IF(Atletas!R580="Qiang C",710,IF(Atletas!R580="Pudao / Guandao C",711,IF(Atletas!R580="Outra Arma Longa C",712,IF(Atletas!R580="Gun D",713,IF(Atletas!R580="Qiang D",714,IF(Atletas!R580="Pudao / Guandao D",715,IF(Atletas!R580="Outra Arma Longa D",716,IF(Atletas!R580="Gun E",717,IF(Atletas!R580="Qiang E",718,IF(Atletas!R580="Pudao / Guandao E",719,IF(Atletas!R580="Outra Arma Longa E",720,IF(Atletas!R580="Gun F",721,IF(Atletas!R580="Qiang F",722,IF(Atletas!R580="Pudao / Guandao F",723,IF(Atletas!R580="Outra Arma Longa F",724,"")))))))))))))))))))))))))</f>
        <v/>
      </c>
      <c r="BU584" s="52" t="str">
        <f>IF(Atletas!S580="","",IF(Atletas!W580&lt;&gt;"",10000,0)+IF(Atletas!B580="Feminino",1000,IF(Atletas!B580="Masculino",2000,""))+IF(Atletas!S580="Arma Dupla A",801,IF(Atletas!S580="Arma Maleável A",802,IF(Atletas!S580="Arma Dupla B",803,IF(Atletas!S580="Arma Maleável B",804,IF(Atletas!S580="Arma Dupla C",805,IF(Atletas!S580="Arma Maleável C",806,IF(Atletas!S580="Arma Dupla D",807,IF(Atletas!S580="Arma Maleável D",808,IF(Atletas!S580="Arma Dupla E",809,IF(Atletas!S580="Arma Maleável E",810,IF(Atletas!S580="Arma Dupla F",811,IF(Atletas!S580="Arma Maleável F",812, "")))))))))))))</f>
        <v/>
      </c>
      <c r="BV584" s="52" t="str">
        <f>IF(Atletas!T580="","",IF(Atletas!W580&lt;&gt;"",10000,0)+IF(Atletas!B580="Feminino",1000,IF(Atletas!B580="Masculino",2000,""))+IF(Atletas!T580="Taijijian Yang A",901,IF(Atletas!T580="Taijijian Chen A",902,IF(Atletas!T580="Taijijian Sun A",903,IF(Atletas!T580="Taijijian Wu A",904,IF(Atletas!T580="Taijijian Wu-Hao A",905,IF(Atletas!T580="Taijijian 32 A",906,IF(Atletas!T580="Taijijian 42 A",907,IF(Atletas!T580="Taijijian Yang B",908,IF(Atletas!T580="Taijijian Chen B",909,IF(Atletas!T580="Taijijian Sun B",910,IF(Atletas!T580="Taijijian Wu B",911,IF(Atletas!T580="Taijijian Wu-Hao B",912,IF(Atletas!T580="Taijijian 32 B",913,IF(Atletas!T580="Taijijian 42 B",914,IF(Atletas!T580="Taijijian Yang C",915,IF(Atletas!T580="Taijijian Chen C",916,IF(Atletas!T580="Taijijian Sun C",917,IF(Atletas!T580="Taijijian Wu C",918,IF(Atletas!T580="Taijijian Wu-Hao C",919,IF(Atletas!T580="Taijijian 32 C",920,IF(Atletas!T580="Taijijian 42 C",921,IF(Atletas!T580="Taijijian Yang D",922,IF(Atletas!T580="Taijijian Chen D",923,IF(Atletas!T580="Taijijian Sun D",924,IF(Atletas!T580="Taijijian Wu D",925,IF(Atletas!T580="Taijijian Wu-Hao D",926,IF(Atletas!T580="Taijijian 32 D",927,IF(Atletas!T580="Taijijian 42 D",928,IF(Atletas!T580="Taijijian Yang E",929,IF(Atletas!T580="Taijijian Chen E",930,IF(Atletas!T580="Taijijian Sun E",931,IF(Atletas!T580="Taijijian Wu E",932,IF(Atletas!T580="Taijijian Wu-Hao E",933,IF(Atletas!T580="Taijijian 32 E",934,IF(Atletas!T580="Taijijian 42 E",935,IF(Atletas!T580="Taijijian Yang F",936,IF(Atletas!T580="Taijijian Chen F",937,IF(Atletas!T580="Taijijian Sun F",938,IF(Atletas!T580="Taijijian Wu F",939,IF(Atletas!T580="Taijijian Wu-Hao F",940,IF(Atletas!T580="Taijijian 32 F",941,IF(Atletas!T580="Taijijian 42 F",942,"")))))))))))))))))))))))))))))))))))))))))))</f>
        <v/>
      </c>
      <c r="BW584" s="52" t="str">
        <f>IF(Atletas!U580="","",IF(Atletas!W580&lt;&gt;"",10000,0)+IF(Atletas!B580="Feminino",1000,IF(Atletas!B580="Masculino",2000,""))+IF(Atletas!T580="Taijijian 42 F",942,IF(Atletas!U580="Taijidao A",943,IF(Atletas!U580="Taijishan A",944,IF(Atletas!U580="Taijiqiang A",945,IF(Atletas!U580="Taijidao B",946,IF(Atletas!U580="Taijishan B",947,IF(Atletas!U580="Taijiqiang B",948,IF(Atletas!U580="Taijidao C",949,IF(Atletas!U580="Taijishan C",950,IF(Atletas!U580="Taijiqiang C",951,IF(Atletas!U580="Taijidao D",952,IF(Atletas!U580="Taijishan D",953,IF(Atletas!U580="Taijiqiang D",954,IF(Atletas!U580="Taijidao E",955,IF(Atletas!U580="Taijishan E",956,IF(Atletas!U580="Taijiqiang E",957,IF(Atletas!U580="Taijidao F",958,IF(Atletas!U580="Taijishan F",959,IF(Atletas!U580="Taijiqiang F",960))))))))))))))))))))</f>
        <v/>
      </c>
      <c r="CF584" s="52" t="str">
        <f xml:space="preserve"> IF(Atletas!V580="","",IF(Atletas!V580="Duilian de Mãos AB - Equipe 1",1,IF(Atletas!V580="Duilian de Mãos AB - Equipe 2",2,IF(Atletas!V580="Duilian de Armas AB - Equipe 1",3,IF(Atletas!V580="Duilian de Armas AB - Equipe 2",4,IF(Atletas!V580="Duilian de Tuishou - Equipe 1",5,IF(Atletas!V580="Duilian de Tuishou - Equipe 2",6,IF(Atletas!V580="Grupo Externo AB - Equipe 1",7,IF(Atletas!V580="Grupo Externo AB - Equipe 2",8,IF(Atletas!V580="Grupo Interno AB - Equipe 1",9,IF(Atletas!V580="Grupo Interno AB - Equipe 2",10,IF(Atletas!V580="Duilian de Mãos CD - Equipe 1",11,IF(Atletas!V580="Duilian de Mãos CD - Equipe 2",12,IF(Atletas!V580="Duilian de Armas CD - Equipe 1",13,IF(Atletas!V580="Duilian de Armas CD - Equipe 2",14,IF(Atletas!V580="Duilian de Tuishou - Equipe 1",15,IF(Atletas!V580="Duilian de Tuishou - Equipe 2",16,IF(Atletas!V580="Grupo Externo CDEF - Equipe 1",17,IF(Atletas!V580="Grupo Externo CDEF - Equipe 2",18,IF(Atletas!V580="Grupo Interno CDEF - Equipe 1",19,IF(Atletas!V580="Grupo Interno CDEF - Equipe 2",20,IF(Atletas!V580="Duilian de Mãos EF - Equipe 1",21,IF(Atletas!V580="Duilian de Mãos EF - Equipe 2",22,IF(Atletas!V580="Duilian de Armas EF - Equipe 1",23,IF(Atletas!V580="Duilian de Armas EF - Equipe 2",24,IF(Atletas!V580="Duilian de Tuishou - Equipe 1",25,IF(Atletas!V580="Duilian de Tuishou - Equipe 2",26,"")))))))))))))))))))))))))))</f>
        <v/>
      </c>
    </row>
    <row r="585" spans="36:84">
      <c r="AJ585" s="46" t="str">
        <f>IF(Atletas!D581="","",IF(Atletas!B581="Feminino",100,IF(Atletas!B581="Masculino",200,""))+(IF(Atletas!D581="Infantil 39kg",1,IF(Atletas!D581="Infantil 42kg",2,IF(Atletas!D581="Infantil 45kg",3,IF(Atletas!D581="Infantil 48kg",4,IF(Atletas!D581="Infantil 52kg",5,IF(Atletas!D581="Infantil 56kg",6,IF(Atletas!D581="Infantil 60kg",7,IF(Atletas!D581="Juvenil 48kg",8,IF(Atletas!D581="Juvenil 52kg",9,IF(Atletas!D581="Juvenil 56kg",10,IF(Atletas!D581="Juvenil 60kg",11,IF(Atletas!D581="Juvenil 65kg",12,IF(Atletas!D581="Juvenil 70kg",13,IF(Atletas!D581="Juvenil 75kg",14,IF(Atletas!D581="Juvenil 80kg",15,IF(Atletas!D581="Adulto 48kg",16,IF(Atletas!D581="Adulto 52kg",17,IF(Atletas!D581="Adulto 56kg",18,IF(Atletas!D581="Adulto 60kg",19,IF(Atletas!D581="Adulto 65kg",20,IF(Atletas!D581="Adulto 70kg",21,IF(Atletas!D581="Adulto 75kg",22,IF(Atletas!D581="Adulto 80kg",23,IF(Atletas!D581="Adulto 85kg",24,IF(Atletas!D581="Adulto 90kg",25,IF(Atletas!D581="Adulto +90kg",26,""))))))))))))))))))))))))))))</f>
        <v/>
      </c>
      <c r="AO585" s="10" t="str">
        <f>IF(Atletas!E581="","",IF(Atletas!B581="Feminino",100,IF(Atletas!B581="Masculino",200,""))+(IF(Atletas!E581="Juvenil 44kg",1,IF(Atletas!E581="Juvenil 48kg",2,IF(Atletas!E581="Juvenil 52kg",3,IF(Atletas!E581="Juvenil 56kg",4,IF(Atletas!E581="Juvenil 60kg",5,IF(Atletas!E581="Juvenil 65kg",6,IF(Atletas!E581="Juvenil 70kg",7,IF(Atletas!E581="Juvenil 75kg",8,IF(Atletas!E581="Juvenil 82kg",9,IF(Atletas!E581="Juvenil 90kg",10,IF(Atletas!E581="Juvenil 100kg",11,IF(Atletas!E581="Adulto 48kg",12,IF(Atletas!E581="Adulto 52kg",13,IF(Atletas!E581="Adulto 56kg",14,IF(Atletas!E581="Adulto 60kg",15,IF(Atletas!E581="Adulto 65kg",16,IF(Atletas!E581="Adulto 70kg",17,IF(Atletas!E581="Adulto 75kg",18,IF(Atletas!E581="Adulto 82kg",19,IF(Atletas!E581="Adulto 90kg",20,IF(Atletas!E581="Adulto 100kg",21,IF(Atletas!E581="Adulto +100kg",22,""))))))))))))))))))))))))</f>
        <v/>
      </c>
      <c r="AT585" s="10" t="str">
        <f>IF(Atletas!F581="","",IF(Atletas!B581="Feminino",100,IF(Atletas!B581="Masculino",200,""))+(IF(Atletas!F581="Adulto 48kg",1,IF(Atletas!F581="Adulto 56kg",2,IF(Atletas!F581="Adulto 65kg",3,IF(Atletas!F581="Adulto 75kg",4,IF(Atletas!F581="Adulto +75kg",5,IF(Atletas!F581="Adulto 52kg",6,IF(Atletas!F581="Adulto 60kg",7,IF(Atletas!F581="Adulto 70kg",8,IF(Atletas!F581="Adulto 80kg",9,IF(Atletas!F581="Adulto 90kg",10,IF(Atletas!F581="Adulto +90kg",11,"")))))))))))))</f>
        <v/>
      </c>
      <c r="AY585" s="46" t="str">
        <f>IF(Atletas!G581="","",IF(Atletas!B581="Feminino",100,IF(Atletas!B581="Masculino",200,""))+(IF(Atletas!G581="Changquan Mirim",1,IF(Atletas!G581="Nanquan Mirim",2,IF(Atletas!G581="Taijiquan Mirim",3,IF(Atletas!G581="Changquan Grupo C",4,IF(Atletas!G581="Nanquan Grupo C",5,IF(Atletas!G581="Taijiquan Grupo C",6,IF(Atletas!G581="Changquan Grupo B",7,IF(Atletas!G581="Nanquan Grupo B",8,IF(Atletas!G581="Taijiquan Grupo B",9,IF(Atletas!G581="Changquan Grupo A",10,IF(Atletas!G581="Nanquan Grupo A",11,IF(Atletas!G581="Taijiquan Grupo A",12,IF(Atletas!G581="Changquan Opcional",13,IF(Atletas!G581="Nanquan Opcional",14,IF(Atletas!G581="Taijiquan Opcional",15,IF(Atletas!G581="Changquan Adulto",16,IF(Atletas!G581="Nanquan Adulto",17,IF(Atletas!G581="Taijiquan Adulto",18,""))))))))))))))))))))</f>
        <v/>
      </c>
      <c r="AZ585" s="46" t="str">
        <f>IF(Atletas!H581="","",IF(Atletas!B581="Feminino",100,IF(Atletas!B581="Masculino",200,""))+(IF(Atletas!H581="Daoshu Mirim",19,IF(Atletas!H581="Jianshu Mirim",20,IF(Atletas!H581="Nandao Mirim",21,IF(Atletas!H581="Taijijian Mirim",22,IF(Atletas!H581="Daoshu Grupo C",23,IF(Atletas!H581="Jianshu Grupo C",24,IF(Atletas!H581="Nandao Grupo C",25,IF(Atletas!H581="Taijijian Grupo C",26,IF(Atletas!H581="Daoshu Grupo B",27,IF(Atletas!H581="Jianshu Grupo B",28,IF(Atletas!H581="Nandao Grupo B",29,IF(Atletas!H581="Taijijian Grupo B",30,IF(Atletas!H581="Daoshu Grupo A",31,IF(Atletas!H581="Jianshu Grupo A",32,IF(Atletas!H581="Nandao Grupo A",33,IF(Atletas!H581="Taijijian Grupo A",34,IF(Atletas!H581="Daoshu Opcional",35,IF(Atletas!H581="Jianshu Opcional",36,IF(Atletas!H581="Nandao Opcional",37,IF(Atletas!H581="Taijijian Opcional",38,IF(Atletas!H581="Daoshu Adulto",39,IF(Atletas!H581="Jianshu Adulto",40,IF(Atletas!H581="Nandao Adulto",41,IF(Atletas!H581="Taijijian Adulto",42,""))))))))))))))))))))))))))</f>
        <v/>
      </c>
      <c r="BA585" s="46" t="str">
        <f>IF(Atletas!I581="","",IF(Atletas!B581="Feminino",100,IF(Atletas!B581="Masculino",200,""))+(IF(Atletas!I581="Gunshu Mirim",43,IF(Atletas!I581="Qiangshu Mirim",44,IF(Atletas!I581="Nangun Mirim",45,IF(Atletas!I581="Gunshu Grupo C",46,IF(Atletas!I581="Qiangshu Grupo C",47,IF(Atletas!I581="Nangun Grupo C",48,IF(Atletas!I581="Gunshu Grupo B",49,IF(Atletas!I581="Qiangshu Grupo B",50,IF(Atletas!I581="Nangun Grupo B",51,IF(Atletas!I581="Gunshu Grupo A",52,IF(Atletas!I581="Qiangshu Grupo A",53,IF(Atletas!I581="Nangun Grupo A",54,IF(Atletas!I581="Gunshu Opcional",55,IF(Atletas!I581="Qiangshu Opcional",56,IF(Atletas!I581="Nangun Opcional",57,IF(Atletas!I581="Gunshu Adulto",58,IF(Atletas!I581="Qiangshu Adulto",59,IF(Atletas!I581="Nangun Adulto",60,""))))))))))))))))))))</f>
        <v/>
      </c>
      <c r="BF585" s="52" t="str">
        <f>IF(Atletas!J581="","",IF(Atletas!B581="Feminino",100,IF(Atletas!B581="Masculino",200,""))+(IF(Atletas!J581="Equipe 1 Grupo B",1,IF(Atletas!J581="Equipe 2 Grupo B",2,IF(Atletas!J581="Equipe 1 Grupo A",3,IF(Atletas!J581="Equipe 2 Grupo A",4,IF(Atletas!J581="Equipe 1 Adulto",5,IF(Atletas!J581="Equipe 2 Adulto",6,""))))))))</f>
        <v/>
      </c>
      <c r="BK585" s="52" t="str">
        <f>IF(Atletas!K581="","",IF(Atletas!W581&lt;&gt;"",10000,0)+(IF(Atletas!B581="Feminino",1000,IF(Atletas!B581="Masculino",2000,""))+IF(Atletas!K581="Choylayfut A",1,IF(Atletas!K581="Hunggar A",2,IF(Atletas!K581="Wuzuquan A",3,IF(Atletas!K581="Wingchun A",4,IF(Atletas!K581="Outra Mão de Sul A",5,IF(Atletas!K581="Choylayfut B",6,IF(Atletas!K581="Hunggar B",7,IF(Atletas!K581="Wuzuquan B",8,IF(Atletas!K581="Wingchun B",9,IF(Atletas!K581="Outra Mão de Sul B",10,IF(Atletas!K581="Choylayfut C",11,IF(Atletas!K581="Hunggar C",12,IF(Atletas!K581="Wuzuquan C",13,IF(Atletas!K581="Wingchun C",14,IF(Atletas!K581="Outra Mão de Sul C",15,IF(Atletas!K581="Choylayfut D",16,IF(Atletas!K581="Hunggar D",17,IF(Atletas!K581="Wuzuquan D",18,IF(Atletas!K581="Wingchun D",19,IF(Atletas!K581="Outra Mão de Sul D",20,IF(Atletas!K581="Choylayfut E",21,IF(Atletas!K581="Hunggar E",22,IF(Atletas!K581="Wuzuquan E",23,IF(Atletas!K581="Wingchun E",24,IF(Atletas!K581="Outra Mão de Sul E",25,IF(Atletas!K581="Choylayfut F",26,IF(Atletas!K581="Hunggar F",27,IF(Atletas!K581="Wuzuquan F",28,IF(Atletas!K581="Wingchun F",29,IF(Atletas!K581="Outra Mão de Sul F",30,""))))))))))))))))))))))))))))))))</f>
        <v/>
      </c>
      <c r="BL585" s="52" t="str">
        <f>IF(Atletas!L581="","",IF(Atletas!W581&lt;&gt;"",10000,0)+(IF(Atletas!B581="Feminino",1000,IF(Atletas!B581="Masculino",2000,""))+(IF(Atletas!L581="Chaquan A",101,IF(Atletas!L581="Emeiquan A",102,IF(Atletas!L581="Fanziquan A",103,IF(Atletas!L581="Huaquan A",104,IF(Atletas!L581="Hongquan A",105,IF(Atletas!L581="Paochui A",106,IF(Atletas!L581="Piguaquan A",107,IF(Atletas!L581="Shaolinquan A",108,IF(Atletas!L581="Tanglangquan A",109,IF(Atletas!L581="Yinzhaophai A",110,IF(Atletas!L581="Tongbeiquan A",111,IF(Atletas!L581="Wudangquan A",112,IF(Atletas!L581="Outros Estilos A",113,IF(Atletas!L581="Chaquan B",114,IF(Atletas!L581="Emeiquan B",115,IF(Atletas!L581="Fanziquan B",116,IF(Atletas!L581="Huaquan B",117,IF(Atletas!L581="Hongquan B",118,IF(Atletas!L581="Paochui B",119,IF(Atletas!L581="Piguaquan B",120,IF(Atletas!L581="Shaolinquan B",121,IF(Atletas!L581="Tanglangquan B",122,IF(Atletas!L581="Yinzhaophai B",123,IF(Atletas!L581="Tongbeiquan B",124,IF(Atletas!L581="Wudangquan B",125,IF(Atletas!L581="Outros Estilos B",126,IF(Atletas!L581="Chaquan C",127,IF(Atletas!L581="Emeiquan C",128,IF(Atletas!L581="Fanziquan C",129,IF(Atletas!L581="Huaquan C",130,IF(Atletas!L581="Hongquan C",131,IF(Atletas!L581="Paochui C",132,IF(Atletas!L581="Piguaquan C",133,IF(Atletas!L581="Shaolinquan C",134,IF(Atletas!L581="Tanglangquan C",135,IF(Atletas!L581="Yinzhaophai C",136,IF(Atletas!L581="Tongbeiquan C",137,IF(Atletas!L581="Wudangquan C",138,IF(Atletas!L581="Outros Estilos C",139,0))))))))))))))))))))))))))))))))))))))))))</f>
        <v/>
      </c>
      <c r="BM585" s="52" t="str">
        <f>IF(Atletas!L581="","",IF(Atletas!W581&lt;&gt;"",10000,0)+(IF(Atletas!B581="Feminino",1000,IF(Atletas!B581="Masculino",2000,""))+(IF(Atletas!L581="Chaquan D",140,IF(Atletas!L581="Emeiquan D",141,IF(Atletas!L581="Fanziquan D",142,IF(Atletas!L581="Huaquan D",143,IF(Atletas!L581="Hongquan D",144,IF(Atletas!L581="Paochui D",145,IF(Atletas!L581="Piguaquan D",146,IF(Atletas!L581="Shaolinquan D",147,IF(Atletas!L581="Tanglangquan D",148,IF(Atletas!L581="Yinzhaophai D",149,IF(Atletas!L581="Tongbeiquan D",150,IF(Atletas!L581="Wudangquan D",151,IF(Atletas!L581="Outros Estilos D",152,IF(Atletas!L581="Chaquan E",153,IF(Atletas!L581="Emeiquan E",154,IF(Atletas!L581="Fanziquan E",155,IF(Atletas!L581="Huaquan E",156,IF(Atletas!L581="Hongquan E",157,IF(Atletas!L581="Paochui E",158,IF(Atletas!L581="Piguaquan E",159,IF(Atletas!L581="Shaolinquan E",160,IF(Atletas!L581="Tanglangquan E",161,IF(Atletas!L581="Yinzhaophai E",162,IF(Atletas!L581="Tongbeiquan E",163,IF(Atletas!L581="Wudangquan E",164,IF(Atletas!L581="Outros Estilos E",165,IF(Atletas!L581="Chaquan F",166,IF(Atletas!L581="Emeiquan F",167,IF(Atletas!L581="Fanziquan F",168,IF(Atletas!L581="Huaquan F",169,IF(Atletas!L581="Hongquan F",170,IF(Atletas!L581="Paochui F",171,IF(Atletas!L581="Piguaquan F",172,IF(Atletas!L581="Shaolinquan F",173,IF(Atletas!L581="Tanglangquan F",174,IF(Atletas!L581="Yinzhaophai F",175,IF(Atletas!L581="Tongbeiquan F",176,IF(Atletas!L581="Wudangquan F",177,IF(Atletas!L581="Outros Estilos F",178,0))))))))))))))))))))))))))))))))))))))))))</f>
        <v/>
      </c>
      <c r="BN585" s="52" t="str">
        <f>IF(Atletas!M581="","",IF(Atletas!W581&lt;&gt;"",10000,0)+(IF(Atletas!B581="Feminino",1000,IF(Atletas!B581="Masculino",2000,""))+(IF(Atletas!M581="Ditangquan A",201,IF(Atletas!M581="Houquan A",202,IF(Atletas!M581="Zuiquan A",203,IF(Atletas!M581="Ditangquan B",204,IF(Atletas!M581="Houquan B",205,IF(Atletas!M581="Zuiquan B",206,IF(Atletas!M581="Ditangquan C",207,IF(Atletas!M581="Houquan C",208,IF(Atletas!M581="Zuiquan C",209,IF(Atletas!M581="Ditangquan D",210,IF(Atletas!M581="Houquan D",211,IF(Atletas!M581="Zuiquan D",212,IF(Atletas!M581="Ditangquan E",213,IF(Atletas!M581="Houquan E",214,IF(Atletas!M581="Zuiquan E",215,IF(Atletas!M581="Ditangquan F",216,IF(Atletas!M581="Houquan F",217,IF(Atletas!M581="Zuiquan F",218,"")))))))))))))))))))))</f>
        <v/>
      </c>
      <c r="BO585" s="52" t="str">
        <f>IF(Atletas!N581="","",IF(Atletas!W581&lt;&gt;"",10000,0)+IF(Atletas!B581="Feminino",1000,IF(Atletas!B581="Masculino",2000,""))+IF(Atletas!N581="Yang A",301,IF(Atletas!N581="Chen A",30,IF(Atletas!N581="Sun A",303,IF(Atletas!N581="Wu A",304,IF(Atletas!N581="Wu-Hao A",305,IF(Atletas!N581="Outro Taijiquan A",306,IF(Atletas!N581="Yang B",307,IF(Atletas!N581="Chen B",308,IF(Atletas!N581="Sun B",309,IF(Atletas!N581="Wu B",310,IF(Atletas!N581="Wu-Hao B",311,IF(Atletas!N581="Outro Taijiquan B",312,IF(Atletas!N581="Yang C",313,IF(Atletas!N581="Chen C",314,IF(Atletas!N581="Sun C",315,IF(Atletas!N581="Wu C",316,IF(Atletas!N581="Wu-Hao C",317,IF(Atletas!N581="Outro Taijiquan C",318,IF(Atletas!N581="Yang D",319,IF(Atletas!N581="Chen D",320,IF(Atletas!N581="Sun D",321,IF(Atletas!N581="Wu D",322,IF(Atletas!N581="Wu-Hao D",323,IF(Atletas!N581="Outro Taijiquan D",324,IF(Atletas!N581="Yang E",325,IF(Atletas!N581="Chen E",326,IF(Atletas!N581="Sun E",327,IF(Atletas!N581="Wu E",328,IF(Atletas!N581="Wu-Hao E",329,IF(Atletas!N581="Outro Taijiquan E",330,IF(Atletas!N581="Yang F",331,IF(Atletas!N581="Chen F",332,IF(Atletas!N581="Sun F",333,IF(Atletas!N581="Wu F",334,IF(Atletas!N581="Wu-Hao F",335,IF(Atletas!N581="Outro Taijiquan F",336,"")))))))))))))))))))))))))))))))))))))</f>
        <v/>
      </c>
      <c r="BP585" s="52" t="str">
        <f>IF(Atletas!O581="","",IF(Atletas!W581&lt;&gt;"",10000,0)+IF(Atletas!B581="Feminino",1000,IF(Atletas!B581="Masculino",2000,""))+IF(OR(Atletas!O581="Yang 26 A",Atletas!O581="Yang 40 A"),401,IF(OR(Atletas!O581="Chen 25 A",Atletas!O581="Chen 36 A",Atletas!O581="Chen 56 A"),402,IF(Atletas!O581="Sun 73 A",403,IF(Atletas!O581="Wu 45 A",404,IF(Atletas!O581="Wu-Hao 46 A",405,IF(OR(Atletas!O581="Taijiquan 16 A",Atletas!O581="Taijiquan 24 A",Atletas!O581="Taijiquan 32 A",Atletas!O581="Taijiquan 42 A"),406,IF(OR(Atletas!O581="Yang 26 B",Atletas!O581="Yang 40 B"),407,IF(OR(Atletas!O581="Chen 25 B",Atletas!O581="Chen 36 B",Atletas!O581="Chen 56 B"),408,IF(Atletas!O581="Sun 73 B",409,IF(Atletas!O581="Wu 45 B",410,IF(Atletas!O581="Wu-Hao 46 B",411,IF(OR(Atletas!O581="Taijiquan 16 B",Atletas!O581="Taijiquan 24 B",Atletas!O581="Taijiquan 32 B",Atletas!O581="Taijiquan 42 B"),412,IF(OR(Atletas!O581="Yang 26 C",Atletas!O581="Yang 40 C"),413,IF(OR(Atletas!O581="Chen 25 C",Atletas!O581="Chen 36 C",Atletas!O581="Chen 56 C"),414,IF(Atletas!O581="Sun 73 C",415,IF(Atletas!O581="Wu 45 C",416,IF(Atletas!O581="Wu-Hao 46 C",417,IF(OR(Atletas!O581="Taijiquan 16 C",Atletas!O581="Taijiquan 24 C",Atletas!O581="Taijiquan 32 C",Atletas!O581="Taijiquan 42 C"),418,0)))))))))))))))))))</f>
        <v/>
      </c>
      <c r="BQ585" s="52" t="str">
        <f>IF(Atletas!O581="","",IF(Atletas!W581&lt;&gt;"",10000,0)+IF(Atletas!B581="Feminino",1000,IF(Atletas!B581="Masculino",2000,""))+IF(OR(Atletas!O581="Yang 26 D",Atletas!O581="Yang 40 D"),419,IF(OR(Atletas!O581="Chen 25 D",Atletas!O581="Chen 36 D",Atletas!O581="Chen 56 D"),420,IF(Atletas!O581="Sun 73 D",421,IF(Atletas!O581="Wu 45 D",422,IF(Atletas!O581="Wu-Hao 46 D",423,IF(OR(Atletas!O581="Taijiquan 16 D",Atletas!O581="Taijiquan 24 D",Atletas!O581="Taijiquan 32 D",Atletas!O581="Taijiquan 42 D"),424,IF(OR(Atletas!O581="Yang 26 E",Atletas!O581="Yang 40 E"),425,IF(OR(Atletas!O581="Chen 25 E",Atletas!O581="Chen 36 E",Atletas!O581="Chen 56 E"),426,IF(Atletas!O581="Sun 73 E",427,IF(Atletas!O581="Wu 45 E",428,IF(Atletas!O581="Wu-Hao 46 E",429,IF(OR(Atletas!O581="Taijiquan 16 E",Atletas!O581="Taijiquan 24 E",Atletas!O581="Taijiquan 32 E",Atletas!O581="Taijiquan 42 E"),430,IF(OR(Atletas!O581="Yang 26 F",Atletas!O581="Yang 40 F"),431,IF(OR(Atletas!O581="Chen 25 F",Atletas!O581="Chen 36 F",Atletas!O581="Chen 56 F"),432,IF(Atletas!O581="Sun 73 F",433,IF(Atletas!O581="Wu 45 F",434,IF(Atletas!O581="Wu-Hao 46 F",435,IF(OR(Atletas!O581="Taijiquan 16 F",Atletas!O581="Taijiquan 24 F",Atletas!O581="Taijiquan 32 F",Atletas!O581="Taijiquan 42 F"),436,0)))))))))))))))))))</f>
        <v/>
      </c>
      <c r="BR585" s="52" t="str">
        <f>IF(Atletas!P581="","",IF(Atletas!W581&lt;&gt;"",10000,0)+IF(Atletas!B581="Feminino",1000,IF(Atletas!B581="Masculino",2000,""))+IF(Atletas!P581="Xingyiquan A",501,IF(Atletas!P581="Baguazhang A",502,IF(Atletas!P581="Outro Estilo Interno A",503,IF(Atletas!P581="Xingyiquan B",504,IF(Atletas!P581="Baguazhang B",505,IF(Atletas!P581="Outro Estilo Interno B",506,IF(Atletas!P581="Xingyiquan C",507,IF(Atletas!P581="Baguazhang C",508,IF(Atletas!P581="Outro Estilo Interno C",509,IF(Atletas!P581="Xingyiquan D",510,IF(Atletas!P581="Baguazhang D",511,IF(Atletas!P581="Outro Estilo Interno D",512,IF(Atletas!P581="Xingyiquan E",513,IF(Atletas!P581="Baguazhang E",514,IF(Atletas!P581="Outro Estilo Interno E",515,IF(Atletas!P581="Xingyiquan F",516,IF(Atletas!P581="Baguazhang F",517,IF(Atletas!P581="Outro Estilo Interno F",518, "")))))))))))))))))))</f>
        <v/>
      </c>
      <c r="BS585" s="52" t="str">
        <f>IF(Atletas!Q581="","",IF(Atletas!W581&lt;&gt;"",10000,0)+IF(Atletas!B581="Feminino",1000,IF(Atletas!B581="Masculino",2000,""))+IF(Atletas!Q581="Dao A",601,IF(Atletas!Q581="Jian A",602,IF(Atletas!Q581="Bishou A",603,IF(Atletas!Q581="Shan A",604,IF(Atletas!Q581="Outra Arma Curta A",605,IF(Atletas!Q581="Dao B",606,IF(Atletas!Q581="Jian B",607,IF(Atletas!Q581="Bishou B",608,IF(Atletas!Q581="Shan B",609,IF(Atletas!Q581="Outra Arma Curta B",610,IF(Atletas!Q581="Dao C",611,IF(Atletas!Q581="Jian C",612,IF(Atletas!Q581="Bishou C",613,IF(Atletas!Q581="Shan C",614,IF(Atletas!Q581="Outra Arma Curta C",615,IF(Atletas!Q581="Dao D",616,IF(Atletas!Q581="Jian D",617,IF(Atletas!Q581="Bishou D",618,IF(Atletas!Q581="Shan D",619,IF(Atletas!Q581="Outra Arma Curta D",620,IF(Atletas!Q581="Dao E",621,IF(Atletas!Q581="Jian E",622,IF(Atletas!Q581="Bishou E",623,IF(Atletas!Q581="Shan E",624,IF(Atletas!Q581="Outra Arma Curta E",625,IF(Atletas!Q581="Dao F",626,IF(Atletas!Q581="Jian F",627,IF(Atletas!Q581="Bishou F",628,IF(Atletas!Q581="Shan F",629,IF(Atletas!Q581="Outra Arma Curta F",630, "")))))))))))))))))))))))))))))))</f>
        <v/>
      </c>
      <c r="BT585" s="52" t="str">
        <f>IF(Atletas!R581="","",IF(Atletas!W581&lt;&gt;"",10000,0)+IF(Atletas!B581="Feminino",1000,IF(Atletas!B581="Masculino",2000,""))+IF(Atletas!R581="Gun A",701,IF(Atletas!R581="Qiang A",702,IF(Atletas!R581="Pudao / Guandao A",703,IF(Atletas!R581="Outra Arma Longa A",704,IF(Atletas!R581="Gun B",705,IF(Atletas!R581="Qiang B",706,IF(Atletas!R581="Pudao / Guandao B",707,IF(Atletas!R581="Outra Arma Longa B",708,IF(Atletas!R581="Gun C",709,IF(Atletas!R581="Qiang C",710,IF(Atletas!R581="Pudao / Guandao C",711,IF(Atletas!R581="Outra Arma Longa C",712,IF(Atletas!R581="Gun D",713,IF(Atletas!R581="Qiang D",714,IF(Atletas!R581="Pudao / Guandao D",715,IF(Atletas!R581="Outra Arma Longa D",716,IF(Atletas!R581="Gun E",717,IF(Atletas!R581="Qiang E",718,IF(Atletas!R581="Pudao / Guandao E",719,IF(Atletas!R581="Outra Arma Longa E",720,IF(Atletas!R581="Gun F",721,IF(Atletas!R581="Qiang F",722,IF(Atletas!R581="Pudao / Guandao F",723,IF(Atletas!R581="Outra Arma Longa F",724,"")))))))))))))))))))))))))</f>
        <v/>
      </c>
      <c r="BU585" s="52" t="str">
        <f>IF(Atletas!S581="","",IF(Atletas!W581&lt;&gt;"",10000,0)+IF(Atletas!B581="Feminino",1000,IF(Atletas!B581="Masculino",2000,""))+IF(Atletas!S581="Arma Dupla A",801,IF(Atletas!S581="Arma Maleável A",802,IF(Atletas!S581="Arma Dupla B",803,IF(Atletas!S581="Arma Maleável B",804,IF(Atletas!S581="Arma Dupla C",805,IF(Atletas!S581="Arma Maleável C",806,IF(Atletas!S581="Arma Dupla D",807,IF(Atletas!S581="Arma Maleável D",808,IF(Atletas!S581="Arma Dupla E",809,IF(Atletas!S581="Arma Maleável E",810,IF(Atletas!S581="Arma Dupla F",811,IF(Atletas!S581="Arma Maleável F",812, "")))))))))))))</f>
        <v/>
      </c>
      <c r="BV585" s="52" t="str">
        <f>IF(Atletas!T581="","",IF(Atletas!W581&lt;&gt;"",10000,0)+IF(Atletas!B581="Feminino",1000,IF(Atletas!B581="Masculino",2000,""))+IF(Atletas!T581="Taijijian Yang A",901,IF(Atletas!T581="Taijijian Chen A",902,IF(Atletas!T581="Taijijian Sun A",903,IF(Atletas!T581="Taijijian Wu A",904,IF(Atletas!T581="Taijijian Wu-Hao A",905,IF(Atletas!T581="Taijijian 32 A",906,IF(Atletas!T581="Taijijian 42 A",907,IF(Atletas!T581="Taijijian Yang B",908,IF(Atletas!T581="Taijijian Chen B",909,IF(Atletas!T581="Taijijian Sun B",910,IF(Atletas!T581="Taijijian Wu B",911,IF(Atletas!T581="Taijijian Wu-Hao B",912,IF(Atletas!T581="Taijijian 32 B",913,IF(Atletas!T581="Taijijian 42 B",914,IF(Atletas!T581="Taijijian Yang C",915,IF(Atletas!T581="Taijijian Chen C",916,IF(Atletas!T581="Taijijian Sun C",917,IF(Atletas!T581="Taijijian Wu C",918,IF(Atletas!T581="Taijijian Wu-Hao C",919,IF(Atletas!T581="Taijijian 32 C",920,IF(Atletas!T581="Taijijian 42 C",921,IF(Atletas!T581="Taijijian Yang D",922,IF(Atletas!T581="Taijijian Chen D",923,IF(Atletas!T581="Taijijian Sun D",924,IF(Atletas!T581="Taijijian Wu D",925,IF(Atletas!T581="Taijijian Wu-Hao D",926,IF(Atletas!T581="Taijijian 32 D",927,IF(Atletas!T581="Taijijian 42 D",928,IF(Atletas!T581="Taijijian Yang E",929,IF(Atletas!T581="Taijijian Chen E",930,IF(Atletas!T581="Taijijian Sun E",931,IF(Atletas!T581="Taijijian Wu E",932,IF(Atletas!T581="Taijijian Wu-Hao E",933,IF(Atletas!T581="Taijijian 32 E",934,IF(Atletas!T581="Taijijian 42 E",935,IF(Atletas!T581="Taijijian Yang F",936,IF(Atletas!T581="Taijijian Chen F",937,IF(Atletas!T581="Taijijian Sun F",938,IF(Atletas!T581="Taijijian Wu F",939,IF(Atletas!T581="Taijijian Wu-Hao F",940,IF(Atletas!T581="Taijijian 32 F",941,IF(Atletas!T581="Taijijian 42 F",942,"")))))))))))))))))))))))))))))))))))))))))))</f>
        <v/>
      </c>
      <c r="BW585" s="52" t="str">
        <f>IF(Atletas!U581="","",IF(Atletas!W581&lt;&gt;"",10000,0)+IF(Atletas!B581="Feminino",1000,IF(Atletas!B581="Masculino",2000,""))+IF(Atletas!T581="Taijijian 42 F",942,IF(Atletas!U581="Taijidao A",943,IF(Atletas!U581="Taijishan A",944,IF(Atletas!U581="Taijiqiang A",945,IF(Atletas!U581="Taijidao B",946,IF(Atletas!U581="Taijishan B",947,IF(Atletas!U581="Taijiqiang B",948,IF(Atletas!U581="Taijidao C",949,IF(Atletas!U581="Taijishan C",950,IF(Atletas!U581="Taijiqiang C",951,IF(Atletas!U581="Taijidao D",952,IF(Atletas!U581="Taijishan D",953,IF(Atletas!U581="Taijiqiang D",954,IF(Atletas!U581="Taijidao E",955,IF(Atletas!U581="Taijishan E",956,IF(Atletas!U581="Taijiqiang E",957,IF(Atletas!U581="Taijidao F",958,IF(Atletas!U581="Taijishan F",959,IF(Atletas!U581="Taijiqiang F",960))))))))))))))))))))</f>
        <v/>
      </c>
      <c r="CF585" s="52" t="str">
        <f xml:space="preserve"> IF(Atletas!V581="","",IF(Atletas!V581="Duilian de Mãos AB - Equipe 1",1,IF(Atletas!V581="Duilian de Mãos AB - Equipe 2",2,IF(Atletas!V581="Duilian de Armas AB - Equipe 1",3,IF(Atletas!V581="Duilian de Armas AB - Equipe 2",4,IF(Atletas!V581="Duilian de Tuishou - Equipe 1",5,IF(Atletas!V581="Duilian de Tuishou - Equipe 2",6,IF(Atletas!V581="Grupo Externo AB - Equipe 1",7,IF(Atletas!V581="Grupo Externo AB - Equipe 2",8,IF(Atletas!V581="Grupo Interno AB - Equipe 1",9,IF(Atletas!V581="Grupo Interno AB - Equipe 2",10,IF(Atletas!V581="Duilian de Mãos CD - Equipe 1",11,IF(Atletas!V581="Duilian de Mãos CD - Equipe 2",12,IF(Atletas!V581="Duilian de Armas CD - Equipe 1",13,IF(Atletas!V581="Duilian de Armas CD - Equipe 2",14,IF(Atletas!V581="Duilian de Tuishou - Equipe 1",15,IF(Atletas!V581="Duilian de Tuishou - Equipe 2",16,IF(Atletas!V581="Grupo Externo CDEF - Equipe 1",17,IF(Atletas!V581="Grupo Externo CDEF - Equipe 2",18,IF(Atletas!V581="Grupo Interno CDEF - Equipe 1",19,IF(Atletas!V581="Grupo Interno CDEF - Equipe 2",20,IF(Atletas!V581="Duilian de Mãos EF - Equipe 1",21,IF(Atletas!V581="Duilian de Mãos EF - Equipe 2",22,IF(Atletas!V581="Duilian de Armas EF - Equipe 1",23,IF(Atletas!V581="Duilian de Armas EF - Equipe 2",24,IF(Atletas!V581="Duilian de Tuishou - Equipe 1",25,IF(Atletas!V581="Duilian de Tuishou - Equipe 2",26,"")))))))))))))))))))))))))))</f>
        <v/>
      </c>
    </row>
    <row r="586" spans="36:84">
      <c r="AJ586" s="46" t="str">
        <f>IF(Atletas!D582="","",IF(Atletas!B582="Feminino",100,IF(Atletas!B582="Masculino",200,""))+(IF(Atletas!D582="Infantil 39kg",1,IF(Atletas!D582="Infantil 42kg",2,IF(Atletas!D582="Infantil 45kg",3,IF(Atletas!D582="Infantil 48kg",4,IF(Atletas!D582="Infantil 52kg",5,IF(Atletas!D582="Infantil 56kg",6,IF(Atletas!D582="Infantil 60kg",7,IF(Atletas!D582="Juvenil 48kg",8,IF(Atletas!D582="Juvenil 52kg",9,IF(Atletas!D582="Juvenil 56kg",10,IF(Atletas!D582="Juvenil 60kg",11,IF(Atletas!D582="Juvenil 65kg",12,IF(Atletas!D582="Juvenil 70kg",13,IF(Atletas!D582="Juvenil 75kg",14,IF(Atletas!D582="Juvenil 80kg",15,IF(Atletas!D582="Adulto 48kg",16,IF(Atletas!D582="Adulto 52kg",17,IF(Atletas!D582="Adulto 56kg",18,IF(Atletas!D582="Adulto 60kg",19,IF(Atletas!D582="Adulto 65kg",20,IF(Atletas!D582="Adulto 70kg",21,IF(Atletas!D582="Adulto 75kg",22,IF(Atletas!D582="Adulto 80kg",23,IF(Atletas!D582="Adulto 85kg",24,IF(Atletas!D582="Adulto 90kg",25,IF(Atletas!D582="Adulto +90kg",26,""))))))))))))))))))))))))))))</f>
        <v/>
      </c>
      <c r="AO586" s="10" t="str">
        <f>IF(Atletas!E582="","",IF(Atletas!B582="Feminino",100,IF(Atletas!B582="Masculino",200,""))+(IF(Atletas!E582="Juvenil 44kg",1,IF(Atletas!E582="Juvenil 48kg",2,IF(Atletas!E582="Juvenil 52kg",3,IF(Atletas!E582="Juvenil 56kg",4,IF(Atletas!E582="Juvenil 60kg",5,IF(Atletas!E582="Juvenil 65kg",6,IF(Atletas!E582="Juvenil 70kg",7,IF(Atletas!E582="Juvenil 75kg",8,IF(Atletas!E582="Juvenil 82kg",9,IF(Atletas!E582="Juvenil 90kg",10,IF(Atletas!E582="Juvenil 100kg",11,IF(Atletas!E582="Adulto 48kg",12,IF(Atletas!E582="Adulto 52kg",13,IF(Atletas!E582="Adulto 56kg",14,IF(Atletas!E582="Adulto 60kg",15,IF(Atletas!E582="Adulto 65kg",16,IF(Atletas!E582="Adulto 70kg",17,IF(Atletas!E582="Adulto 75kg",18,IF(Atletas!E582="Adulto 82kg",19,IF(Atletas!E582="Adulto 90kg",20,IF(Atletas!E582="Adulto 100kg",21,IF(Atletas!E582="Adulto +100kg",22,""))))))))))))))))))))))))</f>
        <v/>
      </c>
      <c r="AT586" s="10" t="str">
        <f>IF(Atletas!F582="","",IF(Atletas!B582="Feminino",100,IF(Atletas!B582="Masculino",200,""))+(IF(Atletas!F582="Adulto 48kg",1,IF(Atletas!F582="Adulto 56kg",2,IF(Atletas!F582="Adulto 65kg",3,IF(Atletas!F582="Adulto 75kg",4,IF(Atletas!F582="Adulto +75kg",5,IF(Atletas!F582="Adulto 52kg",6,IF(Atletas!F582="Adulto 60kg",7,IF(Atletas!F582="Adulto 70kg",8,IF(Atletas!F582="Adulto 80kg",9,IF(Atletas!F582="Adulto 90kg",10,IF(Atletas!F582="Adulto +90kg",11,"")))))))))))))</f>
        <v/>
      </c>
      <c r="AY586" s="46" t="str">
        <f>IF(Atletas!G582="","",IF(Atletas!B582="Feminino",100,IF(Atletas!B582="Masculino",200,""))+(IF(Atletas!G582="Changquan Mirim",1,IF(Atletas!G582="Nanquan Mirim",2,IF(Atletas!G582="Taijiquan Mirim",3,IF(Atletas!G582="Changquan Grupo C",4,IF(Atletas!G582="Nanquan Grupo C",5,IF(Atletas!G582="Taijiquan Grupo C",6,IF(Atletas!G582="Changquan Grupo B",7,IF(Atletas!G582="Nanquan Grupo B",8,IF(Atletas!G582="Taijiquan Grupo B",9,IF(Atletas!G582="Changquan Grupo A",10,IF(Atletas!G582="Nanquan Grupo A",11,IF(Atletas!G582="Taijiquan Grupo A",12,IF(Atletas!G582="Changquan Opcional",13,IF(Atletas!G582="Nanquan Opcional",14,IF(Atletas!G582="Taijiquan Opcional",15,IF(Atletas!G582="Changquan Adulto",16,IF(Atletas!G582="Nanquan Adulto",17,IF(Atletas!G582="Taijiquan Adulto",18,""))))))))))))))))))))</f>
        <v/>
      </c>
      <c r="AZ586" s="46" t="str">
        <f>IF(Atletas!H582="","",IF(Atletas!B582="Feminino",100,IF(Atletas!B582="Masculino",200,""))+(IF(Atletas!H582="Daoshu Mirim",19,IF(Atletas!H582="Jianshu Mirim",20,IF(Atletas!H582="Nandao Mirim",21,IF(Atletas!H582="Taijijian Mirim",22,IF(Atletas!H582="Daoshu Grupo C",23,IF(Atletas!H582="Jianshu Grupo C",24,IF(Atletas!H582="Nandao Grupo C",25,IF(Atletas!H582="Taijijian Grupo C",26,IF(Atletas!H582="Daoshu Grupo B",27,IF(Atletas!H582="Jianshu Grupo B",28,IF(Atletas!H582="Nandao Grupo B",29,IF(Atletas!H582="Taijijian Grupo B",30,IF(Atletas!H582="Daoshu Grupo A",31,IF(Atletas!H582="Jianshu Grupo A",32,IF(Atletas!H582="Nandao Grupo A",33,IF(Atletas!H582="Taijijian Grupo A",34,IF(Atletas!H582="Daoshu Opcional",35,IF(Atletas!H582="Jianshu Opcional",36,IF(Atletas!H582="Nandao Opcional",37,IF(Atletas!H582="Taijijian Opcional",38,IF(Atletas!H582="Daoshu Adulto",39,IF(Atletas!H582="Jianshu Adulto",40,IF(Atletas!H582="Nandao Adulto",41,IF(Atletas!H582="Taijijian Adulto",42,""))))))))))))))))))))))))))</f>
        <v/>
      </c>
      <c r="BA586" s="46" t="str">
        <f>IF(Atletas!I582="","",IF(Atletas!B582="Feminino",100,IF(Atletas!B582="Masculino",200,""))+(IF(Atletas!I582="Gunshu Mirim",43,IF(Atletas!I582="Qiangshu Mirim",44,IF(Atletas!I582="Nangun Mirim",45,IF(Atletas!I582="Gunshu Grupo C",46,IF(Atletas!I582="Qiangshu Grupo C",47,IF(Atletas!I582="Nangun Grupo C",48,IF(Atletas!I582="Gunshu Grupo B",49,IF(Atletas!I582="Qiangshu Grupo B",50,IF(Atletas!I582="Nangun Grupo B",51,IF(Atletas!I582="Gunshu Grupo A",52,IF(Atletas!I582="Qiangshu Grupo A",53,IF(Atletas!I582="Nangun Grupo A",54,IF(Atletas!I582="Gunshu Opcional",55,IF(Atletas!I582="Qiangshu Opcional",56,IF(Atletas!I582="Nangun Opcional",57,IF(Atletas!I582="Gunshu Adulto",58,IF(Atletas!I582="Qiangshu Adulto",59,IF(Atletas!I582="Nangun Adulto",60,""))))))))))))))))))))</f>
        <v/>
      </c>
      <c r="BF586" s="52" t="str">
        <f>IF(Atletas!J582="","",IF(Atletas!B582="Feminino",100,IF(Atletas!B582="Masculino",200,""))+(IF(Atletas!J582="Equipe 1 Grupo B",1,IF(Atletas!J582="Equipe 2 Grupo B",2,IF(Atletas!J582="Equipe 1 Grupo A",3,IF(Atletas!J582="Equipe 2 Grupo A",4,IF(Atletas!J582="Equipe 1 Adulto",5,IF(Atletas!J582="Equipe 2 Adulto",6,""))))))))</f>
        <v/>
      </c>
      <c r="BK586" s="52" t="str">
        <f>IF(Atletas!K582="","",IF(Atletas!W582&lt;&gt;"",10000,0)+(IF(Atletas!B582="Feminino",1000,IF(Atletas!B582="Masculino",2000,""))+IF(Atletas!K582="Choylayfut A",1,IF(Atletas!K582="Hunggar A",2,IF(Atletas!K582="Wuzuquan A",3,IF(Atletas!K582="Wingchun A",4,IF(Atletas!K582="Outra Mão de Sul A",5,IF(Atletas!K582="Choylayfut B",6,IF(Atletas!K582="Hunggar B",7,IF(Atletas!K582="Wuzuquan B",8,IF(Atletas!K582="Wingchun B",9,IF(Atletas!K582="Outra Mão de Sul B",10,IF(Atletas!K582="Choylayfut C",11,IF(Atletas!K582="Hunggar C",12,IF(Atletas!K582="Wuzuquan C",13,IF(Atletas!K582="Wingchun C",14,IF(Atletas!K582="Outra Mão de Sul C",15,IF(Atletas!K582="Choylayfut D",16,IF(Atletas!K582="Hunggar D",17,IF(Atletas!K582="Wuzuquan D",18,IF(Atletas!K582="Wingchun D",19,IF(Atletas!K582="Outra Mão de Sul D",20,IF(Atletas!K582="Choylayfut E",21,IF(Atletas!K582="Hunggar E",22,IF(Atletas!K582="Wuzuquan E",23,IF(Atletas!K582="Wingchun E",24,IF(Atletas!K582="Outra Mão de Sul E",25,IF(Atletas!K582="Choylayfut F",26,IF(Atletas!K582="Hunggar F",27,IF(Atletas!K582="Wuzuquan F",28,IF(Atletas!K582="Wingchun F",29,IF(Atletas!K582="Outra Mão de Sul F",30,""))))))))))))))))))))))))))))))))</f>
        <v/>
      </c>
      <c r="BL586" s="52" t="str">
        <f>IF(Atletas!L582="","",IF(Atletas!W582&lt;&gt;"",10000,0)+(IF(Atletas!B582="Feminino",1000,IF(Atletas!B582="Masculino",2000,""))+(IF(Atletas!L582="Chaquan A",101,IF(Atletas!L582="Emeiquan A",102,IF(Atletas!L582="Fanziquan A",103,IF(Atletas!L582="Huaquan A",104,IF(Atletas!L582="Hongquan A",105,IF(Atletas!L582="Paochui A",106,IF(Atletas!L582="Piguaquan A",107,IF(Atletas!L582="Shaolinquan A",108,IF(Atletas!L582="Tanglangquan A",109,IF(Atletas!L582="Yinzhaophai A",110,IF(Atletas!L582="Tongbeiquan A",111,IF(Atletas!L582="Wudangquan A",112,IF(Atletas!L582="Outros Estilos A",113,IF(Atletas!L582="Chaquan B",114,IF(Atletas!L582="Emeiquan B",115,IF(Atletas!L582="Fanziquan B",116,IF(Atletas!L582="Huaquan B",117,IF(Atletas!L582="Hongquan B",118,IF(Atletas!L582="Paochui B",119,IF(Atletas!L582="Piguaquan B",120,IF(Atletas!L582="Shaolinquan B",121,IF(Atletas!L582="Tanglangquan B",122,IF(Atletas!L582="Yinzhaophai B",123,IF(Atletas!L582="Tongbeiquan B",124,IF(Atletas!L582="Wudangquan B",125,IF(Atletas!L582="Outros Estilos B",126,IF(Atletas!L582="Chaquan C",127,IF(Atletas!L582="Emeiquan C",128,IF(Atletas!L582="Fanziquan C",129,IF(Atletas!L582="Huaquan C",130,IF(Atletas!L582="Hongquan C",131,IF(Atletas!L582="Paochui C",132,IF(Atletas!L582="Piguaquan C",133,IF(Atletas!L582="Shaolinquan C",134,IF(Atletas!L582="Tanglangquan C",135,IF(Atletas!L582="Yinzhaophai C",136,IF(Atletas!L582="Tongbeiquan C",137,IF(Atletas!L582="Wudangquan C",138,IF(Atletas!L582="Outros Estilos C",139,0))))))))))))))))))))))))))))))))))))))))))</f>
        <v/>
      </c>
      <c r="BM586" s="52" t="str">
        <f>IF(Atletas!L582="","",IF(Atletas!W582&lt;&gt;"",10000,0)+(IF(Atletas!B582="Feminino",1000,IF(Atletas!B582="Masculino",2000,""))+(IF(Atletas!L582="Chaquan D",140,IF(Atletas!L582="Emeiquan D",141,IF(Atletas!L582="Fanziquan D",142,IF(Atletas!L582="Huaquan D",143,IF(Atletas!L582="Hongquan D",144,IF(Atletas!L582="Paochui D",145,IF(Atletas!L582="Piguaquan D",146,IF(Atletas!L582="Shaolinquan D",147,IF(Atletas!L582="Tanglangquan D",148,IF(Atletas!L582="Yinzhaophai D",149,IF(Atletas!L582="Tongbeiquan D",150,IF(Atletas!L582="Wudangquan D",151,IF(Atletas!L582="Outros Estilos D",152,IF(Atletas!L582="Chaquan E",153,IF(Atletas!L582="Emeiquan E",154,IF(Atletas!L582="Fanziquan E",155,IF(Atletas!L582="Huaquan E",156,IF(Atletas!L582="Hongquan E",157,IF(Atletas!L582="Paochui E",158,IF(Atletas!L582="Piguaquan E",159,IF(Atletas!L582="Shaolinquan E",160,IF(Atletas!L582="Tanglangquan E",161,IF(Atletas!L582="Yinzhaophai E",162,IF(Atletas!L582="Tongbeiquan E",163,IF(Atletas!L582="Wudangquan E",164,IF(Atletas!L582="Outros Estilos E",165,IF(Atletas!L582="Chaquan F",166,IF(Atletas!L582="Emeiquan F",167,IF(Atletas!L582="Fanziquan F",168,IF(Atletas!L582="Huaquan F",169,IF(Atletas!L582="Hongquan F",170,IF(Atletas!L582="Paochui F",171,IF(Atletas!L582="Piguaquan F",172,IF(Atletas!L582="Shaolinquan F",173,IF(Atletas!L582="Tanglangquan F",174,IF(Atletas!L582="Yinzhaophai F",175,IF(Atletas!L582="Tongbeiquan F",176,IF(Atletas!L582="Wudangquan F",177,IF(Atletas!L582="Outros Estilos F",178,0))))))))))))))))))))))))))))))))))))))))))</f>
        <v/>
      </c>
      <c r="BN586" s="52" t="str">
        <f>IF(Atletas!M582="","",IF(Atletas!W582&lt;&gt;"",10000,0)+(IF(Atletas!B582="Feminino",1000,IF(Atletas!B582="Masculino",2000,""))+(IF(Atletas!M582="Ditangquan A",201,IF(Atletas!M582="Houquan A",202,IF(Atletas!M582="Zuiquan A",203,IF(Atletas!M582="Ditangquan B",204,IF(Atletas!M582="Houquan B",205,IF(Atletas!M582="Zuiquan B",206,IF(Atletas!M582="Ditangquan C",207,IF(Atletas!M582="Houquan C",208,IF(Atletas!M582="Zuiquan C",209,IF(Atletas!M582="Ditangquan D",210,IF(Atletas!M582="Houquan D",211,IF(Atletas!M582="Zuiquan D",212,IF(Atletas!M582="Ditangquan E",213,IF(Atletas!M582="Houquan E",214,IF(Atletas!M582="Zuiquan E",215,IF(Atletas!M582="Ditangquan F",216,IF(Atletas!M582="Houquan F",217,IF(Atletas!M582="Zuiquan F",218,"")))))))))))))))))))))</f>
        <v/>
      </c>
      <c r="BO586" s="52" t="str">
        <f>IF(Atletas!N582="","",IF(Atletas!W582&lt;&gt;"",10000,0)+IF(Atletas!B582="Feminino",1000,IF(Atletas!B582="Masculino",2000,""))+IF(Atletas!N582="Yang A",301,IF(Atletas!N582="Chen A",30,IF(Atletas!N582="Sun A",303,IF(Atletas!N582="Wu A",304,IF(Atletas!N582="Wu-Hao A",305,IF(Atletas!N582="Outro Taijiquan A",306,IF(Atletas!N582="Yang B",307,IF(Atletas!N582="Chen B",308,IF(Atletas!N582="Sun B",309,IF(Atletas!N582="Wu B",310,IF(Atletas!N582="Wu-Hao B",311,IF(Atletas!N582="Outro Taijiquan B",312,IF(Atletas!N582="Yang C",313,IF(Atletas!N582="Chen C",314,IF(Atletas!N582="Sun C",315,IF(Atletas!N582="Wu C",316,IF(Atletas!N582="Wu-Hao C",317,IF(Atletas!N582="Outro Taijiquan C",318,IF(Atletas!N582="Yang D",319,IF(Atletas!N582="Chen D",320,IF(Atletas!N582="Sun D",321,IF(Atletas!N582="Wu D",322,IF(Atletas!N582="Wu-Hao D",323,IF(Atletas!N582="Outro Taijiquan D",324,IF(Atletas!N582="Yang E",325,IF(Atletas!N582="Chen E",326,IF(Atletas!N582="Sun E",327,IF(Atletas!N582="Wu E",328,IF(Atletas!N582="Wu-Hao E",329,IF(Atletas!N582="Outro Taijiquan E",330,IF(Atletas!N582="Yang F",331,IF(Atletas!N582="Chen F",332,IF(Atletas!N582="Sun F",333,IF(Atletas!N582="Wu F",334,IF(Atletas!N582="Wu-Hao F",335,IF(Atletas!N582="Outro Taijiquan F",336,"")))))))))))))))))))))))))))))))))))))</f>
        <v/>
      </c>
      <c r="BP586" s="52" t="str">
        <f>IF(Atletas!O582="","",IF(Atletas!W582&lt;&gt;"",10000,0)+IF(Atletas!B582="Feminino",1000,IF(Atletas!B582="Masculino",2000,""))+IF(OR(Atletas!O582="Yang 26 A",Atletas!O582="Yang 40 A"),401,IF(OR(Atletas!O582="Chen 25 A",Atletas!O582="Chen 36 A",Atletas!O582="Chen 56 A"),402,IF(Atletas!O582="Sun 73 A",403,IF(Atletas!O582="Wu 45 A",404,IF(Atletas!O582="Wu-Hao 46 A",405,IF(OR(Atletas!O582="Taijiquan 16 A",Atletas!O582="Taijiquan 24 A",Atletas!O582="Taijiquan 32 A",Atletas!O582="Taijiquan 42 A"),406,IF(OR(Atletas!O582="Yang 26 B",Atletas!O582="Yang 40 B"),407,IF(OR(Atletas!O582="Chen 25 B",Atletas!O582="Chen 36 B",Atletas!O582="Chen 56 B"),408,IF(Atletas!O582="Sun 73 B",409,IF(Atletas!O582="Wu 45 B",410,IF(Atletas!O582="Wu-Hao 46 B",411,IF(OR(Atletas!O582="Taijiquan 16 B",Atletas!O582="Taijiquan 24 B",Atletas!O582="Taijiquan 32 B",Atletas!O582="Taijiquan 42 B"),412,IF(OR(Atletas!O582="Yang 26 C",Atletas!O582="Yang 40 C"),413,IF(OR(Atletas!O582="Chen 25 C",Atletas!O582="Chen 36 C",Atletas!O582="Chen 56 C"),414,IF(Atletas!O582="Sun 73 C",415,IF(Atletas!O582="Wu 45 C",416,IF(Atletas!O582="Wu-Hao 46 C",417,IF(OR(Atletas!O582="Taijiquan 16 C",Atletas!O582="Taijiquan 24 C",Atletas!O582="Taijiquan 32 C",Atletas!O582="Taijiquan 42 C"),418,0)))))))))))))))))))</f>
        <v/>
      </c>
      <c r="BQ586" s="52" t="str">
        <f>IF(Atletas!O582="","",IF(Atletas!W582&lt;&gt;"",10000,0)+IF(Atletas!B582="Feminino",1000,IF(Atletas!B582="Masculino",2000,""))+IF(OR(Atletas!O582="Yang 26 D",Atletas!O582="Yang 40 D"),419,IF(OR(Atletas!O582="Chen 25 D",Atletas!O582="Chen 36 D",Atletas!O582="Chen 56 D"),420,IF(Atletas!O582="Sun 73 D",421,IF(Atletas!O582="Wu 45 D",422,IF(Atletas!O582="Wu-Hao 46 D",423,IF(OR(Atletas!O582="Taijiquan 16 D",Atletas!O582="Taijiquan 24 D",Atletas!O582="Taijiquan 32 D",Atletas!O582="Taijiquan 42 D"),424,IF(OR(Atletas!O582="Yang 26 E",Atletas!O582="Yang 40 E"),425,IF(OR(Atletas!O582="Chen 25 E",Atletas!O582="Chen 36 E",Atletas!O582="Chen 56 E"),426,IF(Atletas!O582="Sun 73 E",427,IF(Atletas!O582="Wu 45 E",428,IF(Atletas!O582="Wu-Hao 46 E",429,IF(OR(Atletas!O582="Taijiquan 16 E",Atletas!O582="Taijiquan 24 E",Atletas!O582="Taijiquan 32 E",Atletas!O582="Taijiquan 42 E"),430,IF(OR(Atletas!O582="Yang 26 F",Atletas!O582="Yang 40 F"),431,IF(OR(Atletas!O582="Chen 25 F",Atletas!O582="Chen 36 F",Atletas!O582="Chen 56 F"),432,IF(Atletas!O582="Sun 73 F",433,IF(Atletas!O582="Wu 45 F",434,IF(Atletas!O582="Wu-Hao 46 F",435,IF(OR(Atletas!O582="Taijiquan 16 F",Atletas!O582="Taijiquan 24 F",Atletas!O582="Taijiquan 32 F",Atletas!O582="Taijiquan 42 F"),436,0)))))))))))))))))))</f>
        <v/>
      </c>
      <c r="BR586" s="52" t="str">
        <f>IF(Atletas!P582="","",IF(Atletas!W582&lt;&gt;"",10000,0)+IF(Atletas!B582="Feminino",1000,IF(Atletas!B582="Masculino",2000,""))+IF(Atletas!P582="Xingyiquan A",501,IF(Atletas!P582="Baguazhang A",502,IF(Atletas!P582="Outro Estilo Interno A",503,IF(Atletas!P582="Xingyiquan B",504,IF(Atletas!P582="Baguazhang B",505,IF(Atletas!P582="Outro Estilo Interno B",506,IF(Atletas!P582="Xingyiquan C",507,IF(Atletas!P582="Baguazhang C",508,IF(Atletas!P582="Outro Estilo Interno C",509,IF(Atletas!P582="Xingyiquan D",510,IF(Atletas!P582="Baguazhang D",511,IF(Atletas!P582="Outro Estilo Interno D",512,IF(Atletas!P582="Xingyiquan E",513,IF(Atletas!P582="Baguazhang E",514,IF(Atletas!P582="Outro Estilo Interno E",515,IF(Atletas!P582="Xingyiquan F",516,IF(Atletas!P582="Baguazhang F",517,IF(Atletas!P582="Outro Estilo Interno F",518, "")))))))))))))))))))</f>
        <v/>
      </c>
      <c r="BS586" s="52" t="str">
        <f>IF(Atletas!Q582="","",IF(Atletas!W582&lt;&gt;"",10000,0)+IF(Atletas!B582="Feminino",1000,IF(Atletas!B582="Masculino",2000,""))+IF(Atletas!Q582="Dao A",601,IF(Atletas!Q582="Jian A",602,IF(Atletas!Q582="Bishou A",603,IF(Atletas!Q582="Shan A",604,IF(Atletas!Q582="Outra Arma Curta A",605,IF(Atletas!Q582="Dao B",606,IF(Atletas!Q582="Jian B",607,IF(Atletas!Q582="Bishou B",608,IF(Atletas!Q582="Shan B",609,IF(Atletas!Q582="Outra Arma Curta B",610,IF(Atletas!Q582="Dao C",611,IF(Atletas!Q582="Jian C",612,IF(Atletas!Q582="Bishou C",613,IF(Atletas!Q582="Shan C",614,IF(Atletas!Q582="Outra Arma Curta C",615,IF(Atletas!Q582="Dao D",616,IF(Atletas!Q582="Jian D",617,IF(Atletas!Q582="Bishou D",618,IF(Atletas!Q582="Shan D",619,IF(Atletas!Q582="Outra Arma Curta D",620,IF(Atletas!Q582="Dao E",621,IF(Atletas!Q582="Jian E",622,IF(Atletas!Q582="Bishou E",623,IF(Atletas!Q582="Shan E",624,IF(Atletas!Q582="Outra Arma Curta E",625,IF(Atletas!Q582="Dao F",626,IF(Atletas!Q582="Jian F",627,IF(Atletas!Q582="Bishou F",628,IF(Atletas!Q582="Shan F",629,IF(Atletas!Q582="Outra Arma Curta F",630, "")))))))))))))))))))))))))))))))</f>
        <v/>
      </c>
      <c r="BT586" s="52" t="str">
        <f>IF(Atletas!R582="","",IF(Atletas!W582&lt;&gt;"",10000,0)+IF(Atletas!B582="Feminino",1000,IF(Atletas!B582="Masculino",2000,""))+IF(Atletas!R582="Gun A",701,IF(Atletas!R582="Qiang A",702,IF(Atletas!R582="Pudao / Guandao A",703,IF(Atletas!R582="Outra Arma Longa A",704,IF(Atletas!R582="Gun B",705,IF(Atletas!R582="Qiang B",706,IF(Atletas!R582="Pudao / Guandao B",707,IF(Atletas!R582="Outra Arma Longa B",708,IF(Atletas!R582="Gun C",709,IF(Atletas!R582="Qiang C",710,IF(Atletas!R582="Pudao / Guandao C",711,IF(Atletas!R582="Outra Arma Longa C",712,IF(Atletas!R582="Gun D",713,IF(Atletas!R582="Qiang D",714,IF(Atletas!R582="Pudao / Guandao D",715,IF(Atletas!R582="Outra Arma Longa D",716,IF(Atletas!R582="Gun E",717,IF(Atletas!R582="Qiang E",718,IF(Atletas!R582="Pudao / Guandao E",719,IF(Atletas!R582="Outra Arma Longa E",720,IF(Atletas!R582="Gun F",721,IF(Atletas!R582="Qiang F",722,IF(Atletas!R582="Pudao / Guandao F",723,IF(Atletas!R582="Outra Arma Longa F",724,"")))))))))))))))))))))))))</f>
        <v/>
      </c>
      <c r="BU586" s="52" t="str">
        <f>IF(Atletas!S582="","",IF(Atletas!W582&lt;&gt;"",10000,0)+IF(Atletas!B582="Feminino",1000,IF(Atletas!B582="Masculino",2000,""))+IF(Atletas!S582="Arma Dupla A",801,IF(Atletas!S582="Arma Maleável A",802,IF(Atletas!S582="Arma Dupla B",803,IF(Atletas!S582="Arma Maleável B",804,IF(Atletas!S582="Arma Dupla C",805,IF(Atletas!S582="Arma Maleável C",806,IF(Atletas!S582="Arma Dupla D",807,IF(Atletas!S582="Arma Maleável D",808,IF(Atletas!S582="Arma Dupla E",809,IF(Atletas!S582="Arma Maleável E",810,IF(Atletas!S582="Arma Dupla F",811,IF(Atletas!S582="Arma Maleável F",812, "")))))))))))))</f>
        <v/>
      </c>
      <c r="BV586" s="52" t="str">
        <f>IF(Atletas!T582="","",IF(Atletas!W582&lt;&gt;"",10000,0)+IF(Atletas!B582="Feminino",1000,IF(Atletas!B582="Masculino",2000,""))+IF(Atletas!T582="Taijijian Yang A",901,IF(Atletas!T582="Taijijian Chen A",902,IF(Atletas!T582="Taijijian Sun A",903,IF(Atletas!T582="Taijijian Wu A",904,IF(Atletas!T582="Taijijian Wu-Hao A",905,IF(Atletas!T582="Taijijian 32 A",906,IF(Atletas!T582="Taijijian 42 A",907,IF(Atletas!T582="Taijijian Yang B",908,IF(Atletas!T582="Taijijian Chen B",909,IF(Atletas!T582="Taijijian Sun B",910,IF(Atletas!T582="Taijijian Wu B",911,IF(Atletas!T582="Taijijian Wu-Hao B",912,IF(Atletas!T582="Taijijian 32 B",913,IF(Atletas!T582="Taijijian 42 B",914,IF(Atletas!T582="Taijijian Yang C",915,IF(Atletas!T582="Taijijian Chen C",916,IF(Atletas!T582="Taijijian Sun C",917,IF(Atletas!T582="Taijijian Wu C",918,IF(Atletas!T582="Taijijian Wu-Hao C",919,IF(Atletas!T582="Taijijian 32 C",920,IF(Atletas!T582="Taijijian 42 C",921,IF(Atletas!T582="Taijijian Yang D",922,IF(Atletas!T582="Taijijian Chen D",923,IF(Atletas!T582="Taijijian Sun D",924,IF(Atletas!T582="Taijijian Wu D",925,IF(Atletas!T582="Taijijian Wu-Hao D",926,IF(Atletas!T582="Taijijian 32 D",927,IF(Atletas!T582="Taijijian 42 D",928,IF(Atletas!T582="Taijijian Yang E",929,IF(Atletas!T582="Taijijian Chen E",930,IF(Atletas!T582="Taijijian Sun E",931,IF(Atletas!T582="Taijijian Wu E",932,IF(Atletas!T582="Taijijian Wu-Hao E",933,IF(Atletas!T582="Taijijian 32 E",934,IF(Atletas!T582="Taijijian 42 E",935,IF(Atletas!T582="Taijijian Yang F",936,IF(Atletas!T582="Taijijian Chen F",937,IF(Atletas!T582="Taijijian Sun F",938,IF(Atletas!T582="Taijijian Wu F",939,IF(Atletas!T582="Taijijian Wu-Hao F",940,IF(Atletas!T582="Taijijian 32 F",941,IF(Atletas!T582="Taijijian 42 F",942,"")))))))))))))))))))))))))))))))))))))))))))</f>
        <v/>
      </c>
      <c r="BW586" s="52" t="str">
        <f>IF(Atletas!U582="","",IF(Atletas!W582&lt;&gt;"",10000,0)+IF(Atletas!B582="Feminino",1000,IF(Atletas!B582="Masculino",2000,""))+IF(Atletas!T582="Taijijian 42 F",942,IF(Atletas!U582="Taijidao A",943,IF(Atletas!U582="Taijishan A",944,IF(Atletas!U582="Taijiqiang A",945,IF(Atletas!U582="Taijidao B",946,IF(Atletas!U582="Taijishan B",947,IF(Atletas!U582="Taijiqiang B",948,IF(Atletas!U582="Taijidao C",949,IF(Atletas!U582="Taijishan C",950,IF(Atletas!U582="Taijiqiang C",951,IF(Atletas!U582="Taijidao D",952,IF(Atletas!U582="Taijishan D",953,IF(Atletas!U582="Taijiqiang D",954,IF(Atletas!U582="Taijidao E",955,IF(Atletas!U582="Taijishan E",956,IF(Atletas!U582="Taijiqiang E",957,IF(Atletas!U582="Taijidao F",958,IF(Atletas!U582="Taijishan F",959,IF(Atletas!U582="Taijiqiang F",960))))))))))))))))))))</f>
        <v/>
      </c>
      <c r="CF586" s="52" t="str">
        <f xml:space="preserve"> IF(Atletas!V582="","",IF(Atletas!V582="Duilian de Mãos AB - Equipe 1",1,IF(Atletas!V582="Duilian de Mãos AB - Equipe 2",2,IF(Atletas!V582="Duilian de Armas AB - Equipe 1",3,IF(Atletas!V582="Duilian de Armas AB - Equipe 2",4,IF(Atletas!V582="Duilian de Tuishou - Equipe 1",5,IF(Atletas!V582="Duilian de Tuishou - Equipe 2",6,IF(Atletas!V582="Grupo Externo AB - Equipe 1",7,IF(Atletas!V582="Grupo Externo AB - Equipe 2",8,IF(Atletas!V582="Grupo Interno AB - Equipe 1",9,IF(Atletas!V582="Grupo Interno AB - Equipe 2",10,IF(Atletas!V582="Duilian de Mãos CD - Equipe 1",11,IF(Atletas!V582="Duilian de Mãos CD - Equipe 2",12,IF(Atletas!V582="Duilian de Armas CD - Equipe 1",13,IF(Atletas!V582="Duilian de Armas CD - Equipe 2",14,IF(Atletas!V582="Duilian de Tuishou - Equipe 1",15,IF(Atletas!V582="Duilian de Tuishou - Equipe 2",16,IF(Atletas!V582="Grupo Externo CDEF - Equipe 1",17,IF(Atletas!V582="Grupo Externo CDEF - Equipe 2",18,IF(Atletas!V582="Grupo Interno CDEF - Equipe 1",19,IF(Atletas!V582="Grupo Interno CDEF - Equipe 2",20,IF(Atletas!V582="Duilian de Mãos EF - Equipe 1",21,IF(Atletas!V582="Duilian de Mãos EF - Equipe 2",22,IF(Atletas!V582="Duilian de Armas EF - Equipe 1",23,IF(Atletas!V582="Duilian de Armas EF - Equipe 2",24,IF(Atletas!V582="Duilian de Tuishou - Equipe 1",25,IF(Atletas!V582="Duilian de Tuishou - Equipe 2",26,"")))))))))))))))))))))))))))</f>
        <v/>
      </c>
    </row>
    <row r="587" spans="36:84">
      <c r="AJ587" s="46" t="str">
        <f>IF(Atletas!D583="","",IF(Atletas!B583="Feminino",100,IF(Atletas!B583="Masculino",200,""))+(IF(Atletas!D583="Infantil 39kg",1,IF(Atletas!D583="Infantil 42kg",2,IF(Atletas!D583="Infantil 45kg",3,IF(Atletas!D583="Infantil 48kg",4,IF(Atletas!D583="Infantil 52kg",5,IF(Atletas!D583="Infantil 56kg",6,IF(Atletas!D583="Infantil 60kg",7,IF(Atletas!D583="Juvenil 48kg",8,IF(Atletas!D583="Juvenil 52kg",9,IF(Atletas!D583="Juvenil 56kg",10,IF(Atletas!D583="Juvenil 60kg",11,IF(Atletas!D583="Juvenil 65kg",12,IF(Atletas!D583="Juvenil 70kg",13,IF(Atletas!D583="Juvenil 75kg",14,IF(Atletas!D583="Juvenil 80kg",15,IF(Atletas!D583="Adulto 48kg",16,IF(Atletas!D583="Adulto 52kg",17,IF(Atletas!D583="Adulto 56kg",18,IF(Atletas!D583="Adulto 60kg",19,IF(Atletas!D583="Adulto 65kg",20,IF(Atletas!D583="Adulto 70kg",21,IF(Atletas!D583="Adulto 75kg",22,IF(Atletas!D583="Adulto 80kg",23,IF(Atletas!D583="Adulto 85kg",24,IF(Atletas!D583="Adulto 90kg",25,IF(Atletas!D583="Adulto +90kg",26,""))))))))))))))))))))))))))))</f>
        <v/>
      </c>
      <c r="AO587" s="10" t="str">
        <f>IF(Atletas!E583="","",IF(Atletas!B583="Feminino",100,IF(Atletas!B583="Masculino",200,""))+(IF(Atletas!E583="Juvenil 44kg",1,IF(Atletas!E583="Juvenil 48kg",2,IF(Atletas!E583="Juvenil 52kg",3,IF(Atletas!E583="Juvenil 56kg",4,IF(Atletas!E583="Juvenil 60kg",5,IF(Atletas!E583="Juvenil 65kg",6,IF(Atletas!E583="Juvenil 70kg",7,IF(Atletas!E583="Juvenil 75kg",8,IF(Atletas!E583="Juvenil 82kg",9,IF(Atletas!E583="Juvenil 90kg",10,IF(Atletas!E583="Juvenil 100kg",11,IF(Atletas!E583="Adulto 48kg",12,IF(Atletas!E583="Adulto 52kg",13,IF(Atletas!E583="Adulto 56kg",14,IF(Atletas!E583="Adulto 60kg",15,IF(Atletas!E583="Adulto 65kg",16,IF(Atletas!E583="Adulto 70kg",17,IF(Atletas!E583="Adulto 75kg",18,IF(Atletas!E583="Adulto 82kg",19,IF(Atletas!E583="Adulto 90kg",20,IF(Atletas!E583="Adulto 100kg",21,IF(Atletas!E583="Adulto +100kg",22,""))))))))))))))))))))))))</f>
        <v/>
      </c>
      <c r="AT587" s="10" t="str">
        <f>IF(Atletas!F583="","",IF(Atletas!B583="Feminino",100,IF(Atletas!B583="Masculino",200,""))+(IF(Atletas!F583="Adulto 48kg",1,IF(Atletas!F583="Adulto 56kg",2,IF(Atletas!F583="Adulto 65kg",3,IF(Atletas!F583="Adulto 75kg",4,IF(Atletas!F583="Adulto +75kg",5,IF(Atletas!F583="Adulto 52kg",6,IF(Atletas!F583="Adulto 60kg",7,IF(Atletas!F583="Adulto 70kg",8,IF(Atletas!F583="Adulto 80kg",9,IF(Atletas!F583="Adulto 90kg",10,IF(Atletas!F583="Adulto +90kg",11,"")))))))))))))</f>
        <v/>
      </c>
      <c r="AY587" s="46" t="str">
        <f>IF(Atletas!G583="","",IF(Atletas!B583="Feminino",100,IF(Atletas!B583="Masculino",200,""))+(IF(Atletas!G583="Changquan Mirim",1,IF(Atletas!G583="Nanquan Mirim",2,IF(Atletas!G583="Taijiquan Mirim",3,IF(Atletas!G583="Changquan Grupo C",4,IF(Atletas!G583="Nanquan Grupo C",5,IF(Atletas!G583="Taijiquan Grupo C",6,IF(Atletas!G583="Changquan Grupo B",7,IF(Atletas!G583="Nanquan Grupo B",8,IF(Atletas!G583="Taijiquan Grupo B",9,IF(Atletas!G583="Changquan Grupo A",10,IF(Atletas!G583="Nanquan Grupo A",11,IF(Atletas!G583="Taijiquan Grupo A",12,IF(Atletas!G583="Changquan Opcional",13,IF(Atletas!G583="Nanquan Opcional",14,IF(Atletas!G583="Taijiquan Opcional",15,IF(Atletas!G583="Changquan Adulto",16,IF(Atletas!G583="Nanquan Adulto",17,IF(Atletas!G583="Taijiquan Adulto",18,""))))))))))))))))))))</f>
        <v/>
      </c>
      <c r="AZ587" s="46" t="str">
        <f>IF(Atletas!H583="","",IF(Atletas!B583="Feminino",100,IF(Atletas!B583="Masculino",200,""))+(IF(Atletas!H583="Daoshu Mirim",19,IF(Atletas!H583="Jianshu Mirim",20,IF(Atletas!H583="Nandao Mirim",21,IF(Atletas!H583="Taijijian Mirim",22,IF(Atletas!H583="Daoshu Grupo C",23,IF(Atletas!H583="Jianshu Grupo C",24,IF(Atletas!H583="Nandao Grupo C",25,IF(Atletas!H583="Taijijian Grupo C",26,IF(Atletas!H583="Daoshu Grupo B",27,IF(Atletas!H583="Jianshu Grupo B",28,IF(Atletas!H583="Nandao Grupo B",29,IF(Atletas!H583="Taijijian Grupo B",30,IF(Atletas!H583="Daoshu Grupo A",31,IF(Atletas!H583="Jianshu Grupo A",32,IF(Atletas!H583="Nandao Grupo A",33,IF(Atletas!H583="Taijijian Grupo A",34,IF(Atletas!H583="Daoshu Opcional",35,IF(Atletas!H583="Jianshu Opcional",36,IF(Atletas!H583="Nandao Opcional",37,IF(Atletas!H583="Taijijian Opcional",38,IF(Atletas!H583="Daoshu Adulto",39,IF(Atletas!H583="Jianshu Adulto",40,IF(Atletas!H583="Nandao Adulto",41,IF(Atletas!H583="Taijijian Adulto",42,""))))))))))))))))))))))))))</f>
        <v/>
      </c>
      <c r="BA587" s="46" t="str">
        <f>IF(Atletas!I583="","",IF(Atletas!B583="Feminino",100,IF(Atletas!B583="Masculino",200,""))+(IF(Atletas!I583="Gunshu Mirim",43,IF(Atletas!I583="Qiangshu Mirim",44,IF(Atletas!I583="Nangun Mirim",45,IF(Atletas!I583="Gunshu Grupo C",46,IF(Atletas!I583="Qiangshu Grupo C",47,IF(Atletas!I583="Nangun Grupo C",48,IF(Atletas!I583="Gunshu Grupo B",49,IF(Atletas!I583="Qiangshu Grupo B",50,IF(Atletas!I583="Nangun Grupo B",51,IF(Atletas!I583="Gunshu Grupo A",52,IF(Atletas!I583="Qiangshu Grupo A",53,IF(Atletas!I583="Nangun Grupo A",54,IF(Atletas!I583="Gunshu Opcional",55,IF(Atletas!I583="Qiangshu Opcional",56,IF(Atletas!I583="Nangun Opcional",57,IF(Atletas!I583="Gunshu Adulto",58,IF(Atletas!I583="Qiangshu Adulto",59,IF(Atletas!I583="Nangun Adulto",60,""))))))))))))))))))))</f>
        <v/>
      </c>
      <c r="BF587" s="52" t="str">
        <f>IF(Atletas!J583="","",IF(Atletas!B583="Feminino",100,IF(Atletas!B583="Masculino",200,""))+(IF(Atletas!J583="Equipe 1 Grupo B",1,IF(Atletas!J583="Equipe 2 Grupo B",2,IF(Atletas!J583="Equipe 1 Grupo A",3,IF(Atletas!J583="Equipe 2 Grupo A",4,IF(Atletas!J583="Equipe 1 Adulto",5,IF(Atletas!J583="Equipe 2 Adulto",6,""))))))))</f>
        <v/>
      </c>
      <c r="BK587" s="52" t="str">
        <f>IF(Atletas!K583="","",IF(Atletas!W583&lt;&gt;"",10000,0)+(IF(Atletas!B583="Feminino",1000,IF(Atletas!B583="Masculino",2000,""))+IF(Atletas!K583="Choylayfut A",1,IF(Atletas!K583="Hunggar A",2,IF(Atletas!K583="Wuzuquan A",3,IF(Atletas!K583="Wingchun A",4,IF(Atletas!K583="Outra Mão de Sul A",5,IF(Atletas!K583="Choylayfut B",6,IF(Atletas!K583="Hunggar B",7,IF(Atletas!K583="Wuzuquan B",8,IF(Atletas!K583="Wingchun B",9,IF(Atletas!K583="Outra Mão de Sul B",10,IF(Atletas!K583="Choylayfut C",11,IF(Atletas!K583="Hunggar C",12,IF(Atletas!K583="Wuzuquan C",13,IF(Atletas!K583="Wingchun C",14,IF(Atletas!K583="Outra Mão de Sul C",15,IF(Atletas!K583="Choylayfut D",16,IF(Atletas!K583="Hunggar D",17,IF(Atletas!K583="Wuzuquan D",18,IF(Atletas!K583="Wingchun D",19,IF(Atletas!K583="Outra Mão de Sul D",20,IF(Atletas!K583="Choylayfut E",21,IF(Atletas!K583="Hunggar E",22,IF(Atletas!K583="Wuzuquan E",23,IF(Atletas!K583="Wingchun E",24,IF(Atletas!K583="Outra Mão de Sul E",25,IF(Atletas!K583="Choylayfut F",26,IF(Atletas!K583="Hunggar F",27,IF(Atletas!K583="Wuzuquan F",28,IF(Atletas!K583="Wingchun F",29,IF(Atletas!K583="Outra Mão de Sul F",30,""))))))))))))))))))))))))))))))))</f>
        <v/>
      </c>
      <c r="BL587" s="52" t="str">
        <f>IF(Atletas!L583="","",IF(Atletas!W583&lt;&gt;"",10000,0)+(IF(Atletas!B583="Feminino",1000,IF(Atletas!B583="Masculino",2000,""))+(IF(Atletas!L583="Chaquan A",101,IF(Atletas!L583="Emeiquan A",102,IF(Atletas!L583="Fanziquan A",103,IF(Atletas!L583="Huaquan A",104,IF(Atletas!L583="Hongquan A",105,IF(Atletas!L583="Paochui A",106,IF(Atletas!L583="Piguaquan A",107,IF(Atletas!L583="Shaolinquan A",108,IF(Atletas!L583="Tanglangquan A",109,IF(Atletas!L583="Yinzhaophai A",110,IF(Atletas!L583="Tongbeiquan A",111,IF(Atletas!L583="Wudangquan A",112,IF(Atletas!L583="Outros Estilos A",113,IF(Atletas!L583="Chaquan B",114,IF(Atletas!L583="Emeiquan B",115,IF(Atletas!L583="Fanziquan B",116,IF(Atletas!L583="Huaquan B",117,IF(Atletas!L583="Hongquan B",118,IF(Atletas!L583="Paochui B",119,IF(Atletas!L583="Piguaquan B",120,IF(Atletas!L583="Shaolinquan B",121,IF(Atletas!L583="Tanglangquan B",122,IF(Atletas!L583="Yinzhaophai B",123,IF(Atletas!L583="Tongbeiquan B",124,IF(Atletas!L583="Wudangquan B",125,IF(Atletas!L583="Outros Estilos B",126,IF(Atletas!L583="Chaquan C",127,IF(Atletas!L583="Emeiquan C",128,IF(Atletas!L583="Fanziquan C",129,IF(Atletas!L583="Huaquan C",130,IF(Atletas!L583="Hongquan C",131,IF(Atletas!L583="Paochui C",132,IF(Atletas!L583="Piguaquan C",133,IF(Atletas!L583="Shaolinquan C",134,IF(Atletas!L583="Tanglangquan C",135,IF(Atletas!L583="Yinzhaophai C",136,IF(Atletas!L583="Tongbeiquan C",137,IF(Atletas!L583="Wudangquan C",138,IF(Atletas!L583="Outros Estilos C",139,0))))))))))))))))))))))))))))))))))))))))))</f>
        <v/>
      </c>
      <c r="BM587" s="52" t="str">
        <f>IF(Atletas!L583="","",IF(Atletas!W583&lt;&gt;"",10000,0)+(IF(Atletas!B583="Feminino",1000,IF(Atletas!B583="Masculino",2000,""))+(IF(Atletas!L583="Chaquan D",140,IF(Atletas!L583="Emeiquan D",141,IF(Atletas!L583="Fanziquan D",142,IF(Atletas!L583="Huaquan D",143,IF(Atletas!L583="Hongquan D",144,IF(Atletas!L583="Paochui D",145,IF(Atletas!L583="Piguaquan D",146,IF(Atletas!L583="Shaolinquan D",147,IF(Atletas!L583="Tanglangquan D",148,IF(Atletas!L583="Yinzhaophai D",149,IF(Atletas!L583="Tongbeiquan D",150,IF(Atletas!L583="Wudangquan D",151,IF(Atletas!L583="Outros Estilos D",152,IF(Atletas!L583="Chaquan E",153,IF(Atletas!L583="Emeiquan E",154,IF(Atletas!L583="Fanziquan E",155,IF(Atletas!L583="Huaquan E",156,IF(Atletas!L583="Hongquan E",157,IF(Atletas!L583="Paochui E",158,IF(Atletas!L583="Piguaquan E",159,IF(Atletas!L583="Shaolinquan E",160,IF(Atletas!L583="Tanglangquan E",161,IF(Atletas!L583="Yinzhaophai E",162,IF(Atletas!L583="Tongbeiquan E",163,IF(Atletas!L583="Wudangquan E",164,IF(Atletas!L583="Outros Estilos E",165,IF(Atletas!L583="Chaquan F",166,IF(Atletas!L583="Emeiquan F",167,IF(Atletas!L583="Fanziquan F",168,IF(Atletas!L583="Huaquan F",169,IF(Atletas!L583="Hongquan F",170,IF(Atletas!L583="Paochui F",171,IF(Atletas!L583="Piguaquan F",172,IF(Atletas!L583="Shaolinquan F",173,IF(Atletas!L583="Tanglangquan F",174,IF(Atletas!L583="Yinzhaophai F",175,IF(Atletas!L583="Tongbeiquan F",176,IF(Atletas!L583="Wudangquan F",177,IF(Atletas!L583="Outros Estilos F",178,0))))))))))))))))))))))))))))))))))))))))))</f>
        <v/>
      </c>
      <c r="BN587" s="52" t="str">
        <f>IF(Atletas!M583="","",IF(Atletas!W583&lt;&gt;"",10000,0)+(IF(Atletas!B583="Feminino",1000,IF(Atletas!B583="Masculino",2000,""))+(IF(Atletas!M583="Ditangquan A",201,IF(Atletas!M583="Houquan A",202,IF(Atletas!M583="Zuiquan A",203,IF(Atletas!M583="Ditangquan B",204,IF(Atletas!M583="Houquan B",205,IF(Atletas!M583="Zuiquan B",206,IF(Atletas!M583="Ditangquan C",207,IF(Atletas!M583="Houquan C",208,IF(Atletas!M583="Zuiquan C",209,IF(Atletas!M583="Ditangquan D",210,IF(Atletas!M583="Houquan D",211,IF(Atletas!M583="Zuiquan D",212,IF(Atletas!M583="Ditangquan E",213,IF(Atletas!M583="Houquan E",214,IF(Atletas!M583="Zuiquan E",215,IF(Atletas!M583="Ditangquan F",216,IF(Atletas!M583="Houquan F",217,IF(Atletas!M583="Zuiquan F",218,"")))))))))))))))))))))</f>
        <v/>
      </c>
      <c r="BO587" s="52" t="str">
        <f>IF(Atletas!N583="","",IF(Atletas!W583&lt;&gt;"",10000,0)+IF(Atletas!B583="Feminino",1000,IF(Atletas!B583="Masculino",2000,""))+IF(Atletas!N583="Yang A",301,IF(Atletas!N583="Chen A",30,IF(Atletas!N583="Sun A",303,IF(Atletas!N583="Wu A",304,IF(Atletas!N583="Wu-Hao A",305,IF(Atletas!N583="Outro Taijiquan A",306,IF(Atletas!N583="Yang B",307,IF(Atletas!N583="Chen B",308,IF(Atletas!N583="Sun B",309,IF(Atletas!N583="Wu B",310,IF(Atletas!N583="Wu-Hao B",311,IF(Atletas!N583="Outro Taijiquan B",312,IF(Atletas!N583="Yang C",313,IF(Atletas!N583="Chen C",314,IF(Atletas!N583="Sun C",315,IF(Atletas!N583="Wu C",316,IF(Atletas!N583="Wu-Hao C",317,IF(Atletas!N583="Outro Taijiquan C",318,IF(Atletas!N583="Yang D",319,IF(Atletas!N583="Chen D",320,IF(Atletas!N583="Sun D",321,IF(Atletas!N583="Wu D",322,IF(Atletas!N583="Wu-Hao D",323,IF(Atletas!N583="Outro Taijiquan D",324,IF(Atletas!N583="Yang E",325,IF(Atletas!N583="Chen E",326,IF(Atletas!N583="Sun E",327,IF(Atletas!N583="Wu E",328,IF(Atletas!N583="Wu-Hao E",329,IF(Atletas!N583="Outro Taijiquan E",330,IF(Atletas!N583="Yang F",331,IF(Atletas!N583="Chen F",332,IF(Atletas!N583="Sun F",333,IF(Atletas!N583="Wu F",334,IF(Atletas!N583="Wu-Hao F",335,IF(Atletas!N583="Outro Taijiquan F",336,"")))))))))))))))))))))))))))))))))))))</f>
        <v/>
      </c>
      <c r="BP587" s="52" t="str">
        <f>IF(Atletas!O583="","",IF(Atletas!W583&lt;&gt;"",10000,0)+IF(Atletas!B583="Feminino",1000,IF(Atletas!B583="Masculino",2000,""))+IF(OR(Atletas!O583="Yang 26 A",Atletas!O583="Yang 40 A"),401,IF(OR(Atletas!O583="Chen 25 A",Atletas!O583="Chen 36 A",Atletas!O583="Chen 56 A"),402,IF(Atletas!O583="Sun 73 A",403,IF(Atletas!O583="Wu 45 A",404,IF(Atletas!O583="Wu-Hao 46 A",405,IF(OR(Atletas!O583="Taijiquan 16 A",Atletas!O583="Taijiquan 24 A",Atletas!O583="Taijiquan 32 A",Atletas!O583="Taijiquan 42 A"),406,IF(OR(Atletas!O583="Yang 26 B",Atletas!O583="Yang 40 B"),407,IF(OR(Atletas!O583="Chen 25 B",Atletas!O583="Chen 36 B",Atletas!O583="Chen 56 B"),408,IF(Atletas!O583="Sun 73 B",409,IF(Atletas!O583="Wu 45 B",410,IF(Atletas!O583="Wu-Hao 46 B",411,IF(OR(Atletas!O583="Taijiquan 16 B",Atletas!O583="Taijiquan 24 B",Atletas!O583="Taijiquan 32 B",Atletas!O583="Taijiquan 42 B"),412,IF(OR(Atletas!O583="Yang 26 C",Atletas!O583="Yang 40 C"),413,IF(OR(Atletas!O583="Chen 25 C",Atletas!O583="Chen 36 C",Atletas!O583="Chen 56 C"),414,IF(Atletas!O583="Sun 73 C",415,IF(Atletas!O583="Wu 45 C",416,IF(Atletas!O583="Wu-Hao 46 C",417,IF(OR(Atletas!O583="Taijiquan 16 C",Atletas!O583="Taijiquan 24 C",Atletas!O583="Taijiquan 32 C",Atletas!O583="Taijiquan 42 C"),418,0)))))))))))))))))))</f>
        <v/>
      </c>
      <c r="BQ587" s="52" t="str">
        <f>IF(Atletas!O583="","",IF(Atletas!W583&lt;&gt;"",10000,0)+IF(Atletas!B583="Feminino",1000,IF(Atletas!B583="Masculino",2000,""))+IF(OR(Atletas!O583="Yang 26 D",Atletas!O583="Yang 40 D"),419,IF(OR(Atletas!O583="Chen 25 D",Atletas!O583="Chen 36 D",Atletas!O583="Chen 56 D"),420,IF(Atletas!O583="Sun 73 D",421,IF(Atletas!O583="Wu 45 D",422,IF(Atletas!O583="Wu-Hao 46 D",423,IF(OR(Atletas!O583="Taijiquan 16 D",Atletas!O583="Taijiquan 24 D",Atletas!O583="Taijiquan 32 D",Atletas!O583="Taijiquan 42 D"),424,IF(OR(Atletas!O583="Yang 26 E",Atletas!O583="Yang 40 E"),425,IF(OR(Atletas!O583="Chen 25 E",Atletas!O583="Chen 36 E",Atletas!O583="Chen 56 E"),426,IF(Atletas!O583="Sun 73 E",427,IF(Atletas!O583="Wu 45 E",428,IF(Atletas!O583="Wu-Hao 46 E",429,IF(OR(Atletas!O583="Taijiquan 16 E",Atletas!O583="Taijiquan 24 E",Atletas!O583="Taijiquan 32 E",Atletas!O583="Taijiquan 42 E"),430,IF(OR(Atletas!O583="Yang 26 F",Atletas!O583="Yang 40 F"),431,IF(OR(Atletas!O583="Chen 25 F",Atletas!O583="Chen 36 F",Atletas!O583="Chen 56 F"),432,IF(Atletas!O583="Sun 73 F",433,IF(Atletas!O583="Wu 45 F",434,IF(Atletas!O583="Wu-Hao 46 F",435,IF(OR(Atletas!O583="Taijiquan 16 F",Atletas!O583="Taijiquan 24 F",Atletas!O583="Taijiquan 32 F",Atletas!O583="Taijiquan 42 F"),436,0)))))))))))))))))))</f>
        <v/>
      </c>
      <c r="BR587" s="52" t="str">
        <f>IF(Atletas!P583="","",IF(Atletas!W583&lt;&gt;"",10000,0)+IF(Atletas!B583="Feminino",1000,IF(Atletas!B583="Masculino",2000,""))+IF(Atletas!P583="Xingyiquan A",501,IF(Atletas!P583="Baguazhang A",502,IF(Atletas!P583="Outro Estilo Interno A",503,IF(Atletas!P583="Xingyiquan B",504,IF(Atletas!P583="Baguazhang B",505,IF(Atletas!P583="Outro Estilo Interno B",506,IF(Atletas!P583="Xingyiquan C",507,IF(Atletas!P583="Baguazhang C",508,IF(Atletas!P583="Outro Estilo Interno C",509,IF(Atletas!P583="Xingyiquan D",510,IF(Atletas!P583="Baguazhang D",511,IF(Atletas!P583="Outro Estilo Interno D",512,IF(Atletas!P583="Xingyiquan E",513,IF(Atletas!P583="Baguazhang E",514,IF(Atletas!P583="Outro Estilo Interno E",515,IF(Atletas!P583="Xingyiquan F",516,IF(Atletas!P583="Baguazhang F",517,IF(Atletas!P583="Outro Estilo Interno F",518, "")))))))))))))))))))</f>
        <v/>
      </c>
      <c r="BS587" s="52" t="str">
        <f>IF(Atletas!Q583="","",IF(Atletas!W583&lt;&gt;"",10000,0)+IF(Atletas!B583="Feminino",1000,IF(Atletas!B583="Masculino",2000,""))+IF(Atletas!Q583="Dao A",601,IF(Atletas!Q583="Jian A",602,IF(Atletas!Q583="Bishou A",603,IF(Atletas!Q583="Shan A",604,IF(Atletas!Q583="Outra Arma Curta A",605,IF(Atletas!Q583="Dao B",606,IF(Atletas!Q583="Jian B",607,IF(Atletas!Q583="Bishou B",608,IF(Atletas!Q583="Shan B",609,IF(Atletas!Q583="Outra Arma Curta B",610,IF(Atletas!Q583="Dao C",611,IF(Atletas!Q583="Jian C",612,IF(Atletas!Q583="Bishou C",613,IF(Atletas!Q583="Shan C",614,IF(Atletas!Q583="Outra Arma Curta C",615,IF(Atletas!Q583="Dao D",616,IF(Atletas!Q583="Jian D",617,IF(Atletas!Q583="Bishou D",618,IF(Atletas!Q583="Shan D",619,IF(Atletas!Q583="Outra Arma Curta D",620,IF(Atletas!Q583="Dao E",621,IF(Atletas!Q583="Jian E",622,IF(Atletas!Q583="Bishou E",623,IF(Atletas!Q583="Shan E",624,IF(Atletas!Q583="Outra Arma Curta E",625,IF(Atletas!Q583="Dao F",626,IF(Atletas!Q583="Jian F",627,IF(Atletas!Q583="Bishou F",628,IF(Atletas!Q583="Shan F",629,IF(Atletas!Q583="Outra Arma Curta F",630, "")))))))))))))))))))))))))))))))</f>
        <v/>
      </c>
      <c r="BT587" s="52" t="str">
        <f>IF(Atletas!R583="","",IF(Atletas!W583&lt;&gt;"",10000,0)+IF(Atletas!B583="Feminino",1000,IF(Atletas!B583="Masculino",2000,""))+IF(Atletas!R583="Gun A",701,IF(Atletas!R583="Qiang A",702,IF(Atletas!R583="Pudao / Guandao A",703,IF(Atletas!R583="Outra Arma Longa A",704,IF(Atletas!R583="Gun B",705,IF(Atletas!R583="Qiang B",706,IF(Atletas!R583="Pudao / Guandao B",707,IF(Atletas!R583="Outra Arma Longa B",708,IF(Atletas!R583="Gun C",709,IF(Atletas!R583="Qiang C",710,IF(Atletas!R583="Pudao / Guandao C",711,IF(Atletas!R583="Outra Arma Longa C",712,IF(Atletas!R583="Gun D",713,IF(Atletas!R583="Qiang D",714,IF(Atletas!R583="Pudao / Guandao D",715,IF(Atletas!R583="Outra Arma Longa D",716,IF(Atletas!R583="Gun E",717,IF(Atletas!R583="Qiang E",718,IF(Atletas!R583="Pudao / Guandao E",719,IF(Atletas!R583="Outra Arma Longa E",720,IF(Atletas!R583="Gun F",721,IF(Atletas!R583="Qiang F",722,IF(Atletas!R583="Pudao / Guandao F",723,IF(Atletas!R583="Outra Arma Longa F",724,"")))))))))))))))))))))))))</f>
        <v/>
      </c>
      <c r="BU587" s="52" t="str">
        <f>IF(Atletas!S583="","",IF(Atletas!W583&lt;&gt;"",10000,0)+IF(Atletas!B583="Feminino",1000,IF(Atletas!B583="Masculino",2000,""))+IF(Atletas!S583="Arma Dupla A",801,IF(Atletas!S583="Arma Maleável A",802,IF(Atletas!S583="Arma Dupla B",803,IF(Atletas!S583="Arma Maleável B",804,IF(Atletas!S583="Arma Dupla C",805,IF(Atletas!S583="Arma Maleável C",806,IF(Atletas!S583="Arma Dupla D",807,IF(Atletas!S583="Arma Maleável D",808,IF(Atletas!S583="Arma Dupla E",809,IF(Atletas!S583="Arma Maleável E",810,IF(Atletas!S583="Arma Dupla F",811,IF(Atletas!S583="Arma Maleável F",812, "")))))))))))))</f>
        <v/>
      </c>
      <c r="BV587" s="52" t="str">
        <f>IF(Atletas!T583="","",IF(Atletas!W583&lt;&gt;"",10000,0)+IF(Atletas!B583="Feminino",1000,IF(Atletas!B583="Masculino",2000,""))+IF(Atletas!T583="Taijijian Yang A",901,IF(Atletas!T583="Taijijian Chen A",902,IF(Atletas!T583="Taijijian Sun A",903,IF(Atletas!T583="Taijijian Wu A",904,IF(Atletas!T583="Taijijian Wu-Hao A",905,IF(Atletas!T583="Taijijian 32 A",906,IF(Atletas!T583="Taijijian 42 A",907,IF(Atletas!T583="Taijijian Yang B",908,IF(Atletas!T583="Taijijian Chen B",909,IF(Atletas!T583="Taijijian Sun B",910,IF(Atletas!T583="Taijijian Wu B",911,IF(Atletas!T583="Taijijian Wu-Hao B",912,IF(Atletas!T583="Taijijian 32 B",913,IF(Atletas!T583="Taijijian 42 B",914,IF(Atletas!T583="Taijijian Yang C",915,IF(Atletas!T583="Taijijian Chen C",916,IF(Atletas!T583="Taijijian Sun C",917,IF(Atletas!T583="Taijijian Wu C",918,IF(Atletas!T583="Taijijian Wu-Hao C",919,IF(Atletas!T583="Taijijian 32 C",920,IF(Atletas!T583="Taijijian 42 C",921,IF(Atletas!T583="Taijijian Yang D",922,IF(Atletas!T583="Taijijian Chen D",923,IF(Atletas!T583="Taijijian Sun D",924,IF(Atletas!T583="Taijijian Wu D",925,IF(Atletas!T583="Taijijian Wu-Hao D",926,IF(Atletas!T583="Taijijian 32 D",927,IF(Atletas!T583="Taijijian 42 D",928,IF(Atletas!T583="Taijijian Yang E",929,IF(Atletas!T583="Taijijian Chen E",930,IF(Atletas!T583="Taijijian Sun E",931,IF(Atletas!T583="Taijijian Wu E",932,IF(Atletas!T583="Taijijian Wu-Hao E",933,IF(Atletas!T583="Taijijian 32 E",934,IF(Atletas!T583="Taijijian 42 E",935,IF(Atletas!T583="Taijijian Yang F",936,IF(Atletas!T583="Taijijian Chen F",937,IF(Atletas!T583="Taijijian Sun F",938,IF(Atletas!T583="Taijijian Wu F",939,IF(Atletas!T583="Taijijian Wu-Hao F",940,IF(Atletas!T583="Taijijian 32 F",941,IF(Atletas!T583="Taijijian 42 F",942,"")))))))))))))))))))))))))))))))))))))))))))</f>
        <v/>
      </c>
      <c r="BW587" s="52" t="str">
        <f>IF(Atletas!U583="","",IF(Atletas!W583&lt;&gt;"",10000,0)+IF(Atletas!B583="Feminino",1000,IF(Atletas!B583="Masculino",2000,""))+IF(Atletas!T583="Taijijian 42 F",942,IF(Atletas!U583="Taijidao A",943,IF(Atletas!U583="Taijishan A",944,IF(Atletas!U583="Taijiqiang A",945,IF(Atletas!U583="Taijidao B",946,IF(Atletas!U583="Taijishan B",947,IF(Atletas!U583="Taijiqiang B",948,IF(Atletas!U583="Taijidao C",949,IF(Atletas!U583="Taijishan C",950,IF(Atletas!U583="Taijiqiang C",951,IF(Atletas!U583="Taijidao D",952,IF(Atletas!U583="Taijishan D",953,IF(Atletas!U583="Taijiqiang D",954,IF(Atletas!U583="Taijidao E",955,IF(Atletas!U583="Taijishan E",956,IF(Atletas!U583="Taijiqiang E",957,IF(Atletas!U583="Taijidao F",958,IF(Atletas!U583="Taijishan F",959,IF(Atletas!U583="Taijiqiang F",960))))))))))))))))))))</f>
        <v/>
      </c>
      <c r="CF587" s="52" t="str">
        <f xml:space="preserve"> IF(Atletas!V583="","",IF(Atletas!V583="Duilian de Mãos AB - Equipe 1",1,IF(Atletas!V583="Duilian de Mãos AB - Equipe 2",2,IF(Atletas!V583="Duilian de Armas AB - Equipe 1",3,IF(Atletas!V583="Duilian de Armas AB - Equipe 2",4,IF(Atletas!V583="Duilian de Tuishou - Equipe 1",5,IF(Atletas!V583="Duilian de Tuishou - Equipe 2",6,IF(Atletas!V583="Grupo Externo AB - Equipe 1",7,IF(Atletas!V583="Grupo Externo AB - Equipe 2",8,IF(Atletas!V583="Grupo Interno AB - Equipe 1",9,IF(Atletas!V583="Grupo Interno AB - Equipe 2",10,IF(Atletas!V583="Duilian de Mãos CD - Equipe 1",11,IF(Atletas!V583="Duilian de Mãos CD - Equipe 2",12,IF(Atletas!V583="Duilian de Armas CD - Equipe 1",13,IF(Atletas!V583="Duilian de Armas CD - Equipe 2",14,IF(Atletas!V583="Duilian de Tuishou - Equipe 1",15,IF(Atletas!V583="Duilian de Tuishou - Equipe 2",16,IF(Atletas!V583="Grupo Externo CDEF - Equipe 1",17,IF(Atletas!V583="Grupo Externo CDEF - Equipe 2",18,IF(Atletas!V583="Grupo Interno CDEF - Equipe 1",19,IF(Atletas!V583="Grupo Interno CDEF - Equipe 2",20,IF(Atletas!V583="Duilian de Mãos EF - Equipe 1",21,IF(Atletas!V583="Duilian de Mãos EF - Equipe 2",22,IF(Atletas!V583="Duilian de Armas EF - Equipe 1",23,IF(Atletas!V583="Duilian de Armas EF - Equipe 2",24,IF(Atletas!V583="Duilian de Tuishou - Equipe 1",25,IF(Atletas!V583="Duilian de Tuishou - Equipe 2",26,"")))))))))))))))))))))))))))</f>
        <v/>
      </c>
    </row>
    <row r="588" spans="36:84">
      <c r="AJ588" s="46" t="str">
        <f>IF(Atletas!D584="","",IF(Atletas!B584="Feminino",100,IF(Atletas!B584="Masculino",200,""))+(IF(Atletas!D584="Infantil 39kg",1,IF(Atletas!D584="Infantil 42kg",2,IF(Atletas!D584="Infantil 45kg",3,IF(Atletas!D584="Infantil 48kg",4,IF(Atletas!D584="Infantil 52kg",5,IF(Atletas!D584="Infantil 56kg",6,IF(Atletas!D584="Infantil 60kg",7,IF(Atletas!D584="Juvenil 48kg",8,IF(Atletas!D584="Juvenil 52kg",9,IF(Atletas!D584="Juvenil 56kg",10,IF(Atletas!D584="Juvenil 60kg",11,IF(Atletas!D584="Juvenil 65kg",12,IF(Atletas!D584="Juvenil 70kg",13,IF(Atletas!D584="Juvenil 75kg",14,IF(Atletas!D584="Juvenil 80kg",15,IF(Atletas!D584="Adulto 48kg",16,IF(Atletas!D584="Adulto 52kg",17,IF(Atletas!D584="Adulto 56kg",18,IF(Atletas!D584="Adulto 60kg",19,IF(Atletas!D584="Adulto 65kg",20,IF(Atletas!D584="Adulto 70kg",21,IF(Atletas!D584="Adulto 75kg",22,IF(Atletas!D584="Adulto 80kg",23,IF(Atletas!D584="Adulto 85kg",24,IF(Atletas!D584="Adulto 90kg",25,IF(Atletas!D584="Adulto +90kg",26,""))))))))))))))))))))))))))))</f>
        <v/>
      </c>
      <c r="AO588" s="10" t="str">
        <f>IF(Atletas!E584="","",IF(Atletas!B584="Feminino",100,IF(Atletas!B584="Masculino",200,""))+(IF(Atletas!E584="Juvenil 44kg",1,IF(Atletas!E584="Juvenil 48kg",2,IF(Atletas!E584="Juvenil 52kg",3,IF(Atletas!E584="Juvenil 56kg",4,IF(Atletas!E584="Juvenil 60kg",5,IF(Atletas!E584="Juvenil 65kg",6,IF(Atletas!E584="Juvenil 70kg",7,IF(Atletas!E584="Juvenil 75kg",8,IF(Atletas!E584="Juvenil 82kg",9,IF(Atletas!E584="Juvenil 90kg",10,IF(Atletas!E584="Juvenil 100kg",11,IF(Atletas!E584="Adulto 48kg",12,IF(Atletas!E584="Adulto 52kg",13,IF(Atletas!E584="Adulto 56kg",14,IF(Atletas!E584="Adulto 60kg",15,IF(Atletas!E584="Adulto 65kg",16,IF(Atletas!E584="Adulto 70kg",17,IF(Atletas!E584="Adulto 75kg",18,IF(Atletas!E584="Adulto 82kg",19,IF(Atletas!E584="Adulto 90kg",20,IF(Atletas!E584="Adulto 100kg",21,IF(Atletas!E584="Adulto +100kg",22,""))))))))))))))))))))))))</f>
        <v/>
      </c>
      <c r="AT588" s="10" t="str">
        <f>IF(Atletas!F584="","",IF(Atletas!B584="Feminino",100,IF(Atletas!B584="Masculino",200,""))+(IF(Atletas!F584="Adulto 48kg",1,IF(Atletas!F584="Adulto 56kg",2,IF(Atletas!F584="Adulto 65kg",3,IF(Atletas!F584="Adulto 75kg",4,IF(Atletas!F584="Adulto +75kg",5,IF(Atletas!F584="Adulto 52kg",6,IF(Atletas!F584="Adulto 60kg",7,IF(Atletas!F584="Adulto 70kg",8,IF(Atletas!F584="Adulto 80kg",9,IF(Atletas!F584="Adulto 90kg",10,IF(Atletas!F584="Adulto +90kg",11,"")))))))))))))</f>
        <v/>
      </c>
      <c r="AY588" s="46" t="str">
        <f>IF(Atletas!G584="","",IF(Atletas!B584="Feminino",100,IF(Atletas!B584="Masculino",200,""))+(IF(Atletas!G584="Changquan Mirim",1,IF(Atletas!G584="Nanquan Mirim",2,IF(Atletas!G584="Taijiquan Mirim",3,IF(Atletas!G584="Changquan Grupo C",4,IF(Atletas!G584="Nanquan Grupo C",5,IF(Atletas!G584="Taijiquan Grupo C",6,IF(Atletas!G584="Changquan Grupo B",7,IF(Atletas!G584="Nanquan Grupo B",8,IF(Atletas!G584="Taijiquan Grupo B",9,IF(Atletas!G584="Changquan Grupo A",10,IF(Atletas!G584="Nanquan Grupo A",11,IF(Atletas!G584="Taijiquan Grupo A",12,IF(Atletas!G584="Changquan Opcional",13,IF(Atletas!G584="Nanquan Opcional",14,IF(Atletas!G584="Taijiquan Opcional",15,IF(Atletas!G584="Changquan Adulto",16,IF(Atletas!G584="Nanquan Adulto",17,IF(Atletas!G584="Taijiquan Adulto",18,""))))))))))))))))))))</f>
        <v/>
      </c>
      <c r="AZ588" s="46" t="str">
        <f>IF(Atletas!H584="","",IF(Atletas!B584="Feminino",100,IF(Atletas!B584="Masculino",200,""))+(IF(Atletas!H584="Daoshu Mirim",19,IF(Atletas!H584="Jianshu Mirim",20,IF(Atletas!H584="Nandao Mirim",21,IF(Atletas!H584="Taijijian Mirim",22,IF(Atletas!H584="Daoshu Grupo C",23,IF(Atletas!H584="Jianshu Grupo C",24,IF(Atletas!H584="Nandao Grupo C",25,IF(Atletas!H584="Taijijian Grupo C",26,IF(Atletas!H584="Daoshu Grupo B",27,IF(Atletas!H584="Jianshu Grupo B",28,IF(Atletas!H584="Nandao Grupo B",29,IF(Atletas!H584="Taijijian Grupo B",30,IF(Atletas!H584="Daoshu Grupo A",31,IF(Atletas!H584="Jianshu Grupo A",32,IF(Atletas!H584="Nandao Grupo A",33,IF(Atletas!H584="Taijijian Grupo A",34,IF(Atletas!H584="Daoshu Opcional",35,IF(Atletas!H584="Jianshu Opcional",36,IF(Atletas!H584="Nandao Opcional",37,IF(Atletas!H584="Taijijian Opcional",38,IF(Atletas!H584="Daoshu Adulto",39,IF(Atletas!H584="Jianshu Adulto",40,IF(Atletas!H584="Nandao Adulto",41,IF(Atletas!H584="Taijijian Adulto",42,""))))))))))))))))))))))))))</f>
        <v/>
      </c>
      <c r="BA588" s="46" t="str">
        <f>IF(Atletas!I584="","",IF(Atletas!B584="Feminino",100,IF(Atletas!B584="Masculino",200,""))+(IF(Atletas!I584="Gunshu Mirim",43,IF(Atletas!I584="Qiangshu Mirim",44,IF(Atletas!I584="Nangun Mirim",45,IF(Atletas!I584="Gunshu Grupo C",46,IF(Atletas!I584="Qiangshu Grupo C",47,IF(Atletas!I584="Nangun Grupo C",48,IF(Atletas!I584="Gunshu Grupo B",49,IF(Atletas!I584="Qiangshu Grupo B",50,IF(Atletas!I584="Nangun Grupo B",51,IF(Atletas!I584="Gunshu Grupo A",52,IF(Atletas!I584="Qiangshu Grupo A",53,IF(Atletas!I584="Nangun Grupo A",54,IF(Atletas!I584="Gunshu Opcional",55,IF(Atletas!I584="Qiangshu Opcional",56,IF(Atletas!I584="Nangun Opcional",57,IF(Atletas!I584="Gunshu Adulto",58,IF(Atletas!I584="Qiangshu Adulto",59,IF(Atletas!I584="Nangun Adulto",60,""))))))))))))))))))))</f>
        <v/>
      </c>
      <c r="BF588" s="52" t="str">
        <f>IF(Atletas!J584="","",IF(Atletas!B584="Feminino",100,IF(Atletas!B584="Masculino",200,""))+(IF(Atletas!J584="Equipe 1 Grupo B",1,IF(Atletas!J584="Equipe 2 Grupo B",2,IF(Atletas!J584="Equipe 1 Grupo A",3,IF(Atletas!J584="Equipe 2 Grupo A",4,IF(Atletas!J584="Equipe 1 Adulto",5,IF(Atletas!J584="Equipe 2 Adulto",6,""))))))))</f>
        <v/>
      </c>
      <c r="BK588" s="52" t="str">
        <f>IF(Atletas!K584="","",IF(Atletas!W584&lt;&gt;"",10000,0)+(IF(Atletas!B584="Feminino",1000,IF(Atletas!B584="Masculino",2000,""))+IF(Atletas!K584="Choylayfut A",1,IF(Atletas!K584="Hunggar A",2,IF(Atletas!K584="Wuzuquan A",3,IF(Atletas!K584="Wingchun A",4,IF(Atletas!K584="Outra Mão de Sul A",5,IF(Atletas!K584="Choylayfut B",6,IF(Atletas!K584="Hunggar B",7,IF(Atletas!K584="Wuzuquan B",8,IF(Atletas!K584="Wingchun B",9,IF(Atletas!K584="Outra Mão de Sul B",10,IF(Atletas!K584="Choylayfut C",11,IF(Atletas!K584="Hunggar C",12,IF(Atletas!K584="Wuzuquan C",13,IF(Atletas!K584="Wingchun C",14,IF(Atletas!K584="Outra Mão de Sul C",15,IF(Atletas!K584="Choylayfut D",16,IF(Atletas!K584="Hunggar D",17,IF(Atletas!K584="Wuzuquan D",18,IF(Atletas!K584="Wingchun D",19,IF(Atletas!K584="Outra Mão de Sul D",20,IF(Atletas!K584="Choylayfut E",21,IF(Atletas!K584="Hunggar E",22,IF(Atletas!K584="Wuzuquan E",23,IF(Atletas!K584="Wingchun E",24,IF(Atletas!K584="Outra Mão de Sul E",25,IF(Atletas!K584="Choylayfut F",26,IF(Atletas!K584="Hunggar F",27,IF(Atletas!K584="Wuzuquan F",28,IF(Atletas!K584="Wingchun F",29,IF(Atletas!K584="Outra Mão de Sul F",30,""))))))))))))))))))))))))))))))))</f>
        <v/>
      </c>
      <c r="BL588" s="52" t="str">
        <f>IF(Atletas!L584="","",IF(Atletas!W584&lt;&gt;"",10000,0)+(IF(Atletas!B584="Feminino",1000,IF(Atletas!B584="Masculino",2000,""))+(IF(Atletas!L584="Chaquan A",101,IF(Atletas!L584="Emeiquan A",102,IF(Atletas!L584="Fanziquan A",103,IF(Atletas!L584="Huaquan A",104,IF(Atletas!L584="Hongquan A",105,IF(Atletas!L584="Paochui A",106,IF(Atletas!L584="Piguaquan A",107,IF(Atletas!L584="Shaolinquan A",108,IF(Atletas!L584="Tanglangquan A",109,IF(Atletas!L584="Yinzhaophai A",110,IF(Atletas!L584="Tongbeiquan A",111,IF(Atletas!L584="Wudangquan A",112,IF(Atletas!L584="Outros Estilos A",113,IF(Atletas!L584="Chaquan B",114,IF(Atletas!L584="Emeiquan B",115,IF(Atletas!L584="Fanziquan B",116,IF(Atletas!L584="Huaquan B",117,IF(Atletas!L584="Hongquan B",118,IF(Atletas!L584="Paochui B",119,IF(Atletas!L584="Piguaquan B",120,IF(Atletas!L584="Shaolinquan B",121,IF(Atletas!L584="Tanglangquan B",122,IF(Atletas!L584="Yinzhaophai B",123,IF(Atletas!L584="Tongbeiquan B",124,IF(Atletas!L584="Wudangquan B",125,IF(Atletas!L584="Outros Estilos B",126,IF(Atletas!L584="Chaquan C",127,IF(Atletas!L584="Emeiquan C",128,IF(Atletas!L584="Fanziquan C",129,IF(Atletas!L584="Huaquan C",130,IF(Atletas!L584="Hongquan C",131,IF(Atletas!L584="Paochui C",132,IF(Atletas!L584="Piguaquan C",133,IF(Atletas!L584="Shaolinquan C",134,IF(Atletas!L584="Tanglangquan C",135,IF(Atletas!L584="Yinzhaophai C",136,IF(Atletas!L584="Tongbeiquan C",137,IF(Atletas!L584="Wudangquan C",138,IF(Atletas!L584="Outros Estilos C",139,0))))))))))))))))))))))))))))))))))))))))))</f>
        <v/>
      </c>
      <c r="BM588" s="52" t="str">
        <f>IF(Atletas!L584="","",IF(Atletas!W584&lt;&gt;"",10000,0)+(IF(Atletas!B584="Feminino",1000,IF(Atletas!B584="Masculino",2000,""))+(IF(Atletas!L584="Chaquan D",140,IF(Atletas!L584="Emeiquan D",141,IF(Atletas!L584="Fanziquan D",142,IF(Atletas!L584="Huaquan D",143,IF(Atletas!L584="Hongquan D",144,IF(Atletas!L584="Paochui D",145,IF(Atletas!L584="Piguaquan D",146,IF(Atletas!L584="Shaolinquan D",147,IF(Atletas!L584="Tanglangquan D",148,IF(Atletas!L584="Yinzhaophai D",149,IF(Atletas!L584="Tongbeiquan D",150,IF(Atletas!L584="Wudangquan D",151,IF(Atletas!L584="Outros Estilos D",152,IF(Atletas!L584="Chaquan E",153,IF(Atletas!L584="Emeiquan E",154,IF(Atletas!L584="Fanziquan E",155,IF(Atletas!L584="Huaquan E",156,IF(Atletas!L584="Hongquan E",157,IF(Atletas!L584="Paochui E",158,IF(Atletas!L584="Piguaquan E",159,IF(Atletas!L584="Shaolinquan E",160,IF(Atletas!L584="Tanglangquan E",161,IF(Atletas!L584="Yinzhaophai E",162,IF(Atletas!L584="Tongbeiquan E",163,IF(Atletas!L584="Wudangquan E",164,IF(Atletas!L584="Outros Estilos E",165,IF(Atletas!L584="Chaquan F",166,IF(Atletas!L584="Emeiquan F",167,IF(Atletas!L584="Fanziquan F",168,IF(Atletas!L584="Huaquan F",169,IF(Atletas!L584="Hongquan F",170,IF(Atletas!L584="Paochui F",171,IF(Atletas!L584="Piguaquan F",172,IF(Atletas!L584="Shaolinquan F",173,IF(Atletas!L584="Tanglangquan F",174,IF(Atletas!L584="Yinzhaophai F",175,IF(Atletas!L584="Tongbeiquan F",176,IF(Atletas!L584="Wudangquan F",177,IF(Atletas!L584="Outros Estilos F",178,0))))))))))))))))))))))))))))))))))))))))))</f>
        <v/>
      </c>
      <c r="BN588" s="52" t="str">
        <f>IF(Atletas!M584="","",IF(Atletas!W584&lt;&gt;"",10000,0)+(IF(Atletas!B584="Feminino",1000,IF(Atletas!B584="Masculino",2000,""))+(IF(Atletas!M584="Ditangquan A",201,IF(Atletas!M584="Houquan A",202,IF(Atletas!M584="Zuiquan A",203,IF(Atletas!M584="Ditangquan B",204,IF(Atletas!M584="Houquan B",205,IF(Atletas!M584="Zuiquan B",206,IF(Atletas!M584="Ditangquan C",207,IF(Atletas!M584="Houquan C",208,IF(Atletas!M584="Zuiquan C",209,IF(Atletas!M584="Ditangquan D",210,IF(Atletas!M584="Houquan D",211,IF(Atletas!M584="Zuiquan D",212,IF(Atletas!M584="Ditangquan E",213,IF(Atletas!M584="Houquan E",214,IF(Atletas!M584="Zuiquan E",215,IF(Atletas!M584="Ditangquan F",216,IF(Atletas!M584="Houquan F",217,IF(Atletas!M584="Zuiquan F",218,"")))))))))))))))))))))</f>
        <v/>
      </c>
      <c r="BO588" s="52" t="str">
        <f>IF(Atletas!N584="","",IF(Atletas!W584&lt;&gt;"",10000,0)+IF(Atletas!B584="Feminino",1000,IF(Atletas!B584="Masculino",2000,""))+IF(Atletas!N584="Yang A",301,IF(Atletas!N584="Chen A",30,IF(Atletas!N584="Sun A",303,IF(Atletas!N584="Wu A",304,IF(Atletas!N584="Wu-Hao A",305,IF(Atletas!N584="Outro Taijiquan A",306,IF(Atletas!N584="Yang B",307,IF(Atletas!N584="Chen B",308,IF(Atletas!N584="Sun B",309,IF(Atletas!N584="Wu B",310,IF(Atletas!N584="Wu-Hao B",311,IF(Atletas!N584="Outro Taijiquan B",312,IF(Atletas!N584="Yang C",313,IF(Atletas!N584="Chen C",314,IF(Atletas!N584="Sun C",315,IF(Atletas!N584="Wu C",316,IF(Atletas!N584="Wu-Hao C",317,IF(Atletas!N584="Outro Taijiquan C",318,IF(Atletas!N584="Yang D",319,IF(Atletas!N584="Chen D",320,IF(Atletas!N584="Sun D",321,IF(Atletas!N584="Wu D",322,IF(Atletas!N584="Wu-Hao D",323,IF(Atletas!N584="Outro Taijiquan D",324,IF(Atletas!N584="Yang E",325,IF(Atletas!N584="Chen E",326,IF(Atletas!N584="Sun E",327,IF(Atletas!N584="Wu E",328,IF(Atletas!N584="Wu-Hao E",329,IF(Atletas!N584="Outro Taijiquan E",330,IF(Atletas!N584="Yang F",331,IF(Atletas!N584="Chen F",332,IF(Atletas!N584="Sun F",333,IF(Atletas!N584="Wu F",334,IF(Atletas!N584="Wu-Hao F",335,IF(Atletas!N584="Outro Taijiquan F",336,"")))))))))))))))))))))))))))))))))))))</f>
        <v/>
      </c>
      <c r="BP588" s="52" t="str">
        <f>IF(Atletas!O584="","",IF(Atletas!W584&lt;&gt;"",10000,0)+IF(Atletas!B584="Feminino",1000,IF(Atletas!B584="Masculino",2000,""))+IF(OR(Atletas!O584="Yang 26 A",Atletas!O584="Yang 40 A"),401,IF(OR(Atletas!O584="Chen 25 A",Atletas!O584="Chen 36 A",Atletas!O584="Chen 56 A"),402,IF(Atletas!O584="Sun 73 A",403,IF(Atletas!O584="Wu 45 A",404,IF(Atletas!O584="Wu-Hao 46 A",405,IF(OR(Atletas!O584="Taijiquan 16 A",Atletas!O584="Taijiquan 24 A",Atletas!O584="Taijiquan 32 A",Atletas!O584="Taijiquan 42 A"),406,IF(OR(Atletas!O584="Yang 26 B",Atletas!O584="Yang 40 B"),407,IF(OR(Atletas!O584="Chen 25 B",Atletas!O584="Chen 36 B",Atletas!O584="Chen 56 B"),408,IF(Atletas!O584="Sun 73 B",409,IF(Atletas!O584="Wu 45 B",410,IF(Atletas!O584="Wu-Hao 46 B",411,IF(OR(Atletas!O584="Taijiquan 16 B",Atletas!O584="Taijiquan 24 B",Atletas!O584="Taijiquan 32 B",Atletas!O584="Taijiquan 42 B"),412,IF(OR(Atletas!O584="Yang 26 C",Atletas!O584="Yang 40 C"),413,IF(OR(Atletas!O584="Chen 25 C",Atletas!O584="Chen 36 C",Atletas!O584="Chen 56 C"),414,IF(Atletas!O584="Sun 73 C",415,IF(Atletas!O584="Wu 45 C",416,IF(Atletas!O584="Wu-Hao 46 C",417,IF(OR(Atletas!O584="Taijiquan 16 C",Atletas!O584="Taijiquan 24 C",Atletas!O584="Taijiquan 32 C",Atletas!O584="Taijiquan 42 C"),418,0)))))))))))))))))))</f>
        <v/>
      </c>
      <c r="BQ588" s="52" t="str">
        <f>IF(Atletas!O584="","",IF(Atletas!W584&lt;&gt;"",10000,0)+IF(Atletas!B584="Feminino",1000,IF(Atletas!B584="Masculino",2000,""))+IF(OR(Atletas!O584="Yang 26 D",Atletas!O584="Yang 40 D"),419,IF(OR(Atletas!O584="Chen 25 D",Atletas!O584="Chen 36 D",Atletas!O584="Chen 56 D"),420,IF(Atletas!O584="Sun 73 D",421,IF(Atletas!O584="Wu 45 D",422,IF(Atletas!O584="Wu-Hao 46 D",423,IF(OR(Atletas!O584="Taijiquan 16 D",Atletas!O584="Taijiquan 24 D",Atletas!O584="Taijiquan 32 D",Atletas!O584="Taijiquan 42 D"),424,IF(OR(Atletas!O584="Yang 26 E",Atletas!O584="Yang 40 E"),425,IF(OR(Atletas!O584="Chen 25 E",Atletas!O584="Chen 36 E",Atletas!O584="Chen 56 E"),426,IF(Atletas!O584="Sun 73 E",427,IF(Atletas!O584="Wu 45 E",428,IF(Atletas!O584="Wu-Hao 46 E",429,IF(OR(Atletas!O584="Taijiquan 16 E",Atletas!O584="Taijiquan 24 E",Atletas!O584="Taijiquan 32 E",Atletas!O584="Taijiquan 42 E"),430,IF(OR(Atletas!O584="Yang 26 F",Atletas!O584="Yang 40 F"),431,IF(OR(Atletas!O584="Chen 25 F",Atletas!O584="Chen 36 F",Atletas!O584="Chen 56 F"),432,IF(Atletas!O584="Sun 73 F",433,IF(Atletas!O584="Wu 45 F",434,IF(Atletas!O584="Wu-Hao 46 F",435,IF(OR(Atletas!O584="Taijiquan 16 F",Atletas!O584="Taijiquan 24 F",Atletas!O584="Taijiquan 32 F",Atletas!O584="Taijiquan 42 F"),436,0)))))))))))))))))))</f>
        <v/>
      </c>
      <c r="BR588" s="52" t="str">
        <f>IF(Atletas!P584="","",IF(Atletas!W584&lt;&gt;"",10000,0)+IF(Atletas!B584="Feminino",1000,IF(Atletas!B584="Masculino",2000,""))+IF(Atletas!P584="Xingyiquan A",501,IF(Atletas!P584="Baguazhang A",502,IF(Atletas!P584="Outro Estilo Interno A",503,IF(Atletas!P584="Xingyiquan B",504,IF(Atletas!P584="Baguazhang B",505,IF(Atletas!P584="Outro Estilo Interno B",506,IF(Atletas!P584="Xingyiquan C",507,IF(Atletas!P584="Baguazhang C",508,IF(Atletas!P584="Outro Estilo Interno C",509,IF(Atletas!P584="Xingyiquan D",510,IF(Atletas!P584="Baguazhang D",511,IF(Atletas!P584="Outro Estilo Interno D",512,IF(Atletas!P584="Xingyiquan E",513,IF(Atletas!P584="Baguazhang E",514,IF(Atletas!P584="Outro Estilo Interno E",515,IF(Atletas!P584="Xingyiquan F",516,IF(Atletas!P584="Baguazhang F",517,IF(Atletas!P584="Outro Estilo Interno F",518, "")))))))))))))))))))</f>
        <v/>
      </c>
      <c r="BS588" s="52" t="str">
        <f>IF(Atletas!Q584="","",IF(Atletas!W584&lt;&gt;"",10000,0)+IF(Atletas!B584="Feminino",1000,IF(Atletas!B584="Masculino",2000,""))+IF(Atletas!Q584="Dao A",601,IF(Atletas!Q584="Jian A",602,IF(Atletas!Q584="Bishou A",603,IF(Atletas!Q584="Shan A",604,IF(Atletas!Q584="Outra Arma Curta A",605,IF(Atletas!Q584="Dao B",606,IF(Atletas!Q584="Jian B",607,IF(Atletas!Q584="Bishou B",608,IF(Atletas!Q584="Shan B",609,IF(Atletas!Q584="Outra Arma Curta B",610,IF(Atletas!Q584="Dao C",611,IF(Atletas!Q584="Jian C",612,IF(Atletas!Q584="Bishou C",613,IF(Atletas!Q584="Shan C",614,IF(Atletas!Q584="Outra Arma Curta C",615,IF(Atletas!Q584="Dao D",616,IF(Atletas!Q584="Jian D",617,IF(Atletas!Q584="Bishou D",618,IF(Atletas!Q584="Shan D",619,IF(Atletas!Q584="Outra Arma Curta D",620,IF(Atletas!Q584="Dao E",621,IF(Atletas!Q584="Jian E",622,IF(Atletas!Q584="Bishou E",623,IF(Atletas!Q584="Shan E",624,IF(Atletas!Q584="Outra Arma Curta E",625,IF(Atletas!Q584="Dao F",626,IF(Atletas!Q584="Jian F",627,IF(Atletas!Q584="Bishou F",628,IF(Atletas!Q584="Shan F",629,IF(Atletas!Q584="Outra Arma Curta F",630, "")))))))))))))))))))))))))))))))</f>
        <v/>
      </c>
      <c r="BT588" s="52" t="str">
        <f>IF(Atletas!R584="","",IF(Atletas!W584&lt;&gt;"",10000,0)+IF(Atletas!B584="Feminino",1000,IF(Atletas!B584="Masculino",2000,""))+IF(Atletas!R584="Gun A",701,IF(Atletas!R584="Qiang A",702,IF(Atletas!R584="Pudao / Guandao A",703,IF(Atletas!R584="Outra Arma Longa A",704,IF(Atletas!R584="Gun B",705,IF(Atletas!R584="Qiang B",706,IF(Atletas!R584="Pudao / Guandao B",707,IF(Atletas!R584="Outra Arma Longa B",708,IF(Atletas!R584="Gun C",709,IF(Atletas!R584="Qiang C",710,IF(Atletas!R584="Pudao / Guandao C",711,IF(Atletas!R584="Outra Arma Longa C",712,IF(Atletas!R584="Gun D",713,IF(Atletas!R584="Qiang D",714,IF(Atletas!R584="Pudao / Guandao D",715,IF(Atletas!R584="Outra Arma Longa D",716,IF(Atletas!R584="Gun E",717,IF(Atletas!R584="Qiang E",718,IF(Atletas!R584="Pudao / Guandao E",719,IF(Atletas!R584="Outra Arma Longa E",720,IF(Atletas!R584="Gun F",721,IF(Atletas!R584="Qiang F",722,IF(Atletas!R584="Pudao / Guandao F",723,IF(Atletas!R584="Outra Arma Longa F",724,"")))))))))))))))))))))))))</f>
        <v/>
      </c>
      <c r="BU588" s="52" t="str">
        <f>IF(Atletas!S584="","",IF(Atletas!W584&lt;&gt;"",10000,0)+IF(Atletas!B584="Feminino",1000,IF(Atletas!B584="Masculino",2000,""))+IF(Atletas!S584="Arma Dupla A",801,IF(Atletas!S584="Arma Maleável A",802,IF(Atletas!S584="Arma Dupla B",803,IF(Atletas!S584="Arma Maleável B",804,IF(Atletas!S584="Arma Dupla C",805,IF(Atletas!S584="Arma Maleável C",806,IF(Atletas!S584="Arma Dupla D",807,IF(Atletas!S584="Arma Maleável D",808,IF(Atletas!S584="Arma Dupla E",809,IF(Atletas!S584="Arma Maleável E",810,IF(Atletas!S584="Arma Dupla F",811,IF(Atletas!S584="Arma Maleável F",812, "")))))))))))))</f>
        <v/>
      </c>
      <c r="BV588" s="52" t="str">
        <f>IF(Atletas!T584="","",IF(Atletas!W584&lt;&gt;"",10000,0)+IF(Atletas!B584="Feminino",1000,IF(Atletas!B584="Masculino",2000,""))+IF(Atletas!T584="Taijijian Yang A",901,IF(Atletas!T584="Taijijian Chen A",902,IF(Atletas!T584="Taijijian Sun A",903,IF(Atletas!T584="Taijijian Wu A",904,IF(Atletas!T584="Taijijian Wu-Hao A",905,IF(Atletas!T584="Taijijian 32 A",906,IF(Atletas!T584="Taijijian 42 A",907,IF(Atletas!T584="Taijijian Yang B",908,IF(Atletas!T584="Taijijian Chen B",909,IF(Atletas!T584="Taijijian Sun B",910,IF(Atletas!T584="Taijijian Wu B",911,IF(Atletas!T584="Taijijian Wu-Hao B",912,IF(Atletas!T584="Taijijian 32 B",913,IF(Atletas!T584="Taijijian 42 B",914,IF(Atletas!T584="Taijijian Yang C",915,IF(Atletas!T584="Taijijian Chen C",916,IF(Atletas!T584="Taijijian Sun C",917,IF(Atletas!T584="Taijijian Wu C",918,IF(Atletas!T584="Taijijian Wu-Hao C",919,IF(Atletas!T584="Taijijian 32 C",920,IF(Atletas!T584="Taijijian 42 C",921,IF(Atletas!T584="Taijijian Yang D",922,IF(Atletas!T584="Taijijian Chen D",923,IF(Atletas!T584="Taijijian Sun D",924,IF(Atletas!T584="Taijijian Wu D",925,IF(Atletas!T584="Taijijian Wu-Hao D",926,IF(Atletas!T584="Taijijian 32 D",927,IF(Atletas!T584="Taijijian 42 D",928,IF(Atletas!T584="Taijijian Yang E",929,IF(Atletas!T584="Taijijian Chen E",930,IF(Atletas!T584="Taijijian Sun E",931,IF(Atletas!T584="Taijijian Wu E",932,IF(Atletas!T584="Taijijian Wu-Hao E",933,IF(Atletas!T584="Taijijian 32 E",934,IF(Atletas!T584="Taijijian 42 E",935,IF(Atletas!T584="Taijijian Yang F",936,IF(Atletas!T584="Taijijian Chen F",937,IF(Atletas!T584="Taijijian Sun F",938,IF(Atletas!T584="Taijijian Wu F",939,IF(Atletas!T584="Taijijian Wu-Hao F",940,IF(Atletas!T584="Taijijian 32 F",941,IF(Atletas!T584="Taijijian 42 F",942,"")))))))))))))))))))))))))))))))))))))))))))</f>
        <v/>
      </c>
      <c r="BW588" s="52" t="str">
        <f>IF(Atletas!U584="","",IF(Atletas!W584&lt;&gt;"",10000,0)+IF(Atletas!B584="Feminino",1000,IF(Atletas!B584="Masculino",2000,""))+IF(Atletas!T584="Taijijian 42 F",942,IF(Atletas!U584="Taijidao A",943,IF(Atletas!U584="Taijishan A",944,IF(Atletas!U584="Taijiqiang A",945,IF(Atletas!U584="Taijidao B",946,IF(Atletas!U584="Taijishan B",947,IF(Atletas!U584="Taijiqiang B",948,IF(Atletas!U584="Taijidao C",949,IF(Atletas!U584="Taijishan C",950,IF(Atletas!U584="Taijiqiang C",951,IF(Atletas!U584="Taijidao D",952,IF(Atletas!U584="Taijishan D",953,IF(Atletas!U584="Taijiqiang D",954,IF(Atletas!U584="Taijidao E",955,IF(Atletas!U584="Taijishan E",956,IF(Atletas!U584="Taijiqiang E",957,IF(Atletas!U584="Taijidao F",958,IF(Atletas!U584="Taijishan F",959,IF(Atletas!U584="Taijiqiang F",960))))))))))))))))))))</f>
        <v/>
      </c>
      <c r="CF588" s="52" t="str">
        <f xml:space="preserve"> IF(Atletas!V584="","",IF(Atletas!V584="Duilian de Mãos AB - Equipe 1",1,IF(Atletas!V584="Duilian de Mãos AB - Equipe 2",2,IF(Atletas!V584="Duilian de Armas AB - Equipe 1",3,IF(Atletas!V584="Duilian de Armas AB - Equipe 2",4,IF(Atletas!V584="Duilian de Tuishou - Equipe 1",5,IF(Atletas!V584="Duilian de Tuishou - Equipe 2",6,IF(Atletas!V584="Grupo Externo AB - Equipe 1",7,IF(Atletas!V584="Grupo Externo AB - Equipe 2",8,IF(Atletas!V584="Grupo Interno AB - Equipe 1",9,IF(Atletas!V584="Grupo Interno AB - Equipe 2",10,IF(Atletas!V584="Duilian de Mãos CD - Equipe 1",11,IF(Atletas!V584="Duilian de Mãos CD - Equipe 2",12,IF(Atletas!V584="Duilian de Armas CD - Equipe 1",13,IF(Atletas!V584="Duilian de Armas CD - Equipe 2",14,IF(Atletas!V584="Duilian de Tuishou - Equipe 1",15,IF(Atletas!V584="Duilian de Tuishou - Equipe 2",16,IF(Atletas!V584="Grupo Externo CDEF - Equipe 1",17,IF(Atletas!V584="Grupo Externo CDEF - Equipe 2",18,IF(Atletas!V584="Grupo Interno CDEF - Equipe 1",19,IF(Atletas!V584="Grupo Interno CDEF - Equipe 2",20,IF(Atletas!V584="Duilian de Mãos EF - Equipe 1",21,IF(Atletas!V584="Duilian de Mãos EF - Equipe 2",22,IF(Atletas!V584="Duilian de Armas EF - Equipe 1",23,IF(Atletas!V584="Duilian de Armas EF - Equipe 2",24,IF(Atletas!V584="Duilian de Tuishou - Equipe 1",25,IF(Atletas!V584="Duilian de Tuishou - Equipe 2",26,"")))))))))))))))))))))))))))</f>
        <v/>
      </c>
    </row>
    <row r="589" spans="36:84">
      <c r="AJ589" s="46" t="str">
        <f>IF(Atletas!D585="","",IF(Atletas!B585="Feminino",100,IF(Atletas!B585="Masculino",200,""))+(IF(Atletas!D585="Infantil 39kg",1,IF(Atletas!D585="Infantil 42kg",2,IF(Atletas!D585="Infantil 45kg",3,IF(Atletas!D585="Infantil 48kg",4,IF(Atletas!D585="Infantil 52kg",5,IF(Atletas!D585="Infantil 56kg",6,IF(Atletas!D585="Infantil 60kg",7,IF(Atletas!D585="Juvenil 48kg",8,IF(Atletas!D585="Juvenil 52kg",9,IF(Atletas!D585="Juvenil 56kg",10,IF(Atletas!D585="Juvenil 60kg",11,IF(Atletas!D585="Juvenil 65kg",12,IF(Atletas!D585="Juvenil 70kg",13,IF(Atletas!D585="Juvenil 75kg",14,IF(Atletas!D585="Juvenil 80kg",15,IF(Atletas!D585="Adulto 48kg",16,IF(Atletas!D585="Adulto 52kg",17,IF(Atletas!D585="Adulto 56kg",18,IF(Atletas!D585="Adulto 60kg",19,IF(Atletas!D585="Adulto 65kg",20,IF(Atletas!D585="Adulto 70kg",21,IF(Atletas!D585="Adulto 75kg",22,IF(Atletas!D585="Adulto 80kg",23,IF(Atletas!D585="Adulto 85kg",24,IF(Atletas!D585="Adulto 90kg",25,IF(Atletas!D585="Adulto +90kg",26,""))))))))))))))))))))))))))))</f>
        <v/>
      </c>
      <c r="AO589" s="10" t="str">
        <f>IF(Atletas!E585="","",IF(Atletas!B585="Feminino",100,IF(Atletas!B585="Masculino",200,""))+(IF(Atletas!E585="Juvenil 44kg",1,IF(Atletas!E585="Juvenil 48kg",2,IF(Atletas!E585="Juvenil 52kg",3,IF(Atletas!E585="Juvenil 56kg",4,IF(Atletas!E585="Juvenil 60kg",5,IF(Atletas!E585="Juvenil 65kg",6,IF(Atletas!E585="Juvenil 70kg",7,IF(Atletas!E585="Juvenil 75kg",8,IF(Atletas!E585="Juvenil 82kg",9,IF(Atletas!E585="Juvenil 90kg",10,IF(Atletas!E585="Juvenil 100kg",11,IF(Atletas!E585="Adulto 48kg",12,IF(Atletas!E585="Adulto 52kg",13,IF(Atletas!E585="Adulto 56kg",14,IF(Atletas!E585="Adulto 60kg",15,IF(Atletas!E585="Adulto 65kg",16,IF(Atletas!E585="Adulto 70kg",17,IF(Atletas!E585="Adulto 75kg",18,IF(Atletas!E585="Adulto 82kg",19,IF(Atletas!E585="Adulto 90kg",20,IF(Atletas!E585="Adulto 100kg",21,IF(Atletas!E585="Adulto +100kg",22,""))))))))))))))))))))))))</f>
        <v/>
      </c>
      <c r="AT589" s="10" t="str">
        <f>IF(Atletas!F585="","",IF(Atletas!B585="Feminino",100,IF(Atletas!B585="Masculino",200,""))+(IF(Atletas!F585="Adulto 48kg",1,IF(Atletas!F585="Adulto 56kg",2,IF(Atletas!F585="Adulto 65kg",3,IF(Atletas!F585="Adulto 75kg",4,IF(Atletas!F585="Adulto +75kg",5,IF(Atletas!F585="Adulto 52kg",6,IF(Atletas!F585="Adulto 60kg",7,IF(Atletas!F585="Adulto 70kg",8,IF(Atletas!F585="Adulto 80kg",9,IF(Atletas!F585="Adulto 90kg",10,IF(Atletas!F585="Adulto +90kg",11,"")))))))))))))</f>
        <v/>
      </c>
      <c r="AY589" s="46" t="str">
        <f>IF(Atletas!G585="","",IF(Atletas!B585="Feminino",100,IF(Atletas!B585="Masculino",200,""))+(IF(Atletas!G585="Changquan Mirim",1,IF(Atletas!G585="Nanquan Mirim",2,IF(Atletas!G585="Taijiquan Mirim",3,IF(Atletas!G585="Changquan Grupo C",4,IF(Atletas!G585="Nanquan Grupo C",5,IF(Atletas!G585="Taijiquan Grupo C",6,IF(Atletas!G585="Changquan Grupo B",7,IF(Atletas!G585="Nanquan Grupo B",8,IF(Atletas!G585="Taijiquan Grupo B",9,IF(Atletas!G585="Changquan Grupo A",10,IF(Atletas!G585="Nanquan Grupo A",11,IF(Atletas!G585="Taijiquan Grupo A",12,IF(Atletas!G585="Changquan Opcional",13,IF(Atletas!G585="Nanquan Opcional",14,IF(Atletas!G585="Taijiquan Opcional",15,IF(Atletas!G585="Changquan Adulto",16,IF(Atletas!G585="Nanquan Adulto",17,IF(Atletas!G585="Taijiquan Adulto",18,""))))))))))))))))))))</f>
        <v/>
      </c>
      <c r="AZ589" s="46" t="str">
        <f>IF(Atletas!H585="","",IF(Atletas!B585="Feminino",100,IF(Atletas!B585="Masculino",200,""))+(IF(Atletas!H585="Daoshu Mirim",19,IF(Atletas!H585="Jianshu Mirim",20,IF(Atletas!H585="Nandao Mirim",21,IF(Atletas!H585="Taijijian Mirim",22,IF(Atletas!H585="Daoshu Grupo C",23,IF(Atletas!H585="Jianshu Grupo C",24,IF(Atletas!H585="Nandao Grupo C",25,IF(Atletas!H585="Taijijian Grupo C",26,IF(Atletas!H585="Daoshu Grupo B",27,IF(Atletas!H585="Jianshu Grupo B",28,IF(Atletas!H585="Nandao Grupo B",29,IF(Atletas!H585="Taijijian Grupo B",30,IF(Atletas!H585="Daoshu Grupo A",31,IF(Atletas!H585="Jianshu Grupo A",32,IF(Atletas!H585="Nandao Grupo A",33,IF(Atletas!H585="Taijijian Grupo A",34,IF(Atletas!H585="Daoshu Opcional",35,IF(Atletas!H585="Jianshu Opcional",36,IF(Atletas!H585="Nandao Opcional",37,IF(Atletas!H585="Taijijian Opcional",38,IF(Atletas!H585="Daoshu Adulto",39,IF(Atletas!H585="Jianshu Adulto",40,IF(Atletas!H585="Nandao Adulto",41,IF(Atletas!H585="Taijijian Adulto",42,""))))))))))))))))))))))))))</f>
        <v/>
      </c>
      <c r="BA589" s="46" t="str">
        <f>IF(Atletas!I585="","",IF(Atletas!B585="Feminino",100,IF(Atletas!B585="Masculino",200,""))+(IF(Atletas!I585="Gunshu Mirim",43,IF(Atletas!I585="Qiangshu Mirim",44,IF(Atletas!I585="Nangun Mirim",45,IF(Atletas!I585="Gunshu Grupo C",46,IF(Atletas!I585="Qiangshu Grupo C",47,IF(Atletas!I585="Nangun Grupo C",48,IF(Atletas!I585="Gunshu Grupo B",49,IF(Atletas!I585="Qiangshu Grupo B",50,IF(Atletas!I585="Nangun Grupo B",51,IF(Atletas!I585="Gunshu Grupo A",52,IF(Atletas!I585="Qiangshu Grupo A",53,IF(Atletas!I585="Nangun Grupo A",54,IF(Atletas!I585="Gunshu Opcional",55,IF(Atletas!I585="Qiangshu Opcional",56,IF(Atletas!I585="Nangun Opcional",57,IF(Atletas!I585="Gunshu Adulto",58,IF(Atletas!I585="Qiangshu Adulto",59,IF(Atletas!I585="Nangun Adulto",60,""))))))))))))))))))))</f>
        <v/>
      </c>
      <c r="BF589" s="52" t="str">
        <f>IF(Atletas!J585="","",IF(Atletas!B585="Feminino",100,IF(Atletas!B585="Masculino",200,""))+(IF(Atletas!J585="Equipe 1 Grupo B",1,IF(Atletas!J585="Equipe 2 Grupo B",2,IF(Atletas!J585="Equipe 1 Grupo A",3,IF(Atletas!J585="Equipe 2 Grupo A",4,IF(Atletas!J585="Equipe 1 Adulto",5,IF(Atletas!J585="Equipe 2 Adulto",6,""))))))))</f>
        <v/>
      </c>
      <c r="BK589" s="52" t="str">
        <f>IF(Atletas!K585="","",IF(Atletas!W585&lt;&gt;"",10000,0)+(IF(Atletas!B585="Feminino",1000,IF(Atletas!B585="Masculino",2000,""))+IF(Atletas!K585="Choylayfut A",1,IF(Atletas!K585="Hunggar A",2,IF(Atletas!K585="Wuzuquan A",3,IF(Atletas!K585="Wingchun A",4,IF(Atletas!K585="Outra Mão de Sul A",5,IF(Atletas!K585="Choylayfut B",6,IF(Atletas!K585="Hunggar B",7,IF(Atletas!K585="Wuzuquan B",8,IF(Atletas!K585="Wingchun B",9,IF(Atletas!K585="Outra Mão de Sul B",10,IF(Atletas!K585="Choylayfut C",11,IF(Atletas!K585="Hunggar C",12,IF(Atletas!K585="Wuzuquan C",13,IF(Atletas!K585="Wingchun C",14,IF(Atletas!K585="Outra Mão de Sul C",15,IF(Atletas!K585="Choylayfut D",16,IF(Atletas!K585="Hunggar D",17,IF(Atletas!K585="Wuzuquan D",18,IF(Atletas!K585="Wingchun D",19,IF(Atletas!K585="Outra Mão de Sul D",20,IF(Atletas!K585="Choylayfut E",21,IF(Atletas!K585="Hunggar E",22,IF(Atletas!K585="Wuzuquan E",23,IF(Atletas!K585="Wingchun E",24,IF(Atletas!K585="Outra Mão de Sul E",25,IF(Atletas!K585="Choylayfut F",26,IF(Atletas!K585="Hunggar F",27,IF(Atletas!K585="Wuzuquan F",28,IF(Atletas!K585="Wingchun F",29,IF(Atletas!K585="Outra Mão de Sul F",30,""))))))))))))))))))))))))))))))))</f>
        <v/>
      </c>
      <c r="BL589" s="52" t="str">
        <f>IF(Atletas!L585="","",IF(Atletas!W585&lt;&gt;"",10000,0)+(IF(Atletas!B585="Feminino",1000,IF(Atletas!B585="Masculino",2000,""))+(IF(Atletas!L585="Chaquan A",101,IF(Atletas!L585="Emeiquan A",102,IF(Atletas!L585="Fanziquan A",103,IF(Atletas!L585="Huaquan A",104,IF(Atletas!L585="Hongquan A",105,IF(Atletas!L585="Paochui A",106,IF(Atletas!L585="Piguaquan A",107,IF(Atletas!L585="Shaolinquan A",108,IF(Atletas!L585="Tanglangquan A",109,IF(Atletas!L585="Yinzhaophai A",110,IF(Atletas!L585="Tongbeiquan A",111,IF(Atletas!L585="Wudangquan A",112,IF(Atletas!L585="Outros Estilos A",113,IF(Atletas!L585="Chaquan B",114,IF(Atletas!L585="Emeiquan B",115,IF(Atletas!L585="Fanziquan B",116,IF(Atletas!L585="Huaquan B",117,IF(Atletas!L585="Hongquan B",118,IF(Atletas!L585="Paochui B",119,IF(Atletas!L585="Piguaquan B",120,IF(Atletas!L585="Shaolinquan B",121,IF(Atletas!L585="Tanglangquan B",122,IF(Atletas!L585="Yinzhaophai B",123,IF(Atletas!L585="Tongbeiquan B",124,IF(Atletas!L585="Wudangquan B",125,IF(Atletas!L585="Outros Estilos B",126,IF(Atletas!L585="Chaquan C",127,IF(Atletas!L585="Emeiquan C",128,IF(Atletas!L585="Fanziquan C",129,IF(Atletas!L585="Huaquan C",130,IF(Atletas!L585="Hongquan C",131,IF(Atletas!L585="Paochui C",132,IF(Atletas!L585="Piguaquan C",133,IF(Atletas!L585="Shaolinquan C",134,IF(Atletas!L585="Tanglangquan C",135,IF(Atletas!L585="Yinzhaophai C",136,IF(Atletas!L585="Tongbeiquan C",137,IF(Atletas!L585="Wudangquan C",138,IF(Atletas!L585="Outros Estilos C",139,0))))))))))))))))))))))))))))))))))))))))))</f>
        <v/>
      </c>
      <c r="BM589" s="52" t="str">
        <f>IF(Atletas!L585="","",IF(Atletas!W585&lt;&gt;"",10000,0)+(IF(Atletas!B585="Feminino",1000,IF(Atletas!B585="Masculino",2000,""))+(IF(Atletas!L585="Chaquan D",140,IF(Atletas!L585="Emeiquan D",141,IF(Atletas!L585="Fanziquan D",142,IF(Atletas!L585="Huaquan D",143,IF(Atletas!L585="Hongquan D",144,IF(Atletas!L585="Paochui D",145,IF(Atletas!L585="Piguaquan D",146,IF(Atletas!L585="Shaolinquan D",147,IF(Atletas!L585="Tanglangquan D",148,IF(Atletas!L585="Yinzhaophai D",149,IF(Atletas!L585="Tongbeiquan D",150,IF(Atletas!L585="Wudangquan D",151,IF(Atletas!L585="Outros Estilos D",152,IF(Atletas!L585="Chaquan E",153,IF(Atletas!L585="Emeiquan E",154,IF(Atletas!L585="Fanziquan E",155,IF(Atletas!L585="Huaquan E",156,IF(Atletas!L585="Hongquan E",157,IF(Atletas!L585="Paochui E",158,IF(Atletas!L585="Piguaquan E",159,IF(Atletas!L585="Shaolinquan E",160,IF(Atletas!L585="Tanglangquan E",161,IF(Atletas!L585="Yinzhaophai E",162,IF(Atletas!L585="Tongbeiquan E",163,IF(Atletas!L585="Wudangquan E",164,IF(Atletas!L585="Outros Estilos E",165,IF(Atletas!L585="Chaquan F",166,IF(Atletas!L585="Emeiquan F",167,IF(Atletas!L585="Fanziquan F",168,IF(Atletas!L585="Huaquan F",169,IF(Atletas!L585="Hongquan F",170,IF(Atletas!L585="Paochui F",171,IF(Atletas!L585="Piguaquan F",172,IF(Atletas!L585="Shaolinquan F",173,IF(Atletas!L585="Tanglangquan F",174,IF(Atletas!L585="Yinzhaophai F",175,IF(Atletas!L585="Tongbeiquan F",176,IF(Atletas!L585="Wudangquan F",177,IF(Atletas!L585="Outros Estilos F",178,0))))))))))))))))))))))))))))))))))))))))))</f>
        <v/>
      </c>
      <c r="BN589" s="52" t="str">
        <f>IF(Atletas!M585="","",IF(Atletas!W585&lt;&gt;"",10000,0)+(IF(Atletas!B585="Feminino",1000,IF(Atletas!B585="Masculino",2000,""))+(IF(Atletas!M585="Ditangquan A",201,IF(Atletas!M585="Houquan A",202,IF(Atletas!M585="Zuiquan A",203,IF(Atletas!M585="Ditangquan B",204,IF(Atletas!M585="Houquan B",205,IF(Atletas!M585="Zuiquan B",206,IF(Atletas!M585="Ditangquan C",207,IF(Atletas!M585="Houquan C",208,IF(Atletas!M585="Zuiquan C",209,IF(Atletas!M585="Ditangquan D",210,IF(Atletas!M585="Houquan D",211,IF(Atletas!M585="Zuiquan D",212,IF(Atletas!M585="Ditangquan E",213,IF(Atletas!M585="Houquan E",214,IF(Atletas!M585="Zuiquan E",215,IF(Atletas!M585="Ditangquan F",216,IF(Atletas!M585="Houquan F",217,IF(Atletas!M585="Zuiquan F",218,"")))))))))))))))))))))</f>
        <v/>
      </c>
      <c r="BO589" s="52" t="str">
        <f>IF(Atletas!N585="","",IF(Atletas!W585&lt;&gt;"",10000,0)+IF(Atletas!B585="Feminino",1000,IF(Atletas!B585="Masculino",2000,""))+IF(Atletas!N585="Yang A",301,IF(Atletas!N585="Chen A",30,IF(Atletas!N585="Sun A",303,IF(Atletas!N585="Wu A",304,IF(Atletas!N585="Wu-Hao A",305,IF(Atletas!N585="Outro Taijiquan A",306,IF(Atletas!N585="Yang B",307,IF(Atletas!N585="Chen B",308,IF(Atletas!N585="Sun B",309,IF(Atletas!N585="Wu B",310,IF(Atletas!N585="Wu-Hao B",311,IF(Atletas!N585="Outro Taijiquan B",312,IF(Atletas!N585="Yang C",313,IF(Atletas!N585="Chen C",314,IF(Atletas!N585="Sun C",315,IF(Atletas!N585="Wu C",316,IF(Atletas!N585="Wu-Hao C",317,IF(Atletas!N585="Outro Taijiquan C",318,IF(Atletas!N585="Yang D",319,IF(Atletas!N585="Chen D",320,IF(Atletas!N585="Sun D",321,IF(Atletas!N585="Wu D",322,IF(Atletas!N585="Wu-Hao D",323,IF(Atletas!N585="Outro Taijiquan D",324,IF(Atletas!N585="Yang E",325,IF(Atletas!N585="Chen E",326,IF(Atletas!N585="Sun E",327,IF(Atletas!N585="Wu E",328,IF(Atletas!N585="Wu-Hao E",329,IF(Atletas!N585="Outro Taijiquan E",330,IF(Atletas!N585="Yang F",331,IF(Atletas!N585="Chen F",332,IF(Atletas!N585="Sun F",333,IF(Atletas!N585="Wu F",334,IF(Atletas!N585="Wu-Hao F",335,IF(Atletas!N585="Outro Taijiquan F",336,"")))))))))))))))))))))))))))))))))))))</f>
        <v/>
      </c>
      <c r="BP589" s="52" t="str">
        <f>IF(Atletas!O585="","",IF(Atletas!W585&lt;&gt;"",10000,0)+IF(Atletas!B585="Feminino",1000,IF(Atletas!B585="Masculino",2000,""))+IF(OR(Atletas!O585="Yang 26 A",Atletas!O585="Yang 40 A"),401,IF(OR(Atletas!O585="Chen 25 A",Atletas!O585="Chen 36 A",Atletas!O585="Chen 56 A"),402,IF(Atletas!O585="Sun 73 A",403,IF(Atletas!O585="Wu 45 A",404,IF(Atletas!O585="Wu-Hao 46 A",405,IF(OR(Atletas!O585="Taijiquan 16 A",Atletas!O585="Taijiquan 24 A",Atletas!O585="Taijiquan 32 A",Atletas!O585="Taijiquan 42 A"),406,IF(OR(Atletas!O585="Yang 26 B",Atletas!O585="Yang 40 B"),407,IF(OR(Atletas!O585="Chen 25 B",Atletas!O585="Chen 36 B",Atletas!O585="Chen 56 B"),408,IF(Atletas!O585="Sun 73 B",409,IF(Atletas!O585="Wu 45 B",410,IF(Atletas!O585="Wu-Hao 46 B",411,IF(OR(Atletas!O585="Taijiquan 16 B",Atletas!O585="Taijiquan 24 B",Atletas!O585="Taijiquan 32 B",Atletas!O585="Taijiquan 42 B"),412,IF(OR(Atletas!O585="Yang 26 C",Atletas!O585="Yang 40 C"),413,IF(OR(Atletas!O585="Chen 25 C",Atletas!O585="Chen 36 C",Atletas!O585="Chen 56 C"),414,IF(Atletas!O585="Sun 73 C",415,IF(Atletas!O585="Wu 45 C",416,IF(Atletas!O585="Wu-Hao 46 C",417,IF(OR(Atletas!O585="Taijiquan 16 C",Atletas!O585="Taijiquan 24 C",Atletas!O585="Taijiquan 32 C",Atletas!O585="Taijiquan 42 C"),418,0)))))))))))))))))))</f>
        <v/>
      </c>
      <c r="BQ589" s="52" t="str">
        <f>IF(Atletas!O585="","",IF(Atletas!W585&lt;&gt;"",10000,0)+IF(Atletas!B585="Feminino",1000,IF(Atletas!B585="Masculino",2000,""))+IF(OR(Atletas!O585="Yang 26 D",Atletas!O585="Yang 40 D"),419,IF(OR(Atletas!O585="Chen 25 D",Atletas!O585="Chen 36 D",Atletas!O585="Chen 56 D"),420,IF(Atletas!O585="Sun 73 D",421,IF(Atletas!O585="Wu 45 D",422,IF(Atletas!O585="Wu-Hao 46 D",423,IF(OR(Atletas!O585="Taijiquan 16 D",Atletas!O585="Taijiquan 24 D",Atletas!O585="Taijiquan 32 D",Atletas!O585="Taijiquan 42 D"),424,IF(OR(Atletas!O585="Yang 26 E",Atletas!O585="Yang 40 E"),425,IF(OR(Atletas!O585="Chen 25 E",Atletas!O585="Chen 36 E",Atletas!O585="Chen 56 E"),426,IF(Atletas!O585="Sun 73 E",427,IF(Atletas!O585="Wu 45 E",428,IF(Atletas!O585="Wu-Hao 46 E",429,IF(OR(Atletas!O585="Taijiquan 16 E",Atletas!O585="Taijiquan 24 E",Atletas!O585="Taijiquan 32 E",Atletas!O585="Taijiquan 42 E"),430,IF(OR(Atletas!O585="Yang 26 F",Atletas!O585="Yang 40 F"),431,IF(OR(Atletas!O585="Chen 25 F",Atletas!O585="Chen 36 F",Atletas!O585="Chen 56 F"),432,IF(Atletas!O585="Sun 73 F",433,IF(Atletas!O585="Wu 45 F",434,IF(Atletas!O585="Wu-Hao 46 F",435,IF(OR(Atletas!O585="Taijiquan 16 F",Atletas!O585="Taijiquan 24 F",Atletas!O585="Taijiquan 32 F",Atletas!O585="Taijiquan 42 F"),436,0)))))))))))))))))))</f>
        <v/>
      </c>
      <c r="BR589" s="52" t="str">
        <f>IF(Atletas!P585="","",IF(Atletas!W585&lt;&gt;"",10000,0)+IF(Atletas!B585="Feminino",1000,IF(Atletas!B585="Masculino",2000,""))+IF(Atletas!P585="Xingyiquan A",501,IF(Atletas!P585="Baguazhang A",502,IF(Atletas!P585="Outro Estilo Interno A",503,IF(Atletas!P585="Xingyiquan B",504,IF(Atletas!P585="Baguazhang B",505,IF(Atletas!P585="Outro Estilo Interno B",506,IF(Atletas!P585="Xingyiquan C",507,IF(Atletas!P585="Baguazhang C",508,IF(Atletas!P585="Outro Estilo Interno C",509,IF(Atletas!P585="Xingyiquan D",510,IF(Atletas!P585="Baguazhang D",511,IF(Atletas!P585="Outro Estilo Interno D",512,IF(Atletas!P585="Xingyiquan E",513,IF(Atletas!P585="Baguazhang E",514,IF(Atletas!P585="Outro Estilo Interno E",515,IF(Atletas!P585="Xingyiquan F",516,IF(Atletas!P585="Baguazhang F",517,IF(Atletas!P585="Outro Estilo Interno F",518, "")))))))))))))))))))</f>
        <v/>
      </c>
      <c r="BS589" s="52" t="str">
        <f>IF(Atletas!Q585="","",IF(Atletas!W585&lt;&gt;"",10000,0)+IF(Atletas!B585="Feminino",1000,IF(Atletas!B585="Masculino",2000,""))+IF(Atletas!Q585="Dao A",601,IF(Atletas!Q585="Jian A",602,IF(Atletas!Q585="Bishou A",603,IF(Atletas!Q585="Shan A",604,IF(Atletas!Q585="Outra Arma Curta A",605,IF(Atletas!Q585="Dao B",606,IF(Atletas!Q585="Jian B",607,IF(Atletas!Q585="Bishou B",608,IF(Atletas!Q585="Shan B",609,IF(Atletas!Q585="Outra Arma Curta B",610,IF(Atletas!Q585="Dao C",611,IF(Atletas!Q585="Jian C",612,IF(Atletas!Q585="Bishou C",613,IF(Atletas!Q585="Shan C",614,IF(Atletas!Q585="Outra Arma Curta C",615,IF(Atletas!Q585="Dao D",616,IF(Atletas!Q585="Jian D",617,IF(Atletas!Q585="Bishou D",618,IF(Atletas!Q585="Shan D",619,IF(Atletas!Q585="Outra Arma Curta D",620,IF(Atletas!Q585="Dao E",621,IF(Atletas!Q585="Jian E",622,IF(Atletas!Q585="Bishou E",623,IF(Atletas!Q585="Shan E",624,IF(Atletas!Q585="Outra Arma Curta E",625,IF(Atletas!Q585="Dao F",626,IF(Atletas!Q585="Jian F",627,IF(Atletas!Q585="Bishou F",628,IF(Atletas!Q585="Shan F",629,IF(Atletas!Q585="Outra Arma Curta F",630, "")))))))))))))))))))))))))))))))</f>
        <v/>
      </c>
      <c r="BT589" s="52" t="str">
        <f>IF(Atletas!R585="","",IF(Atletas!W585&lt;&gt;"",10000,0)+IF(Atletas!B585="Feminino",1000,IF(Atletas!B585="Masculino",2000,""))+IF(Atletas!R585="Gun A",701,IF(Atletas!R585="Qiang A",702,IF(Atletas!R585="Pudao / Guandao A",703,IF(Atletas!R585="Outra Arma Longa A",704,IF(Atletas!R585="Gun B",705,IF(Atletas!R585="Qiang B",706,IF(Atletas!R585="Pudao / Guandao B",707,IF(Atletas!R585="Outra Arma Longa B",708,IF(Atletas!R585="Gun C",709,IF(Atletas!R585="Qiang C",710,IF(Atletas!R585="Pudao / Guandao C",711,IF(Atletas!R585="Outra Arma Longa C",712,IF(Atletas!R585="Gun D",713,IF(Atletas!R585="Qiang D",714,IF(Atletas!R585="Pudao / Guandao D",715,IF(Atletas!R585="Outra Arma Longa D",716,IF(Atletas!R585="Gun E",717,IF(Atletas!R585="Qiang E",718,IF(Atletas!R585="Pudao / Guandao E",719,IF(Atletas!R585="Outra Arma Longa E",720,IF(Atletas!R585="Gun F",721,IF(Atletas!R585="Qiang F",722,IF(Atletas!R585="Pudao / Guandao F",723,IF(Atletas!R585="Outra Arma Longa F",724,"")))))))))))))))))))))))))</f>
        <v/>
      </c>
      <c r="BU589" s="52" t="str">
        <f>IF(Atletas!S585="","",IF(Atletas!W585&lt;&gt;"",10000,0)+IF(Atletas!B585="Feminino",1000,IF(Atletas!B585="Masculino",2000,""))+IF(Atletas!S585="Arma Dupla A",801,IF(Atletas!S585="Arma Maleável A",802,IF(Atletas!S585="Arma Dupla B",803,IF(Atletas!S585="Arma Maleável B",804,IF(Atletas!S585="Arma Dupla C",805,IF(Atletas!S585="Arma Maleável C",806,IF(Atletas!S585="Arma Dupla D",807,IF(Atletas!S585="Arma Maleável D",808,IF(Atletas!S585="Arma Dupla E",809,IF(Atletas!S585="Arma Maleável E",810,IF(Atletas!S585="Arma Dupla F",811,IF(Atletas!S585="Arma Maleável F",812, "")))))))))))))</f>
        <v/>
      </c>
      <c r="BV589" s="52" t="str">
        <f>IF(Atletas!T585="","",IF(Atletas!W585&lt;&gt;"",10000,0)+IF(Atletas!B585="Feminino",1000,IF(Atletas!B585="Masculino",2000,""))+IF(Atletas!T585="Taijijian Yang A",901,IF(Atletas!T585="Taijijian Chen A",902,IF(Atletas!T585="Taijijian Sun A",903,IF(Atletas!T585="Taijijian Wu A",904,IF(Atletas!T585="Taijijian Wu-Hao A",905,IF(Atletas!T585="Taijijian 32 A",906,IF(Atletas!T585="Taijijian 42 A",907,IF(Atletas!T585="Taijijian Yang B",908,IF(Atletas!T585="Taijijian Chen B",909,IF(Atletas!T585="Taijijian Sun B",910,IF(Atletas!T585="Taijijian Wu B",911,IF(Atletas!T585="Taijijian Wu-Hao B",912,IF(Atletas!T585="Taijijian 32 B",913,IF(Atletas!T585="Taijijian 42 B",914,IF(Atletas!T585="Taijijian Yang C",915,IF(Atletas!T585="Taijijian Chen C",916,IF(Atletas!T585="Taijijian Sun C",917,IF(Atletas!T585="Taijijian Wu C",918,IF(Atletas!T585="Taijijian Wu-Hao C",919,IF(Atletas!T585="Taijijian 32 C",920,IF(Atletas!T585="Taijijian 42 C",921,IF(Atletas!T585="Taijijian Yang D",922,IF(Atletas!T585="Taijijian Chen D",923,IF(Atletas!T585="Taijijian Sun D",924,IF(Atletas!T585="Taijijian Wu D",925,IF(Atletas!T585="Taijijian Wu-Hao D",926,IF(Atletas!T585="Taijijian 32 D",927,IF(Atletas!T585="Taijijian 42 D",928,IF(Atletas!T585="Taijijian Yang E",929,IF(Atletas!T585="Taijijian Chen E",930,IF(Atletas!T585="Taijijian Sun E",931,IF(Atletas!T585="Taijijian Wu E",932,IF(Atletas!T585="Taijijian Wu-Hao E",933,IF(Atletas!T585="Taijijian 32 E",934,IF(Atletas!T585="Taijijian 42 E",935,IF(Atletas!T585="Taijijian Yang F",936,IF(Atletas!T585="Taijijian Chen F",937,IF(Atletas!T585="Taijijian Sun F",938,IF(Atletas!T585="Taijijian Wu F",939,IF(Atletas!T585="Taijijian Wu-Hao F",940,IF(Atletas!T585="Taijijian 32 F",941,IF(Atletas!T585="Taijijian 42 F",942,"")))))))))))))))))))))))))))))))))))))))))))</f>
        <v/>
      </c>
      <c r="BW589" s="52" t="str">
        <f>IF(Atletas!U585="","",IF(Atletas!W585&lt;&gt;"",10000,0)+IF(Atletas!B585="Feminino",1000,IF(Atletas!B585="Masculino",2000,""))+IF(Atletas!T585="Taijijian 42 F",942,IF(Atletas!U585="Taijidao A",943,IF(Atletas!U585="Taijishan A",944,IF(Atletas!U585="Taijiqiang A",945,IF(Atletas!U585="Taijidao B",946,IF(Atletas!U585="Taijishan B",947,IF(Atletas!U585="Taijiqiang B",948,IF(Atletas!U585="Taijidao C",949,IF(Atletas!U585="Taijishan C",950,IF(Atletas!U585="Taijiqiang C",951,IF(Atletas!U585="Taijidao D",952,IF(Atletas!U585="Taijishan D",953,IF(Atletas!U585="Taijiqiang D",954,IF(Atletas!U585="Taijidao E",955,IF(Atletas!U585="Taijishan E",956,IF(Atletas!U585="Taijiqiang E",957,IF(Atletas!U585="Taijidao F",958,IF(Atletas!U585="Taijishan F",959,IF(Atletas!U585="Taijiqiang F",960))))))))))))))))))))</f>
        <v/>
      </c>
      <c r="CF589" s="52" t="str">
        <f xml:space="preserve"> IF(Atletas!V585="","",IF(Atletas!V585="Duilian de Mãos AB - Equipe 1",1,IF(Atletas!V585="Duilian de Mãos AB - Equipe 2",2,IF(Atletas!V585="Duilian de Armas AB - Equipe 1",3,IF(Atletas!V585="Duilian de Armas AB - Equipe 2",4,IF(Atletas!V585="Duilian de Tuishou - Equipe 1",5,IF(Atletas!V585="Duilian de Tuishou - Equipe 2",6,IF(Atletas!V585="Grupo Externo AB - Equipe 1",7,IF(Atletas!V585="Grupo Externo AB - Equipe 2",8,IF(Atletas!V585="Grupo Interno AB - Equipe 1",9,IF(Atletas!V585="Grupo Interno AB - Equipe 2",10,IF(Atletas!V585="Duilian de Mãos CD - Equipe 1",11,IF(Atletas!V585="Duilian de Mãos CD - Equipe 2",12,IF(Atletas!V585="Duilian de Armas CD - Equipe 1",13,IF(Atletas!V585="Duilian de Armas CD - Equipe 2",14,IF(Atletas!V585="Duilian de Tuishou - Equipe 1",15,IF(Atletas!V585="Duilian de Tuishou - Equipe 2",16,IF(Atletas!V585="Grupo Externo CDEF - Equipe 1",17,IF(Atletas!V585="Grupo Externo CDEF - Equipe 2",18,IF(Atletas!V585="Grupo Interno CDEF - Equipe 1",19,IF(Atletas!V585="Grupo Interno CDEF - Equipe 2",20,IF(Atletas!V585="Duilian de Mãos EF - Equipe 1",21,IF(Atletas!V585="Duilian de Mãos EF - Equipe 2",22,IF(Atletas!V585="Duilian de Armas EF - Equipe 1",23,IF(Atletas!V585="Duilian de Armas EF - Equipe 2",24,IF(Atletas!V585="Duilian de Tuishou - Equipe 1",25,IF(Atletas!V585="Duilian de Tuishou - Equipe 2",26,"")))))))))))))))))))))))))))</f>
        <v/>
      </c>
    </row>
    <row r="590" spans="36:84">
      <c r="AJ590" s="46" t="str">
        <f>IF(Atletas!D586="","",IF(Atletas!B586="Feminino",100,IF(Atletas!B586="Masculino",200,""))+(IF(Atletas!D586="Infantil 39kg",1,IF(Atletas!D586="Infantil 42kg",2,IF(Atletas!D586="Infantil 45kg",3,IF(Atletas!D586="Infantil 48kg",4,IF(Atletas!D586="Infantil 52kg",5,IF(Atletas!D586="Infantil 56kg",6,IF(Atletas!D586="Infantil 60kg",7,IF(Atletas!D586="Juvenil 48kg",8,IF(Atletas!D586="Juvenil 52kg",9,IF(Atletas!D586="Juvenil 56kg",10,IF(Atletas!D586="Juvenil 60kg",11,IF(Atletas!D586="Juvenil 65kg",12,IF(Atletas!D586="Juvenil 70kg",13,IF(Atletas!D586="Juvenil 75kg",14,IF(Atletas!D586="Juvenil 80kg",15,IF(Atletas!D586="Adulto 48kg",16,IF(Atletas!D586="Adulto 52kg",17,IF(Atletas!D586="Adulto 56kg",18,IF(Atletas!D586="Adulto 60kg",19,IF(Atletas!D586="Adulto 65kg",20,IF(Atletas!D586="Adulto 70kg",21,IF(Atletas!D586="Adulto 75kg",22,IF(Atletas!D586="Adulto 80kg",23,IF(Atletas!D586="Adulto 85kg",24,IF(Atletas!D586="Adulto 90kg",25,IF(Atletas!D586="Adulto +90kg",26,""))))))))))))))))))))))))))))</f>
        <v/>
      </c>
      <c r="AO590" s="10" t="str">
        <f>IF(Atletas!E586="","",IF(Atletas!B586="Feminino",100,IF(Atletas!B586="Masculino",200,""))+(IF(Atletas!E586="Juvenil 44kg",1,IF(Atletas!E586="Juvenil 48kg",2,IF(Atletas!E586="Juvenil 52kg",3,IF(Atletas!E586="Juvenil 56kg",4,IF(Atletas!E586="Juvenil 60kg",5,IF(Atletas!E586="Juvenil 65kg",6,IF(Atletas!E586="Juvenil 70kg",7,IF(Atletas!E586="Juvenil 75kg",8,IF(Atletas!E586="Juvenil 82kg",9,IF(Atletas!E586="Juvenil 90kg",10,IF(Atletas!E586="Juvenil 100kg",11,IF(Atletas!E586="Adulto 48kg",12,IF(Atletas!E586="Adulto 52kg",13,IF(Atletas!E586="Adulto 56kg",14,IF(Atletas!E586="Adulto 60kg",15,IF(Atletas!E586="Adulto 65kg",16,IF(Atletas!E586="Adulto 70kg",17,IF(Atletas!E586="Adulto 75kg",18,IF(Atletas!E586="Adulto 82kg",19,IF(Atletas!E586="Adulto 90kg",20,IF(Atletas!E586="Adulto 100kg",21,IF(Atletas!E586="Adulto +100kg",22,""))))))))))))))))))))))))</f>
        <v/>
      </c>
      <c r="AT590" s="10" t="str">
        <f>IF(Atletas!F586="","",IF(Atletas!B586="Feminino",100,IF(Atletas!B586="Masculino",200,""))+(IF(Atletas!F586="Adulto 48kg",1,IF(Atletas!F586="Adulto 56kg",2,IF(Atletas!F586="Adulto 65kg",3,IF(Atletas!F586="Adulto 75kg",4,IF(Atletas!F586="Adulto +75kg",5,IF(Atletas!F586="Adulto 52kg",6,IF(Atletas!F586="Adulto 60kg",7,IF(Atletas!F586="Adulto 70kg",8,IF(Atletas!F586="Adulto 80kg",9,IF(Atletas!F586="Adulto 90kg",10,IF(Atletas!F586="Adulto +90kg",11,"")))))))))))))</f>
        <v/>
      </c>
      <c r="AY590" s="46" t="str">
        <f>IF(Atletas!G586="","",IF(Atletas!B586="Feminino",100,IF(Atletas!B586="Masculino",200,""))+(IF(Atletas!G586="Changquan Mirim",1,IF(Atletas!G586="Nanquan Mirim",2,IF(Atletas!G586="Taijiquan Mirim",3,IF(Atletas!G586="Changquan Grupo C",4,IF(Atletas!G586="Nanquan Grupo C",5,IF(Atletas!G586="Taijiquan Grupo C",6,IF(Atletas!G586="Changquan Grupo B",7,IF(Atletas!G586="Nanquan Grupo B",8,IF(Atletas!G586="Taijiquan Grupo B",9,IF(Atletas!G586="Changquan Grupo A",10,IF(Atletas!G586="Nanquan Grupo A",11,IF(Atletas!G586="Taijiquan Grupo A",12,IF(Atletas!G586="Changquan Opcional",13,IF(Atletas!G586="Nanquan Opcional",14,IF(Atletas!G586="Taijiquan Opcional",15,IF(Atletas!G586="Changquan Adulto",16,IF(Atletas!G586="Nanquan Adulto",17,IF(Atletas!G586="Taijiquan Adulto",18,""))))))))))))))))))))</f>
        <v/>
      </c>
      <c r="AZ590" s="46" t="str">
        <f>IF(Atletas!H586="","",IF(Atletas!B586="Feminino",100,IF(Atletas!B586="Masculino",200,""))+(IF(Atletas!H586="Daoshu Mirim",19,IF(Atletas!H586="Jianshu Mirim",20,IF(Atletas!H586="Nandao Mirim",21,IF(Atletas!H586="Taijijian Mirim",22,IF(Atletas!H586="Daoshu Grupo C",23,IF(Atletas!H586="Jianshu Grupo C",24,IF(Atletas!H586="Nandao Grupo C",25,IF(Atletas!H586="Taijijian Grupo C",26,IF(Atletas!H586="Daoshu Grupo B",27,IF(Atletas!H586="Jianshu Grupo B",28,IF(Atletas!H586="Nandao Grupo B",29,IF(Atletas!H586="Taijijian Grupo B",30,IF(Atletas!H586="Daoshu Grupo A",31,IF(Atletas!H586="Jianshu Grupo A",32,IF(Atletas!H586="Nandao Grupo A",33,IF(Atletas!H586="Taijijian Grupo A",34,IF(Atletas!H586="Daoshu Opcional",35,IF(Atletas!H586="Jianshu Opcional",36,IF(Atletas!H586="Nandao Opcional",37,IF(Atletas!H586="Taijijian Opcional",38,IF(Atletas!H586="Daoshu Adulto",39,IF(Atletas!H586="Jianshu Adulto",40,IF(Atletas!H586="Nandao Adulto",41,IF(Atletas!H586="Taijijian Adulto",42,""))))))))))))))))))))))))))</f>
        <v/>
      </c>
      <c r="BA590" s="46" t="str">
        <f>IF(Atletas!I586="","",IF(Atletas!B586="Feminino",100,IF(Atletas!B586="Masculino",200,""))+(IF(Atletas!I586="Gunshu Mirim",43,IF(Atletas!I586="Qiangshu Mirim",44,IF(Atletas!I586="Nangun Mirim",45,IF(Atletas!I586="Gunshu Grupo C",46,IF(Atletas!I586="Qiangshu Grupo C",47,IF(Atletas!I586="Nangun Grupo C",48,IF(Atletas!I586="Gunshu Grupo B",49,IF(Atletas!I586="Qiangshu Grupo B",50,IF(Atletas!I586="Nangun Grupo B",51,IF(Atletas!I586="Gunshu Grupo A",52,IF(Atletas!I586="Qiangshu Grupo A",53,IF(Atletas!I586="Nangun Grupo A",54,IF(Atletas!I586="Gunshu Opcional",55,IF(Atletas!I586="Qiangshu Opcional",56,IF(Atletas!I586="Nangun Opcional",57,IF(Atletas!I586="Gunshu Adulto",58,IF(Atletas!I586="Qiangshu Adulto",59,IF(Atletas!I586="Nangun Adulto",60,""))))))))))))))))))))</f>
        <v/>
      </c>
      <c r="BF590" s="52" t="str">
        <f>IF(Atletas!J586="","",IF(Atletas!B586="Feminino",100,IF(Atletas!B586="Masculino",200,""))+(IF(Atletas!J586="Equipe 1 Grupo B",1,IF(Atletas!J586="Equipe 2 Grupo B",2,IF(Atletas!J586="Equipe 1 Grupo A",3,IF(Atletas!J586="Equipe 2 Grupo A",4,IF(Atletas!J586="Equipe 1 Adulto",5,IF(Atletas!J586="Equipe 2 Adulto",6,""))))))))</f>
        <v/>
      </c>
      <c r="BK590" s="52" t="str">
        <f>IF(Atletas!K586="","",IF(Atletas!W586&lt;&gt;"",10000,0)+(IF(Atletas!B586="Feminino",1000,IF(Atletas!B586="Masculino",2000,""))+IF(Atletas!K586="Choylayfut A",1,IF(Atletas!K586="Hunggar A",2,IF(Atletas!K586="Wuzuquan A",3,IF(Atletas!K586="Wingchun A",4,IF(Atletas!K586="Outra Mão de Sul A",5,IF(Atletas!K586="Choylayfut B",6,IF(Atletas!K586="Hunggar B",7,IF(Atletas!K586="Wuzuquan B",8,IF(Atletas!K586="Wingchun B",9,IF(Atletas!K586="Outra Mão de Sul B",10,IF(Atletas!K586="Choylayfut C",11,IF(Atletas!K586="Hunggar C",12,IF(Atletas!K586="Wuzuquan C",13,IF(Atletas!K586="Wingchun C",14,IF(Atletas!K586="Outra Mão de Sul C",15,IF(Atletas!K586="Choylayfut D",16,IF(Atletas!K586="Hunggar D",17,IF(Atletas!K586="Wuzuquan D",18,IF(Atletas!K586="Wingchun D",19,IF(Atletas!K586="Outra Mão de Sul D",20,IF(Atletas!K586="Choylayfut E",21,IF(Atletas!K586="Hunggar E",22,IF(Atletas!K586="Wuzuquan E",23,IF(Atletas!K586="Wingchun E",24,IF(Atletas!K586="Outra Mão de Sul E",25,IF(Atletas!K586="Choylayfut F",26,IF(Atletas!K586="Hunggar F",27,IF(Atletas!K586="Wuzuquan F",28,IF(Atletas!K586="Wingchun F",29,IF(Atletas!K586="Outra Mão de Sul F",30,""))))))))))))))))))))))))))))))))</f>
        <v/>
      </c>
      <c r="BL590" s="52" t="str">
        <f>IF(Atletas!L586="","",IF(Atletas!W586&lt;&gt;"",10000,0)+(IF(Atletas!B586="Feminino",1000,IF(Atletas!B586="Masculino",2000,""))+(IF(Atletas!L586="Chaquan A",101,IF(Atletas!L586="Emeiquan A",102,IF(Atletas!L586="Fanziquan A",103,IF(Atletas!L586="Huaquan A",104,IF(Atletas!L586="Hongquan A",105,IF(Atletas!L586="Paochui A",106,IF(Atletas!L586="Piguaquan A",107,IF(Atletas!L586="Shaolinquan A",108,IF(Atletas!L586="Tanglangquan A",109,IF(Atletas!L586="Yinzhaophai A",110,IF(Atletas!L586="Tongbeiquan A",111,IF(Atletas!L586="Wudangquan A",112,IF(Atletas!L586="Outros Estilos A",113,IF(Atletas!L586="Chaquan B",114,IF(Atletas!L586="Emeiquan B",115,IF(Atletas!L586="Fanziquan B",116,IF(Atletas!L586="Huaquan B",117,IF(Atletas!L586="Hongquan B",118,IF(Atletas!L586="Paochui B",119,IF(Atletas!L586="Piguaquan B",120,IF(Atletas!L586="Shaolinquan B",121,IF(Atletas!L586="Tanglangquan B",122,IF(Atletas!L586="Yinzhaophai B",123,IF(Atletas!L586="Tongbeiquan B",124,IF(Atletas!L586="Wudangquan B",125,IF(Atletas!L586="Outros Estilos B",126,IF(Atletas!L586="Chaquan C",127,IF(Atletas!L586="Emeiquan C",128,IF(Atletas!L586="Fanziquan C",129,IF(Atletas!L586="Huaquan C",130,IF(Atletas!L586="Hongquan C",131,IF(Atletas!L586="Paochui C",132,IF(Atletas!L586="Piguaquan C",133,IF(Atletas!L586="Shaolinquan C",134,IF(Atletas!L586="Tanglangquan C",135,IF(Atletas!L586="Yinzhaophai C",136,IF(Atletas!L586="Tongbeiquan C",137,IF(Atletas!L586="Wudangquan C",138,IF(Atletas!L586="Outros Estilos C",139,0))))))))))))))))))))))))))))))))))))))))))</f>
        <v/>
      </c>
      <c r="BM590" s="52" t="str">
        <f>IF(Atletas!L586="","",IF(Atletas!W586&lt;&gt;"",10000,0)+(IF(Atletas!B586="Feminino",1000,IF(Atletas!B586="Masculino",2000,""))+(IF(Atletas!L586="Chaquan D",140,IF(Atletas!L586="Emeiquan D",141,IF(Atletas!L586="Fanziquan D",142,IF(Atletas!L586="Huaquan D",143,IF(Atletas!L586="Hongquan D",144,IF(Atletas!L586="Paochui D",145,IF(Atletas!L586="Piguaquan D",146,IF(Atletas!L586="Shaolinquan D",147,IF(Atletas!L586="Tanglangquan D",148,IF(Atletas!L586="Yinzhaophai D",149,IF(Atletas!L586="Tongbeiquan D",150,IF(Atletas!L586="Wudangquan D",151,IF(Atletas!L586="Outros Estilos D",152,IF(Atletas!L586="Chaquan E",153,IF(Atletas!L586="Emeiquan E",154,IF(Atletas!L586="Fanziquan E",155,IF(Atletas!L586="Huaquan E",156,IF(Atletas!L586="Hongquan E",157,IF(Atletas!L586="Paochui E",158,IF(Atletas!L586="Piguaquan E",159,IF(Atletas!L586="Shaolinquan E",160,IF(Atletas!L586="Tanglangquan E",161,IF(Atletas!L586="Yinzhaophai E",162,IF(Atletas!L586="Tongbeiquan E",163,IF(Atletas!L586="Wudangquan E",164,IF(Atletas!L586="Outros Estilos E",165,IF(Atletas!L586="Chaquan F",166,IF(Atletas!L586="Emeiquan F",167,IF(Atletas!L586="Fanziquan F",168,IF(Atletas!L586="Huaquan F",169,IF(Atletas!L586="Hongquan F",170,IF(Atletas!L586="Paochui F",171,IF(Atletas!L586="Piguaquan F",172,IF(Atletas!L586="Shaolinquan F",173,IF(Atletas!L586="Tanglangquan F",174,IF(Atletas!L586="Yinzhaophai F",175,IF(Atletas!L586="Tongbeiquan F",176,IF(Atletas!L586="Wudangquan F",177,IF(Atletas!L586="Outros Estilos F",178,0))))))))))))))))))))))))))))))))))))))))))</f>
        <v/>
      </c>
      <c r="BN590" s="52" t="str">
        <f>IF(Atletas!M586="","",IF(Atletas!W586&lt;&gt;"",10000,0)+(IF(Atletas!B586="Feminino",1000,IF(Atletas!B586="Masculino",2000,""))+(IF(Atletas!M586="Ditangquan A",201,IF(Atletas!M586="Houquan A",202,IF(Atletas!M586="Zuiquan A",203,IF(Atletas!M586="Ditangquan B",204,IF(Atletas!M586="Houquan B",205,IF(Atletas!M586="Zuiquan B",206,IF(Atletas!M586="Ditangquan C",207,IF(Atletas!M586="Houquan C",208,IF(Atletas!M586="Zuiquan C",209,IF(Atletas!M586="Ditangquan D",210,IF(Atletas!M586="Houquan D",211,IF(Atletas!M586="Zuiquan D",212,IF(Atletas!M586="Ditangquan E",213,IF(Atletas!M586="Houquan E",214,IF(Atletas!M586="Zuiquan E",215,IF(Atletas!M586="Ditangquan F",216,IF(Atletas!M586="Houquan F",217,IF(Atletas!M586="Zuiquan F",218,"")))))))))))))))))))))</f>
        <v/>
      </c>
      <c r="BO590" s="52" t="str">
        <f>IF(Atletas!N586="","",IF(Atletas!W586&lt;&gt;"",10000,0)+IF(Atletas!B586="Feminino",1000,IF(Atletas!B586="Masculino",2000,""))+IF(Atletas!N586="Yang A",301,IF(Atletas!N586="Chen A",30,IF(Atletas!N586="Sun A",303,IF(Atletas!N586="Wu A",304,IF(Atletas!N586="Wu-Hao A",305,IF(Atletas!N586="Outro Taijiquan A",306,IF(Atletas!N586="Yang B",307,IF(Atletas!N586="Chen B",308,IF(Atletas!N586="Sun B",309,IF(Atletas!N586="Wu B",310,IF(Atletas!N586="Wu-Hao B",311,IF(Atletas!N586="Outro Taijiquan B",312,IF(Atletas!N586="Yang C",313,IF(Atletas!N586="Chen C",314,IF(Atletas!N586="Sun C",315,IF(Atletas!N586="Wu C",316,IF(Atletas!N586="Wu-Hao C",317,IF(Atletas!N586="Outro Taijiquan C",318,IF(Atletas!N586="Yang D",319,IF(Atletas!N586="Chen D",320,IF(Atletas!N586="Sun D",321,IF(Atletas!N586="Wu D",322,IF(Atletas!N586="Wu-Hao D",323,IF(Atletas!N586="Outro Taijiquan D",324,IF(Atletas!N586="Yang E",325,IF(Atletas!N586="Chen E",326,IF(Atletas!N586="Sun E",327,IF(Atletas!N586="Wu E",328,IF(Atletas!N586="Wu-Hao E",329,IF(Atletas!N586="Outro Taijiquan E",330,IF(Atletas!N586="Yang F",331,IF(Atletas!N586="Chen F",332,IF(Atletas!N586="Sun F",333,IF(Atletas!N586="Wu F",334,IF(Atletas!N586="Wu-Hao F",335,IF(Atletas!N586="Outro Taijiquan F",336,"")))))))))))))))))))))))))))))))))))))</f>
        <v/>
      </c>
      <c r="BP590" s="52" t="str">
        <f>IF(Atletas!O586="","",IF(Atletas!W586&lt;&gt;"",10000,0)+IF(Atletas!B586="Feminino",1000,IF(Atletas!B586="Masculino",2000,""))+IF(OR(Atletas!O586="Yang 26 A",Atletas!O586="Yang 40 A"),401,IF(OR(Atletas!O586="Chen 25 A",Atletas!O586="Chen 36 A",Atletas!O586="Chen 56 A"),402,IF(Atletas!O586="Sun 73 A",403,IF(Atletas!O586="Wu 45 A",404,IF(Atletas!O586="Wu-Hao 46 A",405,IF(OR(Atletas!O586="Taijiquan 16 A",Atletas!O586="Taijiquan 24 A",Atletas!O586="Taijiquan 32 A",Atletas!O586="Taijiquan 42 A"),406,IF(OR(Atletas!O586="Yang 26 B",Atletas!O586="Yang 40 B"),407,IF(OR(Atletas!O586="Chen 25 B",Atletas!O586="Chen 36 B",Atletas!O586="Chen 56 B"),408,IF(Atletas!O586="Sun 73 B",409,IF(Atletas!O586="Wu 45 B",410,IF(Atletas!O586="Wu-Hao 46 B",411,IF(OR(Atletas!O586="Taijiquan 16 B",Atletas!O586="Taijiquan 24 B",Atletas!O586="Taijiquan 32 B",Atletas!O586="Taijiquan 42 B"),412,IF(OR(Atletas!O586="Yang 26 C",Atletas!O586="Yang 40 C"),413,IF(OR(Atletas!O586="Chen 25 C",Atletas!O586="Chen 36 C",Atletas!O586="Chen 56 C"),414,IF(Atletas!O586="Sun 73 C",415,IF(Atletas!O586="Wu 45 C",416,IF(Atletas!O586="Wu-Hao 46 C",417,IF(OR(Atletas!O586="Taijiquan 16 C",Atletas!O586="Taijiquan 24 C",Atletas!O586="Taijiquan 32 C",Atletas!O586="Taijiquan 42 C"),418,0)))))))))))))))))))</f>
        <v/>
      </c>
      <c r="BQ590" s="52" t="str">
        <f>IF(Atletas!O586="","",IF(Atletas!W586&lt;&gt;"",10000,0)+IF(Atletas!B586="Feminino",1000,IF(Atletas!B586="Masculino",2000,""))+IF(OR(Atletas!O586="Yang 26 D",Atletas!O586="Yang 40 D"),419,IF(OR(Atletas!O586="Chen 25 D",Atletas!O586="Chen 36 D",Atletas!O586="Chen 56 D"),420,IF(Atletas!O586="Sun 73 D",421,IF(Atletas!O586="Wu 45 D",422,IF(Atletas!O586="Wu-Hao 46 D",423,IF(OR(Atletas!O586="Taijiquan 16 D",Atletas!O586="Taijiquan 24 D",Atletas!O586="Taijiquan 32 D",Atletas!O586="Taijiquan 42 D"),424,IF(OR(Atletas!O586="Yang 26 E",Atletas!O586="Yang 40 E"),425,IF(OR(Atletas!O586="Chen 25 E",Atletas!O586="Chen 36 E",Atletas!O586="Chen 56 E"),426,IF(Atletas!O586="Sun 73 E",427,IF(Atletas!O586="Wu 45 E",428,IF(Atletas!O586="Wu-Hao 46 E",429,IF(OR(Atletas!O586="Taijiquan 16 E",Atletas!O586="Taijiquan 24 E",Atletas!O586="Taijiquan 32 E",Atletas!O586="Taijiquan 42 E"),430,IF(OR(Atletas!O586="Yang 26 F",Atletas!O586="Yang 40 F"),431,IF(OR(Atletas!O586="Chen 25 F",Atletas!O586="Chen 36 F",Atletas!O586="Chen 56 F"),432,IF(Atletas!O586="Sun 73 F",433,IF(Atletas!O586="Wu 45 F",434,IF(Atletas!O586="Wu-Hao 46 F",435,IF(OR(Atletas!O586="Taijiquan 16 F",Atletas!O586="Taijiquan 24 F",Atletas!O586="Taijiquan 32 F",Atletas!O586="Taijiquan 42 F"),436,0)))))))))))))))))))</f>
        <v/>
      </c>
      <c r="BR590" s="52" t="str">
        <f>IF(Atletas!P586="","",IF(Atletas!W586&lt;&gt;"",10000,0)+IF(Atletas!B586="Feminino",1000,IF(Atletas!B586="Masculino",2000,""))+IF(Atletas!P586="Xingyiquan A",501,IF(Atletas!P586="Baguazhang A",502,IF(Atletas!P586="Outro Estilo Interno A",503,IF(Atletas!P586="Xingyiquan B",504,IF(Atletas!P586="Baguazhang B",505,IF(Atletas!P586="Outro Estilo Interno B",506,IF(Atletas!P586="Xingyiquan C",507,IF(Atletas!P586="Baguazhang C",508,IF(Atletas!P586="Outro Estilo Interno C",509,IF(Atletas!P586="Xingyiquan D",510,IF(Atletas!P586="Baguazhang D",511,IF(Atletas!P586="Outro Estilo Interno D",512,IF(Atletas!P586="Xingyiquan E",513,IF(Atletas!P586="Baguazhang E",514,IF(Atletas!P586="Outro Estilo Interno E",515,IF(Atletas!P586="Xingyiquan F",516,IF(Atletas!P586="Baguazhang F",517,IF(Atletas!P586="Outro Estilo Interno F",518, "")))))))))))))))))))</f>
        <v/>
      </c>
      <c r="BS590" s="52" t="str">
        <f>IF(Atletas!Q586="","",IF(Atletas!W586&lt;&gt;"",10000,0)+IF(Atletas!B586="Feminino",1000,IF(Atletas!B586="Masculino",2000,""))+IF(Atletas!Q586="Dao A",601,IF(Atletas!Q586="Jian A",602,IF(Atletas!Q586="Bishou A",603,IF(Atletas!Q586="Shan A",604,IF(Atletas!Q586="Outra Arma Curta A",605,IF(Atletas!Q586="Dao B",606,IF(Atletas!Q586="Jian B",607,IF(Atletas!Q586="Bishou B",608,IF(Atletas!Q586="Shan B",609,IF(Atletas!Q586="Outra Arma Curta B",610,IF(Atletas!Q586="Dao C",611,IF(Atletas!Q586="Jian C",612,IF(Atletas!Q586="Bishou C",613,IF(Atletas!Q586="Shan C",614,IF(Atletas!Q586="Outra Arma Curta C",615,IF(Atletas!Q586="Dao D",616,IF(Atletas!Q586="Jian D",617,IF(Atletas!Q586="Bishou D",618,IF(Atletas!Q586="Shan D",619,IF(Atletas!Q586="Outra Arma Curta D",620,IF(Atletas!Q586="Dao E",621,IF(Atletas!Q586="Jian E",622,IF(Atletas!Q586="Bishou E",623,IF(Atletas!Q586="Shan E",624,IF(Atletas!Q586="Outra Arma Curta E",625,IF(Atletas!Q586="Dao F",626,IF(Atletas!Q586="Jian F",627,IF(Atletas!Q586="Bishou F",628,IF(Atletas!Q586="Shan F",629,IF(Atletas!Q586="Outra Arma Curta F",630, "")))))))))))))))))))))))))))))))</f>
        <v/>
      </c>
      <c r="BT590" s="52" t="str">
        <f>IF(Atletas!R586="","",IF(Atletas!W586&lt;&gt;"",10000,0)+IF(Atletas!B586="Feminino",1000,IF(Atletas!B586="Masculino",2000,""))+IF(Atletas!R586="Gun A",701,IF(Atletas!R586="Qiang A",702,IF(Atletas!R586="Pudao / Guandao A",703,IF(Atletas!R586="Outra Arma Longa A",704,IF(Atletas!R586="Gun B",705,IF(Atletas!R586="Qiang B",706,IF(Atletas!R586="Pudao / Guandao B",707,IF(Atletas!R586="Outra Arma Longa B",708,IF(Atletas!R586="Gun C",709,IF(Atletas!R586="Qiang C",710,IF(Atletas!R586="Pudao / Guandao C",711,IF(Atletas!R586="Outra Arma Longa C",712,IF(Atletas!R586="Gun D",713,IF(Atletas!R586="Qiang D",714,IF(Atletas!R586="Pudao / Guandao D",715,IF(Atletas!R586="Outra Arma Longa D",716,IF(Atletas!R586="Gun E",717,IF(Atletas!R586="Qiang E",718,IF(Atletas!R586="Pudao / Guandao E",719,IF(Atletas!R586="Outra Arma Longa E",720,IF(Atletas!R586="Gun F",721,IF(Atletas!R586="Qiang F",722,IF(Atletas!R586="Pudao / Guandao F",723,IF(Atletas!R586="Outra Arma Longa F",724,"")))))))))))))))))))))))))</f>
        <v/>
      </c>
      <c r="BU590" s="52" t="str">
        <f>IF(Atletas!S586="","",IF(Atletas!W586&lt;&gt;"",10000,0)+IF(Atletas!B586="Feminino",1000,IF(Atletas!B586="Masculino",2000,""))+IF(Atletas!S586="Arma Dupla A",801,IF(Atletas!S586="Arma Maleável A",802,IF(Atletas!S586="Arma Dupla B",803,IF(Atletas!S586="Arma Maleável B",804,IF(Atletas!S586="Arma Dupla C",805,IF(Atletas!S586="Arma Maleável C",806,IF(Atletas!S586="Arma Dupla D",807,IF(Atletas!S586="Arma Maleável D",808,IF(Atletas!S586="Arma Dupla E",809,IF(Atletas!S586="Arma Maleável E",810,IF(Atletas!S586="Arma Dupla F",811,IF(Atletas!S586="Arma Maleável F",812, "")))))))))))))</f>
        <v/>
      </c>
      <c r="BV590" s="52" t="str">
        <f>IF(Atletas!T586="","",IF(Atletas!W586&lt;&gt;"",10000,0)+IF(Atletas!B586="Feminino",1000,IF(Atletas!B586="Masculino",2000,""))+IF(Atletas!T586="Taijijian Yang A",901,IF(Atletas!T586="Taijijian Chen A",902,IF(Atletas!T586="Taijijian Sun A",903,IF(Atletas!T586="Taijijian Wu A",904,IF(Atletas!T586="Taijijian Wu-Hao A",905,IF(Atletas!T586="Taijijian 32 A",906,IF(Atletas!T586="Taijijian 42 A",907,IF(Atletas!T586="Taijijian Yang B",908,IF(Atletas!T586="Taijijian Chen B",909,IF(Atletas!T586="Taijijian Sun B",910,IF(Atletas!T586="Taijijian Wu B",911,IF(Atletas!T586="Taijijian Wu-Hao B",912,IF(Atletas!T586="Taijijian 32 B",913,IF(Atletas!T586="Taijijian 42 B",914,IF(Atletas!T586="Taijijian Yang C",915,IF(Atletas!T586="Taijijian Chen C",916,IF(Atletas!T586="Taijijian Sun C",917,IF(Atletas!T586="Taijijian Wu C",918,IF(Atletas!T586="Taijijian Wu-Hao C",919,IF(Atletas!T586="Taijijian 32 C",920,IF(Atletas!T586="Taijijian 42 C",921,IF(Atletas!T586="Taijijian Yang D",922,IF(Atletas!T586="Taijijian Chen D",923,IF(Atletas!T586="Taijijian Sun D",924,IF(Atletas!T586="Taijijian Wu D",925,IF(Atletas!T586="Taijijian Wu-Hao D",926,IF(Atletas!T586="Taijijian 32 D",927,IF(Atletas!T586="Taijijian 42 D",928,IF(Atletas!T586="Taijijian Yang E",929,IF(Atletas!T586="Taijijian Chen E",930,IF(Atletas!T586="Taijijian Sun E",931,IF(Atletas!T586="Taijijian Wu E",932,IF(Atletas!T586="Taijijian Wu-Hao E",933,IF(Atletas!T586="Taijijian 32 E",934,IF(Atletas!T586="Taijijian 42 E",935,IF(Atletas!T586="Taijijian Yang F",936,IF(Atletas!T586="Taijijian Chen F",937,IF(Atletas!T586="Taijijian Sun F",938,IF(Atletas!T586="Taijijian Wu F",939,IF(Atletas!T586="Taijijian Wu-Hao F",940,IF(Atletas!T586="Taijijian 32 F",941,IF(Atletas!T586="Taijijian 42 F",942,"")))))))))))))))))))))))))))))))))))))))))))</f>
        <v/>
      </c>
      <c r="BW590" s="52" t="str">
        <f>IF(Atletas!U586="","",IF(Atletas!W586&lt;&gt;"",10000,0)+IF(Atletas!B586="Feminino",1000,IF(Atletas!B586="Masculino",2000,""))+IF(Atletas!T586="Taijijian 42 F",942,IF(Atletas!U586="Taijidao A",943,IF(Atletas!U586="Taijishan A",944,IF(Atletas!U586="Taijiqiang A",945,IF(Atletas!U586="Taijidao B",946,IF(Atletas!U586="Taijishan B",947,IF(Atletas!U586="Taijiqiang B",948,IF(Atletas!U586="Taijidao C",949,IF(Atletas!U586="Taijishan C",950,IF(Atletas!U586="Taijiqiang C",951,IF(Atletas!U586="Taijidao D",952,IF(Atletas!U586="Taijishan D",953,IF(Atletas!U586="Taijiqiang D",954,IF(Atletas!U586="Taijidao E",955,IF(Atletas!U586="Taijishan E",956,IF(Atletas!U586="Taijiqiang E",957,IF(Atletas!U586="Taijidao F",958,IF(Atletas!U586="Taijishan F",959,IF(Atletas!U586="Taijiqiang F",960))))))))))))))))))))</f>
        <v/>
      </c>
      <c r="CF590" s="52" t="str">
        <f xml:space="preserve"> IF(Atletas!V586="","",IF(Atletas!V586="Duilian de Mãos AB - Equipe 1",1,IF(Atletas!V586="Duilian de Mãos AB - Equipe 2",2,IF(Atletas!V586="Duilian de Armas AB - Equipe 1",3,IF(Atletas!V586="Duilian de Armas AB - Equipe 2",4,IF(Atletas!V586="Duilian de Tuishou - Equipe 1",5,IF(Atletas!V586="Duilian de Tuishou - Equipe 2",6,IF(Atletas!V586="Grupo Externo AB - Equipe 1",7,IF(Atletas!V586="Grupo Externo AB - Equipe 2",8,IF(Atletas!V586="Grupo Interno AB - Equipe 1",9,IF(Atletas!V586="Grupo Interno AB - Equipe 2",10,IF(Atletas!V586="Duilian de Mãos CD - Equipe 1",11,IF(Atletas!V586="Duilian de Mãos CD - Equipe 2",12,IF(Atletas!V586="Duilian de Armas CD - Equipe 1",13,IF(Atletas!V586="Duilian de Armas CD - Equipe 2",14,IF(Atletas!V586="Duilian de Tuishou - Equipe 1",15,IF(Atletas!V586="Duilian de Tuishou - Equipe 2",16,IF(Atletas!V586="Grupo Externo CDEF - Equipe 1",17,IF(Atletas!V586="Grupo Externo CDEF - Equipe 2",18,IF(Atletas!V586="Grupo Interno CDEF - Equipe 1",19,IF(Atletas!V586="Grupo Interno CDEF - Equipe 2",20,IF(Atletas!V586="Duilian de Mãos EF - Equipe 1",21,IF(Atletas!V586="Duilian de Mãos EF - Equipe 2",22,IF(Atletas!V586="Duilian de Armas EF - Equipe 1",23,IF(Atletas!V586="Duilian de Armas EF - Equipe 2",24,IF(Atletas!V586="Duilian de Tuishou - Equipe 1",25,IF(Atletas!V586="Duilian de Tuishou - Equipe 2",26,"")))))))))))))))))))))))))))</f>
        <v/>
      </c>
    </row>
    <row r="591" spans="36:84">
      <c r="AJ591" s="46" t="str">
        <f>IF(Atletas!D587="","",IF(Atletas!B587="Feminino",100,IF(Atletas!B587="Masculino",200,""))+(IF(Atletas!D587="Infantil 39kg",1,IF(Atletas!D587="Infantil 42kg",2,IF(Atletas!D587="Infantil 45kg",3,IF(Atletas!D587="Infantil 48kg",4,IF(Atletas!D587="Infantil 52kg",5,IF(Atletas!D587="Infantil 56kg",6,IF(Atletas!D587="Infantil 60kg",7,IF(Atletas!D587="Juvenil 48kg",8,IF(Atletas!D587="Juvenil 52kg",9,IF(Atletas!D587="Juvenil 56kg",10,IF(Atletas!D587="Juvenil 60kg",11,IF(Atletas!D587="Juvenil 65kg",12,IF(Atletas!D587="Juvenil 70kg",13,IF(Atletas!D587="Juvenil 75kg",14,IF(Atletas!D587="Juvenil 80kg",15,IF(Atletas!D587="Adulto 48kg",16,IF(Atletas!D587="Adulto 52kg",17,IF(Atletas!D587="Adulto 56kg",18,IF(Atletas!D587="Adulto 60kg",19,IF(Atletas!D587="Adulto 65kg",20,IF(Atletas!D587="Adulto 70kg",21,IF(Atletas!D587="Adulto 75kg",22,IF(Atletas!D587="Adulto 80kg",23,IF(Atletas!D587="Adulto 85kg",24,IF(Atletas!D587="Adulto 90kg",25,IF(Atletas!D587="Adulto +90kg",26,""))))))))))))))))))))))))))))</f>
        <v/>
      </c>
      <c r="AO591" s="10" t="str">
        <f>IF(Atletas!E587="","",IF(Atletas!B587="Feminino",100,IF(Atletas!B587="Masculino",200,""))+(IF(Atletas!E587="Juvenil 44kg",1,IF(Atletas!E587="Juvenil 48kg",2,IF(Atletas!E587="Juvenil 52kg",3,IF(Atletas!E587="Juvenil 56kg",4,IF(Atletas!E587="Juvenil 60kg",5,IF(Atletas!E587="Juvenil 65kg",6,IF(Atletas!E587="Juvenil 70kg",7,IF(Atletas!E587="Juvenil 75kg",8,IF(Atletas!E587="Juvenil 82kg",9,IF(Atletas!E587="Juvenil 90kg",10,IF(Atletas!E587="Juvenil 100kg",11,IF(Atletas!E587="Adulto 48kg",12,IF(Atletas!E587="Adulto 52kg",13,IF(Atletas!E587="Adulto 56kg",14,IF(Atletas!E587="Adulto 60kg",15,IF(Atletas!E587="Adulto 65kg",16,IF(Atletas!E587="Adulto 70kg",17,IF(Atletas!E587="Adulto 75kg",18,IF(Atletas!E587="Adulto 82kg",19,IF(Atletas!E587="Adulto 90kg",20,IF(Atletas!E587="Adulto 100kg",21,IF(Atletas!E587="Adulto +100kg",22,""))))))))))))))))))))))))</f>
        <v/>
      </c>
      <c r="AT591" s="10" t="str">
        <f>IF(Atletas!F587="","",IF(Atletas!B587="Feminino",100,IF(Atletas!B587="Masculino",200,""))+(IF(Atletas!F587="Adulto 48kg",1,IF(Atletas!F587="Adulto 56kg",2,IF(Atletas!F587="Adulto 65kg",3,IF(Atletas!F587="Adulto 75kg",4,IF(Atletas!F587="Adulto +75kg",5,IF(Atletas!F587="Adulto 52kg",6,IF(Atletas!F587="Adulto 60kg",7,IF(Atletas!F587="Adulto 70kg",8,IF(Atletas!F587="Adulto 80kg",9,IF(Atletas!F587="Adulto 90kg",10,IF(Atletas!F587="Adulto +90kg",11,"")))))))))))))</f>
        <v/>
      </c>
      <c r="AY591" s="46" t="str">
        <f>IF(Atletas!G587="","",IF(Atletas!B587="Feminino",100,IF(Atletas!B587="Masculino",200,""))+(IF(Atletas!G587="Changquan Mirim",1,IF(Atletas!G587="Nanquan Mirim",2,IF(Atletas!G587="Taijiquan Mirim",3,IF(Atletas!G587="Changquan Grupo C",4,IF(Atletas!G587="Nanquan Grupo C",5,IF(Atletas!G587="Taijiquan Grupo C",6,IF(Atletas!G587="Changquan Grupo B",7,IF(Atletas!G587="Nanquan Grupo B",8,IF(Atletas!G587="Taijiquan Grupo B",9,IF(Atletas!G587="Changquan Grupo A",10,IF(Atletas!G587="Nanquan Grupo A",11,IF(Atletas!G587="Taijiquan Grupo A",12,IF(Atletas!G587="Changquan Opcional",13,IF(Atletas!G587="Nanquan Opcional",14,IF(Atletas!G587="Taijiquan Opcional",15,IF(Atletas!G587="Changquan Adulto",16,IF(Atletas!G587="Nanquan Adulto",17,IF(Atletas!G587="Taijiquan Adulto",18,""))))))))))))))))))))</f>
        <v/>
      </c>
      <c r="AZ591" s="46" t="str">
        <f>IF(Atletas!H587="","",IF(Atletas!B587="Feminino",100,IF(Atletas!B587="Masculino",200,""))+(IF(Atletas!H587="Daoshu Mirim",19,IF(Atletas!H587="Jianshu Mirim",20,IF(Atletas!H587="Nandao Mirim",21,IF(Atletas!H587="Taijijian Mirim",22,IF(Atletas!H587="Daoshu Grupo C",23,IF(Atletas!H587="Jianshu Grupo C",24,IF(Atletas!H587="Nandao Grupo C",25,IF(Atletas!H587="Taijijian Grupo C",26,IF(Atletas!H587="Daoshu Grupo B",27,IF(Atletas!H587="Jianshu Grupo B",28,IF(Atletas!H587="Nandao Grupo B",29,IF(Atletas!H587="Taijijian Grupo B",30,IF(Atletas!H587="Daoshu Grupo A",31,IF(Atletas!H587="Jianshu Grupo A",32,IF(Atletas!H587="Nandao Grupo A",33,IF(Atletas!H587="Taijijian Grupo A",34,IF(Atletas!H587="Daoshu Opcional",35,IF(Atletas!H587="Jianshu Opcional",36,IF(Atletas!H587="Nandao Opcional",37,IF(Atletas!H587="Taijijian Opcional",38,IF(Atletas!H587="Daoshu Adulto",39,IF(Atletas!H587="Jianshu Adulto",40,IF(Atletas!H587="Nandao Adulto",41,IF(Atletas!H587="Taijijian Adulto",42,""))))))))))))))))))))))))))</f>
        <v/>
      </c>
      <c r="BA591" s="46" t="str">
        <f>IF(Atletas!I587="","",IF(Atletas!B587="Feminino",100,IF(Atletas!B587="Masculino",200,""))+(IF(Atletas!I587="Gunshu Mirim",43,IF(Atletas!I587="Qiangshu Mirim",44,IF(Atletas!I587="Nangun Mirim",45,IF(Atletas!I587="Gunshu Grupo C",46,IF(Atletas!I587="Qiangshu Grupo C",47,IF(Atletas!I587="Nangun Grupo C",48,IF(Atletas!I587="Gunshu Grupo B",49,IF(Atletas!I587="Qiangshu Grupo B",50,IF(Atletas!I587="Nangun Grupo B",51,IF(Atletas!I587="Gunshu Grupo A",52,IF(Atletas!I587="Qiangshu Grupo A",53,IF(Atletas!I587="Nangun Grupo A",54,IF(Atletas!I587="Gunshu Opcional",55,IF(Atletas!I587="Qiangshu Opcional",56,IF(Atletas!I587="Nangun Opcional",57,IF(Atletas!I587="Gunshu Adulto",58,IF(Atletas!I587="Qiangshu Adulto",59,IF(Atletas!I587="Nangun Adulto",60,""))))))))))))))))))))</f>
        <v/>
      </c>
      <c r="BF591" s="52" t="str">
        <f>IF(Atletas!J587="","",IF(Atletas!B587="Feminino",100,IF(Atletas!B587="Masculino",200,""))+(IF(Atletas!J587="Equipe 1 Grupo B",1,IF(Atletas!J587="Equipe 2 Grupo B",2,IF(Atletas!J587="Equipe 1 Grupo A",3,IF(Atletas!J587="Equipe 2 Grupo A",4,IF(Atletas!J587="Equipe 1 Adulto",5,IF(Atletas!J587="Equipe 2 Adulto",6,""))))))))</f>
        <v/>
      </c>
      <c r="BK591" s="52" t="str">
        <f>IF(Atletas!K587="","",IF(Atletas!W587&lt;&gt;"",10000,0)+(IF(Atletas!B587="Feminino",1000,IF(Atletas!B587="Masculino",2000,""))+IF(Atletas!K587="Choylayfut A",1,IF(Atletas!K587="Hunggar A",2,IF(Atletas!K587="Wuzuquan A",3,IF(Atletas!K587="Wingchun A",4,IF(Atletas!K587="Outra Mão de Sul A",5,IF(Atletas!K587="Choylayfut B",6,IF(Atletas!K587="Hunggar B",7,IF(Atletas!K587="Wuzuquan B",8,IF(Atletas!K587="Wingchun B",9,IF(Atletas!K587="Outra Mão de Sul B",10,IF(Atletas!K587="Choylayfut C",11,IF(Atletas!K587="Hunggar C",12,IF(Atletas!K587="Wuzuquan C",13,IF(Atletas!K587="Wingchun C",14,IF(Atletas!K587="Outra Mão de Sul C",15,IF(Atletas!K587="Choylayfut D",16,IF(Atletas!K587="Hunggar D",17,IF(Atletas!K587="Wuzuquan D",18,IF(Atletas!K587="Wingchun D",19,IF(Atletas!K587="Outra Mão de Sul D",20,IF(Atletas!K587="Choylayfut E",21,IF(Atletas!K587="Hunggar E",22,IF(Atletas!K587="Wuzuquan E",23,IF(Atletas!K587="Wingchun E",24,IF(Atletas!K587="Outra Mão de Sul E",25,IF(Atletas!K587="Choylayfut F",26,IF(Atletas!K587="Hunggar F",27,IF(Atletas!K587="Wuzuquan F",28,IF(Atletas!K587="Wingchun F",29,IF(Atletas!K587="Outra Mão de Sul F",30,""))))))))))))))))))))))))))))))))</f>
        <v/>
      </c>
      <c r="BL591" s="52" t="str">
        <f>IF(Atletas!L587="","",IF(Atletas!W587&lt;&gt;"",10000,0)+(IF(Atletas!B587="Feminino",1000,IF(Atletas!B587="Masculino",2000,""))+(IF(Atletas!L587="Chaquan A",101,IF(Atletas!L587="Emeiquan A",102,IF(Atletas!L587="Fanziquan A",103,IF(Atletas!L587="Huaquan A",104,IF(Atletas!L587="Hongquan A",105,IF(Atletas!L587="Paochui A",106,IF(Atletas!L587="Piguaquan A",107,IF(Atletas!L587="Shaolinquan A",108,IF(Atletas!L587="Tanglangquan A",109,IF(Atletas!L587="Yinzhaophai A",110,IF(Atletas!L587="Tongbeiquan A",111,IF(Atletas!L587="Wudangquan A",112,IF(Atletas!L587="Outros Estilos A",113,IF(Atletas!L587="Chaquan B",114,IF(Atletas!L587="Emeiquan B",115,IF(Atletas!L587="Fanziquan B",116,IF(Atletas!L587="Huaquan B",117,IF(Atletas!L587="Hongquan B",118,IF(Atletas!L587="Paochui B",119,IF(Atletas!L587="Piguaquan B",120,IF(Atletas!L587="Shaolinquan B",121,IF(Atletas!L587="Tanglangquan B",122,IF(Atletas!L587="Yinzhaophai B",123,IF(Atletas!L587="Tongbeiquan B",124,IF(Atletas!L587="Wudangquan B",125,IF(Atletas!L587="Outros Estilos B",126,IF(Atletas!L587="Chaquan C",127,IF(Atletas!L587="Emeiquan C",128,IF(Atletas!L587="Fanziquan C",129,IF(Atletas!L587="Huaquan C",130,IF(Atletas!L587="Hongquan C",131,IF(Atletas!L587="Paochui C",132,IF(Atletas!L587="Piguaquan C",133,IF(Atletas!L587="Shaolinquan C",134,IF(Atletas!L587="Tanglangquan C",135,IF(Atletas!L587="Yinzhaophai C",136,IF(Atletas!L587="Tongbeiquan C",137,IF(Atletas!L587="Wudangquan C",138,IF(Atletas!L587="Outros Estilos C",139,0))))))))))))))))))))))))))))))))))))))))))</f>
        <v/>
      </c>
      <c r="BM591" s="52" t="str">
        <f>IF(Atletas!L587="","",IF(Atletas!W587&lt;&gt;"",10000,0)+(IF(Atletas!B587="Feminino",1000,IF(Atletas!B587="Masculino",2000,""))+(IF(Atletas!L587="Chaquan D",140,IF(Atletas!L587="Emeiquan D",141,IF(Atletas!L587="Fanziquan D",142,IF(Atletas!L587="Huaquan D",143,IF(Atletas!L587="Hongquan D",144,IF(Atletas!L587="Paochui D",145,IF(Atletas!L587="Piguaquan D",146,IF(Atletas!L587="Shaolinquan D",147,IF(Atletas!L587="Tanglangquan D",148,IF(Atletas!L587="Yinzhaophai D",149,IF(Atletas!L587="Tongbeiquan D",150,IF(Atletas!L587="Wudangquan D",151,IF(Atletas!L587="Outros Estilos D",152,IF(Atletas!L587="Chaquan E",153,IF(Atletas!L587="Emeiquan E",154,IF(Atletas!L587="Fanziquan E",155,IF(Atletas!L587="Huaquan E",156,IF(Atletas!L587="Hongquan E",157,IF(Atletas!L587="Paochui E",158,IF(Atletas!L587="Piguaquan E",159,IF(Atletas!L587="Shaolinquan E",160,IF(Atletas!L587="Tanglangquan E",161,IF(Atletas!L587="Yinzhaophai E",162,IF(Atletas!L587="Tongbeiquan E",163,IF(Atletas!L587="Wudangquan E",164,IF(Atletas!L587="Outros Estilos E",165,IF(Atletas!L587="Chaquan F",166,IF(Atletas!L587="Emeiquan F",167,IF(Atletas!L587="Fanziquan F",168,IF(Atletas!L587="Huaquan F",169,IF(Atletas!L587="Hongquan F",170,IF(Atletas!L587="Paochui F",171,IF(Atletas!L587="Piguaquan F",172,IF(Atletas!L587="Shaolinquan F",173,IF(Atletas!L587="Tanglangquan F",174,IF(Atletas!L587="Yinzhaophai F",175,IF(Atletas!L587="Tongbeiquan F",176,IF(Atletas!L587="Wudangquan F",177,IF(Atletas!L587="Outros Estilos F",178,0))))))))))))))))))))))))))))))))))))))))))</f>
        <v/>
      </c>
      <c r="BN591" s="52" t="str">
        <f>IF(Atletas!M587="","",IF(Atletas!W587&lt;&gt;"",10000,0)+(IF(Atletas!B587="Feminino",1000,IF(Atletas!B587="Masculino",2000,""))+(IF(Atletas!M587="Ditangquan A",201,IF(Atletas!M587="Houquan A",202,IF(Atletas!M587="Zuiquan A",203,IF(Atletas!M587="Ditangquan B",204,IF(Atletas!M587="Houquan B",205,IF(Atletas!M587="Zuiquan B",206,IF(Atletas!M587="Ditangquan C",207,IF(Atletas!M587="Houquan C",208,IF(Atletas!M587="Zuiquan C",209,IF(Atletas!M587="Ditangquan D",210,IF(Atletas!M587="Houquan D",211,IF(Atletas!M587="Zuiquan D",212,IF(Atletas!M587="Ditangquan E",213,IF(Atletas!M587="Houquan E",214,IF(Atletas!M587="Zuiquan E",215,IF(Atletas!M587="Ditangquan F",216,IF(Atletas!M587="Houquan F",217,IF(Atletas!M587="Zuiquan F",218,"")))))))))))))))))))))</f>
        <v/>
      </c>
      <c r="BO591" s="52" t="str">
        <f>IF(Atletas!N587="","",IF(Atletas!W587&lt;&gt;"",10000,0)+IF(Atletas!B587="Feminino",1000,IF(Atletas!B587="Masculino",2000,""))+IF(Atletas!N587="Yang A",301,IF(Atletas!N587="Chen A",30,IF(Atletas!N587="Sun A",303,IF(Atletas!N587="Wu A",304,IF(Atletas!N587="Wu-Hao A",305,IF(Atletas!N587="Outro Taijiquan A",306,IF(Atletas!N587="Yang B",307,IF(Atletas!N587="Chen B",308,IF(Atletas!N587="Sun B",309,IF(Atletas!N587="Wu B",310,IF(Atletas!N587="Wu-Hao B",311,IF(Atletas!N587="Outro Taijiquan B",312,IF(Atletas!N587="Yang C",313,IF(Atletas!N587="Chen C",314,IF(Atletas!N587="Sun C",315,IF(Atletas!N587="Wu C",316,IF(Atletas!N587="Wu-Hao C",317,IF(Atletas!N587="Outro Taijiquan C",318,IF(Atletas!N587="Yang D",319,IF(Atletas!N587="Chen D",320,IF(Atletas!N587="Sun D",321,IF(Atletas!N587="Wu D",322,IF(Atletas!N587="Wu-Hao D",323,IF(Atletas!N587="Outro Taijiquan D",324,IF(Atletas!N587="Yang E",325,IF(Atletas!N587="Chen E",326,IF(Atletas!N587="Sun E",327,IF(Atletas!N587="Wu E",328,IF(Atletas!N587="Wu-Hao E",329,IF(Atletas!N587="Outro Taijiquan E",330,IF(Atletas!N587="Yang F",331,IF(Atletas!N587="Chen F",332,IF(Atletas!N587="Sun F",333,IF(Atletas!N587="Wu F",334,IF(Atletas!N587="Wu-Hao F",335,IF(Atletas!N587="Outro Taijiquan F",336,"")))))))))))))))))))))))))))))))))))))</f>
        <v/>
      </c>
      <c r="BP591" s="52" t="str">
        <f>IF(Atletas!O587="","",IF(Atletas!W587&lt;&gt;"",10000,0)+IF(Atletas!B587="Feminino",1000,IF(Atletas!B587="Masculino",2000,""))+IF(OR(Atletas!O587="Yang 26 A",Atletas!O587="Yang 40 A"),401,IF(OR(Atletas!O587="Chen 25 A",Atletas!O587="Chen 36 A",Atletas!O587="Chen 56 A"),402,IF(Atletas!O587="Sun 73 A",403,IF(Atletas!O587="Wu 45 A",404,IF(Atletas!O587="Wu-Hao 46 A",405,IF(OR(Atletas!O587="Taijiquan 16 A",Atletas!O587="Taijiquan 24 A",Atletas!O587="Taijiquan 32 A",Atletas!O587="Taijiquan 42 A"),406,IF(OR(Atletas!O587="Yang 26 B",Atletas!O587="Yang 40 B"),407,IF(OR(Atletas!O587="Chen 25 B",Atletas!O587="Chen 36 B",Atletas!O587="Chen 56 B"),408,IF(Atletas!O587="Sun 73 B",409,IF(Atletas!O587="Wu 45 B",410,IF(Atletas!O587="Wu-Hao 46 B",411,IF(OR(Atletas!O587="Taijiquan 16 B",Atletas!O587="Taijiquan 24 B",Atletas!O587="Taijiquan 32 B",Atletas!O587="Taijiquan 42 B"),412,IF(OR(Atletas!O587="Yang 26 C",Atletas!O587="Yang 40 C"),413,IF(OR(Atletas!O587="Chen 25 C",Atletas!O587="Chen 36 C",Atletas!O587="Chen 56 C"),414,IF(Atletas!O587="Sun 73 C",415,IF(Atletas!O587="Wu 45 C",416,IF(Atletas!O587="Wu-Hao 46 C",417,IF(OR(Atletas!O587="Taijiquan 16 C",Atletas!O587="Taijiquan 24 C",Atletas!O587="Taijiquan 32 C",Atletas!O587="Taijiquan 42 C"),418,0)))))))))))))))))))</f>
        <v/>
      </c>
      <c r="BQ591" s="52" t="str">
        <f>IF(Atletas!O587="","",IF(Atletas!W587&lt;&gt;"",10000,0)+IF(Atletas!B587="Feminino",1000,IF(Atletas!B587="Masculino",2000,""))+IF(OR(Atletas!O587="Yang 26 D",Atletas!O587="Yang 40 D"),419,IF(OR(Atletas!O587="Chen 25 D",Atletas!O587="Chen 36 D",Atletas!O587="Chen 56 D"),420,IF(Atletas!O587="Sun 73 D",421,IF(Atletas!O587="Wu 45 D",422,IF(Atletas!O587="Wu-Hao 46 D",423,IF(OR(Atletas!O587="Taijiquan 16 D",Atletas!O587="Taijiquan 24 D",Atletas!O587="Taijiquan 32 D",Atletas!O587="Taijiquan 42 D"),424,IF(OR(Atletas!O587="Yang 26 E",Atletas!O587="Yang 40 E"),425,IF(OR(Atletas!O587="Chen 25 E",Atletas!O587="Chen 36 E",Atletas!O587="Chen 56 E"),426,IF(Atletas!O587="Sun 73 E",427,IF(Atletas!O587="Wu 45 E",428,IF(Atletas!O587="Wu-Hao 46 E",429,IF(OR(Atletas!O587="Taijiquan 16 E",Atletas!O587="Taijiquan 24 E",Atletas!O587="Taijiquan 32 E",Atletas!O587="Taijiquan 42 E"),430,IF(OR(Atletas!O587="Yang 26 F",Atletas!O587="Yang 40 F"),431,IF(OR(Atletas!O587="Chen 25 F",Atletas!O587="Chen 36 F",Atletas!O587="Chen 56 F"),432,IF(Atletas!O587="Sun 73 F",433,IF(Atletas!O587="Wu 45 F",434,IF(Atletas!O587="Wu-Hao 46 F",435,IF(OR(Atletas!O587="Taijiquan 16 F",Atletas!O587="Taijiquan 24 F",Atletas!O587="Taijiquan 32 F",Atletas!O587="Taijiquan 42 F"),436,0)))))))))))))))))))</f>
        <v/>
      </c>
      <c r="BR591" s="52" t="str">
        <f>IF(Atletas!P587="","",IF(Atletas!W587&lt;&gt;"",10000,0)+IF(Atletas!B587="Feminino",1000,IF(Atletas!B587="Masculino",2000,""))+IF(Atletas!P587="Xingyiquan A",501,IF(Atletas!P587="Baguazhang A",502,IF(Atletas!P587="Outro Estilo Interno A",503,IF(Atletas!P587="Xingyiquan B",504,IF(Atletas!P587="Baguazhang B",505,IF(Atletas!P587="Outro Estilo Interno B",506,IF(Atletas!P587="Xingyiquan C",507,IF(Atletas!P587="Baguazhang C",508,IF(Atletas!P587="Outro Estilo Interno C",509,IF(Atletas!P587="Xingyiquan D",510,IF(Atletas!P587="Baguazhang D",511,IF(Atletas!P587="Outro Estilo Interno D",512,IF(Atletas!P587="Xingyiquan E",513,IF(Atletas!P587="Baguazhang E",514,IF(Atletas!P587="Outro Estilo Interno E",515,IF(Atletas!P587="Xingyiquan F",516,IF(Atletas!P587="Baguazhang F",517,IF(Atletas!P587="Outro Estilo Interno F",518, "")))))))))))))))))))</f>
        <v/>
      </c>
      <c r="BS591" s="52" t="str">
        <f>IF(Atletas!Q587="","",IF(Atletas!W587&lt;&gt;"",10000,0)+IF(Atletas!B587="Feminino",1000,IF(Atletas!B587="Masculino",2000,""))+IF(Atletas!Q587="Dao A",601,IF(Atletas!Q587="Jian A",602,IF(Atletas!Q587="Bishou A",603,IF(Atletas!Q587="Shan A",604,IF(Atletas!Q587="Outra Arma Curta A",605,IF(Atletas!Q587="Dao B",606,IF(Atletas!Q587="Jian B",607,IF(Atletas!Q587="Bishou B",608,IF(Atletas!Q587="Shan B",609,IF(Atletas!Q587="Outra Arma Curta B",610,IF(Atletas!Q587="Dao C",611,IF(Atletas!Q587="Jian C",612,IF(Atletas!Q587="Bishou C",613,IF(Atletas!Q587="Shan C",614,IF(Atletas!Q587="Outra Arma Curta C",615,IF(Atletas!Q587="Dao D",616,IF(Atletas!Q587="Jian D",617,IF(Atletas!Q587="Bishou D",618,IF(Atletas!Q587="Shan D",619,IF(Atletas!Q587="Outra Arma Curta D",620,IF(Atletas!Q587="Dao E",621,IF(Atletas!Q587="Jian E",622,IF(Atletas!Q587="Bishou E",623,IF(Atletas!Q587="Shan E",624,IF(Atletas!Q587="Outra Arma Curta E",625,IF(Atletas!Q587="Dao F",626,IF(Atletas!Q587="Jian F",627,IF(Atletas!Q587="Bishou F",628,IF(Atletas!Q587="Shan F",629,IF(Atletas!Q587="Outra Arma Curta F",630, "")))))))))))))))))))))))))))))))</f>
        <v/>
      </c>
      <c r="BT591" s="52" t="str">
        <f>IF(Atletas!R587="","",IF(Atletas!W587&lt;&gt;"",10000,0)+IF(Atletas!B587="Feminino",1000,IF(Atletas!B587="Masculino",2000,""))+IF(Atletas!R587="Gun A",701,IF(Atletas!R587="Qiang A",702,IF(Atletas!R587="Pudao / Guandao A",703,IF(Atletas!R587="Outra Arma Longa A",704,IF(Atletas!R587="Gun B",705,IF(Atletas!R587="Qiang B",706,IF(Atletas!R587="Pudao / Guandao B",707,IF(Atletas!R587="Outra Arma Longa B",708,IF(Atletas!R587="Gun C",709,IF(Atletas!R587="Qiang C",710,IF(Atletas!R587="Pudao / Guandao C",711,IF(Atletas!R587="Outra Arma Longa C",712,IF(Atletas!R587="Gun D",713,IF(Atletas!R587="Qiang D",714,IF(Atletas!R587="Pudao / Guandao D",715,IF(Atletas!R587="Outra Arma Longa D",716,IF(Atletas!R587="Gun E",717,IF(Atletas!R587="Qiang E",718,IF(Atletas!R587="Pudao / Guandao E",719,IF(Atletas!R587="Outra Arma Longa E",720,IF(Atletas!R587="Gun F",721,IF(Atletas!R587="Qiang F",722,IF(Atletas!R587="Pudao / Guandao F",723,IF(Atletas!R587="Outra Arma Longa F",724,"")))))))))))))))))))))))))</f>
        <v/>
      </c>
      <c r="BU591" s="52" t="str">
        <f>IF(Atletas!S587="","",IF(Atletas!W587&lt;&gt;"",10000,0)+IF(Atletas!B587="Feminino",1000,IF(Atletas!B587="Masculino",2000,""))+IF(Atletas!S587="Arma Dupla A",801,IF(Atletas!S587="Arma Maleável A",802,IF(Atletas!S587="Arma Dupla B",803,IF(Atletas!S587="Arma Maleável B",804,IF(Atletas!S587="Arma Dupla C",805,IF(Atletas!S587="Arma Maleável C",806,IF(Atletas!S587="Arma Dupla D",807,IF(Atletas!S587="Arma Maleável D",808,IF(Atletas!S587="Arma Dupla E",809,IF(Atletas!S587="Arma Maleável E",810,IF(Atletas!S587="Arma Dupla F",811,IF(Atletas!S587="Arma Maleável F",812, "")))))))))))))</f>
        <v/>
      </c>
      <c r="BV591" s="52" t="str">
        <f>IF(Atletas!T587="","",IF(Atletas!W587&lt;&gt;"",10000,0)+IF(Atletas!B587="Feminino",1000,IF(Atletas!B587="Masculino",2000,""))+IF(Atletas!T587="Taijijian Yang A",901,IF(Atletas!T587="Taijijian Chen A",902,IF(Atletas!T587="Taijijian Sun A",903,IF(Atletas!T587="Taijijian Wu A",904,IF(Atletas!T587="Taijijian Wu-Hao A",905,IF(Atletas!T587="Taijijian 32 A",906,IF(Atletas!T587="Taijijian 42 A",907,IF(Atletas!T587="Taijijian Yang B",908,IF(Atletas!T587="Taijijian Chen B",909,IF(Atletas!T587="Taijijian Sun B",910,IF(Atletas!T587="Taijijian Wu B",911,IF(Atletas!T587="Taijijian Wu-Hao B",912,IF(Atletas!T587="Taijijian 32 B",913,IF(Atletas!T587="Taijijian 42 B",914,IF(Atletas!T587="Taijijian Yang C",915,IF(Atletas!T587="Taijijian Chen C",916,IF(Atletas!T587="Taijijian Sun C",917,IF(Atletas!T587="Taijijian Wu C",918,IF(Atletas!T587="Taijijian Wu-Hao C",919,IF(Atletas!T587="Taijijian 32 C",920,IF(Atletas!T587="Taijijian 42 C",921,IF(Atletas!T587="Taijijian Yang D",922,IF(Atletas!T587="Taijijian Chen D",923,IF(Atletas!T587="Taijijian Sun D",924,IF(Atletas!T587="Taijijian Wu D",925,IF(Atletas!T587="Taijijian Wu-Hao D",926,IF(Atletas!T587="Taijijian 32 D",927,IF(Atletas!T587="Taijijian 42 D",928,IF(Atletas!T587="Taijijian Yang E",929,IF(Atletas!T587="Taijijian Chen E",930,IF(Atletas!T587="Taijijian Sun E",931,IF(Atletas!T587="Taijijian Wu E",932,IF(Atletas!T587="Taijijian Wu-Hao E",933,IF(Atletas!T587="Taijijian 32 E",934,IF(Atletas!T587="Taijijian 42 E",935,IF(Atletas!T587="Taijijian Yang F",936,IF(Atletas!T587="Taijijian Chen F",937,IF(Atletas!T587="Taijijian Sun F",938,IF(Atletas!T587="Taijijian Wu F",939,IF(Atletas!T587="Taijijian Wu-Hao F",940,IF(Atletas!T587="Taijijian 32 F",941,IF(Atletas!T587="Taijijian 42 F",942,"")))))))))))))))))))))))))))))))))))))))))))</f>
        <v/>
      </c>
      <c r="BW591" s="52" t="str">
        <f>IF(Atletas!U587="","",IF(Atletas!W587&lt;&gt;"",10000,0)+IF(Atletas!B587="Feminino",1000,IF(Atletas!B587="Masculino",2000,""))+IF(Atletas!T587="Taijijian 42 F",942,IF(Atletas!U587="Taijidao A",943,IF(Atletas!U587="Taijishan A",944,IF(Atletas!U587="Taijiqiang A",945,IF(Atletas!U587="Taijidao B",946,IF(Atletas!U587="Taijishan B",947,IF(Atletas!U587="Taijiqiang B",948,IF(Atletas!U587="Taijidao C",949,IF(Atletas!U587="Taijishan C",950,IF(Atletas!U587="Taijiqiang C",951,IF(Atletas!U587="Taijidao D",952,IF(Atletas!U587="Taijishan D",953,IF(Atletas!U587="Taijiqiang D",954,IF(Atletas!U587="Taijidao E",955,IF(Atletas!U587="Taijishan E",956,IF(Atletas!U587="Taijiqiang E",957,IF(Atletas!U587="Taijidao F",958,IF(Atletas!U587="Taijishan F",959,IF(Atletas!U587="Taijiqiang F",960))))))))))))))))))))</f>
        <v/>
      </c>
      <c r="CF591" s="52" t="str">
        <f xml:space="preserve"> IF(Atletas!V587="","",IF(Atletas!V587="Duilian de Mãos AB - Equipe 1",1,IF(Atletas!V587="Duilian de Mãos AB - Equipe 2",2,IF(Atletas!V587="Duilian de Armas AB - Equipe 1",3,IF(Atletas!V587="Duilian de Armas AB - Equipe 2",4,IF(Atletas!V587="Duilian de Tuishou - Equipe 1",5,IF(Atletas!V587="Duilian de Tuishou - Equipe 2",6,IF(Atletas!V587="Grupo Externo AB - Equipe 1",7,IF(Atletas!V587="Grupo Externo AB - Equipe 2",8,IF(Atletas!V587="Grupo Interno AB - Equipe 1",9,IF(Atletas!V587="Grupo Interno AB - Equipe 2",10,IF(Atletas!V587="Duilian de Mãos CD - Equipe 1",11,IF(Atletas!V587="Duilian de Mãos CD - Equipe 2",12,IF(Atletas!V587="Duilian de Armas CD - Equipe 1",13,IF(Atletas!V587="Duilian de Armas CD - Equipe 2",14,IF(Atletas!V587="Duilian de Tuishou - Equipe 1",15,IF(Atletas!V587="Duilian de Tuishou - Equipe 2",16,IF(Atletas!V587="Grupo Externo CDEF - Equipe 1",17,IF(Atletas!V587="Grupo Externo CDEF - Equipe 2",18,IF(Atletas!V587="Grupo Interno CDEF - Equipe 1",19,IF(Atletas!V587="Grupo Interno CDEF - Equipe 2",20,IF(Atletas!V587="Duilian de Mãos EF - Equipe 1",21,IF(Atletas!V587="Duilian de Mãos EF - Equipe 2",22,IF(Atletas!V587="Duilian de Armas EF - Equipe 1",23,IF(Atletas!V587="Duilian de Armas EF - Equipe 2",24,IF(Atletas!V587="Duilian de Tuishou - Equipe 1",25,IF(Atletas!V587="Duilian de Tuishou - Equipe 2",26,"")))))))))))))))))))))))))))</f>
        <v/>
      </c>
    </row>
    <row r="592" spans="36:84">
      <c r="AJ592" s="46" t="str">
        <f>IF(Atletas!D588="","",IF(Atletas!B588="Feminino",100,IF(Atletas!B588="Masculino",200,""))+(IF(Atletas!D588="Infantil 39kg",1,IF(Atletas!D588="Infantil 42kg",2,IF(Atletas!D588="Infantil 45kg",3,IF(Atletas!D588="Infantil 48kg",4,IF(Atletas!D588="Infantil 52kg",5,IF(Atletas!D588="Infantil 56kg",6,IF(Atletas!D588="Infantil 60kg",7,IF(Atletas!D588="Juvenil 48kg",8,IF(Atletas!D588="Juvenil 52kg",9,IF(Atletas!D588="Juvenil 56kg",10,IF(Atletas!D588="Juvenil 60kg",11,IF(Atletas!D588="Juvenil 65kg",12,IF(Atletas!D588="Juvenil 70kg",13,IF(Atletas!D588="Juvenil 75kg",14,IF(Atletas!D588="Juvenil 80kg",15,IF(Atletas!D588="Adulto 48kg",16,IF(Atletas!D588="Adulto 52kg",17,IF(Atletas!D588="Adulto 56kg",18,IF(Atletas!D588="Adulto 60kg",19,IF(Atletas!D588="Adulto 65kg",20,IF(Atletas!D588="Adulto 70kg",21,IF(Atletas!D588="Adulto 75kg",22,IF(Atletas!D588="Adulto 80kg",23,IF(Atletas!D588="Adulto 85kg",24,IF(Atletas!D588="Adulto 90kg",25,IF(Atletas!D588="Adulto +90kg",26,""))))))))))))))))))))))))))))</f>
        <v/>
      </c>
      <c r="AO592" s="10" t="str">
        <f>IF(Atletas!E588="","",IF(Atletas!B588="Feminino",100,IF(Atletas!B588="Masculino",200,""))+(IF(Atletas!E588="Juvenil 44kg",1,IF(Atletas!E588="Juvenil 48kg",2,IF(Atletas!E588="Juvenil 52kg",3,IF(Atletas!E588="Juvenil 56kg",4,IF(Atletas!E588="Juvenil 60kg",5,IF(Atletas!E588="Juvenil 65kg",6,IF(Atletas!E588="Juvenil 70kg",7,IF(Atletas!E588="Juvenil 75kg",8,IF(Atletas!E588="Juvenil 82kg",9,IF(Atletas!E588="Juvenil 90kg",10,IF(Atletas!E588="Juvenil 100kg",11,IF(Atletas!E588="Adulto 48kg",12,IF(Atletas!E588="Adulto 52kg",13,IF(Atletas!E588="Adulto 56kg",14,IF(Atletas!E588="Adulto 60kg",15,IF(Atletas!E588="Adulto 65kg",16,IF(Atletas!E588="Adulto 70kg",17,IF(Atletas!E588="Adulto 75kg",18,IF(Atletas!E588="Adulto 82kg",19,IF(Atletas!E588="Adulto 90kg",20,IF(Atletas!E588="Adulto 100kg",21,IF(Atletas!E588="Adulto +100kg",22,""))))))))))))))))))))))))</f>
        <v/>
      </c>
      <c r="AT592" s="10" t="str">
        <f>IF(Atletas!F588="","",IF(Atletas!B588="Feminino",100,IF(Atletas!B588="Masculino",200,""))+(IF(Atletas!F588="Adulto 48kg",1,IF(Atletas!F588="Adulto 56kg",2,IF(Atletas!F588="Adulto 65kg",3,IF(Atletas!F588="Adulto 75kg",4,IF(Atletas!F588="Adulto +75kg",5,IF(Atletas!F588="Adulto 52kg",6,IF(Atletas!F588="Adulto 60kg",7,IF(Atletas!F588="Adulto 70kg",8,IF(Atletas!F588="Adulto 80kg",9,IF(Atletas!F588="Adulto 90kg",10,IF(Atletas!F588="Adulto +90kg",11,"")))))))))))))</f>
        <v/>
      </c>
      <c r="AY592" s="46" t="str">
        <f>IF(Atletas!G588="","",IF(Atletas!B588="Feminino",100,IF(Atletas!B588="Masculino",200,""))+(IF(Atletas!G588="Changquan Mirim",1,IF(Atletas!G588="Nanquan Mirim",2,IF(Atletas!G588="Taijiquan Mirim",3,IF(Atletas!G588="Changquan Grupo C",4,IF(Atletas!G588="Nanquan Grupo C",5,IF(Atletas!G588="Taijiquan Grupo C",6,IF(Atletas!G588="Changquan Grupo B",7,IF(Atletas!G588="Nanquan Grupo B",8,IF(Atletas!G588="Taijiquan Grupo B",9,IF(Atletas!G588="Changquan Grupo A",10,IF(Atletas!G588="Nanquan Grupo A",11,IF(Atletas!G588="Taijiquan Grupo A",12,IF(Atletas!G588="Changquan Opcional",13,IF(Atletas!G588="Nanquan Opcional",14,IF(Atletas!G588="Taijiquan Opcional",15,IF(Atletas!G588="Changquan Adulto",16,IF(Atletas!G588="Nanquan Adulto",17,IF(Atletas!G588="Taijiquan Adulto",18,""))))))))))))))))))))</f>
        <v/>
      </c>
      <c r="AZ592" s="46" t="str">
        <f>IF(Atletas!H588="","",IF(Atletas!B588="Feminino",100,IF(Atletas!B588="Masculino",200,""))+(IF(Atletas!H588="Daoshu Mirim",19,IF(Atletas!H588="Jianshu Mirim",20,IF(Atletas!H588="Nandao Mirim",21,IF(Atletas!H588="Taijijian Mirim",22,IF(Atletas!H588="Daoshu Grupo C",23,IF(Atletas!H588="Jianshu Grupo C",24,IF(Atletas!H588="Nandao Grupo C",25,IF(Atletas!H588="Taijijian Grupo C",26,IF(Atletas!H588="Daoshu Grupo B",27,IF(Atletas!H588="Jianshu Grupo B",28,IF(Atletas!H588="Nandao Grupo B",29,IF(Atletas!H588="Taijijian Grupo B",30,IF(Atletas!H588="Daoshu Grupo A",31,IF(Atletas!H588="Jianshu Grupo A",32,IF(Atletas!H588="Nandao Grupo A",33,IF(Atletas!H588="Taijijian Grupo A",34,IF(Atletas!H588="Daoshu Opcional",35,IF(Atletas!H588="Jianshu Opcional",36,IF(Atletas!H588="Nandao Opcional",37,IF(Atletas!H588="Taijijian Opcional",38,IF(Atletas!H588="Daoshu Adulto",39,IF(Atletas!H588="Jianshu Adulto",40,IF(Atletas!H588="Nandao Adulto",41,IF(Atletas!H588="Taijijian Adulto",42,""))))))))))))))))))))))))))</f>
        <v/>
      </c>
      <c r="BA592" s="46" t="str">
        <f>IF(Atletas!I588="","",IF(Atletas!B588="Feminino",100,IF(Atletas!B588="Masculino",200,""))+(IF(Atletas!I588="Gunshu Mirim",43,IF(Atletas!I588="Qiangshu Mirim",44,IF(Atletas!I588="Nangun Mirim",45,IF(Atletas!I588="Gunshu Grupo C",46,IF(Atletas!I588="Qiangshu Grupo C",47,IF(Atletas!I588="Nangun Grupo C",48,IF(Atletas!I588="Gunshu Grupo B",49,IF(Atletas!I588="Qiangshu Grupo B",50,IF(Atletas!I588="Nangun Grupo B",51,IF(Atletas!I588="Gunshu Grupo A",52,IF(Atletas!I588="Qiangshu Grupo A",53,IF(Atletas!I588="Nangun Grupo A",54,IF(Atletas!I588="Gunshu Opcional",55,IF(Atletas!I588="Qiangshu Opcional",56,IF(Atletas!I588="Nangun Opcional",57,IF(Atletas!I588="Gunshu Adulto",58,IF(Atletas!I588="Qiangshu Adulto",59,IF(Atletas!I588="Nangun Adulto",60,""))))))))))))))))))))</f>
        <v/>
      </c>
      <c r="BF592" s="52" t="str">
        <f>IF(Atletas!J588="","",IF(Atletas!B588="Feminino",100,IF(Atletas!B588="Masculino",200,""))+(IF(Atletas!J588="Equipe 1 Grupo B",1,IF(Atletas!J588="Equipe 2 Grupo B",2,IF(Atletas!J588="Equipe 1 Grupo A",3,IF(Atletas!J588="Equipe 2 Grupo A",4,IF(Atletas!J588="Equipe 1 Adulto",5,IF(Atletas!J588="Equipe 2 Adulto",6,""))))))))</f>
        <v/>
      </c>
      <c r="BK592" s="52" t="str">
        <f>IF(Atletas!K588="","",IF(Atletas!W588&lt;&gt;"",10000,0)+(IF(Atletas!B588="Feminino",1000,IF(Atletas!B588="Masculino",2000,""))+IF(Atletas!K588="Choylayfut A",1,IF(Atletas!K588="Hunggar A",2,IF(Atletas!K588="Wuzuquan A",3,IF(Atletas!K588="Wingchun A",4,IF(Atletas!K588="Outra Mão de Sul A",5,IF(Atletas!K588="Choylayfut B",6,IF(Atletas!K588="Hunggar B",7,IF(Atletas!K588="Wuzuquan B",8,IF(Atletas!K588="Wingchun B",9,IF(Atletas!K588="Outra Mão de Sul B",10,IF(Atletas!K588="Choylayfut C",11,IF(Atletas!K588="Hunggar C",12,IF(Atletas!K588="Wuzuquan C",13,IF(Atletas!K588="Wingchun C",14,IF(Atletas!K588="Outra Mão de Sul C",15,IF(Atletas!K588="Choylayfut D",16,IF(Atletas!K588="Hunggar D",17,IF(Atletas!K588="Wuzuquan D",18,IF(Atletas!K588="Wingchun D",19,IF(Atletas!K588="Outra Mão de Sul D",20,IF(Atletas!K588="Choylayfut E",21,IF(Atletas!K588="Hunggar E",22,IF(Atletas!K588="Wuzuquan E",23,IF(Atletas!K588="Wingchun E",24,IF(Atletas!K588="Outra Mão de Sul E",25,IF(Atletas!K588="Choylayfut F",26,IF(Atletas!K588="Hunggar F",27,IF(Atletas!K588="Wuzuquan F",28,IF(Atletas!K588="Wingchun F",29,IF(Atletas!K588="Outra Mão de Sul F",30,""))))))))))))))))))))))))))))))))</f>
        <v/>
      </c>
      <c r="BL592" s="52" t="str">
        <f>IF(Atletas!L588="","",IF(Atletas!W588&lt;&gt;"",10000,0)+(IF(Atletas!B588="Feminino",1000,IF(Atletas!B588="Masculino",2000,""))+(IF(Atletas!L588="Chaquan A",101,IF(Atletas!L588="Emeiquan A",102,IF(Atletas!L588="Fanziquan A",103,IF(Atletas!L588="Huaquan A",104,IF(Atletas!L588="Hongquan A",105,IF(Atletas!L588="Paochui A",106,IF(Atletas!L588="Piguaquan A",107,IF(Atletas!L588="Shaolinquan A",108,IF(Atletas!L588="Tanglangquan A",109,IF(Atletas!L588="Yinzhaophai A",110,IF(Atletas!L588="Tongbeiquan A",111,IF(Atletas!L588="Wudangquan A",112,IF(Atletas!L588="Outros Estilos A",113,IF(Atletas!L588="Chaquan B",114,IF(Atletas!L588="Emeiquan B",115,IF(Atletas!L588="Fanziquan B",116,IF(Atletas!L588="Huaquan B",117,IF(Atletas!L588="Hongquan B",118,IF(Atletas!L588="Paochui B",119,IF(Atletas!L588="Piguaquan B",120,IF(Atletas!L588="Shaolinquan B",121,IF(Atletas!L588="Tanglangquan B",122,IF(Atletas!L588="Yinzhaophai B",123,IF(Atletas!L588="Tongbeiquan B",124,IF(Atletas!L588="Wudangquan B",125,IF(Atletas!L588="Outros Estilos B",126,IF(Atletas!L588="Chaquan C",127,IF(Atletas!L588="Emeiquan C",128,IF(Atletas!L588="Fanziquan C",129,IF(Atletas!L588="Huaquan C",130,IF(Atletas!L588="Hongquan C",131,IF(Atletas!L588="Paochui C",132,IF(Atletas!L588="Piguaquan C",133,IF(Atletas!L588="Shaolinquan C",134,IF(Atletas!L588="Tanglangquan C",135,IF(Atletas!L588="Yinzhaophai C",136,IF(Atletas!L588="Tongbeiquan C",137,IF(Atletas!L588="Wudangquan C",138,IF(Atletas!L588="Outros Estilos C",139,0))))))))))))))))))))))))))))))))))))))))))</f>
        <v/>
      </c>
      <c r="BM592" s="52" t="str">
        <f>IF(Atletas!L588="","",IF(Atletas!W588&lt;&gt;"",10000,0)+(IF(Atletas!B588="Feminino",1000,IF(Atletas!B588="Masculino",2000,""))+(IF(Atletas!L588="Chaquan D",140,IF(Atletas!L588="Emeiquan D",141,IF(Atletas!L588="Fanziquan D",142,IF(Atletas!L588="Huaquan D",143,IF(Atletas!L588="Hongquan D",144,IF(Atletas!L588="Paochui D",145,IF(Atletas!L588="Piguaquan D",146,IF(Atletas!L588="Shaolinquan D",147,IF(Atletas!L588="Tanglangquan D",148,IF(Atletas!L588="Yinzhaophai D",149,IF(Atletas!L588="Tongbeiquan D",150,IF(Atletas!L588="Wudangquan D",151,IF(Atletas!L588="Outros Estilos D",152,IF(Atletas!L588="Chaquan E",153,IF(Atletas!L588="Emeiquan E",154,IF(Atletas!L588="Fanziquan E",155,IF(Atletas!L588="Huaquan E",156,IF(Atletas!L588="Hongquan E",157,IF(Atletas!L588="Paochui E",158,IF(Atletas!L588="Piguaquan E",159,IF(Atletas!L588="Shaolinquan E",160,IF(Atletas!L588="Tanglangquan E",161,IF(Atletas!L588="Yinzhaophai E",162,IF(Atletas!L588="Tongbeiquan E",163,IF(Atletas!L588="Wudangquan E",164,IF(Atletas!L588="Outros Estilos E",165,IF(Atletas!L588="Chaquan F",166,IF(Atletas!L588="Emeiquan F",167,IF(Atletas!L588="Fanziquan F",168,IF(Atletas!L588="Huaquan F",169,IF(Atletas!L588="Hongquan F",170,IF(Atletas!L588="Paochui F",171,IF(Atletas!L588="Piguaquan F",172,IF(Atletas!L588="Shaolinquan F",173,IF(Atletas!L588="Tanglangquan F",174,IF(Atletas!L588="Yinzhaophai F",175,IF(Atletas!L588="Tongbeiquan F",176,IF(Atletas!L588="Wudangquan F",177,IF(Atletas!L588="Outros Estilos F",178,0))))))))))))))))))))))))))))))))))))))))))</f>
        <v/>
      </c>
      <c r="BN592" s="52" t="str">
        <f>IF(Atletas!M588="","",IF(Atletas!W588&lt;&gt;"",10000,0)+(IF(Atletas!B588="Feminino",1000,IF(Atletas!B588="Masculino",2000,""))+(IF(Atletas!M588="Ditangquan A",201,IF(Atletas!M588="Houquan A",202,IF(Atletas!M588="Zuiquan A",203,IF(Atletas!M588="Ditangquan B",204,IF(Atletas!M588="Houquan B",205,IF(Atletas!M588="Zuiquan B",206,IF(Atletas!M588="Ditangquan C",207,IF(Atletas!M588="Houquan C",208,IF(Atletas!M588="Zuiquan C",209,IF(Atletas!M588="Ditangquan D",210,IF(Atletas!M588="Houquan D",211,IF(Atletas!M588="Zuiquan D",212,IF(Atletas!M588="Ditangquan E",213,IF(Atletas!M588="Houquan E",214,IF(Atletas!M588="Zuiquan E",215,IF(Atletas!M588="Ditangquan F",216,IF(Atletas!M588="Houquan F",217,IF(Atletas!M588="Zuiquan F",218,"")))))))))))))))))))))</f>
        <v/>
      </c>
      <c r="BO592" s="52" t="str">
        <f>IF(Atletas!N588="","",IF(Atletas!W588&lt;&gt;"",10000,0)+IF(Atletas!B588="Feminino",1000,IF(Atletas!B588="Masculino",2000,""))+IF(Atletas!N588="Yang A",301,IF(Atletas!N588="Chen A",30,IF(Atletas!N588="Sun A",303,IF(Atletas!N588="Wu A",304,IF(Atletas!N588="Wu-Hao A",305,IF(Atletas!N588="Outro Taijiquan A",306,IF(Atletas!N588="Yang B",307,IF(Atletas!N588="Chen B",308,IF(Atletas!N588="Sun B",309,IF(Atletas!N588="Wu B",310,IF(Atletas!N588="Wu-Hao B",311,IF(Atletas!N588="Outro Taijiquan B",312,IF(Atletas!N588="Yang C",313,IF(Atletas!N588="Chen C",314,IF(Atletas!N588="Sun C",315,IF(Atletas!N588="Wu C",316,IF(Atletas!N588="Wu-Hao C",317,IF(Atletas!N588="Outro Taijiquan C",318,IF(Atletas!N588="Yang D",319,IF(Atletas!N588="Chen D",320,IF(Atletas!N588="Sun D",321,IF(Atletas!N588="Wu D",322,IF(Atletas!N588="Wu-Hao D",323,IF(Atletas!N588="Outro Taijiquan D",324,IF(Atletas!N588="Yang E",325,IF(Atletas!N588="Chen E",326,IF(Atletas!N588="Sun E",327,IF(Atletas!N588="Wu E",328,IF(Atletas!N588="Wu-Hao E",329,IF(Atletas!N588="Outro Taijiquan E",330,IF(Atletas!N588="Yang F",331,IF(Atletas!N588="Chen F",332,IF(Atletas!N588="Sun F",333,IF(Atletas!N588="Wu F",334,IF(Atletas!N588="Wu-Hao F",335,IF(Atletas!N588="Outro Taijiquan F",336,"")))))))))))))))))))))))))))))))))))))</f>
        <v/>
      </c>
      <c r="BP592" s="52" t="str">
        <f>IF(Atletas!O588="","",IF(Atletas!W588&lt;&gt;"",10000,0)+IF(Atletas!B588="Feminino",1000,IF(Atletas!B588="Masculino",2000,""))+IF(OR(Atletas!O588="Yang 26 A",Atletas!O588="Yang 40 A"),401,IF(OR(Atletas!O588="Chen 25 A",Atletas!O588="Chen 36 A",Atletas!O588="Chen 56 A"),402,IF(Atletas!O588="Sun 73 A",403,IF(Atletas!O588="Wu 45 A",404,IF(Atletas!O588="Wu-Hao 46 A",405,IF(OR(Atletas!O588="Taijiquan 16 A",Atletas!O588="Taijiquan 24 A",Atletas!O588="Taijiquan 32 A",Atletas!O588="Taijiquan 42 A"),406,IF(OR(Atletas!O588="Yang 26 B",Atletas!O588="Yang 40 B"),407,IF(OR(Atletas!O588="Chen 25 B",Atletas!O588="Chen 36 B",Atletas!O588="Chen 56 B"),408,IF(Atletas!O588="Sun 73 B",409,IF(Atletas!O588="Wu 45 B",410,IF(Atletas!O588="Wu-Hao 46 B",411,IF(OR(Atletas!O588="Taijiquan 16 B",Atletas!O588="Taijiquan 24 B",Atletas!O588="Taijiquan 32 B",Atletas!O588="Taijiquan 42 B"),412,IF(OR(Atletas!O588="Yang 26 C",Atletas!O588="Yang 40 C"),413,IF(OR(Atletas!O588="Chen 25 C",Atletas!O588="Chen 36 C",Atletas!O588="Chen 56 C"),414,IF(Atletas!O588="Sun 73 C",415,IF(Atletas!O588="Wu 45 C",416,IF(Atletas!O588="Wu-Hao 46 C",417,IF(OR(Atletas!O588="Taijiquan 16 C",Atletas!O588="Taijiquan 24 C",Atletas!O588="Taijiquan 32 C",Atletas!O588="Taijiquan 42 C"),418,0)))))))))))))))))))</f>
        <v/>
      </c>
      <c r="BQ592" s="52" t="str">
        <f>IF(Atletas!O588="","",IF(Atletas!W588&lt;&gt;"",10000,0)+IF(Atletas!B588="Feminino",1000,IF(Atletas!B588="Masculino",2000,""))+IF(OR(Atletas!O588="Yang 26 D",Atletas!O588="Yang 40 D"),419,IF(OR(Atletas!O588="Chen 25 D",Atletas!O588="Chen 36 D",Atletas!O588="Chen 56 D"),420,IF(Atletas!O588="Sun 73 D",421,IF(Atletas!O588="Wu 45 D",422,IF(Atletas!O588="Wu-Hao 46 D",423,IF(OR(Atletas!O588="Taijiquan 16 D",Atletas!O588="Taijiquan 24 D",Atletas!O588="Taijiquan 32 D",Atletas!O588="Taijiquan 42 D"),424,IF(OR(Atletas!O588="Yang 26 E",Atletas!O588="Yang 40 E"),425,IF(OR(Atletas!O588="Chen 25 E",Atletas!O588="Chen 36 E",Atletas!O588="Chen 56 E"),426,IF(Atletas!O588="Sun 73 E",427,IF(Atletas!O588="Wu 45 E",428,IF(Atletas!O588="Wu-Hao 46 E",429,IF(OR(Atletas!O588="Taijiquan 16 E",Atletas!O588="Taijiquan 24 E",Atletas!O588="Taijiquan 32 E",Atletas!O588="Taijiquan 42 E"),430,IF(OR(Atletas!O588="Yang 26 F",Atletas!O588="Yang 40 F"),431,IF(OR(Atletas!O588="Chen 25 F",Atletas!O588="Chen 36 F",Atletas!O588="Chen 56 F"),432,IF(Atletas!O588="Sun 73 F",433,IF(Atletas!O588="Wu 45 F",434,IF(Atletas!O588="Wu-Hao 46 F",435,IF(OR(Atletas!O588="Taijiquan 16 F",Atletas!O588="Taijiquan 24 F",Atletas!O588="Taijiquan 32 F",Atletas!O588="Taijiquan 42 F"),436,0)))))))))))))))))))</f>
        <v/>
      </c>
      <c r="BR592" s="52" t="str">
        <f>IF(Atletas!P588="","",IF(Atletas!W588&lt;&gt;"",10000,0)+IF(Atletas!B588="Feminino",1000,IF(Atletas!B588="Masculino",2000,""))+IF(Atletas!P588="Xingyiquan A",501,IF(Atletas!P588="Baguazhang A",502,IF(Atletas!P588="Outro Estilo Interno A",503,IF(Atletas!P588="Xingyiquan B",504,IF(Atletas!P588="Baguazhang B",505,IF(Atletas!P588="Outro Estilo Interno B",506,IF(Atletas!P588="Xingyiquan C",507,IF(Atletas!P588="Baguazhang C",508,IF(Atletas!P588="Outro Estilo Interno C",509,IF(Atletas!P588="Xingyiquan D",510,IF(Atletas!P588="Baguazhang D",511,IF(Atletas!P588="Outro Estilo Interno D",512,IF(Atletas!P588="Xingyiquan E",513,IF(Atletas!P588="Baguazhang E",514,IF(Atletas!P588="Outro Estilo Interno E",515,IF(Atletas!P588="Xingyiquan F",516,IF(Atletas!P588="Baguazhang F",517,IF(Atletas!P588="Outro Estilo Interno F",518, "")))))))))))))))))))</f>
        <v/>
      </c>
      <c r="BS592" s="52" t="str">
        <f>IF(Atletas!Q588="","",IF(Atletas!W588&lt;&gt;"",10000,0)+IF(Atletas!B588="Feminino",1000,IF(Atletas!B588="Masculino",2000,""))+IF(Atletas!Q588="Dao A",601,IF(Atletas!Q588="Jian A",602,IF(Atletas!Q588="Bishou A",603,IF(Atletas!Q588="Shan A",604,IF(Atletas!Q588="Outra Arma Curta A",605,IF(Atletas!Q588="Dao B",606,IF(Atletas!Q588="Jian B",607,IF(Atletas!Q588="Bishou B",608,IF(Atletas!Q588="Shan B",609,IF(Atletas!Q588="Outra Arma Curta B",610,IF(Atletas!Q588="Dao C",611,IF(Atletas!Q588="Jian C",612,IF(Atletas!Q588="Bishou C",613,IF(Atletas!Q588="Shan C",614,IF(Atletas!Q588="Outra Arma Curta C",615,IF(Atletas!Q588="Dao D",616,IF(Atletas!Q588="Jian D",617,IF(Atletas!Q588="Bishou D",618,IF(Atletas!Q588="Shan D",619,IF(Atletas!Q588="Outra Arma Curta D",620,IF(Atletas!Q588="Dao E",621,IF(Atletas!Q588="Jian E",622,IF(Atletas!Q588="Bishou E",623,IF(Atletas!Q588="Shan E",624,IF(Atletas!Q588="Outra Arma Curta E",625,IF(Atletas!Q588="Dao F",626,IF(Atletas!Q588="Jian F",627,IF(Atletas!Q588="Bishou F",628,IF(Atletas!Q588="Shan F",629,IF(Atletas!Q588="Outra Arma Curta F",630, "")))))))))))))))))))))))))))))))</f>
        <v/>
      </c>
      <c r="BT592" s="52" t="str">
        <f>IF(Atletas!R588="","",IF(Atletas!W588&lt;&gt;"",10000,0)+IF(Atletas!B588="Feminino",1000,IF(Atletas!B588="Masculino",2000,""))+IF(Atletas!R588="Gun A",701,IF(Atletas!R588="Qiang A",702,IF(Atletas!R588="Pudao / Guandao A",703,IF(Atletas!R588="Outra Arma Longa A",704,IF(Atletas!R588="Gun B",705,IF(Atletas!R588="Qiang B",706,IF(Atletas!R588="Pudao / Guandao B",707,IF(Atletas!R588="Outra Arma Longa B",708,IF(Atletas!R588="Gun C",709,IF(Atletas!R588="Qiang C",710,IF(Atletas!R588="Pudao / Guandao C",711,IF(Atletas!R588="Outra Arma Longa C",712,IF(Atletas!R588="Gun D",713,IF(Atletas!R588="Qiang D",714,IF(Atletas!R588="Pudao / Guandao D",715,IF(Atletas!R588="Outra Arma Longa D",716,IF(Atletas!R588="Gun E",717,IF(Atletas!R588="Qiang E",718,IF(Atletas!R588="Pudao / Guandao E",719,IF(Atletas!R588="Outra Arma Longa E",720,IF(Atletas!R588="Gun F",721,IF(Atletas!R588="Qiang F",722,IF(Atletas!R588="Pudao / Guandao F",723,IF(Atletas!R588="Outra Arma Longa F",724,"")))))))))))))))))))))))))</f>
        <v/>
      </c>
      <c r="BU592" s="52" t="str">
        <f>IF(Atletas!S588="","",IF(Atletas!W588&lt;&gt;"",10000,0)+IF(Atletas!B588="Feminino",1000,IF(Atletas!B588="Masculino",2000,""))+IF(Atletas!S588="Arma Dupla A",801,IF(Atletas!S588="Arma Maleável A",802,IF(Atletas!S588="Arma Dupla B",803,IF(Atletas!S588="Arma Maleável B",804,IF(Atletas!S588="Arma Dupla C",805,IF(Atletas!S588="Arma Maleável C",806,IF(Atletas!S588="Arma Dupla D",807,IF(Atletas!S588="Arma Maleável D",808,IF(Atletas!S588="Arma Dupla E",809,IF(Atletas!S588="Arma Maleável E",810,IF(Atletas!S588="Arma Dupla F",811,IF(Atletas!S588="Arma Maleável F",812, "")))))))))))))</f>
        <v/>
      </c>
      <c r="BV592" s="52" t="str">
        <f>IF(Atletas!T588="","",IF(Atletas!W588&lt;&gt;"",10000,0)+IF(Atletas!B588="Feminino",1000,IF(Atletas!B588="Masculino",2000,""))+IF(Atletas!T588="Taijijian Yang A",901,IF(Atletas!T588="Taijijian Chen A",902,IF(Atletas!T588="Taijijian Sun A",903,IF(Atletas!T588="Taijijian Wu A",904,IF(Atletas!T588="Taijijian Wu-Hao A",905,IF(Atletas!T588="Taijijian 32 A",906,IF(Atletas!T588="Taijijian 42 A",907,IF(Atletas!T588="Taijijian Yang B",908,IF(Atletas!T588="Taijijian Chen B",909,IF(Atletas!T588="Taijijian Sun B",910,IF(Atletas!T588="Taijijian Wu B",911,IF(Atletas!T588="Taijijian Wu-Hao B",912,IF(Atletas!T588="Taijijian 32 B",913,IF(Atletas!T588="Taijijian 42 B",914,IF(Atletas!T588="Taijijian Yang C",915,IF(Atletas!T588="Taijijian Chen C",916,IF(Atletas!T588="Taijijian Sun C",917,IF(Atletas!T588="Taijijian Wu C",918,IF(Atletas!T588="Taijijian Wu-Hao C",919,IF(Atletas!T588="Taijijian 32 C",920,IF(Atletas!T588="Taijijian 42 C",921,IF(Atletas!T588="Taijijian Yang D",922,IF(Atletas!T588="Taijijian Chen D",923,IF(Atletas!T588="Taijijian Sun D",924,IF(Atletas!T588="Taijijian Wu D",925,IF(Atletas!T588="Taijijian Wu-Hao D",926,IF(Atletas!T588="Taijijian 32 D",927,IF(Atletas!T588="Taijijian 42 D",928,IF(Atletas!T588="Taijijian Yang E",929,IF(Atletas!T588="Taijijian Chen E",930,IF(Atletas!T588="Taijijian Sun E",931,IF(Atletas!T588="Taijijian Wu E",932,IF(Atletas!T588="Taijijian Wu-Hao E",933,IF(Atletas!T588="Taijijian 32 E",934,IF(Atletas!T588="Taijijian 42 E",935,IF(Atletas!T588="Taijijian Yang F",936,IF(Atletas!T588="Taijijian Chen F",937,IF(Atletas!T588="Taijijian Sun F",938,IF(Atletas!T588="Taijijian Wu F",939,IF(Atletas!T588="Taijijian Wu-Hao F",940,IF(Atletas!T588="Taijijian 32 F",941,IF(Atletas!T588="Taijijian 42 F",942,"")))))))))))))))))))))))))))))))))))))))))))</f>
        <v/>
      </c>
      <c r="BW592" s="52" t="str">
        <f>IF(Atletas!U588="","",IF(Atletas!W588&lt;&gt;"",10000,0)+IF(Atletas!B588="Feminino",1000,IF(Atletas!B588="Masculino",2000,""))+IF(Atletas!T588="Taijijian 42 F",942,IF(Atletas!U588="Taijidao A",943,IF(Atletas!U588="Taijishan A",944,IF(Atletas!U588="Taijiqiang A",945,IF(Atletas!U588="Taijidao B",946,IF(Atletas!U588="Taijishan B",947,IF(Atletas!U588="Taijiqiang B",948,IF(Atletas!U588="Taijidao C",949,IF(Atletas!U588="Taijishan C",950,IF(Atletas!U588="Taijiqiang C",951,IF(Atletas!U588="Taijidao D",952,IF(Atletas!U588="Taijishan D",953,IF(Atletas!U588="Taijiqiang D",954,IF(Atletas!U588="Taijidao E",955,IF(Atletas!U588="Taijishan E",956,IF(Atletas!U588="Taijiqiang E",957,IF(Atletas!U588="Taijidao F",958,IF(Atletas!U588="Taijishan F",959,IF(Atletas!U588="Taijiqiang F",960))))))))))))))))))))</f>
        <v/>
      </c>
      <c r="CF592" s="52" t="str">
        <f xml:space="preserve"> IF(Atletas!V588="","",IF(Atletas!V588="Duilian de Mãos AB - Equipe 1",1,IF(Atletas!V588="Duilian de Mãos AB - Equipe 2",2,IF(Atletas!V588="Duilian de Armas AB - Equipe 1",3,IF(Atletas!V588="Duilian de Armas AB - Equipe 2",4,IF(Atletas!V588="Duilian de Tuishou - Equipe 1",5,IF(Atletas!V588="Duilian de Tuishou - Equipe 2",6,IF(Atletas!V588="Grupo Externo AB - Equipe 1",7,IF(Atletas!V588="Grupo Externo AB - Equipe 2",8,IF(Atletas!V588="Grupo Interno AB - Equipe 1",9,IF(Atletas!V588="Grupo Interno AB - Equipe 2",10,IF(Atletas!V588="Duilian de Mãos CD - Equipe 1",11,IF(Atletas!V588="Duilian de Mãos CD - Equipe 2",12,IF(Atletas!V588="Duilian de Armas CD - Equipe 1",13,IF(Atletas!V588="Duilian de Armas CD - Equipe 2",14,IF(Atletas!V588="Duilian de Tuishou - Equipe 1",15,IF(Atletas!V588="Duilian de Tuishou - Equipe 2",16,IF(Atletas!V588="Grupo Externo CDEF - Equipe 1",17,IF(Atletas!V588="Grupo Externo CDEF - Equipe 2",18,IF(Atletas!V588="Grupo Interno CDEF - Equipe 1",19,IF(Atletas!V588="Grupo Interno CDEF - Equipe 2",20,IF(Atletas!V588="Duilian de Mãos EF - Equipe 1",21,IF(Atletas!V588="Duilian de Mãos EF - Equipe 2",22,IF(Atletas!V588="Duilian de Armas EF - Equipe 1",23,IF(Atletas!V588="Duilian de Armas EF - Equipe 2",24,IF(Atletas!V588="Duilian de Tuishou - Equipe 1",25,IF(Atletas!V588="Duilian de Tuishou - Equipe 2",26,"")))))))))))))))))))))))))))</f>
        <v/>
      </c>
    </row>
    <row r="593" spans="36:84">
      <c r="AJ593" s="46" t="str">
        <f>IF(Atletas!D589="","",IF(Atletas!B589="Feminino",100,IF(Atletas!B589="Masculino",200,""))+(IF(Atletas!D589="Infantil 39kg",1,IF(Atletas!D589="Infantil 42kg",2,IF(Atletas!D589="Infantil 45kg",3,IF(Atletas!D589="Infantil 48kg",4,IF(Atletas!D589="Infantil 52kg",5,IF(Atletas!D589="Infantil 56kg",6,IF(Atletas!D589="Infantil 60kg",7,IF(Atletas!D589="Juvenil 48kg",8,IF(Atletas!D589="Juvenil 52kg",9,IF(Atletas!D589="Juvenil 56kg",10,IF(Atletas!D589="Juvenil 60kg",11,IF(Atletas!D589="Juvenil 65kg",12,IF(Atletas!D589="Juvenil 70kg",13,IF(Atletas!D589="Juvenil 75kg",14,IF(Atletas!D589="Juvenil 80kg",15,IF(Atletas!D589="Adulto 48kg",16,IF(Atletas!D589="Adulto 52kg",17,IF(Atletas!D589="Adulto 56kg",18,IF(Atletas!D589="Adulto 60kg",19,IF(Atletas!D589="Adulto 65kg",20,IF(Atletas!D589="Adulto 70kg",21,IF(Atletas!D589="Adulto 75kg",22,IF(Atletas!D589="Adulto 80kg",23,IF(Atletas!D589="Adulto 85kg",24,IF(Atletas!D589="Adulto 90kg",25,IF(Atletas!D589="Adulto +90kg",26,""))))))))))))))))))))))))))))</f>
        <v/>
      </c>
      <c r="AO593" s="10" t="str">
        <f>IF(Atletas!E589="","",IF(Atletas!B589="Feminino",100,IF(Atletas!B589="Masculino",200,""))+(IF(Atletas!E589="Juvenil 44kg",1,IF(Atletas!E589="Juvenil 48kg",2,IF(Atletas!E589="Juvenil 52kg",3,IF(Atletas!E589="Juvenil 56kg",4,IF(Atletas!E589="Juvenil 60kg",5,IF(Atletas!E589="Juvenil 65kg",6,IF(Atletas!E589="Juvenil 70kg",7,IF(Atletas!E589="Juvenil 75kg",8,IF(Atletas!E589="Juvenil 82kg",9,IF(Atletas!E589="Juvenil 90kg",10,IF(Atletas!E589="Juvenil 100kg",11,IF(Atletas!E589="Adulto 48kg",12,IF(Atletas!E589="Adulto 52kg",13,IF(Atletas!E589="Adulto 56kg",14,IF(Atletas!E589="Adulto 60kg",15,IF(Atletas!E589="Adulto 65kg",16,IF(Atletas!E589="Adulto 70kg",17,IF(Atletas!E589="Adulto 75kg",18,IF(Atletas!E589="Adulto 82kg",19,IF(Atletas!E589="Adulto 90kg",20,IF(Atletas!E589="Adulto 100kg",21,IF(Atletas!E589="Adulto +100kg",22,""))))))))))))))))))))))))</f>
        <v/>
      </c>
      <c r="AT593" s="10" t="str">
        <f>IF(Atletas!F589="","",IF(Atletas!B589="Feminino",100,IF(Atletas!B589="Masculino",200,""))+(IF(Atletas!F589="Adulto 48kg",1,IF(Atletas!F589="Adulto 56kg",2,IF(Atletas!F589="Adulto 65kg",3,IF(Atletas!F589="Adulto 75kg",4,IF(Atletas!F589="Adulto +75kg",5,IF(Atletas!F589="Adulto 52kg",6,IF(Atletas!F589="Adulto 60kg",7,IF(Atletas!F589="Adulto 70kg",8,IF(Atletas!F589="Adulto 80kg",9,IF(Atletas!F589="Adulto 90kg",10,IF(Atletas!F589="Adulto +90kg",11,"")))))))))))))</f>
        <v/>
      </c>
      <c r="AY593" s="46" t="str">
        <f>IF(Atletas!G589="","",IF(Atletas!B589="Feminino",100,IF(Atletas!B589="Masculino",200,""))+(IF(Atletas!G589="Changquan Mirim",1,IF(Atletas!G589="Nanquan Mirim",2,IF(Atletas!G589="Taijiquan Mirim",3,IF(Atletas!G589="Changquan Grupo C",4,IF(Atletas!G589="Nanquan Grupo C",5,IF(Atletas!G589="Taijiquan Grupo C",6,IF(Atletas!G589="Changquan Grupo B",7,IF(Atletas!G589="Nanquan Grupo B",8,IF(Atletas!G589="Taijiquan Grupo B",9,IF(Atletas!G589="Changquan Grupo A",10,IF(Atletas!G589="Nanquan Grupo A",11,IF(Atletas!G589="Taijiquan Grupo A",12,IF(Atletas!G589="Changquan Opcional",13,IF(Atletas!G589="Nanquan Opcional",14,IF(Atletas!G589="Taijiquan Opcional",15,IF(Atletas!G589="Changquan Adulto",16,IF(Atletas!G589="Nanquan Adulto",17,IF(Atletas!G589="Taijiquan Adulto",18,""))))))))))))))))))))</f>
        <v/>
      </c>
      <c r="AZ593" s="46" t="str">
        <f>IF(Atletas!H589="","",IF(Atletas!B589="Feminino",100,IF(Atletas!B589="Masculino",200,""))+(IF(Atletas!H589="Daoshu Mirim",19,IF(Atletas!H589="Jianshu Mirim",20,IF(Atletas!H589="Nandao Mirim",21,IF(Atletas!H589="Taijijian Mirim",22,IF(Atletas!H589="Daoshu Grupo C",23,IF(Atletas!H589="Jianshu Grupo C",24,IF(Atletas!H589="Nandao Grupo C",25,IF(Atletas!H589="Taijijian Grupo C",26,IF(Atletas!H589="Daoshu Grupo B",27,IF(Atletas!H589="Jianshu Grupo B",28,IF(Atletas!H589="Nandao Grupo B",29,IF(Atletas!H589="Taijijian Grupo B",30,IF(Atletas!H589="Daoshu Grupo A",31,IF(Atletas!H589="Jianshu Grupo A",32,IF(Atletas!H589="Nandao Grupo A",33,IF(Atletas!H589="Taijijian Grupo A",34,IF(Atletas!H589="Daoshu Opcional",35,IF(Atletas!H589="Jianshu Opcional",36,IF(Atletas!H589="Nandao Opcional",37,IF(Atletas!H589="Taijijian Opcional",38,IF(Atletas!H589="Daoshu Adulto",39,IF(Atletas!H589="Jianshu Adulto",40,IF(Atletas!H589="Nandao Adulto",41,IF(Atletas!H589="Taijijian Adulto",42,""))))))))))))))))))))))))))</f>
        <v/>
      </c>
      <c r="BA593" s="46" t="str">
        <f>IF(Atletas!I589="","",IF(Atletas!B589="Feminino",100,IF(Atletas!B589="Masculino",200,""))+(IF(Atletas!I589="Gunshu Mirim",43,IF(Atletas!I589="Qiangshu Mirim",44,IF(Atletas!I589="Nangun Mirim",45,IF(Atletas!I589="Gunshu Grupo C",46,IF(Atletas!I589="Qiangshu Grupo C",47,IF(Atletas!I589="Nangun Grupo C",48,IF(Atletas!I589="Gunshu Grupo B",49,IF(Atletas!I589="Qiangshu Grupo B",50,IF(Atletas!I589="Nangun Grupo B",51,IF(Atletas!I589="Gunshu Grupo A",52,IF(Atletas!I589="Qiangshu Grupo A",53,IF(Atletas!I589="Nangun Grupo A",54,IF(Atletas!I589="Gunshu Opcional",55,IF(Atletas!I589="Qiangshu Opcional",56,IF(Atletas!I589="Nangun Opcional",57,IF(Atletas!I589="Gunshu Adulto",58,IF(Atletas!I589="Qiangshu Adulto",59,IF(Atletas!I589="Nangun Adulto",60,""))))))))))))))))))))</f>
        <v/>
      </c>
      <c r="BF593" s="52" t="str">
        <f>IF(Atletas!J589="","",IF(Atletas!B589="Feminino",100,IF(Atletas!B589="Masculino",200,""))+(IF(Atletas!J589="Equipe 1 Grupo B",1,IF(Atletas!J589="Equipe 2 Grupo B",2,IF(Atletas!J589="Equipe 1 Grupo A",3,IF(Atletas!J589="Equipe 2 Grupo A",4,IF(Atletas!J589="Equipe 1 Adulto",5,IF(Atletas!J589="Equipe 2 Adulto",6,""))))))))</f>
        <v/>
      </c>
      <c r="BK593" s="52" t="str">
        <f>IF(Atletas!K589="","",IF(Atletas!W589&lt;&gt;"",10000,0)+(IF(Atletas!B589="Feminino",1000,IF(Atletas!B589="Masculino",2000,""))+IF(Atletas!K589="Choylayfut A",1,IF(Atletas!K589="Hunggar A",2,IF(Atletas!K589="Wuzuquan A",3,IF(Atletas!K589="Wingchun A",4,IF(Atletas!K589="Outra Mão de Sul A",5,IF(Atletas!K589="Choylayfut B",6,IF(Atletas!K589="Hunggar B",7,IF(Atletas!K589="Wuzuquan B",8,IF(Atletas!K589="Wingchun B",9,IF(Atletas!K589="Outra Mão de Sul B",10,IF(Atletas!K589="Choylayfut C",11,IF(Atletas!K589="Hunggar C",12,IF(Atletas!K589="Wuzuquan C",13,IF(Atletas!K589="Wingchun C",14,IF(Atletas!K589="Outra Mão de Sul C",15,IF(Atletas!K589="Choylayfut D",16,IF(Atletas!K589="Hunggar D",17,IF(Atletas!K589="Wuzuquan D",18,IF(Atletas!K589="Wingchun D",19,IF(Atletas!K589="Outra Mão de Sul D",20,IF(Atletas!K589="Choylayfut E",21,IF(Atletas!K589="Hunggar E",22,IF(Atletas!K589="Wuzuquan E",23,IF(Atletas!K589="Wingchun E",24,IF(Atletas!K589="Outra Mão de Sul E",25,IF(Atletas!K589="Choylayfut F",26,IF(Atletas!K589="Hunggar F",27,IF(Atletas!K589="Wuzuquan F",28,IF(Atletas!K589="Wingchun F",29,IF(Atletas!K589="Outra Mão de Sul F",30,""))))))))))))))))))))))))))))))))</f>
        <v/>
      </c>
      <c r="BL593" s="52" t="str">
        <f>IF(Atletas!L589="","",IF(Atletas!W589&lt;&gt;"",10000,0)+(IF(Atletas!B589="Feminino",1000,IF(Atletas!B589="Masculino",2000,""))+(IF(Atletas!L589="Chaquan A",101,IF(Atletas!L589="Emeiquan A",102,IF(Atletas!L589="Fanziquan A",103,IF(Atletas!L589="Huaquan A",104,IF(Atletas!L589="Hongquan A",105,IF(Atletas!L589="Paochui A",106,IF(Atletas!L589="Piguaquan A",107,IF(Atletas!L589="Shaolinquan A",108,IF(Atletas!L589="Tanglangquan A",109,IF(Atletas!L589="Yinzhaophai A",110,IF(Atletas!L589="Tongbeiquan A",111,IF(Atletas!L589="Wudangquan A",112,IF(Atletas!L589="Outros Estilos A",113,IF(Atletas!L589="Chaquan B",114,IF(Atletas!L589="Emeiquan B",115,IF(Atletas!L589="Fanziquan B",116,IF(Atletas!L589="Huaquan B",117,IF(Atletas!L589="Hongquan B",118,IF(Atletas!L589="Paochui B",119,IF(Atletas!L589="Piguaquan B",120,IF(Atletas!L589="Shaolinquan B",121,IF(Atletas!L589="Tanglangquan B",122,IF(Atletas!L589="Yinzhaophai B",123,IF(Atletas!L589="Tongbeiquan B",124,IF(Atletas!L589="Wudangquan B",125,IF(Atletas!L589="Outros Estilos B",126,IF(Atletas!L589="Chaquan C",127,IF(Atletas!L589="Emeiquan C",128,IF(Atletas!L589="Fanziquan C",129,IF(Atletas!L589="Huaquan C",130,IF(Atletas!L589="Hongquan C",131,IF(Atletas!L589="Paochui C",132,IF(Atletas!L589="Piguaquan C",133,IF(Atletas!L589="Shaolinquan C",134,IF(Atletas!L589="Tanglangquan C",135,IF(Atletas!L589="Yinzhaophai C",136,IF(Atletas!L589="Tongbeiquan C",137,IF(Atletas!L589="Wudangquan C",138,IF(Atletas!L589="Outros Estilos C",139,0))))))))))))))))))))))))))))))))))))))))))</f>
        <v/>
      </c>
      <c r="BM593" s="52" t="str">
        <f>IF(Atletas!L589="","",IF(Atletas!W589&lt;&gt;"",10000,0)+(IF(Atletas!B589="Feminino",1000,IF(Atletas!B589="Masculino",2000,""))+(IF(Atletas!L589="Chaquan D",140,IF(Atletas!L589="Emeiquan D",141,IF(Atletas!L589="Fanziquan D",142,IF(Atletas!L589="Huaquan D",143,IF(Atletas!L589="Hongquan D",144,IF(Atletas!L589="Paochui D",145,IF(Atletas!L589="Piguaquan D",146,IF(Atletas!L589="Shaolinquan D",147,IF(Atletas!L589="Tanglangquan D",148,IF(Atletas!L589="Yinzhaophai D",149,IF(Atletas!L589="Tongbeiquan D",150,IF(Atletas!L589="Wudangquan D",151,IF(Atletas!L589="Outros Estilos D",152,IF(Atletas!L589="Chaquan E",153,IF(Atletas!L589="Emeiquan E",154,IF(Atletas!L589="Fanziquan E",155,IF(Atletas!L589="Huaquan E",156,IF(Atletas!L589="Hongquan E",157,IF(Atletas!L589="Paochui E",158,IF(Atletas!L589="Piguaquan E",159,IF(Atletas!L589="Shaolinquan E",160,IF(Atletas!L589="Tanglangquan E",161,IF(Atletas!L589="Yinzhaophai E",162,IF(Atletas!L589="Tongbeiquan E",163,IF(Atletas!L589="Wudangquan E",164,IF(Atletas!L589="Outros Estilos E",165,IF(Atletas!L589="Chaquan F",166,IF(Atletas!L589="Emeiquan F",167,IF(Atletas!L589="Fanziquan F",168,IF(Atletas!L589="Huaquan F",169,IF(Atletas!L589="Hongquan F",170,IF(Atletas!L589="Paochui F",171,IF(Atletas!L589="Piguaquan F",172,IF(Atletas!L589="Shaolinquan F",173,IF(Atletas!L589="Tanglangquan F",174,IF(Atletas!L589="Yinzhaophai F",175,IF(Atletas!L589="Tongbeiquan F",176,IF(Atletas!L589="Wudangquan F",177,IF(Atletas!L589="Outros Estilos F",178,0))))))))))))))))))))))))))))))))))))))))))</f>
        <v/>
      </c>
      <c r="BN593" s="52" t="str">
        <f>IF(Atletas!M589="","",IF(Atletas!W589&lt;&gt;"",10000,0)+(IF(Atletas!B589="Feminino",1000,IF(Atletas!B589="Masculino",2000,""))+(IF(Atletas!M589="Ditangquan A",201,IF(Atletas!M589="Houquan A",202,IF(Atletas!M589="Zuiquan A",203,IF(Atletas!M589="Ditangquan B",204,IF(Atletas!M589="Houquan B",205,IF(Atletas!M589="Zuiquan B",206,IF(Atletas!M589="Ditangquan C",207,IF(Atletas!M589="Houquan C",208,IF(Atletas!M589="Zuiquan C",209,IF(Atletas!M589="Ditangquan D",210,IF(Atletas!M589="Houquan D",211,IF(Atletas!M589="Zuiquan D",212,IF(Atletas!M589="Ditangquan E",213,IF(Atletas!M589="Houquan E",214,IF(Atletas!M589="Zuiquan E",215,IF(Atletas!M589="Ditangquan F",216,IF(Atletas!M589="Houquan F",217,IF(Atletas!M589="Zuiquan F",218,"")))))))))))))))))))))</f>
        <v/>
      </c>
      <c r="BO593" s="52" t="str">
        <f>IF(Atletas!N589="","",IF(Atletas!W589&lt;&gt;"",10000,0)+IF(Atletas!B589="Feminino",1000,IF(Atletas!B589="Masculino",2000,""))+IF(Atletas!N589="Yang A",301,IF(Atletas!N589="Chen A",30,IF(Atletas!N589="Sun A",303,IF(Atletas!N589="Wu A",304,IF(Atletas!N589="Wu-Hao A",305,IF(Atletas!N589="Outro Taijiquan A",306,IF(Atletas!N589="Yang B",307,IF(Atletas!N589="Chen B",308,IF(Atletas!N589="Sun B",309,IF(Atletas!N589="Wu B",310,IF(Atletas!N589="Wu-Hao B",311,IF(Atletas!N589="Outro Taijiquan B",312,IF(Atletas!N589="Yang C",313,IF(Atletas!N589="Chen C",314,IF(Atletas!N589="Sun C",315,IF(Atletas!N589="Wu C",316,IF(Atletas!N589="Wu-Hao C",317,IF(Atletas!N589="Outro Taijiquan C",318,IF(Atletas!N589="Yang D",319,IF(Atletas!N589="Chen D",320,IF(Atletas!N589="Sun D",321,IF(Atletas!N589="Wu D",322,IF(Atletas!N589="Wu-Hao D",323,IF(Atletas!N589="Outro Taijiquan D",324,IF(Atletas!N589="Yang E",325,IF(Atletas!N589="Chen E",326,IF(Atletas!N589="Sun E",327,IF(Atletas!N589="Wu E",328,IF(Atletas!N589="Wu-Hao E",329,IF(Atletas!N589="Outro Taijiquan E",330,IF(Atletas!N589="Yang F",331,IF(Atletas!N589="Chen F",332,IF(Atletas!N589="Sun F",333,IF(Atletas!N589="Wu F",334,IF(Atletas!N589="Wu-Hao F",335,IF(Atletas!N589="Outro Taijiquan F",336,"")))))))))))))))))))))))))))))))))))))</f>
        <v/>
      </c>
      <c r="BP593" s="52" t="str">
        <f>IF(Atletas!O589="","",IF(Atletas!W589&lt;&gt;"",10000,0)+IF(Atletas!B589="Feminino",1000,IF(Atletas!B589="Masculino",2000,""))+IF(OR(Atletas!O589="Yang 26 A",Atletas!O589="Yang 40 A"),401,IF(OR(Atletas!O589="Chen 25 A",Atletas!O589="Chen 36 A",Atletas!O589="Chen 56 A"),402,IF(Atletas!O589="Sun 73 A",403,IF(Atletas!O589="Wu 45 A",404,IF(Atletas!O589="Wu-Hao 46 A",405,IF(OR(Atletas!O589="Taijiquan 16 A",Atletas!O589="Taijiquan 24 A",Atletas!O589="Taijiquan 32 A",Atletas!O589="Taijiquan 42 A"),406,IF(OR(Atletas!O589="Yang 26 B",Atletas!O589="Yang 40 B"),407,IF(OR(Atletas!O589="Chen 25 B",Atletas!O589="Chen 36 B",Atletas!O589="Chen 56 B"),408,IF(Atletas!O589="Sun 73 B",409,IF(Atletas!O589="Wu 45 B",410,IF(Atletas!O589="Wu-Hao 46 B",411,IF(OR(Atletas!O589="Taijiquan 16 B",Atletas!O589="Taijiquan 24 B",Atletas!O589="Taijiquan 32 B",Atletas!O589="Taijiquan 42 B"),412,IF(OR(Atletas!O589="Yang 26 C",Atletas!O589="Yang 40 C"),413,IF(OR(Atletas!O589="Chen 25 C",Atletas!O589="Chen 36 C",Atletas!O589="Chen 56 C"),414,IF(Atletas!O589="Sun 73 C",415,IF(Atletas!O589="Wu 45 C",416,IF(Atletas!O589="Wu-Hao 46 C",417,IF(OR(Atletas!O589="Taijiquan 16 C",Atletas!O589="Taijiquan 24 C",Atletas!O589="Taijiquan 32 C",Atletas!O589="Taijiquan 42 C"),418,0)))))))))))))))))))</f>
        <v/>
      </c>
      <c r="BQ593" s="52" t="str">
        <f>IF(Atletas!O589="","",IF(Atletas!W589&lt;&gt;"",10000,0)+IF(Atletas!B589="Feminino",1000,IF(Atletas!B589="Masculino",2000,""))+IF(OR(Atletas!O589="Yang 26 D",Atletas!O589="Yang 40 D"),419,IF(OR(Atletas!O589="Chen 25 D",Atletas!O589="Chen 36 D",Atletas!O589="Chen 56 D"),420,IF(Atletas!O589="Sun 73 D",421,IF(Atletas!O589="Wu 45 D",422,IF(Atletas!O589="Wu-Hao 46 D",423,IF(OR(Atletas!O589="Taijiquan 16 D",Atletas!O589="Taijiquan 24 D",Atletas!O589="Taijiquan 32 D",Atletas!O589="Taijiquan 42 D"),424,IF(OR(Atletas!O589="Yang 26 E",Atletas!O589="Yang 40 E"),425,IF(OR(Atletas!O589="Chen 25 E",Atletas!O589="Chen 36 E",Atletas!O589="Chen 56 E"),426,IF(Atletas!O589="Sun 73 E",427,IF(Atletas!O589="Wu 45 E",428,IF(Atletas!O589="Wu-Hao 46 E",429,IF(OR(Atletas!O589="Taijiquan 16 E",Atletas!O589="Taijiquan 24 E",Atletas!O589="Taijiquan 32 E",Atletas!O589="Taijiquan 42 E"),430,IF(OR(Atletas!O589="Yang 26 F",Atletas!O589="Yang 40 F"),431,IF(OR(Atletas!O589="Chen 25 F",Atletas!O589="Chen 36 F",Atletas!O589="Chen 56 F"),432,IF(Atletas!O589="Sun 73 F",433,IF(Atletas!O589="Wu 45 F",434,IF(Atletas!O589="Wu-Hao 46 F",435,IF(OR(Atletas!O589="Taijiquan 16 F",Atletas!O589="Taijiquan 24 F",Atletas!O589="Taijiquan 32 F",Atletas!O589="Taijiquan 42 F"),436,0)))))))))))))))))))</f>
        <v/>
      </c>
      <c r="BR593" s="52" t="str">
        <f>IF(Atletas!P589="","",IF(Atletas!W589&lt;&gt;"",10000,0)+IF(Atletas!B589="Feminino",1000,IF(Atletas!B589="Masculino",2000,""))+IF(Atletas!P589="Xingyiquan A",501,IF(Atletas!P589="Baguazhang A",502,IF(Atletas!P589="Outro Estilo Interno A",503,IF(Atletas!P589="Xingyiquan B",504,IF(Atletas!P589="Baguazhang B",505,IF(Atletas!P589="Outro Estilo Interno B",506,IF(Atletas!P589="Xingyiquan C",507,IF(Atletas!P589="Baguazhang C",508,IF(Atletas!P589="Outro Estilo Interno C",509,IF(Atletas!P589="Xingyiquan D",510,IF(Atletas!P589="Baguazhang D",511,IF(Atletas!P589="Outro Estilo Interno D",512,IF(Atletas!P589="Xingyiquan E",513,IF(Atletas!P589="Baguazhang E",514,IF(Atletas!P589="Outro Estilo Interno E",515,IF(Atletas!P589="Xingyiquan F",516,IF(Atletas!P589="Baguazhang F",517,IF(Atletas!P589="Outro Estilo Interno F",518, "")))))))))))))))))))</f>
        <v/>
      </c>
      <c r="BS593" s="52" t="str">
        <f>IF(Atletas!Q589="","",IF(Atletas!W589&lt;&gt;"",10000,0)+IF(Atletas!B589="Feminino",1000,IF(Atletas!B589="Masculino",2000,""))+IF(Atletas!Q589="Dao A",601,IF(Atletas!Q589="Jian A",602,IF(Atletas!Q589="Bishou A",603,IF(Atletas!Q589="Shan A",604,IF(Atletas!Q589="Outra Arma Curta A",605,IF(Atletas!Q589="Dao B",606,IF(Atletas!Q589="Jian B",607,IF(Atletas!Q589="Bishou B",608,IF(Atletas!Q589="Shan B",609,IF(Atletas!Q589="Outra Arma Curta B",610,IF(Atletas!Q589="Dao C",611,IF(Atletas!Q589="Jian C",612,IF(Atletas!Q589="Bishou C",613,IF(Atletas!Q589="Shan C",614,IF(Atletas!Q589="Outra Arma Curta C",615,IF(Atletas!Q589="Dao D",616,IF(Atletas!Q589="Jian D",617,IF(Atletas!Q589="Bishou D",618,IF(Atletas!Q589="Shan D",619,IF(Atletas!Q589="Outra Arma Curta D",620,IF(Atletas!Q589="Dao E",621,IF(Atletas!Q589="Jian E",622,IF(Atletas!Q589="Bishou E",623,IF(Atletas!Q589="Shan E",624,IF(Atletas!Q589="Outra Arma Curta E",625,IF(Atletas!Q589="Dao F",626,IF(Atletas!Q589="Jian F",627,IF(Atletas!Q589="Bishou F",628,IF(Atletas!Q589="Shan F",629,IF(Atletas!Q589="Outra Arma Curta F",630, "")))))))))))))))))))))))))))))))</f>
        <v/>
      </c>
      <c r="BT593" s="52" t="str">
        <f>IF(Atletas!R589="","",IF(Atletas!W589&lt;&gt;"",10000,0)+IF(Atletas!B589="Feminino",1000,IF(Atletas!B589="Masculino",2000,""))+IF(Atletas!R589="Gun A",701,IF(Atletas!R589="Qiang A",702,IF(Atletas!R589="Pudao / Guandao A",703,IF(Atletas!R589="Outra Arma Longa A",704,IF(Atletas!R589="Gun B",705,IF(Atletas!R589="Qiang B",706,IF(Atletas!R589="Pudao / Guandao B",707,IF(Atletas!R589="Outra Arma Longa B",708,IF(Atletas!R589="Gun C",709,IF(Atletas!R589="Qiang C",710,IF(Atletas!R589="Pudao / Guandao C",711,IF(Atletas!R589="Outra Arma Longa C",712,IF(Atletas!R589="Gun D",713,IF(Atletas!R589="Qiang D",714,IF(Atletas!R589="Pudao / Guandao D",715,IF(Atletas!R589="Outra Arma Longa D",716,IF(Atletas!R589="Gun E",717,IF(Atletas!R589="Qiang E",718,IF(Atletas!R589="Pudao / Guandao E",719,IF(Atletas!R589="Outra Arma Longa E",720,IF(Atletas!R589="Gun F",721,IF(Atletas!R589="Qiang F",722,IF(Atletas!R589="Pudao / Guandao F",723,IF(Atletas!R589="Outra Arma Longa F",724,"")))))))))))))))))))))))))</f>
        <v/>
      </c>
      <c r="BU593" s="52" t="str">
        <f>IF(Atletas!S589="","",IF(Atletas!W589&lt;&gt;"",10000,0)+IF(Atletas!B589="Feminino",1000,IF(Atletas!B589="Masculino",2000,""))+IF(Atletas!S589="Arma Dupla A",801,IF(Atletas!S589="Arma Maleável A",802,IF(Atletas!S589="Arma Dupla B",803,IF(Atletas!S589="Arma Maleável B",804,IF(Atletas!S589="Arma Dupla C",805,IF(Atletas!S589="Arma Maleável C",806,IF(Atletas!S589="Arma Dupla D",807,IF(Atletas!S589="Arma Maleável D",808,IF(Atletas!S589="Arma Dupla E",809,IF(Atletas!S589="Arma Maleável E",810,IF(Atletas!S589="Arma Dupla F",811,IF(Atletas!S589="Arma Maleável F",812, "")))))))))))))</f>
        <v/>
      </c>
      <c r="BV593" s="52" t="str">
        <f>IF(Atletas!T589="","",IF(Atletas!W589&lt;&gt;"",10000,0)+IF(Atletas!B589="Feminino",1000,IF(Atletas!B589="Masculino",2000,""))+IF(Atletas!T589="Taijijian Yang A",901,IF(Atletas!T589="Taijijian Chen A",902,IF(Atletas!T589="Taijijian Sun A",903,IF(Atletas!T589="Taijijian Wu A",904,IF(Atletas!T589="Taijijian Wu-Hao A",905,IF(Atletas!T589="Taijijian 32 A",906,IF(Atletas!T589="Taijijian 42 A",907,IF(Atletas!T589="Taijijian Yang B",908,IF(Atletas!T589="Taijijian Chen B",909,IF(Atletas!T589="Taijijian Sun B",910,IF(Atletas!T589="Taijijian Wu B",911,IF(Atletas!T589="Taijijian Wu-Hao B",912,IF(Atletas!T589="Taijijian 32 B",913,IF(Atletas!T589="Taijijian 42 B",914,IF(Atletas!T589="Taijijian Yang C",915,IF(Atletas!T589="Taijijian Chen C",916,IF(Atletas!T589="Taijijian Sun C",917,IF(Atletas!T589="Taijijian Wu C",918,IF(Atletas!T589="Taijijian Wu-Hao C",919,IF(Atletas!T589="Taijijian 32 C",920,IF(Atletas!T589="Taijijian 42 C",921,IF(Atletas!T589="Taijijian Yang D",922,IF(Atletas!T589="Taijijian Chen D",923,IF(Atletas!T589="Taijijian Sun D",924,IF(Atletas!T589="Taijijian Wu D",925,IF(Atletas!T589="Taijijian Wu-Hao D",926,IF(Atletas!T589="Taijijian 32 D",927,IF(Atletas!T589="Taijijian 42 D",928,IF(Atletas!T589="Taijijian Yang E",929,IF(Atletas!T589="Taijijian Chen E",930,IF(Atletas!T589="Taijijian Sun E",931,IF(Atletas!T589="Taijijian Wu E",932,IF(Atletas!T589="Taijijian Wu-Hao E",933,IF(Atletas!T589="Taijijian 32 E",934,IF(Atletas!T589="Taijijian 42 E",935,IF(Atletas!T589="Taijijian Yang F",936,IF(Atletas!T589="Taijijian Chen F",937,IF(Atletas!T589="Taijijian Sun F",938,IF(Atletas!T589="Taijijian Wu F",939,IF(Atletas!T589="Taijijian Wu-Hao F",940,IF(Atletas!T589="Taijijian 32 F",941,IF(Atletas!T589="Taijijian 42 F",942,"")))))))))))))))))))))))))))))))))))))))))))</f>
        <v/>
      </c>
      <c r="BW593" s="52" t="str">
        <f>IF(Atletas!U589="","",IF(Atletas!W589&lt;&gt;"",10000,0)+IF(Atletas!B589="Feminino",1000,IF(Atletas!B589="Masculino",2000,""))+IF(Atletas!T589="Taijijian 42 F",942,IF(Atletas!U589="Taijidao A",943,IF(Atletas!U589="Taijishan A",944,IF(Atletas!U589="Taijiqiang A",945,IF(Atletas!U589="Taijidao B",946,IF(Atletas!U589="Taijishan B",947,IF(Atletas!U589="Taijiqiang B",948,IF(Atletas!U589="Taijidao C",949,IF(Atletas!U589="Taijishan C",950,IF(Atletas!U589="Taijiqiang C",951,IF(Atletas!U589="Taijidao D",952,IF(Atletas!U589="Taijishan D",953,IF(Atletas!U589="Taijiqiang D",954,IF(Atletas!U589="Taijidao E",955,IF(Atletas!U589="Taijishan E",956,IF(Atletas!U589="Taijiqiang E",957,IF(Atletas!U589="Taijidao F",958,IF(Atletas!U589="Taijishan F",959,IF(Atletas!U589="Taijiqiang F",960))))))))))))))))))))</f>
        <v/>
      </c>
      <c r="CF593" s="52" t="str">
        <f xml:space="preserve"> IF(Atletas!V589="","",IF(Atletas!V589="Duilian de Mãos AB - Equipe 1",1,IF(Atletas!V589="Duilian de Mãos AB - Equipe 2",2,IF(Atletas!V589="Duilian de Armas AB - Equipe 1",3,IF(Atletas!V589="Duilian de Armas AB - Equipe 2",4,IF(Atletas!V589="Duilian de Tuishou - Equipe 1",5,IF(Atletas!V589="Duilian de Tuishou - Equipe 2",6,IF(Atletas!V589="Grupo Externo AB - Equipe 1",7,IF(Atletas!V589="Grupo Externo AB - Equipe 2",8,IF(Atletas!V589="Grupo Interno AB - Equipe 1",9,IF(Atletas!V589="Grupo Interno AB - Equipe 2",10,IF(Atletas!V589="Duilian de Mãos CD - Equipe 1",11,IF(Atletas!V589="Duilian de Mãos CD - Equipe 2",12,IF(Atletas!V589="Duilian de Armas CD - Equipe 1",13,IF(Atletas!V589="Duilian de Armas CD - Equipe 2",14,IF(Atletas!V589="Duilian de Tuishou - Equipe 1",15,IF(Atletas!V589="Duilian de Tuishou - Equipe 2",16,IF(Atletas!V589="Grupo Externo CDEF - Equipe 1",17,IF(Atletas!V589="Grupo Externo CDEF - Equipe 2",18,IF(Atletas!V589="Grupo Interno CDEF - Equipe 1",19,IF(Atletas!V589="Grupo Interno CDEF - Equipe 2",20,IF(Atletas!V589="Duilian de Mãos EF - Equipe 1",21,IF(Atletas!V589="Duilian de Mãos EF - Equipe 2",22,IF(Atletas!V589="Duilian de Armas EF - Equipe 1",23,IF(Atletas!V589="Duilian de Armas EF - Equipe 2",24,IF(Atletas!V589="Duilian de Tuishou - Equipe 1",25,IF(Atletas!V589="Duilian de Tuishou - Equipe 2",26,"")))))))))))))))))))))))))))</f>
        <v/>
      </c>
    </row>
    <row r="594" spans="36:84">
      <c r="AJ594" s="46" t="str">
        <f>IF(Atletas!D590="","",IF(Atletas!B590="Feminino",100,IF(Atletas!B590="Masculino",200,""))+(IF(Atletas!D590="Infantil 39kg",1,IF(Atletas!D590="Infantil 42kg",2,IF(Atletas!D590="Infantil 45kg",3,IF(Atletas!D590="Infantil 48kg",4,IF(Atletas!D590="Infantil 52kg",5,IF(Atletas!D590="Infantil 56kg",6,IF(Atletas!D590="Infantil 60kg",7,IF(Atletas!D590="Juvenil 48kg",8,IF(Atletas!D590="Juvenil 52kg",9,IF(Atletas!D590="Juvenil 56kg",10,IF(Atletas!D590="Juvenil 60kg",11,IF(Atletas!D590="Juvenil 65kg",12,IF(Atletas!D590="Juvenil 70kg",13,IF(Atletas!D590="Juvenil 75kg",14,IF(Atletas!D590="Juvenil 80kg",15,IF(Atletas!D590="Adulto 48kg",16,IF(Atletas!D590="Adulto 52kg",17,IF(Atletas!D590="Adulto 56kg",18,IF(Atletas!D590="Adulto 60kg",19,IF(Atletas!D590="Adulto 65kg",20,IF(Atletas!D590="Adulto 70kg",21,IF(Atletas!D590="Adulto 75kg",22,IF(Atletas!D590="Adulto 80kg",23,IF(Atletas!D590="Adulto 85kg",24,IF(Atletas!D590="Adulto 90kg",25,IF(Atletas!D590="Adulto +90kg",26,""))))))))))))))))))))))))))))</f>
        <v/>
      </c>
      <c r="AO594" s="10" t="str">
        <f>IF(Atletas!E590="","",IF(Atletas!B590="Feminino",100,IF(Atletas!B590="Masculino",200,""))+(IF(Atletas!E590="Juvenil 44kg",1,IF(Atletas!E590="Juvenil 48kg",2,IF(Atletas!E590="Juvenil 52kg",3,IF(Atletas!E590="Juvenil 56kg",4,IF(Atletas!E590="Juvenil 60kg",5,IF(Atletas!E590="Juvenil 65kg",6,IF(Atletas!E590="Juvenil 70kg",7,IF(Atletas!E590="Juvenil 75kg",8,IF(Atletas!E590="Juvenil 82kg",9,IF(Atletas!E590="Juvenil 90kg",10,IF(Atletas!E590="Juvenil 100kg",11,IF(Atletas!E590="Adulto 48kg",12,IF(Atletas!E590="Adulto 52kg",13,IF(Atletas!E590="Adulto 56kg",14,IF(Atletas!E590="Adulto 60kg",15,IF(Atletas!E590="Adulto 65kg",16,IF(Atletas!E590="Adulto 70kg",17,IF(Atletas!E590="Adulto 75kg",18,IF(Atletas!E590="Adulto 82kg",19,IF(Atletas!E590="Adulto 90kg",20,IF(Atletas!E590="Adulto 100kg",21,IF(Atletas!E590="Adulto +100kg",22,""))))))))))))))))))))))))</f>
        <v/>
      </c>
      <c r="AT594" s="10" t="str">
        <f>IF(Atletas!F590="","",IF(Atletas!B590="Feminino",100,IF(Atletas!B590="Masculino",200,""))+(IF(Atletas!F590="Adulto 48kg",1,IF(Atletas!F590="Adulto 56kg",2,IF(Atletas!F590="Adulto 65kg",3,IF(Atletas!F590="Adulto 75kg",4,IF(Atletas!F590="Adulto +75kg",5,IF(Atletas!F590="Adulto 52kg",6,IF(Atletas!F590="Adulto 60kg",7,IF(Atletas!F590="Adulto 70kg",8,IF(Atletas!F590="Adulto 80kg",9,IF(Atletas!F590="Adulto 90kg",10,IF(Atletas!F590="Adulto +90kg",11,"")))))))))))))</f>
        <v/>
      </c>
      <c r="AY594" s="46" t="str">
        <f>IF(Atletas!G590="","",IF(Atletas!B590="Feminino",100,IF(Atletas!B590="Masculino",200,""))+(IF(Atletas!G590="Changquan Mirim",1,IF(Atletas!G590="Nanquan Mirim",2,IF(Atletas!G590="Taijiquan Mirim",3,IF(Atletas!G590="Changquan Grupo C",4,IF(Atletas!G590="Nanquan Grupo C",5,IF(Atletas!G590="Taijiquan Grupo C",6,IF(Atletas!G590="Changquan Grupo B",7,IF(Atletas!G590="Nanquan Grupo B",8,IF(Atletas!G590="Taijiquan Grupo B",9,IF(Atletas!G590="Changquan Grupo A",10,IF(Atletas!G590="Nanquan Grupo A",11,IF(Atletas!G590="Taijiquan Grupo A",12,IF(Atletas!G590="Changquan Opcional",13,IF(Atletas!G590="Nanquan Opcional",14,IF(Atletas!G590="Taijiquan Opcional",15,IF(Atletas!G590="Changquan Adulto",16,IF(Atletas!G590="Nanquan Adulto",17,IF(Atletas!G590="Taijiquan Adulto",18,""))))))))))))))))))))</f>
        <v/>
      </c>
      <c r="AZ594" s="46" t="str">
        <f>IF(Atletas!H590="","",IF(Atletas!B590="Feminino",100,IF(Atletas!B590="Masculino",200,""))+(IF(Atletas!H590="Daoshu Mirim",19,IF(Atletas!H590="Jianshu Mirim",20,IF(Atletas!H590="Nandao Mirim",21,IF(Atletas!H590="Taijijian Mirim",22,IF(Atletas!H590="Daoshu Grupo C",23,IF(Atletas!H590="Jianshu Grupo C",24,IF(Atletas!H590="Nandao Grupo C",25,IF(Atletas!H590="Taijijian Grupo C",26,IF(Atletas!H590="Daoshu Grupo B",27,IF(Atletas!H590="Jianshu Grupo B",28,IF(Atletas!H590="Nandao Grupo B",29,IF(Atletas!H590="Taijijian Grupo B",30,IF(Atletas!H590="Daoshu Grupo A",31,IF(Atletas!H590="Jianshu Grupo A",32,IF(Atletas!H590="Nandao Grupo A",33,IF(Atletas!H590="Taijijian Grupo A",34,IF(Atletas!H590="Daoshu Opcional",35,IF(Atletas!H590="Jianshu Opcional",36,IF(Atletas!H590="Nandao Opcional",37,IF(Atletas!H590="Taijijian Opcional",38,IF(Atletas!H590="Daoshu Adulto",39,IF(Atletas!H590="Jianshu Adulto",40,IF(Atletas!H590="Nandao Adulto",41,IF(Atletas!H590="Taijijian Adulto",42,""))))))))))))))))))))))))))</f>
        <v/>
      </c>
      <c r="BA594" s="46" t="str">
        <f>IF(Atletas!I590="","",IF(Atletas!B590="Feminino",100,IF(Atletas!B590="Masculino",200,""))+(IF(Atletas!I590="Gunshu Mirim",43,IF(Atletas!I590="Qiangshu Mirim",44,IF(Atletas!I590="Nangun Mirim",45,IF(Atletas!I590="Gunshu Grupo C",46,IF(Atletas!I590="Qiangshu Grupo C",47,IF(Atletas!I590="Nangun Grupo C",48,IF(Atletas!I590="Gunshu Grupo B",49,IF(Atletas!I590="Qiangshu Grupo B",50,IF(Atletas!I590="Nangun Grupo B",51,IF(Atletas!I590="Gunshu Grupo A",52,IF(Atletas!I590="Qiangshu Grupo A",53,IF(Atletas!I590="Nangun Grupo A",54,IF(Atletas!I590="Gunshu Opcional",55,IF(Atletas!I590="Qiangshu Opcional",56,IF(Atletas!I590="Nangun Opcional",57,IF(Atletas!I590="Gunshu Adulto",58,IF(Atletas!I590="Qiangshu Adulto",59,IF(Atletas!I590="Nangun Adulto",60,""))))))))))))))))))))</f>
        <v/>
      </c>
      <c r="BF594" s="52" t="str">
        <f>IF(Atletas!J590="","",IF(Atletas!B590="Feminino",100,IF(Atletas!B590="Masculino",200,""))+(IF(Atletas!J590="Equipe 1 Grupo B",1,IF(Atletas!J590="Equipe 2 Grupo B",2,IF(Atletas!J590="Equipe 1 Grupo A",3,IF(Atletas!J590="Equipe 2 Grupo A",4,IF(Atletas!J590="Equipe 1 Adulto",5,IF(Atletas!J590="Equipe 2 Adulto",6,""))))))))</f>
        <v/>
      </c>
      <c r="BK594" s="52" t="str">
        <f>IF(Atletas!K590="","",IF(Atletas!W590&lt;&gt;"",10000,0)+(IF(Atletas!B590="Feminino",1000,IF(Atletas!B590="Masculino",2000,""))+IF(Atletas!K590="Choylayfut A",1,IF(Atletas!K590="Hunggar A",2,IF(Atletas!K590="Wuzuquan A",3,IF(Atletas!K590="Wingchun A",4,IF(Atletas!K590="Outra Mão de Sul A",5,IF(Atletas!K590="Choylayfut B",6,IF(Atletas!K590="Hunggar B",7,IF(Atletas!K590="Wuzuquan B",8,IF(Atletas!K590="Wingchun B",9,IF(Atletas!K590="Outra Mão de Sul B",10,IF(Atletas!K590="Choylayfut C",11,IF(Atletas!K590="Hunggar C",12,IF(Atletas!K590="Wuzuquan C",13,IF(Atletas!K590="Wingchun C",14,IF(Atletas!K590="Outra Mão de Sul C",15,IF(Atletas!K590="Choylayfut D",16,IF(Atletas!K590="Hunggar D",17,IF(Atletas!K590="Wuzuquan D",18,IF(Atletas!K590="Wingchun D",19,IF(Atletas!K590="Outra Mão de Sul D",20,IF(Atletas!K590="Choylayfut E",21,IF(Atletas!K590="Hunggar E",22,IF(Atletas!K590="Wuzuquan E",23,IF(Atletas!K590="Wingchun E",24,IF(Atletas!K590="Outra Mão de Sul E",25,IF(Atletas!K590="Choylayfut F",26,IF(Atletas!K590="Hunggar F",27,IF(Atletas!K590="Wuzuquan F",28,IF(Atletas!K590="Wingchun F",29,IF(Atletas!K590="Outra Mão de Sul F",30,""))))))))))))))))))))))))))))))))</f>
        <v/>
      </c>
      <c r="BL594" s="52" t="str">
        <f>IF(Atletas!L590="","",IF(Atletas!W590&lt;&gt;"",10000,0)+(IF(Atletas!B590="Feminino",1000,IF(Atletas!B590="Masculino",2000,""))+(IF(Atletas!L590="Chaquan A",101,IF(Atletas!L590="Emeiquan A",102,IF(Atletas!L590="Fanziquan A",103,IF(Atletas!L590="Huaquan A",104,IF(Atletas!L590="Hongquan A",105,IF(Atletas!L590="Paochui A",106,IF(Atletas!L590="Piguaquan A",107,IF(Atletas!L590="Shaolinquan A",108,IF(Atletas!L590="Tanglangquan A",109,IF(Atletas!L590="Yinzhaophai A",110,IF(Atletas!L590="Tongbeiquan A",111,IF(Atletas!L590="Wudangquan A",112,IF(Atletas!L590="Outros Estilos A",113,IF(Atletas!L590="Chaquan B",114,IF(Atletas!L590="Emeiquan B",115,IF(Atletas!L590="Fanziquan B",116,IF(Atletas!L590="Huaquan B",117,IF(Atletas!L590="Hongquan B",118,IF(Atletas!L590="Paochui B",119,IF(Atletas!L590="Piguaquan B",120,IF(Atletas!L590="Shaolinquan B",121,IF(Atletas!L590="Tanglangquan B",122,IF(Atletas!L590="Yinzhaophai B",123,IF(Atletas!L590="Tongbeiquan B",124,IF(Atletas!L590="Wudangquan B",125,IF(Atletas!L590="Outros Estilos B",126,IF(Atletas!L590="Chaquan C",127,IF(Atletas!L590="Emeiquan C",128,IF(Atletas!L590="Fanziquan C",129,IF(Atletas!L590="Huaquan C",130,IF(Atletas!L590="Hongquan C",131,IF(Atletas!L590="Paochui C",132,IF(Atletas!L590="Piguaquan C",133,IF(Atletas!L590="Shaolinquan C",134,IF(Atletas!L590="Tanglangquan C",135,IF(Atletas!L590="Yinzhaophai C",136,IF(Atletas!L590="Tongbeiquan C",137,IF(Atletas!L590="Wudangquan C",138,IF(Atletas!L590="Outros Estilos C",139,0))))))))))))))))))))))))))))))))))))))))))</f>
        <v/>
      </c>
      <c r="BM594" s="52" t="str">
        <f>IF(Atletas!L590="","",IF(Atletas!W590&lt;&gt;"",10000,0)+(IF(Atletas!B590="Feminino",1000,IF(Atletas!B590="Masculino",2000,""))+(IF(Atletas!L590="Chaquan D",140,IF(Atletas!L590="Emeiquan D",141,IF(Atletas!L590="Fanziquan D",142,IF(Atletas!L590="Huaquan D",143,IF(Atletas!L590="Hongquan D",144,IF(Atletas!L590="Paochui D",145,IF(Atletas!L590="Piguaquan D",146,IF(Atletas!L590="Shaolinquan D",147,IF(Atletas!L590="Tanglangquan D",148,IF(Atletas!L590="Yinzhaophai D",149,IF(Atletas!L590="Tongbeiquan D",150,IF(Atletas!L590="Wudangquan D",151,IF(Atletas!L590="Outros Estilos D",152,IF(Atletas!L590="Chaquan E",153,IF(Atletas!L590="Emeiquan E",154,IF(Atletas!L590="Fanziquan E",155,IF(Atletas!L590="Huaquan E",156,IF(Atletas!L590="Hongquan E",157,IF(Atletas!L590="Paochui E",158,IF(Atletas!L590="Piguaquan E",159,IF(Atletas!L590="Shaolinquan E",160,IF(Atletas!L590="Tanglangquan E",161,IF(Atletas!L590="Yinzhaophai E",162,IF(Atletas!L590="Tongbeiquan E",163,IF(Atletas!L590="Wudangquan E",164,IF(Atletas!L590="Outros Estilos E",165,IF(Atletas!L590="Chaquan F",166,IF(Atletas!L590="Emeiquan F",167,IF(Atletas!L590="Fanziquan F",168,IF(Atletas!L590="Huaquan F",169,IF(Atletas!L590="Hongquan F",170,IF(Atletas!L590="Paochui F",171,IF(Atletas!L590="Piguaquan F",172,IF(Atletas!L590="Shaolinquan F",173,IF(Atletas!L590="Tanglangquan F",174,IF(Atletas!L590="Yinzhaophai F",175,IF(Atletas!L590="Tongbeiquan F",176,IF(Atletas!L590="Wudangquan F",177,IF(Atletas!L590="Outros Estilos F",178,0))))))))))))))))))))))))))))))))))))))))))</f>
        <v/>
      </c>
      <c r="BN594" s="52" t="str">
        <f>IF(Atletas!M590="","",IF(Atletas!W590&lt;&gt;"",10000,0)+(IF(Atletas!B590="Feminino",1000,IF(Atletas!B590="Masculino",2000,""))+(IF(Atletas!M590="Ditangquan A",201,IF(Atletas!M590="Houquan A",202,IF(Atletas!M590="Zuiquan A",203,IF(Atletas!M590="Ditangquan B",204,IF(Atletas!M590="Houquan B",205,IF(Atletas!M590="Zuiquan B",206,IF(Atletas!M590="Ditangquan C",207,IF(Atletas!M590="Houquan C",208,IF(Atletas!M590="Zuiquan C",209,IF(Atletas!M590="Ditangquan D",210,IF(Atletas!M590="Houquan D",211,IF(Atletas!M590="Zuiquan D",212,IF(Atletas!M590="Ditangquan E",213,IF(Atletas!M590="Houquan E",214,IF(Atletas!M590="Zuiquan E",215,IF(Atletas!M590="Ditangquan F",216,IF(Atletas!M590="Houquan F",217,IF(Atletas!M590="Zuiquan F",218,"")))))))))))))))))))))</f>
        <v/>
      </c>
      <c r="BO594" s="52" t="str">
        <f>IF(Atletas!N590="","",IF(Atletas!W590&lt;&gt;"",10000,0)+IF(Atletas!B590="Feminino",1000,IF(Atletas!B590="Masculino",2000,""))+IF(Atletas!N590="Yang A",301,IF(Atletas!N590="Chen A",30,IF(Atletas!N590="Sun A",303,IF(Atletas!N590="Wu A",304,IF(Atletas!N590="Wu-Hao A",305,IF(Atletas!N590="Outro Taijiquan A",306,IF(Atletas!N590="Yang B",307,IF(Atletas!N590="Chen B",308,IF(Atletas!N590="Sun B",309,IF(Atletas!N590="Wu B",310,IF(Atletas!N590="Wu-Hao B",311,IF(Atletas!N590="Outro Taijiquan B",312,IF(Atletas!N590="Yang C",313,IF(Atletas!N590="Chen C",314,IF(Atletas!N590="Sun C",315,IF(Atletas!N590="Wu C",316,IF(Atletas!N590="Wu-Hao C",317,IF(Atletas!N590="Outro Taijiquan C",318,IF(Atletas!N590="Yang D",319,IF(Atletas!N590="Chen D",320,IF(Atletas!N590="Sun D",321,IF(Atletas!N590="Wu D",322,IF(Atletas!N590="Wu-Hao D",323,IF(Atletas!N590="Outro Taijiquan D",324,IF(Atletas!N590="Yang E",325,IF(Atletas!N590="Chen E",326,IF(Atletas!N590="Sun E",327,IF(Atletas!N590="Wu E",328,IF(Atletas!N590="Wu-Hao E",329,IF(Atletas!N590="Outro Taijiquan E",330,IF(Atletas!N590="Yang F",331,IF(Atletas!N590="Chen F",332,IF(Atletas!N590="Sun F",333,IF(Atletas!N590="Wu F",334,IF(Atletas!N590="Wu-Hao F",335,IF(Atletas!N590="Outro Taijiquan F",336,"")))))))))))))))))))))))))))))))))))))</f>
        <v/>
      </c>
      <c r="BP594" s="52" t="str">
        <f>IF(Atletas!O590="","",IF(Atletas!W590&lt;&gt;"",10000,0)+IF(Atletas!B590="Feminino",1000,IF(Atletas!B590="Masculino",2000,""))+IF(OR(Atletas!O590="Yang 26 A",Atletas!O590="Yang 40 A"),401,IF(OR(Atletas!O590="Chen 25 A",Atletas!O590="Chen 36 A",Atletas!O590="Chen 56 A"),402,IF(Atletas!O590="Sun 73 A",403,IF(Atletas!O590="Wu 45 A",404,IF(Atletas!O590="Wu-Hao 46 A",405,IF(OR(Atletas!O590="Taijiquan 16 A",Atletas!O590="Taijiquan 24 A",Atletas!O590="Taijiquan 32 A",Atletas!O590="Taijiquan 42 A"),406,IF(OR(Atletas!O590="Yang 26 B",Atletas!O590="Yang 40 B"),407,IF(OR(Atletas!O590="Chen 25 B",Atletas!O590="Chen 36 B",Atletas!O590="Chen 56 B"),408,IF(Atletas!O590="Sun 73 B",409,IF(Atletas!O590="Wu 45 B",410,IF(Atletas!O590="Wu-Hao 46 B",411,IF(OR(Atletas!O590="Taijiquan 16 B",Atletas!O590="Taijiquan 24 B",Atletas!O590="Taijiquan 32 B",Atletas!O590="Taijiquan 42 B"),412,IF(OR(Atletas!O590="Yang 26 C",Atletas!O590="Yang 40 C"),413,IF(OR(Atletas!O590="Chen 25 C",Atletas!O590="Chen 36 C",Atletas!O590="Chen 56 C"),414,IF(Atletas!O590="Sun 73 C",415,IF(Atletas!O590="Wu 45 C",416,IF(Atletas!O590="Wu-Hao 46 C",417,IF(OR(Atletas!O590="Taijiquan 16 C",Atletas!O590="Taijiquan 24 C",Atletas!O590="Taijiquan 32 C",Atletas!O590="Taijiquan 42 C"),418,0)))))))))))))))))))</f>
        <v/>
      </c>
      <c r="BQ594" s="52" t="str">
        <f>IF(Atletas!O590="","",IF(Atletas!W590&lt;&gt;"",10000,0)+IF(Atletas!B590="Feminino",1000,IF(Atletas!B590="Masculino",2000,""))+IF(OR(Atletas!O590="Yang 26 D",Atletas!O590="Yang 40 D"),419,IF(OR(Atletas!O590="Chen 25 D",Atletas!O590="Chen 36 D",Atletas!O590="Chen 56 D"),420,IF(Atletas!O590="Sun 73 D",421,IF(Atletas!O590="Wu 45 D",422,IF(Atletas!O590="Wu-Hao 46 D",423,IF(OR(Atletas!O590="Taijiquan 16 D",Atletas!O590="Taijiquan 24 D",Atletas!O590="Taijiquan 32 D",Atletas!O590="Taijiquan 42 D"),424,IF(OR(Atletas!O590="Yang 26 E",Atletas!O590="Yang 40 E"),425,IF(OR(Atletas!O590="Chen 25 E",Atletas!O590="Chen 36 E",Atletas!O590="Chen 56 E"),426,IF(Atletas!O590="Sun 73 E",427,IF(Atletas!O590="Wu 45 E",428,IF(Atletas!O590="Wu-Hao 46 E",429,IF(OR(Atletas!O590="Taijiquan 16 E",Atletas!O590="Taijiquan 24 E",Atletas!O590="Taijiquan 32 E",Atletas!O590="Taijiquan 42 E"),430,IF(OR(Atletas!O590="Yang 26 F",Atletas!O590="Yang 40 F"),431,IF(OR(Atletas!O590="Chen 25 F",Atletas!O590="Chen 36 F",Atletas!O590="Chen 56 F"),432,IF(Atletas!O590="Sun 73 F",433,IF(Atletas!O590="Wu 45 F",434,IF(Atletas!O590="Wu-Hao 46 F",435,IF(OR(Atletas!O590="Taijiquan 16 F",Atletas!O590="Taijiquan 24 F",Atletas!O590="Taijiquan 32 F",Atletas!O590="Taijiquan 42 F"),436,0)))))))))))))))))))</f>
        <v/>
      </c>
      <c r="BR594" s="52" t="str">
        <f>IF(Atletas!P590="","",IF(Atletas!W590&lt;&gt;"",10000,0)+IF(Atletas!B590="Feminino",1000,IF(Atletas!B590="Masculino",2000,""))+IF(Atletas!P590="Xingyiquan A",501,IF(Atletas!P590="Baguazhang A",502,IF(Atletas!P590="Outro Estilo Interno A",503,IF(Atletas!P590="Xingyiquan B",504,IF(Atletas!P590="Baguazhang B",505,IF(Atletas!P590="Outro Estilo Interno B",506,IF(Atletas!P590="Xingyiquan C",507,IF(Atletas!P590="Baguazhang C",508,IF(Atletas!P590="Outro Estilo Interno C",509,IF(Atletas!P590="Xingyiquan D",510,IF(Atletas!P590="Baguazhang D",511,IF(Atletas!P590="Outro Estilo Interno D",512,IF(Atletas!P590="Xingyiquan E",513,IF(Atletas!P590="Baguazhang E",514,IF(Atletas!P590="Outro Estilo Interno E",515,IF(Atletas!P590="Xingyiquan F",516,IF(Atletas!P590="Baguazhang F",517,IF(Atletas!P590="Outro Estilo Interno F",518, "")))))))))))))))))))</f>
        <v/>
      </c>
      <c r="BS594" s="52" t="str">
        <f>IF(Atletas!Q590="","",IF(Atletas!W590&lt;&gt;"",10000,0)+IF(Atletas!B590="Feminino",1000,IF(Atletas!B590="Masculino",2000,""))+IF(Atletas!Q590="Dao A",601,IF(Atletas!Q590="Jian A",602,IF(Atletas!Q590="Bishou A",603,IF(Atletas!Q590="Shan A",604,IF(Atletas!Q590="Outra Arma Curta A",605,IF(Atletas!Q590="Dao B",606,IF(Atletas!Q590="Jian B",607,IF(Atletas!Q590="Bishou B",608,IF(Atletas!Q590="Shan B",609,IF(Atletas!Q590="Outra Arma Curta B",610,IF(Atletas!Q590="Dao C",611,IF(Atletas!Q590="Jian C",612,IF(Atletas!Q590="Bishou C",613,IF(Atletas!Q590="Shan C",614,IF(Atletas!Q590="Outra Arma Curta C",615,IF(Atletas!Q590="Dao D",616,IF(Atletas!Q590="Jian D",617,IF(Atletas!Q590="Bishou D",618,IF(Atletas!Q590="Shan D",619,IF(Atletas!Q590="Outra Arma Curta D",620,IF(Atletas!Q590="Dao E",621,IF(Atletas!Q590="Jian E",622,IF(Atletas!Q590="Bishou E",623,IF(Atletas!Q590="Shan E",624,IF(Atletas!Q590="Outra Arma Curta E",625,IF(Atletas!Q590="Dao F",626,IF(Atletas!Q590="Jian F",627,IF(Atletas!Q590="Bishou F",628,IF(Atletas!Q590="Shan F",629,IF(Atletas!Q590="Outra Arma Curta F",630, "")))))))))))))))))))))))))))))))</f>
        <v/>
      </c>
      <c r="BT594" s="52" t="str">
        <f>IF(Atletas!R590="","",IF(Atletas!W590&lt;&gt;"",10000,0)+IF(Atletas!B590="Feminino",1000,IF(Atletas!B590="Masculino",2000,""))+IF(Atletas!R590="Gun A",701,IF(Atletas!R590="Qiang A",702,IF(Atletas!R590="Pudao / Guandao A",703,IF(Atletas!R590="Outra Arma Longa A",704,IF(Atletas!R590="Gun B",705,IF(Atletas!R590="Qiang B",706,IF(Atletas!R590="Pudao / Guandao B",707,IF(Atletas!R590="Outra Arma Longa B",708,IF(Atletas!R590="Gun C",709,IF(Atletas!R590="Qiang C",710,IF(Atletas!R590="Pudao / Guandao C",711,IF(Atletas!R590="Outra Arma Longa C",712,IF(Atletas!R590="Gun D",713,IF(Atletas!R590="Qiang D",714,IF(Atletas!R590="Pudao / Guandao D",715,IF(Atletas!R590="Outra Arma Longa D",716,IF(Atletas!R590="Gun E",717,IF(Atletas!R590="Qiang E",718,IF(Atletas!R590="Pudao / Guandao E",719,IF(Atletas!R590="Outra Arma Longa E",720,IF(Atletas!R590="Gun F",721,IF(Atletas!R590="Qiang F",722,IF(Atletas!R590="Pudao / Guandao F",723,IF(Atletas!R590="Outra Arma Longa F",724,"")))))))))))))))))))))))))</f>
        <v/>
      </c>
      <c r="BU594" s="52" t="str">
        <f>IF(Atletas!S590="","",IF(Atletas!W590&lt;&gt;"",10000,0)+IF(Atletas!B590="Feminino",1000,IF(Atletas!B590="Masculino",2000,""))+IF(Atletas!S590="Arma Dupla A",801,IF(Atletas!S590="Arma Maleável A",802,IF(Atletas!S590="Arma Dupla B",803,IF(Atletas!S590="Arma Maleável B",804,IF(Atletas!S590="Arma Dupla C",805,IF(Atletas!S590="Arma Maleável C",806,IF(Atletas!S590="Arma Dupla D",807,IF(Atletas!S590="Arma Maleável D",808,IF(Atletas!S590="Arma Dupla E",809,IF(Atletas!S590="Arma Maleável E",810,IF(Atletas!S590="Arma Dupla F",811,IF(Atletas!S590="Arma Maleável F",812, "")))))))))))))</f>
        <v/>
      </c>
      <c r="BV594" s="52" t="str">
        <f>IF(Atletas!T590="","",IF(Atletas!W590&lt;&gt;"",10000,0)+IF(Atletas!B590="Feminino",1000,IF(Atletas!B590="Masculino",2000,""))+IF(Atletas!T590="Taijijian Yang A",901,IF(Atletas!T590="Taijijian Chen A",902,IF(Atletas!T590="Taijijian Sun A",903,IF(Atletas!T590="Taijijian Wu A",904,IF(Atletas!T590="Taijijian Wu-Hao A",905,IF(Atletas!T590="Taijijian 32 A",906,IF(Atletas!T590="Taijijian 42 A",907,IF(Atletas!T590="Taijijian Yang B",908,IF(Atletas!T590="Taijijian Chen B",909,IF(Atletas!T590="Taijijian Sun B",910,IF(Atletas!T590="Taijijian Wu B",911,IF(Atletas!T590="Taijijian Wu-Hao B",912,IF(Atletas!T590="Taijijian 32 B",913,IF(Atletas!T590="Taijijian 42 B",914,IF(Atletas!T590="Taijijian Yang C",915,IF(Atletas!T590="Taijijian Chen C",916,IF(Atletas!T590="Taijijian Sun C",917,IF(Atletas!T590="Taijijian Wu C",918,IF(Atletas!T590="Taijijian Wu-Hao C",919,IF(Atletas!T590="Taijijian 32 C",920,IF(Atletas!T590="Taijijian 42 C",921,IF(Atletas!T590="Taijijian Yang D",922,IF(Atletas!T590="Taijijian Chen D",923,IF(Atletas!T590="Taijijian Sun D",924,IF(Atletas!T590="Taijijian Wu D",925,IF(Atletas!T590="Taijijian Wu-Hao D",926,IF(Atletas!T590="Taijijian 32 D",927,IF(Atletas!T590="Taijijian 42 D",928,IF(Atletas!T590="Taijijian Yang E",929,IF(Atletas!T590="Taijijian Chen E",930,IF(Atletas!T590="Taijijian Sun E",931,IF(Atletas!T590="Taijijian Wu E",932,IF(Atletas!T590="Taijijian Wu-Hao E",933,IF(Atletas!T590="Taijijian 32 E",934,IF(Atletas!T590="Taijijian 42 E",935,IF(Atletas!T590="Taijijian Yang F",936,IF(Atletas!T590="Taijijian Chen F",937,IF(Atletas!T590="Taijijian Sun F",938,IF(Atletas!T590="Taijijian Wu F",939,IF(Atletas!T590="Taijijian Wu-Hao F",940,IF(Atletas!T590="Taijijian 32 F",941,IF(Atletas!T590="Taijijian 42 F",942,"")))))))))))))))))))))))))))))))))))))))))))</f>
        <v/>
      </c>
      <c r="BW594" s="52" t="str">
        <f>IF(Atletas!U590="","",IF(Atletas!W590&lt;&gt;"",10000,0)+IF(Atletas!B590="Feminino",1000,IF(Atletas!B590="Masculino",2000,""))+IF(Atletas!T590="Taijijian 42 F",942,IF(Atletas!U590="Taijidao A",943,IF(Atletas!U590="Taijishan A",944,IF(Atletas!U590="Taijiqiang A",945,IF(Atletas!U590="Taijidao B",946,IF(Atletas!U590="Taijishan B",947,IF(Atletas!U590="Taijiqiang B",948,IF(Atletas!U590="Taijidao C",949,IF(Atletas!U590="Taijishan C",950,IF(Atletas!U590="Taijiqiang C",951,IF(Atletas!U590="Taijidao D",952,IF(Atletas!U590="Taijishan D",953,IF(Atletas!U590="Taijiqiang D",954,IF(Atletas!U590="Taijidao E",955,IF(Atletas!U590="Taijishan E",956,IF(Atletas!U590="Taijiqiang E",957,IF(Atletas!U590="Taijidao F",958,IF(Atletas!U590="Taijishan F",959,IF(Atletas!U590="Taijiqiang F",960))))))))))))))))))))</f>
        <v/>
      </c>
      <c r="CF594" s="52" t="str">
        <f xml:space="preserve"> IF(Atletas!V590="","",IF(Atletas!V590="Duilian de Mãos AB - Equipe 1",1,IF(Atletas!V590="Duilian de Mãos AB - Equipe 2",2,IF(Atletas!V590="Duilian de Armas AB - Equipe 1",3,IF(Atletas!V590="Duilian de Armas AB - Equipe 2",4,IF(Atletas!V590="Duilian de Tuishou - Equipe 1",5,IF(Atletas!V590="Duilian de Tuishou - Equipe 2",6,IF(Atletas!V590="Grupo Externo AB - Equipe 1",7,IF(Atletas!V590="Grupo Externo AB - Equipe 2",8,IF(Atletas!V590="Grupo Interno AB - Equipe 1",9,IF(Atletas!V590="Grupo Interno AB - Equipe 2",10,IF(Atletas!V590="Duilian de Mãos CD - Equipe 1",11,IF(Atletas!V590="Duilian de Mãos CD - Equipe 2",12,IF(Atletas!V590="Duilian de Armas CD - Equipe 1",13,IF(Atletas!V590="Duilian de Armas CD - Equipe 2",14,IF(Atletas!V590="Duilian de Tuishou - Equipe 1",15,IF(Atletas!V590="Duilian de Tuishou - Equipe 2",16,IF(Atletas!V590="Grupo Externo CDEF - Equipe 1",17,IF(Atletas!V590="Grupo Externo CDEF - Equipe 2",18,IF(Atletas!V590="Grupo Interno CDEF - Equipe 1",19,IF(Atletas!V590="Grupo Interno CDEF - Equipe 2",20,IF(Atletas!V590="Duilian de Mãos EF - Equipe 1",21,IF(Atletas!V590="Duilian de Mãos EF - Equipe 2",22,IF(Atletas!V590="Duilian de Armas EF - Equipe 1",23,IF(Atletas!V590="Duilian de Armas EF - Equipe 2",24,IF(Atletas!V590="Duilian de Tuishou - Equipe 1",25,IF(Atletas!V590="Duilian de Tuishou - Equipe 2",26,"")))))))))))))))))))))))))))</f>
        <v/>
      </c>
    </row>
    <row r="595" spans="36:84">
      <c r="AJ595" s="46" t="str">
        <f>IF(Atletas!D591="","",IF(Atletas!B591="Feminino",100,IF(Atletas!B591="Masculino",200,""))+(IF(Atletas!D591="Infantil 39kg",1,IF(Atletas!D591="Infantil 42kg",2,IF(Atletas!D591="Infantil 45kg",3,IF(Atletas!D591="Infantil 48kg",4,IF(Atletas!D591="Infantil 52kg",5,IF(Atletas!D591="Infantil 56kg",6,IF(Atletas!D591="Infantil 60kg",7,IF(Atletas!D591="Juvenil 48kg",8,IF(Atletas!D591="Juvenil 52kg",9,IF(Atletas!D591="Juvenil 56kg",10,IF(Atletas!D591="Juvenil 60kg",11,IF(Atletas!D591="Juvenil 65kg",12,IF(Atletas!D591="Juvenil 70kg",13,IF(Atletas!D591="Juvenil 75kg",14,IF(Atletas!D591="Juvenil 80kg",15,IF(Atletas!D591="Adulto 48kg",16,IF(Atletas!D591="Adulto 52kg",17,IF(Atletas!D591="Adulto 56kg",18,IF(Atletas!D591="Adulto 60kg",19,IF(Atletas!D591="Adulto 65kg",20,IF(Atletas!D591="Adulto 70kg",21,IF(Atletas!D591="Adulto 75kg",22,IF(Atletas!D591="Adulto 80kg",23,IF(Atletas!D591="Adulto 85kg",24,IF(Atletas!D591="Adulto 90kg",25,IF(Atletas!D591="Adulto +90kg",26,""))))))))))))))))))))))))))))</f>
        <v/>
      </c>
      <c r="AO595" s="10" t="str">
        <f>IF(Atletas!E591="","",IF(Atletas!B591="Feminino",100,IF(Atletas!B591="Masculino",200,""))+(IF(Atletas!E591="Juvenil 44kg",1,IF(Atletas!E591="Juvenil 48kg",2,IF(Atletas!E591="Juvenil 52kg",3,IF(Atletas!E591="Juvenil 56kg",4,IF(Atletas!E591="Juvenil 60kg",5,IF(Atletas!E591="Juvenil 65kg",6,IF(Atletas!E591="Juvenil 70kg",7,IF(Atletas!E591="Juvenil 75kg",8,IF(Atletas!E591="Juvenil 82kg",9,IF(Atletas!E591="Juvenil 90kg",10,IF(Atletas!E591="Juvenil 100kg",11,IF(Atletas!E591="Adulto 48kg",12,IF(Atletas!E591="Adulto 52kg",13,IF(Atletas!E591="Adulto 56kg",14,IF(Atletas!E591="Adulto 60kg",15,IF(Atletas!E591="Adulto 65kg",16,IF(Atletas!E591="Adulto 70kg",17,IF(Atletas!E591="Adulto 75kg",18,IF(Atletas!E591="Adulto 82kg",19,IF(Atletas!E591="Adulto 90kg",20,IF(Atletas!E591="Adulto 100kg",21,IF(Atletas!E591="Adulto +100kg",22,""))))))))))))))))))))))))</f>
        <v/>
      </c>
      <c r="AT595" s="10" t="str">
        <f>IF(Atletas!F591="","",IF(Atletas!B591="Feminino",100,IF(Atletas!B591="Masculino",200,""))+(IF(Atletas!F591="Adulto 48kg",1,IF(Atletas!F591="Adulto 56kg",2,IF(Atletas!F591="Adulto 65kg",3,IF(Atletas!F591="Adulto 75kg",4,IF(Atletas!F591="Adulto +75kg",5,IF(Atletas!F591="Adulto 52kg",6,IF(Atletas!F591="Adulto 60kg",7,IF(Atletas!F591="Adulto 70kg",8,IF(Atletas!F591="Adulto 80kg",9,IF(Atletas!F591="Adulto 90kg",10,IF(Atletas!F591="Adulto +90kg",11,"")))))))))))))</f>
        <v/>
      </c>
      <c r="AY595" s="46" t="str">
        <f>IF(Atletas!G591="","",IF(Atletas!B591="Feminino",100,IF(Atletas!B591="Masculino",200,""))+(IF(Atletas!G591="Changquan Mirim",1,IF(Atletas!G591="Nanquan Mirim",2,IF(Atletas!G591="Taijiquan Mirim",3,IF(Atletas!G591="Changquan Grupo C",4,IF(Atletas!G591="Nanquan Grupo C",5,IF(Atletas!G591="Taijiquan Grupo C",6,IF(Atletas!G591="Changquan Grupo B",7,IF(Atletas!G591="Nanquan Grupo B",8,IF(Atletas!G591="Taijiquan Grupo B",9,IF(Atletas!G591="Changquan Grupo A",10,IF(Atletas!G591="Nanquan Grupo A",11,IF(Atletas!G591="Taijiquan Grupo A",12,IF(Atletas!G591="Changquan Opcional",13,IF(Atletas!G591="Nanquan Opcional",14,IF(Atletas!G591="Taijiquan Opcional",15,IF(Atletas!G591="Changquan Adulto",16,IF(Atletas!G591="Nanquan Adulto",17,IF(Atletas!G591="Taijiquan Adulto",18,""))))))))))))))))))))</f>
        <v/>
      </c>
      <c r="AZ595" s="46" t="str">
        <f>IF(Atletas!H591="","",IF(Atletas!B591="Feminino",100,IF(Atletas!B591="Masculino",200,""))+(IF(Atletas!H591="Daoshu Mirim",19,IF(Atletas!H591="Jianshu Mirim",20,IF(Atletas!H591="Nandao Mirim",21,IF(Atletas!H591="Taijijian Mirim",22,IF(Atletas!H591="Daoshu Grupo C",23,IF(Atletas!H591="Jianshu Grupo C",24,IF(Atletas!H591="Nandao Grupo C",25,IF(Atletas!H591="Taijijian Grupo C",26,IF(Atletas!H591="Daoshu Grupo B",27,IF(Atletas!H591="Jianshu Grupo B",28,IF(Atletas!H591="Nandao Grupo B",29,IF(Atletas!H591="Taijijian Grupo B",30,IF(Atletas!H591="Daoshu Grupo A",31,IF(Atletas!H591="Jianshu Grupo A",32,IF(Atletas!H591="Nandao Grupo A",33,IF(Atletas!H591="Taijijian Grupo A",34,IF(Atletas!H591="Daoshu Opcional",35,IF(Atletas!H591="Jianshu Opcional",36,IF(Atletas!H591="Nandao Opcional",37,IF(Atletas!H591="Taijijian Opcional",38,IF(Atletas!H591="Daoshu Adulto",39,IF(Atletas!H591="Jianshu Adulto",40,IF(Atletas!H591="Nandao Adulto",41,IF(Atletas!H591="Taijijian Adulto",42,""))))))))))))))))))))))))))</f>
        <v/>
      </c>
      <c r="BA595" s="46" t="str">
        <f>IF(Atletas!I591="","",IF(Atletas!B591="Feminino",100,IF(Atletas!B591="Masculino",200,""))+(IF(Atletas!I591="Gunshu Mirim",43,IF(Atletas!I591="Qiangshu Mirim",44,IF(Atletas!I591="Nangun Mirim",45,IF(Atletas!I591="Gunshu Grupo C",46,IF(Atletas!I591="Qiangshu Grupo C",47,IF(Atletas!I591="Nangun Grupo C",48,IF(Atletas!I591="Gunshu Grupo B",49,IF(Atletas!I591="Qiangshu Grupo B",50,IF(Atletas!I591="Nangun Grupo B",51,IF(Atletas!I591="Gunshu Grupo A",52,IF(Atletas!I591="Qiangshu Grupo A",53,IF(Atletas!I591="Nangun Grupo A",54,IF(Atletas!I591="Gunshu Opcional",55,IF(Atletas!I591="Qiangshu Opcional",56,IF(Atletas!I591="Nangun Opcional",57,IF(Atletas!I591="Gunshu Adulto",58,IF(Atletas!I591="Qiangshu Adulto",59,IF(Atletas!I591="Nangun Adulto",60,""))))))))))))))))))))</f>
        <v/>
      </c>
      <c r="BF595" s="52" t="str">
        <f>IF(Atletas!J591="","",IF(Atletas!B591="Feminino",100,IF(Atletas!B591="Masculino",200,""))+(IF(Atletas!J591="Equipe 1 Grupo B",1,IF(Atletas!J591="Equipe 2 Grupo B",2,IF(Atletas!J591="Equipe 1 Grupo A",3,IF(Atletas!J591="Equipe 2 Grupo A",4,IF(Atletas!J591="Equipe 1 Adulto",5,IF(Atletas!J591="Equipe 2 Adulto",6,""))))))))</f>
        <v/>
      </c>
      <c r="BK595" s="52" t="str">
        <f>IF(Atletas!K591="","",IF(Atletas!W591&lt;&gt;"",10000,0)+(IF(Atletas!B591="Feminino",1000,IF(Atletas!B591="Masculino",2000,""))+IF(Atletas!K591="Choylayfut A",1,IF(Atletas!K591="Hunggar A",2,IF(Atletas!K591="Wuzuquan A",3,IF(Atletas!K591="Wingchun A",4,IF(Atletas!K591="Outra Mão de Sul A",5,IF(Atletas!K591="Choylayfut B",6,IF(Atletas!K591="Hunggar B",7,IF(Atletas!K591="Wuzuquan B",8,IF(Atletas!K591="Wingchun B",9,IF(Atletas!K591="Outra Mão de Sul B",10,IF(Atletas!K591="Choylayfut C",11,IF(Atletas!K591="Hunggar C",12,IF(Atletas!K591="Wuzuquan C",13,IF(Atletas!K591="Wingchun C",14,IF(Atletas!K591="Outra Mão de Sul C",15,IF(Atletas!K591="Choylayfut D",16,IF(Atletas!K591="Hunggar D",17,IF(Atletas!K591="Wuzuquan D",18,IF(Atletas!K591="Wingchun D",19,IF(Atletas!K591="Outra Mão de Sul D",20,IF(Atletas!K591="Choylayfut E",21,IF(Atletas!K591="Hunggar E",22,IF(Atletas!K591="Wuzuquan E",23,IF(Atletas!K591="Wingchun E",24,IF(Atletas!K591="Outra Mão de Sul E",25,IF(Atletas!K591="Choylayfut F",26,IF(Atletas!K591="Hunggar F",27,IF(Atletas!K591="Wuzuquan F",28,IF(Atletas!K591="Wingchun F",29,IF(Atletas!K591="Outra Mão de Sul F",30,""))))))))))))))))))))))))))))))))</f>
        <v/>
      </c>
      <c r="BL595" s="52" t="str">
        <f>IF(Atletas!L591="","",IF(Atletas!W591&lt;&gt;"",10000,0)+(IF(Atletas!B591="Feminino",1000,IF(Atletas!B591="Masculino",2000,""))+(IF(Atletas!L591="Chaquan A",101,IF(Atletas!L591="Emeiquan A",102,IF(Atletas!L591="Fanziquan A",103,IF(Atletas!L591="Huaquan A",104,IF(Atletas!L591="Hongquan A",105,IF(Atletas!L591="Paochui A",106,IF(Atletas!L591="Piguaquan A",107,IF(Atletas!L591="Shaolinquan A",108,IF(Atletas!L591="Tanglangquan A",109,IF(Atletas!L591="Yinzhaophai A",110,IF(Atletas!L591="Tongbeiquan A",111,IF(Atletas!L591="Wudangquan A",112,IF(Atletas!L591="Outros Estilos A",113,IF(Atletas!L591="Chaquan B",114,IF(Atletas!L591="Emeiquan B",115,IF(Atletas!L591="Fanziquan B",116,IF(Atletas!L591="Huaquan B",117,IF(Atletas!L591="Hongquan B",118,IF(Atletas!L591="Paochui B",119,IF(Atletas!L591="Piguaquan B",120,IF(Atletas!L591="Shaolinquan B",121,IF(Atletas!L591="Tanglangquan B",122,IF(Atletas!L591="Yinzhaophai B",123,IF(Atletas!L591="Tongbeiquan B",124,IF(Atletas!L591="Wudangquan B",125,IF(Atletas!L591="Outros Estilos B",126,IF(Atletas!L591="Chaquan C",127,IF(Atletas!L591="Emeiquan C",128,IF(Atletas!L591="Fanziquan C",129,IF(Atletas!L591="Huaquan C",130,IF(Atletas!L591="Hongquan C",131,IF(Atletas!L591="Paochui C",132,IF(Atletas!L591="Piguaquan C",133,IF(Atletas!L591="Shaolinquan C",134,IF(Atletas!L591="Tanglangquan C",135,IF(Atletas!L591="Yinzhaophai C",136,IF(Atletas!L591="Tongbeiquan C",137,IF(Atletas!L591="Wudangquan C",138,IF(Atletas!L591="Outros Estilos C",139,0))))))))))))))))))))))))))))))))))))))))))</f>
        <v/>
      </c>
      <c r="BM595" s="52" t="str">
        <f>IF(Atletas!L591="","",IF(Atletas!W591&lt;&gt;"",10000,0)+(IF(Atletas!B591="Feminino",1000,IF(Atletas!B591="Masculino",2000,""))+(IF(Atletas!L591="Chaquan D",140,IF(Atletas!L591="Emeiquan D",141,IF(Atletas!L591="Fanziquan D",142,IF(Atletas!L591="Huaquan D",143,IF(Atletas!L591="Hongquan D",144,IF(Atletas!L591="Paochui D",145,IF(Atletas!L591="Piguaquan D",146,IF(Atletas!L591="Shaolinquan D",147,IF(Atletas!L591="Tanglangquan D",148,IF(Atletas!L591="Yinzhaophai D",149,IF(Atletas!L591="Tongbeiquan D",150,IF(Atletas!L591="Wudangquan D",151,IF(Atletas!L591="Outros Estilos D",152,IF(Atletas!L591="Chaquan E",153,IF(Atletas!L591="Emeiquan E",154,IF(Atletas!L591="Fanziquan E",155,IF(Atletas!L591="Huaquan E",156,IF(Atletas!L591="Hongquan E",157,IF(Atletas!L591="Paochui E",158,IF(Atletas!L591="Piguaquan E",159,IF(Atletas!L591="Shaolinquan E",160,IF(Atletas!L591="Tanglangquan E",161,IF(Atletas!L591="Yinzhaophai E",162,IF(Atletas!L591="Tongbeiquan E",163,IF(Atletas!L591="Wudangquan E",164,IF(Atletas!L591="Outros Estilos E",165,IF(Atletas!L591="Chaquan F",166,IF(Atletas!L591="Emeiquan F",167,IF(Atletas!L591="Fanziquan F",168,IF(Atletas!L591="Huaquan F",169,IF(Atletas!L591="Hongquan F",170,IF(Atletas!L591="Paochui F",171,IF(Atletas!L591="Piguaquan F",172,IF(Atletas!L591="Shaolinquan F",173,IF(Atletas!L591="Tanglangquan F",174,IF(Atletas!L591="Yinzhaophai F",175,IF(Atletas!L591="Tongbeiquan F",176,IF(Atletas!L591="Wudangquan F",177,IF(Atletas!L591="Outros Estilos F",178,0))))))))))))))))))))))))))))))))))))))))))</f>
        <v/>
      </c>
      <c r="BN595" s="52" t="str">
        <f>IF(Atletas!M591="","",IF(Atletas!W591&lt;&gt;"",10000,0)+(IF(Atletas!B591="Feminino",1000,IF(Atletas!B591="Masculino",2000,""))+(IF(Atletas!M591="Ditangquan A",201,IF(Atletas!M591="Houquan A",202,IF(Atletas!M591="Zuiquan A",203,IF(Atletas!M591="Ditangquan B",204,IF(Atletas!M591="Houquan B",205,IF(Atletas!M591="Zuiquan B",206,IF(Atletas!M591="Ditangquan C",207,IF(Atletas!M591="Houquan C",208,IF(Atletas!M591="Zuiquan C",209,IF(Atletas!M591="Ditangquan D",210,IF(Atletas!M591="Houquan D",211,IF(Atletas!M591="Zuiquan D",212,IF(Atletas!M591="Ditangquan E",213,IF(Atletas!M591="Houquan E",214,IF(Atletas!M591="Zuiquan E",215,IF(Atletas!M591="Ditangquan F",216,IF(Atletas!M591="Houquan F",217,IF(Atletas!M591="Zuiquan F",218,"")))))))))))))))))))))</f>
        <v/>
      </c>
      <c r="BO595" s="52" t="str">
        <f>IF(Atletas!N591="","",IF(Atletas!W591&lt;&gt;"",10000,0)+IF(Atletas!B591="Feminino",1000,IF(Atletas!B591="Masculino",2000,""))+IF(Atletas!N591="Yang A",301,IF(Atletas!N591="Chen A",30,IF(Atletas!N591="Sun A",303,IF(Atletas!N591="Wu A",304,IF(Atletas!N591="Wu-Hao A",305,IF(Atletas!N591="Outro Taijiquan A",306,IF(Atletas!N591="Yang B",307,IF(Atletas!N591="Chen B",308,IF(Atletas!N591="Sun B",309,IF(Atletas!N591="Wu B",310,IF(Atletas!N591="Wu-Hao B",311,IF(Atletas!N591="Outro Taijiquan B",312,IF(Atletas!N591="Yang C",313,IF(Atletas!N591="Chen C",314,IF(Atletas!N591="Sun C",315,IF(Atletas!N591="Wu C",316,IF(Atletas!N591="Wu-Hao C",317,IF(Atletas!N591="Outro Taijiquan C",318,IF(Atletas!N591="Yang D",319,IF(Atletas!N591="Chen D",320,IF(Atletas!N591="Sun D",321,IF(Atletas!N591="Wu D",322,IF(Atletas!N591="Wu-Hao D",323,IF(Atletas!N591="Outro Taijiquan D",324,IF(Atletas!N591="Yang E",325,IF(Atletas!N591="Chen E",326,IF(Atletas!N591="Sun E",327,IF(Atletas!N591="Wu E",328,IF(Atletas!N591="Wu-Hao E",329,IF(Atletas!N591="Outro Taijiquan E",330,IF(Atletas!N591="Yang F",331,IF(Atletas!N591="Chen F",332,IF(Atletas!N591="Sun F",333,IF(Atletas!N591="Wu F",334,IF(Atletas!N591="Wu-Hao F",335,IF(Atletas!N591="Outro Taijiquan F",336,"")))))))))))))))))))))))))))))))))))))</f>
        <v/>
      </c>
      <c r="BP595" s="52" t="str">
        <f>IF(Atletas!O591="","",IF(Atletas!W591&lt;&gt;"",10000,0)+IF(Atletas!B591="Feminino",1000,IF(Atletas!B591="Masculino",2000,""))+IF(OR(Atletas!O591="Yang 26 A",Atletas!O591="Yang 40 A"),401,IF(OR(Atletas!O591="Chen 25 A",Atletas!O591="Chen 36 A",Atletas!O591="Chen 56 A"),402,IF(Atletas!O591="Sun 73 A",403,IF(Atletas!O591="Wu 45 A",404,IF(Atletas!O591="Wu-Hao 46 A",405,IF(OR(Atletas!O591="Taijiquan 16 A",Atletas!O591="Taijiquan 24 A",Atletas!O591="Taijiquan 32 A",Atletas!O591="Taijiquan 42 A"),406,IF(OR(Atletas!O591="Yang 26 B",Atletas!O591="Yang 40 B"),407,IF(OR(Atletas!O591="Chen 25 B",Atletas!O591="Chen 36 B",Atletas!O591="Chen 56 B"),408,IF(Atletas!O591="Sun 73 B",409,IF(Atletas!O591="Wu 45 B",410,IF(Atletas!O591="Wu-Hao 46 B",411,IF(OR(Atletas!O591="Taijiquan 16 B",Atletas!O591="Taijiquan 24 B",Atletas!O591="Taijiquan 32 B",Atletas!O591="Taijiquan 42 B"),412,IF(OR(Atletas!O591="Yang 26 C",Atletas!O591="Yang 40 C"),413,IF(OR(Atletas!O591="Chen 25 C",Atletas!O591="Chen 36 C",Atletas!O591="Chen 56 C"),414,IF(Atletas!O591="Sun 73 C",415,IF(Atletas!O591="Wu 45 C",416,IF(Atletas!O591="Wu-Hao 46 C",417,IF(OR(Atletas!O591="Taijiquan 16 C",Atletas!O591="Taijiquan 24 C",Atletas!O591="Taijiquan 32 C",Atletas!O591="Taijiquan 42 C"),418,0)))))))))))))))))))</f>
        <v/>
      </c>
      <c r="BQ595" s="52" t="str">
        <f>IF(Atletas!O591="","",IF(Atletas!W591&lt;&gt;"",10000,0)+IF(Atletas!B591="Feminino",1000,IF(Atletas!B591="Masculino",2000,""))+IF(OR(Atletas!O591="Yang 26 D",Atletas!O591="Yang 40 D"),419,IF(OR(Atletas!O591="Chen 25 D",Atletas!O591="Chen 36 D",Atletas!O591="Chen 56 D"),420,IF(Atletas!O591="Sun 73 D",421,IF(Atletas!O591="Wu 45 D",422,IF(Atletas!O591="Wu-Hao 46 D",423,IF(OR(Atletas!O591="Taijiquan 16 D",Atletas!O591="Taijiquan 24 D",Atletas!O591="Taijiquan 32 D",Atletas!O591="Taijiquan 42 D"),424,IF(OR(Atletas!O591="Yang 26 E",Atletas!O591="Yang 40 E"),425,IF(OR(Atletas!O591="Chen 25 E",Atletas!O591="Chen 36 E",Atletas!O591="Chen 56 E"),426,IF(Atletas!O591="Sun 73 E",427,IF(Atletas!O591="Wu 45 E",428,IF(Atletas!O591="Wu-Hao 46 E",429,IF(OR(Atletas!O591="Taijiquan 16 E",Atletas!O591="Taijiquan 24 E",Atletas!O591="Taijiquan 32 E",Atletas!O591="Taijiquan 42 E"),430,IF(OR(Atletas!O591="Yang 26 F",Atletas!O591="Yang 40 F"),431,IF(OR(Atletas!O591="Chen 25 F",Atletas!O591="Chen 36 F",Atletas!O591="Chen 56 F"),432,IF(Atletas!O591="Sun 73 F",433,IF(Atletas!O591="Wu 45 F",434,IF(Atletas!O591="Wu-Hao 46 F",435,IF(OR(Atletas!O591="Taijiquan 16 F",Atletas!O591="Taijiquan 24 F",Atletas!O591="Taijiquan 32 F",Atletas!O591="Taijiquan 42 F"),436,0)))))))))))))))))))</f>
        <v/>
      </c>
      <c r="BR595" s="52" t="str">
        <f>IF(Atletas!P591="","",IF(Atletas!W591&lt;&gt;"",10000,0)+IF(Atletas!B591="Feminino",1000,IF(Atletas!B591="Masculino",2000,""))+IF(Atletas!P591="Xingyiquan A",501,IF(Atletas!P591="Baguazhang A",502,IF(Atletas!P591="Outro Estilo Interno A",503,IF(Atletas!P591="Xingyiquan B",504,IF(Atletas!P591="Baguazhang B",505,IF(Atletas!P591="Outro Estilo Interno B",506,IF(Atletas!P591="Xingyiquan C",507,IF(Atletas!P591="Baguazhang C",508,IF(Atletas!P591="Outro Estilo Interno C",509,IF(Atletas!P591="Xingyiquan D",510,IF(Atletas!P591="Baguazhang D",511,IF(Atletas!P591="Outro Estilo Interno D",512,IF(Atletas!P591="Xingyiquan E",513,IF(Atletas!P591="Baguazhang E",514,IF(Atletas!P591="Outro Estilo Interno E",515,IF(Atletas!P591="Xingyiquan F",516,IF(Atletas!P591="Baguazhang F",517,IF(Atletas!P591="Outro Estilo Interno F",518, "")))))))))))))))))))</f>
        <v/>
      </c>
      <c r="BS595" s="52" t="str">
        <f>IF(Atletas!Q591="","",IF(Atletas!W591&lt;&gt;"",10000,0)+IF(Atletas!B591="Feminino",1000,IF(Atletas!B591="Masculino",2000,""))+IF(Atletas!Q591="Dao A",601,IF(Atletas!Q591="Jian A",602,IF(Atletas!Q591="Bishou A",603,IF(Atletas!Q591="Shan A",604,IF(Atletas!Q591="Outra Arma Curta A",605,IF(Atletas!Q591="Dao B",606,IF(Atletas!Q591="Jian B",607,IF(Atletas!Q591="Bishou B",608,IF(Atletas!Q591="Shan B",609,IF(Atletas!Q591="Outra Arma Curta B",610,IF(Atletas!Q591="Dao C",611,IF(Atletas!Q591="Jian C",612,IF(Atletas!Q591="Bishou C",613,IF(Atletas!Q591="Shan C",614,IF(Atletas!Q591="Outra Arma Curta C",615,IF(Atletas!Q591="Dao D",616,IF(Atletas!Q591="Jian D",617,IF(Atletas!Q591="Bishou D",618,IF(Atletas!Q591="Shan D",619,IF(Atletas!Q591="Outra Arma Curta D",620,IF(Atletas!Q591="Dao E",621,IF(Atletas!Q591="Jian E",622,IF(Atletas!Q591="Bishou E",623,IF(Atletas!Q591="Shan E",624,IF(Atletas!Q591="Outra Arma Curta E",625,IF(Atletas!Q591="Dao F",626,IF(Atletas!Q591="Jian F",627,IF(Atletas!Q591="Bishou F",628,IF(Atletas!Q591="Shan F",629,IF(Atletas!Q591="Outra Arma Curta F",630, "")))))))))))))))))))))))))))))))</f>
        <v/>
      </c>
      <c r="BT595" s="52" t="str">
        <f>IF(Atletas!R591="","",IF(Atletas!W591&lt;&gt;"",10000,0)+IF(Atletas!B591="Feminino",1000,IF(Atletas!B591="Masculino",2000,""))+IF(Atletas!R591="Gun A",701,IF(Atletas!R591="Qiang A",702,IF(Atletas!R591="Pudao / Guandao A",703,IF(Atletas!R591="Outra Arma Longa A",704,IF(Atletas!R591="Gun B",705,IF(Atletas!R591="Qiang B",706,IF(Atletas!R591="Pudao / Guandao B",707,IF(Atletas!R591="Outra Arma Longa B",708,IF(Atletas!R591="Gun C",709,IF(Atletas!R591="Qiang C",710,IF(Atletas!R591="Pudao / Guandao C",711,IF(Atletas!R591="Outra Arma Longa C",712,IF(Atletas!R591="Gun D",713,IF(Atletas!R591="Qiang D",714,IF(Atletas!R591="Pudao / Guandao D",715,IF(Atletas!R591="Outra Arma Longa D",716,IF(Atletas!R591="Gun E",717,IF(Atletas!R591="Qiang E",718,IF(Atletas!R591="Pudao / Guandao E",719,IF(Atletas!R591="Outra Arma Longa E",720,IF(Atletas!R591="Gun F",721,IF(Atletas!R591="Qiang F",722,IF(Atletas!R591="Pudao / Guandao F",723,IF(Atletas!R591="Outra Arma Longa F",724,"")))))))))))))))))))))))))</f>
        <v/>
      </c>
      <c r="BU595" s="52" t="str">
        <f>IF(Atletas!S591="","",IF(Atletas!W591&lt;&gt;"",10000,0)+IF(Atletas!B591="Feminino",1000,IF(Atletas!B591="Masculino",2000,""))+IF(Atletas!S591="Arma Dupla A",801,IF(Atletas!S591="Arma Maleável A",802,IF(Atletas!S591="Arma Dupla B",803,IF(Atletas!S591="Arma Maleável B",804,IF(Atletas!S591="Arma Dupla C",805,IF(Atletas!S591="Arma Maleável C",806,IF(Atletas!S591="Arma Dupla D",807,IF(Atletas!S591="Arma Maleável D",808,IF(Atletas!S591="Arma Dupla E",809,IF(Atletas!S591="Arma Maleável E",810,IF(Atletas!S591="Arma Dupla F",811,IF(Atletas!S591="Arma Maleável F",812, "")))))))))))))</f>
        <v/>
      </c>
      <c r="BV595" s="52" t="str">
        <f>IF(Atletas!T591="","",IF(Atletas!W591&lt;&gt;"",10000,0)+IF(Atletas!B591="Feminino",1000,IF(Atletas!B591="Masculino",2000,""))+IF(Atletas!T591="Taijijian Yang A",901,IF(Atletas!T591="Taijijian Chen A",902,IF(Atletas!T591="Taijijian Sun A",903,IF(Atletas!T591="Taijijian Wu A",904,IF(Atletas!T591="Taijijian Wu-Hao A",905,IF(Atletas!T591="Taijijian 32 A",906,IF(Atletas!T591="Taijijian 42 A",907,IF(Atletas!T591="Taijijian Yang B",908,IF(Atletas!T591="Taijijian Chen B",909,IF(Atletas!T591="Taijijian Sun B",910,IF(Atletas!T591="Taijijian Wu B",911,IF(Atletas!T591="Taijijian Wu-Hao B",912,IF(Atletas!T591="Taijijian 32 B",913,IF(Atletas!T591="Taijijian 42 B",914,IF(Atletas!T591="Taijijian Yang C",915,IF(Atletas!T591="Taijijian Chen C",916,IF(Atletas!T591="Taijijian Sun C",917,IF(Atletas!T591="Taijijian Wu C",918,IF(Atletas!T591="Taijijian Wu-Hao C",919,IF(Atletas!T591="Taijijian 32 C",920,IF(Atletas!T591="Taijijian 42 C",921,IF(Atletas!T591="Taijijian Yang D",922,IF(Atletas!T591="Taijijian Chen D",923,IF(Atletas!T591="Taijijian Sun D",924,IF(Atletas!T591="Taijijian Wu D",925,IF(Atletas!T591="Taijijian Wu-Hao D",926,IF(Atletas!T591="Taijijian 32 D",927,IF(Atletas!T591="Taijijian 42 D",928,IF(Atletas!T591="Taijijian Yang E",929,IF(Atletas!T591="Taijijian Chen E",930,IF(Atletas!T591="Taijijian Sun E",931,IF(Atletas!T591="Taijijian Wu E",932,IF(Atletas!T591="Taijijian Wu-Hao E",933,IF(Atletas!T591="Taijijian 32 E",934,IF(Atletas!T591="Taijijian 42 E",935,IF(Atletas!T591="Taijijian Yang F",936,IF(Atletas!T591="Taijijian Chen F",937,IF(Atletas!T591="Taijijian Sun F",938,IF(Atletas!T591="Taijijian Wu F",939,IF(Atletas!T591="Taijijian Wu-Hao F",940,IF(Atletas!T591="Taijijian 32 F",941,IF(Atletas!T591="Taijijian 42 F",942,"")))))))))))))))))))))))))))))))))))))))))))</f>
        <v/>
      </c>
      <c r="BW595" s="52" t="str">
        <f>IF(Atletas!U591="","",IF(Atletas!W591&lt;&gt;"",10000,0)+IF(Atletas!B591="Feminino",1000,IF(Atletas!B591="Masculino",2000,""))+IF(Atletas!T591="Taijijian 42 F",942,IF(Atletas!U591="Taijidao A",943,IF(Atletas!U591="Taijishan A",944,IF(Atletas!U591="Taijiqiang A",945,IF(Atletas!U591="Taijidao B",946,IF(Atletas!U591="Taijishan B",947,IF(Atletas!U591="Taijiqiang B",948,IF(Atletas!U591="Taijidao C",949,IF(Atletas!U591="Taijishan C",950,IF(Atletas!U591="Taijiqiang C",951,IF(Atletas!U591="Taijidao D",952,IF(Atletas!U591="Taijishan D",953,IF(Atletas!U591="Taijiqiang D",954,IF(Atletas!U591="Taijidao E",955,IF(Atletas!U591="Taijishan E",956,IF(Atletas!U591="Taijiqiang E",957,IF(Atletas!U591="Taijidao F",958,IF(Atletas!U591="Taijishan F",959,IF(Atletas!U591="Taijiqiang F",960))))))))))))))))))))</f>
        <v/>
      </c>
      <c r="CF595" s="52" t="str">
        <f xml:space="preserve"> IF(Atletas!V591="","",IF(Atletas!V591="Duilian de Mãos AB - Equipe 1",1,IF(Atletas!V591="Duilian de Mãos AB - Equipe 2",2,IF(Atletas!V591="Duilian de Armas AB - Equipe 1",3,IF(Atletas!V591="Duilian de Armas AB - Equipe 2",4,IF(Atletas!V591="Duilian de Tuishou - Equipe 1",5,IF(Atletas!V591="Duilian de Tuishou - Equipe 2",6,IF(Atletas!V591="Grupo Externo AB - Equipe 1",7,IF(Atletas!V591="Grupo Externo AB - Equipe 2",8,IF(Atletas!V591="Grupo Interno AB - Equipe 1",9,IF(Atletas!V591="Grupo Interno AB - Equipe 2",10,IF(Atletas!V591="Duilian de Mãos CD - Equipe 1",11,IF(Atletas!V591="Duilian de Mãos CD - Equipe 2",12,IF(Atletas!V591="Duilian de Armas CD - Equipe 1",13,IF(Atletas!V591="Duilian de Armas CD - Equipe 2",14,IF(Atletas!V591="Duilian de Tuishou - Equipe 1",15,IF(Atletas!V591="Duilian de Tuishou - Equipe 2",16,IF(Atletas!V591="Grupo Externo CDEF - Equipe 1",17,IF(Atletas!V591="Grupo Externo CDEF - Equipe 2",18,IF(Atletas!V591="Grupo Interno CDEF - Equipe 1",19,IF(Atletas!V591="Grupo Interno CDEF - Equipe 2",20,IF(Atletas!V591="Duilian de Mãos EF - Equipe 1",21,IF(Atletas!V591="Duilian de Mãos EF - Equipe 2",22,IF(Atletas!V591="Duilian de Armas EF - Equipe 1",23,IF(Atletas!V591="Duilian de Armas EF - Equipe 2",24,IF(Atletas!V591="Duilian de Tuishou - Equipe 1",25,IF(Atletas!V591="Duilian de Tuishou - Equipe 2",26,"")))))))))))))))))))))))))))</f>
        <v/>
      </c>
    </row>
    <row r="596" spans="36:84">
      <c r="AJ596" s="46" t="str">
        <f>IF(Atletas!D592="","",IF(Atletas!B592="Feminino",100,IF(Atletas!B592="Masculino",200,""))+(IF(Atletas!D592="Infantil 39kg",1,IF(Atletas!D592="Infantil 42kg",2,IF(Atletas!D592="Infantil 45kg",3,IF(Atletas!D592="Infantil 48kg",4,IF(Atletas!D592="Infantil 52kg",5,IF(Atletas!D592="Infantil 56kg",6,IF(Atletas!D592="Infantil 60kg",7,IF(Atletas!D592="Juvenil 48kg",8,IF(Atletas!D592="Juvenil 52kg",9,IF(Atletas!D592="Juvenil 56kg",10,IF(Atletas!D592="Juvenil 60kg",11,IF(Atletas!D592="Juvenil 65kg",12,IF(Atletas!D592="Juvenil 70kg",13,IF(Atletas!D592="Juvenil 75kg",14,IF(Atletas!D592="Juvenil 80kg",15,IF(Atletas!D592="Adulto 48kg",16,IF(Atletas!D592="Adulto 52kg",17,IF(Atletas!D592="Adulto 56kg",18,IF(Atletas!D592="Adulto 60kg",19,IF(Atletas!D592="Adulto 65kg",20,IF(Atletas!D592="Adulto 70kg",21,IF(Atletas!D592="Adulto 75kg",22,IF(Atletas!D592="Adulto 80kg",23,IF(Atletas!D592="Adulto 85kg",24,IF(Atletas!D592="Adulto 90kg",25,IF(Atletas!D592="Adulto +90kg",26,""))))))))))))))))))))))))))))</f>
        <v/>
      </c>
      <c r="AO596" s="10" t="str">
        <f>IF(Atletas!E592="","",IF(Atletas!B592="Feminino",100,IF(Atletas!B592="Masculino",200,""))+(IF(Atletas!E592="Juvenil 44kg",1,IF(Atletas!E592="Juvenil 48kg",2,IF(Atletas!E592="Juvenil 52kg",3,IF(Atletas!E592="Juvenil 56kg",4,IF(Atletas!E592="Juvenil 60kg",5,IF(Atletas!E592="Juvenil 65kg",6,IF(Atletas!E592="Juvenil 70kg",7,IF(Atletas!E592="Juvenil 75kg",8,IF(Atletas!E592="Juvenil 82kg",9,IF(Atletas!E592="Juvenil 90kg",10,IF(Atletas!E592="Juvenil 100kg",11,IF(Atletas!E592="Adulto 48kg",12,IF(Atletas!E592="Adulto 52kg",13,IF(Atletas!E592="Adulto 56kg",14,IF(Atletas!E592="Adulto 60kg",15,IF(Atletas!E592="Adulto 65kg",16,IF(Atletas!E592="Adulto 70kg",17,IF(Atletas!E592="Adulto 75kg",18,IF(Atletas!E592="Adulto 82kg",19,IF(Atletas!E592="Adulto 90kg",20,IF(Atletas!E592="Adulto 100kg",21,IF(Atletas!E592="Adulto +100kg",22,""))))))))))))))))))))))))</f>
        <v/>
      </c>
      <c r="AT596" s="10" t="str">
        <f>IF(Atletas!F592="","",IF(Atletas!B592="Feminino",100,IF(Atletas!B592="Masculino",200,""))+(IF(Atletas!F592="Adulto 48kg",1,IF(Atletas!F592="Adulto 56kg",2,IF(Atletas!F592="Adulto 65kg",3,IF(Atletas!F592="Adulto 75kg",4,IF(Atletas!F592="Adulto +75kg",5,IF(Atletas!F592="Adulto 52kg",6,IF(Atletas!F592="Adulto 60kg",7,IF(Atletas!F592="Adulto 70kg",8,IF(Atletas!F592="Adulto 80kg",9,IF(Atletas!F592="Adulto 90kg",10,IF(Atletas!F592="Adulto +90kg",11,"")))))))))))))</f>
        <v/>
      </c>
      <c r="AY596" s="46" t="str">
        <f>IF(Atletas!G592="","",IF(Atletas!B592="Feminino",100,IF(Atletas!B592="Masculino",200,""))+(IF(Atletas!G592="Changquan Mirim",1,IF(Atletas!G592="Nanquan Mirim",2,IF(Atletas!G592="Taijiquan Mirim",3,IF(Atletas!G592="Changquan Grupo C",4,IF(Atletas!G592="Nanquan Grupo C",5,IF(Atletas!G592="Taijiquan Grupo C",6,IF(Atletas!G592="Changquan Grupo B",7,IF(Atletas!G592="Nanquan Grupo B",8,IF(Atletas!G592="Taijiquan Grupo B",9,IF(Atletas!G592="Changquan Grupo A",10,IF(Atletas!G592="Nanquan Grupo A",11,IF(Atletas!G592="Taijiquan Grupo A",12,IF(Atletas!G592="Changquan Opcional",13,IF(Atletas!G592="Nanquan Opcional",14,IF(Atletas!G592="Taijiquan Opcional",15,IF(Atletas!G592="Changquan Adulto",16,IF(Atletas!G592="Nanquan Adulto",17,IF(Atletas!G592="Taijiquan Adulto",18,""))))))))))))))))))))</f>
        <v/>
      </c>
      <c r="AZ596" s="46" t="str">
        <f>IF(Atletas!H592="","",IF(Atletas!B592="Feminino",100,IF(Atletas!B592="Masculino",200,""))+(IF(Atletas!H592="Daoshu Mirim",19,IF(Atletas!H592="Jianshu Mirim",20,IF(Atletas!H592="Nandao Mirim",21,IF(Atletas!H592="Taijijian Mirim",22,IF(Atletas!H592="Daoshu Grupo C",23,IF(Atletas!H592="Jianshu Grupo C",24,IF(Atletas!H592="Nandao Grupo C",25,IF(Atletas!H592="Taijijian Grupo C",26,IF(Atletas!H592="Daoshu Grupo B",27,IF(Atletas!H592="Jianshu Grupo B",28,IF(Atletas!H592="Nandao Grupo B",29,IF(Atletas!H592="Taijijian Grupo B",30,IF(Atletas!H592="Daoshu Grupo A",31,IF(Atletas!H592="Jianshu Grupo A",32,IF(Atletas!H592="Nandao Grupo A",33,IF(Atletas!H592="Taijijian Grupo A",34,IF(Atletas!H592="Daoshu Opcional",35,IF(Atletas!H592="Jianshu Opcional",36,IF(Atletas!H592="Nandao Opcional",37,IF(Atletas!H592="Taijijian Opcional",38,IF(Atletas!H592="Daoshu Adulto",39,IF(Atletas!H592="Jianshu Adulto",40,IF(Atletas!H592="Nandao Adulto",41,IF(Atletas!H592="Taijijian Adulto",42,""))))))))))))))))))))))))))</f>
        <v/>
      </c>
      <c r="BA596" s="46" t="str">
        <f>IF(Atletas!I592="","",IF(Atletas!B592="Feminino",100,IF(Atletas!B592="Masculino",200,""))+(IF(Atletas!I592="Gunshu Mirim",43,IF(Atletas!I592="Qiangshu Mirim",44,IF(Atletas!I592="Nangun Mirim",45,IF(Atletas!I592="Gunshu Grupo C",46,IF(Atletas!I592="Qiangshu Grupo C",47,IF(Atletas!I592="Nangun Grupo C",48,IF(Atletas!I592="Gunshu Grupo B",49,IF(Atletas!I592="Qiangshu Grupo B",50,IF(Atletas!I592="Nangun Grupo B",51,IF(Atletas!I592="Gunshu Grupo A",52,IF(Atletas!I592="Qiangshu Grupo A",53,IF(Atletas!I592="Nangun Grupo A",54,IF(Atletas!I592="Gunshu Opcional",55,IF(Atletas!I592="Qiangshu Opcional",56,IF(Atletas!I592="Nangun Opcional",57,IF(Atletas!I592="Gunshu Adulto",58,IF(Atletas!I592="Qiangshu Adulto",59,IF(Atletas!I592="Nangun Adulto",60,""))))))))))))))))))))</f>
        <v/>
      </c>
      <c r="BF596" s="52" t="str">
        <f>IF(Atletas!J592="","",IF(Atletas!B592="Feminino",100,IF(Atletas!B592="Masculino",200,""))+(IF(Atletas!J592="Equipe 1 Grupo B",1,IF(Atletas!J592="Equipe 2 Grupo B",2,IF(Atletas!J592="Equipe 1 Grupo A",3,IF(Atletas!J592="Equipe 2 Grupo A",4,IF(Atletas!J592="Equipe 1 Adulto",5,IF(Atletas!J592="Equipe 2 Adulto",6,""))))))))</f>
        <v/>
      </c>
      <c r="BK596" s="52" t="str">
        <f>IF(Atletas!K592="","",IF(Atletas!W592&lt;&gt;"",10000,0)+(IF(Atletas!B592="Feminino",1000,IF(Atletas!B592="Masculino",2000,""))+IF(Atletas!K592="Choylayfut A",1,IF(Atletas!K592="Hunggar A",2,IF(Atletas!K592="Wuzuquan A",3,IF(Atletas!K592="Wingchun A",4,IF(Atletas!K592="Outra Mão de Sul A",5,IF(Atletas!K592="Choylayfut B",6,IF(Atletas!K592="Hunggar B",7,IF(Atletas!K592="Wuzuquan B",8,IF(Atletas!K592="Wingchun B",9,IF(Atletas!K592="Outra Mão de Sul B",10,IF(Atletas!K592="Choylayfut C",11,IF(Atletas!K592="Hunggar C",12,IF(Atletas!K592="Wuzuquan C",13,IF(Atletas!K592="Wingchun C",14,IF(Atletas!K592="Outra Mão de Sul C",15,IF(Atletas!K592="Choylayfut D",16,IF(Atletas!K592="Hunggar D",17,IF(Atletas!K592="Wuzuquan D",18,IF(Atletas!K592="Wingchun D",19,IF(Atletas!K592="Outra Mão de Sul D",20,IF(Atletas!K592="Choylayfut E",21,IF(Atletas!K592="Hunggar E",22,IF(Atletas!K592="Wuzuquan E",23,IF(Atletas!K592="Wingchun E",24,IF(Atletas!K592="Outra Mão de Sul E",25,IF(Atletas!K592="Choylayfut F",26,IF(Atletas!K592="Hunggar F",27,IF(Atletas!K592="Wuzuquan F",28,IF(Atletas!K592="Wingchun F",29,IF(Atletas!K592="Outra Mão de Sul F",30,""))))))))))))))))))))))))))))))))</f>
        <v/>
      </c>
      <c r="BL596" s="52" t="str">
        <f>IF(Atletas!L592="","",IF(Atletas!W592&lt;&gt;"",10000,0)+(IF(Atletas!B592="Feminino",1000,IF(Atletas!B592="Masculino",2000,""))+(IF(Atletas!L592="Chaquan A",101,IF(Atletas!L592="Emeiquan A",102,IF(Atletas!L592="Fanziquan A",103,IF(Atletas!L592="Huaquan A",104,IF(Atletas!L592="Hongquan A",105,IF(Atletas!L592="Paochui A",106,IF(Atletas!L592="Piguaquan A",107,IF(Atletas!L592="Shaolinquan A",108,IF(Atletas!L592="Tanglangquan A",109,IF(Atletas!L592="Yinzhaophai A",110,IF(Atletas!L592="Tongbeiquan A",111,IF(Atletas!L592="Wudangquan A",112,IF(Atletas!L592="Outros Estilos A",113,IF(Atletas!L592="Chaquan B",114,IF(Atletas!L592="Emeiquan B",115,IF(Atletas!L592="Fanziquan B",116,IF(Atletas!L592="Huaquan B",117,IF(Atletas!L592="Hongquan B",118,IF(Atletas!L592="Paochui B",119,IF(Atletas!L592="Piguaquan B",120,IF(Atletas!L592="Shaolinquan B",121,IF(Atletas!L592="Tanglangquan B",122,IF(Atletas!L592="Yinzhaophai B",123,IF(Atletas!L592="Tongbeiquan B",124,IF(Atletas!L592="Wudangquan B",125,IF(Atletas!L592="Outros Estilos B",126,IF(Atletas!L592="Chaquan C",127,IF(Atletas!L592="Emeiquan C",128,IF(Atletas!L592="Fanziquan C",129,IF(Atletas!L592="Huaquan C",130,IF(Atletas!L592="Hongquan C",131,IF(Atletas!L592="Paochui C",132,IF(Atletas!L592="Piguaquan C",133,IF(Atletas!L592="Shaolinquan C",134,IF(Atletas!L592="Tanglangquan C",135,IF(Atletas!L592="Yinzhaophai C",136,IF(Atletas!L592="Tongbeiquan C",137,IF(Atletas!L592="Wudangquan C",138,IF(Atletas!L592="Outros Estilos C",139,0))))))))))))))))))))))))))))))))))))))))))</f>
        <v/>
      </c>
      <c r="BM596" s="52" t="str">
        <f>IF(Atletas!L592="","",IF(Atletas!W592&lt;&gt;"",10000,0)+(IF(Atletas!B592="Feminino",1000,IF(Atletas!B592="Masculino",2000,""))+(IF(Atletas!L592="Chaquan D",140,IF(Atletas!L592="Emeiquan D",141,IF(Atletas!L592="Fanziquan D",142,IF(Atletas!L592="Huaquan D",143,IF(Atletas!L592="Hongquan D",144,IF(Atletas!L592="Paochui D",145,IF(Atletas!L592="Piguaquan D",146,IF(Atletas!L592="Shaolinquan D",147,IF(Atletas!L592="Tanglangquan D",148,IF(Atletas!L592="Yinzhaophai D",149,IF(Atletas!L592="Tongbeiquan D",150,IF(Atletas!L592="Wudangquan D",151,IF(Atletas!L592="Outros Estilos D",152,IF(Atletas!L592="Chaquan E",153,IF(Atletas!L592="Emeiquan E",154,IF(Atletas!L592="Fanziquan E",155,IF(Atletas!L592="Huaquan E",156,IF(Atletas!L592="Hongquan E",157,IF(Atletas!L592="Paochui E",158,IF(Atletas!L592="Piguaquan E",159,IF(Atletas!L592="Shaolinquan E",160,IF(Atletas!L592="Tanglangquan E",161,IF(Atletas!L592="Yinzhaophai E",162,IF(Atletas!L592="Tongbeiquan E",163,IF(Atletas!L592="Wudangquan E",164,IF(Atletas!L592="Outros Estilos E",165,IF(Atletas!L592="Chaquan F",166,IF(Atletas!L592="Emeiquan F",167,IF(Atletas!L592="Fanziquan F",168,IF(Atletas!L592="Huaquan F",169,IF(Atletas!L592="Hongquan F",170,IF(Atletas!L592="Paochui F",171,IF(Atletas!L592="Piguaquan F",172,IF(Atletas!L592="Shaolinquan F",173,IF(Atletas!L592="Tanglangquan F",174,IF(Atletas!L592="Yinzhaophai F",175,IF(Atletas!L592="Tongbeiquan F",176,IF(Atletas!L592="Wudangquan F",177,IF(Atletas!L592="Outros Estilos F",178,0))))))))))))))))))))))))))))))))))))))))))</f>
        <v/>
      </c>
      <c r="BN596" s="52" t="str">
        <f>IF(Atletas!M592="","",IF(Atletas!W592&lt;&gt;"",10000,0)+(IF(Atletas!B592="Feminino",1000,IF(Atletas!B592="Masculino",2000,""))+(IF(Atletas!M592="Ditangquan A",201,IF(Atletas!M592="Houquan A",202,IF(Atletas!M592="Zuiquan A",203,IF(Atletas!M592="Ditangquan B",204,IF(Atletas!M592="Houquan B",205,IF(Atletas!M592="Zuiquan B",206,IF(Atletas!M592="Ditangquan C",207,IF(Atletas!M592="Houquan C",208,IF(Atletas!M592="Zuiquan C",209,IF(Atletas!M592="Ditangquan D",210,IF(Atletas!M592="Houquan D",211,IF(Atletas!M592="Zuiquan D",212,IF(Atletas!M592="Ditangquan E",213,IF(Atletas!M592="Houquan E",214,IF(Atletas!M592="Zuiquan E",215,IF(Atletas!M592="Ditangquan F",216,IF(Atletas!M592="Houquan F",217,IF(Atletas!M592="Zuiquan F",218,"")))))))))))))))))))))</f>
        <v/>
      </c>
      <c r="BO596" s="52" t="str">
        <f>IF(Atletas!N592="","",IF(Atletas!W592&lt;&gt;"",10000,0)+IF(Atletas!B592="Feminino",1000,IF(Atletas!B592="Masculino",2000,""))+IF(Atletas!N592="Yang A",301,IF(Atletas!N592="Chen A",30,IF(Atletas!N592="Sun A",303,IF(Atletas!N592="Wu A",304,IF(Atletas!N592="Wu-Hao A",305,IF(Atletas!N592="Outro Taijiquan A",306,IF(Atletas!N592="Yang B",307,IF(Atletas!N592="Chen B",308,IF(Atletas!N592="Sun B",309,IF(Atletas!N592="Wu B",310,IF(Atletas!N592="Wu-Hao B",311,IF(Atletas!N592="Outro Taijiquan B",312,IF(Atletas!N592="Yang C",313,IF(Atletas!N592="Chen C",314,IF(Atletas!N592="Sun C",315,IF(Atletas!N592="Wu C",316,IF(Atletas!N592="Wu-Hao C",317,IF(Atletas!N592="Outro Taijiquan C",318,IF(Atletas!N592="Yang D",319,IF(Atletas!N592="Chen D",320,IF(Atletas!N592="Sun D",321,IF(Atletas!N592="Wu D",322,IF(Atletas!N592="Wu-Hao D",323,IF(Atletas!N592="Outro Taijiquan D",324,IF(Atletas!N592="Yang E",325,IF(Atletas!N592="Chen E",326,IF(Atletas!N592="Sun E",327,IF(Atletas!N592="Wu E",328,IF(Atletas!N592="Wu-Hao E",329,IF(Atletas!N592="Outro Taijiquan E",330,IF(Atletas!N592="Yang F",331,IF(Atletas!N592="Chen F",332,IF(Atletas!N592="Sun F",333,IF(Atletas!N592="Wu F",334,IF(Atletas!N592="Wu-Hao F",335,IF(Atletas!N592="Outro Taijiquan F",336,"")))))))))))))))))))))))))))))))))))))</f>
        <v/>
      </c>
      <c r="BP596" s="52" t="str">
        <f>IF(Atletas!O592="","",IF(Atletas!W592&lt;&gt;"",10000,0)+IF(Atletas!B592="Feminino",1000,IF(Atletas!B592="Masculino",2000,""))+IF(OR(Atletas!O592="Yang 26 A",Atletas!O592="Yang 40 A"),401,IF(OR(Atletas!O592="Chen 25 A",Atletas!O592="Chen 36 A",Atletas!O592="Chen 56 A"),402,IF(Atletas!O592="Sun 73 A",403,IF(Atletas!O592="Wu 45 A",404,IF(Atletas!O592="Wu-Hao 46 A",405,IF(OR(Atletas!O592="Taijiquan 16 A",Atletas!O592="Taijiquan 24 A",Atletas!O592="Taijiquan 32 A",Atletas!O592="Taijiquan 42 A"),406,IF(OR(Atletas!O592="Yang 26 B",Atletas!O592="Yang 40 B"),407,IF(OR(Atletas!O592="Chen 25 B",Atletas!O592="Chen 36 B",Atletas!O592="Chen 56 B"),408,IF(Atletas!O592="Sun 73 B",409,IF(Atletas!O592="Wu 45 B",410,IF(Atletas!O592="Wu-Hao 46 B",411,IF(OR(Atletas!O592="Taijiquan 16 B",Atletas!O592="Taijiquan 24 B",Atletas!O592="Taijiquan 32 B",Atletas!O592="Taijiquan 42 B"),412,IF(OR(Atletas!O592="Yang 26 C",Atletas!O592="Yang 40 C"),413,IF(OR(Atletas!O592="Chen 25 C",Atletas!O592="Chen 36 C",Atletas!O592="Chen 56 C"),414,IF(Atletas!O592="Sun 73 C",415,IF(Atletas!O592="Wu 45 C",416,IF(Atletas!O592="Wu-Hao 46 C",417,IF(OR(Atletas!O592="Taijiquan 16 C",Atletas!O592="Taijiquan 24 C",Atletas!O592="Taijiquan 32 C",Atletas!O592="Taijiquan 42 C"),418,0)))))))))))))))))))</f>
        <v/>
      </c>
      <c r="BQ596" s="52" t="str">
        <f>IF(Atletas!O592="","",IF(Atletas!W592&lt;&gt;"",10000,0)+IF(Atletas!B592="Feminino",1000,IF(Atletas!B592="Masculino",2000,""))+IF(OR(Atletas!O592="Yang 26 D",Atletas!O592="Yang 40 D"),419,IF(OR(Atletas!O592="Chen 25 D",Atletas!O592="Chen 36 D",Atletas!O592="Chen 56 D"),420,IF(Atletas!O592="Sun 73 D",421,IF(Atletas!O592="Wu 45 D",422,IF(Atletas!O592="Wu-Hao 46 D",423,IF(OR(Atletas!O592="Taijiquan 16 D",Atletas!O592="Taijiquan 24 D",Atletas!O592="Taijiquan 32 D",Atletas!O592="Taijiquan 42 D"),424,IF(OR(Atletas!O592="Yang 26 E",Atletas!O592="Yang 40 E"),425,IF(OR(Atletas!O592="Chen 25 E",Atletas!O592="Chen 36 E",Atletas!O592="Chen 56 E"),426,IF(Atletas!O592="Sun 73 E",427,IF(Atletas!O592="Wu 45 E",428,IF(Atletas!O592="Wu-Hao 46 E",429,IF(OR(Atletas!O592="Taijiquan 16 E",Atletas!O592="Taijiquan 24 E",Atletas!O592="Taijiquan 32 E",Atletas!O592="Taijiquan 42 E"),430,IF(OR(Atletas!O592="Yang 26 F",Atletas!O592="Yang 40 F"),431,IF(OR(Atletas!O592="Chen 25 F",Atletas!O592="Chen 36 F",Atletas!O592="Chen 56 F"),432,IF(Atletas!O592="Sun 73 F",433,IF(Atletas!O592="Wu 45 F",434,IF(Atletas!O592="Wu-Hao 46 F",435,IF(OR(Atletas!O592="Taijiquan 16 F",Atletas!O592="Taijiquan 24 F",Atletas!O592="Taijiquan 32 F",Atletas!O592="Taijiquan 42 F"),436,0)))))))))))))))))))</f>
        <v/>
      </c>
      <c r="BR596" s="52" t="str">
        <f>IF(Atletas!P592="","",IF(Atletas!W592&lt;&gt;"",10000,0)+IF(Atletas!B592="Feminino",1000,IF(Atletas!B592="Masculino",2000,""))+IF(Atletas!P592="Xingyiquan A",501,IF(Atletas!P592="Baguazhang A",502,IF(Atletas!P592="Outro Estilo Interno A",503,IF(Atletas!P592="Xingyiquan B",504,IF(Atletas!P592="Baguazhang B",505,IF(Atletas!P592="Outro Estilo Interno B",506,IF(Atletas!P592="Xingyiquan C",507,IF(Atletas!P592="Baguazhang C",508,IF(Atletas!P592="Outro Estilo Interno C",509,IF(Atletas!P592="Xingyiquan D",510,IF(Atletas!P592="Baguazhang D",511,IF(Atletas!P592="Outro Estilo Interno D",512,IF(Atletas!P592="Xingyiquan E",513,IF(Atletas!P592="Baguazhang E",514,IF(Atletas!P592="Outro Estilo Interno E",515,IF(Atletas!P592="Xingyiquan F",516,IF(Atletas!P592="Baguazhang F",517,IF(Atletas!P592="Outro Estilo Interno F",518, "")))))))))))))))))))</f>
        <v/>
      </c>
      <c r="BS596" s="52" t="str">
        <f>IF(Atletas!Q592="","",IF(Atletas!W592&lt;&gt;"",10000,0)+IF(Atletas!B592="Feminino",1000,IF(Atletas!B592="Masculino",2000,""))+IF(Atletas!Q592="Dao A",601,IF(Atletas!Q592="Jian A",602,IF(Atletas!Q592="Bishou A",603,IF(Atletas!Q592="Shan A",604,IF(Atletas!Q592="Outra Arma Curta A",605,IF(Atletas!Q592="Dao B",606,IF(Atletas!Q592="Jian B",607,IF(Atletas!Q592="Bishou B",608,IF(Atletas!Q592="Shan B",609,IF(Atletas!Q592="Outra Arma Curta B",610,IF(Atletas!Q592="Dao C",611,IF(Atletas!Q592="Jian C",612,IF(Atletas!Q592="Bishou C",613,IF(Atletas!Q592="Shan C",614,IF(Atletas!Q592="Outra Arma Curta C",615,IF(Atletas!Q592="Dao D",616,IF(Atletas!Q592="Jian D",617,IF(Atletas!Q592="Bishou D",618,IF(Atletas!Q592="Shan D",619,IF(Atletas!Q592="Outra Arma Curta D",620,IF(Atletas!Q592="Dao E",621,IF(Atletas!Q592="Jian E",622,IF(Atletas!Q592="Bishou E",623,IF(Atletas!Q592="Shan E",624,IF(Atletas!Q592="Outra Arma Curta E",625,IF(Atletas!Q592="Dao F",626,IF(Atletas!Q592="Jian F",627,IF(Atletas!Q592="Bishou F",628,IF(Atletas!Q592="Shan F",629,IF(Atletas!Q592="Outra Arma Curta F",630, "")))))))))))))))))))))))))))))))</f>
        <v/>
      </c>
      <c r="BT596" s="52" t="str">
        <f>IF(Atletas!R592="","",IF(Atletas!W592&lt;&gt;"",10000,0)+IF(Atletas!B592="Feminino",1000,IF(Atletas!B592="Masculino",2000,""))+IF(Atletas!R592="Gun A",701,IF(Atletas!R592="Qiang A",702,IF(Atletas!R592="Pudao / Guandao A",703,IF(Atletas!R592="Outra Arma Longa A",704,IF(Atletas!R592="Gun B",705,IF(Atletas!R592="Qiang B",706,IF(Atletas!R592="Pudao / Guandao B",707,IF(Atletas!R592="Outra Arma Longa B",708,IF(Atletas!R592="Gun C",709,IF(Atletas!R592="Qiang C",710,IF(Atletas!R592="Pudao / Guandao C",711,IF(Atletas!R592="Outra Arma Longa C",712,IF(Atletas!R592="Gun D",713,IF(Atletas!R592="Qiang D",714,IF(Atletas!R592="Pudao / Guandao D",715,IF(Atletas!R592="Outra Arma Longa D",716,IF(Atletas!R592="Gun E",717,IF(Atletas!R592="Qiang E",718,IF(Atletas!R592="Pudao / Guandao E",719,IF(Atletas!R592="Outra Arma Longa E",720,IF(Atletas!R592="Gun F",721,IF(Atletas!R592="Qiang F",722,IF(Atletas!R592="Pudao / Guandao F",723,IF(Atletas!R592="Outra Arma Longa F",724,"")))))))))))))))))))))))))</f>
        <v/>
      </c>
      <c r="BU596" s="52" t="str">
        <f>IF(Atletas!S592="","",IF(Atletas!W592&lt;&gt;"",10000,0)+IF(Atletas!B592="Feminino",1000,IF(Atletas!B592="Masculino",2000,""))+IF(Atletas!S592="Arma Dupla A",801,IF(Atletas!S592="Arma Maleável A",802,IF(Atletas!S592="Arma Dupla B",803,IF(Atletas!S592="Arma Maleável B",804,IF(Atletas!S592="Arma Dupla C",805,IF(Atletas!S592="Arma Maleável C",806,IF(Atletas!S592="Arma Dupla D",807,IF(Atletas!S592="Arma Maleável D",808,IF(Atletas!S592="Arma Dupla E",809,IF(Atletas!S592="Arma Maleável E",810,IF(Atletas!S592="Arma Dupla F",811,IF(Atletas!S592="Arma Maleável F",812, "")))))))))))))</f>
        <v/>
      </c>
      <c r="BV596" s="52" t="str">
        <f>IF(Atletas!T592="","",IF(Atletas!W592&lt;&gt;"",10000,0)+IF(Atletas!B592="Feminino",1000,IF(Atletas!B592="Masculino",2000,""))+IF(Atletas!T592="Taijijian Yang A",901,IF(Atletas!T592="Taijijian Chen A",902,IF(Atletas!T592="Taijijian Sun A",903,IF(Atletas!T592="Taijijian Wu A",904,IF(Atletas!T592="Taijijian Wu-Hao A",905,IF(Atletas!T592="Taijijian 32 A",906,IF(Atletas!T592="Taijijian 42 A",907,IF(Atletas!T592="Taijijian Yang B",908,IF(Atletas!T592="Taijijian Chen B",909,IF(Atletas!T592="Taijijian Sun B",910,IF(Atletas!T592="Taijijian Wu B",911,IF(Atletas!T592="Taijijian Wu-Hao B",912,IF(Atletas!T592="Taijijian 32 B",913,IF(Atletas!T592="Taijijian 42 B",914,IF(Atletas!T592="Taijijian Yang C",915,IF(Atletas!T592="Taijijian Chen C",916,IF(Atletas!T592="Taijijian Sun C",917,IF(Atletas!T592="Taijijian Wu C",918,IF(Atletas!T592="Taijijian Wu-Hao C",919,IF(Atletas!T592="Taijijian 32 C",920,IF(Atletas!T592="Taijijian 42 C",921,IF(Atletas!T592="Taijijian Yang D",922,IF(Atletas!T592="Taijijian Chen D",923,IF(Atletas!T592="Taijijian Sun D",924,IF(Atletas!T592="Taijijian Wu D",925,IF(Atletas!T592="Taijijian Wu-Hao D",926,IF(Atletas!T592="Taijijian 32 D",927,IF(Atletas!T592="Taijijian 42 D",928,IF(Atletas!T592="Taijijian Yang E",929,IF(Atletas!T592="Taijijian Chen E",930,IF(Atletas!T592="Taijijian Sun E",931,IF(Atletas!T592="Taijijian Wu E",932,IF(Atletas!T592="Taijijian Wu-Hao E",933,IF(Atletas!T592="Taijijian 32 E",934,IF(Atletas!T592="Taijijian 42 E",935,IF(Atletas!T592="Taijijian Yang F",936,IF(Atletas!T592="Taijijian Chen F",937,IF(Atletas!T592="Taijijian Sun F",938,IF(Atletas!T592="Taijijian Wu F",939,IF(Atletas!T592="Taijijian Wu-Hao F",940,IF(Atletas!T592="Taijijian 32 F",941,IF(Atletas!T592="Taijijian 42 F",942,"")))))))))))))))))))))))))))))))))))))))))))</f>
        <v/>
      </c>
      <c r="BW596" s="52" t="str">
        <f>IF(Atletas!U592="","",IF(Atletas!W592&lt;&gt;"",10000,0)+IF(Atletas!B592="Feminino",1000,IF(Atletas!B592="Masculino",2000,""))+IF(Atletas!T592="Taijijian 42 F",942,IF(Atletas!U592="Taijidao A",943,IF(Atletas!U592="Taijishan A",944,IF(Atletas!U592="Taijiqiang A",945,IF(Atletas!U592="Taijidao B",946,IF(Atletas!U592="Taijishan B",947,IF(Atletas!U592="Taijiqiang B",948,IF(Atletas!U592="Taijidao C",949,IF(Atletas!U592="Taijishan C",950,IF(Atletas!U592="Taijiqiang C",951,IF(Atletas!U592="Taijidao D",952,IF(Atletas!U592="Taijishan D",953,IF(Atletas!U592="Taijiqiang D",954,IF(Atletas!U592="Taijidao E",955,IF(Atletas!U592="Taijishan E",956,IF(Atletas!U592="Taijiqiang E",957,IF(Atletas!U592="Taijidao F",958,IF(Atletas!U592="Taijishan F",959,IF(Atletas!U592="Taijiqiang F",960))))))))))))))))))))</f>
        <v/>
      </c>
      <c r="CF596" s="52" t="str">
        <f xml:space="preserve"> IF(Atletas!V592="","",IF(Atletas!V592="Duilian de Mãos AB - Equipe 1",1,IF(Atletas!V592="Duilian de Mãos AB - Equipe 2",2,IF(Atletas!V592="Duilian de Armas AB - Equipe 1",3,IF(Atletas!V592="Duilian de Armas AB - Equipe 2",4,IF(Atletas!V592="Duilian de Tuishou - Equipe 1",5,IF(Atletas!V592="Duilian de Tuishou - Equipe 2",6,IF(Atletas!V592="Grupo Externo AB - Equipe 1",7,IF(Atletas!V592="Grupo Externo AB - Equipe 2",8,IF(Atletas!V592="Grupo Interno AB - Equipe 1",9,IF(Atletas!V592="Grupo Interno AB - Equipe 2",10,IF(Atletas!V592="Duilian de Mãos CD - Equipe 1",11,IF(Atletas!V592="Duilian de Mãos CD - Equipe 2",12,IF(Atletas!V592="Duilian de Armas CD - Equipe 1",13,IF(Atletas!V592="Duilian de Armas CD - Equipe 2",14,IF(Atletas!V592="Duilian de Tuishou - Equipe 1",15,IF(Atletas!V592="Duilian de Tuishou - Equipe 2",16,IF(Atletas!V592="Grupo Externo CDEF - Equipe 1",17,IF(Atletas!V592="Grupo Externo CDEF - Equipe 2",18,IF(Atletas!V592="Grupo Interno CDEF - Equipe 1",19,IF(Atletas!V592="Grupo Interno CDEF - Equipe 2",20,IF(Atletas!V592="Duilian de Mãos EF - Equipe 1",21,IF(Atletas!V592="Duilian de Mãos EF - Equipe 2",22,IF(Atletas!V592="Duilian de Armas EF - Equipe 1",23,IF(Atletas!V592="Duilian de Armas EF - Equipe 2",24,IF(Atletas!V592="Duilian de Tuishou - Equipe 1",25,IF(Atletas!V592="Duilian de Tuishou - Equipe 2",26,"")))))))))))))))))))))))))))</f>
        <v/>
      </c>
    </row>
    <row r="597" spans="36:84">
      <c r="AJ597" s="46" t="str">
        <f>IF(Atletas!D593="","",IF(Atletas!B593="Feminino",100,IF(Atletas!B593="Masculino",200,""))+(IF(Atletas!D593="Infantil 39kg",1,IF(Atletas!D593="Infantil 42kg",2,IF(Atletas!D593="Infantil 45kg",3,IF(Atletas!D593="Infantil 48kg",4,IF(Atletas!D593="Infantil 52kg",5,IF(Atletas!D593="Infantil 56kg",6,IF(Atletas!D593="Infantil 60kg",7,IF(Atletas!D593="Juvenil 48kg",8,IF(Atletas!D593="Juvenil 52kg",9,IF(Atletas!D593="Juvenil 56kg",10,IF(Atletas!D593="Juvenil 60kg",11,IF(Atletas!D593="Juvenil 65kg",12,IF(Atletas!D593="Juvenil 70kg",13,IF(Atletas!D593="Juvenil 75kg",14,IF(Atletas!D593="Juvenil 80kg",15,IF(Atletas!D593="Adulto 48kg",16,IF(Atletas!D593="Adulto 52kg",17,IF(Atletas!D593="Adulto 56kg",18,IF(Atletas!D593="Adulto 60kg",19,IF(Atletas!D593="Adulto 65kg",20,IF(Atletas!D593="Adulto 70kg",21,IF(Atletas!D593="Adulto 75kg",22,IF(Atletas!D593="Adulto 80kg",23,IF(Atletas!D593="Adulto 85kg",24,IF(Atletas!D593="Adulto 90kg",25,IF(Atletas!D593="Adulto +90kg",26,""))))))))))))))))))))))))))))</f>
        <v/>
      </c>
      <c r="AO597" s="10" t="str">
        <f>IF(Atletas!E593="","",IF(Atletas!B593="Feminino",100,IF(Atletas!B593="Masculino",200,""))+(IF(Atletas!E593="Juvenil 44kg",1,IF(Atletas!E593="Juvenil 48kg",2,IF(Atletas!E593="Juvenil 52kg",3,IF(Atletas!E593="Juvenil 56kg",4,IF(Atletas!E593="Juvenil 60kg",5,IF(Atletas!E593="Juvenil 65kg",6,IF(Atletas!E593="Juvenil 70kg",7,IF(Atletas!E593="Juvenil 75kg",8,IF(Atletas!E593="Juvenil 82kg",9,IF(Atletas!E593="Juvenil 90kg",10,IF(Atletas!E593="Juvenil 100kg",11,IF(Atletas!E593="Adulto 48kg",12,IF(Atletas!E593="Adulto 52kg",13,IF(Atletas!E593="Adulto 56kg",14,IF(Atletas!E593="Adulto 60kg",15,IF(Atletas!E593="Adulto 65kg",16,IF(Atletas!E593="Adulto 70kg",17,IF(Atletas!E593="Adulto 75kg",18,IF(Atletas!E593="Adulto 82kg",19,IF(Atletas!E593="Adulto 90kg",20,IF(Atletas!E593="Adulto 100kg",21,IF(Atletas!E593="Adulto +100kg",22,""))))))))))))))))))))))))</f>
        <v/>
      </c>
      <c r="AT597" s="10" t="str">
        <f>IF(Atletas!F593="","",IF(Atletas!B593="Feminino",100,IF(Atletas!B593="Masculino",200,""))+(IF(Atletas!F593="Adulto 48kg",1,IF(Atletas!F593="Adulto 56kg",2,IF(Atletas!F593="Adulto 65kg",3,IF(Atletas!F593="Adulto 75kg",4,IF(Atletas!F593="Adulto +75kg",5,IF(Atletas!F593="Adulto 52kg",6,IF(Atletas!F593="Adulto 60kg",7,IF(Atletas!F593="Adulto 70kg",8,IF(Atletas!F593="Adulto 80kg",9,IF(Atletas!F593="Adulto 90kg",10,IF(Atletas!F593="Adulto +90kg",11,"")))))))))))))</f>
        <v/>
      </c>
      <c r="AY597" s="46" t="str">
        <f>IF(Atletas!G593="","",IF(Atletas!B593="Feminino",100,IF(Atletas!B593="Masculino",200,""))+(IF(Atletas!G593="Changquan Mirim",1,IF(Atletas!G593="Nanquan Mirim",2,IF(Atletas!G593="Taijiquan Mirim",3,IF(Atletas!G593="Changquan Grupo C",4,IF(Atletas!G593="Nanquan Grupo C",5,IF(Atletas!G593="Taijiquan Grupo C",6,IF(Atletas!G593="Changquan Grupo B",7,IF(Atletas!G593="Nanquan Grupo B",8,IF(Atletas!G593="Taijiquan Grupo B",9,IF(Atletas!G593="Changquan Grupo A",10,IF(Atletas!G593="Nanquan Grupo A",11,IF(Atletas!G593="Taijiquan Grupo A",12,IF(Atletas!G593="Changquan Opcional",13,IF(Atletas!G593="Nanquan Opcional",14,IF(Atletas!G593="Taijiquan Opcional",15,IF(Atletas!G593="Changquan Adulto",16,IF(Atletas!G593="Nanquan Adulto",17,IF(Atletas!G593="Taijiquan Adulto",18,""))))))))))))))))))))</f>
        <v/>
      </c>
      <c r="AZ597" s="46" t="str">
        <f>IF(Atletas!H593="","",IF(Atletas!B593="Feminino",100,IF(Atletas!B593="Masculino",200,""))+(IF(Atletas!H593="Daoshu Mirim",19,IF(Atletas!H593="Jianshu Mirim",20,IF(Atletas!H593="Nandao Mirim",21,IF(Atletas!H593="Taijijian Mirim",22,IF(Atletas!H593="Daoshu Grupo C",23,IF(Atletas!H593="Jianshu Grupo C",24,IF(Atletas!H593="Nandao Grupo C",25,IF(Atletas!H593="Taijijian Grupo C",26,IF(Atletas!H593="Daoshu Grupo B",27,IF(Atletas!H593="Jianshu Grupo B",28,IF(Atletas!H593="Nandao Grupo B",29,IF(Atletas!H593="Taijijian Grupo B",30,IF(Atletas!H593="Daoshu Grupo A",31,IF(Atletas!H593="Jianshu Grupo A",32,IF(Atletas!H593="Nandao Grupo A",33,IF(Atletas!H593="Taijijian Grupo A",34,IF(Atletas!H593="Daoshu Opcional",35,IF(Atletas!H593="Jianshu Opcional",36,IF(Atletas!H593="Nandao Opcional",37,IF(Atletas!H593="Taijijian Opcional",38,IF(Atletas!H593="Daoshu Adulto",39,IF(Atletas!H593="Jianshu Adulto",40,IF(Atletas!H593="Nandao Adulto",41,IF(Atletas!H593="Taijijian Adulto",42,""))))))))))))))))))))))))))</f>
        <v/>
      </c>
      <c r="BA597" s="46" t="str">
        <f>IF(Atletas!I593="","",IF(Atletas!B593="Feminino",100,IF(Atletas!B593="Masculino",200,""))+(IF(Atletas!I593="Gunshu Mirim",43,IF(Atletas!I593="Qiangshu Mirim",44,IF(Atletas!I593="Nangun Mirim",45,IF(Atletas!I593="Gunshu Grupo C",46,IF(Atletas!I593="Qiangshu Grupo C",47,IF(Atletas!I593="Nangun Grupo C",48,IF(Atletas!I593="Gunshu Grupo B",49,IF(Atletas!I593="Qiangshu Grupo B",50,IF(Atletas!I593="Nangun Grupo B",51,IF(Atletas!I593="Gunshu Grupo A",52,IF(Atletas!I593="Qiangshu Grupo A",53,IF(Atletas!I593="Nangun Grupo A",54,IF(Atletas!I593="Gunshu Opcional",55,IF(Atletas!I593="Qiangshu Opcional",56,IF(Atletas!I593="Nangun Opcional",57,IF(Atletas!I593="Gunshu Adulto",58,IF(Atletas!I593="Qiangshu Adulto",59,IF(Atletas!I593="Nangun Adulto",60,""))))))))))))))))))))</f>
        <v/>
      </c>
      <c r="BF597" s="52" t="str">
        <f>IF(Atletas!J593="","",IF(Atletas!B593="Feminino",100,IF(Atletas!B593="Masculino",200,""))+(IF(Atletas!J593="Equipe 1 Grupo B",1,IF(Atletas!J593="Equipe 2 Grupo B",2,IF(Atletas!J593="Equipe 1 Grupo A",3,IF(Atletas!J593="Equipe 2 Grupo A",4,IF(Atletas!J593="Equipe 1 Adulto",5,IF(Atletas!J593="Equipe 2 Adulto",6,""))))))))</f>
        <v/>
      </c>
      <c r="BK597" s="52" t="str">
        <f>IF(Atletas!K593="","",IF(Atletas!W593&lt;&gt;"",10000,0)+(IF(Atletas!B593="Feminino",1000,IF(Atletas!B593="Masculino",2000,""))+IF(Atletas!K593="Choylayfut A",1,IF(Atletas!K593="Hunggar A",2,IF(Atletas!K593="Wuzuquan A",3,IF(Atletas!K593="Wingchun A",4,IF(Atletas!K593="Outra Mão de Sul A",5,IF(Atletas!K593="Choylayfut B",6,IF(Atletas!K593="Hunggar B",7,IF(Atletas!K593="Wuzuquan B",8,IF(Atletas!K593="Wingchun B",9,IF(Atletas!K593="Outra Mão de Sul B",10,IF(Atletas!K593="Choylayfut C",11,IF(Atletas!K593="Hunggar C",12,IF(Atletas!K593="Wuzuquan C",13,IF(Atletas!K593="Wingchun C",14,IF(Atletas!K593="Outra Mão de Sul C",15,IF(Atletas!K593="Choylayfut D",16,IF(Atletas!K593="Hunggar D",17,IF(Atletas!K593="Wuzuquan D",18,IF(Atletas!K593="Wingchun D",19,IF(Atletas!K593="Outra Mão de Sul D",20,IF(Atletas!K593="Choylayfut E",21,IF(Atletas!K593="Hunggar E",22,IF(Atletas!K593="Wuzuquan E",23,IF(Atletas!K593="Wingchun E",24,IF(Atletas!K593="Outra Mão de Sul E",25,IF(Atletas!K593="Choylayfut F",26,IF(Atletas!K593="Hunggar F",27,IF(Atletas!K593="Wuzuquan F",28,IF(Atletas!K593="Wingchun F",29,IF(Atletas!K593="Outra Mão de Sul F",30,""))))))))))))))))))))))))))))))))</f>
        <v/>
      </c>
      <c r="BL597" s="52" t="str">
        <f>IF(Atletas!L593="","",IF(Atletas!W593&lt;&gt;"",10000,0)+(IF(Atletas!B593="Feminino",1000,IF(Atletas!B593="Masculino",2000,""))+(IF(Atletas!L593="Chaquan A",101,IF(Atletas!L593="Emeiquan A",102,IF(Atletas!L593="Fanziquan A",103,IF(Atletas!L593="Huaquan A",104,IF(Atletas!L593="Hongquan A",105,IF(Atletas!L593="Paochui A",106,IF(Atletas!L593="Piguaquan A",107,IF(Atletas!L593="Shaolinquan A",108,IF(Atletas!L593="Tanglangquan A",109,IF(Atletas!L593="Yinzhaophai A",110,IF(Atletas!L593="Tongbeiquan A",111,IF(Atletas!L593="Wudangquan A",112,IF(Atletas!L593="Outros Estilos A",113,IF(Atletas!L593="Chaquan B",114,IF(Atletas!L593="Emeiquan B",115,IF(Atletas!L593="Fanziquan B",116,IF(Atletas!L593="Huaquan B",117,IF(Atletas!L593="Hongquan B",118,IF(Atletas!L593="Paochui B",119,IF(Atletas!L593="Piguaquan B",120,IF(Atletas!L593="Shaolinquan B",121,IF(Atletas!L593="Tanglangquan B",122,IF(Atletas!L593="Yinzhaophai B",123,IF(Atletas!L593="Tongbeiquan B",124,IF(Atletas!L593="Wudangquan B",125,IF(Atletas!L593="Outros Estilos B",126,IF(Atletas!L593="Chaquan C",127,IF(Atletas!L593="Emeiquan C",128,IF(Atletas!L593="Fanziquan C",129,IF(Atletas!L593="Huaquan C",130,IF(Atletas!L593="Hongquan C",131,IF(Atletas!L593="Paochui C",132,IF(Atletas!L593="Piguaquan C",133,IF(Atletas!L593="Shaolinquan C",134,IF(Atletas!L593="Tanglangquan C",135,IF(Atletas!L593="Yinzhaophai C",136,IF(Atletas!L593="Tongbeiquan C",137,IF(Atletas!L593="Wudangquan C",138,IF(Atletas!L593="Outros Estilos C",139,0))))))))))))))))))))))))))))))))))))))))))</f>
        <v/>
      </c>
      <c r="BM597" s="52" t="str">
        <f>IF(Atletas!L593="","",IF(Atletas!W593&lt;&gt;"",10000,0)+(IF(Atletas!B593="Feminino",1000,IF(Atletas!B593="Masculino",2000,""))+(IF(Atletas!L593="Chaquan D",140,IF(Atletas!L593="Emeiquan D",141,IF(Atletas!L593="Fanziquan D",142,IF(Atletas!L593="Huaquan D",143,IF(Atletas!L593="Hongquan D",144,IF(Atletas!L593="Paochui D",145,IF(Atletas!L593="Piguaquan D",146,IF(Atletas!L593="Shaolinquan D",147,IF(Atletas!L593="Tanglangquan D",148,IF(Atletas!L593="Yinzhaophai D",149,IF(Atletas!L593="Tongbeiquan D",150,IF(Atletas!L593="Wudangquan D",151,IF(Atletas!L593="Outros Estilos D",152,IF(Atletas!L593="Chaquan E",153,IF(Atletas!L593="Emeiquan E",154,IF(Atletas!L593="Fanziquan E",155,IF(Atletas!L593="Huaquan E",156,IF(Atletas!L593="Hongquan E",157,IF(Atletas!L593="Paochui E",158,IF(Atletas!L593="Piguaquan E",159,IF(Atletas!L593="Shaolinquan E",160,IF(Atletas!L593="Tanglangquan E",161,IF(Atletas!L593="Yinzhaophai E",162,IF(Atletas!L593="Tongbeiquan E",163,IF(Atletas!L593="Wudangquan E",164,IF(Atletas!L593="Outros Estilos E",165,IF(Atletas!L593="Chaquan F",166,IF(Atletas!L593="Emeiquan F",167,IF(Atletas!L593="Fanziquan F",168,IF(Atletas!L593="Huaquan F",169,IF(Atletas!L593="Hongquan F",170,IF(Atletas!L593="Paochui F",171,IF(Atletas!L593="Piguaquan F",172,IF(Atletas!L593="Shaolinquan F",173,IF(Atletas!L593="Tanglangquan F",174,IF(Atletas!L593="Yinzhaophai F",175,IF(Atletas!L593="Tongbeiquan F",176,IF(Atletas!L593="Wudangquan F",177,IF(Atletas!L593="Outros Estilos F",178,0))))))))))))))))))))))))))))))))))))))))))</f>
        <v/>
      </c>
      <c r="BN597" s="52" t="str">
        <f>IF(Atletas!M593="","",IF(Atletas!W593&lt;&gt;"",10000,0)+(IF(Atletas!B593="Feminino",1000,IF(Atletas!B593="Masculino",2000,""))+(IF(Atletas!M593="Ditangquan A",201,IF(Atletas!M593="Houquan A",202,IF(Atletas!M593="Zuiquan A",203,IF(Atletas!M593="Ditangquan B",204,IF(Atletas!M593="Houquan B",205,IF(Atletas!M593="Zuiquan B",206,IF(Atletas!M593="Ditangquan C",207,IF(Atletas!M593="Houquan C",208,IF(Atletas!M593="Zuiquan C",209,IF(Atletas!M593="Ditangquan D",210,IF(Atletas!M593="Houquan D",211,IF(Atletas!M593="Zuiquan D",212,IF(Atletas!M593="Ditangquan E",213,IF(Atletas!M593="Houquan E",214,IF(Atletas!M593="Zuiquan E",215,IF(Atletas!M593="Ditangquan F",216,IF(Atletas!M593="Houquan F",217,IF(Atletas!M593="Zuiquan F",218,"")))))))))))))))))))))</f>
        <v/>
      </c>
      <c r="BO597" s="52" t="str">
        <f>IF(Atletas!N593="","",IF(Atletas!W593&lt;&gt;"",10000,0)+IF(Atletas!B593="Feminino",1000,IF(Atletas!B593="Masculino",2000,""))+IF(Atletas!N593="Yang A",301,IF(Atletas!N593="Chen A",30,IF(Atletas!N593="Sun A",303,IF(Atletas!N593="Wu A",304,IF(Atletas!N593="Wu-Hao A",305,IF(Atletas!N593="Outro Taijiquan A",306,IF(Atletas!N593="Yang B",307,IF(Atletas!N593="Chen B",308,IF(Atletas!N593="Sun B",309,IF(Atletas!N593="Wu B",310,IF(Atletas!N593="Wu-Hao B",311,IF(Atletas!N593="Outro Taijiquan B",312,IF(Atletas!N593="Yang C",313,IF(Atletas!N593="Chen C",314,IF(Atletas!N593="Sun C",315,IF(Atletas!N593="Wu C",316,IF(Atletas!N593="Wu-Hao C",317,IF(Atletas!N593="Outro Taijiquan C",318,IF(Atletas!N593="Yang D",319,IF(Atletas!N593="Chen D",320,IF(Atletas!N593="Sun D",321,IF(Atletas!N593="Wu D",322,IF(Atletas!N593="Wu-Hao D",323,IF(Atletas!N593="Outro Taijiquan D",324,IF(Atletas!N593="Yang E",325,IF(Atletas!N593="Chen E",326,IF(Atletas!N593="Sun E",327,IF(Atletas!N593="Wu E",328,IF(Atletas!N593="Wu-Hao E",329,IF(Atletas!N593="Outro Taijiquan E",330,IF(Atletas!N593="Yang F",331,IF(Atletas!N593="Chen F",332,IF(Atletas!N593="Sun F",333,IF(Atletas!N593="Wu F",334,IF(Atletas!N593="Wu-Hao F",335,IF(Atletas!N593="Outro Taijiquan F",336,"")))))))))))))))))))))))))))))))))))))</f>
        <v/>
      </c>
      <c r="BP597" s="52" t="str">
        <f>IF(Atletas!O593="","",IF(Atletas!W593&lt;&gt;"",10000,0)+IF(Atletas!B593="Feminino",1000,IF(Atletas!B593="Masculino",2000,""))+IF(OR(Atletas!O593="Yang 26 A",Atletas!O593="Yang 40 A"),401,IF(OR(Atletas!O593="Chen 25 A",Atletas!O593="Chen 36 A",Atletas!O593="Chen 56 A"),402,IF(Atletas!O593="Sun 73 A",403,IF(Atletas!O593="Wu 45 A",404,IF(Atletas!O593="Wu-Hao 46 A",405,IF(OR(Atletas!O593="Taijiquan 16 A",Atletas!O593="Taijiquan 24 A",Atletas!O593="Taijiquan 32 A",Atletas!O593="Taijiquan 42 A"),406,IF(OR(Atletas!O593="Yang 26 B",Atletas!O593="Yang 40 B"),407,IF(OR(Atletas!O593="Chen 25 B",Atletas!O593="Chen 36 B",Atletas!O593="Chen 56 B"),408,IF(Atletas!O593="Sun 73 B",409,IF(Atletas!O593="Wu 45 B",410,IF(Atletas!O593="Wu-Hao 46 B",411,IF(OR(Atletas!O593="Taijiquan 16 B",Atletas!O593="Taijiquan 24 B",Atletas!O593="Taijiquan 32 B",Atletas!O593="Taijiquan 42 B"),412,IF(OR(Atletas!O593="Yang 26 C",Atletas!O593="Yang 40 C"),413,IF(OR(Atletas!O593="Chen 25 C",Atletas!O593="Chen 36 C",Atletas!O593="Chen 56 C"),414,IF(Atletas!O593="Sun 73 C",415,IF(Atletas!O593="Wu 45 C",416,IF(Atletas!O593="Wu-Hao 46 C",417,IF(OR(Atletas!O593="Taijiquan 16 C",Atletas!O593="Taijiquan 24 C",Atletas!O593="Taijiquan 32 C",Atletas!O593="Taijiquan 42 C"),418,0)))))))))))))))))))</f>
        <v/>
      </c>
      <c r="BQ597" s="52" t="str">
        <f>IF(Atletas!O593="","",IF(Atletas!W593&lt;&gt;"",10000,0)+IF(Atletas!B593="Feminino",1000,IF(Atletas!B593="Masculino",2000,""))+IF(OR(Atletas!O593="Yang 26 D",Atletas!O593="Yang 40 D"),419,IF(OR(Atletas!O593="Chen 25 D",Atletas!O593="Chen 36 D",Atletas!O593="Chen 56 D"),420,IF(Atletas!O593="Sun 73 D",421,IF(Atletas!O593="Wu 45 D",422,IF(Atletas!O593="Wu-Hao 46 D",423,IF(OR(Atletas!O593="Taijiquan 16 D",Atletas!O593="Taijiquan 24 D",Atletas!O593="Taijiquan 32 D",Atletas!O593="Taijiquan 42 D"),424,IF(OR(Atletas!O593="Yang 26 E",Atletas!O593="Yang 40 E"),425,IF(OR(Atletas!O593="Chen 25 E",Atletas!O593="Chen 36 E",Atletas!O593="Chen 56 E"),426,IF(Atletas!O593="Sun 73 E",427,IF(Atletas!O593="Wu 45 E",428,IF(Atletas!O593="Wu-Hao 46 E",429,IF(OR(Atletas!O593="Taijiquan 16 E",Atletas!O593="Taijiquan 24 E",Atletas!O593="Taijiquan 32 E",Atletas!O593="Taijiquan 42 E"),430,IF(OR(Atletas!O593="Yang 26 F",Atletas!O593="Yang 40 F"),431,IF(OR(Atletas!O593="Chen 25 F",Atletas!O593="Chen 36 F",Atletas!O593="Chen 56 F"),432,IF(Atletas!O593="Sun 73 F",433,IF(Atletas!O593="Wu 45 F",434,IF(Atletas!O593="Wu-Hao 46 F",435,IF(OR(Atletas!O593="Taijiquan 16 F",Atletas!O593="Taijiquan 24 F",Atletas!O593="Taijiquan 32 F",Atletas!O593="Taijiquan 42 F"),436,0)))))))))))))))))))</f>
        <v/>
      </c>
      <c r="BR597" s="52" t="str">
        <f>IF(Atletas!P593="","",IF(Atletas!W593&lt;&gt;"",10000,0)+IF(Atletas!B593="Feminino",1000,IF(Atletas!B593="Masculino",2000,""))+IF(Atletas!P593="Xingyiquan A",501,IF(Atletas!P593="Baguazhang A",502,IF(Atletas!P593="Outro Estilo Interno A",503,IF(Atletas!P593="Xingyiquan B",504,IF(Atletas!P593="Baguazhang B",505,IF(Atletas!P593="Outro Estilo Interno B",506,IF(Atletas!P593="Xingyiquan C",507,IF(Atletas!P593="Baguazhang C",508,IF(Atletas!P593="Outro Estilo Interno C",509,IF(Atletas!P593="Xingyiquan D",510,IF(Atletas!P593="Baguazhang D",511,IF(Atletas!P593="Outro Estilo Interno D",512,IF(Atletas!P593="Xingyiquan E",513,IF(Atletas!P593="Baguazhang E",514,IF(Atletas!P593="Outro Estilo Interno E",515,IF(Atletas!P593="Xingyiquan F",516,IF(Atletas!P593="Baguazhang F",517,IF(Atletas!P593="Outro Estilo Interno F",518, "")))))))))))))))))))</f>
        <v/>
      </c>
      <c r="BS597" s="52" t="str">
        <f>IF(Atletas!Q593="","",IF(Atletas!W593&lt;&gt;"",10000,0)+IF(Atletas!B593="Feminino",1000,IF(Atletas!B593="Masculino",2000,""))+IF(Atletas!Q593="Dao A",601,IF(Atletas!Q593="Jian A",602,IF(Atletas!Q593="Bishou A",603,IF(Atletas!Q593="Shan A",604,IF(Atletas!Q593="Outra Arma Curta A",605,IF(Atletas!Q593="Dao B",606,IF(Atletas!Q593="Jian B",607,IF(Atletas!Q593="Bishou B",608,IF(Atletas!Q593="Shan B",609,IF(Atletas!Q593="Outra Arma Curta B",610,IF(Atletas!Q593="Dao C",611,IF(Atletas!Q593="Jian C",612,IF(Atletas!Q593="Bishou C",613,IF(Atletas!Q593="Shan C",614,IF(Atletas!Q593="Outra Arma Curta C",615,IF(Atletas!Q593="Dao D",616,IF(Atletas!Q593="Jian D",617,IF(Atletas!Q593="Bishou D",618,IF(Atletas!Q593="Shan D",619,IF(Atletas!Q593="Outra Arma Curta D",620,IF(Atletas!Q593="Dao E",621,IF(Atletas!Q593="Jian E",622,IF(Atletas!Q593="Bishou E",623,IF(Atletas!Q593="Shan E",624,IF(Atletas!Q593="Outra Arma Curta E",625,IF(Atletas!Q593="Dao F",626,IF(Atletas!Q593="Jian F",627,IF(Atletas!Q593="Bishou F",628,IF(Atletas!Q593="Shan F",629,IF(Atletas!Q593="Outra Arma Curta F",630, "")))))))))))))))))))))))))))))))</f>
        <v/>
      </c>
      <c r="BT597" s="52" t="str">
        <f>IF(Atletas!R593="","",IF(Atletas!W593&lt;&gt;"",10000,0)+IF(Atletas!B593="Feminino",1000,IF(Atletas!B593="Masculino",2000,""))+IF(Atletas!R593="Gun A",701,IF(Atletas!R593="Qiang A",702,IF(Atletas!R593="Pudao / Guandao A",703,IF(Atletas!R593="Outra Arma Longa A",704,IF(Atletas!R593="Gun B",705,IF(Atletas!R593="Qiang B",706,IF(Atletas!R593="Pudao / Guandao B",707,IF(Atletas!R593="Outra Arma Longa B",708,IF(Atletas!R593="Gun C",709,IF(Atletas!R593="Qiang C",710,IF(Atletas!R593="Pudao / Guandao C",711,IF(Atletas!R593="Outra Arma Longa C",712,IF(Atletas!R593="Gun D",713,IF(Atletas!R593="Qiang D",714,IF(Atletas!R593="Pudao / Guandao D",715,IF(Atletas!R593="Outra Arma Longa D",716,IF(Atletas!R593="Gun E",717,IF(Atletas!R593="Qiang E",718,IF(Atletas!R593="Pudao / Guandao E",719,IF(Atletas!R593="Outra Arma Longa E",720,IF(Atletas!R593="Gun F",721,IF(Atletas!R593="Qiang F",722,IF(Atletas!R593="Pudao / Guandao F",723,IF(Atletas!R593="Outra Arma Longa F",724,"")))))))))))))))))))))))))</f>
        <v/>
      </c>
      <c r="BU597" s="52" t="str">
        <f>IF(Atletas!S593="","",IF(Atletas!W593&lt;&gt;"",10000,0)+IF(Atletas!B593="Feminino",1000,IF(Atletas!B593="Masculino",2000,""))+IF(Atletas!S593="Arma Dupla A",801,IF(Atletas!S593="Arma Maleável A",802,IF(Atletas!S593="Arma Dupla B",803,IF(Atletas!S593="Arma Maleável B",804,IF(Atletas!S593="Arma Dupla C",805,IF(Atletas!S593="Arma Maleável C",806,IF(Atletas!S593="Arma Dupla D",807,IF(Atletas!S593="Arma Maleável D",808,IF(Atletas!S593="Arma Dupla E",809,IF(Atletas!S593="Arma Maleável E",810,IF(Atletas!S593="Arma Dupla F",811,IF(Atletas!S593="Arma Maleável F",812, "")))))))))))))</f>
        <v/>
      </c>
      <c r="BV597" s="52" t="str">
        <f>IF(Atletas!T593="","",IF(Atletas!W593&lt;&gt;"",10000,0)+IF(Atletas!B593="Feminino",1000,IF(Atletas!B593="Masculino",2000,""))+IF(Atletas!T593="Taijijian Yang A",901,IF(Atletas!T593="Taijijian Chen A",902,IF(Atletas!T593="Taijijian Sun A",903,IF(Atletas!T593="Taijijian Wu A",904,IF(Atletas!T593="Taijijian Wu-Hao A",905,IF(Atletas!T593="Taijijian 32 A",906,IF(Atletas!T593="Taijijian 42 A",907,IF(Atletas!T593="Taijijian Yang B",908,IF(Atletas!T593="Taijijian Chen B",909,IF(Atletas!T593="Taijijian Sun B",910,IF(Atletas!T593="Taijijian Wu B",911,IF(Atletas!T593="Taijijian Wu-Hao B",912,IF(Atletas!T593="Taijijian 32 B",913,IF(Atletas!T593="Taijijian 42 B",914,IF(Atletas!T593="Taijijian Yang C",915,IF(Atletas!T593="Taijijian Chen C",916,IF(Atletas!T593="Taijijian Sun C",917,IF(Atletas!T593="Taijijian Wu C",918,IF(Atletas!T593="Taijijian Wu-Hao C",919,IF(Atletas!T593="Taijijian 32 C",920,IF(Atletas!T593="Taijijian 42 C",921,IF(Atletas!T593="Taijijian Yang D",922,IF(Atletas!T593="Taijijian Chen D",923,IF(Atletas!T593="Taijijian Sun D",924,IF(Atletas!T593="Taijijian Wu D",925,IF(Atletas!T593="Taijijian Wu-Hao D",926,IF(Atletas!T593="Taijijian 32 D",927,IF(Atletas!T593="Taijijian 42 D",928,IF(Atletas!T593="Taijijian Yang E",929,IF(Atletas!T593="Taijijian Chen E",930,IF(Atletas!T593="Taijijian Sun E",931,IF(Atletas!T593="Taijijian Wu E",932,IF(Atletas!T593="Taijijian Wu-Hao E",933,IF(Atletas!T593="Taijijian 32 E",934,IF(Atletas!T593="Taijijian 42 E",935,IF(Atletas!T593="Taijijian Yang F",936,IF(Atletas!T593="Taijijian Chen F",937,IF(Atletas!T593="Taijijian Sun F",938,IF(Atletas!T593="Taijijian Wu F",939,IF(Atletas!T593="Taijijian Wu-Hao F",940,IF(Atletas!T593="Taijijian 32 F",941,IF(Atletas!T593="Taijijian 42 F",942,"")))))))))))))))))))))))))))))))))))))))))))</f>
        <v/>
      </c>
      <c r="BW597" s="52" t="str">
        <f>IF(Atletas!U593="","",IF(Atletas!W593&lt;&gt;"",10000,0)+IF(Atletas!B593="Feminino",1000,IF(Atletas!B593="Masculino",2000,""))+IF(Atletas!T593="Taijijian 42 F",942,IF(Atletas!U593="Taijidao A",943,IF(Atletas!U593="Taijishan A",944,IF(Atletas!U593="Taijiqiang A",945,IF(Atletas!U593="Taijidao B",946,IF(Atletas!U593="Taijishan B",947,IF(Atletas!U593="Taijiqiang B",948,IF(Atletas!U593="Taijidao C",949,IF(Atletas!U593="Taijishan C",950,IF(Atletas!U593="Taijiqiang C",951,IF(Atletas!U593="Taijidao D",952,IF(Atletas!U593="Taijishan D",953,IF(Atletas!U593="Taijiqiang D",954,IF(Atletas!U593="Taijidao E",955,IF(Atletas!U593="Taijishan E",956,IF(Atletas!U593="Taijiqiang E",957,IF(Atletas!U593="Taijidao F",958,IF(Atletas!U593="Taijishan F",959,IF(Atletas!U593="Taijiqiang F",960))))))))))))))))))))</f>
        <v/>
      </c>
      <c r="CF597" s="52" t="str">
        <f xml:space="preserve"> IF(Atletas!V593="","",IF(Atletas!V593="Duilian de Mãos AB - Equipe 1",1,IF(Atletas!V593="Duilian de Mãos AB - Equipe 2",2,IF(Atletas!V593="Duilian de Armas AB - Equipe 1",3,IF(Atletas!V593="Duilian de Armas AB - Equipe 2",4,IF(Atletas!V593="Duilian de Tuishou - Equipe 1",5,IF(Atletas!V593="Duilian de Tuishou - Equipe 2",6,IF(Atletas!V593="Grupo Externo AB - Equipe 1",7,IF(Atletas!V593="Grupo Externo AB - Equipe 2",8,IF(Atletas!V593="Grupo Interno AB - Equipe 1",9,IF(Atletas!V593="Grupo Interno AB - Equipe 2",10,IF(Atletas!V593="Duilian de Mãos CD - Equipe 1",11,IF(Atletas!V593="Duilian de Mãos CD - Equipe 2",12,IF(Atletas!V593="Duilian de Armas CD - Equipe 1",13,IF(Atletas!V593="Duilian de Armas CD - Equipe 2",14,IF(Atletas!V593="Duilian de Tuishou - Equipe 1",15,IF(Atletas!V593="Duilian de Tuishou - Equipe 2",16,IF(Atletas!V593="Grupo Externo CDEF - Equipe 1",17,IF(Atletas!V593="Grupo Externo CDEF - Equipe 2",18,IF(Atletas!V593="Grupo Interno CDEF - Equipe 1",19,IF(Atletas!V593="Grupo Interno CDEF - Equipe 2",20,IF(Atletas!V593="Duilian de Mãos EF - Equipe 1",21,IF(Atletas!V593="Duilian de Mãos EF - Equipe 2",22,IF(Atletas!V593="Duilian de Armas EF - Equipe 1",23,IF(Atletas!V593="Duilian de Armas EF - Equipe 2",24,IF(Atletas!V593="Duilian de Tuishou - Equipe 1",25,IF(Atletas!V593="Duilian de Tuishou - Equipe 2",26,"")))))))))))))))))))))))))))</f>
        <v/>
      </c>
    </row>
    <row r="598" spans="36:84">
      <c r="AJ598" s="46" t="str">
        <f>IF(Atletas!D594="","",IF(Atletas!B594="Feminino",100,IF(Atletas!B594="Masculino",200,""))+(IF(Atletas!D594="Infantil 39kg",1,IF(Atletas!D594="Infantil 42kg",2,IF(Atletas!D594="Infantil 45kg",3,IF(Atletas!D594="Infantil 48kg",4,IF(Atletas!D594="Infantil 52kg",5,IF(Atletas!D594="Infantil 56kg",6,IF(Atletas!D594="Infantil 60kg",7,IF(Atletas!D594="Juvenil 48kg",8,IF(Atletas!D594="Juvenil 52kg",9,IF(Atletas!D594="Juvenil 56kg",10,IF(Atletas!D594="Juvenil 60kg",11,IF(Atletas!D594="Juvenil 65kg",12,IF(Atletas!D594="Juvenil 70kg",13,IF(Atletas!D594="Juvenil 75kg",14,IF(Atletas!D594="Juvenil 80kg",15,IF(Atletas!D594="Adulto 48kg",16,IF(Atletas!D594="Adulto 52kg",17,IF(Atletas!D594="Adulto 56kg",18,IF(Atletas!D594="Adulto 60kg",19,IF(Atletas!D594="Adulto 65kg",20,IF(Atletas!D594="Adulto 70kg",21,IF(Atletas!D594="Adulto 75kg",22,IF(Atletas!D594="Adulto 80kg",23,IF(Atletas!D594="Adulto 85kg",24,IF(Atletas!D594="Adulto 90kg",25,IF(Atletas!D594="Adulto +90kg",26,""))))))))))))))))))))))))))))</f>
        <v/>
      </c>
      <c r="AO598" s="10" t="str">
        <f>IF(Atletas!E594="","",IF(Atletas!B594="Feminino",100,IF(Atletas!B594="Masculino",200,""))+(IF(Atletas!E594="Juvenil 44kg",1,IF(Atletas!E594="Juvenil 48kg",2,IF(Atletas!E594="Juvenil 52kg",3,IF(Atletas!E594="Juvenil 56kg",4,IF(Atletas!E594="Juvenil 60kg",5,IF(Atletas!E594="Juvenil 65kg",6,IF(Atletas!E594="Juvenil 70kg",7,IF(Atletas!E594="Juvenil 75kg",8,IF(Atletas!E594="Juvenil 82kg",9,IF(Atletas!E594="Juvenil 90kg",10,IF(Atletas!E594="Juvenil 100kg",11,IF(Atletas!E594="Adulto 48kg",12,IF(Atletas!E594="Adulto 52kg",13,IF(Atletas!E594="Adulto 56kg",14,IF(Atletas!E594="Adulto 60kg",15,IF(Atletas!E594="Adulto 65kg",16,IF(Atletas!E594="Adulto 70kg",17,IF(Atletas!E594="Adulto 75kg",18,IF(Atletas!E594="Adulto 82kg",19,IF(Atletas!E594="Adulto 90kg",20,IF(Atletas!E594="Adulto 100kg",21,IF(Atletas!E594="Adulto +100kg",22,""))))))))))))))))))))))))</f>
        <v/>
      </c>
      <c r="AT598" s="10" t="str">
        <f>IF(Atletas!F594="","",IF(Atletas!B594="Feminino",100,IF(Atletas!B594="Masculino",200,""))+(IF(Atletas!F594="Adulto 48kg",1,IF(Atletas!F594="Adulto 56kg",2,IF(Atletas!F594="Adulto 65kg",3,IF(Atletas!F594="Adulto 75kg",4,IF(Atletas!F594="Adulto +75kg",5,IF(Atletas!F594="Adulto 52kg",6,IF(Atletas!F594="Adulto 60kg",7,IF(Atletas!F594="Adulto 70kg",8,IF(Atletas!F594="Adulto 80kg",9,IF(Atletas!F594="Adulto 90kg",10,IF(Atletas!F594="Adulto +90kg",11,"")))))))))))))</f>
        <v/>
      </c>
      <c r="AY598" s="46" t="str">
        <f>IF(Atletas!G594="","",IF(Atletas!B594="Feminino",100,IF(Atletas!B594="Masculino",200,""))+(IF(Atletas!G594="Changquan Mirim",1,IF(Atletas!G594="Nanquan Mirim",2,IF(Atletas!G594="Taijiquan Mirim",3,IF(Atletas!G594="Changquan Grupo C",4,IF(Atletas!G594="Nanquan Grupo C",5,IF(Atletas!G594="Taijiquan Grupo C",6,IF(Atletas!G594="Changquan Grupo B",7,IF(Atletas!G594="Nanquan Grupo B",8,IF(Atletas!G594="Taijiquan Grupo B",9,IF(Atletas!G594="Changquan Grupo A",10,IF(Atletas!G594="Nanquan Grupo A",11,IF(Atletas!G594="Taijiquan Grupo A",12,IF(Atletas!G594="Changquan Opcional",13,IF(Atletas!G594="Nanquan Opcional",14,IF(Atletas!G594="Taijiquan Opcional",15,IF(Atletas!G594="Changquan Adulto",16,IF(Atletas!G594="Nanquan Adulto",17,IF(Atletas!G594="Taijiquan Adulto",18,""))))))))))))))))))))</f>
        <v/>
      </c>
      <c r="AZ598" s="46" t="str">
        <f>IF(Atletas!H594="","",IF(Atletas!B594="Feminino",100,IF(Atletas!B594="Masculino",200,""))+(IF(Atletas!H594="Daoshu Mirim",19,IF(Atletas!H594="Jianshu Mirim",20,IF(Atletas!H594="Nandao Mirim",21,IF(Atletas!H594="Taijijian Mirim",22,IF(Atletas!H594="Daoshu Grupo C",23,IF(Atletas!H594="Jianshu Grupo C",24,IF(Atletas!H594="Nandao Grupo C",25,IF(Atletas!H594="Taijijian Grupo C",26,IF(Atletas!H594="Daoshu Grupo B",27,IF(Atletas!H594="Jianshu Grupo B",28,IF(Atletas!H594="Nandao Grupo B",29,IF(Atletas!H594="Taijijian Grupo B",30,IF(Atletas!H594="Daoshu Grupo A",31,IF(Atletas!H594="Jianshu Grupo A",32,IF(Atletas!H594="Nandao Grupo A",33,IF(Atletas!H594="Taijijian Grupo A",34,IF(Atletas!H594="Daoshu Opcional",35,IF(Atletas!H594="Jianshu Opcional",36,IF(Atletas!H594="Nandao Opcional",37,IF(Atletas!H594="Taijijian Opcional",38,IF(Atletas!H594="Daoshu Adulto",39,IF(Atletas!H594="Jianshu Adulto",40,IF(Atletas!H594="Nandao Adulto",41,IF(Atletas!H594="Taijijian Adulto",42,""))))))))))))))))))))))))))</f>
        <v/>
      </c>
      <c r="BA598" s="46" t="str">
        <f>IF(Atletas!I594="","",IF(Atletas!B594="Feminino",100,IF(Atletas!B594="Masculino",200,""))+(IF(Atletas!I594="Gunshu Mirim",43,IF(Atletas!I594="Qiangshu Mirim",44,IF(Atletas!I594="Nangun Mirim",45,IF(Atletas!I594="Gunshu Grupo C",46,IF(Atletas!I594="Qiangshu Grupo C",47,IF(Atletas!I594="Nangun Grupo C",48,IF(Atletas!I594="Gunshu Grupo B",49,IF(Atletas!I594="Qiangshu Grupo B",50,IF(Atletas!I594="Nangun Grupo B",51,IF(Atletas!I594="Gunshu Grupo A",52,IF(Atletas!I594="Qiangshu Grupo A",53,IF(Atletas!I594="Nangun Grupo A",54,IF(Atletas!I594="Gunshu Opcional",55,IF(Atletas!I594="Qiangshu Opcional",56,IF(Atletas!I594="Nangun Opcional",57,IF(Atletas!I594="Gunshu Adulto",58,IF(Atletas!I594="Qiangshu Adulto",59,IF(Atletas!I594="Nangun Adulto",60,""))))))))))))))))))))</f>
        <v/>
      </c>
      <c r="BF598" s="52" t="str">
        <f>IF(Atletas!J594="","",IF(Atletas!B594="Feminino",100,IF(Atletas!B594="Masculino",200,""))+(IF(Atletas!J594="Equipe 1 Grupo B",1,IF(Atletas!J594="Equipe 2 Grupo B",2,IF(Atletas!J594="Equipe 1 Grupo A",3,IF(Atletas!J594="Equipe 2 Grupo A",4,IF(Atletas!J594="Equipe 1 Adulto",5,IF(Atletas!J594="Equipe 2 Adulto",6,""))))))))</f>
        <v/>
      </c>
      <c r="BK598" s="52" t="str">
        <f>IF(Atletas!K594="","",IF(Atletas!W594&lt;&gt;"",10000,0)+(IF(Atletas!B594="Feminino",1000,IF(Atletas!B594="Masculino",2000,""))+IF(Atletas!K594="Choylayfut A",1,IF(Atletas!K594="Hunggar A",2,IF(Atletas!K594="Wuzuquan A",3,IF(Atletas!K594="Wingchun A",4,IF(Atletas!K594="Outra Mão de Sul A",5,IF(Atletas!K594="Choylayfut B",6,IF(Atletas!K594="Hunggar B",7,IF(Atletas!K594="Wuzuquan B",8,IF(Atletas!K594="Wingchun B",9,IF(Atletas!K594="Outra Mão de Sul B",10,IF(Atletas!K594="Choylayfut C",11,IF(Atletas!K594="Hunggar C",12,IF(Atletas!K594="Wuzuquan C",13,IF(Atletas!K594="Wingchun C",14,IF(Atletas!K594="Outra Mão de Sul C",15,IF(Atletas!K594="Choylayfut D",16,IF(Atletas!K594="Hunggar D",17,IF(Atletas!K594="Wuzuquan D",18,IF(Atletas!K594="Wingchun D",19,IF(Atletas!K594="Outra Mão de Sul D",20,IF(Atletas!K594="Choylayfut E",21,IF(Atletas!K594="Hunggar E",22,IF(Atletas!K594="Wuzuquan E",23,IF(Atletas!K594="Wingchun E",24,IF(Atletas!K594="Outra Mão de Sul E",25,IF(Atletas!K594="Choylayfut F",26,IF(Atletas!K594="Hunggar F",27,IF(Atletas!K594="Wuzuquan F",28,IF(Atletas!K594="Wingchun F",29,IF(Atletas!K594="Outra Mão de Sul F",30,""))))))))))))))))))))))))))))))))</f>
        <v/>
      </c>
      <c r="BL598" s="52" t="str">
        <f>IF(Atletas!L594="","",IF(Atletas!W594&lt;&gt;"",10000,0)+(IF(Atletas!B594="Feminino",1000,IF(Atletas!B594="Masculino",2000,""))+(IF(Atletas!L594="Chaquan A",101,IF(Atletas!L594="Emeiquan A",102,IF(Atletas!L594="Fanziquan A",103,IF(Atletas!L594="Huaquan A",104,IF(Atletas!L594="Hongquan A",105,IF(Atletas!L594="Paochui A",106,IF(Atletas!L594="Piguaquan A",107,IF(Atletas!L594="Shaolinquan A",108,IF(Atletas!L594="Tanglangquan A",109,IF(Atletas!L594="Yinzhaophai A",110,IF(Atletas!L594="Tongbeiquan A",111,IF(Atletas!L594="Wudangquan A",112,IF(Atletas!L594="Outros Estilos A",113,IF(Atletas!L594="Chaquan B",114,IF(Atletas!L594="Emeiquan B",115,IF(Atletas!L594="Fanziquan B",116,IF(Atletas!L594="Huaquan B",117,IF(Atletas!L594="Hongquan B",118,IF(Atletas!L594="Paochui B",119,IF(Atletas!L594="Piguaquan B",120,IF(Atletas!L594="Shaolinquan B",121,IF(Atletas!L594="Tanglangquan B",122,IF(Atletas!L594="Yinzhaophai B",123,IF(Atletas!L594="Tongbeiquan B",124,IF(Atletas!L594="Wudangquan B",125,IF(Atletas!L594="Outros Estilos B",126,IF(Atletas!L594="Chaquan C",127,IF(Atletas!L594="Emeiquan C",128,IF(Atletas!L594="Fanziquan C",129,IF(Atletas!L594="Huaquan C",130,IF(Atletas!L594="Hongquan C",131,IF(Atletas!L594="Paochui C",132,IF(Atletas!L594="Piguaquan C",133,IF(Atletas!L594="Shaolinquan C",134,IF(Atletas!L594="Tanglangquan C",135,IF(Atletas!L594="Yinzhaophai C",136,IF(Atletas!L594="Tongbeiquan C",137,IF(Atletas!L594="Wudangquan C",138,IF(Atletas!L594="Outros Estilos C",139,0))))))))))))))))))))))))))))))))))))))))))</f>
        <v/>
      </c>
      <c r="BM598" s="52" t="str">
        <f>IF(Atletas!L594="","",IF(Atletas!W594&lt;&gt;"",10000,0)+(IF(Atletas!B594="Feminino",1000,IF(Atletas!B594="Masculino",2000,""))+(IF(Atletas!L594="Chaquan D",140,IF(Atletas!L594="Emeiquan D",141,IF(Atletas!L594="Fanziquan D",142,IF(Atletas!L594="Huaquan D",143,IF(Atletas!L594="Hongquan D",144,IF(Atletas!L594="Paochui D",145,IF(Atletas!L594="Piguaquan D",146,IF(Atletas!L594="Shaolinquan D",147,IF(Atletas!L594="Tanglangquan D",148,IF(Atletas!L594="Yinzhaophai D",149,IF(Atletas!L594="Tongbeiquan D",150,IF(Atletas!L594="Wudangquan D",151,IF(Atletas!L594="Outros Estilos D",152,IF(Atletas!L594="Chaquan E",153,IF(Atletas!L594="Emeiquan E",154,IF(Atletas!L594="Fanziquan E",155,IF(Atletas!L594="Huaquan E",156,IF(Atletas!L594="Hongquan E",157,IF(Atletas!L594="Paochui E",158,IF(Atletas!L594="Piguaquan E",159,IF(Atletas!L594="Shaolinquan E",160,IF(Atletas!L594="Tanglangquan E",161,IF(Atletas!L594="Yinzhaophai E",162,IF(Atletas!L594="Tongbeiquan E",163,IF(Atletas!L594="Wudangquan E",164,IF(Atletas!L594="Outros Estilos E",165,IF(Atletas!L594="Chaquan F",166,IF(Atletas!L594="Emeiquan F",167,IF(Atletas!L594="Fanziquan F",168,IF(Atletas!L594="Huaquan F",169,IF(Atletas!L594="Hongquan F",170,IF(Atletas!L594="Paochui F",171,IF(Atletas!L594="Piguaquan F",172,IF(Atletas!L594="Shaolinquan F",173,IF(Atletas!L594="Tanglangquan F",174,IF(Atletas!L594="Yinzhaophai F",175,IF(Atletas!L594="Tongbeiquan F",176,IF(Atletas!L594="Wudangquan F",177,IF(Atletas!L594="Outros Estilos F",178,0))))))))))))))))))))))))))))))))))))))))))</f>
        <v/>
      </c>
      <c r="BN598" s="52" t="str">
        <f>IF(Atletas!M594="","",IF(Atletas!W594&lt;&gt;"",10000,0)+(IF(Atletas!B594="Feminino",1000,IF(Atletas!B594="Masculino",2000,""))+(IF(Atletas!M594="Ditangquan A",201,IF(Atletas!M594="Houquan A",202,IF(Atletas!M594="Zuiquan A",203,IF(Atletas!M594="Ditangquan B",204,IF(Atletas!M594="Houquan B",205,IF(Atletas!M594="Zuiquan B",206,IF(Atletas!M594="Ditangquan C",207,IF(Atletas!M594="Houquan C",208,IF(Atletas!M594="Zuiquan C",209,IF(Atletas!M594="Ditangquan D",210,IF(Atletas!M594="Houquan D",211,IF(Atletas!M594="Zuiquan D",212,IF(Atletas!M594="Ditangquan E",213,IF(Atletas!M594="Houquan E",214,IF(Atletas!M594="Zuiquan E",215,IF(Atletas!M594="Ditangquan F",216,IF(Atletas!M594="Houquan F",217,IF(Atletas!M594="Zuiquan F",218,"")))))))))))))))))))))</f>
        <v/>
      </c>
      <c r="BO598" s="52" t="str">
        <f>IF(Atletas!N594="","",IF(Atletas!W594&lt;&gt;"",10000,0)+IF(Atletas!B594="Feminino",1000,IF(Atletas!B594="Masculino",2000,""))+IF(Atletas!N594="Yang A",301,IF(Atletas!N594="Chen A",30,IF(Atletas!N594="Sun A",303,IF(Atletas!N594="Wu A",304,IF(Atletas!N594="Wu-Hao A",305,IF(Atletas!N594="Outro Taijiquan A",306,IF(Atletas!N594="Yang B",307,IF(Atletas!N594="Chen B",308,IF(Atletas!N594="Sun B",309,IF(Atletas!N594="Wu B",310,IF(Atletas!N594="Wu-Hao B",311,IF(Atletas!N594="Outro Taijiquan B",312,IF(Atletas!N594="Yang C",313,IF(Atletas!N594="Chen C",314,IF(Atletas!N594="Sun C",315,IF(Atletas!N594="Wu C",316,IF(Atletas!N594="Wu-Hao C",317,IF(Atletas!N594="Outro Taijiquan C",318,IF(Atletas!N594="Yang D",319,IF(Atletas!N594="Chen D",320,IF(Atletas!N594="Sun D",321,IF(Atletas!N594="Wu D",322,IF(Atletas!N594="Wu-Hao D",323,IF(Atletas!N594="Outro Taijiquan D",324,IF(Atletas!N594="Yang E",325,IF(Atletas!N594="Chen E",326,IF(Atletas!N594="Sun E",327,IF(Atletas!N594="Wu E",328,IF(Atletas!N594="Wu-Hao E",329,IF(Atletas!N594="Outro Taijiquan E",330,IF(Atletas!N594="Yang F",331,IF(Atletas!N594="Chen F",332,IF(Atletas!N594="Sun F",333,IF(Atletas!N594="Wu F",334,IF(Atletas!N594="Wu-Hao F",335,IF(Atletas!N594="Outro Taijiquan F",336,"")))))))))))))))))))))))))))))))))))))</f>
        <v/>
      </c>
      <c r="BP598" s="52" t="str">
        <f>IF(Atletas!O594="","",IF(Atletas!W594&lt;&gt;"",10000,0)+IF(Atletas!B594="Feminino",1000,IF(Atletas!B594="Masculino",2000,""))+IF(OR(Atletas!O594="Yang 26 A",Atletas!O594="Yang 40 A"),401,IF(OR(Atletas!O594="Chen 25 A",Atletas!O594="Chen 36 A",Atletas!O594="Chen 56 A"),402,IF(Atletas!O594="Sun 73 A",403,IF(Atletas!O594="Wu 45 A",404,IF(Atletas!O594="Wu-Hao 46 A",405,IF(OR(Atletas!O594="Taijiquan 16 A",Atletas!O594="Taijiquan 24 A",Atletas!O594="Taijiquan 32 A",Atletas!O594="Taijiquan 42 A"),406,IF(OR(Atletas!O594="Yang 26 B",Atletas!O594="Yang 40 B"),407,IF(OR(Atletas!O594="Chen 25 B",Atletas!O594="Chen 36 B",Atletas!O594="Chen 56 B"),408,IF(Atletas!O594="Sun 73 B",409,IF(Atletas!O594="Wu 45 B",410,IF(Atletas!O594="Wu-Hao 46 B",411,IF(OR(Atletas!O594="Taijiquan 16 B",Atletas!O594="Taijiquan 24 B",Atletas!O594="Taijiquan 32 B",Atletas!O594="Taijiquan 42 B"),412,IF(OR(Atletas!O594="Yang 26 C",Atletas!O594="Yang 40 C"),413,IF(OR(Atletas!O594="Chen 25 C",Atletas!O594="Chen 36 C",Atletas!O594="Chen 56 C"),414,IF(Atletas!O594="Sun 73 C",415,IF(Atletas!O594="Wu 45 C",416,IF(Atletas!O594="Wu-Hao 46 C",417,IF(OR(Atletas!O594="Taijiquan 16 C",Atletas!O594="Taijiquan 24 C",Atletas!O594="Taijiquan 32 C",Atletas!O594="Taijiquan 42 C"),418,0)))))))))))))))))))</f>
        <v/>
      </c>
      <c r="BQ598" s="52" t="str">
        <f>IF(Atletas!O594="","",IF(Atletas!W594&lt;&gt;"",10000,0)+IF(Atletas!B594="Feminino",1000,IF(Atletas!B594="Masculino",2000,""))+IF(OR(Atletas!O594="Yang 26 D",Atletas!O594="Yang 40 D"),419,IF(OR(Atletas!O594="Chen 25 D",Atletas!O594="Chen 36 D",Atletas!O594="Chen 56 D"),420,IF(Atletas!O594="Sun 73 D",421,IF(Atletas!O594="Wu 45 D",422,IF(Atletas!O594="Wu-Hao 46 D",423,IF(OR(Atletas!O594="Taijiquan 16 D",Atletas!O594="Taijiquan 24 D",Atletas!O594="Taijiquan 32 D",Atletas!O594="Taijiquan 42 D"),424,IF(OR(Atletas!O594="Yang 26 E",Atletas!O594="Yang 40 E"),425,IF(OR(Atletas!O594="Chen 25 E",Atletas!O594="Chen 36 E",Atletas!O594="Chen 56 E"),426,IF(Atletas!O594="Sun 73 E",427,IF(Atletas!O594="Wu 45 E",428,IF(Atletas!O594="Wu-Hao 46 E",429,IF(OR(Atletas!O594="Taijiquan 16 E",Atletas!O594="Taijiquan 24 E",Atletas!O594="Taijiquan 32 E",Atletas!O594="Taijiquan 42 E"),430,IF(OR(Atletas!O594="Yang 26 F",Atletas!O594="Yang 40 F"),431,IF(OR(Atletas!O594="Chen 25 F",Atletas!O594="Chen 36 F",Atletas!O594="Chen 56 F"),432,IF(Atletas!O594="Sun 73 F",433,IF(Atletas!O594="Wu 45 F",434,IF(Atletas!O594="Wu-Hao 46 F",435,IF(OR(Atletas!O594="Taijiquan 16 F",Atletas!O594="Taijiquan 24 F",Atletas!O594="Taijiquan 32 F",Atletas!O594="Taijiquan 42 F"),436,0)))))))))))))))))))</f>
        <v/>
      </c>
      <c r="BR598" s="52" t="str">
        <f>IF(Atletas!P594="","",IF(Atletas!W594&lt;&gt;"",10000,0)+IF(Atletas!B594="Feminino",1000,IF(Atletas!B594="Masculino",2000,""))+IF(Atletas!P594="Xingyiquan A",501,IF(Atletas!P594="Baguazhang A",502,IF(Atletas!P594="Outro Estilo Interno A",503,IF(Atletas!P594="Xingyiquan B",504,IF(Atletas!P594="Baguazhang B",505,IF(Atletas!P594="Outro Estilo Interno B",506,IF(Atletas!P594="Xingyiquan C",507,IF(Atletas!P594="Baguazhang C",508,IF(Atletas!P594="Outro Estilo Interno C",509,IF(Atletas!P594="Xingyiquan D",510,IF(Atletas!P594="Baguazhang D",511,IF(Atletas!P594="Outro Estilo Interno D",512,IF(Atletas!P594="Xingyiquan E",513,IF(Atletas!P594="Baguazhang E",514,IF(Atletas!P594="Outro Estilo Interno E",515,IF(Atletas!P594="Xingyiquan F",516,IF(Atletas!P594="Baguazhang F",517,IF(Atletas!P594="Outro Estilo Interno F",518, "")))))))))))))))))))</f>
        <v/>
      </c>
      <c r="BS598" s="52" t="str">
        <f>IF(Atletas!Q594="","",IF(Atletas!W594&lt;&gt;"",10000,0)+IF(Atletas!B594="Feminino",1000,IF(Atletas!B594="Masculino",2000,""))+IF(Atletas!Q594="Dao A",601,IF(Atletas!Q594="Jian A",602,IF(Atletas!Q594="Bishou A",603,IF(Atletas!Q594="Shan A",604,IF(Atletas!Q594="Outra Arma Curta A",605,IF(Atletas!Q594="Dao B",606,IF(Atletas!Q594="Jian B",607,IF(Atletas!Q594="Bishou B",608,IF(Atletas!Q594="Shan B",609,IF(Atletas!Q594="Outra Arma Curta B",610,IF(Atletas!Q594="Dao C",611,IF(Atletas!Q594="Jian C",612,IF(Atletas!Q594="Bishou C",613,IF(Atletas!Q594="Shan C",614,IF(Atletas!Q594="Outra Arma Curta C",615,IF(Atletas!Q594="Dao D",616,IF(Atletas!Q594="Jian D",617,IF(Atletas!Q594="Bishou D",618,IF(Atletas!Q594="Shan D",619,IF(Atletas!Q594="Outra Arma Curta D",620,IF(Atletas!Q594="Dao E",621,IF(Atletas!Q594="Jian E",622,IF(Atletas!Q594="Bishou E",623,IF(Atletas!Q594="Shan E",624,IF(Atletas!Q594="Outra Arma Curta E",625,IF(Atletas!Q594="Dao F",626,IF(Atletas!Q594="Jian F",627,IF(Atletas!Q594="Bishou F",628,IF(Atletas!Q594="Shan F",629,IF(Atletas!Q594="Outra Arma Curta F",630, "")))))))))))))))))))))))))))))))</f>
        <v/>
      </c>
      <c r="BT598" s="52" t="str">
        <f>IF(Atletas!R594="","",IF(Atletas!W594&lt;&gt;"",10000,0)+IF(Atletas!B594="Feminino",1000,IF(Atletas!B594="Masculino",2000,""))+IF(Atletas!R594="Gun A",701,IF(Atletas!R594="Qiang A",702,IF(Atletas!R594="Pudao / Guandao A",703,IF(Atletas!R594="Outra Arma Longa A",704,IF(Atletas!R594="Gun B",705,IF(Atletas!R594="Qiang B",706,IF(Atletas!R594="Pudao / Guandao B",707,IF(Atletas!R594="Outra Arma Longa B",708,IF(Atletas!R594="Gun C",709,IF(Atletas!R594="Qiang C",710,IF(Atletas!R594="Pudao / Guandao C",711,IF(Atletas!R594="Outra Arma Longa C",712,IF(Atletas!R594="Gun D",713,IF(Atletas!R594="Qiang D",714,IF(Atletas!R594="Pudao / Guandao D",715,IF(Atletas!R594="Outra Arma Longa D",716,IF(Atletas!R594="Gun E",717,IF(Atletas!R594="Qiang E",718,IF(Atletas!R594="Pudao / Guandao E",719,IF(Atletas!R594="Outra Arma Longa E",720,IF(Atletas!R594="Gun F",721,IF(Atletas!R594="Qiang F",722,IF(Atletas!R594="Pudao / Guandao F",723,IF(Atletas!R594="Outra Arma Longa F",724,"")))))))))))))))))))))))))</f>
        <v/>
      </c>
      <c r="BU598" s="52" t="str">
        <f>IF(Atletas!S594="","",IF(Atletas!W594&lt;&gt;"",10000,0)+IF(Atletas!B594="Feminino",1000,IF(Atletas!B594="Masculino",2000,""))+IF(Atletas!S594="Arma Dupla A",801,IF(Atletas!S594="Arma Maleável A",802,IF(Atletas!S594="Arma Dupla B",803,IF(Atletas!S594="Arma Maleável B",804,IF(Atletas!S594="Arma Dupla C",805,IF(Atletas!S594="Arma Maleável C",806,IF(Atletas!S594="Arma Dupla D",807,IF(Atletas!S594="Arma Maleável D",808,IF(Atletas!S594="Arma Dupla E",809,IF(Atletas!S594="Arma Maleável E",810,IF(Atletas!S594="Arma Dupla F",811,IF(Atletas!S594="Arma Maleável F",812, "")))))))))))))</f>
        <v/>
      </c>
      <c r="BV598" s="52" t="str">
        <f>IF(Atletas!T594="","",IF(Atletas!W594&lt;&gt;"",10000,0)+IF(Atletas!B594="Feminino",1000,IF(Atletas!B594="Masculino",2000,""))+IF(Atletas!T594="Taijijian Yang A",901,IF(Atletas!T594="Taijijian Chen A",902,IF(Atletas!T594="Taijijian Sun A",903,IF(Atletas!T594="Taijijian Wu A",904,IF(Atletas!T594="Taijijian Wu-Hao A",905,IF(Atletas!T594="Taijijian 32 A",906,IF(Atletas!T594="Taijijian 42 A",907,IF(Atletas!T594="Taijijian Yang B",908,IF(Atletas!T594="Taijijian Chen B",909,IF(Atletas!T594="Taijijian Sun B",910,IF(Atletas!T594="Taijijian Wu B",911,IF(Atletas!T594="Taijijian Wu-Hao B",912,IF(Atletas!T594="Taijijian 32 B",913,IF(Atletas!T594="Taijijian 42 B",914,IF(Atletas!T594="Taijijian Yang C",915,IF(Atletas!T594="Taijijian Chen C",916,IF(Atletas!T594="Taijijian Sun C",917,IF(Atletas!T594="Taijijian Wu C",918,IF(Atletas!T594="Taijijian Wu-Hao C",919,IF(Atletas!T594="Taijijian 32 C",920,IF(Atletas!T594="Taijijian 42 C",921,IF(Atletas!T594="Taijijian Yang D",922,IF(Atletas!T594="Taijijian Chen D",923,IF(Atletas!T594="Taijijian Sun D",924,IF(Atletas!T594="Taijijian Wu D",925,IF(Atletas!T594="Taijijian Wu-Hao D",926,IF(Atletas!T594="Taijijian 32 D",927,IF(Atletas!T594="Taijijian 42 D",928,IF(Atletas!T594="Taijijian Yang E",929,IF(Atletas!T594="Taijijian Chen E",930,IF(Atletas!T594="Taijijian Sun E",931,IF(Atletas!T594="Taijijian Wu E",932,IF(Atletas!T594="Taijijian Wu-Hao E",933,IF(Atletas!T594="Taijijian 32 E",934,IF(Atletas!T594="Taijijian 42 E",935,IF(Atletas!T594="Taijijian Yang F",936,IF(Atletas!T594="Taijijian Chen F",937,IF(Atletas!T594="Taijijian Sun F",938,IF(Atletas!T594="Taijijian Wu F",939,IF(Atletas!T594="Taijijian Wu-Hao F",940,IF(Atletas!T594="Taijijian 32 F",941,IF(Atletas!T594="Taijijian 42 F",942,"")))))))))))))))))))))))))))))))))))))))))))</f>
        <v/>
      </c>
      <c r="BW598" s="52" t="str">
        <f>IF(Atletas!U594="","",IF(Atletas!W594&lt;&gt;"",10000,0)+IF(Atletas!B594="Feminino",1000,IF(Atletas!B594="Masculino",2000,""))+IF(Atletas!T594="Taijijian 42 F",942,IF(Atletas!U594="Taijidao A",943,IF(Atletas!U594="Taijishan A",944,IF(Atletas!U594="Taijiqiang A",945,IF(Atletas!U594="Taijidao B",946,IF(Atletas!U594="Taijishan B",947,IF(Atletas!U594="Taijiqiang B",948,IF(Atletas!U594="Taijidao C",949,IF(Atletas!U594="Taijishan C",950,IF(Atletas!U594="Taijiqiang C",951,IF(Atletas!U594="Taijidao D",952,IF(Atletas!U594="Taijishan D",953,IF(Atletas!U594="Taijiqiang D",954,IF(Atletas!U594="Taijidao E",955,IF(Atletas!U594="Taijishan E",956,IF(Atletas!U594="Taijiqiang E",957,IF(Atletas!U594="Taijidao F",958,IF(Atletas!U594="Taijishan F",959,IF(Atletas!U594="Taijiqiang F",960))))))))))))))))))))</f>
        <v/>
      </c>
      <c r="CF598" s="52" t="str">
        <f xml:space="preserve"> IF(Atletas!V594="","",IF(Atletas!V594="Duilian de Mãos AB - Equipe 1",1,IF(Atletas!V594="Duilian de Mãos AB - Equipe 2",2,IF(Atletas!V594="Duilian de Armas AB - Equipe 1",3,IF(Atletas!V594="Duilian de Armas AB - Equipe 2",4,IF(Atletas!V594="Duilian de Tuishou - Equipe 1",5,IF(Atletas!V594="Duilian de Tuishou - Equipe 2",6,IF(Atletas!V594="Grupo Externo AB - Equipe 1",7,IF(Atletas!V594="Grupo Externo AB - Equipe 2",8,IF(Atletas!V594="Grupo Interno AB - Equipe 1",9,IF(Atletas!V594="Grupo Interno AB - Equipe 2",10,IF(Atletas!V594="Duilian de Mãos CD - Equipe 1",11,IF(Atletas!V594="Duilian de Mãos CD - Equipe 2",12,IF(Atletas!V594="Duilian de Armas CD - Equipe 1",13,IF(Atletas!V594="Duilian de Armas CD - Equipe 2",14,IF(Atletas!V594="Duilian de Tuishou - Equipe 1",15,IF(Atletas!V594="Duilian de Tuishou - Equipe 2",16,IF(Atletas!V594="Grupo Externo CDEF - Equipe 1",17,IF(Atletas!V594="Grupo Externo CDEF - Equipe 2",18,IF(Atletas!V594="Grupo Interno CDEF - Equipe 1",19,IF(Atletas!V594="Grupo Interno CDEF - Equipe 2",20,IF(Atletas!V594="Duilian de Mãos EF - Equipe 1",21,IF(Atletas!V594="Duilian de Mãos EF - Equipe 2",22,IF(Atletas!V594="Duilian de Armas EF - Equipe 1",23,IF(Atletas!V594="Duilian de Armas EF - Equipe 2",24,IF(Atletas!V594="Duilian de Tuishou - Equipe 1",25,IF(Atletas!V594="Duilian de Tuishou - Equipe 2",26,"")))))))))))))))))))))))))))</f>
        <v/>
      </c>
    </row>
    <row r="599" spans="36:84">
      <c r="AJ599" s="46" t="str">
        <f>IF(Atletas!D595="","",IF(Atletas!B595="Feminino",100,IF(Atletas!B595="Masculino",200,""))+(IF(Atletas!D595="Infantil 39kg",1,IF(Atletas!D595="Infantil 42kg",2,IF(Atletas!D595="Infantil 45kg",3,IF(Atletas!D595="Infantil 48kg",4,IF(Atletas!D595="Infantil 52kg",5,IF(Atletas!D595="Infantil 56kg",6,IF(Atletas!D595="Infantil 60kg",7,IF(Atletas!D595="Juvenil 48kg",8,IF(Atletas!D595="Juvenil 52kg",9,IF(Atletas!D595="Juvenil 56kg",10,IF(Atletas!D595="Juvenil 60kg",11,IF(Atletas!D595="Juvenil 65kg",12,IF(Atletas!D595="Juvenil 70kg",13,IF(Atletas!D595="Juvenil 75kg",14,IF(Atletas!D595="Juvenil 80kg",15,IF(Atletas!D595="Adulto 48kg",16,IF(Atletas!D595="Adulto 52kg",17,IF(Atletas!D595="Adulto 56kg",18,IF(Atletas!D595="Adulto 60kg",19,IF(Atletas!D595="Adulto 65kg",20,IF(Atletas!D595="Adulto 70kg",21,IF(Atletas!D595="Adulto 75kg",22,IF(Atletas!D595="Adulto 80kg",23,IF(Atletas!D595="Adulto 85kg",24,IF(Atletas!D595="Adulto 90kg",25,IF(Atletas!D595="Adulto +90kg",26,""))))))))))))))))))))))))))))</f>
        <v/>
      </c>
      <c r="AO599" s="10" t="str">
        <f>IF(Atletas!E595="","",IF(Atletas!B595="Feminino",100,IF(Atletas!B595="Masculino",200,""))+(IF(Atletas!E595="Juvenil 44kg",1,IF(Atletas!E595="Juvenil 48kg",2,IF(Atletas!E595="Juvenil 52kg",3,IF(Atletas!E595="Juvenil 56kg",4,IF(Atletas!E595="Juvenil 60kg",5,IF(Atletas!E595="Juvenil 65kg",6,IF(Atletas!E595="Juvenil 70kg",7,IF(Atletas!E595="Juvenil 75kg",8,IF(Atletas!E595="Juvenil 82kg",9,IF(Atletas!E595="Juvenil 90kg",10,IF(Atletas!E595="Juvenil 100kg",11,IF(Atletas!E595="Adulto 48kg",12,IF(Atletas!E595="Adulto 52kg",13,IF(Atletas!E595="Adulto 56kg",14,IF(Atletas!E595="Adulto 60kg",15,IF(Atletas!E595="Adulto 65kg",16,IF(Atletas!E595="Adulto 70kg",17,IF(Atletas!E595="Adulto 75kg",18,IF(Atletas!E595="Adulto 82kg",19,IF(Atletas!E595="Adulto 90kg",20,IF(Atletas!E595="Adulto 100kg",21,IF(Atletas!E595="Adulto +100kg",22,""))))))))))))))))))))))))</f>
        <v/>
      </c>
      <c r="AT599" s="10" t="str">
        <f>IF(Atletas!F595="","",IF(Atletas!B595="Feminino",100,IF(Atletas!B595="Masculino",200,""))+(IF(Atletas!F595="Adulto 48kg",1,IF(Atletas!F595="Adulto 56kg",2,IF(Atletas!F595="Adulto 65kg",3,IF(Atletas!F595="Adulto 75kg",4,IF(Atletas!F595="Adulto +75kg",5,IF(Atletas!F595="Adulto 52kg",6,IF(Atletas!F595="Adulto 60kg",7,IF(Atletas!F595="Adulto 70kg",8,IF(Atletas!F595="Adulto 80kg",9,IF(Atletas!F595="Adulto 90kg",10,IF(Atletas!F595="Adulto +90kg",11,"")))))))))))))</f>
        <v/>
      </c>
      <c r="AY599" s="46" t="str">
        <f>IF(Atletas!G595="","",IF(Atletas!B595="Feminino",100,IF(Atletas!B595="Masculino",200,""))+(IF(Atletas!G595="Changquan Mirim",1,IF(Atletas!G595="Nanquan Mirim",2,IF(Atletas!G595="Taijiquan Mirim",3,IF(Atletas!G595="Changquan Grupo C",4,IF(Atletas!G595="Nanquan Grupo C",5,IF(Atletas!G595="Taijiquan Grupo C",6,IF(Atletas!G595="Changquan Grupo B",7,IF(Atletas!G595="Nanquan Grupo B",8,IF(Atletas!G595="Taijiquan Grupo B",9,IF(Atletas!G595="Changquan Grupo A",10,IF(Atletas!G595="Nanquan Grupo A",11,IF(Atletas!G595="Taijiquan Grupo A",12,IF(Atletas!G595="Changquan Opcional",13,IF(Atletas!G595="Nanquan Opcional",14,IF(Atletas!G595="Taijiquan Opcional",15,IF(Atletas!G595="Changquan Adulto",16,IF(Atletas!G595="Nanquan Adulto",17,IF(Atletas!G595="Taijiquan Adulto",18,""))))))))))))))))))))</f>
        <v/>
      </c>
      <c r="AZ599" s="46" t="str">
        <f>IF(Atletas!H595="","",IF(Atletas!B595="Feminino",100,IF(Atletas!B595="Masculino",200,""))+(IF(Atletas!H595="Daoshu Mirim",19,IF(Atletas!H595="Jianshu Mirim",20,IF(Atletas!H595="Nandao Mirim",21,IF(Atletas!H595="Taijijian Mirim",22,IF(Atletas!H595="Daoshu Grupo C",23,IF(Atletas!H595="Jianshu Grupo C",24,IF(Atletas!H595="Nandao Grupo C",25,IF(Atletas!H595="Taijijian Grupo C",26,IF(Atletas!H595="Daoshu Grupo B",27,IF(Atletas!H595="Jianshu Grupo B",28,IF(Atletas!H595="Nandao Grupo B",29,IF(Atletas!H595="Taijijian Grupo B",30,IF(Atletas!H595="Daoshu Grupo A",31,IF(Atletas!H595="Jianshu Grupo A",32,IF(Atletas!H595="Nandao Grupo A",33,IF(Atletas!H595="Taijijian Grupo A",34,IF(Atletas!H595="Daoshu Opcional",35,IF(Atletas!H595="Jianshu Opcional",36,IF(Atletas!H595="Nandao Opcional",37,IF(Atletas!H595="Taijijian Opcional",38,IF(Atletas!H595="Daoshu Adulto",39,IF(Atletas!H595="Jianshu Adulto",40,IF(Atletas!H595="Nandao Adulto",41,IF(Atletas!H595="Taijijian Adulto",42,""))))))))))))))))))))))))))</f>
        <v/>
      </c>
      <c r="BA599" s="46" t="str">
        <f>IF(Atletas!I595="","",IF(Atletas!B595="Feminino",100,IF(Atletas!B595="Masculino",200,""))+(IF(Atletas!I595="Gunshu Mirim",43,IF(Atletas!I595="Qiangshu Mirim",44,IF(Atletas!I595="Nangun Mirim",45,IF(Atletas!I595="Gunshu Grupo C",46,IF(Atletas!I595="Qiangshu Grupo C",47,IF(Atletas!I595="Nangun Grupo C",48,IF(Atletas!I595="Gunshu Grupo B",49,IF(Atletas!I595="Qiangshu Grupo B",50,IF(Atletas!I595="Nangun Grupo B",51,IF(Atletas!I595="Gunshu Grupo A",52,IF(Atletas!I595="Qiangshu Grupo A",53,IF(Atletas!I595="Nangun Grupo A",54,IF(Atletas!I595="Gunshu Opcional",55,IF(Atletas!I595="Qiangshu Opcional",56,IF(Atletas!I595="Nangun Opcional",57,IF(Atletas!I595="Gunshu Adulto",58,IF(Atletas!I595="Qiangshu Adulto",59,IF(Atletas!I595="Nangun Adulto",60,""))))))))))))))))))))</f>
        <v/>
      </c>
      <c r="BF599" s="52" t="str">
        <f>IF(Atletas!J595="","",IF(Atletas!B595="Feminino",100,IF(Atletas!B595="Masculino",200,""))+(IF(Atletas!J595="Equipe 1 Grupo B",1,IF(Atletas!J595="Equipe 2 Grupo B",2,IF(Atletas!J595="Equipe 1 Grupo A",3,IF(Atletas!J595="Equipe 2 Grupo A",4,IF(Atletas!J595="Equipe 1 Adulto",5,IF(Atletas!J595="Equipe 2 Adulto",6,""))))))))</f>
        <v/>
      </c>
      <c r="BK599" s="52" t="str">
        <f>IF(Atletas!K595="","",IF(Atletas!W595&lt;&gt;"",10000,0)+(IF(Atletas!B595="Feminino",1000,IF(Atletas!B595="Masculino",2000,""))+IF(Atletas!K595="Choylayfut A",1,IF(Atletas!K595="Hunggar A",2,IF(Atletas!K595="Wuzuquan A",3,IF(Atletas!K595="Wingchun A",4,IF(Atletas!K595="Outra Mão de Sul A",5,IF(Atletas!K595="Choylayfut B",6,IF(Atletas!K595="Hunggar B",7,IF(Atletas!K595="Wuzuquan B",8,IF(Atletas!K595="Wingchun B",9,IF(Atletas!K595="Outra Mão de Sul B",10,IF(Atletas!K595="Choylayfut C",11,IF(Atletas!K595="Hunggar C",12,IF(Atletas!K595="Wuzuquan C",13,IF(Atletas!K595="Wingchun C",14,IF(Atletas!K595="Outra Mão de Sul C",15,IF(Atletas!K595="Choylayfut D",16,IF(Atletas!K595="Hunggar D",17,IF(Atletas!K595="Wuzuquan D",18,IF(Atletas!K595="Wingchun D",19,IF(Atletas!K595="Outra Mão de Sul D",20,IF(Atletas!K595="Choylayfut E",21,IF(Atletas!K595="Hunggar E",22,IF(Atletas!K595="Wuzuquan E",23,IF(Atletas!K595="Wingchun E",24,IF(Atletas!K595="Outra Mão de Sul E",25,IF(Atletas!K595="Choylayfut F",26,IF(Atletas!K595="Hunggar F",27,IF(Atletas!K595="Wuzuquan F",28,IF(Atletas!K595="Wingchun F",29,IF(Atletas!K595="Outra Mão de Sul F",30,""))))))))))))))))))))))))))))))))</f>
        <v/>
      </c>
      <c r="BL599" s="52" t="str">
        <f>IF(Atletas!L595="","",IF(Atletas!W595&lt;&gt;"",10000,0)+(IF(Atletas!B595="Feminino",1000,IF(Atletas!B595="Masculino",2000,""))+(IF(Atletas!L595="Chaquan A",101,IF(Atletas!L595="Emeiquan A",102,IF(Atletas!L595="Fanziquan A",103,IF(Atletas!L595="Huaquan A",104,IF(Atletas!L595="Hongquan A",105,IF(Atletas!L595="Paochui A",106,IF(Atletas!L595="Piguaquan A",107,IF(Atletas!L595="Shaolinquan A",108,IF(Atletas!L595="Tanglangquan A",109,IF(Atletas!L595="Yinzhaophai A",110,IF(Atletas!L595="Tongbeiquan A",111,IF(Atletas!L595="Wudangquan A",112,IF(Atletas!L595="Outros Estilos A",113,IF(Atletas!L595="Chaquan B",114,IF(Atletas!L595="Emeiquan B",115,IF(Atletas!L595="Fanziquan B",116,IF(Atletas!L595="Huaquan B",117,IF(Atletas!L595="Hongquan B",118,IF(Atletas!L595="Paochui B",119,IF(Atletas!L595="Piguaquan B",120,IF(Atletas!L595="Shaolinquan B",121,IF(Atletas!L595="Tanglangquan B",122,IF(Atletas!L595="Yinzhaophai B",123,IF(Atletas!L595="Tongbeiquan B",124,IF(Atletas!L595="Wudangquan B",125,IF(Atletas!L595="Outros Estilos B",126,IF(Atletas!L595="Chaquan C",127,IF(Atletas!L595="Emeiquan C",128,IF(Atletas!L595="Fanziquan C",129,IF(Atletas!L595="Huaquan C",130,IF(Atletas!L595="Hongquan C",131,IF(Atletas!L595="Paochui C",132,IF(Atletas!L595="Piguaquan C",133,IF(Atletas!L595="Shaolinquan C",134,IF(Atletas!L595="Tanglangquan C",135,IF(Atletas!L595="Yinzhaophai C",136,IF(Atletas!L595="Tongbeiquan C",137,IF(Atletas!L595="Wudangquan C",138,IF(Atletas!L595="Outros Estilos C",139,0))))))))))))))))))))))))))))))))))))))))))</f>
        <v/>
      </c>
      <c r="BM599" s="52" t="str">
        <f>IF(Atletas!L595="","",IF(Atletas!W595&lt;&gt;"",10000,0)+(IF(Atletas!B595="Feminino",1000,IF(Atletas!B595="Masculino",2000,""))+(IF(Atletas!L595="Chaquan D",140,IF(Atletas!L595="Emeiquan D",141,IF(Atletas!L595="Fanziquan D",142,IF(Atletas!L595="Huaquan D",143,IF(Atletas!L595="Hongquan D",144,IF(Atletas!L595="Paochui D",145,IF(Atletas!L595="Piguaquan D",146,IF(Atletas!L595="Shaolinquan D",147,IF(Atletas!L595="Tanglangquan D",148,IF(Atletas!L595="Yinzhaophai D",149,IF(Atletas!L595="Tongbeiquan D",150,IF(Atletas!L595="Wudangquan D",151,IF(Atletas!L595="Outros Estilos D",152,IF(Atletas!L595="Chaquan E",153,IF(Atletas!L595="Emeiquan E",154,IF(Atletas!L595="Fanziquan E",155,IF(Atletas!L595="Huaquan E",156,IF(Atletas!L595="Hongquan E",157,IF(Atletas!L595="Paochui E",158,IF(Atletas!L595="Piguaquan E",159,IF(Atletas!L595="Shaolinquan E",160,IF(Atletas!L595="Tanglangquan E",161,IF(Atletas!L595="Yinzhaophai E",162,IF(Atletas!L595="Tongbeiquan E",163,IF(Atletas!L595="Wudangquan E",164,IF(Atletas!L595="Outros Estilos E",165,IF(Atletas!L595="Chaquan F",166,IF(Atletas!L595="Emeiquan F",167,IF(Atletas!L595="Fanziquan F",168,IF(Atletas!L595="Huaquan F",169,IF(Atletas!L595="Hongquan F",170,IF(Atletas!L595="Paochui F",171,IF(Atletas!L595="Piguaquan F",172,IF(Atletas!L595="Shaolinquan F",173,IF(Atletas!L595="Tanglangquan F",174,IF(Atletas!L595="Yinzhaophai F",175,IF(Atletas!L595="Tongbeiquan F",176,IF(Atletas!L595="Wudangquan F",177,IF(Atletas!L595="Outros Estilos F",178,0))))))))))))))))))))))))))))))))))))))))))</f>
        <v/>
      </c>
      <c r="BN599" s="52" t="str">
        <f>IF(Atletas!M595="","",IF(Atletas!W595&lt;&gt;"",10000,0)+(IF(Atletas!B595="Feminino",1000,IF(Atletas!B595="Masculino",2000,""))+(IF(Atletas!M595="Ditangquan A",201,IF(Atletas!M595="Houquan A",202,IF(Atletas!M595="Zuiquan A",203,IF(Atletas!M595="Ditangquan B",204,IF(Atletas!M595="Houquan B",205,IF(Atletas!M595="Zuiquan B",206,IF(Atletas!M595="Ditangquan C",207,IF(Atletas!M595="Houquan C",208,IF(Atletas!M595="Zuiquan C",209,IF(Atletas!M595="Ditangquan D",210,IF(Atletas!M595="Houquan D",211,IF(Atletas!M595="Zuiquan D",212,IF(Atletas!M595="Ditangquan E",213,IF(Atletas!M595="Houquan E",214,IF(Atletas!M595="Zuiquan E",215,IF(Atletas!M595="Ditangquan F",216,IF(Atletas!M595="Houquan F",217,IF(Atletas!M595="Zuiquan F",218,"")))))))))))))))))))))</f>
        <v/>
      </c>
      <c r="BO599" s="52" t="str">
        <f>IF(Atletas!N595="","",IF(Atletas!W595&lt;&gt;"",10000,0)+IF(Atletas!B595="Feminino",1000,IF(Atletas!B595="Masculino",2000,""))+IF(Atletas!N595="Yang A",301,IF(Atletas!N595="Chen A",30,IF(Atletas!N595="Sun A",303,IF(Atletas!N595="Wu A",304,IF(Atletas!N595="Wu-Hao A",305,IF(Atletas!N595="Outro Taijiquan A",306,IF(Atletas!N595="Yang B",307,IF(Atletas!N595="Chen B",308,IF(Atletas!N595="Sun B",309,IF(Atletas!N595="Wu B",310,IF(Atletas!N595="Wu-Hao B",311,IF(Atletas!N595="Outro Taijiquan B",312,IF(Atletas!N595="Yang C",313,IF(Atletas!N595="Chen C",314,IF(Atletas!N595="Sun C",315,IF(Atletas!N595="Wu C",316,IF(Atletas!N595="Wu-Hao C",317,IF(Atletas!N595="Outro Taijiquan C",318,IF(Atletas!N595="Yang D",319,IF(Atletas!N595="Chen D",320,IF(Atletas!N595="Sun D",321,IF(Atletas!N595="Wu D",322,IF(Atletas!N595="Wu-Hao D",323,IF(Atletas!N595="Outro Taijiquan D",324,IF(Atletas!N595="Yang E",325,IF(Atletas!N595="Chen E",326,IF(Atletas!N595="Sun E",327,IF(Atletas!N595="Wu E",328,IF(Atletas!N595="Wu-Hao E",329,IF(Atletas!N595="Outro Taijiquan E",330,IF(Atletas!N595="Yang F",331,IF(Atletas!N595="Chen F",332,IF(Atletas!N595="Sun F",333,IF(Atletas!N595="Wu F",334,IF(Atletas!N595="Wu-Hao F",335,IF(Atletas!N595="Outro Taijiquan F",336,"")))))))))))))))))))))))))))))))))))))</f>
        <v/>
      </c>
      <c r="BP599" s="52" t="str">
        <f>IF(Atletas!O595="","",IF(Atletas!W595&lt;&gt;"",10000,0)+IF(Atletas!B595="Feminino",1000,IF(Atletas!B595="Masculino",2000,""))+IF(OR(Atletas!O595="Yang 26 A",Atletas!O595="Yang 40 A"),401,IF(OR(Atletas!O595="Chen 25 A",Atletas!O595="Chen 36 A",Atletas!O595="Chen 56 A"),402,IF(Atletas!O595="Sun 73 A",403,IF(Atletas!O595="Wu 45 A",404,IF(Atletas!O595="Wu-Hao 46 A",405,IF(OR(Atletas!O595="Taijiquan 16 A",Atletas!O595="Taijiquan 24 A",Atletas!O595="Taijiquan 32 A",Atletas!O595="Taijiquan 42 A"),406,IF(OR(Atletas!O595="Yang 26 B",Atletas!O595="Yang 40 B"),407,IF(OR(Atletas!O595="Chen 25 B",Atletas!O595="Chen 36 B",Atletas!O595="Chen 56 B"),408,IF(Atletas!O595="Sun 73 B",409,IF(Atletas!O595="Wu 45 B",410,IF(Atletas!O595="Wu-Hao 46 B",411,IF(OR(Atletas!O595="Taijiquan 16 B",Atletas!O595="Taijiquan 24 B",Atletas!O595="Taijiquan 32 B",Atletas!O595="Taijiquan 42 B"),412,IF(OR(Atletas!O595="Yang 26 C",Atletas!O595="Yang 40 C"),413,IF(OR(Atletas!O595="Chen 25 C",Atletas!O595="Chen 36 C",Atletas!O595="Chen 56 C"),414,IF(Atletas!O595="Sun 73 C",415,IF(Atletas!O595="Wu 45 C",416,IF(Atletas!O595="Wu-Hao 46 C",417,IF(OR(Atletas!O595="Taijiquan 16 C",Atletas!O595="Taijiquan 24 C",Atletas!O595="Taijiquan 32 C",Atletas!O595="Taijiquan 42 C"),418,0)))))))))))))))))))</f>
        <v/>
      </c>
      <c r="BQ599" s="52" t="str">
        <f>IF(Atletas!O595="","",IF(Atletas!W595&lt;&gt;"",10000,0)+IF(Atletas!B595="Feminino",1000,IF(Atletas!B595="Masculino",2000,""))+IF(OR(Atletas!O595="Yang 26 D",Atletas!O595="Yang 40 D"),419,IF(OR(Atletas!O595="Chen 25 D",Atletas!O595="Chen 36 D",Atletas!O595="Chen 56 D"),420,IF(Atletas!O595="Sun 73 D",421,IF(Atletas!O595="Wu 45 D",422,IF(Atletas!O595="Wu-Hao 46 D",423,IF(OR(Atletas!O595="Taijiquan 16 D",Atletas!O595="Taijiquan 24 D",Atletas!O595="Taijiquan 32 D",Atletas!O595="Taijiquan 42 D"),424,IF(OR(Atletas!O595="Yang 26 E",Atletas!O595="Yang 40 E"),425,IF(OR(Atletas!O595="Chen 25 E",Atletas!O595="Chen 36 E",Atletas!O595="Chen 56 E"),426,IF(Atletas!O595="Sun 73 E",427,IF(Atletas!O595="Wu 45 E",428,IF(Atletas!O595="Wu-Hao 46 E",429,IF(OR(Atletas!O595="Taijiquan 16 E",Atletas!O595="Taijiquan 24 E",Atletas!O595="Taijiquan 32 E",Atletas!O595="Taijiquan 42 E"),430,IF(OR(Atletas!O595="Yang 26 F",Atletas!O595="Yang 40 F"),431,IF(OR(Atletas!O595="Chen 25 F",Atletas!O595="Chen 36 F",Atletas!O595="Chen 56 F"),432,IF(Atletas!O595="Sun 73 F",433,IF(Atletas!O595="Wu 45 F",434,IF(Atletas!O595="Wu-Hao 46 F",435,IF(OR(Atletas!O595="Taijiquan 16 F",Atletas!O595="Taijiquan 24 F",Atletas!O595="Taijiquan 32 F",Atletas!O595="Taijiquan 42 F"),436,0)))))))))))))))))))</f>
        <v/>
      </c>
      <c r="BR599" s="52" t="str">
        <f>IF(Atletas!P595="","",IF(Atletas!W595&lt;&gt;"",10000,0)+IF(Atletas!B595="Feminino",1000,IF(Atletas!B595="Masculino",2000,""))+IF(Atletas!P595="Xingyiquan A",501,IF(Atletas!P595="Baguazhang A",502,IF(Atletas!P595="Outro Estilo Interno A",503,IF(Atletas!P595="Xingyiquan B",504,IF(Atletas!P595="Baguazhang B",505,IF(Atletas!P595="Outro Estilo Interno B",506,IF(Atletas!P595="Xingyiquan C",507,IF(Atletas!P595="Baguazhang C",508,IF(Atletas!P595="Outro Estilo Interno C",509,IF(Atletas!P595="Xingyiquan D",510,IF(Atletas!P595="Baguazhang D",511,IF(Atletas!P595="Outro Estilo Interno D",512,IF(Atletas!P595="Xingyiquan E",513,IF(Atletas!P595="Baguazhang E",514,IF(Atletas!P595="Outro Estilo Interno E",515,IF(Atletas!P595="Xingyiquan F",516,IF(Atletas!P595="Baguazhang F",517,IF(Atletas!P595="Outro Estilo Interno F",518, "")))))))))))))))))))</f>
        <v/>
      </c>
      <c r="BS599" s="52" t="str">
        <f>IF(Atletas!Q595="","",IF(Atletas!W595&lt;&gt;"",10000,0)+IF(Atletas!B595="Feminino",1000,IF(Atletas!B595="Masculino",2000,""))+IF(Atletas!Q595="Dao A",601,IF(Atletas!Q595="Jian A",602,IF(Atletas!Q595="Bishou A",603,IF(Atletas!Q595="Shan A",604,IF(Atletas!Q595="Outra Arma Curta A",605,IF(Atletas!Q595="Dao B",606,IF(Atletas!Q595="Jian B",607,IF(Atletas!Q595="Bishou B",608,IF(Atletas!Q595="Shan B",609,IF(Atletas!Q595="Outra Arma Curta B",610,IF(Atletas!Q595="Dao C",611,IF(Atletas!Q595="Jian C",612,IF(Atletas!Q595="Bishou C",613,IF(Atletas!Q595="Shan C",614,IF(Atletas!Q595="Outra Arma Curta C",615,IF(Atletas!Q595="Dao D",616,IF(Atletas!Q595="Jian D",617,IF(Atletas!Q595="Bishou D",618,IF(Atletas!Q595="Shan D",619,IF(Atletas!Q595="Outra Arma Curta D",620,IF(Atletas!Q595="Dao E",621,IF(Atletas!Q595="Jian E",622,IF(Atletas!Q595="Bishou E",623,IF(Atletas!Q595="Shan E",624,IF(Atletas!Q595="Outra Arma Curta E",625,IF(Atletas!Q595="Dao F",626,IF(Atletas!Q595="Jian F",627,IF(Atletas!Q595="Bishou F",628,IF(Atletas!Q595="Shan F",629,IF(Atletas!Q595="Outra Arma Curta F",630, "")))))))))))))))))))))))))))))))</f>
        <v/>
      </c>
      <c r="BT599" s="52" t="str">
        <f>IF(Atletas!R595="","",IF(Atletas!W595&lt;&gt;"",10000,0)+IF(Atletas!B595="Feminino",1000,IF(Atletas!B595="Masculino",2000,""))+IF(Atletas!R595="Gun A",701,IF(Atletas!R595="Qiang A",702,IF(Atletas!R595="Pudao / Guandao A",703,IF(Atletas!R595="Outra Arma Longa A",704,IF(Atletas!R595="Gun B",705,IF(Atletas!R595="Qiang B",706,IF(Atletas!R595="Pudao / Guandao B",707,IF(Atletas!R595="Outra Arma Longa B",708,IF(Atletas!R595="Gun C",709,IF(Atletas!R595="Qiang C",710,IF(Atletas!R595="Pudao / Guandao C",711,IF(Atletas!R595="Outra Arma Longa C",712,IF(Atletas!R595="Gun D",713,IF(Atletas!R595="Qiang D",714,IF(Atletas!R595="Pudao / Guandao D",715,IF(Atletas!R595="Outra Arma Longa D",716,IF(Atletas!R595="Gun E",717,IF(Atletas!R595="Qiang E",718,IF(Atletas!R595="Pudao / Guandao E",719,IF(Atletas!R595="Outra Arma Longa E",720,IF(Atletas!R595="Gun F",721,IF(Atletas!R595="Qiang F",722,IF(Atletas!R595="Pudao / Guandao F",723,IF(Atletas!R595="Outra Arma Longa F",724,"")))))))))))))))))))))))))</f>
        <v/>
      </c>
      <c r="BU599" s="52" t="str">
        <f>IF(Atletas!S595="","",IF(Atletas!W595&lt;&gt;"",10000,0)+IF(Atletas!B595="Feminino",1000,IF(Atletas!B595="Masculino",2000,""))+IF(Atletas!S595="Arma Dupla A",801,IF(Atletas!S595="Arma Maleável A",802,IF(Atletas!S595="Arma Dupla B",803,IF(Atletas!S595="Arma Maleável B",804,IF(Atletas!S595="Arma Dupla C",805,IF(Atletas!S595="Arma Maleável C",806,IF(Atletas!S595="Arma Dupla D",807,IF(Atletas!S595="Arma Maleável D",808,IF(Atletas!S595="Arma Dupla E",809,IF(Atletas!S595="Arma Maleável E",810,IF(Atletas!S595="Arma Dupla F",811,IF(Atletas!S595="Arma Maleável F",812, "")))))))))))))</f>
        <v/>
      </c>
      <c r="BV599" s="52" t="str">
        <f>IF(Atletas!T595="","",IF(Atletas!W595&lt;&gt;"",10000,0)+IF(Atletas!B595="Feminino",1000,IF(Atletas!B595="Masculino",2000,""))+IF(Atletas!T595="Taijijian Yang A",901,IF(Atletas!T595="Taijijian Chen A",902,IF(Atletas!T595="Taijijian Sun A",903,IF(Atletas!T595="Taijijian Wu A",904,IF(Atletas!T595="Taijijian Wu-Hao A",905,IF(Atletas!T595="Taijijian 32 A",906,IF(Atletas!T595="Taijijian 42 A",907,IF(Atletas!T595="Taijijian Yang B",908,IF(Atletas!T595="Taijijian Chen B",909,IF(Atletas!T595="Taijijian Sun B",910,IF(Atletas!T595="Taijijian Wu B",911,IF(Atletas!T595="Taijijian Wu-Hao B",912,IF(Atletas!T595="Taijijian 32 B",913,IF(Atletas!T595="Taijijian 42 B",914,IF(Atletas!T595="Taijijian Yang C",915,IF(Atletas!T595="Taijijian Chen C",916,IF(Atletas!T595="Taijijian Sun C",917,IF(Atletas!T595="Taijijian Wu C",918,IF(Atletas!T595="Taijijian Wu-Hao C",919,IF(Atletas!T595="Taijijian 32 C",920,IF(Atletas!T595="Taijijian 42 C",921,IF(Atletas!T595="Taijijian Yang D",922,IF(Atletas!T595="Taijijian Chen D",923,IF(Atletas!T595="Taijijian Sun D",924,IF(Atletas!T595="Taijijian Wu D",925,IF(Atletas!T595="Taijijian Wu-Hao D",926,IF(Atletas!T595="Taijijian 32 D",927,IF(Atletas!T595="Taijijian 42 D",928,IF(Atletas!T595="Taijijian Yang E",929,IF(Atletas!T595="Taijijian Chen E",930,IF(Atletas!T595="Taijijian Sun E",931,IF(Atletas!T595="Taijijian Wu E",932,IF(Atletas!T595="Taijijian Wu-Hao E",933,IF(Atletas!T595="Taijijian 32 E",934,IF(Atletas!T595="Taijijian 42 E",935,IF(Atletas!T595="Taijijian Yang F",936,IF(Atletas!T595="Taijijian Chen F",937,IF(Atletas!T595="Taijijian Sun F",938,IF(Atletas!T595="Taijijian Wu F",939,IF(Atletas!T595="Taijijian Wu-Hao F",940,IF(Atletas!T595="Taijijian 32 F",941,IF(Atletas!T595="Taijijian 42 F",942,"")))))))))))))))))))))))))))))))))))))))))))</f>
        <v/>
      </c>
      <c r="BW599" s="52" t="str">
        <f>IF(Atletas!U595="","",IF(Atletas!W595&lt;&gt;"",10000,0)+IF(Atletas!B595="Feminino",1000,IF(Atletas!B595="Masculino",2000,""))+IF(Atletas!T595="Taijijian 42 F",942,IF(Atletas!U595="Taijidao A",943,IF(Atletas!U595="Taijishan A",944,IF(Atletas!U595="Taijiqiang A",945,IF(Atletas!U595="Taijidao B",946,IF(Atletas!U595="Taijishan B",947,IF(Atletas!U595="Taijiqiang B",948,IF(Atletas!U595="Taijidao C",949,IF(Atletas!U595="Taijishan C",950,IF(Atletas!U595="Taijiqiang C",951,IF(Atletas!U595="Taijidao D",952,IF(Atletas!U595="Taijishan D",953,IF(Atletas!U595="Taijiqiang D",954,IF(Atletas!U595="Taijidao E",955,IF(Atletas!U595="Taijishan E",956,IF(Atletas!U595="Taijiqiang E",957,IF(Atletas!U595="Taijidao F",958,IF(Atletas!U595="Taijishan F",959,IF(Atletas!U595="Taijiqiang F",960))))))))))))))))))))</f>
        <v/>
      </c>
      <c r="CF599" s="52" t="str">
        <f xml:space="preserve"> IF(Atletas!V595="","",IF(Atletas!V595="Duilian de Mãos AB - Equipe 1",1,IF(Atletas!V595="Duilian de Mãos AB - Equipe 2",2,IF(Atletas!V595="Duilian de Armas AB - Equipe 1",3,IF(Atletas!V595="Duilian de Armas AB - Equipe 2",4,IF(Atletas!V595="Duilian de Tuishou - Equipe 1",5,IF(Atletas!V595="Duilian de Tuishou - Equipe 2",6,IF(Atletas!V595="Grupo Externo AB - Equipe 1",7,IF(Atletas!V595="Grupo Externo AB - Equipe 2",8,IF(Atletas!V595="Grupo Interno AB - Equipe 1",9,IF(Atletas!V595="Grupo Interno AB - Equipe 2",10,IF(Atletas!V595="Duilian de Mãos CD - Equipe 1",11,IF(Atletas!V595="Duilian de Mãos CD - Equipe 2",12,IF(Atletas!V595="Duilian de Armas CD - Equipe 1",13,IF(Atletas!V595="Duilian de Armas CD - Equipe 2",14,IF(Atletas!V595="Duilian de Tuishou - Equipe 1",15,IF(Atletas!V595="Duilian de Tuishou - Equipe 2",16,IF(Atletas!V595="Grupo Externo CDEF - Equipe 1",17,IF(Atletas!V595="Grupo Externo CDEF - Equipe 2",18,IF(Atletas!V595="Grupo Interno CDEF - Equipe 1",19,IF(Atletas!V595="Grupo Interno CDEF - Equipe 2",20,IF(Atletas!V595="Duilian de Mãos EF - Equipe 1",21,IF(Atletas!V595="Duilian de Mãos EF - Equipe 2",22,IF(Atletas!V595="Duilian de Armas EF - Equipe 1",23,IF(Atletas!V595="Duilian de Armas EF - Equipe 2",24,IF(Atletas!V595="Duilian de Tuishou - Equipe 1",25,IF(Atletas!V595="Duilian de Tuishou - Equipe 2",26,"")))))))))))))))))))))))))))</f>
        <v/>
      </c>
    </row>
    <row r="600" spans="36:84">
      <c r="AJ600" s="46" t="str">
        <f>IF(Atletas!D596="","",IF(Atletas!B596="Feminino",100,IF(Atletas!B596="Masculino",200,""))+(IF(Atletas!D596="Infantil 39kg",1,IF(Atletas!D596="Infantil 42kg",2,IF(Atletas!D596="Infantil 45kg",3,IF(Atletas!D596="Infantil 48kg",4,IF(Atletas!D596="Infantil 52kg",5,IF(Atletas!D596="Infantil 56kg",6,IF(Atletas!D596="Infantil 60kg",7,IF(Atletas!D596="Juvenil 48kg",8,IF(Atletas!D596="Juvenil 52kg",9,IF(Atletas!D596="Juvenil 56kg",10,IF(Atletas!D596="Juvenil 60kg",11,IF(Atletas!D596="Juvenil 65kg",12,IF(Atletas!D596="Juvenil 70kg",13,IF(Atletas!D596="Juvenil 75kg",14,IF(Atletas!D596="Juvenil 80kg",15,IF(Atletas!D596="Adulto 48kg",16,IF(Atletas!D596="Adulto 52kg",17,IF(Atletas!D596="Adulto 56kg",18,IF(Atletas!D596="Adulto 60kg",19,IF(Atletas!D596="Adulto 65kg",20,IF(Atletas!D596="Adulto 70kg",21,IF(Atletas!D596="Adulto 75kg",22,IF(Atletas!D596="Adulto 80kg",23,IF(Atletas!D596="Adulto 85kg",24,IF(Atletas!D596="Adulto 90kg",25,IF(Atletas!D596="Adulto +90kg",26,""))))))))))))))))))))))))))))</f>
        <v/>
      </c>
      <c r="AO600" s="10" t="str">
        <f>IF(Atletas!E596="","",IF(Atletas!B596="Feminino",100,IF(Atletas!B596="Masculino",200,""))+(IF(Atletas!E596="Juvenil 44kg",1,IF(Atletas!E596="Juvenil 48kg",2,IF(Atletas!E596="Juvenil 52kg",3,IF(Atletas!E596="Juvenil 56kg",4,IF(Atletas!E596="Juvenil 60kg",5,IF(Atletas!E596="Juvenil 65kg",6,IF(Atletas!E596="Juvenil 70kg",7,IF(Atletas!E596="Juvenil 75kg",8,IF(Atletas!E596="Juvenil 82kg",9,IF(Atletas!E596="Juvenil 90kg",10,IF(Atletas!E596="Juvenil 100kg",11,IF(Atletas!E596="Adulto 48kg",12,IF(Atletas!E596="Adulto 52kg",13,IF(Atletas!E596="Adulto 56kg",14,IF(Atletas!E596="Adulto 60kg",15,IF(Atletas!E596="Adulto 65kg",16,IF(Atletas!E596="Adulto 70kg",17,IF(Atletas!E596="Adulto 75kg",18,IF(Atletas!E596="Adulto 82kg",19,IF(Atletas!E596="Adulto 90kg",20,IF(Atletas!E596="Adulto 100kg",21,IF(Atletas!E596="Adulto +100kg",22,""))))))))))))))))))))))))</f>
        <v/>
      </c>
      <c r="AT600" s="10" t="str">
        <f>IF(Atletas!F596="","",IF(Atletas!B596="Feminino",100,IF(Atletas!B596="Masculino",200,""))+(IF(Atletas!F596="Adulto 48kg",1,IF(Atletas!F596="Adulto 56kg",2,IF(Atletas!F596="Adulto 65kg",3,IF(Atletas!F596="Adulto 75kg",4,IF(Atletas!F596="Adulto +75kg",5,IF(Atletas!F596="Adulto 52kg",6,IF(Atletas!F596="Adulto 60kg",7,IF(Atletas!F596="Adulto 70kg",8,IF(Atletas!F596="Adulto 80kg",9,IF(Atletas!F596="Adulto 90kg",10,IF(Atletas!F596="Adulto +90kg",11,"")))))))))))))</f>
        <v/>
      </c>
      <c r="AY600" s="46" t="str">
        <f>IF(Atletas!G596="","",IF(Atletas!B596="Feminino",100,IF(Atletas!B596="Masculino",200,""))+(IF(Atletas!G596="Changquan Mirim",1,IF(Atletas!G596="Nanquan Mirim",2,IF(Atletas!G596="Taijiquan Mirim",3,IF(Atletas!G596="Changquan Grupo C",4,IF(Atletas!G596="Nanquan Grupo C",5,IF(Atletas!G596="Taijiquan Grupo C",6,IF(Atletas!G596="Changquan Grupo B",7,IF(Atletas!G596="Nanquan Grupo B",8,IF(Atletas!G596="Taijiquan Grupo B",9,IF(Atletas!G596="Changquan Grupo A",10,IF(Atletas!G596="Nanquan Grupo A",11,IF(Atletas!G596="Taijiquan Grupo A",12,IF(Atletas!G596="Changquan Opcional",13,IF(Atletas!G596="Nanquan Opcional",14,IF(Atletas!G596="Taijiquan Opcional",15,IF(Atletas!G596="Changquan Adulto",16,IF(Atletas!G596="Nanquan Adulto",17,IF(Atletas!G596="Taijiquan Adulto",18,""))))))))))))))))))))</f>
        <v/>
      </c>
      <c r="AZ600" s="46" t="str">
        <f>IF(Atletas!H596="","",IF(Atletas!B596="Feminino",100,IF(Atletas!B596="Masculino",200,""))+(IF(Atletas!H596="Daoshu Mirim",19,IF(Atletas!H596="Jianshu Mirim",20,IF(Atletas!H596="Nandao Mirim",21,IF(Atletas!H596="Taijijian Mirim",22,IF(Atletas!H596="Daoshu Grupo C",23,IF(Atletas!H596="Jianshu Grupo C",24,IF(Atletas!H596="Nandao Grupo C",25,IF(Atletas!H596="Taijijian Grupo C",26,IF(Atletas!H596="Daoshu Grupo B",27,IF(Atletas!H596="Jianshu Grupo B",28,IF(Atletas!H596="Nandao Grupo B",29,IF(Atletas!H596="Taijijian Grupo B",30,IF(Atletas!H596="Daoshu Grupo A",31,IF(Atletas!H596="Jianshu Grupo A",32,IF(Atletas!H596="Nandao Grupo A",33,IF(Atletas!H596="Taijijian Grupo A",34,IF(Atletas!H596="Daoshu Opcional",35,IF(Atletas!H596="Jianshu Opcional",36,IF(Atletas!H596="Nandao Opcional",37,IF(Atletas!H596="Taijijian Opcional",38,IF(Atletas!H596="Daoshu Adulto",39,IF(Atletas!H596="Jianshu Adulto",40,IF(Atletas!H596="Nandao Adulto",41,IF(Atletas!H596="Taijijian Adulto",42,""))))))))))))))))))))))))))</f>
        <v/>
      </c>
      <c r="BA600" s="46" t="str">
        <f>IF(Atletas!I596="","",IF(Atletas!B596="Feminino",100,IF(Atletas!B596="Masculino",200,""))+(IF(Atletas!I596="Gunshu Mirim",43,IF(Atletas!I596="Qiangshu Mirim",44,IF(Atletas!I596="Nangun Mirim",45,IF(Atletas!I596="Gunshu Grupo C",46,IF(Atletas!I596="Qiangshu Grupo C",47,IF(Atletas!I596="Nangun Grupo C",48,IF(Atletas!I596="Gunshu Grupo B",49,IF(Atletas!I596="Qiangshu Grupo B",50,IF(Atletas!I596="Nangun Grupo B",51,IF(Atletas!I596="Gunshu Grupo A",52,IF(Atletas!I596="Qiangshu Grupo A",53,IF(Atletas!I596="Nangun Grupo A",54,IF(Atletas!I596="Gunshu Opcional",55,IF(Atletas!I596="Qiangshu Opcional",56,IF(Atletas!I596="Nangun Opcional",57,IF(Atletas!I596="Gunshu Adulto",58,IF(Atletas!I596="Qiangshu Adulto",59,IF(Atletas!I596="Nangun Adulto",60,""))))))))))))))))))))</f>
        <v/>
      </c>
      <c r="BF600" s="52" t="str">
        <f>IF(Atletas!J596="","",IF(Atletas!B596="Feminino",100,IF(Atletas!B596="Masculino",200,""))+(IF(Atletas!J596="Equipe 1 Grupo B",1,IF(Atletas!J596="Equipe 2 Grupo B",2,IF(Atletas!J596="Equipe 1 Grupo A",3,IF(Atletas!J596="Equipe 2 Grupo A",4,IF(Atletas!J596="Equipe 1 Adulto",5,IF(Atletas!J596="Equipe 2 Adulto",6,""))))))))</f>
        <v/>
      </c>
      <c r="BK600" s="52" t="str">
        <f>IF(Atletas!K596="","",IF(Atletas!W596&lt;&gt;"",10000,0)+(IF(Atletas!B596="Feminino",1000,IF(Atletas!B596="Masculino",2000,""))+IF(Atletas!K596="Choylayfut A",1,IF(Atletas!K596="Hunggar A",2,IF(Atletas!K596="Wuzuquan A",3,IF(Atletas!K596="Wingchun A",4,IF(Atletas!K596="Outra Mão de Sul A",5,IF(Atletas!K596="Choylayfut B",6,IF(Atletas!K596="Hunggar B",7,IF(Atletas!K596="Wuzuquan B",8,IF(Atletas!K596="Wingchun B",9,IF(Atletas!K596="Outra Mão de Sul B",10,IF(Atletas!K596="Choylayfut C",11,IF(Atletas!K596="Hunggar C",12,IF(Atletas!K596="Wuzuquan C",13,IF(Atletas!K596="Wingchun C",14,IF(Atletas!K596="Outra Mão de Sul C",15,IF(Atletas!K596="Choylayfut D",16,IF(Atletas!K596="Hunggar D",17,IF(Atletas!K596="Wuzuquan D",18,IF(Atletas!K596="Wingchun D",19,IF(Atletas!K596="Outra Mão de Sul D",20,IF(Atletas!K596="Choylayfut E",21,IF(Atletas!K596="Hunggar E",22,IF(Atletas!K596="Wuzuquan E",23,IF(Atletas!K596="Wingchun E",24,IF(Atletas!K596="Outra Mão de Sul E",25,IF(Atletas!K596="Choylayfut F",26,IF(Atletas!K596="Hunggar F",27,IF(Atletas!K596="Wuzuquan F",28,IF(Atletas!K596="Wingchun F",29,IF(Atletas!K596="Outra Mão de Sul F",30,""))))))))))))))))))))))))))))))))</f>
        <v/>
      </c>
      <c r="BL600" s="52" t="str">
        <f>IF(Atletas!L596="","",IF(Atletas!W596&lt;&gt;"",10000,0)+(IF(Atletas!B596="Feminino",1000,IF(Atletas!B596="Masculino",2000,""))+(IF(Atletas!L596="Chaquan A",101,IF(Atletas!L596="Emeiquan A",102,IF(Atletas!L596="Fanziquan A",103,IF(Atletas!L596="Huaquan A",104,IF(Atletas!L596="Hongquan A",105,IF(Atletas!L596="Paochui A",106,IF(Atletas!L596="Piguaquan A",107,IF(Atletas!L596="Shaolinquan A",108,IF(Atletas!L596="Tanglangquan A",109,IF(Atletas!L596="Yinzhaophai A",110,IF(Atletas!L596="Tongbeiquan A",111,IF(Atletas!L596="Wudangquan A",112,IF(Atletas!L596="Outros Estilos A",113,IF(Atletas!L596="Chaquan B",114,IF(Atletas!L596="Emeiquan B",115,IF(Atletas!L596="Fanziquan B",116,IF(Atletas!L596="Huaquan B",117,IF(Atletas!L596="Hongquan B",118,IF(Atletas!L596="Paochui B",119,IF(Atletas!L596="Piguaquan B",120,IF(Atletas!L596="Shaolinquan B",121,IF(Atletas!L596="Tanglangquan B",122,IF(Atletas!L596="Yinzhaophai B",123,IF(Atletas!L596="Tongbeiquan B",124,IF(Atletas!L596="Wudangquan B",125,IF(Atletas!L596="Outros Estilos B",126,IF(Atletas!L596="Chaquan C",127,IF(Atletas!L596="Emeiquan C",128,IF(Atletas!L596="Fanziquan C",129,IF(Atletas!L596="Huaquan C",130,IF(Atletas!L596="Hongquan C",131,IF(Atletas!L596="Paochui C",132,IF(Atletas!L596="Piguaquan C",133,IF(Atletas!L596="Shaolinquan C",134,IF(Atletas!L596="Tanglangquan C",135,IF(Atletas!L596="Yinzhaophai C",136,IF(Atletas!L596="Tongbeiquan C",137,IF(Atletas!L596="Wudangquan C",138,IF(Atletas!L596="Outros Estilos C",139,0))))))))))))))))))))))))))))))))))))))))))</f>
        <v/>
      </c>
      <c r="BM600" s="52" t="str">
        <f>IF(Atletas!L596="","",IF(Atletas!W596&lt;&gt;"",10000,0)+(IF(Atletas!B596="Feminino",1000,IF(Atletas!B596="Masculino",2000,""))+(IF(Atletas!L596="Chaquan D",140,IF(Atletas!L596="Emeiquan D",141,IF(Atletas!L596="Fanziquan D",142,IF(Atletas!L596="Huaquan D",143,IF(Atletas!L596="Hongquan D",144,IF(Atletas!L596="Paochui D",145,IF(Atletas!L596="Piguaquan D",146,IF(Atletas!L596="Shaolinquan D",147,IF(Atletas!L596="Tanglangquan D",148,IF(Atletas!L596="Yinzhaophai D",149,IF(Atletas!L596="Tongbeiquan D",150,IF(Atletas!L596="Wudangquan D",151,IF(Atletas!L596="Outros Estilos D",152,IF(Atletas!L596="Chaquan E",153,IF(Atletas!L596="Emeiquan E",154,IF(Atletas!L596="Fanziquan E",155,IF(Atletas!L596="Huaquan E",156,IF(Atletas!L596="Hongquan E",157,IF(Atletas!L596="Paochui E",158,IF(Atletas!L596="Piguaquan E",159,IF(Atletas!L596="Shaolinquan E",160,IF(Atletas!L596="Tanglangquan E",161,IF(Atletas!L596="Yinzhaophai E",162,IF(Atletas!L596="Tongbeiquan E",163,IF(Atletas!L596="Wudangquan E",164,IF(Atletas!L596="Outros Estilos E",165,IF(Atletas!L596="Chaquan F",166,IF(Atletas!L596="Emeiquan F",167,IF(Atletas!L596="Fanziquan F",168,IF(Atletas!L596="Huaquan F",169,IF(Atletas!L596="Hongquan F",170,IF(Atletas!L596="Paochui F",171,IF(Atletas!L596="Piguaquan F",172,IF(Atletas!L596="Shaolinquan F",173,IF(Atletas!L596="Tanglangquan F",174,IF(Atletas!L596="Yinzhaophai F",175,IF(Atletas!L596="Tongbeiquan F",176,IF(Atletas!L596="Wudangquan F",177,IF(Atletas!L596="Outros Estilos F",178,0))))))))))))))))))))))))))))))))))))))))))</f>
        <v/>
      </c>
      <c r="BN600" s="52" t="str">
        <f>IF(Atletas!M596="","",IF(Atletas!W596&lt;&gt;"",10000,0)+(IF(Atletas!B596="Feminino",1000,IF(Atletas!B596="Masculino",2000,""))+(IF(Atletas!M596="Ditangquan A",201,IF(Atletas!M596="Houquan A",202,IF(Atletas!M596="Zuiquan A",203,IF(Atletas!M596="Ditangquan B",204,IF(Atletas!M596="Houquan B",205,IF(Atletas!M596="Zuiquan B",206,IF(Atletas!M596="Ditangquan C",207,IF(Atletas!M596="Houquan C",208,IF(Atletas!M596="Zuiquan C",209,IF(Atletas!M596="Ditangquan D",210,IF(Atletas!M596="Houquan D",211,IF(Atletas!M596="Zuiquan D",212,IF(Atletas!M596="Ditangquan E",213,IF(Atletas!M596="Houquan E",214,IF(Atletas!M596="Zuiquan E",215,IF(Atletas!M596="Ditangquan F",216,IF(Atletas!M596="Houquan F",217,IF(Atletas!M596="Zuiquan F",218,"")))))))))))))))))))))</f>
        <v/>
      </c>
      <c r="BO600" s="52" t="str">
        <f>IF(Atletas!N596="","",IF(Atletas!W596&lt;&gt;"",10000,0)+IF(Atletas!B596="Feminino",1000,IF(Atletas!B596="Masculino",2000,""))+IF(Atletas!N596="Yang A",301,IF(Atletas!N596="Chen A",30,IF(Atletas!N596="Sun A",303,IF(Atletas!N596="Wu A",304,IF(Atletas!N596="Wu-Hao A",305,IF(Atletas!N596="Outro Taijiquan A",306,IF(Atletas!N596="Yang B",307,IF(Atletas!N596="Chen B",308,IF(Atletas!N596="Sun B",309,IF(Atletas!N596="Wu B",310,IF(Atletas!N596="Wu-Hao B",311,IF(Atletas!N596="Outro Taijiquan B",312,IF(Atletas!N596="Yang C",313,IF(Atletas!N596="Chen C",314,IF(Atletas!N596="Sun C",315,IF(Atletas!N596="Wu C",316,IF(Atletas!N596="Wu-Hao C",317,IF(Atletas!N596="Outro Taijiquan C",318,IF(Atletas!N596="Yang D",319,IF(Atletas!N596="Chen D",320,IF(Atletas!N596="Sun D",321,IF(Atletas!N596="Wu D",322,IF(Atletas!N596="Wu-Hao D",323,IF(Atletas!N596="Outro Taijiquan D",324,IF(Atletas!N596="Yang E",325,IF(Atletas!N596="Chen E",326,IF(Atletas!N596="Sun E",327,IF(Atletas!N596="Wu E",328,IF(Atletas!N596="Wu-Hao E",329,IF(Atletas!N596="Outro Taijiquan E",330,IF(Atletas!N596="Yang F",331,IF(Atletas!N596="Chen F",332,IF(Atletas!N596="Sun F",333,IF(Atletas!N596="Wu F",334,IF(Atletas!N596="Wu-Hao F",335,IF(Atletas!N596="Outro Taijiquan F",336,"")))))))))))))))))))))))))))))))))))))</f>
        <v/>
      </c>
      <c r="BP600" s="52" t="str">
        <f>IF(Atletas!O596="","",IF(Atletas!W596&lt;&gt;"",10000,0)+IF(Atletas!B596="Feminino",1000,IF(Atletas!B596="Masculino",2000,""))+IF(OR(Atletas!O596="Yang 26 A",Atletas!O596="Yang 40 A"),401,IF(OR(Atletas!O596="Chen 25 A",Atletas!O596="Chen 36 A",Atletas!O596="Chen 56 A"),402,IF(Atletas!O596="Sun 73 A",403,IF(Atletas!O596="Wu 45 A",404,IF(Atletas!O596="Wu-Hao 46 A",405,IF(OR(Atletas!O596="Taijiquan 16 A",Atletas!O596="Taijiquan 24 A",Atletas!O596="Taijiquan 32 A",Atletas!O596="Taijiquan 42 A"),406,IF(OR(Atletas!O596="Yang 26 B",Atletas!O596="Yang 40 B"),407,IF(OR(Atletas!O596="Chen 25 B",Atletas!O596="Chen 36 B",Atletas!O596="Chen 56 B"),408,IF(Atletas!O596="Sun 73 B",409,IF(Atletas!O596="Wu 45 B",410,IF(Atletas!O596="Wu-Hao 46 B",411,IF(OR(Atletas!O596="Taijiquan 16 B",Atletas!O596="Taijiquan 24 B",Atletas!O596="Taijiquan 32 B",Atletas!O596="Taijiquan 42 B"),412,IF(OR(Atletas!O596="Yang 26 C",Atletas!O596="Yang 40 C"),413,IF(OR(Atletas!O596="Chen 25 C",Atletas!O596="Chen 36 C",Atletas!O596="Chen 56 C"),414,IF(Atletas!O596="Sun 73 C",415,IF(Atletas!O596="Wu 45 C",416,IF(Atletas!O596="Wu-Hao 46 C",417,IF(OR(Atletas!O596="Taijiquan 16 C",Atletas!O596="Taijiquan 24 C",Atletas!O596="Taijiquan 32 C",Atletas!O596="Taijiquan 42 C"),418,0)))))))))))))))))))</f>
        <v/>
      </c>
      <c r="BQ600" s="52" t="str">
        <f>IF(Atletas!O596="","",IF(Atletas!W596&lt;&gt;"",10000,0)+IF(Atletas!B596="Feminino",1000,IF(Atletas!B596="Masculino",2000,""))+IF(OR(Atletas!O596="Yang 26 D",Atletas!O596="Yang 40 D"),419,IF(OR(Atletas!O596="Chen 25 D",Atletas!O596="Chen 36 D",Atletas!O596="Chen 56 D"),420,IF(Atletas!O596="Sun 73 D",421,IF(Atletas!O596="Wu 45 D",422,IF(Atletas!O596="Wu-Hao 46 D",423,IF(OR(Atletas!O596="Taijiquan 16 D",Atletas!O596="Taijiquan 24 D",Atletas!O596="Taijiquan 32 D",Atletas!O596="Taijiquan 42 D"),424,IF(OR(Atletas!O596="Yang 26 E",Atletas!O596="Yang 40 E"),425,IF(OR(Atletas!O596="Chen 25 E",Atletas!O596="Chen 36 E",Atletas!O596="Chen 56 E"),426,IF(Atletas!O596="Sun 73 E",427,IF(Atletas!O596="Wu 45 E",428,IF(Atletas!O596="Wu-Hao 46 E",429,IF(OR(Atletas!O596="Taijiquan 16 E",Atletas!O596="Taijiquan 24 E",Atletas!O596="Taijiquan 32 E",Atletas!O596="Taijiquan 42 E"),430,IF(OR(Atletas!O596="Yang 26 F",Atletas!O596="Yang 40 F"),431,IF(OR(Atletas!O596="Chen 25 F",Atletas!O596="Chen 36 F",Atletas!O596="Chen 56 F"),432,IF(Atletas!O596="Sun 73 F",433,IF(Atletas!O596="Wu 45 F",434,IF(Atletas!O596="Wu-Hao 46 F",435,IF(OR(Atletas!O596="Taijiquan 16 F",Atletas!O596="Taijiquan 24 F",Atletas!O596="Taijiquan 32 F",Atletas!O596="Taijiquan 42 F"),436,0)))))))))))))))))))</f>
        <v/>
      </c>
      <c r="BR600" s="52" t="str">
        <f>IF(Atletas!P596="","",IF(Atletas!W596&lt;&gt;"",10000,0)+IF(Atletas!B596="Feminino",1000,IF(Atletas!B596="Masculino",2000,""))+IF(Atletas!P596="Xingyiquan A",501,IF(Atletas!P596="Baguazhang A",502,IF(Atletas!P596="Outro Estilo Interno A",503,IF(Atletas!P596="Xingyiquan B",504,IF(Atletas!P596="Baguazhang B",505,IF(Atletas!P596="Outro Estilo Interno B",506,IF(Atletas!P596="Xingyiquan C",507,IF(Atletas!P596="Baguazhang C",508,IF(Atletas!P596="Outro Estilo Interno C",509,IF(Atletas!P596="Xingyiquan D",510,IF(Atletas!P596="Baguazhang D",511,IF(Atletas!P596="Outro Estilo Interno D",512,IF(Atletas!P596="Xingyiquan E",513,IF(Atletas!P596="Baguazhang E",514,IF(Atletas!P596="Outro Estilo Interno E",515,IF(Atletas!P596="Xingyiquan F",516,IF(Atletas!P596="Baguazhang F",517,IF(Atletas!P596="Outro Estilo Interno F",518, "")))))))))))))))))))</f>
        <v/>
      </c>
      <c r="BS600" s="52" t="str">
        <f>IF(Atletas!Q596="","",IF(Atletas!W596&lt;&gt;"",10000,0)+IF(Atletas!B596="Feminino",1000,IF(Atletas!B596="Masculino",2000,""))+IF(Atletas!Q596="Dao A",601,IF(Atletas!Q596="Jian A",602,IF(Atletas!Q596="Bishou A",603,IF(Atletas!Q596="Shan A",604,IF(Atletas!Q596="Outra Arma Curta A",605,IF(Atletas!Q596="Dao B",606,IF(Atletas!Q596="Jian B",607,IF(Atletas!Q596="Bishou B",608,IF(Atletas!Q596="Shan B",609,IF(Atletas!Q596="Outra Arma Curta B",610,IF(Atletas!Q596="Dao C",611,IF(Atletas!Q596="Jian C",612,IF(Atletas!Q596="Bishou C",613,IF(Atletas!Q596="Shan C",614,IF(Atletas!Q596="Outra Arma Curta C",615,IF(Atletas!Q596="Dao D",616,IF(Atletas!Q596="Jian D",617,IF(Atletas!Q596="Bishou D",618,IF(Atletas!Q596="Shan D",619,IF(Atletas!Q596="Outra Arma Curta D",620,IF(Atletas!Q596="Dao E",621,IF(Atletas!Q596="Jian E",622,IF(Atletas!Q596="Bishou E",623,IF(Atletas!Q596="Shan E",624,IF(Atletas!Q596="Outra Arma Curta E",625,IF(Atletas!Q596="Dao F",626,IF(Atletas!Q596="Jian F",627,IF(Atletas!Q596="Bishou F",628,IF(Atletas!Q596="Shan F",629,IF(Atletas!Q596="Outra Arma Curta F",630, "")))))))))))))))))))))))))))))))</f>
        <v/>
      </c>
      <c r="BT600" s="52" t="str">
        <f>IF(Atletas!R596="","",IF(Atletas!W596&lt;&gt;"",10000,0)+IF(Atletas!B596="Feminino",1000,IF(Atletas!B596="Masculino",2000,""))+IF(Atletas!R596="Gun A",701,IF(Atletas!R596="Qiang A",702,IF(Atletas!R596="Pudao / Guandao A",703,IF(Atletas!R596="Outra Arma Longa A",704,IF(Atletas!R596="Gun B",705,IF(Atletas!R596="Qiang B",706,IF(Atletas!R596="Pudao / Guandao B",707,IF(Atletas!R596="Outra Arma Longa B",708,IF(Atletas!R596="Gun C",709,IF(Atletas!R596="Qiang C",710,IF(Atletas!R596="Pudao / Guandao C",711,IF(Atletas!R596="Outra Arma Longa C",712,IF(Atletas!R596="Gun D",713,IF(Atletas!R596="Qiang D",714,IF(Atletas!R596="Pudao / Guandao D",715,IF(Atletas!R596="Outra Arma Longa D",716,IF(Atletas!R596="Gun E",717,IF(Atletas!R596="Qiang E",718,IF(Atletas!R596="Pudao / Guandao E",719,IF(Atletas!R596="Outra Arma Longa E",720,IF(Atletas!R596="Gun F",721,IF(Atletas!R596="Qiang F",722,IF(Atletas!R596="Pudao / Guandao F",723,IF(Atletas!R596="Outra Arma Longa F",724,"")))))))))))))))))))))))))</f>
        <v/>
      </c>
      <c r="BU600" s="52" t="str">
        <f>IF(Atletas!S596="","",IF(Atletas!W596&lt;&gt;"",10000,0)+IF(Atletas!B596="Feminino",1000,IF(Atletas!B596="Masculino",2000,""))+IF(Atletas!S596="Arma Dupla A",801,IF(Atletas!S596="Arma Maleável A",802,IF(Atletas!S596="Arma Dupla B",803,IF(Atletas!S596="Arma Maleável B",804,IF(Atletas!S596="Arma Dupla C",805,IF(Atletas!S596="Arma Maleável C",806,IF(Atletas!S596="Arma Dupla D",807,IF(Atletas!S596="Arma Maleável D",808,IF(Atletas!S596="Arma Dupla E",809,IF(Atletas!S596="Arma Maleável E",810,IF(Atletas!S596="Arma Dupla F",811,IF(Atletas!S596="Arma Maleável F",812, "")))))))))))))</f>
        <v/>
      </c>
      <c r="BV600" s="52" t="str">
        <f>IF(Atletas!T596="","",IF(Atletas!W596&lt;&gt;"",10000,0)+IF(Atletas!B596="Feminino",1000,IF(Atletas!B596="Masculino",2000,""))+IF(Atletas!T596="Taijijian Yang A",901,IF(Atletas!T596="Taijijian Chen A",902,IF(Atletas!T596="Taijijian Sun A",903,IF(Atletas!T596="Taijijian Wu A",904,IF(Atletas!T596="Taijijian Wu-Hao A",905,IF(Atletas!T596="Taijijian 32 A",906,IF(Atletas!T596="Taijijian 42 A",907,IF(Atletas!T596="Taijijian Yang B",908,IF(Atletas!T596="Taijijian Chen B",909,IF(Atletas!T596="Taijijian Sun B",910,IF(Atletas!T596="Taijijian Wu B",911,IF(Atletas!T596="Taijijian Wu-Hao B",912,IF(Atletas!T596="Taijijian 32 B",913,IF(Atletas!T596="Taijijian 42 B",914,IF(Atletas!T596="Taijijian Yang C",915,IF(Atletas!T596="Taijijian Chen C",916,IF(Atletas!T596="Taijijian Sun C",917,IF(Atletas!T596="Taijijian Wu C",918,IF(Atletas!T596="Taijijian Wu-Hao C",919,IF(Atletas!T596="Taijijian 32 C",920,IF(Atletas!T596="Taijijian 42 C",921,IF(Atletas!T596="Taijijian Yang D",922,IF(Atletas!T596="Taijijian Chen D",923,IF(Atletas!T596="Taijijian Sun D",924,IF(Atletas!T596="Taijijian Wu D",925,IF(Atletas!T596="Taijijian Wu-Hao D",926,IF(Atletas!T596="Taijijian 32 D",927,IF(Atletas!T596="Taijijian 42 D",928,IF(Atletas!T596="Taijijian Yang E",929,IF(Atletas!T596="Taijijian Chen E",930,IF(Atletas!T596="Taijijian Sun E",931,IF(Atletas!T596="Taijijian Wu E",932,IF(Atletas!T596="Taijijian Wu-Hao E",933,IF(Atletas!T596="Taijijian 32 E",934,IF(Atletas!T596="Taijijian 42 E",935,IF(Atletas!T596="Taijijian Yang F",936,IF(Atletas!T596="Taijijian Chen F",937,IF(Atletas!T596="Taijijian Sun F",938,IF(Atletas!T596="Taijijian Wu F",939,IF(Atletas!T596="Taijijian Wu-Hao F",940,IF(Atletas!T596="Taijijian 32 F",941,IF(Atletas!T596="Taijijian 42 F",942,"")))))))))))))))))))))))))))))))))))))))))))</f>
        <v/>
      </c>
      <c r="BW600" s="52" t="str">
        <f>IF(Atletas!U596="","",IF(Atletas!W596&lt;&gt;"",10000,0)+IF(Atletas!B596="Feminino",1000,IF(Atletas!B596="Masculino",2000,""))+IF(Atletas!T596="Taijijian 42 F",942,IF(Atletas!U596="Taijidao A",943,IF(Atletas!U596="Taijishan A",944,IF(Atletas!U596="Taijiqiang A",945,IF(Atletas!U596="Taijidao B",946,IF(Atletas!U596="Taijishan B",947,IF(Atletas!U596="Taijiqiang B",948,IF(Atletas!U596="Taijidao C",949,IF(Atletas!U596="Taijishan C",950,IF(Atletas!U596="Taijiqiang C",951,IF(Atletas!U596="Taijidao D",952,IF(Atletas!U596="Taijishan D",953,IF(Atletas!U596="Taijiqiang D",954,IF(Atletas!U596="Taijidao E",955,IF(Atletas!U596="Taijishan E",956,IF(Atletas!U596="Taijiqiang E",957,IF(Atletas!U596="Taijidao F",958,IF(Atletas!U596="Taijishan F",959,IF(Atletas!U596="Taijiqiang F",960))))))))))))))))))))</f>
        <v/>
      </c>
      <c r="CF600" s="52" t="str">
        <f xml:space="preserve"> IF(Atletas!V596="","",IF(Atletas!V596="Duilian de Mãos AB - Equipe 1",1,IF(Atletas!V596="Duilian de Mãos AB - Equipe 2",2,IF(Atletas!V596="Duilian de Armas AB - Equipe 1",3,IF(Atletas!V596="Duilian de Armas AB - Equipe 2",4,IF(Atletas!V596="Duilian de Tuishou - Equipe 1",5,IF(Atletas!V596="Duilian de Tuishou - Equipe 2",6,IF(Atletas!V596="Grupo Externo AB - Equipe 1",7,IF(Atletas!V596="Grupo Externo AB - Equipe 2",8,IF(Atletas!V596="Grupo Interno AB - Equipe 1",9,IF(Atletas!V596="Grupo Interno AB - Equipe 2",10,IF(Atletas!V596="Duilian de Mãos CD - Equipe 1",11,IF(Atletas!V596="Duilian de Mãos CD - Equipe 2",12,IF(Atletas!V596="Duilian de Armas CD - Equipe 1",13,IF(Atletas!V596="Duilian de Armas CD - Equipe 2",14,IF(Atletas!V596="Duilian de Tuishou - Equipe 1",15,IF(Atletas!V596="Duilian de Tuishou - Equipe 2",16,IF(Atletas!V596="Grupo Externo CDEF - Equipe 1",17,IF(Atletas!V596="Grupo Externo CDEF - Equipe 2",18,IF(Atletas!V596="Grupo Interno CDEF - Equipe 1",19,IF(Atletas!V596="Grupo Interno CDEF - Equipe 2",20,IF(Atletas!V596="Duilian de Mãos EF - Equipe 1",21,IF(Atletas!V596="Duilian de Mãos EF - Equipe 2",22,IF(Atletas!V596="Duilian de Armas EF - Equipe 1",23,IF(Atletas!V596="Duilian de Armas EF - Equipe 2",24,IF(Atletas!V596="Duilian de Tuishou - Equipe 1",25,IF(Atletas!V596="Duilian de Tuishou - Equipe 2",26,"")))))))))))))))))))))))))))</f>
        <v/>
      </c>
    </row>
    <row r="601" spans="36:84">
      <c r="AJ601" s="46" t="str">
        <f>IF(Atletas!D597="","",IF(Atletas!B597="Feminino",100,IF(Atletas!B597="Masculino",200,""))+(IF(Atletas!D597="Infantil 39kg",1,IF(Atletas!D597="Infantil 42kg",2,IF(Atletas!D597="Infantil 45kg",3,IF(Atletas!D597="Infantil 48kg",4,IF(Atletas!D597="Infantil 52kg",5,IF(Atletas!D597="Infantil 56kg",6,IF(Atletas!D597="Infantil 60kg",7,IF(Atletas!D597="Juvenil 48kg",8,IF(Atletas!D597="Juvenil 52kg",9,IF(Atletas!D597="Juvenil 56kg",10,IF(Atletas!D597="Juvenil 60kg",11,IF(Atletas!D597="Juvenil 65kg",12,IF(Atletas!D597="Juvenil 70kg",13,IF(Atletas!D597="Juvenil 75kg",14,IF(Atletas!D597="Juvenil 80kg",15,IF(Atletas!D597="Adulto 48kg",16,IF(Atletas!D597="Adulto 52kg",17,IF(Atletas!D597="Adulto 56kg",18,IF(Atletas!D597="Adulto 60kg",19,IF(Atletas!D597="Adulto 65kg",20,IF(Atletas!D597="Adulto 70kg",21,IF(Atletas!D597="Adulto 75kg",22,IF(Atletas!D597="Adulto 80kg",23,IF(Atletas!D597="Adulto 85kg",24,IF(Atletas!D597="Adulto 90kg",25,IF(Atletas!D597="Adulto +90kg",26,""))))))))))))))))))))))))))))</f>
        <v/>
      </c>
      <c r="AO601" s="10" t="str">
        <f>IF(Atletas!E597="","",IF(Atletas!B597="Feminino",100,IF(Atletas!B597="Masculino",200,""))+(IF(Atletas!E597="Juvenil 44kg",1,IF(Atletas!E597="Juvenil 48kg",2,IF(Atletas!E597="Juvenil 52kg",3,IF(Atletas!E597="Juvenil 56kg",4,IF(Atletas!E597="Juvenil 60kg",5,IF(Atletas!E597="Juvenil 65kg",6,IF(Atletas!E597="Juvenil 70kg",7,IF(Atletas!E597="Juvenil 75kg",8,IF(Atletas!E597="Juvenil 82kg",9,IF(Atletas!E597="Juvenil 90kg",10,IF(Atletas!E597="Juvenil 100kg",11,IF(Atletas!E597="Adulto 48kg",12,IF(Atletas!E597="Adulto 52kg",13,IF(Atletas!E597="Adulto 56kg",14,IF(Atletas!E597="Adulto 60kg",15,IF(Atletas!E597="Adulto 65kg",16,IF(Atletas!E597="Adulto 70kg",17,IF(Atletas!E597="Adulto 75kg",18,IF(Atletas!E597="Adulto 82kg",19,IF(Atletas!E597="Adulto 90kg",20,IF(Atletas!E597="Adulto 100kg",21,IF(Atletas!E597="Adulto +100kg",22,""))))))))))))))))))))))))</f>
        <v/>
      </c>
      <c r="AT601" s="10" t="str">
        <f>IF(Atletas!F597="","",IF(Atletas!B597="Feminino",100,IF(Atletas!B597="Masculino",200,""))+(IF(Atletas!F597="Adulto 48kg",1,IF(Atletas!F597="Adulto 56kg",2,IF(Atletas!F597="Adulto 65kg",3,IF(Atletas!F597="Adulto 75kg",4,IF(Atletas!F597="Adulto +75kg",5,IF(Atletas!F597="Adulto 52kg",6,IF(Atletas!F597="Adulto 60kg",7,IF(Atletas!F597="Adulto 70kg",8,IF(Atletas!F597="Adulto 80kg",9,IF(Atletas!F597="Adulto 90kg",10,IF(Atletas!F597="Adulto +90kg",11,"")))))))))))))</f>
        <v/>
      </c>
      <c r="AY601" s="46" t="str">
        <f>IF(Atletas!G597="","",IF(Atletas!B597="Feminino",100,IF(Atletas!B597="Masculino",200,""))+(IF(Atletas!G597="Changquan Mirim",1,IF(Atletas!G597="Nanquan Mirim",2,IF(Atletas!G597="Taijiquan Mirim",3,IF(Atletas!G597="Changquan Grupo C",4,IF(Atletas!G597="Nanquan Grupo C",5,IF(Atletas!G597="Taijiquan Grupo C",6,IF(Atletas!G597="Changquan Grupo B",7,IF(Atletas!G597="Nanquan Grupo B",8,IF(Atletas!G597="Taijiquan Grupo B",9,IF(Atletas!G597="Changquan Grupo A",10,IF(Atletas!G597="Nanquan Grupo A",11,IF(Atletas!G597="Taijiquan Grupo A",12,IF(Atletas!G597="Changquan Opcional",13,IF(Atletas!G597="Nanquan Opcional",14,IF(Atletas!G597="Taijiquan Opcional",15,IF(Atletas!G597="Changquan Adulto",16,IF(Atletas!G597="Nanquan Adulto",17,IF(Atletas!G597="Taijiquan Adulto",18,""))))))))))))))))))))</f>
        <v/>
      </c>
      <c r="AZ601" s="46" t="str">
        <f>IF(Atletas!H597="","",IF(Atletas!B597="Feminino",100,IF(Atletas!B597="Masculino",200,""))+(IF(Atletas!H597="Daoshu Mirim",19,IF(Atletas!H597="Jianshu Mirim",20,IF(Atletas!H597="Nandao Mirim",21,IF(Atletas!H597="Taijijian Mirim",22,IF(Atletas!H597="Daoshu Grupo C",23,IF(Atletas!H597="Jianshu Grupo C",24,IF(Atletas!H597="Nandao Grupo C",25,IF(Atletas!H597="Taijijian Grupo C",26,IF(Atletas!H597="Daoshu Grupo B",27,IF(Atletas!H597="Jianshu Grupo B",28,IF(Atletas!H597="Nandao Grupo B",29,IF(Atletas!H597="Taijijian Grupo B",30,IF(Atletas!H597="Daoshu Grupo A",31,IF(Atletas!H597="Jianshu Grupo A",32,IF(Atletas!H597="Nandao Grupo A",33,IF(Atletas!H597="Taijijian Grupo A",34,IF(Atletas!H597="Daoshu Opcional",35,IF(Atletas!H597="Jianshu Opcional",36,IF(Atletas!H597="Nandao Opcional",37,IF(Atletas!H597="Taijijian Opcional",38,IF(Atletas!H597="Daoshu Adulto",39,IF(Atletas!H597="Jianshu Adulto",40,IF(Atletas!H597="Nandao Adulto",41,IF(Atletas!H597="Taijijian Adulto",42,""))))))))))))))))))))))))))</f>
        <v/>
      </c>
      <c r="BA601" s="46" t="str">
        <f>IF(Atletas!I597="","",IF(Atletas!B597="Feminino",100,IF(Atletas!B597="Masculino",200,""))+(IF(Atletas!I597="Gunshu Mirim",43,IF(Atletas!I597="Qiangshu Mirim",44,IF(Atletas!I597="Nangun Mirim",45,IF(Atletas!I597="Gunshu Grupo C",46,IF(Atletas!I597="Qiangshu Grupo C",47,IF(Atletas!I597="Nangun Grupo C",48,IF(Atletas!I597="Gunshu Grupo B",49,IF(Atletas!I597="Qiangshu Grupo B",50,IF(Atletas!I597="Nangun Grupo B",51,IF(Atletas!I597="Gunshu Grupo A",52,IF(Atletas!I597="Qiangshu Grupo A",53,IF(Atletas!I597="Nangun Grupo A",54,IF(Atletas!I597="Gunshu Opcional",55,IF(Atletas!I597="Qiangshu Opcional",56,IF(Atletas!I597="Nangun Opcional",57,IF(Atletas!I597="Gunshu Adulto",58,IF(Atletas!I597="Qiangshu Adulto",59,IF(Atletas!I597="Nangun Adulto",60,""))))))))))))))))))))</f>
        <v/>
      </c>
      <c r="BF601" s="52" t="str">
        <f>IF(Atletas!J597="","",IF(Atletas!B597="Feminino",100,IF(Atletas!B597="Masculino",200,""))+(IF(Atletas!J597="Equipe 1 Grupo B",1,IF(Atletas!J597="Equipe 2 Grupo B",2,IF(Atletas!J597="Equipe 1 Grupo A",3,IF(Atletas!J597="Equipe 2 Grupo A",4,IF(Atletas!J597="Equipe 1 Adulto",5,IF(Atletas!J597="Equipe 2 Adulto",6,""))))))))</f>
        <v/>
      </c>
      <c r="BK601" s="52" t="str">
        <f>IF(Atletas!K597="","",IF(Atletas!W597&lt;&gt;"",10000,0)+(IF(Atletas!B597="Feminino",1000,IF(Atletas!B597="Masculino",2000,""))+IF(Atletas!K597="Choylayfut A",1,IF(Atletas!K597="Hunggar A",2,IF(Atletas!K597="Wuzuquan A",3,IF(Atletas!K597="Wingchun A",4,IF(Atletas!K597="Outra Mão de Sul A",5,IF(Atletas!K597="Choylayfut B",6,IF(Atletas!K597="Hunggar B",7,IF(Atletas!K597="Wuzuquan B",8,IF(Atletas!K597="Wingchun B",9,IF(Atletas!K597="Outra Mão de Sul B",10,IF(Atletas!K597="Choylayfut C",11,IF(Atletas!K597="Hunggar C",12,IF(Atletas!K597="Wuzuquan C",13,IF(Atletas!K597="Wingchun C",14,IF(Atletas!K597="Outra Mão de Sul C",15,IF(Atletas!K597="Choylayfut D",16,IF(Atletas!K597="Hunggar D",17,IF(Atletas!K597="Wuzuquan D",18,IF(Atletas!K597="Wingchun D",19,IF(Atletas!K597="Outra Mão de Sul D",20,IF(Atletas!K597="Choylayfut E",21,IF(Atletas!K597="Hunggar E",22,IF(Atletas!K597="Wuzuquan E",23,IF(Atletas!K597="Wingchun E",24,IF(Atletas!K597="Outra Mão de Sul E",25,IF(Atletas!K597="Choylayfut F",26,IF(Atletas!K597="Hunggar F",27,IF(Atletas!K597="Wuzuquan F",28,IF(Atletas!K597="Wingchun F",29,IF(Atletas!K597="Outra Mão de Sul F",30,""))))))))))))))))))))))))))))))))</f>
        <v/>
      </c>
      <c r="BL601" s="52" t="str">
        <f>IF(Atletas!L597="","",IF(Atletas!W597&lt;&gt;"",10000,0)+(IF(Atletas!B597="Feminino",1000,IF(Atletas!B597="Masculino",2000,""))+(IF(Atletas!L597="Chaquan A",101,IF(Atletas!L597="Emeiquan A",102,IF(Atletas!L597="Fanziquan A",103,IF(Atletas!L597="Huaquan A",104,IF(Atletas!L597="Hongquan A",105,IF(Atletas!L597="Paochui A",106,IF(Atletas!L597="Piguaquan A",107,IF(Atletas!L597="Shaolinquan A",108,IF(Atletas!L597="Tanglangquan A",109,IF(Atletas!L597="Yinzhaophai A",110,IF(Atletas!L597="Tongbeiquan A",111,IF(Atletas!L597="Wudangquan A",112,IF(Atletas!L597="Outros Estilos A",113,IF(Atletas!L597="Chaquan B",114,IF(Atletas!L597="Emeiquan B",115,IF(Atletas!L597="Fanziquan B",116,IF(Atletas!L597="Huaquan B",117,IF(Atletas!L597="Hongquan B",118,IF(Atletas!L597="Paochui B",119,IF(Atletas!L597="Piguaquan B",120,IF(Atletas!L597="Shaolinquan B",121,IF(Atletas!L597="Tanglangquan B",122,IF(Atletas!L597="Yinzhaophai B",123,IF(Atletas!L597="Tongbeiquan B",124,IF(Atletas!L597="Wudangquan B",125,IF(Atletas!L597="Outros Estilos B",126,IF(Atletas!L597="Chaquan C",127,IF(Atletas!L597="Emeiquan C",128,IF(Atletas!L597="Fanziquan C",129,IF(Atletas!L597="Huaquan C",130,IF(Atletas!L597="Hongquan C",131,IF(Atletas!L597="Paochui C",132,IF(Atletas!L597="Piguaquan C",133,IF(Atletas!L597="Shaolinquan C",134,IF(Atletas!L597="Tanglangquan C",135,IF(Atletas!L597="Yinzhaophai C",136,IF(Atletas!L597="Tongbeiquan C",137,IF(Atletas!L597="Wudangquan C",138,IF(Atletas!L597="Outros Estilos C",139,0))))))))))))))))))))))))))))))))))))))))))</f>
        <v/>
      </c>
      <c r="BM601" s="52" t="str">
        <f>IF(Atletas!L597="","",IF(Atletas!W597&lt;&gt;"",10000,0)+(IF(Atletas!B597="Feminino",1000,IF(Atletas!B597="Masculino",2000,""))+(IF(Atletas!L597="Chaquan D",140,IF(Atletas!L597="Emeiquan D",141,IF(Atletas!L597="Fanziquan D",142,IF(Atletas!L597="Huaquan D",143,IF(Atletas!L597="Hongquan D",144,IF(Atletas!L597="Paochui D",145,IF(Atletas!L597="Piguaquan D",146,IF(Atletas!L597="Shaolinquan D",147,IF(Atletas!L597="Tanglangquan D",148,IF(Atletas!L597="Yinzhaophai D",149,IF(Atletas!L597="Tongbeiquan D",150,IF(Atletas!L597="Wudangquan D",151,IF(Atletas!L597="Outros Estilos D",152,IF(Atletas!L597="Chaquan E",153,IF(Atletas!L597="Emeiquan E",154,IF(Atletas!L597="Fanziquan E",155,IF(Atletas!L597="Huaquan E",156,IF(Atletas!L597="Hongquan E",157,IF(Atletas!L597="Paochui E",158,IF(Atletas!L597="Piguaquan E",159,IF(Atletas!L597="Shaolinquan E",160,IF(Atletas!L597="Tanglangquan E",161,IF(Atletas!L597="Yinzhaophai E",162,IF(Atletas!L597="Tongbeiquan E",163,IF(Atletas!L597="Wudangquan E",164,IF(Atletas!L597="Outros Estilos E",165,IF(Atletas!L597="Chaquan F",166,IF(Atletas!L597="Emeiquan F",167,IF(Atletas!L597="Fanziquan F",168,IF(Atletas!L597="Huaquan F",169,IF(Atletas!L597="Hongquan F",170,IF(Atletas!L597="Paochui F",171,IF(Atletas!L597="Piguaquan F",172,IF(Atletas!L597="Shaolinquan F",173,IF(Atletas!L597="Tanglangquan F",174,IF(Atletas!L597="Yinzhaophai F",175,IF(Atletas!L597="Tongbeiquan F",176,IF(Atletas!L597="Wudangquan F",177,IF(Atletas!L597="Outros Estilos F",178,0))))))))))))))))))))))))))))))))))))))))))</f>
        <v/>
      </c>
      <c r="BN601" s="52" t="str">
        <f>IF(Atletas!M597="","",IF(Atletas!W597&lt;&gt;"",10000,0)+(IF(Atletas!B597="Feminino",1000,IF(Atletas!B597="Masculino",2000,""))+(IF(Atletas!M597="Ditangquan A",201,IF(Atletas!M597="Houquan A",202,IF(Atletas!M597="Zuiquan A",203,IF(Atletas!M597="Ditangquan B",204,IF(Atletas!M597="Houquan B",205,IF(Atletas!M597="Zuiquan B",206,IF(Atletas!M597="Ditangquan C",207,IF(Atletas!M597="Houquan C",208,IF(Atletas!M597="Zuiquan C",209,IF(Atletas!M597="Ditangquan D",210,IF(Atletas!M597="Houquan D",211,IF(Atletas!M597="Zuiquan D",212,IF(Atletas!M597="Ditangquan E",213,IF(Atletas!M597="Houquan E",214,IF(Atletas!M597="Zuiquan E",215,IF(Atletas!M597="Ditangquan F",216,IF(Atletas!M597="Houquan F",217,IF(Atletas!M597="Zuiquan F",218,"")))))))))))))))))))))</f>
        <v/>
      </c>
      <c r="BO601" s="52" t="str">
        <f>IF(Atletas!N597="","",IF(Atletas!W597&lt;&gt;"",10000,0)+IF(Atletas!B597="Feminino",1000,IF(Atletas!B597="Masculino",2000,""))+IF(Atletas!N597="Yang A",301,IF(Atletas!N597="Chen A",30,IF(Atletas!N597="Sun A",303,IF(Atletas!N597="Wu A",304,IF(Atletas!N597="Wu-Hao A",305,IF(Atletas!N597="Outro Taijiquan A",306,IF(Atletas!N597="Yang B",307,IF(Atletas!N597="Chen B",308,IF(Atletas!N597="Sun B",309,IF(Atletas!N597="Wu B",310,IF(Atletas!N597="Wu-Hao B",311,IF(Atletas!N597="Outro Taijiquan B",312,IF(Atletas!N597="Yang C",313,IF(Atletas!N597="Chen C",314,IF(Atletas!N597="Sun C",315,IF(Atletas!N597="Wu C",316,IF(Atletas!N597="Wu-Hao C",317,IF(Atletas!N597="Outro Taijiquan C",318,IF(Atletas!N597="Yang D",319,IF(Atletas!N597="Chen D",320,IF(Atletas!N597="Sun D",321,IF(Atletas!N597="Wu D",322,IF(Atletas!N597="Wu-Hao D",323,IF(Atletas!N597="Outro Taijiquan D",324,IF(Atletas!N597="Yang E",325,IF(Atletas!N597="Chen E",326,IF(Atletas!N597="Sun E",327,IF(Atletas!N597="Wu E",328,IF(Atletas!N597="Wu-Hao E",329,IF(Atletas!N597="Outro Taijiquan E",330,IF(Atletas!N597="Yang F",331,IF(Atletas!N597="Chen F",332,IF(Atletas!N597="Sun F",333,IF(Atletas!N597="Wu F",334,IF(Atletas!N597="Wu-Hao F",335,IF(Atletas!N597="Outro Taijiquan F",336,"")))))))))))))))))))))))))))))))))))))</f>
        <v/>
      </c>
      <c r="BP601" s="52" t="str">
        <f>IF(Atletas!O597="","",IF(Atletas!W597&lt;&gt;"",10000,0)+IF(Atletas!B597="Feminino",1000,IF(Atletas!B597="Masculino",2000,""))+IF(OR(Atletas!O597="Yang 26 A",Atletas!O597="Yang 40 A"),401,IF(OR(Atletas!O597="Chen 25 A",Atletas!O597="Chen 36 A",Atletas!O597="Chen 56 A"),402,IF(Atletas!O597="Sun 73 A",403,IF(Atletas!O597="Wu 45 A",404,IF(Atletas!O597="Wu-Hao 46 A",405,IF(OR(Atletas!O597="Taijiquan 16 A",Atletas!O597="Taijiquan 24 A",Atletas!O597="Taijiquan 32 A",Atletas!O597="Taijiquan 42 A"),406,IF(OR(Atletas!O597="Yang 26 B",Atletas!O597="Yang 40 B"),407,IF(OR(Atletas!O597="Chen 25 B",Atletas!O597="Chen 36 B",Atletas!O597="Chen 56 B"),408,IF(Atletas!O597="Sun 73 B",409,IF(Atletas!O597="Wu 45 B",410,IF(Atletas!O597="Wu-Hao 46 B",411,IF(OR(Atletas!O597="Taijiquan 16 B",Atletas!O597="Taijiquan 24 B",Atletas!O597="Taijiquan 32 B",Atletas!O597="Taijiquan 42 B"),412,IF(OR(Atletas!O597="Yang 26 C",Atletas!O597="Yang 40 C"),413,IF(OR(Atletas!O597="Chen 25 C",Atletas!O597="Chen 36 C",Atletas!O597="Chen 56 C"),414,IF(Atletas!O597="Sun 73 C",415,IF(Atletas!O597="Wu 45 C",416,IF(Atletas!O597="Wu-Hao 46 C",417,IF(OR(Atletas!O597="Taijiquan 16 C",Atletas!O597="Taijiquan 24 C",Atletas!O597="Taijiquan 32 C",Atletas!O597="Taijiquan 42 C"),418,0)))))))))))))))))))</f>
        <v/>
      </c>
      <c r="BQ601" s="52" t="str">
        <f>IF(Atletas!O597="","",IF(Atletas!W597&lt;&gt;"",10000,0)+IF(Atletas!B597="Feminino",1000,IF(Atletas!B597="Masculino",2000,""))+IF(OR(Atletas!O597="Yang 26 D",Atletas!O597="Yang 40 D"),419,IF(OR(Atletas!O597="Chen 25 D",Atletas!O597="Chen 36 D",Atletas!O597="Chen 56 D"),420,IF(Atletas!O597="Sun 73 D",421,IF(Atletas!O597="Wu 45 D",422,IF(Atletas!O597="Wu-Hao 46 D",423,IF(OR(Atletas!O597="Taijiquan 16 D",Atletas!O597="Taijiquan 24 D",Atletas!O597="Taijiquan 32 D",Atletas!O597="Taijiquan 42 D"),424,IF(OR(Atletas!O597="Yang 26 E",Atletas!O597="Yang 40 E"),425,IF(OR(Atletas!O597="Chen 25 E",Atletas!O597="Chen 36 E",Atletas!O597="Chen 56 E"),426,IF(Atletas!O597="Sun 73 E",427,IF(Atletas!O597="Wu 45 E",428,IF(Atletas!O597="Wu-Hao 46 E",429,IF(OR(Atletas!O597="Taijiquan 16 E",Atletas!O597="Taijiquan 24 E",Atletas!O597="Taijiquan 32 E",Atletas!O597="Taijiquan 42 E"),430,IF(OR(Atletas!O597="Yang 26 F",Atletas!O597="Yang 40 F"),431,IF(OR(Atletas!O597="Chen 25 F",Atletas!O597="Chen 36 F",Atletas!O597="Chen 56 F"),432,IF(Atletas!O597="Sun 73 F",433,IF(Atletas!O597="Wu 45 F",434,IF(Atletas!O597="Wu-Hao 46 F",435,IF(OR(Atletas!O597="Taijiquan 16 F",Atletas!O597="Taijiquan 24 F",Atletas!O597="Taijiquan 32 F",Atletas!O597="Taijiquan 42 F"),436,0)))))))))))))))))))</f>
        <v/>
      </c>
      <c r="BR601" s="52" t="str">
        <f>IF(Atletas!P597="","",IF(Atletas!W597&lt;&gt;"",10000,0)+IF(Atletas!B597="Feminino",1000,IF(Atletas!B597="Masculino",2000,""))+IF(Atletas!P597="Xingyiquan A",501,IF(Atletas!P597="Baguazhang A",502,IF(Atletas!P597="Outro Estilo Interno A",503,IF(Atletas!P597="Xingyiquan B",504,IF(Atletas!P597="Baguazhang B",505,IF(Atletas!P597="Outro Estilo Interno B",506,IF(Atletas!P597="Xingyiquan C",507,IF(Atletas!P597="Baguazhang C",508,IF(Atletas!P597="Outro Estilo Interno C",509,IF(Atletas!P597="Xingyiquan D",510,IF(Atletas!P597="Baguazhang D",511,IF(Atletas!P597="Outro Estilo Interno D",512,IF(Atletas!P597="Xingyiquan E",513,IF(Atletas!P597="Baguazhang E",514,IF(Atletas!P597="Outro Estilo Interno E",515,IF(Atletas!P597="Xingyiquan F",516,IF(Atletas!P597="Baguazhang F",517,IF(Atletas!P597="Outro Estilo Interno F",518, "")))))))))))))))))))</f>
        <v/>
      </c>
      <c r="BS601" s="52" t="str">
        <f>IF(Atletas!Q597="","",IF(Atletas!W597&lt;&gt;"",10000,0)+IF(Atletas!B597="Feminino",1000,IF(Atletas!B597="Masculino",2000,""))+IF(Atletas!Q597="Dao A",601,IF(Atletas!Q597="Jian A",602,IF(Atletas!Q597="Bishou A",603,IF(Atletas!Q597="Shan A",604,IF(Atletas!Q597="Outra Arma Curta A",605,IF(Atletas!Q597="Dao B",606,IF(Atletas!Q597="Jian B",607,IF(Atletas!Q597="Bishou B",608,IF(Atletas!Q597="Shan B",609,IF(Atletas!Q597="Outra Arma Curta B",610,IF(Atletas!Q597="Dao C",611,IF(Atletas!Q597="Jian C",612,IF(Atletas!Q597="Bishou C",613,IF(Atletas!Q597="Shan C",614,IF(Atletas!Q597="Outra Arma Curta C",615,IF(Atletas!Q597="Dao D",616,IF(Atletas!Q597="Jian D",617,IF(Atletas!Q597="Bishou D",618,IF(Atletas!Q597="Shan D",619,IF(Atletas!Q597="Outra Arma Curta D",620,IF(Atletas!Q597="Dao E",621,IF(Atletas!Q597="Jian E",622,IF(Atletas!Q597="Bishou E",623,IF(Atletas!Q597="Shan E",624,IF(Atletas!Q597="Outra Arma Curta E",625,IF(Atletas!Q597="Dao F",626,IF(Atletas!Q597="Jian F",627,IF(Atletas!Q597="Bishou F",628,IF(Atletas!Q597="Shan F",629,IF(Atletas!Q597="Outra Arma Curta F",630, "")))))))))))))))))))))))))))))))</f>
        <v/>
      </c>
      <c r="BT601" s="52" t="str">
        <f>IF(Atletas!R597="","",IF(Atletas!W597&lt;&gt;"",10000,0)+IF(Atletas!B597="Feminino",1000,IF(Atletas!B597="Masculino",2000,""))+IF(Atletas!R597="Gun A",701,IF(Atletas!R597="Qiang A",702,IF(Atletas!R597="Pudao / Guandao A",703,IF(Atletas!R597="Outra Arma Longa A",704,IF(Atletas!R597="Gun B",705,IF(Atletas!R597="Qiang B",706,IF(Atletas!R597="Pudao / Guandao B",707,IF(Atletas!R597="Outra Arma Longa B",708,IF(Atletas!R597="Gun C",709,IF(Atletas!R597="Qiang C",710,IF(Atletas!R597="Pudao / Guandao C",711,IF(Atletas!R597="Outra Arma Longa C",712,IF(Atletas!R597="Gun D",713,IF(Atletas!R597="Qiang D",714,IF(Atletas!R597="Pudao / Guandao D",715,IF(Atletas!R597="Outra Arma Longa D",716,IF(Atletas!R597="Gun E",717,IF(Atletas!R597="Qiang E",718,IF(Atletas!R597="Pudao / Guandao E",719,IF(Atletas!R597="Outra Arma Longa E",720,IF(Atletas!R597="Gun F",721,IF(Atletas!R597="Qiang F",722,IF(Atletas!R597="Pudao / Guandao F",723,IF(Atletas!R597="Outra Arma Longa F",724,"")))))))))))))))))))))))))</f>
        <v/>
      </c>
      <c r="BU601" s="52" t="str">
        <f>IF(Atletas!S597="","",IF(Atletas!W597&lt;&gt;"",10000,0)+IF(Atletas!B597="Feminino",1000,IF(Atletas!B597="Masculino",2000,""))+IF(Atletas!S597="Arma Dupla A",801,IF(Atletas!S597="Arma Maleável A",802,IF(Atletas!S597="Arma Dupla B",803,IF(Atletas!S597="Arma Maleável B",804,IF(Atletas!S597="Arma Dupla C",805,IF(Atletas!S597="Arma Maleável C",806,IF(Atletas!S597="Arma Dupla D",807,IF(Atletas!S597="Arma Maleável D",808,IF(Atletas!S597="Arma Dupla E",809,IF(Atletas!S597="Arma Maleável E",810,IF(Atletas!S597="Arma Dupla F",811,IF(Atletas!S597="Arma Maleável F",812, "")))))))))))))</f>
        <v/>
      </c>
      <c r="BV601" s="52" t="str">
        <f>IF(Atletas!T597="","",IF(Atletas!W597&lt;&gt;"",10000,0)+IF(Atletas!B597="Feminino",1000,IF(Atletas!B597="Masculino",2000,""))+IF(Atletas!T597="Taijijian Yang A",901,IF(Atletas!T597="Taijijian Chen A",902,IF(Atletas!T597="Taijijian Sun A",903,IF(Atletas!T597="Taijijian Wu A",904,IF(Atletas!T597="Taijijian Wu-Hao A",905,IF(Atletas!T597="Taijijian 32 A",906,IF(Atletas!T597="Taijijian 42 A",907,IF(Atletas!T597="Taijijian Yang B",908,IF(Atletas!T597="Taijijian Chen B",909,IF(Atletas!T597="Taijijian Sun B",910,IF(Atletas!T597="Taijijian Wu B",911,IF(Atletas!T597="Taijijian Wu-Hao B",912,IF(Atletas!T597="Taijijian 32 B",913,IF(Atletas!T597="Taijijian 42 B",914,IF(Atletas!T597="Taijijian Yang C",915,IF(Atletas!T597="Taijijian Chen C",916,IF(Atletas!T597="Taijijian Sun C",917,IF(Atletas!T597="Taijijian Wu C",918,IF(Atletas!T597="Taijijian Wu-Hao C",919,IF(Atletas!T597="Taijijian 32 C",920,IF(Atletas!T597="Taijijian 42 C",921,IF(Atletas!T597="Taijijian Yang D",922,IF(Atletas!T597="Taijijian Chen D",923,IF(Atletas!T597="Taijijian Sun D",924,IF(Atletas!T597="Taijijian Wu D",925,IF(Atletas!T597="Taijijian Wu-Hao D",926,IF(Atletas!T597="Taijijian 32 D",927,IF(Atletas!T597="Taijijian 42 D",928,IF(Atletas!T597="Taijijian Yang E",929,IF(Atletas!T597="Taijijian Chen E",930,IF(Atletas!T597="Taijijian Sun E",931,IF(Atletas!T597="Taijijian Wu E",932,IF(Atletas!T597="Taijijian Wu-Hao E",933,IF(Atletas!T597="Taijijian 32 E",934,IF(Atletas!T597="Taijijian 42 E",935,IF(Atletas!T597="Taijijian Yang F",936,IF(Atletas!T597="Taijijian Chen F",937,IF(Atletas!T597="Taijijian Sun F",938,IF(Atletas!T597="Taijijian Wu F",939,IF(Atletas!T597="Taijijian Wu-Hao F",940,IF(Atletas!T597="Taijijian 32 F",941,IF(Atletas!T597="Taijijian 42 F",942,"")))))))))))))))))))))))))))))))))))))))))))</f>
        <v/>
      </c>
      <c r="BW601" s="52" t="str">
        <f>IF(Atletas!U597="","",IF(Atletas!W597&lt;&gt;"",10000,0)+IF(Atletas!B597="Feminino",1000,IF(Atletas!B597="Masculino",2000,""))+IF(Atletas!T597="Taijijian 42 F",942,IF(Atletas!U597="Taijidao A",943,IF(Atletas!U597="Taijishan A",944,IF(Atletas!U597="Taijiqiang A",945,IF(Atletas!U597="Taijidao B",946,IF(Atletas!U597="Taijishan B",947,IF(Atletas!U597="Taijiqiang B",948,IF(Atletas!U597="Taijidao C",949,IF(Atletas!U597="Taijishan C",950,IF(Atletas!U597="Taijiqiang C",951,IF(Atletas!U597="Taijidao D",952,IF(Atletas!U597="Taijishan D",953,IF(Atletas!U597="Taijiqiang D",954,IF(Atletas!U597="Taijidao E",955,IF(Atletas!U597="Taijishan E",956,IF(Atletas!U597="Taijiqiang E",957,IF(Atletas!U597="Taijidao F",958,IF(Atletas!U597="Taijishan F",959,IF(Atletas!U597="Taijiqiang F",960))))))))))))))))))))</f>
        <v/>
      </c>
      <c r="CF601" s="52" t="str">
        <f xml:space="preserve"> IF(Atletas!V597="","",IF(Atletas!V597="Duilian de Mãos AB - Equipe 1",1,IF(Atletas!V597="Duilian de Mãos AB - Equipe 2",2,IF(Atletas!V597="Duilian de Armas AB - Equipe 1",3,IF(Atletas!V597="Duilian de Armas AB - Equipe 2",4,IF(Atletas!V597="Duilian de Tuishou - Equipe 1",5,IF(Atletas!V597="Duilian de Tuishou - Equipe 2",6,IF(Atletas!V597="Grupo Externo AB - Equipe 1",7,IF(Atletas!V597="Grupo Externo AB - Equipe 2",8,IF(Atletas!V597="Grupo Interno AB - Equipe 1",9,IF(Atletas!V597="Grupo Interno AB - Equipe 2",10,IF(Atletas!V597="Duilian de Mãos CD - Equipe 1",11,IF(Atletas!V597="Duilian de Mãos CD - Equipe 2",12,IF(Atletas!V597="Duilian de Armas CD - Equipe 1",13,IF(Atletas!V597="Duilian de Armas CD - Equipe 2",14,IF(Atletas!V597="Duilian de Tuishou - Equipe 1",15,IF(Atletas!V597="Duilian de Tuishou - Equipe 2",16,IF(Atletas!V597="Grupo Externo CDEF - Equipe 1",17,IF(Atletas!V597="Grupo Externo CDEF - Equipe 2",18,IF(Atletas!V597="Grupo Interno CDEF - Equipe 1",19,IF(Atletas!V597="Grupo Interno CDEF - Equipe 2",20,IF(Atletas!V597="Duilian de Mãos EF - Equipe 1",21,IF(Atletas!V597="Duilian de Mãos EF - Equipe 2",22,IF(Atletas!V597="Duilian de Armas EF - Equipe 1",23,IF(Atletas!V597="Duilian de Armas EF - Equipe 2",24,IF(Atletas!V597="Duilian de Tuishou - Equipe 1",25,IF(Atletas!V597="Duilian de Tuishou - Equipe 2",26,"")))))))))))))))))))))))))))</f>
        <v/>
      </c>
    </row>
    <row r="602" spans="36:84">
      <c r="AJ602" s="46" t="str">
        <f>IF(Atletas!D598="","",IF(Atletas!B598="Feminino",100,IF(Atletas!B598="Masculino",200,""))+(IF(Atletas!D598="Infantil 39kg",1,IF(Atletas!D598="Infantil 42kg",2,IF(Atletas!D598="Infantil 45kg",3,IF(Atletas!D598="Infantil 48kg",4,IF(Atletas!D598="Infantil 52kg",5,IF(Atletas!D598="Infantil 56kg",6,IF(Atletas!D598="Infantil 60kg",7,IF(Atletas!D598="Juvenil 48kg",8,IF(Atletas!D598="Juvenil 52kg",9,IF(Atletas!D598="Juvenil 56kg",10,IF(Atletas!D598="Juvenil 60kg",11,IF(Atletas!D598="Juvenil 65kg",12,IF(Atletas!D598="Juvenil 70kg",13,IF(Atletas!D598="Juvenil 75kg",14,IF(Atletas!D598="Juvenil 80kg",15,IF(Atletas!D598="Adulto 48kg",16,IF(Atletas!D598="Adulto 52kg",17,IF(Atletas!D598="Adulto 56kg",18,IF(Atletas!D598="Adulto 60kg",19,IF(Atletas!D598="Adulto 65kg",20,IF(Atletas!D598="Adulto 70kg",21,IF(Atletas!D598="Adulto 75kg",22,IF(Atletas!D598="Adulto 80kg",23,IF(Atletas!D598="Adulto 85kg",24,IF(Atletas!D598="Adulto 90kg",25,IF(Atletas!D598="Adulto +90kg",26,""))))))))))))))))))))))))))))</f>
        <v/>
      </c>
      <c r="AO602" s="10" t="str">
        <f>IF(Atletas!E598="","",IF(Atletas!B598="Feminino",100,IF(Atletas!B598="Masculino",200,""))+(IF(Atletas!E598="Juvenil 44kg",1,IF(Atletas!E598="Juvenil 48kg",2,IF(Atletas!E598="Juvenil 52kg",3,IF(Atletas!E598="Juvenil 56kg",4,IF(Atletas!E598="Juvenil 60kg",5,IF(Atletas!E598="Juvenil 65kg",6,IF(Atletas!E598="Juvenil 70kg",7,IF(Atletas!E598="Juvenil 75kg",8,IF(Atletas!E598="Juvenil 82kg",9,IF(Atletas!E598="Juvenil 90kg",10,IF(Atletas!E598="Juvenil 100kg",11,IF(Atletas!E598="Adulto 48kg",12,IF(Atletas!E598="Adulto 52kg",13,IF(Atletas!E598="Adulto 56kg",14,IF(Atletas!E598="Adulto 60kg",15,IF(Atletas!E598="Adulto 65kg",16,IF(Atletas!E598="Adulto 70kg",17,IF(Atletas!E598="Adulto 75kg",18,IF(Atletas!E598="Adulto 82kg",19,IF(Atletas!E598="Adulto 90kg",20,IF(Atletas!E598="Adulto 100kg",21,IF(Atletas!E598="Adulto +100kg",22,""))))))))))))))))))))))))</f>
        <v/>
      </c>
      <c r="AT602" s="10" t="str">
        <f>IF(Atletas!F598="","",IF(Atletas!B598="Feminino",100,IF(Atletas!B598="Masculino",200,""))+(IF(Atletas!F598="Adulto 48kg",1,IF(Atletas!F598="Adulto 56kg",2,IF(Atletas!F598="Adulto 65kg",3,IF(Atletas!F598="Adulto 75kg",4,IF(Atletas!F598="Adulto +75kg",5,IF(Atletas!F598="Adulto 52kg",6,IF(Atletas!F598="Adulto 60kg",7,IF(Atletas!F598="Adulto 70kg",8,IF(Atletas!F598="Adulto 80kg",9,IF(Atletas!F598="Adulto 90kg",10,IF(Atletas!F598="Adulto +90kg",11,"")))))))))))))</f>
        <v/>
      </c>
      <c r="AY602" s="46" t="str">
        <f>IF(Atletas!G598="","",IF(Atletas!B598="Feminino",100,IF(Atletas!B598="Masculino",200,""))+(IF(Atletas!G598="Changquan Mirim",1,IF(Atletas!G598="Nanquan Mirim",2,IF(Atletas!G598="Taijiquan Mirim",3,IF(Atletas!G598="Changquan Grupo C",4,IF(Atletas!G598="Nanquan Grupo C",5,IF(Atletas!G598="Taijiquan Grupo C",6,IF(Atletas!G598="Changquan Grupo B",7,IF(Atletas!G598="Nanquan Grupo B",8,IF(Atletas!G598="Taijiquan Grupo B",9,IF(Atletas!G598="Changquan Grupo A",10,IF(Atletas!G598="Nanquan Grupo A",11,IF(Atletas!G598="Taijiquan Grupo A",12,IF(Atletas!G598="Changquan Opcional",13,IF(Atletas!G598="Nanquan Opcional",14,IF(Atletas!G598="Taijiquan Opcional",15,IF(Atletas!G598="Changquan Adulto",16,IF(Atletas!G598="Nanquan Adulto",17,IF(Atletas!G598="Taijiquan Adulto",18,""))))))))))))))))))))</f>
        <v/>
      </c>
      <c r="AZ602" s="46" t="str">
        <f>IF(Atletas!H598="","",IF(Atletas!B598="Feminino",100,IF(Atletas!B598="Masculino",200,""))+(IF(Atletas!H598="Daoshu Mirim",19,IF(Atletas!H598="Jianshu Mirim",20,IF(Atletas!H598="Nandao Mirim",21,IF(Atletas!H598="Taijijian Mirim",22,IF(Atletas!H598="Daoshu Grupo C",23,IF(Atletas!H598="Jianshu Grupo C",24,IF(Atletas!H598="Nandao Grupo C",25,IF(Atletas!H598="Taijijian Grupo C",26,IF(Atletas!H598="Daoshu Grupo B",27,IF(Atletas!H598="Jianshu Grupo B",28,IF(Atletas!H598="Nandao Grupo B",29,IF(Atletas!H598="Taijijian Grupo B",30,IF(Atletas!H598="Daoshu Grupo A",31,IF(Atletas!H598="Jianshu Grupo A",32,IF(Atletas!H598="Nandao Grupo A",33,IF(Atletas!H598="Taijijian Grupo A",34,IF(Atletas!H598="Daoshu Opcional",35,IF(Atletas!H598="Jianshu Opcional",36,IF(Atletas!H598="Nandao Opcional",37,IF(Atletas!H598="Taijijian Opcional",38,IF(Atletas!H598="Daoshu Adulto",39,IF(Atletas!H598="Jianshu Adulto",40,IF(Atletas!H598="Nandao Adulto",41,IF(Atletas!H598="Taijijian Adulto",42,""))))))))))))))))))))))))))</f>
        <v/>
      </c>
      <c r="BA602" s="46" t="str">
        <f>IF(Atletas!I598="","",IF(Atletas!B598="Feminino",100,IF(Atletas!B598="Masculino",200,""))+(IF(Atletas!I598="Gunshu Mirim",43,IF(Atletas!I598="Qiangshu Mirim",44,IF(Atletas!I598="Nangun Mirim",45,IF(Atletas!I598="Gunshu Grupo C",46,IF(Atletas!I598="Qiangshu Grupo C",47,IF(Atletas!I598="Nangun Grupo C",48,IF(Atletas!I598="Gunshu Grupo B",49,IF(Atletas!I598="Qiangshu Grupo B",50,IF(Atletas!I598="Nangun Grupo B",51,IF(Atletas!I598="Gunshu Grupo A",52,IF(Atletas!I598="Qiangshu Grupo A",53,IF(Atletas!I598="Nangun Grupo A",54,IF(Atletas!I598="Gunshu Opcional",55,IF(Atletas!I598="Qiangshu Opcional",56,IF(Atletas!I598="Nangun Opcional",57,IF(Atletas!I598="Gunshu Adulto",58,IF(Atletas!I598="Qiangshu Adulto",59,IF(Atletas!I598="Nangun Adulto",60,""))))))))))))))))))))</f>
        <v/>
      </c>
      <c r="BF602" s="52" t="str">
        <f>IF(Atletas!J598="","",IF(Atletas!B598="Feminino",100,IF(Atletas!B598="Masculino",200,""))+(IF(Atletas!J598="Equipe 1 Grupo B",1,IF(Atletas!J598="Equipe 2 Grupo B",2,IF(Atletas!J598="Equipe 1 Grupo A",3,IF(Atletas!J598="Equipe 2 Grupo A",4,IF(Atletas!J598="Equipe 1 Adulto",5,IF(Atletas!J598="Equipe 2 Adulto",6,""))))))))</f>
        <v/>
      </c>
      <c r="BK602" s="52" t="str">
        <f>IF(Atletas!K598="","",IF(Atletas!W598&lt;&gt;"",10000,0)+(IF(Atletas!B598="Feminino",1000,IF(Atletas!B598="Masculino",2000,""))+IF(Atletas!K598="Choylayfut A",1,IF(Atletas!K598="Hunggar A",2,IF(Atletas!K598="Wuzuquan A",3,IF(Atletas!K598="Wingchun A",4,IF(Atletas!K598="Outra Mão de Sul A",5,IF(Atletas!K598="Choylayfut B",6,IF(Atletas!K598="Hunggar B",7,IF(Atletas!K598="Wuzuquan B",8,IF(Atletas!K598="Wingchun B",9,IF(Atletas!K598="Outra Mão de Sul B",10,IF(Atletas!K598="Choylayfut C",11,IF(Atletas!K598="Hunggar C",12,IF(Atletas!K598="Wuzuquan C",13,IF(Atletas!K598="Wingchun C",14,IF(Atletas!K598="Outra Mão de Sul C",15,IF(Atletas!K598="Choylayfut D",16,IF(Atletas!K598="Hunggar D",17,IF(Atletas!K598="Wuzuquan D",18,IF(Atletas!K598="Wingchun D",19,IF(Atletas!K598="Outra Mão de Sul D",20,IF(Atletas!K598="Choylayfut E",21,IF(Atletas!K598="Hunggar E",22,IF(Atletas!K598="Wuzuquan E",23,IF(Atletas!K598="Wingchun E",24,IF(Atletas!K598="Outra Mão de Sul E",25,IF(Atletas!K598="Choylayfut F",26,IF(Atletas!K598="Hunggar F",27,IF(Atletas!K598="Wuzuquan F",28,IF(Atletas!K598="Wingchun F",29,IF(Atletas!K598="Outra Mão de Sul F",30,""))))))))))))))))))))))))))))))))</f>
        <v/>
      </c>
      <c r="BL602" s="52" t="str">
        <f>IF(Atletas!L598="","",IF(Atletas!W598&lt;&gt;"",10000,0)+(IF(Atletas!B598="Feminino",1000,IF(Atletas!B598="Masculino",2000,""))+(IF(Atletas!L598="Chaquan A",101,IF(Atletas!L598="Emeiquan A",102,IF(Atletas!L598="Fanziquan A",103,IF(Atletas!L598="Huaquan A",104,IF(Atletas!L598="Hongquan A",105,IF(Atletas!L598="Paochui A",106,IF(Atletas!L598="Piguaquan A",107,IF(Atletas!L598="Shaolinquan A",108,IF(Atletas!L598="Tanglangquan A",109,IF(Atletas!L598="Yinzhaophai A",110,IF(Atletas!L598="Tongbeiquan A",111,IF(Atletas!L598="Wudangquan A",112,IF(Atletas!L598="Outros Estilos A",113,IF(Atletas!L598="Chaquan B",114,IF(Atletas!L598="Emeiquan B",115,IF(Atletas!L598="Fanziquan B",116,IF(Atletas!L598="Huaquan B",117,IF(Atletas!L598="Hongquan B",118,IF(Atletas!L598="Paochui B",119,IF(Atletas!L598="Piguaquan B",120,IF(Atletas!L598="Shaolinquan B",121,IF(Atletas!L598="Tanglangquan B",122,IF(Atletas!L598="Yinzhaophai B",123,IF(Atletas!L598="Tongbeiquan B",124,IF(Atletas!L598="Wudangquan B",125,IF(Atletas!L598="Outros Estilos B",126,IF(Atletas!L598="Chaquan C",127,IF(Atletas!L598="Emeiquan C",128,IF(Atletas!L598="Fanziquan C",129,IF(Atletas!L598="Huaquan C",130,IF(Atletas!L598="Hongquan C",131,IF(Atletas!L598="Paochui C",132,IF(Atletas!L598="Piguaquan C",133,IF(Atletas!L598="Shaolinquan C",134,IF(Atletas!L598="Tanglangquan C",135,IF(Atletas!L598="Yinzhaophai C",136,IF(Atletas!L598="Tongbeiquan C",137,IF(Atletas!L598="Wudangquan C",138,IF(Atletas!L598="Outros Estilos C",139,0))))))))))))))))))))))))))))))))))))))))))</f>
        <v/>
      </c>
      <c r="BM602" s="52" t="str">
        <f>IF(Atletas!L598="","",IF(Atletas!W598&lt;&gt;"",10000,0)+(IF(Atletas!B598="Feminino",1000,IF(Atletas!B598="Masculino",2000,""))+(IF(Atletas!L598="Chaquan D",140,IF(Atletas!L598="Emeiquan D",141,IF(Atletas!L598="Fanziquan D",142,IF(Atletas!L598="Huaquan D",143,IF(Atletas!L598="Hongquan D",144,IF(Atletas!L598="Paochui D",145,IF(Atletas!L598="Piguaquan D",146,IF(Atletas!L598="Shaolinquan D",147,IF(Atletas!L598="Tanglangquan D",148,IF(Atletas!L598="Yinzhaophai D",149,IF(Atletas!L598="Tongbeiquan D",150,IF(Atletas!L598="Wudangquan D",151,IF(Atletas!L598="Outros Estilos D",152,IF(Atletas!L598="Chaquan E",153,IF(Atletas!L598="Emeiquan E",154,IF(Atletas!L598="Fanziquan E",155,IF(Atletas!L598="Huaquan E",156,IF(Atletas!L598="Hongquan E",157,IF(Atletas!L598="Paochui E",158,IF(Atletas!L598="Piguaquan E",159,IF(Atletas!L598="Shaolinquan E",160,IF(Atletas!L598="Tanglangquan E",161,IF(Atletas!L598="Yinzhaophai E",162,IF(Atletas!L598="Tongbeiquan E",163,IF(Atletas!L598="Wudangquan E",164,IF(Atletas!L598="Outros Estilos E",165,IF(Atletas!L598="Chaquan F",166,IF(Atletas!L598="Emeiquan F",167,IF(Atletas!L598="Fanziquan F",168,IF(Atletas!L598="Huaquan F",169,IF(Atletas!L598="Hongquan F",170,IF(Atletas!L598="Paochui F",171,IF(Atletas!L598="Piguaquan F",172,IF(Atletas!L598="Shaolinquan F",173,IF(Atletas!L598="Tanglangquan F",174,IF(Atletas!L598="Yinzhaophai F",175,IF(Atletas!L598="Tongbeiquan F",176,IF(Atletas!L598="Wudangquan F",177,IF(Atletas!L598="Outros Estilos F",178,0))))))))))))))))))))))))))))))))))))))))))</f>
        <v/>
      </c>
      <c r="BN602" s="52" t="str">
        <f>IF(Atletas!M598="","",IF(Atletas!W598&lt;&gt;"",10000,0)+(IF(Atletas!B598="Feminino",1000,IF(Atletas!B598="Masculino",2000,""))+(IF(Atletas!M598="Ditangquan A",201,IF(Atletas!M598="Houquan A",202,IF(Atletas!M598="Zuiquan A",203,IF(Atletas!M598="Ditangquan B",204,IF(Atletas!M598="Houquan B",205,IF(Atletas!M598="Zuiquan B",206,IF(Atletas!M598="Ditangquan C",207,IF(Atletas!M598="Houquan C",208,IF(Atletas!M598="Zuiquan C",209,IF(Atletas!M598="Ditangquan D",210,IF(Atletas!M598="Houquan D",211,IF(Atletas!M598="Zuiquan D",212,IF(Atletas!M598="Ditangquan E",213,IF(Atletas!M598="Houquan E",214,IF(Atletas!M598="Zuiquan E",215,IF(Atletas!M598="Ditangquan F",216,IF(Atletas!M598="Houquan F",217,IF(Atletas!M598="Zuiquan F",218,"")))))))))))))))))))))</f>
        <v/>
      </c>
      <c r="BO602" s="52" t="str">
        <f>IF(Atletas!N598="","",IF(Atletas!W598&lt;&gt;"",10000,0)+IF(Atletas!B598="Feminino",1000,IF(Atletas!B598="Masculino",2000,""))+IF(Atletas!N598="Yang A",301,IF(Atletas!N598="Chen A",30,IF(Atletas!N598="Sun A",303,IF(Atletas!N598="Wu A",304,IF(Atletas!N598="Wu-Hao A",305,IF(Atletas!N598="Outro Taijiquan A",306,IF(Atletas!N598="Yang B",307,IF(Atletas!N598="Chen B",308,IF(Atletas!N598="Sun B",309,IF(Atletas!N598="Wu B",310,IF(Atletas!N598="Wu-Hao B",311,IF(Atletas!N598="Outro Taijiquan B",312,IF(Atletas!N598="Yang C",313,IF(Atletas!N598="Chen C",314,IF(Atletas!N598="Sun C",315,IF(Atletas!N598="Wu C",316,IF(Atletas!N598="Wu-Hao C",317,IF(Atletas!N598="Outro Taijiquan C",318,IF(Atletas!N598="Yang D",319,IF(Atletas!N598="Chen D",320,IF(Atletas!N598="Sun D",321,IF(Atletas!N598="Wu D",322,IF(Atletas!N598="Wu-Hao D",323,IF(Atletas!N598="Outro Taijiquan D",324,IF(Atletas!N598="Yang E",325,IF(Atletas!N598="Chen E",326,IF(Atletas!N598="Sun E",327,IF(Atletas!N598="Wu E",328,IF(Atletas!N598="Wu-Hao E",329,IF(Atletas!N598="Outro Taijiquan E",330,IF(Atletas!N598="Yang F",331,IF(Atletas!N598="Chen F",332,IF(Atletas!N598="Sun F",333,IF(Atletas!N598="Wu F",334,IF(Atletas!N598="Wu-Hao F",335,IF(Atletas!N598="Outro Taijiquan F",336,"")))))))))))))))))))))))))))))))))))))</f>
        <v/>
      </c>
      <c r="BP602" s="52" t="str">
        <f>IF(Atletas!O598="","",IF(Atletas!W598&lt;&gt;"",10000,0)+IF(Atletas!B598="Feminino",1000,IF(Atletas!B598="Masculino",2000,""))+IF(OR(Atletas!O598="Yang 26 A",Atletas!O598="Yang 40 A"),401,IF(OR(Atletas!O598="Chen 25 A",Atletas!O598="Chen 36 A",Atletas!O598="Chen 56 A"),402,IF(Atletas!O598="Sun 73 A",403,IF(Atletas!O598="Wu 45 A",404,IF(Atletas!O598="Wu-Hao 46 A",405,IF(OR(Atletas!O598="Taijiquan 16 A",Atletas!O598="Taijiquan 24 A",Atletas!O598="Taijiquan 32 A",Atletas!O598="Taijiquan 42 A"),406,IF(OR(Atletas!O598="Yang 26 B",Atletas!O598="Yang 40 B"),407,IF(OR(Atletas!O598="Chen 25 B",Atletas!O598="Chen 36 B",Atletas!O598="Chen 56 B"),408,IF(Atletas!O598="Sun 73 B",409,IF(Atletas!O598="Wu 45 B",410,IF(Atletas!O598="Wu-Hao 46 B",411,IF(OR(Atletas!O598="Taijiquan 16 B",Atletas!O598="Taijiquan 24 B",Atletas!O598="Taijiquan 32 B",Atletas!O598="Taijiquan 42 B"),412,IF(OR(Atletas!O598="Yang 26 C",Atletas!O598="Yang 40 C"),413,IF(OR(Atletas!O598="Chen 25 C",Atletas!O598="Chen 36 C",Atletas!O598="Chen 56 C"),414,IF(Atletas!O598="Sun 73 C",415,IF(Atletas!O598="Wu 45 C",416,IF(Atletas!O598="Wu-Hao 46 C",417,IF(OR(Atletas!O598="Taijiquan 16 C",Atletas!O598="Taijiquan 24 C",Atletas!O598="Taijiquan 32 C",Atletas!O598="Taijiquan 42 C"),418,0)))))))))))))))))))</f>
        <v/>
      </c>
      <c r="BQ602" s="52" t="str">
        <f>IF(Atletas!O598="","",IF(Atletas!W598&lt;&gt;"",10000,0)+IF(Atletas!B598="Feminino",1000,IF(Atletas!B598="Masculino",2000,""))+IF(OR(Atletas!O598="Yang 26 D",Atletas!O598="Yang 40 D"),419,IF(OR(Atletas!O598="Chen 25 D",Atletas!O598="Chen 36 D",Atletas!O598="Chen 56 D"),420,IF(Atletas!O598="Sun 73 D",421,IF(Atletas!O598="Wu 45 D",422,IF(Atletas!O598="Wu-Hao 46 D",423,IF(OR(Atletas!O598="Taijiquan 16 D",Atletas!O598="Taijiquan 24 D",Atletas!O598="Taijiquan 32 D",Atletas!O598="Taijiquan 42 D"),424,IF(OR(Atletas!O598="Yang 26 E",Atletas!O598="Yang 40 E"),425,IF(OR(Atletas!O598="Chen 25 E",Atletas!O598="Chen 36 E",Atletas!O598="Chen 56 E"),426,IF(Atletas!O598="Sun 73 E",427,IF(Atletas!O598="Wu 45 E",428,IF(Atletas!O598="Wu-Hao 46 E",429,IF(OR(Atletas!O598="Taijiquan 16 E",Atletas!O598="Taijiquan 24 E",Atletas!O598="Taijiquan 32 E",Atletas!O598="Taijiquan 42 E"),430,IF(OR(Atletas!O598="Yang 26 F",Atletas!O598="Yang 40 F"),431,IF(OR(Atletas!O598="Chen 25 F",Atletas!O598="Chen 36 F",Atletas!O598="Chen 56 F"),432,IF(Atletas!O598="Sun 73 F",433,IF(Atletas!O598="Wu 45 F",434,IF(Atletas!O598="Wu-Hao 46 F",435,IF(OR(Atletas!O598="Taijiquan 16 F",Atletas!O598="Taijiquan 24 F",Atletas!O598="Taijiquan 32 F",Atletas!O598="Taijiquan 42 F"),436,0)))))))))))))))))))</f>
        <v/>
      </c>
      <c r="BR602" s="52" t="str">
        <f>IF(Atletas!P598="","",IF(Atletas!W598&lt;&gt;"",10000,0)+IF(Atletas!B598="Feminino",1000,IF(Atletas!B598="Masculino",2000,""))+IF(Atletas!P598="Xingyiquan A",501,IF(Atletas!P598="Baguazhang A",502,IF(Atletas!P598="Outro Estilo Interno A",503,IF(Atletas!P598="Xingyiquan B",504,IF(Atletas!P598="Baguazhang B",505,IF(Atletas!P598="Outro Estilo Interno B",506,IF(Atletas!P598="Xingyiquan C",507,IF(Atletas!P598="Baguazhang C",508,IF(Atletas!P598="Outro Estilo Interno C",509,IF(Atletas!P598="Xingyiquan D",510,IF(Atletas!P598="Baguazhang D",511,IF(Atletas!P598="Outro Estilo Interno D",512,IF(Atletas!P598="Xingyiquan E",513,IF(Atletas!P598="Baguazhang E",514,IF(Atletas!P598="Outro Estilo Interno E",515,IF(Atletas!P598="Xingyiquan F",516,IF(Atletas!P598="Baguazhang F",517,IF(Atletas!P598="Outro Estilo Interno F",518, "")))))))))))))))))))</f>
        <v/>
      </c>
      <c r="BS602" s="52" t="str">
        <f>IF(Atletas!Q598="","",IF(Atletas!W598&lt;&gt;"",10000,0)+IF(Atletas!B598="Feminino",1000,IF(Atletas!B598="Masculino",2000,""))+IF(Atletas!Q598="Dao A",601,IF(Atletas!Q598="Jian A",602,IF(Atletas!Q598="Bishou A",603,IF(Atletas!Q598="Shan A",604,IF(Atletas!Q598="Outra Arma Curta A",605,IF(Atletas!Q598="Dao B",606,IF(Atletas!Q598="Jian B",607,IF(Atletas!Q598="Bishou B",608,IF(Atletas!Q598="Shan B",609,IF(Atletas!Q598="Outra Arma Curta B",610,IF(Atletas!Q598="Dao C",611,IF(Atletas!Q598="Jian C",612,IF(Atletas!Q598="Bishou C",613,IF(Atletas!Q598="Shan C",614,IF(Atletas!Q598="Outra Arma Curta C",615,IF(Atletas!Q598="Dao D",616,IF(Atletas!Q598="Jian D",617,IF(Atletas!Q598="Bishou D",618,IF(Atletas!Q598="Shan D",619,IF(Atletas!Q598="Outra Arma Curta D",620,IF(Atletas!Q598="Dao E",621,IF(Atletas!Q598="Jian E",622,IF(Atletas!Q598="Bishou E",623,IF(Atletas!Q598="Shan E",624,IF(Atletas!Q598="Outra Arma Curta E",625,IF(Atletas!Q598="Dao F",626,IF(Atletas!Q598="Jian F",627,IF(Atletas!Q598="Bishou F",628,IF(Atletas!Q598="Shan F",629,IF(Atletas!Q598="Outra Arma Curta F",630, "")))))))))))))))))))))))))))))))</f>
        <v/>
      </c>
      <c r="BT602" s="52" t="str">
        <f>IF(Atletas!R598="","",IF(Atletas!W598&lt;&gt;"",10000,0)+IF(Atletas!B598="Feminino",1000,IF(Atletas!B598="Masculino",2000,""))+IF(Atletas!R598="Gun A",701,IF(Atletas!R598="Qiang A",702,IF(Atletas!R598="Pudao / Guandao A",703,IF(Atletas!R598="Outra Arma Longa A",704,IF(Atletas!R598="Gun B",705,IF(Atletas!R598="Qiang B",706,IF(Atletas!R598="Pudao / Guandao B",707,IF(Atletas!R598="Outra Arma Longa B",708,IF(Atletas!R598="Gun C",709,IF(Atletas!R598="Qiang C",710,IF(Atletas!R598="Pudao / Guandao C",711,IF(Atletas!R598="Outra Arma Longa C",712,IF(Atletas!R598="Gun D",713,IF(Atletas!R598="Qiang D",714,IF(Atletas!R598="Pudao / Guandao D",715,IF(Atletas!R598="Outra Arma Longa D",716,IF(Atletas!R598="Gun E",717,IF(Atletas!R598="Qiang E",718,IF(Atletas!R598="Pudao / Guandao E",719,IF(Atletas!R598="Outra Arma Longa E",720,IF(Atletas!R598="Gun F",721,IF(Atletas!R598="Qiang F",722,IF(Atletas!R598="Pudao / Guandao F",723,IF(Atletas!R598="Outra Arma Longa F",724,"")))))))))))))))))))))))))</f>
        <v/>
      </c>
      <c r="BU602" s="52" t="str">
        <f>IF(Atletas!S598="","",IF(Atletas!W598&lt;&gt;"",10000,0)+IF(Atletas!B598="Feminino",1000,IF(Atletas!B598="Masculino",2000,""))+IF(Atletas!S598="Arma Dupla A",801,IF(Atletas!S598="Arma Maleável A",802,IF(Atletas!S598="Arma Dupla B",803,IF(Atletas!S598="Arma Maleável B",804,IF(Atletas!S598="Arma Dupla C",805,IF(Atletas!S598="Arma Maleável C",806,IF(Atletas!S598="Arma Dupla D",807,IF(Atletas!S598="Arma Maleável D",808,IF(Atletas!S598="Arma Dupla E",809,IF(Atletas!S598="Arma Maleável E",810,IF(Atletas!S598="Arma Dupla F",811,IF(Atletas!S598="Arma Maleável F",812, "")))))))))))))</f>
        <v/>
      </c>
      <c r="BV602" s="52" t="str">
        <f>IF(Atletas!T598="","",IF(Atletas!W598&lt;&gt;"",10000,0)+IF(Atletas!B598="Feminino",1000,IF(Atletas!B598="Masculino",2000,""))+IF(Atletas!T598="Taijijian Yang A",901,IF(Atletas!T598="Taijijian Chen A",902,IF(Atletas!T598="Taijijian Sun A",903,IF(Atletas!T598="Taijijian Wu A",904,IF(Atletas!T598="Taijijian Wu-Hao A",905,IF(Atletas!T598="Taijijian 32 A",906,IF(Atletas!T598="Taijijian 42 A",907,IF(Atletas!T598="Taijijian Yang B",908,IF(Atletas!T598="Taijijian Chen B",909,IF(Atletas!T598="Taijijian Sun B",910,IF(Atletas!T598="Taijijian Wu B",911,IF(Atletas!T598="Taijijian Wu-Hao B",912,IF(Atletas!T598="Taijijian 32 B",913,IF(Atletas!T598="Taijijian 42 B",914,IF(Atletas!T598="Taijijian Yang C",915,IF(Atletas!T598="Taijijian Chen C",916,IF(Atletas!T598="Taijijian Sun C",917,IF(Atletas!T598="Taijijian Wu C",918,IF(Atletas!T598="Taijijian Wu-Hao C",919,IF(Atletas!T598="Taijijian 32 C",920,IF(Atletas!T598="Taijijian 42 C",921,IF(Atletas!T598="Taijijian Yang D",922,IF(Atletas!T598="Taijijian Chen D",923,IF(Atletas!T598="Taijijian Sun D",924,IF(Atletas!T598="Taijijian Wu D",925,IF(Atletas!T598="Taijijian Wu-Hao D",926,IF(Atletas!T598="Taijijian 32 D",927,IF(Atletas!T598="Taijijian 42 D",928,IF(Atletas!T598="Taijijian Yang E",929,IF(Atletas!T598="Taijijian Chen E",930,IF(Atletas!T598="Taijijian Sun E",931,IF(Atletas!T598="Taijijian Wu E",932,IF(Atletas!T598="Taijijian Wu-Hao E",933,IF(Atletas!T598="Taijijian 32 E",934,IF(Atletas!T598="Taijijian 42 E",935,IF(Atletas!T598="Taijijian Yang F",936,IF(Atletas!T598="Taijijian Chen F",937,IF(Atletas!T598="Taijijian Sun F",938,IF(Atletas!T598="Taijijian Wu F",939,IF(Atletas!T598="Taijijian Wu-Hao F",940,IF(Atletas!T598="Taijijian 32 F",941,IF(Atletas!T598="Taijijian 42 F",942,"")))))))))))))))))))))))))))))))))))))))))))</f>
        <v/>
      </c>
      <c r="BW602" s="52" t="str">
        <f>IF(Atletas!U598="","",IF(Atletas!W598&lt;&gt;"",10000,0)+IF(Atletas!B598="Feminino",1000,IF(Atletas!B598="Masculino",2000,""))+IF(Atletas!T598="Taijijian 42 F",942,IF(Atletas!U598="Taijidao A",943,IF(Atletas!U598="Taijishan A",944,IF(Atletas!U598="Taijiqiang A",945,IF(Atletas!U598="Taijidao B",946,IF(Atletas!U598="Taijishan B",947,IF(Atletas!U598="Taijiqiang B",948,IF(Atletas!U598="Taijidao C",949,IF(Atletas!U598="Taijishan C",950,IF(Atletas!U598="Taijiqiang C",951,IF(Atletas!U598="Taijidao D",952,IF(Atletas!U598="Taijishan D",953,IF(Atletas!U598="Taijiqiang D",954,IF(Atletas!U598="Taijidao E",955,IF(Atletas!U598="Taijishan E",956,IF(Atletas!U598="Taijiqiang E",957,IF(Atletas!U598="Taijidao F",958,IF(Atletas!U598="Taijishan F",959,IF(Atletas!U598="Taijiqiang F",960))))))))))))))))))))</f>
        <v/>
      </c>
      <c r="CF602" s="52" t="str">
        <f xml:space="preserve"> IF(Atletas!V598="","",IF(Atletas!V598="Duilian de Mãos AB - Equipe 1",1,IF(Atletas!V598="Duilian de Mãos AB - Equipe 2",2,IF(Atletas!V598="Duilian de Armas AB - Equipe 1",3,IF(Atletas!V598="Duilian de Armas AB - Equipe 2",4,IF(Atletas!V598="Duilian de Tuishou - Equipe 1",5,IF(Atletas!V598="Duilian de Tuishou - Equipe 2",6,IF(Atletas!V598="Grupo Externo AB - Equipe 1",7,IF(Atletas!V598="Grupo Externo AB - Equipe 2",8,IF(Atletas!V598="Grupo Interno AB - Equipe 1",9,IF(Atletas!V598="Grupo Interno AB - Equipe 2",10,IF(Atletas!V598="Duilian de Mãos CD - Equipe 1",11,IF(Atletas!V598="Duilian de Mãos CD - Equipe 2",12,IF(Atletas!V598="Duilian de Armas CD - Equipe 1",13,IF(Atletas!V598="Duilian de Armas CD - Equipe 2",14,IF(Atletas!V598="Duilian de Tuishou - Equipe 1",15,IF(Atletas!V598="Duilian de Tuishou - Equipe 2",16,IF(Atletas!V598="Grupo Externo CDEF - Equipe 1",17,IF(Atletas!V598="Grupo Externo CDEF - Equipe 2",18,IF(Atletas!V598="Grupo Interno CDEF - Equipe 1",19,IF(Atletas!V598="Grupo Interno CDEF - Equipe 2",20,IF(Atletas!V598="Duilian de Mãos EF - Equipe 1",21,IF(Atletas!V598="Duilian de Mãos EF - Equipe 2",22,IF(Atletas!V598="Duilian de Armas EF - Equipe 1",23,IF(Atletas!V598="Duilian de Armas EF - Equipe 2",24,IF(Atletas!V598="Duilian de Tuishou - Equipe 1",25,IF(Atletas!V598="Duilian de Tuishou - Equipe 2",26,"")))))))))))))))))))))))))))</f>
        <v/>
      </c>
    </row>
    <row r="603" spans="36:84">
      <c r="AJ603" s="46" t="str">
        <f>IF(Atletas!D599="","",IF(Atletas!B599="Feminino",100,IF(Atletas!B599="Masculino",200,""))+(IF(Atletas!D599="Infantil 39kg",1,IF(Atletas!D599="Infantil 42kg",2,IF(Atletas!D599="Infantil 45kg",3,IF(Atletas!D599="Infantil 48kg",4,IF(Atletas!D599="Infantil 52kg",5,IF(Atletas!D599="Infantil 56kg",6,IF(Atletas!D599="Infantil 60kg",7,IF(Atletas!D599="Juvenil 48kg",8,IF(Atletas!D599="Juvenil 52kg",9,IF(Atletas!D599="Juvenil 56kg",10,IF(Atletas!D599="Juvenil 60kg",11,IF(Atletas!D599="Juvenil 65kg",12,IF(Atletas!D599="Juvenil 70kg",13,IF(Atletas!D599="Juvenil 75kg",14,IF(Atletas!D599="Juvenil 80kg",15,IF(Atletas!D599="Adulto 48kg",16,IF(Atletas!D599="Adulto 52kg",17,IF(Atletas!D599="Adulto 56kg",18,IF(Atletas!D599="Adulto 60kg",19,IF(Atletas!D599="Adulto 65kg",20,IF(Atletas!D599="Adulto 70kg",21,IF(Atletas!D599="Adulto 75kg",22,IF(Atletas!D599="Adulto 80kg",23,IF(Atletas!D599="Adulto 85kg",24,IF(Atletas!D599="Adulto 90kg",25,IF(Atletas!D599="Adulto +90kg",26,""))))))))))))))))))))))))))))</f>
        <v/>
      </c>
      <c r="AO603" s="10" t="str">
        <f>IF(Atletas!E599="","",IF(Atletas!B599="Feminino",100,IF(Atletas!B599="Masculino",200,""))+(IF(Atletas!E599="Juvenil 44kg",1,IF(Atletas!E599="Juvenil 48kg",2,IF(Atletas!E599="Juvenil 52kg",3,IF(Atletas!E599="Juvenil 56kg",4,IF(Atletas!E599="Juvenil 60kg",5,IF(Atletas!E599="Juvenil 65kg",6,IF(Atletas!E599="Juvenil 70kg",7,IF(Atletas!E599="Juvenil 75kg",8,IF(Atletas!E599="Juvenil 82kg",9,IF(Atletas!E599="Juvenil 90kg",10,IF(Atletas!E599="Juvenil 100kg",11,IF(Atletas!E599="Adulto 48kg",12,IF(Atletas!E599="Adulto 52kg",13,IF(Atletas!E599="Adulto 56kg",14,IF(Atletas!E599="Adulto 60kg",15,IF(Atletas!E599="Adulto 65kg",16,IF(Atletas!E599="Adulto 70kg",17,IF(Atletas!E599="Adulto 75kg",18,IF(Atletas!E599="Adulto 82kg",19,IF(Atletas!E599="Adulto 90kg",20,IF(Atletas!E599="Adulto 100kg",21,IF(Atletas!E599="Adulto +100kg",22,""))))))))))))))))))))))))</f>
        <v/>
      </c>
      <c r="AT603" s="10" t="str">
        <f>IF(Atletas!F599="","",IF(Atletas!B599="Feminino",100,IF(Atletas!B599="Masculino",200,""))+(IF(Atletas!F599="Adulto 48kg",1,IF(Atletas!F599="Adulto 56kg",2,IF(Atletas!F599="Adulto 65kg",3,IF(Atletas!F599="Adulto 75kg",4,IF(Atletas!F599="Adulto +75kg",5,IF(Atletas!F599="Adulto 52kg",6,IF(Atletas!F599="Adulto 60kg",7,IF(Atletas!F599="Adulto 70kg",8,IF(Atletas!F599="Adulto 80kg",9,IF(Atletas!F599="Adulto 90kg",10,IF(Atletas!F599="Adulto +90kg",11,"")))))))))))))</f>
        <v/>
      </c>
      <c r="AY603" s="46" t="str">
        <f>IF(Atletas!G599="","",IF(Atletas!B599="Feminino",100,IF(Atletas!B599="Masculino",200,""))+(IF(Atletas!G599="Changquan Mirim",1,IF(Atletas!G599="Nanquan Mirim",2,IF(Atletas!G599="Taijiquan Mirim",3,IF(Atletas!G599="Changquan Grupo C",4,IF(Atletas!G599="Nanquan Grupo C",5,IF(Atletas!G599="Taijiquan Grupo C",6,IF(Atletas!G599="Changquan Grupo B",7,IF(Atletas!G599="Nanquan Grupo B",8,IF(Atletas!G599="Taijiquan Grupo B",9,IF(Atletas!G599="Changquan Grupo A",10,IF(Atletas!G599="Nanquan Grupo A",11,IF(Atletas!G599="Taijiquan Grupo A",12,IF(Atletas!G599="Changquan Opcional",13,IF(Atletas!G599="Nanquan Opcional",14,IF(Atletas!G599="Taijiquan Opcional",15,IF(Atletas!G599="Changquan Adulto",16,IF(Atletas!G599="Nanquan Adulto",17,IF(Atletas!G599="Taijiquan Adulto",18,""))))))))))))))))))))</f>
        <v/>
      </c>
      <c r="AZ603" s="46" t="str">
        <f>IF(Atletas!H599="","",IF(Atletas!B599="Feminino",100,IF(Atletas!B599="Masculino",200,""))+(IF(Atletas!H599="Daoshu Mirim",19,IF(Atletas!H599="Jianshu Mirim",20,IF(Atletas!H599="Nandao Mirim",21,IF(Atletas!H599="Taijijian Mirim",22,IF(Atletas!H599="Daoshu Grupo C",23,IF(Atletas!H599="Jianshu Grupo C",24,IF(Atletas!H599="Nandao Grupo C",25,IF(Atletas!H599="Taijijian Grupo C",26,IF(Atletas!H599="Daoshu Grupo B",27,IF(Atletas!H599="Jianshu Grupo B",28,IF(Atletas!H599="Nandao Grupo B",29,IF(Atletas!H599="Taijijian Grupo B",30,IF(Atletas!H599="Daoshu Grupo A",31,IF(Atletas!H599="Jianshu Grupo A",32,IF(Atletas!H599="Nandao Grupo A",33,IF(Atletas!H599="Taijijian Grupo A",34,IF(Atletas!H599="Daoshu Opcional",35,IF(Atletas!H599="Jianshu Opcional",36,IF(Atletas!H599="Nandao Opcional",37,IF(Atletas!H599="Taijijian Opcional",38,IF(Atletas!H599="Daoshu Adulto",39,IF(Atletas!H599="Jianshu Adulto",40,IF(Atletas!H599="Nandao Adulto",41,IF(Atletas!H599="Taijijian Adulto",42,""))))))))))))))))))))))))))</f>
        <v/>
      </c>
      <c r="BA603" s="46" t="str">
        <f>IF(Atletas!I599="","",IF(Atletas!B599="Feminino",100,IF(Atletas!B599="Masculino",200,""))+(IF(Atletas!I599="Gunshu Mirim",43,IF(Atletas!I599="Qiangshu Mirim",44,IF(Atletas!I599="Nangun Mirim",45,IF(Atletas!I599="Gunshu Grupo C",46,IF(Atletas!I599="Qiangshu Grupo C",47,IF(Atletas!I599="Nangun Grupo C",48,IF(Atletas!I599="Gunshu Grupo B",49,IF(Atletas!I599="Qiangshu Grupo B",50,IF(Atletas!I599="Nangun Grupo B",51,IF(Atletas!I599="Gunshu Grupo A",52,IF(Atletas!I599="Qiangshu Grupo A",53,IF(Atletas!I599="Nangun Grupo A",54,IF(Atletas!I599="Gunshu Opcional",55,IF(Atletas!I599="Qiangshu Opcional",56,IF(Atletas!I599="Nangun Opcional",57,IF(Atletas!I599="Gunshu Adulto",58,IF(Atletas!I599="Qiangshu Adulto",59,IF(Atletas!I599="Nangun Adulto",60,""))))))))))))))))))))</f>
        <v/>
      </c>
      <c r="BF603" s="52" t="str">
        <f>IF(Atletas!J599="","",IF(Atletas!B599="Feminino",100,IF(Atletas!B599="Masculino",200,""))+(IF(Atletas!J599="Equipe 1 Grupo B",1,IF(Atletas!J599="Equipe 2 Grupo B",2,IF(Atletas!J599="Equipe 1 Grupo A",3,IF(Atletas!J599="Equipe 2 Grupo A",4,IF(Atletas!J599="Equipe 1 Adulto",5,IF(Atletas!J599="Equipe 2 Adulto",6,""))))))))</f>
        <v/>
      </c>
      <c r="BK603" s="52" t="str">
        <f>IF(Atletas!K599="","",IF(Atletas!W599&lt;&gt;"",10000,0)+(IF(Atletas!B599="Feminino",1000,IF(Atletas!B599="Masculino",2000,""))+IF(Atletas!K599="Choylayfut A",1,IF(Atletas!K599="Hunggar A",2,IF(Atletas!K599="Wuzuquan A",3,IF(Atletas!K599="Wingchun A",4,IF(Atletas!K599="Outra Mão de Sul A",5,IF(Atletas!K599="Choylayfut B",6,IF(Atletas!K599="Hunggar B",7,IF(Atletas!K599="Wuzuquan B",8,IF(Atletas!K599="Wingchun B",9,IF(Atletas!K599="Outra Mão de Sul B",10,IF(Atletas!K599="Choylayfut C",11,IF(Atletas!K599="Hunggar C",12,IF(Atletas!K599="Wuzuquan C",13,IF(Atletas!K599="Wingchun C",14,IF(Atletas!K599="Outra Mão de Sul C",15,IF(Atletas!K599="Choylayfut D",16,IF(Atletas!K599="Hunggar D",17,IF(Atletas!K599="Wuzuquan D",18,IF(Atletas!K599="Wingchun D",19,IF(Atletas!K599="Outra Mão de Sul D",20,IF(Atletas!K599="Choylayfut E",21,IF(Atletas!K599="Hunggar E",22,IF(Atletas!K599="Wuzuquan E",23,IF(Atletas!K599="Wingchun E",24,IF(Atletas!K599="Outra Mão de Sul E",25,IF(Atletas!K599="Choylayfut F",26,IF(Atletas!K599="Hunggar F",27,IF(Atletas!K599="Wuzuquan F",28,IF(Atletas!K599="Wingchun F",29,IF(Atletas!K599="Outra Mão de Sul F",30,""))))))))))))))))))))))))))))))))</f>
        <v/>
      </c>
      <c r="BL603" s="52" t="str">
        <f>IF(Atletas!L599="","",IF(Atletas!W599&lt;&gt;"",10000,0)+(IF(Atletas!B599="Feminino",1000,IF(Atletas!B599="Masculino",2000,""))+(IF(Atletas!L599="Chaquan A",101,IF(Atletas!L599="Emeiquan A",102,IF(Atletas!L599="Fanziquan A",103,IF(Atletas!L599="Huaquan A",104,IF(Atletas!L599="Hongquan A",105,IF(Atletas!L599="Paochui A",106,IF(Atletas!L599="Piguaquan A",107,IF(Atletas!L599="Shaolinquan A",108,IF(Atletas!L599="Tanglangquan A",109,IF(Atletas!L599="Yinzhaophai A",110,IF(Atletas!L599="Tongbeiquan A",111,IF(Atletas!L599="Wudangquan A",112,IF(Atletas!L599="Outros Estilos A",113,IF(Atletas!L599="Chaquan B",114,IF(Atletas!L599="Emeiquan B",115,IF(Atletas!L599="Fanziquan B",116,IF(Atletas!L599="Huaquan B",117,IF(Atletas!L599="Hongquan B",118,IF(Atletas!L599="Paochui B",119,IF(Atletas!L599="Piguaquan B",120,IF(Atletas!L599="Shaolinquan B",121,IF(Atletas!L599="Tanglangquan B",122,IF(Atletas!L599="Yinzhaophai B",123,IF(Atletas!L599="Tongbeiquan B",124,IF(Atletas!L599="Wudangquan B",125,IF(Atletas!L599="Outros Estilos B",126,IF(Atletas!L599="Chaquan C",127,IF(Atletas!L599="Emeiquan C",128,IF(Atletas!L599="Fanziquan C",129,IF(Atletas!L599="Huaquan C",130,IF(Atletas!L599="Hongquan C",131,IF(Atletas!L599="Paochui C",132,IF(Atletas!L599="Piguaquan C",133,IF(Atletas!L599="Shaolinquan C",134,IF(Atletas!L599="Tanglangquan C",135,IF(Atletas!L599="Yinzhaophai C",136,IF(Atletas!L599="Tongbeiquan C",137,IF(Atletas!L599="Wudangquan C",138,IF(Atletas!L599="Outros Estilos C",139,0))))))))))))))))))))))))))))))))))))))))))</f>
        <v/>
      </c>
      <c r="BM603" s="52" t="str">
        <f>IF(Atletas!L599="","",IF(Atletas!W599&lt;&gt;"",10000,0)+(IF(Atletas!B599="Feminino",1000,IF(Atletas!B599="Masculino",2000,""))+(IF(Atletas!L599="Chaquan D",140,IF(Atletas!L599="Emeiquan D",141,IF(Atletas!L599="Fanziquan D",142,IF(Atletas!L599="Huaquan D",143,IF(Atletas!L599="Hongquan D",144,IF(Atletas!L599="Paochui D",145,IF(Atletas!L599="Piguaquan D",146,IF(Atletas!L599="Shaolinquan D",147,IF(Atletas!L599="Tanglangquan D",148,IF(Atletas!L599="Yinzhaophai D",149,IF(Atletas!L599="Tongbeiquan D",150,IF(Atletas!L599="Wudangquan D",151,IF(Atletas!L599="Outros Estilos D",152,IF(Atletas!L599="Chaquan E",153,IF(Atletas!L599="Emeiquan E",154,IF(Atletas!L599="Fanziquan E",155,IF(Atletas!L599="Huaquan E",156,IF(Atletas!L599="Hongquan E",157,IF(Atletas!L599="Paochui E",158,IF(Atletas!L599="Piguaquan E",159,IF(Atletas!L599="Shaolinquan E",160,IF(Atletas!L599="Tanglangquan E",161,IF(Atletas!L599="Yinzhaophai E",162,IF(Atletas!L599="Tongbeiquan E",163,IF(Atletas!L599="Wudangquan E",164,IF(Atletas!L599="Outros Estilos E",165,IF(Atletas!L599="Chaquan F",166,IF(Atletas!L599="Emeiquan F",167,IF(Atletas!L599="Fanziquan F",168,IF(Atletas!L599="Huaquan F",169,IF(Atletas!L599="Hongquan F",170,IF(Atletas!L599="Paochui F",171,IF(Atletas!L599="Piguaquan F",172,IF(Atletas!L599="Shaolinquan F",173,IF(Atletas!L599="Tanglangquan F",174,IF(Atletas!L599="Yinzhaophai F",175,IF(Atletas!L599="Tongbeiquan F",176,IF(Atletas!L599="Wudangquan F",177,IF(Atletas!L599="Outros Estilos F",178,0))))))))))))))))))))))))))))))))))))))))))</f>
        <v/>
      </c>
      <c r="BN603" s="52" t="str">
        <f>IF(Atletas!M599="","",IF(Atletas!W599&lt;&gt;"",10000,0)+(IF(Atletas!B599="Feminino",1000,IF(Atletas!B599="Masculino",2000,""))+(IF(Atletas!M599="Ditangquan A",201,IF(Atletas!M599="Houquan A",202,IF(Atletas!M599="Zuiquan A",203,IF(Atletas!M599="Ditangquan B",204,IF(Atletas!M599="Houquan B",205,IF(Atletas!M599="Zuiquan B",206,IF(Atletas!M599="Ditangquan C",207,IF(Atletas!M599="Houquan C",208,IF(Atletas!M599="Zuiquan C",209,IF(Atletas!M599="Ditangquan D",210,IF(Atletas!M599="Houquan D",211,IF(Atletas!M599="Zuiquan D",212,IF(Atletas!M599="Ditangquan E",213,IF(Atletas!M599="Houquan E",214,IF(Atletas!M599="Zuiquan E",215,IF(Atletas!M599="Ditangquan F",216,IF(Atletas!M599="Houquan F",217,IF(Atletas!M599="Zuiquan F",218,"")))))))))))))))))))))</f>
        <v/>
      </c>
      <c r="BO603" s="52" t="str">
        <f>IF(Atletas!N599="","",IF(Atletas!W599&lt;&gt;"",10000,0)+IF(Atletas!B599="Feminino",1000,IF(Atletas!B599="Masculino",2000,""))+IF(Atletas!N599="Yang A",301,IF(Atletas!N599="Chen A",30,IF(Atletas!N599="Sun A",303,IF(Atletas!N599="Wu A",304,IF(Atletas!N599="Wu-Hao A",305,IF(Atletas!N599="Outro Taijiquan A",306,IF(Atletas!N599="Yang B",307,IF(Atletas!N599="Chen B",308,IF(Atletas!N599="Sun B",309,IF(Atletas!N599="Wu B",310,IF(Atletas!N599="Wu-Hao B",311,IF(Atletas!N599="Outro Taijiquan B",312,IF(Atletas!N599="Yang C",313,IF(Atletas!N599="Chen C",314,IF(Atletas!N599="Sun C",315,IF(Atletas!N599="Wu C",316,IF(Atletas!N599="Wu-Hao C",317,IF(Atletas!N599="Outro Taijiquan C",318,IF(Atletas!N599="Yang D",319,IF(Atletas!N599="Chen D",320,IF(Atletas!N599="Sun D",321,IF(Atletas!N599="Wu D",322,IF(Atletas!N599="Wu-Hao D",323,IF(Atletas!N599="Outro Taijiquan D",324,IF(Atletas!N599="Yang E",325,IF(Atletas!N599="Chen E",326,IF(Atletas!N599="Sun E",327,IF(Atletas!N599="Wu E",328,IF(Atletas!N599="Wu-Hao E",329,IF(Atletas!N599="Outro Taijiquan E",330,IF(Atletas!N599="Yang F",331,IF(Atletas!N599="Chen F",332,IF(Atletas!N599="Sun F",333,IF(Atletas!N599="Wu F",334,IF(Atletas!N599="Wu-Hao F",335,IF(Atletas!N599="Outro Taijiquan F",336,"")))))))))))))))))))))))))))))))))))))</f>
        <v/>
      </c>
      <c r="BP603" s="52" t="str">
        <f>IF(Atletas!O599="","",IF(Atletas!W599&lt;&gt;"",10000,0)+IF(Atletas!B599="Feminino",1000,IF(Atletas!B599="Masculino",2000,""))+IF(OR(Atletas!O599="Yang 26 A",Atletas!O599="Yang 40 A"),401,IF(OR(Atletas!O599="Chen 25 A",Atletas!O599="Chen 36 A",Atletas!O599="Chen 56 A"),402,IF(Atletas!O599="Sun 73 A",403,IF(Atletas!O599="Wu 45 A",404,IF(Atletas!O599="Wu-Hao 46 A",405,IF(OR(Atletas!O599="Taijiquan 16 A",Atletas!O599="Taijiquan 24 A",Atletas!O599="Taijiquan 32 A",Atletas!O599="Taijiquan 42 A"),406,IF(OR(Atletas!O599="Yang 26 B",Atletas!O599="Yang 40 B"),407,IF(OR(Atletas!O599="Chen 25 B",Atletas!O599="Chen 36 B",Atletas!O599="Chen 56 B"),408,IF(Atletas!O599="Sun 73 B",409,IF(Atletas!O599="Wu 45 B",410,IF(Atletas!O599="Wu-Hao 46 B",411,IF(OR(Atletas!O599="Taijiquan 16 B",Atletas!O599="Taijiquan 24 B",Atletas!O599="Taijiquan 32 B",Atletas!O599="Taijiquan 42 B"),412,IF(OR(Atletas!O599="Yang 26 C",Atletas!O599="Yang 40 C"),413,IF(OR(Atletas!O599="Chen 25 C",Atletas!O599="Chen 36 C",Atletas!O599="Chen 56 C"),414,IF(Atletas!O599="Sun 73 C",415,IF(Atletas!O599="Wu 45 C",416,IF(Atletas!O599="Wu-Hao 46 C",417,IF(OR(Atletas!O599="Taijiquan 16 C",Atletas!O599="Taijiquan 24 C",Atletas!O599="Taijiquan 32 C",Atletas!O599="Taijiquan 42 C"),418,0)))))))))))))))))))</f>
        <v/>
      </c>
      <c r="BQ603" s="52" t="str">
        <f>IF(Atletas!O599="","",IF(Atletas!W599&lt;&gt;"",10000,0)+IF(Atletas!B599="Feminino",1000,IF(Atletas!B599="Masculino",2000,""))+IF(OR(Atletas!O599="Yang 26 D",Atletas!O599="Yang 40 D"),419,IF(OR(Atletas!O599="Chen 25 D",Atletas!O599="Chen 36 D",Atletas!O599="Chen 56 D"),420,IF(Atletas!O599="Sun 73 D",421,IF(Atletas!O599="Wu 45 D",422,IF(Atletas!O599="Wu-Hao 46 D",423,IF(OR(Atletas!O599="Taijiquan 16 D",Atletas!O599="Taijiquan 24 D",Atletas!O599="Taijiquan 32 D",Atletas!O599="Taijiquan 42 D"),424,IF(OR(Atletas!O599="Yang 26 E",Atletas!O599="Yang 40 E"),425,IF(OR(Atletas!O599="Chen 25 E",Atletas!O599="Chen 36 E",Atletas!O599="Chen 56 E"),426,IF(Atletas!O599="Sun 73 E",427,IF(Atletas!O599="Wu 45 E",428,IF(Atletas!O599="Wu-Hao 46 E",429,IF(OR(Atletas!O599="Taijiquan 16 E",Atletas!O599="Taijiquan 24 E",Atletas!O599="Taijiquan 32 E",Atletas!O599="Taijiquan 42 E"),430,IF(OR(Atletas!O599="Yang 26 F",Atletas!O599="Yang 40 F"),431,IF(OR(Atletas!O599="Chen 25 F",Atletas!O599="Chen 36 F",Atletas!O599="Chen 56 F"),432,IF(Atletas!O599="Sun 73 F",433,IF(Atletas!O599="Wu 45 F",434,IF(Atletas!O599="Wu-Hao 46 F",435,IF(OR(Atletas!O599="Taijiquan 16 F",Atletas!O599="Taijiquan 24 F",Atletas!O599="Taijiquan 32 F",Atletas!O599="Taijiquan 42 F"),436,0)))))))))))))))))))</f>
        <v/>
      </c>
      <c r="BR603" s="52" t="str">
        <f>IF(Atletas!P599="","",IF(Atletas!W599&lt;&gt;"",10000,0)+IF(Atletas!B599="Feminino",1000,IF(Atletas!B599="Masculino",2000,""))+IF(Atletas!P599="Xingyiquan A",501,IF(Atletas!P599="Baguazhang A",502,IF(Atletas!P599="Outro Estilo Interno A",503,IF(Atletas!P599="Xingyiquan B",504,IF(Atletas!P599="Baguazhang B",505,IF(Atletas!P599="Outro Estilo Interno B",506,IF(Atletas!P599="Xingyiquan C",507,IF(Atletas!P599="Baguazhang C",508,IF(Atletas!P599="Outro Estilo Interno C",509,IF(Atletas!P599="Xingyiquan D",510,IF(Atletas!P599="Baguazhang D",511,IF(Atletas!P599="Outro Estilo Interno D",512,IF(Atletas!P599="Xingyiquan E",513,IF(Atletas!P599="Baguazhang E",514,IF(Atletas!P599="Outro Estilo Interno E",515,IF(Atletas!P599="Xingyiquan F",516,IF(Atletas!P599="Baguazhang F",517,IF(Atletas!P599="Outro Estilo Interno F",518, "")))))))))))))))))))</f>
        <v/>
      </c>
      <c r="BS603" s="52" t="str">
        <f>IF(Atletas!Q599="","",IF(Atletas!W599&lt;&gt;"",10000,0)+IF(Atletas!B599="Feminino",1000,IF(Atletas!B599="Masculino",2000,""))+IF(Atletas!Q599="Dao A",601,IF(Atletas!Q599="Jian A",602,IF(Atletas!Q599="Bishou A",603,IF(Atletas!Q599="Shan A",604,IF(Atletas!Q599="Outra Arma Curta A",605,IF(Atletas!Q599="Dao B",606,IF(Atletas!Q599="Jian B",607,IF(Atletas!Q599="Bishou B",608,IF(Atletas!Q599="Shan B",609,IF(Atletas!Q599="Outra Arma Curta B",610,IF(Atletas!Q599="Dao C",611,IF(Atletas!Q599="Jian C",612,IF(Atletas!Q599="Bishou C",613,IF(Atletas!Q599="Shan C",614,IF(Atletas!Q599="Outra Arma Curta C",615,IF(Atletas!Q599="Dao D",616,IF(Atletas!Q599="Jian D",617,IF(Atletas!Q599="Bishou D",618,IF(Atletas!Q599="Shan D",619,IF(Atletas!Q599="Outra Arma Curta D",620,IF(Atletas!Q599="Dao E",621,IF(Atletas!Q599="Jian E",622,IF(Atletas!Q599="Bishou E",623,IF(Atletas!Q599="Shan E",624,IF(Atletas!Q599="Outra Arma Curta E",625,IF(Atletas!Q599="Dao F",626,IF(Atletas!Q599="Jian F",627,IF(Atletas!Q599="Bishou F",628,IF(Atletas!Q599="Shan F",629,IF(Atletas!Q599="Outra Arma Curta F",630, "")))))))))))))))))))))))))))))))</f>
        <v/>
      </c>
      <c r="BT603" s="52" t="str">
        <f>IF(Atletas!R599="","",IF(Atletas!W599&lt;&gt;"",10000,0)+IF(Atletas!B599="Feminino",1000,IF(Atletas!B599="Masculino",2000,""))+IF(Atletas!R599="Gun A",701,IF(Atletas!R599="Qiang A",702,IF(Atletas!R599="Pudao / Guandao A",703,IF(Atletas!R599="Outra Arma Longa A",704,IF(Atletas!R599="Gun B",705,IF(Atletas!R599="Qiang B",706,IF(Atletas!R599="Pudao / Guandao B",707,IF(Atletas!R599="Outra Arma Longa B",708,IF(Atletas!R599="Gun C",709,IF(Atletas!R599="Qiang C",710,IF(Atletas!R599="Pudao / Guandao C",711,IF(Atletas!R599="Outra Arma Longa C",712,IF(Atletas!R599="Gun D",713,IF(Atletas!R599="Qiang D",714,IF(Atletas!R599="Pudao / Guandao D",715,IF(Atletas!R599="Outra Arma Longa D",716,IF(Atletas!R599="Gun E",717,IF(Atletas!R599="Qiang E",718,IF(Atletas!R599="Pudao / Guandao E",719,IF(Atletas!R599="Outra Arma Longa E",720,IF(Atletas!R599="Gun F",721,IF(Atletas!R599="Qiang F",722,IF(Atletas!R599="Pudao / Guandao F",723,IF(Atletas!R599="Outra Arma Longa F",724,"")))))))))))))))))))))))))</f>
        <v/>
      </c>
      <c r="BU603" s="52" t="str">
        <f>IF(Atletas!S599="","",IF(Atletas!W599&lt;&gt;"",10000,0)+IF(Atletas!B599="Feminino",1000,IF(Atletas!B599="Masculino",2000,""))+IF(Atletas!S599="Arma Dupla A",801,IF(Atletas!S599="Arma Maleável A",802,IF(Atletas!S599="Arma Dupla B",803,IF(Atletas!S599="Arma Maleável B",804,IF(Atletas!S599="Arma Dupla C",805,IF(Atletas!S599="Arma Maleável C",806,IF(Atletas!S599="Arma Dupla D",807,IF(Atletas!S599="Arma Maleável D",808,IF(Atletas!S599="Arma Dupla E",809,IF(Atletas!S599="Arma Maleável E",810,IF(Atletas!S599="Arma Dupla F",811,IF(Atletas!S599="Arma Maleável F",812, "")))))))))))))</f>
        <v/>
      </c>
      <c r="BV603" s="52" t="str">
        <f>IF(Atletas!T599="","",IF(Atletas!W599&lt;&gt;"",10000,0)+IF(Atletas!B599="Feminino",1000,IF(Atletas!B599="Masculino",2000,""))+IF(Atletas!T599="Taijijian Yang A",901,IF(Atletas!T599="Taijijian Chen A",902,IF(Atletas!T599="Taijijian Sun A",903,IF(Atletas!T599="Taijijian Wu A",904,IF(Atletas!T599="Taijijian Wu-Hao A",905,IF(Atletas!T599="Taijijian 32 A",906,IF(Atletas!T599="Taijijian 42 A",907,IF(Atletas!T599="Taijijian Yang B",908,IF(Atletas!T599="Taijijian Chen B",909,IF(Atletas!T599="Taijijian Sun B",910,IF(Atletas!T599="Taijijian Wu B",911,IF(Atletas!T599="Taijijian Wu-Hao B",912,IF(Atletas!T599="Taijijian 32 B",913,IF(Atletas!T599="Taijijian 42 B",914,IF(Atletas!T599="Taijijian Yang C",915,IF(Atletas!T599="Taijijian Chen C",916,IF(Atletas!T599="Taijijian Sun C",917,IF(Atletas!T599="Taijijian Wu C",918,IF(Atletas!T599="Taijijian Wu-Hao C",919,IF(Atletas!T599="Taijijian 32 C",920,IF(Atletas!T599="Taijijian 42 C",921,IF(Atletas!T599="Taijijian Yang D",922,IF(Atletas!T599="Taijijian Chen D",923,IF(Atletas!T599="Taijijian Sun D",924,IF(Atletas!T599="Taijijian Wu D",925,IF(Atletas!T599="Taijijian Wu-Hao D",926,IF(Atletas!T599="Taijijian 32 D",927,IF(Atletas!T599="Taijijian 42 D",928,IF(Atletas!T599="Taijijian Yang E",929,IF(Atletas!T599="Taijijian Chen E",930,IF(Atletas!T599="Taijijian Sun E",931,IF(Atletas!T599="Taijijian Wu E",932,IF(Atletas!T599="Taijijian Wu-Hao E",933,IF(Atletas!T599="Taijijian 32 E",934,IF(Atletas!T599="Taijijian 42 E",935,IF(Atletas!T599="Taijijian Yang F",936,IF(Atletas!T599="Taijijian Chen F",937,IF(Atletas!T599="Taijijian Sun F",938,IF(Atletas!T599="Taijijian Wu F",939,IF(Atletas!T599="Taijijian Wu-Hao F",940,IF(Atletas!T599="Taijijian 32 F",941,IF(Atletas!T599="Taijijian 42 F",942,"")))))))))))))))))))))))))))))))))))))))))))</f>
        <v/>
      </c>
      <c r="BW603" s="52" t="str">
        <f>IF(Atletas!U599="","",IF(Atletas!W599&lt;&gt;"",10000,0)+IF(Atletas!B599="Feminino",1000,IF(Atletas!B599="Masculino",2000,""))+IF(Atletas!T599="Taijijian 42 F",942,IF(Atletas!U599="Taijidao A",943,IF(Atletas!U599="Taijishan A",944,IF(Atletas!U599="Taijiqiang A",945,IF(Atletas!U599="Taijidao B",946,IF(Atletas!U599="Taijishan B",947,IF(Atletas!U599="Taijiqiang B",948,IF(Atletas!U599="Taijidao C",949,IF(Atletas!U599="Taijishan C",950,IF(Atletas!U599="Taijiqiang C",951,IF(Atletas!U599="Taijidao D",952,IF(Atletas!U599="Taijishan D",953,IF(Atletas!U599="Taijiqiang D",954,IF(Atletas!U599="Taijidao E",955,IF(Atletas!U599="Taijishan E",956,IF(Atletas!U599="Taijiqiang E",957,IF(Atletas!U599="Taijidao F",958,IF(Atletas!U599="Taijishan F",959,IF(Atletas!U599="Taijiqiang F",960))))))))))))))))))))</f>
        <v/>
      </c>
      <c r="CF603" s="52" t="str">
        <f xml:space="preserve"> IF(Atletas!V599="","",IF(Atletas!V599="Duilian de Mãos AB - Equipe 1",1,IF(Atletas!V599="Duilian de Mãos AB - Equipe 2",2,IF(Atletas!V599="Duilian de Armas AB - Equipe 1",3,IF(Atletas!V599="Duilian de Armas AB - Equipe 2",4,IF(Atletas!V599="Duilian de Tuishou - Equipe 1",5,IF(Atletas!V599="Duilian de Tuishou - Equipe 2",6,IF(Atletas!V599="Grupo Externo AB - Equipe 1",7,IF(Atletas!V599="Grupo Externo AB - Equipe 2",8,IF(Atletas!V599="Grupo Interno AB - Equipe 1",9,IF(Atletas!V599="Grupo Interno AB - Equipe 2",10,IF(Atletas!V599="Duilian de Mãos CD - Equipe 1",11,IF(Atletas!V599="Duilian de Mãos CD - Equipe 2",12,IF(Atletas!V599="Duilian de Armas CD - Equipe 1",13,IF(Atletas!V599="Duilian de Armas CD - Equipe 2",14,IF(Atletas!V599="Duilian de Tuishou - Equipe 1",15,IF(Atletas!V599="Duilian de Tuishou - Equipe 2",16,IF(Atletas!V599="Grupo Externo CDEF - Equipe 1",17,IF(Atletas!V599="Grupo Externo CDEF - Equipe 2",18,IF(Atletas!V599="Grupo Interno CDEF - Equipe 1",19,IF(Atletas!V599="Grupo Interno CDEF - Equipe 2",20,IF(Atletas!V599="Duilian de Mãos EF - Equipe 1",21,IF(Atletas!V599="Duilian de Mãos EF - Equipe 2",22,IF(Atletas!V599="Duilian de Armas EF - Equipe 1",23,IF(Atletas!V599="Duilian de Armas EF - Equipe 2",24,IF(Atletas!V599="Duilian de Tuishou - Equipe 1",25,IF(Atletas!V599="Duilian de Tuishou - Equipe 2",26,"")))))))))))))))))))))))))))</f>
        <v/>
      </c>
    </row>
    <row r="604" spans="36:84">
      <c r="AJ604" s="46" t="str">
        <f>IF(Atletas!D600="","",IF(Atletas!B600="Feminino",100,IF(Atletas!B600="Masculino",200,""))+(IF(Atletas!D600="Infantil 39kg",1,IF(Atletas!D600="Infantil 42kg",2,IF(Atletas!D600="Infantil 45kg",3,IF(Atletas!D600="Infantil 48kg",4,IF(Atletas!D600="Infantil 52kg",5,IF(Atletas!D600="Infantil 56kg",6,IF(Atletas!D600="Infantil 60kg",7,IF(Atletas!D600="Juvenil 48kg",8,IF(Atletas!D600="Juvenil 52kg",9,IF(Atletas!D600="Juvenil 56kg",10,IF(Atletas!D600="Juvenil 60kg",11,IF(Atletas!D600="Juvenil 65kg",12,IF(Atletas!D600="Juvenil 70kg",13,IF(Atletas!D600="Juvenil 75kg",14,IF(Atletas!D600="Juvenil 80kg",15,IF(Atletas!D600="Adulto 48kg",16,IF(Atletas!D600="Adulto 52kg",17,IF(Atletas!D600="Adulto 56kg",18,IF(Atletas!D600="Adulto 60kg",19,IF(Atletas!D600="Adulto 65kg",20,IF(Atletas!D600="Adulto 70kg",21,IF(Atletas!D600="Adulto 75kg",22,IF(Atletas!D600="Adulto 80kg",23,IF(Atletas!D600="Adulto 85kg",24,IF(Atletas!D600="Adulto 90kg",25,IF(Atletas!D600="Adulto +90kg",26,""))))))))))))))))))))))))))))</f>
        <v/>
      </c>
      <c r="AO604" s="10" t="str">
        <f>IF(Atletas!E600="","",IF(Atletas!B600="Feminino",100,IF(Atletas!B600="Masculino",200,""))+(IF(Atletas!E600="Juvenil 44kg",1,IF(Atletas!E600="Juvenil 48kg",2,IF(Atletas!E600="Juvenil 52kg",3,IF(Atletas!E600="Juvenil 56kg",4,IF(Atletas!E600="Juvenil 60kg",5,IF(Atletas!E600="Juvenil 65kg",6,IF(Atletas!E600="Juvenil 70kg",7,IF(Atletas!E600="Juvenil 75kg",8,IF(Atletas!E600="Juvenil 82kg",9,IF(Atletas!E600="Juvenil 90kg",10,IF(Atletas!E600="Juvenil 100kg",11,IF(Atletas!E600="Adulto 48kg",12,IF(Atletas!E600="Adulto 52kg",13,IF(Atletas!E600="Adulto 56kg",14,IF(Atletas!E600="Adulto 60kg",15,IF(Atletas!E600="Adulto 65kg",16,IF(Atletas!E600="Adulto 70kg",17,IF(Atletas!E600="Adulto 75kg",18,IF(Atletas!E600="Adulto 82kg",19,IF(Atletas!E600="Adulto 90kg",20,IF(Atletas!E600="Adulto 100kg",21,IF(Atletas!E600="Adulto +100kg",22,""))))))))))))))))))))))))</f>
        <v/>
      </c>
      <c r="AT604" s="10" t="str">
        <f>IF(Atletas!F600="","",IF(Atletas!B600="Feminino",100,IF(Atletas!B600="Masculino",200,""))+(IF(Atletas!F600="Adulto 48kg",1,IF(Atletas!F600="Adulto 56kg",2,IF(Atletas!F600="Adulto 65kg",3,IF(Atletas!F600="Adulto 75kg",4,IF(Atletas!F600="Adulto +75kg",5,IF(Atletas!F600="Adulto 52kg",6,IF(Atletas!F600="Adulto 60kg",7,IF(Atletas!F600="Adulto 70kg",8,IF(Atletas!F600="Adulto 80kg",9,IF(Atletas!F600="Adulto 90kg",10,IF(Atletas!F600="Adulto +90kg",11,"")))))))))))))</f>
        <v/>
      </c>
      <c r="AY604" s="46" t="str">
        <f>IF(Atletas!G600="","",IF(Atletas!B600="Feminino",100,IF(Atletas!B600="Masculino",200,""))+(IF(Atletas!G600="Changquan Mirim",1,IF(Atletas!G600="Nanquan Mirim",2,IF(Atletas!G600="Taijiquan Mirim",3,IF(Atletas!G600="Changquan Grupo C",4,IF(Atletas!G600="Nanquan Grupo C",5,IF(Atletas!G600="Taijiquan Grupo C",6,IF(Atletas!G600="Changquan Grupo B",7,IF(Atletas!G600="Nanquan Grupo B",8,IF(Atletas!G600="Taijiquan Grupo B",9,IF(Atletas!G600="Changquan Grupo A",10,IF(Atletas!G600="Nanquan Grupo A",11,IF(Atletas!G600="Taijiquan Grupo A",12,IF(Atletas!G600="Changquan Opcional",13,IF(Atletas!G600="Nanquan Opcional",14,IF(Atletas!G600="Taijiquan Opcional",15,IF(Atletas!G600="Changquan Adulto",16,IF(Atletas!G600="Nanquan Adulto",17,IF(Atletas!G600="Taijiquan Adulto",18,""))))))))))))))))))))</f>
        <v/>
      </c>
      <c r="AZ604" s="46" t="str">
        <f>IF(Atletas!H600="","",IF(Atletas!B600="Feminino",100,IF(Atletas!B600="Masculino",200,""))+(IF(Atletas!H600="Daoshu Mirim",19,IF(Atletas!H600="Jianshu Mirim",20,IF(Atletas!H600="Nandao Mirim",21,IF(Atletas!H600="Taijijian Mirim",22,IF(Atletas!H600="Daoshu Grupo C",23,IF(Atletas!H600="Jianshu Grupo C",24,IF(Atletas!H600="Nandao Grupo C",25,IF(Atletas!H600="Taijijian Grupo C",26,IF(Atletas!H600="Daoshu Grupo B",27,IF(Atletas!H600="Jianshu Grupo B",28,IF(Atletas!H600="Nandao Grupo B",29,IF(Atletas!H600="Taijijian Grupo B",30,IF(Atletas!H600="Daoshu Grupo A",31,IF(Atletas!H600="Jianshu Grupo A",32,IF(Atletas!H600="Nandao Grupo A",33,IF(Atletas!H600="Taijijian Grupo A",34,IF(Atletas!H600="Daoshu Opcional",35,IF(Atletas!H600="Jianshu Opcional",36,IF(Atletas!H600="Nandao Opcional",37,IF(Atletas!H600="Taijijian Opcional",38,IF(Atletas!H600="Daoshu Adulto",39,IF(Atletas!H600="Jianshu Adulto",40,IF(Atletas!H600="Nandao Adulto",41,IF(Atletas!H600="Taijijian Adulto",42,""))))))))))))))))))))))))))</f>
        <v/>
      </c>
      <c r="BA604" s="46" t="str">
        <f>IF(Atletas!I600="","",IF(Atletas!B600="Feminino",100,IF(Atletas!B600="Masculino",200,""))+(IF(Atletas!I600="Gunshu Mirim",43,IF(Atletas!I600="Qiangshu Mirim",44,IF(Atletas!I600="Nangun Mirim",45,IF(Atletas!I600="Gunshu Grupo C",46,IF(Atletas!I600="Qiangshu Grupo C",47,IF(Atletas!I600="Nangun Grupo C",48,IF(Atletas!I600="Gunshu Grupo B",49,IF(Atletas!I600="Qiangshu Grupo B",50,IF(Atletas!I600="Nangun Grupo B",51,IF(Atletas!I600="Gunshu Grupo A",52,IF(Atletas!I600="Qiangshu Grupo A",53,IF(Atletas!I600="Nangun Grupo A",54,IF(Atletas!I600="Gunshu Opcional",55,IF(Atletas!I600="Qiangshu Opcional",56,IF(Atletas!I600="Nangun Opcional",57,IF(Atletas!I600="Gunshu Adulto",58,IF(Atletas!I600="Qiangshu Adulto",59,IF(Atletas!I600="Nangun Adulto",60,""))))))))))))))))))))</f>
        <v/>
      </c>
      <c r="BF604" s="52" t="str">
        <f>IF(Atletas!J600="","",IF(Atletas!B600="Feminino",100,IF(Atletas!B600="Masculino",200,""))+(IF(Atletas!J600="Equipe 1 Grupo B",1,IF(Atletas!J600="Equipe 2 Grupo B",2,IF(Atletas!J600="Equipe 1 Grupo A",3,IF(Atletas!J600="Equipe 2 Grupo A",4,IF(Atletas!J600="Equipe 1 Adulto",5,IF(Atletas!J600="Equipe 2 Adulto",6,""))))))))</f>
        <v/>
      </c>
      <c r="BK604" s="52" t="str">
        <f>IF(Atletas!K600="","",IF(Atletas!W600&lt;&gt;"",10000,0)+(IF(Atletas!B600="Feminino",1000,IF(Atletas!B600="Masculino",2000,""))+IF(Atletas!K600="Choylayfut A",1,IF(Atletas!K600="Hunggar A",2,IF(Atletas!K600="Wuzuquan A",3,IF(Atletas!K600="Wingchun A",4,IF(Atletas!K600="Outra Mão de Sul A",5,IF(Atletas!K600="Choylayfut B",6,IF(Atletas!K600="Hunggar B",7,IF(Atletas!K600="Wuzuquan B",8,IF(Atletas!K600="Wingchun B",9,IF(Atletas!K600="Outra Mão de Sul B",10,IF(Atletas!K600="Choylayfut C",11,IF(Atletas!K600="Hunggar C",12,IF(Atletas!K600="Wuzuquan C",13,IF(Atletas!K600="Wingchun C",14,IF(Atletas!K600="Outra Mão de Sul C",15,IF(Atletas!K600="Choylayfut D",16,IF(Atletas!K600="Hunggar D",17,IF(Atletas!K600="Wuzuquan D",18,IF(Atletas!K600="Wingchun D",19,IF(Atletas!K600="Outra Mão de Sul D",20,IF(Atletas!K600="Choylayfut E",21,IF(Atletas!K600="Hunggar E",22,IF(Atletas!K600="Wuzuquan E",23,IF(Atletas!K600="Wingchun E",24,IF(Atletas!K600="Outra Mão de Sul E",25,IF(Atletas!K600="Choylayfut F",26,IF(Atletas!K600="Hunggar F",27,IF(Atletas!K600="Wuzuquan F",28,IF(Atletas!K600="Wingchun F",29,IF(Atletas!K600="Outra Mão de Sul F",30,""))))))))))))))))))))))))))))))))</f>
        <v/>
      </c>
      <c r="BL604" s="52" t="str">
        <f>IF(Atletas!L600="","",IF(Atletas!W600&lt;&gt;"",10000,0)+(IF(Atletas!B600="Feminino",1000,IF(Atletas!B600="Masculino",2000,""))+(IF(Atletas!L600="Chaquan A",101,IF(Atletas!L600="Emeiquan A",102,IF(Atletas!L600="Fanziquan A",103,IF(Atletas!L600="Huaquan A",104,IF(Atletas!L600="Hongquan A",105,IF(Atletas!L600="Paochui A",106,IF(Atletas!L600="Piguaquan A",107,IF(Atletas!L600="Shaolinquan A",108,IF(Atletas!L600="Tanglangquan A",109,IF(Atletas!L600="Yinzhaophai A",110,IF(Atletas!L600="Tongbeiquan A",111,IF(Atletas!L600="Wudangquan A",112,IF(Atletas!L600="Outros Estilos A",113,IF(Atletas!L600="Chaquan B",114,IF(Atletas!L600="Emeiquan B",115,IF(Atletas!L600="Fanziquan B",116,IF(Atletas!L600="Huaquan B",117,IF(Atletas!L600="Hongquan B",118,IF(Atletas!L600="Paochui B",119,IF(Atletas!L600="Piguaquan B",120,IF(Atletas!L600="Shaolinquan B",121,IF(Atletas!L600="Tanglangquan B",122,IF(Atletas!L600="Yinzhaophai B",123,IF(Atletas!L600="Tongbeiquan B",124,IF(Atletas!L600="Wudangquan B",125,IF(Atletas!L600="Outros Estilos B",126,IF(Atletas!L600="Chaquan C",127,IF(Atletas!L600="Emeiquan C",128,IF(Atletas!L600="Fanziquan C",129,IF(Atletas!L600="Huaquan C",130,IF(Atletas!L600="Hongquan C",131,IF(Atletas!L600="Paochui C",132,IF(Atletas!L600="Piguaquan C",133,IF(Atletas!L600="Shaolinquan C",134,IF(Atletas!L600="Tanglangquan C",135,IF(Atletas!L600="Yinzhaophai C",136,IF(Atletas!L600="Tongbeiquan C",137,IF(Atletas!L600="Wudangquan C",138,IF(Atletas!L600="Outros Estilos C",139,0))))))))))))))))))))))))))))))))))))))))))</f>
        <v/>
      </c>
      <c r="BM604" s="52" t="str">
        <f>IF(Atletas!L600="","",IF(Atletas!W600&lt;&gt;"",10000,0)+(IF(Atletas!B600="Feminino",1000,IF(Atletas!B600="Masculino",2000,""))+(IF(Atletas!L600="Chaquan D",140,IF(Atletas!L600="Emeiquan D",141,IF(Atletas!L600="Fanziquan D",142,IF(Atletas!L600="Huaquan D",143,IF(Atletas!L600="Hongquan D",144,IF(Atletas!L600="Paochui D",145,IF(Atletas!L600="Piguaquan D",146,IF(Atletas!L600="Shaolinquan D",147,IF(Atletas!L600="Tanglangquan D",148,IF(Atletas!L600="Yinzhaophai D",149,IF(Atletas!L600="Tongbeiquan D",150,IF(Atletas!L600="Wudangquan D",151,IF(Atletas!L600="Outros Estilos D",152,IF(Atletas!L600="Chaquan E",153,IF(Atletas!L600="Emeiquan E",154,IF(Atletas!L600="Fanziquan E",155,IF(Atletas!L600="Huaquan E",156,IF(Atletas!L600="Hongquan E",157,IF(Atletas!L600="Paochui E",158,IF(Atletas!L600="Piguaquan E",159,IF(Atletas!L600="Shaolinquan E",160,IF(Atletas!L600="Tanglangquan E",161,IF(Atletas!L600="Yinzhaophai E",162,IF(Atletas!L600="Tongbeiquan E",163,IF(Atletas!L600="Wudangquan E",164,IF(Atletas!L600="Outros Estilos E",165,IF(Atletas!L600="Chaquan F",166,IF(Atletas!L600="Emeiquan F",167,IF(Atletas!L600="Fanziquan F",168,IF(Atletas!L600="Huaquan F",169,IF(Atletas!L600="Hongquan F",170,IF(Atletas!L600="Paochui F",171,IF(Atletas!L600="Piguaquan F",172,IF(Atletas!L600="Shaolinquan F",173,IF(Atletas!L600="Tanglangquan F",174,IF(Atletas!L600="Yinzhaophai F",175,IF(Atletas!L600="Tongbeiquan F",176,IF(Atletas!L600="Wudangquan F",177,IF(Atletas!L600="Outros Estilos F",178,0))))))))))))))))))))))))))))))))))))))))))</f>
        <v/>
      </c>
      <c r="BN604" s="52" t="str">
        <f>IF(Atletas!M600="","",IF(Atletas!W600&lt;&gt;"",10000,0)+(IF(Atletas!B600="Feminino",1000,IF(Atletas!B600="Masculino",2000,""))+(IF(Atletas!M600="Ditangquan A",201,IF(Atletas!M600="Houquan A",202,IF(Atletas!M600="Zuiquan A",203,IF(Atletas!M600="Ditangquan B",204,IF(Atletas!M600="Houquan B",205,IF(Atletas!M600="Zuiquan B",206,IF(Atletas!M600="Ditangquan C",207,IF(Atletas!M600="Houquan C",208,IF(Atletas!M600="Zuiquan C",209,IF(Atletas!M600="Ditangquan D",210,IF(Atletas!M600="Houquan D",211,IF(Atletas!M600="Zuiquan D",212,IF(Atletas!M600="Ditangquan E",213,IF(Atletas!M600="Houquan E",214,IF(Atletas!M600="Zuiquan E",215,IF(Atletas!M600="Ditangquan F",216,IF(Atletas!M600="Houquan F",217,IF(Atletas!M600="Zuiquan F",218,"")))))))))))))))))))))</f>
        <v/>
      </c>
      <c r="BO604" s="52" t="str">
        <f>IF(Atletas!N600="","",IF(Atletas!W600&lt;&gt;"",10000,0)+IF(Atletas!B600="Feminino",1000,IF(Atletas!B600="Masculino",2000,""))+IF(Atletas!N600="Yang A",301,IF(Atletas!N600="Chen A",30,IF(Atletas!N600="Sun A",303,IF(Atletas!N600="Wu A",304,IF(Atletas!N600="Wu-Hao A",305,IF(Atletas!N600="Outro Taijiquan A",306,IF(Atletas!N600="Yang B",307,IF(Atletas!N600="Chen B",308,IF(Atletas!N600="Sun B",309,IF(Atletas!N600="Wu B",310,IF(Atletas!N600="Wu-Hao B",311,IF(Atletas!N600="Outro Taijiquan B",312,IF(Atletas!N600="Yang C",313,IF(Atletas!N600="Chen C",314,IF(Atletas!N600="Sun C",315,IF(Atletas!N600="Wu C",316,IF(Atletas!N600="Wu-Hao C",317,IF(Atletas!N600="Outro Taijiquan C",318,IF(Atletas!N600="Yang D",319,IF(Atletas!N600="Chen D",320,IF(Atletas!N600="Sun D",321,IF(Atletas!N600="Wu D",322,IF(Atletas!N600="Wu-Hao D",323,IF(Atletas!N600="Outro Taijiquan D",324,IF(Atletas!N600="Yang E",325,IF(Atletas!N600="Chen E",326,IF(Atletas!N600="Sun E",327,IF(Atletas!N600="Wu E",328,IF(Atletas!N600="Wu-Hao E",329,IF(Atletas!N600="Outro Taijiquan E",330,IF(Atletas!N600="Yang F",331,IF(Atletas!N600="Chen F",332,IF(Atletas!N600="Sun F",333,IF(Atletas!N600="Wu F",334,IF(Atletas!N600="Wu-Hao F",335,IF(Atletas!N600="Outro Taijiquan F",336,"")))))))))))))))))))))))))))))))))))))</f>
        <v/>
      </c>
      <c r="BP604" s="52" t="str">
        <f>IF(Atletas!O600="","",IF(Atletas!W600&lt;&gt;"",10000,0)+IF(Atletas!B600="Feminino",1000,IF(Atletas!B600="Masculino",2000,""))+IF(OR(Atletas!O600="Yang 26 A",Atletas!O600="Yang 40 A"),401,IF(OR(Atletas!O600="Chen 25 A",Atletas!O600="Chen 36 A",Atletas!O600="Chen 56 A"),402,IF(Atletas!O600="Sun 73 A",403,IF(Atletas!O600="Wu 45 A",404,IF(Atletas!O600="Wu-Hao 46 A",405,IF(OR(Atletas!O600="Taijiquan 16 A",Atletas!O600="Taijiquan 24 A",Atletas!O600="Taijiquan 32 A",Atletas!O600="Taijiquan 42 A"),406,IF(OR(Atletas!O600="Yang 26 B",Atletas!O600="Yang 40 B"),407,IF(OR(Atletas!O600="Chen 25 B",Atletas!O600="Chen 36 B",Atletas!O600="Chen 56 B"),408,IF(Atletas!O600="Sun 73 B",409,IF(Atletas!O600="Wu 45 B",410,IF(Atletas!O600="Wu-Hao 46 B",411,IF(OR(Atletas!O600="Taijiquan 16 B",Atletas!O600="Taijiquan 24 B",Atletas!O600="Taijiquan 32 B",Atletas!O600="Taijiquan 42 B"),412,IF(OR(Atletas!O600="Yang 26 C",Atletas!O600="Yang 40 C"),413,IF(OR(Atletas!O600="Chen 25 C",Atletas!O600="Chen 36 C",Atletas!O600="Chen 56 C"),414,IF(Atletas!O600="Sun 73 C",415,IF(Atletas!O600="Wu 45 C",416,IF(Atletas!O600="Wu-Hao 46 C",417,IF(OR(Atletas!O600="Taijiquan 16 C",Atletas!O600="Taijiquan 24 C",Atletas!O600="Taijiquan 32 C",Atletas!O600="Taijiquan 42 C"),418,0)))))))))))))))))))</f>
        <v/>
      </c>
      <c r="BQ604" s="52" t="str">
        <f>IF(Atletas!O600="","",IF(Atletas!W600&lt;&gt;"",10000,0)+IF(Atletas!B600="Feminino",1000,IF(Atletas!B600="Masculino",2000,""))+IF(OR(Atletas!O600="Yang 26 D",Atletas!O600="Yang 40 D"),419,IF(OR(Atletas!O600="Chen 25 D",Atletas!O600="Chen 36 D",Atletas!O600="Chen 56 D"),420,IF(Atletas!O600="Sun 73 D",421,IF(Atletas!O600="Wu 45 D",422,IF(Atletas!O600="Wu-Hao 46 D",423,IF(OR(Atletas!O600="Taijiquan 16 D",Atletas!O600="Taijiquan 24 D",Atletas!O600="Taijiquan 32 D",Atletas!O600="Taijiquan 42 D"),424,IF(OR(Atletas!O600="Yang 26 E",Atletas!O600="Yang 40 E"),425,IF(OR(Atletas!O600="Chen 25 E",Atletas!O600="Chen 36 E",Atletas!O600="Chen 56 E"),426,IF(Atletas!O600="Sun 73 E",427,IF(Atletas!O600="Wu 45 E",428,IF(Atletas!O600="Wu-Hao 46 E",429,IF(OR(Atletas!O600="Taijiquan 16 E",Atletas!O600="Taijiquan 24 E",Atletas!O600="Taijiquan 32 E",Atletas!O600="Taijiquan 42 E"),430,IF(OR(Atletas!O600="Yang 26 F",Atletas!O600="Yang 40 F"),431,IF(OR(Atletas!O600="Chen 25 F",Atletas!O600="Chen 36 F",Atletas!O600="Chen 56 F"),432,IF(Atletas!O600="Sun 73 F",433,IF(Atletas!O600="Wu 45 F",434,IF(Atletas!O600="Wu-Hao 46 F",435,IF(OR(Atletas!O600="Taijiquan 16 F",Atletas!O600="Taijiquan 24 F",Atletas!O600="Taijiquan 32 F",Atletas!O600="Taijiquan 42 F"),436,0)))))))))))))))))))</f>
        <v/>
      </c>
      <c r="BR604" s="52" t="str">
        <f>IF(Atletas!P600="","",IF(Atletas!W600&lt;&gt;"",10000,0)+IF(Atletas!B600="Feminino",1000,IF(Atletas!B600="Masculino",2000,""))+IF(Atletas!P600="Xingyiquan A",501,IF(Atletas!P600="Baguazhang A",502,IF(Atletas!P600="Outro Estilo Interno A",503,IF(Atletas!P600="Xingyiquan B",504,IF(Atletas!P600="Baguazhang B",505,IF(Atletas!P600="Outro Estilo Interno B",506,IF(Atletas!P600="Xingyiquan C",507,IF(Atletas!P600="Baguazhang C",508,IF(Atletas!P600="Outro Estilo Interno C",509,IF(Atletas!P600="Xingyiquan D",510,IF(Atletas!P600="Baguazhang D",511,IF(Atletas!P600="Outro Estilo Interno D",512,IF(Atletas!P600="Xingyiquan E",513,IF(Atletas!P600="Baguazhang E",514,IF(Atletas!P600="Outro Estilo Interno E",515,IF(Atletas!P600="Xingyiquan F",516,IF(Atletas!P600="Baguazhang F",517,IF(Atletas!P600="Outro Estilo Interno F",518, "")))))))))))))))))))</f>
        <v/>
      </c>
      <c r="BS604" s="52" t="str">
        <f>IF(Atletas!Q600="","",IF(Atletas!W600&lt;&gt;"",10000,0)+IF(Atletas!B600="Feminino",1000,IF(Atletas!B600="Masculino",2000,""))+IF(Atletas!Q600="Dao A",601,IF(Atletas!Q600="Jian A",602,IF(Atletas!Q600="Bishou A",603,IF(Atletas!Q600="Shan A",604,IF(Atletas!Q600="Outra Arma Curta A",605,IF(Atletas!Q600="Dao B",606,IF(Atletas!Q600="Jian B",607,IF(Atletas!Q600="Bishou B",608,IF(Atletas!Q600="Shan B",609,IF(Atletas!Q600="Outra Arma Curta B",610,IF(Atletas!Q600="Dao C",611,IF(Atletas!Q600="Jian C",612,IF(Atletas!Q600="Bishou C",613,IF(Atletas!Q600="Shan C",614,IF(Atletas!Q600="Outra Arma Curta C",615,IF(Atletas!Q600="Dao D",616,IF(Atletas!Q600="Jian D",617,IF(Atletas!Q600="Bishou D",618,IF(Atletas!Q600="Shan D",619,IF(Atletas!Q600="Outra Arma Curta D",620,IF(Atletas!Q600="Dao E",621,IF(Atletas!Q600="Jian E",622,IF(Atletas!Q600="Bishou E",623,IF(Atletas!Q600="Shan E",624,IF(Atletas!Q600="Outra Arma Curta E",625,IF(Atletas!Q600="Dao F",626,IF(Atletas!Q600="Jian F",627,IF(Atletas!Q600="Bishou F",628,IF(Atletas!Q600="Shan F",629,IF(Atletas!Q600="Outra Arma Curta F",630, "")))))))))))))))))))))))))))))))</f>
        <v/>
      </c>
      <c r="BT604" s="52" t="str">
        <f>IF(Atletas!R600="","",IF(Atletas!W600&lt;&gt;"",10000,0)+IF(Atletas!B600="Feminino",1000,IF(Atletas!B600="Masculino",2000,""))+IF(Atletas!R600="Gun A",701,IF(Atletas!R600="Qiang A",702,IF(Atletas!R600="Pudao / Guandao A",703,IF(Atletas!R600="Outra Arma Longa A",704,IF(Atletas!R600="Gun B",705,IF(Atletas!R600="Qiang B",706,IF(Atletas!R600="Pudao / Guandao B",707,IF(Atletas!R600="Outra Arma Longa B",708,IF(Atletas!R600="Gun C",709,IF(Atletas!R600="Qiang C",710,IF(Atletas!R600="Pudao / Guandao C",711,IF(Atletas!R600="Outra Arma Longa C",712,IF(Atletas!R600="Gun D",713,IF(Atletas!R600="Qiang D",714,IF(Atletas!R600="Pudao / Guandao D",715,IF(Atletas!R600="Outra Arma Longa D",716,IF(Atletas!R600="Gun E",717,IF(Atletas!R600="Qiang E",718,IF(Atletas!R600="Pudao / Guandao E",719,IF(Atletas!R600="Outra Arma Longa E",720,IF(Atletas!R600="Gun F",721,IF(Atletas!R600="Qiang F",722,IF(Atletas!R600="Pudao / Guandao F",723,IF(Atletas!R600="Outra Arma Longa F",724,"")))))))))))))))))))))))))</f>
        <v/>
      </c>
      <c r="BU604" s="52" t="str">
        <f>IF(Atletas!S600="","",IF(Atletas!W600&lt;&gt;"",10000,0)+IF(Atletas!B600="Feminino",1000,IF(Atletas!B600="Masculino",2000,""))+IF(Atletas!S600="Arma Dupla A",801,IF(Atletas!S600="Arma Maleável A",802,IF(Atletas!S600="Arma Dupla B",803,IF(Atletas!S600="Arma Maleável B",804,IF(Atletas!S600="Arma Dupla C",805,IF(Atletas!S600="Arma Maleável C",806,IF(Atletas!S600="Arma Dupla D",807,IF(Atletas!S600="Arma Maleável D",808,IF(Atletas!S600="Arma Dupla E",809,IF(Atletas!S600="Arma Maleável E",810,IF(Atletas!S600="Arma Dupla F",811,IF(Atletas!S600="Arma Maleável F",812, "")))))))))))))</f>
        <v/>
      </c>
      <c r="BV604" s="52" t="str">
        <f>IF(Atletas!T600="","",IF(Atletas!W600&lt;&gt;"",10000,0)+IF(Atletas!B600="Feminino",1000,IF(Atletas!B600="Masculino",2000,""))+IF(Atletas!T600="Taijijian Yang A",901,IF(Atletas!T600="Taijijian Chen A",902,IF(Atletas!T600="Taijijian Sun A",903,IF(Atletas!T600="Taijijian Wu A",904,IF(Atletas!T600="Taijijian Wu-Hao A",905,IF(Atletas!T600="Taijijian 32 A",906,IF(Atletas!T600="Taijijian 42 A",907,IF(Atletas!T600="Taijijian Yang B",908,IF(Atletas!T600="Taijijian Chen B",909,IF(Atletas!T600="Taijijian Sun B",910,IF(Atletas!T600="Taijijian Wu B",911,IF(Atletas!T600="Taijijian Wu-Hao B",912,IF(Atletas!T600="Taijijian 32 B",913,IF(Atletas!T600="Taijijian 42 B",914,IF(Atletas!T600="Taijijian Yang C",915,IF(Atletas!T600="Taijijian Chen C",916,IF(Atletas!T600="Taijijian Sun C",917,IF(Atletas!T600="Taijijian Wu C",918,IF(Atletas!T600="Taijijian Wu-Hao C",919,IF(Atletas!T600="Taijijian 32 C",920,IF(Atletas!T600="Taijijian 42 C",921,IF(Atletas!T600="Taijijian Yang D",922,IF(Atletas!T600="Taijijian Chen D",923,IF(Atletas!T600="Taijijian Sun D",924,IF(Atletas!T600="Taijijian Wu D",925,IF(Atletas!T600="Taijijian Wu-Hao D",926,IF(Atletas!T600="Taijijian 32 D",927,IF(Atletas!T600="Taijijian 42 D",928,IF(Atletas!T600="Taijijian Yang E",929,IF(Atletas!T600="Taijijian Chen E",930,IF(Atletas!T600="Taijijian Sun E",931,IF(Atletas!T600="Taijijian Wu E",932,IF(Atletas!T600="Taijijian Wu-Hao E",933,IF(Atletas!T600="Taijijian 32 E",934,IF(Atletas!T600="Taijijian 42 E",935,IF(Atletas!T600="Taijijian Yang F",936,IF(Atletas!T600="Taijijian Chen F",937,IF(Atletas!T600="Taijijian Sun F",938,IF(Atletas!T600="Taijijian Wu F",939,IF(Atletas!T600="Taijijian Wu-Hao F",940,IF(Atletas!T600="Taijijian 32 F",941,IF(Atletas!T600="Taijijian 42 F",942,"")))))))))))))))))))))))))))))))))))))))))))</f>
        <v/>
      </c>
      <c r="BW604" s="52" t="str">
        <f>IF(Atletas!U600="","",IF(Atletas!W600&lt;&gt;"",10000,0)+IF(Atletas!B600="Feminino",1000,IF(Atletas!B600="Masculino",2000,""))+IF(Atletas!T600="Taijijian 42 F",942,IF(Atletas!U600="Taijidao A",943,IF(Atletas!U600="Taijishan A",944,IF(Atletas!U600="Taijiqiang A",945,IF(Atletas!U600="Taijidao B",946,IF(Atletas!U600="Taijishan B",947,IF(Atletas!U600="Taijiqiang B",948,IF(Atletas!U600="Taijidao C",949,IF(Atletas!U600="Taijishan C",950,IF(Atletas!U600="Taijiqiang C",951,IF(Atletas!U600="Taijidao D",952,IF(Atletas!U600="Taijishan D",953,IF(Atletas!U600="Taijiqiang D",954,IF(Atletas!U600="Taijidao E",955,IF(Atletas!U600="Taijishan E",956,IF(Atletas!U600="Taijiqiang E",957,IF(Atletas!U600="Taijidao F",958,IF(Atletas!U600="Taijishan F",959,IF(Atletas!U600="Taijiqiang F",960))))))))))))))))))))</f>
        <v/>
      </c>
      <c r="CF604" s="52" t="str">
        <f xml:space="preserve"> IF(Atletas!V600="","",IF(Atletas!V600="Duilian de Mãos AB - Equipe 1",1,IF(Atletas!V600="Duilian de Mãos AB - Equipe 2",2,IF(Atletas!V600="Duilian de Armas AB - Equipe 1",3,IF(Atletas!V600="Duilian de Armas AB - Equipe 2",4,IF(Atletas!V600="Duilian de Tuishou - Equipe 1",5,IF(Atletas!V600="Duilian de Tuishou - Equipe 2",6,IF(Atletas!V600="Grupo Externo AB - Equipe 1",7,IF(Atletas!V600="Grupo Externo AB - Equipe 2",8,IF(Atletas!V600="Grupo Interno AB - Equipe 1",9,IF(Atletas!V600="Grupo Interno AB - Equipe 2",10,IF(Atletas!V600="Duilian de Mãos CD - Equipe 1",11,IF(Atletas!V600="Duilian de Mãos CD - Equipe 2",12,IF(Atletas!V600="Duilian de Armas CD - Equipe 1",13,IF(Atletas!V600="Duilian de Armas CD - Equipe 2",14,IF(Atletas!V600="Duilian de Tuishou - Equipe 1",15,IF(Atletas!V600="Duilian de Tuishou - Equipe 2",16,IF(Atletas!V600="Grupo Externo CDEF - Equipe 1",17,IF(Atletas!V600="Grupo Externo CDEF - Equipe 2",18,IF(Atletas!V600="Grupo Interno CDEF - Equipe 1",19,IF(Atletas!V600="Grupo Interno CDEF - Equipe 2",20,IF(Atletas!V600="Duilian de Mãos EF - Equipe 1",21,IF(Atletas!V600="Duilian de Mãos EF - Equipe 2",22,IF(Atletas!V600="Duilian de Armas EF - Equipe 1",23,IF(Atletas!V600="Duilian de Armas EF - Equipe 2",24,IF(Atletas!V600="Duilian de Tuishou - Equipe 1",25,IF(Atletas!V600="Duilian de Tuishou - Equipe 2",26,"")))))))))))))))))))))))))))</f>
        <v/>
      </c>
    </row>
    <row r="605" spans="36:84">
      <c r="AJ605" s="46" t="str">
        <f>IF(Atletas!D601="","",IF(Atletas!B601="Feminino",100,IF(Atletas!B601="Masculino",200,""))+(IF(Atletas!D601="Infantil 39kg",1,IF(Atletas!D601="Infantil 42kg",2,IF(Atletas!D601="Infantil 45kg",3,IF(Atletas!D601="Infantil 48kg",4,IF(Atletas!D601="Infantil 52kg",5,IF(Atletas!D601="Infantil 56kg",6,IF(Atletas!D601="Infantil 60kg",7,IF(Atletas!D601="Juvenil 48kg",8,IF(Atletas!D601="Juvenil 52kg",9,IF(Atletas!D601="Juvenil 56kg",10,IF(Atletas!D601="Juvenil 60kg",11,IF(Atletas!D601="Juvenil 65kg",12,IF(Atletas!D601="Juvenil 70kg",13,IF(Atletas!D601="Juvenil 75kg",14,IF(Atletas!D601="Juvenil 80kg",15,IF(Atletas!D601="Adulto 48kg",16,IF(Atletas!D601="Adulto 52kg",17,IF(Atletas!D601="Adulto 56kg",18,IF(Atletas!D601="Adulto 60kg",19,IF(Atletas!D601="Adulto 65kg",20,IF(Atletas!D601="Adulto 70kg",21,IF(Atletas!D601="Adulto 75kg",22,IF(Atletas!D601="Adulto 80kg",23,IF(Atletas!D601="Adulto 85kg",24,IF(Atletas!D601="Adulto 90kg",25,IF(Atletas!D601="Adulto +90kg",26,""))))))))))))))))))))))))))))</f>
        <v/>
      </c>
      <c r="AO605" s="10" t="str">
        <f>IF(Atletas!E601="","",IF(Atletas!B601="Feminino",100,IF(Atletas!B601="Masculino",200,""))+(IF(Atletas!E601="Juvenil 44kg",1,IF(Atletas!E601="Juvenil 48kg",2,IF(Atletas!E601="Juvenil 52kg",3,IF(Atletas!E601="Juvenil 56kg",4,IF(Atletas!E601="Juvenil 60kg",5,IF(Atletas!E601="Juvenil 65kg",6,IF(Atletas!E601="Juvenil 70kg",7,IF(Atletas!E601="Juvenil 75kg",8,IF(Atletas!E601="Juvenil 82kg",9,IF(Atletas!E601="Juvenil 90kg",10,IF(Atletas!E601="Juvenil 100kg",11,IF(Atletas!E601="Adulto 48kg",12,IF(Atletas!E601="Adulto 52kg",13,IF(Atletas!E601="Adulto 56kg",14,IF(Atletas!E601="Adulto 60kg",15,IF(Atletas!E601="Adulto 65kg",16,IF(Atletas!E601="Adulto 70kg",17,IF(Atletas!E601="Adulto 75kg",18,IF(Atletas!E601="Adulto 82kg",19,IF(Atletas!E601="Adulto 90kg",20,IF(Atletas!E601="Adulto 100kg",21,IF(Atletas!E601="Adulto +100kg",22,""))))))))))))))))))))))))</f>
        <v/>
      </c>
      <c r="AT605" s="10" t="str">
        <f>IF(Atletas!F601="","",IF(Atletas!B601="Feminino",100,IF(Atletas!B601="Masculino",200,""))+(IF(Atletas!F601="Adulto 48kg",1,IF(Atletas!F601="Adulto 56kg",2,IF(Atletas!F601="Adulto 65kg",3,IF(Atletas!F601="Adulto 75kg",4,IF(Atletas!F601="Adulto +75kg",5,IF(Atletas!F601="Adulto 52kg",6,IF(Atletas!F601="Adulto 60kg",7,IF(Atletas!F601="Adulto 70kg",8,IF(Atletas!F601="Adulto 80kg",9,IF(Atletas!F601="Adulto 90kg",10,IF(Atletas!F601="Adulto +90kg",11,"")))))))))))))</f>
        <v/>
      </c>
      <c r="AY605" s="46" t="str">
        <f>IF(Atletas!G601="","",IF(Atletas!B601="Feminino",100,IF(Atletas!B601="Masculino",200,""))+(IF(Atletas!G601="Changquan Mirim",1,IF(Atletas!G601="Nanquan Mirim",2,IF(Atletas!G601="Taijiquan Mirim",3,IF(Atletas!G601="Changquan Grupo C",4,IF(Atletas!G601="Nanquan Grupo C",5,IF(Atletas!G601="Taijiquan Grupo C",6,IF(Atletas!G601="Changquan Grupo B",7,IF(Atletas!G601="Nanquan Grupo B",8,IF(Atletas!G601="Taijiquan Grupo B",9,IF(Atletas!G601="Changquan Grupo A",10,IF(Atletas!G601="Nanquan Grupo A",11,IF(Atletas!G601="Taijiquan Grupo A",12,IF(Atletas!G601="Changquan Opcional",13,IF(Atletas!G601="Nanquan Opcional",14,IF(Atletas!G601="Taijiquan Opcional",15,IF(Atletas!G601="Changquan Adulto",16,IF(Atletas!G601="Nanquan Adulto",17,IF(Atletas!G601="Taijiquan Adulto",18,""))))))))))))))))))))</f>
        <v/>
      </c>
      <c r="AZ605" s="46" t="str">
        <f>IF(Atletas!H601="","",IF(Atletas!B601="Feminino",100,IF(Atletas!B601="Masculino",200,""))+(IF(Atletas!H601="Daoshu Mirim",19,IF(Atletas!H601="Jianshu Mirim",20,IF(Atletas!H601="Nandao Mirim",21,IF(Atletas!H601="Taijijian Mirim",22,IF(Atletas!H601="Daoshu Grupo C",23,IF(Atletas!H601="Jianshu Grupo C",24,IF(Atletas!H601="Nandao Grupo C",25,IF(Atletas!H601="Taijijian Grupo C",26,IF(Atletas!H601="Daoshu Grupo B",27,IF(Atletas!H601="Jianshu Grupo B",28,IF(Atletas!H601="Nandao Grupo B",29,IF(Atletas!H601="Taijijian Grupo B",30,IF(Atletas!H601="Daoshu Grupo A",31,IF(Atletas!H601="Jianshu Grupo A",32,IF(Atletas!H601="Nandao Grupo A",33,IF(Atletas!H601="Taijijian Grupo A",34,IF(Atletas!H601="Daoshu Opcional",35,IF(Atletas!H601="Jianshu Opcional",36,IF(Atletas!H601="Nandao Opcional",37,IF(Atletas!H601="Taijijian Opcional",38,IF(Atletas!H601="Daoshu Adulto",39,IF(Atletas!H601="Jianshu Adulto",40,IF(Atletas!H601="Nandao Adulto",41,IF(Atletas!H601="Taijijian Adulto",42,""))))))))))))))))))))))))))</f>
        <v/>
      </c>
      <c r="BA605" s="46" t="str">
        <f>IF(Atletas!I601="","",IF(Atletas!B601="Feminino",100,IF(Atletas!B601="Masculino",200,""))+(IF(Atletas!I601="Gunshu Mirim",43,IF(Atletas!I601="Qiangshu Mirim",44,IF(Atletas!I601="Nangun Mirim",45,IF(Atletas!I601="Gunshu Grupo C",46,IF(Atletas!I601="Qiangshu Grupo C",47,IF(Atletas!I601="Nangun Grupo C",48,IF(Atletas!I601="Gunshu Grupo B",49,IF(Atletas!I601="Qiangshu Grupo B",50,IF(Atletas!I601="Nangun Grupo B",51,IF(Atletas!I601="Gunshu Grupo A",52,IF(Atletas!I601="Qiangshu Grupo A",53,IF(Atletas!I601="Nangun Grupo A",54,IF(Atletas!I601="Gunshu Opcional",55,IF(Atletas!I601="Qiangshu Opcional",56,IF(Atletas!I601="Nangun Opcional",57,IF(Atletas!I601="Gunshu Adulto",58,IF(Atletas!I601="Qiangshu Adulto",59,IF(Atletas!I601="Nangun Adulto",60,""))))))))))))))))))))</f>
        <v/>
      </c>
      <c r="BF605" s="52" t="str">
        <f>IF(Atletas!J601="","",IF(Atletas!B601="Feminino",100,IF(Atletas!B601="Masculino",200,""))+(IF(Atletas!J601="Equipe 1 Grupo B",1,IF(Atletas!J601="Equipe 2 Grupo B",2,IF(Atletas!J601="Equipe 1 Grupo A",3,IF(Atletas!J601="Equipe 2 Grupo A",4,IF(Atletas!J601="Equipe 1 Adulto",5,IF(Atletas!J601="Equipe 2 Adulto",6,""))))))))</f>
        <v/>
      </c>
      <c r="BK605" s="52" t="str">
        <f>IF(Atletas!K601="","",IF(Atletas!W601&lt;&gt;"",10000,0)+(IF(Atletas!B601="Feminino",1000,IF(Atletas!B601="Masculino",2000,""))+IF(Atletas!K601="Choylayfut A",1,IF(Atletas!K601="Hunggar A",2,IF(Atletas!K601="Wuzuquan A",3,IF(Atletas!K601="Wingchun A",4,IF(Atletas!K601="Outra Mão de Sul A",5,IF(Atletas!K601="Choylayfut B",6,IF(Atletas!K601="Hunggar B",7,IF(Atletas!K601="Wuzuquan B",8,IF(Atletas!K601="Wingchun B",9,IF(Atletas!K601="Outra Mão de Sul B",10,IF(Atletas!K601="Choylayfut C",11,IF(Atletas!K601="Hunggar C",12,IF(Atletas!K601="Wuzuquan C",13,IF(Atletas!K601="Wingchun C",14,IF(Atletas!K601="Outra Mão de Sul C",15,IF(Atletas!K601="Choylayfut D",16,IF(Atletas!K601="Hunggar D",17,IF(Atletas!K601="Wuzuquan D",18,IF(Atletas!K601="Wingchun D",19,IF(Atletas!K601="Outra Mão de Sul D",20,IF(Atletas!K601="Choylayfut E",21,IF(Atletas!K601="Hunggar E",22,IF(Atletas!K601="Wuzuquan E",23,IF(Atletas!K601="Wingchun E",24,IF(Atletas!K601="Outra Mão de Sul E",25,IF(Atletas!K601="Choylayfut F",26,IF(Atletas!K601="Hunggar F",27,IF(Atletas!K601="Wuzuquan F",28,IF(Atletas!K601="Wingchun F",29,IF(Atletas!K601="Outra Mão de Sul F",30,""))))))))))))))))))))))))))))))))</f>
        <v/>
      </c>
      <c r="BL605" s="52" t="str">
        <f>IF(Atletas!L601="","",IF(Atletas!W601&lt;&gt;"",10000,0)+(IF(Atletas!B601="Feminino",1000,IF(Atletas!B601="Masculino",2000,""))+(IF(Atletas!L601="Chaquan A",101,IF(Atletas!L601="Emeiquan A",102,IF(Atletas!L601="Fanziquan A",103,IF(Atletas!L601="Huaquan A",104,IF(Atletas!L601="Hongquan A",105,IF(Atletas!L601="Paochui A",106,IF(Atletas!L601="Piguaquan A",107,IF(Atletas!L601="Shaolinquan A",108,IF(Atletas!L601="Tanglangquan A",109,IF(Atletas!L601="Yinzhaophai A",110,IF(Atletas!L601="Tongbeiquan A",111,IF(Atletas!L601="Wudangquan A",112,IF(Atletas!L601="Outros Estilos A",113,IF(Atletas!L601="Chaquan B",114,IF(Atletas!L601="Emeiquan B",115,IF(Atletas!L601="Fanziquan B",116,IF(Atletas!L601="Huaquan B",117,IF(Atletas!L601="Hongquan B",118,IF(Atletas!L601="Paochui B",119,IF(Atletas!L601="Piguaquan B",120,IF(Atletas!L601="Shaolinquan B",121,IF(Atletas!L601="Tanglangquan B",122,IF(Atletas!L601="Yinzhaophai B",123,IF(Atletas!L601="Tongbeiquan B",124,IF(Atletas!L601="Wudangquan B",125,IF(Atletas!L601="Outros Estilos B",126,IF(Atletas!L601="Chaquan C",127,IF(Atletas!L601="Emeiquan C",128,IF(Atletas!L601="Fanziquan C",129,IF(Atletas!L601="Huaquan C",130,IF(Atletas!L601="Hongquan C",131,IF(Atletas!L601="Paochui C",132,IF(Atletas!L601="Piguaquan C",133,IF(Atletas!L601="Shaolinquan C",134,IF(Atletas!L601="Tanglangquan C",135,IF(Atletas!L601="Yinzhaophai C",136,IF(Atletas!L601="Tongbeiquan C",137,IF(Atletas!L601="Wudangquan C",138,IF(Atletas!L601="Outros Estilos C",139,0))))))))))))))))))))))))))))))))))))))))))</f>
        <v/>
      </c>
      <c r="BM605" s="52" t="str">
        <f>IF(Atletas!L601="","",IF(Atletas!W601&lt;&gt;"",10000,0)+(IF(Atletas!B601="Feminino",1000,IF(Atletas!B601="Masculino",2000,""))+(IF(Atletas!L601="Chaquan D",140,IF(Atletas!L601="Emeiquan D",141,IF(Atletas!L601="Fanziquan D",142,IF(Atletas!L601="Huaquan D",143,IF(Atletas!L601="Hongquan D",144,IF(Atletas!L601="Paochui D",145,IF(Atletas!L601="Piguaquan D",146,IF(Atletas!L601="Shaolinquan D",147,IF(Atletas!L601="Tanglangquan D",148,IF(Atletas!L601="Yinzhaophai D",149,IF(Atletas!L601="Tongbeiquan D",150,IF(Atletas!L601="Wudangquan D",151,IF(Atletas!L601="Outros Estilos D",152,IF(Atletas!L601="Chaquan E",153,IF(Atletas!L601="Emeiquan E",154,IF(Atletas!L601="Fanziquan E",155,IF(Atletas!L601="Huaquan E",156,IF(Atletas!L601="Hongquan E",157,IF(Atletas!L601="Paochui E",158,IF(Atletas!L601="Piguaquan E",159,IF(Atletas!L601="Shaolinquan E",160,IF(Atletas!L601="Tanglangquan E",161,IF(Atletas!L601="Yinzhaophai E",162,IF(Atletas!L601="Tongbeiquan E",163,IF(Atletas!L601="Wudangquan E",164,IF(Atletas!L601="Outros Estilos E",165,IF(Atletas!L601="Chaquan F",166,IF(Atletas!L601="Emeiquan F",167,IF(Atletas!L601="Fanziquan F",168,IF(Atletas!L601="Huaquan F",169,IF(Atletas!L601="Hongquan F",170,IF(Atletas!L601="Paochui F",171,IF(Atletas!L601="Piguaquan F",172,IF(Atletas!L601="Shaolinquan F",173,IF(Atletas!L601="Tanglangquan F",174,IF(Atletas!L601="Yinzhaophai F",175,IF(Atletas!L601="Tongbeiquan F",176,IF(Atletas!L601="Wudangquan F",177,IF(Atletas!L601="Outros Estilos F",178,0))))))))))))))))))))))))))))))))))))))))))</f>
        <v/>
      </c>
      <c r="BN605" s="52" t="str">
        <f>IF(Atletas!M601="","",IF(Atletas!W601&lt;&gt;"",10000,0)+(IF(Atletas!B601="Feminino",1000,IF(Atletas!B601="Masculino",2000,""))+(IF(Atletas!M601="Ditangquan A",201,IF(Atletas!M601="Houquan A",202,IF(Atletas!M601="Zuiquan A",203,IF(Atletas!M601="Ditangquan B",204,IF(Atletas!M601="Houquan B",205,IF(Atletas!M601="Zuiquan B",206,IF(Atletas!M601="Ditangquan C",207,IF(Atletas!M601="Houquan C",208,IF(Atletas!M601="Zuiquan C",209,IF(Atletas!M601="Ditangquan D",210,IF(Atletas!M601="Houquan D",211,IF(Atletas!M601="Zuiquan D",212,IF(Atletas!M601="Ditangquan E",213,IF(Atletas!M601="Houquan E",214,IF(Atletas!M601="Zuiquan E",215,IF(Atletas!M601="Ditangquan F",216,IF(Atletas!M601="Houquan F",217,IF(Atletas!M601="Zuiquan F",218,"")))))))))))))))))))))</f>
        <v/>
      </c>
      <c r="BO605" s="52" t="str">
        <f>IF(Atletas!N601="","",IF(Atletas!W601&lt;&gt;"",10000,0)+IF(Atletas!B601="Feminino",1000,IF(Atletas!B601="Masculino",2000,""))+IF(Atletas!N601="Yang A",301,IF(Atletas!N601="Chen A",30,IF(Atletas!N601="Sun A",303,IF(Atletas!N601="Wu A",304,IF(Atletas!N601="Wu-Hao A",305,IF(Atletas!N601="Outro Taijiquan A",306,IF(Atletas!N601="Yang B",307,IF(Atletas!N601="Chen B",308,IF(Atletas!N601="Sun B",309,IF(Atletas!N601="Wu B",310,IF(Atletas!N601="Wu-Hao B",311,IF(Atletas!N601="Outro Taijiquan B",312,IF(Atletas!N601="Yang C",313,IF(Atletas!N601="Chen C",314,IF(Atletas!N601="Sun C",315,IF(Atletas!N601="Wu C",316,IF(Atletas!N601="Wu-Hao C",317,IF(Atletas!N601="Outro Taijiquan C",318,IF(Atletas!N601="Yang D",319,IF(Atletas!N601="Chen D",320,IF(Atletas!N601="Sun D",321,IF(Atletas!N601="Wu D",322,IF(Atletas!N601="Wu-Hao D",323,IF(Atletas!N601="Outro Taijiquan D",324,IF(Atletas!N601="Yang E",325,IF(Atletas!N601="Chen E",326,IF(Atletas!N601="Sun E",327,IF(Atletas!N601="Wu E",328,IF(Atletas!N601="Wu-Hao E",329,IF(Atletas!N601="Outro Taijiquan E",330,IF(Atletas!N601="Yang F",331,IF(Atletas!N601="Chen F",332,IF(Atletas!N601="Sun F",333,IF(Atletas!N601="Wu F",334,IF(Atletas!N601="Wu-Hao F",335,IF(Atletas!N601="Outro Taijiquan F",336,"")))))))))))))))))))))))))))))))))))))</f>
        <v/>
      </c>
      <c r="BP605" s="52" t="str">
        <f>IF(Atletas!O601="","",IF(Atletas!W601&lt;&gt;"",10000,0)+IF(Atletas!B601="Feminino",1000,IF(Atletas!B601="Masculino",2000,""))+IF(OR(Atletas!O601="Yang 26 A",Atletas!O601="Yang 40 A"),401,IF(OR(Atletas!O601="Chen 25 A",Atletas!O601="Chen 36 A",Atletas!O601="Chen 56 A"),402,IF(Atletas!O601="Sun 73 A",403,IF(Atletas!O601="Wu 45 A",404,IF(Atletas!O601="Wu-Hao 46 A",405,IF(OR(Atletas!O601="Taijiquan 16 A",Atletas!O601="Taijiquan 24 A",Atletas!O601="Taijiquan 32 A",Atletas!O601="Taijiquan 42 A"),406,IF(OR(Atletas!O601="Yang 26 B",Atletas!O601="Yang 40 B"),407,IF(OR(Atletas!O601="Chen 25 B",Atletas!O601="Chen 36 B",Atletas!O601="Chen 56 B"),408,IF(Atletas!O601="Sun 73 B",409,IF(Atletas!O601="Wu 45 B",410,IF(Atletas!O601="Wu-Hao 46 B",411,IF(OR(Atletas!O601="Taijiquan 16 B",Atletas!O601="Taijiquan 24 B",Atletas!O601="Taijiquan 32 B",Atletas!O601="Taijiquan 42 B"),412,IF(OR(Atletas!O601="Yang 26 C",Atletas!O601="Yang 40 C"),413,IF(OR(Atletas!O601="Chen 25 C",Atletas!O601="Chen 36 C",Atletas!O601="Chen 56 C"),414,IF(Atletas!O601="Sun 73 C",415,IF(Atletas!O601="Wu 45 C",416,IF(Atletas!O601="Wu-Hao 46 C",417,IF(OR(Atletas!O601="Taijiquan 16 C",Atletas!O601="Taijiquan 24 C",Atletas!O601="Taijiquan 32 C",Atletas!O601="Taijiquan 42 C"),418,0)))))))))))))))))))</f>
        <v/>
      </c>
      <c r="BQ605" s="52" t="str">
        <f>IF(Atletas!O601="","",IF(Atletas!W601&lt;&gt;"",10000,0)+IF(Atletas!B601="Feminino",1000,IF(Atletas!B601="Masculino",2000,""))+IF(OR(Atletas!O601="Yang 26 D",Atletas!O601="Yang 40 D"),419,IF(OR(Atletas!O601="Chen 25 D",Atletas!O601="Chen 36 D",Atletas!O601="Chen 56 D"),420,IF(Atletas!O601="Sun 73 D",421,IF(Atletas!O601="Wu 45 D",422,IF(Atletas!O601="Wu-Hao 46 D",423,IF(OR(Atletas!O601="Taijiquan 16 D",Atletas!O601="Taijiquan 24 D",Atletas!O601="Taijiquan 32 D",Atletas!O601="Taijiquan 42 D"),424,IF(OR(Atletas!O601="Yang 26 E",Atletas!O601="Yang 40 E"),425,IF(OR(Atletas!O601="Chen 25 E",Atletas!O601="Chen 36 E",Atletas!O601="Chen 56 E"),426,IF(Atletas!O601="Sun 73 E",427,IF(Atletas!O601="Wu 45 E",428,IF(Atletas!O601="Wu-Hao 46 E",429,IF(OR(Atletas!O601="Taijiquan 16 E",Atletas!O601="Taijiquan 24 E",Atletas!O601="Taijiquan 32 E",Atletas!O601="Taijiquan 42 E"),430,IF(OR(Atletas!O601="Yang 26 F",Atletas!O601="Yang 40 F"),431,IF(OR(Atletas!O601="Chen 25 F",Atletas!O601="Chen 36 F",Atletas!O601="Chen 56 F"),432,IF(Atletas!O601="Sun 73 F",433,IF(Atletas!O601="Wu 45 F",434,IF(Atletas!O601="Wu-Hao 46 F",435,IF(OR(Atletas!O601="Taijiquan 16 F",Atletas!O601="Taijiquan 24 F",Atletas!O601="Taijiquan 32 F",Atletas!O601="Taijiquan 42 F"),436,0)))))))))))))))))))</f>
        <v/>
      </c>
      <c r="BR605" s="52" t="str">
        <f>IF(Atletas!P601="","",IF(Atletas!W601&lt;&gt;"",10000,0)+IF(Atletas!B601="Feminino",1000,IF(Atletas!B601="Masculino",2000,""))+IF(Atletas!P601="Xingyiquan A",501,IF(Atletas!P601="Baguazhang A",502,IF(Atletas!P601="Outro Estilo Interno A",503,IF(Atletas!P601="Xingyiquan B",504,IF(Atletas!P601="Baguazhang B",505,IF(Atletas!P601="Outro Estilo Interno B",506,IF(Atletas!P601="Xingyiquan C",507,IF(Atletas!P601="Baguazhang C",508,IF(Atletas!P601="Outro Estilo Interno C",509,IF(Atletas!P601="Xingyiquan D",510,IF(Atletas!P601="Baguazhang D",511,IF(Atletas!P601="Outro Estilo Interno D",512,IF(Atletas!P601="Xingyiquan E",513,IF(Atletas!P601="Baguazhang E",514,IF(Atletas!P601="Outro Estilo Interno E",515,IF(Atletas!P601="Xingyiquan F",516,IF(Atletas!P601="Baguazhang F",517,IF(Atletas!P601="Outro Estilo Interno F",518, "")))))))))))))))))))</f>
        <v/>
      </c>
      <c r="BS605" s="52" t="str">
        <f>IF(Atletas!Q601="","",IF(Atletas!W601&lt;&gt;"",10000,0)+IF(Atletas!B601="Feminino",1000,IF(Atletas!B601="Masculino",2000,""))+IF(Atletas!Q601="Dao A",601,IF(Atletas!Q601="Jian A",602,IF(Atletas!Q601="Bishou A",603,IF(Atletas!Q601="Shan A",604,IF(Atletas!Q601="Outra Arma Curta A",605,IF(Atletas!Q601="Dao B",606,IF(Atletas!Q601="Jian B",607,IF(Atletas!Q601="Bishou B",608,IF(Atletas!Q601="Shan B",609,IF(Atletas!Q601="Outra Arma Curta B",610,IF(Atletas!Q601="Dao C",611,IF(Atletas!Q601="Jian C",612,IF(Atletas!Q601="Bishou C",613,IF(Atletas!Q601="Shan C",614,IF(Atletas!Q601="Outra Arma Curta C",615,IF(Atletas!Q601="Dao D",616,IF(Atletas!Q601="Jian D",617,IF(Atletas!Q601="Bishou D",618,IF(Atletas!Q601="Shan D",619,IF(Atletas!Q601="Outra Arma Curta D",620,IF(Atletas!Q601="Dao E",621,IF(Atletas!Q601="Jian E",622,IF(Atletas!Q601="Bishou E",623,IF(Atletas!Q601="Shan E",624,IF(Atletas!Q601="Outra Arma Curta E",625,IF(Atletas!Q601="Dao F",626,IF(Atletas!Q601="Jian F",627,IF(Atletas!Q601="Bishou F",628,IF(Atletas!Q601="Shan F",629,IF(Atletas!Q601="Outra Arma Curta F",630, "")))))))))))))))))))))))))))))))</f>
        <v/>
      </c>
      <c r="BT605" s="52" t="str">
        <f>IF(Atletas!R601="","",IF(Atletas!W601&lt;&gt;"",10000,0)+IF(Atletas!B601="Feminino",1000,IF(Atletas!B601="Masculino",2000,""))+IF(Atletas!R601="Gun A",701,IF(Atletas!R601="Qiang A",702,IF(Atletas!R601="Pudao / Guandao A",703,IF(Atletas!R601="Outra Arma Longa A",704,IF(Atletas!R601="Gun B",705,IF(Atletas!R601="Qiang B",706,IF(Atletas!R601="Pudao / Guandao B",707,IF(Atletas!R601="Outra Arma Longa B",708,IF(Atletas!R601="Gun C",709,IF(Atletas!R601="Qiang C",710,IF(Atletas!R601="Pudao / Guandao C",711,IF(Atletas!R601="Outra Arma Longa C",712,IF(Atletas!R601="Gun D",713,IF(Atletas!R601="Qiang D",714,IF(Atletas!R601="Pudao / Guandao D",715,IF(Atletas!R601="Outra Arma Longa D",716,IF(Atletas!R601="Gun E",717,IF(Atletas!R601="Qiang E",718,IF(Atletas!R601="Pudao / Guandao E",719,IF(Atletas!R601="Outra Arma Longa E",720,IF(Atletas!R601="Gun F",721,IF(Atletas!R601="Qiang F",722,IF(Atletas!R601="Pudao / Guandao F",723,IF(Atletas!R601="Outra Arma Longa F",724,"")))))))))))))))))))))))))</f>
        <v/>
      </c>
      <c r="BU605" s="52" t="str">
        <f>IF(Atletas!S601="","",IF(Atletas!W601&lt;&gt;"",10000,0)+IF(Atletas!B601="Feminino",1000,IF(Atletas!B601="Masculino",2000,""))+IF(Atletas!S601="Arma Dupla A",801,IF(Atletas!S601="Arma Maleável A",802,IF(Atletas!S601="Arma Dupla B",803,IF(Atletas!S601="Arma Maleável B",804,IF(Atletas!S601="Arma Dupla C",805,IF(Atletas!S601="Arma Maleável C",806,IF(Atletas!S601="Arma Dupla D",807,IF(Atletas!S601="Arma Maleável D",808,IF(Atletas!S601="Arma Dupla E",809,IF(Atletas!S601="Arma Maleável E",810,IF(Atletas!S601="Arma Dupla F",811,IF(Atletas!S601="Arma Maleável F",812, "")))))))))))))</f>
        <v/>
      </c>
      <c r="BV605" s="52" t="str">
        <f>IF(Atletas!T601="","",IF(Atletas!W601&lt;&gt;"",10000,0)+IF(Atletas!B601="Feminino",1000,IF(Atletas!B601="Masculino",2000,""))+IF(Atletas!T601="Taijijian Yang A",901,IF(Atletas!T601="Taijijian Chen A",902,IF(Atletas!T601="Taijijian Sun A",903,IF(Atletas!T601="Taijijian Wu A",904,IF(Atletas!T601="Taijijian Wu-Hao A",905,IF(Atletas!T601="Taijijian 32 A",906,IF(Atletas!T601="Taijijian 42 A",907,IF(Atletas!T601="Taijijian Yang B",908,IF(Atletas!T601="Taijijian Chen B",909,IF(Atletas!T601="Taijijian Sun B",910,IF(Atletas!T601="Taijijian Wu B",911,IF(Atletas!T601="Taijijian Wu-Hao B",912,IF(Atletas!T601="Taijijian 32 B",913,IF(Atletas!T601="Taijijian 42 B",914,IF(Atletas!T601="Taijijian Yang C",915,IF(Atletas!T601="Taijijian Chen C",916,IF(Atletas!T601="Taijijian Sun C",917,IF(Atletas!T601="Taijijian Wu C",918,IF(Atletas!T601="Taijijian Wu-Hao C",919,IF(Atletas!T601="Taijijian 32 C",920,IF(Atletas!T601="Taijijian 42 C",921,IF(Atletas!T601="Taijijian Yang D",922,IF(Atletas!T601="Taijijian Chen D",923,IF(Atletas!T601="Taijijian Sun D",924,IF(Atletas!T601="Taijijian Wu D",925,IF(Atletas!T601="Taijijian Wu-Hao D",926,IF(Atletas!T601="Taijijian 32 D",927,IF(Atletas!T601="Taijijian 42 D",928,IF(Atletas!T601="Taijijian Yang E",929,IF(Atletas!T601="Taijijian Chen E",930,IF(Atletas!T601="Taijijian Sun E",931,IF(Atletas!T601="Taijijian Wu E",932,IF(Atletas!T601="Taijijian Wu-Hao E",933,IF(Atletas!T601="Taijijian 32 E",934,IF(Atletas!T601="Taijijian 42 E",935,IF(Atletas!T601="Taijijian Yang F",936,IF(Atletas!T601="Taijijian Chen F",937,IF(Atletas!T601="Taijijian Sun F",938,IF(Atletas!T601="Taijijian Wu F",939,IF(Atletas!T601="Taijijian Wu-Hao F",940,IF(Atletas!T601="Taijijian 32 F",941,IF(Atletas!T601="Taijijian 42 F",942,"")))))))))))))))))))))))))))))))))))))))))))</f>
        <v/>
      </c>
      <c r="BW605" s="52" t="str">
        <f>IF(Atletas!U601="","",IF(Atletas!W601&lt;&gt;"",10000,0)+IF(Atletas!B601="Feminino",1000,IF(Atletas!B601="Masculino",2000,""))+IF(Atletas!T601="Taijijian 42 F",942,IF(Atletas!U601="Taijidao A",943,IF(Atletas!U601="Taijishan A",944,IF(Atletas!U601="Taijiqiang A",945,IF(Atletas!U601="Taijidao B",946,IF(Atletas!U601="Taijishan B",947,IF(Atletas!U601="Taijiqiang B",948,IF(Atletas!U601="Taijidao C",949,IF(Atletas!U601="Taijishan C",950,IF(Atletas!U601="Taijiqiang C",951,IF(Atletas!U601="Taijidao D",952,IF(Atletas!U601="Taijishan D",953,IF(Atletas!U601="Taijiqiang D",954,IF(Atletas!U601="Taijidao E",955,IF(Atletas!U601="Taijishan E",956,IF(Atletas!U601="Taijiqiang E",957,IF(Atletas!U601="Taijidao F",958,IF(Atletas!U601="Taijishan F",959,IF(Atletas!U601="Taijiqiang F",960))))))))))))))))))))</f>
        <v/>
      </c>
      <c r="CF605" s="52" t="str">
        <f xml:space="preserve"> IF(Atletas!V601="","",IF(Atletas!V601="Duilian de Mãos AB - Equipe 1",1,IF(Atletas!V601="Duilian de Mãos AB - Equipe 2",2,IF(Atletas!V601="Duilian de Armas AB - Equipe 1",3,IF(Atletas!V601="Duilian de Armas AB - Equipe 2",4,IF(Atletas!V601="Duilian de Tuishou - Equipe 1",5,IF(Atletas!V601="Duilian de Tuishou - Equipe 2",6,IF(Atletas!V601="Grupo Externo AB - Equipe 1",7,IF(Atletas!V601="Grupo Externo AB - Equipe 2",8,IF(Atletas!V601="Grupo Interno AB - Equipe 1",9,IF(Atletas!V601="Grupo Interno AB - Equipe 2",10,IF(Atletas!V601="Duilian de Mãos CD - Equipe 1",11,IF(Atletas!V601="Duilian de Mãos CD - Equipe 2",12,IF(Atletas!V601="Duilian de Armas CD - Equipe 1",13,IF(Atletas!V601="Duilian de Armas CD - Equipe 2",14,IF(Atletas!V601="Duilian de Tuishou - Equipe 1",15,IF(Atletas!V601="Duilian de Tuishou - Equipe 2",16,IF(Atletas!V601="Grupo Externo CDEF - Equipe 1",17,IF(Atletas!V601="Grupo Externo CDEF - Equipe 2",18,IF(Atletas!V601="Grupo Interno CDEF - Equipe 1",19,IF(Atletas!V601="Grupo Interno CDEF - Equipe 2",20,IF(Atletas!V601="Duilian de Mãos EF - Equipe 1",21,IF(Atletas!V601="Duilian de Mãos EF - Equipe 2",22,IF(Atletas!V601="Duilian de Armas EF - Equipe 1",23,IF(Atletas!V601="Duilian de Armas EF - Equipe 2",24,IF(Atletas!V601="Duilian de Tuishou - Equipe 1",25,IF(Atletas!V601="Duilian de Tuishou - Equipe 2",26,"")))))))))))))))))))))))))))</f>
        <v/>
      </c>
    </row>
    <row r="606" spans="36:84">
      <c r="AJ606" s="46" t="str">
        <f>IF(Atletas!D602="","",IF(Atletas!B602="Feminino",100,IF(Atletas!B602="Masculino",200,""))+(IF(Atletas!D602="Infantil 39kg",1,IF(Atletas!D602="Infantil 42kg",2,IF(Atletas!D602="Infantil 45kg",3,IF(Atletas!D602="Infantil 48kg",4,IF(Atletas!D602="Infantil 52kg",5,IF(Atletas!D602="Infantil 56kg",6,IF(Atletas!D602="Infantil 60kg",7,IF(Atletas!D602="Juvenil 48kg",8,IF(Atletas!D602="Juvenil 52kg",9,IF(Atletas!D602="Juvenil 56kg",10,IF(Atletas!D602="Juvenil 60kg",11,IF(Atletas!D602="Juvenil 65kg",12,IF(Atletas!D602="Juvenil 70kg",13,IF(Atletas!D602="Juvenil 75kg",14,IF(Atletas!D602="Juvenil 80kg",15,IF(Atletas!D602="Adulto 48kg",16,IF(Atletas!D602="Adulto 52kg",17,IF(Atletas!D602="Adulto 56kg",18,IF(Atletas!D602="Adulto 60kg",19,IF(Atletas!D602="Adulto 65kg",20,IF(Atletas!D602="Adulto 70kg",21,IF(Atletas!D602="Adulto 75kg",22,IF(Atletas!D602="Adulto 80kg",23,IF(Atletas!D602="Adulto 85kg",24,IF(Atletas!D602="Adulto 90kg",25,IF(Atletas!D602="Adulto +90kg",26,""))))))))))))))))))))))))))))</f>
        <v/>
      </c>
      <c r="AO606" s="10" t="str">
        <f>IF(Atletas!E602="","",IF(Atletas!B602="Feminino",100,IF(Atletas!B602="Masculino",200,""))+(IF(Atletas!E602="Juvenil 44kg",1,IF(Atletas!E602="Juvenil 48kg",2,IF(Atletas!E602="Juvenil 52kg",3,IF(Atletas!E602="Juvenil 56kg",4,IF(Atletas!E602="Juvenil 60kg",5,IF(Atletas!E602="Juvenil 65kg",6,IF(Atletas!E602="Juvenil 70kg",7,IF(Atletas!E602="Juvenil 75kg",8,IF(Atletas!E602="Juvenil 82kg",9,IF(Atletas!E602="Juvenil 90kg",10,IF(Atletas!E602="Juvenil 100kg",11,IF(Atletas!E602="Adulto 48kg",12,IF(Atletas!E602="Adulto 52kg",13,IF(Atletas!E602="Adulto 56kg",14,IF(Atletas!E602="Adulto 60kg",15,IF(Atletas!E602="Adulto 65kg",16,IF(Atletas!E602="Adulto 70kg",17,IF(Atletas!E602="Adulto 75kg",18,IF(Atletas!E602="Adulto 82kg",19,IF(Atletas!E602="Adulto 90kg",20,IF(Atletas!E602="Adulto 100kg",21,IF(Atletas!E602="Adulto +100kg",22,""))))))))))))))))))))))))</f>
        <v/>
      </c>
      <c r="AT606" s="10" t="str">
        <f>IF(Atletas!F602="","",IF(Atletas!B602="Feminino",100,IF(Atletas!B602="Masculino",200,""))+(IF(Atletas!F602="Adulto 48kg",1,IF(Atletas!F602="Adulto 56kg",2,IF(Atletas!F602="Adulto 65kg",3,IF(Atletas!F602="Adulto 75kg",4,IF(Atletas!F602="Adulto +75kg",5,IF(Atletas!F602="Adulto 52kg",6,IF(Atletas!F602="Adulto 60kg",7,IF(Atletas!F602="Adulto 70kg",8,IF(Atletas!F602="Adulto 80kg",9,IF(Atletas!F602="Adulto 90kg",10,IF(Atletas!F602="Adulto +90kg",11,"")))))))))))))</f>
        <v/>
      </c>
      <c r="AY606" s="46" t="str">
        <f>IF(Atletas!G602="","",IF(Atletas!B602="Feminino",100,IF(Atletas!B602="Masculino",200,""))+(IF(Atletas!G602="Changquan Mirim",1,IF(Atletas!G602="Nanquan Mirim",2,IF(Atletas!G602="Taijiquan Mirim",3,IF(Atletas!G602="Changquan Grupo C",4,IF(Atletas!G602="Nanquan Grupo C",5,IF(Atletas!G602="Taijiquan Grupo C",6,IF(Atletas!G602="Changquan Grupo B",7,IF(Atletas!G602="Nanquan Grupo B",8,IF(Atletas!G602="Taijiquan Grupo B",9,IF(Atletas!G602="Changquan Grupo A",10,IF(Atletas!G602="Nanquan Grupo A",11,IF(Atletas!G602="Taijiquan Grupo A",12,IF(Atletas!G602="Changquan Opcional",13,IF(Atletas!G602="Nanquan Opcional",14,IF(Atletas!G602="Taijiquan Opcional",15,IF(Atletas!G602="Changquan Adulto",16,IF(Atletas!G602="Nanquan Adulto",17,IF(Atletas!G602="Taijiquan Adulto",18,""))))))))))))))))))))</f>
        <v/>
      </c>
      <c r="AZ606" s="46" t="str">
        <f>IF(Atletas!H602="","",IF(Atletas!B602="Feminino",100,IF(Atletas!B602="Masculino",200,""))+(IF(Atletas!H602="Daoshu Mirim",19,IF(Atletas!H602="Jianshu Mirim",20,IF(Atletas!H602="Nandao Mirim",21,IF(Atletas!H602="Taijijian Mirim",22,IF(Atletas!H602="Daoshu Grupo C",23,IF(Atletas!H602="Jianshu Grupo C",24,IF(Atletas!H602="Nandao Grupo C",25,IF(Atletas!H602="Taijijian Grupo C",26,IF(Atletas!H602="Daoshu Grupo B",27,IF(Atletas!H602="Jianshu Grupo B",28,IF(Atletas!H602="Nandao Grupo B",29,IF(Atletas!H602="Taijijian Grupo B",30,IF(Atletas!H602="Daoshu Grupo A",31,IF(Atletas!H602="Jianshu Grupo A",32,IF(Atletas!H602="Nandao Grupo A",33,IF(Atletas!H602="Taijijian Grupo A",34,IF(Atletas!H602="Daoshu Opcional",35,IF(Atletas!H602="Jianshu Opcional",36,IF(Atletas!H602="Nandao Opcional",37,IF(Atletas!H602="Taijijian Opcional",38,IF(Atletas!H602="Daoshu Adulto",39,IF(Atletas!H602="Jianshu Adulto",40,IF(Atletas!H602="Nandao Adulto",41,IF(Atletas!H602="Taijijian Adulto",42,""))))))))))))))))))))))))))</f>
        <v/>
      </c>
      <c r="BA606" s="46" t="str">
        <f>IF(Atletas!I602="","",IF(Atletas!B602="Feminino",100,IF(Atletas!B602="Masculino",200,""))+(IF(Atletas!I602="Gunshu Mirim",43,IF(Atletas!I602="Qiangshu Mirim",44,IF(Atletas!I602="Nangun Mirim",45,IF(Atletas!I602="Gunshu Grupo C",46,IF(Atletas!I602="Qiangshu Grupo C",47,IF(Atletas!I602="Nangun Grupo C",48,IF(Atletas!I602="Gunshu Grupo B",49,IF(Atletas!I602="Qiangshu Grupo B",50,IF(Atletas!I602="Nangun Grupo B",51,IF(Atletas!I602="Gunshu Grupo A",52,IF(Atletas!I602="Qiangshu Grupo A",53,IF(Atletas!I602="Nangun Grupo A",54,IF(Atletas!I602="Gunshu Opcional",55,IF(Atletas!I602="Qiangshu Opcional",56,IF(Atletas!I602="Nangun Opcional",57,IF(Atletas!I602="Gunshu Adulto",58,IF(Atletas!I602="Qiangshu Adulto",59,IF(Atletas!I602="Nangun Adulto",60,""))))))))))))))))))))</f>
        <v/>
      </c>
      <c r="BF606" s="52" t="str">
        <f>IF(Atletas!J602="","",IF(Atletas!B602="Feminino",100,IF(Atletas!B602="Masculino",200,""))+(IF(Atletas!J602="Equipe 1 Grupo B",1,IF(Atletas!J602="Equipe 2 Grupo B",2,IF(Atletas!J602="Equipe 1 Grupo A",3,IF(Atletas!J602="Equipe 2 Grupo A",4,IF(Atletas!J602="Equipe 1 Adulto",5,IF(Atletas!J602="Equipe 2 Adulto",6,""))))))))</f>
        <v/>
      </c>
      <c r="BK606" s="52" t="str">
        <f>IF(Atletas!K602="","",IF(Atletas!W602&lt;&gt;"",10000,0)+(IF(Atletas!B602="Feminino",1000,IF(Atletas!B602="Masculino",2000,""))+IF(Atletas!K602="Choylayfut A",1,IF(Atletas!K602="Hunggar A",2,IF(Atletas!K602="Wuzuquan A",3,IF(Atletas!K602="Wingchun A",4,IF(Atletas!K602="Outra Mão de Sul A",5,IF(Atletas!K602="Choylayfut B",6,IF(Atletas!K602="Hunggar B",7,IF(Atletas!K602="Wuzuquan B",8,IF(Atletas!K602="Wingchun B",9,IF(Atletas!K602="Outra Mão de Sul B",10,IF(Atletas!K602="Choylayfut C",11,IF(Atletas!K602="Hunggar C",12,IF(Atletas!K602="Wuzuquan C",13,IF(Atletas!K602="Wingchun C",14,IF(Atletas!K602="Outra Mão de Sul C",15,IF(Atletas!K602="Choylayfut D",16,IF(Atletas!K602="Hunggar D",17,IF(Atletas!K602="Wuzuquan D",18,IF(Atletas!K602="Wingchun D",19,IF(Atletas!K602="Outra Mão de Sul D",20,IF(Atletas!K602="Choylayfut E",21,IF(Atletas!K602="Hunggar E",22,IF(Atletas!K602="Wuzuquan E",23,IF(Atletas!K602="Wingchun E",24,IF(Atletas!K602="Outra Mão de Sul E",25,IF(Atletas!K602="Choylayfut F",26,IF(Atletas!K602="Hunggar F",27,IF(Atletas!K602="Wuzuquan F",28,IF(Atletas!K602="Wingchun F",29,IF(Atletas!K602="Outra Mão de Sul F",30,""))))))))))))))))))))))))))))))))</f>
        <v/>
      </c>
      <c r="BL606" s="52" t="str">
        <f>IF(Atletas!L602="","",IF(Atletas!W602&lt;&gt;"",10000,0)+(IF(Atletas!B602="Feminino",1000,IF(Atletas!B602="Masculino",2000,""))+(IF(Atletas!L602="Chaquan A",101,IF(Atletas!L602="Emeiquan A",102,IF(Atletas!L602="Fanziquan A",103,IF(Atletas!L602="Huaquan A",104,IF(Atletas!L602="Hongquan A",105,IF(Atletas!L602="Paochui A",106,IF(Atletas!L602="Piguaquan A",107,IF(Atletas!L602="Shaolinquan A",108,IF(Atletas!L602="Tanglangquan A",109,IF(Atletas!L602="Yinzhaophai A",110,IF(Atletas!L602="Tongbeiquan A",111,IF(Atletas!L602="Wudangquan A",112,IF(Atletas!L602="Outros Estilos A",113,IF(Atletas!L602="Chaquan B",114,IF(Atletas!L602="Emeiquan B",115,IF(Atletas!L602="Fanziquan B",116,IF(Atletas!L602="Huaquan B",117,IF(Atletas!L602="Hongquan B",118,IF(Atletas!L602="Paochui B",119,IF(Atletas!L602="Piguaquan B",120,IF(Atletas!L602="Shaolinquan B",121,IF(Atletas!L602="Tanglangquan B",122,IF(Atletas!L602="Yinzhaophai B",123,IF(Atletas!L602="Tongbeiquan B",124,IF(Atletas!L602="Wudangquan B",125,IF(Atletas!L602="Outros Estilos B",126,IF(Atletas!L602="Chaquan C",127,IF(Atletas!L602="Emeiquan C",128,IF(Atletas!L602="Fanziquan C",129,IF(Atletas!L602="Huaquan C",130,IF(Atletas!L602="Hongquan C",131,IF(Atletas!L602="Paochui C",132,IF(Atletas!L602="Piguaquan C",133,IF(Atletas!L602="Shaolinquan C",134,IF(Atletas!L602="Tanglangquan C",135,IF(Atletas!L602="Yinzhaophai C",136,IF(Atletas!L602="Tongbeiquan C",137,IF(Atletas!L602="Wudangquan C",138,IF(Atletas!L602="Outros Estilos C",139,0))))))))))))))))))))))))))))))))))))))))))</f>
        <v/>
      </c>
      <c r="BM606" s="52" t="str">
        <f>IF(Atletas!L602="","",IF(Atletas!W602&lt;&gt;"",10000,0)+(IF(Atletas!B602="Feminino",1000,IF(Atletas!B602="Masculino",2000,""))+(IF(Atletas!L602="Chaquan D",140,IF(Atletas!L602="Emeiquan D",141,IF(Atletas!L602="Fanziquan D",142,IF(Atletas!L602="Huaquan D",143,IF(Atletas!L602="Hongquan D",144,IF(Atletas!L602="Paochui D",145,IF(Atletas!L602="Piguaquan D",146,IF(Atletas!L602="Shaolinquan D",147,IF(Atletas!L602="Tanglangquan D",148,IF(Atletas!L602="Yinzhaophai D",149,IF(Atletas!L602="Tongbeiquan D",150,IF(Atletas!L602="Wudangquan D",151,IF(Atletas!L602="Outros Estilos D",152,IF(Atletas!L602="Chaquan E",153,IF(Atletas!L602="Emeiquan E",154,IF(Atletas!L602="Fanziquan E",155,IF(Atletas!L602="Huaquan E",156,IF(Atletas!L602="Hongquan E",157,IF(Atletas!L602="Paochui E",158,IF(Atletas!L602="Piguaquan E",159,IF(Atletas!L602="Shaolinquan E",160,IF(Atletas!L602="Tanglangquan E",161,IF(Atletas!L602="Yinzhaophai E",162,IF(Atletas!L602="Tongbeiquan E",163,IF(Atletas!L602="Wudangquan E",164,IF(Atletas!L602="Outros Estilos E",165,IF(Atletas!L602="Chaquan F",166,IF(Atletas!L602="Emeiquan F",167,IF(Atletas!L602="Fanziquan F",168,IF(Atletas!L602="Huaquan F",169,IF(Atletas!L602="Hongquan F",170,IF(Atletas!L602="Paochui F",171,IF(Atletas!L602="Piguaquan F",172,IF(Atletas!L602="Shaolinquan F",173,IF(Atletas!L602="Tanglangquan F",174,IF(Atletas!L602="Yinzhaophai F",175,IF(Atletas!L602="Tongbeiquan F",176,IF(Atletas!L602="Wudangquan F",177,IF(Atletas!L602="Outros Estilos F",178,0))))))))))))))))))))))))))))))))))))))))))</f>
        <v/>
      </c>
      <c r="BN606" s="52" t="str">
        <f>IF(Atletas!M602="","",IF(Atletas!W602&lt;&gt;"",10000,0)+(IF(Atletas!B602="Feminino",1000,IF(Atletas!B602="Masculino",2000,""))+(IF(Atletas!M602="Ditangquan A",201,IF(Atletas!M602="Houquan A",202,IF(Atletas!M602="Zuiquan A",203,IF(Atletas!M602="Ditangquan B",204,IF(Atletas!M602="Houquan B",205,IF(Atletas!M602="Zuiquan B",206,IF(Atletas!M602="Ditangquan C",207,IF(Atletas!M602="Houquan C",208,IF(Atletas!M602="Zuiquan C",209,IF(Atletas!M602="Ditangquan D",210,IF(Atletas!M602="Houquan D",211,IF(Atletas!M602="Zuiquan D",212,IF(Atletas!M602="Ditangquan E",213,IF(Atletas!M602="Houquan E",214,IF(Atletas!M602="Zuiquan E",215,IF(Atletas!M602="Ditangquan F",216,IF(Atletas!M602="Houquan F",217,IF(Atletas!M602="Zuiquan F",218,"")))))))))))))))))))))</f>
        <v/>
      </c>
      <c r="BO606" s="52" t="str">
        <f>IF(Atletas!N602="","",IF(Atletas!W602&lt;&gt;"",10000,0)+IF(Atletas!B602="Feminino",1000,IF(Atletas!B602="Masculino",2000,""))+IF(Atletas!N602="Yang A",301,IF(Atletas!N602="Chen A",30,IF(Atletas!N602="Sun A",303,IF(Atletas!N602="Wu A",304,IF(Atletas!N602="Wu-Hao A",305,IF(Atletas!N602="Outro Taijiquan A",306,IF(Atletas!N602="Yang B",307,IF(Atletas!N602="Chen B",308,IF(Atletas!N602="Sun B",309,IF(Atletas!N602="Wu B",310,IF(Atletas!N602="Wu-Hao B",311,IF(Atletas!N602="Outro Taijiquan B",312,IF(Atletas!N602="Yang C",313,IF(Atletas!N602="Chen C",314,IF(Atletas!N602="Sun C",315,IF(Atletas!N602="Wu C",316,IF(Atletas!N602="Wu-Hao C",317,IF(Atletas!N602="Outro Taijiquan C",318,IF(Atletas!N602="Yang D",319,IF(Atletas!N602="Chen D",320,IF(Atletas!N602="Sun D",321,IF(Atletas!N602="Wu D",322,IF(Atletas!N602="Wu-Hao D",323,IF(Atletas!N602="Outro Taijiquan D",324,IF(Atletas!N602="Yang E",325,IF(Atletas!N602="Chen E",326,IF(Atletas!N602="Sun E",327,IF(Atletas!N602="Wu E",328,IF(Atletas!N602="Wu-Hao E",329,IF(Atletas!N602="Outro Taijiquan E",330,IF(Atletas!N602="Yang F",331,IF(Atletas!N602="Chen F",332,IF(Atletas!N602="Sun F",333,IF(Atletas!N602="Wu F",334,IF(Atletas!N602="Wu-Hao F",335,IF(Atletas!N602="Outro Taijiquan F",336,"")))))))))))))))))))))))))))))))))))))</f>
        <v/>
      </c>
      <c r="BP606" s="52" t="str">
        <f>IF(Atletas!O602="","",IF(Atletas!W602&lt;&gt;"",10000,0)+IF(Atletas!B602="Feminino",1000,IF(Atletas!B602="Masculino",2000,""))+IF(OR(Atletas!O602="Yang 26 A",Atletas!O602="Yang 40 A"),401,IF(OR(Atletas!O602="Chen 25 A",Atletas!O602="Chen 36 A",Atletas!O602="Chen 56 A"),402,IF(Atletas!O602="Sun 73 A",403,IF(Atletas!O602="Wu 45 A",404,IF(Atletas!O602="Wu-Hao 46 A",405,IF(OR(Atletas!O602="Taijiquan 16 A",Atletas!O602="Taijiquan 24 A",Atletas!O602="Taijiquan 32 A",Atletas!O602="Taijiquan 42 A"),406,IF(OR(Atletas!O602="Yang 26 B",Atletas!O602="Yang 40 B"),407,IF(OR(Atletas!O602="Chen 25 B",Atletas!O602="Chen 36 B",Atletas!O602="Chen 56 B"),408,IF(Atletas!O602="Sun 73 B",409,IF(Atletas!O602="Wu 45 B",410,IF(Atletas!O602="Wu-Hao 46 B",411,IF(OR(Atletas!O602="Taijiquan 16 B",Atletas!O602="Taijiquan 24 B",Atletas!O602="Taijiquan 32 B",Atletas!O602="Taijiquan 42 B"),412,IF(OR(Atletas!O602="Yang 26 C",Atletas!O602="Yang 40 C"),413,IF(OR(Atletas!O602="Chen 25 C",Atletas!O602="Chen 36 C",Atletas!O602="Chen 56 C"),414,IF(Atletas!O602="Sun 73 C",415,IF(Atletas!O602="Wu 45 C",416,IF(Atletas!O602="Wu-Hao 46 C",417,IF(OR(Atletas!O602="Taijiquan 16 C",Atletas!O602="Taijiquan 24 C",Atletas!O602="Taijiquan 32 C",Atletas!O602="Taijiquan 42 C"),418,0)))))))))))))))))))</f>
        <v/>
      </c>
      <c r="BQ606" s="52" t="str">
        <f>IF(Atletas!O602="","",IF(Atletas!W602&lt;&gt;"",10000,0)+IF(Atletas!B602="Feminino",1000,IF(Atletas!B602="Masculino",2000,""))+IF(OR(Atletas!O602="Yang 26 D",Atletas!O602="Yang 40 D"),419,IF(OR(Atletas!O602="Chen 25 D",Atletas!O602="Chen 36 D",Atletas!O602="Chen 56 D"),420,IF(Atletas!O602="Sun 73 D",421,IF(Atletas!O602="Wu 45 D",422,IF(Atletas!O602="Wu-Hao 46 D",423,IF(OR(Atletas!O602="Taijiquan 16 D",Atletas!O602="Taijiquan 24 D",Atletas!O602="Taijiquan 32 D",Atletas!O602="Taijiquan 42 D"),424,IF(OR(Atletas!O602="Yang 26 E",Atletas!O602="Yang 40 E"),425,IF(OR(Atletas!O602="Chen 25 E",Atletas!O602="Chen 36 E",Atletas!O602="Chen 56 E"),426,IF(Atletas!O602="Sun 73 E",427,IF(Atletas!O602="Wu 45 E",428,IF(Atletas!O602="Wu-Hao 46 E",429,IF(OR(Atletas!O602="Taijiquan 16 E",Atletas!O602="Taijiquan 24 E",Atletas!O602="Taijiquan 32 E",Atletas!O602="Taijiquan 42 E"),430,IF(OR(Atletas!O602="Yang 26 F",Atletas!O602="Yang 40 F"),431,IF(OR(Atletas!O602="Chen 25 F",Atletas!O602="Chen 36 F",Atletas!O602="Chen 56 F"),432,IF(Atletas!O602="Sun 73 F",433,IF(Atletas!O602="Wu 45 F",434,IF(Atletas!O602="Wu-Hao 46 F",435,IF(OR(Atletas!O602="Taijiquan 16 F",Atletas!O602="Taijiquan 24 F",Atletas!O602="Taijiquan 32 F",Atletas!O602="Taijiquan 42 F"),436,0)))))))))))))))))))</f>
        <v/>
      </c>
      <c r="BR606" s="52" t="str">
        <f>IF(Atletas!P602="","",IF(Atletas!W602&lt;&gt;"",10000,0)+IF(Atletas!B602="Feminino",1000,IF(Atletas!B602="Masculino",2000,""))+IF(Atletas!P602="Xingyiquan A",501,IF(Atletas!P602="Baguazhang A",502,IF(Atletas!P602="Outro Estilo Interno A",503,IF(Atletas!P602="Xingyiquan B",504,IF(Atletas!P602="Baguazhang B",505,IF(Atletas!P602="Outro Estilo Interno B",506,IF(Atletas!P602="Xingyiquan C",507,IF(Atletas!P602="Baguazhang C",508,IF(Atletas!P602="Outro Estilo Interno C",509,IF(Atletas!P602="Xingyiquan D",510,IF(Atletas!P602="Baguazhang D",511,IF(Atletas!P602="Outro Estilo Interno D",512,IF(Atletas!P602="Xingyiquan E",513,IF(Atletas!P602="Baguazhang E",514,IF(Atletas!P602="Outro Estilo Interno E",515,IF(Atletas!P602="Xingyiquan F",516,IF(Atletas!P602="Baguazhang F",517,IF(Atletas!P602="Outro Estilo Interno F",518, "")))))))))))))))))))</f>
        <v/>
      </c>
      <c r="BS606" s="52" t="str">
        <f>IF(Atletas!Q602="","",IF(Atletas!W602&lt;&gt;"",10000,0)+IF(Atletas!B602="Feminino",1000,IF(Atletas!B602="Masculino",2000,""))+IF(Atletas!Q602="Dao A",601,IF(Atletas!Q602="Jian A",602,IF(Atletas!Q602="Bishou A",603,IF(Atletas!Q602="Shan A",604,IF(Atletas!Q602="Outra Arma Curta A",605,IF(Atletas!Q602="Dao B",606,IF(Atletas!Q602="Jian B",607,IF(Atletas!Q602="Bishou B",608,IF(Atletas!Q602="Shan B",609,IF(Atletas!Q602="Outra Arma Curta B",610,IF(Atletas!Q602="Dao C",611,IF(Atletas!Q602="Jian C",612,IF(Atletas!Q602="Bishou C",613,IF(Atletas!Q602="Shan C",614,IF(Atletas!Q602="Outra Arma Curta C",615,IF(Atletas!Q602="Dao D",616,IF(Atletas!Q602="Jian D",617,IF(Atletas!Q602="Bishou D",618,IF(Atletas!Q602="Shan D",619,IF(Atletas!Q602="Outra Arma Curta D",620,IF(Atletas!Q602="Dao E",621,IF(Atletas!Q602="Jian E",622,IF(Atletas!Q602="Bishou E",623,IF(Atletas!Q602="Shan E",624,IF(Atletas!Q602="Outra Arma Curta E",625,IF(Atletas!Q602="Dao F",626,IF(Atletas!Q602="Jian F",627,IF(Atletas!Q602="Bishou F",628,IF(Atletas!Q602="Shan F",629,IF(Atletas!Q602="Outra Arma Curta F",630, "")))))))))))))))))))))))))))))))</f>
        <v/>
      </c>
      <c r="BT606" s="52" t="str">
        <f>IF(Atletas!R602="","",IF(Atletas!W602&lt;&gt;"",10000,0)+IF(Atletas!B602="Feminino",1000,IF(Atletas!B602="Masculino",2000,""))+IF(Atletas!R602="Gun A",701,IF(Atletas!R602="Qiang A",702,IF(Atletas!R602="Pudao / Guandao A",703,IF(Atletas!R602="Outra Arma Longa A",704,IF(Atletas!R602="Gun B",705,IF(Atletas!R602="Qiang B",706,IF(Atletas!R602="Pudao / Guandao B",707,IF(Atletas!R602="Outra Arma Longa B",708,IF(Atletas!R602="Gun C",709,IF(Atletas!R602="Qiang C",710,IF(Atletas!R602="Pudao / Guandao C",711,IF(Atletas!R602="Outra Arma Longa C",712,IF(Atletas!R602="Gun D",713,IF(Atletas!R602="Qiang D",714,IF(Atletas!R602="Pudao / Guandao D",715,IF(Atletas!R602="Outra Arma Longa D",716,IF(Atletas!R602="Gun E",717,IF(Atletas!R602="Qiang E",718,IF(Atletas!R602="Pudao / Guandao E",719,IF(Atletas!R602="Outra Arma Longa E",720,IF(Atletas!R602="Gun F",721,IF(Atletas!R602="Qiang F",722,IF(Atletas!R602="Pudao / Guandao F",723,IF(Atletas!R602="Outra Arma Longa F",724,"")))))))))))))))))))))))))</f>
        <v/>
      </c>
      <c r="BU606" s="52" t="str">
        <f>IF(Atletas!S602="","",IF(Atletas!W602&lt;&gt;"",10000,0)+IF(Atletas!B602="Feminino",1000,IF(Atletas!B602="Masculino",2000,""))+IF(Atletas!S602="Arma Dupla A",801,IF(Atletas!S602="Arma Maleável A",802,IF(Atletas!S602="Arma Dupla B",803,IF(Atletas!S602="Arma Maleável B",804,IF(Atletas!S602="Arma Dupla C",805,IF(Atletas!S602="Arma Maleável C",806,IF(Atletas!S602="Arma Dupla D",807,IF(Atletas!S602="Arma Maleável D",808,IF(Atletas!S602="Arma Dupla E",809,IF(Atletas!S602="Arma Maleável E",810,IF(Atletas!S602="Arma Dupla F",811,IF(Atletas!S602="Arma Maleável F",812, "")))))))))))))</f>
        <v/>
      </c>
      <c r="BV606" s="52" t="str">
        <f>IF(Atletas!T602="","",IF(Atletas!W602&lt;&gt;"",10000,0)+IF(Atletas!B602="Feminino",1000,IF(Atletas!B602="Masculino",2000,""))+IF(Atletas!T602="Taijijian Yang A",901,IF(Atletas!T602="Taijijian Chen A",902,IF(Atletas!T602="Taijijian Sun A",903,IF(Atletas!T602="Taijijian Wu A",904,IF(Atletas!T602="Taijijian Wu-Hao A",905,IF(Atletas!T602="Taijijian 32 A",906,IF(Atletas!T602="Taijijian 42 A",907,IF(Atletas!T602="Taijijian Yang B",908,IF(Atletas!T602="Taijijian Chen B",909,IF(Atletas!T602="Taijijian Sun B",910,IF(Atletas!T602="Taijijian Wu B",911,IF(Atletas!T602="Taijijian Wu-Hao B",912,IF(Atletas!T602="Taijijian 32 B",913,IF(Atletas!T602="Taijijian 42 B",914,IF(Atletas!T602="Taijijian Yang C",915,IF(Atletas!T602="Taijijian Chen C",916,IF(Atletas!T602="Taijijian Sun C",917,IF(Atletas!T602="Taijijian Wu C",918,IF(Atletas!T602="Taijijian Wu-Hao C",919,IF(Atletas!T602="Taijijian 32 C",920,IF(Atletas!T602="Taijijian 42 C",921,IF(Atletas!T602="Taijijian Yang D",922,IF(Atletas!T602="Taijijian Chen D",923,IF(Atletas!T602="Taijijian Sun D",924,IF(Atletas!T602="Taijijian Wu D",925,IF(Atletas!T602="Taijijian Wu-Hao D",926,IF(Atletas!T602="Taijijian 32 D",927,IF(Atletas!T602="Taijijian 42 D",928,IF(Atletas!T602="Taijijian Yang E",929,IF(Atletas!T602="Taijijian Chen E",930,IF(Atletas!T602="Taijijian Sun E",931,IF(Atletas!T602="Taijijian Wu E",932,IF(Atletas!T602="Taijijian Wu-Hao E",933,IF(Atletas!T602="Taijijian 32 E",934,IF(Atletas!T602="Taijijian 42 E",935,IF(Atletas!T602="Taijijian Yang F",936,IF(Atletas!T602="Taijijian Chen F",937,IF(Atletas!T602="Taijijian Sun F",938,IF(Atletas!T602="Taijijian Wu F",939,IF(Atletas!T602="Taijijian Wu-Hao F",940,IF(Atletas!T602="Taijijian 32 F",941,IF(Atletas!T602="Taijijian 42 F",942,"")))))))))))))))))))))))))))))))))))))))))))</f>
        <v/>
      </c>
      <c r="BW606" s="52" t="str">
        <f>IF(Atletas!U602="","",IF(Atletas!W602&lt;&gt;"",10000,0)+IF(Atletas!B602="Feminino",1000,IF(Atletas!B602="Masculino",2000,""))+IF(Atletas!T602="Taijijian 42 F",942,IF(Atletas!U602="Taijidao A",943,IF(Atletas!U602="Taijishan A",944,IF(Atletas!U602="Taijiqiang A",945,IF(Atletas!U602="Taijidao B",946,IF(Atletas!U602="Taijishan B",947,IF(Atletas!U602="Taijiqiang B",948,IF(Atletas!U602="Taijidao C",949,IF(Atletas!U602="Taijishan C",950,IF(Atletas!U602="Taijiqiang C",951,IF(Atletas!U602="Taijidao D",952,IF(Atletas!U602="Taijishan D",953,IF(Atletas!U602="Taijiqiang D",954,IF(Atletas!U602="Taijidao E",955,IF(Atletas!U602="Taijishan E",956,IF(Atletas!U602="Taijiqiang E",957,IF(Atletas!U602="Taijidao F",958,IF(Atletas!U602="Taijishan F",959,IF(Atletas!U602="Taijiqiang F",960))))))))))))))))))))</f>
        <v/>
      </c>
      <c r="CF606" s="52" t="str">
        <f xml:space="preserve"> IF(Atletas!V602="","",IF(Atletas!V602="Duilian de Mãos AB - Equipe 1",1,IF(Atletas!V602="Duilian de Mãos AB - Equipe 2",2,IF(Atletas!V602="Duilian de Armas AB - Equipe 1",3,IF(Atletas!V602="Duilian de Armas AB - Equipe 2",4,IF(Atletas!V602="Duilian de Tuishou - Equipe 1",5,IF(Atletas!V602="Duilian de Tuishou - Equipe 2",6,IF(Atletas!V602="Grupo Externo AB - Equipe 1",7,IF(Atletas!V602="Grupo Externo AB - Equipe 2",8,IF(Atletas!V602="Grupo Interno AB - Equipe 1",9,IF(Atletas!V602="Grupo Interno AB - Equipe 2",10,IF(Atletas!V602="Duilian de Mãos CD - Equipe 1",11,IF(Atletas!V602="Duilian de Mãos CD - Equipe 2",12,IF(Atletas!V602="Duilian de Armas CD - Equipe 1",13,IF(Atletas!V602="Duilian de Armas CD - Equipe 2",14,IF(Atletas!V602="Duilian de Tuishou - Equipe 1",15,IF(Atletas!V602="Duilian de Tuishou - Equipe 2",16,IF(Atletas!V602="Grupo Externo CDEF - Equipe 1",17,IF(Atletas!V602="Grupo Externo CDEF - Equipe 2",18,IF(Atletas!V602="Grupo Interno CDEF - Equipe 1",19,IF(Atletas!V602="Grupo Interno CDEF - Equipe 2",20,IF(Atletas!V602="Duilian de Mãos EF - Equipe 1",21,IF(Atletas!V602="Duilian de Mãos EF - Equipe 2",22,IF(Atletas!V602="Duilian de Armas EF - Equipe 1",23,IF(Atletas!V602="Duilian de Armas EF - Equipe 2",24,IF(Atletas!V602="Duilian de Tuishou - Equipe 1",25,IF(Atletas!V602="Duilian de Tuishou - Equipe 2",26,"")))))))))))))))))))))))))))</f>
        <v/>
      </c>
    </row>
    <row r="607" spans="36:84">
      <c r="BF607" s="52"/>
    </row>
  </sheetData>
  <mergeCells count="13">
    <mergeCell ref="AD5:AI5"/>
    <mergeCell ref="B5:E5"/>
    <mergeCell ref="N5:Q5"/>
    <mergeCell ref="R5:U5"/>
    <mergeCell ref="V5:Y5"/>
    <mergeCell ref="F5:I5"/>
    <mergeCell ref="J5:M5"/>
    <mergeCell ref="Z5:AC5"/>
    <mergeCell ref="F3:G3"/>
    <mergeCell ref="D3:E3"/>
    <mergeCell ref="B3:C3"/>
    <mergeCell ref="H3:I3"/>
    <mergeCell ref="B2:I2"/>
  </mergeCells>
  <phoneticPr fontId="7" type="noConversion"/>
  <conditionalFormatting sqref="C8:C37 E8:E37">
    <cfRule type="cellIs" dxfId="13" priority="53" operator="between">
      <formula>3</formula>
      <formula>50</formula>
    </cfRule>
    <cfRule type="cellIs" dxfId="12" priority="55" operator="equal">
      <formula>2</formula>
    </cfRule>
  </conditionalFormatting>
  <conditionalFormatting sqref="O8:O66 Q8:Q66">
    <cfRule type="cellIs" dxfId="11" priority="43" operator="between">
      <formula>5</formula>
      <formula>100</formula>
    </cfRule>
    <cfRule type="cellIs" dxfId="10" priority="44" operator="equal">
      <formula>4</formula>
    </cfRule>
  </conditionalFormatting>
  <conditionalFormatting sqref="S8:S37 U8:U37">
    <cfRule type="cellIs" dxfId="9" priority="35" operator="between">
      <formula>4</formula>
      <formula>100</formula>
    </cfRule>
    <cfRule type="cellIs" dxfId="8" priority="36" operator="equal">
      <formula>1</formula>
    </cfRule>
  </conditionalFormatting>
  <conditionalFormatting sqref="W8:W300 Y8:Y300">
    <cfRule type="cellIs" dxfId="7" priority="13" operator="between">
      <formula>5</formula>
      <formula>100</formula>
    </cfRule>
    <cfRule type="cellIs" dxfId="6" priority="14" operator="equal">
      <formula>4</formula>
    </cfRule>
  </conditionalFormatting>
  <conditionalFormatting sqref="AE8:AE19">
    <cfRule type="cellIs" dxfId="5" priority="5" operator="between">
      <formula>4</formula>
      <formula>100</formula>
    </cfRule>
    <cfRule type="cellIs" dxfId="4" priority="6" operator="equal">
      <formula>1</formula>
    </cfRule>
  </conditionalFormatting>
  <conditionalFormatting sqref="AG8:AG9">
    <cfRule type="cellIs" dxfId="3" priority="3" operator="between">
      <formula>3</formula>
      <formula>100</formula>
    </cfRule>
    <cfRule type="cellIs" dxfId="2" priority="4" operator="equal">
      <formula>1</formula>
    </cfRule>
  </conditionalFormatting>
  <conditionalFormatting sqref="AI8:AI15">
    <cfRule type="cellIs" dxfId="1" priority="1" operator="between">
      <formula>1</formula>
      <formula>3</formula>
    </cfRule>
    <cfRule type="cellIs" dxfId="0" priority="2" operator="between">
      <formula>9</formula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/>
  <ignoredErrors>
    <ignoredError sqref="AL7:AL10" formula="1"/>
  </ignoredErrors>
  <tableParts count="8">
    <tablePart r:id="rId1"/>
    <tablePart r:id="rId2"/>
    <tablePart r:id="rId3"/>
    <tablePart r:id="rId4"/>
    <tablePart r:id="rId5"/>
    <tablePart r:id="rId6"/>
    <tablePart r:id="rId7"/>
    <tablePart r:id="rId8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1189B-DBD8-B744-818D-5F7DA9E2595A}">
  <dimension ref="B1:AX963"/>
  <sheetViews>
    <sheetView showGridLines="0" topLeftCell="A10" zoomScale="150" zoomScaleNormal="150" workbookViewId="0">
      <selection activeCell="C21" sqref="C21"/>
    </sheetView>
  </sheetViews>
  <sheetFormatPr defaultColWidth="11.19921875" defaultRowHeight="15.6"/>
  <cols>
    <col min="1" max="1" width="4.19921875" customWidth="1"/>
    <col min="2" max="2" width="17.5" bestFit="1" customWidth="1"/>
    <col min="3" max="3" width="40.796875" customWidth="1"/>
    <col min="4" max="4" width="12.796875" customWidth="1"/>
    <col min="5" max="5" width="16.796875" customWidth="1"/>
    <col min="6" max="9" width="13.796875" customWidth="1"/>
    <col min="10" max="19" width="14.5" customWidth="1"/>
    <col min="20" max="20" width="20.69921875" customWidth="1"/>
    <col min="21" max="21" width="8.796875" customWidth="1"/>
    <col min="51" max="51" width="13" bestFit="1" customWidth="1"/>
  </cols>
  <sheetData>
    <row r="1" spans="2:50">
      <c r="F1" s="19"/>
      <c r="G1" s="10"/>
      <c r="H1" s="10"/>
      <c r="I1" s="10"/>
      <c r="J1" s="10"/>
      <c r="K1" s="10"/>
      <c r="L1" s="10"/>
    </row>
    <row r="2" spans="2:50">
      <c r="B2" s="13" t="s">
        <v>7</v>
      </c>
      <c r="C2" s="95" t="s">
        <v>567</v>
      </c>
      <c r="D2" s="95"/>
      <c r="E2" s="13" t="s">
        <v>566</v>
      </c>
      <c r="F2" s="22"/>
      <c r="G2" s="9" t="s">
        <v>7</v>
      </c>
      <c r="H2" s="10"/>
      <c r="I2" s="10"/>
      <c r="J2" s="10"/>
      <c r="K2" s="10"/>
      <c r="L2" s="19"/>
      <c r="M2" s="19"/>
    </row>
    <row r="3" spans="2:50" ht="16.05" customHeight="1">
      <c r="B3" s="94"/>
      <c r="C3" s="96"/>
      <c r="D3" s="96"/>
      <c r="E3" s="97"/>
      <c r="F3" s="22"/>
      <c r="G3" s="11" t="s">
        <v>555</v>
      </c>
      <c r="H3" s="10" t="s">
        <v>590</v>
      </c>
      <c r="I3" s="10"/>
      <c r="J3" s="10"/>
      <c r="K3" s="10"/>
      <c r="L3" s="19"/>
      <c r="M3" s="19"/>
    </row>
    <row r="4" spans="2:50">
      <c r="B4" s="94"/>
      <c r="C4" s="96"/>
      <c r="D4" s="96"/>
      <c r="E4" s="98"/>
      <c r="F4" s="22"/>
      <c r="G4" s="11" t="s">
        <v>24</v>
      </c>
      <c r="H4" s="12" t="s">
        <v>533</v>
      </c>
      <c r="I4" s="10"/>
      <c r="J4" s="10"/>
      <c r="K4" s="10"/>
      <c r="L4" s="19"/>
      <c r="M4" s="19"/>
    </row>
    <row r="5" spans="2:50">
      <c r="B5" s="94"/>
      <c r="C5" s="96"/>
      <c r="D5" s="96"/>
      <c r="E5" s="98"/>
      <c r="F5" s="22"/>
      <c r="G5" s="11" t="s">
        <v>25</v>
      </c>
      <c r="H5" s="12" t="s">
        <v>534</v>
      </c>
      <c r="I5" s="10"/>
      <c r="J5" s="10"/>
      <c r="K5" s="10"/>
      <c r="L5" s="19"/>
      <c r="M5" s="19"/>
    </row>
    <row r="6" spans="2:50">
      <c r="B6" s="14" t="s">
        <v>554</v>
      </c>
      <c r="C6" s="15" t="s">
        <v>0</v>
      </c>
      <c r="D6" s="13" t="s">
        <v>1</v>
      </c>
      <c r="E6" s="13" t="s">
        <v>2</v>
      </c>
      <c r="F6" s="22"/>
      <c r="G6" s="11" t="s">
        <v>26</v>
      </c>
      <c r="H6" s="12" t="s">
        <v>535</v>
      </c>
      <c r="I6" s="10"/>
      <c r="J6" s="10"/>
      <c r="K6" s="10"/>
      <c r="L6" s="19"/>
      <c r="M6" s="19"/>
    </row>
    <row r="7" spans="2:50">
      <c r="B7" s="6" t="s">
        <v>564</v>
      </c>
      <c r="C7" s="8"/>
      <c r="D7" s="80"/>
      <c r="E7" s="81"/>
      <c r="F7" s="22"/>
      <c r="G7" s="11" t="s">
        <v>27</v>
      </c>
      <c r="H7" s="12" t="s">
        <v>536</v>
      </c>
      <c r="I7" s="10"/>
      <c r="J7" s="10"/>
      <c r="K7" s="10"/>
      <c r="L7" s="19"/>
      <c r="M7" s="19"/>
    </row>
    <row r="8" spans="2:50">
      <c r="B8" s="16" t="s">
        <v>3</v>
      </c>
      <c r="C8" s="17"/>
      <c r="D8" s="82"/>
      <c r="E8" s="83"/>
      <c r="F8" s="22"/>
      <c r="G8" s="11" t="s">
        <v>28</v>
      </c>
      <c r="H8" s="12" t="s">
        <v>537</v>
      </c>
      <c r="I8" s="10"/>
      <c r="J8" s="10"/>
      <c r="K8" s="10"/>
      <c r="L8" s="19"/>
      <c r="M8" s="19"/>
    </row>
    <row r="9" spans="2:50">
      <c r="B9" s="6" t="s">
        <v>4</v>
      </c>
      <c r="C9" s="8"/>
      <c r="D9" s="80"/>
      <c r="E9" s="81"/>
      <c r="F9" s="22"/>
      <c r="G9" s="11" t="s">
        <v>29</v>
      </c>
      <c r="H9" s="12" t="s">
        <v>538</v>
      </c>
      <c r="I9" s="10"/>
      <c r="J9" s="10"/>
      <c r="K9" s="10"/>
      <c r="L9" s="19"/>
      <c r="M9" s="19"/>
    </row>
    <row r="10" spans="2:50">
      <c r="B10" s="16" t="s">
        <v>5</v>
      </c>
      <c r="C10" s="17"/>
      <c r="D10" s="82"/>
      <c r="E10" s="83"/>
      <c r="F10" s="22"/>
      <c r="G10" s="11" t="s">
        <v>30</v>
      </c>
      <c r="H10" s="12" t="s">
        <v>539</v>
      </c>
      <c r="I10" s="10"/>
      <c r="J10" s="10"/>
      <c r="K10" s="10"/>
      <c r="L10" s="19"/>
      <c r="M10" s="19"/>
    </row>
    <row r="11" spans="2:50">
      <c r="B11" s="6" t="s">
        <v>531</v>
      </c>
      <c r="C11" s="8"/>
      <c r="E11" s="81"/>
      <c r="F11" s="22"/>
      <c r="G11" s="11" t="s">
        <v>31</v>
      </c>
      <c r="H11" s="12" t="s">
        <v>540</v>
      </c>
      <c r="I11" s="10"/>
      <c r="J11" s="10"/>
      <c r="K11" s="10"/>
      <c r="L11" s="19"/>
      <c r="M11" s="19"/>
    </row>
    <row r="12" spans="2:50">
      <c r="B12" s="16" t="s">
        <v>532</v>
      </c>
      <c r="C12" s="17"/>
      <c r="D12" s="82"/>
      <c r="E12" s="83"/>
      <c r="F12" s="22"/>
      <c r="G12" s="11" t="s">
        <v>32</v>
      </c>
      <c r="H12" s="12" t="s">
        <v>541</v>
      </c>
      <c r="I12" s="10"/>
      <c r="J12" s="10"/>
      <c r="K12" s="10"/>
      <c r="L12" s="19"/>
      <c r="M12" s="19"/>
      <c r="AT12" s="3"/>
      <c r="AX12" s="3"/>
    </row>
    <row r="13" spans="2:50">
      <c r="B13" s="14" t="s">
        <v>604</v>
      </c>
      <c r="C13" s="15" t="s">
        <v>0</v>
      </c>
      <c r="D13" s="13"/>
      <c r="E13" s="13"/>
      <c r="F13" s="7"/>
      <c r="G13" s="11" t="s">
        <v>33</v>
      </c>
      <c r="H13" s="12" t="s">
        <v>544</v>
      </c>
      <c r="I13" s="10"/>
      <c r="J13" s="10"/>
      <c r="K13" s="23"/>
      <c r="L13" s="5"/>
      <c r="M13" s="5"/>
      <c r="N13" s="5"/>
      <c r="O13" s="5"/>
      <c r="P13" s="5"/>
      <c r="Q13" s="5"/>
      <c r="R13" s="5"/>
    </row>
    <row r="14" spans="2:50">
      <c r="B14" s="6" t="s">
        <v>556</v>
      </c>
      <c r="C14" s="8"/>
      <c r="D14" s="80"/>
      <c r="E14" s="81"/>
      <c r="F14" s="7"/>
      <c r="G14" s="11" t="s">
        <v>34</v>
      </c>
      <c r="H14" s="12" t="s">
        <v>543</v>
      </c>
      <c r="I14" s="10"/>
      <c r="J14" s="10"/>
      <c r="K14" s="23"/>
      <c r="L14" s="5"/>
      <c r="M14" s="5"/>
      <c r="N14" s="5"/>
      <c r="O14" s="5"/>
      <c r="P14" s="5"/>
      <c r="Q14" s="5"/>
      <c r="R14" s="5"/>
    </row>
    <row r="15" spans="2:50">
      <c r="B15" s="16" t="s">
        <v>557</v>
      </c>
      <c r="C15" s="17"/>
      <c r="D15" s="82"/>
      <c r="E15" s="83"/>
      <c r="F15" s="7"/>
      <c r="G15" s="11" t="s">
        <v>35</v>
      </c>
      <c r="H15" s="12" t="s">
        <v>542</v>
      </c>
      <c r="I15" s="10"/>
      <c r="J15" s="10"/>
      <c r="K15" s="23"/>
      <c r="L15" s="5"/>
      <c r="M15" s="5"/>
      <c r="N15" s="5"/>
      <c r="O15" s="5"/>
      <c r="P15" s="5"/>
      <c r="Q15" s="5"/>
      <c r="R15" s="5"/>
    </row>
    <row r="16" spans="2:50">
      <c r="B16" s="6" t="s">
        <v>558</v>
      </c>
      <c r="C16" s="8"/>
      <c r="D16" s="80"/>
      <c r="E16" s="81"/>
      <c r="F16" s="7"/>
      <c r="G16" s="11" t="s">
        <v>36</v>
      </c>
      <c r="H16" s="12" t="s">
        <v>545</v>
      </c>
      <c r="I16" s="10"/>
      <c r="J16" s="10"/>
      <c r="K16" s="23"/>
      <c r="L16" s="5"/>
      <c r="M16" s="5"/>
      <c r="N16" s="5"/>
      <c r="O16" s="5"/>
      <c r="P16" s="5"/>
      <c r="Q16" s="5"/>
      <c r="R16" s="5"/>
    </row>
    <row r="17" spans="2:18">
      <c r="B17" s="16" t="s">
        <v>559</v>
      </c>
      <c r="C17" s="17"/>
      <c r="D17" s="82"/>
      <c r="E17" s="83"/>
      <c r="F17" s="7"/>
      <c r="G17" s="11" t="s">
        <v>37</v>
      </c>
      <c r="H17" s="12" t="s">
        <v>547</v>
      </c>
      <c r="I17" s="10"/>
      <c r="J17" s="10"/>
      <c r="K17" s="23"/>
      <c r="L17" s="5"/>
      <c r="M17" s="5"/>
      <c r="N17" s="5"/>
      <c r="O17" s="5"/>
      <c r="P17" s="5"/>
      <c r="Q17" s="5"/>
      <c r="R17" s="5"/>
    </row>
    <row r="18" spans="2:18">
      <c r="B18" s="6" t="s">
        <v>560</v>
      </c>
      <c r="C18" s="8"/>
      <c r="D18" s="80"/>
      <c r="E18" s="81"/>
      <c r="F18" s="7"/>
      <c r="G18" s="11" t="s">
        <v>38</v>
      </c>
      <c r="H18" s="12" t="s">
        <v>548</v>
      </c>
      <c r="I18" s="10"/>
      <c r="J18" s="10"/>
      <c r="K18" s="23"/>
      <c r="L18" s="5"/>
      <c r="M18" s="5"/>
      <c r="N18" s="5"/>
      <c r="O18" s="5"/>
      <c r="P18" s="5"/>
      <c r="Q18" s="5"/>
      <c r="R18" s="5"/>
    </row>
    <row r="19" spans="2:18">
      <c r="B19" s="16" t="s">
        <v>561</v>
      </c>
      <c r="C19" s="17"/>
      <c r="D19" s="82"/>
      <c r="E19" s="83"/>
      <c r="F19" s="7"/>
      <c r="G19" s="11" t="s">
        <v>39</v>
      </c>
      <c r="H19" s="12" t="s">
        <v>546</v>
      </c>
      <c r="I19" s="10"/>
      <c r="J19" s="10"/>
      <c r="K19" s="23"/>
      <c r="L19" s="5"/>
      <c r="M19" s="5"/>
      <c r="N19" s="5"/>
      <c r="O19" s="5"/>
      <c r="P19" s="5"/>
      <c r="Q19" s="5"/>
      <c r="R19" s="5"/>
    </row>
    <row r="20" spans="2:18">
      <c r="B20" s="6" t="s">
        <v>562</v>
      </c>
      <c r="C20" s="8"/>
      <c r="D20" s="80"/>
      <c r="E20" s="81"/>
      <c r="F20" s="7"/>
      <c r="G20" s="11" t="s">
        <v>40</v>
      </c>
      <c r="H20" s="12" t="s">
        <v>549</v>
      </c>
      <c r="I20" s="10"/>
      <c r="J20" s="10"/>
      <c r="K20" s="23"/>
      <c r="L20" s="5"/>
      <c r="M20" s="5"/>
      <c r="N20" s="5"/>
      <c r="O20" s="5"/>
      <c r="P20" s="5"/>
      <c r="Q20" s="5"/>
      <c r="R20" s="5"/>
    </row>
    <row r="21" spans="2:18">
      <c r="B21" s="16" t="s">
        <v>563</v>
      </c>
      <c r="C21" s="17"/>
      <c r="D21" s="82"/>
      <c r="E21" s="83"/>
      <c r="F21" s="7"/>
      <c r="G21" s="11" t="s">
        <v>41</v>
      </c>
      <c r="H21" s="12" t="s">
        <v>550</v>
      </c>
      <c r="I21" s="10"/>
      <c r="J21" s="10"/>
      <c r="K21" s="23"/>
      <c r="L21" s="5"/>
      <c r="M21" s="5"/>
      <c r="N21" s="5"/>
      <c r="O21" s="5"/>
      <c r="P21" s="5"/>
      <c r="Q21" s="5"/>
      <c r="R21" s="5"/>
    </row>
    <row r="22" spans="2:18">
      <c r="B22" s="6" t="s">
        <v>605</v>
      </c>
      <c r="C22" s="8"/>
      <c r="D22" s="80"/>
      <c r="E22" s="81"/>
      <c r="F22" s="7"/>
      <c r="G22" s="11" t="s">
        <v>42</v>
      </c>
      <c r="H22" s="12" t="s">
        <v>552</v>
      </c>
      <c r="I22" s="10"/>
      <c r="J22" s="10"/>
      <c r="K22" s="23"/>
      <c r="L22" s="5"/>
      <c r="M22" s="5"/>
      <c r="N22" s="5"/>
      <c r="O22" s="5"/>
      <c r="P22" s="5"/>
      <c r="Q22" s="5"/>
      <c r="R22" s="5"/>
    </row>
    <row r="23" spans="2:18">
      <c r="B23" s="16" t="s">
        <v>606</v>
      </c>
      <c r="C23" s="17"/>
      <c r="D23" s="82"/>
      <c r="E23" s="83"/>
      <c r="F23" s="7"/>
      <c r="G23" s="11" t="s">
        <v>43</v>
      </c>
      <c r="H23" s="12" t="s">
        <v>551</v>
      </c>
      <c r="I23" s="10"/>
      <c r="J23" s="10"/>
      <c r="K23" s="23"/>
      <c r="L23" s="5"/>
      <c r="M23" s="5"/>
      <c r="N23" s="5"/>
      <c r="O23" s="5"/>
      <c r="P23" s="5"/>
      <c r="Q23" s="5"/>
      <c r="R23" s="5"/>
    </row>
    <row r="24" spans="2:18">
      <c r="B24" s="6"/>
      <c r="C24" s="6"/>
      <c r="D24" s="6"/>
      <c r="E24" s="7"/>
      <c r="F24" s="7"/>
      <c r="G24" s="11" t="s">
        <v>44</v>
      </c>
      <c r="H24" s="12" t="s">
        <v>553</v>
      </c>
      <c r="I24" s="10"/>
      <c r="J24" s="10"/>
      <c r="K24" s="23"/>
      <c r="L24" s="5"/>
      <c r="M24" s="5"/>
      <c r="N24" s="5"/>
      <c r="O24" s="5"/>
      <c r="P24" s="5"/>
      <c r="Q24" s="5"/>
      <c r="R24" s="5"/>
    </row>
    <row r="25" spans="2:18">
      <c r="B25" s="6"/>
      <c r="C25" s="6"/>
      <c r="D25" s="6"/>
      <c r="E25" s="7"/>
      <c r="F25" s="7"/>
      <c r="G25" s="11" t="s">
        <v>45</v>
      </c>
      <c r="H25" s="12" t="s">
        <v>591</v>
      </c>
      <c r="I25" s="10"/>
      <c r="J25" s="10"/>
      <c r="K25" s="23"/>
      <c r="L25" s="5"/>
      <c r="M25" s="5"/>
      <c r="N25" s="5"/>
      <c r="O25" s="5"/>
      <c r="P25" s="5"/>
      <c r="Q25" s="5"/>
      <c r="R25" s="5"/>
    </row>
    <row r="26" spans="2:18">
      <c r="B26" s="6"/>
      <c r="C26" s="6"/>
      <c r="D26" s="6"/>
      <c r="E26" s="7"/>
      <c r="F26" s="7"/>
      <c r="G26" s="77"/>
      <c r="H26" s="78"/>
      <c r="I26" s="19"/>
      <c r="J26" s="19"/>
      <c r="K26" s="5"/>
      <c r="L26" s="5"/>
      <c r="M26" s="5"/>
      <c r="N26" s="5"/>
      <c r="O26" s="5"/>
      <c r="P26" s="5"/>
      <c r="Q26" s="5"/>
      <c r="R26" s="5"/>
    </row>
    <row r="27" spans="2:18">
      <c r="B27" s="6"/>
      <c r="C27" s="6"/>
      <c r="D27" s="6"/>
      <c r="E27" s="7"/>
      <c r="F27" s="7"/>
      <c r="G27" s="77"/>
      <c r="H27" s="78"/>
      <c r="I27" s="19"/>
      <c r="J27" s="19"/>
      <c r="K27" s="5"/>
      <c r="L27" s="5"/>
      <c r="M27" s="5"/>
      <c r="N27" s="5"/>
      <c r="O27" s="5"/>
      <c r="P27" s="5"/>
      <c r="Q27" s="5"/>
      <c r="R27" s="5"/>
    </row>
    <row r="28" spans="2:18">
      <c r="B28" s="6"/>
      <c r="C28" s="6"/>
      <c r="D28" s="6"/>
      <c r="E28" s="7"/>
      <c r="F28" s="7"/>
      <c r="G28" s="19"/>
      <c r="H28" s="19"/>
      <c r="I28" s="19"/>
      <c r="J28" s="19"/>
      <c r="K28" s="5"/>
      <c r="L28" s="5"/>
      <c r="M28" s="5"/>
      <c r="N28" s="5"/>
      <c r="O28" s="5"/>
      <c r="P28" s="5"/>
      <c r="Q28" s="5"/>
      <c r="R28" s="5"/>
    </row>
    <row r="29" spans="2:18">
      <c r="B29" s="6"/>
      <c r="C29" s="6"/>
      <c r="D29" s="6"/>
      <c r="E29" s="7"/>
      <c r="F29" s="7"/>
      <c r="G29" s="77"/>
      <c r="H29" s="78"/>
      <c r="I29" s="19"/>
      <c r="J29" s="19"/>
      <c r="K29" s="5"/>
      <c r="L29" s="5"/>
      <c r="M29" s="5"/>
      <c r="N29" s="5"/>
      <c r="O29" s="5"/>
      <c r="P29" s="5"/>
      <c r="Q29" s="5"/>
      <c r="R29" s="5"/>
    </row>
    <row r="30" spans="2:18">
      <c r="B30" s="6"/>
      <c r="C30" s="6"/>
      <c r="D30" s="6"/>
      <c r="E30" s="7"/>
      <c r="F30" s="7"/>
      <c r="G30" s="77"/>
      <c r="H30" s="79"/>
      <c r="I30" s="5"/>
      <c r="J30" s="5"/>
      <c r="K30" s="5"/>
      <c r="L30" s="5"/>
      <c r="M30" s="5"/>
      <c r="N30" s="5"/>
      <c r="O30" s="5"/>
      <c r="P30" s="5"/>
      <c r="Q30" s="5"/>
      <c r="R30" s="5"/>
    </row>
    <row r="31" spans="2:18">
      <c r="B31" s="6"/>
      <c r="C31" s="6"/>
      <c r="D31" s="6"/>
      <c r="E31" s="7"/>
      <c r="F31" s="7"/>
      <c r="G31" s="10"/>
      <c r="H31" s="23"/>
      <c r="I31" s="23"/>
      <c r="J31" s="23"/>
      <c r="K31" s="23"/>
      <c r="L31" s="23"/>
      <c r="M31" s="5"/>
      <c r="N31" s="5"/>
      <c r="O31" s="5"/>
      <c r="P31" s="5"/>
      <c r="Q31" s="5"/>
      <c r="R31" s="5"/>
    </row>
    <row r="32" spans="2:18">
      <c r="B32" s="6"/>
      <c r="C32" s="6"/>
      <c r="D32" s="6"/>
      <c r="E32" s="7"/>
      <c r="F32" s="7"/>
      <c r="G32" s="10"/>
      <c r="H32" s="23"/>
      <c r="I32" s="23"/>
      <c r="J32" s="23"/>
      <c r="K32" s="23"/>
      <c r="L32" s="23"/>
      <c r="M32" s="5"/>
      <c r="N32" s="5"/>
      <c r="O32" s="5"/>
      <c r="P32" s="5"/>
      <c r="Q32" s="5"/>
      <c r="R32" s="5"/>
    </row>
    <row r="33" spans="2:18">
      <c r="B33" s="6"/>
      <c r="C33" s="6"/>
      <c r="D33" s="6"/>
      <c r="E33" s="7"/>
      <c r="F33" s="7"/>
      <c r="G33" s="7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</row>
    <row r="34" spans="2:18">
      <c r="B34" s="6"/>
      <c r="C34" s="6"/>
      <c r="D34" s="6"/>
      <c r="E34" s="7"/>
      <c r="F34" s="7"/>
      <c r="G34" s="7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6"/>
      <c r="C35" s="6"/>
      <c r="D35" s="6"/>
      <c r="E35" s="7"/>
      <c r="F35" s="7"/>
      <c r="G35" s="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</row>
    <row r="36" spans="2:18">
      <c r="B36" s="6"/>
      <c r="C36" s="6"/>
      <c r="D36" s="6"/>
      <c r="E36" s="7"/>
      <c r="F36" s="7"/>
      <c r="G36" s="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</row>
    <row r="38" spans="2:18"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</row>
    <row r="39" spans="2:18"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</row>
    <row r="40" spans="2:18"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</row>
    <row r="41" spans="2:18"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</row>
    <row r="42" spans="2:18"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</row>
    <row r="43" spans="2:18"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</row>
    <row r="44" spans="2:18"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</row>
    <row r="45" spans="2:18"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</row>
    <row r="46" spans="2:18"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</row>
    <row r="47" spans="2:18"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</row>
    <row r="48" spans="2:18"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</row>
    <row r="49" spans="5:18"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</row>
    <row r="50" spans="5:18"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</row>
    <row r="51" spans="5:18"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</row>
    <row r="52" spans="5:18"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</row>
    <row r="53" spans="5:18"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</row>
    <row r="54" spans="5:18"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</row>
    <row r="55" spans="5:18"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</row>
    <row r="56" spans="5:18"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</row>
    <row r="57" spans="5:18"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</row>
    <row r="58" spans="5:18"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</row>
    <row r="59" spans="5:18"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</row>
    <row r="60" spans="5:18"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</row>
    <row r="61" spans="5:18"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</row>
    <row r="62" spans="5:18"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</row>
    <row r="63" spans="5:18"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</row>
    <row r="64" spans="5:18"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</row>
    <row r="65" spans="5:18"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</row>
    <row r="66" spans="5:18"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</row>
    <row r="67" spans="5:18"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</row>
    <row r="68" spans="5:18"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</row>
    <row r="69" spans="5:18"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</row>
    <row r="70" spans="5:18"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</row>
    <row r="71" spans="5:18"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</row>
    <row r="72" spans="5:18"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</row>
    <row r="73" spans="5:18"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</row>
    <row r="74" spans="5:18"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</row>
    <row r="75" spans="5:18"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</row>
    <row r="76" spans="5:18"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</row>
    <row r="77" spans="5:18"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</row>
    <row r="78" spans="5:18"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</row>
    <row r="79" spans="5:18"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</row>
    <row r="80" spans="5:18"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</row>
    <row r="81" spans="5:18"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</row>
    <row r="82" spans="5:18"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</row>
    <row r="83" spans="5:18"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</row>
    <row r="84" spans="5:18"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</row>
    <row r="85" spans="5:18"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</row>
    <row r="86" spans="5:18"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</row>
    <row r="87" spans="5:18"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</row>
    <row r="88" spans="5:18"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</row>
    <row r="89" spans="5:18"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</row>
    <row r="90" spans="5:18"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</row>
    <row r="91" spans="5:18"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</row>
    <row r="92" spans="5:18"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</row>
    <row r="93" spans="5:18"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</row>
    <row r="94" spans="5:18"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</row>
    <row r="95" spans="5:18"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</row>
    <row r="96" spans="5:18"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</row>
    <row r="97" spans="5:18"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</row>
    <row r="98" spans="5:18"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</row>
    <row r="99" spans="5:18"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</row>
    <row r="100" spans="5:18"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</row>
    <row r="101" spans="5:18"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</row>
    <row r="102" spans="5:18"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</row>
    <row r="103" spans="5:18"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</row>
    <row r="104" spans="5:18"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</row>
    <row r="105" spans="5:18"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</row>
    <row r="106" spans="5:18"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</row>
    <row r="107" spans="5:18"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</row>
    <row r="108" spans="5:18"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</row>
    <row r="109" spans="5:18"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</row>
    <row r="110" spans="5:18"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</row>
    <row r="111" spans="5:18"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</row>
    <row r="112" spans="5:18"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</row>
    <row r="113" spans="5:18"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</row>
    <row r="114" spans="5:18"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</row>
    <row r="115" spans="5:18"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</row>
    <row r="116" spans="5:18"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</row>
    <row r="117" spans="5:18"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</row>
    <row r="118" spans="5:18"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</row>
    <row r="119" spans="5:18"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</row>
    <row r="120" spans="5:18"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</row>
    <row r="121" spans="5:18"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</row>
    <row r="122" spans="5:18"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</row>
    <row r="123" spans="5:18"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</row>
    <row r="124" spans="5:18"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</row>
    <row r="125" spans="5:18"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</row>
    <row r="126" spans="5:18"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</row>
    <row r="127" spans="5:18"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</row>
    <row r="128" spans="5:18"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</row>
    <row r="129" spans="5:18"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</row>
    <row r="130" spans="5:18"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</row>
    <row r="131" spans="5:18"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</row>
    <row r="132" spans="5:18"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</row>
    <row r="133" spans="5:18"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</row>
    <row r="134" spans="5:18"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</row>
    <row r="135" spans="5:18"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</row>
    <row r="136" spans="5:18"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</row>
    <row r="137" spans="5:18"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</row>
    <row r="138" spans="5:18"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</row>
    <row r="139" spans="5:18"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</row>
    <row r="140" spans="5:18"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</row>
    <row r="141" spans="5:18"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</row>
    <row r="142" spans="5:18"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</row>
    <row r="143" spans="5:18"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</row>
    <row r="144" spans="5:18"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</row>
    <row r="145" spans="5:18"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</row>
    <row r="146" spans="5:18"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</row>
    <row r="147" spans="5:18"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</row>
    <row r="148" spans="5:18"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</row>
    <row r="149" spans="5:18"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</row>
    <row r="150" spans="5:18"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</row>
    <row r="151" spans="5:18"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</row>
    <row r="152" spans="5:18"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</row>
    <row r="153" spans="5:18"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</row>
    <row r="154" spans="5:18"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</row>
    <row r="155" spans="5:18"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</row>
    <row r="156" spans="5:18"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</row>
    <row r="157" spans="5:18"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</row>
    <row r="158" spans="5:18"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</row>
    <row r="159" spans="5:18"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</row>
    <row r="160" spans="5:18"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</row>
    <row r="161" spans="5:18"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</row>
    <row r="162" spans="5:18"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</row>
    <row r="163" spans="5:18"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</row>
    <row r="164" spans="5:18"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</row>
    <row r="165" spans="5:18"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</row>
    <row r="166" spans="5:18"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</row>
    <row r="167" spans="5:18"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</row>
    <row r="168" spans="5:18"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</row>
    <row r="169" spans="5:18"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</row>
    <row r="170" spans="5:18"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</row>
    <row r="171" spans="5:18"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</row>
    <row r="172" spans="5:18"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</row>
    <row r="173" spans="5:18"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</row>
    <row r="174" spans="5:18"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</row>
    <row r="175" spans="5:18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</row>
    <row r="176" spans="5:18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</row>
    <row r="177" spans="5:18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</row>
    <row r="178" spans="5:18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</row>
    <row r="179" spans="5:18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</row>
    <row r="180" spans="5:18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</row>
    <row r="181" spans="5:18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</row>
    <row r="182" spans="5:18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</row>
    <row r="183" spans="5:18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</row>
    <row r="184" spans="5:18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</row>
    <row r="185" spans="5:18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</row>
    <row r="186" spans="5:18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</row>
    <row r="187" spans="5:18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</row>
    <row r="188" spans="5:18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</row>
    <row r="189" spans="5:18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</row>
    <row r="190" spans="5:18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</row>
    <row r="191" spans="5:18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</row>
    <row r="192" spans="5:18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</row>
    <row r="193" spans="5:18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</row>
    <row r="194" spans="5:18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</row>
    <row r="195" spans="5:18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</row>
    <row r="196" spans="5:18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</row>
    <row r="197" spans="5:18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</row>
    <row r="198" spans="5:18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</row>
    <row r="199" spans="5:18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</row>
    <row r="200" spans="5:18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</row>
    <row r="201" spans="5:18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</row>
    <row r="202" spans="5:18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</row>
    <row r="203" spans="5:18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</row>
    <row r="204" spans="5:18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</row>
    <row r="205" spans="5:18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</row>
    <row r="206" spans="5:18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</row>
    <row r="207" spans="5:18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</row>
    <row r="208" spans="5:18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</row>
    <row r="209" spans="5:18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</row>
    <row r="210" spans="5:18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</row>
    <row r="211" spans="5:18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</row>
    <row r="212" spans="5:18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</row>
    <row r="213" spans="5:18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</row>
    <row r="214" spans="5:18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</row>
    <row r="215" spans="5:18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</row>
    <row r="216" spans="5:18"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</row>
    <row r="217" spans="5:18"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</row>
    <row r="218" spans="5:18"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</row>
    <row r="219" spans="5:18"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</row>
    <row r="220" spans="5:18"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</row>
    <row r="221" spans="5:18"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</row>
    <row r="222" spans="5:18"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</row>
    <row r="223" spans="5:18"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</row>
    <row r="224" spans="5:18"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</row>
    <row r="225" spans="5:18"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</row>
    <row r="226" spans="5:18"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</row>
    <row r="227" spans="5:18"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</row>
    <row r="228" spans="5:18"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</row>
    <row r="229" spans="5:18"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</row>
    <row r="230" spans="5:18"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</row>
    <row r="231" spans="5:18"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</row>
    <row r="232" spans="5:18"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</row>
    <row r="233" spans="5:18"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</row>
    <row r="234" spans="5:18"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</row>
    <row r="235" spans="5:18"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</row>
    <row r="236" spans="5:18"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</row>
    <row r="237" spans="5:18"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</row>
    <row r="238" spans="5:18"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</row>
    <row r="239" spans="5:18"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</row>
    <row r="240" spans="5:18"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</row>
    <row r="241" spans="5:18"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</row>
    <row r="242" spans="5:18"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</row>
    <row r="243" spans="5:18"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</row>
    <row r="244" spans="5:18"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</row>
    <row r="245" spans="5:18"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</row>
    <row r="246" spans="5:18"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</row>
    <row r="247" spans="5:18"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</row>
    <row r="248" spans="5:18"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</row>
    <row r="249" spans="5:18"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</row>
    <row r="250" spans="5:18"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</row>
    <row r="251" spans="5:18"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</row>
    <row r="252" spans="5:18"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</row>
    <row r="253" spans="5:18"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</row>
    <row r="254" spans="5:18"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</row>
    <row r="255" spans="5:18"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</row>
    <row r="256" spans="5:18"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</row>
    <row r="257" spans="5:18"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</row>
    <row r="258" spans="5:18"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</row>
    <row r="259" spans="5:18"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</row>
    <row r="260" spans="5:18"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</row>
    <row r="261" spans="5:18"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</row>
    <row r="262" spans="5:18"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</row>
    <row r="263" spans="5:18"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</row>
    <row r="264" spans="5:18"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</row>
    <row r="265" spans="5:18"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</row>
    <row r="266" spans="5:18"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</row>
    <row r="267" spans="5:18"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</row>
    <row r="268" spans="5:18"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</row>
    <row r="269" spans="5:18"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</row>
    <row r="270" spans="5:18"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</row>
    <row r="271" spans="5:18"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</row>
    <row r="272" spans="5:18"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</row>
    <row r="273" spans="5:18"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</row>
    <row r="274" spans="5:18"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</row>
    <row r="275" spans="5:18"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</row>
    <row r="276" spans="5:18"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</row>
    <row r="277" spans="5:18"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</row>
    <row r="278" spans="5:18"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</row>
    <row r="279" spans="5:18"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</row>
    <row r="280" spans="5:18"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</row>
    <row r="281" spans="5:18"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</row>
    <row r="282" spans="5:18"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</row>
    <row r="283" spans="5:18"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</row>
    <row r="284" spans="5:18"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</row>
    <row r="285" spans="5:18"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</row>
    <row r="286" spans="5:18"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</row>
    <row r="287" spans="5:18"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</row>
    <row r="288" spans="5:18"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</row>
    <row r="289" spans="5:18"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</row>
    <row r="290" spans="5:18"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</row>
    <row r="291" spans="5:18"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</row>
    <row r="292" spans="5:18"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</row>
    <row r="293" spans="5:18"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</row>
    <row r="294" spans="5:18"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</row>
    <row r="295" spans="5:18"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</row>
    <row r="296" spans="5:18"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</row>
    <row r="297" spans="5:18"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</row>
    <row r="298" spans="5:18"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</row>
    <row r="299" spans="5:18"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</row>
    <row r="300" spans="5:18"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</row>
    <row r="301" spans="5:18"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</row>
    <row r="302" spans="5:18"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</row>
    <row r="303" spans="5:18"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</row>
    <row r="304" spans="5:18"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</row>
    <row r="305" spans="5:18"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</row>
    <row r="306" spans="5:18"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</row>
    <row r="307" spans="5:18"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</row>
    <row r="308" spans="5:18"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</row>
    <row r="309" spans="5:18"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</row>
    <row r="310" spans="5:18"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</row>
    <row r="311" spans="5:18"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</row>
    <row r="312" spans="5:18"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</row>
    <row r="313" spans="5:18"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</row>
    <row r="314" spans="5:18"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</row>
    <row r="315" spans="5:18"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</row>
    <row r="316" spans="5:18"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</row>
    <row r="317" spans="5:18"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</row>
    <row r="318" spans="5:18"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</row>
    <row r="319" spans="5:18"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</row>
    <row r="320" spans="5:18"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</row>
    <row r="321" spans="5:18"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</row>
    <row r="322" spans="5:18"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</row>
    <row r="323" spans="5:18"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</row>
    <row r="324" spans="5:18"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</row>
    <row r="325" spans="5:18"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</row>
    <row r="326" spans="5:18"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</row>
    <row r="327" spans="5:18"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</row>
    <row r="328" spans="5:18"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</row>
    <row r="329" spans="5:18"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</row>
    <row r="330" spans="5:18"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</row>
    <row r="331" spans="5:18"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</row>
    <row r="332" spans="5:18"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</row>
    <row r="333" spans="5:18"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</row>
    <row r="334" spans="5:18"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</row>
    <row r="335" spans="5:18"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</row>
    <row r="336" spans="5:18"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</row>
    <row r="337" spans="5:18"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</row>
    <row r="338" spans="5:18"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</row>
    <row r="339" spans="5:18"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</row>
    <row r="340" spans="5:18"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</row>
    <row r="341" spans="5:18"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</row>
    <row r="342" spans="5:18"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</row>
    <row r="343" spans="5:18"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</row>
    <row r="344" spans="5:18"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</row>
    <row r="345" spans="5:18"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</row>
    <row r="346" spans="5:18"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</row>
    <row r="347" spans="5:18"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</row>
    <row r="348" spans="5:18"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</row>
    <row r="349" spans="5:18"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</row>
    <row r="350" spans="5:18"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</row>
    <row r="351" spans="5:18"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</row>
    <row r="352" spans="5:18"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</row>
    <row r="353" spans="5:18"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</row>
    <row r="354" spans="5:18"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</row>
    <row r="355" spans="5:18"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</row>
    <row r="356" spans="5:18"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</row>
    <row r="357" spans="5:18"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</row>
    <row r="358" spans="5:18"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</row>
    <row r="359" spans="5:18"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</row>
    <row r="360" spans="5:18"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</row>
    <row r="361" spans="5:18"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</row>
    <row r="362" spans="5:18"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</row>
    <row r="363" spans="5:18"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</row>
    <row r="364" spans="5:18"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</row>
    <row r="365" spans="5:18"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</row>
    <row r="366" spans="5:18"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</row>
    <row r="367" spans="5:18"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</row>
    <row r="368" spans="5:18"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</row>
    <row r="369" spans="5:18"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</row>
    <row r="370" spans="5:18"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</row>
    <row r="371" spans="5:18"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</row>
    <row r="372" spans="5:18"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</row>
    <row r="373" spans="5:18"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</row>
    <row r="374" spans="5:18"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</row>
    <row r="375" spans="5:18"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</row>
    <row r="376" spans="5:18"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</row>
    <row r="377" spans="5:18"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</row>
    <row r="378" spans="5:18"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</row>
    <row r="379" spans="5:18"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</row>
    <row r="380" spans="5:18"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</row>
    <row r="381" spans="5:18"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</row>
    <row r="382" spans="5:18"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</row>
    <row r="383" spans="5:18"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</row>
    <row r="384" spans="5:18"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</row>
    <row r="385" spans="5:18"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</row>
    <row r="386" spans="5:18"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</row>
    <row r="387" spans="5:18"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</row>
    <row r="388" spans="5:18"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</row>
    <row r="389" spans="5:18"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</row>
    <row r="390" spans="5:18"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</row>
    <row r="391" spans="5:18"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</row>
    <row r="392" spans="5:18"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</row>
    <row r="393" spans="5:18"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</row>
    <row r="394" spans="5:18"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</row>
    <row r="395" spans="5:18"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</row>
    <row r="396" spans="5:18"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</row>
    <row r="397" spans="5:18"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</row>
    <row r="398" spans="5:18"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</row>
    <row r="399" spans="5:18"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</row>
    <row r="400" spans="5:18"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</row>
    <row r="401" spans="5:18"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</row>
    <row r="402" spans="5:18"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</row>
    <row r="403" spans="5:18"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</row>
    <row r="404" spans="5:18"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</row>
    <row r="405" spans="5:18"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</row>
    <row r="406" spans="5:18"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</row>
    <row r="407" spans="5:18"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</row>
    <row r="408" spans="5:18"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</row>
    <row r="409" spans="5:18"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</row>
    <row r="410" spans="5:18"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</row>
    <row r="411" spans="5:18"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</row>
    <row r="412" spans="5:18"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</row>
    <row r="413" spans="5:18"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</row>
    <row r="414" spans="5:18"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</row>
    <row r="415" spans="5:18"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</row>
    <row r="416" spans="5:18"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</row>
    <row r="417" spans="5:18"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</row>
    <row r="418" spans="5:18"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</row>
    <row r="419" spans="5:18"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</row>
    <row r="420" spans="5:18"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</row>
    <row r="421" spans="5:18"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</row>
    <row r="422" spans="5:18"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</row>
    <row r="423" spans="5:18"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</row>
    <row r="424" spans="5:18"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</row>
    <row r="425" spans="5:18"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</row>
    <row r="426" spans="5:18"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</row>
    <row r="427" spans="5:18"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</row>
    <row r="428" spans="5:18"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</row>
    <row r="429" spans="5:18"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</row>
    <row r="430" spans="5:18"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</row>
    <row r="431" spans="5:18"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</row>
    <row r="432" spans="5:18"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</row>
    <row r="433" spans="5:18"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</row>
    <row r="434" spans="5:18"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</row>
    <row r="435" spans="5:18"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</row>
    <row r="436" spans="5:18"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</row>
    <row r="437" spans="5:18"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</row>
    <row r="438" spans="5:18"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</row>
    <row r="439" spans="5:18"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</row>
    <row r="440" spans="5:18"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</row>
    <row r="441" spans="5:18"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</row>
    <row r="442" spans="5:18"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</row>
    <row r="443" spans="5:18"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</row>
    <row r="444" spans="5:18"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</row>
    <row r="445" spans="5:18"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</row>
    <row r="446" spans="5:18"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</row>
    <row r="447" spans="5:18"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</row>
    <row r="448" spans="5:18"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</row>
    <row r="449" spans="5:18"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</row>
    <row r="450" spans="5:18"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</row>
    <row r="451" spans="5:18"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</row>
    <row r="452" spans="5:18"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</row>
    <row r="453" spans="5:18"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</row>
    <row r="454" spans="5:18"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</row>
    <row r="455" spans="5:18"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</row>
    <row r="456" spans="5:18"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</row>
    <row r="457" spans="5:18"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</row>
    <row r="458" spans="5:18"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</row>
    <row r="459" spans="5:18"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</row>
    <row r="460" spans="5:18"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</row>
    <row r="461" spans="5:18"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</row>
    <row r="462" spans="5:18"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</row>
    <row r="463" spans="5:18"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</row>
    <row r="464" spans="5:18"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</row>
    <row r="465" spans="5:18"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</row>
    <row r="466" spans="5:18"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</row>
    <row r="467" spans="5:18"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</row>
    <row r="468" spans="5:18"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</row>
    <row r="469" spans="5:18"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</row>
    <row r="470" spans="5:18"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</row>
    <row r="471" spans="5:18"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</row>
    <row r="472" spans="5:18"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</row>
    <row r="473" spans="5:18"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</row>
    <row r="474" spans="5:18"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</row>
    <row r="475" spans="5:18"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</row>
    <row r="476" spans="5:18"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</row>
    <row r="477" spans="5:18"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</row>
    <row r="478" spans="5:18"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</row>
    <row r="479" spans="5:18"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</row>
    <row r="480" spans="5:18"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</row>
    <row r="481" spans="5:18"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</row>
    <row r="482" spans="5:18"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</row>
    <row r="483" spans="5:18"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</row>
    <row r="484" spans="5:18"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</row>
    <row r="485" spans="5:18"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</row>
    <row r="486" spans="5:18"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</row>
    <row r="487" spans="5:18"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</row>
    <row r="488" spans="5:18"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</row>
    <row r="489" spans="5:18"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</row>
    <row r="490" spans="5:18"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</row>
    <row r="491" spans="5:18"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</row>
    <row r="492" spans="5:18"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</row>
    <row r="493" spans="5:18"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</row>
    <row r="494" spans="5:18"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</row>
    <row r="495" spans="5:18"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</row>
    <row r="496" spans="5:18"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</row>
    <row r="497" spans="5:18"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</row>
    <row r="498" spans="5:18"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</row>
    <row r="499" spans="5:18"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</row>
    <row r="500" spans="5:18"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</row>
    <row r="501" spans="5:18"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</row>
    <row r="502" spans="5:18"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</row>
    <row r="503" spans="5:18"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</row>
    <row r="504" spans="5:18"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</row>
    <row r="505" spans="5:18"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</row>
    <row r="506" spans="5:18"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</row>
    <row r="507" spans="5:18"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</row>
    <row r="508" spans="5:18"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</row>
    <row r="509" spans="5:18"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</row>
    <row r="510" spans="5:18"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</row>
    <row r="511" spans="5:18"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</row>
    <row r="512" spans="5:18"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</row>
    <row r="513" spans="5:18"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</row>
    <row r="514" spans="5:18"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</row>
    <row r="515" spans="5:18"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</row>
    <row r="516" spans="5:18"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</row>
    <row r="517" spans="5:18"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</row>
    <row r="518" spans="5:18"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</row>
    <row r="519" spans="5:18"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</row>
    <row r="520" spans="5:18"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</row>
    <row r="521" spans="5:18"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</row>
    <row r="522" spans="5:18"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</row>
    <row r="523" spans="5:18"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</row>
    <row r="524" spans="5:18"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</row>
    <row r="525" spans="5:18"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</row>
    <row r="526" spans="5:18"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</row>
    <row r="527" spans="5:18"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</row>
    <row r="528" spans="5:18"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</row>
    <row r="529" spans="5:18"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</row>
    <row r="530" spans="5:18"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</row>
    <row r="531" spans="5:18"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</row>
    <row r="532" spans="5:18"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</row>
    <row r="533" spans="5:18"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</row>
    <row r="534" spans="5:18"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</row>
    <row r="535" spans="5:18"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</row>
    <row r="536" spans="5:18"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</row>
    <row r="537" spans="5:18"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</row>
    <row r="538" spans="5:18"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</row>
    <row r="539" spans="5:18"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</row>
    <row r="540" spans="5:18"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</row>
    <row r="541" spans="5:18"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</row>
    <row r="542" spans="5:18"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</row>
    <row r="543" spans="5:18"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</row>
    <row r="544" spans="5:18"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</row>
    <row r="545" spans="5:18"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</row>
    <row r="546" spans="5:18"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</row>
    <row r="547" spans="5:18"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</row>
    <row r="548" spans="5:18"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</row>
    <row r="549" spans="5:18"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</row>
    <row r="550" spans="5:18"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</row>
    <row r="551" spans="5:18"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</row>
    <row r="552" spans="5:18"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</row>
    <row r="553" spans="5:18"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</row>
    <row r="554" spans="5:18"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</row>
    <row r="555" spans="5:18"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</row>
    <row r="556" spans="5:18"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</row>
    <row r="557" spans="5:18"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</row>
    <row r="558" spans="5:18"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</row>
    <row r="559" spans="5:18"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</row>
    <row r="560" spans="5:18"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</row>
    <row r="561" spans="5:18"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</row>
    <row r="562" spans="5:18"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</row>
    <row r="563" spans="5:18"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</row>
    <row r="564" spans="5:18"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</row>
    <row r="565" spans="5:18"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</row>
    <row r="566" spans="5:18"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</row>
    <row r="567" spans="5:18"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</row>
    <row r="568" spans="5:18"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</row>
    <row r="569" spans="5:18"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</row>
    <row r="570" spans="5:18"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</row>
    <row r="571" spans="5:18"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</row>
    <row r="572" spans="5:18"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</row>
    <row r="573" spans="5:18"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</row>
    <row r="574" spans="5:18"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</row>
    <row r="575" spans="5:18"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</row>
    <row r="576" spans="5:18"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</row>
    <row r="577" spans="5:18"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</row>
    <row r="578" spans="5:18"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</row>
    <row r="579" spans="5:18"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</row>
    <row r="580" spans="5:18"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</row>
    <row r="581" spans="5:18"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</row>
    <row r="582" spans="5:18"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</row>
    <row r="583" spans="5:18"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</row>
    <row r="584" spans="5:18"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</row>
    <row r="585" spans="5:18"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</row>
    <row r="586" spans="5:18"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</row>
    <row r="587" spans="5:18"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</row>
    <row r="588" spans="5:18"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</row>
    <row r="589" spans="5:18"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</row>
    <row r="590" spans="5:18"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</row>
    <row r="591" spans="5:18"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</row>
    <row r="592" spans="5:18"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</row>
    <row r="593" spans="5:18"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</row>
    <row r="594" spans="5:18"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</row>
    <row r="595" spans="5:18"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</row>
    <row r="596" spans="5:18"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</row>
    <row r="597" spans="5:18"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</row>
    <row r="598" spans="5:18"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</row>
    <row r="599" spans="5:18"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</row>
    <row r="600" spans="5:18"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</row>
    <row r="601" spans="5:18"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</row>
    <row r="602" spans="5:18"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</row>
    <row r="603" spans="5:18"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</row>
    <row r="604" spans="5:18"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</row>
    <row r="605" spans="5:18"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</row>
    <row r="606" spans="5:18"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</row>
    <row r="607" spans="5:18"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</row>
    <row r="608" spans="5:18"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</row>
    <row r="609" spans="5:18"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</row>
    <row r="610" spans="5:18"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</row>
    <row r="611" spans="5:18"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</row>
    <row r="612" spans="5:18"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</row>
    <row r="613" spans="5:18"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</row>
    <row r="614" spans="5:18"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</row>
    <row r="615" spans="5:18"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</row>
    <row r="616" spans="5:18"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</row>
    <row r="617" spans="5:18"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</row>
    <row r="618" spans="5:18"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</row>
    <row r="619" spans="5:18"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</row>
    <row r="620" spans="5:18"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</row>
    <row r="621" spans="5:18"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</row>
    <row r="622" spans="5:18"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</row>
    <row r="623" spans="5:18"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</row>
    <row r="624" spans="5:18"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</row>
    <row r="625" spans="5:18"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</row>
    <row r="626" spans="5:18"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</row>
    <row r="627" spans="5:18"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</row>
    <row r="628" spans="5:18"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</row>
    <row r="629" spans="5:18"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</row>
    <row r="630" spans="5:18"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</row>
    <row r="631" spans="5:18"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</row>
    <row r="632" spans="5:18"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</row>
    <row r="633" spans="5:18"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</row>
    <row r="634" spans="5:18"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</row>
    <row r="635" spans="5:18"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</row>
    <row r="636" spans="5:18"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</row>
    <row r="637" spans="5:18"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</row>
    <row r="638" spans="5:18"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</row>
    <row r="639" spans="5:18"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</row>
    <row r="640" spans="5:18"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</row>
    <row r="641" spans="5:18"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</row>
    <row r="642" spans="5:18"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</row>
    <row r="643" spans="5:18"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</row>
    <row r="644" spans="5:18"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</row>
    <row r="645" spans="5:18"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</row>
    <row r="646" spans="5:18"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</row>
    <row r="647" spans="5:18"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</row>
    <row r="648" spans="5:18"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</row>
    <row r="649" spans="5:18"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</row>
    <row r="650" spans="5:18"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</row>
    <row r="651" spans="5:18"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</row>
    <row r="652" spans="5:18"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</row>
    <row r="653" spans="5:18"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</row>
    <row r="654" spans="5:18"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</row>
    <row r="655" spans="5:18"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</row>
    <row r="656" spans="5:18"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</row>
    <row r="657" spans="5:18"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</row>
    <row r="658" spans="5:18"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</row>
    <row r="659" spans="5:18"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</row>
    <row r="660" spans="5:18"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</row>
    <row r="661" spans="5:18"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</row>
    <row r="662" spans="5:18"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</row>
    <row r="663" spans="5:18"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</row>
    <row r="664" spans="5:18"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</row>
    <row r="665" spans="5:18"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</row>
    <row r="666" spans="5:18"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</row>
    <row r="667" spans="5:18"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</row>
    <row r="668" spans="5:18"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</row>
    <row r="669" spans="5:18"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</row>
    <row r="670" spans="5:18"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</row>
    <row r="671" spans="5:18"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</row>
    <row r="672" spans="5:18"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</row>
    <row r="673" spans="5:18"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</row>
    <row r="674" spans="5:18"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</row>
    <row r="675" spans="5:18"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</row>
    <row r="676" spans="5:18"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</row>
    <row r="677" spans="5:18"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</row>
    <row r="678" spans="5:18"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</row>
    <row r="679" spans="5:18"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</row>
    <row r="680" spans="5:18"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</row>
    <row r="681" spans="5:18"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</row>
    <row r="682" spans="5:18"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</row>
    <row r="683" spans="5:18"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</row>
    <row r="684" spans="5:18"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</row>
    <row r="685" spans="5:18"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</row>
    <row r="686" spans="5:18"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</row>
    <row r="687" spans="5:18"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</row>
    <row r="688" spans="5:18"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</row>
    <row r="689" spans="5:18"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</row>
    <row r="690" spans="5:18"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</row>
    <row r="691" spans="5:18"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</row>
    <row r="692" spans="5:18"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</row>
    <row r="693" spans="5:18"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</row>
    <row r="694" spans="5:18"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</row>
    <row r="695" spans="5:18"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</row>
    <row r="696" spans="5:18"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</row>
    <row r="697" spans="5:18"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</row>
    <row r="698" spans="5:18"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</row>
    <row r="699" spans="5:18"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</row>
    <row r="700" spans="5:18"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</row>
    <row r="701" spans="5:18"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</row>
    <row r="702" spans="5:18"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</row>
    <row r="703" spans="5:18"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</row>
    <row r="704" spans="5:18"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</row>
    <row r="705" spans="5:18"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</row>
    <row r="706" spans="5:18"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</row>
    <row r="707" spans="5:18"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</row>
    <row r="708" spans="5:18"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</row>
    <row r="709" spans="5:18"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</row>
    <row r="710" spans="5:18"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</row>
    <row r="711" spans="5:18"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</row>
    <row r="712" spans="5:18"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</row>
    <row r="713" spans="5:18"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</row>
    <row r="714" spans="5:18"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</row>
    <row r="715" spans="5:18"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</row>
    <row r="716" spans="5:18"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</row>
    <row r="717" spans="5:18"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</row>
    <row r="718" spans="5:18"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</row>
    <row r="719" spans="5:18"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</row>
    <row r="720" spans="5:18"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</row>
    <row r="721" spans="5:18"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</row>
    <row r="722" spans="5:18"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</row>
    <row r="723" spans="5:18"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</row>
    <row r="724" spans="5:18"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</row>
    <row r="725" spans="5:18"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</row>
    <row r="726" spans="5:18"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</row>
    <row r="727" spans="5:18"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</row>
    <row r="728" spans="5:18"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</row>
    <row r="729" spans="5:18"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</row>
    <row r="730" spans="5:18"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</row>
    <row r="731" spans="5:18"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</row>
    <row r="732" spans="5:18"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</row>
    <row r="733" spans="5:18"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</row>
    <row r="734" spans="5:18"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</row>
    <row r="735" spans="5:18"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</row>
    <row r="736" spans="5:18"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</row>
    <row r="737" spans="5:18"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</row>
    <row r="738" spans="5:18"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</row>
    <row r="739" spans="5:18"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</row>
    <row r="740" spans="5:18"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</row>
    <row r="741" spans="5:18"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</row>
    <row r="742" spans="5:18"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</row>
    <row r="743" spans="5:18"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</row>
    <row r="744" spans="5:18"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</row>
    <row r="745" spans="5:18"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</row>
    <row r="746" spans="5:18"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</row>
    <row r="747" spans="5:18"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</row>
    <row r="748" spans="5:18"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</row>
    <row r="749" spans="5:18"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</row>
    <row r="750" spans="5:18"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</row>
    <row r="751" spans="5:18"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</row>
    <row r="752" spans="5:18"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</row>
    <row r="753" spans="5:18"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</row>
    <row r="754" spans="5:18"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</row>
    <row r="755" spans="5:18"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</row>
    <row r="756" spans="5:18"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</row>
    <row r="757" spans="5:18"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</row>
    <row r="758" spans="5:18"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</row>
    <row r="759" spans="5:18"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</row>
    <row r="760" spans="5:18"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</row>
    <row r="761" spans="5:18"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</row>
    <row r="762" spans="5:18"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</row>
    <row r="763" spans="5:18"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</row>
    <row r="764" spans="5:18"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</row>
    <row r="765" spans="5:18"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</row>
    <row r="766" spans="5:18"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</row>
    <row r="767" spans="5:18"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</row>
    <row r="768" spans="5:18"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</row>
    <row r="769" spans="5:18"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</row>
    <row r="770" spans="5:18"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</row>
    <row r="771" spans="5:18"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</row>
    <row r="772" spans="5:18"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</row>
    <row r="773" spans="5:18"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</row>
    <row r="774" spans="5:18"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</row>
    <row r="775" spans="5:18"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</row>
    <row r="776" spans="5:18"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</row>
    <row r="777" spans="5:18"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</row>
    <row r="778" spans="5:18"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</row>
    <row r="779" spans="5:18"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</row>
    <row r="780" spans="5:18"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</row>
    <row r="781" spans="5:18"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</row>
    <row r="782" spans="5:18"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</row>
    <row r="783" spans="5:18"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</row>
    <row r="784" spans="5:18"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</row>
    <row r="785" spans="5:18"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</row>
    <row r="786" spans="5:18"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</row>
    <row r="787" spans="5:18"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</row>
    <row r="788" spans="5:18"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</row>
    <row r="789" spans="5:18"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</row>
    <row r="790" spans="5:18"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</row>
    <row r="791" spans="5:18"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</row>
    <row r="792" spans="5:18"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</row>
    <row r="793" spans="5:18"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</row>
    <row r="794" spans="5:18"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</row>
    <row r="795" spans="5:18"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</row>
    <row r="796" spans="5:18"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</row>
    <row r="797" spans="5:18"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</row>
    <row r="798" spans="5:18"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</row>
    <row r="799" spans="5:18"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</row>
    <row r="800" spans="5:18"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</row>
    <row r="801" spans="5:18"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</row>
    <row r="802" spans="5:18"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</row>
    <row r="803" spans="5:18"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</row>
    <row r="804" spans="5:18"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</row>
    <row r="805" spans="5:18"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</row>
    <row r="806" spans="5:18"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</row>
    <row r="807" spans="5:18"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</row>
    <row r="808" spans="5:18"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</row>
    <row r="809" spans="5:18"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</row>
    <row r="810" spans="5:18"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</row>
    <row r="811" spans="5:18"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</row>
    <row r="812" spans="5:18"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</row>
    <row r="813" spans="5:18"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</row>
    <row r="814" spans="5:18"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</row>
    <row r="815" spans="5:18"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</row>
    <row r="816" spans="5:18"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</row>
    <row r="817" spans="5:18"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</row>
    <row r="818" spans="5:18"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</row>
    <row r="819" spans="5:18"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</row>
    <row r="820" spans="5:18"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</row>
    <row r="821" spans="5:18"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</row>
    <row r="822" spans="5:18"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</row>
    <row r="823" spans="5:18"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</row>
    <row r="824" spans="5:18"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</row>
    <row r="825" spans="5:18"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</row>
    <row r="826" spans="5:18"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</row>
    <row r="827" spans="5:18"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</row>
    <row r="828" spans="5:18"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</row>
    <row r="829" spans="5:18"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</row>
    <row r="830" spans="5:18"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</row>
    <row r="831" spans="5:18"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</row>
    <row r="832" spans="5:18"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</row>
    <row r="833" spans="5:18"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</row>
    <row r="834" spans="5:18"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</row>
    <row r="835" spans="5:18"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</row>
    <row r="836" spans="5:18"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</row>
    <row r="837" spans="5:18"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</row>
    <row r="838" spans="5:18"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</row>
    <row r="839" spans="5:18"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</row>
    <row r="840" spans="5:18"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</row>
    <row r="841" spans="5:18"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</row>
    <row r="842" spans="5:18"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</row>
    <row r="843" spans="5:18"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</row>
    <row r="844" spans="5:18"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</row>
    <row r="845" spans="5:18"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</row>
    <row r="846" spans="5:18"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</row>
    <row r="847" spans="5:18"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</row>
    <row r="848" spans="5:18"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</row>
    <row r="849" spans="5:18"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</row>
    <row r="850" spans="5:18"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</row>
    <row r="851" spans="5:18"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</row>
    <row r="852" spans="5:18"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</row>
    <row r="853" spans="5:18"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</row>
    <row r="854" spans="5:18"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</row>
    <row r="855" spans="5:18"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</row>
    <row r="856" spans="5:18"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</row>
    <row r="857" spans="5:18"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</row>
    <row r="858" spans="5:18"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</row>
    <row r="859" spans="5:18"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</row>
    <row r="860" spans="5:18"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</row>
    <row r="861" spans="5:18"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</row>
    <row r="862" spans="5:18"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</row>
    <row r="863" spans="5:18"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</row>
    <row r="864" spans="5:18"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</row>
    <row r="865" spans="5:18"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</row>
    <row r="866" spans="5:18"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</row>
    <row r="867" spans="5:18"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</row>
    <row r="868" spans="5:18"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</row>
    <row r="869" spans="5:18"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</row>
    <row r="870" spans="5:18"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</row>
    <row r="871" spans="5:18"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</row>
    <row r="872" spans="5:18"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</row>
    <row r="873" spans="5:18"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</row>
    <row r="874" spans="5:18"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</row>
    <row r="875" spans="5:18"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</row>
    <row r="876" spans="5:18"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</row>
    <row r="877" spans="5:18"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</row>
    <row r="878" spans="5:18"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</row>
    <row r="879" spans="5:18"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</row>
    <row r="880" spans="5:18"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</row>
    <row r="881" spans="5:18"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</row>
    <row r="882" spans="5:18"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</row>
    <row r="883" spans="5:18"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</row>
    <row r="884" spans="5:18"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</row>
    <row r="885" spans="5:18"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</row>
    <row r="886" spans="5:18"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</row>
    <row r="887" spans="5:18"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</row>
    <row r="888" spans="5:18"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</row>
    <row r="889" spans="5:18"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</row>
    <row r="890" spans="5:18"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</row>
    <row r="891" spans="5:18"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</row>
    <row r="892" spans="5:18"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</row>
    <row r="893" spans="5:18"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</row>
    <row r="894" spans="5:18"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</row>
    <row r="895" spans="5:18"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</row>
    <row r="896" spans="5:18"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</row>
    <row r="897" spans="5:18"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</row>
    <row r="898" spans="5:18"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</row>
    <row r="899" spans="5:18"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</row>
    <row r="900" spans="5:18"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</row>
    <row r="901" spans="5:18"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</row>
    <row r="902" spans="5:18"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</row>
    <row r="903" spans="5:18"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</row>
    <row r="904" spans="5:18"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</row>
    <row r="905" spans="5:18"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</row>
    <row r="906" spans="5:18"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</row>
    <row r="907" spans="5:18"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</row>
    <row r="908" spans="5:18"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</row>
    <row r="909" spans="5:18"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</row>
    <row r="910" spans="5:18"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</row>
    <row r="911" spans="5:18"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</row>
    <row r="912" spans="5:18"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</row>
    <row r="913" spans="5:18"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</row>
    <row r="914" spans="5:18"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</row>
    <row r="915" spans="5:18"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</row>
    <row r="916" spans="5:18"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</row>
    <row r="917" spans="5:18"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</row>
    <row r="918" spans="5:18"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</row>
    <row r="919" spans="5:18"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</row>
    <row r="920" spans="5:18"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</row>
    <row r="921" spans="5:18"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</row>
    <row r="922" spans="5:18"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</row>
    <row r="923" spans="5:18"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</row>
    <row r="924" spans="5:18"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</row>
    <row r="925" spans="5:18"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</row>
    <row r="926" spans="5:18"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</row>
    <row r="927" spans="5:18"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</row>
    <row r="928" spans="5:18"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</row>
    <row r="929" spans="5:18"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</row>
    <row r="930" spans="5:18"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</row>
    <row r="931" spans="5:18"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</row>
    <row r="932" spans="5:18"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</row>
    <row r="933" spans="5:18"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</row>
    <row r="934" spans="5:18"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</row>
    <row r="935" spans="5:18"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</row>
    <row r="936" spans="5:18"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</row>
    <row r="937" spans="5:18"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</row>
    <row r="938" spans="5:18"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</row>
    <row r="939" spans="5:18"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</row>
    <row r="940" spans="5:18"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</row>
    <row r="941" spans="5:18"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</row>
    <row r="942" spans="5:18"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</row>
    <row r="943" spans="5:18"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</row>
    <row r="944" spans="5:18"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</row>
    <row r="945" spans="5:18"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</row>
    <row r="946" spans="5:18"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</row>
    <row r="947" spans="5:18"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</row>
    <row r="948" spans="5:18"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</row>
    <row r="949" spans="5:18"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</row>
    <row r="950" spans="5:18"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</row>
    <row r="951" spans="5:18"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</row>
    <row r="952" spans="5:18"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</row>
    <row r="953" spans="5:18"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</row>
    <row r="954" spans="5:18"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</row>
    <row r="955" spans="5:18"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</row>
    <row r="956" spans="5:18"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</row>
    <row r="957" spans="5:18"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</row>
    <row r="958" spans="5:18"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</row>
    <row r="959" spans="5:18"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</row>
    <row r="960" spans="5:18"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</row>
    <row r="961" spans="5:18"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</row>
    <row r="962" spans="5:18"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</row>
    <row r="963" spans="5:18"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</row>
  </sheetData>
  <mergeCells count="4">
    <mergeCell ref="B3:B5"/>
    <mergeCell ref="C2:D2"/>
    <mergeCell ref="C3:D5"/>
    <mergeCell ref="E3:E5"/>
  </mergeCells>
  <dataValidations count="1">
    <dataValidation type="list" allowBlank="1" showInputMessage="1" showErrorMessage="1" sqref="B3:B5" xr:uid="{0006554E-FE3D-AC47-97F9-44DAE9316A59}">
      <formula1>UF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104</vt:i4>
      </vt:variant>
    </vt:vector>
  </HeadingPairs>
  <TitlesOfParts>
    <vt:vector size="107" baseType="lpstr">
      <vt:lpstr>Atletas</vt:lpstr>
      <vt:lpstr>Conferência</vt:lpstr>
      <vt:lpstr>Federação</vt:lpstr>
      <vt:lpstr>ADAPTADO</vt:lpstr>
      <vt:lpstr>Atletas!SDAF</vt:lpstr>
      <vt:lpstr>Atletas!SDAM</vt:lpstr>
      <vt:lpstr>Atletas!SDIF</vt:lpstr>
      <vt:lpstr>Atletas!SDIM</vt:lpstr>
      <vt:lpstr>Atletas!SDJF</vt:lpstr>
      <vt:lpstr>Atletas!SDJM</vt:lpstr>
      <vt:lpstr>Atletas!SJAF</vt:lpstr>
      <vt:lpstr>Atletas!SJAM</vt:lpstr>
      <vt:lpstr>Atletas!SJJF</vt:lpstr>
      <vt:lpstr>Atletas!SJJM</vt:lpstr>
      <vt:lpstr>Atletas!TEACA</vt:lpstr>
      <vt:lpstr>Atletas!TEACB</vt:lpstr>
      <vt:lpstr>Atletas!TEACC</vt:lpstr>
      <vt:lpstr>Atletas!TEACM</vt:lpstr>
      <vt:lpstr>Atletas!TEACMC</vt:lpstr>
      <vt:lpstr>Atletas!TEACOA</vt:lpstr>
      <vt:lpstr>Atletas!TEALA</vt:lpstr>
      <vt:lpstr>Atletas!TEALB</vt:lpstr>
      <vt:lpstr>Atletas!TEALC</vt:lpstr>
      <vt:lpstr>Atletas!TEALM</vt:lpstr>
      <vt:lpstr>Atletas!TEALMC</vt:lpstr>
      <vt:lpstr>Atletas!TEALOA</vt:lpstr>
      <vt:lpstr>Atletas!TEDLA</vt:lpstr>
      <vt:lpstr>Atletas!TEDLB</vt:lpstr>
      <vt:lpstr>Atletas!TEDLOA</vt:lpstr>
      <vt:lpstr>Atletas!TEMA</vt:lpstr>
      <vt:lpstr>Atletas!TEMB</vt:lpstr>
      <vt:lpstr>Atletas!TEMC</vt:lpstr>
      <vt:lpstr>Atletas!TEMM</vt:lpstr>
      <vt:lpstr>Atletas!TEMMC</vt:lpstr>
      <vt:lpstr>Atletas!TEMOA</vt:lpstr>
      <vt:lpstr>TSAF</vt:lpstr>
      <vt:lpstr>TSAM</vt:lpstr>
      <vt:lpstr>TTACA</vt:lpstr>
      <vt:lpstr>TTACB</vt:lpstr>
      <vt:lpstr>TTACC</vt:lpstr>
      <vt:lpstr>TTACD</vt:lpstr>
      <vt:lpstr>TTACE</vt:lpstr>
      <vt:lpstr>TTACF</vt:lpstr>
      <vt:lpstr>Atletas!TTADMA</vt:lpstr>
      <vt:lpstr>Atletas!TTADMB</vt:lpstr>
      <vt:lpstr>Atletas!TTADMC</vt:lpstr>
      <vt:lpstr>Atletas!TTADMD</vt:lpstr>
      <vt:lpstr>Atletas!TTADME</vt:lpstr>
      <vt:lpstr>Atletas!TTADMF</vt:lpstr>
      <vt:lpstr>TTALA</vt:lpstr>
      <vt:lpstr>TTALB</vt:lpstr>
      <vt:lpstr>TTALC</vt:lpstr>
      <vt:lpstr>TTALD</vt:lpstr>
      <vt:lpstr>TTALE</vt:lpstr>
      <vt:lpstr>TTALF</vt:lpstr>
      <vt:lpstr>Atletas!TTEEA</vt:lpstr>
      <vt:lpstr>Atletas!TTEEAB</vt:lpstr>
      <vt:lpstr>Atletas!TTEEB</vt:lpstr>
      <vt:lpstr>Atletas!TTEEC</vt:lpstr>
      <vt:lpstr>Atletas!TTEECD</vt:lpstr>
      <vt:lpstr>Atletas!TTEED</vt:lpstr>
      <vt:lpstr>Atletas!TTEEE</vt:lpstr>
      <vt:lpstr>Atletas!TTEEEF</vt:lpstr>
      <vt:lpstr>Atletas!TTEEF</vt:lpstr>
      <vt:lpstr>Atletas!TTMSA</vt:lpstr>
      <vt:lpstr>Atletas!TTMSB</vt:lpstr>
      <vt:lpstr>Atletas!TTMSC</vt:lpstr>
      <vt:lpstr>Atletas!TTMSD</vt:lpstr>
      <vt:lpstr>Atletas!TTMSE</vt:lpstr>
      <vt:lpstr>Atletas!TTMSF</vt:lpstr>
      <vt:lpstr>Atletas!TTOMA</vt:lpstr>
      <vt:lpstr>Atletas!TTOMB</vt:lpstr>
      <vt:lpstr>Atletas!TTOMC</vt:lpstr>
      <vt:lpstr>Atletas!TTOMD</vt:lpstr>
      <vt:lpstr>Atletas!TTOME</vt:lpstr>
      <vt:lpstr>Atletas!TTOMF</vt:lpstr>
      <vt:lpstr>Atletas!TTOMIA</vt:lpstr>
      <vt:lpstr>Atletas!TTOMIB</vt:lpstr>
      <vt:lpstr>Atletas!TTOMIC</vt:lpstr>
      <vt:lpstr>Atletas!TTOMID</vt:lpstr>
      <vt:lpstr>Atletas!TTOMIE</vt:lpstr>
      <vt:lpstr>Atletas!TTOMIF</vt:lpstr>
      <vt:lpstr>TTTA</vt:lpstr>
      <vt:lpstr>TTTB</vt:lpstr>
      <vt:lpstr>TTTC</vt:lpstr>
      <vt:lpstr>TTTD</vt:lpstr>
      <vt:lpstr>TTTE</vt:lpstr>
      <vt:lpstr>TTTF</vt:lpstr>
      <vt:lpstr>TTTOAA</vt:lpstr>
      <vt:lpstr>TTTOAB</vt:lpstr>
      <vt:lpstr>TTTOAC</vt:lpstr>
      <vt:lpstr>TTTOAD</vt:lpstr>
      <vt:lpstr>TTTOAE</vt:lpstr>
      <vt:lpstr>TTTOAF</vt:lpstr>
      <vt:lpstr>TTTPA</vt:lpstr>
      <vt:lpstr>TTTPB</vt:lpstr>
      <vt:lpstr>TTTPC</vt:lpstr>
      <vt:lpstr>TTTPD</vt:lpstr>
      <vt:lpstr>TTTPE</vt:lpstr>
      <vt:lpstr>TTTPF</vt:lpstr>
      <vt:lpstr>Atletas!TTTTA</vt:lpstr>
      <vt:lpstr>Atletas!TTTTB</vt:lpstr>
      <vt:lpstr>Atletas!TTTTC</vt:lpstr>
      <vt:lpstr>Atletas!TTTTD</vt:lpstr>
      <vt:lpstr>Atletas!TTTTE</vt:lpstr>
      <vt:lpstr>Atletas!TTTTF</vt:lpstr>
      <vt:lpstr>UF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Usuario</cp:lastModifiedBy>
  <dcterms:created xsi:type="dcterms:W3CDTF">2020-12-14T17:22:00Z</dcterms:created>
  <dcterms:modified xsi:type="dcterms:W3CDTF">2022-07-25T13:29:48Z</dcterms:modified>
</cp:coreProperties>
</file>